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namedSheetViews/namedSheetView1.xml" ContentType="application/vnd.ms-excel.namedsheetview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zhong\OneDrive\桌面\"/>
    </mc:Choice>
  </mc:AlternateContent>
  <xr:revisionPtr revIDLastSave="0" documentId="13_ncr:1_{77441BB4-88D0-4E04-8363-9C2AA0AD6BB4}" xr6:coauthVersionLast="47" xr6:coauthVersionMax="47" xr10:uidLastSave="{00000000-0000-0000-0000-000000000000}"/>
  <bookViews>
    <workbookView xWindow="-108" yWindow="-108" windowWidth="23256" windowHeight="12456" tabRatio="739" activeTab="7" xr2:uid="{00000000-000D-0000-FFFF-FFFF00000000}"/>
  </bookViews>
  <sheets>
    <sheet name="Client Info" sheetId="1" r:id="rId1"/>
    <sheet name="productGTIN_internalSKU" sheetId="10" r:id="rId2"/>
    <sheet name="internal_cansku_inventory" sheetId="17" r:id="rId3"/>
    <sheet name="Sheet1" sheetId="18" state="hidden" r:id="rId4"/>
    <sheet name="Sheet2" sheetId="23" state="hidden" r:id="rId5"/>
    <sheet name="Sheet3" sheetId="22" state="hidden" r:id="rId6"/>
    <sheet name="Sheet4" sheetId="24" state="hidden" r:id="rId7"/>
    <sheet name="cannabis_log" sheetId="15" r:id="rId8"/>
    <sheet name="dailychange" sheetId="16" r:id="rId9"/>
    <sheet name="planned_shipment" sheetId="19" r:id="rId10"/>
    <sheet name="Sheet5" sheetId="28" state="hidden" r:id="rId11"/>
    <sheet name="customerSKU" sheetId="20" r:id="rId12"/>
  </sheets>
  <externalReferences>
    <externalReference r:id="rId13"/>
    <externalReference r:id="rId14"/>
    <externalReference r:id="rId15"/>
  </externalReferences>
  <definedNames>
    <definedName name="_xlnm._FilterDatabase" localSheetId="7" hidden="1">cannabis_log!$A$1:$V$982</definedName>
    <definedName name="_xlnm._FilterDatabase" localSheetId="0" hidden="1">'Client Info'!#REF!</definedName>
    <definedName name="_xlnm._FilterDatabase" localSheetId="8" hidden="1">dailychange!$A$1:$O$2493</definedName>
    <definedName name="_xlnm._FilterDatabase" localSheetId="2" hidden="1">internal_cansku_inventory!$A$1:$E$327</definedName>
    <definedName name="_xlnm._FilterDatabase" localSheetId="9" hidden="1">planned_shipment!$B$1:$AH$16</definedName>
    <definedName name="_xlnm._FilterDatabase" localSheetId="1" hidden="1">productGTIN_internalSKU!$A$1:$H$51</definedName>
    <definedName name="_xlnm._FilterDatabase" localSheetId="3" hidden="1">Sheet1!$AA$1:$AH$23</definedName>
    <definedName name="_xlcn.WorksheetConnection_ApothecaryMasterProductControl.xlsxTable2" hidden="1">#REF!</definedName>
  </definedNames>
  <calcPr calcId="191029"/>
  <pivotCaches>
    <pivotCache cacheId="0" r:id="rId16"/>
    <pivotCache cacheId="1" r:id="rId17"/>
    <pivotCache cacheId="2" r:id="rId18"/>
    <pivotCache cacheId="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82" i="15" l="1"/>
  <c r="Q982" i="15"/>
  <c r="G982" i="15"/>
  <c r="C982" i="15"/>
  <c r="Y2407" i="19"/>
  <c r="AF2407" i="19"/>
  <c r="AE2407" i="19"/>
  <c r="J2407" i="19"/>
  <c r="L2407" i="19"/>
  <c r="AA2407" i="19" a="1"/>
  <c r="AA2407" i="19" s="1"/>
  <c r="X2407" i="19" s="1"/>
  <c r="N2407" i="19"/>
  <c r="W2407" i="19"/>
  <c r="AD2407" i="19"/>
  <c r="S2372" i="19"/>
  <c r="U2370" i="19"/>
  <c r="U2372" i="19"/>
  <c r="AC2371" i="19"/>
  <c r="AD2371" i="19" s="1"/>
  <c r="AG2371" i="19"/>
  <c r="AH2371" i="19"/>
  <c r="AJ2371" i="19" s="1"/>
  <c r="S2371" i="19"/>
  <c r="V2371" i="19"/>
  <c r="W2371" i="19" s="1"/>
  <c r="Y2371" i="19"/>
  <c r="AA2371" i="19" a="1"/>
  <c r="AA2371" i="19" s="1"/>
  <c r="X2371" i="19" s="1"/>
  <c r="L2371" i="19"/>
  <c r="J2371" i="19"/>
  <c r="F2371" i="19" s="1"/>
  <c r="N2371" i="19"/>
  <c r="AF2371" i="19" l="1"/>
  <c r="AE2371" i="19"/>
  <c r="AK2371" i="19" a="1"/>
  <c r="AK2371" i="19" s="1"/>
  <c r="S2404" i="19" l="1"/>
  <c r="S2405" i="19"/>
  <c r="S2409" i="19" l="1"/>
  <c r="J2400" i="19"/>
  <c r="AD2400" i="19"/>
  <c r="J2293" i="19" l="1"/>
  <c r="J2292" i="19"/>
  <c r="J2291" i="19"/>
  <c r="J2289" i="19"/>
  <c r="J2290" i="19"/>
  <c r="J2390" i="19"/>
  <c r="J2288" i="19"/>
  <c r="J2287" i="19"/>
  <c r="U2261" i="19"/>
  <c r="J2376" i="19" l="1"/>
  <c r="L2376" i="19"/>
  <c r="J2377" i="19"/>
  <c r="L2377" i="19"/>
  <c r="J2378" i="19"/>
  <c r="L2378" i="19"/>
  <c r="J2379" i="19"/>
  <c r="L2379" i="19"/>
  <c r="J2380" i="19"/>
  <c r="L2380" i="19"/>
  <c r="J2381" i="19"/>
  <c r="L2381" i="19"/>
  <c r="J2382" i="19"/>
  <c r="L2382" i="19"/>
  <c r="J2383" i="19"/>
  <c r="L2383" i="19"/>
  <c r="J2384" i="19"/>
  <c r="L2384" i="19"/>
  <c r="J2385" i="19"/>
  <c r="L2385" i="19"/>
  <c r="J2386" i="19"/>
  <c r="L2386" i="19"/>
  <c r="J2387" i="19"/>
  <c r="L2387" i="19"/>
  <c r="J2388" i="19"/>
  <c r="L2388" i="19"/>
  <c r="J2389" i="19"/>
  <c r="L2389" i="19"/>
  <c r="J2294" i="19"/>
  <c r="L2294" i="19"/>
  <c r="L2293" i="19"/>
  <c r="L2292" i="19"/>
  <c r="L2291" i="19"/>
  <c r="L2289" i="19"/>
  <c r="L2290" i="19"/>
  <c r="AF2333" i="19"/>
  <c r="AE2333" i="19"/>
  <c r="AD2333" i="19"/>
  <c r="AF2332" i="19"/>
  <c r="AE2332" i="19"/>
  <c r="AD2332" i="19"/>
  <c r="AF2331" i="19"/>
  <c r="AE2331" i="19"/>
  <c r="AD2331" i="19"/>
  <c r="AF2330" i="19"/>
  <c r="AE2330" i="19"/>
  <c r="AD2330" i="19"/>
  <c r="AF2329" i="19"/>
  <c r="AE2329" i="19"/>
  <c r="AD2329" i="19"/>
  <c r="AF2328" i="19"/>
  <c r="AE2328" i="19"/>
  <c r="AD2328" i="19"/>
  <c r="AF2327" i="19"/>
  <c r="AE2327" i="19"/>
  <c r="AD2327" i="19"/>
  <c r="AF2326" i="19"/>
  <c r="AE2326" i="19"/>
  <c r="AD2326" i="19"/>
  <c r="AF2325" i="19"/>
  <c r="AE2325" i="19"/>
  <c r="AD2325" i="19"/>
  <c r="AF2324" i="19"/>
  <c r="AE2324" i="19"/>
  <c r="AD2324" i="19"/>
  <c r="AF2323" i="19"/>
  <c r="AE2323" i="19"/>
  <c r="AD2323" i="19"/>
  <c r="AF2322" i="19"/>
  <c r="AE2322" i="19"/>
  <c r="AD2322" i="19"/>
  <c r="AF2321" i="19"/>
  <c r="AE2321" i="19"/>
  <c r="AD2321" i="19"/>
  <c r="AF2320" i="19"/>
  <c r="AE2320" i="19"/>
  <c r="AD2320" i="19"/>
  <c r="AF2319" i="19"/>
  <c r="AE2319" i="19"/>
  <c r="AD2319" i="19"/>
  <c r="AF2318" i="19"/>
  <c r="AE2318" i="19"/>
  <c r="AD2318" i="19"/>
  <c r="AF2317" i="19"/>
  <c r="AE2317" i="19"/>
  <c r="AD2317" i="19"/>
  <c r="AF2316" i="19"/>
  <c r="AE2316" i="19"/>
  <c r="AD2316" i="19"/>
  <c r="AF2315" i="19"/>
  <c r="AE2315" i="19"/>
  <c r="AD2315" i="19"/>
  <c r="AF2314" i="19"/>
  <c r="AE2314" i="19"/>
  <c r="AD2314" i="19"/>
  <c r="S2312" i="19"/>
  <c r="S2311" i="19"/>
  <c r="S2310" i="19"/>
  <c r="S2308" i="19"/>
  <c r="S2307" i="19"/>
  <c r="U2260" i="19"/>
  <c r="U2259" i="19"/>
  <c r="J2259" i="19"/>
  <c r="J2260" i="19"/>
  <c r="J2335" i="19"/>
  <c r="J2307" i="19"/>
  <c r="J2308" i="19"/>
  <c r="F2308" i="19" s="1"/>
  <c r="J2309" i="19"/>
  <c r="F2309" i="19" s="1"/>
  <c r="J2310" i="19"/>
  <c r="F2310" i="19" s="1"/>
  <c r="J2311" i="19"/>
  <c r="F2311" i="19" s="1"/>
  <c r="S2305" i="19"/>
  <c r="S2306" i="19"/>
  <c r="S2302" i="19"/>
  <c r="S2304" i="19"/>
  <c r="S2301" i="19"/>
  <c r="S2300" i="19"/>
  <c r="Y2257" i="19"/>
  <c r="S2296" i="19"/>
  <c r="S2286" i="19"/>
  <c r="S2284" i="19"/>
  <c r="S2297" i="19"/>
  <c r="S2295" i="19"/>
  <c r="S2285" i="19"/>
  <c r="AF2298" i="19"/>
  <c r="AE2298" i="19"/>
  <c r="AD2298" i="19"/>
  <c r="Y2298" i="19"/>
  <c r="V2298" i="19"/>
  <c r="W2298" i="19" s="1"/>
  <c r="S2298" i="19"/>
  <c r="AA2298" i="19" a="1"/>
  <c r="AA2298" i="19" s="1"/>
  <c r="X2298" i="19" s="1"/>
  <c r="N2298" i="19"/>
  <c r="L2298" i="19"/>
  <c r="J2298" i="19"/>
  <c r="F2298" i="19" s="1"/>
  <c r="J2300" i="19"/>
  <c r="F2300" i="19" s="1"/>
  <c r="L2300" i="19"/>
  <c r="J2301" i="19"/>
  <c r="F2301" i="19" s="1"/>
  <c r="L2301" i="19"/>
  <c r="J2302" i="19"/>
  <c r="F2302" i="19" s="1"/>
  <c r="L2302" i="19"/>
  <c r="J2303" i="19"/>
  <c r="F2303" i="19" s="1"/>
  <c r="L2303" i="19"/>
  <c r="J2304" i="19"/>
  <c r="F2304" i="19" s="1"/>
  <c r="L2304" i="19"/>
  <c r="S2257" i="19"/>
  <c r="S2256" i="19"/>
  <c r="S2258" i="19"/>
  <c r="AD2275" i="19"/>
  <c r="AE2275" i="19"/>
  <c r="AF2275" i="19"/>
  <c r="AD2276" i="19"/>
  <c r="AE2276" i="19"/>
  <c r="AF2276" i="19"/>
  <c r="AD2277" i="19"/>
  <c r="AE2277" i="19"/>
  <c r="AF2277" i="19"/>
  <c r="AD2278" i="19"/>
  <c r="AE2278" i="19"/>
  <c r="AF2278" i="19"/>
  <c r="AD2279" i="19"/>
  <c r="AE2279" i="19"/>
  <c r="AF2279" i="19"/>
  <c r="AD2280" i="19"/>
  <c r="AE2280" i="19"/>
  <c r="AF2280" i="19"/>
  <c r="AD2281" i="19"/>
  <c r="AE2281" i="19"/>
  <c r="AF2281" i="19"/>
  <c r="AD2282" i="19"/>
  <c r="AE2282" i="19"/>
  <c r="AF2282" i="19"/>
  <c r="AD2283" i="19"/>
  <c r="AE2283" i="19"/>
  <c r="AF2283" i="19"/>
  <c r="S2280" i="19"/>
  <c r="S2279" i="19"/>
  <c r="S2281" i="19"/>
  <c r="S2282" i="19"/>
  <c r="S2283" i="19"/>
  <c r="S2277" i="19" l="1"/>
  <c r="S2278" i="19"/>
  <c r="L2277" i="19"/>
  <c r="J2277" i="19"/>
  <c r="F2277" i="19" s="1"/>
  <c r="Y2277" i="19"/>
  <c r="V2277" i="19"/>
  <c r="W2277" i="19" s="1"/>
  <c r="AA2277" i="19" a="1"/>
  <c r="AA2277" i="19" s="1"/>
  <c r="X2277" i="19" s="1"/>
  <c r="S2276" i="19"/>
  <c r="N2277" i="19"/>
  <c r="S2275" i="19"/>
  <c r="S2274" i="19"/>
  <c r="U981" i="15"/>
  <c r="Q981" i="15"/>
  <c r="G981" i="15"/>
  <c r="C981" i="15"/>
  <c r="U980" i="15"/>
  <c r="Q980" i="15"/>
  <c r="G980" i="15"/>
  <c r="C980" i="15"/>
  <c r="J2224" i="19"/>
  <c r="N2224" i="19"/>
  <c r="AA2224" i="19" a="1"/>
  <c r="AA2224" i="19" s="1"/>
  <c r="X2224" i="19" s="1"/>
  <c r="S2224" i="19"/>
  <c r="Y2224" i="19"/>
  <c r="AC2224" i="19"/>
  <c r="AE2224" i="19" s="1"/>
  <c r="AG2224" i="19"/>
  <c r="J2258" i="19"/>
  <c r="F2258" i="19" s="1"/>
  <c r="L2258" i="19"/>
  <c r="N2258" i="19"/>
  <c r="AA2258" i="19" a="1"/>
  <c r="AA2258" i="19" s="1"/>
  <c r="X2258" i="19" s="1"/>
  <c r="V2258" i="19"/>
  <c r="W2258" i="19" s="1"/>
  <c r="Y2258" i="19"/>
  <c r="AD2258" i="19"/>
  <c r="AG2258" i="19"/>
  <c r="AH2258" i="19"/>
  <c r="AJ2258" i="19" s="1"/>
  <c r="U979" i="15"/>
  <c r="Q979" i="15"/>
  <c r="G979" i="15"/>
  <c r="C979" i="15"/>
  <c r="J2370" i="19"/>
  <c r="F2370" i="19" s="1"/>
  <c r="L2370" i="19"/>
  <c r="N2370" i="19"/>
  <c r="AA2370" i="19" a="1"/>
  <c r="AA2370" i="19" s="1"/>
  <c r="X2370" i="19" s="1"/>
  <c r="S2370" i="19"/>
  <c r="V2370" i="19"/>
  <c r="W2370" i="19" s="1"/>
  <c r="Y2370" i="19"/>
  <c r="AC2370" i="19"/>
  <c r="AD2370" i="19" s="1"/>
  <c r="AG2370" i="19"/>
  <c r="AH2370" i="19"/>
  <c r="AJ2370" i="19" s="1"/>
  <c r="S2247" i="19"/>
  <c r="S2250" i="19"/>
  <c r="S2249" i="19"/>
  <c r="S2248" i="19"/>
  <c r="U2337" i="19"/>
  <c r="U2336" i="19"/>
  <c r="S2373" i="19"/>
  <c r="U978" i="15"/>
  <c r="Q978" i="15"/>
  <c r="C978" i="15"/>
  <c r="J2372" i="19"/>
  <c r="F2372" i="19" s="1"/>
  <c r="L2372" i="19"/>
  <c r="AA2372" i="19" a="1"/>
  <c r="AA2372" i="19" s="1"/>
  <c r="X2372" i="19" s="1"/>
  <c r="V2372" i="19"/>
  <c r="W2372" i="19" s="1"/>
  <c r="Y2372" i="19"/>
  <c r="AC2372" i="19"/>
  <c r="AD2372" i="19" s="1"/>
  <c r="AG2372" i="19"/>
  <c r="AH2372" i="19"/>
  <c r="AJ2372" i="19" s="1"/>
  <c r="K222" i="24"/>
  <c r="L222" i="24" s="1"/>
  <c r="K221" i="24"/>
  <c r="L221" i="24" s="1"/>
  <c r="K220" i="24"/>
  <c r="L220" i="24" s="1"/>
  <c r="K219" i="24"/>
  <c r="L219" i="24" s="1"/>
  <c r="K218" i="24"/>
  <c r="L218" i="24" s="1"/>
  <c r="K217" i="24"/>
  <c r="L217" i="24" s="1"/>
  <c r="K216" i="24"/>
  <c r="L216" i="24" s="1"/>
  <c r="K215" i="24"/>
  <c r="L215" i="24" s="1"/>
  <c r="K214" i="24"/>
  <c r="L214" i="24" s="1"/>
  <c r="K213" i="24"/>
  <c r="L213" i="24" s="1"/>
  <c r="K212" i="24"/>
  <c r="L212" i="24" s="1"/>
  <c r="K211" i="24"/>
  <c r="L211" i="24" s="1"/>
  <c r="K210" i="24"/>
  <c r="L210" i="24" s="1"/>
  <c r="K209" i="24"/>
  <c r="L209" i="24" s="1"/>
  <c r="K208" i="24"/>
  <c r="L208" i="24" s="1"/>
  <c r="K207" i="24"/>
  <c r="L207" i="24" s="1"/>
  <c r="K206" i="24"/>
  <c r="L206" i="24" s="1"/>
  <c r="K205" i="24"/>
  <c r="L205" i="24" s="1"/>
  <c r="K204" i="24"/>
  <c r="L204" i="24" s="1"/>
  <c r="K203" i="24"/>
  <c r="L203" i="24" s="1"/>
  <c r="K202" i="24"/>
  <c r="L202" i="24" s="1"/>
  <c r="K201" i="24"/>
  <c r="L201" i="24" s="1"/>
  <c r="K200" i="24"/>
  <c r="L200" i="24" s="1"/>
  <c r="K199" i="24"/>
  <c r="L199" i="24" s="1"/>
  <c r="K198" i="24"/>
  <c r="L198" i="24" s="1"/>
  <c r="K197" i="24"/>
  <c r="L197" i="24" s="1"/>
  <c r="K196" i="24"/>
  <c r="L196" i="24" s="1"/>
  <c r="K195" i="24"/>
  <c r="L195" i="24" s="1"/>
  <c r="K194" i="24"/>
  <c r="L194" i="24" s="1"/>
  <c r="K193" i="24"/>
  <c r="L193" i="24" s="1"/>
  <c r="K192" i="24"/>
  <c r="L192" i="24" s="1"/>
  <c r="K191" i="24"/>
  <c r="L191" i="24" s="1"/>
  <c r="K190" i="24"/>
  <c r="L190" i="24" s="1"/>
  <c r="K189" i="24"/>
  <c r="L189" i="24" s="1"/>
  <c r="K188" i="24"/>
  <c r="L188" i="24" s="1"/>
  <c r="K187" i="24"/>
  <c r="L187" i="24" s="1"/>
  <c r="K186" i="24"/>
  <c r="L186" i="24" s="1"/>
  <c r="K185" i="24"/>
  <c r="L185" i="24" s="1"/>
  <c r="K184" i="24"/>
  <c r="L184" i="24" s="1"/>
  <c r="K183" i="24"/>
  <c r="L183" i="24" s="1"/>
  <c r="K182" i="24"/>
  <c r="L182" i="24" s="1"/>
  <c r="K181" i="24"/>
  <c r="L181" i="24" s="1"/>
  <c r="K180" i="24"/>
  <c r="L180" i="24" s="1"/>
  <c r="K179" i="24"/>
  <c r="L179" i="24" s="1"/>
  <c r="K178" i="24"/>
  <c r="L178" i="24" s="1"/>
  <c r="K177" i="24"/>
  <c r="L177" i="24" s="1"/>
  <c r="K176" i="24"/>
  <c r="L176" i="24" s="1"/>
  <c r="K175" i="24"/>
  <c r="L175" i="24" s="1"/>
  <c r="K174" i="24"/>
  <c r="L174" i="24" s="1"/>
  <c r="K173" i="24"/>
  <c r="L173" i="24" s="1"/>
  <c r="K172" i="24"/>
  <c r="L172" i="24" s="1"/>
  <c r="K171" i="24"/>
  <c r="L171" i="24" s="1"/>
  <c r="K170" i="24"/>
  <c r="L170" i="24" s="1"/>
  <c r="K169" i="24"/>
  <c r="L169" i="24" s="1"/>
  <c r="K168" i="24"/>
  <c r="L168" i="24" s="1"/>
  <c r="K167" i="24"/>
  <c r="L167" i="24" s="1"/>
  <c r="K166" i="24"/>
  <c r="L166" i="24" s="1"/>
  <c r="K165" i="24"/>
  <c r="L165" i="24" s="1"/>
  <c r="K164" i="24"/>
  <c r="L164" i="24" s="1"/>
  <c r="K163" i="24"/>
  <c r="L163" i="24" s="1"/>
  <c r="K162" i="24"/>
  <c r="L162" i="24" s="1"/>
  <c r="K161" i="24"/>
  <c r="L161" i="24" s="1"/>
  <c r="K160" i="24"/>
  <c r="L160" i="24" s="1"/>
  <c r="K159" i="24"/>
  <c r="L159" i="24" s="1"/>
  <c r="K158" i="24"/>
  <c r="L158" i="24" s="1"/>
  <c r="K157" i="24"/>
  <c r="L157" i="24" s="1"/>
  <c r="K156" i="24"/>
  <c r="L156" i="24" s="1"/>
  <c r="K155" i="24"/>
  <c r="L155" i="24" s="1"/>
  <c r="K154" i="24"/>
  <c r="L154" i="24" s="1"/>
  <c r="K153" i="24"/>
  <c r="L153" i="24" s="1"/>
  <c r="K152" i="24"/>
  <c r="L152" i="24" s="1"/>
  <c r="K151" i="24"/>
  <c r="L151" i="24" s="1"/>
  <c r="K150" i="24"/>
  <c r="L150" i="24" s="1"/>
  <c r="K149" i="24"/>
  <c r="L149" i="24" s="1"/>
  <c r="K148" i="24"/>
  <c r="L148" i="24" s="1"/>
  <c r="K147" i="24"/>
  <c r="L147" i="24" s="1"/>
  <c r="K146" i="24"/>
  <c r="L146" i="24" s="1"/>
  <c r="K145" i="24"/>
  <c r="L145" i="24" s="1"/>
  <c r="K144" i="24"/>
  <c r="L144" i="24" s="1"/>
  <c r="K143" i="24"/>
  <c r="L143" i="24" s="1"/>
  <c r="K142" i="24"/>
  <c r="L142" i="24" s="1"/>
  <c r="K141" i="24"/>
  <c r="L141" i="24" s="1"/>
  <c r="K140" i="24"/>
  <c r="L140" i="24" s="1"/>
  <c r="K139" i="24"/>
  <c r="L139" i="24" s="1"/>
  <c r="K138" i="24"/>
  <c r="L138" i="24" s="1"/>
  <c r="K137" i="24"/>
  <c r="L137" i="24" s="1"/>
  <c r="K136" i="24"/>
  <c r="L136" i="24" s="1"/>
  <c r="K135" i="24"/>
  <c r="L135" i="24" s="1"/>
  <c r="K134" i="24"/>
  <c r="L134" i="24" s="1"/>
  <c r="K133" i="24"/>
  <c r="L133" i="24" s="1"/>
  <c r="K132" i="24"/>
  <c r="L132" i="24" s="1"/>
  <c r="K131" i="24"/>
  <c r="L131" i="24" s="1"/>
  <c r="K130" i="24"/>
  <c r="L130" i="24" s="1"/>
  <c r="K129" i="24"/>
  <c r="L129" i="24" s="1"/>
  <c r="K128" i="24"/>
  <c r="L128" i="24" s="1"/>
  <c r="K127" i="24"/>
  <c r="L127" i="24" s="1"/>
  <c r="K126" i="24"/>
  <c r="L126" i="24" s="1"/>
  <c r="K125" i="24"/>
  <c r="L125" i="24" s="1"/>
  <c r="K124" i="24"/>
  <c r="L124" i="24" s="1"/>
  <c r="K123" i="24"/>
  <c r="L123" i="24" s="1"/>
  <c r="K122" i="24"/>
  <c r="L122" i="24" s="1"/>
  <c r="K121" i="24"/>
  <c r="L121" i="24" s="1"/>
  <c r="K120" i="24"/>
  <c r="L120" i="24" s="1"/>
  <c r="K119" i="24"/>
  <c r="L119" i="24" s="1"/>
  <c r="K118" i="24"/>
  <c r="L118" i="24" s="1"/>
  <c r="K117" i="24"/>
  <c r="L117" i="24" s="1"/>
  <c r="K116" i="24"/>
  <c r="L116" i="24" s="1"/>
  <c r="K115" i="24"/>
  <c r="L115" i="24" s="1"/>
  <c r="K114" i="24"/>
  <c r="L114" i="24" s="1"/>
  <c r="K113" i="24"/>
  <c r="L113" i="24" s="1"/>
  <c r="K112" i="24"/>
  <c r="L112" i="24" s="1"/>
  <c r="K111" i="24"/>
  <c r="L111" i="24" s="1"/>
  <c r="K110" i="24"/>
  <c r="L110" i="24" s="1"/>
  <c r="K109" i="24"/>
  <c r="L109" i="24" s="1"/>
  <c r="K108" i="24"/>
  <c r="L108" i="24" s="1"/>
  <c r="K107" i="24"/>
  <c r="L107" i="24" s="1"/>
  <c r="K106" i="24"/>
  <c r="L106" i="24" s="1"/>
  <c r="K105" i="24"/>
  <c r="L105" i="24" s="1"/>
  <c r="K104" i="24"/>
  <c r="L104" i="24" s="1"/>
  <c r="K103" i="24"/>
  <c r="L103" i="24" s="1"/>
  <c r="K102" i="24"/>
  <c r="L102" i="24" s="1"/>
  <c r="K101" i="24"/>
  <c r="L101" i="24" s="1"/>
  <c r="K100" i="24"/>
  <c r="L100" i="24" s="1"/>
  <c r="K99" i="24"/>
  <c r="L99" i="24" s="1"/>
  <c r="K98" i="24"/>
  <c r="L98" i="24" s="1"/>
  <c r="K97" i="24"/>
  <c r="L97" i="24" s="1"/>
  <c r="K96" i="24"/>
  <c r="L96" i="24" s="1"/>
  <c r="K95" i="24"/>
  <c r="L95" i="24" s="1"/>
  <c r="K94" i="24"/>
  <c r="L94" i="24" s="1"/>
  <c r="K93" i="24"/>
  <c r="L93" i="24" s="1"/>
  <c r="K92" i="24"/>
  <c r="L92" i="24" s="1"/>
  <c r="K91" i="24"/>
  <c r="L91" i="24" s="1"/>
  <c r="K90" i="24"/>
  <c r="L90" i="24" s="1"/>
  <c r="K89" i="24"/>
  <c r="L89" i="24" s="1"/>
  <c r="K88" i="24"/>
  <c r="L88" i="24" s="1"/>
  <c r="K87" i="24"/>
  <c r="L87" i="24" s="1"/>
  <c r="K86" i="24"/>
  <c r="L86" i="24" s="1"/>
  <c r="K85" i="24"/>
  <c r="L85" i="24" s="1"/>
  <c r="K84" i="24"/>
  <c r="L84" i="24" s="1"/>
  <c r="K83" i="24"/>
  <c r="L83" i="24" s="1"/>
  <c r="K82" i="24"/>
  <c r="L82" i="24" s="1"/>
  <c r="K81" i="24"/>
  <c r="L81" i="24" s="1"/>
  <c r="K80" i="24"/>
  <c r="L80" i="24" s="1"/>
  <c r="K79" i="24"/>
  <c r="L79" i="24" s="1"/>
  <c r="K78" i="24"/>
  <c r="L78" i="24" s="1"/>
  <c r="K77" i="24"/>
  <c r="L77" i="24" s="1"/>
  <c r="K76" i="24"/>
  <c r="L76" i="24" s="1"/>
  <c r="K75" i="24"/>
  <c r="L75" i="24" s="1"/>
  <c r="K74" i="24"/>
  <c r="L74" i="24" s="1"/>
  <c r="K73" i="24"/>
  <c r="L73" i="24" s="1"/>
  <c r="K72" i="24"/>
  <c r="L72" i="24" s="1"/>
  <c r="K71" i="24"/>
  <c r="L71" i="24" s="1"/>
  <c r="K70" i="24"/>
  <c r="L70" i="24" s="1"/>
  <c r="K69" i="24"/>
  <c r="L69" i="24" s="1"/>
  <c r="K68" i="24"/>
  <c r="L68" i="24" s="1"/>
  <c r="K67" i="24"/>
  <c r="L67" i="24" s="1"/>
  <c r="K66" i="24"/>
  <c r="L66" i="24" s="1"/>
  <c r="K65" i="24"/>
  <c r="L65" i="24" s="1"/>
  <c r="K64" i="24"/>
  <c r="L64" i="24" s="1"/>
  <c r="K63" i="24"/>
  <c r="L63" i="24" s="1"/>
  <c r="K62" i="24"/>
  <c r="L62" i="24" s="1"/>
  <c r="K61" i="24"/>
  <c r="L61" i="24" s="1"/>
  <c r="K60" i="24"/>
  <c r="L60" i="24" s="1"/>
  <c r="K59" i="24"/>
  <c r="L59" i="24" s="1"/>
  <c r="K58" i="24"/>
  <c r="L58" i="24" s="1"/>
  <c r="K57" i="24"/>
  <c r="L57" i="24" s="1"/>
  <c r="K56" i="24"/>
  <c r="L56" i="24" s="1"/>
  <c r="K55" i="24"/>
  <c r="L55" i="24" s="1"/>
  <c r="K54" i="24"/>
  <c r="L54" i="24" s="1"/>
  <c r="K53" i="24"/>
  <c r="L53" i="24" s="1"/>
  <c r="K52" i="24"/>
  <c r="L52" i="24" s="1"/>
  <c r="K51" i="24"/>
  <c r="L51" i="24" s="1"/>
  <c r="K50" i="24"/>
  <c r="L50" i="24" s="1"/>
  <c r="K49" i="24"/>
  <c r="L49" i="24" s="1"/>
  <c r="K48" i="24"/>
  <c r="L48" i="24" s="1"/>
  <c r="K47" i="24"/>
  <c r="L47" i="24" s="1"/>
  <c r="K46" i="24"/>
  <c r="L46" i="24" s="1"/>
  <c r="K45" i="24"/>
  <c r="L45" i="24" s="1"/>
  <c r="K44" i="24"/>
  <c r="L44" i="24" s="1"/>
  <c r="K43" i="24"/>
  <c r="L43" i="24" s="1"/>
  <c r="K42" i="24"/>
  <c r="L42" i="24" s="1"/>
  <c r="K41" i="24"/>
  <c r="L41" i="24" s="1"/>
  <c r="K40" i="24"/>
  <c r="L40" i="24" s="1"/>
  <c r="K39" i="24"/>
  <c r="L39" i="24" s="1"/>
  <c r="K38" i="24"/>
  <c r="L38" i="24" s="1"/>
  <c r="K37" i="24"/>
  <c r="L37" i="24" s="1"/>
  <c r="K36" i="24"/>
  <c r="L36" i="24" s="1"/>
  <c r="K35" i="24"/>
  <c r="L35" i="24" s="1"/>
  <c r="K34" i="24"/>
  <c r="L34" i="24" s="1"/>
  <c r="K33" i="24"/>
  <c r="L33" i="24" s="1"/>
  <c r="K32" i="24"/>
  <c r="L32" i="24" s="1"/>
  <c r="K31" i="24"/>
  <c r="L31" i="24" s="1"/>
  <c r="K30" i="24"/>
  <c r="L30" i="24" s="1"/>
  <c r="K29" i="24"/>
  <c r="L29" i="24" s="1"/>
  <c r="K28" i="24"/>
  <c r="L28" i="24" s="1"/>
  <c r="K27" i="24"/>
  <c r="L27" i="24" s="1"/>
  <c r="K26" i="24"/>
  <c r="L26" i="24" s="1"/>
  <c r="K25" i="24"/>
  <c r="L25" i="24" s="1"/>
  <c r="K24" i="24"/>
  <c r="L24" i="24" s="1"/>
  <c r="K23" i="24"/>
  <c r="L23" i="24" s="1"/>
  <c r="K22" i="24"/>
  <c r="L22" i="24" s="1"/>
  <c r="K21" i="24"/>
  <c r="L21" i="24" s="1"/>
  <c r="K20" i="24"/>
  <c r="L20" i="24" s="1"/>
  <c r="K19" i="24"/>
  <c r="L19" i="24" s="1"/>
  <c r="K18" i="24"/>
  <c r="L18" i="24" s="1"/>
  <c r="K17" i="24"/>
  <c r="L17" i="24" s="1"/>
  <c r="K16" i="24"/>
  <c r="L16" i="24" s="1"/>
  <c r="K15" i="24"/>
  <c r="L15" i="24" s="1"/>
  <c r="K14" i="24"/>
  <c r="L14" i="24" s="1"/>
  <c r="K13" i="24"/>
  <c r="L13" i="24" s="1"/>
  <c r="K12" i="24"/>
  <c r="L12" i="24" s="1"/>
  <c r="K11" i="24"/>
  <c r="L11" i="24" s="1"/>
  <c r="K10" i="24"/>
  <c r="L10" i="24" s="1"/>
  <c r="K9" i="24"/>
  <c r="L9" i="24" s="1"/>
  <c r="K8" i="24"/>
  <c r="L8" i="24" s="1"/>
  <c r="K7" i="24"/>
  <c r="L7" i="24" s="1"/>
  <c r="K6" i="24"/>
  <c r="L6" i="24" s="1"/>
  <c r="K5" i="24"/>
  <c r="L5" i="24" s="1"/>
  <c r="K4" i="24"/>
  <c r="L4" i="24" s="1"/>
  <c r="K447" i="20"/>
  <c r="K448" i="20"/>
  <c r="K449" i="20"/>
  <c r="K450" i="20"/>
  <c r="K451" i="20"/>
  <c r="K452" i="20"/>
  <c r="K453" i="20"/>
  <c r="K454" i="20"/>
  <c r="K455" i="20"/>
  <c r="K456" i="20"/>
  <c r="S2243" i="19"/>
  <c r="S2242" i="19"/>
  <c r="S2241" i="19"/>
  <c r="S2240" i="19"/>
  <c r="AF2243" i="19"/>
  <c r="AE2243" i="19"/>
  <c r="AD2243" i="19"/>
  <c r="AF2242" i="19"/>
  <c r="AE2242" i="19"/>
  <c r="AD2242" i="19"/>
  <c r="AF2241" i="19"/>
  <c r="AE2241" i="19"/>
  <c r="AD2241" i="19"/>
  <c r="AF2240" i="19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F2464" i="16"/>
  <c r="F2465" i="16"/>
  <c r="F2466" i="16"/>
  <c r="F2467" i="16"/>
  <c r="F2468" i="16"/>
  <c r="F2469" i="16"/>
  <c r="F2470" i="16"/>
  <c r="F2471" i="16"/>
  <c r="F2472" i="16"/>
  <c r="F2473" i="16"/>
  <c r="F2474" i="16"/>
  <c r="F2475" i="16"/>
  <c r="F2476" i="16"/>
  <c r="F2477" i="16"/>
  <c r="F2478" i="16"/>
  <c r="F2479" i="16"/>
  <c r="F2480" i="16"/>
  <c r="F2481" i="16"/>
  <c r="F2482" i="16"/>
  <c r="F2483" i="16"/>
  <c r="F2484" i="16"/>
  <c r="F2485" i="16"/>
  <c r="F2486" i="16"/>
  <c r="F2487" i="16"/>
  <c r="F2488" i="16"/>
  <c r="F2489" i="16"/>
  <c r="F2490" i="16"/>
  <c r="F2491" i="16"/>
  <c r="F2492" i="16"/>
  <c r="F2493" i="16"/>
  <c r="H2464" i="16"/>
  <c r="N2464" i="16"/>
  <c r="K2464" i="16" s="1"/>
  <c r="H2465" i="16"/>
  <c r="N2465" i="16"/>
  <c r="O2465" i="16" s="1"/>
  <c r="L2465" i="16" s="1"/>
  <c r="H2466" i="16"/>
  <c r="N2466" i="16"/>
  <c r="K2466" i="16" s="1"/>
  <c r="H2467" i="16"/>
  <c r="N2467" i="16"/>
  <c r="O2467" i="16" s="1"/>
  <c r="L2467" i="16" s="1"/>
  <c r="H2468" i="16"/>
  <c r="N2468" i="16"/>
  <c r="K2468" i="16" s="1"/>
  <c r="H2469" i="16"/>
  <c r="N2469" i="16"/>
  <c r="O2469" i="16" s="1"/>
  <c r="L2469" i="16" s="1"/>
  <c r="H2470" i="16"/>
  <c r="N2470" i="16"/>
  <c r="K2470" i="16" s="1"/>
  <c r="H2471" i="16"/>
  <c r="N2471" i="16"/>
  <c r="K2471" i="16" s="1"/>
  <c r="H2472" i="16"/>
  <c r="N2472" i="16"/>
  <c r="O2472" i="16" s="1"/>
  <c r="L2472" i="16" s="1"/>
  <c r="H2473" i="16"/>
  <c r="N2473" i="16"/>
  <c r="O2473" i="16" s="1"/>
  <c r="L2473" i="16" s="1"/>
  <c r="H2474" i="16"/>
  <c r="N2474" i="16"/>
  <c r="K2474" i="16" s="1"/>
  <c r="H2475" i="16"/>
  <c r="N2475" i="16"/>
  <c r="O2475" i="16" s="1"/>
  <c r="L2475" i="16" s="1"/>
  <c r="H2476" i="16"/>
  <c r="N2476" i="16"/>
  <c r="O2476" i="16" s="1"/>
  <c r="L2476" i="16" s="1"/>
  <c r="A2476" i="16" s="1"/>
  <c r="H2477" i="16"/>
  <c r="N2477" i="16"/>
  <c r="O2477" i="16" s="1"/>
  <c r="L2477" i="16" s="1"/>
  <c r="H2478" i="16"/>
  <c r="N2478" i="16"/>
  <c r="K2478" i="16" s="1"/>
  <c r="H2479" i="16"/>
  <c r="N2479" i="16"/>
  <c r="K2479" i="16" s="1"/>
  <c r="H2480" i="16"/>
  <c r="N2480" i="16"/>
  <c r="O2480" i="16" s="1"/>
  <c r="L2480" i="16" s="1"/>
  <c r="A2480" i="16" s="1"/>
  <c r="H2481" i="16"/>
  <c r="N2481" i="16"/>
  <c r="O2481" i="16" s="1"/>
  <c r="L2481" i="16" s="1"/>
  <c r="H2482" i="16"/>
  <c r="N2482" i="16"/>
  <c r="K2482" i="16" s="1"/>
  <c r="H2483" i="16"/>
  <c r="N2483" i="16"/>
  <c r="O2483" i="16" s="1"/>
  <c r="L2483" i="16" s="1"/>
  <c r="H2484" i="16"/>
  <c r="N2484" i="16"/>
  <c r="K2484" i="16" s="1"/>
  <c r="H2485" i="16"/>
  <c r="N2485" i="16"/>
  <c r="O2485" i="16" s="1"/>
  <c r="L2485" i="16" s="1"/>
  <c r="H2486" i="16"/>
  <c r="N2486" i="16"/>
  <c r="K2486" i="16" s="1"/>
  <c r="H2487" i="16"/>
  <c r="N2487" i="16"/>
  <c r="K2487" i="16" s="1"/>
  <c r="H2488" i="16"/>
  <c r="N2488" i="16"/>
  <c r="O2488" i="16" s="1"/>
  <c r="L2488" i="16" s="1"/>
  <c r="A2488" i="16" s="1"/>
  <c r="H2489" i="16"/>
  <c r="N2489" i="16"/>
  <c r="O2489" i="16" s="1"/>
  <c r="L2489" i="16" s="1"/>
  <c r="H2490" i="16"/>
  <c r="N2490" i="16"/>
  <c r="K2490" i="16" s="1"/>
  <c r="H2491" i="16"/>
  <c r="N2491" i="16"/>
  <c r="O2491" i="16" s="1"/>
  <c r="L2491" i="16" s="1"/>
  <c r="H2492" i="16"/>
  <c r="N2492" i="16"/>
  <c r="K2492" i="16" s="1"/>
  <c r="H2493" i="16"/>
  <c r="N2493" i="16"/>
  <c r="O2493" i="16" s="1"/>
  <c r="L2493" i="16" s="1"/>
  <c r="F2272" i="19"/>
  <c r="AF2272" i="19"/>
  <c r="AE2272" i="19"/>
  <c r="Y2272" i="19"/>
  <c r="V2272" i="19"/>
  <c r="W2272" i="19" s="1"/>
  <c r="N2272" i="19"/>
  <c r="AA2272" i="19" a="1"/>
  <c r="AA2272" i="19" s="1"/>
  <c r="X2272" i="19" s="1"/>
  <c r="AD2272" i="19"/>
  <c r="AJ2272" i="19"/>
  <c r="AK2272" i="19" s="1" a="1"/>
  <c r="AK2272" i="19" s="1"/>
  <c r="AH2269" i="19"/>
  <c r="AJ2269" i="19" s="1"/>
  <c r="AK2269" i="19" s="1" a="1"/>
  <c r="AK2269" i="19" s="1"/>
  <c r="AF2269" i="19"/>
  <c r="AE2269" i="19"/>
  <c r="Y2269" i="19"/>
  <c r="V2269" i="19"/>
  <c r="W2269" i="19" s="1"/>
  <c r="S2269" i="19"/>
  <c r="N2269" i="19"/>
  <c r="AA2269" i="19" a="1"/>
  <c r="AA2269" i="19" s="1"/>
  <c r="X2269" i="19" s="1"/>
  <c r="AD2269" i="19"/>
  <c r="AH2271" i="19"/>
  <c r="AJ2271" i="19" s="1"/>
  <c r="AK2271" i="19" s="1" a="1"/>
  <c r="AK2271" i="19" s="1"/>
  <c r="AF2271" i="19"/>
  <c r="S2271" i="19"/>
  <c r="AE2271" i="19"/>
  <c r="Y2271" i="19"/>
  <c r="V2271" i="19"/>
  <c r="W2271" i="19" s="1"/>
  <c r="F2271" i="19"/>
  <c r="N2271" i="19"/>
  <c r="AA2271" i="19" a="1"/>
  <c r="AA2271" i="19" s="1"/>
  <c r="X2271" i="19" s="1"/>
  <c r="AD2271" i="19"/>
  <c r="S2236" i="19"/>
  <c r="S2235" i="19"/>
  <c r="S2234" i="19"/>
  <c r="S2238" i="19"/>
  <c r="U977" i="15"/>
  <c r="Q977" i="15"/>
  <c r="G977" i="15"/>
  <c r="C977" i="15"/>
  <c r="U976" i="15"/>
  <c r="Q976" i="15"/>
  <c r="Q973" i="15"/>
  <c r="G976" i="15"/>
  <c r="C976" i="15"/>
  <c r="U975" i="15"/>
  <c r="U974" i="15"/>
  <c r="Q975" i="15"/>
  <c r="Q974" i="15"/>
  <c r="G975" i="15"/>
  <c r="C975" i="15"/>
  <c r="G974" i="15"/>
  <c r="C974" i="15"/>
  <c r="U973" i="15"/>
  <c r="G973" i="15"/>
  <c r="C973" i="15"/>
  <c r="U972" i="15"/>
  <c r="Q972" i="15"/>
  <c r="G972" i="15"/>
  <c r="C972" i="15"/>
  <c r="AG2232" i="19"/>
  <c r="AC2232" i="19"/>
  <c r="AD2232" i="19" s="1"/>
  <c r="V2232" i="19"/>
  <c r="W2232" i="19" s="1"/>
  <c r="Y2232" i="19"/>
  <c r="S2232" i="19"/>
  <c r="AA2232" i="19" a="1"/>
  <c r="AA2232" i="19" s="1"/>
  <c r="X2232" i="19" s="1"/>
  <c r="L2232" i="19"/>
  <c r="J2232" i="19"/>
  <c r="N2232" i="19"/>
  <c r="U971" i="15"/>
  <c r="Q971" i="15"/>
  <c r="G971" i="15"/>
  <c r="C971" i="15"/>
  <c r="C222" i="24"/>
  <c r="D222" i="24" s="1"/>
  <c r="C221" i="24"/>
  <c r="D221" i="24" s="1"/>
  <c r="C220" i="24"/>
  <c r="D220" i="24" s="1"/>
  <c r="C219" i="24"/>
  <c r="D219" i="24" s="1"/>
  <c r="C218" i="24"/>
  <c r="D218" i="24" s="1"/>
  <c r="C217" i="24"/>
  <c r="D217" i="24" s="1"/>
  <c r="C216" i="24"/>
  <c r="D216" i="24" s="1"/>
  <c r="C215" i="24"/>
  <c r="D215" i="24" s="1"/>
  <c r="C214" i="24"/>
  <c r="D214" i="24" s="1"/>
  <c r="C213" i="24"/>
  <c r="D213" i="24" s="1"/>
  <c r="C212" i="24"/>
  <c r="D212" i="24" s="1"/>
  <c r="C211" i="24"/>
  <c r="D211" i="24" s="1"/>
  <c r="C210" i="24"/>
  <c r="D210" i="24" s="1"/>
  <c r="C209" i="24"/>
  <c r="D209" i="24" s="1"/>
  <c r="C208" i="24"/>
  <c r="D208" i="24" s="1"/>
  <c r="C207" i="24"/>
  <c r="D207" i="24" s="1"/>
  <c r="C206" i="24"/>
  <c r="D206" i="24" s="1"/>
  <c r="C205" i="24"/>
  <c r="D205" i="24" s="1"/>
  <c r="C204" i="24"/>
  <c r="D204" i="24" s="1"/>
  <c r="C203" i="24"/>
  <c r="D203" i="24" s="1"/>
  <c r="C202" i="24"/>
  <c r="D202" i="24" s="1"/>
  <c r="C201" i="24"/>
  <c r="D201" i="24" s="1"/>
  <c r="C200" i="24"/>
  <c r="D200" i="24" s="1"/>
  <c r="C199" i="24"/>
  <c r="D199" i="24" s="1"/>
  <c r="C198" i="24"/>
  <c r="D198" i="24" s="1"/>
  <c r="C197" i="24"/>
  <c r="D197" i="24" s="1"/>
  <c r="C196" i="24"/>
  <c r="D196" i="24" s="1"/>
  <c r="C195" i="24"/>
  <c r="D195" i="24" s="1"/>
  <c r="C194" i="24"/>
  <c r="D194" i="24" s="1"/>
  <c r="C193" i="24"/>
  <c r="D193" i="24" s="1"/>
  <c r="C192" i="24"/>
  <c r="D192" i="24" s="1"/>
  <c r="C191" i="24"/>
  <c r="D191" i="24" s="1"/>
  <c r="C190" i="24"/>
  <c r="D190" i="24" s="1"/>
  <c r="C189" i="24"/>
  <c r="D189" i="24" s="1"/>
  <c r="C188" i="24"/>
  <c r="D188" i="24" s="1"/>
  <c r="C187" i="24"/>
  <c r="D187" i="24" s="1"/>
  <c r="C186" i="24"/>
  <c r="D186" i="24" s="1"/>
  <c r="C185" i="24"/>
  <c r="D185" i="24" s="1"/>
  <c r="C184" i="24"/>
  <c r="D184" i="24" s="1"/>
  <c r="C183" i="24"/>
  <c r="D183" i="24" s="1"/>
  <c r="C182" i="24"/>
  <c r="D182" i="24" s="1"/>
  <c r="C181" i="24"/>
  <c r="D181" i="24" s="1"/>
  <c r="C180" i="24"/>
  <c r="D180" i="24" s="1"/>
  <c r="C179" i="24"/>
  <c r="D179" i="24" s="1"/>
  <c r="C178" i="24"/>
  <c r="D178" i="24" s="1"/>
  <c r="C177" i="24"/>
  <c r="D177" i="24" s="1"/>
  <c r="C176" i="24"/>
  <c r="D176" i="24" s="1"/>
  <c r="C175" i="24"/>
  <c r="D175" i="24" s="1"/>
  <c r="C174" i="24"/>
  <c r="D174" i="24" s="1"/>
  <c r="C173" i="24"/>
  <c r="D173" i="24" s="1"/>
  <c r="C172" i="24"/>
  <c r="D172" i="24" s="1"/>
  <c r="C171" i="24"/>
  <c r="D171" i="24" s="1"/>
  <c r="C170" i="24"/>
  <c r="D170" i="24" s="1"/>
  <c r="C169" i="24"/>
  <c r="D169" i="24" s="1"/>
  <c r="C168" i="24"/>
  <c r="D168" i="24" s="1"/>
  <c r="C167" i="24"/>
  <c r="D167" i="24" s="1"/>
  <c r="C166" i="24"/>
  <c r="D166" i="24" s="1"/>
  <c r="C165" i="24"/>
  <c r="D165" i="24" s="1"/>
  <c r="C164" i="24"/>
  <c r="D164" i="24" s="1"/>
  <c r="C163" i="24"/>
  <c r="D163" i="24" s="1"/>
  <c r="C162" i="24"/>
  <c r="D162" i="24" s="1"/>
  <c r="C161" i="24"/>
  <c r="D161" i="24" s="1"/>
  <c r="C160" i="24"/>
  <c r="D160" i="24" s="1"/>
  <c r="C159" i="24"/>
  <c r="D159" i="24" s="1"/>
  <c r="C158" i="24"/>
  <c r="D158" i="24" s="1"/>
  <c r="C157" i="24"/>
  <c r="D157" i="24" s="1"/>
  <c r="C156" i="24"/>
  <c r="D156" i="24" s="1"/>
  <c r="C155" i="24"/>
  <c r="D155" i="24" s="1"/>
  <c r="C154" i="24"/>
  <c r="D154" i="24" s="1"/>
  <c r="C153" i="24"/>
  <c r="D153" i="24" s="1"/>
  <c r="C152" i="24"/>
  <c r="D152" i="24" s="1"/>
  <c r="C151" i="24"/>
  <c r="D151" i="24" s="1"/>
  <c r="C150" i="24"/>
  <c r="D150" i="24" s="1"/>
  <c r="C149" i="24"/>
  <c r="D149" i="24" s="1"/>
  <c r="C148" i="24"/>
  <c r="D148" i="24" s="1"/>
  <c r="C147" i="24"/>
  <c r="D147" i="24" s="1"/>
  <c r="C146" i="24"/>
  <c r="D146" i="24" s="1"/>
  <c r="C145" i="24"/>
  <c r="D145" i="24" s="1"/>
  <c r="C144" i="24"/>
  <c r="D144" i="24" s="1"/>
  <c r="C143" i="24"/>
  <c r="D143" i="24" s="1"/>
  <c r="C142" i="24"/>
  <c r="D142" i="24" s="1"/>
  <c r="C141" i="24"/>
  <c r="D141" i="24" s="1"/>
  <c r="C140" i="24"/>
  <c r="D140" i="24" s="1"/>
  <c r="C139" i="24"/>
  <c r="D139" i="24" s="1"/>
  <c r="C138" i="24"/>
  <c r="D138" i="24" s="1"/>
  <c r="C137" i="24"/>
  <c r="D137" i="24" s="1"/>
  <c r="C136" i="24"/>
  <c r="D136" i="24" s="1"/>
  <c r="C135" i="24"/>
  <c r="D135" i="24" s="1"/>
  <c r="C134" i="24"/>
  <c r="D134" i="24" s="1"/>
  <c r="C133" i="24"/>
  <c r="D133" i="24" s="1"/>
  <c r="C132" i="24"/>
  <c r="D132" i="24" s="1"/>
  <c r="C131" i="24"/>
  <c r="D131" i="24" s="1"/>
  <c r="C130" i="24"/>
  <c r="D130" i="24" s="1"/>
  <c r="C129" i="24"/>
  <c r="D129" i="24" s="1"/>
  <c r="C128" i="24"/>
  <c r="D128" i="24" s="1"/>
  <c r="C127" i="24"/>
  <c r="D127" i="24" s="1"/>
  <c r="C126" i="24"/>
  <c r="D126" i="24" s="1"/>
  <c r="C125" i="24"/>
  <c r="D125" i="24" s="1"/>
  <c r="C124" i="24"/>
  <c r="D124" i="24" s="1"/>
  <c r="C123" i="24"/>
  <c r="D123" i="24" s="1"/>
  <c r="C122" i="24"/>
  <c r="D122" i="24" s="1"/>
  <c r="C121" i="24"/>
  <c r="D121" i="24" s="1"/>
  <c r="C120" i="24"/>
  <c r="D120" i="24" s="1"/>
  <c r="C119" i="24"/>
  <c r="D119" i="24" s="1"/>
  <c r="C118" i="24"/>
  <c r="D118" i="24" s="1"/>
  <c r="C117" i="24"/>
  <c r="D117" i="24" s="1"/>
  <c r="C116" i="24"/>
  <c r="D116" i="24" s="1"/>
  <c r="C115" i="24"/>
  <c r="D115" i="24" s="1"/>
  <c r="C114" i="24"/>
  <c r="D114" i="24" s="1"/>
  <c r="C113" i="24"/>
  <c r="D113" i="24" s="1"/>
  <c r="C112" i="24"/>
  <c r="D112" i="24" s="1"/>
  <c r="C111" i="24"/>
  <c r="D111" i="24" s="1"/>
  <c r="C110" i="24"/>
  <c r="D110" i="24" s="1"/>
  <c r="C109" i="24"/>
  <c r="D109" i="24" s="1"/>
  <c r="C108" i="24"/>
  <c r="D108" i="24" s="1"/>
  <c r="C107" i="24"/>
  <c r="D107" i="24" s="1"/>
  <c r="C106" i="24"/>
  <c r="D106" i="24" s="1"/>
  <c r="C105" i="24"/>
  <c r="D105" i="24" s="1"/>
  <c r="C104" i="24"/>
  <c r="D104" i="24" s="1"/>
  <c r="C103" i="24"/>
  <c r="D103" i="24" s="1"/>
  <c r="C102" i="24"/>
  <c r="D102" i="24" s="1"/>
  <c r="C101" i="24"/>
  <c r="D101" i="24" s="1"/>
  <c r="C100" i="24"/>
  <c r="D100" i="24" s="1"/>
  <c r="C99" i="24"/>
  <c r="D99" i="24" s="1"/>
  <c r="C98" i="24"/>
  <c r="D98" i="24" s="1"/>
  <c r="C97" i="24"/>
  <c r="D97" i="24" s="1"/>
  <c r="C96" i="24"/>
  <c r="D96" i="24" s="1"/>
  <c r="C95" i="24"/>
  <c r="D95" i="24" s="1"/>
  <c r="C94" i="24"/>
  <c r="D94" i="24" s="1"/>
  <c r="C93" i="24"/>
  <c r="D93" i="24" s="1"/>
  <c r="C92" i="24"/>
  <c r="D92" i="24" s="1"/>
  <c r="C91" i="24"/>
  <c r="D91" i="24" s="1"/>
  <c r="C90" i="24"/>
  <c r="D90" i="24" s="1"/>
  <c r="C89" i="24"/>
  <c r="D89" i="24" s="1"/>
  <c r="C88" i="24"/>
  <c r="D88" i="24" s="1"/>
  <c r="C87" i="24"/>
  <c r="D87" i="24" s="1"/>
  <c r="C86" i="24"/>
  <c r="D86" i="24" s="1"/>
  <c r="C85" i="24"/>
  <c r="D85" i="24" s="1"/>
  <c r="C84" i="24"/>
  <c r="D84" i="24" s="1"/>
  <c r="C83" i="24"/>
  <c r="D83" i="24" s="1"/>
  <c r="C82" i="24"/>
  <c r="D82" i="24" s="1"/>
  <c r="C81" i="24"/>
  <c r="D81" i="24" s="1"/>
  <c r="C80" i="24"/>
  <c r="D80" i="24" s="1"/>
  <c r="C79" i="24"/>
  <c r="D79" i="24" s="1"/>
  <c r="C78" i="24"/>
  <c r="D78" i="24" s="1"/>
  <c r="C77" i="24"/>
  <c r="D77" i="24" s="1"/>
  <c r="C76" i="24"/>
  <c r="D76" i="24" s="1"/>
  <c r="C75" i="24"/>
  <c r="D75" i="24" s="1"/>
  <c r="C74" i="24"/>
  <c r="D74" i="24" s="1"/>
  <c r="C73" i="24"/>
  <c r="D73" i="24" s="1"/>
  <c r="C72" i="24"/>
  <c r="D72" i="24" s="1"/>
  <c r="C71" i="24"/>
  <c r="D71" i="24" s="1"/>
  <c r="C70" i="24"/>
  <c r="D70" i="24" s="1"/>
  <c r="C69" i="24"/>
  <c r="D69" i="24" s="1"/>
  <c r="C68" i="24"/>
  <c r="D68" i="24" s="1"/>
  <c r="C67" i="24"/>
  <c r="D67" i="24" s="1"/>
  <c r="C66" i="24"/>
  <c r="D66" i="24" s="1"/>
  <c r="C65" i="24"/>
  <c r="D65" i="24" s="1"/>
  <c r="C64" i="24"/>
  <c r="D64" i="24" s="1"/>
  <c r="C63" i="24"/>
  <c r="D63" i="24" s="1"/>
  <c r="C62" i="24"/>
  <c r="D62" i="24" s="1"/>
  <c r="C61" i="24"/>
  <c r="D61" i="24" s="1"/>
  <c r="C60" i="24"/>
  <c r="D60" i="24" s="1"/>
  <c r="C59" i="24"/>
  <c r="D59" i="24" s="1"/>
  <c r="C58" i="24"/>
  <c r="D58" i="24" s="1"/>
  <c r="C57" i="24"/>
  <c r="D57" i="24" s="1"/>
  <c r="C56" i="24"/>
  <c r="D56" i="24" s="1"/>
  <c r="C55" i="24"/>
  <c r="D55" i="24" s="1"/>
  <c r="C54" i="24"/>
  <c r="D54" i="24" s="1"/>
  <c r="C53" i="24"/>
  <c r="D53" i="24" s="1"/>
  <c r="C52" i="24"/>
  <c r="D52" i="24" s="1"/>
  <c r="C51" i="24"/>
  <c r="D51" i="24" s="1"/>
  <c r="C50" i="24"/>
  <c r="D50" i="24" s="1"/>
  <c r="C49" i="24"/>
  <c r="D49" i="24" s="1"/>
  <c r="C48" i="24"/>
  <c r="D48" i="24" s="1"/>
  <c r="C47" i="24"/>
  <c r="D47" i="24" s="1"/>
  <c r="C46" i="24"/>
  <c r="D46" i="24" s="1"/>
  <c r="C45" i="24"/>
  <c r="D45" i="24" s="1"/>
  <c r="C44" i="24"/>
  <c r="D44" i="24" s="1"/>
  <c r="C43" i="24"/>
  <c r="D43" i="24" s="1"/>
  <c r="C42" i="24"/>
  <c r="D42" i="24" s="1"/>
  <c r="C41" i="24"/>
  <c r="D41" i="24" s="1"/>
  <c r="C40" i="24"/>
  <c r="D40" i="24" s="1"/>
  <c r="C39" i="24"/>
  <c r="D39" i="24" s="1"/>
  <c r="C38" i="24"/>
  <c r="D38" i="24" s="1"/>
  <c r="C37" i="24"/>
  <c r="D37" i="24" s="1"/>
  <c r="C36" i="24"/>
  <c r="D36" i="24" s="1"/>
  <c r="C35" i="24"/>
  <c r="D35" i="24" s="1"/>
  <c r="C34" i="24"/>
  <c r="D34" i="24" s="1"/>
  <c r="C33" i="24"/>
  <c r="D33" i="24" s="1"/>
  <c r="C32" i="24"/>
  <c r="D32" i="24" s="1"/>
  <c r="C31" i="24"/>
  <c r="D31" i="24" s="1"/>
  <c r="C30" i="24"/>
  <c r="D30" i="24" s="1"/>
  <c r="C29" i="24"/>
  <c r="D29" i="24" s="1"/>
  <c r="C28" i="24"/>
  <c r="D28" i="24" s="1"/>
  <c r="C27" i="24"/>
  <c r="D27" i="24" s="1"/>
  <c r="C26" i="24"/>
  <c r="D26" i="24" s="1"/>
  <c r="C25" i="24"/>
  <c r="D25" i="24" s="1"/>
  <c r="C24" i="24"/>
  <c r="D24" i="24" s="1"/>
  <c r="C23" i="24"/>
  <c r="D23" i="24" s="1"/>
  <c r="C22" i="24"/>
  <c r="D22" i="24" s="1"/>
  <c r="C21" i="24"/>
  <c r="D21" i="24" s="1"/>
  <c r="C20" i="24"/>
  <c r="D20" i="24" s="1"/>
  <c r="C19" i="24"/>
  <c r="D19" i="24" s="1"/>
  <c r="C18" i="24"/>
  <c r="D18" i="24" s="1"/>
  <c r="C17" i="24"/>
  <c r="D17" i="24" s="1"/>
  <c r="C16" i="24"/>
  <c r="D16" i="24" s="1"/>
  <c r="C15" i="24"/>
  <c r="D15" i="24" s="1"/>
  <c r="C14" i="24"/>
  <c r="D14" i="24" s="1"/>
  <c r="C13" i="24"/>
  <c r="D13" i="24" s="1"/>
  <c r="C12" i="24"/>
  <c r="D12" i="24" s="1"/>
  <c r="C11" i="24"/>
  <c r="D11" i="24" s="1"/>
  <c r="C10" i="24"/>
  <c r="D10" i="24" s="1"/>
  <c r="C9" i="24"/>
  <c r="D9" i="24" s="1"/>
  <c r="C8" i="24"/>
  <c r="D8" i="24" s="1"/>
  <c r="C7" i="24"/>
  <c r="D7" i="24" s="1"/>
  <c r="C6" i="24"/>
  <c r="D6" i="24" s="1"/>
  <c r="C5" i="24"/>
  <c r="D5" i="24" s="1"/>
  <c r="C4" i="24"/>
  <c r="D4" i="24" s="1"/>
  <c r="U970" i="15"/>
  <c r="Q970" i="15"/>
  <c r="G962" i="15"/>
  <c r="G963" i="15"/>
  <c r="G965" i="15"/>
  <c r="G966" i="15"/>
  <c r="G968" i="15"/>
  <c r="G970" i="15"/>
  <c r="C970" i="15"/>
  <c r="S2227" i="19"/>
  <c r="S2230" i="19"/>
  <c r="S2231" i="19"/>
  <c r="S2228" i="19"/>
  <c r="S2233" i="19"/>
  <c r="J290" i="20"/>
  <c r="S2265" i="19"/>
  <c r="S2264" i="19"/>
  <c r="S2263" i="19"/>
  <c r="S2262" i="19"/>
  <c r="S2267" i="19"/>
  <c r="AH2270" i="19"/>
  <c r="AJ2270" i="19" s="1"/>
  <c r="AK2270" i="19" s="1" a="1"/>
  <c r="AK2270" i="19" s="1"/>
  <c r="S2270" i="19"/>
  <c r="S886" i="19"/>
  <c r="AH2268" i="19"/>
  <c r="AJ2268" i="19" s="1"/>
  <c r="AK2268" i="19" s="1" a="1"/>
  <c r="AK2268" i="19" s="1"/>
  <c r="Y2273" i="19"/>
  <c r="Y2270" i="19"/>
  <c r="Y2268" i="19"/>
  <c r="Y2267" i="19"/>
  <c r="Y2266" i="19"/>
  <c r="Y2265" i="19"/>
  <c r="Y2263" i="19"/>
  <c r="Y2262" i="19"/>
  <c r="Y2264" i="19"/>
  <c r="V2126" i="19"/>
  <c r="V2127" i="19"/>
  <c r="V2171" i="19"/>
  <c r="V2133" i="19"/>
  <c r="V2348" i="19"/>
  <c r="V2262" i="19"/>
  <c r="V2263" i="19"/>
  <c r="V2264" i="19"/>
  <c r="V2265" i="19"/>
  <c r="V2266" i="19"/>
  <c r="V2267" i="19"/>
  <c r="V2268" i="19"/>
  <c r="V2270" i="19"/>
  <c r="V2273" i="19"/>
  <c r="V2134" i="19"/>
  <c r="V2135" i="19"/>
  <c r="V2136" i="19"/>
  <c r="V2137" i="19"/>
  <c r="V2138" i="19"/>
  <c r="V2139" i="19"/>
  <c r="V2140" i="19"/>
  <c r="V2141" i="19"/>
  <c r="N1244" i="19"/>
  <c r="N1245" i="19"/>
  <c r="N1279" i="19"/>
  <c r="N1268" i="19"/>
  <c r="N1269" i="19"/>
  <c r="N1270" i="19"/>
  <c r="N1246" i="19"/>
  <c r="N1271" i="19"/>
  <c r="N1272" i="19"/>
  <c r="N1247" i="19"/>
  <c r="N1248" i="19"/>
  <c r="N1249" i="19"/>
  <c r="N1250" i="19"/>
  <c r="N1251" i="19"/>
  <c r="N1252" i="19"/>
  <c r="N1253" i="19"/>
  <c r="N1254" i="19"/>
  <c r="N1255" i="19"/>
  <c r="N1256" i="19"/>
  <c r="N1273" i="19"/>
  <c r="N1274" i="19"/>
  <c r="N1299" i="19"/>
  <c r="N2349" i="19"/>
  <c r="N1275" i="19"/>
  <c r="N1276" i="19"/>
  <c r="N1277" i="19"/>
  <c r="N1278" i="19"/>
  <c r="N1280" i="19"/>
  <c r="N1281" i="19"/>
  <c r="N1282" i="19"/>
  <c r="N1283" i="19"/>
  <c r="N1284" i="19"/>
  <c r="N1285" i="19"/>
  <c r="N1286" i="19"/>
  <c r="N1287" i="19"/>
  <c r="N1288" i="19"/>
  <c r="N1289" i="19"/>
  <c r="N1296" i="19"/>
  <c r="N1297" i="19"/>
  <c r="N1298" i="19"/>
  <c r="N1300" i="19"/>
  <c r="N1318" i="19"/>
  <c r="N1301" i="19"/>
  <c r="N1302" i="19"/>
  <c r="N1303" i="19"/>
  <c r="N1304" i="19"/>
  <c r="N1305" i="19"/>
  <c r="N1306" i="19"/>
  <c r="N1307" i="19"/>
  <c r="N1308" i="19"/>
  <c r="N1309" i="19"/>
  <c r="N1359" i="19"/>
  <c r="N1384" i="19"/>
  <c r="N1388" i="19"/>
  <c r="N1389" i="19"/>
  <c r="N1322" i="19"/>
  <c r="N1323" i="19"/>
  <c r="N1324" i="19"/>
  <c r="N1325" i="19"/>
  <c r="N1326" i="19"/>
  <c r="N1327" i="19"/>
  <c r="N1328" i="19"/>
  <c r="N1329" i="19"/>
  <c r="N1330" i="19"/>
  <c r="N1331" i="19"/>
  <c r="N1332" i="19"/>
  <c r="N1319" i="19"/>
  <c r="N1360" i="19"/>
  <c r="N1361" i="19"/>
  <c r="N1362" i="19"/>
  <c r="N1363" i="19"/>
  <c r="N1352" i="19"/>
  <c r="N1353" i="19"/>
  <c r="N1354" i="19"/>
  <c r="N1355" i="19"/>
  <c r="N1364" i="19"/>
  <c r="N1365" i="19"/>
  <c r="N1366" i="19"/>
  <c r="N1367" i="19"/>
  <c r="N1368" i="19"/>
  <c r="N1369" i="19"/>
  <c r="N1356" i="19"/>
  <c r="N1357" i="19"/>
  <c r="N1358" i="19"/>
  <c r="N1528" i="19"/>
  <c r="N1529" i="19"/>
  <c r="N1530" i="19"/>
  <c r="N1531" i="19"/>
  <c r="N1532" i="19"/>
  <c r="N1533" i="19"/>
  <c r="N1370" i="19"/>
  <c r="N1371" i="19"/>
  <c r="N1372" i="19"/>
  <c r="N1373" i="19"/>
  <c r="N1374" i="19"/>
  <c r="N1375" i="19"/>
  <c r="N1376" i="19"/>
  <c r="N1377" i="19"/>
  <c r="N1378" i="19"/>
  <c r="N1379" i="19"/>
  <c r="N1380" i="19"/>
  <c r="N1381" i="19"/>
  <c r="N1382" i="19"/>
  <c r="N1383" i="19"/>
  <c r="N1390" i="19"/>
  <c r="N1391" i="19"/>
  <c r="N1392" i="19"/>
  <c r="N1393" i="19"/>
  <c r="N1545" i="19"/>
  <c r="N1546" i="19"/>
  <c r="N1404" i="19"/>
  <c r="N1405" i="19"/>
  <c r="N1406" i="19"/>
  <c r="N1407" i="19"/>
  <c r="N1408" i="19"/>
  <c r="N1409" i="19"/>
  <c r="N1410" i="19"/>
  <c r="N1411" i="19"/>
  <c r="N1412" i="19"/>
  <c r="N1413" i="19"/>
  <c r="N1414" i="19"/>
  <c r="N1415" i="19"/>
  <c r="N1394" i="19"/>
  <c r="N1395" i="19"/>
  <c r="N1396" i="19"/>
  <c r="N1397" i="19"/>
  <c r="N1398" i="19"/>
  <c r="N1399" i="19"/>
  <c r="N1400" i="19"/>
  <c r="N1401" i="19"/>
  <c r="N1416" i="19"/>
  <c r="N1385" i="19"/>
  <c r="N1386" i="19"/>
  <c r="N1387" i="19"/>
  <c r="N1417" i="19"/>
  <c r="N1418" i="19"/>
  <c r="N1419" i="19"/>
  <c r="N1547" i="19"/>
  <c r="N1402" i="19"/>
  <c r="N1420" i="19"/>
  <c r="N1421" i="19"/>
  <c r="N1422" i="19"/>
  <c r="N1423" i="19"/>
  <c r="N1424" i="19"/>
  <c r="N1425" i="19"/>
  <c r="N1426" i="19"/>
  <c r="N1427" i="19"/>
  <c r="N1428" i="19"/>
  <c r="N1429" i="19"/>
  <c r="N1430" i="19"/>
  <c r="N1431" i="19"/>
  <c r="N1432" i="19"/>
  <c r="N1433" i="19"/>
  <c r="N1403" i="19"/>
  <c r="N1452" i="19"/>
  <c r="N1453" i="19"/>
  <c r="N1454" i="19"/>
  <c r="N1455" i="19"/>
  <c r="N1456" i="19"/>
  <c r="N1457" i="19"/>
  <c r="N1458" i="19"/>
  <c r="N1490" i="19"/>
  <c r="N1434" i="19"/>
  <c r="N1435" i="19"/>
  <c r="N1436" i="19"/>
  <c r="N1437" i="19"/>
  <c r="N1438" i="19"/>
  <c r="N1439" i="19"/>
  <c r="N1440" i="19"/>
  <c r="N1441" i="19"/>
  <c r="N1442" i="19"/>
  <c r="N1443" i="19"/>
  <c r="N1444" i="19"/>
  <c r="N1445" i="19"/>
  <c r="N1526" i="19"/>
  <c r="N1527" i="19"/>
  <c r="N1446" i="19"/>
  <c r="N1447" i="19"/>
  <c r="N1448" i="19"/>
  <c r="N1449" i="19"/>
  <c r="N1459" i="19"/>
  <c r="N1460" i="19"/>
  <c r="N1461" i="19"/>
  <c r="N1462" i="19"/>
  <c r="N1463" i="19"/>
  <c r="N1464" i="19"/>
  <c r="N1465" i="19"/>
  <c r="N1466" i="19"/>
  <c r="N1467" i="19"/>
  <c r="N1468" i="19"/>
  <c r="N1469" i="19"/>
  <c r="N1470" i="19"/>
  <c r="N1471" i="19"/>
  <c r="N1450" i="19"/>
  <c r="N1451" i="19"/>
  <c r="N1548" i="19"/>
  <c r="N1534" i="19"/>
  <c r="N1535" i="19"/>
  <c r="N1536" i="19"/>
  <c r="N1486" i="19"/>
  <c r="N1487" i="19"/>
  <c r="N1491" i="19"/>
  <c r="N1492" i="19"/>
  <c r="N1493" i="19"/>
  <c r="N1494" i="19"/>
  <c r="N1495" i="19"/>
  <c r="N1496" i="19"/>
  <c r="N1497" i="19"/>
  <c r="N1498" i="19"/>
  <c r="N1499" i="19"/>
  <c r="N1515" i="19"/>
  <c r="N1500" i="19"/>
  <c r="N1501" i="19"/>
  <c r="N1502" i="19"/>
  <c r="N1626" i="19"/>
  <c r="N1472" i="19"/>
  <c r="N1473" i="19"/>
  <c r="N1474" i="19"/>
  <c r="N1475" i="19"/>
  <c r="N1476" i="19"/>
  <c r="N1477" i="19"/>
  <c r="N1478" i="19"/>
  <c r="N1479" i="19"/>
  <c r="N1480" i="19"/>
  <c r="N1481" i="19"/>
  <c r="N1482" i="19"/>
  <c r="N1483" i="19"/>
  <c r="N1484" i="19"/>
  <c r="N1485" i="19"/>
  <c r="N1488" i="19"/>
  <c r="N1503" i="19"/>
  <c r="N1504" i="19"/>
  <c r="N1505" i="19"/>
  <c r="N1506" i="19"/>
  <c r="N1507" i="19"/>
  <c r="N1489" i="19"/>
  <c r="N1508" i="19"/>
  <c r="N1509" i="19"/>
  <c r="N1516" i="19"/>
  <c r="N1517" i="19"/>
  <c r="N1518" i="19"/>
  <c r="N1519" i="19"/>
  <c r="N1520" i="19"/>
  <c r="N1521" i="19"/>
  <c r="N1513" i="19"/>
  <c r="N1514" i="19"/>
  <c r="N1510" i="19"/>
  <c r="N1511" i="19"/>
  <c r="N1512" i="19"/>
  <c r="N1616" i="19"/>
  <c r="N1617" i="19"/>
  <c r="N1618" i="19"/>
  <c r="N1619" i="19"/>
  <c r="N1620" i="19"/>
  <c r="N1621" i="19"/>
  <c r="N1622" i="19"/>
  <c r="N1522" i="19"/>
  <c r="N1523" i="19"/>
  <c r="N1549" i="19"/>
  <c r="N1550" i="19"/>
  <c r="N1551" i="19"/>
  <c r="N1552" i="19"/>
  <c r="N1553" i="19"/>
  <c r="N1524" i="19"/>
  <c r="N1557" i="19"/>
  <c r="N1558" i="19"/>
  <c r="N1559" i="19"/>
  <c r="N1525" i="19"/>
  <c r="N1537" i="19"/>
  <c r="N1538" i="19"/>
  <c r="N1539" i="19"/>
  <c r="N1540" i="19"/>
  <c r="N1541" i="19"/>
  <c r="N1542" i="19"/>
  <c r="N1543" i="19"/>
  <c r="N1544" i="19"/>
  <c r="N1591" i="19"/>
  <c r="N1592" i="19"/>
  <c r="N2340" i="19"/>
  <c r="N1554" i="19"/>
  <c r="N2341" i="19"/>
  <c r="N1569" i="19"/>
  <c r="N1570" i="19"/>
  <c r="N1571" i="19"/>
  <c r="N1572" i="19"/>
  <c r="N1573" i="19"/>
  <c r="N1574" i="19"/>
  <c r="N1575" i="19"/>
  <c r="N1576" i="19"/>
  <c r="N1577" i="19"/>
  <c r="N1578" i="19"/>
  <c r="N1579" i="19"/>
  <c r="N1580" i="19"/>
  <c r="N1555" i="19"/>
  <c r="N1556" i="19"/>
  <c r="N1581" i="19"/>
  <c r="N1582" i="19"/>
  <c r="N1583" i="19"/>
  <c r="N1560" i="19"/>
  <c r="N1561" i="19"/>
  <c r="N1562" i="19"/>
  <c r="N1563" i="19"/>
  <c r="N1564" i="19"/>
  <c r="N1565" i="19"/>
  <c r="N1566" i="19"/>
  <c r="N1567" i="19"/>
  <c r="N1584" i="19"/>
  <c r="N1568" i="19"/>
  <c r="N1585" i="19"/>
  <c r="N1586" i="19"/>
  <c r="N1587" i="19"/>
  <c r="N1588" i="19"/>
  <c r="N1589" i="19"/>
  <c r="N1590" i="19"/>
  <c r="N1593" i="19"/>
  <c r="N1594" i="19"/>
  <c r="N1595" i="19"/>
  <c r="N1596" i="19"/>
  <c r="N1597" i="19"/>
  <c r="N1598" i="19"/>
  <c r="N1599" i="19"/>
  <c r="N1600" i="19"/>
  <c r="N1601" i="19"/>
  <c r="N1614" i="19"/>
  <c r="N1602" i="19"/>
  <c r="N1603" i="19"/>
  <c r="N1604" i="19"/>
  <c r="N1605" i="19"/>
  <c r="N1606" i="19"/>
  <c r="N1607" i="19"/>
  <c r="N1608" i="19"/>
  <c r="N1609" i="19"/>
  <c r="N1610" i="19"/>
  <c r="N1611" i="19"/>
  <c r="N1612" i="19"/>
  <c r="N1613" i="19"/>
  <c r="N1615" i="19"/>
  <c r="N1646" i="19"/>
  <c r="N1623" i="19"/>
  <c r="N1624" i="19"/>
  <c r="N1625" i="19"/>
  <c r="N1734" i="19"/>
  <c r="N1735" i="19"/>
  <c r="N1736" i="19"/>
  <c r="N1737" i="19"/>
  <c r="N1738" i="19"/>
  <c r="N1683" i="19"/>
  <c r="N1684" i="19"/>
  <c r="N1685" i="19"/>
  <c r="N1686" i="19"/>
  <c r="N1687" i="19"/>
  <c r="N1688" i="19"/>
  <c r="N1689" i="19"/>
  <c r="N1690" i="19"/>
  <c r="N1691" i="19"/>
  <c r="N1692" i="19"/>
  <c r="N1693" i="19"/>
  <c r="N1694" i="19"/>
  <c r="N2350" i="19"/>
  <c r="N2351" i="19"/>
  <c r="N1627" i="19"/>
  <c r="N1628" i="19"/>
  <c r="N1629" i="19"/>
  <c r="N1729" i="19"/>
  <c r="N1730" i="19"/>
  <c r="N1751" i="19"/>
  <c r="N1731" i="19"/>
  <c r="N1739" i="19"/>
  <c r="N1740" i="19"/>
  <c r="N1741" i="19"/>
  <c r="N1742" i="19"/>
  <c r="N1743" i="19"/>
  <c r="N1631" i="19"/>
  <c r="N1632" i="19"/>
  <c r="N1633" i="19"/>
  <c r="N1634" i="19"/>
  <c r="N1635" i="19"/>
  <c r="N1636" i="19"/>
  <c r="N1630" i="19"/>
  <c r="N1637" i="19"/>
  <c r="N1638" i="19"/>
  <c r="N1639" i="19"/>
  <c r="N1640" i="19"/>
  <c r="N1641" i="19"/>
  <c r="N1642" i="19"/>
  <c r="N1752" i="19"/>
  <c r="N1643" i="19"/>
  <c r="N1744" i="19"/>
  <c r="N1745" i="19"/>
  <c r="N1746" i="19"/>
  <c r="N1644" i="19"/>
  <c r="N1647" i="19"/>
  <c r="N1648" i="19"/>
  <c r="N1649" i="19"/>
  <c r="N1650" i="19"/>
  <c r="N1651" i="19"/>
  <c r="N1652" i="19"/>
  <c r="N1653" i="19"/>
  <c r="N1654" i="19"/>
  <c r="N1655" i="19"/>
  <c r="N1656" i="19"/>
  <c r="N1657" i="19"/>
  <c r="N1658" i="19"/>
  <c r="N1659" i="19"/>
  <c r="N1660" i="19"/>
  <c r="N1661" i="19"/>
  <c r="N1662" i="19"/>
  <c r="N1663" i="19"/>
  <c r="N1664" i="19"/>
  <c r="N1665" i="19"/>
  <c r="N1666" i="19"/>
  <c r="N1667" i="19"/>
  <c r="N1668" i="19"/>
  <c r="N1669" i="19"/>
  <c r="N1670" i="19"/>
  <c r="N1671" i="19"/>
  <c r="N1672" i="19"/>
  <c r="N1673" i="19"/>
  <c r="N1674" i="19"/>
  <c r="N1675" i="19"/>
  <c r="N1676" i="19"/>
  <c r="N1677" i="19"/>
  <c r="N1678" i="19"/>
  <c r="N1679" i="19"/>
  <c r="N1680" i="19"/>
  <c r="N1681" i="19"/>
  <c r="N1695" i="19"/>
  <c r="N1696" i="19"/>
  <c r="N1697" i="19"/>
  <c r="N1698" i="19"/>
  <c r="N1682" i="19"/>
  <c r="N2352" i="19"/>
  <c r="N2353" i="19"/>
  <c r="N1747" i="19"/>
  <c r="N1704" i="19"/>
  <c r="N1705" i="19"/>
  <c r="N1706" i="19"/>
  <c r="N1707" i="19"/>
  <c r="N1708" i="19"/>
  <c r="N1709" i="19"/>
  <c r="N1710" i="19"/>
  <c r="N1711" i="19"/>
  <c r="N1712" i="19"/>
  <c r="N1713" i="19"/>
  <c r="N1714" i="19"/>
  <c r="N1699" i="19"/>
  <c r="N1700" i="19"/>
  <c r="N1701" i="19"/>
  <c r="N1702" i="19"/>
  <c r="N1703" i="19"/>
  <c r="N1715" i="19"/>
  <c r="N1716" i="19"/>
  <c r="N1732" i="19"/>
  <c r="N1755" i="19"/>
  <c r="N1838" i="19"/>
  <c r="N1839" i="19"/>
  <c r="N1840" i="19"/>
  <c r="N1841" i="19"/>
  <c r="N1842" i="19"/>
  <c r="N1843" i="19"/>
  <c r="N1844" i="19"/>
  <c r="N1717" i="19"/>
  <c r="N1718" i="19"/>
  <c r="N1719" i="19"/>
  <c r="N1720" i="19"/>
  <c r="N1721" i="19"/>
  <c r="N1722" i="19"/>
  <c r="N1723" i="19"/>
  <c r="N1724" i="19"/>
  <c r="N1725" i="19"/>
  <c r="N1726" i="19"/>
  <c r="N1727" i="19"/>
  <c r="N1728" i="19"/>
  <c r="N1733" i="19"/>
  <c r="N2342" i="19"/>
  <c r="N1753" i="19"/>
  <c r="N1754" i="19"/>
  <c r="N1785" i="19"/>
  <c r="N1786" i="19"/>
  <c r="N1749" i="19"/>
  <c r="N1750" i="19"/>
  <c r="N1756" i="19"/>
  <c r="N1757" i="19"/>
  <c r="N1758" i="19"/>
  <c r="N1748" i="19"/>
  <c r="N1759" i="19"/>
  <c r="N1760" i="19"/>
  <c r="N1761" i="19"/>
  <c r="N1762" i="19"/>
  <c r="N1763" i="19"/>
  <c r="N1764" i="19"/>
  <c r="N1765" i="19"/>
  <c r="N1766" i="19"/>
  <c r="N1767" i="19"/>
  <c r="N1768" i="19"/>
  <c r="N1769" i="19"/>
  <c r="N1770" i="19"/>
  <c r="N1771" i="19"/>
  <c r="N1772" i="19"/>
  <c r="N1773" i="19"/>
  <c r="N1774" i="19"/>
  <c r="N1775" i="19"/>
  <c r="N1776" i="19"/>
  <c r="N1777" i="19"/>
  <c r="N1778" i="19"/>
  <c r="N1779" i="19"/>
  <c r="N1780" i="19"/>
  <c r="N1781" i="19"/>
  <c r="N1782" i="19"/>
  <c r="N1783" i="19"/>
  <c r="N1784" i="19"/>
  <c r="N1815" i="19"/>
  <c r="N1788" i="19"/>
  <c r="N1787" i="19"/>
  <c r="N1789" i="19"/>
  <c r="N1859" i="19"/>
  <c r="N1860" i="19"/>
  <c r="N1861" i="19"/>
  <c r="N1862" i="19"/>
  <c r="N1863" i="19"/>
  <c r="N1790" i="19"/>
  <c r="N1791" i="19"/>
  <c r="N1792" i="19"/>
  <c r="N1793" i="19"/>
  <c r="N1794" i="19"/>
  <c r="N1795" i="19"/>
  <c r="N1796" i="19"/>
  <c r="N1797" i="19"/>
  <c r="N1798" i="19"/>
  <c r="N2354" i="19"/>
  <c r="N2355" i="19"/>
  <c r="N1816" i="19"/>
  <c r="N1817" i="19"/>
  <c r="N1799" i="19"/>
  <c r="N1800" i="19"/>
  <c r="N1801" i="19"/>
  <c r="N1802" i="19"/>
  <c r="N1803" i="19"/>
  <c r="N1804" i="19"/>
  <c r="N1805" i="19"/>
  <c r="N1806" i="19"/>
  <c r="N1807" i="19"/>
  <c r="N1808" i="19"/>
  <c r="N1809" i="19"/>
  <c r="N1810" i="19"/>
  <c r="N1818" i="19"/>
  <c r="N1819" i="19"/>
  <c r="N1820" i="19"/>
  <c r="N1821" i="19"/>
  <c r="N1822" i="19"/>
  <c r="N1811" i="19"/>
  <c r="N1812" i="19"/>
  <c r="N1813" i="19"/>
  <c r="N1814" i="19"/>
  <c r="N1823" i="19"/>
  <c r="N1824" i="19"/>
  <c r="N1825" i="19"/>
  <c r="N1826" i="19"/>
  <c r="N1827" i="19"/>
  <c r="N1831" i="19"/>
  <c r="N1832" i="19"/>
  <c r="N1845" i="19"/>
  <c r="N1828" i="19"/>
  <c r="N1829" i="19"/>
  <c r="N1975" i="19"/>
  <c r="N1846" i="19"/>
  <c r="N1847" i="19"/>
  <c r="N1830" i="19"/>
  <c r="N1833" i="19"/>
  <c r="N1834" i="19"/>
  <c r="N1835" i="19"/>
  <c r="N1836" i="19"/>
  <c r="N1837" i="19"/>
  <c r="N1912" i="19"/>
  <c r="N1848" i="19"/>
  <c r="N1849" i="19"/>
  <c r="N1850" i="19"/>
  <c r="N1851" i="19"/>
  <c r="N1852" i="19"/>
  <c r="N1853" i="19"/>
  <c r="N1854" i="19"/>
  <c r="N1855" i="19"/>
  <c r="N1864" i="19"/>
  <c r="N1865" i="19"/>
  <c r="N1871" i="19"/>
  <c r="N1872" i="19"/>
  <c r="N1873" i="19"/>
  <c r="N1856" i="19"/>
  <c r="N1857" i="19"/>
  <c r="N1858" i="19"/>
  <c r="N1866" i="19"/>
  <c r="N1867" i="19"/>
  <c r="N1868" i="19"/>
  <c r="N1869" i="19"/>
  <c r="N1870" i="19"/>
  <c r="N1874" i="19"/>
  <c r="N1875" i="19"/>
  <c r="N1876" i="19"/>
  <c r="N2013" i="19"/>
  <c r="N2356" i="19"/>
  <c r="N2014" i="19"/>
  <c r="N1877" i="19"/>
  <c r="N1878" i="19"/>
  <c r="N1879" i="19"/>
  <c r="N1880" i="19"/>
  <c r="N1899" i="19"/>
  <c r="N1900" i="19"/>
  <c r="N1901" i="19"/>
  <c r="N1902" i="19"/>
  <c r="N1903" i="19"/>
  <c r="N1881" i="19"/>
  <c r="N1882" i="19"/>
  <c r="N1883" i="19"/>
  <c r="N1884" i="19"/>
  <c r="N1904" i="19"/>
  <c r="N1885" i="19"/>
  <c r="N1913" i="19"/>
  <c r="N1886" i="19"/>
  <c r="N1887" i="19"/>
  <c r="N1888" i="19"/>
  <c r="N1889" i="19"/>
  <c r="N1890" i="19"/>
  <c r="N1891" i="19"/>
  <c r="N1892" i="19"/>
  <c r="N1893" i="19"/>
  <c r="N1894" i="19"/>
  <c r="N1895" i="19"/>
  <c r="N1896" i="19"/>
  <c r="N1897" i="19"/>
  <c r="N1898" i="19"/>
  <c r="N1939" i="19"/>
  <c r="N2347" i="19"/>
  <c r="N1905" i="19"/>
  <c r="N1906" i="19"/>
  <c r="N1907" i="19"/>
  <c r="N1908" i="19"/>
  <c r="N1909" i="19"/>
  <c r="N1910" i="19"/>
  <c r="N1911" i="19"/>
  <c r="N1914" i="19"/>
  <c r="N1915" i="19"/>
  <c r="N1916" i="19"/>
  <c r="N1917" i="19"/>
  <c r="N1918" i="19"/>
  <c r="N1919" i="19"/>
  <c r="N1920" i="19"/>
  <c r="N1922" i="19"/>
  <c r="N1923" i="19"/>
  <c r="N1924" i="19"/>
  <c r="N1925" i="19"/>
  <c r="N1926" i="19"/>
  <c r="N1927" i="19"/>
  <c r="N1928" i="19"/>
  <c r="N1929" i="19"/>
  <c r="N1921" i="19"/>
  <c r="N1931" i="19"/>
  <c r="N1932" i="19"/>
  <c r="N1933" i="19"/>
  <c r="N1930" i="19"/>
  <c r="N2030" i="19"/>
  <c r="N2031" i="19"/>
  <c r="N2032" i="19"/>
  <c r="N2033" i="19"/>
  <c r="N2034" i="19"/>
  <c r="N2035" i="19"/>
  <c r="N2036" i="19"/>
  <c r="N2037" i="19"/>
  <c r="N2038" i="19"/>
  <c r="N2039" i="19"/>
  <c r="N2357" i="19"/>
  <c r="N2015" i="19"/>
  <c r="N1976" i="19"/>
  <c r="N1977" i="19"/>
  <c r="N1978" i="19"/>
  <c r="N1979" i="19"/>
  <c r="N1980" i="19"/>
  <c r="N1981" i="19"/>
  <c r="N1982" i="19"/>
  <c r="N1983" i="19"/>
  <c r="N1984" i="19"/>
  <c r="N1985" i="19"/>
  <c r="N1986" i="19"/>
  <c r="N1987" i="19"/>
  <c r="N1988" i="19"/>
  <c r="N1989" i="19"/>
  <c r="N1990" i="19"/>
  <c r="N1991" i="19"/>
  <c r="N1992" i="19"/>
  <c r="N1993" i="19"/>
  <c r="N1994" i="19"/>
  <c r="N1934" i="19"/>
  <c r="N1935" i="19"/>
  <c r="N1936" i="19"/>
  <c r="N1937" i="19"/>
  <c r="N1938" i="19"/>
  <c r="N1944" i="19"/>
  <c r="N1945" i="19"/>
  <c r="N1946" i="19"/>
  <c r="N1947" i="19"/>
  <c r="N1948" i="19"/>
  <c r="N1949" i="19"/>
  <c r="N1950" i="19"/>
  <c r="N1951" i="19"/>
  <c r="N1952" i="19"/>
  <c r="N1953" i="19"/>
  <c r="N1954" i="19"/>
  <c r="N1955" i="19"/>
  <c r="N1956" i="19"/>
  <c r="N1957" i="19"/>
  <c r="N1958" i="19"/>
  <c r="N1959" i="19"/>
  <c r="N1960" i="19"/>
  <c r="N1961" i="19"/>
  <c r="N1962" i="19"/>
  <c r="N1963" i="19"/>
  <c r="N1964" i="19"/>
  <c r="N2016" i="19"/>
  <c r="N1995" i="19"/>
  <c r="N1965" i="19"/>
  <c r="N1966" i="19"/>
  <c r="N1967" i="19"/>
  <c r="N1968" i="19"/>
  <c r="N1969" i="19"/>
  <c r="N1940" i="19"/>
  <c r="N1941" i="19"/>
  <c r="N1942" i="19"/>
  <c r="N1943" i="19"/>
  <c r="N1970" i="19"/>
  <c r="N1971" i="19"/>
  <c r="N1996" i="19"/>
  <c r="N2358" i="19"/>
  <c r="N1972" i="19"/>
  <c r="N1973" i="19"/>
  <c r="N1974" i="19"/>
  <c r="N1997" i="19"/>
  <c r="N1998" i="19"/>
  <c r="N1999" i="19"/>
  <c r="N2000" i="19"/>
  <c r="N2001" i="19"/>
  <c r="N2002" i="19"/>
  <c r="N2003" i="19"/>
  <c r="N2004" i="19"/>
  <c r="N2005" i="19"/>
  <c r="N2006" i="19"/>
  <c r="N2007" i="19"/>
  <c r="N2008" i="19"/>
  <c r="N2009" i="19"/>
  <c r="N2010" i="19"/>
  <c r="N2011" i="19"/>
  <c r="N2012" i="19"/>
  <c r="N2017" i="19"/>
  <c r="N2018" i="19"/>
  <c r="N2019" i="19"/>
  <c r="N2020" i="19"/>
  <c r="N2021" i="19"/>
  <c r="N2022" i="19"/>
  <c r="N2058" i="19"/>
  <c r="N2059" i="19"/>
  <c r="N2060" i="19"/>
  <c r="N2061" i="19"/>
  <c r="N2062" i="19"/>
  <c r="N2063" i="19"/>
  <c r="N2064" i="19"/>
  <c r="N2065" i="19"/>
  <c r="N2066" i="19"/>
  <c r="N2067" i="19"/>
  <c r="N2192" i="19"/>
  <c r="N2193" i="19"/>
  <c r="N2194" i="19"/>
  <c r="N2068" i="19"/>
  <c r="N2069" i="19"/>
  <c r="N2040" i="19"/>
  <c r="N2023" i="19"/>
  <c r="N2024" i="19"/>
  <c r="N2025" i="19"/>
  <c r="N2026" i="19"/>
  <c r="N2027" i="19"/>
  <c r="N2028" i="19"/>
  <c r="N2029" i="19"/>
  <c r="N2071" i="19"/>
  <c r="N2072" i="19"/>
  <c r="N2073" i="19"/>
  <c r="N2074" i="19"/>
  <c r="N2075" i="19"/>
  <c r="N2076" i="19"/>
  <c r="N2041" i="19"/>
  <c r="N2042" i="19"/>
  <c r="N2043" i="19"/>
  <c r="N2044" i="19"/>
  <c r="N2045" i="19"/>
  <c r="N2101" i="19"/>
  <c r="N2102" i="19"/>
  <c r="N2103" i="19"/>
  <c r="N2104" i="19"/>
  <c r="N1645" i="19"/>
  <c r="N2046" i="19"/>
  <c r="N2047" i="19"/>
  <c r="N2048" i="19"/>
  <c r="N2105" i="19"/>
  <c r="N2106" i="19"/>
  <c r="N2107" i="19"/>
  <c r="N2108" i="19"/>
  <c r="N2109" i="19"/>
  <c r="N2110" i="19"/>
  <c r="N2111" i="19"/>
  <c r="N2112" i="19"/>
  <c r="N2113" i="19"/>
  <c r="N2114" i="19"/>
  <c r="N2055" i="19"/>
  <c r="N2056" i="19"/>
  <c r="N2153" i="19"/>
  <c r="N2154" i="19"/>
  <c r="N2077" i="19"/>
  <c r="N2078" i="19"/>
  <c r="N2079" i="19"/>
  <c r="N2080" i="19"/>
  <c r="N2081" i="19"/>
  <c r="N2082" i="19"/>
  <c r="N2070" i="19"/>
  <c r="N2057" i="19"/>
  <c r="N2083" i="19"/>
  <c r="N2155" i="19"/>
  <c r="N2128" i="19"/>
  <c r="N2129" i="19"/>
  <c r="N2156" i="19"/>
  <c r="N2100" i="19"/>
  <c r="N2099" i="19"/>
  <c r="N2084" i="19"/>
  <c r="N2085" i="19"/>
  <c r="N2086" i="19"/>
  <c r="N2087" i="19"/>
  <c r="N2088" i="19"/>
  <c r="N2089" i="19"/>
  <c r="N2090" i="19"/>
  <c r="N2091" i="19"/>
  <c r="N2092" i="19"/>
  <c r="N2093" i="19"/>
  <c r="N2094" i="19"/>
  <c r="N2095" i="19"/>
  <c r="N2096" i="19"/>
  <c r="N2097" i="19"/>
  <c r="N2098" i="19"/>
  <c r="N2122" i="19"/>
  <c r="N2130" i="19"/>
  <c r="N2157" i="19"/>
  <c r="N2131" i="19"/>
  <c r="N2195" i="19"/>
  <c r="N2196" i="19"/>
  <c r="N2197" i="19"/>
  <c r="N2359" i="19"/>
  <c r="N2178" i="19"/>
  <c r="N2179" i="19"/>
  <c r="N2180" i="19"/>
  <c r="N2181" i="19"/>
  <c r="N2182" i="19"/>
  <c r="N2183" i="19"/>
  <c r="N2184" i="19"/>
  <c r="N2185" i="19"/>
  <c r="N2186" i="19"/>
  <c r="N2187" i="19"/>
  <c r="N2188" i="19"/>
  <c r="N2189" i="19"/>
  <c r="N2115" i="19"/>
  <c r="N2116" i="19"/>
  <c r="N2117" i="19"/>
  <c r="N2118" i="19"/>
  <c r="N2119" i="19"/>
  <c r="N2120" i="19"/>
  <c r="N2132" i="19"/>
  <c r="N2158" i="19"/>
  <c r="N2159" i="19"/>
  <c r="N2160" i="19"/>
  <c r="N2161" i="19"/>
  <c r="N2162" i="19"/>
  <c r="N2163" i="19"/>
  <c r="N2164" i="19"/>
  <c r="N2165" i="19"/>
  <c r="N2166" i="19"/>
  <c r="N2167" i="19"/>
  <c r="N2168" i="19"/>
  <c r="N2169" i="19"/>
  <c r="N2170" i="19"/>
  <c r="N2121" i="19"/>
  <c r="N2123" i="19"/>
  <c r="N2124" i="19"/>
  <c r="N2125" i="19"/>
  <c r="N2126" i="19"/>
  <c r="N2127" i="19"/>
  <c r="N2171" i="19"/>
  <c r="N2133" i="19"/>
  <c r="N2348" i="19"/>
  <c r="N2262" i="19"/>
  <c r="N2263" i="19"/>
  <c r="N2264" i="19"/>
  <c r="N2265" i="19"/>
  <c r="N2266" i="19"/>
  <c r="N2267" i="19"/>
  <c r="N2268" i="19"/>
  <c r="N2270" i="19"/>
  <c r="N2273" i="19"/>
  <c r="N2134" i="19"/>
  <c r="N2135" i="19"/>
  <c r="N2136" i="19"/>
  <c r="N2137" i="19"/>
  <c r="N2138" i="19"/>
  <c r="N2139" i="19"/>
  <c r="N2140" i="19"/>
  <c r="N2141" i="19"/>
  <c r="N2142" i="19"/>
  <c r="N2143" i="19"/>
  <c r="N2144" i="19"/>
  <c r="N2145" i="19"/>
  <c r="N2146" i="19"/>
  <c r="N2147" i="19"/>
  <c r="N2172" i="19"/>
  <c r="N2173" i="19"/>
  <c r="N2216" i="19"/>
  <c r="N2217" i="19"/>
  <c r="N2218" i="19"/>
  <c r="N2219" i="19"/>
  <c r="N2220" i="19"/>
  <c r="N2360" i="19"/>
  <c r="N2148" i="19"/>
  <c r="N2149" i="19"/>
  <c r="N2150" i="19"/>
  <c r="N2151" i="19"/>
  <c r="N2152" i="19"/>
  <c r="N2174" i="19"/>
  <c r="N2175" i="19"/>
  <c r="N2176" i="19"/>
  <c r="N2177" i="19"/>
  <c r="N2198" i="19"/>
  <c r="N2199" i="19"/>
  <c r="N2200" i="19"/>
  <c r="N2190" i="19"/>
  <c r="N2201" i="19"/>
  <c r="N2202" i="19"/>
  <c r="N2203" i="19"/>
  <c r="N2204" i="19"/>
  <c r="N2205" i="19"/>
  <c r="N2206" i="19"/>
  <c r="N2207" i="19"/>
  <c r="N2208" i="19"/>
  <c r="N2209" i="19"/>
  <c r="N2210" i="19"/>
  <c r="N2211" i="19"/>
  <c r="N2212" i="19"/>
  <c r="N2213" i="19"/>
  <c r="N2214" i="19"/>
  <c r="N2215" i="19"/>
  <c r="N2191" i="19"/>
  <c r="N2256" i="19"/>
  <c r="N2257" i="19"/>
  <c r="N2223" i="19"/>
  <c r="N2361" i="19"/>
  <c r="N2362" i="19"/>
  <c r="N2363" i="19"/>
  <c r="N2364" i="19"/>
  <c r="N2226" i="19"/>
  <c r="N2227" i="19"/>
  <c r="N2228" i="19"/>
  <c r="N2229" i="19"/>
  <c r="N2230" i="19"/>
  <c r="N2231" i="19"/>
  <c r="N2233" i="19"/>
  <c r="N2221" i="19"/>
  <c r="N2222" i="19"/>
  <c r="N1310" i="19"/>
  <c r="N1311" i="19"/>
  <c r="N1312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458" i="19"/>
  <c r="N762" i="19"/>
  <c r="N250" i="19"/>
  <c r="N251" i="19"/>
  <c r="N486" i="19"/>
  <c r="N487" i="19"/>
  <c r="N52" i="19"/>
  <c r="N53" i="19"/>
  <c r="N54" i="19"/>
  <c r="N602" i="19"/>
  <c r="N603" i="19"/>
  <c r="N580" i="19"/>
  <c r="N581" i="19"/>
  <c r="N582" i="19"/>
  <c r="N583" i="19"/>
  <c r="N210" i="19"/>
  <c r="N211" i="19"/>
  <c r="N212" i="19"/>
  <c r="N213" i="19"/>
  <c r="N214" i="19"/>
  <c r="N687" i="19"/>
  <c r="N688" i="19"/>
  <c r="N689" i="19"/>
  <c r="N690" i="19"/>
  <c r="N691" i="19"/>
  <c r="N692" i="19"/>
  <c r="N693" i="19"/>
  <c r="N694" i="19"/>
  <c r="N695" i="19"/>
  <c r="N696" i="19"/>
  <c r="N697" i="19"/>
  <c r="N698" i="19"/>
  <c r="N699" i="19"/>
  <c r="N700" i="19"/>
  <c r="N2343" i="19"/>
  <c r="N488" i="19"/>
  <c r="N2344" i="19"/>
  <c r="N2345" i="19"/>
  <c r="N121" i="19"/>
  <c r="N122" i="19"/>
  <c r="N123" i="19"/>
  <c r="N640" i="19"/>
  <c r="N641" i="19"/>
  <c r="N511" i="19"/>
  <c r="N512" i="19"/>
  <c r="N759" i="19"/>
  <c r="N760" i="19"/>
  <c r="N761" i="19"/>
  <c r="N584" i="19"/>
  <c r="N585" i="19"/>
  <c r="N586" i="19"/>
  <c r="N587" i="19"/>
  <c r="N746" i="19"/>
  <c r="N747" i="19"/>
  <c r="N748" i="19"/>
  <c r="N749" i="19"/>
  <c r="N750" i="19"/>
  <c r="N751" i="19"/>
  <c r="N513" i="19"/>
  <c r="N514" i="19"/>
  <c r="N515" i="19"/>
  <c r="N516" i="19"/>
  <c r="N517" i="19"/>
  <c r="N518" i="19"/>
  <c r="N519" i="19"/>
  <c r="N520" i="19"/>
  <c r="N521" i="19"/>
  <c r="N522" i="19"/>
  <c r="N523" i="19"/>
  <c r="N448" i="19"/>
  <c r="N449" i="19"/>
  <c r="N450" i="19"/>
  <c r="N774" i="19"/>
  <c r="N775" i="19"/>
  <c r="N588" i="19"/>
  <c r="N468" i="19"/>
  <c r="N434" i="19"/>
  <c r="N435" i="19"/>
  <c r="N436" i="19"/>
  <c r="N437" i="19"/>
  <c r="N438" i="19"/>
  <c r="N439" i="19"/>
  <c r="N440" i="19"/>
  <c r="N441" i="19"/>
  <c r="N442" i="19"/>
  <c r="N443" i="19"/>
  <c r="N646" i="19"/>
  <c r="N647" i="19"/>
  <c r="N648" i="19"/>
  <c r="N653" i="19"/>
  <c r="N654" i="19"/>
  <c r="N655" i="19"/>
  <c r="N656" i="19"/>
  <c r="N657" i="19"/>
  <c r="N658" i="19"/>
  <c r="N524" i="19"/>
  <c r="N525" i="19"/>
  <c r="N526" i="19"/>
  <c r="N551" i="19"/>
  <c r="N469" i="19"/>
  <c r="N470" i="19"/>
  <c r="N471" i="19"/>
  <c r="N472" i="19"/>
  <c r="N527" i="19"/>
  <c r="N528" i="19"/>
  <c r="N552" i="19"/>
  <c r="N628" i="19"/>
  <c r="N499" i="19"/>
  <c r="N500" i="19"/>
  <c r="N722" i="19"/>
  <c r="N2346" i="19"/>
  <c r="N473" i="19"/>
  <c r="N474" i="19"/>
  <c r="N475" i="19"/>
  <c r="N476" i="19"/>
  <c r="N477" i="19"/>
  <c r="N478" i="19"/>
  <c r="N792" i="19"/>
  <c r="N793" i="19"/>
  <c r="N794" i="19"/>
  <c r="N629" i="19"/>
  <c r="N723" i="19"/>
  <c r="N501" i="19"/>
  <c r="N502" i="19"/>
  <c r="N503" i="19"/>
  <c r="N504" i="19"/>
  <c r="N505" i="19"/>
  <c r="N659" i="19"/>
  <c r="N683" i="19"/>
  <c r="N229" i="19"/>
  <c r="N230" i="19"/>
  <c r="N339" i="19"/>
  <c r="N340" i="19"/>
  <c r="N341" i="19"/>
  <c r="N342" i="19"/>
  <c r="N343" i="19"/>
  <c r="N344" i="19"/>
  <c r="N345" i="19"/>
  <c r="N346" i="19"/>
  <c r="N489" i="19"/>
  <c r="N490" i="19"/>
  <c r="N491" i="19"/>
  <c r="N492" i="19"/>
  <c r="N493" i="19"/>
  <c r="N494" i="19"/>
  <c r="N495" i="19"/>
  <c r="N496" i="19"/>
  <c r="N497" i="19"/>
  <c r="N498" i="19"/>
  <c r="N373" i="19"/>
  <c r="N374" i="19"/>
  <c r="N375" i="19"/>
  <c r="N4" i="19"/>
  <c r="N40" i="19"/>
  <c r="N41" i="19"/>
  <c r="N42" i="19"/>
  <c r="N43" i="19"/>
  <c r="N44" i="19"/>
  <c r="N45" i="19"/>
  <c r="N46" i="19"/>
  <c r="N47" i="19"/>
  <c r="N48" i="19"/>
  <c r="N49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553" i="19"/>
  <c r="N554" i="19"/>
  <c r="N555" i="19"/>
  <c r="N556" i="19"/>
  <c r="N557" i="19"/>
  <c r="N558" i="19"/>
  <c r="N559" i="19"/>
  <c r="N560" i="19"/>
  <c r="N561" i="19"/>
  <c r="N562" i="19"/>
  <c r="N563" i="19"/>
  <c r="N564" i="19"/>
  <c r="N701" i="19"/>
  <c r="N702" i="19"/>
  <c r="N703" i="19"/>
  <c r="N704" i="19"/>
  <c r="N705" i="19"/>
  <c r="N706" i="19"/>
  <c r="N707" i="19"/>
  <c r="N708" i="19"/>
  <c r="N709" i="19"/>
  <c r="N710" i="19"/>
  <c r="N711" i="19"/>
  <c r="N712" i="19"/>
  <c r="N713" i="19"/>
  <c r="N714" i="19"/>
  <c r="N715" i="19"/>
  <c r="N716" i="19"/>
  <c r="N717" i="19"/>
  <c r="N604" i="19"/>
  <c r="N605" i="19"/>
  <c r="N606" i="19"/>
  <c r="N607" i="19"/>
  <c r="N608" i="19"/>
  <c r="N609" i="19"/>
  <c r="N610" i="19"/>
  <c r="N611" i="19"/>
  <c r="N612" i="19"/>
  <c r="N613" i="19"/>
  <c r="N614" i="19"/>
  <c r="N615" i="19"/>
  <c r="N616" i="19"/>
  <c r="N718" i="19"/>
  <c r="N719" i="19"/>
  <c r="N2" i="19"/>
  <c r="N6" i="19"/>
  <c r="N7" i="19"/>
  <c r="N89" i="19"/>
  <c r="N90" i="19"/>
  <c r="N91" i="19"/>
  <c r="N92" i="19"/>
  <c r="N93" i="19"/>
  <c r="N94" i="19"/>
  <c r="N95" i="19"/>
  <c r="N96" i="19"/>
  <c r="N97" i="19"/>
  <c r="N167" i="19"/>
  <c r="N168" i="19"/>
  <c r="N376" i="19"/>
  <c r="N183" i="19"/>
  <c r="N410" i="19"/>
  <c r="N377" i="19"/>
  <c r="N378" i="19"/>
  <c r="N379" i="19"/>
  <c r="N380" i="19"/>
  <c r="N462" i="19"/>
  <c r="N463" i="19"/>
  <c r="N506" i="19"/>
  <c r="N507" i="19"/>
  <c r="N508" i="19"/>
  <c r="N509" i="19"/>
  <c r="N510" i="19"/>
  <c r="N642" i="19"/>
  <c r="N643" i="19"/>
  <c r="N684" i="19"/>
  <c r="N660" i="19"/>
  <c r="N3" i="19"/>
  <c r="N17" i="19"/>
  <c r="N18" i="19"/>
  <c r="N19" i="19"/>
  <c r="N20" i="19"/>
  <c r="N21" i="19"/>
  <c r="N22" i="19"/>
  <c r="N23" i="19"/>
  <c r="N66" i="19"/>
  <c r="N67" i="19"/>
  <c r="N74" i="19"/>
  <c r="N68" i="19"/>
  <c r="N75" i="19"/>
  <c r="N76" i="19"/>
  <c r="N77" i="19"/>
  <c r="N139" i="19"/>
  <c r="N140" i="19"/>
  <c r="N69" i="19"/>
  <c r="N70" i="19"/>
  <c r="N71" i="19"/>
  <c r="N145" i="19"/>
  <c r="N169" i="19"/>
  <c r="N170" i="19"/>
  <c r="N397" i="19"/>
  <c r="N398" i="19"/>
  <c r="N428" i="19"/>
  <c r="N429" i="19"/>
  <c r="N430" i="19"/>
  <c r="N464" i="19"/>
  <c r="N301" i="19"/>
  <c r="N396" i="19"/>
  <c r="N431" i="19"/>
  <c r="N432" i="19"/>
  <c r="N433" i="19"/>
  <c r="N451" i="19"/>
  <c r="N565" i="19"/>
  <c r="N566" i="19"/>
  <c r="N567" i="19"/>
  <c r="N630" i="19"/>
  <c r="N631" i="19"/>
  <c r="N639" i="19"/>
  <c r="N589" i="19"/>
  <c r="N590" i="19"/>
  <c r="N591" i="19"/>
  <c r="N592" i="19"/>
  <c r="N593" i="19"/>
  <c r="N594" i="19"/>
  <c r="N595" i="19"/>
  <c r="N596" i="19"/>
  <c r="N597" i="19"/>
  <c r="N598" i="19"/>
  <c r="N599" i="19"/>
  <c r="N600" i="19"/>
  <c r="N601" i="19"/>
  <c r="N399" i="19"/>
  <c r="N400" i="19"/>
  <c r="N401" i="19"/>
  <c r="N402" i="19"/>
  <c r="N403" i="19"/>
  <c r="N404" i="19"/>
  <c r="N405" i="19"/>
  <c r="N406" i="19"/>
  <c r="N407" i="19"/>
  <c r="N408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79" i="19"/>
  <c r="N480" i="19"/>
  <c r="N481" i="19"/>
  <c r="N482" i="19"/>
  <c r="N483" i="19"/>
  <c r="N484" i="19"/>
  <c r="N465" i="19"/>
  <c r="N466" i="19"/>
  <c r="N467" i="19"/>
  <c r="N568" i="19"/>
  <c r="N569" i="19"/>
  <c r="N570" i="19"/>
  <c r="N571" i="19"/>
  <c r="N572" i="19"/>
  <c r="N573" i="19"/>
  <c r="N574" i="19"/>
  <c r="N575" i="19"/>
  <c r="N576" i="19"/>
  <c r="N577" i="19"/>
  <c r="N617" i="19"/>
  <c r="N618" i="19"/>
  <c r="N720" i="19"/>
  <c r="N661" i="19"/>
  <c r="N662" i="19"/>
  <c r="N663" i="19"/>
  <c r="N664" i="19"/>
  <c r="N665" i="19"/>
  <c r="N666" i="19"/>
  <c r="N667" i="19"/>
  <c r="N668" i="19"/>
  <c r="N669" i="19"/>
  <c r="N670" i="19"/>
  <c r="N671" i="19"/>
  <c r="N672" i="19"/>
  <c r="N673" i="19"/>
  <c r="N674" i="19"/>
  <c r="N675" i="19"/>
  <c r="N676" i="19"/>
  <c r="N728" i="19"/>
  <c r="N15" i="19"/>
  <c r="N16" i="19"/>
  <c r="N311" i="19"/>
  <c r="N312" i="19"/>
  <c r="N313" i="19"/>
  <c r="N314" i="19"/>
  <c r="N102" i="19"/>
  <c r="N103" i="19"/>
  <c r="N104" i="19"/>
  <c r="N305" i="19"/>
  <c r="N306" i="19"/>
  <c r="N196" i="19"/>
  <c r="N197" i="19"/>
  <c r="N198" i="19"/>
  <c r="N199" i="19"/>
  <c r="N200" i="19"/>
  <c r="N201" i="19"/>
  <c r="N202" i="19"/>
  <c r="N203" i="19"/>
  <c r="N294" i="19"/>
  <c r="N295" i="19"/>
  <c r="N296" i="19"/>
  <c r="N297" i="19"/>
  <c r="N298" i="19"/>
  <c r="N307" i="19"/>
  <c r="N315" i="19"/>
  <c r="N316" i="19"/>
  <c r="N317" i="19"/>
  <c r="N318" i="19"/>
  <c r="N319" i="19"/>
  <c r="N320" i="19"/>
  <c r="N321" i="19"/>
  <c r="N308" i="19"/>
  <c r="N24" i="19"/>
  <c r="N25" i="19"/>
  <c r="N26" i="19"/>
  <c r="N146" i="19"/>
  <c r="N147" i="19"/>
  <c r="N148" i="19"/>
  <c r="N144" i="19"/>
  <c r="N149" i="19"/>
  <c r="N150" i="19"/>
  <c r="N151" i="19"/>
  <c r="N162" i="19"/>
  <c r="N163" i="19"/>
  <c r="N164" i="19"/>
  <c r="N165" i="19"/>
  <c r="N166" i="19"/>
  <c r="N184" i="19"/>
  <c r="N185" i="19"/>
  <c r="N204" i="19"/>
  <c r="N205" i="19"/>
  <c r="N206" i="19"/>
  <c r="N207" i="19"/>
  <c r="N208" i="19"/>
  <c r="N209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76" i="19"/>
  <c r="N277" i="19"/>
  <c r="N278" i="19"/>
  <c r="N279" i="19"/>
  <c r="N280" i="19"/>
  <c r="N234" i="19"/>
  <c r="N281" i="19"/>
  <c r="N282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83" i="19"/>
  <c r="N284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04" i="19"/>
  <c r="N362" i="19"/>
  <c r="N363" i="19"/>
  <c r="N364" i="19"/>
  <c r="N365" i="19"/>
  <c r="N366" i="19"/>
  <c r="N367" i="19"/>
  <c r="N368" i="19"/>
  <c r="N369" i="19"/>
  <c r="N370" i="19"/>
  <c r="N371" i="19"/>
  <c r="N425" i="19"/>
  <c r="N426" i="19"/>
  <c r="N372" i="19"/>
  <c r="N485" i="19"/>
  <c r="N409" i="19"/>
  <c r="N427" i="19"/>
  <c r="N529" i="19"/>
  <c r="N530" i="19"/>
  <c r="N452" i="19"/>
  <c r="N453" i="19"/>
  <c r="N454" i="19"/>
  <c r="N455" i="19"/>
  <c r="N456" i="19"/>
  <c r="N457" i="19"/>
  <c r="N531" i="19"/>
  <c r="N532" i="19"/>
  <c r="N533" i="19"/>
  <c r="N534" i="19"/>
  <c r="N535" i="19"/>
  <c r="N536" i="19"/>
  <c r="N537" i="19"/>
  <c r="N538" i="19"/>
  <c r="N539" i="19"/>
  <c r="N540" i="19"/>
  <c r="N541" i="19"/>
  <c r="N542" i="19"/>
  <c r="N543" i="19"/>
  <c r="N544" i="19"/>
  <c r="N545" i="19"/>
  <c r="N546" i="19"/>
  <c r="N547" i="19"/>
  <c r="N578" i="19"/>
  <c r="N579" i="19"/>
  <c r="N548" i="19"/>
  <c r="N549" i="19"/>
  <c r="N550" i="19"/>
  <c r="N619" i="19"/>
  <c r="N620" i="19"/>
  <c r="N632" i="19"/>
  <c r="N633" i="19"/>
  <c r="N634" i="19"/>
  <c r="N635" i="19"/>
  <c r="N636" i="19"/>
  <c r="N621" i="19"/>
  <c r="N622" i="19"/>
  <c r="N623" i="19"/>
  <c r="N624" i="19"/>
  <c r="N644" i="19"/>
  <c r="N645" i="19"/>
  <c r="N651" i="19"/>
  <c r="N652" i="19"/>
  <c r="N721" i="19"/>
  <c r="N724" i="19"/>
  <c r="N725" i="19"/>
  <c r="N726" i="19"/>
  <c r="N727" i="19"/>
  <c r="N754" i="19"/>
  <c r="N755" i="19"/>
  <c r="N756" i="19"/>
  <c r="N763" i="19"/>
  <c r="N764" i="19"/>
  <c r="N765" i="19"/>
  <c r="N5" i="19"/>
  <c r="N302" i="19"/>
  <c r="N303" i="19"/>
  <c r="N78" i="19"/>
  <c r="N215" i="19"/>
  <c r="N231" i="19"/>
  <c r="N444" i="19"/>
  <c r="N232" i="19"/>
  <c r="N233" i="19"/>
  <c r="N445" i="19"/>
  <c r="N446" i="19"/>
  <c r="N447" i="19"/>
  <c r="N625" i="19"/>
  <c r="N626" i="19"/>
  <c r="N627" i="19"/>
  <c r="N729" i="19"/>
  <c r="N730" i="19"/>
  <c r="N731" i="19"/>
  <c r="N732" i="19"/>
  <c r="N649" i="19"/>
  <c r="N650" i="19"/>
  <c r="N771" i="19"/>
  <c r="N772" i="19"/>
  <c r="N10" i="19"/>
  <c r="N11" i="19"/>
  <c r="N12" i="19"/>
  <c r="N186" i="19"/>
  <c r="N187" i="19"/>
  <c r="N188" i="19"/>
  <c r="N189" i="19"/>
  <c r="N190" i="19"/>
  <c r="N322" i="19"/>
  <c r="N323" i="19"/>
  <c r="N324" i="19"/>
  <c r="N325" i="19"/>
  <c r="N326" i="19"/>
  <c r="N8" i="19"/>
  <c r="N9" i="19"/>
  <c r="N13" i="19"/>
  <c r="N14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50" i="19"/>
  <c r="N51" i="19"/>
  <c r="N55" i="19"/>
  <c r="N56" i="19"/>
  <c r="N57" i="19"/>
  <c r="N58" i="19"/>
  <c r="N59" i="19"/>
  <c r="N60" i="19"/>
  <c r="N61" i="19"/>
  <c r="N62" i="19"/>
  <c r="N63" i="19"/>
  <c r="N64" i="19"/>
  <c r="N65" i="19"/>
  <c r="N79" i="19"/>
  <c r="N80" i="19"/>
  <c r="N81" i="19"/>
  <c r="N82" i="19"/>
  <c r="N83" i="19"/>
  <c r="N84" i="19"/>
  <c r="N85" i="19"/>
  <c r="N86" i="19"/>
  <c r="N87" i="19"/>
  <c r="N88" i="19"/>
  <c r="N72" i="19"/>
  <c r="N73" i="19"/>
  <c r="N98" i="19"/>
  <c r="N99" i="19"/>
  <c r="N100" i="19"/>
  <c r="N101" i="19"/>
  <c r="N141" i="19"/>
  <c r="N142" i="19"/>
  <c r="N143" i="19"/>
  <c r="N152" i="19"/>
  <c r="N153" i="19"/>
  <c r="N154" i="19"/>
  <c r="N155" i="19"/>
  <c r="N156" i="19"/>
  <c r="N157" i="19"/>
  <c r="N158" i="19"/>
  <c r="N159" i="19"/>
  <c r="N160" i="19"/>
  <c r="N161" i="19"/>
  <c r="N252" i="19"/>
  <c r="N253" i="19"/>
  <c r="N254" i="19"/>
  <c r="N255" i="19"/>
  <c r="N256" i="19"/>
  <c r="N257" i="19"/>
  <c r="N258" i="19"/>
  <c r="N285" i="19"/>
  <c r="N286" i="19"/>
  <c r="N287" i="19"/>
  <c r="N288" i="19"/>
  <c r="N289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90" i="19"/>
  <c r="N291" i="19"/>
  <c r="N292" i="19"/>
  <c r="N293" i="19"/>
  <c r="N271" i="19"/>
  <c r="N272" i="19"/>
  <c r="N273" i="19"/>
  <c r="N274" i="19"/>
  <c r="N275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459" i="19"/>
  <c r="N460" i="19"/>
  <c r="N461" i="19"/>
  <c r="N309" i="19"/>
  <c r="N310" i="19"/>
  <c r="N192" i="19"/>
  <c r="N193" i="19"/>
  <c r="N194" i="19"/>
  <c r="N195" i="19"/>
  <c r="N685" i="19"/>
  <c r="N686" i="19"/>
  <c r="N299" i="19"/>
  <c r="N300" i="19"/>
  <c r="N191" i="19"/>
  <c r="N811" i="19"/>
  <c r="N812" i="19"/>
  <c r="N637" i="19"/>
  <c r="N638" i="19"/>
  <c r="N1165" i="19"/>
  <c r="N677" i="19"/>
  <c r="N678" i="19"/>
  <c r="N679" i="19"/>
  <c r="N680" i="19"/>
  <c r="N681" i="19"/>
  <c r="N682" i="19"/>
  <c r="N752" i="19"/>
  <c r="N753" i="19"/>
  <c r="N757" i="19"/>
  <c r="N766" i="19"/>
  <c r="N767" i="19"/>
  <c r="N776" i="19"/>
  <c r="N777" i="19"/>
  <c r="N795" i="19"/>
  <c r="N796" i="19"/>
  <c r="N813" i="19"/>
  <c r="N814" i="19"/>
  <c r="N815" i="19"/>
  <c r="N816" i="19"/>
  <c r="N997" i="19"/>
  <c r="N998" i="19"/>
  <c r="N999" i="19"/>
  <c r="N1000" i="19"/>
  <c r="N1333" i="19"/>
  <c r="N1334" i="19"/>
  <c r="N1335" i="19"/>
  <c r="N1336" i="19"/>
  <c r="N1337" i="19"/>
  <c r="N1338" i="19"/>
  <c r="N1339" i="19"/>
  <c r="N1340" i="19"/>
  <c r="N1341" i="19"/>
  <c r="N1342" i="19"/>
  <c r="N1343" i="19"/>
  <c r="N1344" i="19"/>
  <c r="N1345" i="19"/>
  <c r="N1346" i="19"/>
  <c r="N1347" i="19"/>
  <c r="N1348" i="19"/>
  <c r="N817" i="19"/>
  <c r="N818" i="19"/>
  <c r="N819" i="19"/>
  <c r="N820" i="19"/>
  <c r="N821" i="19"/>
  <c r="N822" i="19"/>
  <c r="N823" i="19"/>
  <c r="N824" i="19"/>
  <c r="N825" i="19"/>
  <c r="N826" i="19"/>
  <c r="N827" i="19"/>
  <c r="N828" i="19"/>
  <c r="N924" i="19"/>
  <c r="N925" i="19"/>
  <c r="N926" i="19"/>
  <c r="N927" i="19"/>
  <c r="N928" i="19"/>
  <c r="N929" i="19"/>
  <c r="N930" i="19"/>
  <c r="N931" i="19"/>
  <c r="N1128" i="19"/>
  <c r="N1129" i="19"/>
  <c r="N1130" i="19"/>
  <c r="N1131" i="19"/>
  <c r="N1132" i="19"/>
  <c r="N1290" i="19"/>
  <c r="N1291" i="19"/>
  <c r="N1292" i="19"/>
  <c r="N1293" i="19"/>
  <c r="N1294" i="19"/>
  <c r="N1295" i="19"/>
  <c r="N768" i="19"/>
  <c r="N769" i="19"/>
  <c r="N829" i="19"/>
  <c r="N830" i="19"/>
  <c r="N758" i="19"/>
  <c r="N831" i="19"/>
  <c r="N832" i="19"/>
  <c r="N778" i="19"/>
  <c r="N779" i="19"/>
  <c r="N770" i="19"/>
  <c r="N851" i="19"/>
  <c r="N917" i="19"/>
  <c r="N918" i="19"/>
  <c r="N852" i="19"/>
  <c r="N982" i="19"/>
  <c r="N983" i="19"/>
  <c r="N984" i="19"/>
  <c r="N1014" i="19"/>
  <c r="N1151" i="19"/>
  <c r="N1320" i="19"/>
  <c r="N1321" i="19"/>
  <c r="N1257" i="19"/>
  <c r="N1133" i="19"/>
  <c r="N1134" i="19"/>
  <c r="N1135" i="19"/>
  <c r="N1166" i="19"/>
  <c r="N883" i="19"/>
  <c r="N884" i="19"/>
  <c r="N885" i="19"/>
  <c r="N886" i="19"/>
  <c r="N887" i="19"/>
  <c r="N888" i="19"/>
  <c r="N889" i="19"/>
  <c r="N890" i="19"/>
  <c r="N891" i="19"/>
  <c r="N780" i="19"/>
  <c r="N797" i="19"/>
  <c r="N798" i="19"/>
  <c r="N836" i="19"/>
  <c r="N799" i="19"/>
  <c r="N800" i="19"/>
  <c r="N833" i="19"/>
  <c r="N837" i="19"/>
  <c r="N872" i="19"/>
  <c r="N873" i="19"/>
  <c r="N979" i="19"/>
  <c r="N980" i="19"/>
  <c r="N981" i="19"/>
  <c r="N1156" i="19"/>
  <c r="N1157" i="19"/>
  <c r="N993" i="19"/>
  <c r="N1001" i="19"/>
  <c r="N1002" i="19"/>
  <c r="N1081" i="19"/>
  <c r="N1082" i="19"/>
  <c r="N1083" i="19"/>
  <c r="N1084" i="19"/>
  <c r="N1152" i="19"/>
  <c r="N1158" i="19"/>
  <c r="N1159" i="19"/>
  <c r="N1160" i="19"/>
  <c r="N1161" i="19"/>
  <c r="N841" i="19"/>
  <c r="N842" i="19"/>
  <c r="N843" i="19"/>
  <c r="N844" i="19"/>
  <c r="N845" i="19"/>
  <c r="N1136" i="19"/>
  <c r="N1137" i="19"/>
  <c r="N733" i="19"/>
  <c r="N734" i="19"/>
  <c r="N735" i="19"/>
  <c r="N736" i="19"/>
  <c r="N737" i="19"/>
  <c r="N738" i="19"/>
  <c r="N739" i="19"/>
  <c r="N740" i="19"/>
  <c r="N741" i="19"/>
  <c r="N742" i="19"/>
  <c r="N743" i="19"/>
  <c r="N744" i="19"/>
  <c r="N745" i="19"/>
  <c r="N781" i="19"/>
  <c r="N782" i="19"/>
  <c r="N783" i="19"/>
  <c r="N784" i="19"/>
  <c r="N785" i="19"/>
  <c r="N786" i="19"/>
  <c r="N787" i="19"/>
  <c r="N788" i="19"/>
  <c r="N789" i="19"/>
  <c r="N790" i="19"/>
  <c r="N853" i="19"/>
  <c r="N854" i="19"/>
  <c r="N855" i="19"/>
  <c r="N856" i="19"/>
  <c r="N857" i="19"/>
  <c r="N858" i="19"/>
  <c r="N859" i="19"/>
  <c r="N860" i="19"/>
  <c r="N861" i="19"/>
  <c r="N862" i="19"/>
  <c r="N874" i="19"/>
  <c r="N875" i="19"/>
  <c r="N876" i="19"/>
  <c r="N897" i="19"/>
  <c r="N898" i="19"/>
  <c r="N899" i="19"/>
  <c r="N900" i="19"/>
  <c r="N907" i="19"/>
  <c r="N908" i="19"/>
  <c r="N909" i="19"/>
  <c r="N910" i="19"/>
  <c r="N911" i="19"/>
  <c r="N912" i="19"/>
  <c r="N913" i="19"/>
  <c r="N914" i="19"/>
  <c r="N1003" i="19"/>
  <c r="N1004" i="19"/>
  <c r="N1005" i="19"/>
  <c r="N1006" i="19"/>
  <c r="N1007" i="19"/>
  <c r="N1008" i="19"/>
  <c r="N1009" i="19"/>
  <c r="N932" i="19"/>
  <c r="N933" i="19"/>
  <c r="N934" i="19"/>
  <c r="N935" i="19"/>
  <c r="N936" i="19"/>
  <c r="N937" i="19"/>
  <c r="N938" i="19"/>
  <c r="N939" i="19"/>
  <c r="N940" i="19"/>
  <c r="N941" i="19"/>
  <c r="N942" i="19"/>
  <c r="N943" i="19"/>
  <c r="N944" i="19"/>
  <c r="N945" i="19"/>
  <c r="N946" i="19"/>
  <c r="N967" i="19"/>
  <c r="N968" i="19"/>
  <c r="N969" i="19"/>
  <c r="N970" i="19"/>
  <c r="N971" i="19"/>
  <c r="N972" i="19"/>
  <c r="N973" i="19"/>
  <c r="N974" i="19"/>
  <c r="N975" i="19"/>
  <c r="N976" i="19"/>
  <c r="N977" i="19"/>
  <c r="N978" i="19"/>
  <c r="N985" i="19"/>
  <c r="N986" i="19"/>
  <c r="N987" i="19"/>
  <c r="N988" i="19"/>
  <c r="N989" i="19"/>
  <c r="N990" i="19"/>
  <c r="N991" i="19"/>
  <c r="N992" i="19"/>
  <c r="N1015" i="19"/>
  <c r="N1017" i="19"/>
  <c r="N1018" i="19"/>
  <c r="N1019" i="19"/>
  <c r="N1020" i="19"/>
  <c r="N1021" i="19"/>
  <c r="N1022" i="19"/>
  <c r="N1042" i="19"/>
  <c r="N1043" i="19"/>
  <c r="N1044" i="19"/>
  <c r="N1045" i="19"/>
  <c r="N1046" i="19"/>
  <c r="N1047" i="19"/>
  <c r="N1048" i="19"/>
  <c r="N1100" i="19"/>
  <c r="N1087" i="19"/>
  <c r="N1088" i="19"/>
  <c r="N1089" i="19"/>
  <c r="N1090" i="19"/>
  <c r="N1091" i="19"/>
  <c r="N1092" i="19"/>
  <c r="N1093" i="19"/>
  <c r="N1094" i="19"/>
  <c r="N1052" i="19"/>
  <c r="N1053" i="19"/>
  <c r="N1117" i="19"/>
  <c r="N1118" i="19"/>
  <c r="N1119" i="19"/>
  <c r="N1120" i="19"/>
  <c r="N1121" i="19"/>
  <c r="N1122" i="19"/>
  <c r="N1123" i="19"/>
  <c r="N1054" i="19"/>
  <c r="N1055" i="19"/>
  <c r="N1056" i="19"/>
  <c r="N1101" i="19"/>
  <c r="N1057" i="19"/>
  <c r="N1102" i="19"/>
  <c r="N1103" i="19"/>
  <c r="N1104" i="19"/>
  <c r="N1105" i="19"/>
  <c r="N1106" i="19"/>
  <c r="N1107" i="19"/>
  <c r="N1108" i="19"/>
  <c r="N1109" i="19"/>
  <c r="N1110" i="19"/>
  <c r="N1111" i="19"/>
  <c r="N1112" i="19"/>
  <c r="N1113" i="19"/>
  <c r="N1138" i="19"/>
  <c r="N1139" i="19"/>
  <c r="N1140" i="19"/>
  <c r="N1141" i="19"/>
  <c r="N1142" i="19"/>
  <c r="N1146" i="19"/>
  <c r="N1147" i="19"/>
  <c r="N1148" i="19"/>
  <c r="N1149" i="19"/>
  <c r="N1150" i="19"/>
  <c r="N1162" i="19"/>
  <c r="N1168" i="19"/>
  <c r="N1169" i="19"/>
  <c r="N1170" i="19"/>
  <c r="N1171" i="19"/>
  <c r="N1172" i="19"/>
  <c r="N1173" i="19"/>
  <c r="N1174" i="19"/>
  <c r="N1175" i="19"/>
  <c r="N1176" i="19"/>
  <c r="N1177" i="19"/>
  <c r="N1178" i="19"/>
  <c r="N1179" i="19"/>
  <c r="N1180" i="19"/>
  <c r="N1181" i="19"/>
  <c r="N1182" i="19"/>
  <c r="N1183" i="19"/>
  <c r="N1188" i="19"/>
  <c r="N1189" i="19"/>
  <c r="N1190" i="19"/>
  <c r="N1191" i="19"/>
  <c r="N1192" i="19"/>
  <c r="N1193" i="19"/>
  <c r="N1194" i="19"/>
  <c r="N1195" i="19"/>
  <c r="N1196" i="19"/>
  <c r="N1197" i="19"/>
  <c r="N1198" i="19"/>
  <c r="N1199" i="19"/>
  <c r="N1200" i="19"/>
  <c r="N1201" i="19"/>
  <c r="N1202" i="19"/>
  <c r="N1203" i="19"/>
  <c r="N1204" i="19"/>
  <c r="N1205" i="19"/>
  <c r="N1206" i="19"/>
  <c r="N1313" i="19"/>
  <c r="N1207" i="19"/>
  <c r="N1208" i="19"/>
  <c r="N1209" i="19"/>
  <c r="N1210" i="19"/>
  <c r="N1211" i="19"/>
  <c r="N1212" i="19"/>
  <c r="N1213" i="19"/>
  <c r="N1214" i="19"/>
  <c r="N1215" i="19"/>
  <c r="N1216" i="19"/>
  <c r="N1217" i="19"/>
  <c r="N1218" i="19"/>
  <c r="N1226" i="19"/>
  <c r="N1227" i="19"/>
  <c r="N1228" i="19"/>
  <c r="N1229" i="19"/>
  <c r="N1230" i="19"/>
  <c r="N1231" i="19"/>
  <c r="N1232" i="19"/>
  <c r="N1233" i="19"/>
  <c r="N1234" i="19"/>
  <c r="N1235" i="19"/>
  <c r="N1236" i="19"/>
  <c r="N1237" i="19"/>
  <c r="N1238" i="19"/>
  <c r="N1239" i="19"/>
  <c r="N1240" i="19"/>
  <c r="N1241" i="19"/>
  <c r="N1242" i="19"/>
  <c r="N1243" i="19"/>
  <c r="N1314" i="19"/>
  <c r="N773" i="19"/>
  <c r="N791" i="19"/>
  <c r="N801" i="19"/>
  <c r="N802" i="19"/>
  <c r="N834" i="19"/>
  <c r="N835" i="19"/>
  <c r="N838" i="19"/>
  <c r="N839" i="19"/>
  <c r="N840" i="19"/>
  <c r="N846" i="19"/>
  <c r="N863" i="19"/>
  <c r="N864" i="19"/>
  <c r="N865" i="19"/>
  <c r="N866" i="19"/>
  <c r="N867" i="19"/>
  <c r="N868" i="19"/>
  <c r="N869" i="19"/>
  <c r="N870" i="19"/>
  <c r="N871" i="19"/>
  <c r="N892" i="19"/>
  <c r="N893" i="19"/>
  <c r="N894" i="19"/>
  <c r="N895" i="19"/>
  <c r="N901" i="19"/>
  <c r="N902" i="19"/>
  <c r="N915" i="19"/>
  <c r="N947" i="19"/>
  <c r="N948" i="19"/>
  <c r="N916" i="19"/>
  <c r="N949" i="19"/>
  <c r="N919" i="19"/>
  <c r="N958" i="19"/>
  <c r="N959" i="19"/>
  <c r="N950" i="19"/>
  <c r="N960" i="19"/>
  <c r="N1033" i="19"/>
  <c r="N1016" i="19"/>
  <c r="N1023" i="19"/>
  <c r="N1024" i="19"/>
  <c r="N1025" i="19"/>
  <c r="N1026" i="19"/>
  <c r="N1060" i="19"/>
  <c r="N1061" i="19"/>
  <c r="N1062" i="19"/>
  <c r="N1063" i="19"/>
  <c r="N1064" i="19"/>
  <c r="N1065" i="19"/>
  <c r="N1066" i="19"/>
  <c r="N1067" i="19"/>
  <c r="N1068" i="19"/>
  <c r="N1069" i="19"/>
  <c r="N1070" i="19"/>
  <c r="N1071" i="19"/>
  <c r="N1072" i="19"/>
  <c r="N1073" i="19"/>
  <c r="N1074" i="19"/>
  <c r="N1075" i="19"/>
  <c r="N1114" i="19"/>
  <c r="N1076" i="19"/>
  <c r="N1077" i="19"/>
  <c r="N1078" i="19"/>
  <c r="N1079" i="19"/>
  <c r="N1080" i="19"/>
  <c r="N1144" i="19"/>
  <c r="N878" i="19"/>
  <c r="N879" i="19"/>
  <c r="N951" i="19"/>
  <c r="N952" i="19"/>
  <c r="N1219" i="19"/>
  <c r="N1220" i="19"/>
  <c r="N1221" i="19"/>
  <c r="N1222" i="19"/>
  <c r="N1223" i="19"/>
  <c r="N1124" i="19"/>
  <c r="N1115" i="19"/>
  <c r="N1116" i="19"/>
  <c r="N1125" i="19"/>
  <c r="N1143" i="19"/>
  <c r="N1153" i="19"/>
  <c r="N1154" i="19"/>
  <c r="N1155" i="19"/>
  <c r="N1163" i="19"/>
  <c r="N1164" i="19"/>
  <c r="N1315" i="19"/>
  <c r="N1316" i="19"/>
  <c r="N1317" i="19"/>
  <c r="N1224" i="19"/>
  <c r="N1225" i="19"/>
  <c r="N961" i="19"/>
  <c r="N962" i="19"/>
  <c r="N1010" i="19"/>
  <c r="N1011" i="19"/>
  <c r="N1012" i="19"/>
  <c r="N1013" i="19"/>
  <c r="N1027" i="19"/>
  <c r="N1145" i="19"/>
  <c r="N1349" i="19"/>
  <c r="N1350" i="19"/>
  <c r="N1351" i="19"/>
  <c r="N963" i="19"/>
  <c r="N964" i="19"/>
  <c r="N965" i="19"/>
  <c r="N966" i="19"/>
  <c r="N1028" i="19"/>
  <c r="N1029" i="19"/>
  <c r="N1258" i="19"/>
  <c r="N1259" i="19"/>
  <c r="N1260" i="19"/>
  <c r="N1261" i="19"/>
  <c r="N1262" i="19"/>
  <c r="N1263" i="19"/>
  <c r="N1264" i="19"/>
  <c r="N1265" i="19"/>
  <c r="N1266" i="19"/>
  <c r="N1267" i="19"/>
  <c r="N2049" i="19"/>
  <c r="N2050" i="19"/>
  <c r="N2051" i="19"/>
  <c r="N2052" i="19"/>
  <c r="N2053" i="19"/>
  <c r="N2054" i="19"/>
  <c r="N880" i="19"/>
  <c r="N881" i="19"/>
  <c r="N903" i="19"/>
  <c r="N920" i="19"/>
  <c r="N896" i="19"/>
  <c r="N953" i="19"/>
  <c r="N954" i="19"/>
  <c r="N1095" i="19"/>
  <c r="N1096" i="19"/>
  <c r="N1184" i="19"/>
  <c r="N1185" i="19"/>
  <c r="N955" i="19"/>
  <c r="N882" i="19"/>
  <c r="N994" i="19"/>
  <c r="N995" i="19"/>
  <c r="N1058" i="19"/>
  <c r="N1059" i="19"/>
  <c r="N1034" i="19"/>
  <c r="N1035" i="19"/>
  <c r="N1036" i="19"/>
  <c r="N1037" i="19"/>
  <c r="N1038" i="19"/>
  <c r="N1039" i="19"/>
  <c r="N1097" i="19"/>
  <c r="N1098" i="19"/>
  <c r="N1099" i="19"/>
  <c r="N956" i="19"/>
  <c r="N957" i="19"/>
  <c r="N847" i="19"/>
  <c r="N848" i="19"/>
  <c r="N904" i="19"/>
  <c r="N905" i="19"/>
  <c r="N849" i="19"/>
  <c r="N921" i="19"/>
  <c r="N922" i="19"/>
  <c r="N1186" i="19"/>
  <c r="N1187" i="19"/>
  <c r="N1040" i="19"/>
  <c r="N1041" i="19"/>
  <c r="N803" i="19"/>
  <c r="N804" i="19"/>
  <c r="N805" i="19"/>
  <c r="N806" i="19"/>
  <c r="N923" i="19"/>
  <c r="N1126" i="19"/>
  <c r="N1127" i="19"/>
  <c r="N906" i="19"/>
  <c r="N850" i="19"/>
  <c r="N807" i="19"/>
  <c r="N808" i="19"/>
  <c r="N809" i="19"/>
  <c r="N810" i="19"/>
  <c r="N996" i="19"/>
  <c r="N1049" i="19"/>
  <c r="N1050" i="19"/>
  <c r="N1051" i="19"/>
  <c r="N1085" i="19"/>
  <c r="N1030" i="19"/>
  <c r="N1031" i="19"/>
  <c r="N1032" i="19"/>
  <c r="N1167" i="19"/>
  <c r="N877" i="19"/>
  <c r="N1086" i="19"/>
  <c r="N2234" i="19"/>
  <c r="N2235" i="19"/>
  <c r="N2236" i="19"/>
  <c r="N2237" i="19"/>
  <c r="N2238" i="19"/>
  <c r="N2239" i="19"/>
  <c r="N2225" i="19"/>
  <c r="N2240" i="19"/>
  <c r="N2241" i="19"/>
  <c r="N2242" i="19"/>
  <c r="N2243" i="19"/>
  <c r="N2245" i="19"/>
  <c r="N2244" i="19"/>
  <c r="N2247" i="19"/>
  <c r="N2248" i="19"/>
  <c r="N2249" i="19"/>
  <c r="N2250" i="19"/>
  <c r="N2246" i="19"/>
  <c r="N2365" i="19"/>
  <c r="N2366" i="19"/>
  <c r="N2367" i="19"/>
  <c r="N2368" i="19"/>
  <c r="N2369" i="19"/>
  <c r="N2372" i="19"/>
  <c r="N2373" i="19"/>
  <c r="N2336" i="19"/>
  <c r="N2337" i="19"/>
  <c r="N2338" i="19"/>
  <c r="N2251" i="19"/>
  <c r="N2252" i="19"/>
  <c r="N2253" i="19"/>
  <c r="N2254" i="19"/>
  <c r="N2274" i="19"/>
  <c r="N2275" i="19"/>
  <c r="N2276" i="19"/>
  <c r="N2278" i="19"/>
  <c r="N2279" i="19"/>
  <c r="N2280" i="19"/>
  <c r="N2281" i="19"/>
  <c r="N2282" i="19"/>
  <c r="N2283" i="19"/>
  <c r="N2255" i="19"/>
  <c r="N2284" i="19"/>
  <c r="N2285" i="19"/>
  <c r="N2286" i="19"/>
  <c r="N2295" i="19"/>
  <c r="N2296" i="19"/>
  <c r="N2297" i="19"/>
  <c r="N2339" i="19"/>
  <c r="N2299" i="19"/>
  <c r="N2300" i="19"/>
  <c r="N2301" i="19"/>
  <c r="N2302" i="19"/>
  <c r="N2303" i="19"/>
  <c r="N2304" i="19"/>
  <c r="N2375" i="19"/>
  <c r="N2374" i="19"/>
  <c r="N2305" i="19"/>
  <c r="N2306" i="19"/>
  <c r="N2259" i="19"/>
  <c r="N2260" i="19"/>
  <c r="N2335" i="19"/>
  <c r="N2307" i="19"/>
  <c r="N2308" i="19"/>
  <c r="N2309" i="19"/>
  <c r="N2310" i="19"/>
  <c r="N2311" i="19"/>
  <c r="N2312" i="19"/>
  <c r="N2313" i="19"/>
  <c r="N2314" i="19"/>
  <c r="N2315" i="19"/>
  <c r="N2316" i="19"/>
  <c r="N2317" i="19"/>
  <c r="N2318" i="19"/>
  <c r="N2319" i="19"/>
  <c r="N2320" i="19"/>
  <c r="N2321" i="19"/>
  <c r="N2322" i="19"/>
  <c r="N2323" i="19"/>
  <c r="N2324" i="19"/>
  <c r="N2325" i="19"/>
  <c r="N2326" i="19"/>
  <c r="N2327" i="19"/>
  <c r="N2328" i="19"/>
  <c r="N2329" i="19"/>
  <c r="N2330" i="19"/>
  <c r="N2331" i="19"/>
  <c r="N2332" i="19"/>
  <c r="N2333" i="19"/>
  <c r="N2334" i="19"/>
  <c r="N2390" i="19"/>
  <c r="N2288" i="19"/>
  <c r="N2287" i="19"/>
  <c r="N2391" i="19"/>
  <c r="N2392" i="19"/>
  <c r="N2393" i="19"/>
  <c r="N2394" i="19"/>
  <c r="N2395" i="19"/>
  <c r="N2396" i="19"/>
  <c r="N2397" i="19"/>
  <c r="N2398" i="19"/>
  <c r="N2399" i="19"/>
  <c r="N2400" i="19"/>
  <c r="N2401" i="19"/>
  <c r="N2402" i="19"/>
  <c r="N2403" i="19"/>
  <c r="N2404" i="19"/>
  <c r="N2405" i="19"/>
  <c r="N2406" i="19"/>
  <c r="N2408" i="19"/>
  <c r="N2409" i="19"/>
  <c r="N2410" i="19"/>
  <c r="N2411" i="19"/>
  <c r="N2412" i="19"/>
  <c r="N2413" i="19"/>
  <c r="N2414" i="19"/>
  <c r="N2415" i="19"/>
  <c r="N2416" i="19"/>
  <c r="N2417" i="19"/>
  <c r="N2418" i="19"/>
  <c r="N2419" i="19"/>
  <c r="N2420" i="19"/>
  <c r="N2421" i="19"/>
  <c r="N2422" i="19"/>
  <c r="N2423" i="19"/>
  <c r="N2424" i="19"/>
  <c r="N2425" i="19"/>
  <c r="N2426" i="19"/>
  <c r="N2427" i="19"/>
  <c r="N2428" i="19"/>
  <c r="N2429" i="19"/>
  <c r="N2430" i="19"/>
  <c r="N2431" i="19"/>
  <c r="N2432" i="19"/>
  <c r="N2433" i="19"/>
  <c r="N2434" i="19"/>
  <c r="N2435" i="19"/>
  <c r="N2436" i="19"/>
  <c r="N2437" i="19"/>
  <c r="N2438" i="19"/>
  <c r="N2439" i="19"/>
  <c r="N2440" i="19"/>
  <c r="N2441" i="19"/>
  <c r="N2442" i="19"/>
  <c r="N2443" i="19"/>
  <c r="N2444" i="19"/>
  <c r="N2445" i="19"/>
  <c r="N2446" i="19"/>
  <c r="N2447" i="19"/>
  <c r="N2448" i="19"/>
  <c r="N2449" i="19"/>
  <c r="N2450" i="19"/>
  <c r="N2451" i="19"/>
  <c r="N2452" i="19"/>
  <c r="N2453" i="19"/>
  <c r="N2454" i="19"/>
  <c r="N2455" i="19"/>
  <c r="N2456" i="19"/>
  <c r="N2457" i="19"/>
  <c r="N2458" i="19"/>
  <c r="N2459" i="19"/>
  <c r="N2460" i="19"/>
  <c r="N2461" i="19"/>
  <c r="N2462" i="19"/>
  <c r="N2463" i="19"/>
  <c r="N2464" i="19"/>
  <c r="N2465" i="19"/>
  <c r="N2466" i="19"/>
  <c r="N2467" i="19"/>
  <c r="N2468" i="19"/>
  <c r="N2469" i="19"/>
  <c r="N2470" i="19"/>
  <c r="N2471" i="19"/>
  <c r="N2472" i="19"/>
  <c r="N2473" i="19"/>
  <c r="N2474" i="19"/>
  <c r="N2475" i="19"/>
  <c r="N2476" i="19"/>
  <c r="N2477" i="19"/>
  <c r="N2478" i="19"/>
  <c r="N2479" i="19"/>
  <c r="N2480" i="19"/>
  <c r="N2481" i="19"/>
  <c r="N2482" i="19"/>
  <c r="N2483" i="19"/>
  <c r="N2484" i="19"/>
  <c r="N2485" i="19"/>
  <c r="N2486" i="19"/>
  <c r="N2487" i="19"/>
  <c r="N2488" i="19"/>
  <c r="N2489" i="19"/>
  <c r="N2490" i="19"/>
  <c r="N2491" i="19"/>
  <c r="N2492" i="19"/>
  <c r="N2493" i="19"/>
  <c r="N2494" i="19"/>
  <c r="N2495" i="19"/>
  <c r="N2496" i="19"/>
  <c r="N2497" i="19"/>
  <c r="N2498" i="19"/>
  <c r="N2499" i="19"/>
  <c r="N2500" i="19"/>
  <c r="N2501" i="19"/>
  <c r="N2502" i="19"/>
  <c r="N2503" i="19"/>
  <c r="N2504" i="19"/>
  <c r="N2505" i="19"/>
  <c r="N2506" i="19"/>
  <c r="N2507" i="19"/>
  <c r="N2508" i="19"/>
  <c r="N2509" i="19"/>
  <c r="N2510" i="19"/>
  <c r="N2511" i="19"/>
  <c r="N2512" i="19"/>
  <c r="N2513" i="19"/>
  <c r="N2514" i="19"/>
  <c r="N2515" i="19"/>
  <c r="N2516" i="19"/>
  <c r="N2517" i="19"/>
  <c r="N2518" i="19"/>
  <c r="N2519" i="19"/>
  <c r="N2520" i="19"/>
  <c r="N2521" i="19"/>
  <c r="N2522" i="19"/>
  <c r="N2523" i="19"/>
  <c r="N2524" i="19"/>
  <c r="N2525" i="19"/>
  <c r="N2526" i="19"/>
  <c r="N2527" i="19"/>
  <c r="N2528" i="19"/>
  <c r="N2529" i="19"/>
  <c r="N2530" i="19"/>
  <c r="N2531" i="19"/>
  <c r="N2532" i="19"/>
  <c r="N2533" i="19"/>
  <c r="N2534" i="19"/>
  <c r="N2535" i="19"/>
  <c r="N2536" i="19"/>
  <c r="N2537" i="19"/>
  <c r="N2538" i="19"/>
  <c r="N2539" i="19"/>
  <c r="N2540" i="19"/>
  <c r="N2541" i="19"/>
  <c r="N2542" i="19"/>
  <c r="N2543" i="19"/>
  <c r="N2544" i="19"/>
  <c r="N2545" i="19"/>
  <c r="N2546" i="19"/>
  <c r="N2547" i="19"/>
  <c r="N2548" i="19"/>
  <c r="N2549" i="19"/>
  <c r="N2550" i="19"/>
  <c r="N2551" i="19"/>
  <c r="N2552" i="19"/>
  <c r="N2553" i="19"/>
  <c r="N2554" i="19"/>
  <c r="N2555" i="19"/>
  <c r="N2556" i="19"/>
  <c r="N2557" i="19"/>
  <c r="N2558" i="19"/>
  <c r="N2559" i="19"/>
  <c r="N2560" i="19"/>
  <c r="N2561" i="19"/>
  <c r="N2562" i="19"/>
  <c r="N2563" i="19"/>
  <c r="N2564" i="19"/>
  <c r="N2565" i="19"/>
  <c r="N2566" i="19"/>
  <c r="N2567" i="19"/>
  <c r="N2568" i="19"/>
  <c r="N2569" i="19"/>
  <c r="N2570" i="19"/>
  <c r="N2571" i="19"/>
  <c r="N2572" i="19"/>
  <c r="N2573" i="19"/>
  <c r="N2574" i="19"/>
  <c r="N2575" i="19"/>
  <c r="N2576" i="19"/>
  <c r="N2577" i="19"/>
  <c r="N2578" i="19"/>
  <c r="N2579" i="19"/>
  <c r="N2580" i="19"/>
  <c r="N2581" i="19"/>
  <c r="N2582" i="19"/>
  <c r="N2583" i="19"/>
  <c r="N2584" i="19"/>
  <c r="N2585" i="19"/>
  <c r="N2586" i="19"/>
  <c r="N2587" i="19"/>
  <c r="N2588" i="19"/>
  <c r="N2589" i="19"/>
  <c r="N2590" i="19"/>
  <c r="N2591" i="19"/>
  <c r="N2592" i="19"/>
  <c r="N2593" i="19"/>
  <c r="N2594" i="19"/>
  <c r="N2595" i="19"/>
  <c r="N2596" i="19"/>
  <c r="N2597" i="19"/>
  <c r="N2598" i="19"/>
  <c r="N2599" i="19"/>
  <c r="N2600" i="19"/>
  <c r="N2601" i="19"/>
  <c r="N2602" i="19"/>
  <c r="Y2229" i="19"/>
  <c r="Y2228" i="19"/>
  <c r="S2229" i="19"/>
  <c r="Q962" i="15"/>
  <c r="Q969" i="15"/>
  <c r="U969" i="15"/>
  <c r="G969" i="15"/>
  <c r="G967" i="15"/>
  <c r="G950" i="15"/>
  <c r="G897" i="15"/>
  <c r="G881" i="15"/>
  <c r="G842" i="15"/>
  <c r="G767" i="15"/>
  <c r="C969" i="15"/>
  <c r="Q968" i="15"/>
  <c r="U968" i="15"/>
  <c r="C968" i="15"/>
  <c r="U967" i="15"/>
  <c r="Q967" i="15"/>
  <c r="C967" i="15"/>
  <c r="U966" i="15"/>
  <c r="N966" i="15"/>
  <c r="Q966" i="15" s="1"/>
  <c r="C966" i="15"/>
  <c r="U963" i="15"/>
  <c r="U962" i="15"/>
  <c r="U965" i="15"/>
  <c r="N965" i="15"/>
  <c r="Q965" i="15" s="1"/>
  <c r="C965" i="15"/>
  <c r="G964" i="15"/>
  <c r="U964" i="15"/>
  <c r="Q964" i="15"/>
  <c r="C964" i="15"/>
  <c r="AK2370" i="19" l="1" a="1"/>
  <c r="AK2370" i="19" s="1"/>
  <c r="AK2258" i="19" a="1"/>
  <c r="AK2258" i="19" s="1"/>
  <c r="AD2224" i="19"/>
  <c r="AF2258" i="19"/>
  <c r="AE2258" i="19"/>
  <c r="AF2224" i="19"/>
  <c r="AF2370" i="19"/>
  <c r="AE2370" i="19"/>
  <c r="AK2372" i="19" a="1"/>
  <c r="AK2372" i="19" s="1"/>
  <c r="AF2372" i="19"/>
  <c r="AE2372" i="19"/>
  <c r="K2488" i="16"/>
  <c r="AD2240" i="19"/>
  <c r="AE2240" i="19"/>
  <c r="O2468" i="16"/>
  <c r="L2468" i="16" s="1"/>
  <c r="A2468" i="16" s="1"/>
  <c r="O2492" i="16"/>
  <c r="L2492" i="16" s="1"/>
  <c r="O2471" i="16"/>
  <c r="L2471" i="16" s="1"/>
  <c r="O2470" i="16"/>
  <c r="L2470" i="16" s="1"/>
  <c r="O2484" i="16"/>
  <c r="L2484" i="16" s="1"/>
  <c r="A2484" i="16" s="1"/>
  <c r="O2479" i="16"/>
  <c r="L2479" i="16" s="1"/>
  <c r="O2478" i="16"/>
  <c r="L2478" i="16" s="1"/>
  <c r="K2480" i="16"/>
  <c r="K2476" i="16"/>
  <c r="K2475" i="16"/>
  <c r="K2491" i="16"/>
  <c r="K2467" i="16"/>
  <c r="O2487" i="16"/>
  <c r="L2487" i="16" s="1"/>
  <c r="O2486" i="16"/>
  <c r="L2486" i="16" s="1"/>
  <c r="K2483" i="16"/>
  <c r="A2472" i="16"/>
  <c r="A2492" i="16"/>
  <c r="A2490" i="16"/>
  <c r="A2483" i="16"/>
  <c r="A2475" i="16"/>
  <c r="A2466" i="16"/>
  <c r="K2472" i="16"/>
  <c r="A2486" i="16"/>
  <c r="A2478" i="16"/>
  <c r="O2464" i="16"/>
  <c r="L2464" i="16" s="1"/>
  <c r="A2491" i="16"/>
  <c r="A2467" i="16"/>
  <c r="O2490" i="16"/>
  <c r="L2490" i="16" s="1"/>
  <c r="O2482" i="16"/>
  <c r="L2482" i="16" s="1"/>
  <c r="A2482" i="16" s="1"/>
  <c r="O2474" i="16"/>
  <c r="L2474" i="16" s="1"/>
  <c r="A2474" i="16" s="1"/>
  <c r="O2466" i="16"/>
  <c r="L2466" i="16" s="1"/>
  <c r="A2464" i="16"/>
  <c r="A2487" i="16"/>
  <c r="A2479" i="16"/>
  <c r="A2471" i="16"/>
  <c r="A2470" i="16"/>
  <c r="K2493" i="16"/>
  <c r="A2493" i="16" s="1"/>
  <c r="K2489" i="16"/>
  <c r="A2489" i="16" s="1"/>
  <c r="K2485" i="16"/>
  <c r="A2485" i="16" s="1"/>
  <c r="K2481" i="16"/>
  <c r="A2481" i="16" s="1"/>
  <c r="K2477" i="16"/>
  <c r="A2477" i="16" s="1"/>
  <c r="K2473" i="16"/>
  <c r="A2473" i="16" s="1"/>
  <c r="K2469" i="16"/>
  <c r="A2469" i="16" s="1"/>
  <c r="K2465" i="16"/>
  <c r="A2465" i="16" s="1"/>
  <c r="F2232" i="19"/>
  <c r="AE2232" i="19"/>
  <c r="AF2232" i="19"/>
  <c r="S2210" i="19"/>
  <c r="S2209" i="19"/>
  <c r="Q963" i="15"/>
  <c r="C963" i="15"/>
  <c r="C962" i="15"/>
  <c r="L2193" i="19"/>
  <c r="S2199" i="19" l="1"/>
  <c r="AH2217" i="19"/>
  <c r="AJ2217" i="19" s="1"/>
  <c r="AG2217" i="19"/>
  <c r="AC2217" i="19"/>
  <c r="AD2217" i="19" s="1"/>
  <c r="Y2217" i="19"/>
  <c r="V2217" i="19"/>
  <c r="W2217" i="19" s="1"/>
  <c r="AA2217" i="19" a="1"/>
  <c r="AA2217" i="19" s="1"/>
  <c r="X2217" i="19" s="1"/>
  <c r="L2217" i="19"/>
  <c r="J2217" i="19"/>
  <c r="AG2218" i="19"/>
  <c r="AC2218" i="19"/>
  <c r="AD2218" i="19" s="1"/>
  <c r="Y2218" i="19"/>
  <c r="V2218" i="19"/>
  <c r="W2218" i="19" s="1"/>
  <c r="AA2218" i="19" a="1"/>
  <c r="AA2218" i="19" s="1"/>
  <c r="X2218" i="19" s="1"/>
  <c r="L2218" i="19"/>
  <c r="J2218" i="19"/>
  <c r="AC2149" i="19"/>
  <c r="AC2148" i="19"/>
  <c r="AI2143" i="19"/>
  <c r="Q959" i="15"/>
  <c r="Q960" i="15"/>
  <c r="Q961" i="15"/>
  <c r="U958" i="15"/>
  <c r="U959" i="15"/>
  <c r="U960" i="15"/>
  <c r="U961" i="15"/>
  <c r="G959" i="15"/>
  <c r="G960" i="15"/>
  <c r="G961" i="15"/>
  <c r="C961" i="15"/>
  <c r="C960" i="15"/>
  <c r="C959" i="15"/>
  <c r="J2129" i="19"/>
  <c r="N958" i="15"/>
  <c r="Q958" i="15" s="1"/>
  <c r="N956" i="15"/>
  <c r="Q956" i="15" s="1"/>
  <c r="U956" i="15"/>
  <c r="N957" i="15"/>
  <c r="Q957" i="15" s="1"/>
  <c r="U957" i="15"/>
  <c r="N955" i="15"/>
  <c r="Q955" i="15" s="1"/>
  <c r="N954" i="15"/>
  <c r="Q954" i="15" s="1"/>
  <c r="N953" i="15"/>
  <c r="Q953" i="15" s="1"/>
  <c r="U953" i="15"/>
  <c r="U954" i="15"/>
  <c r="U955" i="15"/>
  <c r="AI2147" i="19"/>
  <c r="AI2146" i="19"/>
  <c r="AI2145" i="19"/>
  <c r="AI2144" i="19"/>
  <c r="N952" i="15"/>
  <c r="Q952" i="15" s="1"/>
  <c r="Q950" i="15"/>
  <c r="N951" i="15"/>
  <c r="Q951" i="15" s="1"/>
  <c r="C950" i="15"/>
  <c r="C951" i="15"/>
  <c r="G951" i="15"/>
  <c r="C952" i="15"/>
  <c r="G952" i="15"/>
  <c r="C953" i="15"/>
  <c r="G953" i="15"/>
  <c r="C954" i="15"/>
  <c r="G954" i="15"/>
  <c r="C955" i="15"/>
  <c r="G955" i="15"/>
  <c r="C956" i="15"/>
  <c r="G956" i="15"/>
  <c r="C957" i="15"/>
  <c r="G957" i="15"/>
  <c r="C958" i="15"/>
  <c r="G958" i="15"/>
  <c r="U950" i="15"/>
  <c r="U949" i="15"/>
  <c r="Q949" i="15"/>
  <c r="G949" i="15"/>
  <c r="C949" i="15"/>
  <c r="U948" i="15"/>
  <c r="U951" i="15"/>
  <c r="U952" i="15"/>
  <c r="N948" i="15"/>
  <c r="Q948" i="15" s="1"/>
  <c r="G948" i="15"/>
  <c r="C948" i="15"/>
  <c r="S2134" i="19"/>
  <c r="S2135" i="19"/>
  <c r="S2136" i="19"/>
  <c r="O288" i="20"/>
  <c r="K288" i="20"/>
  <c r="AF2273" i="19"/>
  <c r="AE2273" i="19"/>
  <c r="AD2273" i="19"/>
  <c r="AF2270" i="19"/>
  <c r="AE2270" i="19"/>
  <c r="AD2270" i="19"/>
  <c r="AF2268" i="19"/>
  <c r="AE2268" i="19"/>
  <c r="AD2268" i="19"/>
  <c r="AF2267" i="19"/>
  <c r="AE2267" i="19"/>
  <c r="AD2267" i="19"/>
  <c r="AF2266" i="19"/>
  <c r="AE2266" i="19"/>
  <c r="AD2266" i="19"/>
  <c r="AF2265" i="19"/>
  <c r="AE2265" i="19"/>
  <c r="AD2265" i="19"/>
  <c r="AF2264" i="19"/>
  <c r="AE2264" i="19"/>
  <c r="AD2264" i="19"/>
  <c r="AF2263" i="19"/>
  <c r="AE2263" i="19"/>
  <c r="AD2263" i="19"/>
  <c r="V2173" i="19"/>
  <c r="S2126" i="19"/>
  <c r="S2122" i="19"/>
  <c r="S2123" i="19"/>
  <c r="S2125" i="19"/>
  <c r="S2124" i="19"/>
  <c r="S2127" i="19"/>
  <c r="AF2124" i="19"/>
  <c r="AE2124" i="19"/>
  <c r="AD2124" i="19"/>
  <c r="Y2124" i="19"/>
  <c r="V2124" i="19"/>
  <c r="W2124" i="19" s="1"/>
  <c r="AA2124" i="19" a="1"/>
  <c r="AA2124" i="19" s="1"/>
  <c r="X2124" i="19" s="1"/>
  <c r="L2124" i="19"/>
  <c r="J2124" i="19"/>
  <c r="F2124" i="19" s="1"/>
  <c r="AF2123" i="19"/>
  <c r="AE2123" i="19"/>
  <c r="AD2123" i="19"/>
  <c r="AF2125" i="19"/>
  <c r="AE2125" i="19"/>
  <c r="AD2125" i="19"/>
  <c r="AF2126" i="19"/>
  <c r="AE2126" i="19"/>
  <c r="AD2126" i="19"/>
  <c r="Y2105" i="19"/>
  <c r="Y2111" i="19"/>
  <c r="J2106" i="19"/>
  <c r="F2106" i="19" s="1"/>
  <c r="J2105" i="19"/>
  <c r="J2107" i="19"/>
  <c r="J2108" i="19"/>
  <c r="J2109" i="19"/>
  <c r="J2110" i="19"/>
  <c r="J2111" i="19"/>
  <c r="J2112" i="19"/>
  <c r="J2114" i="19"/>
  <c r="J2113" i="19"/>
  <c r="Y2106" i="19"/>
  <c r="Y2107" i="19"/>
  <c r="Y2109" i="19"/>
  <c r="Y2110" i="19"/>
  <c r="Y2112" i="19"/>
  <c r="Y2114" i="19"/>
  <c r="S2178" i="19"/>
  <c r="S2179" i="19"/>
  <c r="S2189" i="19"/>
  <c r="S2181" i="19"/>
  <c r="S2180" i="19"/>
  <c r="S2187" i="19"/>
  <c r="S2186" i="19"/>
  <c r="S2188" i="19"/>
  <c r="S2185" i="19"/>
  <c r="S2183" i="19"/>
  <c r="S2182" i="19"/>
  <c r="AG2100" i="19"/>
  <c r="AG2183" i="19"/>
  <c r="AC2183" i="19"/>
  <c r="AD2183" i="19" s="1"/>
  <c r="Y2183" i="19"/>
  <c r="V2183" i="19"/>
  <c r="W2183" i="19" s="1"/>
  <c r="AA2183" i="19" a="1"/>
  <c r="AA2183" i="19" s="1"/>
  <c r="X2183" i="19" s="1"/>
  <c r="L2183" i="19"/>
  <c r="J2183" i="19"/>
  <c r="F2183" i="19" s="1"/>
  <c r="S2119" i="19"/>
  <c r="S2115" i="19"/>
  <c r="S2118" i="19"/>
  <c r="S2116" i="19"/>
  <c r="S2117" i="19"/>
  <c r="S2120" i="19"/>
  <c r="AF2106" i="19"/>
  <c r="AE2106" i="19"/>
  <c r="AD2106" i="19"/>
  <c r="AA2106" i="19" a="1"/>
  <c r="AA2106" i="19" s="1"/>
  <c r="X2106" i="19" s="1"/>
  <c r="W2106" i="19"/>
  <c r="J2237" i="16"/>
  <c r="U2181" i="19"/>
  <c r="U2180" i="19"/>
  <c r="AG2180" i="19"/>
  <c r="AC2180" i="19"/>
  <c r="AD2180" i="19" s="1"/>
  <c r="Y2180" i="19"/>
  <c r="V2180" i="19"/>
  <c r="AA2180" i="19" a="1"/>
  <c r="AA2180" i="19" s="1"/>
  <c r="X2180" i="19" s="1"/>
  <c r="L2180" i="19"/>
  <c r="J2180" i="19"/>
  <c r="F2180" i="19" s="1"/>
  <c r="AF2169" i="19"/>
  <c r="AE2169" i="19"/>
  <c r="AD2169" i="19"/>
  <c r="AF2166" i="19"/>
  <c r="AE2166" i="19"/>
  <c r="AD2166" i="19"/>
  <c r="AF2165" i="19"/>
  <c r="AE2165" i="19"/>
  <c r="AD2165" i="19"/>
  <c r="AF2161" i="19"/>
  <c r="AE2161" i="19"/>
  <c r="AD2161" i="19"/>
  <c r="AF2163" i="19"/>
  <c r="AE2163" i="19"/>
  <c r="AD2163" i="19"/>
  <c r="AF2158" i="19"/>
  <c r="AE2158" i="19"/>
  <c r="AD2158" i="19"/>
  <c r="AF2162" i="19"/>
  <c r="AE2162" i="19"/>
  <c r="AD2162" i="19"/>
  <c r="AF2164" i="19"/>
  <c r="AE2164" i="19"/>
  <c r="AD2164" i="19"/>
  <c r="AF2160" i="19"/>
  <c r="AE2160" i="19"/>
  <c r="AD2160" i="19"/>
  <c r="AF2170" i="19"/>
  <c r="AE2170" i="19"/>
  <c r="AD2170" i="19"/>
  <c r="AF2167" i="19"/>
  <c r="AE2167" i="19"/>
  <c r="AD2167" i="19"/>
  <c r="AF2159" i="19"/>
  <c r="AE2159" i="19"/>
  <c r="AD2159" i="19"/>
  <c r="AF2119" i="19"/>
  <c r="AE2119" i="19"/>
  <c r="AD2119" i="19"/>
  <c r="AF2115" i="19"/>
  <c r="AE2115" i="19"/>
  <c r="AD2115" i="19"/>
  <c r="AF2118" i="19"/>
  <c r="AE2118" i="19"/>
  <c r="AD2118" i="19"/>
  <c r="AF2116" i="19"/>
  <c r="AE2116" i="19"/>
  <c r="AD2116" i="19"/>
  <c r="AF2117" i="19"/>
  <c r="AE2117" i="19"/>
  <c r="AD2117" i="19"/>
  <c r="G940" i="15"/>
  <c r="U947" i="15"/>
  <c r="Q947" i="15"/>
  <c r="G947" i="15"/>
  <c r="C947" i="15"/>
  <c r="U946" i="15"/>
  <c r="Q946" i="15"/>
  <c r="G946" i="15"/>
  <c r="C946" i="15"/>
  <c r="U945" i="15"/>
  <c r="Q945" i="15"/>
  <c r="G945" i="15"/>
  <c r="C945" i="15"/>
  <c r="U944" i="15"/>
  <c r="Q944" i="15"/>
  <c r="G944" i="15"/>
  <c r="C944" i="15"/>
  <c r="U943" i="15"/>
  <c r="Q943" i="15"/>
  <c r="G943" i="15"/>
  <c r="C943" i="15"/>
  <c r="U942" i="15"/>
  <c r="Q942" i="15"/>
  <c r="G942" i="15"/>
  <c r="C942" i="15"/>
  <c r="U941" i="15"/>
  <c r="Q941" i="15"/>
  <c r="G941" i="15"/>
  <c r="C941" i="15"/>
  <c r="U940" i="15"/>
  <c r="Q940" i="15"/>
  <c r="C940" i="15"/>
  <c r="U939" i="15"/>
  <c r="Q939" i="15"/>
  <c r="G939" i="15"/>
  <c r="C939" i="15"/>
  <c r="U938" i="15"/>
  <c r="Q938" i="15"/>
  <c r="G938" i="15"/>
  <c r="C938" i="15"/>
  <c r="U937" i="15"/>
  <c r="Q937" i="15"/>
  <c r="G937" i="15"/>
  <c r="C937" i="15"/>
  <c r="S2097" i="19"/>
  <c r="S2096" i="19"/>
  <c r="AF2096" i="19"/>
  <c r="AE2096" i="19"/>
  <c r="AD2096" i="19"/>
  <c r="Y2096" i="19"/>
  <c r="V2096" i="19"/>
  <c r="W2096" i="19" s="1"/>
  <c r="AA2096" i="19" a="1"/>
  <c r="AA2096" i="19" s="1"/>
  <c r="X2096" i="19" s="1"/>
  <c r="L2096" i="19"/>
  <c r="J2096" i="19"/>
  <c r="S2098" i="19"/>
  <c r="AF2097" i="19"/>
  <c r="AE2097" i="19"/>
  <c r="AD2097" i="19"/>
  <c r="W2180" i="19" l="1"/>
  <c r="AK2217" i="19" a="1"/>
  <c r="AK2217" i="19" s="1"/>
  <c r="F2218" i="19"/>
  <c r="F2217" i="19"/>
  <c r="AE2217" i="19"/>
  <c r="AF2217" i="19"/>
  <c r="AE2218" i="19"/>
  <c r="AF2218" i="19"/>
  <c r="AE2183" i="19"/>
  <c r="AF2183" i="19"/>
  <c r="AF2180" i="19"/>
  <c r="AE2180" i="19"/>
  <c r="F2096" i="19"/>
  <c r="U2076" i="19" l="1"/>
  <c r="U2075" i="19" s="1"/>
  <c r="AG2075" i="19"/>
  <c r="AC2075" i="19"/>
  <c r="AD2075" i="19" s="1"/>
  <c r="Y2075" i="19"/>
  <c r="V2075" i="19"/>
  <c r="S2075" i="19"/>
  <c r="AA2075" i="19" a="1"/>
  <c r="AA2075" i="19" s="1"/>
  <c r="L2075" i="19"/>
  <c r="J2075" i="19"/>
  <c r="S2076" i="19"/>
  <c r="S2074" i="19"/>
  <c r="AG2074" i="19"/>
  <c r="AC2074" i="19"/>
  <c r="AD2074" i="19" s="1"/>
  <c r="Y2074" i="19"/>
  <c r="V2074" i="19"/>
  <c r="W2074" i="19" s="1"/>
  <c r="AA2074" i="19" a="1"/>
  <c r="AA2074" i="19" s="1"/>
  <c r="X2074" i="19" s="1"/>
  <c r="L2074" i="19"/>
  <c r="J2074" i="19"/>
  <c r="S2084" i="19"/>
  <c r="S2085" i="19"/>
  <c r="S2090" i="19"/>
  <c r="S2089" i="19"/>
  <c r="S2087" i="19"/>
  <c r="S2086" i="19"/>
  <c r="S2088" i="19"/>
  <c r="S2093" i="19"/>
  <c r="S2092" i="19"/>
  <c r="S2094" i="19"/>
  <c r="S2091" i="19"/>
  <c r="AF2086" i="19"/>
  <c r="AE2086" i="19"/>
  <c r="AD2086" i="19"/>
  <c r="Y2086" i="19"/>
  <c r="V2086" i="19"/>
  <c r="W2086" i="19" s="1"/>
  <c r="AA2086" i="19" a="1"/>
  <c r="AA2086" i="19" s="1"/>
  <c r="X2086" i="19" s="1"/>
  <c r="L2086" i="19"/>
  <c r="J2086" i="19"/>
  <c r="AF2092" i="19"/>
  <c r="AE2092" i="19"/>
  <c r="AD2092" i="19"/>
  <c r="AF2094" i="19"/>
  <c r="AE2094" i="19"/>
  <c r="AD2094" i="19"/>
  <c r="AF2091" i="19"/>
  <c r="AE2091" i="19"/>
  <c r="AD2091" i="19"/>
  <c r="AF2089" i="19"/>
  <c r="AE2089" i="19"/>
  <c r="AD2089" i="19"/>
  <c r="AF2087" i="19"/>
  <c r="AE2087" i="19"/>
  <c r="AD2087" i="19"/>
  <c r="AF2088" i="19"/>
  <c r="AE2088" i="19"/>
  <c r="AD2088" i="19"/>
  <c r="AF2093" i="19"/>
  <c r="AE2093" i="19"/>
  <c r="AD2093" i="19"/>
  <c r="S2080" i="19"/>
  <c r="S2070" i="19"/>
  <c r="X2075" i="19" l="1"/>
  <c r="W2075" i="19"/>
  <c r="AE2075" i="19"/>
  <c r="AF2075" i="19"/>
  <c r="AE2074" i="19"/>
  <c r="AF2074" i="19"/>
  <c r="F2086" i="19"/>
  <c r="S2083" i="19"/>
  <c r="U936" i="15"/>
  <c r="N936" i="15"/>
  <c r="Q936" i="15" s="1"/>
  <c r="G936" i="15"/>
  <c r="U935" i="15"/>
  <c r="N935" i="15"/>
  <c r="Q935" i="15" s="1"/>
  <c r="G935" i="15"/>
  <c r="C936" i="15"/>
  <c r="C935" i="15"/>
  <c r="U934" i="15"/>
  <c r="N934" i="15"/>
  <c r="Q934" i="15" s="1"/>
  <c r="G934" i="15"/>
  <c r="C934" i="15"/>
  <c r="Y2113" i="19"/>
  <c r="AG2068" i="19"/>
  <c r="AF2068" i="19"/>
  <c r="AE2068" i="19"/>
  <c r="AD2068" i="19"/>
  <c r="Y2068" i="19"/>
  <c r="V2068" i="19"/>
  <c r="W2068" i="19" s="1"/>
  <c r="S2068" i="19"/>
  <c r="AA2068" i="19" a="1"/>
  <c r="AA2068" i="19" s="1"/>
  <c r="X2068" i="19" s="1"/>
  <c r="L2068" i="19"/>
  <c r="J2068" i="19"/>
  <c r="F2068" i="19" s="1"/>
  <c r="U2083" i="19"/>
  <c r="W35" i="23" l="1"/>
  <c r="W32" i="23"/>
  <c r="U38" i="23"/>
  <c r="V38" i="23"/>
  <c r="S2082" i="19"/>
  <c r="S2081" i="19"/>
  <c r="U2082" i="19"/>
  <c r="AG2082" i="19"/>
  <c r="AC2082" i="19"/>
  <c r="AD2082" i="19" s="1"/>
  <c r="Y2082" i="19"/>
  <c r="V2082" i="19"/>
  <c r="W2082" i="19" s="1"/>
  <c r="AA2082" i="19" a="1"/>
  <c r="AA2082" i="19" s="1"/>
  <c r="X2082" i="19" s="1"/>
  <c r="L2082" i="19"/>
  <c r="J2082" i="19"/>
  <c r="F2082" i="19" s="1"/>
  <c r="U2080" i="19"/>
  <c r="S2154" i="19"/>
  <c r="S2079" i="19"/>
  <c r="S2078" i="19"/>
  <c r="AH2079" i="19"/>
  <c r="AJ2079" i="19" s="1"/>
  <c r="AG2079" i="19"/>
  <c r="AC2079" i="19"/>
  <c r="AD2079" i="19" s="1"/>
  <c r="Y2079" i="19"/>
  <c r="V2079" i="19"/>
  <c r="W2079" i="19" s="1"/>
  <c r="AA2079" i="19" a="1"/>
  <c r="AA2079" i="19" s="1"/>
  <c r="X2079" i="19" s="1"/>
  <c r="L2079" i="19"/>
  <c r="J2079" i="19"/>
  <c r="F2079" i="19" s="1"/>
  <c r="AH2078" i="19"/>
  <c r="AJ2078" i="19" s="1"/>
  <c r="AG2078" i="19"/>
  <c r="AC2078" i="19"/>
  <c r="AE2078" i="19" s="1"/>
  <c r="Y2078" i="19"/>
  <c r="V2078" i="19"/>
  <c r="W2078" i="19" s="1"/>
  <c r="AA2078" i="19" a="1"/>
  <c r="AA2078" i="19" s="1"/>
  <c r="X2078" i="19" s="1"/>
  <c r="L2078" i="19"/>
  <c r="J2078" i="19"/>
  <c r="R35" i="23"/>
  <c r="R32" i="23"/>
  <c r="K16" i="23"/>
  <c r="L32" i="23" s="1"/>
  <c r="K19" i="23"/>
  <c r="L35" i="23" s="1"/>
  <c r="O35" i="23" s="1"/>
  <c r="K14" i="23"/>
  <c r="L30" i="23" s="1"/>
  <c r="X30" i="23" s="1"/>
  <c r="K9" i="23"/>
  <c r="L25" i="23" s="1"/>
  <c r="X25" i="23" s="1"/>
  <c r="Y25" i="23" s="1"/>
  <c r="P35" i="23"/>
  <c r="P25" i="23"/>
  <c r="L53" i="23"/>
  <c r="P30" i="23" s="1"/>
  <c r="L50" i="23"/>
  <c r="P32" i="23" s="1"/>
  <c r="N25" i="23"/>
  <c r="R25" i="23" s="1"/>
  <c r="N30" i="23"/>
  <c r="Y2108" i="19"/>
  <c r="S2101" i="19"/>
  <c r="S2104" i="19"/>
  <c r="S2102" i="19"/>
  <c r="S1645" i="19"/>
  <c r="Y2056" i="19"/>
  <c r="W2056" i="19"/>
  <c r="J2055" i="19"/>
  <c r="V2055" i="19"/>
  <c r="S2055" i="19"/>
  <c r="Y2055" i="19"/>
  <c r="U2055" i="19"/>
  <c r="S2591" i="19"/>
  <c r="AF2056" i="19"/>
  <c r="AE2056" i="19"/>
  <c r="AD2056" i="19"/>
  <c r="AF2055" i="19"/>
  <c r="AE2055" i="19"/>
  <c r="AD2055" i="19"/>
  <c r="U2057" i="19"/>
  <c r="S2066" i="19"/>
  <c r="AF2105" i="19"/>
  <c r="AE2105" i="19"/>
  <c r="AD2105" i="19"/>
  <c r="AF2107" i="19"/>
  <c r="AE2107" i="19"/>
  <c r="AD2107" i="19"/>
  <c r="AF2108" i="19"/>
  <c r="AE2108" i="19"/>
  <c r="AD2108" i="19"/>
  <c r="AF2109" i="19"/>
  <c r="AE2109" i="19"/>
  <c r="AD2109" i="19"/>
  <c r="AF2110" i="19"/>
  <c r="AE2110" i="19"/>
  <c r="AD2110" i="19"/>
  <c r="AF2111" i="19"/>
  <c r="AE2111" i="19"/>
  <c r="AD2111" i="19"/>
  <c r="AF2112" i="19"/>
  <c r="AE2112" i="19"/>
  <c r="AD2112" i="19"/>
  <c r="AF2114" i="19"/>
  <c r="AE2114" i="19"/>
  <c r="AD2114" i="19"/>
  <c r="U933" i="15"/>
  <c r="P933" i="15"/>
  <c r="N933" i="15" s="1"/>
  <c r="Q933" i="15" s="1"/>
  <c r="G933" i="15"/>
  <c r="C933" i="15"/>
  <c r="G932" i="15"/>
  <c r="U932" i="15"/>
  <c r="Q932" i="15"/>
  <c r="C932" i="15"/>
  <c r="G931" i="15"/>
  <c r="U931" i="15"/>
  <c r="Q931" i="15"/>
  <c r="C931" i="15"/>
  <c r="G930" i="15"/>
  <c r="U930" i="15"/>
  <c r="Q930" i="15"/>
  <c r="C930" i="15"/>
  <c r="U929" i="15"/>
  <c r="Q929" i="15"/>
  <c r="C929" i="15"/>
  <c r="G929" i="15"/>
  <c r="U928" i="15"/>
  <c r="G928" i="15"/>
  <c r="U927" i="15"/>
  <c r="C928" i="15"/>
  <c r="Q928" i="15"/>
  <c r="N927" i="15"/>
  <c r="Q927" i="15" s="1"/>
  <c r="G927" i="15"/>
  <c r="C927" i="15"/>
  <c r="U926" i="15"/>
  <c r="P926" i="15"/>
  <c r="N926" i="15" s="1"/>
  <c r="Q926" i="15" s="1"/>
  <c r="G926" i="15"/>
  <c r="R30" i="23" l="1"/>
  <c r="O30" i="23"/>
  <c r="Q30" i="23" s="1"/>
  <c r="S30" i="23" s="1"/>
  <c r="Y30" i="23"/>
  <c r="W25" i="23"/>
  <c r="AE2079" i="19"/>
  <c r="AF2078" i="19"/>
  <c r="AE2082" i="19"/>
  <c r="AK2078" i="19" a="1"/>
  <c r="AK2078" i="19" s="1"/>
  <c r="AF2082" i="19"/>
  <c r="O32" i="23"/>
  <c r="Q32" i="23" s="1"/>
  <c r="S32" i="23" s="1"/>
  <c r="X32" i="23"/>
  <c r="Y32" i="23" s="1"/>
  <c r="X35" i="23"/>
  <c r="Y35" i="23" s="1"/>
  <c r="W30" i="23"/>
  <c r="F2078" i="19"/>
  <c r="AD2078" i="19"/>
  <c r="AF2079" i="19"/>
  <c r="AK2079" i="19" a="1"/>
  <c r="AK2079" i="19" s="1"/>
  <c r="W2055" i="19"/>
  <c r="L38" i="23"/>
  <c r="X38" i="23" s="1"/>
  <c r="N38" i="23"/>
  <c r="R38" i="23" s="1"/>
  <c r="O25" i="23"/>
  <c r="Q35" i="23"/>
  <c r="S35" i="23" s="1"/>
  <c r="P38" i="23"/>
  <c r="AF2044" i="19"/>
  <c r="AE2044" i="19"/>
  <c r="AD2044" i="19"/>
  <c r="Y2044" i="19"/>
  <c r="V2044" i="19"/>
  <c r="W2044" i="19" s="1"/>
  <c r="S2044" i="19"/>
  <c r="AA2044" i="19" a="1"/>
  <c r="AA2044" i="19" s="1"/>
  <c r="X2044" i="19" s="1"/>
  <c r="L2044" i="19"/>
  <c r="J2044" i="19"/>
  <c r="J2045" i="19"/>
  <c r="F2045" i="19" s="1"/>
  <c r="L2045" i="19"/>
  <c r="AA2045" i="19" a="1"/>
  <c r="AA2045" i="19" s="1"/>
  <c r="X2045" i="19" s="1"/>
  <c r="S2045" i="19"/>
  <c r="V2045" i="19"/>
  <c r="W2045" i="19" s="1"/>
  <c r="Y2045" i="19"/>
  <c r="AD2045" i="19"/>
  <c r="AE2045" i="19"/>
  <c r="AF2045" i="19"/>
  <c r="S2043" i="19"/>
  <c r="S2042" i="19"/>
  <c r="S2041" i="19"/>
  <c r="J2043" i="19"/>
  <c r="AI2042" i="19"/>
  <c r="AF2042" i="19"/>
  <c r="AE2042" i="19"/>
  <c r="AD2042" i="19"/>
  <c r="Y2042" i="19"/>
  <c r="V2042" i="19"/>
  <c r="W2042" i="19" s="1"/>
  <c r="AA2042" i="19" a="1"/>
  <c r="AA2042" i="19" s="1"/>
  <c r="X2042" i="19" s="1"/>
  <c r="L2042" i="19"/>
  <c r="J2042" i="19"/>
  <c r="S2058" i="19"/>
  <c r="S2062" i="19"/>
  <c r="S2061" i="19"/>
  <c r="S2067" i="19"/>
  <c r="S2064" i="19"/>
  <c r="S2063" i="19"/>
  <c r="S2065" i="19"/>
  <c r="S2060" i="19"/>
  <c r="S2033" i="19"/>
  <c r="AG2061" i="19"/>
  <c r="AC2061" i="19"/>
  <c r="AD2061" i="19" s="1"/>
  <c r="Y2061" i="19"/>
  <c r="V2061" i="19"/>
  <c r="W2061" i="19" s="1"/>
  <c r="AA2061" i="19" a="1"/>
  <c r="AA2061" i="19" s="1"/>
  <c r="X2061" i="19" s="1"/>
  <c r="L2061" i="19"/>
  <c r="J2061" i="19"/>
  <c r="F2061" i="19" s="1"/>
  <c r="S2036" i="19"/>
  <c r="S2035" i="19"/>
  <c r="S2030" i="19"/>
  <c r="S2034" i="19"/>
  <c r="S2032" i="19"/>
  <c r="S2031" i="19"/>
  <c r="S2039" i="19"/>
  <c r="S2038" i="19"/>
  <c r="S2037" i="19"/>
  <c r="U2038" i="19"/>
  <c r="AH2037" i="19"/>
  <c r="AJ2037" i="19" s="1"/>
  <c r="AG2037" i="19"/>
  <c r="AC2037" i="19"/>
  <c r="AE2037" i="19" s="1"/>
  <c r="Y2037" i="19"/>
  <c r="V2037" i="19"/>
  <c r="W2037" i="19" s="1"/>
  <c r="AA2037" i="19" a="1"/>
  <c r="AA2037" i="19" s="1"/>
  <c r="X2037" i="19" s="1"/>
  <c r="L2037" i="19"/>
  <c r="J2037" i="19"/>
  <c r="F2037" i="19" s="1"/>
  <c r="AH2038" i="19"/>
  <c r="AG2038" i="19"/>
  <c r="AC2038" i="19"/>
  <c r="AF2038" i="19" s="1"/>
  <c r="Y2038" i="19"/>
  <c r="V2038" i="19"/>
  <c r="AA2038" i="19" a="1"/>
  <c r="AA2038" i="19" s="1"/>
  <c r="X2038" i="19" s="1"/>
  <c r="L2038" i="19"/>
  <c r="J2038" i="19"/>
  <c r="F2038" i="19" s="1"/>
  <c r="L2054" i="19"/>
  <c r="AG2065" i="19"/>
  <c r="AC2065" i="19"/>
  <c r="AD2065" i="19" s="1"/>
  <c r="Y2065" i="19"/>
  <c r="V2065" i="19"/>
  <c r="W2065" i="19" s="1"/>
  <c r="AA2065" i="19" a="1"/>
  <c r="AA2065" i="19" s="1"/>
  <c r="X2065" i="19" s="1"/>
  <c r="L2065" i="19"/>
  <c r="J2065" i="19"/>
  <c r="F2065" i="19" s="1"/>
  <c r="U2063" i="19"/>
  <c r="L2073" i="19"/>
  <c r="L2071" i="19"/>
  <c r="L2013" i="19"/>
  <c r="AA2013" i="19" a="1"/>
  <c r="AA2013" i="19" s="1"/>
  <c r="X2013" i="19" s="1"/>
  <c r="S2013" i="19"/>
  <c r="V2013" i="19"/>
  <c r="W2013" i="19" s="1"/>
  <c r="Y2013" i="19"/>
  <c r="J2013" i="19"/>
  <c r="F2013" i="19" s="1"/>
  <c r="AJ2013" i="19"/>
  <c r="AD2013" i="19"/>
  <c r="U925" i="15"/>
  <c r="G925" i="15"/>
  <c r="N925" i="15"/>
  <c r="Q925" i="15" s="1"/>
  <c r="C926" i="15"/>
  <c r="S2015" i="19"/>
  <c r="S2014" i="19"/>
  <c r="Y38" i="23" l="1"/>
  <c r="W38" i="23"/>
  <c r="O38" i="23"/>
  <c r="Q38" i="23" s="1"/>
  <c r="S38" i="23" s="1"/>
  <c r="N39" i="23"/>
  <c r="N40" i="23" s="1"/>
  <c r="Q25" i="23"/>
  <c r="S25" i="23" s="1"/>
  <c r="F2044" i="19"/>
  <c r="W2038" i="19"/>
  <c r="AJ2038" i="19"/>
  <c r="AK2038" i="19" s="1" a="1"/>
  <c r="AK2038" i="19" s="1"/>
  <c r="F2042" i="19"/>
  <c r="AK2037" i="19" a="1"/>
  <c r="AK2037" i="19" s="1"/>
  <c r="AE2061" i="19"/>
  <c r="AF2061" i="19"/>
  <c r="AE2038" i="19"/>
  <c r="AD2038" i="19"/>
  <c r="AF2037" i="19"/>
  <c r="AD2037" i="19"/>
  <c r="AE2065" i="19"/>
  <c r="AF2065" i="19"/>
  <c r="AK2013" i="19" a="1"/>
  <c r="AK2013" i="19" s="1"/>
  <c r="S2025" i="19"/>
  <c r="S2049" i="19"/>
  <c r="AF2027" i="19"/>
  <c r="AE2027" i="19"/>
  <c r="AD2027" i="19"/>
  <c r="AF2023" i="19"/>
  <c r="AE2023" i="19"/>
  <c r="AD2023" i="19"/>
  <c r="AF2025" i="19"/>
  <c r="AE2025" i="19"/>
  <c r="AD2025" i="19"/>
  <c r="AF2024" i="19"/>
  <c r="AE2024" i="19"/>
  <c r="AD2024" i="19"/>
  <c r="U2050" i="19"/>
  <c r="U2049" i="19"/>
  <c r="AH2049" i="19"/>
  <c r="AG2049" i="19"/>
  <c r="AC2049" i="19"/>
  <c r="AD2049" i="19" s="1"/>
  <c r="Y2049" i="19"/>
  <c r="V2049" i="19"/>
  <c r="AA2049" i="19" a="1"/>
  <c r="AA2049" i="19" s="1"/>
  <c r="X2049" i="19" s="1"/>
  <c r="L2049" i="19"/>
  <c r="J2049" i="19"/>
  <c r="U2006" i="19"/>
  <c r="AF2012" i="19"/>
  <c r="AE2012" i="19"/>
  <c r="AD2012" i="19"/>
  <c r="S2018" i="19"/>
  <c r="S2020" i="19"/>
  <c r="S2017" i="19"/>
  <c r="S2022" i="19"/>
  <c r="S2021" i="19"/>
  <c r="W2049" i="19" l="1"/>
  <c r="AJ2049" i="19"/>
  <c r="AK2049" i="19" s="1" a="1"/>
  <c r="AK2049" i="19" s="1"/>
  <c r="F2049" i="19"/>
  <c r="AE2049" i="19"/>
  <c r="AF2049" i="19"/>
  <c r="G923" i="15"/>
  <c r="G922" i="15"/>
  <c r="G921" i="15"/>
  <c r="Q923" i="15"/>
  <c r="Q922" i="15"/>
  <c r="Q921" i="15"/>
  <c r="Q146" i="15"/>
  <c r="U923" i="15"/>
  <c r="U922" i="15"/>
  <c r="U921" i="15"/>
  <c r="C925" i="15"/>
  <c r="C923" i="15"/>
  <c r="C922" i="15"/>
  <c r="C921" i="15"/>
  <c r="U920" i="15"/>
  <c r="Q920" i="15"/>
  <c r="G920" i="15"/>
  <c r="C920" i="15"/>
  <c r="J2119" i="16"/>
  <c r="G919" i="15"/>
  <c r="U919" i="15"/>
  <c r="Q919" i="15"/>
  <c r="C919" i="15"/>
  <c r="L1993" i="19"/>
  <c r="U918" i="15"/>
  <c r="Q918" i="15"/>
  <c r="G918" i="15"/>
  <c r="C918" i="15"/>
  <c r="U917" i="15"/>
  <c r="Q917" i="15"/>
  <c r="G917" i="15"/>
  <c r="C917" i="15"/>
  <c r="Q916" i="15"/>
  <c r="G916" i="15"/>
  <c r="Q915" i="15"/>
  <c r="G915" i="15"/>
  <c r="U916" i="15"/>
  <c r="U915" i="15"/>
  <c r="C916" i="15"/>
  <c r="C915" i="15"/>
  <c r="AD1973" i="19"/>
  <c r="AE1973" i="19"/>
  <c r="AF1973" i="19"/>
  <c r="AD1972" i="19"/>
  <c r="AE1972" i="19"/>
  <c r="AF1972" i="19"/>
  <c r="AD1974" i="19"/>
  <c r="AE1974" i="19"/>
  <c r="AF1974" i="19"/>
  <c r="AD1971" i="19"/>
  <c r="AE1971" i="19"/>
  <c r="AF1971" i="19"/>
  <c r="AD1970" i="19"/>
  <c r="AE1970" i="19"/>
  <c r="AF1970" i="19"/>
  <c r="S1979" i="19"/>
  <c r="Y1974" i="19"/>
  <c r="V1974" i="19"/>
  <c r="W1974" i="19" s="1"/>
  <c r="S1974" i="19"/>
  <c r="AA1974" i="19" a="1"/>
  <c r="AA1974" i="19" s="1"/>
  <c r="X1974" i="19" s="1"/>
  <c r="L1974" i="19"/>
  <c r="J1974" i="19"/>
  <c r="F1974" i="19" s="1"/>
  <c r="J1972" i="19"/>
  <c r="F1972" i="19" s="1"/>
  <c r="L1972" i="19"/>
  <c r="AA1972" i="19" a="1"/>
  <c r="AA1972" i="19" s="1"/>
  <c r="X1972" i="19" s="1"/>
  <c r="S1972" i="19"/>
  <c r="V1972" i="19"/>
  <c r="W1972" i="19" s="1"/>
  <c r="Y1972" i="19"/>
  <c r="AA2602" i="19" a="1"/>
  <c r="AA2602" i="19" s="1"/>
  <c r="AD2602" i="19"/>
  <c r="AJ2602" i="19"/>
  <c r="AK2602" i="19" s="1" a="1"/>
  <c r="AK2602" i="19" s="1"/>
  <c r="W2602" i="19"/>
  <c r="Y1973" i="19"/>
  <c r="V1973" i="19"/>
  <c r="W1973" i="19" s="1"/>
  <c r="S1973" i="19"/>
  <c r="AA1973" i="19" a="1"/>
  <c r="AA1973" i="19" s="1"/>
  <c r="X1973" i="19" s="1"/>
  <c r="L1973" i="19"/>
  <c r="J1973" i="19"/>
  <c r="F1973" i="19" s="1"/>
  <c r="J1965" i="19"/>
  <c r="J1966" i="19"/>
  <c r="AG469" i="19"/>
  <c r="AC469" i="19"/>
  <c r="AF469" i="19" s="1"/>
  <c r="S457" i="19"/>
  <c r="S456" i="19"/>
  <c r="S455" i="19"/>
  <c r="S454" i="19"/>
  <c r="S453" i="19"/>
  <c r="S452" i="19"/>
  <c r="AF1951" i="19"/>
  <c r="AE1951" i="19"/>
  <c r="AD1951" i="19"/>
  <c r="AF1950" i="19"/>
  <c r="AE1950" i="19"/>
  <c r="AD1950" i="19"/>
  <c r="AF1949" i="19"/>
  <c r="AE1949" i="19"/>
  <c r="AD1949" i="19"/>
  <c r="Y1950" i="19"/>
  <c r="V1950" i="19"/>
  <c r="W1950" i="19" s="1"/>
  <c r="Y1949" i="19"/>
  <c r="V1949" i="19"/>
  <c r="W1949" i="19" s="1"/>
  <c r="J284" i="20"/>
  <c r="S1938" i="19"/>
  <c r="AA1950" i="19" a="1"/>
  <c r="AA1950" i="19" s="1"/>
  <c r="X1950" i="19" s="1"/>
  <c r="L1950" i="19"/>
  <c r="J1950" i="19"/>
  <c r="F1950" i="19" s="1"/>
  <c r="AA1949" i="19" a="1"/>
  <c r="AA1949" i="19" s="1"/>
  <c r="X1949" i="19" s="1"/>
  <c r="L1949" i="19"/>
  <c r="J1949" i="19"/>
  <c r="F1949" i="19" s="1"/>
  <c r="AG1966" i="19"/>
  <c r="U1968" i="19"/>
  <c r="U1969" i="19"/>
  <c r="AF1931" i="19"/>
  <c r="AE1931" i="19"/>
  <c r="AD1931" i="19"/>
  <c r="AF1932" i="19"/>
  <c r="AE1932" i="19"/>
  <c r="AD1932" i="19"/>
  <c r="S1931" i="19"/>
  <c r="S1932" i="19"/>
  <c r="S1933" i="19"/>
  <c r="AG1979" i="19"/>
  <c r="AC1979" i="19"/>
  <c r="AD1979" i="19" s="1"/>
  <c r="Y1979" i="19"/>
  <c r="V1979" i="19"/>
  <c r="W1979" i="19" s="1"/>
  <c r="AA1979" i="19" a="1"/>
  <c r="AA1979" i="19" s="1"/>
  <c r="X1979" i="19" s="1"/>
  <c r="L1979" i="19"/>
  <c r="J1979" i="19"/>
  <c r="F1979" i="19" s="1"/>
  <c r="S1934" i="19"/>
  <c r="AF1956" i="19"/>
  <c r="AE1956" i="19"/>
  <c r="AD1956" i="19"/>
  <c r="AF1945" i="19"/>
  <c r="AE1945" i="19"/>
  <c r="AD1945" i="19"/>
  <c r="AF1948" i="19"/>
  <c r="AE1948" i="19"/>
  <c r="AD1948" i="19"/>
  <c r="AF1946" i="19"/>
  <c r="AE1946" i="19"/>
  <c r="AD1946" i="19"/>
  <c r="AF1952" i="19"/>
  <c r="AE1952" i="19"/>
  <c r="AD1952" i="19"/>
  <c r="AF1958" i="19"/>
  <c r="AE1958" i="19"/>
  <c r="AD1958" i="19"/>
  <c r="AF1959" i="19"/>
  <c r="AE1959" i="19"/>
  <c r="AD1959" i="19"/>
  <c r="AF1963" i="19"/>
  <c r="AE1963" i="19"/>
  <c r="AD1963" i="19"/>
  <c r="AF1953" i="19"/>
  <c r="AE1953" i="19"/>
  <c r="AD1953" i="19"/>
  <c r="AF1954" i="19"/>
  <c r="AE1954" i="19"/>
  <c r="AD1954" i="19"/>
  <c r="AF1960" i="19"/>
  <c r="AE1960" i="19"/>
  <c r="AD1960" i="19"/>
  <c r="AF1961" i="19"/>
  <c r="AE1961" i="19"/>
  <c r="AD1961" i="19"/>
  <c r="AF1957" i="19"/>
  <c r="AE1957" i="19"/>
  <c r="AD1957" i="19"/>
  <c r="AF1955" i="19"/>
  <c r="AE1955" i="19"/>
  <c r="AD1955" i="19"/>
  <c r="AF1962" i="19"/>
  <c r="AE1962" i="19"/>
  <c r="AD1962" i="19"/>
  <c r="AF1947" i="19"/>
  <c r="AE1947" i="19"/>
  <c r="AD1947" i="19"/>
  <c r="AF1964" i="19"/>
  <c r="AE1964" i="19"/>
  <c r="AD1964" i="19"/>
  <c r="S1936" i="19"/>
  <c r="S1935" i="19"/>
  <c r="AF1935" i="19"/>
  <c r="AE1935" i="19"/>
  <c r="AD1935" i="19"/>
  <c r="Y1935" i="19"/>
  <c r="V1935" i="19"/>
  <c r="W1935" i="19" s="1"/>
  <c r="AA1935" i="19" a="1"/>
  <c r="AA1935" i="19" s="1"/>
  <c r="X1935" i="19" s="1"/>
  <c r="L1935" i="19"/>
  <c r="J1935" i="19"/>
  <c r="F1935" i="19" s="1"/>
  <c r="AF1937" i="19"/>
  <c r="AE1937" i="19"/>
  <c r="AD1937" i="19"/>
  <c r="AF1936" i="19"/>
  <c r="AE1936" i="19"/>
  <c r="AD1936" i="19"/>
  <c r="AF1934" i="19"/>
  <c r="AE1934" i="19"/>
  <c r="AD1934" i="19"/>
  <c r="K283" i="20"/>
  <c r="S1976" i="19"/>
  <c r="S1977" i="19"/>
  <c r="S1978" i="19"/>
  <c r="S1989" i="19"/>
  <c r="S1994" i="19"/>
  <c r="S1983" i="19"/>
  <c r="S1990" i="19"/>
  <c r="S1988" i="19"/>
  <c r="S1987" i="19"/>
  <c r="S1991" i="19"/>
  <c r="S1993" i="19"/>
  <c r="S1992" i="19"/>
  <c r="S1986" i="19"/>
  <c r="S1985" i="19"/>
  <c r="S1982" i="19"/>
  <c r="S1984" i="19"/>
  <c r="S1981" i="19"/>
  <c r="S1980" i="19"/>
  <c r="U1977" i="19"/>
  <c r="S1930" i="19"/>
  <c r="U913" i="15"/>
  <c r="N913" i="15"/>
  <c r="Q913" i="15" s="1"/>
  <c r="N912" i="15"/>
  <c r="Q912" i="15" s="1"/>
  <c r="G913" i="15"/>
  <c r="C913" i="15"/>
  <c r="N911" i="15"/>
  <c r="Q911" i="15" s="1"/>
  <c r="N910" i="15"/>
  <c r="Q910" i="15" s="1"/>
  <c r="N909" i="15"/>
  <c r="Q909" i="15" s="1"/>
  <c r="N907" i="15"/>
  <c r="Q907" i="15" s="1"/>
  <c r="N908" i="15"/>
  <c r="Q908" i="15" s="1"/>
  <c r="N906" i="15"/>
  <c r="Q906" i="15" s="1"/>
  <c r="U912" i="15"/>
  <c r="U911" i="15"/>
  <c r="U910" i="15"/>
  <c r="U909" i="15"/>
  <c r="U908" i="15"/>
  <c r="U907" i="15"/>
  <c r="U906" i="15"/>
  <c r="G912" i="15"/>
  <c r="G911" i="15"/>
  <c r="G910" i="15"/>
  <c r="G909" i="15"/>
  <c r="G908" i="15"/>
  <c r="G907" i="15"/>
  <c r="G906" i="15"/>
  <c r="U905" i="15"/>
  <c r="P905" i="15"/>
  <c r="N905" i="15" s="1"/>
  <c r="Q905" i="15" s="1"/>
  <c r="G905" i="15"/>
  <c r="C909" i="15"/>
  <c r="C910" i="15"/>
  <c r="C911" i="15"/>
  <c r="C912" i="15"/>
  <c r="C908" i="15"/>
  <c r="C907" i="15"/>
  <c r="C906" i="15"/>
  <c r="C905" i="15"/>
  <c r="S1922" i="19"/>
  <c r="S1921" i="19"/>
  <c r="S1917" i="19"/>
  <c r="S1927" i="19"/>
  <c r="S1916" i="19"/>
  <c r="S1918" i="19"/>
  <c r="S1920" i="19"/>
  <c r="S1928" i="19"/>
  <c r="S1923" i="19"/>
  <c r="S1924" i="19"/>
  <c r="S1925" i="19"/>
  <c r="S1926" i="19"/>
  <c r="S1929" i="19"/>
  <c r="S1919" i="19"/>
  <c r="U1921" i="19"/>
  <c r="AF1917" i="19"/>
  <c r="AE1917" i="19"/>
  <c r="AD1917" i="19"/>
  <c r="AF1919" i="19"/>
  <c r="AE1919" i="19"/>
  <c r="AD1919" i="19"/>
  <c r="AF1916" i="19"/>
  <c r="AE1916" i="19"/>
  <c r="AD1916" i="19"/>
  <c r="AF1918" i="19"/>
  <c r="AE1918" i="19"/>
  <c r="AD1918" i="19"/>
  <c r="AF1929" i="19"/>
  <c r="AE1929" i="19"/>
  <c r="AD1929" i="19"/>
  <c r="AF1928" i="19"/>
  <c r="AE1928" i="19"/>
  <c r="AD1928" i="19"/>
  <c r="AF1927" i="19"/>
  <c r="AE1927" i="19"/>
  <c r="AD1927" i="19"/>
  <c r="AF1923" i="19"/>
  <c r="AE1923" i="19"/>
  <c r="AD1923" i="19"/>
  <c r="AF1924" i="19"/>
  <c r="AE1924" i="19"/>
  <c r="AD1924" i="19"/>
  <c r="AF1925" i="19"/>
  <c r="AE1925" i="19"/>
  <c r="AD1925" i="19"/>
  <c r="AF1922" i="19"/>
  <c r="AE1922" i="19"/>
  <c r="AD1922" i="19"/>
  <c r="O456" i="20"/>
  <c r="AF1914" i="19"/>
  <c r="AE1914" i="19"/>
  <c r="AD1914" i="19"/>
  <c r="J1914" i="19"/>
  <c r="S1908" i="19"/>
  <c r="S1909" i="19"/>
  <c r="S1910" i="19"/>
  <c r="J277" i="20"/>
  <c r="AF1909" i="19"/>
  <c r="AE1909" i="19"/>
  <c r="AD1909" i="19"/>
  <c r="AF1908" i="19"/>
  <c r="AE1908" i="19"/>
  <c r="AD1908" i="19"/>
  <c r="S1911" i="19"/>
  <c r="J1911" i="19"/>
  <c r="J1907" i="19"/>
  <c r="J1905" i="19"/>
  <c r="AF1907" i="19"/>
  <c r="AE1907" i="19"/>
  <c r="AD1907" i="19"/>
  <c r="AF1905" i="19"/>
  <c r="AE1905" i="19"/>
  <c r="AD1905" i="19"/>
  <c r="V1907" i="19"/>
  <c r="V1905" i="19"/>
  <c r="V1906" i="19"/>
  <c r="V1888" i="19"/>
  <c r="V1886" i="19"/>
  <c r="V1887" i="19"/>
  <c r="V1889" i="19"/>
  <c r="S1907" i="19"/>
  <c r="S1905" i="19"/>
  <c r="S1906" i="19"/>
  <c r="S1904" i="19"/>
  <c r="J1893" i="19"/>
  <c r="J1889" i="19"/>
  <c r="J1887" i="19"/>
  <c r="J1886" i="19"/>
  <c r="J1888" i="19"/>
  <c r="AD1889" i="19"/>
  <c r="AE1889" i="19"/>
  <c r="AF1889" i="19"/>
  <c r="AD1887" i="19"/>
  <c r="AE1887" i="19"/>
  <c r="AF1887" i="19"/>
  <c r="AD1886" i="19"/>
  <c r="AE1886" i="19"/>
  <c r="AF1886" i="19"/>
  <c r="AD1888" i="19"/>
  <c r="AE1888" i="19"/>
  <c r="AF1888" i="19"/>
  <c r="AJ2601" i="19"/>
  <c r="AK2601" i="19" s="1" a="1"/>
  <c r="AK2601" i="19" s="1"/>
  <c r="AD2601" i="19"/>
  <c r="AA2601" i="19" a="1"/>
  <c r="AA2601" i="19" s="1"/>
  <c r="W2601" i="19"/>
  <c r="J1894" i="19"/>
  <c r="J1892" i="19"/>
  <c r="J1895" i="19"/>
  <c r="J1896" i="19"/>
  <c r="J1890" i="19"/>
  <c r="J1897" i="19"/>
  <c r="J1891" i="19"/>
  <c r="J1898" i="19"/>
  <c r="S1896" i="19"/>
  <c r="S1890" i="19"/>
  <c r="S1897" i="19"/>
  <c r="S1891" i="19"/>
  <c r="S1898" i="19"/>
  <c r="S1893" i="19"/>
  <c r="S1894" i="19"/>
  <c r="S1892" i="19"/>
  <c r="S1913" i="19"/>
  <c r="S1912" i="19"/>
  <c r="AF1899" i="19"/>
  <c r="AE1899" i="19"/>
  <c r="AD1899" i="19"/>
  <c r="AF1900" i="19"/>
  <c r="AE1900" i="19"/>
  <c r="AD1900" i="19"/>
  <c r="AF1902" i="19"/>
  <c r="AE1902" i="19"/>
  <c r="AD1902" i="19"/>
  <c r="AF1901" i="19"/>
  <c r="AE1901" i="19"/>
  <c r="AD1901" i="19"/>
  <c r="S1899" i="19"/>
  <c r="S1900" i="19"/>
  <c r="S1902" i="19"/>
  <c r="S1901" i="19"/>
  <c r="S1903" i="19"/>
  <c r="W2597" i="19"/>
  <c r="W2598" i="19"/>
  <c r="W2599" i="19"/>
  <c r="W2600" i="19"/>
  <c r="AA2597" i="19" a="1"/>
  <c r="AA2597" i="19" s="1"/>
  <c r="AA2598" i="19" a="1"/>
  <c r="AA2598" i="19" s="1"/>
  <c r="AA2599" i="19" a="1"/>
  <c r="AA2599" i="19" s="1"/>
  <c r="AA2600" i="19" a="1"/>
  <c r="AA2600" i="19" s="1"/>
  <c r="AD2597" i="19"/>
  <c r="AD2598" i="19"/>
  <c r="AD2599" i="19"/>
  <c r="AD2600" i="19"/>
  <c r="AJ2597" i="19"/>
  <c r="AK2597" i="19" s="1" a="1"/>
  <c r="AK2597" i="19" s="1"/>
  <c r="AJ2598" i="19"/>
  <c r="AK2598" i="19" s="1" a="1"/>
  <c r="AK2598" i="19" s="1"/>
  <c r="AJ2599" i="19"/>
  <c r="AK2599" i="19" s="1" a="1"/>
  <c r="AK2599" i="19" s="1"/>
  <c r="AJ2600" i="19"/>
  <c r="AK2600" i="19" s="1" a="1"/>
  <c r="AK2600" i="19" s="1"/>
  <c r="W2592" i="19"/>
  <c r="W2593" i="19"/>
  <c r="W2594" i="19"/>
  <c r="W2595" i="19"/>
  <c r="W2596" i="19"/>
  <c r="AA2592" i="19" a="1"/>
  <c r="AA2592" i="19" s="1"/>
  <c r="AA2593" i="19" a="1"/>
  <c r="AA2593" i="19" s="1"/>
  <c r="AA2594" i="19" a="1"/>
  <c r="AA2594" i="19" s="1"/>
  <c r="AA2595" i="19" a="1"/>
  <c r="AA2595" i="19" s="1"/>
  <c r="AA2596" i="19" a="1"/>
  <c r="AA2596" i="19" s="1"/>
  <c r="AD2592" i="19"/>
  <c r="AD2593" i="19"/>
  <c r="AD2594" i="19"/>
  <c r="AD2595" i="19"/>
  <c r="AD2596" i="19"/>
  <c r="AJ2592" i="19"/>
  <c r="AK2592" i="19" s="1" a="1"/>
  <c r="AK2592" i="19" s="1"/>
  <c r="AJ2593" i="19"/>
  <c r="AK2593" i="19" s="1" a="1"/>
  <c r="AK2593" i="19" s="1"/>
  <c r="AJ2594" i="19"/>
  <c r="AK2594" i="19" s="1" a="1"/>
  <c r="AK2594" i="19" s="1"/>
  <c r="AJ2595" i="19"/>
  <c r="AK2595" i="19" s="1" a="1"/>
  <c r="AK2595" i="19" s="1"/>
  <c r="AJ2596" i="19"/>
  <c r="AK2596" i="19" s="1" a="1"/>
  <c r="AK2596" i="19" s="1"/>
  <c r="AD469" i="19" l="1"/>
  <c r="AE469" i="19"/>
  <c r="AE1979" i="19"/>
  <c r="AF1979" i="19"/>
  <c r="S1879" i="19"/>
  <c r="S1880" i="19"/>
  <c r="S1877" i="19"/>
  <c r="S1878" i="19"/>
  <c r="AF1879" i="19"/>
  <c r="AE1879" i="19"/>
  <c r="AD1879" i="19"/>
  <c r="AF1880" i="19"/>
  <c r="AE1880" i="19"/>
  <c r="AD1880" i="19"/>
  <c r="AF1878" i="19"/>
  <c r="AE1878" i="19"/>
  <c r="AD1878" i="19"/>
  <c r="S1875" i="19"/>
  <c r="S1874" i="19"/>
  <c r="S1876" i="19"/>
  <c r="K1985" i="16"/>
  <c r="S1852" i="19"/>
  <c r="U879" i="15"/>
  <c r="L879" i="15"/>
  <c r="Q879" i="15" s="1"/>
  <c r="G879" i="15"/>
  <c r="C879" i="15"/>
  <c r="U856" i="15"/>
  <c r="Q856" i="15"/>
  <c r="G856" i="15"/>
  <c r="C856" i="15"/>
  <c r="U904" i="15"/>
  <c r="Q904" i="15"/>
  <c r="G904" i="15"/>
  <c r="C904" i="15"/>
  <c r="Q903" i="15"/>
  <c r="Q902" i="15"/>
  <c r="Q901" i="15"/>
  <c r="U903" i="15"/>
  <c r="U902" i="15"/>
  <c r="U901" i="15"/>
  <c r="U900" i="15"/>
  <c r="Q900" i="15"/>
  <c r="G903" i="15"/>
  <c r="C903" i="15"/>
  <c r="G902" i="15"/>
  <c r="G901" i="15"/>
  <c r="G900" i="15"/>
  <c r="C901" i="15"/>
  <c r="C902" i="15"/>
  <c r="C900" i="15"/>
  <c r="U1865" i="19"/>
  <c r="U1864" i="19"/>
  <c r="AG1864" i="19"/>
  <c r="AC1864" i="19"/>
  <c r="AF1864" i="19" s="1"/>
  <c r="Y1864" i="19"/>
  <c r="V1864" i="19"/>
  <c r="S1864" i="19"/>
  <c r="AA1864" i="19" a="1"/>
  <c r="AA1864" i="19" s="1"/>
  <c r="X1864" i="19" s="1"/>
  <c r="L1864" i="19"/>
  <c r="J1864" i="19"/>
  <c r="U899" i="15"/>
  <c r="N899" i="15"/>
  <c r="Q899" i="15" s="1"/>
  <c r="G899" i="15"/>
  <c r="S1866" i="19"/>
  <c r="AF1873" i="19"/>
  <c r="AF1871" i="19"/>
  <c r="AF1872" i="19"/>
  <c r="AF1856" i="19"/>
  <c r="AE1856" i="19"/>
  <c r="AD1856" i="19"/>
  <c r="AF1858" i="19"/>
  <c r="AE1858" i="19"/>
  <c r="AD1858" i="19"/>
  <c r="S1873" i="19"/>
  <c r="S1871" i="19"/>
  <c r="S1872" i="19"/>
  <c r="S1850" i="19"/>
  <c r="S1853" i="19"/>
  <c r="S1855" i="19"/>
  <c r="S1854" i="19"/>
  <c r="S1849" i="19"/>
  <c r="AE1873" i="19"/>
  <c r="AD1873" i="19"/>
  <c r="AE1871" i="19"/>
  <c r="AD1871" i="19"/>
  <c r="AF1850" i="19"/>
  <c r="AE1850" i="19"/>
  <c r="AD1850" i="19"/>
  <c r="AF1849" i="19"/>
  <c r="AE1849" i="19"/>
  <c r="AD1849" i="19"/>
  <c r="C899" i="15"/>
  <c r="U898" i="15"/>
  <c r="G898" i="15"/>
  <c r="Q898" i="15"/>
  <c r="C898" i="15"/>
  <c r="Q897" i="15"/>
  <c r="S1848" i="19"/>
  <c r="J1836" i="19"/>
  <c r="J1835" i="19"/>
  <c r="J1833" i="19"/>
  <c r="J1834" i="19"/>
  <c r="U1975" i="19"/>
  <c r="O310" i="20"/>
  <c r="O309" i="20"/>
  <c r="O308" i="20"/>
  <c r="O307" i="20"/>
  <c r="O306" i="20"/>
  <c r="O305" i="20"/>
  <c r="O304" i="20"/>
  <c r="O303" i="20"/>
  <c r="O302" i="20"/>
  <c r="O301" i="20"/>
  <c r="O300" i="20"/>
  <c r="O299" i="20"/>
  <c r="O298" i="20"/>
  <c r="O297" i="20"/>
  <c r="O296" i="20"/>
  <c r="O295" i="20"/>
  <c r="O294" i="20"/>
  <c r="O293" i="20"/>
  <c r="O292" i="20"/>
  <c r="O291" i="20"/>
  <c r="O290" i="20"/>
  <c r="O289" i="20"/>
  <c r="O287" i="20"/>
  <c r="O286" i="20"/>
  <c r="O285" i="20"/>
  <c r="O284" i="20"/>
  <c r="O283" i="20"/>
  <c r="O282" i="20"/>
  <c r="O281" i="20"/>
  <c r="O280" i="20"/>
  <c r="O279" i="20"/>
  <c r="O278" i="20"/>
  <c r="O276" i="20"/>
  <c r="O275" i="20"/>
  <c r="O274" i="20"/>
  <c r="O273" i="20"/>
  <c r="O272" i="20"/>
  <c r="O271" i="20"/>
  <c r="O270" i="20"/>
  <c r="O269" i="20"/>
  <c r="O268" i="20"/>
  <c r="O267" i="20"/>
  <c r="O266" i="20"/>
  <c r="O265" i="20"/>
  <c r="O264" i="20"/>
  <c r="O263" i="20"/>
  <c r="AI2082" i="19" s="1"/>
  <c r="S1828" i="19"/>
  <c r="AD1828" i="19"/>
  <c r="AF1829" i="19"/>
  <c r="AE1829" i="19"/>
  <c r="AD1829" i="19"/>
  <c r="AF1828" i="19"/>
  <c r="AE1828" i="19"/>
  <c r="AG1832" i="19"/>
  <c r="AC1832" i="19"/>
  <c r="AD1832" i="19" s="1"/>
  <c r="Y1832" i="19"/>
  <c r="V1832" i="19"/>
  <c r="W1832" i="19" s="1"/>
  <c r="S1832" i="19"/>
  <c r="AA1832" i="19" a="1"/>
  <c r="AA1832" i="19" s="1"/>
  <c r="X1832" i="19" s="1"/>
  <c r="L1832" i="19"/>
  <c r="J1832" i="19"/>
  <c r="F1832" i="19" s="1"/>
  <c r="AF1827" i="19"/>
  <c r="AE1827" i="19"/>
  <c r="AD1827" i="19"/>
  <c r="AF1824" i="19"/>
  <c r="AE1824" i="19"/>
  <c r="AD1824" i="19"/>
  <c r="AF1826" i="19"/>
  <c r="AE1826" i="19"/>
  <c r="AD1826" i="19"/>
  <c r="S1827" i="19"/>
  <c r="S1824" i="19"/>
  <c r="S1826" i="19"/>
  <c r="S1825" i="19"/>
  <c r="AF1822" i="19"/>
  <c r="AE1822" i="19"/>
  <c r="AD1822" i="19"/>
  <c r="AF1821" i="19"/>
  <c r="AE1821" i="19"/>
  <c r="AD1821" i="19"/>
  <c r="AF1818" i="19"/>
  <c r="AE1818" i="19"/>
  <c r="AD1818" i="19"/>
  <c r="AF1820" i="19"/>
  <c r="AE1820" i="19"/>
  <c r="AD1820" i="19"/>
  <c r="AF1819" i="19"/>
  <c r="AE1819" i="19"/>
  <c r="AD1819" i="19"/>
  <c r="Y1819" i="19"/>
  <c r="V1819" i="19"/>
  <c r="W1819" i="19" s="1"/>
  <c r="AA1819" i="19" a="1"/>
  <c r="AA1819" i="19" s="1"/>
  <c r="X1819" i="19" s="1"/>
  <c r="L1819" i="19"/>
  <c r="J1819" i="19"/>
  <c r="S1840" i="19"/>
  <c r="AH1840" i="19"/>
  <c r="AJ1840" i="19" s="1"/>
  <c r="AG1840" i="19"/>
  <c r="AC1840" i="19"/>
  <c r="AD1840" i="19" s="1"/>
  <c r="Y1840" i="19"/>
  <c r="V1840" i="19"/>
  <c r="W1840" i="19" s="1"/>
  <c r="AA1840" i="19" a="1"/>
  <c r="AA1840" i="19" s="1"/>
  <c r="X1840" i="19" s="1"/>
  <c r="L1840" i="19"/>
  <c r="J1840" i="19"/>
  <c r="F1840" i="19" s="1"/>
  <c r="Y1821" i="19"/>
  <c r="V1821" i="19"/>
  <c r="W1821" i="19" s="1"/>
  <c r="AA1821" i="19" a="1"/>
  <c r="AA1821" i="19" s="1"/>
  <c r="X1821" i="19" s="1"/>
  <c r="L1821" i="19"/>
  <c r="J1821" i="19"/>
  <c r="F1821" i="19" s="1"/>
  <c r="S1816" i="19"/>
  <c r="S1817" i="19"/>
  <c r="J1813" i="19"/>
  <c r="J1814" i="19"/>
  <c r="W1864" i="19" l="1"/>
  <c r="AI2075" i="19"/>
  <c r="AI2074" i="19"/>
  <c r="AD1864" i="19"/>
  <c r="AE1864" i="19"/>
  <c r="F1864" i="19"/>
  <c r="AF1832" i="19"/>
  <c r="AE1832" i="19"/>
  <c r="AF1840" i="19"/>
  <c r="F1819" i="19"/>
  <c r="AE1840" i="19"/>
  <c r="AK1840" i="19" a="1"/>
  <c r="AK1840" i="19" s="1"/>
  <c r="AF1809" i="19"/>
  <c r="AE1809" i="19"/>
  <c r="AD1809" i="19"/>
  <c r="AF1807" i="19"/>
  <c r="AE1807" i="19"/>
  <c r="AD1807" i="19"/>
  <c r="AF1810" i="19"/>
  <c r="AE1810" i="19"/>
  <c r="AD1810" i="19"/>
  <c r="J1809" i="19"/>
  <c r="J1807" i="19"/>
  <c r="J1810" i="19"/>
  <c r="J1808" i="19"/>
  <c r="S1809" i="19"/>
  <c r="S1807" i="19"/>
  <c r="S1810" i="19"/>
  <c r="S1808" i="19"/>
  <c r="S1805" i="19"/>
  <c r="S1806" i="19"/>
  <c r="S1804" i="19"/>
  <c r="S1803" i="19"/>
  <c r="S1802" i="19"/>
  <c r="S1801" i="19"/>
  <c r="S1799" i="19"/>
  <c r="S1800" i="19"/>
  <c r="AF1802" i="19"/>
  <c r="AE1802" i="19"/>
  <c r="AD1802" i="19"/>
  <c r="Y1802" i="19"/>
  <c r="V1802" i="19"/>
  <c r="W1802" i="19" s="1"/>
  <c r="AA1802" i="19" a="1"/>
  <c r="AA1802" i="19" s="1"/>
  <c r="X1802" i="19" s="1"/>
  <c r="L1802" i="19"/>
  <c r="J1802" i="19"/>
  <c r="F1802" i="19" s="1"/>
  <c r="AF1801" i="19"/>
  <c r="AE1801" i="19"/>
  <c r="AD1801" i="19"/>
  <c r="Y1801" i="19"/>
  <c r="V1801" i="19"/>
  <c r="W1801" i="19" s="1"/>
  <c r="AA1801" i="19" a="1"/>
  <c r="AA1801" i="19" s="1"/>
  <c r="X1801" i="19" s="1"/>
  <c r="L1801" i="19"/>
  <c r="J1801" i="19"/>
  <c r="F1801" i="19" s="1"/>
  <c r="AF1805" i="19"/>
  <c r="AE1805" i="19"/>
  <c r="AD1805" i="19"/>
  <c r="AF1806" i="19"/>
  <c r="AE1806" i="19"/>
  <c r="AD1806" i="19"/>
  <c r="AF1800" i="19"/>
  <c r="AE1800" i="19"/>
  <c r="AD1800" i="19"/>
  <c r="AF1804" i="19"/>
  <c r="AE1804" i="19"/>
  <c r="AD1804" i="19"/>
  <c r="AF1803" i="19"/>
  <c r="AE1803" i="19"/>
  <c r="AD1803" i="19"/>
  <c r="S1790" i="19"/>
  <c r="S1792" i="19"/>
  <c r="S1791" i="19"/>
  <c r="S1798" i="19"/>
  <c r="S1797" i="19"/>
  <c r="S1796" i="19"/>
  <c r="S1794" i="19"/>
  <c r="S1793" i="19"/>
  <c r="S1795" i="19"/>
  <c r="AG1797" i="19"/>
  <c r="AC1797" i="19"/>
  <c r="AD1797" i="19" s="1"/>
  <c r="Y1797" i="19"/>
  <c r="V1797" i="19"/>
  <c r="W1797" i="19" s="1"/>
  <c r="AA1797" i="19" a="1"/>
  <c r="AA1797" i="19" s="1"/>
  <c r="X1797" i="19" s="1"/>
  <c r="L1797" i="19"/>
  <c r="J1797" i="19"/>
  <c r="F1797" i="19" s="1"/>
  <c r="S1789" i="19"/>
  <c r="S1788" i="19"/>
  <c r="S1815" i="19"/>
  <c r="S1787" i="19"/>
  <c r="S1785" i="19"/>
  <c r="U1860" i="19"/>
  <c r="U1859" i="19"/>
  <c r="AE1797" i="19" l="1"/>
  <c r="AF1797" i="19"/>
  <c r="N896" i="15"/>
  <c r="Q896" i="15" s="1"/>
  <c r="G896" i="15"/>
  <c r="G895" i="15"/>
  <c r="C896" i="15"/>
  <c r="C897" i="15"/>
  <c r="U897" i="15"/>
  <c r="U896" i="15"/>
  <c r="U895" i="15"/>
  <c r="U894" i="15"/>
  <c r="U893" i="15"/>
  <c r="U892" i="15"/>
  <c r="N895" i="15"/>
  <c r="Q895" i="15" s="1"/>
  <c r="C895" i="15"/>
  <c r="N894" i="15"/>
  <c r="Q894" i="15" s="1"/>
  <c r="N893" i="15"/>
  <c r="Q893" i="15" s="1"/>
  <c r="O892" i="15"/>
  <c r="N892" i="15" s="1"/>
  <c r="Q892" i="15" s="1"/>
  <c r="U891" i="15"/>
  <c r="P891" i="15"/>
  <c r="N891" i="15" s="1"/>
  <c r="Q891" i="15" s="1"/>
  <c r="G894" i="15"/>
  <c r="C894" i="15"/>
  <c r="G893" i="15"/>
  <c r="C893" i="15"/>
  <c r="G892" i="15"/>
  <c r="C892" i="15"/>
  <c r="G891" i="15"/>
  <c r="C891" i="15"/>
  <c r="G890" i="15"/>
  <c r="N890" i="15"/>
  <c r="Q890" i="15" s="1"/>
  <c r="P889" i="15"/>
  <c r="N889" i="15" s="1"/>
  <c r="Q889" i="15" s="1"/>
  <c r="P888" i="15"/>
  <c r="N888" i="15" s="1"/>
  <c r="Q888" i="15" s="1"/>
  <c r="P887" i="15"/>
  <c r="N887" i="15" s="1"/>
  <c r="Q887" i="15" s="1"/>
  <c r="P886" i="15"/>
  <c r="N886" i="15" s="1"/>
  <c r="Q886" i="15" s="1"/>
  <c r="P885" i="15"/>
  <c r="N885" i="15" s="1"/>
  <c r="Q885" i="15" s="1"/>
  <c r="P884" i="15"/>
  <c r="N884" i="15" s="1"/>
  <c r="Q884" i="15" s="1"/>
  <c r="P883" i="15"/>
  <c r="N883" i="15" s="1"/>
  <c r="Q883" i="15" s="1"/>
  <c r="G889" i="15"/>
  <c r="G888" i="15"/>
  <c r="G887" i="15"/>
  <c r="G886" i="15"/>
  <c r="G885" i="15"/>
  <c r="G884" i="15"/>
  <c r="G883" i="15"/>
  <c r="G882" i="15"/>
  <c r="P882" i="15"/>
  <c r="N882" i="15" s="1"/>
  <c r="Q882" i="15" s="1"/>
  <c r="C890" i="15"/>
  <c r="U890" i="15"/>
  <c r="U889" i="15"/>
  <c r="U888" i="15"/>
  <c r="U887" i="15"/>
  <c r="U886" i="15"/>
  <c r="U885" i="15"/>
  <c r="U884" i="15"/>
  <c r="U883" i="15"/>
  <c r="U882" i="15"/>
  <c r="C883" i="15"/>
  <c r="C884" i="15"/>
  <c r="C885" i="15"/>
  <c r="C886" i="15"/>
  <c r="C887" i="15"/>
  <c r="C888" i="15"/>
  <c r="C889" i="15"/>
  <c r="AF1781" i="19"/>
  <c r="AE1781" i="19"/>
  <c r="AD1781" i="19"/>
  <c r="AF1773" i="19"/>
  <c r="AE1773" i="19"/>
  <c r="AD1773" i="19"/>
  <c r="AF1778" i="19"/>
  <c r="AE1778" i="19"/>
  <c r="AD1778" i="19"/>
  <c r="AF1779" i="19"/>
  <c r="AE1779" i="19"/>
  <c r="AD1779" i="19"/>
  <c r="AF1776" i="19"/>
  <c r="AE1776" i="19"/>
  <c r="AD1776" i="19"/>
  <c r="AF1782" i="19"/>
  <c r="AE1782" i="19"/>
  <c r="AD1782" i="19"/>
  <c r="AF1783" i="19"/>
  <c r="AE1783" i="19"/>
  <c r="AD1783" i="19"/>
  <c r="AF1780" i="19"/>
  <c r="AE1780" i="19"/>
  <c r="AD1780" i="19"/>
  <c r="AF1775" i="19"/>
  <c r="AE1775" i="19"/>
  <c r="AD1775" i="19"/>
  <c r="AF1774" i="19"/>
  <c r="AE1774" i="19"/>
  <c r="AD1774" i="19"/>
  <c r="AF1777" i="19"/>
  <c r="AE1777" i="19"/>
  <c r="AD1777" i="19"/>
  <c r="S1775" i="19"/>
  <c r="S1774" i="19"/>
  <c r="S1781" i="19"/>
  <c r="S1773" i="19"/>
  <c r="S1778" i="19"/>
  <c r="S1779" i="19"/>
  <c r="S1776" i="19"/>
  <c r="S1782" i="19"/>
  <c r="S1783" i="19"/>
  <c r="S1780" i="19"/>
  <c r="S1777" i="19"/>
  <c r="S1784" i="19"/>
  <c r="S1771" i="19"/>
  <c r="S1772" i="19"/>
  <c r="S1770" i="19"/>
  <c r="S1769" i="19"/>
  <c r="S1786" i="19"/>
  <c r="AF1771" i="19"/>
  <c r="AE1771" i="19"/>
  <c r="AD1771" i="19"/>
  <c r="AF1772" i="19"/>
  <c r="AE1772" i="19"/>
  <c r="AD1772" i="19"/>
  <c r="AF1770" i="19"/>
  <c r="AE1770" i="19"/>
  <c r="AD1770" i="19"/>
  <c r="AF1769" i="19"/>
  <c r="AE1769" i="19"/>
  <c r="AD1769" i="19"/>
  <c r="Y1774" i="19"/>
  <c r="V1774" i="19"/>
  <c r="W1774" i="19" s="1"/>
  <c r="AA1774" i="19" a="1"/>
  <c r="AA1774" i="19" s="1"/>
  <c r="X1774" i="19" s="1"/>
  <c r="L1774" i="19"/>
  <c r="J1774" i="19"/>
  <c r="F1774" i="19" s="1"/>
  <c r="G878" i="15"/>
  <c r="U878" i="15"/>
  <c r="Q878" i="15"/>
  <c r="C882" i="15"/>
  <c r="C878" i="15"/>
  <c r="G877" i="15"/>
  <c r="U877" i="15"/>
  <c r="Q877" i="15"/>
  <c r="C877" i="15"/>
  <c r="G876" i="15"/>
  <c r="U876" i="15"/>
  <c r="Q876" i="15"/>
  <c r="C876" i="15"/>
  <c r="U875" i="15"/>
  <c r="Q875" i="15"/>
  <c r="G875" i="15"/>
  <c r="C875" i="15"/>
  <c r="Q874" i="15"/>
  <c r="U874" i="15"/>
  <c r="G874" i="15"/>
  <c r="C874" i="15"/>
  <c r="S1701" i="19"/>
  <c r="AF1700" i="19"/>
  <c r="AE1700" i="19"/>
  <c r="AD1700" i="19"/>
  <c r="Y1700" i="19"/>
  <c r="V1700" i="19"/>
  <c r="W1700" i="19" s="1"/>
  <c r="S1700" i="19"/>
  <c r="AA1700" i="19" a="1"/>
  <c r="AA1700" i="19" s="1"/>
  <c r="X1700" i="19" s="1"/>
  <c r="L1700" i="19"/>
  <c r="J1700" i="19"/>
  <c r="U1764" i="19"/>
  <c r="S1755" i="19"/>
  <c r="Y1768" i="19"/>
  <c r="V1768" i="19"/>
  <c r="W1768" i="19" s="1"/>
  <c r="S1768" i="19"/>
  <c r="S1767" i="19" l="1"/>
  <c r="S1762" i="19"/>
  <c r="AF1765" i="19"/>
  <c r="AE1765" i="19"/>
  <c r="AD1765" i="19"/>
  <c r="AF1767" i="19"/>
  <c r="AE1767" i="19"/>
  <c r="AD1767" i="19"/>
  <c r="S1763" i="19"/>
  <c r="S1761" i="19"/>
  <c r="S1759" i="19"/>
  <c r="S1760" i="19"/>
  <c r="AF1761" i="19"/>
  <c r="AE1761" i="19"/>
  <c r="AD1761" i="19"/>
  <c r="Y1761" i="19"/>
  <c r="V1761" i="19"/>
  <c r="W1761" i="19" s="1"/>
  <c r="AA1761" i="19" a="1"/>
  <c r="AA1761" i="19" s="1"/>
  <c r="X1761" i="19" s="1"/>
  <c r="L1761" i="19"/>
  <c r="J1761" i="19"/>
  <c r="F1761" i="19" s="1"/>
  <c r="AF1762" i="19" l="1"/>
  <c r="AE1762" i="19"/>
  <c r="AD1762" i="19"/>
  <c r="AF1759" i="19"/>
  <c r="AE1759" i="19"/>
  <c r="AD1759" i="19"/>
  <c r="S1758" i="19"/>
  <c r="S1756" i="19"/>
  <c r="S1751" i="19"/>
  <c r="AF1758" i="19"/>
  <c r="AE1758" i="19"/>
  <c r="AD1758" i="19"/>
  <c r="AF1756" i="19"/>
  <c r="AE1756" i="19"/>
  <c r="AD1756" i="19"/>
  <c r="U1744" i="19" l="1"/>
  <c r="AH1744" i="19"/>
  <c r="AG1744" i="19"/>
  <c r="AC1744" i="19"/>
  <c r="AD1744" i="19" s="1"/>
  <c r="Y1744" i="19"/>
  <c r="V1744" i="19"/>
  <c r="S1744" i="19"/>
  <c r="AA1744" i="19" a="1"/>
  <c r="AA1744" i="19" s="1"/>
  <c r="X1744" i="19" s="1"/>
  <c r="L1744" i="19"/>
  <c r="J1744" i="19"/>
  <c r="S1745" i="19"/>
  <c r="S1747" i="19"/>
  <c r="S1746" i="19"/>
  <c r="S1743" i="19"/>
  <c r="S1741" i="19"/>
  <c r="S1740" i="19"/>
  <c r="S1739" i="19"/>
  <c r="S1742" i="19"/>
  <c r="U1741" i="19"/>
  <c r="AH1740" i="19"/>
  <c r="AJ1740" i="19" s="1"/>
  <c r="AG1740" i="19"/>
  <c r="AC1740" i="19"/>
  <c r="AD1740" i="19" s="1"/>
  <c r="Y1740" i="19"/>
  <c r="V1740" i="19"/>
  <c r="W1740" i="19" s="1"/>
  <c r="AA1740" i="19" a="1"/>
  <c r="AA1740" i="19" s="1"/>
  <c r="X1740" i="19" s="1"/>
  <c r="L1740" i="19"/>
  <c r="J1740" i="19"/>
  <c r="AH1739" i="19"/>
  <c r="AJ1739" i="19" s="1"/>
  <c r="AG1739" i="19"/>
  <c r="AC1739" i="19"/>
  <c r="AD1739" i="19" s="1"/>
  <c r="Y1739" i="19"/>
  <c r="V1739" i="19"/>
  <c r="W1739" i="19" s="1"/>
  <c r="AA1739" i="19" a="1"/>
  <c r="AA1739" i="19" s="1"/>
  <c r="X1739" i="19" s="1"/>
  <c r="L1739" i="19"/>
  <c r="J1739" i="19"/>
  <c r="J263" i="20"/>
  <c r="K263" i="20" s="1"/>
  <c r="AH2082" i="19" s="1"/>
  <c r="AJ2082" i="19" s="1"/>
  <c r="AK2082" i="19" s="1" a="1"/>
  <c r="AK2082" i="19" s="1"/>
  <c r="S1733" i="19"/>
  <c r="K1887" i="16"/>
  <c r="AF1733" i="19"/>
  <c r="AE1733" i="19"/>
  <c r="AD1733" i="19"/>
  <c r="AF1748" i="19"/>
  <c r="S1732" i="19"/>
  <c r="U1755" i="19"/>
  <c r="U1732" i="19"/>
  <c r="AG1732" i="19"/>
  <c r="AC1732" i="19"/>
  <c r="AD1732" i="19" s="1"/>
  <c r="Y1732" i="19"/>
  <c r="V1732" i="19"/>
  <c r="AA1732" i="19" a="1"/>
  <c r="AA1732" i="19" s="1"/>
  <c r="L1732" i="19"/>
  <c r="J1732" i="19"/>
  <c r="F1732" i="19" s="1"/>
  <c r="U873" i="15"/>
  <c r="N873" i="15"/>
  <c r="Q873" i="15" s="1"/>
  <c r="G873" i="15"/>
  <c r="C873" i="15"/>
  <c r="W1732" i="19" l="1"/>
  <c r="W1744" i="19"/>
  <c r="AJ1744" i="19"/>
  <c r="AK1744" i="19" s="1" a="1"/>
  <c r="AK1744" i="19" s="1"/>
  <c r="X1732" i="19"/>
  <c r="AE1744" i="19"/>
  <c r="AF1744" i="19"/>
  <c r="AE1739" i="19"/>
  <c r="AF1739" i="19"/>
  <c r="AE1740" i="19"/>
  <c r="AF1740" i="19"/>
  <c r="AK1740" i="19" a="1"/>
  <c r="AK1740" i="19" s="1"/>
  <c r="AK1739" i="19" a="1"/>
  <c r="AK1739" i="19" s="1"/>
  <c r="AD1748" i="19"/>
  <c r="AE1748" i="19"/>
  <c r="AE1732" i="19"/>
  <c r="AF1732" i="19"/>
  <c r="K1861" i="16"/>
  <c r="U1716" i="19"/>
  <c r="AG1716" i="19"/>
  <c r="AC1716" i="19"/>
  <c r="AD1716" i="19" s="1"/>
  <c r="Y1716" i="19"/>
  <c r="V1716" i="19"/>
  <c r="S1716" i="19"/>
  <c r="AA1716" i="19" a="1"/>
  <c r="AA1716" i="19" s="1"/>
  <c r="X1716" i="19" s="1"/>
  <c r="L1716" i="19"/>
  <c r="J1716" i="19"/>
  <c r="F1716" i="19" s="1"/>
  <c r="AF1728" i="19"/>
  <c r="AE1728" i="19"/>
  <c r="AD1728" i="19"/>
  <c r="AF1727" i="19"/>
  <c r="AE1727" i="19"/>
  <c r="AD1727" i="19"/>
  <c r="S1728" i="19"/>
  <c r="S1727" i="19"/>
  <c r="S1726" i="19"/>
  <c r="S1725" i="19"/>
  <c r="S1734" i="19"/>
  <c r="S1736" i="19"/>
  <c r="S1738" i="19"/>
  <c r="S1735" i="19"/>
  <c r="S1737" i="19"/>
  <c r="S1839" i="19"/>
  <c r="S1842" i="19"/>
  <c r="S1838" i="19"/>
  <c r="S1841" i="19"/>
  <c r="S1844" i="19"/>
  <c r="S1843" i="19"/>
  <c r="AH1844" i="19"/>
  <c r="AJ1844" i="19" s="1"/>
  <c r="AG1844" i="19"/>
  <c r="AC1844" i="19"/>
  <c r="AD1844" i="19" s="1"/>
  <c r="Y1844" i="19"/>
  <c r="V1844" i="19"/>
  <c r="W1844" i="19" s="1"/>
  <c r="AA1844" i="19" a="1"/>
  <c r="AA1844" i="19" s="1"/>
  <c r="X1844" i="19" s="1"/>
  <c r="L1844" i="19"/>
  <c r="J1844" i="19"/>
  <c r="F1844" i="19" s="1"/>
  <c r="AG1838" i="19"/>
  <c r="AC1838" i="19"/>
  <c r="AD1838" i="19" s="1"/>
  <c r="Y1838" i="19"/>
  <c r="V1838" i="19"/>
  <c r="W1838" i="19" s="1"/>
  <c r="AA1838" i="19" a="1"/>
  <c r="AA1838" i="19" s="1"/>
  <c r="X1838" i="19" s="1"/>
  <c r="L1838" i="19"/>
  <c r="J1838" i="19"/>
  <c r="F1838" i="19" s="1"/>
  <c r="Y1718" i="19"/>
  <c r="V1718" i="19"/>
  <c r="W1718" i="19" s="1"/>
  <c r="S1721" i="19"/>
  <c r="S1720" i="19"/>
  <c r="S1717" i="19"/>
  <c r="S1719" i="19"/>
  <c r="S1718" i="19"/>
  <c r="AF1718" i="19"/>
  <c r="AE1718" i="19"/>
  <c r="AD1718" i="19"/>
  <c r="AA1718" i="19" a="1"/>
  <c r="AA1718" i="19" s="1"/>
  <c r="X1718" i="19" s="1"/>
  <c r="L1718" i="19"/>
  <c r="J1718" i="19"/>
  <c r="F1718" i="19" s="1"/>
  <c r="AF1720" i="19"/>
  <c r="AE1720" i="19"/>
  <c r="AD1720" i="19"/>
  <c r="AF1717" i="19"/>
  <c r="AE1717" i="19"/>
  <c r="AD1717" i="19"/>
  <c r="J1870" i="19"/>
  <c r="L1870" i="19"/>
  <c r="AA1870" i="19" a="1"/>
  <c r="AA1870" i="19" s="1"/>
  <c r="X1870" i="19" s="1"/>
  <c r="S1870" i="19"/>
  <c r="V1870" i="19"/>
  <c r="W1870" i="19" s="1"/>
  <c r="Y1870" i="19"/>
  <c r="AC1870" i="19"/>
  <c r="AG1870" i="19"/>
  <c r="J1876" i="19"/>
  <c r="F1876" i="19" s="1"/>
  <c r="L1876" i="19"/>
  <c r="AA1876" i="19" a="1"/>
  <c r="AA1876" i="19" s="1"/>
  <c r="X1876" i="19" s="1"/>
  <c r="V1876" i="19"/>
  <c r="W1876" i="19" s="1"/>
  <c r="Y1876" i="19"/>
  <c r="J1874" i="19"/>
  <c r="F1874" i="19" s="1"/>
  <c r="L1874" i="19"/>
  <c r="AA1874" i="19" a="1"/>
  <c r="AA1874" i="19" s="1"/>
  <c r="X1874" i="19" s="1"/>
  <c r="V1874" i="19"/>
  <c r="W1874" i="19" s="1"/>
  <c r="Y1874" i="19"/>
  <c r="J1875" i="19"/>
  <c r="F1875" i="19" s="1"/>
  <c r="L1875" i="19"/>
  <c r="AA1875" i="19" a="1"/>
  <c r="AA1875" i="19" s="1"/>
  <c r="X1875" i="19" s="1"/>
  <c r="V1875" i="19"/>
  <c r="W1875" i="19" s="1"/>
  <c r="Y1875" i="19"/>
  <c r="J1877" i="19"/>
  <c r="L1877" i="19"/>
  <c r="AA1877" i="19" a="1"/>
  <c r="AA1877" i="19" s="1"/>
  <c r="X1877" i="19" s="1"/>
  <c r="V1877" i="19"/>
  <c r="W1877" i="19" s="1"/>
  <c r="Y1877" i="19"/>
  <c r="J1878" i="19"/>
  <c r="F1878" i="19" s="1"/>
  <c r="L1878" i="19"/>
  <c r="AA1878" i="19" a="1"/>
  <c r="AA1878" i="19" s="1"/>
  <c r="X1878" i="19" s="1"/>
  <c r="V1878" i="19"/>
  <c r="W1878" i="19" s="1"/>
  <c r="Y1878" i="19"/>
  <c r="J1880" i="19"/>
  <c r="F1880" i="19" s="1"/>
  <c r="L1880" i="19"/>
  <c r="AA1880" i="19" a="1"/>
  <c r="AA1880" i="19" s="1"/>
  <c r="X1880" i="19" s="1"/>
  <c r="V1880" i="19"/>
  <c r="W1880" i="19" s="1"/>
  <c r="Y1880" i="19"/>
  <c r="J1879" i="19"/>
  <c r="F1879" i="19" s="1"/>
  <c r="L1879" i="19"/>
  <c r="AA1879" i="19" a="1"/>
  <c r="AA1879" i="19" s="1"/>
  <c r="X1879" i="19" s="1"/>
  <c r="V1879" i="19"/>
  <c r="W1879" i="19" s="1"/>
  <c r="Y1879" i="19"/>
  <c r="J1903" i="19"/>
  <c r="L1903" i="19"/>
  <c r="AA1903" i="19" a="1"/>
  <c r="AA1903" i="19" s="1"/>
  <c r="X1903" i="19" s="1"/>
  <c r="V1903" i="19"/>
  <c r="W1903" i="19" s="1"/>
  <c r="Y1903" i="19"/>
  <c r="AE1903" i="19"/>
  <c r="J1901" i="19"/>
  <c r="F1901" i="19" s="1"/>
  <c r="L1901" i="19"/>
  <c r="AA1901" i="19" a="1"/>
  <c r="AA1901" i="19" s="1"/>
  <c r="X1901" i="19" s="1"/>
  <c r="V1901" i="19"/>
  <c r="W1901" i="19" s="1"/>
  <c r="Y1901" i="19"/>
  <c r="J1902" i="19"/>
  <c r="F1902" i="19" s="1"/>
  <c r="L1902" i="19"/>
  <c r="AA1902" i="19" a="1"/>
  <c r="AA1902" i="19" s="1"/>
  <c r="X1902" i="19" s="1"/>
  <c r="V1902" i="19"/>
  <c r="W1902" i="19" s="1"/>
  <c r="Y1902" i="19"/>
  <c r="J1900" i="19"/>
  <c r="F1900" i="19" s="1"/>
  <c r="L1900" i="19"/>
  <c r="AA1900" i="19" a="1"/>
  <c r="AA1900" i="19" s="1"/>
  <c r="X1900" i="19" s="1"/>
  <c r="V1900" i="19"/>
  <c r="W1900" i="19" s="1"/>
  <c r="Y1900" i="19"/>
  <c r="J1899" i="19"/>
  <c r="L1899" i="19"/>
  <c r="AA1899" i="19" a="1"/>
  <c r="AA1899" i="19" s="1"/>
  <c r="X1899" i="19" s="1"/>
  <c r="V1899" i="19"/>
  <c r="W1899" i="19" s="1"/>
  <c r="Y1899" i="19"/>
  <c r="J1913" i="19"/>
  <c r="F1913" i="19" s="1"/>
  <c r="L1913" i="19"/>
  <c r="AA1913" i="19" a="1"/>
  <c r="AA1913" i="19" s="1"/>
  <c r="X1913" i="19" s="1"/>
  <c r="V1913" i="19"/>
  <c r="W1913" i="19" s="1"/>
  <c r="Y1913" i="19"/>
  <c r="AC1913" i="19"/>
  <c r="AG1913" i="19"/>
  <c r="J1885" i="19"/>
  <c r="L1885" i="19"/>
  <c r="AA1885" i="19" a="1"/>
  <c r="AA1885" i="19" s="1"/>
  <c r="X1885" i="19" s="1"/>
  <c r="S1885" i="19"/>
  <c r="V1885" i="19"/>
  <c r="W1885" i="19" s="1"/>
  <c r="Y1885" i="19"/>
  <c r="AC1885" i="19"/>
  <c r="AG1885" i="19"/>
  <c r="J2014" i="19"/>
  <c r="F2014" i="19" s="1"/>
  <c r="L2014" i="19"/>
  <c r="AA2014" i="19" a="1"/>
  <c r="AA2014" i="19" s="1"/>
  <c r="X2014" i="19" s="1"/>
  <c r="V2014" i="19"/>
  <c r="W2014" i="19" s="1"/>
  <c r="Y2014" i="19"/>
  <c r="AC2014" i="19"/>
  <c r="AD2014" i="19" s="1"/>
  <c r="AG2014" i="19"/>
  <c r="J2356" i="19"/>
  <c r="L2356" i="19"/>
  <c r="AA2356" i="19" a="1"/>
  <c r="AA2356" i="19" s="1"/>
  <c r="X2356" i="19" s="1"/>
  <c r="S2356" i="19"/>
  <c r="V2356" i="19"/>
  <c r="W2356" i="19" s="1"/>
  <c r="Y2356" i="19"/>
  <c r="AC2356" i="19"/>
  <c r="AG2356" i="19"/>
  <c r="J1904" i="19"/>
  <c r="F1904" i="19" s="1"/>
  <c r="L1904" i="19"/>
  <c r="AA1904" i="19" a="1"/>
  <c r="AA1904" i="19" s="1"/>
  <c r="X1904" i="19" s="1"/>
  <c r="V1904" i="19"/>
  <c r="W1904" i="19" s="1"/>
  <c r="Y1904" i="19"/>
  <c r="AE1904" i="19"/>
  <c r="AG1904" i="19"/>
  <c r="J1883" i="19"/>
  <c r="F1883" i="19" s="1"/>
  <c r="L1883" i="19"/>
  <c r="AA1883" i="19" a="1"/>
  <c r="AA1883" i="19" s="1"/>
  <c r="X1883" i="19" s="1"/>
  <c r="S1883" i="19"/>
  <c r="V1883" i="19"/>
  <c r="W1883" i="19" s="1"/>
  <c r="Y1883" i="19"/>
  <c r="AC1883" i="19"/>
  <c r="AG1883" i="19"/>
  <c r="J1884" i="19"/>
  <c r="F1884" i="19" s="1"/>
  <c r="L1884" i="19"/>
  <c r="AA1884" i="19" a="1"/>
  <c r="AA1884" i="19" s="1"/>
  <c r="X1884" i="19" s="1"/>
  <c r="S1884" i="19"/>
  <c r="V1884" i="19"/>
  <c r="W1884" i="19" s="1"/>
  <c r="Y1884" i="19"/>
  <c r="AC1884" i="19"/>
  <c r="AG1884" i="19"/>
  <c r="J1881" i="19"/>
  <c r="L1881" i="19"/>
  <c r="AA1881" i="19" a="1"/>
  <c r="AA1881" i="19" s="1"/>
  <c r="X1881" i="19" s="1"/>
  <c r="S1881" i="19"/>
  <c r="V1881" i="19"/>
  <c r="W1881" i="19" s="1"/>
  <c r="Y1881" i="19"/>
  <c r="AC1881" i="19"/>
  <c r="AE1881" i="19" s="1"/>
  <c r="AG1881" i="19"/>
  <c r="J1882" i="19"/>
  <c r="F1882" i="19" s="1"/>
  <c r="L1882" i="19"/>
  <c r="AA1882" i="19" a="1"/>
  <c r="AA1882" i="19" s="1"/>
  <c r="X1882" i="19" s="1"/>
  <c r="S1882" i="19"/>
  <c r="V1882" i="19"/>
  <c r="W1882" i="19" s="1"/>
  <c r="Y1882" i="19"/>
  <c r="AC1882" i="19"/>
  <c r="AG1882" i="19"/>
  <c r="F1894" i="19"/>
  <c r="L1894" i="19"/>
  <c r="AA1894" i="19" a="1"/>
  <c r="AA1894" i="19" s="1"/>
  <c r="X1894" i="19" s="1"/>
  <c r="V1894" i="19"/>
  <c r="W1894" i="19" s="1"/>
  <c r="Y1894" i="19"/>
  <c r="F1892" i="19"/>
  <c r="L1892" i="19"/>
  <c r="V1892" i="19"/>
  <c r="W1892" i="19" s="1"/>
  <c r="Y1892" i="19"/>
  <c r="AA1892" i="19" a="1"/>
  <c r="AA1892" i="19" s="1"/>
  <c r="X1892" i="19" s="1"/>
  <c r="AF1892" i="19"/>
  <c r="L1895" i="19"/>
  <c r="AA1895" i="19" a="1"/>
  <c r="AA1895" i="19" s="1"/>
  <c r="X1895" i="19" s="1"/>
  <c r="S1895" i="19"/>
  <c r="V1895" i="19"/>
  <c r="W1895" i="19" s="1"/>
  <c r="Y1895" i="19"/>
  <c r="AE1895" i="19"/>
  <c r="F1896" i="19"/>
  <c r="L1896" i="19"/>
  <c r="AA1896" i="19" a="1"/>
  <c r="AA1896" i="19" s="1"/>
  <c r="X1896" i="19" s="1"/>
  <c r="V1896" i="19"/>
  <c r="W1896" i="19" s="1"/>
  <c r="Y1896" i="19"/>
  <c r="AF1896" i="19"/>
  <c r="F1890" i="19"/>
  <c r="L1890" i="19"/>
  <c r="AA1890" i="19" a="1"/>
  <c r="AA1890" i="19" s="1"/>
  <c r="X1890" i="19" s="1"/>
  <c r="V1890" i="19"/>
  <c r="W1890" i="19" s="1"/>
  <c r="Y1890" i="19"/>
  <c r="F1897" i="19"/>
  <c r="L1897" i="19"/>
  <c r="AA1897" i="19" a="1"/>
  <c r="AA1897" i="19" s="1"/>
  <c r="X1897" i="19" s="1"/>
  <c r="V1897" i="19"/>
  <c r="W1897" i="19" s="1"/>
  <c r="Y1897" i="19"/>
  <c r="AD1897" i="19"/>
  <c r="L1891" i="19"/>
  <c r="AA1891" i="19" a="1"/>
  <c r="AA1891" i="19" s="1"/>
  <c r="X1891" i="19" s="1"/>
  <c r="V1891" i="19"/>
  <c r="W1891" i="19" s="1"/>
  <c r="Y1891" i="19"/>
  <c r="AF1891" i="19"/>
  <c r="F1898" i="19"/>
  <c r="L1898" i="19"/>
  <c r="AA1898" i="19" a="1"/>
  <c r="AA1898" i="19" s="1"/>
  <c r="X1898" i="19" s="1"/>
  <c r="V1898" i="19"/>
  <c r="W1898" i="19" s="1"/>
  <c r="Y1898" i="19"/>
  <c r="AD1898" i="19"/>
  <c r="F1893" i="19"/>
  <c r="L1893" i="19"/>
  <c r="AA1893" i="19" a="1"/>
  <c r="AA1893" i="19" s="1"/>
  <c r="X1893" i="19" s="1"/>
  <c r="V1893" i="19"/>
  <c r="W1893" i="19" s="1"/>
  <c r="Y1893" i="19"/>
  <c r="F1889" i="19"/>
  <c r="L1889" i="19"/>
  <c r="AA1889" i="19" a="1"/>
  <c r="AA1889" i="19" s="1"/>
  <c r="X1889" i="19" s="1"/>
  <c r="W1889" i="19"/>
  <c r="Y1889" i="19"/>
  <c r="L1887" i="19"/>
  <c r="AA1887" i="19" a="1"/>
  <c r="AA1887" i="19" s="1"/>
  <c r="X1887" i="19" s="1"/>
  <c r="W1887" i="19"/>
  <c r="Y1887" i="19"/>
  <c r="F1886" i="19"/>
  <c r="L1886" i="19"/>
  <c r="AA1886" i="19" a="1"/>
  <c r="AA1886" i="19" s="1"/>
  <c r="X1886" i="19" s="1"/>
  <c r="W1886" i="19"/>
  <c r="Y1886" i="19"/>
  <c r="L1888" i="19"/>
  <c r="AA1888" i="19" a="1"/>
  <c r="AA1888" i="19" s="1"/>
  <c r="X1888" i="19" s="1"/>
  <c r="W1888" i="19"/>
  <c r="Y1888" i="19"/>
  <c r="J1906" i="19"/>
  <c r="F1906" i="19" s="1"/>
  <c r="L1906" i="19"/>
  <c r="AA1906" i="19" a="1"/>
  <c r="AA1906" i="19" s="1"/>
  <c r="X1906" i="19" s="1"/>
  <c r="W1906" i="19"/>
  <c r="Y1906" i="19"/>
  <c r="AF1906" i="19"/>
  <c r="L1905" i="19"/>
  <c r="AA1905" i="19" a="1"/>
  <c r="AA1905" i="19" s="1"/>
  <c r="X1905" i="19" s="1"/>
  <c r="W1905" i="19"/>
  <c r="Y1905" i="19"/>
  <c r="F1907" i="19"/>
  <c r="L1907" i="19"/>
  <c r="AA1907" i="19" a="1"/>
  <c r="AA1907" i="19" s="1"/>
  <c r="X1907" i="19" s="1"/>
  <c r="W1907" i="19"/>
  <c r="Y1907" i="19"/>
  <c r="F1911" i="19"/>
  <c r="L1911" i="19"/>
  <c r="AA1911" i="19" a="1"/>
  <c r="AA1911" i="19" s="1"/>
  <c r="X1911" i="19" s="1"/>
  <c r="W1911" i="19"/>
  <c r="Y1911" i="19"/>
  <c r="AC1911" i="19"/>
  <c r="AG1911" i="19"/>
  <c r="J1910" i="19"/>
  <c r="F1910" i="19" s="1"/>
  <c r="L1910" i="19"/>
  <c r="AA1910" i="19" a="1"/>
  <c r="AA1910" i="19" s="1"/>
  <c r="X1910" i="19" s="1"/>
  <c r="W1910" i="19"/>
  <c r="Y1910" i="19"/>
  <c r="AF1910" i="19"/>
  <c r="J1908" i="19"/>
  <c r="L1908" i="19"/>
  <c r="AA1908" i="19" a="1"/>
  <c r="AA1908" i="19" s="1"/>
  <c r="X1908" i="19" s="1"/>
  <c r="W1908" i="19"/>
  <c r="Y1908" i="19"/>
  <c r="J1909" i="19"/>
  <c r="F1909" i="19" s="1"/>
  <c r="L1909" i="19"/>
  <c r="AA1909" i="19" a="1"/>
  <c r="AA1909" i="19" s="1"/>
  <c r="X1909" i="19" s="1"/>
  <c r="V1909" i="19"/>
  <c r="W1909" i="19" s="1"/>
  <c r="Y1909" i="19"/>
  <c r="J1915" i="19"/>
  <c r="F1915" i="19" s="1"/>
  <c r="L1915" i="19"/>
  <c r="AA1915" i="19" a="1"/>
  <c r="AA1915" i="19" s="1"/>
  <c r="X1915" i="19" s="1"/>
  <c r="V1915" i="19"/>
  <c r="W1915" i="19" s="1"/>
  <c r="Y1915" i="19"/>
  <c r="F1914" i="19"/>
  <c r="L1914" i="19"/>
  <c r="AA1914" i="19" a="1"/>
  <c r="AA1914" i="19" s="1"/>
  <c r="X1914" i="19" s="1"/>
  <c r="V1914" i="19"/>
  <c r="W1914" i="19" s="1"/>
  <c r="Y1914" i="19"/>
  <c r="J1926" i="19"/>
  <c r="L1926" i="19"/>
  <c r="AA1926" i="19" a="1"/>
  <c r="AA1926" i="19" s="1"/>
  <c r="X1926" i="19" s="1"/>
  <c r="V1926" i="19"/>
  <c r="W1926" i="19" s="1"/>
  <c r="Y1926" i="19"/>
  <c r="AF1926" i="19"/>
  <c r="J1922" i="19"/>
  <c r="F1922" i="19" s="1"/>
  <c r="L1922" i="19"/>
  <c r="AA1922" i="19" a="1"/>
  <c r="AA1922" i="19" s="1"/>
  <c r="X1922" i="19" s="1"/>
  <c r="V1922" i="19"/>
  <c r="W1922" i="19" s="1"/>
  <c r="Y1922" i="19"/>
  <c r="J1925" i="19"/>
  <c r="F1925" i="19" s="1"/>
  <c r="L1925" i="19"/>
  <c r="AA1925" i="19" a="1"/>
  <c r="AA1925" i="19" s="1"/>
  <c r="X1925" i="19" s="1"/>
  <c r="V1925" i="19"/>
  <c r="W1925" i="19" s="1"/>
  <c r="Y1925" i="19"/>
  <c r="J1924" i="19"/>
  <c r="F1924" i="19" s="1"/>
  <c r="L1924" i="19"/>
  <c r="AA1924" i="19" a="1"/>
  <c r="AA1924" i="19" s="1"/>
  <c r="X1924" i="19" s="1"/>
  <c r="V1924" i="19"/>
  <c r="W1924" i="19" s="1"/>
  <c r="Y1924" i="19"/>
  <c r="J1923" i="19"/>
  <c r="F1923" i="19" s="1"/>
  <c r="L1923" i="19"/>
  <c r="AA1923" i="19" a="1"/>
  <c r="AA1923" i="19" s="1"/>
  <c r="X1923" i="19" s="1"/>
  <c r="V1923" i="19"/>
  <c r="W1923" i="19" s="1"/>
  <c r="Y1923" i="19"/>
  <c r="J1927" i="19"/>
  <c r="F1927" i="19" s="1"/>
  <c r="L1927" i="19"/>
  <c r="AA1927" i="19" a="1"/>
  <c r="AA1927" i="19" s="1"/>
  <c r="X1927" i="19" s="1"/>
  <c r="V1927" i="19"/>
  <c r="W1927" i="19" s="1"/>
  <c r="Y1927" i="19"/>
  <c r="J1928" i="19"/>
  <c r="L1928" i="19"/>
  <c r="AA1928" i="19" a="1"/>
  <c r="AA1928" i="19" s="1"/>
  <c r="X1928" i="19" s="1"/>
  <c r="V1928" i="19"/>
  <c r="W1928" i="19" s="1"/>
  <c r="Y1928" i="19"/>
  <c r="J1929" i="19"/>
  <c r="F1929" i="19" s="1"/>
  <c r="L1929" i="19"/>
  <c r="AA1929" i="19" a="1"/>
  <c r="AA1929" i="19" s="1"/>
  <c r="X1929" i="19" s="1"/>
  <c r="V1929" i="19"/>
  <c r="W1929" i="19" s="1"/>
  <c r="Y1929" i="19"/>
  <c r="J1920" i="19"/>
  <c r="L1920" i="19"/>
  <c r="AA1920" i="19" a="1"/>
  <c r="AA1920" i="19" s="1"/>
  <c r="X1920" i="19" s="1"/>
  <c r="V1920" i="19"/>
  <c r="W1920" i="19" s="1"/>
  <c r="Y1920" i="19"/>
  <c r="J1918" i="19"/>
  <c r="F1918" i="19" s="1"/>
  <c r="L1918" i="19"/>
  <c r="AA1918" i="19" a="1"/>
  <c r="AA1918" i="19" s="1"/>
  <c r="X1918" i="19" s="1"/>
  <c r="V1918" i="19"/>
  <c r="W1918" i="19" s="1"/>
  <c r="Y1918" i="19"/>
  <c r="J1916" i="19"/>
  <c r="F1916" i="19" s="1"/>
  <c r="L1916" i="19"/>
  <c r="AA1916" i="19" a="1"/>
  <c r="AA1916" i="19" s="1"/>
  <c r="X1916" i="19" s="1"/>
  <c r="V1916" i="19"/>
  <c r="W1916" i="19" s="1"/>
  <c r="Y1916" i="19"/>
  <c r="J1919" i="19"/>
  <c r="L1919" i="19"/>
  <c r="AA1919" i="19" a="1"/>
  <c r="AA1919" i="19" s="1"/>
  <c r="X1919" i="19" s="1"/>
  <c r="V1919" i="19"/>
  <c r="W1919" i="19" s="1"/>
  <c r="Y1919" i="19"/>
  <c r="J1917" i="19"/>
  <c r="L1917" i="19"/>
  <c r="AA1917" i="19" a="1"/>
  <c r="AA1917" i="19" s="1"/>
  <c r="X1917" i="19" s="1"/>
  <c r="V1917" i="19"/>
  <c r="W1917" i="19" s="1"/>
  <c r="Y1917" i="19"/>
  <c r="J1933" i="19"/>
  <c r="F1933" i="19" s="1"/>
  <c r="L1933" i="19"/>
  <c r="AA1933" i="19" a="1"/>
  <c r="AA1933" i="19" s="1"/>
  <c r="X1933" i="19" s="1"/>
  <c r="V1933" i="19"/>
  <c r="W1933" i="19" s="1"/>
  <c r="Y1933" i="19"/>
  <c r="J1932" i="19"/>
  <c r="F1932" i="19" s="1"/>
  <c r="L1932" i="19"/>
  <c r="AA1932" i="19" a="1"/>
  <c r="AA1932" i="19" s="1"/>
  <c r="X1932" i="19" s="1"/>
  <c r="V1932" i="19"/>
  <c r="W1932" i="19" s="1"/>
  <c r="Y1932" i="19"/>
  <c r="J1931" i="19"/>
  <c r="L1931" i="19"/>
  <c r="AA1931" i="19" a="1"/>
  <c r="AA1931" i="19" s="1"/>
  <c r="X1931" i="19" s="1"/>
  <c r="V1931" i="19"/>
  <c r="W1931" i="19" s="1"/>
  <c r="Y1931" i="19"/>
  <c r="J1921" i="19"/>
  <c r="F1921" i="19" s="1"/>
  <c r="L1921" i="19"/>
  <c r="AA1921" i="19" a="1"/>
  <c r="AA1921" i="19" s="1"/>
  <c r="X1921" i="19" s="1"/>
  <c r="V1921" i="19"/>
  <c r="W1921" i="19" s="1"/>
  <c r="Y1921" i="19"/>
  <c r="AD1921" i="19"/>
  <c r="J1930" i="19"/>
  <c r="L1930" i="19"/>
  <c r="AA1930" i="19" a="1"/>
  <c r="AA1930" i="19" s="1"/>
  <c r="X1930" i="19" s="1"/>
  <c r="V1930" i="19"/>
  <c r="W1930" i="19" s="1"/>
  <c r="Y1930" i="19"/>
  <c r="AC1930" i="19"/>
  <c r="AG1930" i="19"/>
  <c r="J2015" i="19"/>
  <c r="F2015" i="19" s="1"/>
  <c r="L2015" i="19"/>
  <c r="AA2015" i="19" a="1"/>
  <c r="AA2015" i="19" s="1"/>
  <c r="X2015" i="19" s="1"/>
  <c r="V2015" i="19"/>
  <c r="W2015" i="19" s="1"/>
  <c r="Y2015" i="19"/>
  <c r="AC2015" i="19"/>
  <c r="AG2015" i="19"/>
  <c r="J1980" i="19"/>
  <c r="F1980" i="19" s="1"/>
  <c r="L1980" i="19"/>
  <c r="AA1980" i="19" a="1"/>
  <c r="AA1980" i="19" s="1"/>
  <c r="X1980" i="19" s="1"/>
  <c r="V1980" i="19"/>
  <c r="W1980" i="19" s="1"/>
  <c r="Y1980" i="19"/>
  <c r="AC1980" i="19"/>
  <c r="AG1980" i="19"/>
  <c r="J1981" i="19"/>
  <c r="L1981" i="19"/>
  <c r="AA1981" i="19" a="1"/>
  <c r="AA1981" i="19" s="1"/>
  <c r="X1981" i="19" s="1"/>
  <c r="V1981" i="19"/>
  <c r="W1981" i="19" s="1"/>
  <c r="Y1981" i="19"/>
  <c r="AC1981" i="19"/>
  <c r="AE1981" i="19" s="1"/>
  <c r="AG1981" i="19"/>
  <c r="J1984" i="19"/>
  <c r="F1984" i="19" s="1"/>
  <c r="L1984" i="19"/>
  <c r="AA1984" i="19" a="1"/>
  <c r="AA1984" i="19" s="1"/>
  <c r="X1984" i="19" s="1"/>
  <c r="V1984" i="19"/>
  <c r="W1984" i="19" s="1"/>
  <c r="Y1984" i="19"/>
  <c r="AC1984" i="19"/>
  <c r="AG1984" i="19"/>
  <c r="J1982" i="19"/>
  <c r="F1982" i="19" s="1"/>
  <c r="L1982" i="19"/>
  <c r="AA1982" i="19" a="1"/>
  <c r="AA1982" i="19" s="1"/>
  <c r="X1982" i="19" s="1"/>
  <c r="V1982" i="19"/>
  <c r="W1982" i="19" s="1"/>
  <c r="Y1982" i="19"/>
  <c r="AC1982" i="19"/>
  <c r="AE1982" i="19" s="1"/>
  <c r="AG1982" i="19"/>
  <c r="J1985" i="19"/>
  <c r="F1985" i="19" s="1"/>
  <c r="L1985" i="19"/>
  <c r="AA1985" i="19" a="1"/>
  <c r="AA1985" i="19" s="1"/>
  <c r="X1985" i="19" s="1"/>
  <c r="V1985" i="19"/>
  <c r="W1985" i="19" s="1"/>
  <c r="Y1985" i="19"/>
  <c r="AC1985" i="19"/>
  <c r="AD1985" i="19" s="1"/>
  <c r="AG1985" i="19"/>
  <c r="J1986" i="19"/>
  <c r="L1986" i="19"/>
  <c r="AA1986" i="19" a="1"/>
  <c r="AA1986" i="19" s="1"/>
  <c r="X1986" i="19" s="1"/>
  <c r="V1986" i="19"/>
  <c r="W1986" i="19" s="1"/>
  <c r="Y1986" i="19"/>
  <c r="AC1986" i="19"/>
  <c r="AG1986" i="19"/>
  <c r="J1992" i="19"/>
  <c r="F1992" i="19" s="1"/>
  <c r="L1992" i="19"/>
  <c r="AA1992" i="19" a="1"/>
  <c r="AA1992" i="19" s="1"/>
  <c r="X1992" i="19" s="1"/>
  <c r="V1992" i="19"/>
  <c r="W1992" i="19" s="1"/>
  <c r="Y1992" i="19"/>
  <c r="AC1992" i="19"/>
  <c r="AF1992" i="19" s="1"/>
  <c r="AG1992" i="19"/>
  <c r="J1993" i="19"/>
  <c r="F1993" i="19" s="1"/>
  <c r="AA1993" i="19" a="1"/>
  <c r="AA1993" i="19" s="1"/>
  <c r="X1993" i="19" s="1"/>
  <c r="V1993" i="19"/>
  <c r="W1993" i="19" s="1"/>
  <c r="Y1993" i="19"/>
  <c r="AC1993" i="19"/>
  <c r="AE1993" i="19" s="1"/>
  <c r="AG1993" i="19"/>
  <c r="J1991" i="19"/>
  <c r="F1991" i="19" s="1"/>
  <c r="L1991" i="19"/>
  <c r="AA1991" i="19" a="1"/>
  <c r="AA1991" i="19" s="1"/>
  <c r="X1991" i="19" s="1"/>
  <c r="V1991" i="19"/>
  <c r="W1991" i="19" s="1"/>
  <c r="Y1991" i="19"/>
  <c r="AC1991" i="19"/>
  <c r="AF1991" i="19" s="1"/>
  <c r="AG1991" i="19"/>
  <c r="J1987" i="19"/>
  <c r="F1987" i="19" s="1"/>
  <c r="L1987" i="19"/>
  <c r="AA1987" i="19" a="1"/>
  <c r="AA1987" i="19" s="1"/>
  <c r="X1987" i="19" s="1"/>
  <c r="V1987" i="19"/>
  <c r="W1987" i="19" s="1"/>
  <c r="Y1987" i="19"/>
  <c r="AC1987" i="19"/>
  <c r="AE1987" i="19" s="1"/>
  <c r="AG1987" i="19"/>
  <c r="J1988" i="19"/>
  <c r="F1988" i="19" s="1"/>
  <c r="L1988" i="19"/>
  <c r="AA1988" i="19" a="1"/>
  <c r="AA1988" i="19" s="1"/>
  <c r="X1988" i="19" s="1"/>
  <c r="V1988" i="19"/>
  <c r="W1988" i="19" s="1"/>
  <c r="Y1988" i="19"/>
  <c r="AC1988" i="19"/>
  <c r="AG1988" i="19"/>
  <c r="J1990" i="19"/>
  <c r="L1990" i="19"/>
  <c r="AA1990" i="19" a="1"/>
  <c r="AA1990" i="19" s="1"/>
  <c r="X1990" i="19" s="1"/>
  <c r="V1990" i="19"/>
  <c r="W1990" i="19" s="1"/>
  <c r="Y1990" i="19"/>
  <c r="AC1990" i="19"/>
  <c r="AG1990" i="19"/>
  <c r="J1983" i="19"/>
  <c r="F1983" i="19" s="1"/>
  <c r="L1983" i="19"/>
  <c r="AA1983" i="19" a="1"/>
  <c r="AA1983" i="19" s="1"/>
  <c r="X1983" i="19" s="1"/>
  <c r="V1983" i="19"/>
  <c r="W1983" i="19" s="1"/>
  <c r="Y1983" i="19"/>
  <c r="AC1983" i="19"/>
  <c r="AF1983" i="19" s="1"/>
  <c r="AG1983" i="19"/>
  <c r="J1976" i="19"/>
  <c r="F1976" i="19" s="1"/>
  <c r="L1976" i="19"/>
  <c r="AA1976" i="19" a="1"/>
  <c r="AA1976" i="19" s="1"/>
  <c r="X1976" i="19" s="1"/>
  <c r="V1976" i="19"/>
  <c r="W1976" i="19" s="1"/>
  <c r="Y1976" i="19"/>
  <c r="AC1976" i="19"/>
  <c r="AE1976" i="19" s="1"/>
  <c r="AG1976" i="19"/>
  <c r="J1994" i="19"/>
  <c r="F1994" i="19" s="1"/>
  <c r="L1994" i="19"/>
  <c r="AA1994" i="19" a="1"/>
  <c r="AA1994" i="19" s="1"/>
  <c r="X1994" i="19" s="1"/>
  <c r="V1994" i="19"/>
  <c r="W1994" i="19" s="1"/>
  <c r="Y1994" i="19"/>
  <c r="AC1994" i="19"/>
  <c r="AG1994" i="19"/>
  <c r="J1989" i="19"/>
  <c r="F1989" i="19" s="1"/>
  <c r="L1989" i="19"/>
  <c r="AA1989" i="19" a="1"/>
  <c r="AA1989" i="19" s="1"/>
  <c r="X1989" i="19" s="1"/>
  <c r="V1989" i="19"/>
  <c r="W1989" i="19" s="1"/>
  <c r="Y1989" i="19"/>
  <c r="AC1989" i="19"/>
  <c r="AD1989" i="19" s="1"/>
  <c r="AG1989" i="19"/>
  <c r="J1978" i="19"/>
  <c r="F1978" i="19" s="1"/>
  <c r="L1978" i="19"/>
  <c r="AA1978" i="19" a="1"/>
  <c r="AA1978" i="19" s="1"/>
  <c r="X1978" i="19" s="1"/>
  <c r="V1978" i="19"/>
  <c r="W1978" i="19" s="1"/>
  <c r="Y1978" i="19"/>
  <c r="AC1978" i="19"/>
  <c r="AE1978" i="19" s="1"/>
  <c r="AG1978" i="19"/>
  <c r="J1977" i="19"/>
  <c r="F1977" i="19" s="1"/>
  <c r="L1977" i="19"/>
  <c r="AA1977" i="19" a="1"/>
  <c r="AA1977" i="19" s="1"/>
  <c r="X1977" i="19" s="1"/>
  <c r="V1977" i="19"/>
  <c r="W1977" i="19" s="1"/>
  <c r="Y1977" i="19"/>
  <c r="AC1977" i="19"/>
  <c r="AF1977" i="19" s="1"/>
  <c r="AG1977" i="19"/>
  <c r="F1965" i="19"/>
  <c r="L1965" i="19"/>
  <c r="AA1965" i="19" a="1"/>
  <c r="AA1965" i="19" s="1"/>
  <c r="X1965" i="19" s="1"/>
  <c r="S1965" i="19"/>
  <c r="V1965" i="19"/>
  <c r="W1965" i="19" s="1"/>
  <c r="Y1965" i="19"/>
  <c r="AC1965" i="19"/>
  <c r="AE1965" i="19" s="1"/>
  <c r="AG1965" i="19"/>
  <c r="J1995" i="19"/>
  <c r="F1995" i="19" s="1"/>
  <c r="L1995" i="19"/>
  <c r="AA1995" i="19" a="1"/>
  <c r="AA1995" i="19" s="1"/>
  <c r="X1995" i="19" s="1"/>
  <c r="S1995" i="19"/>
  <c r="V1995" i="19"/>
  <c r="W1995" i="19" s="1"/>
  <c r="Y1995" i="19"/>
  <c r="AF1995" i="19"/>
  <c r="AG1995" i="19"/>
  <c r="J1938" i="19"/>
  <c r="L1938" i="19"/>
  <c r="AA1938" i="19" a="1"/>
  <c r="AA1938" i="19" s="1"/>
  <c r="X1938" i="19" s="1"/>
  <c r="V1938" i="19"/>
  <c r="W1938" i="19" s="1"/>
  <c r="Y1938" i="19"/>
  <c r="J1934" i="19"/>
  <c r="F1934" i="19" s="1"/>
  <c r="L1934" i="19"/>
  <c r="AA1934" i="19" a="1"/>
  <c r="AA1934" i="19" s="1"/>
  <c r="X1934" i="19" s="1"/>
  <c r="V1934" i="19"/>
  <c r="W1934" i="19" s="1"/>
  <c r="Y1934" i="19"/>
  <c r="J1936" i="19"/>
  <c r="F1936" i="19" s="1"/>
  <c r="L1936" i="19"/>
  <c r="AA1936" i="19" a="1"/>
  <c r="AA1936" i="19" s="1"/>
  <c r="X1936" i="19" s="1"/>
  <c r="V1936" i="19"/>
  <c r="W1936" i="19" s="1"/>
  <c r="Y1936" i="19"/>
  <c r="J1937" i="19"/>
  <c r="F1937" i="19" s="1"/>
  <c r="L1937" i="19"/>
  <c r="AA1937" i="19" a="1"/>
  <c r="AA1937" i="19" s="1"/>
  <c r="X1937" i="19" s="1"/>
  <c r="V1937" i="19"/>
  <c r="W1937" i="19" s="1"/>
  <c r="Y1937" i="19"/>
  <c r="J1944" i="19"/>
  <c r="F1944" i="19" s="1"/>
  <c r="L1944" i="19"/>
  <c r="AA1944" i="19" a="1"/>
  <c r="AA1944" i="19" s="1"/>
  <c r="X1944" i="19" s="1"/>
  <c r="V1944" i="19"/>
  <c r="W1944" i="19" s="1"/>
  <c r="Y1944" i="19"/>
  <c r="AE1944" i="19"/>
  <c r="J1964" i="19"/>
  <c r="F1964" i="19" s="1"/>
  <c r="L1964" i="19"/>
  <c r="AA1964" i="19" a="1"/>
  <c r="AA1964" i="19" s="1"/>
  <c r="X1964" i="19" s="1"/>
  <c r="V1964" i="19"/>
  <c r="W1964" i="19" s="1"/>
  <c r="Y1964" i="19"/>
  <c r="J1947" i="19"/>
  <c r="L1947" i="19"/>
  <c r="AA1947" i="19" a="1"/>
  <c r="AA1947" i="19" s="1"/>
  <c r="X1947" i="19" s="1"/>
  <c r="V1947" i="19"/>
  <c r="W1947" i="19" s="1"/>
  <c r="Y1947" i="19"/>
  <c r="J1962" i="19"/>
  <c r="F1962" i="19" s="1"/>
  <c r="L1962" i="19"/>
  <c r="AA1962" i="19" a="1"/>
  <c r="AA1962" i="19" s="1"/>
  <c r="X1962" i="19" s="1"/>
  <c r="V1962" i="19"/>
  <c r="W1962" i="19" s="1"/>
  <c r="Y1962" i="19"/>
  <c r="J1955" i="19"/>
  <c r="F1955" i="19" s="1"/>
  <c r="L1955" i="19"/>
  <c r="AA1955" i="19" a="1"/>
  <c r="AA1955" i="19" s="1"/>
  <c r="X1955" i="19" s="1"/>
  <c r="V1955" i="19"/>
  <c r="W1955" i="19" s="1"/>
  <c r="Y1955" i="19"/>
  <c r="J1957" i="19"/>
  <c r="F1957" i="19" s="1"/>
  <c r="L1957" i="19"/>
  <c r="AA1957" i="19" a="1"/>
  <c r="AA1957" i="19" s="1"/>
  <c r="X1957" i="19" s="1"/>
  <c r="V1957" i="19"/>
  <c r="W1957" i="19" s="1"/>
  <c r="Y1957" i="19"/>
  <c r="J1961" i="19"/>
  <c r="F1961" i="19" s="1"/>
  <c r="L1961" i="19"/>
  <c r="AA1961" i="19" a="1"/>
  <c r="AA1961" i="19" s="1"/>
  <c r="X1961" i="19" s="1"/>
  <c r="V1961" i="19"/>
  <c r="W1961" i="19" s="1"/>
  <c r="Y1961" i="19"/>
  <c r="J1960" i="19"/>
  <c r="F1960" i="19" s="1"/>
  <c r="L1960" i="19"/>
  <c r="AA1960" i="19" a="1"/>
  <c r="AA1960" i="19" s="1"/>
  <c r="X1960" i="19" s="1"/>
  <c r="V1960" i="19"/>
  <c r="W1960" i="19" s="1"/>
  <c r="Y1960" i="19"/>
  <c r="J1954" i="19"/>
  <c r="L1954" i="19"/>
  <c r="AA1954" i="19" a="1"/>
  <c r="AA1954" i="19" s="1"/>
  <c r="X1954" i="19" s="1"/>
  <c r="V1954" i="19"/>
  <c r="W1954" i="19" s="1"/>
  <c r="Y1954" i="19"/>
  <c r="J1953" i="19"/>
  <c r="F1953" i="19" s="1"/>
  <c r="L1953" i="19"/>
  <c r="AA1953" i="19" a="1"/>
  <c r="AA1953" i="19" s="1"/>
  <c r="X1953" i="19" s="1"/>
  <c r="V1953" i="19"/>
  <c r="W1953" i="19" s="1"/>
  <c r="Y1953" i="19"/>
  <c r="J1963" i="19"/>
  <c r="F1963" i="19" s="1"/>
  <c r="L1963" i="19"/>
  <c r="AA1963" i="19" a="1"/>
  <c r="AA1963" i="19" s="1"/>
  <c r="X1963" i="19" s="1"/>
  <c r="V1963" i="19"/>
  <c r="W1963" i="19" s="1"/>
  <c r="Y1963" i="19"/>
  <c r="J1959" i="19"/>
  <c r="F1959" i="19" s="1"/>
  <c r="L1959" i="19"/>
  <c r="AA1959" i="19" a="1"/>
  <c r="AA1959" i="19" s="1"/>
  <c r="X1959" i="19" s="1"/>
  <c r="V1959" i="19"/>
  <c r="W1959" i="19" s="1"/>
  <c r="Y1959" i="19"/>
  <c r="J1958" i="19"/>
  <c r="L1958" i="19"/>
  <c r="AA1958" i="19" a="1"/>
  <c r="AA1958" i="19" s="1"/>
  <c r="X1958" i="19" s="1"/>
  <c r="V1958" i="19"/>
  <c r="W1958" i="19" s="1"/>
  <c r="Y1958" i="19"/>
  <c r="J1952" i="19"/>
  <c r="F1952" i="19" s="1"/>
  <c r="L1952" i="19"/>
  <c r="AA1952" i="19" a="1"/>
  <c r="AA1952" i="19" s="1"/>
  <c r="X1952" i="19" s="1"/>
  <c r="V1952" i="19"/>
  <c r="W1952" i="19" s="1"/>
  <c r="Y1952" i="19"/>
  <c r="J1951" i="19"/>
  <c r="L1951" i="19"/>
  <c r="AA1951" i="19" a="1"/>
  <c r="AA1951" i="19" s="1"/>
  <c r="X1951" i="19" s="1"/>
  <c r="V1951" i="19"/>
  <c r="W1951" i="19" s="1"/>
  <c r="Y1951" i="19"/>
  <c r="J1946" i="19"/>
  <c r="F1946" i="19" s="1"/>
  <c r="L1946" i="19"/>
  <c r="AA1946" i="19" a="1"/>
  <c r="AA1946" i="19" s="1"/>
  <c r="X1946" i="19" s="1"/>
  <c r="V1946" i="19"/>
  <c r="W1946" i="19" s="1"/>
  <c r="Y1946" i="19"/>
  <c r="J1948" i="19"/>
  <c r="F1948" i="19" s="1"/>
  <c r="L1948" i="19"/>
  <c r="AA1948" i="19" a="1"/>
  <c r="AA1948" i="19" s="1"/>
  <c r="X1948" i="19" s="1"/>
  <c r="V1948" i="19"/>
  <c r="W1948" i="19" s="1"/>
  <c r="Y1948" i="19"/>
  <c r="J1945" i="19"/>
  <c r="F1945" i="19" s="1"/>
  <c r="L1945" i="19"/>
  <c r="AA1945" i="19" a="1"/>
  <c r="AA1945" i="19" s="1"/>
  <c r="X1945" i="19" s="1"/>
  <c r="V1945" i="19"/>
  <c r="W1945" i="19" s="1"/>
  <c r="Y1945" i="19"/>
  <c r="J1956" i="19"/>
  <c r="L1956" i="19"/>
  <c r="AA1956" i="19" a="1"/>
  <c r="AA1956" i="19" s="1"/>
  <c r="X1956" i="19" s="1"/>
  <c r="V1956" i="19"/>
  <c r="W1956" i="19" s="1"/>
  <c r="Y1956" i="19"/>
  <c r="J1969" i="19"/>
  <c r="F1969" i="19" s="1"/>
  <c r="L1969" i="19"/>
  <c r="AA1969" i="19" a="1"/>
  <c r="AA1969" i="19" s="1"/>
  <c r="X1969" i="19" s="1"/>
  <c r="S1969" i="19"/>
  <c r="V1969" i="19"/>
  <c r="W1969" i="19" s="1"/>
  <c r="Y1969" i="19"/>
  <c r="AC1969" i="19"/>
  <c r="AG1969" i="19"/>
  <c r="J1968" i="19"/>
  <c r="F1968" i="19" s="1"/>
  <c r="L1968" i="19"/>
  <c r="AA1968" i="19" a="1"/>
  <c r="AA1968" i="19" s="1"/>
  <c r="X1968" i="19" s="1"/>
  <c r="S1968" i="19"/>
  <c r="V1968" i="19"/>
  <c r="W1968" i="19" s="1"/>
  <c r="Y1968" i="19"/>
  <c r="AC1968" i="19"/>
  <c r="AG1968" i="19"/>
  <c r="F1966" i="19"/>
  <c r="L1966" i="19"/>
  <c r="AA1966" i="19" a="1"/>
  <c r="AA1966" i="19" s="1"/>
  <c r="X1966" i="19" s="1"/>
  <c r="S1966" i="19"/>
  <c r="V1966" i="19"/>
  <c r="W1966" i="19" s="1"/>
  <c r="Y1966" i="19"/>
  <c r="AE1966" i="19"/>
  <c r="J2054" i="19"/>
  <c r="AA2054" i="19" a="1"/>
  <c r="AA2054" i="19" s="1"/>
  <c r="X2054" i="19" s="1"/>
  <c r="S2054" i="19"/>
  <c r="V2054" i="19"/>
  <c r="W2054" i="19" s="1"/>
  <c r="Y2054" i="19"/>
  <c r="AC2054" i="19"/>
  <c r="AG2054" i="19"/>
  <c r="J2051" i="19"/>
  <c r="F2051" i="19" s="1"/>
  <c r="L2051" i="19"/>
  <c r="AA2051" i="19" a="1"/>
  <c r="AA2051" i="19" s="1"/>
  <c r="X2051" i="19" s="1"/>
  <c r="S2051" i="19"/>
  <c r="V2051" i="19"/>
  <c r="W2051" i="19" s="1"/>
  <c r="Y2051" i="19"/>
  <c r="AC2051" i="19"/>
  <c r="AE2051" i="19" s="1"/>
  <c r="AG2051" i="19"/>
  <c r="J2050" i="19"/>
  <c r="L2050" i="19"/>
  <c r="AA2050" i="19" a="1"/>
  <c r="AA2050" i="19" s="1"/>
  <c r="X2050" i="19" s="1"/>
  <c r="S2050" i="19"/>
  <c r="V2050" i="19"/>
  <c r="W2050" i="19" s="1"/>
  <c r="Y2050" i="19"/>
  <c r="AC2050" i="19"/>
  <c r="AG2050" i="19"/>
  <c r="J2052" i="19"/>
  <c r="F2052" i="19" s="1"/>
  <c r="L2052" i="19"/>
  <c r="AA2052" i="19" a="1"/>
  <c r="AA2052" i="19" s="1"/>
  <c r="X2052" i="19" s="1"/>
  <c r="S2052" i="19"/>
  <c r="V2052" i="19"/>
  <c r="W2052" i="19" s="1"/>
  <c r="Y2052" i="19"/>
  <c r="AC2052" i="19"/>
  <c r="AF2052" i="19" s="1"/>
  <c r="AG2052" i="19"/>
  <c r="J2053" i="19"/>
  <c r="F2053" i="19" s="1"/>
  <c r="L2053" i="19"/>
  <c r="AA2053" i="19" a="1"/>
  <c r="AA2053" i="19" s="1"/>
  <c r="X2053" i="19" s="1"/>
  <c r="S2053" i="19"/>
  <c r="V2053" i="19"/>
  <c r="W2053" i="19" s="1"/>
  <c r="Y2053" i="19"/>
  <c r="AC2053" i="19"/>
  <c r="AG2053" i="19"/>
  <c r="J1939" i="19"/>
  <c r="F1939" i="19" s="1"/>
  <c r="L1939" i="19"/>
  <c r="AA1939" i="19" a="1"/>
  <c r="AA1939" i="19" s="1"/>
  <c r="X1939" i="19" s="1"/>
  <c r="S1939" i="19"/>
  <c r="V1939" i="19"/>
  <c r="W1939" i="19" s="1"/>
  <c r="Y1939" i="19"/>
  <c r="AC1939" i="19"/>
  <c r="AG1939" i="19"/>
  <c r="J2347" i="19"/>
  <c r="L2347" i="19"/>
  <c r="AA2347" i="19" a="1"/>
  <c r="AA2347" i="19" s="1"/>
  <c r="X2347" i="19" s="1"/>
  <c r="S2347" i="19"/>
  <c r="V2347" i="19"/>
  <c r="W2347" i="19" s="1"/>
  <c r="Y2347" i="19"/>
  <c r="AC2347" i="19"/>
  <c r="AF2347" i="19" s="1"/>
  <c r="AG2347" i="19"/>
  <c r="J1943" i="19"/>
  <c r="F1943" i="19" s="1"/>
  <c r="L1943" i="19"/>
  <c r="AA1943" i="19" a="1"/>
  <c r="AA1943" i="19" s="1"/>
  <c r="X1943" i="19" s="1"/>
  <c r="S1943" i="19"/>
  <c r="V1943" i="19"/>
  <c r="W1943" i="19" s="1"/>
  <c r="Y1943" i="19"/>
  <c r="AD1943" i="19"/>
  <c r="J1941" i="19"/>
  <c r="F1941" i="19" s="1"/>
  <c r="L1941" i="19"/>
  <c r="AA1941" i="19" a="1"/>
  <c r="AA1941" i="19" s="1"/>
  <c r="X1941" i="19" s="1"/>
  <c r="S1941" i="19"/>
  <c r="V1941" i="19"/>
  <c r="W1941" i="19" s="1"/>
  <c r="Y1941" i="19"/>
  <c r="J1940" i="19"/>
  <c r="F1940" i="19" s="1"/>
  <c r="L1940" i="19"/>
  <c r="AA1940" i="19" a="1"/>
  <c r="AA1940" i="19" s="1"/>
  <c r="X1940" i="19" s="1"/>
  <c r="S1940" i="19"/>
  <c r="V1940" i="19"/>
  <c r="W1940" i="19" s="1"/>
  <c r="Y1940" i="19"/>
  <c r="AD1940" i="19"/>
  <c r="J1942" i="19"/>
  <c r="L1942" i="19"/>
  <c r="AA1942" i="19" a="1"/>
  <c r="AA1942" i="19" s="1"/>
  <c r="X1942" i="19" s="1"/>
  <c r="S1942" i="19"/>
  <c r="V1942" i="19"/>
  <c r="W1942" i="19" s="1"/>
  <c r="Y1942" i="19"/>
  <c r="AF1942" i="19"/>
  <c r="J1971" i="19"/>
  <c r="F1971" i="19" s="1"/>
  <c r="L1971" i="19"/>
  <c r="AA1971" i="19" a="1"/>
  <c r="AA1971" i="19" s="1"/>
  <c r="X1971" i="19" s="1"/>
  <c r="S1971" i="19"/>
  <c r="V1971" i="19"/>
  <c r="W1971" i="19" s="1"/>
  <c r="Y1971" i="19"/>
  <c r="J1970" i="19"/>
  <c r="L1970" i="19"/>
  <c r="AA1970" i="19" a="1"/>
  <c r="AA1970" i="19" s="1"/>
  <c r="X1970" i="19" s="1"/>
  <c r="S1970" i="19"/>
  <c r="V1970" i="19"/>
  <c r="W1970" i="19" s="1"/>
  <c r="Y1970" i="19"/>
  <c r="J1996" i="19"/>
  <c r="F1996" i="19" s="1"/>
  <c r="L1996" i="19"/>
  <c r="AA1996" i="19" a="1"/>
  <c r="AA1996" i="19" s="1"/>
  <c r="X1996" i="19" s="1"/>
  <c r="S1996" i="19"/>
  <c r="V1996" i="19"/>
  <c r="W1996" i="19" s="1"/>
  <c r="Y1996" i="19"/>
  <c r="AF1996" i="19"/>
  <c r="AG1996" i="19"/>
  <c r="J1967" i="19"/>
  <c r="F1967" i="19" s="1"/>
  <c r="L1967" i="19"/>
  <c r="AA1967" i="19" a="1"/>
  <c r="AA1967" i="19" s="1"/>
  <c r="X1967" i="19" s="1"/>
  <c r="S1967" i="19"/>
  <c r="V1967" i="19"/>
  <c r="W1967" i="19" s="1"/>
  <c r="Y1967" i="19"/>
  <c r="AC1967" i="19"/>
  <c r="AG1967" i="19"/>
  <c r="J2358" i="19"/>
  <c r="L2358" i="19"/>
  <c r="AA2358" i="19" a="1"/>
  <c r="AA2358" i="19" s="1"/>
  <c r="X2358" i="19" s="1"/>
  <c r="S2358" i="19"/>
  <c r="V2358" i="19"/>
  <c r="W2358" i="19" s="1"/>
  <c r="Y2358" i="19"/>
  <c r="AC2358" i="19"/>
  <c r="AG2358" i="19"/>
  <c r="J1997" i="19"/>
  <c r="F1997" i="19" s="1"/>
  <c r="L1997" i="19"/>
  <c r="AA1997" i="19" a="1"/>
  <c r="AA1997" i="19" s="1"/>
  <c r="X1997" i="19" s="1"/>
  <c r="S1997" i="19"/>
  <c r="V1997" i="19"/>
  <c r="W1997" i="19" s="1"/>
  <c r="Y1997" i="19"/>
  <c r="AC1997" i="19"/>
  <c r="AD1997" i="19" s="1"/>
  <c r="AG1997" i="19"/>
  <c r="J2000" i="19"/>
  <c r="F2000" i="19" s="1"/>
  <c r="L2000" i="19"/>
  <c r="AA2000" i="19" a="1"/>
  <c r="AA2000" i="19" s="1"/>
  <c r="X2000" i="19" s="1"/>
  <c r="S2000" i="19"/>
  <c r="V2000" i="19"/>
  <c r="W2000" i="19" s="1"/>
  <c r="Y2000" i="19"/>
  <c r="AC2000" i="19"/>
  <c r="AG2000" i="19"/>
  <c r="J1999" i="19"/>
  <c r="F1999" i="19" s="1"/>
  <c r="L1999" i="19"/>
  <c r="AA1999" i="19" a="1"/>
  <c r="AA1999" i="19" s="1"/>
  <c r="X1999" i="19" s="1"/>
  <c r="S1999" i="19"/>
  <c r="V1999" i="19"/>
  <c r="W1999" i="19" s="1"/>
  <c r="Y1999" i="19"/>
  <c r="AC1999" i="19"/>
  <c r="AE1999" i="19" s="1"/>
  <c r="AG1999" i="19"/>
  <c r="J1998" i="19"/>
  <c r="L1998" i="19"/>
  <c r="AA1998" i="19" a="1"/>
  <c r="AA1998" i="19" s="1"/>
  <c r="X1998" i="19" s="1"/>
  <c r="S1998" i="19"/>
  <c r="V1998" i="19"/>
  <c r="W1998" i="19" s="1"/>
  <c r="Y1998" i="19"/>
  <c r="AC1998" i="19"/>
  <c r="AE1998" i="19" s="1"/>
  <c r="AG1998" i="19"/>
  <c r="J2357" i="19"/>
  <c r="F2357" i="19" s="1"/>
  <c r="L2357" i="19"/>
  <c r="AA2357" i="19" a="1"/>
  <c r="AA2357" i="19" s="1"/>
  <c r="X2357" i="19" s="1"/>
  <c r="S2357" i="19"/>
  <c r="V2357" i="19"/>
  <c r="W2357" i="19" s="1"/>
  <c r="Y2357" i="19"/>
  <c r="AC2357" i="19"/>
  <c r="AE2357" i="19" s="1"/>
  <c r="AG2357" i="19"/>
  <c r="J2033" i="19"/>
  <c r="L2033" i="19"/>
  <c r="AA2033" i="19" a="1"/>
  <c r="AA2033" i="19" s="1"/>
  <c r="X2033" i="19" s="1"/>
  <c r="V2033" i="19"/>
  <c r="W2033" i="19" s="1"/>
  <c r="Y2033" i="19"/>
  <c r="AC2033" i="19"/>
  <c r="AE2033" i="19" s="1"/>
  <c r="AG2033" i="19"/>
  <c r="J2039" i="19"/>
  <c r="F2039" i="19" s="1"/>
  <c r="L2039" i="19"/>
  <c r="AA2039" i="19" a="1"/>
  <c r="AA2039" i="19" s="1"/>
  <c r="X2039" i="19" s="1"/>
  <c r="V2039" i="19"/>
  <c r="W2039" i="19" s="1"/>
  <c r="Y2039" i="19"/>
  <c r="AC2039" i="19"/>
  <c r="AG2039" i="19"/>
  <c r="J2031" i="19"/>
  <c r="F2031" i="19" s="1"/>
  <c r="L2031" i="19"/>
  <c r="AA2031" i="19" a="1"/>
  <c r="AA2031" i="19" s="1"/>
  <c r="X2031" i="19" s="1"/>
  <c r="V2031" i="19"/>
  <c r="W2031" i="19" s="1"/>
  <c r="Y2031" i="19"/>
  <c r="AC2031" i="19"/>
  <c r="AE2031" i="19" s="1"/>
  <c r="AG2031" i="19"/>
  <c r="J2032" i="19"/>
  <c r="F2032" i="19" s="1"/>
  <c r="L2032" i="19"/>
  <c r="AA2032" i="19" a="1"/>
  <c r="AA2032" i="19" s="1"/>
  <c r="X2032" i="19" s="1"/>
  <c r="V2032" i="19"/>
  <c r="W2032" i="19" s="1"/>
  <c r="Y2032" i="19"/>
  <c r="AC2032" i="19"/>
  <c r="AG2032" i="19"/>
  <c r="J2034" i="19"/>
  <c r="L2034" i="19"/>
  <c r="AA2034" i="19" a="1"/>
  <c r="AA2034" i="19" s="1"/>
  <c r="X2034" i="19" s="1"/>
  <c r="V2034" i="19"/>
  <c r="W2034" i="19" s="1"/>
  <c r="Y2034" i="19"/>
  <c r="AC2034" i="19"/>
  <c r="AG2034" i="19"/>
  <c r="J2030" i="19"/>
  <c r="F2030" i="19" s="1"/>
  <c r="L2030" i="19"/>
  <c r="AA2030" i="19" a="1"/>
  <c r="AA2030" i="19" s="1"/>
  <c r="X2030" i="19" s="1"/>
  <c r="V2030" i="19"/>
  <c r="W2030" i="19" s="1"/>
  <c r="Y2030" i="19"/>
  <c r="AC2030" i="19"/>
  <c r="AD2030" i="19" s="1"/>
  <c r="AG2030" i="19"/>
  <c r="J2035" i="19"/>
  <c r="F2035" i="19" s="1"/>
  <c r="L2035" i="19"/>
  <c r="AA2035" i="19" a="1"/>
  <c r="AA2035" i="19" s="1"/>
  <c r="X2035" i="19" s="1"/>
  <c r="V2035" i="19"/>
  <c r="W2035" i="19" s="1"/>
  <c r="Y2035" i="19"/>
  <c r="AC2035" i="19"/>
  <c r="AE2035" i="19" s="1"/>
  <c r="AG2035" i="19"/>
  <c r="J2036" i="19"/>
  <c r="F2036" i="19" s="1"/>
  <c r="L2036" i="19"/>
  <c r="AA2036" i="19" a="1"/>
  <c r="AA2036" i="19" s="1"/>
  <c r="X2036" i="19" s="1"/>
  <c r="V2036" i="19"/>
  <c r="W2036" i="19" s="1"/>
  <c r="Y2036" i="19"/>
  <c r="AC2036" i="19"/>
  <c r="AG2036" i="19"/>
  <c r="J2001" i="19"/>
  <c r="F2001" i="19" s="1"/>
  <c r="L2001" i="19"/>
  <c r="AA2001" i="19" a="1"/>
  <c r="AA2001" i="19" s="1"/>
  <c r="X2001" i="19" s="1"/>
  <c r="S2001" i="19"/>
  <c r="V2001" i="19"/>
  <c r="W2001" i="19" s="1"/>
  <c r="Y2001" i="19"/>
  <c r="AE2001" i="19"/>
  <c r="AG2001" i="19"/>
  <c r="J2005" i="19"/>
  <c r="F2005" i="19" s="1"/>
  <c r="L2005" i="19"/>
  <c r="AA2005" i="19" a="1"/>
  <c r="AA2005" i="19" s="1"/>
  <c r="X2005" i="19" s="1"/>
  <c r="S2005" i="19"/>
  <c r="V2005" i="19"/>
  <c r="W2005" i="19" s="1"/>
  <c r="Y2005" i="19"/>
  <c r="AG2005" i="19"/>
  <c r="J2003" i="19"/>
  <c r="L2003" i="19"/>
  <c r="AA2003" i="19" a="1"/>
  <c r="AA2003" i="19" s="1"/>
  <c r="X2003" i="19" s="1"/>
  <c r="S2003" i="19"/>
  <c r="V2003" i="19"/>
  <c r="W2003" i="19" s="1"/>
  <c r="Y2003" i="19"/>
  <c r="AG2003" i="19"/>
  <c r="J2002" i="19"/>
  <c r="F2002" i="19" s="1"/>
  <c r="L2002" i="19"/>
  <c r="AA2002" i="19" a="1"/>
  <c r="AA2002" i="19" s="1"/>
  <c r="X2002" i="19" s="1"/>
  <c r="S2002" i="19"/>
  <c r="V2002" i="19"/>
  <c r="W2002" i="19" s="1"/>
  <c r="Y2002" i="19"/>
  <c r="AE2002" i="19"/>
  <c r="AG2002" i="19"/>
  <c r="J2004" i="19"/>
  <c r="F2004" i="19" s="1"/>
  <c r="L2004" i="19"/>
  <c r="AA2004" i="19" a="1"/>
  <c r="AA2004" i="19" s="1"/>
  <c r="X2004" i="19" s="1"/>
  <c r="S2004" i="19"/>
  <c r="V2004" i="19"/>
  <c r="W2004" i="19" s="1"/>
  <c r="Y2004" i="19"/>
  <c r="AE2004" i="19"/>
  <c r="AG2004" i="19"/>
  <c r="J2007" i="19"/>
  <c r="F2007" i="19" s="1"/>
  <c r="L2007" i="19"/>
  <c r="AA2007" i="19" a="1"/>
  <c r="AA2007" i="19" s="1"/>
  <c r="X2007" i="19" s="1"/>
  <c r="S2007" i="19"/>
  <c r="V2007" i="19"/>
  <c r="W2007" i="19" s="1"/>
  <c r="Y2007" i="19"/>
  <c r="AC2007" i="19"/>
  <c r="AE2007" i="19" s="1"/>
  <c r="AG2007" i="19"/>
  <c r="J2009" i="19"/>
  <c r="F2009" i="19" s="1"/>
  <c r="L2009" i="19"/>
  <c r="AA2009" i="19" a="1"/>
  <c r="AA2009" i="19" s="1"/>
  <c r="X2009" i="19" s="1"/>
  <c r="S2009" i="19"/>
  <c r="V2009" i="19"/>
  <c r="W2009" i="19" s="1"/>
  <c r="Y2009" i="19"/>
  <c r="AC2009" i="19"/>
  <c r="AG2009" i="19"/>
  <c r="J2008" i="19"/>
  <c r="F2008" i="19" s="1"/>
  <c r="L2008" i="19"/>
  <c r="AA2008" i="19" a="1"/>
  <c r="AA2008" i="19" s="1"/>
  <c r="X2008" i="19" s="1"/>
  <c r="S2008" i="19"/>
  <c r="V2008" i="19"/>
  <c r="W2008" i="19" s="1"/>
  <c r="Y2008" i="19"/>
  <c r="AC2008" i="19"/>
  <c r="AG2008" i="19"/>
  <c r="J2010" i="19"/>
  <c r="L2010" i="19"/>
  <c r="AA2010" i="19" a="1"/>
  <c r="AA2010" i="19" s="1"/>
  <c r="X2010" i="19" s="1"/>
  <c r="S2010" i="19"/>
  <c r="V2010" i="19"/>
  <c r="W2010" i="19" s="1"/>
  <c r="Y2010" i="19"/>
  <c r="AC2010" i="19"/>
  <c r="AD2010" i="19" s="1"/>
  <c r="AG2010" i="19"/>
  <c r="J2011" i="19"/>
  <c r="F2011" i="19" s="1"/>
  <c r="L2011" i="19"/>
  <c r="AA2011" i="19" a="1"/>
  <c r="AA2011" i="19" s="1"/>
  <c r="X2011" i="19" s="1"/>
  <c r="S2011" i="19"/>
  <c r="V2011" i="19"/>
  <c r="W2011" i="19" s="1"/>
  <c r="Y2011" i="19"/>
  <c r="AC2011" i="19"/>
  <c r="AF2011" i="19" s="1"/>
  <c r="AG2011" i="19"/>
  <c r="J2019" i="19"/>
  <c r="L2019" i="19"/>
  <c r="AA2019" i="19" a="1"/>
  <c r="AA2019" i="19" s="1"/>
  <c r="X2019" i="19" s="1"/>
  <c r="S2019" i="19"/>
  <c r="V2019" i="19"/>
  <c r="W2019" i="19" s="1"/>
  <c r="Y2019" i="19"/>
  <c r="AG2019" i="19"/>
  <c r="J2021" i="19"/>
  <c r="L2021" i="19"/>
  <c r="AA2021" i="19" a="1"/>
  <c r="AA2021" i="19" s="1"/>
  <c r="X2021" i="19" s="1"/>
  <c r="V2021" i="19"/>
  <c r="W2021" i="19" s="1"/>
  <c r="Y2021" i="19"/>
  <c r="AG2021" i="19"/>
  <c r="J2022" i="19"/>
  <c r="F2022" i="19" s="1"/>
  <c r="L2022" i="19"/>
  <c r="AA2022" i="19" a="1"/>
  <c r="AA2022" i="19" s="1"/>
  <c r="X2022" i="19" s="1"/>
  <c r="V2022" i="19"/>
  <c r="W2022" i="19" s="1"/>
  <c r="Y2022" i="19"/>
  <c r="AD2022" i="19"/>
  <c r="AG2022" i="19"/>
  <c r="J2017" i="19"/>
  <c r="F2017" i="19" s="1"/>
  <c r="L2017" i="19"/>
  <c r="AA2017" i="19" a="1"/>
  <c r="AA2017" i="19" s="1"/>
  <c r="X2017" i="19" s="1"/>
  <c r="V2017" i="19"/>
  <c r="W2017" i="19" s="1"/>
  <c r="Y2017" i="19"/>
  <c r="AF2017" i="19"/>
  <c r="AG2017" i="19"/>
  <c r="J2020" i="19"/>
  <c r="L2020" i="19"/>
  <c r="AA2020" i="19" a="1"/>
  <c r="AA2020" i="19" s="1"/>
  <c r="X2020" i="19" s="1"/>
  <c r="V2020" i="19"/>
  <c r="W2020" i="19" s="1"/>
  <c r="Y2020" i="19"/>
  <c r="AF2020" i="19"/>
  <c r="AG2020" i="19"/>
  <c r="J2018" i="19"/>
  <c r="L2018" i="19"/>
  <c r="AA2018" i="19" a="1"/>
  <c r="AA2018" i="19" s="1"/>
  <c r="X2018" i="19" s="1"/>
  <c r="V2018" i="19"/>
  <c r="W2018" i="19" s="1"/>
  <c r="Y2018" i="19"/>
  <c r="AF2018" i="19"/>
  <c r="AG2018" i="19"/>
  <c r="J2012" i="19"/>
  <c r="L2012" i="19"/>
  <c r="AA2012" i="19" a="1"/>
  <c r="AA2012" i="19" s="1"/>
  <c r="X2012" i="19" s="1"/>
  <c r="S2012" i="19"/>
  <c r="V2012" i="19"/>
  <c r="W2012" i="19" s="1"/>
  <c r="Y2012" i="19"/>
  <c r="J2348" i="19"/>
  <c r="F2348" i="19" s="1"/>
  <c r="L2348" i="19"/>
  <c r="AA2348" i="19" a="1"/>
  <c r="AA2348" i="19" s="1"/>
  <c r="X2348" i="19" s="1"/>
  <c r="S2348" i="19"/>
  <c r="W2348" i="19"/>
  <c r="Y2348" i="19"/>
  <c r="AC2348" i="19"/>
  <c r="AF2348" i="19" s="1"/>
  <c r="AG2348" i="19"/>
  <c r="J2006" i="19"/>
  <c r="L2006" i="19"/>
  <c r="AA2006" i="19" a="1"/>
  <c r="AA2006" i="19" s="1"/>
  <c r="X2006" i="19" s="1"/>
  <c r="S2006" i="19"/>
  <c r="V2006" i="19"/>
  <c r="W2006" i="19" s="1"/>
  <c r="Y2006" i="19"/>
  <c r="AC2006" i="19"/>
  <c r="AF2006" i="19" s="1"/>
  <c r="AG2006" i="19"/>
  <c r="J2016" i="19"/>
  <c r="L2016" i="19"/>
  <c r="AA2016" i="19" a="1"/>
  <c r="AA2016" i="19" s="1"/>
  <c r="X2016" i="19" s="1"/>
  <c r="S2016" i="19"/>
  <c r="V2016" i="19"/>
  <c r="W2016" i="19" s="1"/>
  <c r="Y2016" i="19"/>
  <c r="J2026" i="19"/>
  <c r="F2026" i="19" s="1"/>
  <c r="L2026" i="19"/>
  <c r="AA2026" i="19" a="1"/>
  <c r="AA2026" i="19" s="1"/>
  <c r="X2026" i="19" s="1"/>
  <c r="S2026" i="19"/>
  <c r="V2026" i="19"/>
  <c r="W2026" i="19" s="1"/>
  <c r="Y2026" i="19"/>
  <c r="AD2026" i="19"/>
  <c r="J2024" i="19"/>
  <c r="F2024" i="19" s="1"/>
  <c r="L2024" i="19"/>
  <c r="AA2024" i="19" a="1"/>
  <c r="AA2024" i="19" s="1"/>
  <c r="X2024" i="19" s="1"/>
  <c r="S2024" i="19"/>
  <c r="V2024" i="19"/>
  <c r="W2024" i="19" s="1"/>
  <c r="Y2024" i="19"/>
  <c r="J2025" i="19"/>
  <c r="L2025" i="19"/>
  <c r="AA2025" i="19" a="1"/>
  <c r="AA2025" i="19" s="1"/>
  <c r="X2025" i="19" s="1"/>
  <c r="V2025" i="19"/>
  <c r="W2025" i="19" s="1"/>
  <c r="Y2025" i="19"/>
  <c r="J2023" i="19"/>
  <c r="L2023" i="19"/>
  <c r="AA2023" i="19" a="1"/>
  <c r="AA2023" i="19" s="1"/>
  <c r="X2023" i="19" s="1"/>
  <c r="S2023" i="19"/>
  <c r="V2023" i="19"/>
  <c r="W2023" i="19" s="1"/>
  <c r="Y2023" i="19"/>
  <c r="J2027" i="19"/>
  <c r="F2027" i="19" s="1"/>
  <c r="L2027" i="19"/>
  <c r="AA2027" i="19" a="1"/>
  <c r="AA2027" i="19" s="1"/>
  <c r="X2027" i="19" s="1"/>
  <c r="S2027" i="19"/>
  <c r="V2027" i="19"/>
  <c r="W2027" i="19" s="1"/>
  <c r="Y2027" i="19"/>
  <c r="J2072" i="19"/>
  <c r="F2072" i="19" s="1"/>
  <c r="L2072" i="19"/>
  <c r="AA2072" i="19" a="1"/>
  <c r="AA2072" i="19" s="1"/>
  <c r="X2072" i="19" s="1"/>
  <c r="S2072" i="19"/>
  <c r="V2072" i="19"/>
  <c r="W2072" i="19" s="1"/>
  <c r="Y2072" i="19"/>
  <c r="AC2072" i="19"/>
  <c r="AF2072" i="19" s="1"/>
  <c r="AG2072" i="19"/>
  <c r="J2071" i="19"/>
  <c r="AA2071" i="19" a="1"/>
  <c r="AA2071" i="19" s="1"/>
  <c r="X2071" i="19" s="1"/>
  <c r="S2071" i="19"/>
  <c r="V2071" i="19"/>
  <c r="W2071" i="19" s="1"/>
  <c r="Y2071" i="19"/>
  <c r="AC2071" i="19"/>
  <c r="AF2071" i="19" s="1"/>
  <c r="AG2071" i="19"/>
  <c r="J2073" i="19"/>
  <c r="AA2073" i="19" a="1"/>
  <c r="AA2073" i="19" s="1"/>
  <c r="X2073" i="19" s="1"/>
  <c r="S2073" i="19"/>
  <c r="V2073" i="19"/>
  <c r="W2073" i="19" s="1"/>
  <c r="Y2073" i="19"/>
  <c r="AC2073" i="19"/>
  <c r="AD2073" i="19" s="1"/>
  <c r="AG2073" i="19"/>
  <c r="J2060" i="19"/>
  <c r="L2060" i="19"/>
  <c r="AA2060" i="19" a="1"/>
  <c r="AA2060" i="19" s="1"/>
  <c r="X2060" i="19" s="1"/>
  <c r="V2060" i="19"/>
  <c r="W2060" i="19" s="1"/>
  <c r="Y2060" i="19"/>
  <c r="AC2060" i="19"/>
  <c r="AF2060" i="19" s="1"/>
  <c r="AG2060" i="19"/>
  <c r="J2059" i="19"/>
  <c r="L2059" i="19"/>
  <c r="AA2059" i="19" a="1"/>
  <c r="AA2059" i="19" s="1"/>
  <c r="X2059" i="19" s="1"/>
  <c r="S2059" i="19"/>
  <c r="V2059" i="19"/>
  <c r="W2059" i="19" s="1"/>
  <c r="Y2059" i="19"/>
  <c r="AC2059" i="19"/>
  <c r="AG2059" i="19"/>
  <c r="J2066" i="19"/>
  <c r="F2066" i="19" s="1"/>
  <c r="L2066" i="19"/>
  <c r="AA2066" i="19" a="1"/>
  <c r="AA2066" i="19" s="1"/>
  <c r="X2066" i="19" s="1"/>
  <c r="V2066" i="19"/>
  <c r="W2066" i="19" s="1"/>
  <c r="Y2066" i="19"/>
  <c r="AC2066" i="19"/>
  <c r="AD2066" i="19" s="1"/>
  <c r="AG2066" i="19"/>
  <c r="J2063" i="19"/>
  <c r="F2063" i="19" s="1"/>
  <c r="L2063" i="19"/>
  <c r="AA2063" i="19" a="1"/>
  <c r="AA2063" i="19" s="1"/>
  <c r="X2063" i="19" s="1"/>
  <c r="V2063" i="19"/>
  <c r="W2063" i="19" s="1"/>
  <c r="Y2063" i="19"/>
  <c r="AC2063" i="19"/>
  <c r="AF2063" i="19" s="1"/>
  <c r="AG2063" i="19"/>
  <c r="J2064" i="19"/>
  <c r="L2064" i="19"/>
  <c r="AA2064" i="19" a="1"/>
  <c r="AA2064" i="19" s="1"/>
  <c r="X2064" i="19" s="1"/>
  <c r="V2064" i="19"/>
  <c r="W2064" i="19" s="1"/>
  <c r="Y2064" i="19"/>
  <c r="AC2064" i="19"/>
  <c r="AD2064" i="19" s="1"/>
  <c r="AG2064" i="19"/>
  <c r="J2067" i="19"/>
  <c r="L2067" i="19"/>
  <c r="AA2067" i="19" a="1"/>
  <c r="AA2067" i="19" s="1"/>
  <c r="X2067" i="19" s="1"/>
  <c r="V2067" i="19"/>
  <c r="W2067" i="19" s="1"/>
  <c r="Y2067" i="19"/>
  <c r="AC2067" i="19"/>
  <c r="AE2067" i="19" s="1"/>
  <c r="AG2067" i="19"/>
  <c r="J2062" i="19"/>
  <c r="F2062" i="19" s="1"/>
  <c r="L2062" i="19"/>
  <c r="AA2062" i="19" a="1"/>
  <c r="AA2062" i="19" s="1"/>
  <c r="X2062" i="19" s="1"/>
  <c r="V2062" i="19"/>
  <c r="W2062" i="19" s="1"/>
  <c r="Y2062" i="19"/>
  <c r="AC2062" i="19"/>
  <c r="AG2062" i="19"/>
  <c r="J2058" i="19"/>
  <c r="L2058" i="19"/>
  <c r="AA2058" i="19" a="1"/>
  <c r="AA2058" i="19" s="1"/>
  <c r="X2058" i="19" s="1"/>
  <c r="V2058" i="19"/>
  <c r="W2058" i="19" s="1"/>
  <c r="Y2058" i="19"/>
  <c r="AC2058" i="19"/>
  <c r="AG2058" i="19"/>
  <c r="J2069" i="19"/>
  <c r="F2069" i="19" s="1"/>
  <c r="L2069" i="19"/>
  <c r="AA2069" i="19" a="1"/>
  <c r="AA2069" i="19" s="1"/>
  <c r="X2069" i="19" s="1"/>
  <c r="S2069" i="19"/>
  <c r="V2069" i="19"/>
  <c r="W2069" i="19" s="1"/>
  <c r="Y2069" i="19"/>
  <c r="AE2069" i="19"/>
  <c r="AG2069" i="19"/>
  <c r="J2040" i="19"/>
  <c r="L2040" i="19"/>
  <c r="AA2040" i="19" a="1"/>
  <c r="AA2040" i="19" s="1"/>
  <c r="X2040" i="19" s="1"/>
  <c r="S2040" i="19"/>
  <c r="V2040" i="19"/>
  <c r="W2040" i="19" s="1"/>
  <c r="Y2040" i="19"/>
  <c r="AG2040" i="19"/>
  <c r="J2028" i="19"/>
  <c r="F2028" i="19" s="1"/>
  <c r="L2028" i="19"/>
  <c r="AA2028" i="19" a="1"/>
  <c r="AA2028" i="19" s="1"/>
  <c r="X2028" i="19" s="1"/>
  <c r="S2028" i="19"/>
  <c r="V2028" i="19"/>
  <c r="W2028" i="19" s="1"/>
  <c r="Y2028" i="19"/>
  <c r="AC2028" i="19"/>
  <c r="AD2028" i="19" s="1"/>
  <c r="AG2028" i="19"/>
  <c r="J2029" i="19"/>
  <c r="F2029" i="19" s="1"/>
  <c r="L2029" i="19"/>
  <c r="AA2029" i="19" a="1"/>
  <c r="AA2029" i="19" s="1"/>
  <c r="X2029" i="19" s="1"/>
  <c r="S2029" i="19"/>
  <c r="V2029" i="19"/>
  <c r="W2029" i="19" s="1"/>
  <c r="Y2029" i="19"/>
  <c r="AC2029" i="19"/>
  <c r="AD2029" i="19" s="1"/>
  <c r="AG2029" i="19"/>
  <c r="J2193" i="19"/>
  <c r="F2193" i="19" s="1"/>
  <c r="AA2193" i="19" a="1"/>
  <c r="AA2193" i="19" s="1"/>
  <c r="X2193" i="19" s="1"/>
  <c r="S2193" i="19"/>
  <c r="V2193" i="19"/>
  <c r="W2193" i="19" s="1"/>
  <c r="Y2193" i="19"/>
  <c r="AC2193" i="19"/>
  <c r="AG2193" i="19"/>
  <c r="J2194" i="19"/>
  <c r="F2194" i="19" s="1"/>
  <c r="L2194" i="19"/>
  <c r="AA2194" i="19" a="1"/>
  <c r="AA2194" i="19" s="1"/>
  <c r="X2194" i="19" s="1"/>
  <c r="S2194" i="19"/>
  <c r="V2194" i="19"/>
  <c r="W2194" i="19" s="1"/>
  <c r="Y2194" i="19"/>
  <c r="AC2194" i="19"/>
  <c r="AF2194" i="19" s="1"/>
  <c r="AG2194" i="19"/>
  <c r="J2192" i="19"/>
  <c r="F2192" i="19" s="1"/>
  <c r="L2192" i="19"/>
  <c r="AA2192" i="19" a="1"/>
  <c r="AA2192" i="19" s="1"/>
  <c r="X2192" i="19" s="1"/>
  <c r="S2192" i="19"/>
  <c r="V2192" i="19"/>
  <c r="W2192" i="19" s="1"/>
  <c r="Y2192" i="19"/>
  <c r="AC2192" i="19"/>
  <c r="AG2192" i="19"/>
  <c r="J2041" i="19"/>
  <c r="L2041" i="19"/>
  <c r="AA2041" i="19" a="1"/>
  <c r="AA2041" i="19" s="1"/>
  <c r="X2041" i="19" s="1"/>
  <c r="V2041" i="19"/>
  <c r="W2041" i="19" s="1"/>
  <c r="Y2041" i="19"/>
  <c r="F2043" i="19"/>
  <c r="L2043" i="19"/>
  <c r="AA2043" i="19" a="1"/>
  <c r="AA2043" i="19" s="1"/>
  <c r="X2043" i="19" s="1"/>
  <c r="V2043" i="19"/>
  <c r="W2043" i="19" s="1"/>
  <c r="Y2043" i="19"/>
  <c r="J2101" i="19"/>
  <c r="F2101" i="19" s="1"/>
  <c r="L2101" i="19"/>
  <c r="AA2101" i="19" a="1"/>
  <c r="AA2101" i="19" s="1"/>
  <c r="X2101" i="19" s="1"/>
  <c r="V2101" i="19"/>
  <c r="W2101" i="19" s="1"/>
  <c r="Y2101" i="19"/>
  <c r="AD2101" i="19"/>
  <c r="AG2101" i="19"/>
  <c r="J2104" i="19"/>
  <c r="L2104" i="19"/>
  <c r="AA2104" i="19" a="1"/>
  <c r="AA2104" i="19" s="1"/>
  <c r="X2104" i="19" s="1"/>
  <c r="V2104" i="19"/>
  <c r="W2104" i="19" s="1"/>
  <c r="Y2104" i="19"/>
  <c r="AE2104" i="19"/>
  <c r="AG2104" i="19"/>
  <c r="J2103" i="19"/>
  <c r="L2103" i="19"/>
  <c r="AA2103" i="19" a="1"/>
  <c r="AA2103" i="19" s="1"/>
  <c r="X2103" i="19" s="1"/>
  <c r="V2103" i="19"/>
  <c r="W2103" i="19" s="1"/>
  <c r="Y2103" i="19"/>
  <c r="AG2103" i="19"/>
  <c r="J2102" i="19"/>
  <c r="F2102" i="19" s="1"/>
  <c r="L2102" i="19"/>
  <c r="AA2102" i="19" a="1"/>
  <c r="AA2102" i="19" s="1"/>
  <c r="X2102" i="19" s="1"/>
  <c r="V2102" i="19"/>
  <c r="W2102" i="19" s="1"/>
  <c r="Y2102" i="19"/>
  <c r="AE2102" i="19"/>
  <c r="AG2102" i="19"/>
  <c r="J2076" i="19"/>
  <c r="L2076" i="19"/>
  <c r="AA2076" i="19" a="1"/>
  <c r="AA2076" i="19" s="1"/>
  <c r="X2076" i="19" s="1"/>
  <c r="V2076" i="19"/>
  <c r="W2076" i="19" s="1"/>
  <c r="Y2076" i="19"/>
  <c r="AC2076" i="19"/>
  <c r="AG2076" i="19"/>
  <c r="J2048" i="19"/>
  <c r="F2048" i="19" s="1"/>
  <c r="L2048" i="19"/>
  <c r="AA2048" i="19" a="1"/>
  <c r="AA2048" i="19" s="1"/>
  <c r="X2048" i="19" s="1"/>
  <c r="S2048" i="19"/>
  <c r="V2048" i="19"/>
  <c r="W2048" i="19" s="1"/>
  <c r="Y2048" i="19"/>
  <c r="AC2048" i="19"/>
  <c r="AE2048" i="19" s="1"/>
  <c r="AG2048" i="19"/>
  <c r="J2047" i="19"/>
  <c r="L2047" i="19"/>
  <c r="AA2047" i="19" a="1"/>
  <c r="AA2047" i="19" s="1"/>
  <c r="X2047" i="19" s="1"/>
  <c r="S2047" i="19"/>
  <c r="V2047" i="19"/>
  <c r="W2047" i="19" s="1"/>
  <c r="Y2047" i="19"/>
  <c r="AC2047" i="19"/>
  <c r="AD2047" i="19" s="1"/>
  <c r="AG2047" i="19"/>
  <c r="J2046" i="19"/>
  <c r="L2046" i="19"/>
  <c r="AA2046" i="19" a="1"/>
  <c r="AA2046" i="19" s="1"/>
  <c r="X2046" i="19" s="1"/>
  <c r="S2046" i="19"/>
  <c r="V2046" i="19"/>
  <c r="W2046" i="19" s="1"/>
  <c r="Y2046" i="19"/>
  <c r="AC2046" i="19"/>
  <c r="AG2046" i="19"/>
  <c r="J1645" i="19"/>
  <c r="F1645" i="19" s="1"/>
  <c r="L1645" i="19"/>
  <c r="AA1645" i="19" a="1"/>
  <c r="AA1645" i="19" s="1"/>
  <c r="X1645" i="19" s="1"/>
  <c r="V1645" i="19"/>
  <c r="W1645" i="19" s="1"/>
  <c r="Y1645" i="19"/>
  <c r="AE1645" i="19"/>
  <c r="J2153" i="19"/>
  <c r="F2153" i="19" s="1"/>
  <c r="L2153" i="19"/>
  <c r="AA2153" i="19" a="1"/>
  <c r="AA2153" i="19" s="1"/>
  <c r="X2153" i="19" s="1"/>
  <c r="S2153" i="19"/>
  <c r="V2153" i="19"/>
  <c r="W2153" i="19" s="1"/>
  <c r="Y2153" i="19"/>
  <c r="AC2153" i="19"/>
  <c r="AG2153" i="19"/>
  <c r="J2154" i="19"/>
  <c r="L2154" i="19"/>
  <c r="AA2154" i="19" a="1"/>
  <c r="AA2154" i="19" s="1"/>
  <c r="X2154" i="19" s="1"/>
  <c r="V2154" i="19"/>
  <c r="W2154" i="19" s="1"/>
  <c r="Y2154" i="19"/>
  <c r="AC2154" i="19"/>
  <c r="AE2154" i="19" s="1"/>
  <c r="AG2154" i="19"/>
  <c r="AA2113" i="19" a="1"/>
  <c r="AA2113" i="19" s="1"/>
  <c r="X2113" i="19" s="1"/>
  <c r="W2113" i="19"/>
  <c r="AE2113" i="19"/>
  <c r="F2114" i="19"/>
  <c r="AA2114" i="19" a="1"/>
  <c r="AA2114" i="19" s="1"/>
  <c r="X2114" i="19" s="1"/>
  <c r="W2114" i="19"/>
  <c r="F2112" i="19"/>
  <c r="AA2112" i="19" a="1"/>
  <c r="AA2112" i="19" s="1"/>
  <c r="X2112" i="19" s="1"/>
  <c r="W2112" i="19"/>
  <c r="AA2111" i="19" a="1"/>
  <c r="AA2111" i="19" s="1"/>
  <c r="X2111" i="19" s="1"/>
  <c r="W2111" i="19"/>
  <c r="AA2110" i="19" a="1"/>
  <c r="AA2110" i="19" s="1"/>
  <c r="X2110" i="19" s="1"/>
  <c r="W2110" i="19"/>
  <c r="F2109" i="19"/>
  <c r="AA2109" i="19" a="1"/>
  <c r="AA2109" i="19" s="1"/>
  <c r="X2109" i="19" s="1"/>
  <c r="W2109" i="19"/>
  <c r="F2108" i="19"/>
  <c r="AA2108" i="19" a="1"/>
  <c r="AA2108" i="19" s="1"/>
  <c r="X2108" i="19" s="1"/>
  <c r="W2108" i="19"/>
  <c r="AA2107" i="19" a="1"/>
  <c r="AA2107" i="19" s="1"/>
  <c r="X2107" i="19" s="1"/>
  <c r="W2107" i="19"/>
  <c r="AA2105" i="19" a="1"/>
  <c r="AA2105" i="19" s="1"/>
  <c r="X2105" i="19" s="1"/>
  <c r="W2105" i="19"/>
  <c r="J2080" i="19"/>
  <c r="F2080" i="19" s="1"/>
  <c r="L2080" i="19"/>
  <c r="AA2080" i="19" a="1"/>
  <c r="AA2080" i="19" s="1"/>
  <c r="X2080" i="19" s="1"/>
  <c r="V2080" i="19"/>
  <c r="W2080" i="19" s="1"/>
  <c r="Y2080" i="19"/>
  <c r="AC2080" i="19"/>
  <c r="AE2080" i="19" s="1"/>
  <c r="AG2080" i="19"/>
  <c r="J2081" i="19"/>
  <c r="L2081" i="19"/>
  <c r="AA2081" i="19" a="1"/>
  <c r="AA2081" i="19" s="1"/>
  <c r="X2081" i="19" s="1"/>
  <c r="V2081" i="19"/>
  <c r="W2081" i="19" s="1"/>
  <c r="Y2081" i="19"/>
  <c r="AC2081" i="19"/>
  <c r="AG2081" i="19"/>
  <c r="J2077" i="19"/>
  <c r="L2077" i="19"/>
  <c r="AA2077" i="19" a="1"/>
  <c r="AA2077" i="19" s="1"/>
  <c r="X2077" i="19" s="1"/>
  <c r="S2077" i="19"/>
  <c r="V2077" i="19"/>
  <c r="W2077" i="19" s="1"/>
  <c r="Y2077" i="19"/>
  <c r="AC2077" i="19"/>
  <c r="AD2077" i="19" s="1"/>
  <c r="AG2077" i="19"/>
  <c r="J2155" i="19"/>
  <c r="L2155" i="19"/>
  <c r="AA2155" i="19" a="1"/>
  <c r="AA2155" i="19" s="1"/>
  <c r="X2155" i="19" s="1"/>
  <c r="S2155" i="19"/>
  <c r="V2155" i="19"/>
  <c r="W2155" i="19" s="1"/>
  <c r="Y2155" i="19"/>
  <c r="AC2155" i="19"/>
  <c r="AD2155" i="19" s="1"/>
  <c r="AG2155" i="19"/>
  <c r="J2128" i="19"/>
  <c r="F2128" i="19" s="1"/>
  <c r="L2128" i="19"/>
  <c r="AA2128" i="19" a="1"/>
  <c r="AA2128" i="19" s="1"/>
  <c r="X2128" i="19" s="1"/>
  <c r="S2128" i="19"/>
  <c r="V2128" i="19"/>
  <c r="W2128" i="19" s="1"/>
  <c r="Y2128" i="19"/>
  <c r="AC2128" i="19"/>
  <c r="AE2128" i="19" s="1"/>
  <c r="AG2128" i="19"/>
  <c r="J2057" i="19"/>
  <c r="L2057" i="19"/>
  <c r="AA2057" i="19" a="1"/>
  <c r="AA2057" i="19" s="1"/>
  <c r="X2057" i="19" s="1"/>
  <c r="S2057" i="19"/>
  <c r="V2057" i="19"/>
  <c r="W2057" i="19" s="1"/>
  <c r="Y2057" i="19"/>
  <c r="AC2057" i="19"/>
  <c r="AG2057" i="19"/>
  <c r="AA2055" i="19" a="1"/>
  <c r="AA2055" i="19" s="1"/>
  <c r="X2055" i="19" s="1"/>
  <c r="AA2056" i="19" a="1"/>
  <c r="AA2056" i="19" s="1"/>
  <c r="X2056" i="19" s="1"/>
  <c r="J2070" i="19"/>
  <c r="F2070" i="19" s="1"/>
  <c r="L2070" i="19"/>
  <c r="AA2070" i="19" a="1"/>
  <c r="AA2070" i="19" s="1"/>
  <c r="X2070" i="19" s="1"/>
  <c r="V2070" i="19"/>
  <c r="W2070" i="19" s="1"/>
  <c r="Y2070" i="19"/>
  <c r="AC2070" i="19"/>
  <c r="AG2070" i="19"/>
  <c r="J2083" i="19"/>
  <c r="F2083" i="19" s="1"/>
  <c r="L2083" i="19"/>
  <c r="AA2083" i="19" a="1"/>
  <c r="AA2083" i="19" s="1"/>
  <c r="X2083" i="19" s="1"/>
  <c r="V2083" i="19"/>
  <c r="W2083" i="19" s="1"/>
  <c r="Y2083" i="19"/>
  <c r="AC2083" i="19"/>
  <c r="AF2083" i="19" s="1"/>
  <c r="AG2083" i="19"/>
  <c r="J2100" i="19"/>
  <c r="L2100" i="19"/>
  <c r="AA2100" i="19" a="1"/>
  <c r="AA2100" i="19" s="1"/>
  <c r="X2100" i="19" s="1"/>
  <c r="V2100" i="19"/>
  <c r="W2100" i="19" s="1"/>
  <c r="Y2100" i="19"/>
  <c r="AE2100" i="19"/>
  <c r="J2156" i="19"/>
  <c r="F2156" i="19" s="1"/>
  <c r="L2156" i="19"/>
  <c r="AA2156" i="19" a="1"/>
  <c r="AA2156" i="19" s="1"/>
  <c r="X2156" i="19" s="1"/>
  <c r="S2156" i="19"/>
  <c r="V2156" i="19"/>
  <c r="W2156" i="19" s="1"/>
  <c r="Y2156" i="19"/>
  <c r="AC2156" i="19"/>
  <c r="AG2156" i="19"/>
  <c r="J2091" i="19"/>
  <c r="F2091" i="19" s="1"/>
  <c r="L2091" i="19"/>
  <c r="AA2091" i="19" a="1"/>
  <c r="AA2091" i="19" s="1"/>
  <c r="X2091" i="19" s="1"/>
  <c r="V2091" i="19"/>
  <c r="W2091" i="19" s="1"/>
  <c r="Y2091" i="19"/>
  <c r="J2094" i="19"/>
  <c r="F2094" i="19" s="1"/>
  <c r="L2094" i="19"/>
  <c r="AA2094" i="19" a="1"/>
  <c r="AA2094" i="19" s="1"/>
  <c r="X2094" i="19" s="1"/>
  <c r="V2094" i="19"/>
  <c r="W2094" i="19" s="1"/>
  <c r="Y2094" i="19"/>
  <c r="J2092" i="19"/>
  <c r="F2092" i="19" s="1"/>
  <c r="L2092" i="19"/>
  <c r="AA2092" i="19" a="1"/>
  <c r="AA2092" i="19" s="1"/>
  <c r="X2092" i="19" s="1"/>
  <c r="V2092" i="19"/>
  <c r="W2092" i="19" s="1"/>
  <c r="Y2092" i="19"/>
  <c r="J2093" i="19"/>
  <c r="L2093" i="19"/>
  <c r="AA2093" i="19" a="1"/>
  <c r="AA2093" i="19" s="1"/>
  <c r="X2093" i="19" s="1"/>
  <c r="V2093" i="19"/>
  <c r="W2093" i="19" s="1"/>
  <c r="Y2093" i="19"/>
  <c r="J2088" i="19"/>
  <c r="L2088" i="19"/>
  <c r="AA2088" i="19" a="1"/>
  <c r="AA2088" i="19" s="1"/>
  <c r="X2088" i="19" s="1"/>
  <c r="V2088" i="19"/>
  <c r="W2088" i="19" s="1"/>
  <c r="Y2088" i="19"/>
  <c r="J2087" i="19"/>
  <c r="F2087" i="19" s="1"/>
  <c r="L2087" i="19"/>
  <c r="AA2087" i="19" a="1"/>
  <c r="AA2087" i="19" s="1"/>
  <c r="X2087" i="19" s="1"/>
  <c r="V2087" i="19"/>
  <c r="W2087" i="19" s="1"/>
  <c r="Y2087" i="19"/>
  <c r="J2089" i="19"/>
  <c r="F2089" i="19" s="1"/>
  <c r="L2089" i="19"/>
  <c r="AA2089" i="19" a="1"/>
  <c r="AA2089" i="19" s="1"/>
  <c r="X2089" i="19" s="1"/>
  <c r="V2089" i="19"/>
  <c r="W2089" i="19" s="1"/>
  <c r="Y2089" i="19"/>
  <c r="J2090" i="19"/>
  <c r="F2090" i="19" s="1"/>
  <c r="L2090" i="19"/>
  <c r="AA2090" i="19" a="1"/>
  <c r="AA2090" i="19" s="1"/>
  <c r="X2090" i="19" s="1"/>
  <c r="V2090" i="19"/>
  <c r="W2090" i="19" s="1"/>
  <c r="Y2090" i="19"/>
  <c r="AD2090" i="19"/>
  <c r="J2085" i="19"/>
  <c r="F2085" i="19" s="1"/>
  <c r="L2085" i="19"/>
  <c r="AA2085" i="19" a="1"/>
  <c r="AA2085" i="19" s="1"/>
  <c r="X2085" i="19" s="1"/>
  <c r="V2085" i="19"/>
  <c r="W2085" i="19" s="1"/>
  <c r="Y2085" i="19"/>
  <c r="J2084" i="19"/>
  <c r="F2084" i="19" s="1"/>
  <c r="L2084" i="19"/>
  <c r="AA2084" i="19" a="1"/>
  <c r="AA2084" i="19" s="1"/>
  <c r="X2084" i="19" s="1"/>
  <c r="V2084" i="19"/>
  <c r="W2084" i="19" s="1"/>
  <c r="Y2084" i="19"/>
  <c r="J2095" i="19"/>
  <c r="F2095" i="19" s="1"/>
  <c r="L2095" i="19"/>
  <c r="AA2095" i="19" a="1"/>
  <c r="AA2095" i="19" s="1"/>
  <c r="X2095" i="19" s="1"/>
  <c r="S2095" i="19"/>
  <c r="V2095" i="19"/>
  <c r="W2095" i="19" s="1"/>
  <c r="Y2095" i="19"/>
  <c r="AC2095" i="19"/>
  <c r="AD2095" i="19" s="1"/>
  <c r="AG2095" i="19"/>
  <c r="J2098" i="19"/>
  <c r="L2098" i="19"/>
  <c r="AA2098" i="19" a="1"/>
  <c r="AA2098" i="19" s="1"/>
  <c r="X2098" i="19" s="1"/>
  <c r="V2098" i="19"/>
  <c r="W2098" i="19" s="1"/>
  <c r="Y2098" i="19"/>
  <c r="AE2098" i="19"/>
  <c r="J2097" i="19"/>
  <c r="F2097" i="19" s="1"/>
  <c r="L2097" i="19"/>
  <c r="AA2097" i="19" a="1"/>
  <c r="AA2097" i="19" s="1"/>
  <c r="X2097" i="19" s="1"/>
  <c r="V2097" i="19"/>
  <c r="W2097" i="19" s="1"/>
  <c r="Y2097" i="19"/>
  <c r="J2196" i="19"/>
  <c r="L2196" i="19"/>
  <c r="AA2196" i="19" a="1"/>
  <c r="AA2196" i="19" s="1"/>
  <c r="X2196" i="19" s="1"/>
  <c r="S2196" i="19"/>
  <c r="V2196" i="19"/>
  <c r="W2196" i="19" s="1"/>
  <c r="Y2196" i="19"/>
  <c r="AC2196" i="19"/>
  <c r="AG2196" i="19"/>
  <c r="J2195" i="19"/>
  <c r="L2195" i="19"/>
  <c r="AA2195" i="19" a="1"/>
  <c r="AA2195" i="19" s="1"/>
  <c r="X2195" i="19" s="1"/>
  <c r="S2195" i="19"/>
  <c r="V2195" i="19"/>
  <c r="W2195" i="19" s="1"/>
  <c r="Y2195" i="19"/>
  <c r="AC2195" i="19"/>
  <c r="AE2195" i="19" s="1"/>
  <c r="AG2195" i="19"/>
  <c r="J2359" i="19"/>
  <c r="F2359" i="19" s="1"/>
  <c r="L2359" i="19"/>
  <c r="AA2359" i="19" a="1"/>
  <c r="AA2359" i="19" s="1"/>
  <c r="X2359" i="19" s="1"/>
  <c r="S2359" i="19"/>
  <c r="V2359" i="19"/>
  <c r="W2359" i="19" s="1"/>
  <c r="Y2359" i="19"/>
  <c r="AC2359" i="19"/>
  <c r="AG2359" i="19"/>
  <c r="J2130" i="19"/>
  <c r="F2130" i="19" s="1"/>
  <c r="L2130" i="19"/>
  <c r="AA2130" i="19" a="1"/>
  <c r="AA2130" i="19" s="1"/>
  <c r="X2130" i="19" s="1"/>
  <c r="S2130" i="19"/>
  <c r="V2130" i="19"/>
  <c r="W2130" i="19" s="1"/>
  <c r="Y2130" i="19"/>
  <c r="AC2130" i="19"/>
  <c r="AG2130" i="19"/>
  <c r="J2131" i="19"/>
  <c r="L2131" i="19"/>
  <c r="AA2131" i="19" a="1"/>
  <c r="AA2131" i="19" s="1"/>
  <c r="X2131" i="19" s="1"/>
  <c r="S2131" i="19"/>
  <c r="V2131" i="19"/>
  <c r="W2131" i="19" s="1"/>
  <c r="Y2131" i="19"/>
  <c r="AC2131" i="19"/>
  <c r="AG2131" i="19"/>
  <c r="J2157" i="19"/>
  <c r="L2157" i="19"/>
  <c r="AA2157" i="19" a="1"/>
  <c r="AA2157" i="19" s="1"/>
  <c r="X2157" i="19" s="1"/>
  <c r="S2157" i="19"/>
  <c r="V2157" i="19"/>
  <c r="W2157" i="19" s="1"/>
  <c r="Y2157" i="19"/>
  <c r="AC2157" i="19"/>
  <c r="AF2157" i="19" s="1"/>
  <c r="AG2157" i="19"/>
  <c r="J2099" i="19"/>
  <c r="F2099" i="19" s="1"/>
  <c r="L2099" i="19"/>
  <c r="AA2099" i="19" a="1"/>
  <c r="AA2099" i="19" s="1"/>
  <c r="X2099" i="19" s="1"/>
  <c r="S2099" i="19"/>
  <c r="V2099" i="19"/>
  <c r="W2099" i="19" s="1"/>
  <c r="Y2099" i="19"/>
  <c r="AC2099" i="19"/>
  <c r="AG2099" i="19"/>
  <c r="J2120" i="19"/>
  <c r="F2120" i="19" s="1"/>
  <c r="L2120" i="19"/>
  <c r="AA2120" i="19" a="1"/>
  <c r="AA2120" i="19" s="1"/>
  <c r="X2120" i="19" s="1"/>
  <c r="V2120" i="19"/>
  <c r="W2120" i="19" s="1"/>
  <c r="Y2120" i="19"/>
  <c r="J2117" i="19"/>
  <c r="L2117" i="19"/>
  <c r="AA2117" i="19" a="1"/>
  <c r="AA2117" i="19" s="1"/>
  <c r="X2117" i="19" s="1"/>
  <c r="V2117" i="19"/>
  <c r="W2117" i="19" s="1"/>
  <c r="Y2117" i="19"/>
  <c r="J2116" i="19"/>
  <c r="L2116" i="19"/>
  <c r="AA2116" i="19" a="1"/>
  <c r="AA2116" i="19" s="1"/>
  <c r="X2116" i="19" s="1"/>
  <c r="V2116" i="19"/>
  <c r="W2116" i="19" s="1"/>
  <c r="Y2116" i="19"/>
  <c r="J2118" i="19"/>
  <c r="F2118" i="19" s="1"/>
  <c r="L2118" i="19"/>
  <c r="AA2118" i="19" a="1"/>
  <c r="AA2118" i="19" s="1"/>
  <c r="X2118" i="19" s="1"/>
  <c r="V2118" i="19"/>
  <c r="W2118" i="19" s="1"/>
  <c r="Y2118" i="19"/>
  <c r="J2115" i="19"/>
  <c r="F2115" i="19" s="1"/>
  <c r="L2115" i="19"/>
  <c r="AA2115" i="19" a="1"/>
  <c r="AA2115" i="19" s="1"/>
  <c r="X2115" i="19" s="1"/>
  <c r="V2115" i="19"/>
  <c r="W2115" i="19" s="1"/>
  <c r="Y2115" i="19"/>
  <c r="J2119" i="19"/>
  <c r="L2119" i="19"/>
  <c r="AA2119" i="19" a="1"/>
  <c r="AA2119" i="19" s="1"/>
  <c r="X2119" i="19" s="1"/>
  <c r="V2119" i="19"/>
  <c r="W2119" i="19" s="1"/>
  <c r="Y2119" i="19"/>
  <c r="J2132" i="19"/>
  <c r="L2132" i="19"/>
  <c r="AA2132" i="19" a="1"/>
  <c r="AA2132" i="19" s="1"/>
  <c r="X2132" i="19" s="1"/>
  <c r="S2132" i="19"/>
  <c r="V2132" i="19"/>
  <c r="W2132" i="19" s="1"/>
  <c r="Y2132" i="19"/>
  <c r="AC2132" i="19"/>
  <c r="AG2132" i="19"/>
  <c r="F2168" i="19"/>
  <c r="AA2168" i="19" a="1"/>
  <c r="AA2168" i="19" s="1"/>
  <c r="X2168" i="19" s="1"/>
  <c r="W2168" i="19"/>
  <c r="Y2168" i="19"/>
  <c r="AE2168" i="19"/>
  <c r="F2159" i="19"/>
  <c r="AA2159" i="19" a="1"/>
  <c r="AA2159" i="19" s="1"/>
  <c r="X2159" i="19" s="1"/>
  <c r="W2159" i="19"/>
  <c r="Y2159" i="19"/>
  <c r="AA2167" i="19" a="1"/>
  <c r="AA2167" i="19" s="1"/>
  <c r="X2167" i="19" s="1"/>
  <c r="W2167" i="19"/>
  <c r="Y2167" i="19"/>
  <c r="AA2170" i="19" a="1"/>
  <c r="AA2170" i="19" s="1"/>
  <c r="X2170" i="19" s="1"/>
  <c r="W2170" i="19"/>
  <c r="Y2170" i="19"/>
  <c r="F2160" i="19"/>
  <c r="AA2160" i="19" a="1"/>
  <c r="AA2160" i="19" s="1"/>
  <c r="X2160" i="19" s="1"/>
  <c r="W2160" i="19"/>
  <c r="Y2160" i="19"/>
  <c r="F2164" i="19"/>
  <c r="AA2164" i="19" a="1"/>
  <c r="AA2164" i="19" s="1"/>
  <c r="X2164" i="19" s="1"/>
  <c r="W2164" i="19"/>
  <c r="Y2164" i="19"/>
  <c r="AA2162" i="19" a="1"/>
  <c r="AA2162" i="19" s="1"/>
  <c r="X2162" i="19" s="1"/>
  <c r="W2162" i="19"/>
  <c r="Y2162" i="19"/>
  <c r="AA2158" i="19" a="1"/>
  <c r="AA2158" i="19" s="1"/>
  <c r="X2158" i="19" s="1"/>
  <c r="W2158" i="19"/>
  <c r="Y2158" i="19"/>
  <c r="F2163" i="19"/>
  <c r="AA2163" i="19" a="1"/>
  <c r="AA2163" i="19" s="1"/>
  <c r="X2163" i="19" s="1"/>
  <c r="W2163" i="19"/>
  <c r="Y2163" i="19"/>
  <c r="F2161" i="19"/>
  <c r="AA2161" i="19" a="1"/>
  <c r="AA2161" i="19" s="1"/>
  <c r="X2161" i="19" s="1"/>
  <c r="W2161" i="19"/>
  <c r="Y2161" i="19"/>
  <c r="AA2165" i="19" a="1"/>
  <c r="AA2165" i="19" s="1"/>
  <c r="X2165" i="19" s="1"/>
  <c r="W2165" i="19"/>
  <c r="Y2165" i="19"/>
  <c r="AA2166" i="19" a="1"/>
  <c r="AA2166" i="19" s="1"/>
  <c r="X2166" i="19" s="1"/>
  <c r="W2166" i="19"/>
  <c r="Y2166" i="19"/>
  <c r="F2169" i="19"/>
  <c r="AA2169" i="19" a="1"/>
  <c r="AA2169" i="19" s="1"/>
  <c r="X2169" i="19" s="1"/>
  <c r="W2169" i="19"/>
  <c r="Y2169" i="19"/>
  <c r="J2182" i="19"/>
  <c r="L2182" i="19"/>
  <c r="AA2182" i="19" a="1"/>
  <c r="AA2182" i="19" s="1"/>
  <c r="X2182" i="19" s="1"/>
  <c r="V2182" i="19"/>
  <c r="W2182" i="19" s="1"/>
  <c r="Y2182" i="19"/>
  <c r="AC2182" i="19"/>
  <c r="AG2182" i="19"/>
  <c r="J2184" i="19"/>
  <c r="F2184" i="19" s="1"/>
  <c r="L2184" i="19"/>
  <c r="AA2184" i="19" a="1"/>
  <c r="AA2184" i="19" s="1"/>
  <c r="X2184" i="19" s="1"/>
  <c r="S2184" i="19"/>
  <c r="V2184" i="19"/>
  <c r="W2184" i="19" s="1"/>
  <c r="Y2184" i="19"/>
  <c r="AC2184" i="19"/>
  <c r="AG2184" i="19"/>
  <c r="J2185" i="19"/>
  <c r="F2185" i="19" s="1"/>
  <c r="L2185" i="19"/>
  <c r="AA2185" i="19" a="1"/>
  <c r="AA2185" i="19" s="1"/>
  <c r="X2185" i="19" s="1"/>
  <c r="V2185" i="19"/>
  <c r="W2185" i="19" s="1"/>
  <c r="Y2185" i="19"/>
  <c r="AC2185" i="19"/>
  <c r="AF2185" i="19" s="1"/>
  <c r="AG2185" i="19"/>
  <c r="J2188" i="19"/>
  <c r="F2188" i="19" s="1"/>
  <c r="L2188" i="19"/>
  <c r="AA2188" i="19" a="1"/>
  <c r="AA2188" i="19" s="1"/>
  <c r="X2188" i="19" s="1"/>
  <c r="V2188" i="19"/>
  <c r="W2188" i="19" s="1"/>
  <c r="Y2188" i="19"/>
  <c r="AC2188" i="19"/>
  <c r="AG2188" i="19"/>
  <c r="J2186" i="19"/>
  <c r="F2186" i="19" s="1"/>
  <c r="L2186" i="19"/>
  <c r="AA2186" i="19" a="1"/>
  <c r="AA2186" i="19" s="1"/>
  <c r="X2186" i="19" s="1"/>
  <c r="V2186" i="19"/>
  <c r="W2186" i="19" s="1"/>
  <c r="Y2186" i="19"/>
  <c r="AC2186" i="19"/>
  <c r="AG2186" i="19"/>
  <c r="J2187" i="19"/>
  <c r="F2187" i="19" s="1"/>
  <c r="L2187" i="19"/>
  <c r="AA2187" i="19" a="1"/>
  <c r="AA2187" i="19" s="1"/>
  <c r="X2187" i="19" s="1"/>
  <c r="V2187" i="19"/>
  <c r="W2187" i="19" s="1"/>
  <c r="Y2187" i="19"/>
  <c r="AC2187" i="19"/>
  <c r="AG2187" i="19"/>
  <c r="J2181" i="19"/>
  <c r="F2181" i="19" s="1"/>
  <c r="L2181" i="19"/>
  <c r="AA2181" i="19" a="1"/>
  <c r="AA2181" i="19" s="1"/>
  <c r="X2181" i="19" s="1"/>
  <c r="V2181" i="19"/>
  <c r="W2181" i="19" s="1"/>
  <c r="Y2181" i="19"/>
  <c r="AC2181" i="19"/>
  <c r="AG2181" i="19"/>
  <c r="J2189" i="19"/>
  <c r="F2189" i="19" s="1"/>
  <c r="L2189" i="19"/>
  <c r="AA2189" i="19" a="1"/>
  <c r="AA2189" i="19" s="1"/>
  <c r="X2189" i="19" s="1"/>
  <c r="V2189" i="19"/>
  <c r="W2189" i="19" s="1"/>
  <c r="Y2189" i="19"/>
  <c r="AC2189" i="19"/>
  <c r="AG2189" i="19"/>
  <c r="J2179" i="19"/>
  <c r="F2179" i="19" s="1"/>
  <c r="L2179" i="19"/>
  <c r="AA2179" i="19" a="1"/>
  <c r="AA2179" i="19" s="1"/>
  <c r="X2179" i="19" s="1"/>
  <c r="V2179" i="19"/>
  <c r="W2179" i="19" s="1"/>
  <c r="Y2179" i="19"/>
  <c r="AC2179" i="19"/>
  <c r="AG2179" i="19"/>
  <c r="J2178" i="19"/>
  <c r="F2178" i="19" s="1"/>
  <c r="L2178" i="19"/>
  <c r="AA2178" i="19" a="1"/>
  <c r="AA2178" i="19" s="1"/>
  <c r="X2178" i="19" s="1"/>
  <c r="V2178" i="19"/>
  <c r="W2178" i="19" s="1"/>
  <c r="Y2178" i="19"/>
  <c r="AC2178" i="19"/>
  <c r="AG2178" i="19"/>
  <c r="J2121" i="19"/>
  <c r="L2121" i="19"/>
  <c r="AA2121" i="19" a="1"/>
  <c r="AA2121" i="19" s="1"/>
  <c r="X2121" i="19" s="1"/>
  <c r="S2121" i="19"/>
  <c r="V2121" i="19"/>
  <c r="W2121" i="19" s="1"/>
  <c r="Y2121" i="19"/>
  <c r="AC2121" i="19"/>
  <c r="AD2121" i="19" s="1"/>
  <c r="AG2121" i="19"/>
  <c r="J2127" i="19"/>
  <c r="F2127" i="19" s="1"/>
  <c r="L2127" i="19"/>
  <c r="AA2127" i="19" a="1"/>
  <c r="AA2127" i="19" s="1"/>
  <c r="X2127" i="19" s="1"/>
  <c r="W2127" i="19"/>
  <c r="Y2127" i="19"/>
  <c r="AE2127" i="19"/>
  <c r="J2126" i="19"/>
  <c r="F2126" i="19" s="1"/>
  <c r="L2126" i="19"/>
  <c r="AA2126" i="19" a="1"/>
  <c r="AA2126" i="19" s="1"/>
  <c r="X2126" i="19" s="1"/>
  <c r="W2126" i="19"/>
  <c r="Y2126" i="19"/>
  <c r="J2125" i="19"/>
  <c r="L2125" i="19"/>
  <c r="AA2125" i="19" a="1"/>
  <c r="AA2125" i="19" s="1"/>
  <c r="X2125" i="19" s="1"/>
  <c r="V2125" i="19"/>
  <c r="W2125" i="19" s="1"/>
  <c r="Y2125" i="19"/>
  <c r="J2123" i="19"/>
  <c r="L2123" i="19"/>
  <c r="AA2123" i="19" a="1"/>
  <c r="AA2123" i="19" s="1"/>
  <c r="X2123" i="19" s="1"/>
  <c r="V2123" i="19"/>
  <c r="W2123" i="19" s="1"/>
  <c r="Y2123" i="19"/>
  <c r="J2122" i="19"/>
  <c r="F2122" i="19" s="1"/>
  <c r="L2122" i="19"/>
  <c r="AA2122" i="19" a="1"/>
  <c r="AA2122" i="19" s="1"/>
  <c r="X2122" i="19" s="1"/>
  <c r="V2122" i="19"/>
  <c r="W2122" i="19" s="1"/>
  <c r="Y2122" i="19"/>
  <c r="AC2122" i="19"/>
  <c r="AG2122" i="19"/>
  <c r="J2136" i="19"/>
  <c r="F2136" i="19" s="1"/>
  <c r="L2136" i="19"/>
  <c r="AA2136" i="19" a="1"/>
  <c r="AA2136" i="19" s="1"/>
  <c r="X2136" i="19" s="1"/>
  <c r="W2136" i="19"/>
  <c r="Y2136" i="19"/>
  <c r="J2134" i="19"/>
  <c r="F2134" i="19" s="1"/>
  <c r="L2134" i="19"/>
  <c r="AA2134" i="19" a="1"/>
  <c r="AA2134" i="19" s="1"/>
  <c r="X2134" i="19" s="1"/>
  <c r="W2134" i="19"/>
  <c r="Y2134" i="19"/>
  <c r="AF2134" i="19"/>
  <c r="J2135" i="19"/>
  <c r="L2135" i="19"/>
  <c r="AA2135" i="19" a="1"/>
  <c r="AA2135" i="19" s="1"/>
  <c r="X2135" i="19" s="1"/>
  <c r="W2135" i="19"/>
  <c r="Y2135" i="19"/>
  <c r="AF2135" i="19"/>
  <c r="J2173" i="19"/>
  <c r="F2173" i="19" s="1"/>
  <c r="L2173" i="19"/>
  <c r="AA2173" i="19" a="1"/>
  <c r="AA2173" i="19" s="1"/>
  <c r="X2173" i="19" s="1"/>
  <c r="S2173" i="19"/>
  <c r="W2173" i="19"/>
  <c r="Y2173" i="19"/>
  <c r="AC2173" i="19"/>
  <c r="AE2173" i="19" s="1"/>
  <c r="AG2173" i="19"/>
  <c r="J2172" i="19"/>
  <c r="F2172" i="19" s="1"/>
  <c r="L2172" i="19"/>
  <c r="AA2172" i="19" a="1"/>
  <c r="AA2172" i="19" s="1"/>
  <c r="X2172" i="19" s="1"/>
  <c r="S2172" i="19"/>
  <c r="V2172" i="19"/>
  <c r="W2172" i="19" s="1"/>
  <c r="Y2172" i="19"/>
  <c r="AC2172" i="19"/>
  <c r="AG2172" i="19"/>
  <c r="J2216" i="19"/>
  <c r="F2216" i="19" s="1"/>
  <c r="L2216" i="19"/>
  <c r="AA2216" i="19" a="1"/>
  <c r="AA2216" i="19" s="1"/>
  <c r="X2216" i="19" s="1"/>
  <c r="V2216" i="19"/>
  <c r="W2216" i="19" s="1"/>
  <c r="Y2216" i="19"/>
  <c r="AC2216" i="19"/>
  <c r="AE2216" i="19" s="1"/>
  <c r="AG2216" i="19"/>
  <c r="J2219" i="19"/>
  <c r="F2219" i="19" s="1"/>
  <c r="L2219" i="19"/>
  <c r="AA2219" i="19" a="1"/>
  <c r="AA2219" i="19" s="1"/>
  <c r="X2219" i="19" s="1"/>
  <c r="V2219" i="19"/>
  <c r="W2219" i="19" s="1"/>
  <c r="Y2219" i="19"/>
  <c r="AC2219" i="19"/>
  <c r="AG2219" i="19"/>
  <c r="J2220" i="19"/>
  <c r="F2220" i="19" s="1"/>
  <c r="L2220" i="19"/>
  <c r="AA2220" i="19" a="1"/>
  <c r="AA2220" i="19" s="1"/>
  <c r="X2220" i="19" s="1"/>
  <c r="V2220" i="19"/>
  <c r="W2220" i="19" s="1"/>
  <c r="Y2220" i="19"/>
  <c r="AC2220" i="19"/>
  <c r="AE2220" i="19" s="1"/>
  <c r="AG2220" i="19"/>
  <c r="F2262" i="19"/>
  <c r="AA2262" i="19" a="1"/>
  <c r="AA2262" i="19" s="1"/>
  <c r="X2262" i="19" s="1"/>
  <c r="W2262" i="19"/>
  <c r="AD2262" i="19"/>
  <c r="F2263" i="19"/>
  <c r="AA2263" i="19" a="1"/>
  <c r="AA2263" i="19" s="1"/>
  <c r="X2263" i="19" s="1"/>
  <c r="W2263" i="19"/>
  <c r="F2264" i="19"/>
  <c r="AA2264" i="19" a="1"/>
  <c r="AA2264" i="19" s="1"/>
  <c r="X2264" i="19" s="1"/>
  <c r="W2264" i="19"/>
  <c r="F2265" i="19"/>
  <c r="AA2265" i="19" a="1"/>
  <c r="AA2265" i="19" s="1"/>
  <c r="X2265" i="19" s="1"/>
  <c r="W2265" i="19"/>
  <c r="AA2266" i="19" a="1"/>
  <c r="AA2266" i="19" s="1"/>
  <c r="X2266" i="19" s="1"/>
  <c r="S2266" i="19"/>
  <c r="W2266" i="19"/>
  <c r="F2267" i="19"/>
  <c r="AA2267" i="19" a="1"/>
  <c r="AA2267" i="19" s="1"/>
  <c r="X2267" i="19" s="1"/>
  <c r="W2267" i="19"/>
  <c r="F2268" i="19"/>
  <c r="AA2268" i="19" a="1"/>
  <c r="AA2268" i="19" s="1"/>
  <c r="X2268" i="19" s="1"/>
  <c r="S2268" i="19"/>
  <c r="W2268" i="19"/>
  <c r="F2270" i="19"/>
  <c r="AA2270" i="19" a="1"/>
  <c r="AA2270" i="19" s="1"/>
  <c r="X2270" i="19" s="1"/>
  <c r="W2270" i="19"/>
  <c r="AA2273" i="19" a="1"/>
  <c r="AA2273" i="19" s="1"/>
  <c r="X2273" i="19" s="1"/>
  <c r="S2273" i="19"/>
  <c r="W2273" i="19"/>
  <c r="AA2145" i="19" a="1"/>
  <c r="AA2145" i="19" s="1"/>
  <c r="F2146" i="19"/>
  <c r="AA2146" i="19" a="1"/>
  <c r="AA2146" i="19" s="1"/>
  <c r="F2147" i="19"/>
  <c r="AA2147" i="19" a="1"/>
  <c r="AA2147" i="19" s="1"/>
  <c r="F2144" i="19"/>
  <c r="AA2144" i="19" a="1"/>
  <c r="AA2144" i="19" s="1"/>
  <c r="F2143" i="19"/>
  <c r="AA2143" i="19" a="1"/>
  <c r="AA2143" i="19" s="1"/>
  <c r="J2148" i="19"/>
  <c r="F2148" i="19" s="1"/>
  <c r="L2148" i="19"/>
  <c r="AA2148" i="19" a="1"/>
  <c r="AA2148" i="19" s="1"/>
  <c r="X2148" i="19" s="1"/>
  <c r="S2148" i="19"/>
  <c r="V2148" i="19"/>
  <c r="W2148" i="19" s="1"/>
  <c r="Y2148" i="19"/>
  <c r="AG2148" i="19"/>
  <c r="J2149" i="19"/>
  <c r="L2149" i="19"/>
  <c r="AA2149" i="19" a="1"/>
  <c r="AA2149" i="19" s="1"/>
  <c r="X2149" i="19" s="1"/>
  <c r="S2149" i="19"/>
  <c r="V2149" i="19"/>
  <c r="W2149" i="19" s="1"/>
  <c r="Y2149" i="19"/>
  <c r="AD2149" i="19"/>
  <c r="AG2149" i="19"/>
  <c r="J2150" i="19"/>
  <c r="F2150" i="19" s="1"/>
  <c r="L2150" i="19"/>
  <c r="AA2150" i="19" a="1"/>
  <c r="AA2150" i="19" s="1"/>
  <c r="X2150" i="19" s="1"/>
  <c r="S2150" i="19"/>
  <c r="V2150" i="19"/>
  <c r="W2150" i="19" s="1"/>
  <c r="Y2150" i="19"/>
  <c r="AC2150" i="19"/>
  <c r="AF2150" i="19" s="1"/>
  <c r="AG2150" i="19"/>
  <c r="J2151" i="19"/>
  <c r="F2151" i="19" s="1"/>
  <c r="L2151" i="19"/>
  <c r="AA2151" i="19" a="1"/>
  <c r="AA2151" i="19" s="1"/>
  <c r="X2151" i="19" s="1"/>
  <c r="S2151" i="19"/>
  <c r="V2151" i="19"/>
  <c r="W2151" i="19" s="1"/>
  <c r="Y2151" i="19"/>
  <c r="AC2151" i="19"/>
  <c r="AG2151" i="19"/>
  <c r="J2152" i="19"/>
  <c r="F2152" i="19" s="1"/>
  <c r="L2152" i="19"/>
  <c r="AA2152" i="19" a="1"/>
  <c r="AA2152" i="19" s="1"/>
  <c r="X2152" i="19" s="1"/>
  <c r="S2152" i="19"/>
  <c r="V2152" i="19"/>
  <c r="W2152" i="19" s="1"/>
  <c r="Y2152" i="19"/>
  <c r="AC2152" i="19"/>
  <c r="AG2152" i="19"/>
  <c r="L2129" i="19"/>
  <c r="AA2129" i="19" a="1"/>
  <c r="AA2129" i="19" s="1"/>
  <c r="X2129" i="19" s="1"/>
  <c r="S2129" i="19"/>
  <c r="V2129" i="19"/>
  <c r="W2129" i="19" s="1"/>
  <c r="Y2129" i="19"/>
  <c r="AC2129" i="19"/>
  <c r="AD2129" i="19" s="1"/>
  <c r="AG2129" i="19"/>
  <c r="J2171" i="19"/>
  <c r="F2171" i="19" s="1"/>
  <c r="L2171" i="19"/>
  <c r="AA2171" i="19" a="1"/>
  <c r="AA2171" i="19" s="1"/>
  <c r="X2171" i="19" s="1"/>
  <c r="S2171" i="19"/>
  <c r="W2171" i="19"/>
  <c r="Y2171" i="19"/>
  <c r="AC2171" i="19"/>
  <c r="AF2171" i="19" s="1"/>
  <c r="AG2171" i="19"/>
  <c r="J2133" i="19"/>
  <c r="F2133" i="19" s="1"/>
  <c r="L2133" i="19"/>
  <c r="AA2133" i="19" a="1"/>
  <c r="AA2133" i="19" s="1"/>
  <c r="X2133" i="19" s="1"/>
  <c r="S2133" i="19"/>
  <c r="W2133" i="19"/>
  <c r="Y2133" i="19"/>
  <c r="AC2133" i="19"/>
  <c r="AG2133" i="19"/>
  <c r="J2137" i="19"/>
  <c r="F2137" i="19" s="1"/>
  <c r="L2137" i="19"/>
  <c r="AA2137" i="19" a="1"/>
  <c r="AA2137" i="19" s="1"/>
  <c r="X2137" i="19" s="1"/>
  <c r="S2137" i="19"/>
  <c r="W2137" i="19"/>
  <c r="Y2137" i="19"/>
  <c r="AC2137" i="19"/>
  <c r="AG2137" i="19"/>
  <c r="J2138" i="19"/>
  <c r="L2138" i="19"/>
  <c r="AA2138" i="19" a="1"/>
  <c r="AA2138" i="19" s="1"/>
  <c r="X2138" i="19" s="1"/>
  <c r="S2138" i="19"/>
  <c r="W2138" i="19"/>
  <c r="Y2138" i="19"/>
  <c r="AC2138" i="19"/>
  <c r="AD2138" i="19" s="1"/>
  <c r="AG2138" i="19"/>
  <c r="J2139" i="19"/>
  <c r="F2139" i="19" s="1"/>
  <c r="L2139" i="19"/>
  <c r="AA2139" i="19" a="1"/>
  <c r="AA2139" i="19" s="1"/>
  <c r="X2139" i="19" s="1"/>
  <c r="S2139" i="19"/>
  <c r="W2139" i="19"/>
  <c r="Y2139" i="19"/>
  <c r="AC2139" i="19"/>
  <c r="AF2139" i="19" s="1"/>
  <c r="AG2139" i="19"/>
  <c r="J2140" i="19"/>
  <c r="F2140" i="19" s="1"/>
  <c r="L2140" i="19"/>
  <c r="AA2140" i="19" a="1"/>
  <c r="AA2140" i="19" s="1"/>
  <c r="X2140" i="19" s="1"/>
  <c r="S2140" i="19"/>
  <c r="W2140" i="19"/>
  <c r="Y2140" i="19"/>
  <c r="AC2140" i="19"/>
  <c r="AG2140" i="19"/>
  <c r="J2141" i="19"/>
  <c r="F2141" i="19" s="1"/>
  <c r="L2141" i="19"/>
  <c r="AA2141" i="19" a="1"/>
  <c r="AA2141" i="19" s="1"/>
  <c r="X2141" i="19" s="1"/>
  <c r="S2141" i="19"/>
  <c r="W2141" i="19"/>
  <c r="Y2141" i="19"/>
  <c r="AC2141" i="19"/>
  <c r="AG2141" i="19"/>
  <c r="J2142" i="19"/>
  <c r="L2142" i="19"/>
  <c r="AA2142" i="19" a="1"/>
  <c r="AA2142" i="19" s="1"/>
  <c r="X2142" i="19" s="1"/>
  <c r="S2142" i="19"/>
  <c r="V2142" i="19"/>
  <c r="W2142" i="19" s="1"/>
  <c r="Y2142" i="19"/>
  <c r="AC2142" i="19"/>
  <c r="AD2142" i="19" s="1"/>
  <c r="AG2142" i="19"/>
  <c r="J2360" i="19"/>
  <c r="F2360" i="19" s="1"/>
  <c r="L2360" i="19"/>
  <c r="AA2360" i="19" a="1"/>
  <c r="AA2360" i="19" s="1"/>
  <c r="X2360" i="19" s="1"/>
  <c r="S2360" i="19"/>
  <c r="V2360" i="19"/>
  <c r="W2360" i="19" s="1"/>
  <c r="Y2360" i="19"/>
  <c r="AC2360" i="19"/>
  <c r="AF2360" i="19" s="1"/>
  <c r="AG2360" i="19"/>
  <c r="J2174" i="19"/>
  <c r="F2174" i="19" s="1"/>
  <c r="L2174" i="19"/>
  <c r="AA2174" i="19" a="1"/>
  <c r="AA2174" i="19" s="1"/>
  <c r="X2174" i="19" s="1"/>
  <c r="S2174" i="19"/>
  <c r="V2174" i="19"/>
  <c r="W2174" i="19" s="1"/>
  <c r="Y2174" i="19"/>
  <c r="AC2174" i="19"/>
  <c r="AG2174" i="19"/>
  <c r="J2175" i="19"/>
  <c r="F2175" i="19" s="1"/>
  <c r="L2175" i="19"/>
  <c r="AA2175" i="19" a="1"/>
  <c r="AA2175" i="19" s="1"/>
  <c r="X2175" i="19" s="1"/>
  <c r="S2175" i="19"/>
  <c r="V2175" i="19"/>
  <c r="W2175" i="19" s="1"/>
  <c r="Y2175" i="19"/>
  <c r="AC2175" i="19"/>
  <c r="AD2175" i="19" s="1"/>
  <c r="AG2175" i="19"/>
  <c r="J2176" i="19"/>
  <c r="F2176" i="19" s="1"/>
  <c r="L2176" i="19"/>
  <c r="AA2176" i="19" a="1"/>
  <c r="AA2176" i="19" s="1"/>
  <c r="X2176" i="19" s="1"/>
  <c r="S2176" i="19"/>
  <c r="V2176" i="19"/>
  <c r="W2176" i="19" s="1"/>
  <c r="Y2176" i="19"/>
  <c r="AC2176" i="19"/>
  <c r="AD2176" i="19" s="1"/>
  <c r="AG2176" i="19"/>
  <c r="J2177" i="19"/>
  <c r="F2177" i="19" s="1"/>
  <c r="L2177" i="19"/>
  <c r="AA2177" i="19" a="1"/>
  <c r="AA2177" i="19" s="1"/>
  <c r="X2177" i="19" s="1"/>
  <c r="S2177" i="19"/>
  <c r="V2177" i="19"/>
  <c r="W2177" i="19" s="1"/>
  <c r="Y2177" i="19"/>
  <c r="AC2177" i="19"/>
  <c r="AF2177" i="19" s="1"/>
  <c r="AG2177" i="19"/>
  <c r="J2198" i="19"/>
  <c r="F2198" i="19" s="1"/>
  <c r="L2198" i="19"/>
  <c r="AA2198" i="19" a="1"/>
  <c r="AA2198" i="19" s="1"/>
  <c r="X2198" i="19" s="1"/>
  <c r="S2198" i="19"/>
  <c r="V2198" i="19"/>
  <c r="W2198" i="19" s="1"/>
  <c r="Y2198" i="19"/>
  <c r="J2200" i="19"/>
  <c r="L2200" i="19"/>
  <c r="AA2200" i="19" a="1"/>
  <c r="AA2200" i="19" s="1"/>
  <c r="X2200" i="19" s="1"/>
  <c r="S2200" i="19"/>
  <c r="V2200" i="19"/>
  <c r="W2200" i="19" s="1"/>
  <c r="Y2200" i="19"/>
  <c r="AD2200" i="19"/>
  <c r="J2199" i="19"/>
  <c r="F2199" i="19" s="1"/>
  <c r="L2199" i="19"/>
  <c r="AA2199" i="19" a="1"/>
  <c r="AA2199" i="19" s="1"/>
  <c r="X2199" i="19" s="1"/>
  <c r="V2199" i="19"/>
  <c r="W2199" i="19" s="1"/>
  <c r="Y2199" i="19"/>
  <c r="AF2199" i="19"/>
  <c r="J2190" i="19"/>
  <c r="F2190" i="19" s="1"/>
  <c r="L2190" i="19"/>
  <c r="AA2190" i="19" a="1"/>
  <c r="AA2190" i="19" s="1"/>
  <c r="X2190" i="19" s="1"/>
  <c r="S2190" i="19"/>
  <c r="V2190" i="19"/>
  <c r="W2190" i="19" s="1"/>
  <c r="Y2190" i="19"/>
  <c r="AC2190" i="19"/>
  <c r="AF2190" i="19" s="1"/>
  <c r="AG2190" i="19"/>
  <c r="J2197" i="19"/>
  <c r="F2197" i="19" s="1"/>
  <c r="L2197" i="19"/>
  <c r="AA2197" i="19" a="1"/>
  <c r="AA2197" i="19" s="1"/>
  <c r="X2197" i="19" s="1"/>
  <c r="S2197" i="19"/>
  <c r="V2197" i="19"/>
  <c r="W2197" i="19" s="1"/>
  <c r="Y2197" i="19"/>
  <c r="AC2197" i="19"/>
  <c r="AG2197" i="19"/>
  <c r="J2191" i="19"/>
  <c r="F2191" i="19" s="1"/>
  <c r="L2191" i="19"/>
  <c r="AA2191" i="19" a="1"/>
  <c r="AA2191" i="19" s="1"/>
  <c r="X2191" i="19" s="1"/>
  <c r="S2191" i="19"/>
  <c r="V2191" i="19"/>
  <c r="W2191" i="19" s="1"/>
  <c r="Y2191" i="19"/>
  <c r="AC2191" i="19"/>
  <c r="AD2191" i="19" s="1"/>
  <c r="AG2191" i="19"/>
  <c r="J2201" i="19"/>
  <c r="L2201" i="19"/>
  <c r="AA2201" i="19" a="1"/>
  <c r="AA2201" i="19" s="1"/>
  <c r="X2201" i="19" s="1"/>
  <c r="S2201" i="19"/>
  <c r="V2201" i="19"/>
  <c r="W2201" i="19" s="1"/>
  <c r="Y2201" i="19"/>
  <c r="AD2201" i="19"/>
  <c r="J2202" i="19"/>
  <c r="F2202" i="19" s="1"/>
  <c r="L2202" i="19"/>
  <c r="AA2202" i="19" a="1"/>
  <c r="AA2202" i="19" s="1"/>
  <c r="X2202" i="19" s="1"/>
  <c r="S2202" i="19"/>
  <c r="V2202" i="19"/>
  <c r="W2202" i="19" s="1"/>
  <c r="Y2202" i="19"/>
  <c r="AF2202" i="19"/>
  <c r="J2203" i="19"/>
  <c r="L2203" i="19"/>
  <c r="AA2203" i="19" a="1"/>
  <c r="AA2203" i="19" s="1"/>
  <c r="X2203" i="19" s="1"/>
  <c r="S2203" i="19"/>
  <c r="V2203" i="19"/>
  <c r="W2203" i="19" s="1"/>
  <c r="Y2203" i="19"/>
  <c r="AE2203" i="19"/>
  <c r="J2204" i="19"/>
  <c r="F2204" i="19" s="1"/>
  <c r="L2204" i="19"/>
  <c r="AA2204" i="19" a="1"/>
  <c r="AA2204" i="19" s="1"/>
  <c r="X2204" i="19" s="1"/>
  <c r="S2204" i="19"/>
  <c r="V2204" i="19"/>
  <c r="W2204" i="19" s="1"/>
  <c r="Y2204" i="19"/>
  <c r="J2205" i="19"/>
  <c r="F2205" i="19" s="1"/>
  <c r="L2205" i="19"/>
  <c r="AA2205" i="19" a="1"/>
  <c r="AA2205" i="19" s="1"/>
  <c r="X2205" i="19" s="1"/>
  <c r="S2205" i="19"/>
  <c r="V2205" i="19"/>
  <c r="W2205" i="19" s="1"/>
  <c r="Y2205" i="19"/>
  <c r="AD2205" i="19"/>
  <c r="J2206" i="19"/>
  <c r="L2206" i="19"/>
  <c r="AA2206" i="19" a="1"/>
  <c r="AA2206" i="19" s="1"/>
  <c r="X2206" i="19" s="1"/>
  <c r="S2206" i="19"/>
  <c r="V2206" i="19"/>
  <c r="W2206" i="19" s="1"/>
  <c r="Y2206" i="19"/>
  <c r="J2207" i="19"/>
  <c r="F2207" i="19" s="1"/>
  <c r="L2207" i="19"/>
  <c r="AA2207" i="19" a="1"/>
  <c r="AA2207" i="19" s="1"/>
  <c r="X2207" i="19" s="1"/>
  <c r="S2207" i="19"/>
  <c r="V2207" i="19"/>
  <c r="W2207" i="19" s="1"/>
  <c r="Y2207" i="19"/>
  <c r="J2208" i="19"/>
  <c r="F2208" i="19" s="1"/>
  <c r="L2208" i="19"/>
  <c r="AA2208" i="19" a="1"/>
  <c r="AA2208" i="19" s="1"/>
  <c r="X2208" i="19" s="1"/>
  <c r="S2208" i="19"/>
  <c r="V2208" i="19"/>
  <c r="W2208" i="19" s="1"/>
  <c r="Y2208" i="19"/>
  <c r="AD2208" i="19"/>
  <c r="J2209" i="19"/>
  <c r="F2209" i="19" s="1"/>
  <c r="L2209" i="19"/>
  <c r="AA2209" i="19" a="1"/>
  <c r="AA2209" i="19" s="1"/>
  <c r="X2209" i="19" s="1"/>
  <c r="V2209" i="19"/>
  <c r="W2209" i="19" s="1"/>
  <c r="Y2209" i="19"/>
  <c r="J2210" i="19"/>
  <c r="F2210" i="19" s="1"/>
  <c r="L2210" i="19"/>
  <c r="AA2210" i="19" a="1"/>
  <c r="AA2210" i="19" s="1"/>
  <c r="X2210" i="19" s="1"/>
  <c r="V2210" i="19"/>
  <c r="W2210" i="19" s="1"/>
  <c r="Y2210" i="19"/>
  <c r="AF2210" i="19"/>
  <c r="J2211" i="19"/>
  <c r="F2211" i="19" s="1"/>
  <c r="L2211" i="19"/>
  <c r="AA2211" i="19" a="1"/>
  <c r="AA2211" i="19" s="1"/>
  <c r="X2211" i="19" s="1"/>
  <c r="S2211" i="19"/>
  <c r="V2211" i="19"/>
  <c r="W2211" i="19" s="1"/>
  <c r="Y2211" i="19"/>
  <c r="AE2211" i="19"/>
  <c r="J2212" i="19"/>
  <c r="L2212" i="19"/>
  <c r="AA2212" i="19" a="1"/>
  <c r="AA2212" i="19" s="1"/>
  <c r="X2212" i="19" s="1"/>
  <c r="S2212" i="19"/>
  <c r="V2212" i="19"/>
  <c r="W2212" i="19" s="1"/>
  <c r="Y2212" i="19"/>
  <c r="AD2212" i="19"/>
  <c r="J2213" i="19"/>
  <c r="F2213" i="19" s="1"/>
  <c r="L2213" i="19"/>
  <c r="AA2213" i="19" a="1"/>
  <c r="AA2213" i="19" s="1"/>
  <c r="X2213" i="19" s="1"/>
  <c r="S2213" i="19"/>
  <c r="V2213" i="19"/>
  <c r="W2213" i="19" s="1"/>
  <c r="Y2213" i="19"/>
  <c r="J2214" i="19"/>
  <c r="F2214" i="19" s="1"/>
  <c r="L2214" i="19"/>
  <c r="AA2214" i="19" a="1"/>
  <c r="AA2214" i="19" s="1"/>
  <c r="X2214" i="19" s="1"/>
  <c r="S2214" i="19"/>
  <c r="V2214" i="19"/>
  <c r="W2214" i="19" s="1"/>
  <c r="Y2214" i="19"/>
  <c r="AF2214" i="19"/>
  <c r="J2215" i="19"/>
  <c r="F2215" i="19" s="1"/>
  <c r="L2215" i="19"/>
  <c r="AA2215" i="19" a="1"/>
  <c r="AA2215" i="19" s="1"/>
  <c r="X2215" i="19" s="1"/>
  <c r="S2215" i="19"/>
  <c r="V2215" i="19"/>
  <c r="W2215" i="19" s="1"/>
  <c r="Y2215" i="19"/>
  <c r="J2361" i="19"/>
  <c r="F2361" i="19" s="1"/>
  <c r="L2361" i="19"/>
  <c r="AA2361" i="19" a="1"/>
  <c r="AA2361" i="19" s="1"/>
  <c r="X2361" i="19" s="1"/>
  <c r="S2361" i="19"/>
  <c r="V2361" i="19"/>
  <c r="W2361" i="19" s="1"/>
  <c r="Y2361" i="19"/>
  <c r="AC2361" i="19"/>
  <c r="AD2361" i="19" s="1"/>
  <c r="AG2361" i="19"/>
  <c r="J2362" i="19"/>
  <c r="L2362" i="19"/>
  <c r="AA2362" i="19" a="1"/>
  <c r="AA2362" i="19" s="1"/>
  <c r="X2362" i="19" s="1"/>
  <c r="S2362" i="19"/>
  <c r="V2362" i="19"/>
  <c r="W2362" i="19" s="1"/>
  <c r="Y2362" i="19"/>
  <c r="AC2362" i="19"/>
  <c r="AD2362" i="19" s="1"/>
  <c r="AG2362" i="19"/>
  <c r="J2363" i="19"/>
  <c r="F2363" i="19" s="1"/>
  <c r="L2363" i="19"/>
  <c r="AA2363" i="19" a="1"/>
  <c r="AA2363" i="19" s="1"/>
  <c r="X2363" i="19" s="1"/>
  <c r="S2363" i="19"/>
  <c r="V2363" i="19"/>
  <c r="W2363" i="19" s="1"/>
  <c r="Y2363" i="19"/>
  <c r="AC2363" i="19"/>
  <c r="AG2363" i="19"/>
  <c r="J2364" i="19"/>
  <c r="F2364" i="19" s="1"/>
  <c r="L2364" i="19"/>
  <c r="AA2364" i="19" a="1"/>
  <c r="AA2364" i="19" s="1"/>
  <c r="X2364" i="19" s="1"/>
  <c r="S2364" i="19"/>
  <c r="V2364" i="19"/>
  <c r="W2364" i="19" s="1"/>
  <c r="Y2364" i="19"/>
  <c r="AC2364" i="19"/>
  <c r="AE2364" i="19" s="1"/>
  <c r="AG2364" i="19"/>
  <c r="J2223" i="19"/>
  <c r="F2223" i="19" s="1"/>
  <c r="L2223" i="19"/>
  <c r="AA2223" i="19" a="1"/>
  <c r="AA2223" i="19" s="1"/>
  <c r="X2223" i="19" s="1"/>
  <c r="S2223" i="19"/>
  <c r="V2223" i="19"/>
  <c r="W2223" i="19" s="1"/>
  <c r="Y2223" i="19"/>
  <c r="AC2223" i="19"/>
  <c r="AG2223" i="19"/>
  <c r="J2256" i="19"/>
  <c r="F2256" i="19" s="1"/>
  <c r="L2256" i="19"/>
  <c r="AA2256" i="19" a="1"/>
  <c r="AA2256" i="19" s="1"/>
  <c r="X2256" i="19" s="1"/>
  <c r="V2256" i="19"/>
  <c r="W2256" i="19" s="1"/>
  <c r="Y2256" i="19"/>
  <c r="AG2256" i="19"/>
  <c r="J2257" i="19"/>
  <c r="L2257" i="19"/>
  <c r="AA2257" i="19" a="1"/>
  <c r="AA2257" i="19" s="1"/>
  <c r="X2257" i="19" s="1"/>
  <c r="V2257" i="19"/>
  <c r="W2257" i="19" s="1"/>
  <c r="AG2257" i="19"/>
  <c r="J2221" i="19"/>
  <c r="F2221" i="19" s="1"/>
  <c r="L2221" i="19"/>
  <c r="AA2221" i="19" a="1"/>
  <c r="AA2221" i="19" s="1"/>
  <c r="X2221" i="19" s="1"/>
  <c r="S2221" i="19"/>
  <c r="V2221" i="19"/>
  <c r="W2221" i="19" s="1"/>
  <c r="Y2221" i="19"/>
  <c r="AC2221" i="19"/>
  <c r="AE2221" i="19" s="1"/>
  <c r="AG2221" i="19"/>
  <c r="J2222" i="19"/>
  <c r="F2222" i="19" s="1"/>
  <c r="L2222" i="19"/>
  <c r="AA2222" i="19" a="1"/>
  <c r="AA2222" i="19" s="1"/>
  <c r="X2222" i="19" s="1"/>
  <c r="S2222" i="19"/>
  <c r="V2222" i="19"/>
  <c r="W2222" i="19" s="1"/>
  <c r="Y2222" i="19"/>
  <c r="AC2222" i="19"/>
  <c r="AD2222" i="19" s="1"/>
  <c r="AG2222" i="19"/>
  <c r="J2226" i="19"/>
  <c r="F2226" i="19" s="1"/>
  <c r="L2226" i="19"/>
  <c r="S2226" i="19"/>
  <c r="V2226" i="19"/>
  <c r="Y2226" i="19"/>
  <c r="AC2226" i="19"/>
  <c r="AG2226" i="19"/>
  <c r="J2227" i="19"/>
  <c r="F2227" i="19" s="1"/>
  <c r="L2227" i="19"/>
  <c r="V2227" i="19"/>
  <c r="Y2227" i="19"/>
  <c r="AC2227" i="19"/>
  <c r="AF2227" i="19" s="1"/>
  <c r="AG2227" i="19"/>
  <c r="J2228" i="19"/>
  <c r="F2228" i="19" s="1"/>
  <c r="L2228" i="19"/>
  <c r="AA2228" i="19" a="1"/>
  <c r="AA2228" i="19" s="1"/>
  <c r="X2228" i="19" s="1"/>
  <c r="W2228" i="19"/>
  <c r="AC2228" i="19"/>
  <c r="AD2228" i="19" s="1"/>
  <c r="AG2228" i="19"/>
  <c r="J2229" i="19"/>
  <c r="L2229" i="19"/>
  <c r="AA2229" i="19" a="1"/>
  <c r="AA2229" i="19" s="1"/>
  <c r="X2229" i="19" s="1"/>
  <c r="W2229" i="19"/>
  <c r="AC2229" i="19"/>
  <c r="AD2229" i="19" s="1"/>
  <c r="AG2229" i="19"/>
  <c r="J2230" i="19"/>
  <c r="F2230" i="19" s="1"/>
  <c r="L2230" i="19"/>
  <c r="V2230" i="19"/>
  <c r="Y2230" i="19"/>
  <c r="AC2230" i="19"/>
  <c r="AD2230" i="19" s="1"/>
  <c r="AG2230" i="19"/>
  <c r="J2231" i="19"/>
  <c r="F2231" i="19" s="1"/>
  <c r="L2231" i="19"/>
  <c r="V2231" i="19"/>
  <c r="Y2231" i="19"/>
  <c r="AC2231" i="19"/>
  <c r="AG2231" i="19"/>
  <c r="J2233" i="19"/>
  <c r="F2233" i="19" s="1"/>
  <c r="L2233" i="19"/>
  <c r="V2233" i="19"/>
  <c r="Y2233" i="19"/>
  <c r="AC2233" i="19"/>
  <c r="AD2233" i="19" s="1"/>
  <c r="AG2233" i="19"/>
  <c r="J2234" i="19"/>
  <c r="L2234" i="19"/>
  <c r="AA2234" i="19" a="1"/>
  <c r="AA2234" i="19" s="1"/>
  <c r="X2234" i="19" s="1"/>
  <c r="V2234" i="19"/>
  <c r="W2234" i="19" s="1"/>
  <c r="Y2234" i="19"/>
  <c r="AD2234" i="19"/>
  <c r="J2235" i="19"/>
  <c r="F2235" i="19" s="1"/>
  <c r="L2235" i="19"/>
  <c r="AA2235" i="19" a="1"/>
  <c r="AA2235" i="19" s="1"/>
  <c r="X2235" i="19" s="1"/>
  <c r="V2235" i="19"/>
  <c r="W2235" i="19" s="1"/>
  <c r="Y2235" i="19"/>
  <c r="J2236" i="19"/>
  <c r="F2236" i="19" s="1"/>
  <c r="L2236" i="19"/>
  <c r="V2236" i="19"/>
  <c r="Y2236" i="19"/>
  <c r="J2237" i="19"/>
  <c r="F2237" i="19" s="1"/>
  <c r="L2237" i="19"/>
  <c r="V2237" i="19"/>
  <c r="Y2237" i="19"/>
  <c r="AD2237" i="19"/>
  <c r="J2238" i="19"/>
  <c r="L2238" i="19"/>
  <c r="AA2238" i="19" a="1"/>
  <c r="AA2238" i="19" s="1"/>
  <c r="X2238" i="19" s="1"/>
  <c r="V2238" i="19"/>
  <c r="W2238" i="19" s="1"/>
  <c r="Y2238" i="19"/>
  <c r="AD2238" i="19"/>
  <c r="J2239" i="19"/>
  <c r="F2239" i="19" s="1"/>
  <c r="L2239" i="19"/>
  <c r="AA2239" i="19" a="1"/>
  <c r="AA2239" i="19" s="1"/>
  <c r="X2239" i="19" s="1"/>
  <c r="V2239" i="19"/>
  <c r="W2239" i="19" s="1"/>
  <c r="Y2239" i="19"/>
  <c r="AE2239" i="19"/>
  <c r="J2225" i="19"/>
  <c r="F2225" i="19" s="1"/>
  <c r="L2225" i="19"/>
  <c r="AA2225" i="19" a="1"/>
  <c r="AA2225" i="19" s="1"/>
  <c r="X2225" i="19" s="1"/>
  <c r="S2225" i="19"/>
  <c r="V2225" i="19"/>
  <c r="W2225" i="19" s="1"/>
  <c r="Y2225" i="19"/>
  <c r="AC2225" i="19"/>
  <c r="AG2225" i="19"/>
  <c r="J2240" i="19"/>
  <c r="F2240" i="19" s="1"/>
  <c r="L2240" i="19"/>
  <c r="AA2240" i="19" a="1"/>
  <c r="AA2240" i="19" s="1"/>
  <c r="X2240" i="19" s="1"/>
  <c r="V2240" i="19"/>
  <c r="W2240" i="19" s="1"/>
  <c r="Y2240" i="19"/>
  <c r="J2241" i="19"/>
  <c r="L2241" i="19"/>
  <c r="AA2241" i="19" a="1"/>
  <c r="AA2241" i="19" s="1"/>
  <c r="X2241" i="19" s="1"/>
  <c r="V2241" i="19"/>
  <c r="W2241" i="19" s="1"/>
  <c r="Y2241" i="19"/>
  <c r="J2242" i="19"/>
  <c r="F2242" i="19" s="1"/>
  <c r="L2242" i="19"/>
  <c r="AA2242" i="19" a="1"/>
  <c r="AA2242" i="19" s="1"/>
  <c r="X2242" i="19" s="1"/>
  <c r="V2242" i="19"/>
  <c r="W2242" i="19" s="1"/>
  <c r="Y2242" i="19"/>
  <c r="J2243" i="19"/>
  <c r="F2243" i="19" s="1"/>
  <c r="L2243" i="19"/>
  <c r="AA2243" i="19" a="1"/>
  <c r="AA2243" i="19" s="1"/>
  <c r="X2243" i="19" s="1"/>
  <c r="V2243" i="19"/>
  <c r="W2243" i="19" s="1"/>
  <c r="Y2243" i="19"/>
  <c r="J2245" i="19"/>
  <c r="F2245" i="19" s="1"/>
  <c r="L2245" i="19"/>
  <c r="AA2245" i="19" a="1"/>
  <c r="AA2245" i="19" s="1"/>
  <c r="X2245" i="19" s="1"/>
  <c r="S2245" i="19"/>
  <c r="V2245" i="19"/>
  <c r="W2245" i="19" s="1"/>
  <c r="Y2245" i="19"/>
  <c r="AC2245" i="19"/>
  <c r="AG2245" i="19"/>
  <c r="J2244" i="19"/>
  <c r="F2244" i="19" s="1"/>
  <c r="L2244" i="19"/>
  <c r="AA2244" i="19" a="1"/>
  <c r="AA2244" i="19" s="1"/>
  <c r="X2244" i="19" s="1"/>
  <c r="S2244" i="19"/>
  <c r="V2244" i="19"/>
  <c r="W2244" i="19" s="1"/>
  <c r="Y2244" i="19"/>
  <c r="AC2244" i="19"/>
  <c r="AE2244" i="19" s="1"/>
  <c r="AG2244" i="19"/>
  <c r="J2247" i="19"/>
  <c r="F2247" i="19" s="1"/>
  <c r="L2247" i="19"/>
  <c r="AA2247" i="19" a="1"/>
  <c r="AA2247" i="19" s="1"/>
  <c r="X2247" i="19" s="1"/>
  <c r="V2247" i="19"/>
  <c r="W2247" i="19" s="1"/>
  <c r="Y2247" i="19"/>
  <c r="J2248" i="19"/>
  <c r="F2248" i="19" s="1"/>
  <c r="L2248" i="19"/>
  <c r="AA2248" i="19" a="1"/>
  <c r="AA2248" i="19" s="1"/>
  <c r="X2248" i="19" s="1"/>
  <c r="V2248" i="19"/>
  <c r="W2248" i="19" s="1"/>
  <c r="Y2248" i="19"/>
  <c r="J2249" i="19"/>
  <c r="L2249" i="19"/>
  <c r="AA2249" i="19" a="1"/>
  <c r="AA2249" i="19" s="1"/>
  <c r="X2249" i="19" s="1"/>
  <c r="V2249" i="19"/>
  <c r="W2249" i="19" s="1"/>
  <c r="Y2249" i="19"/>
  <c r="J2250" i="19"/>
  <c r="F2250" i="19" s="1"/>
  <c r="L2250" i="19"/>
  <c r="AA2250" i="19" a="1"/>
  <c r="AA2250" i="19" s="1"/>
  <c r="X2250" i="19" s="1"/>
  <c r="V2250" i="19"/>
  <c r="W2250" i="19" s="1"/>
  <c r="Y2250" i="19"/>
  <c r="J2246" i="19"/>
  <c r="F2246" i="19" s="1"/>
  <c r="L2246" i="19"/>
  <c r="AA2246" i="19" a="1"/>
  <c r="AA2246" i="19" s="1"/>
  <c r="X2246" i="19" s="1"/>
  <c r="S2246" i="19"/>
  <c r="V2246" i="19"/>
  <c r="W2246" i="19" s="1"/>
  <c r="Y2246" i="19"/>
  <c r="AC2246" i="19"/>
  <c r="AG2246" i="19"/>
  <c r="J2365" i="19"/>
  <c r="F2365" i="19" s="1"/>
  <c r="L2365" i="19"/>
  <c r="AA2365" i="19" a="1"/>
  <c r="AA2365" i="19" s="1"/>
  <c r="X2365" i="19" s="1"/>
  <c r="S2365" i="19"/>
  <c r="V2365" i="19"/>
  <c r="W2365" i="19" s="1"/>
  <c r="Y2365" i="19"/>
  <c r="AC2365" i="19"/>
  <c r="AD2365" i="19" s="1"/>
  <c r="AG2365" i="19"/>
  <c r="J2366" i="19"/>
  <c r="L2366" i="19"/>
  <c r="AA2366" i="19" a="1"/>
  <c r="AA2366" i="19" s="1"/>
  <c r="X2366" i="19" s="1"/>
  <c r="S2366" i="19"/>
  <c r="V2366" i="19"/>
  <c r="W2366" i="19" s="1"/>
  <c r="Y2366" i="19"/>
  <c r="AC2366" i="19"/>
  <c r="AG2366" i="19"/>
  <c r="J2367" i="19"/>
  <c r="F2367" i="19" s="1"/>
  <c r="L2367" i="19"/>
  <c r="AA2367" i="19" a="1"/>
  <c r="AA2367" i="19" s="1"/>
  <c r="X2367" i="19" s="1"/>
  <c r="S2367" i="19"/>
  <c r="V2367" i="19"/>
  <c r="W2367" i="19" s="1"/>
  <c r="Y2367" i="19"/>
  <c r="AC2367" i="19"/>
  <c r="AD2367" i="19" s="1"/>
  <c r="AG2367" i="19"/>
  <c r="J2368" i="19"/>
  <c r="F2368" i="19" s="1"/>
  <c r="L2368" i="19"/>
  <c r="AA2368" i="19" a="1"/>
  <c r="AA2368" i="19" s="1"/>
  <c r="X2368" i="19" s="1"/>
  <c r="S2368" i="19"/>
  <c r="V2368" i="19"/>
  <c r="W2368" i="19" s="1"/>
  <c r="Y2368" i="19"/>
  <c r="AC2368" i="19"/>
  <c r="AG2368" i="19"/>
  <c r="J2369" i="19"/>
  <c r="F2369" i="19" s="1"/>
  <c r="L2369" i="19"/>
  <c r="AA2369" i="19" a="1"/>
  <c r="AA2369" i="19" s="1"/>
  <c r="X2369" i="19" s="1"/>
  <c r="S2369" i="19"/>
  <c r="V2369" i="19"/>
  <c r="W2369" i="19" s="1"/>
  <c r="Y2369" i="19"/>
  <c r="AC2369" i="19"/>
  <c r="AG2369" i="19"/>
  <c r="J2373" i="19"/>
  <c r="F2373" i="19" s="1"/>
  <c r="L2373" i="19"/>
  <c r="AA2373" i="19" a="1"/>
  <c r="AA2373" i="19" s="1"/>
  <c r="X2373" i="19" s="1"/>
  <c r="V2373" i="19"/>
  <c r="W2373" i="19" s="1"/>
  <c r="Y2373" i="19"/>
  <c r="AC2373" i="19"/>
  <c r="AE2373" i="19" s="1"/>
  <c r="AG2373" i="19"/>
  <c r="J2336" i="19"/>
  <c r="F2336" i="19" s="1"/>
  <c r="L2336" i="19"/>
  <c r="AA2336" i="19" a="1"/>
  <c r="AA2336" i="19" s="1"/>
  <c r="X2336" i="19" s="1"/>
  <c r="S2336" i="19"/>
  <c r="V2336" i="19"/>
  <c r="W2336" i="19" s="1"/>
  <c r="Y2336" i="19"/>
  <c r="AC2336" i="19"/>
  <c r="AG2336" i="19"/>
  <c r="J2337" i="19"/>
  <c r="F2337" i="19" s="1"/>
  <c r="L2337" i="19"/>
  <c r="AA2337" i="19" a="1"/>
  <c r="AA2337" i="19" s="1"/>
  <c r="X2337" i="19" s="1"/>
  <c r="S2337" i="19"/>
  <c r="V2337" i="19"/>
  <c r="W2337" i="19" s="1"/>
  <c r="Y2337" i="19"/>
  <c r="AC2337" i="19"/>
  <c r="AF2337" i="19" s="1"/>
  <c r="AG2337" i="19"/>
  <c r="J2338" i="19"/>
  <c r="L2338" i="19"/>
  <c r="AA2338" i="19" a="1"/>
  <c r="AA2338" i="19" s="1"/>
  <c r="X2338" i="19" s="1"/>
  <c r="S2338" i="19"/>
  <c r="V2338" i="19"/>
  <c r="W2338" i="19" s="1"/>
  <c r="Y2338" i="19"/>
  <c r="AC2338" i="19"/>
  <c r="AD2338" i="19" s="1"/>
  <c r="AG2338" i="19"/>
  <c r="J2251" i="19"/>
  <c r="F2251" i="19" s="1"/>
  <c r="L2251" i="19"/>
  <c r="AA2251" i="19" a="1"/>
  <c r="AA2251" i="19" s="1"/>
  <c r="X2251" i="19" s="1"/>
  <c r="S2251" i="19"/>
  <c r="V2251" i="19"/>
  <c r="W2251" i="19" s="1"/>
  <c r="Y2251" i="19"/>
  <c r="AC2251" i="19"/>
  <c r="AF2251" i="19" s="1"/>
  <c r="AG2251" i="19"/>
  <c r="J2252" i="19"/>
  <c r="F2252" i="19" s="1"/>
  <c r="L2252" i="19"/>
  <c r="AA2252" i="19" a="1"/>
  <c r="AA2252" i="19" s="1"/>
  <c r="X2252" i="19" s="1"/>
  <c r="S2252" i="19"/>
  <c r="V2252" i="19"/>
  <c r="W2252" i="19" s="1"/>
  <c r="Y2252" i="19"/>
  <c r="AC2252" i="19"/>
  <c r="AD2252" i="19" s="1"/>
  <c r="AG2252" i="19"/>
  <c r="J2253" i="19"/>
  <c r="F2253" i="19" s="1"/>
  <c r="L2253" i="19"/>
  <c r="AA2253" i="19" a="1"/>
  <c r="AA2253" i="19" s="1"/>
  <c r="X2253" i="19" s="1"/>
  <c r="S2253" i="19"/>
  <c r="V2253" i="19"/>
  <c r="W2253" i="19" s="1"/>
  <c r="Y2253" i="19"/>
  <c r="AC2253" i="19"/>
  <c r="AF2253" i="19" s="1"/>
  <c r="AG2253" i="19"/>
  <c r="J2254" i="19"/>
  <c r="L2254" i="19"/>
  <c r="AA2254" i="19" a="1"/>
  <c r="AA2254" i="19" s="1"/>
  <c r="X2254" i="19" s="1"/>
  <c r="S2254" i="19"/>
  <c r="V2254" i="19"/>
  <c r="W2254" i="19" s="1"/>
  <c r="Y2254" i="19"/>
  <c r="AC2254" i="19"/>
  <c r="AD2254" i="19" s="1"/>
  <c r="AG2254" i="19"/>
  <c r="J2274" i="19"/>
  <c r="F2274" i="19" s="1"/>
  <c r="L2274" i="19"/>
  <c r="AA2274" i="19" a="1"/>
  <c r="AA2274" i="19" s="1"/>
  <c r="X2274" i="19" s="1"/>
  <c r="V2274" i="19"/>
  <c r="W2274" i="19" s="1"/>
  <c r="Y2274" i="19"/>
  <c r="AD2274" i="19"/>
  <c r="J2275" i="19"/>
  <c r="F2275" i="19" s="1"/>
  <c r="L2275" i="19"/>
  <c r="AA2275" i="19" a="1"/>
  <c r="AA2275" i="19" s="1"/>
  <c r="X2275" i="19" s="1"/>
  <c r="V2275" i="19"/>
  <c r="W2275" i="19" s="1"/>
  <c r="Y2275" i="19"/>
  <c r="J2276" i="19"/>
  <c r="F2276" i="19" s="1"/>
  <c r="L2276" i="19"/>
  <c r="AA2276" i="19" a="1"/>
  <c r="AA2276" i="19" s="1"/>
  <c r="X2276" i="19" s="1"/>
  <c r="V2276" i="19"/>
  <c r="W2276" i="19" s="1"/>
  <c r="Y2276" i="19"/>
  <c r="J2278" i="19"/>
  <c r="F2278" i="19" s="1"/>
  <c r="L2278" i="19"/>
  <c r="AA2278" i="19" a="1"/>
  <c r="AA2278" i="19" s="1"/>
  <c r="X2278" i="19" s="1"/>
  <c r="V2278" i="19"/>
  <c r="W2278" i="19" s="1"/>
  <c r="Y2278" i="19"/>
  <c r="J2279" i="19"/>
  <c r="F2279" i="19" s="1"/>
  <c r="L2279" i="19"/>
  <c r="AA2279" i="19" a="1"/>
  <c r="AA2279" i="19" s="1"/>
  <c r="X2279" i="19" s="1"/>
  <c r="V2279" i="19"/>
  <c r="W2279" i="19" s="1"/>
  <c r="Y2279" i="19"/>
  <c r="J2280" i="19"/>
  <c r="F2280" i="19" s="1"/>
  <c r="L2280" i="19"/>
  <c r="AA2280" i="19" a="1"/>
  <c r="AA2280" i="19" s="1"/>
  <c r="X2280" i="19" s="1"/>
  <c r="V2280" i="19"/>
  <c r="W2280" i="19" s="1"/>
  <c r="Y2280" i="19"/>
  <c r="J2281" i="19"/>
  <c r="F2281" i="19" s="1"/>
  <c r="L2281" i="19"/>
  <c r="AA2281" i="19" a="1"/>
  <c r="AA2281" i="19" s="1"/>
  <c r="X2281" i="19" s="1"/>
  <c r="V2281" i="19"/>
  <c r="W2281" i="19" s="1"/>
  <c r="Y2281" i="19"/>
  <c r="J2282" i="19"/>
  <c r="F2282" i="19" s="1"/>
  <c r="L2282" i="19"/>
  <c r="V2282" i="19"/>
  <c r="Y2282" i="19"/>
  <c r="J2283" i="19"/>
  <c r="F2283" i="19" s="1"/>
  <c r="L2283" i="19"/>
  <c r="V2283" i="19"/>
  <c r="Y2283" i="19"/>
  <c r="J2255" i="19"/>
  <c r="F2255" i="19" s="1"/>
  <c r="L2255" i="19"/>
  <c r="AA2255" i="19" a="1"/>
  <c r="AA2255" i="19" s="1"/>
  <c r="X2255" i="19" s="1"/>
  <c r="S2255" i="19"/>
  <c r="V2255" i="19"/>
  <c r="W2255" i="19" s="1"/>
  <c r="Y2255" i="19"/>
  <c r="AC2255" i="19"/>
  <c r="AD2255" i="19" s="1"/>
  <c r="AG2255" i="19"/>
  <c r="J2284" i="19"/>
  <c r="F2284" i="19" s="1"/>
  <c r="L2284" i="19"/>
  <c r="AA2284" i="19" a="1"/>
  <c r="AA2284" i="19" s="1"/>
  <c r="X2284" i="19" s="1"/>
  <c r="V2284" i="19"/>
  <c r="W2284" i="19" s="1"/>
  <c r="Y2284" i="19"/>
  <c r="J2285" i="19"/>
  <c r="L2285" i="19"/>
  <c r="AA2285" i="19" a="1"/>
  <c r="AA2285" i="19" s="1"/>
  <c r="X2285" i="19" s="1"/>
  <c r="V2285" i="19"/>
  <c r="W2285" i="19" s="1"/>
  <c r="Y2285" i="19"/>
  <c r="J2286" i="19"/>
  <c r="F2286" i="19" s="1"/>
  <c r="L2286" i="19"/>
  <c r="AA2286" i="19" a="1"/>
  <c r="AA2286" i="19" s="1"/>
  <c r="X2286" i="19" s="1"/>
  <c r="V2286" i="19"/>
  <c r="W2286" i="19" s="1"/>
  <c r="Y2286" i="19"/>
  <c r="J2295" i="19"/>
  <c r="F2295" i="19" s="1"/>
  <c r="L2295" i="19"/>
  <c r="AA2295" i="19" a="1"/>
  <c r="AA2295" i="19" s="1"/>
  <c r="X2295" i="19" s="1"/>
  <c r="V2295" i="19"/>
  <c r="W2295" i="19" s="1"/>
  <c r="Y2295" i="19"/>
  <c r="AD2295" i="19"/>
  <c r="J2296" i="19"/>
  <c r="F2296" i="19" s="1"/>
  <c r="L2296" i="19"/>
  <c r="AA2296" i="19" a="1"/>
  <c r="AA2296" i="19" s="1"/>
  <c r="X2296" i="19" s="1"/>
  <c r="V2296" i="19"/>
  <c r="W2296" i="19" s="1"/>
  <c r="Y2296" i="19"/>
  <c r="J2297" i="19"/>
  <c r="L2297" i="19"/>
  <c r="AA2297" i="19" a="1"/>
  <c r="AA2297" i="19" s="1"/>
  <c r="X2297" i="19" s="1"/>
  <c r="V2297" i="19"/>
  <c r="W2297" i="19" s="1"/>
  <c r="Y2297" i="19"/>
  <c r="J2339" i="19"/>
  <c r="L2339" i="19"/>
  <c r="AA2339" i="19" a="1"/>
  <c r="AA2339" i="19" s="1"/>
  <c r="X2339" i="19" s="1"/>
  <c r="S2339" i="19"/>
  <c r="V2339" i="19"/>
  <c r="W2339" i="19" s="1"/>
  <c r="Y2339" i="19"/>
  <c r="AG2339" i="19"/>
  <c r="J2299" i="19"/>
  <c r="F2299" i="19" s="1"/>
  <c r="L2299" i="19"/>
  <c r="AA2299" i="19" a="1"/>
  <c r="AA2299" i="19" s="1"/>
  <c r="X2299" i="19" s="1"/>
  <c r="S2299" i="19"/>
  <c r="V2299" i="19"/>
  <c r="W2299" i="19" s="1"/>
  <c r="Y2299" i="19"/>
  <c r="AD2299" i="19"/>
  <c r="AA2300" i="19" a="1"/>
  <c r="AA2300" i="19" s="1"/>
  <c r="X2300" i="19" s="1"/>
  <c r="V2300" i="19"/>
  <c r="W2300" i="19" s="1"/>
  <c r="Y2300" i="19"/>
  <c r="AF2300" i="19"/>
  <c r="AA2301" i="19" a="1"/>
  <c r="AA2301" i="19" s="1"/>
  <c r="X2301" i="19" s="1"/>
  <c r="V2301" i="19"/>
  <c r="W2301" i="19" s="1"/>
  <c r="Y2301" i="19"/>
  <c r="AA2302" i="19" a="1"/>
  <c r="AA2302" i="19" s="1"/>
  <c r="X2302" i="19" s="1"/>
  <c r="V2302" i="19"/>
  <c r="W2302" i="19" s="1"/>
  <c r="Y2302" i="19"/>
  <c r="AA2303" i="19" a="1"/>
  <c r="AA2303" i="19" s="1"/>
  <c r="X2303" i="19" s="1"/>
  <c r="V2303" i="19"/>
  <c r="W2303" i="19" s="1"/>
  <c r="Y2303" i="19"/>
  <c r="AD2303" i="19"/>
  <c r="AA2304" i="19" a="1"/>
  <c r="AA2304" i="19" s="1"/>
  <c r="X2304" i="19" s="1"/>
  <c r="V2304" i="19"/>
  <c r="W2304" i="19" s="1"/>
  <c r="Y2304" i="19"/>
  <c r="AF2304" i="19"/>
  <c r="J2375" i="19"/>
  <c r="L2375" i="19"/>
  <c r="AA2375" i="19" a="1"/>
  <c r="AA2375" i="19" s="1"/>
  <c r="X2375" i="19" s="1"/>
  <c r="S2375" i="19"/>
  <c r="V2375" i="19"/>
  <c r="W2375" i="19" s="1"/>
  <c r="Y2375" i="19"/>
  <c r="AC2375" i="19"/>
  <c r="AG2375" i="19"/>
  <c r="J2374" i="19"/>
  <c r="F2374" i="19" s="1"/>
  <c r="L2374" i="19"/>
  <c r="AA2374" i="19" a="1"/>
  <c r="AA2374" i="19" s="1"/>
  <c r="X2374" i="19" s="1"/>
  <c r="S2374" i="19"/>
  <c r="V2374" i="19"/>
  <c r="W2374" i="19" s="1"/>
  <c r="Y2374" i="19"/>
  <c r="AC2374" i="19"/>
  <c r="AD2374" i="19" s="1"/>
  <c r="AG2374" i="19"/>
  <c r="J2305" i="19"/>
  <c r="F2305" i="19" s="1"/>
  <c r="L2305" i="19"/>
  <c r="AA2305" i="19" a="1"/>
  <c r="AA2305" i="19" s="1"/>
  <c r="X2305" i="19" s="1"/>
  <c r="V2305" i="19"/>
  <c r="W2305" i="19" s="1"/>
  <c r="Y2305" i="19"/>
  <c r="AF2305" i="19"/>
  <c r="J2306" i="19"/>
  <c r="L2306" i="19"/>
  <c r="AA2306" i="19" a="1"/>
  <c r="AA2306" i="19" s="1"/>
  <c r="X2306" i="19" s="1"/>
  <c r="V2306" i="19"/>
  <c r="W2306" i="19" s="1"/>
  <c r="Y2306" i="19"/>
  <c r="AA2259" i="19" a="1"/>
  <c r="AA2259" i="19" s="1"/>
  <c r="X2259" i="19" s="1"/>
  <c r="S2259" i="19"/>
  <c r="V2259" i="19"/>
  <c r="W2259" i="19" s="1"/>
  <c r="Y2259" i="19"/>
  <c r="AC2259" i="19"/>
  <c r="AF2259" i="19" s="1"/>
  <c r="AG2259" i="19"/>
  <c r="F2260" i="19"/>
  <c r="L2260" i="19"/>
  <c r="AA2260" i="19" a="1"/>
  <c r="AA2260" i="19" s="1"/>
  <c r="X2260" i="19" s="1"/>
  <c r="S2260" i="19"/>
  <c r="V2260" i="19"/>
  <c r="W2260" i="19" s="1"/>
  <c r="Y2260" i="19"/>
  <c r="AC2260" i="19"/>
  <c r="AD2260" i="19" s="1"/>
  <c r="AG2260" i="19"/>
  <c r="F2335" i="19"/>
  <c r="L2335" i="19"/>
  <c r="AA2335" i="19" a="1"/>
  <c r="AA2335" i="19" s="1"/>
  <c r="X2335" i="19" s="1"/>
  <c r="S2335" i="19"/>
  <c r="V2335" i="19"/>
  <c r="W2335" i="19" s="1"/>
  <c r="Y2335" i="19"/>
  <c r="AC2335" i="19"/>
  <c r="AE2335" i="19" s="1"/>
  <c r="AG2335" i="19"/>
  <c r="F2307" i="19"/>
  <c r="L2307" i="19"/>
  <c r="AA2307" i="19" a="1"/>
  <c r="AA2307" i="19" s="1"/>
  <c r="X2307" i="19" s="1"/>
  <c r="V2307" i="19"/>
  <c r="W2307" i="19" s="1"/>
  <c r="Y2307" i="19"/>
  <c r="L2308" i="19"/>
  <c r="AA2308" i="19" a="1"/>
  <c r="AA2308" i="19" s="1"/>
  <c r="X2308" i="19" s="1"/>
  <c r="V2308" i="19"/>
  <c r="W2308" i="19" s="1"/>
  <c r="Y2308" i="19"/>
  <c r="AE2308" i="19"/>
  <c r="L2309" i="19"/>
  <c r="AA2309" i="19" a="1"/>
  <c r="AA2309" i="19" s="1"/>
  <c r="X2309" i="19" s="1"/>
  <c r="S2309" i="19"/>
  <c r="V2309" i="19"/>
  <c r="W2309" i="19" s="1"/>
  <c r="Y2309" i="19"/>
  <c r="AF2309" i="19"/>
  <c r="L2310" i="19"/>
  <c r="AA2310" i="19" a="1"/>
  <c r="AA2310" i="19" s="1"/>
  <c r="X2310" i="19" s="1"/>
  <c r="V2310" i="19"/>
  <c r="W2310" i="19" s="1"/>
  <c r="Y2310" i="19"/>
  <c r="AE2310" i="19"/>
  <c r="L2311" i="19"/>
  <c r="AA2311" i="19" a="1"/>
  <c r="AA2311" i="19" s="1"/>
  <c r="X2311" i="19" s="1"/>
  <c r="V2311" i="19"/>
  <c r="W2311" i="19" s="1"/>
  <c r="Y2311" i="19"/>
  <c r="J2312" i="19"/>
  <c r="F2312" i="19" s="1"/>
  <c r="L2312" i="19"/>
  <c r="AA2312" i="19" a="1"/>
  <c r="AA2312" i="19" s="1"/>
  <c r="X2312" i="19" s="1"/>
  <c r="V2312" i="19"/>
  <c r="W2312" i="19" s="1"/>
  <c r="Y2312" i="19"/>
  <c r="J2313" i="19"/>
  <c r="F2313" i="19" s="1"/>
  <c r="L2313" i="19"/>
  <c r="AA2313" i="19" a="1"/>
  <c r="AA2313" i="19" s="1"/>
  <c r="X2313" i="19" s="1"/>
  <c r="S2313" i="19"/>
  <c r="V2313" i="19"/>
  <c r="W2313" i="19" s="1"/>
  <c r="Y2313" i="19"/>
  <c r="J2314" i="19"/>
  <c r="F2314" i="19" s="1"/>
  <c r="L2314" i="19"/>
  <c r="S2314" i="19"/>
  <c r="V2314" i="19"/>
  <c r="Y2314" i="19"/>
  <c r="J2315" i="19"/>
  <c r="L2315" i="19"/>
  <c r="S2315" i="19"/>
  <c r="V2315" i="19"/>
  <c r="Y2315" i="19"/>
  <c r="J2316" i="19"/>
  <c r="L2316" i="19"/>
  <c r="S2316" i="19"/>
  <c r="V2316" i="19"/>
  <c r="Y2316" i="19"/>
  <c r="J2317" i="19"/>
  <c r="L2317" i="19"/>
  <c r="S2317" i="19"/>
  <c r="V2317" i="19"/>
  <c r="Y2317" i="19"/>
  <c r="J2318" i="19"/>
  <c r="F2318" i="19" s="1"/>
  <c r="L2318" i="19"/>
  <c r="S2318" i="19"/>
  <c r="V2318" i="19"/>
  <c r="Y2318" i="19"/>
  <c r="J2319" i="19"/>
  <c r="L2319" i="19"/>
  <c r="S2319" i="19"/>
  <c r="V2319" i="19"/>
  <c r="Y2319" i="19"/>
  <c r="J2320" i="19"/>
  <c r="F2320" i="19" s="1"/>
  <c r="L2320" i="19"/>
  <c r="V2320" i="19"/>
  <c r="Y2320" i="19"/>
  <c r="J2321" i="19"/>
  <c r="L2321" i="19"/>
  <c r="S2321" i="19"/>
  <c r="V2321" i="19"/>
  <c r="Y2321" i="19"/>
  <c r="J2322" i="19"/>
  <c r="F2322" i="19" s="1"/>
  <c r="L2322" i="19"/>
  <c r="S2322" i="19"/>
  <c r="V2322" i="19"/>
  <c r="Y2322" i="19"/>
  <c r="J2323" i="19"/>
  <c r="F2323" i="19" s="1"/>
  <c r="L2323" i="19"/>
  <c r="S2323" i="19"/>
  <c r="V2323" i="19"/>
  <c r="Y2323" i="19"/>
  <c r="J2324" i="19"/>
  <c r="L2324" i="19"/>
  <c r="S2324" i="19"/>
  <c r="V2324" i="19"/>
  <c r="Y2324" i="19"/>
  <c r="J2325" i="19"/>
  <c r="F2325" i="19" s="1"/>
  <c r="L2325" i="19"/>
  <c r="S2325" i="19"/>
  <c r="V2325" i="19"/>
  <c r="Y2325" i="19"/>
  <c r="J2326" i="19"/>
  <c r="F2326" i="19" s="1"/>
  <c r="L2326" i="19"/>
  <c r="S2326" i="19"/>
  <c r="V2326" i="19"/>
  <c r="Y2326" i="19"/>
  <c r="J2327" i="19"/>
  <c r="L2327" i="19"/>
  <c r="S2327" i="19"/>
  <c r="V2327" i="19"/>
  <c r="Y2327" i="19"/>
  <c r="J2328" i="19"/>
  <c r="L2328" i="19"/>
  <c r="S2328" i="19"/>
  <c r="V2328" i="19"/>
  <c r="Y2328" i="19"/>
  <c r="J2329" i="19"/>
  <c r="L2329" i="19"/>
  <c r="S2329" i="19"/>
  <c r="V2329" i="19"/>
  <c r="Y2329" i="19"/>
  <c r="J2330" i="19"/>
  <c r="F2330" i="19" s="1"/>
  <c r="L2330" i="19"/>
  <c r="S2330" i="19"/>
  <c r="V2330" i="19"/>
  <c r="Y2330" i="19"/>
  <c r="J2331" i="19"/>
  <c r="F2331" i="19" s="1"/>
  <c r="L2331" i="19"/>
  <c r="S2331" i="19"/>
  <c r="V2331" i="19"/>
  <c r="Y2331" i="19"/>
  <c r="J2332" i="19"/>
  <c r="L2332" i="19"/>
  <c r="V2332" i="19"/>
  <c r="Y2332" i="19"/>
  <c r="J2333" i="19"/>
  <c r="L2333" i="19"/>
  <c r="S2333" i="19"/>
  <c r="V2333" i="19"/>
  <c r="Y2333" i="19"/>
  <c r="J2334" i="19"/>
  <c r="F2334" i="19" s="1"/>
  <c r="L2334" i="19"/>
  <c r="S2334" i="19"/>
  <c r="V2334" i="19"/>
  <c r="Y2334" i="19"/>
  <c r="AE2334" i="19"/>
  <c r="J2261" i="19"/>
  <c r="L2261" i="19"/>
  <c r="AA2261" i="19" a="1"/>
  <c r="AA2261" i="19" s="1"/>
  <c r="X2261" i="19" s="1"/>
  <c r="S2261" i="19"/>
  <c r="V2261" i="19"/>
  <c r="W2261" i="19" s="1"/>
  <c r="Y2261" i="19"/>
  <c r="AC2261" i="19"/>
  <c r="AG2261" i="19"/>
  <c r="AA2376" i="19" a="1"/>
  <c r="AA2376" i="19" s="1"/>
  <c r="X2376" i="19" s="1"/>
  <c r="S2376" i="19"/>
  <c r="V2376" i="19"/>
  <c r="W2376" i="19" s="1"/>
  <c r="Y2376" i="19"/>
  <c r="AC2376" i="19"/>
  <c r="AG2376" i="19"/>
  <c r="AA2377" i="19" a="1"/>
  <c r="AA2377" i="19" s="1"/>
  <c r="X2377" i="19" s="1"/>
  <c r="S2377" i="19"/>
  <c r="V2377" i="19"/>
  <c r="W2377" i="19" s="1"/>
  <c r="Y2377" i="19"/>
  <c r="AC2377" i="19"/>
  <c r="AG2377" i="19"/>
  <c r="AA2378" i="19" a="1"/>
  <c r="AA2378" i="19" s="1"/>
  <c r="X2378" i="19" s="1"/>
  <c r="S2378" i="19"/>
  <c r="V2378" i="19"/>
  <c r="W2378" i="19" s="1"/>
  <c r="Y2378" i="19"/>
  <c r="AC2378" i="19"/>
  <c r="AE2378" i="19" s="1"/>
  <c r="AG2378" i="19"/>
  <c r="AA2379" i="19" a="1"/>
  <c r="AA2379" i="19" s="1"/>
  <c r="X2379" i="19" s="1"/>
  <c r="S2379" i="19"/>
  <c r="V2379" i="19"/>
  <c r="W2379" i="19" s="1"/>
  <c r="Y2379" i="19"/>
  <c r="AC2379" i="19"/>
  <c r="AG2379" i="19"/>
  <c r="AA2380" i="19" a="1"/>
  <c r="AA2380" i="19" s="1"/>
  <c r="X2380" i="19" s="1"/>
  <c r="S2380" i="19"/>
  <c r="V2380" i="19"/>
  <c r="W2380" i="19" s="1"/>
  <c r="Y2380" i="19"/>
  <c r="AC2380" i="19"/>
  <c r="AD2380" i="19" s="1"/>
  <c r="AG2380" i="19"/>
  <c r="AA2381" i="19" a="1"/>
  <c r="AA2381" i="19" s="1"/>
  <c r="X2381" i="19" s="1"/>
  <c r="S2381" i="19"/>
  <c r="V2381" i="19"/>
  <c r="W2381" i="19" s="1"/>
  <c r="Y2381" i="19"/>
  <c r="AC2381" i="19"/>
  <c r="AG2381" i="19"/>
  <c r="AA2382" i="19" a="1"/>
  <c r="AA2382" i="19" s="1"/>
  <c r="X2382" i="19" s="1"/>
  <c r="S2382" i="19"/>
  <c r="V2382" i="19"/>
  <c r="W2382" i="19" s="1"/>
  <c r="Y2382" i="19"/>
  <c r="AC2382" i="19"/>
  <c r="AG2382" i="19"/>
  <c r="AA2383" i="19" a="1"/>
  <c r="AA2383" i="19" s="1"/>
  <c r="X2383" i="19" s="1"/>
  <c r="S2383" i="19"/>
  <c r="V2383" i="19"/>
  <c r="W2383" i="19" s="1"/>
  <c r="Y2383" i="19"/>
  <c r="AC2383" i="19"/>
  <c r="AG2383" i="19"/>
  <c r="AA2384" i="19" a="1"/>
  <c r="AA2384" i="19" s="1"/>
  <c r="X2384" i="19" s="1"/>
  <c r="S2384" i="19"/>
  <c r="V2384" i="19"/>
  <c r="W2384" i="19" s="1"/>
  <c r="Y2384" i="19"/>
  <c r="AC2384" i="19"/>
  <c r="AF2384" i="19" s="1"/>
  <c r="AG2384" i="19"/>
  <c r="AA2385" i="19" a="1"/>
  <c r="AA2385" i="19" s="1"/>
  <c r="X2385" i="19" s="1"/>
  <c r="S2385" i="19"/>
  <c r="V2385" i="19"/>
  <c r="W2385" i="19" s="1"/>
  <c r="Y2385" i="19"/>
  <c r="AC2385" i="19"/>
  <c r="AD2385" i="19" s="1"/>
  <c r="AG2385" i="19"/>
  <c r="AA2386" i="19" a="1"/>
  <c r="AA2386" i="19" s="1"/>
  <c r="X2386" i="19" s="1"/>
  <c r="S2386" i="19"/>
  <c r="V2386" i="19"/>
  <c r="W2386" i="19" s="1"/>
  <c r="Y2386" i="19"/>
  <c r="AC2386" i="19"/>
  <c r="AE2386" i="19" s="1"/>
  <c r="AG2386" i="19"/>
  <c r="AA2387" i="19" a="1"/>
  <c r="AA2387" i="19" s="1"/>
  <c r="X2387" i="19" s="1"/>
  <c r="S2387" i="19"/>
  <c r="V2387" i="19"/>
  <c r="W2387" i="19" s="1"/>
  <c r="Y2387" i="19"/>
  <c r="AC2387" i="19"/>
  <c r="AG2387" i="19"/>
  <c r="AA2388" i="19" a="1"/>
  <c r="AA2388" i="19" s="1"/>
  <c r="X2388" i="19" s="1"/>
  <c r="S2388" i="19"/>
  <c r="V2388" i="19"/>
  <c r="W2388" i="19" s="1"/>
  <c r="Y2388" i="19"/>
  <c r="AC2388" i="19"/>
  <c r="AD2388" i="19" s="1"/>
  <c r="AG2388" i="19"/>
  <c r="AA2389" i="19" a="1"/>
  <c r="AA2389" i="19" s="1"/>
  <c r="X2389" i="19" s="1"/>
  <c r="S2389" i="19"/>
  <c r="V2389" i="19"/>
  <c r="W2389" i="19" s="1"/>
  <c r="Y2389" i="19"/>
  <c r="AC2389" i="19"/>
  <c r="AG2389" i="19"/>
  <c r="AA2294" i="19" a="1"/>
  <c r="AA2294" i="19" s="1"/>
  <c r="X2294" i="19" s="1"/>
  <c r="S2294" i="19"/>
  <c r="V2294" i="19"/>
  <c r="W2294" i="19" s="1"/>
  <c r="Y2294" i="19"/>
  <c r="AC2294" i="19"/>
  <c r="AG2294" i="19"/>
  <c r="AA2293" i="19" a="1"/>
  <c r="AA2293" i="19" s="1"/>
  <c r="X2293" i="19" s="1"/>
  <c r="S2293" i="19"/>
  <c r="V2293" i="19"/>
  <c r="W2293" i="19" s="1"/>
  <c r="Y2293" i="19"/>
  <c r="AC2293" i="19"/>
  <c r="AG2293" i="19"/>
  <c r="AA2292" i="19" a="1"/>
  <c r="AA2292" i="19" s="1"/>
  <c r="X2292" i="19" s="1"/>
  <c r="S2292" i="19"/>
  <c r="V2292" i="19"/>
  <c r="W2292" i="19" s="1"/>
  <c r="Y2292" i="19"/>
  <c r="AC2292" i="19"/>
  <c r="AD2292" i="19" s="1"/>
  <c r="AG2292" i="19"/>
  <c r="AA2291" i="19" a="1"/>
  <c r="AA2291" i="19" s="1"/>
  <c r="X2291" i="19" s="1"/>
  <c r="S2291" i="19"/>
  <c r="V2291" i="19"/>
  <c r="W2291" i="19" s="1"/>
  <c r="Y2291" i="19"/>
  <c r="AC2291" i="19"/>
  <c r="AG2291" i="19"/>
  <c r="AA2289" i="19" a="1"/>
  <c r="AA2289" i="19" s="1"/>
  <c r="X2289" i="19" s="1"/>
  <c r="S2289" i="19"/>
  <c r="V2289" i="19"/>
  <c r="W2289" i="19" s="1"/>
  <c r="Y2289" i="19"/>
  <c r="AC2289" i="19"/>
  <c r="AG2289" i="19"/>
  <c r="AA2290" i="19" a="1"/>
  <c r="AA2290" i="19" s="1"/>
  <c r="X2290" i="19" s="1"/>
  <c r="S2290" i="19"/>
  <c r="V2290" i="19"/>
  <c r="W2290" i="19" s="1"/>
  <c r="Y2290" i="19"/>
  <c r="AC2290" i="19"/>
  <c r="AG2290" i="19"/>
  <c r="L2390" i="19"/>
  <c r="AA2390" i="19" a="1"/>
  <c r="AA2390" i="19" s="1"/>
  <c r="X2390" i="19" s="1"/>
  <c r="V2390" i="19"/>
  <c r="W2390" i="19" s="1"/>
  <c r="Y2390" i="19"/>
  <c r="AC2390" i="19"/>
  <c r="AD2390" i="19" s="1"/>
  <c r="AG2390" i="19"/>
  <c r="L2288" i="19"/>
  <c r="AA2288" i="19" a="1"/>
  <c r="AA2288" i="19" s="1"/>
  <c r="X2288" i="19" s="1"/>
  <c r="S2288" i="19"/>
  <c r="V2288" i="19"/>
  <c r="W2288" i="19" s="1"/>
  <c r="Y2288" i="19"/>
  <c r="AC2288" i="19"/>
  <c r="AG2288" i="19"/>
  <c r="F2287" i="19"/>
  <c r="L2287" i="19"/>
  <c r="AA2287" i="19" a="1"/>
  <c r="AA2287" i="19" s="1"/>
  <c r="X2287" i="19" s="1"/>
  <c r="S2287" i="19"/>
  <c r="V2287" i="19"/>
  <c r="W2287" i="19" s="1"/>
  <c r="Y2287" i="19"/>
  <c r="AC2287" i="19"/>
  <c r="AE2287" i="19" s="1"/>
  <c r="AG2287" i="19"/>
  <c r="J2391" i="19"/>
  <c r="F2391" i="19" s="1"/>
  <c r="L2391" i="19"/>
  <c r="AA2391" i="19" a="1"/>
  <c r="AA2391" i="19" s="1"/>
  <c r="X2391" i="19" s="1"/>
  <c r="S2391" i="19"/>
  <c r="V2391" i="19"/>
  <c r="W2391" i="19" s="1"/>
  <c r="Y2391" i="19"/>
  <c r="AC2391" i="19"/>
  <c r="AG2391" i="19"/>
  <c r="J2392" i="19"/>
  <c r="L2392" i="19"/>
  <c r="AA2392" i="19" a="1"/>
  <c r="AA2392" i="19" s="1"/>
  <c r="X2392" i="19" s="1"/>
  <c r="S2392" i="19"/>
  <c r="V2392" i="19"/>
  <c r="W2392" i="19" s="1"/>
  <c r="Y2392" i="19"/>
  <c r="AC2392" i="19"/>
  <c r="AG2392" i="19"/>
  <c r="J2393" i="19"/>
  <c r="F2393" i="19" s="1"/>
  <c r="L2393" i="19"/>
  <c r="AA2393" i="19" a="1"/>
  <c r="AA2393" i="19" s="1"/>
  <c r="X2393" i="19" s="1"/>
  <c r="S2393" i="19"/>
  <c r="V2393" i="19"/>
  <c r="W2393" i="19" s="1"/>
  <c r="Y2393" i="19"/>
  <c r="AC2393" i="19"/>
  <c r="AE2393" i="19" s="1"/>
  <c r="AG2393" i="19"/>
  <c r="J2394" i="19"/>
  <c r="L2394" i="19"/>
  <c r="AA2394" i="19" a="1"/>
  <c r="AA2394" i="19" s="1"/>
  <c r="X2394" i="19" s="1"/>
  <c r="S2394" i="19"/>
  <c r="V2394" i="19"/>
  <c r="W2394" i="19" s="1"/>
  <c r="Y2394" i="19"/>
  <c r="AC2394" i="19"/>
  <c r="AG2394" i="19"/>
  <c r="J2395" i="19"/>
  <c r="L2395" i="19"/>
  <c r="AA2395" i="19" a="1"/>
  <c r="AA2395" i="19" s="1"/>
  <c r="X2395" i="19" s="1"/>
  <c r="S2395" i="19"/>
  <c r="V2395" i="19"/>
  <c r="W2395" i="19" s="1"/>
  <c r="Y2395" i="19"/>
  <c r="AE2395" i="19"/>
  <c r="J2396" i="19"/>
  <c r="L2396" i="19"/>
  <c r="AA2396" i="19" a="1"/>
  <c r="AA2396" i="19" s="1"/>
  <c r="X2396" i="19" s="1"/>
  <c r="S2396" i="19"/>
  <c r="V2396" i="19"/>
  <c r="W2396" i="19" s="1"/>
  <c r="Y2396" i="19"/>
  <c r="AF2396" i="19"/>
  <c r="AG2396" i="19"/>
  <c r="J2397" i="19"/>
  <c r="F2397" i="19" s="1"/>
  <c r="L2397" i="19"/>
  <c r="AA2397" i="19" a="1"/>
  <c r="AA2397" i="19" s="1"/>
  <c r="X2397" i="19" s="1"/>
  <c r="S2397" i="19"/>
  <c r="V2397" i="19"/>
  <c r="W2397" i="19" s="1"/>
  <c r="Y2397" i="19"/>
  <c r="AG2397" i="19"/>
  <c r="J2398" i="19"/>
  <c r="F2398" i="19" s="1"/>
  <c r="L2398" i="19"/>
  <c r="AA2398" i="19" a="1"/>
  <c r="AA2398" i="19" s="1"/>
  <c r="X2398" i="19" s="1"/>
  <c r="S2398" i="19"/>
  <c r="V2398" i="19"/>
  <c r="W2398" i="19" s="1"/>
  <c r="Y2398" i="19"/>
  <c r="AG2398" i="19"/>
  <c r="J2399" i="19"/>
  <c r="L2399" i="19"/>
  <c r="AA2399" i="19" a="1"/>
  <c r="AA2399" i="19" s="1"/>
  <c r="X2399" i="19" s="1"/>
  <c r="S2399" i="19"/>
  <c r="V2399" i="19"/>
  <c r="W2399" i="19" s="1"/>
  <c r="Y2399" i="19"/>
  <c r="AG2399" i="19"/>
  <c r="L2400" i="19"/>
  <c r="AA2400" i="19" a="1"/>
  <c r="AA2400" i="19" s="1"/>
  <c r="X2400" i="19" s="1"/>
  <c r="S2400" i="19"/>
  <c r="V2400" i="19"/>
  <c r="W2400" i="19" s="1"/>
  <c r="Y2400" i="19"/>
  <c r="AG2400" i="19"/>
  <c r="J2401" i="19"/>
  <c r="F2401" i="19" s="1"/>
  <c r="L2401" i="19"/>
  <c r="AA2401" i="19" a="1"/>
  <c r="AA2401" i="19" s="1"/>
  <c r="X2401" i="19" s="1"/>
  <c r="S2401" i="19"/>
  <c r="V2401" i="19"/>
  <c r="W2401" i="19" s="1"/>
  <c r="Y2401" i="19"/>
  <c r="AC2401" i="19"/>
  <c r="J2402" i="19"/>
  <c r="F2402" i="19" s="1"/>
  <c r="L2402" i="19"/>
  <c r="AA2402" i="19" a="1"/>
  <c r="AA2402" i="19" s="1"/>
  <c r="X2402" i="19" s="1"/>
  <c r="S2402" i="19"/>
  <c r="V2402" i="19"/>
  <c r="W2402" i="19" s="1"/>
  <c r="Y2402" i="19"/>
  <c r="AC2402" i="19"/>
  <c r="AG2401" i="19"/>
  <c r="J2403" i="19"/>
  <c r="L2403" i="19"/>
  <c r="AA2403" i="19" a="1"/>
  <c r="AA2403" i="19" s="1"/>
  <c r="X2403" i="19" s="1"/>
  <c r="S2403" i="19"/>
  <c r="V2403" i="19"/>
  <c r="W2403" i="19" s="1"/>
  <c r="Y2403" i="19"/>
  <c r="AC2403" i="19"/>
  <c r="AF2403" i="19" s="1"/>
  <c r="AG2403" i="19"/>
  <c r="J2404" i="19"/>
  <c r="L2404" i="19"/>
  <c r="V2404" i="19"/>
  <c r="Y2404" i="19"/>
  <c r="AF2404" i="19"/>
  <c r="J2405" i="19"/>
  <c r="F2405" i="19" s="1"/>
  <c r="L2405" i="19"/>
  <c r="V2405" i="19"/>
  <c r="Y2405" i="19"/>
  <c r="AE2405" i="19"/>
  <c r="J2406" i="19"/>
  <c r="F2406" i="19" s="1"/>
  <c r="L2406" i="19"/>
  <c r="AA2406" i="19" a="1"/>
  <c r="AA2406" i="19" s="1"/>
  <c r="X2406" i="19" s="1"/>
  <c r="S2406" i="19"/>
  <c r="V2406" i="19"/>
  <c r="W2406" i="19" s="1"/>
  <c r="Y2406" i="19"/>
  <c r="J2408" i="19"/>
  <c r="L2408" i="19"/>
  <c r="AA2408" i="19" a="1"/>
  <c r="AA2408" i="19" s="1"/>
  <c r="X2408" i="19" s="1"/>
  <c r="S2408" i="19"/>
  <c r="V2408" i="19"/>
  <c r="W2408" i="19" s="1"/>
  <c r="Y2408" i="19"/>
  <c r="J2409" i="19"/>
  <c r="L2409" i="19"/>
  <c r="AA2409" i="19" a="1"/>
  <c r="AA2409" i="19" s="1"/>
  <c r="X2409" i="19" s="1"/>
  <c r="V2409" i="19"/>
  <c r="W2409" i="19" s="1"/>
  <c r="Y2409" i="19"/>
  <c r="AF2409" i="19"/>
  <c r="J2410" i="19"/>
  <c r="F2410" i="19" s="1"/>
  <c r="L2410" i="19"/>
  <c r="AA2410" i="19" a="1"/>
  <c r="AA2410" i="19" s="1"/>
  <c r="X2410" i="19" s="1"/>
  <c r="S2410" i="19"/>
  <c r="V2410" i="19"/>
  <c r="W2410" i="19" s="1"/>
  <c r="Y2410" i="19"/>
  <c r="J2411" i="19"/>
  <c r="F2411" i="19" s="1"/>
  <c r="L2411" i="19"/>
  <c r="AA2411" i="19" a="1"/>
  <c r="AA2411" i="19" s="1"/>
  <c r="X2411" i="19" s="1"/>
  <c r="S2411" i="19"/>
  <c r="V2411" i="19"/>
  <c r="W2411" i="19" s="1"/>
  <c r="Y2411" i="19"/>
  <c r="J2412" i="19"/>
  <c r="L2412" i="19"/>
  <c r="AA2412" i="19" a="1"/>
  <c r="AA2412" i="19" s="1"/>
  <c r="X2412" i="19" s="1"/>
  <c r="S2412" i="19"/>
  <c r="V2412" i="19"/>
  <c r="W2412" i="19" s="1"/>
  <c r="Y2412" i="19"/>
  <c r="AD2412" i="19"/>
  <c r="J2413" i="19"/>
  <c r="L2413" i="19"/>
  <c r="AA2413" i="19" a="1"/>
  <c r="AA2413" i="19" s="1"/>
  <c r="X2413" i="19" s="1"/>
  <c r="S2413" i="19"/>
  <c r="V2413" i="19"/>
  <c r="W2413" i="19" s="1"/>
  <c r="Y2413" i="19"/>
  <c r="AF2413" i="19"/>
  <c r="J2414" i="19"/>
  <c r="F2414" i="19" s="1"/>
  <c r="L2414" i="19"/>
  <c r="AA2414" i="19" a="1"/>
  <c r="AA2414" i="19" s="1"/>
  <c r="X2414" i="19" s="1"/>
  <c r="S2414" i="19"/>
  <c r="V2414" i="19"/>
  <c r="W2414" i="19" s="1"/>
  <c r="Y2414" i="19"/>
  <c r="AE2414" i="19"/>
  <c r="J2415" i="19"/>
  <c r="F2415" i="19" s="1"/>
  <c r="L2415" i="19"/>
  <c r="AA2415" i="19" a="1"/>
  <c r="AA2415" i="19" s="1"/>
  <c r="X2415" i="19" s="1"/>
  <c r="S2415" i="19"/>
  <c r="V2415" i="19"/>
  <c r="W2415" i="19" s="1"/>
  <c r="Y2415" i="19"/>
  <c r="J2416" i="19"/>
  <c r="L2416" i="19"/>
  <c r="AA2416" i="19" a="1"/>
  <c r="AA2416" i="19" s="1"/>
  <c r="X2416" i="19" s="1"/>
  <c r="S2416" i="19"/>
  <c r="V2416" i="19"/>
  <c r="W2416" i="19" s="1"/>
  <c r="Y2416" i="19"/>
  <c r="J2417" i="19"/>
  <c r="L2417" i="19"/>
  <c r="AA2417" i="19" a="1"/>
  <c r="AA2417" i="19" s="1"/>
  <c r="X2417" i="19" s="1"/>
  <c r="S2417" i="19"/>
  <c r="V2417" i="19"/>
  <c r="W2417" i="19" s="1"/>
  <c r="Y2417" i="19"/>
  <c r="AF2417" i="19"/>
  <c r="J2418" i="19"/>
  <c r="F2418" i="19" s="1"/>
  <c r="L2418" i="19"/>
  <c r="AA2418" i="19" a="1"/>
  <c r="AA2418" i="19" s="1"/>
  <c r="X2418" i="19" s="1"/>
  <c r="S2418" i="19"/>
  <c r="V2418" i="19"/>
  <c r="W2418" i="19" s="1"/>
  <c r="Y2418" i="19"/>
  <c r="AC2418" i="19"/>
  <c r="AE2418" i="19" s="1"/>
  <c r="AG2418" i="19"/>
  <c r="J2419" i="19"/>
  <c r="F2419" i="19" s="1"/>
  <c r="L2419" i="19"/>
  <c r="AA2419" i="19" a="1"/>
  <c r="AA2419" i="19" s="1"/>
  <c r="X2419" i="19" s="1"/>
  <c r="S2419" i="19"/>
  <c r="V2419" i="19"/>
  <c r="W2419" i="19" s="1"/>
  <c r="Y2419" i="19"/>
  <c r="AC2419" i="19"/>
  <c r="AG2419" i="19"/>
  <c r="J2420" i="19"/>
  <c r="L2420" i="19"/>
  <c r="AA2420" i="19" a="1"/>
  <c r="AA2420" i="19" s="1"/>
  <c r="X2420" i="19" s="1"/>
  <c r="S2420" i="19"/>
  <c r="V2420" i="19"/>
  <c r="W2420" i="19" s="1"/>
  <c r="Y2420" i="19"/>
  <c r="AG2420" i="19"/>
  <c r="J2421" i="19"/>
  <c r="L2421" i="19"/>
  <c r="AA2421" i="19" a="1"/>
  <c r="AA2421" i="19" s="1"/>
  <c r="X2421" i="19" s="1"/>
  <c r="S2421" i="19"/>
  <c r="V2421" i="19"/>
  <c r="W2421" i="19" s="1"/>
  <c r="Y2421" i="19"/>
  <c r="AF2421" i="19"/>
  <c r="AG2421" i="19"/>
  <c r="J2422" i="19"/>
  <c r="F2422" i="19" s="1"/>
  <c r="L2422" i="19"/>
  <c r="AA2422" i="19" a="1"/>
  <c r="AA2422" i="19" s="1"/>
  <c r="X2422" i="19" s="1"/>
  <c r="S2422" i="19"/>
  <c r="V2422" i="19"/>
  <c r="W2422" i="19" s="1"/>
  <c r="Y2422" i="19"/>
  <c r="AE2422" i="19"/>
  <c r="AG2422" i="19"/>
  <c r="J2423" i="19"/>
  <c r="F2423" i="19" s="1"/>
  <c r="L2423" i="19"/>
  <c r="AA2423" i="19" a="1"/>
  <c r="AA2423" i="19" s="1"/>
  <c r="X2423" i="19" s="1"/>
  <c r="S2423" i="19"/>
  <c r="V2423" i="19"/>
  <c r="W2423" i="19" s="1"/>
  <c r="Y2423" i="19"/>
  <c r="AG2423" i="19"/>
  <c r="J2424" i="19"/>
  <c r="L2424" i="19"/>
  <c r="AA2424" i="19" a="1"/>
  <c r="AA2424" i="19" s="1"/>
  <c r="X2424" i="19" s="1"/>
  <c r="S2424" i="19"/>
  <c r="V2424" i="19"/>
  <c r="W2424" i="19" s="1"/>
  <c r="Y2424" i="19"/>
  <c r="AD2424" i="19"/>
  <c r="AG2424" i="19"/>
  <c r="J2425" i="19"/>
  <c r="L2425" i="19"/>
  <c r="AA2425" i="19" a="1"/>
  <c r="AA2425" i="19" s="1"/>
  <c r="X2425" i="19" s="1"/>
  <c r="S2425" i="19"/>
  <c r="V2425" i="19"/>
  <c r="W2425" i="19" s="1"/>
  <c r="Y2425" i="19"/>
  <c r="AG2425" i="19"/>
  <c r="J2426" i="19"/>
  <c r="F2426" i="19" s="1"/>
  <c r="L2426" i="19"/>
  <c r="AA2426" i="19" a="1"/>
  <c r="AA2426" i="19" s="1"/>
  <c r="X2426" i="19" s="1"/>
  <c r="S2426" i="19"/>
  <c r="V2426" i="19"/>
  <c r="W2426" i="19" s="1"/>
  <c r="Y2426" i="19"/>
  <c r="AG2426" i="19"/>
  <c r="J2427" i="19"/>
  <c r="F2427" i="19" s="1"/>
  <c r="L2427" i="19"/>
  <c r="AA2427" i="19" a="1"/>
  <c r="AA2427" i="19" s="1"/>
  <c r="X2427" i="19" s="1"/>
  <c r="S2427" i="19"/>
  <c r="V2427" i="19"/>
  <c r="W2427" i="19" s="1"/>
  <c r="Y2427" i="19"/>
  <c r="AG2427" i="19"/>
  <c r="J2428" i="19"/>
  <c r="L2428" i="19"/>
  <c r="AA2428" i="19" a="1"/>
  <c r="AA2428" i="19" s="1"/>
  <c r="X2428" i="19" s="1"/>
  <c r="S2428" i="19"/>
  <c r="V2428" i="19"/>
  <c r="W2428" i="19" s="1"/>
  <c r="Y2428" i="19"/>
  <c r="AC2428" i="19"/>
  <c r="AF2428" i="19" s="1"/>
  <c r="AG2428" i="19"/>
  <c r="J2429" i="19"/>
  <c r="L2429" i="19"/>
  <c r="AA2429" i="19" a="1"/>
  <c r="AA2429" i="19" s="1"/>
  <c r="X2429" i="19" s="1"/>
  <c r="S2429" i="19"/>
  <c r="V2429" i="19"/>
  <c r="W2429" i="19" s="1"/>
  <c r="Y2429" i="19"/>
  <c r="AC2429" i="19"/>
  <c r="AF2429" i="19" s="1"/>
  <c r="AG2429" i="19"/>
  <c r="J2430" i="19"/>
  <c r="F2430" i="19" s="1"/>
  <c r="L2430" i="19"/>
  <c r="AA2430" i="19" a="1"/>
  <c r="AA2430" i="19" s="1"/>
  <c r="X2430" i="19" s="1"/>
  <c r="S2430" i="19"/>
  <c r="V2430" i="19"/>
  <c r="W2430" i="19" s="1"/>
  <c r="Y2430" i="19"/>
  <c r="AC2430" i="19"/>
  <c r="AE2430" i="19" s="1"/>
  <c r="AG2430" i="19"/>
  <c r="J2431" i="19"/>
  <c r="F2431" i="19" s="1"/>
  <c r="L2431" i="19"/>
  <c r="AA2431" i="19" a="1"/>
  <c r="AA2431" i="19" s="1"/>
  <c r="X2431" i="19" s="1"/>
  <c r="S2431" i="19"/>
  <c r="V2431" i="19"/>
  <c r="W2431" i="19" s="1"/>
  <c r="Y2431" i="19"/>
  <c r="AC2431" i="19"/>
  <c r="AG2431" i="19"/>
  <c r="J2432" i="19"/>
  <c r="L2432" i="19"/>
  <c r="AA2432" i="19" a="1"/>
  <c r="AA2432" i="19" s="1"/>
  <c r="X2432" i="19" s="1"/>
  <c r="S2432" i="19"/>
  <c r="V2432" i="19"/>
  <c r="W2432" i="19" s="1"/>
  <c r="Y2432" i="19"/>
  <c r="AC2432" i="19"/>
  <c r="AF2432" i="19" s="1"/>
  <c r="AG2432" i="19"/>
  <c r="J2433" i="19"/>
  <c r="L2433" i="19"/>
  <c r="AA2433" i="19" a="1"/>
  <c r="AA2433" i="19" s="1"/>
  <c r="X2433" i="19" s="1"/>
  <c r="S2433" i="19"/>
  <c r="V2433" i="19"/>
  <c r="W2433" i="19" s="1"/>
  <c r="Y2433" i="19"/>
  <c r="AC2433" i="19"/>
  <c r="AF2433" i="19" s="1"/>
  <c r="AG2433" i="19"/>
  <c r="J2434" i="19"/>
  <c r="F2434" i="19" s="1"/>
  <c r="L2434" i="19"/>
  <c r="AA2434" i="19" a="1"/>
  <c r="AA2434" i="19" s="1"/>
  <c r="X2434" i="19" s="1"/>
  <c r="S2434" i="19"/>
  <c r="V2434" i="19"/>
  <c r="W2434" i="19" s="1"/>
  <c r="Y2434" i="19"/>
  <c r="AC2434" i="19"/>
  <c r="AE2434" i="19" s="1"/>
  <c r="AG2434" i="19"/>
  <c r="J2435" i="19"/>
  <c r="F2435" i="19" s="1"/>
  <c r="L2435" i="19"/>
  <c r="AA2435" i="19" a="1"/>
  <c r="AA2435" i="19" s="1"/>
  <c r="X2435" i="19" s="1"/>
  <c r="S2435" i="19"/>
  <c r="V2435" i="19"/>
  <c r="W2435" i="19" s="1"/>
  <c r="Y2435" i="19"/>
  <c r="AC2435" i="19"/>
  <c r="AG2435" i="19"/>
  <c r="J2436" i="19"/>
  <c r="L2436" i="19"/>
  <c r="AA2436" i="19" a="1"/>
  <c r="AA2436" i="19" s="1"/>
  <c r="X2436" i="19" s="1"/>
  <c r="S2436" i="19"/>
  <c r="V2436" i="19"/>
  <c r="W2436" i="19" s="1"/>
  <c r="Y2436" i="19"/>
  <c r="AC2436" i="19"/>
  <c r="AD2436" i="19" s="1"/>
  <c r="AG2436" i="19"/>
  <c r="J2437" i="19"/>
  <c r="L2437" i="19"/>
  <c r="AA2437" i="19" a="1"/>
  <c r="AA2437" i="19" s="1"/>
  <c r="X2437" i="19" s="1"/>
  <c r="S2437" i="19"/>
  <c r="V2437" i="19"/>
  <c r="W2437" i="19" s="1"/>
  <c r="Y2437" i="19"/>
  <c r="AC2437" i="19"/>
  <c r="AF2437" i="19" s="1"/>
  <c r="AG2437" i="19"/>
  <c r="J2438" i="19"/>
  <c r="F2438" i="19" s="1"/>
  <c r="L2438" i="19"/>
  <c r="AA2438" i="19" a="1"/>
  <c r="AA2438" i="19" s="1"/>
  <c r="X2438" i="19" s="1"/>
  <c r="S2438" i="19"/>
  <c r="V2438" i="19"/>
  <c r="W2438" i="19" s="1"/>
  <c r="Y2438" i="19"/>
  <c r="AC2438" i="19"/>
  <c r="AE2438" i="19" s="1"/>
  <c r="AG2438" i="19"/>
  <c r="J2439" i="19"/>
  <c r="F2439" i="19" s="1"/>
  <c r="L2439" i="19"/>
  <c r="AA2439" i="19" a="1"/>
  <c r="AA2439" i="19" s="1"/>
  <c r="X2439" i="19" s="1"/>
  <c r="S2439" i="19"/>
  <c r="V2439" i="19"/>
  <c r="W2439" i="19" s="1"/>
  <c r="Y2439" i="19"/>
  <c r="AC2439" i="19"/>
  <c r="AG2439" i="19"/>
  <c r="J2440" i="19"/>
  <c r="L2440" i="19"/>
  <c r="AA2440" i="19" a="1"/>
  <c r="AA2440" i="19" s="1"/>
  <c r="X2440" i="19" s="1"/>
  <c r="S2440" i="19"/>
  <c r="V2440" i="19"/>
  <c r="W2440" i="19" s="1"/>
  <c r="Y2440" i="19"/>
  <c r="AC2440" i="19"/>
  <c r="AF2440" i="19" s="1"/>
  <c r="AG2440" i="19"/>
  <c r="J2441" i="19"/>
  <c r="L2441" i="19"/>
  <c r="AA2441" i="19" a="1"/>
  <c r="AA2441" i="19" s="1"/>
  <c r="X2441" i="19" s="1"/>
  <c r="S2441" i="19"/>
  <c r="V2441" i="19"/>
  <c r="W2441" i="19" s="1"/>
  <c r="Y2441" i="19"/>
  <c r="AC2441" i="19"/>
  <c r="AG2441" i="19"/>
  <c r="J2442" i="19"/>
  <c r="F2442" i="19" s="1"/>
  <c r="L2442" i="19"/>
  <c r="AA2442" i="19" a="1"/>
  <c r="AA2442" i="19" s="1"/>
  <c r="X2442" i="19" s="1"/>
  <c r="S2442" i="19"/>
  <c r="V2442" i="19"/>
  <c r="W2442" i="19" s="1"/>
  <c r="Y2442" i="19"/>
  <c r="AC2442" i="19"/>
  <c r="AE2442" i="19" s="1"/>
  <c r="AG2442" i="19"/>
  <c r="J2443" i="19"/>
  <c r="F2443" i="19" s="1"/>
  <c r="L2443" i="19"/>
  <c r="AA2443" i="19" a="1"/>
  <c r="AA2443" i="19" s="1"/>
  <c r="X2443" i="19" s="1"/>
  <c r="S2443" i="19"/>
  <c r="V2443" i="19"/>
  <c r="W2443" i="19" s="1"/>
  <c r="Y2443" i="19"/>
  <c r="AC2443" i="19"/>
  <c r="AG2443" i="19"/>
  <c r="J2444" i="19"/>
  <c r="L2444" i="19"/>
  <c r="AA2444" i="19" a="1"/>
  <c r="AA2444" i="19" s="1"/>
  <c r="X2444" i="19" s="1"/>
  <c r="S2444" i="19"/>
  <c r="V2444" i="19"/>
  <c r="W2444" i="19" s="1"/>
  <c r="Y2444" i="19"/>
  <c r="AC2444" i="19"/>
  <c r="AD2444" i="19" s="1"/>
  <c r="AG2444" i="19"/>
  <c r="J2445" i="19"/>
  <c r="L2445" i="19"/>
  <c r="AA2445" i="19" a="1"/>
  <c r="AA2445" i="19" s="1"/>
  <c r="X2445" i="19" s="1"/>
  <c r="S2445" i="19"/>
  <c r="V2445" i="19"/>
  <c r="W2445" i="19" s="1"/>
  <c r="Y2445" i="19"/>
  <c r="AC2445" i="19"/>
  <c r="AD2445" i="19" s="1"/>
  <c r="AG2445" i="19"/>
  <c r="J2446" i="19"/>
  <c r="F2446" i="19" s="1"/>
  <c r="L2446" i="19"/>
  <c r="AA2446" i="19" a="1"/>
  <c r="AA2446" i="19" s="1"/>
  <c r="X2446" i="19" s="1"/>
  <c r="S2446" i="19"/>
  <c r="V2446" i="19"/>
  <c r="W2446" i="19" s="1"/>
  <c r="Y2446" i="19"/>
  <c r="AC2446" i="19"/>
  <c r="AG2446" i="19"/>
  <c r="J2447" i="19"/>
  <c r="F2447" i="19" s="1"/>
  <c r="L2447" i="19"/>
  <c r="AA2447" i="19" a="1"/>
  <c r="AA2447" i="19" s="1"/>
  <c r="X2447" i="19" s="1"/>
  <c r="S2447" i="19"/>
  <c r="V2447" i="19"/>
  <c r="W2447" i="19" s="1"/>
  <c r="Y2447" i="19"/>
  <c r="AC2447" i="19"/>
  <c r="AG2447" i="19"/>
  <c r="J2448" i="19"/>
  <c r="L2448" i="19"/>
  <c r="AA2448" i="19" a="1"/>
  <c r="AA2448" i="19" s="1"/>
  <c r="X2448" i="19" s="1"/>
  <c r="S2448" i="19"/>
  <c r="V2448" i="19"/>
  <c r="W2448" i="19" s="1"/>
  <c r="Y2448" i="19"/>
  <c r="AC2448" i="19"/>
  <c r="AE2448" i="19" s="1"/>
  <c r="AG2448" i="19"/>
  <c r="J2449" i="19"/>
  <c r="L2449" i="19"/>
  <c r="AA2449" i="19" a="1"/>
  <c r="AA2449" i="19" s="1"/>
  <c r="X2449" i="19" s="1"/>
  <c r="S2449" i="19"/>
  <c r="V2449" i="19"/>
  <c r="W2449" i="19" s="1"/>
  <c r="Y2449" i="19"/>
  <c r="AC2449" i="19"/>
  <c r="AF2449" i="19" s="1"/>
  <c r="AG2449" i="19"/>
  <c r="J2450" i="19"/>
  <c r="F2450" i="19" s="1"/>
  <c r="L2450" i="19"/>
  <c r="AA2450" i="19" a="1"/>
  <c r="AA2450" i="19" s="1"/>
  <c r="X2450" i="19" s="1"/>
  <c r="S2450" i="19"/>
  <c r="V2450" i="19"/>
  <c r="W2450" i="19" s="1"/>
  <c r="Y2450" i="19"/>
  <c r="AC2450" i="19"/>
  <c r="AE2450" i="19" s="1"/>
  <c r="AG2450" i="19"/>
  <c r="J2451" i="19"/>
  <c r="F2451" i="19" s="1"/>
  <c r="L2451" i="19"/>
  <c r="AA2451" i="19" a="1"/>
  <c r="AA2451" i="19" s="1"/>
  <c r="X2451" i="19" s="1"/>
  <c r="S2451" i="19"/>
  <c r="V2451" i="19"/>
  <c r="W2451" i="19" s="1"/>
  <c r="Y2451" i="19"/>
  <c r="AC2451" i="19"/>
  <c r="AF2451" i="19" s="1"/>
  <c r="AG2451" i="19"/>
  <c r="J2452" i="19"/>
  <c r="L2452" i="19"/>
  <c r="AA2452" i="19" a="1"/>
  <c r="AA2452" i="19" s="1"/>
  <c r="X2452" i="19" s="1"/>
  <c r="S2452" i="19"/>
  <c r="V2452" i="19"/>
  <c r="W2452" i="19" s="1"/>
  <c r="Y2452" i="19"/>
  <c r="AC2452" i="19"/>
  <c r="AD2452" i="19" s="1"/>
  <c r="AG2452" i="19"/>
  <c r="J2453" i="19"/>
  <c r="F2453" i="19" s="1"/>
  <c r="L2453" i="19"/>
  <c r="AA2453" i="19" a="1"/>
  <c r="AA2453" i="19" s="1"/>
  <c r="X2453" i="19" s="1"/>
  <c r="S2453" i="19"/>
  <c r="V2453" i="19"/>
  <c r="W2453" i="19" s="1"/>
  <c r="Y2453" i="19"/>
  <c r="AC2453" i="19"/>
  <c r="AF2453" i="19" s="1"/>
  <c r="AG2453" i="19"/>
  <c r="J2454" i="19"/>
  <c r="F2454" i="19" s="1"/>
  <c r="L2454" i="19"/>
  <c r="AA2454" i="19" a="1"/>
  <c r="AA2454" i="19" s="1"/>
  <c r="X2454" i="19" s="1"/>
  <c r="S2454" i="19"/>
  <c r="V2454" i="19"/>
  <c r="W2454" i="19" s="1"/>
  <c r="Y2454" i="19"/>
  <c r="AC2454" i="19"/>
  <c r="AD2454" i="19" s="1"/>
  <c r="AG2454" i="19"/>
  <c r="J2455" i="19"/>
  <c r="F2455" i="19" s="1"/>
  <c r="L2455" i="19"/>
  <c r="AA2455" i="19" a="1"/>
  <c r="AA2455" i="19" s="1"/>
  <c r="X2455" i="19" s="1"/>
  <c r="S2455" i="19"/>
  <c r="V2455" i="19"/>
  <c r="W2455" i="19" s="1"/>
  <c r="Y2455" i="19"/>
  <c r="AC2455" i="19"/>
  <c r="AF2455" i="19" s="1"/>
  <c r="AG2455" i="19"/>
  <c r="J2456" i="19"/>
  <c r="L2456" i="19"/>
  <c r="AA2456" i="19" a="1"/>
  <c r="AA2456" i="19" s="1"/>
  <c r="X2456" i="19" s="1"/>
  <c r="S2456" i="19"/>
  <c r="V2456" i="19"/>
  <c r="W2456" i="19" s="1"/>
  <c r="Y2456" i="19"/>
  <c r="AC2456" i="19"/>
  <c r="AD2456" i="19" s="1"/>
  <c r="AG2456" i="19"/>
  <c r="J2457" i="19"/>
  <c r="F2457" i="19" s="1"/>
  <c r="L2457" i="19"/>
  <c r="AA2457" i="19" a="1"/>
  <c r="AA2457" i="19" s="1"/>
  <c r="X2457" i="19" s="1"/>
  <c r="S2457" i="19"/>
  <c r="V2457" i="19"/>
  <c r="W2457" i="19" s="1"/>
  <c r="Y2457" i="19"/>
  <c r="AC2457" i="19"/>
  <c r="AF2457" i="19" s="1"/>
  <c r="AG2457" i="19"/>
  <c r="J2458" i="19"/>
  <c r="F2458" i="19" s="1"/>
  <c r="L2458" i="19"/>
  <c r="AA2458" i="19" a="1"/>
  <c r="AA2458" i="19" s="1"/>
  <c r="X2458" i="19" s="1"/>
  <c r="S2458" i="19"/>
  <c r="V2458" i="19"/>
  <c r="W2458" i="19" s="1"/>
  <c r="Y2458" i="19"/>
  <c r="AC2458" i="19"/>
  <c r="AD2458" i="19" s="1"/>
  <c r="AG2458" i="19"/>
  <c r="J2459" i="19"/>
  <c r="F2459" i="19" s="1"/>
  <c r="L2459" i="19"/>
  <c r="AA2459" i="19" a="1"/>
  <c r="AA2459" i="19" s="1"/>
  <c r="X2459" i="19" s="1"/>
  <c r="S2459" i="19"/>
  <c r="V2459" i="19"/>
  <c r="W2459" i="19" s="1"/>
  <c r="Y2459" i="19"/>
  <c r="AC2459" i="19"/>
  <c r="AF2459" i="19" s="1"/>
  <c r="AG2459" i="19"/>
  <c r="J2460" i="19"/>
  <c r="L2460" i="19"/>
  <c r="AA2460" i="19" a="1"/>
  <c r="AA2460" i="19" s="1"/>
  <c r="X2460" i="19" s="1"/>
  <c r="S2460" i="19"/>
  <c r="V2460" i="19"/>
  <c r="W2460" i="19" s="1"/>
  <c r="Y2460" i="19"/>
  <c r="AC2460" i="19"/>
  <c r="AE2460" i="19" s="1"/>
  <c r="AG2460" i="19"/>
  <c r="J2461" i="19"/>
  <c r="L2461" i="19"/>
  <c r="AA2461" i="19" a="1"/>
  <c r="AA2461" i="19" s="1"/>
  <c r="X2461" i="19" s="1"/>
  <c r="S2461" i="19"/>
  <c r="V2461" i="19"/>
  <c r="W2461" i="19" s="1"/>
  <c r="Y2461" i="19"/>
  <c r="AC2461" i="19"/>
  <c r="AF2461" i="19" s="1"/>
  <c r="AG2461" i="19"/>
  <c r="J2462" i="19"/>
  <c r="F2462" i="19" s="1"/>
  <c r="L2462" i="19"/>
  <c r="AA2462" i="19" a="1"/>
  <c r="AA2462" i="19" s="1"/>
  <c r="X2462" i="19" s="1"/>
  <c r="S2462" i="19"/>
  <c r="V2462" i="19"/>
  <c r="W2462" i="19" s="1"/>
  <c r="Y2462" i="19"/>
  <c r="AC2462" i="19"/>
  <c r="AD2462" i="19" s="1"/>
  <c r="AG2462" i="19"/>
  <c r="J2463" i="19"/>
  <c r="F2463" i="19" s="1"/>
  <c r="L2463" i="19"/>
  <c r="AA2463" i="19" a="1"/>
  <c r="AA2463" i="19" s="1"/>
  <c r="X2463" i="19" s="1"/>
  <c r="S2463" i="19"/>
  <c r="V2463" i="19"/>
  <c r="W2463" i="19" s="1"/>
  <c r="Y2463" i="19"/>
  <c r="AC2463" i="19"/>
  <c r="AF2463" i="19" s="1"/>
  <c r="AG2463" i="19"/>
  <c r="J2464" i="19"/>
  <c r="L2464" i="19"/>
  <c r="AA2464" i="19" a="1"/>
  <c r="AA2464" i="19" s="1"/>
  <c r="X2464" i="19" s="1"/>
  <c r="S2464" i="19"/>
  <c r="V2464" i="19"/>
  <c r="W2464" i="19" s="1"/>
  <c r="Y2464" i="19"/>
  <c r="AC2464" i="19"/>
  <c r="AD2464" i="19" s="1"/>
  <c r="AG2464" i="19"/>
  <c r="J2465" i="19"/>
  <c r="F2465" i="19" s="1"/>
  <c r="L2465" i="19"/>
  <c r="AA2465" i="19" a="1"/>
  <c r="AA2465" i="19" s="1"/>
  <c r="X2465" i="19" s="1"/>
  <c r="S2465" i="19"/>
  <c r="V2465" i="19"/>
  <c r="W2465" i="19" s="1"/>
  <c r="Y2465" i="19"/>
  <c r="AC2465" i="19"/>
  <c r="AG2465" i="19"/>
  <c r="J2466" i="19"/>
  <c r="F2466" i="19" s="1"/>
  <c r="L2466" i="19"/>
  <c r="AA2466" i="19" a="1"/>
  <c r="AA2466" i="19" s="1"/>
  <c r="X2466" i="19" s="1"/>
  <c r="S2466" i="19"/>
  <c r="V2466" i="19"/>
  <c r="W2466" i="19" s="1"/>
  <c r="Y2466" i="19"/>
  <c r="AC2466" i="19"/>
  <c r="AD2466" i="19" s="1"/>
  <c r="AG2466" i="19"/>
  <c r="J2467" i="19"/>
  <c r="F2467" i="19" s="1"/>
  <c r="L2467" i="19"/>
  <c r="AA2467" i="19" a="1"/>
  <c r="AA2467" i="19" s="1"/>
  <c r="X2467" i="19" s="1"/>
  <c r="S2467" i="19"/>
  <c r="V2467" i="19"/>
  <c r="W2467" i="19" s="1"/>
  <c r="Y2467" i="19"/>
  <c r="AC2467" i="19"/>
  <c r="AF2467" i="19" s="1"/>
  <c r="AG2467" i="19"/>
  <c r="J2468" i="19"/>
  <c r="L2468" i="19"/>
  <c r="AA2468" i="19" a="1"/>
  <c r="AA2468" i="19" s="1"/>
  <c r="X2468" i="19" s="1"/>
  <c r="S2468" i="19"/>
  <c r="V2468" i="19"/>
  <c r="W2468" i="19" s="1"/>
  <c r="Y2468" i="19"/>
  <c r="AC2468" i="19"/>
  <c r="AF2468" i="19" s="1"/>
  <c r="AG2468" i="19"/>
  <c r="J2469" i="19"/>
  <c r="F2469" i="19" s="1"/>
  <c r="L2469" i="19"/>
  <c r="AA2469" i="19" a="1"/>
  <c r="AA2469" i="19" s="1"/>
  <c r="X2469" i="19" s="1"/>
  <c r="S2469" i="19"/>
  <c r="V2469" i="19"/>
  <c r="W2469" i="19" s="1"/>
  <c r="Y2469" i="19"/>
  <c r="AC2469" i="19"/>
  <c r="AF2469" i="19" s="1"/>
  <c r="AG2469" i="19"/>
  <c r="J2470" i="19"/>
  <c r="F2470" i="19" s="1"/>
  <c r="L2470" i="19"/>
  <c r="AA2470" i="19" a="1"/>
  <c r="AA2470" i="19" s="1"/>
  <c r="X2470" i="19" s="1"/>
  <c r="S2470" i="19"/>
  <c r="V2470" i="19"/>
  <c r="W2470" i="19" s="1"/>
  <c r="Y2470" i="19"/>
  <c r="AC2470" i="19"/>
  <c r="AD2470" i="19" s="1"/>
  <c r="AG2470" i="19"/>
  <c r="J2471" i="19"/>
  <c r="F2471" i="19" s="1"/>
  <c r="L2471" i="19"/>
  <c r="AA2471" i="19" a="1"/>
  <c r="AA2471" i="19" s="1"/>
  <c r="X2471" i="19" s="1"/>
  <c r="S2471" i="19"/>
  <c r="V2471" i="19"/>
  <c r="W2471" i="19" s="1"/>
  <c r="Y2471" i="19"/>
  <c r="AC2471" i="19"/>
  <c r="AF2471" i="19" s="1"/>
  <c r="AG2471" i="19"/>
  <c r="J2472" i="19"/>
  <c r="L2472" i="19"/>
  <c r="AA2472" i="19" a="1"/>
  <c r="AA2472" i="19" s="1"/>
  <c r="X2472" i="19" s="1"/>
  <c r="S2472" i="19"/>
  <c r="V2472" i="19"/>
  <c r="W2472" i="19" s="1"/>
  <c r="Y2472" i="19"/>
  <c r="AC2472" i="19"/>
  <c r="AE2472" i="19" s="1"/>
  <c r="AG2472" i="19"/>
  <c r="J2473" i="19"/>
  <c r="F2473" i="19" s="1"/>
  <c r="L2473" i="19"/>
  <c r="AA2473" i="19" a="1"/>
  <c r="AA2473" i="19" s="1"/>
  <c r="X2473" i="19" s="1"/>
  <c r="S2473" i="19"/>
  <c r="V2473" i="19"/>
  <c r="W2473" i="19" s="1"/>
  <c r="Y2473" i="19"/>
  <c r="AC2473" i="19"/>
  <c r="AF2473" i="19" s="1"/>
  <c r="AG2473" i="19"/>
  <c r="J2474" i="19"/>
  <c r="F2474" i="19" s="1"/>
  <c r="L2474" i="19"/>
  <c r="AA2474" i="19" a="1"/>
  <c r="AA2474" i="19" s="1"/>
  <c r="X2474" i="19" s="1"/>
  <c r="S2474" i="19"/>
  <c r="V2474" i="19"/>
  <c r="W2474" i="19" s="1"/>
  <c r="Y2474" i="19"/>
  <c r="AC2474" i="19"/>
  <c r="AE2474" i="19" s="1"/>
  <c r="AG2474" i="19"/>
  <c r="J2475" i="19"/>
  <c r="F2475" i="19" s="1"/>
  <c r="L2475" i="19"/>
  <c r="AA2475" i="19" a="1"/>
  <c r="AA2475" i="19" s="1"/>
  <c r="X2475" i="19" s="1"/>
  <c r="S2475" i="19"/>
  <c r="V2475" i="19"/>
  <c r="W2475" i="19" s="1"/>
  <c r="Y2475" i="19"/>
  <c r="AC2475" i="19"/>
  <c r="AD2475" i="19" s="1"/>
  <c r="AG2475" i="19"/>
  <c r="J2476" i="19"/>
  <c r="F2476" i="19" s="1"/>
  <c r="L2476" i="19"/>
  <c r="AA2476" i="19" a="1"/>
  <c r="AA2476" i="19" s="1"/>
  <c r="X2476" i="19" s="1"/>
  <c r="S2476" i="19"/>
  <c r="V2476" i="19"/>
  <c r="W2476" i="19" s="1"/>
  <c r="Y2476" i="19"/>
  <c r="AC2476" i="19"/>
  <c r="AG2476" i="19"/>
  <c r="J2477" i="19"/>
  <c r="F2477" i="19" s="1"/>
  <c r="L2477" i="19"/>
  <c r="AA2477" i="19" a="1"/>
  <c r="AA2477" i="19" s="1"/>
  <c r="X2477" i="19" s="1"/>
  <c r="S2477" i="19"/>
  <c r="V2477" i="19"/>
  <c r="W2477" i="19" s="1"/>
  <c r="Y2477" i="19"/>
  <c r="AC2477" i="19"/>
  <c r="AD2477" i="19" s="1"/>
  <c r="AG2477" i="19"/>
  <c r="J2478" i="19"/>
  <c r="F2478" i="19" s="1"/>
  <c r="L2478" i="19"/>
  <c r="AA2478" i="19" a="1"/>
  <c r="AA2478" i="19" s="1"/>
  <c r="X2478" i="19" s="1"/>
  <c r="S2478" i="19"/>
  <c r="V2478" i="19"/>
  <c r="W2478" i="19" s="1"/>
  <c r="Y2478" i="19"/>
  <c r="AC2478" i="19"/>
  <c r="AD2478" i="19" s="1"/>
  <c r="AG2478" i="19"/>
  <c r="J2479" i="19"/>
  <c r="L2479" i="19"/>
  <c r="AA2479" i="19" a="1"/>
  <c r="AA2479" i="19" s="1"/>
  <c r="X2479" i="19" s="1"/>
  <c r="S2479" i="19"/>
  <c r="V2479" i="19"/>
  <c r="W2479" i="19" s="1"/>
  <c r="Y2479" i="19"/>
  <c r="AC2479" i="19"/>
  <c r="AD2479" i="19" s="1"/>
  <c r="AG2479" i="19"/>
  <c r="J2480" i="19"/>
  <c r="F2480" i="19" s="1"/>
  <c r="L2480" i="19"/>
  <c r="AA2480" i="19" a="1"/>
  <c r="AA2480" i="19" s="1"/>
  <c r="X2480" i="19" s="1"/>
  <c r="S2480" i="19"/>
  <c r="V2480" i="19"/>
  <c r="W2480" i="19" s="1"/>
  <c r="Y2480" i="19"/>
  <c r="AC2480" i="19"/>
  <c r="AD2480" i="19" s="1"/>
  <c r="AG2480" i="19"/>
  <c r="J2481" i="19"/>
  <c r="F2481" i="19" s="1"/>
  <c r="L2481" i="19"/>
  <c r="AA2481" i="19" a="1"/>
  <c r="AA2481" i="19" s="1"/>
  <c r="X2481" i="19" s="1"/>
  <c r="S2481" i="19"/>
  <c r="V2481" i="19"/>
  <c r="W2481" i="19" s="1"/>
  <c r="Y2481" i="19"/>
  <c r="AC2481" i="19"/>
  <c r="AD2481" i="19" s="1"/>
  <c r="AG2481" i="19"/>
  <c r="J2482" i="19"/>
  <c r="F2482" i="19" s="1"/>
  <c r="L2482" i="19"/>
  <c r="AA2482" i="19" a="1"/>
  <c r="AA2482" i="19" s="1"/>
  <c r="X2482" i="19" s="1"/>
  <c r="S2482" i="19"/>
  <c r="V2482" i="19"/>
  <c r="W2482" i="19" s="1"/>
  <c r="Y2482" i="19"/>
  <c r="AC2482" i="19"/>
  <c r="AD2482" i="19" s="1"/>
  <c r="AG2482" i="19"/>
  <c r="J2483" i="19"/>
  <c r="L2483" i="19"/>
  <c r="AA2483" i="19" a="1"/>
  <c r="AA2483" i="19" s="1"/>
  <c r="X2483" i="19" s="1"/>
  <c r="S2483" i="19"/>
  <c r="V2483" i="19"/>
  <c r="W2483" i="19" s="1"/>
  <c r="Y2483" i="19"/>
  <c r="AC2483" i="19"/>
  <c r="AD2483" i="19" s="1"/>
  <c r="AG2483" i="19"/>
  <c r="J2484" i="19"/>
  <c r="F2484" i="19" s="1"/>
  <c r="L2484" i="19"/>
  <c r="AA2484" i="19" a="1"/>
  <c r="AA2484" i="19" s="1"/>
  <c r="X2484" i="19" s="1"/>
  <c r="S2484" i="19"/>
  <c r="V2484" i="19"/>
  <c r="W2484" i="19" s="1"/>
  <c r="Y2484" i="19"/>
  <c r="AC2484" i="19"/>
  <c r="AG2484" i="19"/>
  <c r="J2485" i="19"/>
  <c r="F2485" i="19" s="1"/>
  <c r="L2485" i="19"/>
  <c r="AA2485" i="19" a="1"/>
  <c r="AA2485" i="19" s="1"/>
  <c r="X2485" i="19" s="1"/>
  <c r="S2485" i="19"/>
  <c r="V2485" i="19"/>
  <c r="W2485" i="19" s="1"/>
  <c r="Y2485" i="19"/>
  <c r="AC2485" i="19"/>
  <c r="AD2485" i="19" s="1"/>
  <c r="AG2485" i="19"/>
  <c r="J2486" i="19"/>
  <c r="F2486" i="19" s="1"/>
  <c r="L2486" i="19"/>
  <c r="AA2486" i="19" a="1"/>
  <c r="AA2486" i="19" s="1"/>
  <c r="X2486" i="19" s="1"/>
  <c r="S2486" i="19"/>
  <c r="V2486" i="19"/>
  <c r="W2486" i="19" s="1"/>
  <c r="Y2486" i="19"/>
  <c r="AC2486" i="19"/>
  <c r="AD2486" i="19" s="1"/>
  <c r="AG2486" i="19"/>
  <c r="J2487" i="19"/>
  <c r="L2487" i="19"/>
  <c r="AA2487" i="19" a="1"/>
  <c r="AA2487" i="19" s="1"/>
  <c r="X2487" i="19" s="1"/>
  <c r="S2487" i="19"/>
  <c r="V2487" i="19"/>
  <c r="W2487" i="19" s="1"/>
  <c r="Y2487" i="19"/>
  <c r="AC2487" i="19"/>
  <c r="AD2487" i="19" s="1"/>
  <c r="AG2487" i="19"/>
  <c r="J2488" i="19"/>
  <c r="F2488" i="19" s="1"/>
  <c r="L2488" i="19"/>
  <c r="AA2488" i="19" a="1"/>
  <c r="AA2488" i="19" s="1"/>
  <c r="X2488" i="19" s="1"/>
  <c r="S2488" i="19"/>
  <c r="V2488" i="19"/>
  <c r="W2488" i="19" s="1"/>
  <c r="Y2488" i="19"/>
  <c r="AC2488" i="19"/>
  <c r="AG2488" i="19"/>
  <c r="J2489" i="19"/>
  <c r="F2489" i="19" s="1"/>
  <c r="L2489" i="19"/>
  <c r="AA2489" i="19" a="1"/>
  <c r="AA2489" i="19" s="1"/>
  <c r="X2489" i="19" s="1"/>
  <c r="S2489" i="19"/>
  <c r="V2489" i="19"/>
  <c r="W2489" i="19" s="1"/>
  <c r="Y2489" i="19"/>
  <c r="AC2489" i="19"/>
  <c r="AD2489" i="19" s="1"/>
  <c r="AG2489" i="19"/>
  <c r="J2490" i="19"/>
  <c r="F2490" i="19" s="1"/>
  <c r="L2490" i="19"/>
  <c r="AA2490" i="19" a="1"/>
  <c r="AA2490" i="19" s="1"/>
  <c r="X2490" i="19" s="1"/>
  <c r="S2490" i="19"/>
  <c r="V2490" i="19"/>
  <c r="W2490" i="19" s="1"/>
  <c r="Y2490" i="19"/>
  <c r="AC2490" i="19"/>
  <c r="AD2490" i="19" s="1"/>
  <c r="AG2490" i="19"/>
  <c r="J2491" i="19"/>
  <c r="L2491" i="19"/>
  <c r="AA2491" i="19" a="1"/>
  <c r="AA2491" i="19" s="1"/>
  <c r="X2491" i="19" s="1"/>
  <c r="S2491" i="19"/>
  <c r="V2491" i="19"/>
  <c r="W2491" i="19" s="1"/>
  <c r="Y2491" i="19"/>
  <c r="AC2491" i="19"/>
  <c r="AD2491" i="19" s="1"/>
  <c r="AG2491" i="19"/>
  <c r="J2492" i="19"/>
  <c r="F2492" i="19" s="1"/>
  <c r="L2492" i="19"/>
  <c r="AA2492" i="19" a="1"/>
  <c r="AA2492" i="19" s="1"/>
  <c r="X2492" i="19" s="1"/>
  <c r="S2492" i="19"/>
  <c r="V2492" i="19"/>
  <c r="W2492" i="19" s="1"/>
  <c r="Y2492" i="19"/>
  <c r="AC2492" i="19"/>
  <c r="AG2492" i="19"/>
  <c r="J2493" i="19"/>
  <c r="F2493" i="19" s="1"/>
  <c r="L2493" i="19"/>
  <c r="AA2493" i="19" a="1"/>
  <c r="AA2493" i="19" s="1"/>
  <c r="X2493" i="19" s="1"/>
  <c r="S2493" i="19"/>
  <c r="V2493" i="19"/>
  <c r="W2493" i="19" s="1"/>
  <c r="Y2493" i="19"/>
  <c r="AC2493" i="19"/>
  <c r="AD2493" i="19" s="1"/>
  <c r="AG2493" i="19"/>
  <c r="J2494" i="19"/>
  <c r="F2494" i="19" s="1"/>
  <c r="L2494" i="19"/>
  <c r="AA2494" i="19" a="1"/>
  <c r="AA2494" i="19" s="1"/>
  <c r="X2494" i="19" s="1"/>
  <c r="S2494" i="19"/>
  <c r="V2494" i="19"/>
  <c r="W2494" i="19" s="1"/>
  <c r="Y2494" i="19"/>
  <c r="AC2494" i="19"/>
  <c r="AG2494" i="19"/>
  <c r="J2495" i="19"/>
  <c r="L2495" i="19"/>
  <c r="AA2495" i="19" a="1"/>
  <c r="AA2495" i="19" s="1"/>
  <c r="X2495" i="19" s="1"/>
  <c r="S2495" i="19"/>
  <c r="V2495" i="19"/>
  <c r="W2495" i="19" s="1"/>
  <c r="Y2495" i="19"/>
  <c r="AC2495" i="19"/>
  <c r="AD2495" i="19" s="1"/>
  <c r="AG2495" i="19"/>
  <c r="J2496" i="19"/>
  <c r="F2496" i="19" s="1"/>
  <c r="L2496" i="19"/>
  <c r="AA2496" i="19" a="1"/>
  <c r="AA2496" i="19" s="1"/>
  <c r="X2496" i="19" s="1"/>
  <c r="S2496" i="19"/>
  <c r="V2496" i="19"/>
  <c r="W2496" i="19" s="1"/>
  <c r="Y2496" i="19"/>
  <c r="AC2496" i="19"/>
  <c r="AG2496" i="19"/>
  <c r="J2497" i="19"/>
  <c r="F2497" i="19" s="1"/>
  <c r="L2497" i="19"/>
  <c r="AA2497" i="19" a="1"/>
  <c r="AA2497" i="19" s="1"/>
  <c r="X2497" i="19" s="1"/>
  <c r="S2497" i="19"/>
  <c r="V2497" i="19"/>
  <c r="W2497" i="19" s="1"/>
  <c r="Y2497" i="19"/>
  <c r="AC2497" i="19"/>
  <c r="AD2497" i="19" s="1"/>
  <c r="AG2497" i="19"/>
  <c r="J2498" i="19"/>
  <c r="F2498" i="19" s="1"/>
  <c r="L2498" i="19"/>
  <c r="AA2498" i="19" a="1"/>
  <c r="AA2498" i="19" s="1"/>
  <c r="X2498" i="19" s="1"/>
  <c r="S2498" i="19"/>
  <c r="V2498" i="19"/>
  <c r="W2498" i="19" s="1"/>
  <c r="Y2498" i="19"/>
  <c r="AC2498" i="19"/>
  <c r="AD2498" i="19" s="1"/>
  <c r="AG2498" i="19"/>
  <c r="J2499" i="19"/>
  <c r="L2499" i="19"/>
  <c r="AA2499" i="19" a="1"/>
  <c r="AA2499" i="19" s="1"/>
  <c r="X2499" i="19" s="1"/>
  <c r="S2499" i="19"/>
  <c r="V2499" i="19"/>
  <c r="W2499" i="19" s="1"/>
  <c r="Y2499" i="19"/>
  <c r="AC2499" i="19"/>
  <c r="AD2499" i="19" s="1"/>
  <c r="AG2499" i="19"/>
  <c r="J2500" i="19"/>
  <c r="F2500" i="19" s="1"/>
  <c r="L2500" i="19"/>
  <c r="AA2500" i="19" a="1"/>
  <c r="AA2500" i="19" s="1"/>
  <c r="X2500" i="19" s="1"/>
  <c r="S2500" i="19"/>
  <c r="V2500" i="19"/>
  <c r="W2500" i="19" s="1"/>
  <c r="Y2500" i="19"/>
  <c r="AC2500" i="19"/>
  <c r="AG2500" i="19"/>
  <c r="J2501" i="19"/>
  <c r="F2501" i="19" s="1"/>
  <c r="L2501" i="19"/>
  <c r="AA2501" i="19" a="1"/>
  <c r="AA2501" i="19" s="1"/>
  <c r="X2501" i="19" s="1"/>
  <c r="S2501" i="19"/>
  <c r="V2501" i="19"/>
  <c r="W2501" i="19" s="1"/>
  <c r="Y2501" i="19"/>
  <c r="AC2501" i="19"/>
  <c r="AD2501" i="19" s="1"/>
  <c r="AG2501" i="19"/>
  <c r="J2502" i="19"/>
  <c r="F2502" i="19" s="1"/>
  <c r="L2502" i="19"/>
  <c r="AA2502" i="19" a="1"/>
  <c r="AA2502" i="19" s="1"/>
  <c r="X2502" i="19" s="1"/>
  <c r="S2502" i="19"/>
  <c r="V2502" i="19"/>
  <c r="W2502" i="19" s="1"/>
  <c r="Y2502" i="19"/>
  <c r="AC2502" i="19"/>
  <c r="AG2502" i="19"/>
  <c r="J2503" i="19"/>
  <c r="L2503" i="19"/>
  <c r="AA2503" i="19" a="1"/>
  <c r="AA2503" i="19" s="1"/>
  <c r="X2503" i="19" s="1"/>
  <c r="S2503" i="19"/>
  <c r="V2503" i="19"/>
  <c r="W2503" i="19" s="1"/>
  <c r="Y2503" i="19"/>
  <c r="AC2503" i="19"/>
  <c r="AD2503" i="19" s="1"/>
  <c r="AG2503" i="19"/>
  <c r="J2504" i="19"/>
  <c r="F2504" i="19" s="1"/>
  <c r="L2504" i="19"/>
  <c r="AA2504" i="19" a="1"/>
  <c r="AA2504" i="19" s="1"/>
  <c r="X2504" i="19" s="1"/>
  <c r="S2504" i="19"/>
  <c r="V2504" i="19"/>
  <c r="W2504" i="19" s="1"/>
  <c r="Y2504" i="19"/>
  <c r="AC2504" i="19"/>
  <c r="AG2504" i="19"/>
  <c r="J2505" i="19"/>
  <c r="F2505" i="19" s="1"/>
  <c r="L2505" i="19"/>
  <c r="AA2505" i="19" a="1"/>
  <c r="AA2505" i="19" s="1"/>
  <c r="X2505" i="19" s="1"/>
  <c r="S2505" i="19"/>
  <c r="V2505" i="19"/>
  <c r="W2505" i="19" s="1"/>
  <c r="Y2505" i="19"/>
  <c r="AC2505" i="19"/>
  <c r="AD2505" i="19" s="1"/>
  <c r="AG2505" i="19"/>
  <c r="J2506" i="19"/>
  <c r="F2506" i="19" s="1"/>
  <c r="L2506" i="19"/>
  <c r="AA2506" i="19" a="1"/>
  <c r="AA2506" i="19" s="1"/>
  <c r="X2506" i="19" s="1"/>
  <c r="S2506" i="19"/>
  <c r="V2506" i="19"/>
  <c r="W2506" i="19" s="1"/>
  <c r="Y2506" i="19"/>
  <c r="AC2506" i="19"/>
  <c r="AD2506" i="19" s="1"/>
  <c r="AG2506" i="19"/>
  <c r="J2507" i="19"/>
  <c r="L2507" i="19"/>
  <c r="AA2507" i="19" a="1"/>
  <c r="AA2507" i="19" s="1"/>
  <c r="X2507" i="19" s="1"/>
  <c r="S2507" i="19"/>
  <c r="V2507" i="19"/>
  <c r="W2507" i="19" s="1"/>
  <c r="Y2507" i="19"/>
  <c r="AC2507" i="19"/>
  <c r="AD2507" i="19" s="1"/>
  <c r="AG2507" i="19"/>
  <c r="J2508" i="19"/>
  <c r="F2508" i="19" s="1"/>
  <c r="L2508" i="19"/>
  <c r="AA2508" i="19" a="1"/>
  <c r="AA2508" i="19" s="1"/>
  <c r="X2508" i="19" s="1"/>
  <c r="S2508" i="19"/>
  <c r="V2508" i="19"/>
  <c r="W2508" i="19" s="1"/>
  <c r="Y2508" i="19"/>
  <c r="AC2508" i="19"/>
  <c r="AG2508" i="19"/>
  <c r="J2509" i="19"/>
  <c r="F2509" i="19" s="1"/>
  <c r="L2509" i="19"/>
  <c r="AA2509" i="19" a="1"/>
  <c r="AA2509" i="19" s="1"/>
  <c r="X2509" i="19" s="1"/>
  <c r="S2509" i="19"/>
  <c r="V2509" i="19"/>
  <c r="W2509" i="19" s="1"/>
  <c r="Y2509" i="19"/>
  <c r="AC2509" i="19"/>
  <c r="AD2509" i="19" s="1"/>
  <c r="AG2509" i="19"/>
  <c r="J2510" i="19"/>
  <c r="F2510" i="19" s="1"/>
  <c r="L2510" i="19"/>
  <c r="AA2510" i="19" a="1"/>
  <c r="AA2510" i="19" s="1"/>
  <c r="X2510" i="19" s="1"/>
  <c r="S2510" i="19"/>
  <c r="V2510" i="19"/>
  <c r="W2510" i="19" s="1"/>
  <c r="Y2510" i="19"/>
  <c r="AC2510" i="19"/>
  <c r="AG2510" i="19"/>
  <c r="J2511" i="19"/>
  <c r="L2511" i="19"/>
  <c r="AA2511" i="19" a="1"/>
  <c r="AA2511" i="19" s="1"/>
  <c r="X2511" i="19" s="1"/>
  <c r="S2511" i="19"/>
  <c r="V2511" i="19"/>
  <c r="W2511" i="19" s="1"/>
  <c r="Y2511" i="19"/>
  <c r="AC2511" i="19"/>
  <c r="AD2511" i="19" s="1"/>
  <c r="AG2511" i="19"/>
  <c r="J2512" i="19"/>
  <c r="F2512" i="19" s="1"/>
  <c r="L2512" i="19"/>
  <c r="AA2512" i="19" a="1"/>
  <c r="AA2512" i="19" s="1"/>
  <c r="X2512" i="19" s="1"/>
  <c r="S2512" i="19"/>
  <c r="V2512" i="19"/>
  <c r="W2512" i="19" s="1"/>
  <c r="Y2512" i="19"/>
  <c r="AC2512" i="19"/>
  <c r="AG2512" i="19"/>
  <c r="J2513" i="19"/>
  <c r="F2513" i="19" s="1"/>
  <c r="L2513" i="19"/>
  <c r="AA2513" i="19" a="1"/>
  <c r="AA2513" i="19" s="1"/>
  <c r="X2513" i="19" s="1"/>
  <c r="S2513" i="19"/>
  <c r="V2513" i="19"/>
  <c r="W2513" i="19" s="1"/>
  <c r="Y2513" i="19"/>
  <c r="AC2513" i="19"/>
  <c r="AD2513" i="19" s="1"/>
  <c r="AG2513" i="19"/>
  <c r="J2514" i="19"/>
  <c r="F2514" i="19" s="1"/>
  <c r="L2514" i="19"/>
  <c r="AA2514" i="19" a="1"/>
  <c r="AA2514" i="19" s="1"/>
  <c r="X2514" i="19" s="1"/>
  <c r="S2514" i="19"/>
  <c r="V2514" i="19"/>
  <c r="W2514" i="19" s="1"/>
  <c r="Y2514" i="19"/>
  <c r="AC2514" i="19"/>
  <c r="AG2514" i="19"/>
  <c r="J2515" i="19"/>
  <c r="L2515" i="19"/>
  <c r="AA2515" i="19" a="1"/>
  <c r="AA2515" i="19" s="1"/>
  <c r="X2515" i="19" s="1"/>
  <c r="S2515" i="19"/>
  <c r="V2515" i="19"/>
  <c r="W2515" i="19" s="1"/>
  <c r="Y2515" i="19"/>
  <c r="AC2515" i="19"/>
  <c r="AD2515" i="19" s="1"/>
  <c r="AG2515" i="19"/>
  <c r="J2516" i="19"/>
  <c r="F2516" i="19" s="1"/>
  <c r="L2516" i="19"/>
  <c r="AA2516" i="19" a="1"/>
  <c r="AA2516" i="19" s="1"/>
  <c r="X2516" i="19" s="1"/>
  <c r="S2516" i="19"/>
  <c r="V2516" i="19"/>
  <c r="W2516" i="19" s="1"/>
  <c r="Y2516" i="19"/>
  <c r="AC2516" i="19"/>
  <c r="AE2516" i="19" s="1"/>
  <c r="AG2516" i="19"/>
  <c r="J2517" i="19"/>
  <c r="F2517" i="19" s="1"/>
  <c r="L2517" i="19"/>
  <c r="AA2517" i="19" a="1"/>
  <c r="AA2517" i="19" s="1"/>
  <c r="X2517" i="19" s="1"/>
  <c r="S2517" i="19"/>
  <c r="V2517" i="19"/>
  <c r="W2517" i="19" s="1"/>
  <c r="Y2517" i="19"/>
  <c r="AC2517" i="19"/>
  <c r="AD2517" i="19" s="1"/>
  <c r="AG2517" i="19"/>
  <c r="J2518" i="19"/>
  <c r="F2518" i="19" s="1"/>
  <c r="L2518" i="19"/>
  <c r="AA2518" i="19" a="1"/>
  <c r="AA2518" i="19" s="1"/>
  <c r="X2518" i="19" s="1"/>
  <c r="S2518" i="19"/>
  <c r="V2518" i="19"/>
  <c r="W2518" i="19" s="1"/>
  <c r="Y2518" i="19"/>
  <c r="AC2518" i="19"/>
  <c r="AG2518" i="19"/>
  <c r="J2519" i="19"/>
  <c r="L2519" i="19"/>
  <c r="AA2519" i="19" a="1"/>
  <c r="AA2519" i="19" s="1"/>
  <c r="X2519" i="19" s="1"/>
  <c r="S2519" i="19"/>
  <c r="V2519" i="19"/>
  <c r="W2519" i="19" s="1"/>
  <c r="Y2519" i="19"/>
  <c r="AC2519" i="19"/>
  <c r="AD2519" i="19" s="1"/>
  <c r="AG2519" i="19"/>
  <c r="J2520" i="19"/>
  <c r="F2520" i="19" s="1"/>
  <c r="L2520" i="19"/>
  <c r="AA2520" i="19" a="1"/>
  <c r="AA2520" i="19" s="1"/>
  <c r="X2520" i="19" s="1"/>
  <c r="S2520" i="19"/>
  <c r="V2520" i="19"/>
  <c r="W2520" i="19" s="1"/>
  <c r="Y2520" i="19"/>
  <c r="AC2520" i="19"/>
  <c r="AE2520" i="19" s="1"/>
  <c r="AG2520" i="19"/>
  <c r="J2521" i="19"/>
  <c r="F2521" i="19" s="1"/>
  <c r="L2521" i="19"/>
  <c r="AA2521" i="19" a="1"/>
  <c r="AA2521" i="19" s="1"/>
  <c r="X2521" i="19" s="1"/>
  <c r="S2521" i="19"/>
  <c r="V2521" i="19"/>
  <c r="W2521" i="19" s="1"/>
  <c r="Y2521" i="19"/>
  <c r="AC2521" i="19"/>
  <c r="AD2521" i="19" s="1"/>
  <c r="AG2521" i="19"/>
  <c r="J2522" i="19"/>
  <c r="F2522" i="19" s="1"/>
  <c r="L2522" i="19"/>
  <c r="AA2522" i="19" a="1"/>
  <c r="AA2522" i="19" s="1"/>
  <c r="X2522" i="19" s="1"/>
  <c r="S2522" i="19"/>
  <c r="V2522" i="19"/>
  <c r="W2522" i="19" s="1"/>
  <c r="Y2522" i="19"/>
  <c r="AC2522" i="19"/>
  <c r="AG2522" i="19"/>
  <c r="J2523" i="19"/>
  <c r="L2523" i="19"/>
  <c r="AA2523" i="19" a="1"/>
  <c r="AA2523" i="19" s="1"/>
  <c r="X2523" i="19" s="1"/>
  <c r="S2523" i="19"/>
  <c r="V2523" i="19"/>
  <c r="W2523" i="19" s="1"/>
  <c r="Y2523" i="19"/>
  <c r="AC2523" i="19"/>
  <c r="AG2523" i="19"/>
  <c r="J2524" i="19"/>
  <c r="F2524" i="19" s="1"/>
  <c r="L2524" i="19"/>
  <c r="AA2524" i="19" a="1"/>
  <c r="AA2524" i="19" s="1"/>
  <c r="X2524" i="19" s="1"/>
  <c r="S2524" i="19"/>
  <c r="V2524" i="19"/>
  <c r="W2524" i="19" s="1"/>
  <c r="Y2524" i="19"/>
  <c r="AC2524" i="19"/>
  <c r="AE2524" i="19" s="1"/>
  <c r="AG2524" i="19"/>
  <c r="J2525" i="19"/>
  <c r="F2525" i="19" s="1"/>
  <c r="L2525" i="19"/>
  <c r="AA2525" i="19" a="1"/>
  <c r="AA2525" i="19" s="1"/>
  <c r="X2525" i="19" s="1"/>
  <c r="S2525" i="19"/>
  <c r="V2525" i="19"/>
  <c r="W2525" i="19" s="1"/>
  <c r="Y2525" i="19"/>
  <c r="AC2525" i="19"/>
  <c r="AG2525" i="19"/>
  <c r="J2526" i="19"/>
  <c r="F2526" i="19" s="1"/>
  <c r="L2526" i="19"/>
  <c r="AA2526" i="19" a="1"/>
  <c r="AA2526" i="19" s="1"/>
  <c r="X2526" i="19" s="1"/>
  <c r="S2526" i="19"/>
  <c r="V2526" i="19"/>
  <c r="W2526" i="19" s="1"/>
  <c r="Y2526" i="19"/>
  <c r="AC2526" i="19"/>
  <c r="AG2526" i="19"/>
  <c r="J2527" i="19"/>
  <c r="L2527" i="19"/>
  <c r="AA2527" i="19" a="1"/>
  <c r="AA2527" i="19" s="1"/>
  <c r="X2527" i="19" s="1"/>
  <c r="S2527" i="19"/>
  <c r="V2527" i="19"/>
  <c r="W2527" i="19" s="1"/>
  <c r="Y2527" i="19"/>
  <c r="AC2527" i="19"/>
  <c r="AD2527" i="19" s="1"/>
  <c r="AG2527" i="19"/>
  <c r="J2528" i="19"/>
  <c r="F2528" i="19" s="1"/>
  <c r="L2528" i="19"/>
  <c r="AA2528" i="19" a="1"/>
  <c r="AA2528" i="19" s="1"/>
  <c r="X2528" i="19" s="1"/>
  <c r="S2528" i="19"/>
  <c r="V2528" i="19"/>
  <c r="W2528" i="19" s="1"/>
  <c r="Y2528" i="19"/>
  <c r="AC2528" i="19"/>
  <c r="AE2528" i="19" s="1"/>
  <c r="AG2528" i="19"/>
  <c r="J2529" i="19"/>
  <c r="L2529" i="19"/>
  <c r="AA2529" i="19" a="1"/>
  <c r="AA2529" i="19" s="1"/>
  <c r="X2529" i="19" s="1"/>
  <c r="S2529" i="19"/>
  <c r="V2529" i="19"/>
  <c r="W2529" i="19" s="1"/>
  <c r="Y2529" i="19"/>
  <c r="AC2529" i="19"/>
  <c r="AG2529" i="19"/>
  <c r="J2530" i="19"/>
  <c r="F2530" i="19" s="1"/>
  <c r="L2530" i="19"/>
  <c r="AA2530" i="19" a="1"/>
  <c r="AA2530" i="19" s="1"/>
  <c r="X2530" i="19" s="1"/>
  <c r="S2530" i="19"/>
  <c r="V2530" i="19"/>
  <c r="W2530" i="19" s="1"/>
  <c r="Y2530" i="19"/>
  <c r="AC2530" i="19"/>
  <c r="AG2530" i="19"/>
  <c r="J2531" i="19"/>
  <c r="L2531" i="19"/>
  <c r="AA2531" i="19" a="1"/>
  <c r="AA2531" i="19" s="1"/>
  <c r="X2531" i="19" s="1"/>
  <c r="S2531" i="19"/>
  <c r="V2531" i="19"/>
  <c r="W2531" i="19" s="1"/>
  <c r="Y2531" i="19"/>
  <c r="AC2531" i="19"/>
  <c r="AD2531" i="19" s="1"/>
  <c r="AG2531" i="19"/>
  <c r="J2532" i="19"/>
  <c r="F2532" i="19" s="1"/>
  <c r="L2532" i="19"/>
  <c r="AA2532" i="19" a="1"/>
  <c r="AA2532" i="19" s="1"/>
  <c r="X2532" i="19" s="1"/>
  <c r="S2532" i="19"/>
  <c r="V2532" i="19"/>
  <c r="W2532" i="19" s="1"/>
  <c r="Y2532" i="19"/>
  <c r="AC2532" i="19"/>
  <c r="AE2532" i="19" s="1"/>
  <c r="AG2532" i="19"/>
  <c r="J2533" i="19"/>
  <c r="F2533" i="19" s="1"/>
  <c r="L2533" i="19"/>
  <c r="AA2533" i="19" a="1"/>
  <c r="AA2533" i="19" s="1"/>
  <c r="X2533" i="19" s="1"/>
  <c r="S2533" i="19"/>
  <c r="V2533" i="19"/>
  <c r="W2533" i="19" s="1"/>
  <c r="Y2533" i="19"/>
  <c r="AC2533" i="19"/>
  <c r="AG2533" i="19"/>
  <c r="J2534" i="19"/>
  <c r="F2534" i="19" s="1"/>
  <c r="L2534" i="19"/>
  <c r="AA2534" i="19" a="1"/>
  <c r="AA2534" i="19" s="1"/>
  <c r="X2534" i="19" s="1"/>
  <c r="S2534" i="19"/>
  <c r="V2534" i="19"/>
  <c r="W2534" i="19" s="1"/>
  <c r="Y2534" i="19"/>
  <c r="AC2534" i="19"/>
  <c r="AG2534" i="19"/>
  <c r="J2535" i="19"/>
  <c r="L2535" i="19"/>
  <c r="AA2535" i="19" a="1"/>
  <c r="AA2535" i="19" s="1"/>
  <c r="X2535" i="19" s="1"/>
  <c r="S2535" i="19"/>
  <c r="V2535" i="19"/>
  <c r="W2535" i="19" s="1"/>
  <c r="Y2535" i="19"/>
  <c r="AC2535" i="19"/>
  <c r="AF2535" i="19" s="1"/>
  <c r="AG2535" i="19"/>
  <c r="J2536" i="19"/>
  <c r="F2536" i="19" s="1"/>
  <c r="L2536" i="19"/>
  <c r="AA2536" i="19" a="1"/>
  <c r="AA2536" i="19" s="1"/>
  <c r="X2536" i="19" s="1"/>
  <c r="S2536" i="19"/>
  <c r="V2536" i="19"/>
  <c r="W2536" i="19" s="1"/>
  <c r="Y2536" i="19"/>
  <c r="AC2536" i="19"/>
  <c r="AD2536" i="19" s="1"/>
  <c r="AG2536" i="19"/>
  <c r="J2537" i="19"/>
  <c r="F2537" i="19" s="1"/>
  <c r="L2537" i="19"/>
  <c r="AA2537" i="19" a="1"/>
  <c r="AA2537" i="19" s="1"/>
  <c r="X2537" i="19" s="1"/>
  <c r="S2537" i="19"/>
  <c r="V2537" i="19"/>
  <c r="W2537" i="19" s="1"/>
  <c r="Y2537" i="19"/>
  <c r="AC2537" i="19"/>
  <c r="AG2537" i="19"/>
  <c r="J2538" i="19"/>
  <c r="F2538" i="19" s="1"/>
  <c r="L2538" i="19"/>
  <c r="AA2538" i="19" a="1"/>
  <c r="AA2538" i="19" s="1"/>
  <c r="X2538" i="19" s="1"/>
  <c r="S2538" i="19"/>
  <c r="V2538" i="19"/>
  <c r="W2538" i="19" s="1"/>
  <c r="Y2538" i="19"/>
  <c r="AC2538" i="19"/>
  <c r="AD2538" i="19" s="1"/>
  <c r="AG2538" i="19"/>
  <c r="J2539" i="19"/>
  <c r="L2539" i="19"/>
  <c r="AA2539" i="19" a="1"/>
  <c r="AA2539" i="19" s="1"/>
  <c r="X2539" i="19" s="1"/>
  <c r="S2539" i="19"/>
  <c r="V2539" i="19"/>
  <c r="W2539" i="19" s="1"/>
  <c r="Y2539" i="19"/>
  <c r="AC2539" i="19"/>
  <c r="AF2539" i="19" s="1"/>
  <c r="AG2539" i="19"/>
  <c r="J2540" i="19"/>
  <c r="F2540" i="19" s="1"/>
  <c r="L2540" i="19"/>
  <c r="AA2540" i="19" a="1"/>
  <c r="AA2540" i="19" s="1"/>
  <c r="X2540" i="19" s="1"/>
  <c r="S2540" i="19"/>
  <c r="V2540" i="19"/>
  <c r="W2540" i="19" s="1"/>
  <c r="Y2540" i="19"/>
  <c r="AC2540" i="19"/>
  <c r="AF2540" i="19" s="1"/>
  <c r="AG2540" i="19"/>
  <c r="J2541" i="19"/>
  <c r="F2541" i="19" s="1"/>
  <c r="L2541" i="19"/>
  <c r="AA2541" i="19" a="1"/>
  <c r="AA2541" i="19" s="1"/>
  <c r="X2541" i="19" s="1"/>
  <c r="S2541" i="19"/>
  <c r="V2541" i="19"/>
  <c r="W2541" i="19" s="1"/>
  <c r="Y2541" i="19"/>
  <c r="AC2541" i="19"/>
  <c r="AG2541" i="19"/>
  <c r="J2542" i="19"/>
  <c r="F2542" i="19" s="1"/>
  <c r="L2542" i="19"/>
  <c r="AA2542" i="19" a="1"/>
  <c r="AA2542" i="19" s="1"/>
  <c r="X2542" i="19" s="1"/>
  <c r="S2542" i="19"/>
  <c r="V2542" i="19"/>
  <c r="W2542" i="19" s="1"/>
  <c r="Y2542" i="19"/>
  <c r="AC2542" i="19"/>
  <c r="AG2542" i="19"/>
  <c r="J2543" i="19"/>
  <c r="L2543" i="19"/>
  <c r="AA2543" i="19" a="1"/>
  <c r="AA2543" i="19" s="1"/>
  <c r="X2543" i="19" s="1"/>
  <c r="S2543" i="19"/>
  <c r="V2543" i="19"/>
  <c r="W2543" i="19" s="1"/>
  <c r="Y2543" i="19"/>
  <c r="AC2543" i="19"/>
  <c r="AD2543" i="19" s="1"/>
  <c r="AG2543" i="19"/>
  <c r="J2544" i="19"/>
  <c r="F2544" i="19" s="1"/>
  <c r="L2544" i="19"/>
  <c r="AA2544" i="19" a="1"/>
  <c r="AA2544" i="19" s="1"/>
  <c r="X2544" i="19" s="1"/>
  <c r="S2544" i="19"/>
  <c r="V2544" i="19"/>
  <c r="W2544" i="19" s="1"/>
  <c r="Y2544" i="19"/>
  <c r="AC2544" i="19"/>
  <c r="AD2544" i="19" s="1"/>
  <c r="AG2544" i="19"/>
  <c r="J2545" i="19"/>
  <c r="L2545" i="19"/>
  <c r="AA2545" i="19" a="1"/>
  <c r="AA2545" i="19" s="1"/>
  <c r="X2545" i="19" s="1"/>
  <c r="S2545" i="19"/>
  <c r="V2545" i="19"/>
  <c r="W2545" i="19" s="1"/>
  <c r="Y2545" i="19"/>
  <c r="AC2545" i="19"/>
  <c r="AG2545" i="19"/>
  <c r="J2546" i="19"/>
  <c r="F2546" i="19" s="1"/>
  <c r="L2546" i="19"/>
  <c r="AA2546" i="19" a="1"/>
  <c r="AA2546" i="19" s="1"/>
  <c r="X2546" i="19" s="1"/>
  <c r="S2546" i="19"/>
  <c r="V2546" i="19"/>
  <c r="W2546" i="19" s="1"/>
  <c r="Y2546" i="19"/>
  <c r="AC2546" i="19"/>
  <c r="AG2546" i="19"/>
  <c r="J2547" i="19"/>
  <c r="L2547" i="19"/>
  <c r="AA2547" i="19" a="1"/>
  <c r="AA2547" i="19" s="1"/>
  <c r="X2547" i="19" s="1"/>
  <c r="S2547" i="19"/>
  <c r="V2547" i="19"/>
  <c r="W2547" i="19" s="1"/>
  <c r="Y2547" i="19"/>
  <c r="AC2547" i="19"/>
  <c r="AD2547" i="19" s="1"/>
  <c r="AG2547" i="19"/>
  <c r="J2548" i="19"/>
  <c r="F2548" i="19" s="1"/>
  <c r="L2548" i="19"/>
  <c r="AA2548" i="19" a="1"/>
  <c r="AA2548" i="19" s="1"/>
  <c r="X2548" i="19" s="1"/>
  <c r="S2548" i="19"/>
  <c r="V2548" i="19"/>
  <c r="W2548" i="19" s="1"/>
  <c r="Y2548" i="19"/>
  <c r="AC2548" i="19"/>
  <c r="AD2548" i="19" s="1"/>
  <c r="AG2548" i="19"/>
  <c r="J2549" i="19"/>
  <c r="F2549" i="19" s="1"/>
  <c r="L2549" i="19"/>
  <c r="AA2549" i="19" a="1"/>
  <c r="AA2549" i="19" s="1"/>
  <c r="X2549" i="19" s="1"/>
  <c r="S2549" i="19"/>
  <c r="V2549" i="19"/>
  <c r="W2549" i="19" s="1"/>
  <c r="Y2549" i="19"/>
  <c r="AC2549" i="19"/>
  <c r="AG2549" i="19"/>
  <c r="J2550" i="19"/>
  <c r="F2550" i="19" s="1"/>
  <c r="L2550" i="19"/>
  <c r="AA2550" i="19" a="1"/>
  <c r="AA2550" i="19" s="1"/>
  <c r="X2550" i="19" s="1"/>
  <c r="S2550" i="19"/>
  <c r="V2550" i="19"/>
  <c r="W2550" i="19" s="1"/>
  <c r="Y2550" i="19"/>
  <c r="AC2550" i="19"/>
  <c r="AD2550" i="19" s="1"/>
  <c r="AG2550" i="19"/>
  <c r="J2551" i="19"/>
  <c r="L2551" i="19"/>
  <c r="AA2551" i="19" a="1"/>
  <c r="AA2551" i="19" s="1"/>
  <c r="X2551" i="19" s="1"/>
  <c r="S2551" i="19"/>
  <c r="V2551" i="19"/>
  <c r="W2551" i="19" s="1"/>
  <c r="Y2551" i="19"/>
  <c r="AC2551" i="19"/>
  <c r="AF2551" i="19" s="1"/>
  <c r="AG2551" i="19"/>
  <c r="J2552" i="19"/>
  <c r="F2552" i="19" s="1"/>
  <c r="L2552" i="19"/>
  <c r="AA2552" i="19" a="1"/>
  <c r="AA2552" i="19" s="1"/>
  <c r="X2552" i="19" s="1"/>
  <c r="S2552" i="19"/>
  <c r="V2552" i="19"/>
  <c r="W2552" i="19" s="1"/>
  <c r="Y2552" i="19"/>
  <c r="AC2552" i="19"/>
  <c r="AE2552" i="19" s="1"/>
  <c r="AG2552" i="19"/>
  <c r="J2553" i="19"/>
  <c r="F2553" i="19" s="1"/>
  <c r="L2553" i="19"/>
  <c r="AA2553" i="19" a="1"/>
  <c r="AA2553" i="19" s="1"/>
  <c r="X2553" i="19" s="1"/>
  <c r="S2553" i="19"/>
  <c r="V2553" i="19"/>
  <c r="W2553" i="19" s="1"/>
  <c r="Y2553" i="19"/>
  <c r="AC2553" i="19"/>
  <c r="AG2553" i="19"/>
  <c r="J2554" i="19"/>
  <c r="F2554" i="19" s="1"/>
  <c r="L2554" i="19"/>
  <c r="AA2554" i="19" a="1"/>
  <c r="AA2554" i="19" s="1"/>
  <c r="X2554" i="19" s="1"/>
  <c r="S2554" i="19"/>
  <c r="V2554" i="19"/>
  <c r="W2554" i="19" s="1"/>
  <c r="Y2554" i="19"/>
  <c r="AC2554" i="19"/>
  <c r="AD2554" i="19" s="1"/>
  <c r="AG2554" i="19"/>
  <c r="J2555" i="19"/>
  <c r="L2555" i="19"/>
  <c r="AA2555" i="19" a="1"/>
  <c r="AA2555" i="19" s="1"/>
  <c r="X2555" i="19" s="1"/>
  <c r="S2555" i="19"/>
  <c r="V2555" i="19"/>
  <c r="W2555" i="19" s="1"/>
  <c r="Y2555" i="19"/>
  <c r="AC2555" i="19"/>
  <c r="AF2555" i="19" s="1"/>
  <c r="AG2555" i="19"/>
  <c r="J2556" i="19"/>
  <c r="F2556" i="19" s="1"/>
  <c r="L2556" i="19"/>
  <c r="AA2556" i="19" a="1"/>
  <c r="AA2556" i="19" s="1"/>
  <c r="X2556" i="19" s="1"/>
  <c r="S2556" i="19"/>
  <c r="V2556" i="19"/>
  <c r="W2556" i="19" s="1"/>
  <c r="Y2556" i="19"/>
  <c r="AC2556" i="19"/>
  <c r="AE2556" i="19" s="1"/>
  <c r="AG2556" i="19"/>
  <c r="J2557" i="19"/>
  <c r="F2557" i="19" s="1"/>
  <c r="L2557" i="19"/>
  <c r="AA2557" i="19" a="1"/>
  <c r="AA2557" i="19" s="1"/>
  <c r="X2557" i="19" s="1"/>
  <c r="S2557" i="19"/>
  <c r="V2557" i="19"/>
  <c r="W2557" i="19" s="1"/>
  <c r="Y2557" i="19"/>
  <c r="AC2557" i="19"/>
  <c r="AG2557" i="19"/>
  <c r="J2558" i="19"/>
  <c r="F2558" i="19" s="1"/>
  <c r="L2558" i="19"/>
  <c r="AA2558" i="19" a="1"/>
  <c r="AA2558" i="19" s="1"/>
  <c r="X2558" i="19" s="1"/>
  <c r="S2558" i="19"/>
  <c r="V2558" i="19"/>
  <c r="W2558" i="19" s="1"/>
  <c r="Y2558" i="19"/>
  <c r="AC2558" i="19"/>
  <c r="AD2558" i="19" s="1"/>
  <c r="AG2558" i="19"/>
  <c r="J2559" i="19"/>
  <c r="L2559" i="19"/>
  <c r="AA2559" i="19" a="1"/>
  <c r="AA2559" i="19" s="1"/>
  <c r="X2559" i="19" s="1"/>
  <c r="S2559" i="19"/>
  <c r="V2559" i="19"/>
  <c r="W2559" i="19" s="1"/>
  <c r="Y2559" i="19"/>
  <c r="AC2559" i="19"/>
  <c r="AE2559" i="19" s="1"/>
  <c r="AG2559" i="19"/>
  <c r="J2560" i="19"/>
  <c r="F2560" i="19" s="1"/>
  <c r="L2560" i="19"/>
  <c r="AA2560" i="19" a="1"/>
  <c r="AA2560" i="19" s="1"/>
  <c r="X2560" i="19" s="1"/>
  <c r="S2560" i="19"/>
  <c r="V2560" i="19"/>
  <c r="W2560" i="19" s="1"/>
  <c r="Y2560" i="19"/>
  <c r="AC2560" i="19"/>
  <c r="AF2560" i="19" s="1"/>
  <c r="AG2560" i="19"/>
  <c r="J2561" i="19"/>
  <c r="F2561" i="19" s="1"/>
  <c r="L2561" i="19"/>
  <c r="AA2561" i="19" a="1"/>
  <c r="AA2561" i="19" s="1"/>
  <c r="X2561" i="19" s="1"/>
  <c r="S2561" i="19"/>
  <c r="V2561" i="19"/>
  <c r="W2561" i="19" s="1"/>
  <c r="Y2561" i="19"/>
  <c r="AC2561" i="19"/>
  <c r="AG2561" i="19"/>
  <c r="J2562" i="19"/>
  <c r="F2562" i="19" s="1"/>
  <c r="L2562" i="19"/>
  <c r="AA2562" i="19" a="1"/>
  <c r="AA2562" i="19" s="1"/>
  <c r="X2562" i="19" s="1"/>
  <c r="S2562" i="19"/>
  <c r="V2562" i="19"/>
  <c r="W2562" i="19" s="1"/>
  <c r="Y2562" i="19"/>
  <c r="AC2562" i="19"/>
  <c r="AG2562" i="19"/>
  <c r="J2563" i="19"/>
  <c r="L2563" i="19"/>
  <c r="AA2563" i="19" a="1"/>
  <c r="AA2563" i="19" s="1"/>
  <c r="X2563" i="19" s="1"/>
  <c r="S2563" i="19"/>
  <c r="V2563" i="19"/>
  <c r="W2563" i="19" s="1"/>
  <c r="Y2563" i="19"/>
  <c r="AC2563" i="19"/>
  <c r="AD2563" i="19" s="1"/>
  <c r="AG2563" i="19"/>
  <c r="J2564" i="19"/>
  <c r="F2564" i="19" s="1"/>
  <c r="L2564" i="19"/>
  <c r="AA2564" i="19" a="1"/>
  <c r="AA2564" i="19" s="1"/>
  <c r="X2564" i="19" s="1"/>
  <c r="S2564" i="19"/>
  <c r="V2564" i="19"/>
  <c r="W2564" i="19" s="1"/>
  <c r="Y2564" i="19"/>
  <c r="AC2564" i="19"/>
  <c r="AD2564" i="19" s="1"/>
  <c r="AG2564" i="19"/>
  <c r="J2565" i="19"/>
  <c r="F2565" i="19" s="1"/>
  <c r="L2565" i="19"/>
  <c r="AA2565" i="19" a="1"/>
  <c r="AA2565" i="19" s="1"/>
  <c r="X2565" i="19" s="1"/>
  <c r="S2565" i="19"/>
  <c r="V2565" i="19"/>
  <c r="W2565" i="19" s="1"/>
  <c r="Y2565" i="19"/>
  <c r="AC2565" i="19"/>
  <c r="AG2565" i="19"/>
  <c r="J2566" i="19"/>
  <c r="F2566" i="19" s="1"/>
  <c r="L2566" i="19"/>
  <c r="AA2566" i="19" a="1"/>
  <c r="AA2566" i="19" s="1"/>
  <c r="X2566" i="19" s="1"/>
  <c r="S2566" i="19"/>
  <c r="V2566" i="19"/>
  <c r="W2566" i="19" s="1"/>
  <c r="Y2566" i="19"/>
  <c r="AC2566" i="19"/>
  <c r="AD2566" i="19" s="1"/>
  <c r="AG2566" i="19"/>
  <c r="J2567" i="19"/>
  <c r="L2567" i="19"/>
  <c r="AA2567" i="19" a="1"/>
  <c r="AA2567" i="19" s="1"/>
  <c r="X2567" i="19" s="1"/>
  <c r="S2567" i="19"/>
  <c r="V2567" i="19"/>
  <c r="W2567" i="19" s="1"/>
  <c r="Y2567" i="19"/>
  <c r="AC2567" i="19"/>
  <c r="AD2567" i="19" s="1"/>
  <c r="AG2567" i="19"/>
  <c r="J2568" i="19"/>
  <c r="F2568" i="19" s="1"/>
  <c r="L2568" i="19"/>
  <c r="AA2568" i="19" a="1"/>
  <c r="AA2568" i="19" s="1"/>
  <c r="X2568" i="19" s="1"/>
  <c r="S2568" i="19"/>
  <c r="V2568" i="19"/>
  <c r="W2568" i="19" s="1"/>
  <c r="Y2568" i="19"/>
  <c r="AC2568" i="19"/>
  <c r="AD2568" i="19" s="1"/>
  <c r="AG2568" i="19"/>
  <c r="J2569" i="19"/>
  <c r="L2569" i="19"/>
  <c r="AA2569" i="19" a="1"/>
  <c r="AA2569" i="19" s="1"/>
  <c r="X2569" i="19" s="1"/>
  <c r="S2569" i="19"/>
  <c r="V2569" i="19"/>
  <c r="W2569" i="19" s="1"/>
  <c r="Y2569" i="19"/>
  <c r="AC2569" i="19"/>
  <c r="AG2569" i="19"/>
  <c r="J2570" i="19"/>
  <c r="F2570" i="19" s="1"/>
  <c r="L2570" i="19"/>
  <c r="AA2570" i="19" a="1"/>
  <c r="AA2570" i="19" s="1"/>
  <c r="X2570" i="19" s="1"/>
  <c r="S2570" i="19"/>
  <c r="V2570" i="19"/>
  <c r="W2570" i="19" s="1"/>
  <c r="Y2570" i="19"/>
  <c r="AC2570" i="19"/>
  <c r="AD2570" i="19" s="1"/>
  <c r="AG2570" i="19"/>
  <c r="J2571" i="19"/>
  <c r="L2571" i="19"/>
  <c r="AA2571" i="19" a="1"/>
  <c r="AA2571" i="19" s="1"/>
  <c r="X2571" i="19" s="1"/>
  <c r="S2571" i="19"/>
  <c r="V2571" i="19"/>
  <c r="W2571" i="19" s="1"/>
  <c r="Y2571" i="19"/>
  <c r="AC2571" i="19"/>
  <c r="AD2571" i="19" s="1"/>
  <c r="AG2571" i="19"/>
  <c r="J2572" i="19"/>
  <c r="F2572" i="19" s="1"/>
  <c r="L2572" i="19"/>
  <c r="AA2572" i="19" a="1"/>
  <c r="AA2572" i="19" s="1"/>
  <c r="X2572" i="19" s="1"/>
  <c r="S2572" i="19"/>
  <c r="V2572" i="19"/>
  <c r="W2572" i="19" s="1"/>
  <c r="Y2572" i="19"/>
  <c r="AC2572" i="19"/>
  <c r="AD2572" i="19" s="1"/>
  <c r="AG2572" i="19"/>
  <c r="J2573" i="19"/>
  <c r="F2573" i="19" s="1"/>
  <c r="L2573" i="19"/>
  <c r="AA2573" i="19" a="1"/>
  <c r="AA2573" i="19" s="1"/>
  <c r="X2573" i="19" s="1"/>
  <c r="S2573" i="19"/>
  <c r="V2573" i="19"/>
  <c r="W2573" i="19" s="1"/>
  <c r="Y2573" i="19"/>
  <c r="AC2573" i="19"/>
  <c r="AG2573" i="19"/>
  <c r="J2574" i="19"/>
  <c r="F2574" i="19" s="1"/>
  <c r="L2574" i="19"/>
  <c r="AA2574" i="19" a="1"/>
  <c r="AA2574" i="19" s="1"/>
  <c r="X2574" i="19" s="1"/>
  <c r="S2574" i="19"/>
  <c r="V2574" i="19"/>
  <c r="W2574" i="19" s="1"/>
  <c r="Y2574" i="19"/>
  <c r="AC2574" i="19"/>
  <c r="AD2574" i="19" s="1"/>
  <c r="AG2574" i="19"/>
  <c r="J2575" i="19"/>
  <c r="L2575" i="19"/>
  <c r="AA2575" i="19" a="1"/>
  <c r="AA2575" i="19" s="1"/>
  <c r="X2575" i="19" s="1"/>
  <c r="S2575" i="19"/>
  <c r="V2575" i="19"/>
  <c r="W2575" i="19" s="1"/>
  <c r="Y2575" i="19"/>
  <c r="AC2575" i="19"/>
  <c r="AG2575" i="19"/>
  <c r="J2576" i="19"/>
  <c r="F2576" i="19" s="1"/>
  <c r="L2576" i="19"/>
  <c r="AA2576" i="19" a="1"/>
  <c r="AA2576" i="19" s="1"/>
  <c r="X2576" i="19" s="1"/>
  <c r="S2576" i="19"/>
  <c r="V2576" i="19"/>
  <c r="W2576" i="19" s="1"/>
  <c r="Y2576" i="19"/>
  <c r="AC2576" i="19"/>
  <c r="AF2576" i="19" s="1"/>
  <c r="AG2576" i="19"/>
  <c r="J2577" i="19"/>
  <c r="F2577" i="19" s="1"/>
  <c r="L2577" i="19"/>
  <c r="AA2577" i="19" a="1"/>
  <c r="AA2577" i="19" s="1"/>
  <c r="X2577" i="19" s="1"/>
  <c r="S2577" i="19"/>
  <c r="V2577" i="19"/>
  <c r="W2577" i="19" s="1"/>
  <c r="Y2577" i="19"/>
  <c r="AC2577" i="19"/>
  <c r="AG2577" i="19"/>
  <c r="J2578" i="19"/>
  <c r="F2578" i="19" s="1"/>
  <c r="L2578" i="19"/>
  <c r="AA2578" i="19" a="1"/>
  <c r="AA2578" i="19" s="1"/>
  <c r="X2578" i="19" s="1"/>
  <c r="S2578" i="19"/>
  <c r="V2578" i="19"/>
  <c r="W2578" i="19" s="1"/>
  <c r="Y2578" i="19"/>
  <c r="AC2578" i="19"/>
  <c r="AD2578" i="19" s="1"/>
  <c r="AG2578" i="19"/>
  <c r="J2579" i="19"/>
  <c r="L2579" i="19"/>
  <c r="AA2579" i="19" a="1"/>
  <c r="AA2579" i="19" s="1"/>
  <c r="X2579" i="19" s="1"/>
  <c r="S2579" i="19"/>
  <c r="V2579" i="19"/>
  <c r="W2579" i="19" s="1"/>
  <c r="Y2579" i="19"/>
  <c r="AC2579" i="19"/>
  <c r="AD2579" i="19" s="1"/>
  <c r="AG2579" i="19"/>
  <c r="J2580" i="19"/>
  <c r="F2580" i="19" s="1"/>
  <c r="L2580" i="19"/>
  <c r="AA2580" i="19" a="1"/>
  <c r="AA2580" i="19" s="1"/>
  <c r="X2580" i="19" s="1"/>
  <c r="S2580" i="19"/>
  <c r="V2580" i="19"/>
  <c r="W2580" i="19" s="1"/>
  <c r="Y2580" i="19"/>
  <c r="AC2580" i="19"/>
  <c r="AF2580" i="19" s="1"/>
  <c r="AG2580" i="19"/>
  <c r="J2581" i="19"/>
  <c r="F2581" i="19" s="1"/>
  <c r="L2581" i="19"/>
  <c r="AA2581" i="19" a="1"/>
  <c r="AA2581" i="19" s="1"/>
  <c r="X2581" i="19" s="1"/>
  <c r="S2581" i="19"/>
  <c r="V2581" i="19"/>
  <c r="W2581" i="19" s="1"/>
  <c r="Y2581" i="19"/>
  <c r="AC2581" i="19"/>
  <c r="AG2581" i="19"/>
  <c r="J2582" i="19"/>
  <c r="F2582" i="19" s="1"/>
  <c r="L2582" i="19"/>
  <c r="AA2582" i="19" a="1"/>
  <c r="AA2582" i="19" s="1"/>
  <c r="X2582" i="19" s="1"/>
  <c r="S2582" i="19"/>
  <c r="V2582" i="19"/>
  <c r="W2582" i="19" s="1"/>
  <c r="Y2582" i="19"/>
  <c r="AC2582" i="19"/>
  <c r="AD2582" i="19" s="1"/>
  <c r="AG2582" i="19"/>
  <c r="J2583" i="19"/>
  <c r="L2583" i="19"/>
  <c r="AA2583" i="19" a="1"/>
  <c r="AA2583" i="19" s="1"/>
  <c r="X2583" i="19" s="1"/>
  <c r="S2583" i="19"/>
  <c r="V2583" i="19"/>
  <c r="W2583" i="19" s="1"/>
  <c r="Y2583" i="19"/>
  <c r="AC2583" i="19"/>
  <c r="AD2583" i="19" s="1"/>
  <c r="AG2583" i="19"/>
  <c r="J2584" i="19"/>
  <c r="F2584" i="19" s="1"/>
  <c r="L2584" i="19"/>
  <c r="AA2584" i="19" a="1"/>
  <c r="AA2584" i="19" s="1"/>
  <c r="X2584" i="19" s="1"/>
  <c r="S2584" i="19"/>
  <c r="V2584" i="19"/>
  <c r="W2584" i="19" s="1"/>
  <c r="Y2584" i="19"/>
  <c r="AC2584" i="19"/>
  <c r="AE2584" i="19" s="1"/>
  <c r="AG2584" i="19"/>
  <c r="J2585" i="19"/>
  <c r="F2585" i="19" s="1"/>
  <c r="L2585" i="19"/>
  <c r="AA2585" i="19" a="1"/>
  <c r="AA2585" i="19" s="1"/>
  <c r="X2585" i="19" s="1"/>
  <c r="S2585" i="19"/>
  <c r="V2585" i="19"/>
  <c r="W2585" i="19" s="1"/>
  <c r="Y2585" i="19"/>
  <c r="AC2585" i="19"/>
  <c r="AG2585" i="19"/>
  <c r="J2586" i="19"/>
  <c r="F2586" i="19" s="1"/>
  <c r="L2586" i="19"/>
  <c r="AA2586" i="19" a="1"/>
  <c r="AA2586" i="19" s="1"/>
  <c r="X2586" i="19" s="1"/>
  <c r="S2586" i="19"/>
  <c r="V2586" i="19"/>
  <c r="W2586" i="19" s="1"/>
  <c r="Y2586" i="19"/>
  <c r="AC2586" i="19"/>
  <c r="AG2586" i="19"/>
  <c r="J2587" i="19"/>
  <c r="L2587" i="19"/>
  <c r="AA2587" i="19" a="1"/>
  <c r="AA2587" i="19" s="1"/>
  <c r="X2587" i="19" s="1"/>
  <c r="S2587" i="19"/>
  <c r="V2587" i="19"/>
  <c r="W2587" i="19" s="1"/>
  <c r="Y2587" i="19"/>
  <c r="AC2587" i="19"/>
  <c r="AD2587" i="19" s="1"/>
  <c r="AG2587" i="19"/>
  <c r="J2588" i="19"/>
  <c r="F2588" i="19" s="1"/>
  <c r="L2588" i="19"/>
  <c r="AA2588" i="19" a="1"/>
  <c r="AA2588" i="19" s="1"/>
  <c r="X2588" i="19" s="1"/>
  <c r="S2588" i="19"/>
  <c r="V2588" i="19"/>
  <c r="W2588" i="19" s="1"/>
  <c r="Y2588" i="19"/>
  <c r="AC2588" i="19"/>
  <c r="AG2588" i="19"/>
  <c r="J2589" i="19"/>
  <c r="F2589" i="19" s="1"/>
  <c r="L2589" i="19"/>
  <c r="AA2589" i="19" a="1"/>
  <c r="AA2589" i="19" s="1"/>
  <c r="X2589" i="19" s="1"/>
  <c r="S2589" i="19"/>
  <c r="V2589" i="19"/>
  <c r="W2589" i="19" s="1"/>
  <c r="Y2589" i="19"/>
  <c r="AC2589" i="19"/>
  <c r="AG2589" i="19"/>
  <c r="J2590" i="19"/>
  <c r="F2590" i="19" s="1"/>
  <c r="L2590" i="19"/>
  <c r="AA2590" i="19" a="1"/>
  <c r="AA2590" i="19" s="1"/>
  <c r="X2590" i="19" s="1"/>
  <c r="S2590" i="19"/>
  <c r="V2590" i="19"/>
  <c r="W2590" i="19" s="1"/>
  <c r="Y2590" i="19"/>
  <c r="AC2590" i="19"/>
  <c r="AD2590" i="19" s="1"/>
  <c r="AG2590" i="19"/>
  <c r="J2591" i="19"/>
  <c r="L2591" i="19"/>
  <c r="AA2591" i="19" a="1"/>
  <c r="AA2591" i="19" s="1"/>
  <c r="X2591" i="19" s="1"/>
  <c r="V2591" i="19"/>
  <c r="W2591" i="19" s="1"/>
  <c r="Y2591" i="19"/>
  <c r="AC2591" i="19"/>
  <c r="AG2591" i="19"/>
  <c r="J1717" i="19"/>
  <c r="F1717" i="19" s="1"/>
  <c r="L1717" i="19"/>
  <c r="AA1717" i="19" a="1"/>
  <c r="AA1717" i="19" s="1"/>
  <c r="X1717" i="19" s="1"/>
  <c r="V1717" i="19"/>
  <c r="W1717" i="19" s="1"/>
  <c r="Y1717" i="19"/>
  <c r="J1720" i="19"/>
  <c r="F1720" i="19" s="1"/>
  <c r="L1720" i="19"/>
  <c r="AA1720" i="19" a="1"/>
  <c r="AA1720" i="19" s="1"/>
  <c r="X1720" i="19" s="1"/>
  <c r="V1720" i="19"/>
  <c r="W1720" i="19" s="1"/>
  <c r="Y1720" i="19"/>
  <c r="J1755" i="19"/>
  <c r="L1755" i="19"/>
  <c r="AA1755" i="19" a="1"/>
  <c r="AA1755" i="19" s="1"/>
  <c r="X1755" i="19" s="1"/>
  <c r="V1755" i="19"/>
  <c r="W1755" i="19" s="1"/>
  <c r="Y1755" i="19"/>
  <c r="AC1755" i="19"/>
  <c r="AG1755" i="19"/>
  <c r="J1725" i="19"/>
  <c r="F1725" i="19" s="1"/>
  <c r="L1725" i="19"/>
  <c r="AA1725" i="19" a="1"/>
  <c r="AA1725" i="19" s="1"/>
  <c r="X1725" i="19" s="1"/>
  <c r="V1725" i="19"/>
  <c r="W1725" i="19" s="1"/>
  <c r="Y1725" i="19"/>
  <c r="AG1725" i="19"/>
  <c r="J1737" i="19"/>
  <c r="F1737" i="19" s="1"/>
  <c r="L1737" i="19"/>
  <c r="AA1737" i="19" a="1"/>
  <c r="AA1737" i="19" s="1"/>
  <c r="X1737" i="19" s="1"/>
  <c r="V1737" i="19"/>
  <c r="Y1737" i="19"/>
  <c r="AC1737" i="19"/>
  <c r="AD1737" i="19" s="1"/>
  <c r="AG1737" i="19"/>
  <c r="J1735" i="19"/>
  <c r="F1735" i="19" s="1"/>
  <c r="L1735" i="19"/>
  <c r="AA1735" i="19" a="1"/>
  <c r="AA1735" i="19" s="1"/>
  <c r="X1735" i="19" s="1"/>
  <c r="V1735" i="19"/>
  <c r="Y1735" i="19"/>
  <c r="AC1735" i="19"/>
  <c r="AD1735" i="19" s="1"/>
  <c r="AG1735" i="19"/>
  <c r="J1738" i="19"/>
  <c r="F1738" i="19" s="1"/>
  <c r="L1738" i="19"/>
  <c r="AA1738" i="19" a="1"/>
  <c r="AA1738" i="19" s="1"/>
  <c r="X1738" i="19" s="1"/>
  <c r="V1738" i="19"/>
  <c r="Y1738" i="19"/>
  <c r="AC1738" i="19"/>
  <c r="AG1738" i="19"/>
  <c r="J1736" i="19"/>
  <c r="F1736" i="19" s="1"/>
  <c r="L1736" i="19"/>
  <c r="AA1736" i="19" a="1"/>
  <c r="AA1736" i="19" s="1"/>
  <c r="X1736" i="19" s="1"/>
  <c r="V1736" i="19"/>
  <c r="Y1736" i="19"/>
  <c r="AC1736" i="19"/>
  <c r="AD1736" i="19" s="1"/>
  <c r="AG1736" i="19"/>
  <c r="J1734" i="19"/>
  <c r="L1734" i="19"/>
  <c r="AA1734" i="19" a="1"/>
  <c r="AA1734" i="19" s="1"/>
  <c r="X1734" i="19" s="1"/>
  <c r="V1734" i="19"/>
  <c r="Y1734" i="19"/>
  <c r="AC1734" i="19"/>
  <c r="AG1734" i="19"/>
  <c r="J1726" i="19"/>
  <c r="F1726" i="19" s="1"/>
  <c r="L1726" i="19"/>
  <c r="AA1726" i="19" a="1"/>
  <c r="AA1726" i="19" s="1"/>
  <c r="X1726" i="19" s="1"/>
  <c r="V1726" i="19"/>
  <c r="W1726" i="19" s="1"/>
  <c r="Y1726" i="19"/>
  <c r="AE1726" i="19"/>
  <c r="J1727" i="19"/>
  <c r="F1727" i="19" s="1"/>
  <c r="L1727" i="19"/>
  <c r="AA1727" i="19" a="1"/>
  <c r="AA1727" i="19" s="1"/>
  <c r="X1727" i="19" s="1"/>
  <c r="V1727" i="19"/>
  <c r="W1727" i="19" s="1"/>
  <c r="Y1727" i="19"/>
  <c r="J1728" i="19"/>
  <c r="F1728" i="19" s="1"/>
  <c r="L1728" i="19"/>
  <c r="AA1728" i="19" a="1"/>
  <c r="AA1728" i="19" s="1"/>
  <c r="X1728" i="19" s="1"/>
  <c r="V1728" i="19"/>
  <c r="W1728" i="19" s="1"/>
  <c r="Y1728" i="19"/>
  <c r="J1785" i="19"/>
  <c r="L1785" i="19"/>
  <c r="AA1785" i="19" a="1"/>
  <c r="AA1785" i="19" s="1"/>
  <c r="X1785" i="19" s="1"/>
  <c r="V1785" i="19"/>
  <c r="W1785" i="19" s="1"/>
  <c r="Y1785" i="19"/>
  <c r="AC1785" i="19"/>
  <c r="AF1785" i="19" s="1"/>
  <c r="AG1785" i="19"/>
  <c r="J1786" i="19"/>
  <c r="L1786" i="19"/>
  <c r="AA1786" i="19" a="1"/>
  <c r="AA1786" i="19" s="1"/>
  <c r="X1786" i="19" s="1"/>
  <c r="V1786" i="19"/>
  <c r="W1786" i="19" s="1"/>
  <c r="Y1786" i="19"/>
  <c r="AC1786" i="19"/>
  <c r="AE1786" i="19" s="1"/>
  <c r="AG1786" i="19"/>
  <c r="J1733" i="19"/>
  <c r="F1733" i="19" s="1"/>
  <c r="L1733" i="19"/>
  <c r="AA1733" i="19" a="1"/>
  <c r="AA1733" i="19" s="1"/>
  <c r="X1733" i="19" s="1"/>
  <c r="V1733" i="19"/>
  <c r="W1733" i="19" s="1"/>
  <c r="Y1733" i="19"/>
  <c r="AG1733" i="19"/>
  <c r="J1748" i="19"/>
  <c r="F1748" i="19" s="1"/>
  <c r="L1748" i="19"/>
  <c r="AA1748" i="19" a="1"/>
  <c r="AA1748" i="19" s="1"/>
  <c r="X1748" i="19" s="1"/>
  <c r="S1748" i="19"/>
  <c r="V1748" i="19"/>
  <c r="W1748" i="19" s="1"/>
  <c r="Y1748" i="19"/>
  <c r="AG1748" i="19"/>
  <c r="J1753" i="19"/>
  <c r="L1753" i="19"/>
  <c r="AA1753" i="19" a="1"/>
  <c r="AA1753" i="19" s="1"/>
  <c r="X1753" i="19" s="1"/>
  <c r="S1753" i="19"/>
  <c r="V1753" i="19"/>
  <c r="W1753" i="19" s="1"/>
  <c r="Y1753" i="19"/>
  <c r="AC1753" i="19"/>
  <c r="AF1753" i="19" s="1"/>
  <c r="AG1753" i="19"/>
  <c r="J1754" i="19"/>
  <c r="F1754" i="19" s="1"/>
  <c r="L1754" i="19"/>
  <c r="AA1754" i="19" a="1"/>
  <c r="AA1754" i="19" s="1"/>
  <c r="X1754" i="19" s="1"/>
  <c r="S1754" i="19"/>
  <c r="V1754" i="19"/>
  <c r="W1754" i="19" s="1"/>
  <c r="Y1754" i="19"/>
  <c r="AC1754" i="19"/>
  <c r="AG1754" i="19"/>
  <c r="J2342" i="19"/>
  <c r="L2342" i="19"/>
  <c r="AA2342" i="19" a="1"/>
  <c r="AA2342" i="19" s="1"/>
  <c r="X2342" i="19" s="1"/>
  <c r="S2342" i="19"/>
  <c r="V2342" i="19"/>
  <c r="W2342" i="19" s="1"/>
  <c r="Y2342" i="19"/>
  <c r="AC2342" i="19"/>
  <c r="AD2342" i="19" s="1"/>
  <c r="AG2342" i="19"/>
  <c r="J1750" i="19"/>
  <c r="F1750" i="19" s="1"/>
  <c r="L1750" i="19"/>
  <c r="AA1750" i="19" a="1"/>
  <c r="AA1750" i="19" s="1"/>
  <c r="X1750" i="19" s="1"/>
  <c r="V1750" i="19"/>
  <c r="W1750" i="19" s="1"/>
  <c r="Y1750" i="19"/>
  <c r="AD1750" i="19"/>
  <c r="J1749" i="19"/>
  <c r="F1749" i="19" s="1"/>
  <c r="L1749" i="19"/>
  <c r="AA1749" i="19" a="1"/>
  <c r="AA1749" i="19" s="1"/>
  <c r="X1749" i="19" s="1"/>
  <c r="V1749" i="19"/>
  <c r="W1749" i="19" s="1"/>
  <c r="Y1749" i="19"/>
  <c r="J1757" i="19"/>
  <c r="F1757" i="19" s="1"/>
  <c r="L1757" i="19"/>
  <c r="AA1757" i="19" a="1"/>
  <c r="AA1757" i="19" s="1"/>
  <c r="X1757" i="19" s="1"/>
  <c r="S1757" i="19"/>
  <c r="V1757" i="19"/>
  <c r="W1757" i="19" s="1"/>
  <c r="Y1757" i="19"/>
  <c r="AD1757" i="19"/>
  <c r="J1756" i="19"/>
  <c r="F1756" i="19" s="1"/>
  <c r="L1756" i="19"/>
  <c r="AA1756" i="19" a="1"/>
  <c r="AA1756" i="19" s="1"/>
  <c r="X1756" i="19" s="1"/>
  <c r="V1756" i="19"/>
  <c r="W1756" i="19" s="1"/>
  <c r="Y1756" i="19"/>
  <c r="J1758" i="19"/>
  <c r="F1758" i="19" s="1"/>
  <c r="L1758" i="19"/>
  <c r="AA1758" i="19" a="1"/>
  <c r="AA1758" i="19" s="1"/>
  <c r="X1758" i="19" s="1"/>
  <c r="V1758" i="19"/>
  <c r="W1758" i="19" s="1"/>
  <c r="Y1758" i="19"/>
  <c r="J1760" i="19"/>
  <c r="L1760" i="19"/>
  <c r="AA1760" i="19" a="1"/>
  <c r="AA1760" i="19" s="1"/>
  <c r="X1760" i="19" s="1"/>
  <c r="V1760" i="19"/>
  <c r="W1760" i="19" s="1"/>
  <c r="Y1760" i="19"/>
  <c r="J1759" i="19"/>
  <c r="F1759" i="19" s="1"/>
  <c r="L1759" i="19"/>
  <c r="AA1759" i="19" a="1"/>
  <c r="AA1759" i="19" s="1"/>
  <c r="X1759" i="19" s="1"/>
  <c r="V1759" i="19"/>
  <c r="W1759" i="19" s="1"/>
  <c r="Y1759" i="19"/>
  <c r="J1762" i="19"/>
  <c r="L1762" i="19"/>
  <c r="AA1762" i="19" a="1"/>
  <c r="AA1762" i="19" s="1"/>
  <c r="X1762" i="19" s="1"/>
  <c r="V1762" i="19"/>
  <c r="W1762" i="19" s="1"/>
  <c r="Y1762" i="19"/>
  <c r="F1763" i="19"/>
  <c r="L1763" i="19"/>
  <c r="AA1763" i="19" a="1"/>
  <c r="AA1763" i="19" s="1"/>
  <c r="X1763" i="19" s="1"/>
  <c r="V1763" i="19"/>
  <c r="W1763" i="19" s="1"/>
  <c r="Y1763" i="19"/>
  <c r="AF1763" i="19"/>
  <c r="AG1763" i="19"/>
  <c r="J1766" i="19"/>
  <c r="F1766" i="19" s="1"/>
  <c r="L1766" i="19"/>
  <c r="AA1766" i="19" a="1"/>
  <c r="AA1766" i="19" s="1"/>
  <c r="X1766" i="19" s="1"/>
  <c r="V1766" i="19"/>
  <c r="W1766" i="19" s="1"/>
  <c r="Y1766" i="19"/>
  <c r="J1767" i="19"/>
  <c r="F1767" i="19" s="1"/>
  <c r="L1767" i="19"/>
  <c r="AA1767" i="19" a="1"/>
  <c r="AA1767" i="19" s="1"/>
  <c r="X1767" i="19" s="1"/>
  <c r="V1767" i="19"/>
  <c r="W1767" i="19" s="1"/>
  <c r="Y1767" i="19"/>
  <c r="J1765" i="19"/>
  <c r="L1765" i="19"/>
  <c r="AA1765" i="19" a="1"/>
  <c r="AA1765" i="19" s="1"/>
  <c r="X1765" i="19" s="1"/>
  <c r="V1765" i="19"/>
  <c r="W1765" i="19" s="1"/>
  <c r="Y1765" i="19"/>
  <c r="L1768" i="19"/>
  <c r="AA1768" i="19" a="1"/>
  <c r="AA1768" i="19" s="1"/>
  <c r="X1768" i="19" s="1"/>
  <c r="AF1768" i="19"/>
  <c r="AG1768" i="19"/>
  <c r="J1764" i="19"/>
  <c r="L1764" i="19"/>
  <c r="AA1764" i="19" a="1"/>
  <c r="AA1764" i="19" s="1"/>
  <c r="X1764" i="19" s="1"/>
  <c r="S1764" i="19"/>
  <c r="V1764" i="19"/>
  <c r="W1764" i="19" s="1"/>
  <c r="Y1764" i="19"/>
  <c r="AC1764" i="19"/>
  <c r="AG1764" i="19"/>
  <c r="J1784" i="19"/>
  <c r="F1784" i="19" s="1"/>
  <c r="L1784" i="19"/>
  <c r="AA1784" i="19" a="1"/>
  <c r="AA1784" i="19" s="1"/>
  <c r="X1784" i="19" s="1"/>
  <c r="V1784" i="19"/>
  <c r="W1784" i="19" s="1"/>
  <c r="Y1784" i="19"/>
  <c r="J1777" i="19"/>
  <c r="F1777" i="19" s="1"/>
  <c r="L1777" i="19"/>
  <c r="AA1777" i="19" a="1"/>
  <c r="AA1777" i="19" s="1"/>
  <c r="X1777" i="19" s="1"/>
  <c r="V1777" i="19"/>
  <c r="W1777" i="19" s="1"/>
  <c r="Y1777" i="19"/>
  <c r="J1775" i="19"/>
  <c r="L1775" i="19"/>
  <c r="AA1775" i="19" a="1"/>
  <c r="AA1775" i="19" s="1"/>
  <c r="X1775" i="19" s="1"/>
  <c r="V1775" i="19"/>
  <c r="W1775" i="19" s="1"/>
  <c r="Y1775" i="19"/>
  <c r="J1780" i="19"/>
  <c r="F1780" i="19" s="1"/>
  <c r="L1780" i="19"/>
  <c r="AA1780" i="19" a="1"/>
  <c r="AA1780" i="19" s="1"/>
  <c r="X1780" i="19" s="1"/>
  <c r="V1780" i="19"/>
  <c r="W1780" i="19" s="1"/>
  <c r="Y1780" i="19"/>
  <c r="J1783" i="19"/>
  <c r="F1783" i="19" s="1"/>
  <c r="L1783" i="19"/>
  <c r="AA1783" i="19" a="1"/>
  <c r="AA1783" i="19" s="1"/>
  <c r="X1783" i="19" s="1"/>
  <c r="V1783" i="19"/>
  <c r="W1783" i="19" s="1"/>
  <c r="Y1783" i="19"/>
  <c r="J1782" i="19"/>
  <c r="F1782" i="19" s="1"/>
  <c r="L1782" i="19"/>
  <c r="AA1782" i="19" a="1"/>
  <c r="AA1782" i="19" s="1"/>
  <c r="X1782" i="19" s="1"/>
  <c r="V1782" i="19"/>
  <c r="W1782" i="19" s="1"/>
  <c r="Y1782" i="19"/>
  <c r="J1776" i="19"/>
  <c r="F1776" i="19" s="1"/>
  <c r="L1776" i="19"/>
  <c r="AA1776" i="19" a="1"/>
  <c r="AA1776" i="19" s="1"/>
  <c r="X1776" i="19" s="1"/>
  <c r="V1776" i="19"/>
  <c r="W1776" i="19" s="1"/>
  <c r="Y1776" i="19"/>
  <c r="J1779" i="19"/>
  <c r="F1779" i="19" s="1"/>
  <c r="L1779" i="19"/>
  <c r="AA1779" i="19" a="1"/>
  <c r="AA1779" i="19" s="1"/>
  <c r="X1779" i="19" s="1"/>
  <c r="V1779" i="19"/>
  <c r="W1779" i="19" s="1"/>
  <c r="Y1779" i="19"/>
  <c r="J1778" i="19"/>
  <c r="F1778" i="19" s="1"/>
  <c r="L1778" i="19"/>
  <c r="AA1778" i="19" a="1"/>
  <c r="AA1778" i="19" s="1"/>
  <c r="X1778" i="19" s="1"/>
  <c r="V1778" i="19"/>
  <c r="W1778" i="19" s="1"/>
  <c r="Y1778" i="19"/>
  <c r="J1773" i="19"/>
  <c r="F1773" i="19" s="1"/>
  <c r="L1773" i="19"/>
  <c r="AA1773" i="19" a="1"/>
  <c r="AA1773" i="19" s="1"/>
  <c r="X1773" i="19" s="1"/>
  <c r="V1773" i="19"/>
  <c r="W1773" i="19" s="1"/>
  <c r="Y1773" i="19"/>
  <c r="J1781" i="19"/>
  <c r="L1781" i="19"/>
  <c r="AA1781" i="19" a="1"/>
  <c r="AA1781" i="19" s="1"/>
  <c r="X1781" i="19" s="1"/>
  <c r="V1781" i="19"/>
  <c r="W1781" i="19" s="1"/>
  <c r="Y1781" i="19"/>
  <c r="J1769" i="19"/>
  <c r="F1769" i="19" s="1"/>
  <c r="L1769" i="19"/>
  <c r="AA1769" i="19" a="1"/>
  <c r="AA1769" i="19" s="1"/>
  <c r="X1769" i="19" s="1"/>
  <c r="V1769" i="19"/>
  <c r="W1769" i="19" s="1"/>
  <c r="Y1769" i="19"/>
  <c r="J1770" i="19"/>
  <c r="F1770" i="19" s="1"/>
  <c r="L1770" i="19"/>
  <c r="AA1770" i="19" a="1"/>
  <c r="AA1770" i="19" s="1"/>
  <c r="X1770" i="19" s="1"/>
  <c r="V1770" i="19"/>
  <c r="W1770" i="19" s="1"/>
  <c r="Y1770" i="19"/>
  <c r="J1772" i="19"/>
  <c r="F1772" i="19" s="1"/>
  <c r="L1772" i="19"/>
  <c r="AA1772" i="19" a="1"/>
  <c r="AA1772" i="19" s="1"/>
  <c r="X1772" i="19" s="1"/>
  <c r="V1772" i="19"/>
  <c r="W1772" i="19" s="1"/>
  <c r="Y1772" i="19"/>
  <c r="J1771" i="19"/>
  <c r="L1771" i="19"/>
  <c r="AA1771" i="19" a="1"/>
  <c r="AA1771" i="19" s="1"/>
  <c r="X1771" i="19" s="1"/>
  <c r="V1771" i="19"/>
  <c r="W1771" i="19" s="1"/>
  <c r="Y1771" i="19"/>
  <c r="J1861" i="19"/>
  <c r="F1861" i="19" s="1"/>
  <c r="L1861" i="19"/>
  <c r="AA1861" i="19" a="1"/>
  <c r="AA1861" i="19" s="1"/>
  <c r="X1861" i="19" s="1"/>
  <c r="S1861" i="19"/>
  <c r="V1861" i="19"/>
  <c r="W1861" i="19" s="1"/>
  <c r="Y1861" i="19"/>
  <c r="AC1861" i="19"/>
  <c r="AD1861" i="19" s="1"/>
  <c r="AG1861" i="19"/>
  <c r="J1862" i="19"/>
  <c r="F1862" i="19" s="1"/>
  <c r="L1862" i="19"/>
  <c r="AA1862" i="19" a="1"/>
  <c r="AA1862" i="19" s="1"/>
  <c r="X1862" i="19" s="1"/>
  <c r="S1862" i="19"/>
  <c r="V1862" i="19"/>
  <c r="W1862" i="19" s="1"/>
  <c r="Y1862" i="19"/>
  <c r="AC1862" i="19"/>
  <c r="AF1862" i="19" s="1"/>
  <c r="AG1862" i="19"/>
  <c r="J1863" i="19"/>
  <c r="F1863" i="19" s="1"/>
  <c r="L1863" i="19"/>
  <c r="AA1863" i="19" a="1"/>
  <c r="AA1863" i="19" s="1"/>
  <c r="X1863" i="19" s="1"/>
  <c r="S1863" i="19"/>
  <c r="V1863" i="19"/>
  <c r="W1863" i="19" s="1"/>
  <c r="Y1863" i="19"/>
  <c r="AC1863" i="19"/>
  <c r="AG1863" i="19"/>
  <c r="J1859" i="19"/>
  <c r="L1859" i="19"/>
  <c r="AA1859" i="19" a="1"/>
  <c r="AA1859" i="19" s="1"/>
  <c r="X1859" i="19" s="1"/>
  <c r="S1859" i="19"/>
  <c r="V1859" i="19"/>
  <c r="W1859" i="19" s="1"/>
  <c r="Y1859" i="19"/>
  <c r="AC1859" i="19"/>
  <c r="AD1859" i="19" s="1"/>
  <c r="AG1859" i="19"/>
  <c r="J1860" i="19"/>
  <c r="F1860" i="19" s="1"/>
  <c r="L1860" i="19"/>
  <c r="AA1860" i="19" a="1"/>
  <c r="AA1860" i="19" s="1"/>
  <c r="X1860" i="19" s="1"/>
  <c r="S1860" i="19"/>
  <c r="V1860" i="19"/>
  <c r="W1860" i="19" s="1"/>
  <c r="Y1860" i="19"/>
  <c r="AC1860" i="19"/>
  <c r="AD1860" i="19" s="1"/>
  <c r="AG1860" i="19"/>
  <c r="J1815" i="19"/>
  <c r="F1815" i="19" s="1"/>
  <c r="L1815" i="19"/>
  <c r="AA1815" i="19" a="1"/>
  <c r="AA1815" i="19" s="1"/>
  <c r="X1815" i="19" s="1"/>
  <c r="V1815" i="19"/>
  <c r="W1815" i="19" s="1"/>
  <c r="Y1815" i="19"/>
  <c r="AE1815" i="19"/>
  <c r="J1788" i="19"/>
  <c r="F1788" i="19" s="1"/>
  <c r="L1788" i="19"/>
  <c r="AA1788" i="19" a="1"/>
  <c r="AA1788" i="19" s="1"/>
  <c r="X1788" i="19" s="1"/>
  <c r="V1788" i="19"/>
  <c r="W1788" i="19" s="1"/>
  <c r="Y1788" i="19"/>
  <c r="AD1788" i="19"/>
  <c r="AG1788" i="19"/>
  <c r="J1787" i="19"/>
  <c r="L1787" i="19"/>
  <c r="AA1787" i="19" a="1"/>
  <c r="AA1787" i="19" s="1"/>
  <c r="X1787" i="19" s="1"/>
  <c r="V1787" i="19"/>
  <c r="W1787" i="19" s="1"/>
  <c r="Y1787" i="19"/>
  <c r="AE1787" i="19"/>
  <c r="AG1787" i="19"/>
  <c r="J1789" i="19"/>
  <c r="F1789" i="19" s="1"/>
  <c r="L1789" i="19"/>
  <c r="AA1789" i="19" a="1"/>
  <c r="AA1789" i="19" s="1"/>
  <c r="X1789" i="19" s="1"/>
  <c r="V1789" i="19"/>
  <c r="W1789" i="19" s="1"/>
  <c r="Y1789" i="19"/>
  <c r="AE1789" i="19"/>
  <c r="AG1789" i="19"/>
  <c r="J1795" i="19"/>
  <c r="F1795" i="19" s="1"/>
  <c r="L1795" i="19"/>
  <c r="AA1795" i="19" a="1"/>
  <c r="AA1795" i="19" s="1"/>
  <c r="X1795" i="19" s="1"/>
  <c r="V1795" i="19"/>
  <c r="W1795" i="19" s="1"/>
  <c r="Y1795" i="19"/>
  <c r="AC1795" i="19"/>
  <c r="AE1795" i="19" s="1"/>
  <c r="AG1795" i="19"/>
  <c r="J1793" i="19"/>
  <c r="F1793" i="19" s="1"/>
  <c r="L1793" i="19"/>
  <c r="AA1793" i="19" a="1"/>
  <c r="AA1793" i="19" s="1"/>
  <c r="X1793" i="19" s="1"/>
  <c r="V1793" i="19"/>
  <c r="W1793" i="19" s="1"/>
  <c r="Y1793" i="19"/>
  <c r="AC1793" i="19"/>
  <c r="AG1793" i="19"/>
  <c r="J1794" i="19"/>
  <c r="L1794" i="19"/>
  <c r="AA1794" i="19" a="1"/>
  <c r="AA1794" i="19" s="1"/>
  <c r="X1794" i="19" s="1"/>
  <c r="V1794" i="19"/>
  <c r="W1794" i="19" s="1"/>
  <c r="Y1794" i="19"/>
  <c r="AC1794" i="19"/>
  <c r="AD1794" i="19" s="1"/>
  <c r="AG1794" i="19"/>
  <c r="J1796" i="19"/>
  <c r="F1796" i="19" s="1"/>
  <c r="L1796" i="19"/>
  <c r="AA1796" i="19" a="1"/>
  <c r="AA1796" i="19" s="1"/>
  <c r="X1796" i="19" s="1"/>
  <c r="V1796" i="19"/>
  <c r="W1796" i="19" s="1"/>
  <c r="Y1796" i="19"/>
  <c r="AC1796" i="19"/>
  <c r="AG1796" i="19"/>
  <c r="J1798" i="19"/>
  <c r="F1798" i="19" s="1"/>
  <c r="L1798" i="19"/>
  <c r="AA1798" i="19" a="1"/>
  <c r="AA1798" i="19" s="1"/>
  <c r="X1798" i="19" s="1"/>
  <c r="V1798" i="19"/>
  <c r="W1798" i="19" s="1"/>
  <c r="Y1798" i="19"/>
  <c r="AC1798" i="19"/>
  <c r="AG1798" i="19"/>
  <c r="J1791" i="19"/>
  <c r="F1791" i="19" s="1"/>
  <c r="L1791" i="19"/>
  <c r="AA1791" i="19" a="1"/>
  <c r="AA1791" i="19" s="1"/>
  <c r="X1791" i="19" s="1"/>
  <c r="V1791" i="19"/>
  <c r="W1791" i="19" s="1"/>
  <c r="Y1791" i="19"/>
  <c r="AC1791" i="19"/>
  <c r="AD1791" i="19" s="1"/>
  <c r="AG1791" i="19"/>
  <c r="J1792" i="19"/>
  <c r="L1792" i="19"/>
  <c r="AA1792" i="19" a="1"/>
  <c r="AA1792" i="19" s="1"/>
  <c r="X1792" i="19" s="1"/>
  <c r="V1792" i="19"/>
  <c r="W1792" i="19" s="1"/>
  <c r="Y1792" i="19"/>
  <c r="AC1792" i="19"/>
  <c r="AG1792" i="19"/>
  <c r="J1790" i="19"/>
  <c r="F1790" i="19" s="1"/>
  <c r="L1790" i="19"/>
  <c r="AA1790" i="19" a="1"/>
  <c r="AA1790" i="19" s="1"/>
  <c r="X1790" i="19" s="1"/>
  <c r="V1790" i="19"/>
  <c r="W1790" i="19" s="1"/>
  <c r="Y1790" i="19"/>
  <c r="AC1790" i="19"/>
  <c r="AD1790" i="19" s="1"/>
  <c r="AG1790" i="19"/>
  <c r="J2354" i="19"/>
  <c r="F2354" i="19" s="1"/>
  <c r="L2354" i="19"/>
  <c r="AA2354" i="19" a="1"/>
  <c r="AA2354" i="19" s="1"/>
  <c r="X2354" i="19" s="1"/>
  <c r="S2354" i="19"/>
  <c r="V2354" i="19"/>
  <c r="W2354" i="19" s="1"/>
  <c r="Y2354" i="19"/>
  <c r="AC2354" i="19"/>
  <c r="AD2354" i="19" s="1"/>
  <c r="AG2354" i="19"/>
  <c r="J2355" i="19"/>
  <c r="F2355" i="19" s="1"/>
  <c r="L2355" i="19"/>
  <c r="AA2355" i="19" a="1"/>
  <c r="AA2355" i="19" s="1"/>
  <c r="X2355" i="19" s="1"/>
  <c r="S2355" i="19"/>
  <c r="V2355" i="19"/>
  <c r="W2355" i="19" s="1"/>
  <c r="Y2355" i="19"/>
  <c r="AC2355" i="19"/>
  <c r="AF2355" i="19" s="1"/>
  <c r="AG2355" i="19"/>
  <c r="J1817" i="19"/>
  <c r="L1817" i="19"/>
  <c r="AA1817" i="19" a="1"/>
  <c r="AA1817" i="19" s="1"/>
  <c r="X1817" i="19" s="1"/>
  <c r="V1817" i="19"/>
  <c r="W1817" i="19" s="1"/>
  <c r="Y1817" i="19"/>
  <c r="AG1817" i="19"/>
  <c r="J1816" i="19"/>
  <c r="F1816" i="19" s="1"/>
  <c r="L1816" i="19"/>
  <c r="AA1816" i="19" a="1"/>
  <c r="AA1816" i="19" s="1"/>
  <c r="X1816" i="19" s="1"/>
  <c r="V1816" i="19"/>
  <c r="W1816" i="19" s="1"/>
  <c r="Y1816" i="19"/>
  <c r="AF1816" i="19"/>
  <c r="AG1816" i="19"/>
  <c r="J1799" i="19"/>
  <c r="F1799" i="19" s="1"/>
  <c r="L1799" i="19"/>
  <c r="AA1799" i="19" a="1"/>
  <c r="AA1799" i="19" s="1"/>
  <c r="X1799" i="19" s="1"/>
  <c r="V1799" i="19"/>
  <c r="W1799" i="19" s="1"/>
  <c r="Y1799" i="19"/>
  <c r="AD1799" i="19"/>
  <c r="J1803" i="19"/>
  <c r="F1803" i="19" s="1"/>
  <c r="L1803" i="19"/>
  <c r="AA1803" i="19" a="1"/>
  <c r="AA1803" i="19" s="1"/>
  <c r="X1803" i="19" s="1"/>
  <c r="V1803" i="19"/>
  <c r="W1803" i="19" s="1"/>
  <c r="Y1803" i="19"/>
  <c r="J1804" i="19"/>
  <c r="L1804" i="19"/>
  <c r="AA1804" i="19" a="1"/>
  <c r="AA1804" i="19" s="1"/>
  <c r="X1804" i="19" s="1"/>
  <c r="V1804" i="19"/>
  <c r="W1804" i="19" s="1"/>
  <c r="Y1804" i="19"/>
  <c r="J1800" i="19"/>
  <c r="F1800" i="19" s="1"/>
  <c r="L1800" i="19"/>
  <c r="AA1800" i="19" a="1"/>
  <c r="AA1800" i="19" s="1"/>
  <c r="X1800" i="19" s="1"/>
  <c r="V1800" i="19"/>
  <c r="W1800" i="19" s="1"/>
  <c r="Y1800" i="19"/>
  <c r="J1806" i="19"/>
  <c r="F1806" i="19" s="1"/>
  <c r="L1806" i="19"/>
  <c r="AA1806" i="19" a="1"/>
  <c r="AA1806" i="19" s="1"/>
  <c r="X1806" i="19" s="1"/>
  <c r="V1806" i="19"/>
  <c r="W1806" i="19" s="1"/>
  <c r="Y1806" i="19"/>
  <c r="J1805" i="19"/>
  <c r="F1805" i="19" s="1"/>
  <c r="L1805" i="19"/>
  <c r="AA1805" i="19" a="1"/>
  <c r="AA1805" i="19" s="1"/>
  <c r="X1805" i="19" s="1"/>
  <c r="V1805" i="19"/>
  <c r="W1805" i="19" s="1"/>
  <c r="Y1805" i="19"/>
  <c r="L1808" i="19"/>
  <c r="AA1808" i="19" a="1"/>
  <c r="AA1808" i="19" s="1"/>
  <c r="X1808" i="19" s="1"/>
  <c r="V1808" i="19"/>
  <c r="W1808" i="19" s="1"/>
  <c r="Y1808" i="19"/>
  <c r="AD1808" i="19"/>
  <c r="L1810" i="19"/>
  <c r="AA1810" i="19" a="1"/>
  <c r="AA1810" i="19" s="1"/>
  <c r="X1810" i="19" s="1"/>
  <c r="V1810" i="19"/>
  <c r="W1810" i="19" s="1"/>
  <c r="Y1810" i="19"/>
  <c r="F1807" i="19"/>
  <c r="L1807" i="19"/>
  <c r="AA1807" i="19" a="1"/>
  <c r="AA1807" i="19" s="1"/>
  <c r="X1807" i="19" s="1"/>
  <c r="V1807" i="19"/>
  <c r="W1807" i="19" s="1"/>
  <c r="Y1807" i="19"/>
  <c r="F1809" i="19"/>
  <c r="L1809" i="19"/>
  <c r="AA1809" i="19" a="1"/>
  <c r="AA1809" i="19" s="1"/>
  <c r="X1809" i="19" s="1"/>
  <c r="V1809" i="19"/>
  <c r="W1809" i="19" s="1"/>
  <c r="Y1809" i="19"/>
  <c r="J1820" i="19"/>
  <c r="L1820" i="19"/>
  <c r="AA1820" i="19" a="1"/>
  <c r="AA1820" i="19" s="1"/>
  <c r="X1820" i="19" s="1"/>
  <c r="V1820" i="19"/>
  <c r="W1820" i="19" s="1"/>
  <c r="Y1820" i="19"/>
  <c r="J1818" i="19"/>
  <c r="L1818" i="19"/>
  <c r="AA1818" i="19" a="1"/>
  <c r="AA1818" i="19" s="1"/>
  <c r="X1818" i="19" s="1"/>
  <c r="V1818" i="19"/>
  <c r="W1818" i="19" s="1"/>
  <c r="Y1818" i="19"/>
  <c r="J1822" i="19"/>
  <c r="F1822" i="19" s="1"/>
  <c r="L1822" i="19"/>
  <c r="AA1822" i="19" a="1"/>
  <c r="AA1822" i="19" s="1"/>
  <c r="X1822" i="19" s="1"/>
  <c r="V1822" i="19"/>
  <c r="W1822" i="19" s="1"/>
  <c r="Y1822" i="19"/>
  <c r="J1812" i="19"/>
  <c r="F1812" i="19" s="1"/>
  <c r="L1812" i="19"/>
  <c r="AA1812" i="19" a="1"/>
  <c r="AA1812" i="19" s="1"/>
  <c r="X1812" i="19" s="1"/>
  <c r="S1812" i="19"/>
  <c r="V1812" i="19"/>
  <c r="W1812" i="19" s="1"/>
  <c r="Y1812" i="19"/>
  <c r="AC1812" i="19"/>
  <c r="AF1812" i="19" s="1"/>
  <c r="AG1812" i="19"/>
  <c r="J1811" i="19"/>
  <c r="L1811" i="19"/>
  <c r="AA1811" i="19" a="1"/>
  <c r="AA1811" i="19" s="1"/>
  <c r="X1811" i="19" s="1"/>
  <c r="S1811" i="19"/>
  <c r="V1811" i="19"/>
  <c r="W1811" i="19" s="1"/>
  <c r="Y1811" i="19"/>
  <c r="AC1811" i="19"/>
  <c r="AD1811" i="19" s="1"/>
  <c r="AG1811" i="19"/>
  <c r="L1814" i="19"/>
  <c r="AA1814" i="19" a="1"/>
  <c r="AA1814" i="19" s="1"/>
  <c r="X1814" i="19" s="1"/>
  <c r="S1814" i="19"/>
  <c r="V1814" i="19"/>
  <c r="W1814" i="19" s="1"/>
  <c r="Y1814" i="19"/>
  <c r="AC1814" i="19"/>
  <c r="AG1814" i="19"/>
  <c r="L1813" i="19"/>
  <c r="AA1813" i="19" a="1"/>
  <c r="AA1813" i="19" s="1"/>
  <c r="X1813" i="19" s="1"/>
  <c r="S1813" i="19"/>
  <c r="V1813" i="19"/>
  <c r="W1813" i="19" s="1"/>
  <c r="Y1813" i="19"/>
  <c r="AC1813" i="19"/>
  <c r="AF1813" i="19" s="1"/>
  <c r="AG1813" i="19"/>
  <c r="J1845" i="19"/>
  <c r="F1845" i="19" s="1"/>
  <c r="L1845" i="19"/>
  <c r="AA1845" i="19" a="1"/>
  <c r="AA1845" i="19" s="1"/>
  <c r="X1845" i="19" s="1"/>
  <c r="S1845" i="19"/>
  <c r="V1845" i="19"/>
  <c r="W1845" i="19" s="1"/>
  <c r="Y1845" i="19"/>
  <c r="AC1845" i="19"/>
  <c r="AE1845" i="19" s="1"/>
  <c r="AG1845" i="19"/>
  <c r="J1823" i="19"/>
  <c r="F1823" i="19" s="1"/>
  <c r="L1823" i="19"/>
  <c r="AA1823" i="19" a="1"/>
  <c r="AA1823" i="19" s="1"/>
  <c r="X1823" i="19" s="1"/>
  <c r="S1823" i="19"/>
  <c r="V1823" i="19"/>
  <c r="W1823" i="19" s="1"/>
  <c r="Y1823" i="19"/>
  <c r="AC1823" i="19"/>
  <c r="AD1823" i="19" s="1"/>
  <c r="AG1823" i="19"/>
  <c r="J1825" i="19"/>
  <c r="F1825" i="19" s="1"/>
  <c r="L1825" i="19"/>
  <c r="AA1825" i="19" a="1"/>
  <c r="AA1825" i="19" s="1"/>
  <c r="X1825" i="19" s="1"/>
  <c r="V1825" i="19"/>
  <c r="W1825" i="19" s="1"/>
  <c r="Y1825" i="19"/>
  <c r="AE1825" i="19"/>
  <c r="J1826" i="19"/>
  <c r="L1826" i="19"/>
  <c r="AA1826" i="19" a="1"/>
  <c r="AA1826" i="19" s="1"/>
  <c r="X1826" i="19" s="1"/>
  <c r="V1826" i="19"/>
  <c r="W1826" i="19" s="1"/>
  <c r="Y1826" i="19"/>
  <c r="J1824" i="19"/>
  <c r="F1824" i="19" s="1"/>
  <c r="L1824" i="19"/>
  <c r="AA1824" i="19" a="1"/>
  <c r="AA1824" i="19" s="1"/>
  <c r="X1824" i="19" s="1"/>
  <c r="V1824" i="19"/>
  <c r="W1824" i="19" s="1"/>
  <c r="Y1824" i="19"/>
  <c r="J1827" i="19"/>
  <c r="L1827" i="19"/>
  <c r="AA1827" i="19" a="1"/>
  <c r="AA1827" i="19" s="1"/>
  <c r="X1827" i="19" s="1"/>
  <c r="V1827" i="19"/>
  <c r="W1827" i="19" s="1"/>
  <c r="Y1827" i="19"/>
  <c r="J1847" i="19"/>
  <c r="F1847" i="19" s="1"/>
  <c r="L1847" i="19"/>
  <c r="AA1847" i="19" a="1"/>
  <c r="AA1847" i="19" s="1"/>
  <c r="X1847" i="19" s="1"/>
  <c r="S1847" i="19"/>
  <c r="V1847" i="19"/>
  <c r="W1847" i="19" s="1"/>
  <c r="Y1847" i="19"/>
  <c r="AC1847" i="19"/>
  <c r="AD1847" i="19" s="1"/>
  <c r="AG1847" i="19"/>
  <c r="J1846" i="19"/>
  <c r="F1846" i="19" s="1"/>
  <c r="L1846" i="19"/>
  <c r="AA1846" i="19" a="1"/>
  <c r="AA1846" i="19" s="1"/>
  <c r="X1846" i="19" s="1"/>
  <c r="S1846" i="19"/>
  <c r="V1846" i="19"/>
  <c r="W1846" i="19" s="1"/>
  <c r="Y1846" i="19"/>
  <c r="AC1846" i="19"/>
  <c r="AE1846" i="19" s="1"/>
  <c r="AG1846" i="19"/>
  <c r="J1831" i="19"/>
  <c r="F1831" i="19" s="1"/>
  <c r="L1831" i="19"/>
  <c r="AA1831" i="19" a="1"/>
  <c r="AA1831" i="19" s="1"/>
  <c r="X1831" i="19" s="1"/>
  <c r="S1831" i="19"/>
  <c r="V1831" i="19"/>
  <c r="W1831" i="19" s="1"/>
  <c r="Y1831" i="19"/>
  <c r="AC1831" i="19"/>
  <c r="AD1831" i="19" s="1"/>
  <c r="AG1831" i="19"/>
  <c r="J1828" i="19"/>
  <c r="L1828" i="19"/>
  <c r="AA1828" i="19" a="1"/>
  <c r="AA1828" i="19" s="1"/>
  <c r="X1828" i="19" s="1"/>
  <c r="V1828" i="19"/>
  <c r="W1828" i="19" s="1"/>
  <c r="Y1828" i="19"/>
  <c r="J1829" i="19"/>
  <c r="F1829" i="19" s="1"/>
  <c r="L1829" i="19"/>
  <c r="AA1829" i="19" a="1"/>
  <c r="AA1829" i="19" s="1"/>
  <c r="X1829" i="19" s="1"/>
  <c r="V1829" i="19"/>
  <c r="W1829" i="19" s="1"/>
  <c r="Y1829" i="19"/>
  <c r="J1830" i="19"/>
  <c r="F1830" i="19" s="1"/>
  <c r="L1830" i="19"/>
  <c r="AA1830" i="19" a="1"/>
  <c r="AA1830" i="19" s="1"/>
  <c r="X1830" i="19" s="1"/>
  <c r="S1830" i="19"/>
  <c r="V1830" i="19"/>
  <c r="W1830" i="19" s="1"/>
  <c r="Y1830" i="19"/>
  <c r="AC1830" i="19"/>
  <c r="AD1830" i="19" s="1"/>
  <c r="AG1830" i="19"/>
  <c r="J1975" i="19"/>
  <c r="L1975" i="19"/>
  <c r="AA1975" i="19" a="1"/>
  <c r="AA1975" i="19" s="1"/>
  <c r="X1975" i="19" s="1"/>
  <c r="S1975" i="19"/>
  <c r="V1975" i="19"/>
  <c r="W1975" i="19" s="1"/>
  <c r="Y1975" i="19"/>
  <c r="AC1975" i="19"/>
  <c r="AG1975" i="19"/>
  <c r="J1912" i="19"/>
  <c r="L1912" i="19"/>
  <c r="AA1912" i="19" a="1"/>
  <c r="AA1912" i="19" s="1"/>
  <c r="X1912" i="19" s="1"/>
  <c r="V1912" i="19"/>
  <c r="W1912" i="19" s="1"/>
  <c r="Y1912" i="19"/>
  <c r="AC1912" i="19"/>
  <c r="AD1912" i="19" s="1"/>
  <c r="AG1912" i="19"/>
  <c r="J1837" i="19"/>
  <c r="F1837" i="19" s="1"/>
  <c r="L1837" i="19"/>
  <c r="AA1837" i="19" a="1"/>
  <c r="AA1837" i="19" s="1"/>
  <c r="X1837" i="19" s="1"/>
  <c r="V1837" i="19"/>
  <c r="W1837" i="19" s="1"/>
  <c r="Y1837" i="19"/>
  <c r="F1834" i="19"/>
  <c r="L1834" i="19"/>
  <c r="AA1834" i="19" a="1"/>
  <c r="AA1834" i="19" s="1"/>
  <c r="X1834" i="19" s="1"/>
  <c r="V1834" i="19"/>
  <c r="W1834" i="19" s="1"/>
  <c r="Y1834" i="19"/>
  <c r="L1833" i="19"/>
  <c r="AA1833" i="19" a="1"/>
  <c r="AA1833" i="19" s="1"/>
  <c r="X1833" i="19" s="1"/>
  <c r="V1833" i="19"/>
  <c r="W1833" i="19" s="1"/>
  <c r="Y1833" i="19"/>
  <c r="L1835" i="19"/>
  <c r="AA1835" i="19" a="1"/>
  <c r="AA1835" i="19" s="1"/>
  <c r="X1835" i="19" s="1"/>
  <c r="V1835" i="19"/>
  <c r="W1835" i="19" s="1"/>
  <c r="Y1835" i="19"/>
  <c r="F1836" i="19"/>
  <c r="L1836" i="19"/>
  <c r="AA1836" i="19" a="1"/>
  <c r="AA1836" i="19" s="1"/>
  <c r="X1836" i="19" s="1"/>
  <c r="V1836" i="19"/>
  <c r="W1836" i="19" s="1"/>
  <c r="Y1836" i="19"/>
  <c r="J1848" i="19"/>
  <c r="F1848" i="19" s="1"/>
  <c r="L1848" i="19"/>
  <c r="AA1848" i="19" a="1"/>
  <c r="AA1848" i="19" s="1"/>
  <c r="X1848" i="19" s="1"/>
  <c r="V1848" i="19"/>
  <c r="W1848" i="19" s="1"/>
  <c r="Y1848" i="19"/>
  <c r="AD1848" i="19"/>
  <c r="J1851" i="19"/>
  <c r="L1851" i="19"/>
  <c r="AA1851" i="19" a="1"/>
  <c r="AA1851" i="19" s="1"/>
  <c r="X1851" i="19" s="1"/>
  <c r="V1851" i="19"/>
  <c r="W1851" i="19" s="1"/>
  <c r="Y1851" i="19"/>
  <c r="AD1851" i="19"/>
  <c r="J1849" i="19"/>
  <c r="L1849" i="19"/>
  <c r="AA1849" i="19" a="1"/>
  <c r="AA1849" i="19" s="1"/>
  <c r="X1849" i="19" s="1"/>
  <c r="V1849" i="19"/>
  <c r="W1849" i="19" s="1"/>
  <c r="Y1849" i="19"/>
  <c r="J1850" i="19"/>
  <c r="F1850" i="19" s="1"/>
  <c r="L1850" i="19"/>
  <c r="AA1850" i="19" a="1"/>
  <c r="AA1850" i="19" s="1"/>
  <c r="X1850" i="19" s="1"/>
  <c r="V1850" i="19"/>
  <c r="W1850" i="19" s="1"/>
  <c r="Y1850" i="19"/>
  <c r="J1872" i="19"/>
  <c r="F1872" i="19" s="1"/>
  <c r="L1872" i="19"/>
  <c r="AA1872" i="19" a="1"/>
  <c r="AA1872" i="19" s="1"/>
  <c r="X1872" i="19" s="1"/>
  <c r="V1872" i="19"/>
  <c r="W1872" i="19" s="1"/>
  <c r="Y1872" i="19"/>
  <c r="AD1872" i="19"/>
  <c r="J1871" i="19"/>
  <c r="L1871" i="19"/>
  <c r="AA1871" i="19" a="1"/>
  <c r="AA1871" i="19" s="1"/>
  <c r="X1871" i="19" s="1"/>
  <c r="V1871" i="19"/>
  <c r="W1871" i="19" s="1"/>
  <c r="Y1871" i="19"/>
  <c r="J1873" i="19"/>
  <c r="L1873" i="19"/>
  <c r="AA1873" i="19" a="1"/>
  <c r="AA1873" i="19" s="1"/>
  <c r="X1873" i="19" s="1"/>
  <c r="V1873" i="19"/>
  <c r="W1873" i="19" s="1"/>
  <c r="Y1873" i="19"/>
  <c r="J1854" i="19"/>
  <c r="L1854" i="19"/>
  <c r="AA1854" i="19" a="1"/>
  <c r="AA1854" i="19" s="1"/>
  <c r="X1854" i="19" s="1"/>
  <c r="V1854" i="19"/>
  <c r="W1854" i="19" s="1"/>
  <c r="Y1854" i="19"/>
  <c r="AC1854" i="19"/>
  <c r="AE1854" i="19" s="1"/>
  <c r="AG1854" i="19"/>
  <c r="J1855" i="19"/>
  <c r="L1855" i="19"/>
  <c r="AA1855" i="19" a="1"/>
  <c r="AA1855" i="19" s="1"/>
  <c r="X1855" i="19" s="1"/>
  <c r="V1855" i="19"/>
  <c r="W1855" i="19" s="1"/>
  <c r="Y1855" i="19"/>
  <c r="AC1855" i="19"/>
  <c r="AD1855" i="19" s="1"/>
  <c r="AG1855" i="19"/>
  <c r="J1853" i="19"/>
  <c r="L1853" i="19"/>
  <c r="AA1853" i="19" a="1"/>
  <c r="AA1853" i="19" s="1"/>
  <c r="X1853" i="19" s="1"/>
  <c r="V1853" i="19"/>
  <c r="W1853" i="19" s="1"/>
  <c r="Y1853" i="19"/>
  <c r="AC1853" i="19"/>
  <c r="AD1853" i="19" s="1"/>
  <c r="AG1853" i="19"/>
  <c r="J1857" i="19"/>
  <c r="L1857" i="19"/>
  <c r="AA1857" i="19" a="1"/>
  <c r="AA1857" i="19" s="1"/>
  <c r="X1857" i="19" s="1"/>
  <c r="V1857" i="19"/>
  <c r="W1857" i="19" s="1"/>
  <c r="Y1857" i="19"/>
  <c r="AE1857" i="19"/>
  <c r="J1858" i="19"/>
  <c r="F1858" i="19" s="1"/>
  <c r="L1858" i="19"/>
  <c r="AA1858" i="19" a="1"/>
  <c r="AA1858" i="19" s="1"/>
  <c r="X1858" i="19" s="1"/>
  <c r="V1858" i="19"/>
  <c r="W1858" i="19" s="1"/>
  <c r="Y1858" i="19"/>
  <c r="J1856" i="19"/>
  <c r="F1856" i="19" s="1"/>
  <c r="L1856" i="19"/>
  <c r="AA1856" i="19" a="1"/>
  <c r="AA1856" i="19" s="1"/>
  <c r="X1856" i="19" s="1"/>
  <c r="V1856" i="19"/>
  <c r="W1856" i="19" s="1"/>
  <c r="Y1856" i="19"/>
  <c r="J1865" i="19"/>
  <c r="L1865" i="19"/>
  <c r="AA1865" i="19" a="1"/>
  <c r="AA1865" i="19" s="1"/>
  <c r="X1865" i="19" s="1"/>
  <c r="S1865" i="19"/>
  <c r="V1865" i="19"/>
  <c r="W1865" i="19" s="1"/>
  <c r="Y1865" i="19"/>
  <c r="AC1865" i="19"/>
  <c r="AD1865" i="19" s="1"/>
  <c r="AG1865" i="19"/>
  <c r="J1866" i="19"/>
  <c r="L1866" i="19"/>
  <c r="AA1866" i="19" a="1"/>
  <c r="AA1866" i="19" s="1"/>
  <c r="X1866" i="19" s="1"/>
  <c r="V1866" i="19"/>
  <c r="W1866" i="19" s="1"/>
  <c r="Y1866" i="19"/>
  <c r="AG1866" i="19"/>
  <c r="J1867" i="19"/>
  <c r="F1867" i="19" s="1"/>
  <c r="L1867" i="19"/>
  <c r="AA1867" i="19" a="1"/>
  <c r="AA1867" i="19" s="1"/>
  <c r="X1867" i="19" s="1"/>
  <c r="S1867" i="19"/>
  <c r="V1867" i="19"/>
  <c r="W1867" i="19" s="1"/>
  <c r="Y1867" i="19"/>
  <c r="AC1867" i="19"/>
  <c r="AG1867" i="19"/>
  <c r="J1868" i="19"/>
  <c r="F1868" i="19" s="1"/>
  <c r="L1868" i="19"/>
  <c r="AA1868" i="19" a="1"/>
  <c r="AA1868" i="19" s="1"/>
  <c r="X1868" i="19" s="1"/>
  <c r="S1868" i="19"/>
  <c r="V1868" i="19"/>
  <c r="W1868" i="19" s="1"/>
  <c r="Y1868" i="19"/>
  <c r="AC1868" i="19"/>
  <c r="AD1868" i="19" s="1"/>
  <c r="AG1868" i="19"/>
  <c r="J1869" i="19"/>
  <c r="L1869" i="19"/>
  <c r="AA1869" i="19" a="1"/>
  <c r="AA1869" i="19" s="1"/>
  <c r="X1869" i="19" s="1"/>
  <c r="S1869" i="19"/>
  <c r="V1869" i="19"/>
  <c r="W1869" i="19" s="1"/>
  <c r="Y1869" i="19"/>
  <c r="AC1869" i="19"/>
  <c r="AD1869" i="19" s="1"/>
  <c r="AG1869" i="19"/>
  <c r="J1852" i="19"/>
  <c r="L1852" i="19"/>
  <c r="AA1852" i="19" a="1"/>
  <c r="AA1852" i="19" s="1"/>
  <c r="X1852" i="19" s="1"/>
  <c r="V1852" i="19"/>
  <c r="W1852" i="19" s="1"/>
  <c r="Y1852" i="19"/>
  <c r="AE1852" i="19"/>
  <c r="AH1724" i="19"/>
  <c r="AJ1724" i="19" s="1"/>
  <c r="AG1724" i="19"/>
  <c r="AF1724" i="19"/>
  <c r="AH1723" i="19"/>
  <c r="AJ1723" i="19" s="1"/>
  <c r="AG1723" i="19"/>
  <c r="AD1723" i="19"/>
  <c r="AH1722" i="19"/>
  <c r="AJ1722" i="19" s="1"/>
  <c r="AG1722" i="19"/>
  <c r="AF1722" i="19"/>
  <c r="AH1721" i="19"/>
  <c r="AJ1721" i="19" s="1"/>
  <c r="AG1721" i="19"/>
  <c r="AD1721" i="19"/>
  <c r="Y1719" i="19"/>
  <c r="V1719" i="19"/>
  <c r="W1719" i="19" s="1"/>
  <c r="Y1724" i="19"/>
  <c r="V1724" i="19"/>
  <c r="W1724" i="19" s="1"/>
  <c r="Y1723" i="19"/>
  <c r="V1723" i="19"/>
  <c r="W1723" i="19" s="1"/>
  <c r="Y1722" i="19"/>
  <c r="V1722" i="19"/>
  <c r="W1722" i="19" s="1"/>
  <c r="Y1721" i="19"/>
  <c r="V1721" i="19"/>
  <c r="W1721" i="19" s="1"/>
  <c r="AA1719" i="19" a="1"/>
  <c r="AA1719" i="19" s="1"/>
  <c r="X1719" i="19" s="1"/>
  <c r="L1719" i="19"/>
  <c r="J1719" i="19"/>
  <c r="S1724" i="19"/>
  <c r="AA1724" i="19" a="1"/>
  <c r="AA1724" i="19" s="1"/>
  <c r="X1724" i="19" s="1"/>
  <c r="L1724" i="19"/>
  <c r="J1724" i="19"/>
  <c r="S1723" i="19"/>
  <c r="AA1723" i="19" a="1"/>
  <c r="AA1723" i="19" s="1"/>
  <c r="X1723" i="19" s="1"/>
  <c r="L1723" i="19"/>
  <c r="J1723" i="19"/>
  <c r="S1722" i="19"/>
  <c r="AA1722" i="19" a="1"/>
  <c r="AA1722" i="19" s="1"/>
  <c r="X1722" i="19" s="1"/>
  <c r="L1722" i="19"/>
  <c r="J1722" i="19"/>
  <c r="AA1721" i="19" a="1"/>
  <c r="AA1721" i="19" s="1"/>
  <c r="X1721" i="19" s="1"/>
  <c r="L1721" i="19"/>
  <c r="J1721" i="19"/>
  <c r="F1721" i="19" s="1"/>
  <c r="S1710" i="19"/>
  <c r="J118" i="20"/>
  <c r="S21" i="18"/>
  <c r="S22" i="18"/>
  <c r="S23" i="18"/>
  <c r="S24" i="18"/>
  <c r="S25" i="18"/>
  <c r="S26" i="18"/>
  <c r="S27" i="18"/>
  <c r="S28" i="18"/>
  <c r="U28" i="18" a="1"/>
  <c r="U28" i="18" s="1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U1710" i="19"/>
  <c r="AG1710" i="19"/>
  <c r="AC1710" i="19"/>
  <c r="AD1710" i="19" s="1"/>
  <c r="Y1710" i="19"/>
  <c r="V1710" i="19"/>
  <c r="AA1710" i="19" a="1"/>
  <c r="AA1710" i="19" s="1"/>
  <c r="L1710" i="19"/>
  <c r="J1710" i="19"/>
  <c r="F1710" i="19" s="1"/>
  <c r="AF1701" i="19"/>
  <c r="AE1701" i="19"/>
  <c r="AD1701" i="19"/>
  <c r="AF1702" i="19"/>
  <c r="AE1702" i="19"/>
  <c r="AD1702" i="19"/>
  <c r="AF1703" i="19"/>
  <c r="AE1703" i="19"/>
  <c r="AD1703" i="19"/>
  <c r="S1702" i="19"/>
  <c r="S1703" i="19"/>
  <c r="S1699" i="19"/>
  <c r="S1705" i="19"/>
  <c r="S1713" i="19"/>
  <c r="S1712" i="19"/>
  <c r="S1711" i="19"/>
  <c r="S1709" i="19"/>
  <c r="S1708" i="19"/>
  <c r="S1707" i="19"/>
  <c r="S1714" i="19"/>
  <c r="S1706" i="19"/>
  <c r="S1704" i="19"/>
  <c r="AG1708" i="19"/>
  <c r="AC1708" i="19"/>
  <c r="AD1708" i="19" s="1"/>
  <c r="Y1708" i="19"/>
  <c r="V1708" i="19"/>
  <c r="W1708" i="19" s="1"/>
  <c r="AA1708" i="19" a="1"/>
  <c r="AA1708" i="19" s="1"/>
  <c r="X1708" i="19" s="1"/>
  <c r="L1708" i="19"/>
  <c r="J1708" i="19"/>
  <c r="AG1709" i="19"/>
  <c r="AC1709" i="19"/>
  <c r="AD1709" i="19" s="1"/>
  <c r="Y1709" i="19"/>
  <c r="V1709" i="19"/>
  <c r="W1709" i="19" s="1"/>
  <c r="AA1709" i="19" a="1"/>
  <c r="AA1709" i="19" s="1"/>
  <c r="X1709" i="19" s="1"/>
  <c r="L1709" i="19"/>
  <c r="J1709" i="19"/>
  <c r="F1709" i="19" s="1"/>
  <c r="U872" i="15"/>
  <c r="P872" i="15"/>
  <c r="N872" i="15" s="1"/>
  <c r="Q872" i="15" s="1"/>
  <c r="G872" i="15"/>
  <c r="C872" i="15"/>
  <c r="S1730" i="19"/>
  <c r="S1698" i="19"/>
  <c r="S1697" i="19"/>
  <c r="U869" i="15"/>
  <c r="U868" i="15"/>
  <c r="Q869" i="15"/>
  <c r="Q868" i="15"/>
  <c r="G869" i="15"/>
  <c r="G868" i="15"/>
  <c r="C869" i="15"/>
  <c r="C868" i="15"/>
  <c r="N867" i="15"/>
  <c r="Q867" i="15" s="1"/>
  <c r="G867" i="15"/>
  <c r="N866" i="15"/>
  <c r="Q866" i="15" s="1"/>
  <c r="N865" i="15"/>
  <c r="Q865" i="15" s="1"/>
  <c r="I236" i="17"/>
  <c r="I216" i="17"/>
  <c r="I203" i="17"/>
  <c r="I202" i="17"/>
  <c r="I201" i="17"/>
  <c r="I200" i="17"/>
  <c r="I199" i="17"/>
  <c r="I198" i="17"/>
  <c r="S1695" i="19"/>
  <c r="AF1696" i="19"/>
  <c r="AE1696" i="19"/>
  <c r="AD1696" i="19"/>
  <c r="Y1696" i="19"/>
  <c r="V1696" i="19"/>
  <c r="S1696" i="19"/>
  <c r="AA1696" i="19" a="1"/>
  <c r="AA1696" i="19" s="1"/>
  <c r="X1696" i="19" s="1"/>
  <c r="L1696" i="19"/>
  <c r="J1696" i="19"/>
  <c r="F1696" i="19" s="1"/>
  <c r="G861" i="15"/>
  <c r="U860" i="15"/>
  <c r="N860" i="15"/>
  <c r="Q860" i="15" s="1"/>
  <c r="G860" i="15"/>
  <c r="C860" i="15"/>
  <c r="Q859" i="15"/>
  <c r="G859" i="15"/>
  <c r="G858" i="15"/>
  <c r="Q861" i="15"/>
  <c r="N858" i="15"/>
  <c r="Q858" i="15" s="1"/>
  <c r="C859" i="15"/>
  <c r="C861" i="15"/>
  <c r="C865" i="15"/>
  <c r="C866" i="15"/>
  <c r="C867" i="15"/>
  <c r="U867" i="15"/>
  <c r="U866" i="15"/>
  <c r="U865" i="15"/>
  <c r="U861" i="15"/>
  <c r="U859" i="15"/>
  <c r="U858" i="15"/>
  <c r="C858" i="15"/>
  <c r="G857" i="15"/>
  <c r="U857" i="15"/>
  <c r="N857" i="15"/>
  <c r="Q857" i="15" s="1"/>
  <c r="C857" i="15"/>
  <c r="J1681" i="19"/>
  <c r="J1680" i="19"/>
  <c r="AD1673" i="19"/>
  <c r="AE1673" i="19"/>
  <c r="AF1673" i="19"/>
  <c r="AD1666" i="19"/>
  <c r="AE1666" i="19"/>
  <c r="AF1666" i="19"/>
  <c r="AD1669" i="19"/>
  <c r="AE1669" i="19"/>
  <c r="AF1669" i="19"/>
  <c r="AD1667" i="19"/>
  <c r="AE1667" i="19"/>
  <c r="AF1667" i="19"/>
  <c r="AD1670" i="19"/>
  <c r="AE1670" i="19"/>
  <c r="AF1670" i="19"/>
  <c r="AD1671" i="19"/>
  <c r="AE1671" i="19"/>
  <c r="AF1671" i="19"/>
  <c r="AD1674" i="19"/>
  <c r="AE1674" i="19"/>
  <c r="AF1674" i="19"/>
  <c r="AD1675" i="19"/>
  <c r="AE1675" i="19"/>
  <c r="AF1675" i="19"/>
  <c r="AD1676" i="19"/>
  <c r="AE1676" i="19"/>
  <c r="AF1676" i="19"/>
  <c r="AD1677" i="19"/>
  <c r="AE1677" i="19"/>
  <c r="AF1677" i="19"/>
  <c r="AD1678" i="19"/>
  <c r="AE1678" i="19"/>
  <c r="AF1678" i="19"/>
  <c r="AD1672" i="19"/>
  <c r="AE1672" i="19"/>
  <c r="AF1672" i="19"/>
  <c r="AD1679" i="19"/>
  <c r="AE1679" i="19"/>
  <c r="AF1679" i="19"/>
  <c r="AD1668" i="19"/>
  <c r="AE1668" i="19"/>
  <c r="AF1668" i="19"/>
  <c r="S1665" i="19"/>
  <c r="S1673" i="19"/>
  <c r="S1666" i="19"/>
  <c r="S1669" i="19"/>
  <c r="S1667" i="19"/>
  <c r="S1670" i="19"/>
  <c r="S1671" i="19"/>
  <c r="S1674" i="19"/>
  <c r="S1675" i="19"/>
  <c r="S1676" i="19"/>
  <c r="S1677" i="19"/>
  <c r="S1678" i="19"/>
  <c r="S1672" i="19"/>
  <c r="S1679" i="19"/>
  <c r="S1668" i="19"/>
  <c r="S1661" i="19"/>
  <c r="S1664" i="19"/>
  <c r="S1662" i="19"/>
  <c r="S1660" i="19"/>
  <c r="S1663" i="19"/>
  <c r="S1659" i="19"/>
  <c r="S1658" i="19"/>
  <c r="S1652" i="19"/>
  <c r="S1651" i="19"/>
  <c r="S1654" i="19"/>
  <c r="S1653" i="19"/>
  <c r="S1657" i="19"/>
  <c r="S1655" i="19"/>
  <c r="S1650" i="19"/>
  <c r="S1656" i="19"/>
  <c r="S1648" i="19"/>
  <c r="S1647" i="19"/>
  <c r="S1649" i="19"/>
  <c r="AF1661" i="19"/>
  <c r="AE1661" i="19"/>
  <c r="AD1661" i="19"/>
  <c r="Y1661" i="19"/>
  <c r="V1661" i="19"/>
  <c r="W1661" i="19" s="1"/>
  <c r="AA1661" i="19" a="1"/>
  <c r="AA1661" i="19" s="1"/>
  <c r="X1661" i="19" s="1"/>
  <c r="L1661" i="19"/>
  <c r="J1661" i="19"/>
  <c r="AF1651" i="19"/>
  <c r="AE1651" i="19"/>
  <c r="AD1651" i="19"/>
  <c r="Y1651" i="19"/>
  <c r="V1651" i="19"/>
  <c r="W1651" i="19" s="1"/>
  <c r="AA1651" i="19" a="1"/>
  <c r="AA1651" i="19" s="1"/>
  <c r="X1651" i="19" s="1"/>
  <c r="L1651" i="19"/>
  <c r="J1651" i="19"/>
  <c r="AF1653" i="19"/>
  <c r="AE1653" i="19"/>
  <c r="AD1653" i="19"/>
  <c r="Y1653" i="19"/>
  <c r="V1653" i="19"/>
  <c r="W1653" i="19" s="1"/>
  <c r="AA1653" i="19" a="1"/>
  <c r="AA1653" i="19" s="1"/>
  <c r="X1653" i="19" s="1"/>
  <c r="L1653" i="19"/>
  <c r="J1653" i="19"/>
  <c r="F1653" i="19" s="1"/>
  <c r="S1688" i="19"/>
  <c r="AF1665" i="19"/>
  <c r="AE1665" i="19"/>
  <c r="AD1665" i="19"/>
  <c r="AF1658" i="19"/>
  <c r="AF1652" i="19"/>
  <c r="AF1654" i="19"/>
  <c r="AF1657" i="19"/>
  <c r="AF1655" i="19"/>
  <c r="AF1650" i="19"/>
  <c r="AF1656" i="19"/>
  <c r="J261" i="20"/>
  <c r="AF1662" i="19"/>
  <c r="AE1662" i="19"/>
  <c r="AD1662" i="19"/>
  <c r="AF1660" i="19"/>
  <c r="AE1660" i="19"/>
  <c r="AD1660" i="19"/>
  <c r="AF1663" i="19"/>
  <c r="AE1663" i="19"/>
  <c r="AD1663" i="19"/>
  <c r="AE1658" i="19"/>
  <c r="AD1658" i="19"/>
  <c r="AE1652" i="19"/>
  <c r="AD1652" i="19"/>
  <c r="AE1654" i="19"/>
  <c r="AD1654" i="19"/>
  <c r="AE1657" i="19"/>
  <c r="AD1657" i="19"/>
  <c r="AE1655" i="19"/>
  <c r="AD1655" i="19"/>
  <c r="AE1650" i="19"/>
  <c r="AD1650" i="19"/>
  <c r="AF1648" i="19"/>
  <c r="AE1648" i="19"/>
  <c r="AD1648" i="19"/>
  <c r="AF1647" i="19"/>
  <c r="AE1647" i="19"/>
  <c r="AD1647" i="19"/>
  <c r="W2404" i="19" l="1"/>
  <c r="AA2404" i="19" a="1"/>
  <c r="AA2404" i="19" s="1"/>
  <c r="X2404" i="19" s="1"/>
  <c r="W2405" i="19"/>
  <c r="AA2405" i="19" a="1"/>
  <c r="AA2405" i="19" s="1"/>
  <c r="X2405" i="19" s="1"/>
  <c r="W2334" i="19"/>
  <c r="AA2334" i="19" a="1"/>
  <c r="AA2334" i="19" s="1"/>
  <c r="X2334" i="19" s="1"/>
  <c r="W2333" i="19"/>
  <c r="AA2333" i="19" a="1"/>
  <c r="AA2333" i="19" s="1"/>
  <c r="X2333" i="19" s="1"/>
  <c r="W2332" i="19"/>
  <c r="AA2332" i="19" a="1"/>
  <c r="AA2332" i="19" s="1"/>
  <c r="X2332" i="19" s="1"/>
  <c r="W2331" i="19"/>
  <c r="AA2331" i="19" a="1"/>
  <c r="AA2331" i="19" s="1"/>
  <c r="X2331" i="19" s="1"/>
  <c r="W2330" i="19"/>
  <c r="AA2330" i="19" a="1"/>
  <c r="AA2330" i="19" s="1"/>
  <c r="X2330" i="19" s="1"/>
  <c r="W2329" i="19"/>
  <c r="AA2329" i="19" a="1"/>
  <c r="AA2329" i="19" s="1"/>
  <c r="X2329" i="19" s="1"/>
  <c r="W2328" i="19"/>
  <c r="AA2328" i="19" a="1"/>
  <c r="AA2328" i="19" s="1"/>
  <c r="X2328" i="19" s="1"/>
  <c r="W2327" i="19"/>
  <c r="AA2327" i="19" a="1"/>
  <c r="AA2327" i="19" s="1"/>
  <c r="X2327" i="19" s="1"/>
  <c r="W2326" i="19"/>
  <c r="AA2326" i="19" a="1"/>
  <c r="AA2326" i="19" s="1"/>
  <c r="X2326" i="19" s="1"/>
  <c r="W2325" i="19"/>
  <c r="AA2325" i="19" a="1"/>
  <c r="AA2325" i="19" s="1"/>
  <c r="X2325" i="19" s="1"/>
  <c r="W2324" i="19"/>
  <c r="AA2324" i="19" a="1"/>
  <c r="AA2324" i="19" s="1"/>
  <c r="X2324" i="19" s="1"/>
  <c r="W2323" i="19"/>
  <c r="AA2323" i="19" a="1"/>
  <c r="AA2323" i="19" s="1"/>
  <c r="X2323" i="19" s="1"/>
  <c r="W2322" i="19"/>
  <c r="AA2322" i="19" a="1"/>
  <c r="AA2322" i="19" s="1"/>
  <c r="X2322" i="19" s="1"/>
  <c r="W2321" i="19"/>
  <c r="AA2321" i="19" a="1"/>
  <c r="AA2321" i="19" s="1"/>
  <c r="X2321" i="19" s="1"/>
  <c r="W2320" i="19"/>
  <c r="AA2320" i="19" a="1"/>
  <c r="AA2320" i="19" s="1"/>
  <c r="X2320" i="19" s="1"/>
  <c r="W2319" i="19"/>
  <c r="AA2319" i="19" a="1"/>
  <c r="AA2319" i="19" s="1"/>
  <c r="X2319" i="19" s="1"/>
  <c r="W2318" i="19"/>
  <c r="AA2318" i="19" a="1"/>
  <c r="AA2318" i="19" s="1"/>
  <c r="X2318" i="19" s="1"/>
  <c r="W2317" i="19"/>
  <c r="AA2317" i="19" a="1"/>
  <c r="AA2317" i="19" s="1"/>
  <c r="X2317" i="19" s="1"/>
  <c r="W2316" i="19"/>
  <c r="AA2316" i="19" a="1"/>
  <c r="AA2316" i="19" s="1"/>
  <c r="X2316" i="19" s="1"/>
  <c r="W2315" i="19"/>
  <c r="AA2315" i="19" a="1"/>
  <c r="AA2315" i="19" s="1"/>
  <c r="X2315" i="19" s="1"/>
  <c r="W2314" i="19"/>
  <c r="AA2314" i="19" a="1"/>
  <c r="AA2314" i="19" s="1"/>
  <c r="X2314" i="19" s="1"/>
  <c r="W2283" i="19"/>
  <c r="AA2283" i="19" a="1"/>
  <c r="AA2283" i="19" s="1"/>
  <c r="X2283" i="19" s="1"/>
  <c r="W2282" i="19"/>
  <c r="AA2282" i="19" a="1"/>
  <c r="AA2282" i="19" s="1"/>
  <c r="X2282" i="19" s="1"/>
  <c r="AD2336" i="19"/>
  <c r="W2237" i="19"/>
  <c r="AA2237" i="19" a="1"/>
  <c r="AA2237" i="19" s="1"/>
  <c r="X2237" i="19" s="1"/>
  <c r="W2236" i="19"/>
  <c r="AA2236" i="19" a="1"/>
  <c r="AA2236" i="19" s="1"/>
  <c r="X2236" i="19" s="1"/>
  <c r="AD2226" i="19"/>
  <c r="W2233" i="19"/>
  <c r="AA2233" i="19" a="1"/>
  <c r="AA2233" i="19" s="1"/>
  <c r="X2233" i="19" s="1"/>
  <c r="W2231" i="19"/>
  <c r="AA2231" i="19" a="1"/>
  <c r="AA2231" i="19" s="1"/>
  <c r="X2231" i="19" s="1"/>
  <c r="W2230" i="19"/>
  <c r="AA2230" i="19" a="1"/>
  <c r="AA2230" i="19" s="1"/>
  <c r="X2230" i="19" s="1"/>
  <c r="W2227" i="19"/>
  <c r="AA2227" i="19" a="1"/>
  <c r="AA2227" i="19" s="1"/>
  <c r="X2227" i="19" s="1"/>
  <c r="W2226" i="19"/>
  <c r="AA2226" i="19" a="1"/>
  <c r="AA2226" i="19" s="1"/>
  <c r="X2226" i="19" s="1"/>
  <c r="F1930" i="19"/>
  <c r="AF2178" i="19"/>
  <c r="F2145" i="19"/>
  <c r="W1710" i="19"/>
  <c r="F2076" i="19"/>
  <c r="AD1939" i="19"/>
  <c r="AD1975" i="19"/>
  <c r="AF1969" i="19"/>
  <c r="F1951" i="19"/>
  <c r="W1716" i="19"/>
  <c r="X1710" i="19"/>
  <c r="AE1716" i="19"/>
  <c r="AF1716" i="19"/>
  <c r="AF1844" i="19"/>
  <c r="AE2503" i="19"/>
  <c r="AE1844" i="19"/>
  <c r="AK1844" i="19" a="1"/>
  <c r="AK1844" i="19" s="1"/>
  <c r="AE1838" i="19"/>
  <c r="AF1838" i="19"/>
  <c r="AD2357" i="19"/>
  <c r="AE1996" i="19"/>
  <c r="AF1861" i="19"/>
  <c r="AF2367" i="19"/>
  <c r="AE1891" i="19"/>
  <c r="AD2429" i="19"/>
  <c r="AE2495" i="19"/>
  <c r="AE2226" i="19"/>
  <c r="AF2098" i="19"/>
  <c r="AE1910" i="19"/>
  <c r="AD2442" i="19"/>
  <c r="AE2199" i="19"/>
  <c r="AD1966" i="19"/>
  <c r="AD1904" i="19"/>
  <c r="AE1869" i="19"/>
  <c r="AF1860" i="19"/>
  <c r="AF2579" i="19"/>
  <c r="AE2473" i="19"/>
  <c r="AF1895" i="19"/>
  <c r="AF1847" i="19"/>
  <c r="AE2511" i="19"/>
  <c r="AE2433" i="19"/>
  <c r="AE2361" i="19"/>
  <c r="AE2134" i="19"/>
  <c r="AD1895" i="19"/>
  <c r="AE2014" i="19"/>
  <c r="AD1903" i="19"/>
  <c r="AF1736" i="19"/>
  <c r="AE2479" i="19"/>
  <c r="AF2475" i="19"/>
  <c r="AF2464" i="19"/>
  <c r="AD1999" i="19"/>
  <c r="AF2571" i="19"/>
  <c r="AF2567" i="19"/>
  <c r="AE2452" i="19"/>
  <c r="AD2403" i="19"/>
  <c r="AF2395" i="19"/>
  <c r="AD2287" i="19"/>
  <c r="AF2335" i="19"/>
  <c r="AD2373" i="19"/>
  <c r="AF2229" i="19"/>
  <c r="AF2361" i="19"/>
  <c r="AD1645" i="19"/>
  <c r="AD2020" i="19"/>
  <c r="AF2007" i="19"/>
  <c r="AD1910" i="19"/>
  <c r="AF2460" i="19"/>
  <c r="AE2135" i="19"/>
  <c r="AF2002" i="19"/>
  <c r="AE1997" i="19"/>
  <c r="AF1943" i="19"/>
  <c r="AF1869" i="19"/>
  <c r="AE1753" i="19"/>
  <c r="AF2564" i="19"/>
  <c r="AF2536" i="19"/>
  <c r="AE2519" i="19"/>
  <c r="AD2460" i="19"/>
  <c r="AE2421" i="19"/>
  <c r="AD2414" i="19"/>
  <c r="AD2396" i="19"/>
  <c r="AF2254" i="19"/>
  <c r="AE2338" i="19"/>
  <c r="AF2244" i="19"/>
  <c r="AE2234" i="19"/>
  <c r="AF2230" i="19"/>
  <c r="AF2191" i="19"/>
  <c r="AF2176" i="19"/>
  <c r="AE2077" i="19"/>
  <c r="AE2018" i="19"/>
  <c r="AD2002" i="19"/>
  <c r="AF1966" i="19"/>
  <c r="AE1896" i="19"/>
  <c r="AE1892" i="19"/>
  <c r="AD1825" i="19"/>
  <c r="AF1811" i="19"/>
  <c r="AD1816" i="19"/>
  <c r="AD1789" i="19"/>
  <c r="AD1786" i="19"/>
  <c r="AE2487" i="19"/>
  <c r="AF2483" i="19"/>
  <c r="AF2388" i="19"/>
  <c r="AD2369" i="19"/>
  <c r="AF2369" i="19"/>
  <c r="AD2187" i="19"/>
  <c r="AE2187" i="19"/>
  <c r="AF2187" i="19"/>
  <c r="AF1737" i="19"/>
  <c r="AF2590" i="19"/>
  <c r="AD2552" i="19"/>
  <c r="AE2540" i="19"/>
  <c r="AE2531" i="19"/>
  <c r="AD2472" i="19"/>
  <c r="AF2448" i="19"/>
  <c r="AE2440" i="19"/>
  <c r="AE2413" i="19"/>
  <c r="AF2390" i="19"/>
  <c r="AE2388" i="19"/>
  <c r="AE2207" i="19"/>
  <c r="AF2207" i="19"/>
  <c r="AD2540" i="19"/>
  <c r="AF2538" i="19"/>
  <c r="AE2527" i="19"/>
  <c r="AE2469" i="19"/>
  <c r="AD2448" i="19"/>
  <c r="AD2413" i="19"/>
  <c r="AE2390" i="19"/>
  <c r="AD2376" i="19"/>
  <c r="AF2376" i="19"/>
  <c r="AE2312" i="19"/>
  <c r="AD2312" i="19"/>
  <c r="AD2308" i="19"/>
  <c r="AF2308" i="19"/>
  <c r="AD2285" i="19"/>
  <c r="AD2311" i="19"/>
  <c r="AF2311" i="19"/>
  <c r="AD2307" i="19"/>
  <c r="AF2307" i="19"/>
  <c r="AD2259" i="19"/>
  <c r="AE2259" i="19"/>
  <c r="AF2181" i="19"/>
  <c r="AE2181" i="19"/>
  <c r="AE2367" i="19"/>
  <c r="AD2244" i="19"/>
  <c r="AF2226" i="19"/>
  <c r="AE2362" i="19"/>
  <c r="AF2201" i="19"/>
  <c r="AF2095" i="19"/>
  <c r="AE2090" i="19"/>
  <c r="AF2077" i="19"/>
  <c r="AD2048" i="19"/>
  <c r="AF2102" i="19"/>
  <c r="AE2194" i="19"/>
  <c r="AD2018" i="19"/>
  <c r="AD2007" i="19"/>
  <c r="AF1999" i="19"/>
  <c r="AD1996" i="19"/>
  <c r="AE1943" i="19"/>
  <c r="AF1989" i="19"/>
  <c r="AE1926" i="19"/>
  <c r="AF2113" i="19"/>
  <c r="AF2104" i="19"/>
  <c r="AF2069" i="19"/>
  <c r="AE1989" i="19"/>
  <c r="AF2373" i="19"/>
  <c r="AD2113" i="19"/>
  <c r="AF2047" i="19"/>
  <c r="AD2104" i="19"/>
  <c r="AD2069" i="19"/>
  <c r="AE2020" i="19"/>
  <c r="AD2051" i="19"/>
  <c r="AD1881" i="19"/>
  <c r="AE1867" i="19"/>
  <c r="AD1867" i="19"/>
  <c r="AE1866" i="19"/>
  <c r="AD1866" i="19"/>
  <c r="AF1866" i="19"/>
  <c r="AF1719" i="19"/>
  <c r="AD1719" i="19"/>
  <c r="AF2484" i="19"/>
  <c r="AE2484" i="19"/>
  <c r="AF2476" i="19"/>
  <c r="AE2476" i="19"/>
  <c r="AF2465" i="19"/>
  <c r="AD2465" i="19"/>
  <c r="AF2291" i="19"/>
  <c r="AD2291" i="19"/>
  <c r="AE2291" i="19"/>
  <c r="AD2256" i="19"/>
  <c r="AE2256" i="19"/>
  <c r="AF2256" i="19"/>
  <c r="AD2591" i="19"/>
  <c r="AE2591" i="19"/>
  <c r="AE2588" i="19"/>
  <c r="AD2588" i="19"/>
  <c r="AD2586" i="19"/>
  <c r="AF2586" i="19"/>
  <c r="AD2523" i="19"/>
  <c r="AE2523" i="19"/>
  <c r="AF2523" i="19"/>
  <c r="AF2492" i="19"/>
  <c r="AE2492" i="19"/>
  <c r="AF2425" i="19"/>
  <c r="AD2425" i="19"/>
  <c r="AE2425" i="19"/>
  <c r="AD2399" i="19"/>
  <c r="AE2399" i="19"/>
  <c r="AF1857" i="19"/>
  <c r="AF1912" i="19"/>
  <c r="AF1825" i="19"/>
  <c r="AF1845" i="19"/>
  <c r="AF1790" i="19"/>
  <c r="AF1791" i="19"/>
  <c r="AF1789" i="19"/>
  <c r="AE1763" i="19"/>
  <c r="AD2575" i="19"/>
  <c r="AF2575" i="19"/>
  <c r="F2569" i="19"/>
  <c r="AF2500" i="19"/>
  <c r="AE2500" i="19"/>
  <c r="AE2446" i="19"/>
  <c r="AD2446" i="19"/>
  <c r="AF2441" i="19"/>
  <c r="AD2441" i="19"/>
  <c r="AD2420" i="19"/>
  <c r="AE2420" i="19"/>
  <c r="AF2420" i="19"/>
  <c r="AE2416" i="19"/>
  <c r="AD2416" i="19"/>
  <c r="AF2416" i="19"/>
  <c r="AE2294" i="19"/>
  <c r="AD2294" i="19"/>
  <c r="AD2132" i="19"/>
  <c r="AE2132" i="19"/>
  <c r="AF2132" i="19"/>
  <c r="AE1865" i="19"/>
  <c r="AD1857" i="19"/>
  <c r="AF1975" i="19"/>
  <c r="AE1816" i="19"/>
  <c r="AE1791" i="19"/>
  <c r="AD1763" i="19"/>
  <c r="AF1757" i="19"/>
  <c r="AD2562" i="19"/>
  <c r="AF2562" i="19"/>
  <c r="AD2534" i="19"/>
  <c r="AF2534" i="19"/>
  <c r="AF2508" i="19"/>
  <c r="AE2508" i="19"/>
  <c r="AD1726" i="19"/>
  <c r="AD2584" i="19"/>
  <c r="AF2582" i="19"/>
  <c r="AF2572" i="19"/>
  <c r="AE2571" i="19"/>
  <c r="AF2568" i="19"/>
  <c r="AE2567" i="19"/>
  <c r="AE2564" i="19"/>
  <c r="AF2547" i="19"/>
  <c r="AF2543" i="19"/>
  <c r="AE2536" i="19"/>
  <c r="AF2515" i="19"/>
  <c r="AF2507" i="19"/>
  <c r="AF2499" i="19"/>
  <c r="AF2491" i="19"/>
  <c r="AE2410" i="19"/>
  <c r="AD2410" i="19"/>
  <c r="AF2408" i="19"/>
  <c r="AE2408" i="19"/>
  <c r="AE2401" i="19"/>
  <c r="AD2401" i="19"/>
  <c r="AD2302" i="19"/>
  <c r="AE2302" i="19"/>
  <c r="AF2302" i="19"/>
  <c r="AD2366" i="19"/>
  <c r="AE2366" i="19"/>
  <c r="AF2366" i="19"/>
  <c r="AE2572" i="19"/>
  <c r="AE2568" i="19"/>
  <c r="AE2563" i="19"/>
  <c r="AF2558" i="19"/>
  <c r="AE2547" i="19"/>
  <c r="AE2543" i="19"/>
  <c r="AE2515" i="19"/>
  <c r="AE2507" i="19"/>
  <c r="AE2499" i="19"/>
  <c r="AE2491" i="19"/>
  <c r="AE2483" i="19"/>
  <c r="AE2475" i="19"/>
  <c r="AD2474" i="19"/>
  <c r="AD2473" i="19"/>
  <c r="AF2472" i="19"/>
  <c r="AE2468" i="19"/>
  <c r="AE2456" i="19"/>
  <c r="AD2432" i="19"/>
  <c r="AE2432" i="19"/>
  <c r="AF2389" i="19"/>
  <c r="AE2389" i="19"/>
  <c r="AD2248" i="19"/>
  <c r="AF2248" i="19"/>
  <c r="AF2445" i="19"/>
  <c r="AE2445" i="19"/>
  <c r="AE2436" i="19"/>
  <c r="AF2436" i="19"/>
  <c r="AE2426" i="19"/>
  <c r="AD2426" i="19"/>
  <c r="AF2381" i="19"/>
  <c r="AD2381" i="19"/>
  <c r="AE2381" i="19"/>
  <c r="AD2375" i="19"/>
  <c r="AE2375" i="19"/>
  <c r="AF2375" i="19"/>
  <c r="AD2339" i="19"/>
  <c r="AE2339" i="19"/>
  <c r="AF2339" i="19"/>
  <c r="AE2250" i="19"/>
  <c r="AD2250" i="19"/>
  <c r="AE2188" i="19"/>
  <c r="AD2188" i="19"/>
  <c r="AD2235" i="19"/>
  <c r="AE2235" i="19"/>
  <c r="AF2235" i="19"/>
  <c r="AF2363" i="19"/>
  <c r="AE2363" i="19"/>
  <c r="F2203" i="19"/>
  <c r="AE2122" i="19"/>
  <c r="AF2122" i="19"/>
  <c r="AE2359" i="19"/>
  <c r="AD2359" i="19"/>
  <c r="AD2430" i="19"/>
  <c r="AE2428" i="19"/>
  <c r="AD2409" i="19"/>
  <c r="AD2395" i="19"/>
  <c r="AD2393" i="19"/>
  <c r="AD2378" i="19"/>
  <c r="AE2376" i="19"/>
  <c r="AF2312" i="19"/>
  <c r="AE2311" i="19"/>
  <c r="AD2310" i="19"/>
  <c r="AE2309" i="19"/>
  <c r="AD2251" i="19"/>
  <c r="AE2251" i="19"/>
  <c r="AD2213" i="19"/>
  <c r="AE2213" i="19"/>
  <c r="AF2213" i="19"/>
  <c r="AE2198" i="19"/>
  <c r="AF2198" i="19"/>
  <c r="AE2403" i="19"/>
  <c r="AD2245" i="19"/>
  <c r="AF2245" i="19"/>
  <c r="AD2209" i="19"/>
  <c r="AE2209" i="19"/>
  <c r="AF2209" i="19"/>
  <c r="AD2184" i="19"/>
  <c r="AE2184" i="19"/>
  <c r="AF2184" i="19"/>
  <c r="F2081" i="19"/>
  <c r="AE2192" i="19"/>
  <c r="AD2192" i="19"/>
  <c r="AF2338" i="19"/>
  <c r="AF2234" i="19"/>
  <c r="AF2362" i="19"/>
  <c r="AF2211" i="19"/>
  <c r="AD2199" i="19"/>
  <c r="AE2176" i="19"/>
  <c r="AF2216" i="19"/>
  <c r="AE2095" i="19"/>
  <c r="AE2005" i="19"/>
  <c r="AD2005" i="19"/>
  <c r="AF2005" i="19"/>
  <c r="AD2032" i="19"/>
  <c r="AE2032" i="19"/>
  <c r="AF2032" i="19"/>
  <c r="AD2041" i="19"/>
  <c r="AE2041" i="19"/>
  <c r="AF2090" i="19"/>
  <c r="AD2080" i="19"/>
  <c r="AE2101" i="19"/>
  <c r="AF2021" i="19"/>
  <c r="AD2021" i="19"/>
  <c r="F1998" i="19"/>
  <c r="F2054" i="19"/>
  <c r="AF2067" i="19"/>
  <c r="AD2067" i="19"/>
  <c r="AF2064" i="19"/>
  <c r="AE2064" i="19"/>
  <c r="AE1994" i="19"/>
  <c r="AF1994" i="19"/>
  <c r="AE1877" i="19"/>
  <c r="AD1877" i="19"/>
  <c r="AE1977" i="19"/>
  <c r="AD1977" i="19"/>
  <c r="AF2357" i="19"/>
  <c r="AF2051" i="19"/>
  <c r="AE1876" i="19"/>
  <c r="AD1876" i="19"/>
  <c r="AD1891" i="19"/>
  <c r="AD1896" i="19"/>
  <c r="AD1892" i="19"/>
  <c r="AF1903" i="19"/>
  <c r="AF2014" i="19"/>
  <c r="AF1852" i="19"/>
  <c r="AF1853" i="19"/>
  <c r="AE1975" i="19"/>
  <c r="AD1846" i="19"/>
  <c r="AD1863" i="19"/>
  <c r="AE1863" i="19"/>
  <c r="AF1863" i="19"/>
  <c r="AD1852" i="19"/>
  <c r="AF1865" i="19"/>
  <c r="AE1853" i="19"/>
  <c r="AD1854" i="19"/>
  <c r="AF1851" i="19"/>
  <c r="AF1808" i="19"/>
  <c r="AD1796" i="19"/>
  <c r="AE1796" i="19"/>
  <c r="AF1796" i="19"/>
  <c r="AF1794" i="19"/>
  <c r="AF1788" i="19"/>
  <c r="AE1851" i="19"/>
  <c r="AD1792" i="19"/>
  <c r="AF1792" i="19"/>
  <c r="AD1787" i="19"/>
  <c r="AF1787" i="19"/>
  <c r="AE1860" i="19"/>
  <c r="AF2342" i="19"/>
  <c r="AF1786" i="19"/>
  <c r="AF1726" i="19"/>
  <c r="AF1735" i="19"/>
  <c r="AF2588" i="19"/>
  <c r="AF2587" i="19"/>
  <c r="AF2584" i="19"/>
  <c r="AF2583" i="19"/>
  <c r="AE2580" i="19"/>
  <c r="AE2579" i="19"/>
  <c r="AE2576" i="19"/>
  <c r="AE2575" i="19"/>
  <c r="AF2570" i="19"/>
  <c r="AF2566" i="19"/>
  <c r="AE2560" i="19"/>
  <c r="AF2556" i="19"/>
  <c r="AD2555" i="19"/>
  <c r="AE2555" i="19"/>
  <c r="AF2554" i="19"/>
  <c r="AF2548" i="19"/>
  <c r="AD2546" i="19"/>
  <c r="AF2546" i="19"/>
  <c r="F2545" i="19"/>
  <c r="AF2544" i="19"/>
  <c r="AD2542" i="19"/>
  <c r="AF2542" i="19"/>
  <c r="AD2539" i="19"/>
  <c r="AE2539" i="19"/>
  <c r="AD2535" i="19"/>
  <c r="AE2535" i="19"/>
  <c r="AD2522" i="19"/>
  <c r="AF2522" i="19"/>
  <c r="AD2518" i="19"/>
  <c r="AF2518" i="19"/>
  <c r="AD2510" i="19"/>
  <c r="AF2510" i="19"/>
  <c r="AD2502" i="19"/>
  <c r="AF2502" i="19"/>
  <c r="AD2494" i="19"/>
  <c r="AF2494" i="19"/>
  <c r="AF1750" i="19"/>
  <c r="AE2342" i="19"/>
  <c r="AF2591" i="19"/>
  <c r="AE2587" i="19"/>
  <c r="AE2583" i="19"/>
  <c r="AD2580" i="19"/>
  <c r="AF2578" i="19"/>
  <c r="AD2576" i="19"/>
  <c r="AF2574" i="19"/>
  <c r="AF2563" i="19"/>
  <c r="AD2560" i="19"/>
  <c r="AD2556" i="19"/>
  <c r="AF2552" i="19"/>
  <c r="AD2551" i="19"/>
  <c r="AE2551" i="19"/>
  <c r="AF2550" i="19"/>
  <c r="AE2548" i="19"/>
  <c r="AE2544" i="19"/>
  <c r="F2529" i="19"/>
  <c r="AD2514" i="19"/>
  <c r="AF2514" i="19"/>
  <c r="AD2532" i="19"/>
  <c r="AF2532" i="19"/>
  <c r="AD2528" i="19"/>
  <c r="AF2528" i="19"/>
  <c r="AF2524" i="19"/>
  <c r="AD2524" i="19"/>
  <c r="AD2559" i="19"/>
  <c r="AF2559" i="19"/>
  <c r="AD2530" i="19"/>
  <c r="AF2530" i="19"/>
  <c r="AD2526" i="19"/>
  <c r="AF2526" i="19"/>
  <c r="AD2520" i="19"/>
  <c r="AF2520" i="19"/>
  <c r="AF2516" i="19"/>
  <c r="AD2516" i="19"/>
  <c r="AD2512" i="19"/>
  <c r="AE2512" i="19"/>
  <c r="AF2512" i="19"/>
  <c r="AD2504" i="19"/>
  <c r="AE2504" i="19"/>
  <c r="AF2504" i="19"/>
  <c r="AD2496" i="19"/>
  <c r="AE2496" i="19"/>
  <c r="AF2496" i="19"/>
  <c r="AD2488" i="19"/>
  <c r="AE2488" i="19"/>
  <c r="AF2488" i="19"/>
  <c r="AF2392" i="19"/>
  <c r="AD2392" i="19"/>
  <c r="AE2289" i="19"/>
  <c r="AD2289" i="19"/>
  <c r="AD2306" i="19"/>
  <c r="AE2306" i="19"/>
  <c r="AF2306" i="19"/>
  <c r="AD2286" i="19"/>
  <c r="AE2286" i="19"/>
  <c r="AF2531" i="19"/>
  <c r="AF2527" i="19"/>
  <c r="AF2519" i="19"/>
  <c r="AF2511" i="19"/>
  <c r="AD2508" i="19"/>
  <c r="AF2506" i="19"/>
  <c r="AF2503" i="19"/>
  <c r="AD2500" i="19"/>
  <c r="AF2498" i="19"/>
  <c r="AF2495" i="19"/>
  <c r="AD2492" i="19"/>
  <c r="AF2490" i="19"/>
  <c r="AF2487" i="19"/>
  <c r="AD2484" i="19"/>
  <c r="AF2482" i="19"/>
  <c r="AF2480" i="19"/>
  <c r="AF2479" i="19"/>
  <c r="AD2476" i="19"/>
  <c r="AF2474" i="19"/>
  <c r="AD2469" i="19"/>
  <c r="AD2468" i="19"/>
  <c r="AE2465" i="19"/>
  <c r="AE2464" i="19"/>
  <c r="AF2456" i="19"/>
  <c r="AF2452" i="19"/>
  <c r="AD2450" i="19"/>
  <c r="AF2444" i="19"/>
  <c r="AE2441" i="19"/>
  <c r="AD2440" i="19"/>
  <c r="AD2438" i="19"/>
  <c r="AD2433" i="19"/>
  <c r="AE2429" i="19"/>
  <c r="AD2428" i="19"/>
  <c r="AF2424" i="19"/>
  <c r="AD2421" i="19"/>
  <c r="AD2418" i="19"/>
  <c r="AF2412" i="19"/>
  <c r="AE2409" i="19"/>
  <c r="AD2408" i="19"/>
  <c r="AD2405" i="19"/>
  <c r="AF2400" i="19"/>
  <c r="AE2400" i="19"/>
  <c r="AF2399" i="19"/>
  <c r="AE2397" i="19"/>
  <c r="AD2397" i="19"/>
  <c r="AE2396" i="19"/>
  <c r="F2394" i="19"/>
  <c r="AF2288" i="19"/>
  <c r="AD2288" i="19"/>
  <c r="AE2288" i="19"/>
  <c r="AE2292" i="19"/>
  <c r="AF2292" i="19"/>
  <c r="AF2385" i="19"/>
  <c r="AE2385" i="19"/>
  <c r="AE2382" i="19"/>
  <c r="AD2382" i="19"/>
  <c r="F2315" i="19"/>
  <c r="AF2313" i="19"/>
  <c r="AD2313" i="19"/>
  <c r="AE2313" i="19"/>
  <c r="AE2274" i="19"/>
  <c r="AF2274" i="19"/>
  <c r="AE2480" i="19"/>
  <c r="AE2461" i="19"/>
  <c r="AE2457" i="19"/>
  <c r="AE2453" i="19"/>
  <c r="AE2449" i="19"/>
  <c r="AE2444" i="19"/>
  <c r="AE2437" i="19"/>
  <c r="AE2424" i="19"/>
  <c r="AE2417" i="19"/>
  <c r="AE2412" i="19"/>
  <c r="AE2404" i="19"/>
  <c r="AD2384" i="19"/>
  <c r="AE2384" i="19"/>
  <c r="AE2380" i="19"/>
  <c r="AF2380" i="19"/>
  <c r="AF2377" i="19"/>
  <c r="AD2377" i="19"/>
  <c r="AE2377" i="19"/>
  <c r="F2319" i="19"/>
  <c r="AD2301" i="19"/>
  <c r="AE2301" i="19"/>
  <c r="AF2301" i="19"/>
  <c r="AF2486" i="19"/>
  <c r="AF2478" i="19"/>
  <c r="AD2461" i="19"/>
  <c r="AD2457" i="19"/>
  <c r="AD2453" i="19"/>
  <c r="AD2449" i="19"/>
  <c r="AD2437" i="19"/>
  <c r="AD2434" i="19"/>
  <c r="AD2422" i="19"/>
  <c r="AD2417" i="19"/>
  <c r="AD2404" i="19"/>
  <c r="AE2392" i="19"/>
  <c r="AD2297" i="19"/>
  <c r="AE2297" i="19"/>
  <c r="AF2297" i="19"/>
  <c r="AD2249" i="19"/>
  <c r="AE2249" i="19"/>
  <c r="AF2249" i="19"/>
  <c r="AD2239" i="19"/>
  <c r="AF2237" i="19"/>
  <c r="AE2219" i="19"/>
  <c r="AF2219" i="19"/>
  <c r="F2057" i="19"/>
  <c r="AF2016" i="19"/>
  <c r="AE2016" i="19"/>
  <c r="AD2016" i="19"/>
  <c r="AE2039" i="19"/>
  <c r="AD2039" i="19"/>
  <c r="AF2039" i="19"/>
  <c r="AE1984" i="19"/>
  <c r="AD1984" i="19"/>
  <c r="AF1984" i="19"/>
  <c r="AD1980" i="19"/>
  <c r="AE1980" i="19"/>
  <c r="AF1980" i="19"/>
  <c r="AE2015" i="19"/>
  <c r="AD2015" i="19"/>
  <c r="AF2015" i="19"/>
  <c r="AD1875" i="19"/>
  <c r="AE1875" i="19"/>
  <c r="AF1875" i="19"/>
  <c r="AD1870" i="19"/>
  <c r="AE1870" i="19"/>
  <c r="AF1870" i="19"/>
  <c r="AD2363" i="19"/>
  <c r="AD2211" i="19"/>
  <c r="AF2205" i="19"/>
  <c r="AE2201" i="19"/>
  <c r="AE2191" i="19"/>
  <c r="AD2198" i="19"/>
  <c r="AF2142" i="19"/>
  <c r="AF2138" i="19"/>
  <c r="AF2129" i="19"/>
  <c r="AF2149" i="19"/>
  <c r="AF2262" i="19"/>
  <c r="AD2216" i="19"/>
  <c r="AD2134" i="19"/>
  <c r="F2182" i="19"/>
  <c r="AD2046" i="19"/>
  <c r="AE2046" i="19"/>
  <c r="AF2046" i="19"/>
  <c r="AE2193" i="19"/>
  <c r="AF2193" i="19"/>
  <c r="AD2193" i="19"/>
  <c r="AD2389" i="19"/>
  <c r="AD2386" i="19"/>
  <c r="AD2334" i="19"/>
  <c r="AD2309" i="19"/>
  <c r="AE2307" i="19"/>
  <c r="AD2335" i="19"/>
  <c r="AE2285" i="19"/>
  <c r="AE2254" i="19"/>
  <c r="AF2365" i="19"/>
  <c r="AF2250" i="19"/>
  <c r="AF2239" i="19"/>
  <c r="AF2238" i="19"/>
  <c r="AF2233" i="19"/>
  <c r="AE2230" i="19"/>
  <c r="AE2229" i="19"/>
  <c r="AF2221" i="19"/>
  <c r="AE2214" i="19"/>
  <c r="AE2205" i="19"/>
  <c r="AE2202" i="19"/>
  <c r="AE2190" i="19"/>
  <c r="AE2360" i="19"/>
  <c r="AE2142" i="19"/>
  <c r="AE2139" i="19"/>
  <c r="AE2138" i="19"/>
  <c r="AE2171" i="19"/>
  <c r="AE2129" i="19"/>
  <c r="AE2150" i="19"/>
  <c r="AE2149" i="19"/>
  <c r="AE2262" i="19"/>
  <c r="AF2173" i="19"/>
  <c r="AF2121" i="19"/>
  <c r="AE2121" i="19"/>
  <c r="AE2189" i="19"/>
  <c r="AD2189" i="19"/>
  <c r="AD2131" i="19"/>
  <c r="AE2131" i="19"/>
  <c r="AF2131" i="19"/>
  <c r="AE2084" i="19"/>
  <c r="AD2084" i="19"/>
  <c r="AF2084" i="19"/>
  <c r="AF2156" i="19"/>
  <c r="AD2156" i="19"/>
  <c r="AE2156" i="19"/>
  <c r="AF2059" i="19"/>
  <c r="AE2059" i="19"/>
  <c r="AD2059" i="19"/>
  <c r="AE2238" i="19"/>
  <c r="AF2228" i="19"/>
  <c r="AF2212" i="19"/>
  <c r="AD2202" i="19"/>
  <c r="AF2200" i="19"/>
  <c r="AD2360" i="19"/>
  <c r="AD2139" i="19"/>
  <c r="AD2171" i="19"/>
  <c r="AD2150" i="19"/>
  <c r="AD2219" i="19"/>
  <c r="AD2173" i="19"/>
  <c r="AD2178" i="19"/>
  <c r="AE2178" i="19"/>
  <c r="AD2196" i="19"/>
  <c r="AF2196" i="19"/>
  <c r="AE2196" i="19"/>
  <c r="F2058" i="19"/>
  <c r="AE2062" i="19"/>
  <c r="AF2062" i="19"/>
  <c r="AD2122" i="19"/>
  <c r="AD2127" i="19"/>
  <c r="AD2181" i="19"/>
  <c r="AE2185" i="19"/>
  <c r="AE2157" i="19"/>
  <c r="AF2195" i="19"/>
  <c r="AD2098" i="19"/>
  <c r="AD2100" i="19"/>
  <c r="AF2100" i="19"/>
  <c r="AD2128" i="19"/>
  <c r="AF2155" i="19"/>
  <c r="AD2154" i="19"/>
  <c r="AF2154" i="19"/>
  <c r="AE2047" i="19"/>
  <c r="AF2048" i="19"/>
  <c r="AF2029" i="19"/>
  <c r="AD2060" i="19"/>
  <c r="AE2060" i="19"/>
  <c r="AD2006" i="19"/>
  <c r="AE2006" i="19"/>
  <c r="F2012" i="19"/>
  <c r="AD2019" i="19"/>
  <c r="AE2019" i="19"/>
  <c r="AF2019" i="19"/>
  <c r="F2010" i="19"/>
  <c r="AD2008" i="19"/>
  <c r="AE2008" i="19"/>
  <c r="AF2008" i="19"/>
  <c r="AD2185" i="19"/>
  <c r="AD2168" i="19"/>
  <c r="AD2157" i="19"/>
  <c r="AD2195" i="19"/>
  <c r="AE2155" i="19"/>
  <c r="AF2103" i="19"/>
  <c r="AD2103" i="19"/>
  <c r="AE2028" i="19"/>
  <c r="AF2028" i="19"/>
  <c r="AF2073" i="19"/>
  <c r="AE2073" i="19"/>
  <c r="AE1988" i="19"/>
  <c r="AD1988" i="19"/>
  <c r="AF1988" i="19"/>
  <c r="AE2099" i="19"/>
  <c r="AD2099" i="19"/>
  <c r="AF2041" i="19"/>
  <c r="AD2071" i="19"/>
  <c r="AE2071" i="19"/>
  <c r="AD2036" i="19"/>
  <c r="AE2036" i="19"/>
  <c r="AF2036" i="19"/>
  <c r="AE2030" i="19"/>
  <c r="AF2030" i="19"/>
  <c r="AD1995" i="19"/>
  <c r="AE1995" i="19"/>
  <c r="AD1983" i="19"/>
  <c r="AE1983" i="19"/>
  <c r="AD1991" i="19"/>
  <c r="AE1991" i="19"/>
  <c r="AF1985" i="19"/>
  <c r="AE1985" i="19"/>
  <c r="F1917" i="19"/>
  <c r="AD2052" i="19"/>
  <c r="AE2052" i="19"/>
  <c r="AF2050" i="19"/>
  <c r="AE2050" i="19"/>
  <c r="AE1992" i="19"/>
  <c r="AD1992" i="19"/>
  <c r="AE2021" i="19"/>
  <c r="F2033" i="19"/>
  <c r="AF1997" i="19"/>
  <c r="AF2358" i="19"/>
  <c r="AE2358" i="19"/>
  <c r="AE1940" i="19"/>
  <c r="AF1940" i="19"/>
  <c r="AE1939" i="19"/>
  <c r="AF1939" i="19"/>
  <c r="AE1968" i="19"/>
  <c r="AD1968" i="19"/>
  <c r="AF1968" i="19"/>
  <c r="F1954" i="19"/>
  <c r="F1981" i="19"/>
  <c r="AD1906" i="19"/>
  <c r="AE1906" i="19"/>
  <c r="AE1898" i="19"/>
  <c r="AF1898" i="19"/>
  <c r="AE1942" i="19"/>
  <c r="AE2347" i="19"/>
  <c r="AD1969" i="19"/>
  <c r="AD1994" i="19"/>
  <c r="F1885" i="19"/>
  <c r="AD1913" i="19"/>
  <c r="AE1913" i="19"/>
  <c r="AF1913" i="19"/>
  <c r="AE1921" i="19"/>
  <c r="AF1921" i="19"/>
  <c r="F1888" i="19"/>
  <c r="AE1897" i="19"/>
  <c r="AF1897" i="19"/>
  <c r="AD1882" i="19"/>
  <c r="AE1882" i="19"/>
  <c r="AF1882" i="19"/>
  <c r="AD1884" i="19"/>
  <c r="AE1884" i="19"/>
  <c r="AF1884" i="19"/>
  <c r="AD2356" i="19"/>
  <c r="AE2356" i="19"/>
  <c r="AF2356" i="19"/>
  <c r="AF1881" i="19"/>
  <c r="AF1904" i="19"/>
  <c r="AF1877" i="19"/>
  <c r="AF1876" i="19"/>
  <c r="F1827" i="19"/>
  <c r="AE1798" i="19"/>
  <c r="AD1798" i="19"/>
  <c r="AE1764" i="19"/>
  <c r="AF1764" i="19"/>
  <c r="F2587" i="19"/>
  <c r="AD2585" i="19"/>
  <c r="AE2585" i="19"/>
  <c r="AF2585" i="19"/>
  <c r="F2579" i="19"/>
  <c r="AD2577" i="19"/>
  <c r="AE2577" i="19"/>
  <c r="AF2577" i="19"/>
  <c r="F2571" i="19"/>
  <c r="AD2569" i="19"/>
  <c r="AE2569" i="19"/>
  <c r="AF2569" i="19"/>
  <c r="F2563" i="19"/>
  <c r="AD2561" i="19"/>
  <c r="AE2561" i="19"/>
  <c r="AF2561" i="19"/>
  <c r="F2555" i="19"/>
  <c r="AD2553" i="19"/>
  <c r="AE2553" i="19"/>
  <c r="AF2553" i="19"/>
  <c r="F2547" i="19"/>
  <c r="AD2545" i="19"/>
  <c r="AE2545" i="19"/>
  <c r="AF2545" i="19"/>
  <c r="F2539" i="19"/>
  <c r="AD2537" i="19"/>
  <c r="AE2537" i="19"/>
  <c r="AF2537" i="19"/>
  <c r="F2531" i="19"/>
  <c r="AD2529" i="19"/>
  <c r="AE2529" i="19"/>
  <c r="AF2529" i="19"/>
  <c r="AD1817" i="19"/>
  <c r="AE1817" i="19"/>
  <c r="AF1817" i="19"/>
  <c r="AD1793" i="19"/>
  <c r="AE1793" i="19"/>
  <c r="AF1793" i="19"/>
  <c r="F1764" i="19"/>
  <c r="AD1725" i="19"/>
  <c r="AE1725" i="19"/>
  <c r="AF1725" i="19"/>
  <c r="F1755" i="19"/>
  <c r="F2591" i="19"/>
  <c r="AD2589" i="19"/>
  <c r="AE2589" i="19"/>
  <c r="AF2589" i="19"/>
  <c r="F2583" i="19"/>
  <c r="AD2581" i="19"/>
  <c r="AE2581" i="19"/>
  <c r="AF2581" i="19"/>
  <c r="F2575" i="19"/>
  <c r="AD2573" i="19"/>
  <c r="AE2573" i="19"/>
  <c r="AF2573" i="19"/>
  <c r="F2567" i="19"/>
  <c r="AD2565" i="19"/>
  <c r="AE2565" i="19"/>
  <c r="AF2565" i="19"/>
  <c r="F2559" i="19"/>
  <c r="AD2557" i="19"/>
  <c r="AE2557" i="19"/>
  <c r="AF2557" i="19"/>
  <c r="F2551" i="19"/>
  <c r="AD2549" i="19"/>
  <c r="AE2549" i="19"/>
  <c r="AF2549" i="19"/>
  <c r="F2543" i="19"/>
  <c r="AD2541" i="19"/>
  <c r="AE2541" i="19"/>
  <c r="AF2541" i="19"/>
  <c r="F2535" i="19"/>
  <c r="AD2533" i="19"/>
  <c r="AE2533" i="19"/>
  <c r="AF2533" i="19"/>
  <c r="F2527" i="19"/>
  <c r="AD2525" i="19"/>
  <c r="AE2525" i="19"/>
  <c r="AF2525" i="19"/>
  <c r="AD1814" i="19"/>
  <c r="AE1814" i="19"/>
  <c r="AF1814" i="19"/>
  <c r="AF1749" i="19"/>
  <c r="AD1749" i="19"/>
  <c r="AD1754" i="19"/>
  <c r="AE1754" i="19"/>
  <c r="AF1754" i="19"/>
  <c r="F1753" i="19"/>
  <c r="AF1738" i="19"/>
  <c r="AD1738" i="19"/>
  <c r="AE1738" i="19"/>
  <c r="AF1755" i="19"/>
  <c r="AD1755" i="19"/>
  <c r="AE1755" i="19"/>
  <c r="F2445" i="19"/>
  <c r="F2437" i="19"/>
  <c r="F2429" i="19"/>
  <c r="F2421" i="19"/>
  <c r="F2413" i="19"/>
  <c r="F2404" i="19"/>
  <c r="F2396" i="19"/>
  <c r="F2288" i="19"/>
  <c r="F2333" i="19"/>
  <c r="F2196" i="19"/>
  <c r="F2040" i="19"/>
  <c r="F2059" i="19"/>
  <c r="F2073" i="19"/>
  <c r="F2016" i="19"/>
  <c r="F2021" i="19"/>
  <c r="AD1933" i="19"/>
  <c r="AE1933" i="19"/>
  <c r="AF1933" i="19"/>
  <c r="AF1920" i="19"/>
  <c r="AD1920" i="19"/>
  <c r="AE1920" i="19"/>
  <c r="AD1915" i="19"/>
  <c r="AE1915" i="19"/>
  <c r="AF1915" i="19"/>
  <c r="AD1885" i="19"/>
  <c r="AE1885" i="19"/>
  <c r="AF1885" i="19"/>
  <c r="AE1719" i="19"/>
  <c r="AE1912" i="19"/>
  <c r="AE1847" i="19"/>
  <c r="AE1811" i="19"/>
  <c r="AE1808" i="19"/>
  <c r="AE1790" i="19"/>
  <c r="AE1792" i="19"/>
  <c r="AE1794" i="19"/>
  <c r="AE1788" i="19"/>
  <c r="AD1815" i="19"/>
  <c r="AF1859" i="19"/>
  <c r="AE1862" i="19"/>
  <c r="AE1861" i="19"/>
  <c r="AD1768" i="19"/>
  <c r="AE1757" i="19"/>
  <c r="AE1750" i="19"/>
  <c r="AD1753" i="19"/>
  <c r="AE1736" i="19"/>
  <c r="AE1735" i="19"/>
  <c r="AE1737" i="19"/>
  <c r="AE2590" i="19"/>
  <c r="AE2586" i="19"/>
  <c r="AE2582" i="19"/>
  <c r="AE2578" i="19"/>
  <c r="AE2574" i="19"/>
  <c r="AE2570" i="19"/>
  <c r="AE2566" i="19"/>
  <c r="AE2562" i="19"/>
  <c r="AE2558" i="19"/>
  <c r="AE2554" i="19"/>
  <c r="AE2550" i="19"/>
  <c r="AE2546" i="19"/>
  <c r="AE2542" i="19"/>
  <c r="AE2538" i="19"/>
  <c r="AE2534" i="19"/>
  <c r="AE2530" i="19"/>
  <c r="AE2526" i="19"/>
  <c r="F2523" i="19"/>
  <c r="AE2522" i="19"/>
  <c r="AF2521" i="19"/>
  <c r="F2519" i="19"/>
  <c r="AE2518" i="19"/>
  <c r="AF2517" i="19"/>
  <c r="F2515" i="19"/>
  <c r="AE2514" i="19"/>
  <c r="AF2513" i="19"/>
  <c r="F2511" i="19"/>
  <c r="AE2510" i="19"/>
  <c r="AF2509" i="19"/>
  <c r="F2507" i="19"/>
  <c r="AE2506" i="19"/>
  <c r="AF2505" i="19"/>
  <c r="F2503" i="19"/>
  <c r="AE2502" i="19"/>
  <c r="AF2501" i="19"/>
  <c r="F2499" i="19"/>
  <c r="AE2498" i="19"/>
  <c r="AF2497" i="19"/>
  <c r="F2495" i="19"/>
  <c r="AE2494" i="19"/>
  <c r="AF2493" i="19"/>
  <c r="F2491" i="19"/>
  <c r="AE2490" i="19"/>
  <c r="AF2489" i="19"/>
  <c r="F2487" i="19"/>
  <c r="AE2486" i="19"/>
  <c r="AF2485" i="19"/>
  <c r="F2483" i="19"/>
  <c r="AE2482" i="19"/>
  <c r="AF2481" i="19"/>
  <c r="F2479" i="19"/>
  <c r="AE2478" i="19"/>
  <c r="AF2477" i="19"/>
  <c r="AD2463" i="19"/>
  <c r="AE2463" i="19"/>
  <c r="AE2462" i="19"/>
  <c r="AF2462" i="19"/>
  <c r="F2461" i="19"/>
  <c r="AD2459" i="19"/>
  <c r="AE2459" i="19"/>
  <c r="AD2455" i="19"/>
  <c r="AE2455" i="19"/>
  <c r="AD2451" i="19"/>
  <c r="AE2451" i="19"/>
  <c r="AD2447" i="19"/>
  <c r="AE2447" i="19"/>
  <c r="AF2447" i="19"/>
  <c r="AD2439" i="19"/>
  <c r="AE2439" i="19"/>
  <c r="AF2439" i="19"/>
  <c r="AD2431" i="19"/>
  <c r="AE2431" i="19"/>
  <c r="AF2431" i="19"/>
  <c r="AD2423" i="19"/>
  <c r="AE2423" i="19"/>
  <c r="AF2423" i="19"/>
  <c r="AD2415" i="19"/>
  <c r="AE2415" i="19"/>
  <c r="AF2415" i="19"/>
  <c r="AD2406" i="19"/>
  <c r="AE2406" i="19"/>
  <c r="AF2406" i="19"/>
  <c r="AD2398" i="19"/>
  <c r="AE2398" i="19"/>
  <c r="AF2398" i="19"/>
  <c r="AD2391" i="19"/>
  <c r="AE2391" i="19"/>
  <c r="AF2391" i="19"/>
  <c r="AD2293" i="19"/>
  <c r="AE2293" i="19"/>
  <c r="AF2293" i="19"/>
  <c r="AD2383" i="19"/>
  <c r="AE2383" i="19"/>
  <c r="AF2383" i="19"/>
  <c r="AD2261" i="19"/>
  <c r="AE2261" i="19"/>
  <c r="AF2261" i="19"/>
  <c r="F2327" i="19"/>
  <c r="AD2204" i="19"/>
  <c r="AE2204" i="19"/>
  <c r="AF2204" i="19"/>
  <c r="AD1813" i="19"/>
  <c r="AD1795" i="19"/>
  <c r="AE1859" i="19"/>
  <c r="AD1862" i="19"/>
  <c r="AE2521" i="19"/>
  <c r="AE2517" i="19"/>
  <c r="AE2513" i="19"/>
  <c r="AE2509" i="19"/>
  <c r="AE2505" i="19"/>
  <c r="AE2501" i="19"/>
  <c r="AE2497" i="19"/>
  <c r="AE2493" i="19"/>
  <c r="AE2489" i="19"/>
  <c r="AE2485" i="19"/>
  <c r="AE2481" i="19"/>
  <c r="AE2477" i="19"/>
  <c r="AD2471" i="19"/>
  <c r="AE2471" i="19"/>
  <c r="AE2470" i="19"/>
  <c r="AF2470" i="19"/>
  <c r="AD2467" i="19"/>
  <c r="AE2467" i="19"/>
  <c r="AE2466" i="19"/>
  <c r="AF2466" i="19"/>
  <c r="F2464" i="19"/>
  <c r="F2460" i="19"/>
  <c r="AE2458" i="19"/>
  <c r="AF2458" i="19"/>
  <c r="F2456" i="19"/>
  <c r="AE2454" i="19"/>
  <c r="AF2454" i="19"/>
  <c r="F2452" i="19"/>
  <c r="F2449" i="19"/>
  <c r="F2441" i="19"/>
  <c r="F2433" i="19"/>
  <c r="F2425" i="19"/>
  <c r="F2417" i="19"/>
  <c r="F2409" i="19"/>
  <c r="F2400" i="19"/>
  <c r="F2392" i="19"/>
  <c r="F2329" i="19"/>
  <c r="F2321" i="19"/>
  <c r="F2316" i="19"/>
  <c r="F2472" i="19"/>
  <c r="F2468" i="19"/>
  <c r="AD2443" i="19"/>
  <c r="AE2443" i="19"/>
  <c r="AF2443" i="19"/>
  <c r="AD2435" i="19"/>
  <c r="AE2435" i="19"/>
  <c r="AF2435" i="19"/>
  <c r="AD2427" i="19"/>
  <c r="AE2427" i="19"/>
  <c r="AF2427" i="19"/>
  <c r="AD2419" i="19"/>
  <c r="AE2419" i="19"/>
  <c r="AF2419" i="19"/>
  <c r="AD2411" i="19"/>
  <c r="AE2411" i="19"/>
  <c r="AF2411" i="19"/>
  <c r="AD2402" i="19"/>
  <c r="AE2402" i="19"/>
  <c r="AF2402" i="19"/>
  <c r="AD2394" i="19"/>
  <c r="AE2394" i="19"/>
  <c r="AF2394" i="19"/>
  <c r="AD2290" i="19"/>
  <c r="AE2290" i="19"/>
  <c r="AF2290" i="19"/>
  <c r="AD2387" i="19"/>
  <c r="AE2387" i="19"/>
  <c r="AF2387" i="19"/>
  <c r="AD2379" i="19"/>
  <c r="AE2379" i="19"/>
  <c r="AF2379" i="19"/>
  <c r="F2212" i="19"/>
  <c r="F2201" i="19"/>
  <c r="AD2368" i="19"/>
  <c r="AE2368" i="19"/>
  <c r="AF2368" i="19"/>
  <c r="F2249" i="19"/>
  <c r="AD2247" i="19"/>
  <c r="AE2247" i="19"/>
  <c r="AF2247" i="19"/>
  <c r="F2241" i="19"/>
  <c r="AD2225" i="19"/>
  <c r="AE2225" i="19"/>
  <c r="AF2225" i="19"/>
  <c r="F2234" i="19"/>
  <c r="AD2231" i="19"/>
  <c r="AE2231" i="19"/>
  <c r="AF2231" i="19"/>
  <c r="F2257" i="19"/>
  <c r="AE2215" i="19"/>
  <c r="AD2215" i="19"/>
  <c r="AF2215" i="19"/>
  <c r="AF2206" i="19"/>
  <c r="AD2206" i="19"/>
  <c r="AE2206" i="19"/>
  <c r="AE2174" i="19"/>
  <c r="AF2174" i="19"/>
  <c r="AD2174" i="19"/>
  <c r="AD2141" i="19"/>
  <c r="AE2141" i="19"/>
  <c r="AF2141" i="19"/>
  <c r="AE2140" i="19"/>
  <c r="AF2140" i="19"/>
  <c r="AD2140" i="19"/>
  <c r="AD2137" i="19"/>
  <c r="AE2137" i="19"/>
  <c r="AF2137" i="19"/>
  <c r="AE2133" i="19"/>
  <c r="AF2133" i="19"/>
  <c r="AD2133" i="19"/>
  <c r="AD2152" i="19"/>
  <c r="AE2152" i="19"/>
  <c r="AF2152" i="19"/>
  <c r="AE2151" i="19"/>
  <c r="AF2151" i="19"/>
  <c r="AD2151" i="19"/>
  <c r="AD2148" i="19"/>
  <c r="AE2148" i="19"/>
  <c r="AF2148" i="19"/>
  <c r="F2121" i="19"/>
  <c r="F2157" i="19"/>
  <c r="AF2450" i="19"/>
  <c r="F2448" i="19"/>
  <c r="AF2446" i="19"/>
  <c r="F2444" i="19"/>
  <c r="AF2442" i="19"/>
  <c r="F2440" i="19"/>
  <c r="AF2438" i="19"/>
  <c r="F2436" i="19"/>
  <c r="AF2434" i="19"/>
  <c r="F2432" i="19"/>
  <c r="AF2430" i="19"/>
  <c r="F2428" i="19"/>
  <c r="AF2426" i="19"/>
  <c r="F2424" i="19"/>
  <c r="AF2422" i="19"/>
  <c r="F2420" i="19"/>
  <c r="AF2418" i="19"/>
  <c r="F2416" i="19"/>
  <c r="AF2414" i="19"/>
  <c r="F2412" i="19"/>
  <c r="AF2410" i="19"/>
  <c r="F2408" i="19"/>
  <c r="AF2405" i="19"/>
  <c r="F2403" i="19"/>
  <c r="AF2401" i="19"/>
  <c r="F2399" i="19"/>
  <c r="AF2397" i="19"/>
  <c r="F2395" i="19"/>
  <c r="AF2393" i="19"/>
  <c r="AF2287" i="19"/>
  <c r="F2390" i="19"/>
  <c r="AF2289" i="19"/>
  <c r="AF2294" i="19"/>
  <c r="AF2386" i="19"/>
  <c r="AF2382" i="19"/>
  <c r="AF2378" i="19"/>
  <c r="AF2334" i="19"/>
  <c r="F2332" i="19"/>
  <c r="F2328" i="19"/>
  <c r="F2317" i="19"/>
  <c r="AD2305" i="19"/>
  <c r="AE2305" i="19"/>
  <c r="AD2304" i="19"/>
  <c r="AE2304" i="19"/>
  <c r="AD2300" i="19"/>
  <c r="AE2300" i="19"/>
  <c r="AD2296" i="19"/>
  <c r="AE2296" i="19"/>
  <c r="AD2284" i="19"/>
  <c r="AE2284" i="19"/>
  <c r="AD2253" i="19"/>
  <c r="AE2253" i="19"/>
  <c r="AD2337" i="19"/>
  <c r="AE2337" i="19"/>
  <c r="AD2223" i="19"/>
  <c r="AE2223" i="19"/>
  <c r="AF2223" i="19"/>
  <c r="F2362" i="19"/>
  <c r="F2200" i="19"/>
  <c r="F2135" i="19"/>
  <c r="AD2136" i="19"/>
  <c r="AE2136" i="19"/>
  <c r="AF2136" i="19"/>
  <c r="F2132" i="19"/>
  <c r="AD2120" i="19"/>
  <c r="AE2120" i="19"/>
  <c r="AF2120" i="19"/>
  <c r="F2324" i="19"/>
  <c r="AF2310" i="19"/>
  <c r="AE2260" i="19"/>
  <c r="AF2260" i="19"/>
  <c r="F2259" i="19"/>
  <c r="F2306" i="19"/>
  <c r="AE2374" i="19"/>
  <c r="AF2374" i="19"/>
  <c r="F2375" i="19"/>
  <c r="AE2303" i="19"/>
  <c r="AF2303" i="19"/>
  <c r="AE2299" i="19"/>
  <c r="AF2299" i="19"/>
  <c r="F2339" i="19"/>
  <c r="F2297" i="19"/>
  <c r="AE2295" i="19"/>
  <c r="F2285" i="19"/>
  <c r="AE2255" i="19"/>
  <c r="AF2255" i="19"/>
  <c r="F2254" i="19"/>
  <c r="AE2252" i="19"/>
  <c r="AF2252" i="19"/>
  <c r="F2338" i="19"/>
  <c r="AE2336" i="19"/>
  <c r="AF2336" i="19"/>
  <c r="F2366" i="19"/>
  <c r="AD2246" i="19"/>
  <c r="AE2246" i="19"/>
  <c r="AF2246" i="19"/>
  <c r="F2238" i="19"/>
  <c r="AD2236" i="19"/>
  <c r="AE2236" i="19"/>
  <c r="AF2236" i="19"/>
  <c r="F2229" i="19"/>
  <c r="AF2257" i="19"/>
  <c r="AD2257" i="19"/>
  <c r="AE2257" i="19"/>
  <c r="F2206" i="19"/>
  <c r="AE2197" i="19"/>
  <c r="AD2197" i="19"/>
  <c r="AF2197" i="19"/>
  <c r="AD2220" i="19"/>
  <c r="AF2220" i="19"/>
  <c r="F2158" i="19"/>
  <c r="AE2369" i="19"/>
  <c r="AE2365" i="19"/>
  <c r="AE2248" i="19"/>
  <c r="AE2245" i="19"/>
  <c r="AE2237" i="19"/>
  <c r="AE2233" i="19"/>
  <c r="AE2228" i="19"/>
  <c r="AE2227" i="19"/>
  <c r="AF2222" i="19"/>
  <c r="AD2221" i="19"/>
  <c r="AF2364" i="19"/>
  <c r="AD2214" i="19"/>
  <c r="AE2212" i="19"/>
  <c r="AE2210" i="19"/>
  <c r="AF2208" i="19"/>
  <c r="AD2207" i="19"/>
  <c r="AF2203" i="19"/>
  <c r="AD2190" i="19"/>
  <c r="AE2200" i="19"/>
  <c r="AE2177" i="19"/>
  <c r="AF2175" i="19"/>
  <c r="F2142" i="19"/>
  <c r="F2138" i="19"/>
  <c r="F2129" i="19"/>
  <c r="F2149" i="19"/>
  <c r="F2273" i="19"/>
  <c r="F2266" i="19"/>
  <c r="AD2186" i="19"/>
  <c r="AE2186" i="19"/>
  <c r="AF2186" i="19"/>
  <c r="F2093" i="19"/>
  <c r="F2100" i="19"/>
  <c r="AE2070" i="19"/>
  <c r="AF2070" i="19"/>
  <c r="AD2070" i="19"/>
  <c r="AD2227" i="19"/>
  <c r="AE2222" i="19"/>
  <c r="AD2364" i="19"/>
  <c r="AD2210" i="19"/>
  <c r="AE2208" i="19"/>
  <c r="AD2203" i="19"/>
  <c r="AD2177" i="19"/>
  <c r="AE2175" i="19"/>
  <c r="AD2172" i="19"/>
  <c r="AE2172" i="19"/>
  <c r="AF2172" i="19"/>
  <c r="F2123" i="19"/>
  <c r="AD2182" i="19"/>
  <c r="AE2182" i="19"/>
  <c r="AF2182" i="19"/>
  <c r="F2166" i="19"/>
  <c r="F2170" i="19"/>
  <c r="F2116" i="19"/>
  <c r="AD2130" i="19"/>
  <c r="AE2130" i="19"/>
  <c r="AF2130" i="19"/>
  <c r="AF2085" i="19"/>
  <c r="AD2085" i="19"/>
  <c r="AE2085" i="19"/>
  <c r="F2047" i="19"/>
  <c r="AD2179" i="19"/>
  <c r="AE2179" i="19"/>
  <c r="AF2179" i="19"/>
  <c r="AD2135" i="19"/>
  <c r="AD2057" i="19"/>
  <c r="AE2057" i="19"/>
  <c r="AF2057" i="19"/>
  <c r="F2155" i="19"/>
  <c r="F2110" i="19"/>
  <c r="AD2153" i="19"/>
  <c r="AE2153" i="19"/>
  <c r="AF2153" i="19"/>
  <c r="F2046" i="19"/>
  <c r="AD2076" i="19"/>
  <c r="AE2076" i="19"/>
  <c r="AF2076" i="19"/>
  <c r="F2104" i="19"/>
  <c r="F2041" i="19"/>
  <c r="AF2040" i="19"/>
  <c r="AD2040" i="19"/>
  <c r="AE2040" i="19"/>
  <c r="AD2058" i="19"/>
  <c r="AE2058" i="19"/>
  <c r="AF2058" i="19"/>
  <c r="F2050" i="19"/>
  <c r="F2125" i="19"/>
  <c r="AF2127" i="19"/>
  <c r="AF2189" i="19"/>
  <c r="AF2188" i="19"/>
  <c r="F2165" i="19"/>
  <c r="F2162" i="19"/>
  <c r="F2167" i="19"/>
  <c r="AF2168" i="19"/>
  <c r="F2119" i="19"/>
  <c r="F2117" i="19"/>
  <c r="AF2099" i="19"/>
  <c r="F2131" i="19"/>
  <c r="AF2359" i="19"/>
  <c r="F2195" i="19"/>
  <c r="F2088" i="19"/>
  <c r="AE2043" i="19"/>
  <c r="AD2043" i="19"/>
  <c r="AF2043" i="19"/>
  <c r="F2067" i="19"/>
  <c r="F2023" i="19"/>
  <c r="F2018" i="19"/>
  <c r="F2098" i="19"/>
  <c r="AD2083" i="19"/>
  <c r="AE2083" i="19"/>
  <c r="F2056" i="19"/>
  <c r="AD2081" i="19"/>
  <c r="AE2081" i="19"/>
  <c r="AF2081" i="19"/>
  <c r="F2105" i="19"/>
  <c r="F2113" i="19"/>
  <c r="AD2063" i="19"/>
  <c r="AE2063" i="19"/>
  <c r="AE2066" i="19"/>
  <c r="AF2066" i="19"/>
  <c r="AD2072" i="19"/>
  <c r="AE2072" i="19"/>
  <c r="AE2026" i="19"/>
  <c r="AF2026" i="19"/>
  <c r="AD2348" i="19"/>
  <c r="AE2348" i="19"/>
  <c r="AD2017" i="19"/>
  <c r="AE2017" i="19"/>
  <c r="AE2022" i="19"/>
  <c r="AF2022" i="19"/>
  <c r="AD2011" i="19"/>
  <c r="AE2011" i="19"/>
  <c r="AE2010" i="19"/>
  <c r="AF2010" i="19"/>
  <c r="AD2009" i="19"/>
  <c r="AE2009" i="19"/>
  <c r="AF2009" i="19"/>
  <c r="F2034" i="19"/>
  <c r="AD1986" i="19"/>
  <c r="AF1986" i="19"/>
  <c r="AE1986" i="19"/>
  <c r="F2055" i="19"/>
  <c r="AF2128" i="19"/>
  <c r="F2077" i="19"/>
  <c r="AF2080" i="19"/>
  <c r="F2107" i="19"/>
  <c r="F2111" i="19"/>
  <c r="F2154" i="19"/>
  <c r="AF1645" i="19"/>
  <c r="AD2102" i="19"/>
  <c r="F2103" i="19"/>
  <c r="AD2194" i="19"/>
  <c r="AE2029" i="19"/>
  <c r="AD2062" i="19"/>
  <c r="F2064" i="19"/>
  <c r="F2060" i="19"/>
  <c r="F2071" i="19"/>
  <c r="F2025" i="19"/>
  <c r="F2006" i="19"/>
  <c r="F2020" i="19"/>
  <c r="F2019" i="19"/>
  <c r="F2003" i="19"/>
  <c r="AD2034" i="19"/>
  <c r="AF2034" i="19"/>
  <c r="AE2034" i="19"/>
  <c r="F1958" i="19"/>
  <c r="AE2103" i="19"/>
  <c r="AF2101" i="19"/>
  <c r="AF2192" i="19"/>
  <c r="AF2003" i="19"/>
  <c r="AD2003" i="19"/>
  <c r="AE2003" i="19"/>
  <c r="F1938" i="19"/>
  <c r="AF2035" i="19"/>
  <c r="AD2035" i="19"/>
  <c r="AD2033" i="19"/>
  <c r="AF2033" i="19"/>
  <c r="F2358" i="19"/>
  <c r="AD1967" i="19"/>
  <c r="AE1967" i="19"/>
  <c r="AF1967" i="19"/>
  <c r="F2347" i="19"/>
  <c r="AD2054" i="19"/>
  <c r="AE2054" i="19"/>
  <c r="AF2054" i="19"/>
  <c r="AD1938" i="19"/>
  <c r="AF1938" i="19"/>
  <c r="AE1938" i="19"/>
  <c r="AD2004" i="19"/>
  <c r="AF2004" i="19"/>
  <c r="AF2031" i="19"/>
  <c r="AD2031" i="19"/>
  <c r="F1942" i="19"/>
  <c r="AD2053" i="19"/>
  <c r="AE2053" i="19"/>
  <c r="AF2053" i="19"/>
  <c r="F1990" i="19"/>
  <c r="F1986" i="19"/>
  <c r="AD2001" i="19"/>
  <c r="AF2001" i="19"/>
  <c r="AF1998" i="19"/>
  <c r="AD1998" i="19"/>
  <c r="AD2000" i="19"/>
  <c r="AE2000" i="19"/>
  <c r="AF2000" i="19"/>
  <c r="F1970" i="19"/>
  <c r="AD1941" i="19"/>
  <c r="AE1941" i="19"/>
  <c r="AF1941" i="19"/>
  <c r="F1947" i="19"/>
  <c r="AF1990" i="19"/>
  <c r="AD1990" i="19"/>
  <c r="AE1990" i="19"/>
  <c r="AD2358" i="19"/>
  <c r="AD1942" i="19"/>
  <c r="AD2347" i="19"/>
  <c r="AD2050" i="19"/>
  <c r="AE1969" i="19"/>
  <c r="AD1978" i="19"/>
  <c r="AF1978" i="19"/>
  <c r="AF1993" i="19"/>
  <c r="AD1993" i="19"/>
  <c r="AD1981" i="19"/>
  <c r="AF1981" i="19"/>
  <c r="AD1930" i="19"/>
  <c r="AE1930" i="19"/>
  <c r="AF1930" i="19"/>
  <c r="AD1883" i="19"/>
  <c r="AE1883" i="19"/>
  <c r="AF1883" i="19"/>
  <c r="AD1874" i="19"/>
  <c r="AE1874" i="19"/>
  <c r="AF1874" i="19"/>
  <c r="AF1965" i="19"/>
  <c r="AD1965" i="19"/>
  <c r="AD1976" i="19"/>
  <c r="AF1976" i="19"/>
  <c r="AF1982" i="19"/>
  <c r="AD1982" i="19"/>
  <c r="F1919" i="19"/>
  <c r="F1920" i="19"/>
  <c r="F1928" i="19"/>
  <c r="AD1890" i="19"/>
  <c r="AE1890" i="19"/>
  <c r="AF1890" i="19"/>
  <c r="F1956" i="19"/>
  <c r="AD1944" i="19"/>
  <c r="AF1944" i="19"/>
  <c r="AD1987" i="19"/>
  <c r="AF1987" i="19"/>
  <c r="F1931" i="19"/>
  <c r="F1905" i="19"/>
  <c r="F1895" i="19"/>
  <c r="F1908" i="19"/>
  <c r="AD1911" i="19"/>
  <c r="AE1911" i="19"/>
  <c r="AF1911" i="19"/>
  <c r="F1887" i="19"/>
  <c r="AD1893" i="19"/>
  <c r="AE1893" i="19"/>
  <c r="AF1893" i="19"/>
  <c r="AD1894" i="19"/>
  <c r="AE1894" i="19"/>
  <c r="AF1894" i="19"/>
  <c r="F1926" i="19"/>
  <c r="F1891" i="19"/>
  <c r="F1881" i="19"/>
  <c r="F2356" i="19"/>
  <c r="F1899" i="19"/>
  <c r="F1903" i="19"/>
  <c r="F1877" i="19"/>
  <c r="F1870" i="19"/>
  <c r="AD1926" i="19"/>
  <c r="AK1724" i="19" a="1"/>
  <c r="AK1724" i="19" s="1"/>
  <c r="F1859" i="19"/>
  <c r="AF1734" i="19"/>
  <c r="AD1734" i="19"/>
  <c r="AE1734" i="19"/>
  <c r="AE1723" i="19"/>
  <c r="F1852" i="19"/>
  <c r="AF1868" i="19"/>
  <c r="F1866" i="19"/>
  <c r="F1857" i="19"/>
  <c r="AF1855" i="19"/>
  <c r="F1873" i="19"/>
  <c r="F1849" i="19"/>
  <c r="AF1848" i="19"/>
  <c r="F1835" i="19"/>
  <c r="F1912" i="19"/>
  <c r="AF1830" i="19"/>
  <c r="F1828" i="19"/>
  <c r="AF1831" i="19"/>
  <c r="F1826" i="19"/>
  <c r="AD1812" i="19"/>
  <c r="AE1812" i="19"/>
  <c r="AD2355" i="19"/>
  <c r="AE2355" i="19"/>
  <c r="F1771" i="19"/>
  <c r="AK1721" i="19" a="1"/>
  <c r="AK1721" i="19" s="1"/>
  <c r="AK1722" i="19" a="1"/>
  <c r="AK1722" i="19" s="1"/>
  <c r="F1869" i="19"/>
  <c r="AE1868" i="19"/>
  <c r="AF1867" i="19"/>
  <c r="F1865" i="19"/>
  <c r="AE1855" i="19"/>
  <c r="AF1854" i="19"/>
  <c r="F1871" i="19"/>
  <c r="AE1872" i="19"/>
  <c r="F1851" i="19"/>
  <c r="AE1848" i="19"/>
  <c r="F1833" i="19"/>
  <c r="F1975" i="19"/>
  <c r="AE1830" i="19"/>
  <c r="AE1831" i="19"/>
  <c r="AF1846" i="19"/>
  <c r="AF1823" i="19"/>
  <c r="AD1845" i="19"/>
  <c r="F1813" i="19"/>
  <c r="F1814" i="19"/>
  <c r="F1811" i="19"/>
  <c r="F1818" i="19"/>
  <c r="F1820" i="19"/>
  <c r="F1810" i="19"/>
  <c r="F1808" i="19"/>
  <c r="F1804" i="19"/>
  <c r="AE1799" i="19"/>
  <c r="AF1799" i="19"/>
  <c r="F1817" i="19"/>
  <c r="AE2354" i="19"/>
  <c r="AF2354" i="19"/>
  <c r="F1792" i="19"/>
  <c r="F1781" i="19"/>
  <c r="AK1723" i="19" a="1"/>
  <c r="AK1723" i="19" s="1"/>
  <c r="AE1823" i="19"/>
  <c r="AE1813" i="19"/>
  <c r="AE1766" i="19"/>
  <c r="AD1766" i="19"/>
  <c r="AF1766" i="19"/>
  <c r="F2342" i="19"/>
  <c r="AF1798" i="19"/>
  <c r="F1794" i="19"/>
  <c r="AF1795" i="19"/>
  <c r="F1787" i="19"/>
  <c r="AF1815" i="19"/>
  <c r="F1775" i="19"/>
  <c r="F1760" i="19"/>
  <c r="AD1784" i="19"/>
  <c r="AE1784" i="19"/>
  <c r="AF1784" i="19"/>
  <c r="F1765" i="19"/>
  <c r="AF1760" i="19"/>
  <c r="AD1760" i="19"/>
  <c r="AE1760" i="19"/>
  <c r="F1734" i="19"/>
  <c r="AE1785" i="19"/>
  <c r="AD1764" i="19"/>
  <c r="F1768" i="19"/>
  <c r="F1762" i="19"/>
  <c r="AD1785" i="19"/>
  <c r="AE1768" i="19"/>
  <c r="AE1749" i="19"/>
  <c r="AE1721" i="19"/>
  <c r="AF1721" i="19"/>
  <c r="AD1722" i="19"/>
  <c r="AF1723" i="19"/>
  <c r="AD1724" i="19"/>
  <c r="AE1724" i="19"/>
  <c r="AE1722" i="19"/>
  <c r="AF1708" i="19"/>
  <c r="AE1710" i="19"/>
  <c r="AF1710" i="19"/>
  <c r="F1708" i="19"/>
  <c r="AE1708" i="19"/>
  <c r="AE1709" i="19"/>
  <c r="AF1709" i="19"/>
  <c r="W1696" i="19"/>
  <c r="F1661" i="19"/>
  <c r="F1651" i="19"/>
  <c r="S1683" i="19" l="1"/>
  <c r="S1686" i="19"/>
  <c r="S1687" i="19"/>
  <c r="S1685" i="19"/>
  <c r="S1693" i="19"/>
  <c r="S1691" i="19"/>
  <c r="S1692" i="19"/>
  <c r="S1694" i="19"/>
  <c r="S1689" i="19"/>
  <c r="S1690" i="19"/>
  <c r="S1684" i="19"/>
  <c r="Y1644" i="19"/>
  <c r="U1730" i="19"/>
  <c r="U1729" i="19"/>
  <c r="AC1729" i="19"/>
  <c r="AD1729" i="19" s="1"/>
  <c r="AG1729" i="19"/>
  <c r="L1729" i="19"/>
  <c r="AA1729" i="19" a="1"/>
  <c r="AA1729" i="19" s="1"/>
  <c r="X1729" i="19" s="1"/>
  <c r="S1729" i="19"/>
  <c r="V1729" i="19"/>
  <c r="Y1729" i="19"/>
  <c r="J1729" i="19"/>
  <c r="F1729" i="19" s="1"/>
  <c r="O258" i="20"/>
  <c r="K258" i="20"/>
  <c r="S2341" i="19"/>
  <c r="N850" i="15"/>
  <c r="Q850" i="15" s="1"/>
  <c r="N851" i="15"/>
  <c r="Q851" i="15" s="1"/>
  <c r="N852" i="15"/>
  <c r="Q852" i="15" s="1"/>
  <c r="U852" i="15"/>
  <c r="G852" i="15"/>
  <c r="C852" i="15"/>
  <c r="U851" i="15"/>
  <c r="G851" i="15"/>
  <c r="C851" i="15"/>
  <c r="U850" i="15"/>
  <c r="G850" i="15"/>
  <c r="C850" i="15"/>
  <c r="C855" i="15"/>
  <c r="G855" i="15"/>
  <c r="N855" i="15"/>
  <c r="Q855" i="15" s="1"/>
  <c r="U855" i="15"/>
  <c r="U849" i="15"/>
  <c r="Q849" i="15"/>
  <c r="G849" i="15"/>
  <c r="U848" i="15"/>
  <c r="Q848" i="15"/>
  <c r="G848" i="15"/>
  <c r="U847" i="15"/>
  <c r="Q847" i="15"/>
  <c r="G847" i="15"/>
  <c r="U846" i="15"/>
  <c r="Q846" i="15"/>
  <c r="G846" i="15"/>
  <c r="U845" i="15"/>
  <c r="Q845" i="15"/>
  <c r="G845" i="15"/>
  <c r="C845" i="15"/>
  <c r="C846" i="15"/>
  <c r="C847" i="15"/>
  <c r="C848" i="15"/>
  <c r="C849" i="15"/>
  <c r="AG1643" i="19"/>
  <c r="AC1643" i="19"/>
  <c r="AF1643" i="19" s="1"/>
  <c r="AF1634" i="19"/>
  <c r="AE1634" i="19"/>
  <c r="AD1634" i="19"/>
  <c r="AF1632" i="19"/>
  <c r="AE1632" i="19"/>
  <c r="AD1632" i="19"/>
  <c r="AF1636" i="19"/>
  <c r="AE1636" i="19"/>
  <c r="AD1636" i="19"/>
  <c r="AF1631" i="19"/>
  <c r="AE1631" i="19"/>
  <c r="AD1631" i="19"/>
  <c r="AF1635" i="19"/>
  <c r="AE1635" i="19"/>
  <c r="AD1635" i="19"/>
  <c r="U1642" i="19"/>
  <c r="S1646" i="19"/>
  <c r="S1638" i="19"/>
  <c r="S1639" i="19"/>
  <c r="S1641" i="19"/>
  <c r="S1637" i="19"/>
  <c r="S1640" i="19"/>
  <c r="AF1638" i="19"/>
  <c r="AE1638" i="19"/>
  <c r="AD1638" i="19"/>
  <c r="AF1639" i="19"/>
  <c r="AE1639" i="19"/>
  <c r="AD1639" i="19"/>
  <c r="AF1641" i="19"/>
  <c r="AE1641" i="19"/>
  <c r="AD1641" i="19"/>
  <c r="AF1637" i="19"/>
  <c r="AE1637" i="19"/>
  <c r="AD1637" i="19"/>
  <c r="S1633" i="19"/>
  <c r="S1634" i="19"/>
  <c r="S1632" i="19"/>
  <c r="S1636" i="19"/>
  <c r="S1635" i="19"/>
  <c r="S1631" i="19"/>
  <c r="J254" i="20"/>
  <c r="L1751" i="19"/>
  <c r="G844" i="15"/>
  <c r="G843" i="15"/>
  <c r="U844" i="15"/>
  <c r="U843" i="15"/>
  <c r="N844" i="15"/>
  <c r="Q844" i="15" s="1"/>
  <c r="N843" i="15"/>
  <c r="Q843" i="15" s="1"/>
  <c r="C844" i="15"/>
  <c r="C843" i="15"/>
  <c r="U842" i="15"/>
  <c r="Q842" i="15"/>
  <c r="C842" i="15"/>
  <c r="AA2" i="18"/>
  <c r="AA3" i="18"/>
  <c r="AA4" i="18"/>
  <c r="AA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1620" i="19" a="1"/>
  <c r="AA1620" i="19" s="1"/>
  <c r="X1620" i="19" s="1"/>
  <c r="Y1616" i="19"/>
  <c r="V1616" i="19"/>
  <c r="W1616" i="19" s="1"/>
  <c r="Y1621" i="19"/>
  <c r="V1621" i="19"/>
  <c r="W1621" i="19" s="1"/>
  <c r="Y1622" i="19"/>
  <c r="V1622" i="19"/>
  <c r="W1622" i="19" s="1"/>
  <c r="Y1620" i="19"/>
  <c r="V1620" i="19"/>
  <c r="W1620" i="19" s="1"/>
  <c r="Y1619" i="19"/>
  <c r="V1619" i="19"/>
  <c r="W1619" i="19" s="1"/>
  <c r="Y1618" i="19"/>
  <c r="V1618" i="19"/>
  <c r="W1618" i="19" s="1"/>
  <c r="Y1617" i="19"/>
  <c r="V1617" i="19"/>
  <c r="W1617" i="19" s="1"/>
  <c r="O250" i="20"/>
  <c r="AF1620" i="19"/>
  <c r="AE1620" i="19"/>
  <c r="AD1620" i="19"/>
  <c r="F1620" i="19"/>
  <c r="AF1622" i="19"/>
  <c r="AE1622" i="19"/>
  <c r="AD1622" i="19"/>
  <c r="AA1622" i="19" a="1"/>
  <c r="AA1622" i="19" s="1"/>
  <c r="X1622" i="19" s="1"/>
  <c r="F1622" i="19"/>
  <c r="AF1616" i="19"/>
  <c r="AE1616" i="19"/>
  <c r="AD1616" i="19"/>
  <c r="AA1616" i="19" a="1"/>
  <c r="AA1616" i="19" s="1"/>
  <c r="X1616" i="19" s="1"/>
  <c r="AF1621" i="19"/>
  <c r="AE1621" i="19"/>
  <c r="AD1621" i="19"/>
  <c r="AA1621" i="19" a="1"/>
  <c r="AA1621" i="19" s="1"/>
  <c r="X1621" i="19" s="1"/>
  <c r="AF1619" i="19"/>
  <c r="AE1619" i="19"/>
  <c r="AD1619" i="19"/>
  <c r="AA1619" i="19" a="1"/>
  <c r="AA1619" i="19" s="1"/>
  <c r="X1619" i="19" s="1"/>
  <c r="S1625" i="19"/>
  <c r="S1624" i="19"/>
  <c r="S1623" i="19"/>
  <c r="AF1625" i="19"/>
  <c r="AE1625" i="19"/>
  <c r="AD1625" i="19"/>
  <c r="AF1624" i="19"/>
  <c r="AE1624" i="19"/>
  <c r="AD1624" i="19"/>
  <c r="J1751" i="16"/>
  <c r="Y362" i="19"/>
  <c r="AA1627" i="19" a="1"/>
  <c r="AA1627" i="19" s="1"/>
  <c r="X1627" i="19" s="1"/>
  <c r="AA2" i="19" a="1"/>
  <c r="AA2" i="19" s="1"/>
  <c r="AA3" i="19" a="1"/>
  <c r="AA3" i="19" s="1"/>
  <c r="AA4" i="19" a="1"/>
  <c r="AA4" i="19" s="1"/>
  <c r="AA5" i="19" a="1"/>
  <c r="AA5" i="19" s="1"/>
  <c r="AA9" i="19" a="1"/>
  <c r="AA9" i="19" s="1"/>
  <c r="AA8" i="19" a="1"/>
  <c r="AA8" i="19" s="1"/>
  <c r="AA7" i="19" a="1"/>
  <c r="AA7" i="19" s="1"/>
  <c r="AA6" i="19" a="1"/>
  <c r="AA6" i="19" s="1"/>
  <c r="AA12" i="19" a="1"/>
  <c r="AA12" i="19" s="1"/>
  <c r="AA11" i="19" a="1"/>
  <c r="AA11" i="19" s="1"/>
  <c r="AA10" i="19" a="1"/>
  <c r="AA10" i="19" s="1"/>
  <c r="AA14" i="19" a="1"/>
  <c r="AA14" i="19" s="1"/>
  <c r="AA13" i="19" a="1"/>
  <c r="AA13" i="19" s="1"/>
  <c r="AA16" i="19" a="1"/>
  <c r="AA16" i="19" s="1"/>
  <c r="AA15" i="19" a="1"/>
  <c r="AA15" i="19" s="1"/>
  <c r="AA30" i="19" a="1"/>
  <c r="AA30" i="19" s="1"/>
  <c r="AA29" i="19" a="1"/>
  <c r="AA29" i="19" s="1"/>
  <c r="AA28" i="19" a="1"/>
  <c r="AA28" i="19" s="1"/>
  <c r="AA27" i="19" a="1"/>
  <c r="AA27" i="19" s="1"/>
  <c r="AA39" i="19" a="1"/>
  <c r="AA39" i="19" s="1"/>
  <c r="AA38" i="19" a="1"/>
  <c r="AA38" i="19" s="1"/>
  <c r="AA37" i="19" a="1"/>
  <c r="AA37" i="19" s="1"/>
  <c r="AA36" i="19" a="1"/>
  <c r="AA36" i="19" s="1"/>
  <c r="AA35" i="19" a="1"/>
  <c r="AA35" i="19" s="1"/>
  <c r="AA34" i="19" a="1"/>
  <c r="AA34" i="19" s="1"/>
  <c r="AA33" i="19" a="1"/>
  <c r="AA33" i="19" s="1"/>
  <c r="AA32" i="19" a="1"/>
  <c r="AA32" i="19" s="1"/>
  <c r="AA31" i="19" a="1"/>
  <c r="AA31" i="19" s="1"/>
  <c r="AA17" i="19" a="1"/>
  <c r="AA17" i="19" s="1"/>
  <c r="AA19" i="19" a="1"/>
  <c r="AA19" i="19" s="1"/>
  <c r="AA18" i="19" a="1"/>
  <c r="AA18" i="19" s="1"/>
  <c r="AA20" i="19" a="1"/>
  <c r="AA20" i="19" s="1"/>
  <c r="AA21" i="19" a="1"/>
  <c r="AA21" i="19" s="1"/>
  <c r="AA22" i="19" a="1"/>
  <c r="AA22" i="19" s="1"/>
  <c r="AA23" i="19" a="1"/>
  <c r="AA23" i="19" s="1"/>
  <c r="AA26" i="19" a="1"/>
  <c r="AA26" i="19" s="1"/>
  <c r="AA25" i="19" a="1"/>
  <c r="AA25" i="19" s="1"/>
  <c r="AA24" i="19" a="1"/>
  <c r="AA24" i="19" s="1"/>
  <c r="AA49" i="19" a="1"/>
  <c r="AA49" i="19" s="1"/>
  <c r="AA48" i="19" a="1"/>
  <c r="AA48" i="19" s="1"/>
  <c r="AA47" i="19" a="1"/>
  <c r="AA47" i="19" s="1"/>
  <c r="AA46" i="19" a="1"/>
  <c r="AA46" i="19" s="1"/>
  <c r="AA45" i="19" a="1"/>
  <c r="AA45" i="19" s="1"/>
  <c r="AA44" i="19" a="1"/>
  <c r="AA44" i="19" s="1"/>
  <c r="AA43" i="19" a="1"/>
  <c r="AA43" i="19" s="1"/>
  <c r="AA42" i="19" a="1"/>
  <c r="AA42" i="19" s="1"/>
  <c r="AA41" i="19" a="1"/>
  <c r="AA41" i="19" s="1"/>
  <c r="AA40" i="19" a="1"/>
  <c r="AA40" i="19" s="1"/>
  <c r="AA51" i="19" a="1"/>
  <c r="AA51" i="19" s="1"/>
  <c r="AA50" i="19" a="1"/>
  <c r="AA50" i="19" s="1"/>
  <c r="AA65" i="19" a="1"/>
  <c r="AA65" i="19" s="1"/>
  <c r="AA64" i="19" a="1"/>
  <c r="AA64" i="19" s="1"/>
  <c r="AA63" i="19" a="1"/>
  <c r="AA63" i="19" s="1"/>
  <c r="AA62" i="19" a="1"/>
  <c r="AA62" i="19" s="1"/>
  <c r="AA61" i="19" a="1"/>
  <c r="AA61" i="19" s="1"/>
  <c r="AA60" i="19" a="1"/>
  <c r="AA60" i="19" s="1"/>
  <c r="AA59" i="19" a="1"/>
  <c r="AA59" i="19" s="1"/>
  <c r="AA58" i="19" a="1"/>
  <c r="AA58" i="19" s="1"/>
  <c r="AA57" i="19" a="1"/>
  <c r="AA57" i="19" s="1"/>
  <c r="AA56" i="19" a="1"/>
  <c r="AA56" i="19" s="1"/>
  <c r="AA55" i="19" a="1"/>
  <c r="AA55" i="19" s="1"/>
  <c r="AA54" i="19" a="1"/>
  <c r="AA54" i="19" s="1"/>
  <c r="AA53" i="19" a="1"/>
  <c r="AA53" i="19" s="1"/>
  <c r="AA52" i="19" a="1"/>
  <c r="AA52" i="19" s="1"/>
  <c r="AA73" i="19" a="1"/>
  <c r="AA73" i="19" s="1"/>
  <c r="AA72" i="19" a="1"/>
  <c r="AA72" i="19" s="1"/>
  <c r="AA66" i="19" a="1"/>
  <c r="AA66" i="19" s="1"/>
  <c r="AA67" i="19" a="1"/>
  <c r="AA67" i="19" s="1"/>
  <c r="AA68" i="19" a="1"/>
  <c r="AA68" i="19" s="1"/>
  <c r="AA69" i="19" a="1"/>
  <c r="AA69" i="19" s="1"/>
  <c r="AA70" i="19" a="1"/>
  <c r="AA70" i="19" s="1"/>
  <c r="AA71" i="19" a="1"/>
  <c r="AA71" i="19" s="1"/>
  <c r="AA88" i="19" a="1"/>
  <c r="AA88" i="19" s="1"/>
  <c r="AA87" i="19" a="1"/>
  <c r="AA87" i="19" s="1"/>
  <c r="AA86" i="19" a="1"/>
  <c r="AA86" i="19" s="1"/>
  <c r="AA85" i="19" a="1"/>
  <c r="AA85" i="19" s="1"/>
  <c r="AA84" i="19" a="1"/>
  <c r="AA84" i="19" s="1"/>
  <c r="AA83" i="19" a="1"/>
  <c r="AA83" i="19" s="1"/>
  <c r="AA82" i="19" a="1"/>
  <c r="AA82" i="19" s="1"/>
  <c r="AA81" i="19" a="1"/>
  <c r="AA81" i="19" s="1"/>
  <c r="AA80" i="19" a="1"/>
  <c r="AA80" i="19" s="1"/>
  <c r="AA79" i="19" a="1"/>
  <c r="AA79" i="19" s="1"/>
  <c r="AA78" i="19" a="1"/>
  <c r="AA78" i="19" s="1"/>
  <c r="AA74" i="19" a="1"/>
  <c r="AA74" i="19" s="1"/>
  <c r="AA75" i="19" a="1"/>
  <c r="AA75" i="19" s="1"/>
  <c r="AA76" i="19" a="1"/>
  <c r="AA76" i="19" s="1"/>
  <c r="AA77" i="19" a="1"/>
  <c r="AA77" i="19" s="1"/>
  <c r="AA101" i="19" a="1"/>
  <c r="AA101" i="19" s="1"/>
  <c r="AA100" i="19" a="1"/>
  <c r="AA100" i="19" s="1"/>
  <c r="AA99" i="19" a="1"/>
  <c r="AA99" i="19" s="1"/>
  <c r="AA98" i="19" a="1"/>
  <c r="AA98" i="19" s="1"/>
  <c r="AA91" i="19" a="1"/>
  <c r="AA91" i="19" s="1"/>
  <c r="AA90" i="19" a="1"/>
  <c r="AA90" i="19" s="1"/>
  <c r="AA89" i="19" a="1"/>
  <c r="AA89" i="19" s="1"/>
  <c r="AA93" i="19" a="1"/>
  <c r="AA93" i="19" s="1"/>
  <c r="AA92" i="19" a="1"/>
  <c r="AA92" i="19" s="1"/>
  <c r="AA95" i="19" a="1"/>
  <c r="AA95" i="19" s="1"/>
  <c r="AA94" i="19" a="1"/>
  <c r="AA94" i="19" s="1"/>
  <c r="AA97" i="19" a="1"/>
  <c r="AA97" i="19" s="1"/>
  <c r="AA96" i="19" a="1"/>
  <c r="AA96" i="19" s="1"/>
  <c r="AA104" i="19" a="1"/>
  <c r="AA104" i="19" s="1"/>
  <c r="AA103" i="19" a="1"/>
  <c r="AA103" i="19" s="1"/>
  <c r="AA102" i="19" a="1"/>
  <c r="AA102" i="19" s="1"/>
  <c r="AA119" i="19" a="1"/>
  <c r="AA119" i="19" s="1"/>
  <c r="AA120" i="19" a="1"/>
  <c r="AA120" i="19" s="1"/>
  <c r="AA118" i="19" a="1"/>
  <c r="AA118" i="19" s="1"/>
  <c r="AA117" i="19" a="1"/>
  <c r="AA117" i="19" s="1"/>
  <c r="AA116" i="19" a="1"/>
  <c r="AA116" i="19" s="1"/>
  <c r="AA115" i="19" a="1"/>
  <c r="AA115" i="19" s="1"/>
  <c r="AA113" i="19" a="1"/>
  <c r="AA113" i="19" s="1"/>
  <c r="AA114" i="19" a="1"/>
  <c r="AA114" i="19" s="1"/>
  <c r="AA112" i="19" a="1"/>
  <c r="AA112" i="19" s="1"/>
  <c r="AA111" i="19" a="1"/>
  <c r="AA111" i="19" s="1"/>
  <c r="AA110" i="19" a="1"/>
  <c r="AA110" i="19" s="1"/>
  <c r="AA109" i="19" a="1"/>
  <c r="AA109" i="19" s="1"/>
  <c r="AA108" i="19" a="1"/>
  <c r="AA108" i="19" s="1"/>
  <c r="AA107" i="19" a="1"/>
  <c r="AA107" i="19" s="1"/>
  <c r="AA106" i="19" a="1"/>
  <c r="AA106" i="19" s="1"/>
  <c r="AA105" i="19" a="1"/>
  <c r="AA105" i="19" s="1"/>
  <c r="AA123" i="19" a="1"/>
  <c r="AA123" i="19" s="1"/>
  <c r="AA122" i="19" a="1"/>
  <c r="AA122" i="19" s="1"/>
  <c r="AA121" i="19" a="1"/>
  <c r="AA121" i="19" s="1"/>
  <c r="AA138" i="19" a="1"/>
  <c r="AA138" i="19" s="1"/>
  <c r="AA137" i="19" a="1"/>
  <c r="AA137" i="19" s="1"/>
  <c r="AA136" i="19" a="1"/>
  <c r="AA136" i="19" s="1"/>
  <c r="AA135" i="19" a="1"/>
  <c r="AA135" i="19" s="1"/>
  <c r="AA134" i="19" a="1"/>
  <c r="AA134" i="19" s="1"/>
  <c r="AA133" i="19" a="1"/>
  <c r="AA133" i="19" s="1"/>
  <c r="AA132" i="19" a="1"/>
  <c r="AA132" i="19" s="1"/>
  <c r="AA131" i="19" a="1"/>
  <c r="AA131" i="19" s="1"/>
  <c r="AA130" i="19" a="1"/>
  <c r="AA130" i="19" s="1"/>
  <c r="AA129" i="19" a="1"/>
  <c r="AA129" i="19" s="1"/>
  <c r="AA128" i="19" a="1"/>
  <c r="AA128" i="19" s="1"/>
  <c r="AA127" i="19" a="1"/>
  <c r="AA127" i="19" s="1"/>
  <c r="AA126" i="19" a="1"/>
  <c r="AA126" i="19" s="1"/>
  <c r="AA125" i="19" a="1"/>
  <c r="AA125" i="19" s="1"/>
  <c r="AA124" i="19" a="1"/>
  <c r="AA124" i="19" s="1"/>
  <c r="AA143" i="19" a="1"/>
  <c r="AA143" i="19" s="1"/>
  <c r="AA142" i="19" a="1"/>
  <c r="AA142" i="19" s="1"/>
  <c r="AA141" i="19" a="1"/>
  <c r="AA141" i="19" s="1"/>
  <c r="AA139" i="19" a="1"/>
  <c r="AA139" i="19" s="1"/>
  <c r="AA140" i="19" a="1"/>
  <c r="AA140" i="19" s="1"/>
  <c r="AA144" i="19" a="1"/>
  <c r="AA144" i="19" s="1"/>
  <c r="AA145" i="19" a="1"/>
  <c r="AA145" i="19" s="1"/>
  <c r="AA146" i="19" a="1"/>
  <c r="AA146" i="19" s="1"/>
  <c r="AA147" i="19" a="1"/>
  <c r="AA147" i="19" s="1"/>
  <c r="AA148" i="19" a="1"/>
  <c r="AA148" i="19" s="1"/>
  <c r="AA149" i="19" a="1"/>
  <c r="AA149" i="19" s="1"/>
  <c r="AA151" i="19" a="1"/>
  <c r="AA151" i="19" s="1"/>
  <c r="AA150" i="19" a="1"/>
  <c r="AA150" i="19" s="1"/>
  <c r="AA161" i="19" a="1"/>
  <c r="AA161" i="19" s="1"/>
  <c r="AA160" i="19" a="1"/>
  <c r="AA160" i="19" s="1"/>
  <c r="AA159" i="19" a="1"/>
  <c r="AA159" i="19" s="1"/>
  <c r="AA158" i="19" a="1"/>
  <c r="AA158" i="19" s="1"/>
  <c r="AA157" i="19" a="1"/>
  <c r="AA157" i="19" s="1"/>
  <c r="AA156" i="19" a="1"/>
  <c r="AA156" i="19" s="1"/>
  <c r="AA155" i="19" a="1"/>
  <c r="AA155" i="19" s="1"/>
  <c r="AA154" i="19" a="1"/>
  <c r="AA154" i="19" s="1"/>
  <c r="AA153" i="19" a="1"/>
  <c r="AA153" i="19" s="1"/>
  <c r="AA152" i="19" a="1"/>
  <c r="AA152" i="19" s="1"/>
  <c r="AA163" i="19" a="1"/>
  <c r="AA163" i="19" s="1"/>
  <c r="AA162" i="19" a="1"/>
  <c r="AA162" i="19" s="1"/>
  <c r="AA164" i="19" a="1"/>
  <c r="AA164" i="19" s="1"/>
  <c r="AA166" i="19" a="1"/>
  <c r="AA166" i="19" s="1"/>
  <c r="AA165" i="19" a="1"/>
  <c r="AA165" i="19" s="1"/>
  <c r="AA167" i="19" a="1"/>
  <c r="AA167" i="19" s="1"/>
  <c r="AA168" i="19" a="1"/>
  <c r="AA168" i="19" s="1"/>
  <c r="AA169" i="19" a="1"/>
  <c r="AA169" i="19" s="1"/>
  <c r="AA170" i="19" a="1"/>
  <c r="AA170" i="19" s="1"/>
  <c r="AA190" i="19" a="1"/>
  <c r="AA190" i="19" s="1"/>
  <c r="AA189" i="19" a="1"/>
  <c r="AA189" i="19" s="1"/>
  <c r="AA188" i="19" a="1"/>
  <c r="AA188" i="19" s="1"/>
  <c r="AA187" i="19" a="1"/>
  <c r="AA187" i="19" s="1"/>
  <c r="AA186" i="19" a="1"/>
  <c r="AA186" i="19" s="1"/>
  <c r="AA185" i="19" a="1"/>
  <c r="AA185" i="19" s="1"/>
  <c r="AA184" i="19" a="1"/>
  <c r="AA184" i="19" s="1"/>
  <c r="AA183" i="19" a="1"/>
  <c r="AA183" i="19" s="1"/>
  <c r="AA191" i="19" a="1"/>
  <c r="AA191" i="19" s="1"/>
  <c r="AA182" i="19" a="1"/>
  <c r="AA182" i="19" s="1"/>
  <c r="AA181" i="19" a="1"/>
  <c r="AA181" i="19" s="1"/>
  <c r="AA180" i="19" a="1"/>
  <c r="AA180" i="19" s="1"/>
  <c r="AA179" i="19" a="1"/>
  <c r="AA179" i="19" s="1"/>
  <c r="AA178" i="19" a="1"/>
  <c r="AA178" i="19" s="1"/>
  <c r="AA177" i="19" a="1"/>
  <c r="AA177" i="19" s="1"/>
  <c r="AA176" i="19" a="1"/>
  <c r="AA176" i="19" s="1"/>
  <c r="AA175" i="19" a="1"/>
  <c r="AA175" i="19" s="1"/>
  <c r="AA174" i="19" a="1"/>
  <c r="AA174" i="19" s="1"/>
  <c r="AA173" i="19" a="1"/>
  <c r="AA173" i="19" s="1"/>
  <c r="AA172" i="19" a="1"/>
  <c r="AA172" i="19" s="1"/>
  <c r="AA171" i="19" a="1"/>
  <c r="AA171" i="19" s="1"/>
  <c r="AA193" i="19" a="1"/>
  <c r="AA193" i="19" s="1"/>
  <c r="AA192" i="19" a="1"/>
  <c r="AA192" i="19" s="1"/>
  <c r="AA195" i="19" a="1"/>
  <c r="AA195" i="19" s="1"/>
  <c r="AA194" i="19" a="1"/>
  <c r="AA194" i="19" s="1"/>
  <c r="AA203" i="19" a="1"/>
  <c r="AA203" i="19" s="1"/>
  <c r="AA202" i="19" a="1"/>
  <c r="AA202" i="19" s="1"/>
  <c r="AA201" i="19" a="1"/>
  <c r="AA201" i="19" s="1"/>
  <c r="AA200" i="19" a="1"/>
  <c r="AA200" i="19" s="1"/>
  <c r="AA199" i="19" a="1"/>
  <c r="AA199" i="19" s="1"/>
  <c r="AA198" i="19" a="1"/>
  <c r="AA198" i="19" s="1"/>
  <c r="AA197" i="19" a="1"/>
  <c r="AA197" i="19" s="1"/>
  <c r="AA196" i="19" a="1"/>
  <c r="AA196" i="19" s="1"/>
  <c r="AA205" i="19" a="1"/>
  <c r="AA205" i="19" s="1"/>
  <c r="AA204" i="19" a="1"/>
  <c r="AA204" i="19" s="1"/>
  <c r="AA207" i="19" a="1"/>
  <c r="AA207" i="19" s="1"/>
  <c r="AA206" i="19" a="1"/>
  <c r="AA206" i="19" s="1"/>
  <c r="AA208" i="19" a="1"/>
  <c r="AA208" i="19" s="1"/>
  <c r="AA209" i="19" a="1"/>
  <c r="AA209" i="19" s="1"/>
  <c r="AA215" i="19" a="1"/>
  <c r="AA215" i="19" s="1"/>
  <c r="AA213" i="19" a="1"/>
  <c r="AA213" i="19" s="1"/>
  <c r="AA214" i="19" a="1"/>
  <c r="AA214" i="19" s="1"/>
  <c r="AA212" i="19" a="1"/>
  <c r="AA212" i="19" s="1"/>
  <c r="AA210" i="19" a="1"/>
  <c r="AA210" i="19" s="1"/>
  <c r="AA211" i="19" a="1"/>
  <c r="AA211" i="19" s="1"/>
  <c r="AA216" i="19" a="1"/>
  <c r="AA216" i="19" s="1"/>
  <c r="AA221" i="19" a="1"/>
  <c r="AA221" i="19" s="1"/>
  <c r="AA220" i="19" a="1"/>
  <c r="AA220" i="19" s="1"/>
  <c r="AA219" i="19" a="1"/>
  <c r="AA219" i="19" s="1"/>
  <c r="AA218" i="19" a="1"/>
  <c r="AA218" i="19" s="1"/>
  <c r="AA217" i="19" a="1"/>
  <c r="AA217" i="19" s="1"/>
  <c r="AA223" i="19" a="1"/>
  <c r="AA223" i="19" s="1"/>
  <c r="AA222" i="19" a="1"/>
  <c r="AA222" i="19" s="1"/>
  <c r="AA224" i="19" a="1"/>
  <c r="AA224" i="19" s="1"/>
  <c r="AA225" i="19" a="1"/>
  <c r="AA225" i="19" s="1"/>
  <c r="AA226" i="19" a="1"/>
  <c r="AA226" i="19" s="1"/>
  <c r="AA227" i="19" a="1"/>
  <c r="AA227" i="19" s="1"/>
  <c r="AA228" i="19" a="1"/>
  <c r="AA228" i="19" s="1"/>
  <c r="AA230" i="19" a="1"/>
  <c r="AA230" i="19" s="1"/>
  <c r="AA229" i="19" a="1"/>
  <c r="AA229" i="19" s="1"/>
  <c r="AA231" i="19" a="1"/>
  <c r="AA231" i="19" s="1"/>
  <c r="AA232" i="19" a="1"/>
  <c r="AA232" i="19" s="1"/>
  <c r="AA233" i="19" a="1"/>
  <c r="AA233" i="19" s="1"/>
  <c r="AA234" i="19" a="1"/>
  <c r="AA234" i="19" s="1"/>
  <c r="AA235" i="19" a="1"/>
  <c r="AA235" i="19" s="1"/>
  <c r="AA236" i="19" a="1"/>
  <c r="AA236" i="19" s="1"/>
  <c r="AA237" i="19" a="1"/>
  <c r="AA237" i="19" s="1"/>
  <c r="AA238" i="19" a="1"/>
  <c r="AA238" i="19" s="1"/>
  <c r="AA239" i="19" a="1"/>
  <c r="AA239" i="19" s="1"/>
  <c r="AA240" i="19" a="1"/>
  <c r="AA240" i="19" s="1"/>
  <c r="AA241" i="19" a="1"/>
  <c r="AA241" i="19" s="1"/>
  <c r="AA242" i="19" a="1"/>
  <c r="AA242" i="19" s="1"/>
  <c r="AA243" i="19" a="1"/>
  <c r="AA243" i="19" s="1"/>
  <c r="AA244" i="19" a="1"/>
  <c r="AA244" i="19" s="1"/>
  <c r="AA245" i="19" a="1"/>
  <c r="AA245" i="19" s="1"/>
  <c r="AA246" i="19" a="1"/>
  <c r="AA246" i="19" s="1"/>
  <c r="AA247" i="19" a="1"/>
  <c r="AA247" i="19" s="1"/>
  <c r="AA248" i="19" a="1"/>
  <c r="AA248" i="19" s="1"/>
  <c r="AA249" i="19" a="1"/>
  <c r="AA249" i="19" s="1"/>
  <c r="AA258" i="19" a="1"/>
  <c r="AA258" i="19" s="1"/>
  <c r="AA257" i="19" a="1"/>
  <c r="AA257" i="19" s="1"/>
  <c r="AA256" i="19" a="1"/>
  <c r="AA256" i="19" s="1"/>
  <c r="AA255" i="19" a="1"/>
  <c r="AA255" i="19" s="1"/>
  <c r="AA254" i="19" a="1"/>
  <c r="AA254" i="19" s="1"/>
  <c r="AA253" i="19" a="1"/>
  <c r="AA253" i="19" s="1"/>
  <c r="AA252" i="19" a="1"/>
  <c r="AA252" i="19" s="1"/>
  <c r="AA270" i="19" a="1"/>
  <c r="AA270" i="19" s="1"/>
  <c r="AA269" i="19" a="1"/>
  <c r="AA269" i="19" s="1"/>
  <c r="AA268" i="19" a="1"/>
  <c r="AA268" i="19" s="1"/>
  <c r="AA267" i="19" a="1"/>
  <c r="AA267" i="19" s="1"/>
  <c r="AA266" i="19" a="1"/>
  <c r="AA266" i="19" s="1"/>
  <c r="AA265" i="19" a="1"/>
  <c r="AA265" i="19" s="1"/>
  <c r="AA264" i="19" a="1"/>
  <c r="AA264" i="19" s="1"/>
  <c r="AA263" i="19" a="1"/>
  <c r="AA263" i="19" s="1"/>
  <c r="AA262" i="19" a="1"/>
  <c r="AA262" i="19" s="1"/>
  <c r="AA261" i="19" a="1"/>
  <c r="AA261" i="19" s="1"/>
  <c r="AA260" i="19" a="1"/>
  <c r="AA260" i="19" s="1"/>
  <c r="AA259" i="19" a="1"/>
  <c r="AA259" i="19" s="1"/>
  <c r="AA275" i="19" a="1"/>
  <c r="AA275" i="19" s="1"/>
  <c r="AA274" i="19" a="1"/>
  <c r="AA274" i="19" s="1"/>
  <c r="AA273" i="19" a="1"/>
  <c r="AA273" i="19" s="1"/>
  <c r="AA272" i="19" a="1"/>
  <c r="AA272" i="19" s="1"/>
  <c r="AA271" i="19" a="1"/>
  <c r="AA271" i="19" s="1"/>
  <c r="AA251" i="19" a="1"/>
  <c r="AA251" i="19" s="1"/>
  <c r="AA250" i="19" a="1"/>
  <c r="AA250" i="19" s="1"/>
  <c r="AA289" i="19" a="1"/>
  <c r="AA289" i="19" s="1"/>
  <c r="AA288" i="19" a="1"/>
  <c r="AA288" i="19" s="1"/>
  <c r="AA287" i="19" a="1"/>
  <c r="AA287" i="19" s="1"/>
  <c r="AA286" i="19" a="1"/>
  <c r="AA286" i="19" s="1"/>
  <c r="AA285" i="19" a="1"/>
  <c r="AA285" i="19" s="1"/>
  <c r="AA293" i="19" a="1"/>
  <c r="AA293" i="19" s="1"/>
  <c r="AA292" i="19" a="1"/>
  <c r="AA292" i="19" s="1"/>
  <c r="AA291" i="19" a="1"/>
  <c r="AA291" i="19" s="1"/>
  <c r="AA290" i="19" a="1"/>
  <c r="AA290" i="19" s="1"/>
  <c r="AA276" i="19" a="1"/>
  <c r="AA276" i="19" s="1"/>
  <c r="AA279" i="19" a="1"/>
  <c r="AA279" i="19" s="1"/>
  <c r="AA278" i="19" a="1"/>
  <c r="AA278" i="19" s="1"/>
  <c r="AA277" i="19" a="1"/>
  <c r="AA277" i="19" s="1"/>
  <c r="AA280" i="19" a="1"/>
  <c r="AA280" i="19" s="1"/>
  <c r="AA281" i="19" a="1"/>
  <c r="AA281" i="19" s="1"/>
  <c r="AA282" i="19" a="1"/>
  <c r="AA282" i="19" s="1"/>
  <c r="AA284" i="19" a="1"/>
  <c r="AA284" i="19" s="1"/>
  <c r="AA283" i="19" a="1"/>
  <c r="AA283" i="19" s="1"/>
  <c r="AA298" i="19" a="1"/>
  <c r="AA298" i="19" s="1"/>
  <c r="AA297" i="19" a="1"/>
  <c r="AA297" i="19" s="1"/>
  <c r="AA296" i="19" a="1"/>
  <c r="AA296" i="19" s="1"/>
  <c r="AA295" i="19" a="1"/>
  <c r="AA295" i="19" s="1"/>
  <c r="AA294" i="19" a="1"/>
  <c r="AA294" i="19" s="1"/>
  <c r="AA300" i="19" a="1"/>
  <c r="AA300" i="19" s="1"/>
  <c r="AA299" i="19" a="1"/>
  <c r="AA299" i="19" s="1"/>
  <c r="AA301" i="19" a="1"/>
  <c r="AA301" i="19" s="1"/>
  <c r="AA302" i="19" a="1"/>
  <c r="AA302" i="19" s="1"/>
  <c r="AA303" i="19" a="1"/>
  <c r="AA303" i="19" s="1"/>
  <c r="AA306" i="19" a="1"/>
  <c r="AA306" i="19" s="1"/>
  <c r="AA305" i="19" a="1"/>
  <c r="AA305" i="19" s="1"/>
  <c r="AA307" i="19" a="1"/>
  <c r="AA307" i="19" s="1"/>
  <c r="AA308" i="19" a="1"/>
  <c r="AA308" i="19" s="1"/>
  <c r="AA310" i="19" a="1"/>
  <c r="AA310" i="19" s="1"/>
  <c r="AA309" i="19" a="1"/>
  <c r="AA309" i="19" s="1"/>
  <c r="AA325" i="19" a="1"/>
  <c r="AA325" i="19" s="1"/>
  <c r="AA326" i="19" a="1"/>
  <c r="AA326" i="19" s="1"/>
  <c r="AA323" i="19" a="1"/>
  <c r="AA323" i="19" s="1"/>
  <c r="AA324" i="19" a="1"/>
  <c r="AA324" i="19" s="1"/>
  <c r="AA322" i="19" a="1"/>
  <c r="AA322" i="19" s="1"/>
  <c r="AA314" i="19" a="1"/>
  <c r="AA314" i="19" s="1"/>
  <c r="AA313" i="19" a="1"/>
  <c r="AA313" i="19" s="1"/>
  <c r="AA312" i="19" a="1"/>
  <c r="AA312" i="19" s="1"/>
  <c r="AA311" i="19" a="1"/>
  <c r="AA311" i="19" s="1"/>
  <c r="AA319" i="19" a="1"/>
  <c r="AA319" i="19" s="1"/>
  <c r="AA318" i="19" a="1"/>
  <c r="AA318" i="19" s="1"/>
  <c r="AA316" i="19" a="1"/>
  <c r="AA316" i="19" s="1"/>
  <c r="AA317" i="19" a="1"/>
  <c r="AA317" i="19" s="1"/>
  <c r="AA315" i="19" a="1"/>
  <c r="AA315" i="19" s="1"/>
  <c r="AA321" i="19" a="1"/>
  <c r="AA321" i="19" s="1"/>
  <c r="AA320" i="19" a="1"/>
  <c r="AA320" i="19" s="1"/>
  <c r="AA336" i="19" a="1"/>
  <c r="AA336" i="19" s="1"/>
  <c r="AA337" i="19" a="1"/>
  <c r="AA337" i="19" s="1"/>
  <c r="AA330" i="19" a="1"/>
  <c r="AA330" i="19" s="1"/>
  <c r="AA362" i="19" a="1"/>
  <c r="AA362" i="19" s="1"/>
  <c r="AA369" i="19" a="1"/>
  <c r="AA369" i="19" s="1"/>
  <c r="AA370" i="19" a="1"/>
  <c r="AA370" i="19" s="1"/>
  <c r="AA346" i="19" a="1"/>
  <c r="AA346" i="19" s="1"/>
  <c r="AA345" i="19" a="1"/>
  <c r="AA345" i="19" s="1"/>
  <c r="AA344" i="19" a="1"/>
  <c r="AA344" i="19" s="1"/>
  <c r="AA343" i="19" a="1"/>
  <c r="AA343" i="19" s="1"/>
  <c r="AA342" i="19" a="1"/>
  <c r="AA342" i="19" s="1"/>
  <c r="AA341" i="19" a="1"/>
  <c r="AA341" i="19" s="1"/>
  <c r="AA339" i="19" a="1"/>
  <c r="AA339" i="19" s="1"/>
  <c r="AA340" i="19" a="1"/>
  <c r="AA340" i="19" s="1"/>
  <c r="AA371" i="19" a="1"/>
  <c r="AA371" i="19" s="1"/>
  <c r="AA372" i="19" a="1"/>
  <c r="AA372" i="19" s="1"/>
  <c r="AA396" i="19" a="1"/>
  <c r="AA396" i="19" s="1"/>
  <c r="AA395" i="19" a="1"/>
  <c r="AA395" i="19" s="1"/>
  <c r="AA394" i="19" a="1"/>
  <c r="AA394" i="19" s="1"/>
  <c r="AA393" i="19" a="1"/>
  <c r="AA393" i="19" s="1"/>
  <c r="AA391" i="19" a="1"/>
  <c r="AA391" i="19" s="1"/>
  <c r="AA392" i="19" a="1"/>
  <c r="AA392" i="19" s="1"/>
  <c r="AA389" i="19" a="1"/>
  <c r="AA389" i="19" s="1"/>
  <c r="AA390" i="19" a="1"/>
  <c r="AA390" i="19" s="1"/>
  <c r="AA388" i="19" a="1"/>
  <c r="AA388" i="19" s="1"/>
  <c r="AA387" i="19" a="1"/>
  <c r="AA387" i="19" s="1"/>
  <c r="AA386" i="19" a="1"/>
  <c r="AA386" i="19" s="1"/>
  <c r="AA385" i="19" a="1"/>
  <c r="AA385" i="19" s="1"/>
  <c r="AA384" i="19" a="1"/>
  <c r="AA384" i="19" s="1"/>
  <c r="AA382" i="19" a="1"/>
  <c r="AA382" i="19" s="1"/>
  <c r="AA383" i="19" a="1"/>
  <c r="AA383" i="19" s="1"/>
  <c r="AA381" i="19" a="1"/>
  <c r="AA381" i="19" s="1"/>
  <c r="AA397" i="19" a="1"/>
  <c r="AA397" i="19" s="1"/>
  <c r="AA398" i="19" a="1"/>
  <c r="AA398" i="19" s="1"/>
  <c r="AA408" i="19" a="1"/>
  <c r="AA408" i="19" s="1"/>
  <c r="AA407" i="19" a="1"/>
  <c r="AA407" i="19" s="1"/>
  <c r="AA406" i="19" a="1"/>
  <c r="AA406" i="19" s="1"/>
  <c r="AA405" i="19" a="1"/>
  <c r="AA405" i="19" s="1"/>
  <c r="AA404" i="19" a="1"/>
  <c r="AA404" i="19" s="1"/>
  <c r="AA403" i="19" a="1"/>
  <c r="AA403" i="19" s="1"/>
  <c r="AA402" i="19" a="1"/>
  <c r="AA402" i="19" s="1"/>
  <c r="AA401" i="19" a="1"/>
  <c r="AA401" i="19" s="1"/>
  <c r="AA400" i="19" a="1"/>
  <c r="AA400" i="19" s="1"/>
  <c r="AA399" i="19" a="1"/>
  <c r="AA399" i="19" s="1"/>
  <c r="AA415" i="19" a="1"/>
  <c r="AA415" i="19" s="1"/>
  <c r="AA413" i="19" a="1"/>
  <c r="AA413" i="19" s="1"/>
  <c r="AA414" i="19" a="1"/>
  <c r="AA414" i="19" s="1"/>
  <c r="AA411" i="19" a="1"/>
  <c r="AA411" i="19" s="1"/>
  <c r="AA412" i="19" a="1"/>
  <c r="AA412" i="19" s="1"/>
  <c r="AA424" i="19" a="1"/>
  <c r="AA424" i="19" s="1"/>
  <c r="AA423" i="19" a="1"/>
  <c r="AA423" i="19" s="1"/>
  <c r="AA422" i="19" a="1"/>
  <c r="AA422" i="19" s="1"/>
  <c r="AA420" i="19" a="1"/>
  <c r="AA420" i="19" s="1"/>
  <c r="AA421" i="19" a="1"/>
  <c r="AA421" i="19" s="1"/>
  <c r="AA419" i="19" a="1"/>
  <c r="AA419" i="19" s="1"/>
  <c r="AA418" i="19" a="1"/>
  <c r="AA418" i="19" s="1"/>
  <c r="AA417" i="19" a="1"/>
  <c r="AA417" i="19" s="1"/>
  <c r="AA416" i="19" a="1"/>
  <c r="AA416" i="19" s="1"/>
  <c r="AA426" i="19" a="1"/>
  <c r="AA426" i="19" s="1"/>
  <c r="AA427" i="19" a="1"/>
  <c r="AA427" i="19" s="1"/>
  <c r="AA425" i="19" a="1"/>
  <c r="AA425" i="19" s="1"/>
  <c r="AA410" i="19" a="1"/>
  <c r="AA410" i="19" s="1"/>
  <c r="AA428" i="19" a="1"/>
  <c r="AA428" i="19" s="1"/>
  <c r="AA430" i="19" a="1"/>
  <c r="AA430" i="19" s="1"/>
  <c r="AA429" i="19" a="1"/>
  <c r="AA429" i="19" s="1"/>
  <c r="AA431" i="19" a="1"/>
  <c r="AA431" i="19" s="1"/>
  <c r="AA432" i="19" a="1"/>
  <c r="AA432" i="19" s="1"/>
  <c r="AA433" i="19" a="1"/>
  <c r="AA433" i="19" s="1"/>
  <c r="AA437" i="19" a="1"/>
  <c r="AA437" i="19" s="1"/>
  <c r="AA436" i="19" a="1"/>
  <c r="AA436" i="19" s="1"/>
  <c r="AA435" i="19" a="1"/>
  <c r="AA435" i="19" s="1"/>
  <c r="AA434" i="19" a="1"/>
  <c r="AA434" i="19" s="1"/>
  <c r="AA443" i="19" a="1"/>
  <c r="AA443" i="19" s="1"/>
  <c r="AA442" i="19" a="1"/>
  <c r="AA442" i="19" s="1"/>
  <c r="AA441" i="19" a="1"/>
  <c r="AA441" i="19" s="1"/>
  <c r="AA440" i="19" a="1"/>
  <c r="AA440" i="19" s="1"/>
  <c r="AA439" i="19" a="1"/>
  <c r="AA439" i="19" s="1"/>
  <c r="AA438" i="19" a="1"/>
  <c r="AA438" i="19" s="1"/>
  <c r="AA444" i="19" a="1"/>
  <c r="AA444" i="19" s="1"/>
  <c r="AA447" i="19" a="1"/>
  <c r="AA447" i="19" s="1"/>
  <c r="AA448" i="19" a="1"/>
  <c r="AA448" i="19" s="1"/>
  <c r="AA449" i="19" a="1"/>
  <c r="AA449" i="19" s="1"/>
  <c r="AA450" i="19" a="1"/>
  <c r="AA450" i="19" s="1"/>
  <c r="AA458" i="19" a="1"/>
  <c r="AA458" i="19" s="1"/>
  <c r="AA464" i="19" a="1"/>
  <c r="AA464" i="19" s="1"/>
  <c r="AA468" i="19" a="1"/>
  <c r="AA468" i="19" s="1"/>
  <c r="AA484" i="19" a="1"/>
  <c r="AA484" i="19" s="1"/>
  <c r="AA488" i="19" a="1"/>
  <c r="AA488" i="19" s="1"/>
  <c r="AA487" i="19" a="1"/>
  <c r="AA487" i="19" s="1"/>
  <c r="AA486" i="19" a="1"/>
  <c r="AA486" i="19" s="1"/>
  <c r="AA505" i="19" a="1"/>
  <c r="AA505" i="19" s="1"/>
  <c r="AA502" i="19" a="1"/>
  <c r="AA502" i="19" s="1"/>
  <c r="AA503" i="19" a="1"/>
  <c r="AA503" i="19" s="1"/>
  <c r="AA504" i="19" a="1"/>
  <c r="AA504" i="19" s="1"/>
  <c r="AA501" i="19" a="1"/>
  <c r="AA501" i="19" s="1"/>
  <c r="AA522" i="19" a="1"/>
  <c r="AA522" i="19" s="1"/>
  <c r="AA523" i="19" a="1"/>
  <c r="AA523" i="19" s="1"/>
  <c r="AA521" i="19" a="1"/>
  <c r="AA521" i="19" s="1"/>
  <c r="AA520" i="19" a="1"/>
  <c r="AA520" i="19" s="1"/>
  <c r="AA519" i="19" a="1"/>
  <c r="AA519" i="19" s="1"/>
  <c r="AA518" i="19" a="1"/>
  <c r="AA518" i="19" s="1"/>
  <c r="AA517" i="19" a="1"/>
  <c r="AA517" i="19" s="1"/>
  <c r="AA516" i="19" a="1"/>
  <c r="AA516" i="19" s="1"/>
  <c r="AA515" i="19" a="1"/>
  <c r="AA515" i="19" s="1"/>
  <c r="AA514" i="19" a="1"/>
  <c r="AA514" i="19" s="1"/>
  <c r="AA513" i="19" a="1"/>
  <c r="AA513" i="19" s="1"/>
  <c r="AA567" i="19" a="1"/>
  <c r="AA567" i="19" s="1"/>
  <c r="AA565" i="19" a="1"/>
  <c r="AA565" i="19" s="1"/>
  <c r="AA566" i="19" a="1"/>
  <c r="AA566" i="19" s="1"/>
  <c r="AA602" i="19" a="1"/>
  <c r="AA602" i="19" s="1"/>
  <c r="AA603" i="19" a="1"/>
  <c r="AA603" i="19" s="1"/>
  <c r="AA606" i="19" a="1"/>
  <c r="AA606" i="19" s="1"/>
  <c r="AA607" i="19" a="1"/>
  <c r="AA607" i="19" s="1"/>
  <c r="AA630" i="19" a="1"/>
  <c r="AA630" i="19" s="1"/>
  <c r="AA631" i="19" a="1"/>
  <c r="AA631" i="19" s="1"/>
  <c r="AA638" i="19" a="1"/>
  <c r="AA638" i="19" s="1"/>
  <c r="AA637" i="19" a="1"/>
  <c r="AA637" i="19" s="1"/>
  <c r="AA639" i="19" a="1"/>
  <c r="AA639" i="19" s="1"/>
  <c r="AA682" i="19" a="1"/>
  <c r="AA682" i="19" s="1"/>
  <c r="AA681" i="19" a="1"/>
  <c r="AA681" i="19" s="1"/>
  <c r="AA680" i="19" a="1"/>
  <c r="AA680" i="19" s="1"/>
  <c r="AA679" i="19" a="1"/>
  <c r="AA679" i="19" s="1"/>
  <c r="AA678" i="19" a="1"/>
  <c r="AA678" i="19" s="1"/>
  <c r="AA677" i="19" a="1"/>
  <c r="AA677" i="19" s="1"/>
  <c r="AA757" i="19" a="1"/>
  <c r="AA757" i="19" s="1"/>
  <c r="AA762" i="19" a="1"/>
  <c r="AA762" i="19" s="1"/>
  <c r="AA806" i="19" a="1"/>
  <c r="AA806" i="19" s="1"/>
  <c r="AA805" i="19" a="1"/>
  <c r="AA805" i="19" s="1"/>
  <c r="AA804" i="19" a="1"/>
  <c r="AA804" i="19" s="1"/>
  <c r="AA803" i="19" a="1"/>
  <c r="AA803" i="19" s="1"/>
  <c r="AA810" i="19" a="1"/>
  <c r="AA810" i="19" s="1"/>
  <c r="AA809" i="19" a="1"/>
  <c r="AA809" i="19" s="1"/>
  <c r="AA808" i="19" a="1"/>
  <c r="AA808" i="19" s="1"/>
  <c r="AA807" i="19" a="1"/>
  <c r="AA807" i="19" s="1"/>
  <c r="AA797" i="19" a="1"/>
  <c r="AA797" i="19" s="1"/>
  <c r="AA812" i="19" a="1"/>
  <c r="AA812" i="19" s="1"/>
  <c r="AA811" i="19" a="1"/>
  <c r="AA811" i="19" s="1"/>
  <c r="AA816" i="19" a="1"/>
  <c r="AA816" i="19" s="1"/>
  <c r="AA815" i="19" a="1"/>
  <c r="AA815" i="19" s="1"/>
  <c r="AA836" i="19" a="1"/>
  <c r="AA836" i="19" s="1"/>
  <c r="AA837" i="19" a="1"/>
  <c r="AA837" i="19" s="1"/>
  <c r="AA996" i="19" a="1"/>
  <c r="AA996" i="19" s="1"/>
  <c r="AA1032" i="19" a="1"/>
  <c r="AA1032" i="19" s="1"/>
  <c r="AA1031" i="19" a="1"/>
  <c r="AA1031" i="19" s="1"/>
  <c r="AA1030" i="19" a="1"/>
  <c r="AA1030" i="19" s="1"/>
  <c r="AA1051" i="19" a="1"/>
  <c r="AA1051" i="19" s="1"/>
  <c r="AA1050" i="19" a="1"/>
  <c r="AA1050" i="19" s="1"/>
  <c r="AA1049" i="19" a="1"/>
  <c r="AA1049" i="19" s="1"/>
  <c r="AA1101" i="19" a="1"/>
  <c r="AA1101" i="19" s="1"/>
  <c r="AA1152" i="19" a="1"/>
  <c r="AA1152" i="19" s="1"/>
  <c r="AA1167" i="19" a="1"/>
  <c r="AA1167" i="19" s="1"/>
  <c r="AA1312" i="19" a="1"/>
  <c r="AA1312" i="19" s="1"/>
  <c r="AA1311" i="19" a="1"/>
  <c r="AA1311" i="19" s="1"/>
  <c r="AA1310" i="19" a="1"/>
  <c r="AA1310" i="19" s="1"/>
  <c r="AA1319" i="19" a="1"/>
  <c r="AA1319" i="19" s="1"/>
  <c r="AA375" i="19" a="1"/>
  <c r="AA375" i="19" s="1"/>
  <c r="AA374" i="19" a="1"/>
  <c r="AA374" i="19" s="1"/>
  <c r="AA373" i="19" a="1"/>
  <c r="AA373" i="19" s="1"/>
  <c r="AA376" i="19" a="1"/>
  <c r="AA376" i="19" s="1"/>
  <c r="AA377" i="19" a="1"/>
  <c r="AA377" i="19" s="1"/>
  <c r="AA463" i="19" a="1"/>
  <c r="AA463" i="19" s="1"/>
  <c r="AA462" i="19" a="1"/>
  <c r="AA462" i="19" s="1"/>
  <c r="AA1085" i="19" a="1"/>
  <c r="AA1085" i="19" s="1"/>
  <c r="AA1086" i="19" a="1"/>
  <c r="AA1086" i="19" s="1"/>
  <c r="AA2346" i="19" a="1"/>
  <c r="AA2346" i="19" s="1"/>
  <c r="AA2345" i="19" a="1"/>
  <c r="AA2345" i="19" s="1"/>
  <c r="AA2344" i="19" a="1"/>
  <c r="AA2344" i="19" s="1"/>
  <c r="AA877" i="19" a="1"/>
  <c r="AA877" i="19" s="1"/>
  <c r="AA1617" i="19" a="1"/>
  <c r="AA1617" i="19" s="1"/>
  <c r="X1617" i="19" s="1"/>
  <c r="AA1618" i="19" a="1"/>
  <c r="AA1618" i="19" s="1"/>
  <c r="X1618" i="19" s="1"/>
  <c r="AA1608" i="19" a="1"/>
  <c r="AA1608" i="19" s="1"/>
  <c r="U841" i="15"/>
  <c r="N841" i="15"/>
  <c r="Q841" i="15" s="1"/>
  <c r="N840" i="15"/>
  <c r="Q840" i="15" s="1"/>
  <c r="Q839" i="15"/>
  <c r="Q838" i="15"/>
  <c r="G841" i="15"/>
  <c r="G840" i="15"/>
  <c r="G839" i="15"/>
  <c r="U840" i="15"/>
  <c r="U839" i="15"/>
  <c r="U838" i="15"/>
  <c r="U837" i="15"/>
  <c r="U836" i="15"/>
  <c r="U835" i="15"/>
  <c r="U834" i="15"/>
  <c r="U833" i="15"/>
  <c r="U832" i="15"/>
  <c r="U831" i="15"/>
  <c r="U830" i="15"/>
  <c r="G838" i="15"/>
  <c r="G837" i="15"/>
  <c r="G836" i="15"/>
  <c r="G835" i="15"/>
  <c r="G834" i="15"/>
  <c r="G833" i="15"/>
  <c r="G832" i="15"/>
  <c r="Q837" i="15"/>
  <c r="Q836" i="15"/>
  <c r="Q835" i="15"/>
  <c r="Q834" i="15"/>
  <c r="Q833" i="15"/>
  <c r="Q832" i="15"/>
  <c r="Q831" i="15"/>
  <c r="Q830" i="15"/>
  <c r="G831" i="15"/>
  <c r="G830" i="15"/>
  <c r="C841" i="15"/>
  <c r="C831" i="15"/>
  <c r="C832" i="15"/>
  <c r="C833" i="15"/>
  <c r="C834" i="15"/>
  <c r="C835" i="15"/>
  <c r="C836" i="15"/>
  <c r="C837" i="15"/>
  <c r="C838" i="15"/>
  <c r="C839" i="15"/>
  <c r="C840" i="15"/>
  <c r="C830" i="15"/>
  <c r="J244" i="20"/>
  <c r="J243" i="20"/>
  <c r="J242" i="20"/>
  <c r="AA1730" i="19" a="1"/>
  <c r="AA1730" i="19" s="1"/>
  <c r="N828" i="15"/>
  <c r="Q828" i="15" s="1"/>
  <c r="N827" i="15"/>
  <c r="Q827" i="15" s="1"/>
  <c r="N826" i="15"/>
  <c r="Q826" i="15" s="1"/>
  <c r="N825" i="15"/>
  <c r="Q825" i="15" s="1"/>
  <c r="N824" i="15"/>
  <c r="Q824" i="15" s="1"/>
  <c r="G828" i="15"/>
  <c r="C828" i="15"/>
  <c r="G827" i="15"/>
  <c r="C827" i="15"/>
  <c r="G826" i="15"/>
  <c r="C826" i="15"/>
  <c r="G825" i="15"/>
  <c r="C825" i="15"/>
  <c r="G824" i="15"/>
  <c r="U828" i="15"/>
  <c r="U827" i="15"/>
  <c r="U826" i="15"/>
  <c r="U825" i="15"/>
  <c r="U824" i="15"/>
  <c r="C824" i="15"/>
  <c r="U823" i="15"/>
  <c r="P823" i="15"/>
  <c r="N823" i="15" s="1"/>
  <c r="Q823" i="15" s="1"/>
  <c r="G823" i="15"/>
  <c r="C823" i="15"/>
  <c r="U822" i="15"/>
  <c r="N822" i="15"/>
  <c r="Q822" i="15" s="1"/>
  <c r="U821" i="15"/>
  <c r="N821" i="15"/>
  <c r="Q821" i="15" s="1"/>
  <c r="U820" i="15"/>
  <c r="N820" i="15"/>
  <c r="Q820" i="15" s="1"/>
  <c r="U819" i="15"/>
  <c r="N819" i="15"/>
  <c r="Q819" i="15" s="1"/>
  <c r="G822" i="15"/>
  <c r="C822" i="15"/>
  <c r="G821" i="15"/>
  <c r="G820" i="15"/>
  <c r="G819" i="15"/>
  <c r="C819" i="15"/>
  <c r="C820" i="15"/>
  <c r="C821" i="15"/>
  <c r="W1729" i="19" l="1"/>
  <c r="X1730" i="19"/>
  <c r="AE1729" i="19"/>
  <c r="AF1729" i="19"/>
  <c r="AD1643" i="19"/>
  <c r="AE1643" i="19"/>
  <c r="N818" i="15"/>
  <c r="Q818" i="15" s="1"/>
  <c r="U818" i="15"/>
  <c r="U817" i="15"/>
  <c r="N817" i="15"/>
  <c r="Q817" i="15" s="1"/>
  <c r="G818" i="15"/>
  <c r="G817" i="15"/>
  <c r="C818" i="15"/>
  <c r="C817" i="15"/>
  <c r="U816" i="15" l="1"/>
  <c r="N816" i="15"/>
  <c r="Q816" i="15" s="1"/>
  <c r="G816" i="15"/>
  <c r="C816" i="15"/>
  <c r="S1608" i="19"/>
  <c r="U798" i="15"/>
  <c r="Q798" i="15"/>
  <c r="G798" i="15"/>
  <c r="C798" i="15"/>
  <c r="G914" i="15"/>
  <c r="U914" i="15"/>
  <c r="Q914" i="15"/>
  <c r="C914" i="15"/>
  <c r="U806" i="15"/>
  <c r="Q806" i="15"/>
  <c r="G806" i="15"/>
  <c r="C806" i="15"/>
  <c r="G805" i="15"/>
  <c r="U805" i="15"/>
  <c r="Q805" i="15"/>
  <c r="C805" i="15"/>
  <c r="U881" i="15"/>
  <c r="Q881" i="15"/>
  <c r="C881" i="15"/>
  <c r="U791" i="15"/>
  <c r="Q791" i="15"/>
  <c r="G791" i="15"/>
  <c r="C791" i="15"/>
  <c r="G786" i="15"/>
  <c r="G785" i="15"/>
  <c r="C786" i="15"/>
  <c r="U786" i="15"/>
  <c r="Q786" i="15"/>
  <c r="U785" i="15"/>
  <c r="Q785" i="15"/>
  <c r="J1615" i="19"/>
  <c r="S1615" i="19"/>
  <c r="G784" i="15"/>
  <c r="G783" i="15"/>
  <c r="C785" i="15"/>
  <c r="U784" i="15"/>
  <c r="Q784" i="15"/>
  <c r="C784" i="15"/>
  <c r="U783" i="15"/>
  <c r="Q783" i="15"/>
  <c r="C783" i="15"/>
  <c r="U1646" i="19"/>
  <c r="AG1646" i="19"/>
  <c r="S1614" i="19"/>
  <c r="AA1565" i="19" a="1"/>
  <c r="AA1565" i="19" s="1"/>
  <c r="S1565" i="19"/>
  <c r="V1565" i="19"/>
  <c r="W1565" i="19" s="1"/>
  <c r="Y1565" i="19"/>
  <c r="AA1563" i="19" a="1"/>
  <c r="AA1563" i="19" s="1"/>
  <c r="S1563" i="19"/>
  <c r="V1563" i="19"/>
  <c r="W1563" i="19" s="1"/>
  <c r="Y1563" i="19"/>
  <c r="AA1562" i="19" a="1"/>
  <c r="AA1562" i="19" s="1"/>
  <c r="S1562" i="19"/>
  <c r="V1562" i="19"/>
  <c r="W1562" i="19" s="1"/>
  <c r="Y1562" i="19"/>
  <c r="AA1561" i="19" a="1"/>
  <c r="AA1561" i="19" s="1"/>
  <c r="S1561" i="19"/>
  <c r="V1561" i="19"/>
  <c r="W1561" i="19" s="1"/>
  <c r="Y1561" i="19"/>
  <c r="Y1591" i="19"/>
  <c r="AD1612" i="19"/>
  <c r="AE1612" i="19"/>
  <c r="AF1612" i="19"/>
  <c r="AD1610" i="19"/>
  <c r="AE1610" i="19"/>
  <c r="AF1610" i="19"/>
  <c r="AD1609" i="19"/>
  <c r="AE1609" i="19"/>
  <c r="AF1609" i="19"/>
  <c r="AD1611" i="19"/>
  <c r="AE1611" i="19"/>
  <c r="AF1611" i="19"/>
  <c r="S1604" i="19"/>
  <c r="S1612" i="19"/>
  <c r="S1610" i="19"/>
  <c r="S1609" i="19"/>
  <c r="S1611" i="19"/>
  <c r="U810" i="15" l="1"/>
  <c r="Q810" i="15"/>
  <c r="G810" i="15"/>
  <c r="C810" i="15"/>
  <c r="G809" i="15"/>
  <c r="U809" i="15"/>
  <c r="Q809" i="15"/>
  <c r="C809" i="15"/>
  <c r="U803" i="15"/>
  <c r="Q803" i="15"/>
  <c r="G803" i="15"/>
  <c r="C803" i="15"/>
  <c r="G808" i="15"/>
  <c r="U808" i="15"/>
  <c r="Q808" i="15"/>
  <c r="C808" i="15"/>
  <c r="G801" i="15"/>
  <c r="U801" i="15"/>
  <c r="Q801" i="15"/>
  <c r="C801" i="15"/>
  <c r="U807" i="15"/>
  <c r="N807" i="15"/>
  <c r="Q807" i="15" s="1"/>
  <c r="G807" i="15"/>
  <c r="C807" i="15"/>
  <c r="O719" i="15"/>
  <c r="U800" i="15"/>
  <c r="Q800" i="15"/>
  <c r="G800" i="15"/>
  <c r="C800" i="15"/>
  <c r="G853" i="15"/>
  <c r="Q853" i="15"/>
  <c r="Q804" i="15"/>
  <c r="C853" i="15"/>
  <c r="U853" i="15"/>
  <c r="U804" i="15"/>
  <c r="U774" i="15"/>
  <c r="Q774" i="15"/>
  <c r="C804" i="15"/>
  <c r="G804" i="15"/>
  <c r="G774" i="15"/>
  <c r="C774" i="15"/>
  <c r="G773" i="15"/>
  <c r="U773" i="15"/>
  <c r="Q773" i="15"/>
  <c r="C773" i="15"/>
  <c r="U813" i="15"/>
  <c r="Q813" i="15"/>
  <c r="U812" i="15"/>
  <c r="Q812" i="15"/>
  <c r="G813" i="15"/>
  <c r="G812" i="15"/>
  <c r="C812" i="15"/>
  <c r="C813" i="15"/>
  <c r="U811" i="15"/>
  <c r="Q811" i="15"/>
  <c r="G811" i="15"/>
  <c r="C811" i="15"/>
  <c r="S1605" i="19"/>
  <c r="S1606" i="19"/>
  <c r="S1607" i="19"/>
  <c r="S1602" i="19"/>
  <c r="S1603" i="19"/>
  <c r="AF1604" i="19"/>
  <c r="AE1604" i="19"/>
  <c r="AD1604" i="19"/>
  <c r="AF1599" i="19"/>
  <c r="AE1599" i="19"/>
  <c r="AD1599" i="19"/>
  <c r="AF1605" i="19"/>
  <c r="AE1605" i="19"/>
  <c r="AD1605" i="19"/>
  <c r="AF1606" i="19"/>
  <c r="AE1606" i="19"/>
  <c r="AD1606" i="19"/>
  <c r="AF1607" i="19"/>
  <c r="AE1607" i="19"/>
  <c r="AD1607" i="19"/>
  <c r="AF1602" i="19"/>
  <c r="AE1602" i="19"/>
  <c r="AD1602" i="19"/>
  <c r="AF1603" i="19"/>
  <c r="AE1603" i="19"/>
  <c r="AD1603" i="19"/>
  <c r="S1599" i="19"/>
  <c r="S1601" i="19"/>
  <c r="S1598" i="19"/>
  <c r="S1595" i="19"/>
  <c r="S1596" i="19"/>
  <c r="S1597" i="19"/>
  <c r="S1594" i="19"/>
  <c r="S1593" i="19"/>
  <c r="S1600" i="19"/>
  <c r="J1599" i="19"/>
  <c r="S1592" i="19"/>
  <c r="S1591" i="19"/>
  <c r="AF1601" i="19"/>
  <c r="AE1601" i="19"/>
  <c r="AD1601" i="19"/>
  <c r="AF1598" i="19"/>
  <c r="AE1598" i="19"/>
  <c r="AD1598" i="19"/>
  <c r="AF1595" i="19"/>
  <c r="AE1595" i="19"/>
  <c r="AD1595" i="19"/>
  <c r="AF1596" i="19"/>
  <c r="AE1596" i="19"/>
  <c r="AD1596" i="19"/>
  <c r="AF1597" i="19"/>
  <c r="AE1597" i="19"/>
  <c r="AD1597" i="19"/>
  <c r="AF1594" i="19"/>
  <c r="AE1594" i="19"/>
  <c r="AD1594" i="19"/>
  <c r="AF1593" i="19"/>
  <c r="AE1593" i="19"/>
  <c r="AD1593" i="19"/>
  <c r="AF1586" i="19"/>
  <c r="AE1586" i="19"/>
  <c r="AD1586" i="19"/>
  <c r="AF1585" i="19"/>
  <c r="AE1585" i="19"/>
  <c r="AD1585" i="19"/>
  <c r="AF1590" i="19"/>
  <c r="AE1590" i="19"/>
  <c r="AD1590" i="19"/>
  <c r="AF1589" i="19"/>
  <c r="AE1589" i="19"/>
  <c r="AD1589" i="19"/>
  <c r="S1586" i="19"/>
  <c r="S1585" i="19"/>
  <c r="S1587" i="19"/>
  <c r="S1590" i="19"/>
  <c r="S1589" i="19"/>
  <c r="S1588" i="19"/>
  <c r="S1584" i="19"/>
  <c r="K266" i="20"/>
  <c r="K265" i="20"/>
  <c r="K264" i="20"/>
  <c r="AI1569" i="19"/>
  <c r="AI1578" i="19"/>
  <c r="AI1579" i="19"/>
  <c r="AG1559" i="19" l="1"/>
  <c r="AG1525" i="19"/>
  <c r="AG1550" i="19"/>
  <c r="AG1553" i="19"/>
  <c r="AG1551" i="19"/>
  <c r="AG1552" i="19"/>
  <c r="AG1549" i="19"/>
  <c r="AG1537" i="19"/>
  <c r="AG1544" i="19"/>
  <c r="AG1539" i="19"/>
  <c r="AG1540" i="19"/>
  <c r="AG1538" i="19"/>
  <c r="AG1541" i="19"/>
  <c r="AG1542" i="19"/>
  <c r="AG1543" i="19"/>
  <c r="AG1591" i="19"/>
  <c r="AG1592" i="19"/>
  <c r="AG1554" i="19"/>
  <c r="AG1556" i="19" l="1"/>
  <c r="AC1556" i="19"/>
  <c r="AF1556" i="19" s="1"/>
  <c r="Y1556" i="19"/>
  <c r="V1556" i="19"/>
  <c r="W1556" i="19" s="1"/>
  <c r="S1556" i="19"/>
  <c r="L1556" i="19"/>
  <c r="J1556" i="19"/>
  <c r="F1556" i="19" s="1"/>
  <c r="AA1556" i="19" l="1" a="1"/>
  <c r="AA1556" i="19" s="1"/>
  <c r="X1556" i="19" s="1"/>
  <c r="AD1556" i="19"/>
  <c r="AE1556" i="19"/>
  <c r="U1529" i="19"/>
  <c r="AG1528" i="19"/>
  <c r="AC1528" i="19"/>
  <c r="AD1528" i="19" s="1"/>
  <c r="Y1528" i="19"/>
  <c r="V1528" i="19"/>
  <c r="W1528" i="19" s="1"/>
  <c r="L1528" i="19"/>
  <c r="J1528" i="19"/>
  <c r="U1535" i="19"/>
  <c r="U1534" i="19"/>
  <c r="AH1535" i="19"/>
  <c r="AG1535" i="19"/>
  <c r="AC1535" i="19"/>
  <c r="AD1535" i="19" s="1"/>
  <c r="Y1535" i="19"/>
  <c r="V1535" i="19"/>
  <c r="S1535" i="19"/>
  <c r="AA1535" i="19" a="1"/>
  <c r="AA1535" i="19" s="1"/>
  <c r="L1535" i="19"/>
  <c r="J1535" i="19"/>
  <c r="AH1534" i="19"/>
  <c r="AG1534" i="19"/>
  <c r="AC1534" i="19"/>
  <c r="AE1534" i="19" s="1"/>
  <c r="Y1534" i="19"/>
  <c r="V1534" i="19"/>
  <c r="S1534" i="19"/>
  <c r="L1534" i="19"/>
  <c r="J1534" i="19"/>
  <c r="J1537" i="19"/>
  <c r="F1537" i="19" s="1"/>
  <c r="AJ1534" i="19" l="1"/>
  <c r="AK1534" i="19" s="1" a="1"/>
  <c r="AK1534" i="19" s="1"/>
  <c r="AA1534" i="19" a="1"/>
  <c r="AA1534" i="19" s="1"/>
  <c r="X1534" i="19" s="1"/>
  <c r="AA1528" i="19" a="1"/>
  <c r="AA1528" i="19" s="1"/>
  <c r="X1528" i="19" s="1"/>
  <c r="AF1534" i="19"/>
  <c r="AE1528" i="19"/>
  <c r="AF1528" i="19"/>
  <c r="W1535" i="19"/>
  <c r="AD1534" i="19"/>
  <c r="AJ1535" i="19"/>
  <c r="AK1535" i="19" s="1" a="1"/>
  <c r="AK1535" i="19" s="1"/>
  <c r="W1534" i="19"/>
  <c r="X1535" i="19"/>
  <c r="AE1535" i="19"/>
  <c r="AF1535" i="19"/>
  <c r="J1525" i="19" l="1"/>
  <c r="L1525" i="19"/>
  <c r="S1521" i="19"/>
  <c r="S1520" i="19"/>
  <c r="S1516" i="19"/>
  <c r="S1517" i="19"/>
  <c r="S1518" i="19"/>
  <c r="J1559" i="19"/>
  <c r="J1558" i="19" l="1"/>
  <c r="AF1618" i="19"/>
  <c r="AE1618" i="19"/>
  <c r="AD1618" i="19"/>
  <c r="U776" i="15"/>
  <c r="Q776" i="15"/>
  <c r="G776" i="15"/>
  <c r="C776" i="15"/>
  <c r="G775" i="15"/>
  <c r="U775" i="15"/>
  <c r="Q775" i="15"/>
  <c r="C775" i="15"/>
  <c r="U768" i="15"/>
  <c r="Q768" i="15"/>
  <c r="G768" i="15"/>
  <c r="C768" i="15"/>
  <c r="G752" i="15"/>
  <c r="G802" i="15"/>
  <c r="U752" i="15"/>
  <c r="N752" i="15"/>
  <c r="Q752" i="15" s="1"/>
  <c r="C752" i="15"/>
  <c r="U802" i="15"/>
  <c r="N802" i="15"/>
  <c r="Q802" i="15" s="1"/>
  <c r="C802" i="15"/>
  <c r="U794" i="15"/>
  <c r="N794" i="15"/>
  <c r="Q794" i="15" s="1"/>
  <c r="G794" i="15"/>
  <c r="G751" i="15"/>
  <c r="C794" i="15"/>
  <c r="U751" i="15"/>
  <c r="N751" i="15"/>
  <c r="Q751" i="15" s="1"/>
  <c r="C751" i="15"/>
  <c r="AE1510" i="19" l="1"/>
  <c r="S1510" i="19"/>
  <c r="U1511" i="19"/>
  <c r="U1512" i="19"/>
  <c r="S1508" i="19"/>
  <c r="S1509" i="19"/>
  <c r="S1514" i="19"/>
  <c r="S1513" i="19"/>
  <c r="U1548" i="19"/>
  <c r="AF1514" i="19"/>
  <c r="AE1514" i="19"/>
  <c r="AD1514" i="19"/>
  <c r="AG1512" i="19"/>
  <c r="AG1511" i="19"/>
  <c r="AG1510" i="19"/>
  <c r="AG1524" i="19"/>
  <c r="AG1558" i="19"/>
  <c r="AG1557" i="19"/>
  <c r="AG1522" i="19"/>
  <c r="AG1523" i="19"/>
  <c r="AG2341" i="19"/>
  <c r="AG2340" i="19"/>
  <c r="AG1555" i="19"/>
  <c r="AG1569" i="19"/>
  <c r="AG1570" i="19"/>
  <c r="AG1571" i="19"/>
  <c r="AG1572" i="19"/>
  <c r="AG1580" i="19"/>
  <c r="AG1573" i="19"/>
  <c r="AG1574" i="19"/>
  <c r="AG1575" i="19"/>
  <c r="AG1576" i="19"/>
  <c r="AG1577" i="19"/>
  <c r="AG1578" i="19"/>
  <c r="AG1579" i="19"/>
  <c r="AG1584" i="19"/>
  <c r="AG1568" i="19"/>
  <c r="AG1614" i="19"/>
  <c r="AG1615" i="19"/>
  <c r="AG1608" i="19"/>
  <c r="AG1742" i="19"/>
  <c r="AG1741" i="19"/>
  <c r="AG1743" i="19"/>
  <c r="AG1730" i="19"/>
  <c r="AG1731" i="19"/>
  <c r="AG1751" i="19"/>
  <c r="AG1627" i="19"/>
  <c r="AG1628" i="19"/>
  <c r="AG1629" i="19"/>
  <c r="AG2350" i="19"/>
  <c r="AG2351" i="19"/>
  <c r="AG1630" i="19"/>
  <c r="AG1613" i="19"/>
  <c r="AG1642" i="19"/>
  <c r="AG1752" i="19"/>
  <c r="AG1644" i="19"/>
  <c r="AG1746" i="19"/>
  <c r="AG1745" i="19"/>
  <c r="AG1688" i="19"/>
  <c r="AG1683" i="19"/>
  <c r="AG1686" i="19"/>
  <c r="AG1687" i="19"/>
  <c r="AG1685" i="19"/>
  <c r="AG1693" i="19"/>
  <c r="AG1691" i="19"/>
  <c r="AG1692" i="19"/>
  <c r="AG1694" i="19"/>
  <c r="AG1689" i="19"/>
  <c r="AG1690" i="19"/>
  <c r="AG1684" i="19"/>
  <c r="AG1680" i="19"/>
  <c r="AG1681" i="19"/>
  <c r="AG1682" i="19"/>
  <c r="AG1698" i="19"/>
  <c r="AG1747" i="19"/>
  <c r="AG1704" i="19"/>
  <c r="AG1705" i="19"/>
  <c r="AG1706" i="19"/>
  <c r="AG1714" i="19"/>
  <c r="AG1707" i="19"/>
  <c r="AG1711" i="19"/>
  <c r="AG1712" i="19"/>
  <c r="AG1713" i="19"/>
  <c r="AG2353" i="19"/>
  <c r="AG2352" i="19"/>
  <c r="AG1843" i="19"/>
  <c r="AG1841" i="19"/>
  <c r="AG1842" i="19"/>
  <c r="AG1839" i="19"/>
  <c r="AG1715" i="19"/>
  <c r="AF1521" i="19"/>
  <c r="AF1520" i="19"/>
  <c r="AF1516" i="19"/>
  <c r="AF1517" i="19"/>
  <c r="AF1518" i="19"/>
  <c r="AF1519" i="19"/>
  <c r="AF1509" i="19"/>
  <c r="AF1508" i="19"/>
  <c r="AF1617" i="19"/>
  <c r="AE1521" i="19"/>
  <c r="AE1520" i="19"/>
  <c r="AE1516" i="19"/>
  <c r="AE1517" i="19"/>
  <c r="AE1518" i="19"/>
  <c r="AE1519" i="19"/>
  <c r="AE1509" i="19"/>
  <c r="AE1508" i="19"/>
  <c r="AE1617" i="19"/>
  <c r="AD1521" i="19"/>
  <c r="AD1520" i="19"/>
  <c r="AD1516" i="19"/>
  <c r="AD1517" i="19"/>
  <c r="AD1518" i="19"/>
  <c r="AD1519" i="19"/>
  <c r="AD1509" i="19"/>
  <c r="AD1508" i="19"/>
  <c r="AD1617" i="19"/>
  <c r="AF1513" i="19"/>
  <c r="U1519" i="19"/>
  <c r="Y1516" i="19"/>
  <c r="V1516" i="19"/>
  <c r="W1516" i="19" s="1"/>
  <c r="L1516" i="19"/>
  <c r="J1516" i="19"/>
  <c r="O241" i="20"/>
  <c r="K241" i="20"/>
  <c r="U1533" i="19"/>
  <c r="U793" i="15"/>
  <c r="Q793" i="15"/>
  <c r="G793" i="15"/>
  <c r="C793" i="15"/>
  <c r="G792" i="15"/>
  <c r="U792" i="15"/>
  <c r="Q792" i="15"/>
  <c r="C792" i="15"/>
  <c r="AC1512" i="19"/>
  <c r="AF1512" i="19" s="1"/>
  <c r="AC1511" i="19"/>
  <c r="AC1524" i="19"/>
  <c r="AF1524" i="19" s="1"/>
  <c r="AC1558" i="19"/>
  <c r="AD1558" i="19" s="1"/>
  <c r="AC1557" i="19"/>
  <c r="AE1557" i="19" s="1"/>
  <c r="AD1522" i="19"/>
  <c r="AC1559" i="19"/>
  <c r="AF1559" i="19" s="1"/>
  <c r="AC1525" i="19"/>
  <c r="AD1525" i="19" s="1"/>
  <c r="AF1550" i="19"/>
  <c r="AF1553" i="19"/>
  <c r="AD1551" i="19"/>
  <c r="AE1552" i="19"/>
  <c r="AD1549" i="19"/>
  <c r="AF1544" i="19"/>
  <c r="AD1539" i="19"/>
  <c r="AF1540" i="19"/>
  <c r="AF1538" i="19"/>
  <c r="AD1541" i="19"/>
  <c r="AE1542" i="19"/>
  <c r="AD1543" i="19"/>
  <c r="AC1592" i="19"/>
  <c r="AF1592" i="19" s="1"/>
  <c r="AC1554" i="19"/>
  <c r="AD1554" i="19" s="1"/>
  <c r="AC2341" i="19"/>
  <c r="AF2341" i="19" s="1"/>
  <c r="AC2340" i="19"/>
  <c r="AF2340" i="19" s="1"/>
  <c r="AC1555" i="19"/>
  <c r="AD1555" i="19" s="1"/>
  <c r="AC1569" i="19"/>
  <c r="AD1569" i="19" s="1"/>
  <c r="AC1570" i="19"/>
  <c r="AC1571" i="19"/>
  <c r="AF1571" i="19" s="1"/>
  <c r="AC1572" i="19"/>
  <c r="AD1572" i="19" s="1"/>
  <c r="AC1580" i="19"/>
  <c r="AF1580" i="19" s="1"/>
  <c r="AC1573" i="19"/>
  <c r="AF1573" i="19" s="1"/>
  <c r="AC1574" i="19"/>
  <c r="AD1574" i="19" s="1"/>
  <c r="AC1575" i="19"/>
  <c r="AE1575" i="19" s="1"/>
  <c r="AC1576" i="19"/>
  <c r="AD1576" i="19" s="1"/>
  <c r="AC1577" i="19"/>
  <c r="AC1578" i="19"/>
  <c r="AF1578" i="19" s="1"/>
  <c r="AC1579" i="19"/>
  <c r="AD1579" i="19" s="1"/>
  <c r="AF1584" i="19"/>
  <c r="AF1583" i="19"/>
  <c r="AD1582" i="19"/>
  <c r="AE1581" i="19"/>
  <c r="AD1564" i="19"/>
  <c r="AF1563" i="19"/>
  <c r="AD1562" i="19"/>
  <c r="AF1561" i="19"/>
  <c r="AF1560" i="19"/>
  <c r="AD1567" i="19"/>
  <c r="AE1566" i="19"/>
  <c r="AC1568" i="19"/>
  <c r="AD1568" i="19" s="1"/>
  <c r="AF1587" i="19"/>
  <c r="AE1600" i="19"/>
  <c r="AF1614" i="19"/>
  <c r="AD1646" i="19"/>
  <c r="AF1615" i="19"/>
  <c r="AF1608" i="19"/>
  <c r="AC1742" i="19"/>
  <c r="AD1742" i="19" s="1"/>
  <c r="AC1741" i="19"/>
  <c r="AE1741" i="19" s="1"/>
  <c r="AC1743" i="19"/>
  <c r="AD1743" i="19" s="1"/>
  <c r="AC1730" i="19"/>
  <c r="AC1731" i="19"/>
  <c r="AF1731" i="19" s="1"/>
  <c r="AC1751" i="19"/>
  <c r="AD1751" i="19" s="1"/>
  <c r="AC1627" i="19"/>
  <c r="AF1627" i="19" s="1"/>
  <c r="AC1628" i="19"/>
  <c r="AF1628" i="19" s="1"/>
  <c r="AC1629" i="19"/>
  <c r="AD1629" i="19" s="1"/>
  <c r="AC2350" i="19"/>
  <c r="AE2350" i="19" s="1"/>
  <c r="AC2351" i="19"/>
  <c r="AD2351" i="19" s="1"/>
  <c r="AF1633" i="19"/>
  <c r="AC1630" i="19"/>
  <c r="AD1630" i="19" s="1"/>
  <c r="AC1613" i="19"/>
  <c r="AE1613" i="19" s="1"/>
  <c r="AC1642" i="19"/>
  <c r="AD1642" i="19" s="1"/>
  <c r="AC1752" i="19"/>
  <c r="AC1644" i="19"/>
  <c r="AF1644" i="19" s="1"/>
  <c r="AC1746" i="19"/>
  <c r="AD1746" i="19" s="1"/>
  <c r="AC1745" i="19"/>
  <c r="AF1745" i="19" s="1"/>
  <c r="AC1688" i="19"/>
  <c r="AF1688" i="19" s="1"/>
  <c r="AC1683" i="19"/>
  <c r="AD1683" i="19" s="1"/>
  <c r="AC1686" i="19"/>
  <c r="AE1686" i="19" s="1"/>
  <c r="AC1687" i="19"/>
  <c r="AD1687" i="19" s="1"/>
  <c r="AC1685" i="19"/>
  <c r="AC1693" i="19"/>
  <c r="AF1693" i="19" s="1"/>
  <c r="AC1691" i="19"/>
  <c r="AD1691" i="19" s="1"/>
  <c r="AC1692" i="19"/>
  <c r="AF1692" i="19" s="1"/>
  <c r="AC1694" i="19"/>
  <c r="AF1694" i="19" s="1"/>
  <c r="AC1689" i="19"/>
  <c r="AD1689" i="19" s="1"/>
  <c r="AC1690" i="19"/>
  <c r="AE1690" i="19" s="1"/>
  <c r="AC1684" i="19"/>
  <c r="AD1684" i="19" s="1"/>
  <c r="AD1659" i="19"/>
  <c r="AD1664" i="19"/>
  <c r="AC1680" i="19"/>
  <c r="AD1680" i="19" s="1"/>
  <c r="AC1681" i="19"/>
  <c r="AF1695" i="19"/>
  <c r="AF1697" i="19"/>
  <c r="AC1682" i="19"/>
  <c r="AF1682" i="19" s="1"/>
  <c r="AD1698" i="19"/>
  <c r="AC1747" i="19"/>
  <c r="AE1747" i="19" s="1"/>
  <c r="AC1704" i="19"/>
  <c r="AD1704" i="19" s="1"/>
  <c r="AC1705" i="19"/>
  <c r="AC1706" i="19"/>
  <c r="AF1706" i="19" s="1"/>
  <c r="AC1714" i="19"/>
  <c r="AD1714" i="19" s="1"/>
  <c r="AC1707" i="19"/>
  <c r="AF1707" i="19" s="1"/>
  <c r="AC1711" i="19"/>
  <c r="AF1711" i="19" s="1"/>
  <c r="AC1712" i="19"/>
  <c r="AD1712" i="19" s="1"/>
  <c r="AC1713" i="19"/>
  <c r="AE1713" i="19" s="1"/>
  <c r="AD1699" i="19"/>
  <c r="AC2353" i="19"/>
  <c r="AF2353" i="19" s="1"/>
  <c r="AC2352" i="19"/>
  <c r="AF2352" i="19" s="1"/>
  <c r="AC1843" i="19"/>
  <c r="AD1843" i="19" s="1"/>
  <c r="AC1841" i="19"/>
  <c r="AE1841" i="19" s="1"/>
  <c r="AC1842" i="19"/>
  <c r="AC1839" i="19"/>
  <c r="AF1839" i="19" s="1"/>
  <c r="AC1715" i="19"/>
  <c r="AC1488" i="19"/>
  <c r="AF1488" i="19" s="1"/>
  <c r="AG1488" i="19"/>
  <c r="S1489" i="19"/>
  <c r="AG1489" i="19"/>
  <c r="L1489" i="19"/>
  <c r="J1521" i="19"/>
  <c r="F1521" i="19" s="1"/>
  <c r="L1521" i="19"/>
  <c r="V1521" i="19"/>
  <c r="W1521" i="19" s="1"/>
  <c r="Y1521" i="19"/>
  <c r="J1520" i="19"/>
  <c r="F1520" i="19" s="1"/>
  <c r="L1520" i="19"/>
  <c r="V1520" i="19"/>
  <c r="W1520" i="19" s="1"/>
  <c r="Y1520" i="19"/>
  <c r="J1517" i="19"/>
  <c r="F1517" i="19" s="1"/>
  <c r="L1517" i="19"/>
  <c r="V1517" i="19"/>
  <c r="W1517" i="19" s="1"/>
  <c r="Y1517" i="19"/>
  <c r="J1518" i="19"/>
  <c r="F1518" i="19" s="1"/>
  <c r="L1518" i="19"/>
  <c r="V1518" i="19"/>
  <c r="W1518" i="19" s="1"/>
  <c r="Y1518" i="19"/>
  <c r="J1519" i="19"/>
  <c r="F1519" i="19" s="1"/>
  <c r="L1519" i="19"/>
  <c r="S1519" i="19"/>
  <c r="V1519" i="19"/>
  <c r="Y1519" i="19"/>
  <c r="J1513" i="19"/>
  <c r="F1513" i="19" s="1"/>
  <c r="L1513" i="19"/>
  <c r="V1513" i="19"/>
  <c r="W1513" i="19" s="1"/>
  <c r="Y1513" i="19"/>
  <c r="J1514" i="19"/>
  <c r="F1514" i="19" s="1"/>
  <c r="L1514" i="19"/>
  <c r="V1514" i="19"/>
  <c r="W1514" i="19" s="1"/>
  <c r="Y1514" i="19"/>
  <c r="J1509" i="19"/>
  <c r="F1509" i="19" s="1"/>
  <c r="L1509" i="19"/>
  <c r="V1509" i="19"/>
  <c r="W1509" i="19" s="1"/>
  <c r="Y1509" i="19"/>
  <c r="J1508" i="19"/>
  <c r="F1508" i="19" s="1"/>
  <c r="L1508" i="19"/>
  <c r="V1508" i="19"/>
  <c r="W1508" i="19" s="1"/>
  <c r="Y1508" i="19"/>
  <c r="J1512" i="19"/>
  <c r="F1512" i="19" s="1"/>
  <c r="L1512" i="19"/>
  <c r="S1512" i="19"/>
  <c r="V1512" i="19"/>
  <c r="Y1512" i="19"/>
  <c r="J1511" i="19"/>
  <c r="F1511" i="19" s="1"/>
  <c r="L1511" i="19"/>
  <c r="S1511" i="19"/>
  <c r="V1511" i="19"/>
  <c r="W1511" i="19" s="1"/>
  <c r="Y1511" i="19"/>
  <c r="J1510" i="19"/>
  <c r="F1510" i="19" s="1"/>
  <c r="L1510" i="19"/>
  <c r="V1510" i="19"/>
  <c r="W1510" i="19" s="1"/>
  <c r="Y1510" i="19"/>
  <c r="F1617" i="19"/>
  <c r="F1618" i="19"/>
  <c r="F1619" i="19"/>
  <c r="F1621" i="19"/>
  <c r="F1616" i="19"/>
  <c r="J1524" i="19"/>
  <c r="F1524" i="19" s="1"/>
  <c r="L1524" i="19"/>
  <c r="S1524" i="19"/>
  <c r="V1524" i="19"/>
  <c r="W1524" i="19" s="1"/>
  <c r="Y1524" i="19"/>
  <c r="F1558" i="19"/>
  <c r="L1558" i="19"/>
  <c r="S1558" i="19"/>
  <c r="V1558" i="19"/>
  <c r="W1558" i="19" s="1"/>
  <c r="Y1558" i="19"/>
  <c r="J1557" i="19"/>
  <c r="F1557" i="19" s="1"/>
  <c r="L1557" i="19"/>
  <c r="S1557" i="19"/>
  <c r="V1557" i="19"/>
  <c r="W1557" i="19" s="1"/>
  <c r="Y1557" i="19"/>
  <c r="J1522" i="19"/>
  <c r="F1522" i="19" s="1"/>
  <c r="L1522" i="19"/>
  <c r="S1522" i="19"/>
  <c r="V1522" i="19"/>
  <c r="W1522" i="19" s="1"/>
  <c r="Y1522" i="19"/>
  <c r="J1523" i="19"/>
  <c r="L1523" i="19"/>
  <c r="S1523" i="19"/>
  <c r="V1523" i="19"/>
  <c r="W1523" i="19" s="1"/>
  <c r="Y1523" i="19"/>
  <c r="L1559" i="19"/>
  <c r="S1559" i="19"/>
  <c r="V1559" i="19"/>
  <c r="W1559" i="19" s="1"/>
  <c r="Y1559" i="19"/>
  <c r="S1525" i="19"/>
  <c r="V1525" i="19"/>
  <c r="W1525" i="19" s="1"/>
  <c r="Y1525" i="19"/>
  <c r="J1550" i="19"/>
  <c r="F1550" i="19" s="1"/>
  <c r="L1550" i="19"/>
  <c r="S1550" i="19"/>
  <c r="V1550" i="19"/>
  <c r="W1550" i="19" s="1"/>
  <c r="Y1550" i="19"/>
  <c r="J1553" i="19"/>
  <c r="F1553" i="19" s="1"/>
  <c r="L1553" i="19"/>
  <c r="S1553" i="19"/>
  <c r="V1553" i="19"/>
  <c r="W1553" i="19" s="1"/>
  <c r="Y1553" i="19"/>
  <c r="J1551" i="19"/>
  <c r="F1551" i="19" s="1"/>
  <c r="L1551" i="19"/>
  <c r="S1551" i="19"/>
  <c r="V1551" i="19"/>
  <c r="W1551" i="19" s="1"/>
  <c r="Y1551" i="19"/>
  <c r="J1552" i="19"/>
  <c r="F1552" i="19" s="1"/>
  <c r="L1552" i="19"/>
  <c r="S1552" i="19"/>
  <c r="V1552" i="19"/>
  <c r="W1552" i="19" s="1"/>
  <c r="Y1552" i="19"/>
  <c r="J1549" i="19"/>
  <c r="F1549" i="19" s="1"/>
  <c r="L1549" i="19"/>
  <c r="S1549" i="19"/>
  <c r="V1549" i="19"/>
  <c r="W1549" i="19" s="1"/>
  <c r="Y1549" i="19"/>
  <c r="S1537" i="19"/>
  <c r="V1537" i="19"/>
  <c r="W1537" i="19" s="1"/>
  <c r="Y1537" i="19"/>
  <c r="J1544" i="19"/>
  <c r="L1544" i="19"/>
  <c r="S1544" i="19"/>
  <c r="V1544" i="19"/>
  <c r="W1544" i="19" s="1"/>
  <c r="Y1544" i="19"/>
  <c r="J1539" i="19"/>
  <c r="L1539" i="19"/>
  <c r="S1539" i="19"/>
  <c r="V1539" i="19"/>
  <c r="W1539" i="19" s="1"/>
  <c r="Y1539" i="19"/>
  <c r="J1540" i="19"/>
  <c r="F1540" i="19" s="1"/>
  <c r="L1540" i="19"/>
  <c r="S1540" i="19"/>
  <c r="V1540" i="19"/>
  <c r="W1540" i="19" s="1"/>
  <c r="Y1540" i="19"/>
  <c r="J1538" i="19"/>
  <c r="F1538" i="19" s="1"/>
  <c r="L1538" i="19"/>
  <c r="S1538" i="19"/>
  <c r="V1538" i="19"/>
  <c r="W1538" i="19" s="1"/>
  <c r="Y1538" i="19"/>
  <c r="J1541" i="19"/>
  <c r="F1541" i="19" s="1"/>
  <c r="L1541" i="19"/>
  <c r="S1541" i="19"/>
  <c r="V1541" i="19"/>
  <c r="W1541" i="19" s="1"/>
  <c r="Y1541" i="19"/>
  <c r="J1542" i="19"/>
  <c r="F1542" i="19" s="1"/>
  <c r="L1542" i="19"/>
  <c r="S1542" i="19"/>
  <c r="V1542" i="19"/>
  <c r="W1542" i="19" s="1"/>
  <c r="Y1542" i="19"/>
  <c r="J1543" i="19"/>
  <c r="F1543" i="19" s="1"/>
  <c r="L1543" i="19"/>
  <c r="S1543" i="19"/>
  <c r="V1543" i="19"/>
  <c r="W1543" i="19" s="1"/>
  <c r="Y1543" i="19"/>
  <c r="J1591" i="19"/>
  <c r="F1591" i="19" s="1"/>
  <c r="L1591" i="19"/>
  <c r="V1591" i="19"/>
  <c r="W1591" i="19" s="1"/>
  <c r="J1592" i="19"/>
  <c r="F1592" i="19" s="1"/>
  <c r="L1592" i="19"/>
  <c r="V1592" i="19"/>
  <c r="W1592" i="19" s="1"/>
  <c r="Y1592" i="19"/>
  <c r="J1554" i="19"/>
  <c r="L1554" i="19"/>
  <c r="S1554" i="19"/>
  <c r="V1554" i="19"/>
  <c r="W1554" i="19" s="1"/>
  <c r="Y1554" i="19"/>
  <c r="J2341" i="19"/>
  <c r="F2341" i="19" s="1"/>
  <c r="L2341" i="19"/>
  <c r="V2341" i="19"/>
  <c r="W2341" i="19" s="1"/>
  <c r="Y2341" i="19"/>
  <c r="J2340" i="19"/>
  <c r="L2340" i="19"/>
  <c r="S2340" i="19"/>
  <c r="V2340" i="19"/>
  <c r="W2340" i="19" s="1"/>
  <c r="Y2340" i="19"/>
  <c r="J1555" i="19"/>
  <c r="F1555" i="19" s="1"/>
  <c r="L1555" i="19"/>
  <c r="S1555" i="19"/>
  <c r="V1555" i="19"/>
  <c r="W1555" i="19" s="1"/>
  <c r="Y1555" i="19"/>
  <c r="J1569" i="19"/>
  <c r="F1569" i="19" s="1"/>
  <c r="L1569" i="19"/>
  <c r="S1569" i="19"/>
  <c r="V1569" i="19"/>
  <c r="W1569" i="19" s="1"/>
  <c r="Y1569" i="19"/>
  <c r="J1570" i="19"/>
  <c r="L1570" i="19"/>
  <c r="S1570" i="19"/>
  <c r="V1570" i="19"/>
  <c r="W1570" i="19" s="1"/>
  <c r="Y1570" i="19"/>
  <c r="J1571" i="19"/>
  <c r="F1571" i="19" s="1"/>
  <c r="L1571" i="19"/>
  <c r="S1571" i="19"/>
  <c r="V1571" i="19"/>
  <c r="W1571" i="19" s="1"/>
  <c r="Y1571" i="19"/>
  <c r="J1572" i="19"/>
  <c r="F1572" i="19" s="1"/>
  <c r="L1572" i="19"/>
  <c r="S1572" i="19"/>
  <c r="V1572" i="19"/>
  <c r="W1572" i="19" s="1"/>
  <c r="Y1572" i="19"/>
  <c r="J1580" i="19"/>
  <c r="F1580" i="19" s="1"/>
  <c r="L1580" i="19"/>
  <c r="S1580" i="19"/>
  <c r="V1580" i="19"/>
  <c r="W1580" i="19" s="1"/>
  <c r="Y1580" i="19"/>
  <c r="J1573" i="19"/>
  <c r="F1573" i="19" s="1"/>
  <c r="L1573" i="19"/>
  <c r="S1573" i="19"/>
  <c r="V1573" i="19"/>
  <c r="W1573" i="19" s="1"/>
  <c r="Y1573" i="19"/>
  <c r="J1574" i="19"/>
  <c r="F1574" i="19" s="1"/>
  <c r="L1574" i="19"/>
  <c r="S1574" i="19"/>
  <c r="V1574" i="19"/>
  <c r="W1574" i="19" s="1"/>
  <c r="Y1574" i="19"/>
  <c r="J1575" i="19"/>
  <c r="F1575" i="19" s="1"/>
  <c r="L1575" i="19"/>
  <c r="S1575" i="19"/>
  <c r="V1575" i="19"/>
  <c r="W1575" i="19" s="1"/>
  <c r="Y1575" i="19"/>
  <c r="J1576" i="19"/>
  <c r="F1576" i="19" s="1"/>
  <c r="L1576" i="19"/>
  <c r="S1576" i="19"/>
  <c r="V1576" i="19"/>
  <c r="W1576" i="19" s="1"/>
  <c r="Y1576" i="19"/>
  <c r="J1577" i="19"/>
  <c r="F1577" i="19" s="1"/>
  <c r="L1577" i="19"/>
  <c r="S1577" i="19"/>
  <c r="V1577" i="19"/>
  <c r="W1577" i="19" s="1"/>
  <c r="Y1577" i="19"/>
  <c r="J1578" i="19"/>
  <c r="F1578" i="19" s="1"/>
  <c r="L1578" i="19"/>
  <c r="S1578" i="19"/>
  <c r="V1578" i="19"/>
  <c r="W1578" i="19" s="1"/>
  <c r="Y1578" i="19"/>
  <c r="J1579" i="19"/>
  <c r="F1579" i="19" s="1"/>
  <c r="L1579" i="19"/>
  <c r="S1579" i="19"/>
  <c r="V1579" i="19"/>
  <c r="W1579" i="19" s="1"/>
  <c r="Y1579" i="19"/>
  <c r="F1584" i="19"/>
  <c r="L1584" i="19"/>
  <c r="V1584" i="19"/>
  <c r="W1584" i="19" s="1"/>
  <c r="Y1584" i="19"/>
  <c r="J1583" i="19"/>
  <c r="F1583" i="19" s="1"/>
  <c r="L1583" i="19"/>
  <c r="S1583" i="19"/>
  <c r="V1583" i="19"/>
  <c r="W1583" i="19" s="1"/>
  <c r="Y1583" i="19"/>
  <c r="J1582" i="19"/>
  <c r="F1582" i="19" s="1"/>
  <c r="L1582" i="19"/>
  <c r="S1582" i="19"/>
  <c r="V1582" i="19"/>
  <c r="W1582" i="19" s="1"/>
  <c r="Y1582" i="19"/>
  <c r="J1581" i="19"/>
  <c r="F1581" i="19" s="1"/>
  <c r="L1581" i="19"/>
  <c r="S1581" i="19"/>
  <c r="V1581" i="19"/>
  <c r="W1581" i="19" s="1"/>
  <c r="Y1581" i="19"/>
  <c r="J1564" i="19"/>
  <c r="F1564" i="19" s="1"/>
  <c r="L1564" i="19"/>
  <c r="S1564" i="19"/>
  <c r="V1564" i="19"/>
  <c r="W1564" i="19" s="1"/>
  <c r="Y1564" i="19"/>
  <c r="J1565" i="19"/>
  <c r="F1565" i="19" s="1"/>
  <c r="L1565" i="19"/>
  <c r="X1565" i="19"/>
  <c r="J1563" i="19"/>
  <c r="F1563" i="19" s="1"/>
  <c r="L1563" i="19"/>
  <c r="X1563" i="19"/>
  <c r="J1562" i="19"/>
  <c r="F1562" i="19" s="1"/>
  <c r="L1562" i="19"/>
  <c r="X1562" i="19"/>
  <c r="J1561" i="19"/>
  <c r="F1561" i="19" s="1"/>
  <c r="L1561" i="19"/>
  <c r="X1561" i="19"/>
  <c r="J1560" i="19"/>
  <c r="F1560" i="19" s="1"/>
  <c r="L1560" i="19"/>
  <c r="S1560" i="19"/>
  <c r="V1560" i="19"/>
  <c r="W1560" i="19" s="1"/>
  <c r="Y1560" i="19"/>
  <c r="J1567" i="19"/>
  <c r="F1567" i="19" s="1"/>
  <c r="L1567" i="19"/>
  <c r="S1567" i="19"/>
  <c r="V1567" i="19"/>
  <c r="W1567" i="19" s="1"/>
  <c r="Y1567" i="19"/>
  <c r="J1566" i="19"/>
  <c r="F1566" i="19" s="1"/>
  <c r="L1566" i="19"/>
  <c r="S1566" i="19"/>
  <c r="V1566" i="19"/>
  <c r="W1566" i="19" s="1"/>
  <c r="Y1566" i="19"/>
  <c r="J1568" i="19"/>
  <c r="F1568" i="19" s="1"/>
  <c r="L1568" i="19"/>
  <c r="S1568" i="19"/>
  <c r="V1568" i="19"/>
  <c r="W1568" i="19" s="1"/>
  <c r="Y1568" i="19"/>
  <c r="J1588" i="19"/>
  <c r="F1588" i="19" s="1"/>
  <c r="L1588" i="19"/>
  <c r="V1588" i="19"/>
  <c r="W1588" i="19" s="1"/>
  <c r="Y1588" i="19"/>
  <c r="J1589" i="19"/>
  <c r="L1589" i="19"/>
  <c r="V1589" i="19"/>
  <c r="W1589" i="19" s="1"/>
  <c r="Y1589" i="19"/>
  <c r="J1590" i="19"/>
  <c r="L1590" i="19"/>
  <c r="V1590" i="19"/>
  <c r="W1590" i="19" s="1"/>
  <c r="Y1590" i="19"/>
  <c r="J1587" i="19"/>
  <c r="F1587" i="19" s="1"/>
  <c r="L1587" i="19"/>
  <c r="V1587" i="19"/>
  <c r="W1587" i="19" s="1"/>
  <c r="Y1587" i="19"/>
  <c r="J1585" i="19"/>
  <c r="F1585" i="19" s="1"/>
  <c r="L1585" i="19"/>
  <c r="V1585" i="19"/>
  <c r="W1585" i="19" s="1"/>
  <c r="Y1585" i="19"/>
  <c r="J1586" i="19"/>
  <c r="F1586" i="19" s="1"/>
  <c r="L1586" i="19"/>
  <c r="V1586" i="19"/>
  <c r="W1586" i="19" s="1"/>
  <c r="Y1586" i="19"/>
  <c r="J1600" i="19"/>
  <c r="L1600" i="19"/>
  <c r="V1600" i="19"/>
  <c r="W1600" i="19" s="1"/>
  <c r="Y1600" i="19"/>
  <c r="J1593" i="19"/>
  <c r="F1593" i="19" s="1"/>
  <c r="L1593" i="19"/>
  <c r="V1593" i="19"/>
  <c r="W1593" i="19" s="1"/>
  <c r="Y1593" i="19"/>
  <c r="J1594" i="19"/>
  <c r="L1594" i="19"/>
  <c r="V1594" i="19"/>
  <c r="W1594" i="19" s="1"/>
  <c r="Y1594" i="19"/>
  <c r="J1597" i="19"/>
  <c r="F1597" i="19" s="1"/>
  <c r="L1597" i="19"/>
  <c r="V1597" i="19"/>
  <c r="W1597" i="19" s="1"/>
  <c r="Y1597" i="19"/>
  <c r="J1596" i="19"/>
  <c r="F1596" i="19" s="1"/>
  <c r="L1596" i="19"/>
  <c r="V1596" i="19"/>
  <c r="W1596" i="19" s="1"/>
  <c r="Y1596" i="19"/>
  <c r="J1595" i="19"/>
  <c r="F1595" i="19" s="1"/>
  <c r="L1595" i="19"/>
  <c r="V1595" i="19"/>
  <c r="W1595" i="19" s="1"/>
  <c r="Y1595" i="19"/>
  <c r="J1598" i="19"/>
  <c r="F1598" i="19" s="1"/>
  <c r="L1598" i="19"/>
  <c r="V1598" i="19"/>
  <c r="W1598" i="19" s="1"/>
  <c r="Y1598" i="19"/>
  <c r="J1601" i="19"/>
  <c r="F1601" i="19" s="1"/>
  <c r="L1601" i="19"/>
  <c r="V1601" i="19"/>
  <c r="W1601" i="19" s="1"/>
  <c r="Y1601" i="19"/>
  <c r="L1599" i="19"/>
  <c r="V1599" i="19"/>
  <c r="W1599" i="19" s="1"/>
  <c r="Y1599" i="19"/>
  <c r="J1603" i="19"/>
  <c r="F1603" i="19" s="1"/>
  <c r="L1603" i="19"/>
  <c r="V1603" i="19"/>
  <c r="W1603" i="19" s="1"/>
  <c r="Y1603" i="19"/>
  <c r="J1602" i="19"/>
  <c r="F1602" i="19" s="1"/>
  <c r="L1602" i="19"/>
  <c r="V1602" i="19"/>
  <c r="W1602" i="19" s="1"/>
  <c r="Y1602" i="19"/>
  <c r="J1607" i="19"/>
  <c r="F1607" i="19" s="1"/>
  <c r="L1607" i="19"/>
  <c r="V1607" i="19"/>
  <c r="W1607" i="19" s="1"/>
  <c r="Y1607" i="19"/>
  <c r="J1606" i="19"/>
  <c r="F1606" i="19" s="1"/>
  <c r="L1606" i="19"/>
  <c r="V1606" i="19"/>
  <c r="W1606" i="19" s="1"/>
  <c r="Y1606" i="19"/>
  <c r="J1605" i="19"/>
  <c r="F1605" i="19" s="1"/>
  <c r="L1605" i="19"/>
  <c r="V1605" i="19"/>
  <c r="W1605" i="19" s="1"/>
  <c r="Y1605" i="19"/>
  <c r="J1604" i="19"/>
  <c r="F1604" i="19" s="1"/>
  <c r="L1604" i="19"/>
  <c r="V1604" i="19"/>
  <c r="W1604" i="19" s="1"/>
  <c r="Y1604" i="19"/>
  <c r="J1612" i="19"/>
  <c r="F1612" i="19" s="1"/>
  <c r="L1612" i="19"/>
  <c r="V1612" i="19"/>
  <c r="W1612" i="19" s="1"/>
  <c r="Y1612" i="19"/>
  <c r="J1610" i="19"/>
  <c r="F1610" i="19" s="1"/>
  <c r="L1610" i="19"/>
  <c r="V1610" i="19"/>
  <c r="W1610" i="19" s="1"/>
  <c r="Y1610" i="19"/>
  <c r="J1609" i="19"/>
  <c r="F1609" i="19" s="1"/>
  <c r="L1609" i="19"/>
  <c r="V1609" i="19"/>
  <c r="W1609" i="19" s="1"/>
  <c r="Y1609" i="19"/>
  <c r="J1611" i="19"/>
  <c r="L1611" i="19"/>
  <c r="V1611" i="19"/>
  <c r="W1611" i="19" s="1"/>
  <c r="Y1611" i="19"/>
  <c r="J1614" i="19"/>
  <c r="F1614" i="19" s="1"/>
  <c r="L1614" i="19"/>
  <c r="V1614" i="19"/>
  <c r="W1614" i="19" s="1"/>
  <c r="Y1614" i="19"/>
  <c r="J1646" i="19"/>
  <c r="L1646" i="19"/>
  <c r="V1646" i="19"/>
  <c r="W1646" i="19" s="1"/>
  <c r="Y1646" i="19"/>
  <c r="F1615" i="19"/>
  <c r="L1615" i="19"/>
  <c r="V1615" i="19"/>
  <c r="W1615" i="19" s="1"/>
  <c r="Y1615" i="19"/>
  <c r="J1608" i="19"/>
  <c r="F1608" i="19" s="1"/>
  <c r="L1608" i="19"/>
  <c r="X1608" i="19"/>
  <c r="V1608" i="19"/>
  <c r="W1608" i="19" s="1"/>
  <c r="Y1608" i="19"/>
  <c r="J1742" i="19"/>
  <c r="L1742" i="19"/>
  <c r="V1742" i="19"/>
  <c r="W1742" i="19" s="1"/>
  <c r="Y1742" i="19"/>
  <c r="J1741" i="19"/>
  <c r="L1741" i="19"/>
  <c r="V1741" i="19"/>
  <c r="W1741" i="19" s="1"/>
  <c r="Y1741" i="19"/>
  <c r="J1743" i="19"/>
  <c r="L1743" i="19"/>
  <c r="V1743" i="19"/>
  <c r="W1743" i="19" s="1"/>
  <c r="Y1743" i="19"/>
  <c r="J1730" i="19"/>
  <c r="F1730" i="19" s="1"/>
  <c r="L1730" i="19"/>
  <c r="V1730" i="19"/>
  <c r="W1730" i="19" s="1"/>
  <c r="Y1730" i="19"/>
  <c r="J1731" i="19"/>
  <c r="L1731" i="19"/>
  <c r="AA1731" i="19" a="1"/>
  <c r="AA1731" i="19" s="1"/>
  <c r="X1731" i="19" s="1"/>
  <c r="S1731" i="19"/>
  <c r="V1731" i="19"/>
  <c r="W1731" i="19" s="1"/>
  <c r="Y1731" i="19"/>
  <c r="J1751" i="19"/>
  <c r="AA1751" i="19" a="1"/>
  <c r="AA1751" i="19" s="1"/>
  <c r="X1751" i="19" s="1"/>
  <c r="V1751" i="19"/>
  <c r="W1751" i="19" s="1"/>
  <c r="Y1751" i="19"/>
  <c r="J1627" i="19"/>
  <c r="F1627" i="19" s="1"/>
  <c r="L1627" i="19"/>
  <c r="S1627" i="19"/>
  <c r="V1627" i="19"/>
  <c r="W1627" i="19" s="1"/>
  <c r="Y1627" i="19"/>
  <c r="J1628" i="19"/>
  <c r="F1628" i="19" s="1"/>
  <c r="L1628" i="19"/>
  <c r="S1628" i="19"/>
  <c r="V1628" i="19"/>
  <c r="W1628" i="19" s="1"/>
  <c r="Y1628" i="19"/>
  <c r="J1629" i="19"/>
  <c r="F1629" i="19" s="1"/>
  <c r="L1629" i="19"/>
  <c r="S1629" i="19"/>
  <c r="V1629" i="19"/>
  <c r="W1629" i="19" s="1"/>
  <c r="Y1629" i="19"/>
  <c r="J2350" i="19"/>
  <c r="F2350" i="19" s="1"/>
  <c r="L2350" i="19"/>
  <c r="S2350" i="19"/>
  <c r="V2350" i="19"/>
  <c r="W2350" i="19" s="1"/>
  <c r="Y2350" i="19"/>
  <c r="J2351" i="19"/>
  <c r="F2351" i="19" s="1"/>
  <c r="L2351" i="19"/>
  <c r="S2351" i="19"/>
  <c r="V2351" i="19"/>
  <c r="W2351" i="19" s="1"/>
  <c r="Y2351" i="19"/>
  <c r="J1623" i="19"/>
  <c r="F1623" i="19" s="1"/>
  <c r="L1623" i="19"/>
  <c r="V1623" i="19"/>
  <c r="W1623" i="19" s="1"/>
  <c r="Y1623" i="19"/>
  <c r="J1624" i="19"/>
  <c r="F1624" i="19" s="1"/>
  <c r="L1624" i="19"/>
  <c r="V1624" i="19"/>
  <c r="W1624" i="19" s="1"/>
  <c r="Y1624" i="19"/>
  <c r="J1625" i="19"/>
  <c r="L1625" i="19"/>
  <c r="V1625" i="19"/>
  <c r="W1625" i="19" s="1"/>
  <c r="Y1625" i="19"/>
  <c r="J1633" i="19"/>
  <c r="L1633" i="19"/>
  <c r="V1633" i="19"/>
  <c r="W1633" i="19" s="1"/>
  <c r="Y1633" i="19"/>
  <c r="J1635" i="19"/>
  <c r="L1635" i="19"/>
  <c r="V1635" i="19"/>
  <c r="W1635" i="19" s="1"/>
  <c r="Y1635" i="19"/>
  <c r="J1631" i="19"/>
  <c r="F1631" i="19" s="1"/>
  <c r="L1631" i="19"/>
  <c r="V1631" i="19"/>
  <c r="W1631" i="19" s="1"/>
  <c r="Y1631" i="19"/>
  <c r="J1636" i="19"/>
  <c r="F1636" i="19" s="1"/>
  <c r="L1636" i="19"/>
  <c r="V1636" i="19"/>
  <c r="W1636" i="19" s="1"/>
  <c r="Y1636" i="19"/>
  <c r="J1632" i="19"/>
  <c r="F1632" i="19" s="1"/>
  <c r="L1632" i="19"/>
  <c r="V1632" i="19"/>
  <c r="W1632" i="19" s="1"/>
  <c r="Y1632" i="19"/>
  <c r="J1634" i="19"/>
  <c r="L1634" i="19"/>
  <c r="V1634" i="19"/>
  <c r="W1634" i="19" s="1"/>
  <c r="Y1634" i="19"/>
  <c r="J1630" i="19"/>
  <c r="F1630" i="19" s="1"/>
  <c r="L1630" i="19"/>
  <c r="S1630" i="19"/>
  <c r="V1630" i="19"/>
  <c r="W1630" i="19" s="1"/>
  <c r="Y1630" i="19"/>
  <c r="J1640" i="19"/>
  <c r="L1640" i="19"/>
  <c r="V1640" i="19"/>
  <c r="W1640" i="19" s="1"/>
  <c r="Y1640" i="19"/>
  <c r="J1637" i="19"/>
  <c r="F1637" i="19" s="1"/>
  <c r="L1637" i="19"/>
  <c r="V1637" i="19"/>
  <c r="W1637" i="19" s="1"/>
  <c r="Y1637" i="19"/>
  <c r="J1641" i="19"/>
  <c r="L1641" i="19"/>
  <c r="V1641" i="19"/>
  <c r="W1641" i="19" s="1"/>
  <c r="Y1641" i="19"/>
  <c r="J1639" i="19"/>
  <c r="F1639" i="19" s="1"/>
  <c r="L1639" i="19"/>
  <c r="V1639" i="19"/>
  <c r="W1639" i="19" s="1"/>
  <c r="Y1639" i="19"/>
  <c r="J1638" i="19"/>
  <c r="F1638" i="19" s="1"/>
  <c r="L1638" i="19"/>
  <c r="V1638" i="19"/>
  <c r="W1638" i="19" s="1"/>
  <c r="Y1638" i="19"/>
  <c r="J1643" i="19"/>
  <c r="F1643" i="19" s="1"/>
  <c r="L1643" i="19"/>
  <c r="S1643" i="19"/>
  <c r="V1643" i="19"/>
  <c r="W1643" i="19" s="1"/>
  <c r="Y1643" i="19"/>
  <c r="J1613" i="19"/>
  <c r="F1613" i="19" s="1"/>
  <c r="L1613" i="19"/>
  <c r="S1613" i="19"/>
  <c r="V1613" i="19"/>
  <c r="W1613" i="19" s="1"/>
  <c r="Y1613" i="19"/>
  <c r="J1642" i="19"/>
  <c r="F1642" i="19" s="1"/>
  <c r="L1642" i="19"/>
  <c r="S1642" i="19"/>
  <c r="V1642" i="19"/>
  <c r="W1642" i="19" s="1"/>
  <c r="Y1642" i="19"/>
  <c r="J1752" i="19"/>
  <c r="F1752" i="19" s="1"/>
  <c r="L1752" i="19"/>
  <c r="S1752" i="19"/>
  <c r="V1752" i="19"/>
  <c r="W1752" i="19" s="1"/>
  <c r="Y1752" i="19"/>
  <c r="J1644" i="19"/>
  <c r="L1644" i="19"/>
  <c r="S1644" i="19"/>
  <c r="V1644" i="19"/>
  <c r="W1644" i="19" s="1"/>
  <c r="J1746" i="19"/>
  <c r="L1746" i="19"/>
  <c r="V1746" i="19"/>
  <c r="W1746" i="19" s="1"/>
  <c r="Y1746" i="19"/>
  <c r="J1745" i="19"/>
  <c r="L1745" i="19"/>
  <c r="V1745" i="19"/>
  <c r="W1745" i="19" s="1"/>
  <c r="Y1745" i="19"/>
  <c r="J1688" i="19"/>
  <c r="F1688" i="19" s="1"/>
  <c r="L1688" i="19"/>
  <c r="V1688" i="19"/>
  <c r="W1688" i="19" s="1"/>
  <c r="Y1688" i="19"/>
  <c r="J1683" i="19"/>
  <c r="F1683" i="19" s="1"/>
  <c r="L1683" i="19"/>
  <c r="V1683" i="19"/>
  <c r="W1683" i="19" s="1"/>
  <c r="Y1683" i="19"/>
  <c r="J1686" i="19"/>
  <c r="L1686" i="19"/>
  <c r="V1686" i="19"/>
  <c r="W1686" i="19" s="1"/>
  <c r="Y1686" i="19"/>
  <c r="J1687" i="19"/>
  <c r="L1687" i="19"/>
  <c r="V1687" i="19"/>
  <c r="W1687" i="19" s="1"/>
  <c r="Y1687" i="19"/>
  <c r="J1685" i="19"/>
  <c r="L1685" i="19"/>
  <c r="V1685" i="19"/>
  <c r="W1685" i="19" s="1"/>
  <c r="Y1685" i="19"/>
  <c r="J1693" i="19"/>
  <c r="F1693" i="19" s="1"/>
  <c r="L1693" i="19"/>
  <c r="V1693" i="19"/>
  <c r="W1693" i="19" s="1"/>
  <c r="Y1693" i="19"/>
  <c r="J1691" i="19"/>
  <c r="L1691" i="19"/>
  <c r="V1691" i="19"/>
  <c r="W1691" i="19" s="1"/>
  <c r="Y1691" i="19"/>
  <c r="J1692" i="19"/>
  <c r="F1692" i="19" s="1"/>
  <c r="L1692" i="19"/>
  <c r="V1692" i="19"/>
  <c r="W1692" i="19" s="1"/>
  <c r="Y1692" i="19"/>
  <c r="J1694" i="19"/>
  <c r="F1694" i="19" s="1"/>
  <c r="L1694" i="19"/>
  <c r="V1694" i="19"/>
  <c r="W1694" i="19" s="1"/>
  <c r="Y1694" i="19"/>
  <c r="J1689" i="19"/>
  <c r="F1689" i="19" s="1"/>
  <c r="L1689" i="19"/>
  <c r="V1689" i="19"/>
  <c r="W1689" i="19" s="1"/>
  <c r="Y1689" i="19"/>
  <c r="J1690" i="19"/>
  <c r="F1690" i="19" s="1"/>
  <c r="L1690" i="19"/>
  <c r="V1690" i="19"/>
  <c r="W1690" i="19" s="1"/>
  <c r="Y1690" i="19"/>
  <c r="J1684" i="19"/>
  <c r="F1684" i="19" s="1"/>
  <c r="L1684" i="19"/>
  <c r="V1684" i="19"/>
  <c r="W1684" i="19" s="1"/>
  <c r="Y1684" i="19"/>
  <c r="J1649" i="19"/>
  <c r="F1649" i="19" s="1"/>
  <c r="L1649" i="19"/>
  <c r="V1649" i="19"/>
  <c r="W1649" i="19" s="1"/>
  <c r="Y1649" i="19"/>
  <c r="J1647" i="19"/>
  <c r="L1647" i="19"/>
  <c r="V1647" i="19"/>
  <c r="W1647" i="19" s="1"/>
  <c r="Y1647" i="19"/>
  <c r="J1648" i="19"/>
  <c r="F1648" i="19" s="1"/>
  <c r="L1648" i="19"/>
  <c r="V1648" i="19"/>
  <c r="W1648" i="19" s="1"/>
  <c r="Y1648" i="19"/>
  <c r="J1656" i="19"/>
  <c r="F1656" i="19" s="1"/>
  <c r="L1656" i="19"/>
  <c r="V1656" i="19"/>
  <c r="W1656" i="19" s="1"/>
  <c r="Y1656" i="19"/>
  <c r="J1650" i="19"/>
  <c r="F1650" i="19" s="1"/>
  <c r="L1650" i="19"/>
  <c r="V1650" i="19"/>
  <c r="W1650" i="19" s="1"/>
  <c r="Y1650" i="19"/>
  <c r="J1655" i="19"/>
  <c r="F1655" i="19" s="1"/>
  <c r="L1655" i="19"/>
  <c r="V1655" i="19"/>
  <c r="W1655" i="19" s="1"/>
  <c r="Y1655" i="19"/>
  <c r="J1657" i="19"/>
  <c r="F1657" i="19" s="1"/>
  <c r="L1657" i="19"/>
  <c r="V1657" i="19"/>
  <c r="W1657" i="19" s="1"/>
  <c r="Y1657" i="19"/>
  <c r="J1654" i="19"/>
  <c r="F1654" i="19" s="1"/>
  <c r="L1654" i="19"/>
  <c r="V1654" i="19"/>
  <c r="W1654" i="19" s="1"/>
  <c r="Y1654" i="19"/>
  <c r="J1652" i="19"/>
  <c r="F1652" i="19" s="1"/>
  <c r="L1652" i="19"/>
  <c r="V1652" i="19"/>
  <c r="W1652" i="19" s="1"/>
  <c r="Y1652" i="19"/>
  <c r="J1658" i="19"/>
  <c r="F1658" i="19" s="1"/>
  <c r="L1658" i="19"/>
  <c r="V1658" i="19"/>
  <c r="W1658" i="19" s="1"/>
  <c r="Y1658" i="19"/>
  <c r="J1659" i="19"/>
  <c r="L1659" i="19"/>
  <c r="V1659" i="19"/>
  <c r="W1659" i="19" s="1"/>
  <c r="Y1659" i="19"/>
  <c r="J1663" i="19"/>
  <c r="F1663" i="19" s="1"/>
  <c r="L1663" i="19"/>
  <c r="V1663" i="19"/>
  <c r="W1663" i="19" s="1"/>
  <c r="Y1663" i="19"/>
  <c r="J1660" i="19"/>
  <c r="F1660" i="19" s="1"/>
  <c r="L1660" i="19"/>
  <c r="V1660" i="19"/>
  <c r="W1660" i="19" s="1"/>
  <c r="Y1660" i="19"/>
  <c r="J1662" i="19"/>
  <c r="F1662" i="19" s="1"/>
  <c r="L1662" i="19"/>
  <c r="V1662" i="19"/>
  <c r="W1662" i="19" s="1"/>
  <c r="Y1662" i="19"/>
  <c r="J1664" i="19"/>
  <c r="F1664" i="19" s="1"/>
  <c r="L1664" i="19"/>
  <c r="V1664" i="19"/>
  <c r="W1664" i="19" s="1"/>
  <c r="Y1664" i="19"/>
  <c r="J1665" i="19"/>
  <c r="F1665" i="19" s="1"/>
  <c r="L1665" i="19"/>
  <c r="V1665" i="19"/>
  <c r="W1665" i="19" s="1"/>
  <c r="Y1665" i="19"/>
  <c r="J1673" i="19"/>
  <c r="F1673" i="19" s="1"/>
  <c r="L1673" i="19"/>
  <c r="V1673" i="19"/>
  <c r="W1673" i="19" s="1"/>
  <c r="Y1673" i="19"/>
  <c r="J1666" i="19"/>
  <c r="F1666" i="19" s="1"/>
  <c r="L1666" i="19"/>
  <c r="V1666" i="19"/>
  <c r="W1666" i="19" s="1"/>
  <c r="Y1666" i="19"/>
  <c r="J1669" i="19"/>
  <c r="F1669" i="19" s="1"/>
  <c r="L1669" i="19"/>
  <c r="V1669" i="19"/>
  <c r="W1669" i="19" s="1"/>
  <c r="Y1669" i="19"/>
  <c r="J1667" i="19"/>
  <c r="F1667" i="19" s="1"/>
  <c r="L1667" i="19"/>
  <c r="V1667" i="19"/>
  <c r="W1667" i="19" s="1"/>
  <c r="Y1667" i="19"/>
  <c r="J1670" i="19"/>
  <c r="F1670" i="19" s="1"/>
  <c r="L1670" i="19"/>
  <c r="V1670" i="19"/>
  <c r="W1670" i="19" s="1"/>
  <c r="Y1670" i="19"/>
  <c r="J1671" i="19"/>
  <c r="F1671" i="19" s="1"/>
  <c r="L1671" i="19"/>
  <c r="V1671" i="19"/>
  <c r="W1671" i="19" s="1"/>
  <c r="Y1671" i="19"/>
  <c r="J1674" i="19"/>
  <c r="F1674" i="19" s="1"/>
  <c r="L1674" i="19"/>
  <c r="V1674" i="19"/>
  <c r="W1674" i="19" s="1"/>
  <c r="Y1674" i="19"/>
  <c r="J1675" i="19"/>
  <c r="F1675" i="19" s="1"/>
  <c r="L1675" i="19"/>
  <c r="V1675" i="19"/>
  <c r="W1675" i="19" s="1"/>
  <c r="Y1675" i="19"/>
  <c r="J1676" i="19"/>
  <c r="F1676" i="19" s="1"/>
  <c r="L1676" i="19"/>
  <c r="V1676" i="19"/>
  <c r="W1676" i="19" s="1"/>
  <c r="Y1676" i="19"/>
  <c r="J1677" i="19"/>
  <c r="F1677" i="19" s="1"/>
  <c r="L1677" i="19"/>
  <c r="V1677" i="19"/>
  <c r="W1677" i="19" s="1"/>
  <c r="Y1677" i="19"/>
  <c r="J1678" i="19"/>
  <c r="F1678" i="19" s="1"/>
  <c r="L1678" i="19"/>
  <c r="V1678" i="19"/>
  <c r="W1678" i="19" s="1"/>
  <c r="Y1678" i="19"/>
  <c r="J1672" i="19"/>
  <c r="F1672" i="19" s="1"/>
  <c r="L1672" i="19"/>
  <c r="V1672" i="19"/>
  <c r="W1672" i="19" s="1"/>
  <c r="Y1672" i="19"/>
  <c r="J1679" i="19"/>
  <c r="F1679" i="19" s="1"/>
  <c r="L1679" i="19"/>
  <c r="V1679" i="19"/>
  <c r="W1679" i="19" s="1"/>
  <c r="Y1679" i="19"/>
  <c r="J1668" i="19"/>
  <c r="F1668" i="19" s="1"/>
  <c r="L1668" i="19"/>
  <c r="V1668" i="19"/>
  <c r="W1668" i="19" s="1"/>
  <c r="Y1668" i="19"/>
  <c r="F1680" i="19"/>
  <c r="L1680" i="19"/>
  <c r="S1680" i="19"/>
  <c r="V1680" i="19"/>
  <c r="W1680" i="19" s="1"/>
  <c r="Y1680" i="19"/>
  <c r="F1681" i="19"/>
  <c r="L1681" i="19"/>
  <c r="S1681" i="19"/>
  <c r="V1681" i="19"/>
  <c r="W1681" i="19" s="1"/>
  <c r="Y1681" i="19"/>
  <c r="J1695" i="19"/>
  <c r="F1695" i="19" s="1"/>
  <c r="L1695" i="19"/>
  <c r="V1695" i="19"/>
  <c r="W1695" i="19" s="1"/>
  <c r="Y1695" i="19"/>
  <c r="J1697" i="19"/>
  <c r="F1697" i="19" s="1"/>
  <c r="L1697" i="19"/>
  <c r="V1697" i="19"/>
  <c r="W1697" i="19" s="1"/>
  <c r="Y1697" i="19"/>
  <c r="J1682" i="19"/>
  <c r="F1682" i="19" s="1"/>
  <c r="L1682" i="19"/>
  <c r="S1682" i="19"/>
  <c r="V1682" i="19"/>
  <c r="W1682" i="19" s="1"/>
  <c r="Y1682" i="19"/>
  <c r="J1698" i="19"/>
  <c r="F1698" i="19" s="1"/>
  <c r="L1698" i="19"/>
  <c r="V1698" i="19"/>
  <c r="W1698" i="19" s="1"/>
  <c r="Y1698" i="19"/>
  <c r="J1747" i="19"/>
  <c r="L1747" i="19"/>
  <c r="V1747" i="19"/>
  <c r="W1747" i="19" s="1"/>
  <c r="Y1747" i="19"/>
  <c r="J1704" i="19"/>
  <c r="F1704" i="19" s="1"/>
  <c r="L1704" i="19"/>
  <c r="V1704" i="19"/>
  <c r="W1704" i="19" s="1"/>
  <c r="Y1704" i="19"/>
  <c r="J1705" i="19"/>
  <c r="F1705" i="19" s="1"/>
  <c r="L1705" i="19"/>
  <c r="V1705" i="19"/>
  <c r="W1705" i="19" s="1"/>
  <c r="Y1705" i="19"/>
  <c r="J1706" i="19"/>
  <c r="F1706" i="19" s="1"/>
  <c r="L1706" i="19"/>
  <c r="V1706" i="19"/>
  <c r="W1706" i="19" s="1"/>
  <c r="Y1706" i="19"/>
  <c r="J1714" i="19"/>
  <c r="F1714" i="19" s="1"/>
  <c r="L1714" i="19"/>
  <c r="V1714" i="19"/>
  <c r="W1714" i="19" s="1"/>
  <c r="Y1714" i="19"/>
  <c r="J1707" i="19"/>
  <c r="F1707" i="19" s="1"/>
  <c r="L1707" i="19"/>
  <c r="V1707" i="19"/>
  <c r="W1707" i="19" s="1"/>
  <c r="Y1707" i="19"/>
  <c r="J1711" i="19"/>
  <c r="F1711" i="19" s="1"/>
  <c r="L1711" i="19"/>
  <c r="V1711" i="19"/>
  <c r="W1711" i="19" s="1"/>
  <c r="Y1711" i="19"/>
  <c r="J1712" i="19"/>
  <c r="F1712" i="19" s="1"/>
  <c r="L1712" i="19"/>
  <c r="V1712" i="19"/>
  <c r="W1712" i="19" s="1"/>
  <c r="Y1712" i="19"/>
  <c r="J1713" i="19"/>
  <c r="F1713" i="19" s="1"/>
  <c r="L1713" i="19"/>
  <c r="V1713" i="19"/>
  <c r="W1713" i="19" s="1"/>
  <c r="Y1713" i="19"/>
  <c r="J1699" i="19"/>
  <c r="L1699" i="19"/>
  <c r="V1699" i="19"/>
  <c r="W1699" i="19" s="1"/>
  <c r="Y1699" i="19"/>
  <c r="J1703" i="19"/>
  <c r="F1703" i="19" s="1"/>
  <c r="L1703" i="19"/>
  <c r="V1703" i="19"/>
  <c r="W1703" i="19" s="1"/>
  <c r="Y1703" i="19"/>
  <c r="J1702" i="19"/>
  <c r="F1702" i="19" s="1"/>
  <c r="L1702" i="19"/>
  <c r="V1702" i="19"/>
  <c r="W1702" i="19" s="1"/>
  <c r="Y1702" i="19"/>
  <c r="J1701" i="19"/>
  <c r="F1701" i="19" s="1"/>
  <c r="L1701" i="19"/>
  <c r="V1701" i="19"/>
  <c r="W1701" i="19" s="1"/>
  <c r="Y1701" i="19"/>
  <c r="J2353" i="19"/>
  <c r="F2353" i="19" s="1"/>
  <c r="L2353" i="19"/>
  <c r="S2353" i="19"/>
  <c r="V2353" i="19"/>
  <c r="W2353" i="19" s="1"/>
  <c r="Y2353" i="19"/>
  <c r="J2352" i="19"/>
  <c r="F2352" i="19" s="1"/>
  <c r="L2352" i="19"/>
  <c r="S2352" i="19"/>
  <c r="V2352" i="19"/>
  <c r="W2352" i="19" s="1"/>
  <c r="Y2352" i="19"/>
  <c r="J1843" i="19"/>
  <c r="F1843" i="19" s="1"/>
  <c r="L1843" i="19"/>
  <c r="V1843" i="19"/>
  <c r="W1843" i="19" s="1"/>
  <c r="Y1843" i="19"/>
  <c r="J1841" i="19"/>
  <c r="F1841" i="19" s="1"/>
  <c r="L1841" i="19"/>
  <c r="V1841" i="19"/>
  <c r="W1841" i="19" s="1"/>
  <c r="Y1841" i="19"/>
  <c r="J1842" i="19"/>
  <c r="F1842" i="19" s="1"/>
  <c r="L1842" i="19"/>
  <c r="V1842" i="19"/>
  <c r="W1842" i="19" s="1"/>
  <c r="Y1842" i="19"/>
  <c r="J1839" i="19"/>
  <c r="F1839" i="19" s="1"/>
  <c r="L1839" i="19"/>
  <c r="V1839" i="19"/>
  <c r="W1839" i="19" s="1"/>
  <c r="Y1839" i="19"/>
  <c r="J1715" i="19"/>
  <c r="F1715" i="19" s="1"/>
  <c r="L1715" i="19"/>
  <c r="S1715" i="19"/>
  <c r="V1715" i="19"/>
  <c r="W1715" i="19" s="1"/>
  <c r="Y1715" i="19"/>
  <c r="AH1488" i="19"/>
  <c r="AJ1488" i="19" s="1"/>
  <c r="AF1489" i="19"/>
  <c r="AE1489" i="19"/>
  <c r="AD1489" i="19"/>
  <c r="Y1488" i="19"/>
  <c r="Y1489" i="19"/>
  <c r="V1488" i="19"/>
  <c r="W1488" i="19" s="1"/>
  <c r="V1489" i="19"/>
  <c r="W1489" i="19" s="1"/>
  <c r="S1488" i="19"/>
  <c r="L1488" i="19"/>
  <c r="J1488" i="19"/>
  <c r="F1488" i="19" s="1"/>
  <c r="J1489" i="19"/>
  <c r="F1489" i="19" s="1"/>
  <c r="N750" i="15"/>
  <c r="Q750" i="15" s="1"/>
  <c r="U749" i="15"/>
  <c r="N749" i="15"/>
  <c r="Q749" i="15" s="1"/>
  <c r="G749" i="15"/>
  <c r="C749" i="15"/>
  <c r="Q748" i="15"/>
  <c r="G748" i="15"/>
  <c r="U748" i="15"/>
  <c r="U747" i="15"/>
  <c r="U750" i="15"/>
  <c r="C748" i="15"/>
  <c r="Q747" i="15"/>
  <c r="Q744" i="15"/>
  <c r="Q741" i="15"/>
  <c r="G747" i="15"/>
  <c r="C747" i="15"/>
  <c r="G750" i="15"/>
  <c r="C750" i="15"/>
  <c r="S1505" i="19"/>
  <c r="S1503" i="19"/>
  <c r="S1504" i="19"/>
  <c r="S1506" i="19"/>
  <c r="S1507" i="19"/>
  <c r="AF1505" i="19"/>
  <c r="AE1505" i="19"/>
  <c r="AD1505" i="19"/>
  <c r="AF1503" i="19"/>
  <c r="AE1503" i="19"/>
  <c r="AD1503" i="19"/>
  <c r="AF1504" i="19"/>
  <c r="AE1504" i="19"/>
  <c r="AD1504" i="19"/>
  <c r="AF1506" i="19"/>
  <c r="AE1506" i="19"/>
  <c r="AD1506" i="19"/>
  <c r="AF1507" i="19"/>
  <c r="AE1507" i="19"/>
  <c r="AD1507" i="19"/>
  <c r="O239" i="20"/>
  <c r="AI1483" i="19" s="1"/>
  <c r="O238" i="20"/>
  <c r="O237" i="20"/>
  <c r="AI1516" i="19" s="1"/>
  <c r="O236" i="20"/>
  <c r="O235" i="20"/>
  <c r="O234" i="20"/>
  <c r="O233" i="20"/>
  <c r="AI500" i="19" s="1"/>
  <c r="O232" i="20"/>
  <c r="AI232" i="19" s="1"/>
  <c r="O231" i="20"/>
  <c r="AI1487" i="19" s="1"/>
  <c r="O230" i="20"/>
  <c r="AI1486" i="19" s="1"/>
  <c r="O229" i="20"/>
  <c r="AI1011" i="19" s="1"/>
  <c r="O228" i="20"/>
  <c r="O227" i="20"/>
  <c r="O226" i="20"/>
  <c r="AI474" i="19" s="1"/>
  <c r="O225" i="20"/>
  <c r="AI1348" i="19" s="1"/>
  <c r="O224" i="20"/>
  <c r="AI601" i="19" s="1"/>
  <c r="O223" i="20"/>
  <c r="AI1430" i="19" s="1"/>
  <c r="O222" i="20"/>
  <c r="AI498" i="19" s="1"/>
  <c r="O221" i="20"/>
  <c r="AI962" i="19" s="1"/>
  <c r="O220" i="20"/>
  <c r="AI444" i="19" s="1"/>
  <c r="O219" i="20"/>
  <c r="AI761" i="19" s="1"/>
  <c r="O218" i="20"/>
  <c r="AI338" i="19" s="1"/>
  <c r="O217" i="20"/>
  <c r="AI1294" i="19" s="1"/>
  <c r="O216" i="20"/>
  <c r="AI1548" i="19"/>
  <c r="O214" i="20"/>
  <c r="AI1477" i="19" s="1"/>
  <c r="O213" i="20"/>
  <c r="AI775" i="19" s="1"/>
  <c r="O212" i="20"/>
  <c r="O211" i="20"/>
  <c r="AI1084" i="19" s="1"/>
  <c r="O210" i="20"/>
  <c r="O209" i="20"/>
  <c r="AI1403" i="19" s="1"/>
  <c r="O208" i="20"/>
  <c r="AI451" i="19" s="1"/>
  <c r="O207" i="20"/>
  <c r="O206" i="20"/>
  <c r="O205" i="20"/>
  <c r="O204" i="20"/>
  <c r="O203" i="20"/>
  <c r="AI449" i="19" s="1"/>
  <c r="O202" i="20"/>
  <c r="O201" i="20"/>
  <c r="AI566" i="19" s="1"/>
  <c r="O200" i="20"/>
  <c r="O199" i="20"/>
  <c r="AI980" i="19" s="1"/>
  <c r="O198" i="20"/>
  <c r="AI1059" i="19" s="1"/>
  <c r="O197" i="20"/>
  <c r="AI723" i="19" s="1"/>
  <c r="O196" i="20"/>
  <c r="AI191" i="19" s="1"/>
  <c r="O195" i="20"/>
  <c r="AI455" i="19" s="1"/>
  <c r="O194" i="20"/>
  <c r="AI1321" i="19" s="1"/>
  <c r="O193" i="20"/>
  <c r="AI1038" i="19" s="1"/>
  <c r="O192" i="20"/>
  <c r="AI1110" i="19" s="1"/>
  <c r="O191" i="20"/>
  <c r="AI234" i="19" s="1"/>
  <c r="O190" i="20"/>
  <c r="AI759" i="19" s="1"/>
  <c r="O189" i="20"/>
  <c r="AI879" i="19" s="1"/>
  <c r="O188" i="20"/>
  <c r="O187" i="20"/>
  <c r="AI334" i="19" s="1"/>
  <c r="O186" i="20"/>
  <c r="AI1344" i="19" s="1"/>
  <c r="O185" i="20"/>
  <c r="O184" i="20"/>
  <c r="O183" i="20"/>
  <c r="AI616" i="19" s="1"/>
  <c r="O37" i="20"/>
  <c r="AI891" i="19" s="1"/>
  <c r="O181" i="20"/>
  <c r="AI325" i="19" s="1"/>
  <c r="O180" i="20"/>
  <c r="O179" i="20"/>
  <c r="AI407" i="19" s="1"/>
  <c r="O178" i="20"/>
  <c r="AI716" i="19" s="1"/>
  <c r="O177" i="20"/>
  <c r="O137" i="20"/>
  <c r="AI521" i="19" s="1"/>
  <c r="O175" i="20"/>
  <c r="AI615" i="19" s="1"/>
  <c r="O174" i="20"/>
  <c r="AI324" i="19" s="1"/>
  <c r="O173" i="20"/>
  <c r="AI732" i="19" s="1"/>
  <c r="O172" i="20"/>
  <c r="AI591" i="19" s="1"/>
  <c r="O171" i="20"/>
  <c r="AI442" i="19" s="1"/>
  <c r="O170" i="20"/>
  <c r="AI563" i="19" s="1"/>
  <c r="O169" i="20"/>
  <c r="O85" i="20"/>
  <c r="AI889" i="19" s="1"/>
  <c r="O167" i="20"/>
  <c r="AI614" i="19" s="1"/>
  <c r="O166" i="20"/>
  <c r="AI729" i="19" s="1"/>
  <c r="O165" i="20"/>
  <c r="O164" i="20"/>
  <c r="AI908" i="19" s="1"/>
  <c r="O163" i="20"/>
  <c r="AI393" i="19" s="1"/>
  <c r="O162" i="20"/>
  <c r="AI497" i="19" s="1"/>
  <c r="O161" i="20"/>
  <c r="AI1091" i="19" s="1"/>
  <c r="O160" i="20"/>
  <c r="AI1343" i="19" s="1"/>
  <c r="O91" i="20"/>
  <c r="AI888" i="19" s="1"/>
  <c r="O158" i="20"/>
  <c r="AI719" i="19" s="1"/>
  <c r="O157" i="20"/>
  <c r="AI1342" i="19" s="1"/>
  <c r="O156" i="20"/>
  <c r="AI1575" i="19" s="1"/>
  <c r="O155" i="20"/>
  <c r="AI404" i="19" s="1"/>
  <c r="O154" i="20"/>
  <c r="AI392" i="19" s="1"/>
  <c r="O153" i="20"/>
  <c r="AI1722" i="19" s="1"/>
  <c r="O143" i="20"/>
  <c r="O151" i="20"/>
  <c r="AI613" i="19" s="1"/>
  <c r="O150" i="20"/>
  <c r="AI322" i="19" s="1"/>
  <c r="O149" i="20"/>
  <c r="AI1341" i="19" s="1"/>
  <c r="O148" i="20"/>
  <c r="AI1574" i="19" s="1"/>
  <c r="O147" i="20"/>
  <c r="AI439" i="19" s="1"/>
  <c r="O146" i="20"/>
  <c r="AI711" i="19" s="1"/>
  <c r="O145" i="20"/>
  <c r="O144" i="20"/>
  <c r="O152" i="20"/>
  <c r="AI519" i="19" s="1"/>
  <c r="O142" i="20"/>
  <c r="AI718" i="19" s="1"/>
  <c r="O141" i="20"/>
  <c r="AI1340" i="19" s="1"/>
  <c r="O140" i="20"/>
  <c r="AI657" i="19" s="1"/>
  <c r="O139" i="20"/>
  <c r="AI710" i="19" s="1"/>
  <c r="O138" i="20"/>
  <c r="AI534" i="19" s="1"/>
  <c r="O168" i="20"/>
  <c r="AI518" i="19" s="1"/>
  <c r="O136" i="20"/>
  <c r="O135" i="20"/>
  <c r="AI974" i="19" s="1"/>
  <c r="O134" i="20"/>
  <c r="AI508" i="19" s="1"/>
  <c r="O133" i="20"/>
  <c r="AI763" i="19" s="1"/>
  <c r="O132" i="20"/>
  <c r="AI1339" i="19" s="1"/>
  <c r="O131" i="20"/>
  <c r="AI189" i="19" s="1"/>
  <c r="O130" i="20"/>
  <c r="AI612" i="19" s="1"/>
  <c r="O129" i="20"/>
  <c r="AI2183" i="19" s="1"/>
  <c r="O128" i="20"/>
  <c r="O127" i="20"/>
  <c r="AI49" i="19" s="1"/>
  <c r="O126" i="20"/>
  <c r="AI345" i="19" s="1"/>
  <c r="O125" i="20"/>
  <c r="AI611" i="19" s="1"/>
  <c r="O124" i="20"/>
  <c r="O123" i="20"/>
  <c r="AI215" i="19" s="1"/>
  <c r="O122" i="20"/>
  <c r="AI344" i="19" s="1"/>
  <c r="O121" i="20"/>
  <c r="O120" i="20"/>
  <c r="AI12" i="19" s="1"/>
  <c r="O119" i="20"/>
  <c r="O176" i="20"/>
  <c r="O117" i="20"/>
  <c r="AI610" i="19" s="1"/>
  <c r="O116" i="20"/>
  <c r="AI188" i="19" s="1"/>
  <c r="O115" i="20"/>
  <c r="O114" i="20"/>
  <c r="AI330" i="19" s="1"/>
  <c r="O113" i="20"/>
  <c r="AI560" i="19" s="1"/>
  <c r="O112" i="20"/>
  <c r="O111" i="20"/>
  <c r="AI1497" i="19" s="1"/>
  <c r="O159" i="20"/>
  <c r="AI516" i="19" s="1"/>
  <c r="O109" i="20"/>
  <c r="O108" i="20"/>
  <c r="AI668" i="19" s="1"/>
  <c r="O107" i="20"/>
  <c r="AI47" i="19" s="1"/>
  <c r="O106" i="20"/>
  <c r="AI660" i="19" s="1"/>
  <c r="O105" i="20"/>
  <c r="AI754" i="19" s="1"/>
  <c r="O104" i="20"/>
  <c r="AI1496" i="19" s="1"/>
  <c r="O182" i="20"/>
  <c r="AI515" i="19" s="1"/>
  <c r="O102" i="20"/>
  <c r="AI609" i="19" s="1"/>
  <c r="O101" i="20"/>
  <c r="AI2371" i="19" s="1"/>
  <c r="O100" i="20"/>
  <c r="AI600" i="19" s="1"/>
  <c r="O99" i="20"/>
  <c r="AI1500" i="19" s="1"/>
  <c r="O98" i="20"/>
  <c r="AI568" i="19" s="1"/>
  <c r="O97" i="20"/>
  <c r="O96" i="20"/>
  <c r="O95" i="20"/>
  <c r="AI11" i="19" s="1"/>
  <c r="O94" i="20"/>
  <c r="AI385" i="19" s="1"/>
  <c r="O93" i="20"/>
  <c r="O92" i="20"/>
  <c r="AI1495" i="19" s="1"/>
  <c r="O110" i="20"/>
  <c r="AI886" i="19" s="1"/>
  <c r="O90" i="20"/>
  <c r="O89" i="20"/>
  <c r="AI1338" i="19" s="1"/>
  <c r="O88" i="20"/>
  <c r="O87" i="20"/>
  <c r="AI1033" i="19" s="1"/>
  <c r="O86" i="20"/>
  <c r="O103" i="20"/>
  <c r="AI1160" i="19" s="1"/>
  <c r="O84" i="20"/>
  <c r="AI1029" i="19" s="1"/>
  <c r="O83" i="20"/>
  <c r="AI1337" i="19" s="1"/>
  <c r="O82" i="20"/>
  <c r="O81" i="20"/>
  <c r="O80" i="20"/>
  <c r="O79" i="20"/>
  <c r="AI774" i="19" s="1"/>
  <c r="O262" i="20"/>
  <c r="AI514" i="19" s="1"/>
  <c r="O77" i="20"/>
  <c r="AI608" i="19" s="1"/>
  <c r="O76" i="20"/>
  <c r="AI1335" i="19" s="1"/>
  <c r="O75" i="20"/>
  <c r="AI598" i="19" s="1"/>
  <c r="O74" i="20"/>
  <c r="AI468" i="19" s="1"/>
  <c r="O73" i="20"/>
  <c r="AI45" i="19" s="1"/>
  <c r="O72" i="20"/>
  <c r="O71" i="20"/>
  <c r="AI358" i="19" s="1"/>
  <c r="O70" i="20"/>
  <c r="O69" i="20"/>
  <c r="AI1190" i="19" s="1"/>
  <c r="O68" i="20"/>
  <c r="AI864" i="19" s="1"/>
  <c r="O67" i="20"/>
  <c r="AI384" i="19" s="1"/>
  <c r="O66" i="20"/>
  <c r="AI848" i="19" s="1"/>
  <c r="O65" i="20"/>
  <c r="O64" i="20"/>
  <c r="AI822" i="19" s="1"/>
  <c r="O63" i="20"/>
  <c r="AI382" i="19" s="1"/>
  <c r="O62" i="20"/>
  <c r="AI43" i="19" s="1"/>
  <c r="O61" i="20"/>
  <c r="AI1147" i="19" s="1"/>
  <c r="O60" i="20"/>
  <c r="AI1493" i="19" s="1"/>
  <c r="O59" i="20"/>
  <c r="AI491" i="19" s="1"/>
  <c r="O58" i="20"/>
  <c r="AI736" i="19" s="1"/>
  <c r="O57" i="20"/>
  <c r="AI704" i="19" s="1"/>
  <c r="O56" i="20"/>
  <c r="AI1492" i="19" s="1"/>
  <c r="O55" i="20"/>
  <c r="AI554" i="19" s="1"/>
  <c r="O54" i="20"/>
  <c r="AI1291" i="19" s="1"/>
  <c r="O53" i="20"/>
  <c r="AI1334" i="19" s="1"/>
  <c r="O52" i="20"/>
  <c r="AI553" i="19" s="1"/>
  <c r="O51" i="20"/>
  <c r="AI1651" i="19" s="1"/>
  <c r="O50" i="20"/>
  <c r="AI1188" i="19" s="1"/>
  <c r="O49" i="20"/>
  <c r="AI1330" i="19" s="1"/>
  <c r="O48" i="20"/>
  <c r="AI42" i="19" s="1"/>
  <c r="O47" i="20"/>
  <c r="O46" i="20"/>
  <c r="AI607" i="19" s="1"/>
  <c r="O45" i="20"/>
  <c r="O44" i="20"/>
  <c r="O43" i="20"/>
  <c r="AI1130" i="19" s="1"/>
  <c r="O42" i="20"/>
  <c r="O41" i="20"/>
  <c r="AI925" i="19" s="1"/>
  <c r="O40" i="20"/>
  <c r="AI820" i="19" s="1"/>
  <c r="O39" i="20"/>
  <c r="AI328" i="19" s="1"/>
  <c r="O38" i="20"/>
  <c r="AI41" i="19" s="1"/>
  <c r="O78" i="20"/>
  <c r="AI883" i="19" s="1"/>
  <c r="O36" i="20"/>
  <c r="AI605" i="19" s="1"/>
  <c r="O35" i="20"/>
  <c r="AI327" i="19" s="1"/>
  <c r="O34" i="20"/>
  <c r="AI1128" i="19" s="1"/>
  <c r="O33" i="20"/>
  <c r="AI6" i="19" s="1"/>
  <c r="O32" i="20"/>
  <c r="AI1418" i="19" s="1"/>
  <c r="O31" i="20"/>
  <c r="AI461" i="19" s="1"/>
  <c r="O30" i="20"/>
  <c r="AI1245" i="19" s="1"/>
  <c r="O29" i="20"/>
  <c r="AI995" i="19" s="1"/>
  <c r="O28" i="20"/>
  <c r="AI459" i="19" s="1"/>
  <c r="O27" i="20"/>
  <c r="AI1244" i="19" s="1"/>
  <c r="O26" i="20"/>
  <c r="AI1165" i="19" s="1"/>
  <c r="O25" i="20"/>
  <c r="AI994" i="19" s="1"/>
  <c r="O24" i="20"/>
  <c r="AI1145" i="19" s="1"/>
  <c r="O23" i="20"/>
  <c r="AI1058" i="19" s="1"/>
  <c r="O22" i="20"/>
  <c r="AI2086" i="19" s="1"/>
  <c r="O21" i="20"/>
  <c r="AI1571" i="19" s="1"/>
  <c r="O20" i="20"/>
  <c r="AI1282" i="19" s="1"/>
  <c r="O19" i="20"/>
  <c r="AI490" i="19" s="1"/>
  <c r="O18" i="20"/>
  <c r="AI604" i="19" s="1"/>
  <c r="O17" i="20"/>
  <c r="AI1570" i="19" s="1"/>
  <c r="O16" i="20"/>
  <c r="AI527" i="19" s="1"/>
  <c r="O15" i="20"/>
  <c r="AI231" i="19" s="1"/>
  <c r="O14" i="20"/>
  <c r="AI1491" i="19" s="1"/>
  <c r="O13" i="20"/>
  <c r="AI853" i="19" s="1"/>
  <c r="O12" i="20"/>
  <c r="AI186" i="19" s="1"/>
  <c r="O11" i="20"/>
  <c r="O10" i="20"/>
  <c r="AI1744" i="19" s="1"/>
  <c r="O9" i="20"/>
  <c r="AI1526" i="19" s="1"/>
  <c r="O8" i="20"/>
  <c r="AI1333" i="19" s="1"/>
  <c r="O7" i="20"/>
  <c r="O6" i="20"/>
  <c r="AI627" i="19" s="1"/>
  <c r="O5" i="20"/>
  <c r="AI1002" i="19" s="1"/>
  <c r="O4" i="20"/>
  <c r="AI1082" i="19" s="1"/>
  <c r="O3" i="20"/>
  <c r="O2" i="20"/>
  <c r="AI396" i="19" s="1"/>
  <c r="O242" i="20"/>
  <c r="O243" i="20"/>
  <c r="O244" i="20"/>
  <c r="O245" i="20"/>
  <c r="O246" i="20"/>
  <c r="O247" i="20"/>
  <c r="O248" i="20"/>
  <c r="O249" i="20"/>
  <c r="O251" i="20"/>
  <c r="O252" i="20"/>
  <c r="O253" i="20"/>
  <c r="O254" i="20"/>
  <c r="AI1972" i="19" s="1"/>
  <c r="O255" i="20"/>
  <c r="AI1974" i="19" s="1"/>
  <c r="O256" i="20"/>
  <c r="O257" i="20"/>
  <c r="O259" i="20"/>
  <c r="O260" i="20"/>
  <c r="AI2232" i="19" s="1"/>
  <c r="O261" i="20"/>
  <c r="AI1661" i="19" s="1"/>
  <c r="O118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240" i="20"/>
  <c r="S1491" i="19"/>
  <c r="S1492" i="19"/>
  <c r="S1493" i="19"/>
  <c r="S1494" i="19"/>
  <c r="S1495" i="19"/>
  <c r="S1496" i="19"/>
  <c r="S1497" i="19"/>
  <c r="S1498" i="19"/>
  <c r="S1499" i="19"/>
  <c r="J1500" i="19"/>
  <c r="F1500" i="19" s="1"/>
  <c r="L1500" i="19"/>
  <c r="S1500" i="19"/>
  <c r="V1500" i="19"/>
  <c r="W1500" i="19" s="1"/>
  <c r="Y1500" i="19"/>
  <c r="AC1500" i="19"/>
  <c r="AG1500" i="19"/>
  <c r="J1501" i="19"/>
  <c r="F1501" i="19" s="1"/>
  <c r="L1501" i="19"/>
  <c r="S1501" i="19"/>
  <c r="V1501" i="19"/>
  <c r="W1501" i="19" s="1"/>
  <c r="Y1501" i="19"/>
  <c r="AC1501" i="19"/>
  <c r="AD1501" i="19" s="1"/>
  <c r="AG1501" i="19"/>
  <c r="J1626" i="19"/>
  <c r="F1626" i="19" s="1"/>
  <c r="L1626" i="19"/>
  <c r="S1626" i="19"/>
  <c r="V1626" i="19"/>
  <c r="W1626" i="19" s="1"/>
  <c r="Y1626" i="19"/>
  <c r="AC1626" i="19"/>
  <c r="AE1626" i="19" s="1"/>
  <c r="AG1626" i="19"/>
  <c r="J1507" i="19"/>
  <c r="F1507" i="19" s="1"/>
  <c r="L1507" i="19"/>
  <c r="V1507" i="19"/>
  <c r="W1507" i="19" s="1"/>
  <c r="Y1507" i="19"/>
  <c r="J1506" i="19"/>
  <c r="F1506" i="19" s="1"/>
  <c r="L1506" i="19"/>
  <c r="V1506" i="19"/>
  <c r="W1506" i="19" s="1"/>
  <c r="Y1506" i="19"/>
  <c r="J1504" i="19"/>
  <c r="F1504" i="19" s="1"/>
  <c r="L1504" i="19"/>
  <c r="V1504" i="19"/>
  <c r="W1504" i="19" s="1"/>
  <c r="Y1504" i="19"/>
  <c r="J1503" i="19"/>
  <c r="L1503" i="19"/>
  <c r="V1503" i="19"/>
  <c r="W1503" i="19" s="1"/>
  <c r="Y1503" i="19"/>
  <c r="J1505" i="19"/>
  <c r="L1505" i="19"/>
  <c r="V1505" i="19"/>
  <c r="W1505" i="19" s="1"/>
  <c r="Y1505" i="19"/>
  <c r="AF1483" i="19"/>
  <c r="AE1483" i="19"/>
  <c r="AD1483" i="19"/>
  <c r="AF1480" i="19"/>
  <c r="AE1480" i="19"/>
  <c r="AD1480" i="19"/>
  <c r="AF1481" i="19"/>
  <c r="AE1481" i="19"/>
  <c r="AD1481" i="19"/>
  <c r="AF1485" i="19"/>
  <c r="AE1485" i="19"/>
  <c r="AD1485" i="19"/>
  <c r="AF1484" i="19"/>
  <c r="AE1484" i="19"/>
  <c r="AD1484" i="19"/>
  <c r="AF1482" i="19"/>
  <c r="AE1482" i="19"/>
  <c r="AD1482" i="19"/>
  <c r="AF1478" i="19"/>
  <c r="AE1478" i="19"/>
  <c r="AD1478" i="19"/>
  <c r="AF1475" i="19"/>
  <c r="AE1475" i="19"/>
  <c r="AD1475" i="19"/>
  <c r="AF1477" i="19"/>
  <c r="AE1477" i="19"/>
  <c r="AD1477" i="19"/>
  <c r="AF1476" i="19"/>
  <c r="AE1476" i="19"/>
  <c r="AD1476" i="19"/>
  <c r="AF1473" i="19"/>
  <c r="AE1473" i="19"/>
  <c r="AD1473" i="19"/>
  <c r="AF1472" i="19"/>
  <c r="AE1472" i="19"/>
  <c r="AD1472" i="19"/>
  <c r="AF1474" i="19"/>
  <c r="AE1474" i="19"/>
  <c r="AD1474" i="19"/>
  <c r="AF6" i="19"/>
  <c r="AE6" i="19"/>
  <c r="AD6" i="19"/>
  <c r="AF2349" i="19"/>
  <c r="AE2349" i="19"/>
  <c r="AD2349" i="19"/>
  <c r="AF1460" i="19"/>
  <c r="AE1460" i="19"/>
  <c r="AD1460" i="19"/>
  <c r="AF1479" i="19"/>
  <c r="AD1479" i="19"/>
  <c r="AE1479" i="19"/>
  <c r="AC769" i="19"/>
  <c r="AF769" i="19" s="1"/>
  <c r="AC768" i="19"/>
  <c r="AF768" i="19" s="1"/>
  <c r="AC1546" i="19"/>
  <c r="AE1546" i="19" s="1"/>
  <c r="AC1545" i="19"/>
  <c r="AE1545" i="19" s="1"/>
  <c r="S1483" i="19"/>
  <c r="S1480" i="19"/>
  <c r="S1481" i="19"/>
  <c r="S1485" i="19"/>
  <c r="S1484" i="19"/>
  <c r="L1483" i="19"/>
  <c r="Y1483" i="19"/>
  <c r="V1483" i="19"/>
  <c r="W1483" i="19" s="1"/>
  <c r="K239" i="20"/>
  <c r="K238" i="20"/>
  <c r="AH1484" i="19" s="1"/>
  <c r="AJ1484" i="19" s="1"/>
  <c r="K237" i="20"/>
  <c r="AH1516" i="19" s="1"/>
  <c r="AJ1516" i="19" s="1"/>
  <c r="S1479" i="19"/>
  <c r="S1478" i="19"/>
  <c r="S1475" i="19"/>
  <c r="S1477" i="19"/>
  <c r="S1476" i="19"/>
  <c r="S1473" i="19"/>
  <c r="S1472" i="19"/>
  <c r="S1474" i="19"/>
  <c r="K2" i="20"/>
  <c r="AH1001" i="19" s="1"/>
  <c r="K3" i="20"/>
  <c r="K4" i="20"/>
  <c r="AH1082" i="19" s="1"/>
  <c r="K5" i="20"/>
  <c r="AH1864" i="19" s="1"/>
  <c r="AJ1864" i="19" s="1"/>
  <c r="AK1864" i="19" s="1" a="1"/>
  <c r="AK1864" i="19" s="1"/>
  <c r="K6" i="20"/>
  <c r="AH1010" i="19" s="1"/>
  <c r="AJ1010" i="19" s="1"/>
  <c r="K7" i="20"/>
  <c r="AH2298" i="19" s="1"/>
  <c r="AJ2298" i="19" s="1"/>
  <c r="AK2298" i="19" s="1" a="1"/>
  <c r="AK2298" i="19" s="1"/>
  <c r="J9" i="20"/>
  <c r="K9" i="20" s="1"/>
  <c r="J10" i="20"/>
  <c r="K11" i="20"/>
  <c r="J12" i="20"/>
  <c r="K13" i="20"/>
  <c r="K14" i="20"/>
  <c r="J15" i="20"/>
  <c r="K16" i="20"/>
  <c r="AH527" i="19" s="1"/>
  <c r="AJ527" i="19" s="1"/>
  <c r="K17" i="20"/>
  <c r="AH588" i="19" s="1"/>
  <c r="AJ588" i="19" s="1"/>
  <c r="J18" i="20"/>
  <c r="K19" i="20"/>
  <c r="AH1489" i="19" s="1"/>
  <c r="AJ1489" i="19" s="1"/>
  <c r="K20" i="20"/>
  <c r="AH664" i="19" s="1"/>
  <c r="AJ664" i="19" s="1"/>
  <c r="K21" i="20"/>
  <c r="AH599" i="19" s="1"/>
  <c r="AJ599" i="19" s="1"/>
  <c r="J22" i="20"/>
  <c r="K22" i="20" s="1"/>
  <c r="K23" i="20"/>
  <c r="K24" i="20"/>
  <c r="K25" i="20"/>
  <c r="AH994" i="19" s="1"/>
  <c r="AJ994" i="19" s="1"/>
  <c r="K26" i="20"/>
  <c r="K27" i="20"/>
  <c r="K28" i="20"/>
  <c r="AH459" i="19" s="1"/>
  <c r="AJ459" i="19" s="1"/>
  <c r="K29" i="20"/>
  <c r="AH995" i="19" s="1"/>
  <c r="AJ995" i="19" s="1"/>
  <c r="K30" i="20"/>
  <c r="K31" i="20"/>
  <c r="AH461" i="19" s="1"/>
  <c r="K32" i="20"/>
  <c r="J33" i="20"/>
  <c r="J34" i="20"/>
  <c r="K35" i="20"/>
  <c r="J36" i="20"/>
  <c r="J78" i="20"/>
  <c r="J38" i="20"/>
  <c r="K39" i="20"/>
  <c r="AH1138" i="19" s="1"/>
  <c r="AJ1138" i="19" s="1"/>
  <c r="K40" i="20"/>
  <c r="AH820" i="19" s="1"/>
  <c r="AJ820" i="19" s="1"/>
  <c r="K41" i="20"/>
  <c r="K42" i="20"/>
  <c r="K43" i="20"/>
  <c r="J44" i="20"/>
  <c r="K45" i="20"/>
  <c r="J46" i="20"/>
  <c r="K47" i="20"/>
  <c r="K48" i="20"/>
  <c r="AH381" i="19" s="1"/>
  <c r="AJ381" i="19" s="1"/>
  <c r="AK381" i="19" s="1" a="1"/>
  <c r="AK381" i="19" s="1"/>
  <c r="J49" i="20"/>
  <c r="K49" i="20" s="1"/>
  <c r="K50" i="20"/>
  <c r="K51" i="20"/>
  <c r="K52" i="20"/>
  <c r="AH817" i="19" s="1"/>
  <c r="AJ817" i="19" s="1"/>
  <c r="K54" i="20"/>
  <c r="AH926" i="19" s="1"/>
  <c r="AJ926" i="19" s="1"/>
  <c r="K55" i="20"/>
  <c r="K56" i="20"/>
  <c r="K57" i="20"/>
  <c r="AH703" i="19" s="1"/>
  <c r="AJ703" i="19" s="1"/>
  <c r="J58" i="20"/>
  <c r="K58" i="20" s="1"/>
  <c r="K59" i="20"/>
  <c r="AH491" i="19" s="1"/>
  <c r="AJ491" i="19" s="1"/>
  <c r="AK491" i="19" s="1" a="1"/>
  <c r="AK491" i="19" s="1"/>
  <c r="K60" i="20"/>
  <c r="K61" i="20"/>
  <c r="J62" i="20"/>
  <c r="K63" i="20"/>
  <c r="AH382" i="19" s="1"/>
  <c r="AJ382" i="19" s="1"/>
  <c r="AK382" i="19" s="1" a="1"/>
  <c r="AK382" i="19" s="1"/>
  <c r="K64" i="20"/>
  <c r="K65" i="20"/>
  <c r="K66" i="20"/>
  <c r="AH849" i="19" s="1"/>
  <c r="AJ849" i="19" s="1"/>
  <c r="K67" i="20"/>
  <c r="AH384" i="19" s="1"/>
  <c r="AJ384" i="19" s="1"/>
  <c r="AK384" i="19" s="1" a="1"/>
  <c r="AK384" i="19" s="1"/>
  <c r="K68" i="20"/>
  <c r="J68" i="20" s="1"/>
  <c r="K69" i="20"/>
  <c r="K70" i="20"/>
  <c r="K71" i="20"/>
  <c r="AH340" i="19" s="1"/>
  <c r="J72" i="20"/>
  <c r="J73" i="20"/>
  <c r="K74" i="20"/>
  <c r="AH1313" i="19" s="1"/>
  <c r="AJ1313" i="19" s="1"/>
  <c r="K75" i="20"/>
  <c r="J77" i="20"/>
  <c r="J262" i="20"/>
  <c r="K79" i="20"/>
  <c r="AH979" i="19" s="1"/>
  <c r="AJ979" i="19" s="1"/>
  <c r="K80" i="20"/>
  <c r="K81" i="20"/>
  <c r="K82" i="20"/>
  <c r="K84" i="20"/>
  <c r="AH1028" i="19" s="1"/>
  <c r="J103" i="20"/>
  <c r="K86" i="20"/>
  <c r="AH2061" i="19" s="1"/>
  <c r="AJ2061" i="19" s="1"/>
  <c r="AK2061" i="19" s="1" a="1"/>
  <c r="AK2061" i="19" s="1"/>
  <c r="K87" i="20"/>
  <c r="K88" i="20"/>
  <c r="AH2124" i="19" s="1"/>
  <c r="AJ2124" i="19" s="1"/>
  <c r="AK2124" i="19" s="1" a="1"/>
  <c r="AK2124" i="19" s="1"/>
  <c r="J90" i="20"/>
  <c r="K90" i="20" s="1"/>
  <c r="J110" i="20"/>
  <c r="K92" i="20"/>
  <c r="K93" i="20"/>
  <c r="K94" i="20"/>
  <c r="AH385" i="19" s="1"/>
  <c r="AJ385" i="19" s="1"/>
  <c r="AK385" i="19" s="1" a="1"/>
  <c r="AK385" i="19" s="1"/>
  <c r="J95" i="20"/>
  <c r="J96" i="20"/>
  <c r="K97" i="20"/>
  <c r="K98" i="20"/>
  <c r="J99" i="20"/>
  <c r="K99" i="20" s="1"/>
  <c r="K100" i="20"/>
  <c r="AH600" i="19" s="1"/>
  <c r="AJ600" i="19" s="1"/>
  <c r="J101" i="20"/>
  <c r="J102" i="20"/>
  <c r="J182" i="20"/>
  <c r="K104" i="20"/>
  <c r="J105" i="20"/>
  <c r="J106" i="20"/>
  <c r="K106" i="20" s="1"/>
  <c r="K107" i="20"/>
  <c r="AH387" i="19" s="1"/>
  <c r="AJ387" i="19" s="1"/>
  <c r="AK387" i="19" s="1" a="1"/>
  <c r="AK387" i="19" s="1"/>
  <c r="K108" i="20"/>
  <c r="K109" i="20"/>
  <c r="AH2180" i="19" s="1"/>
  <c r="AJ2180" i="19" s="1"/>
  <c r="AK2180" i="19" s="1" a="1"/>
  <c r="AK2180" i="19" s="1"/>
  <c r="J159" i="20"/>
  <c r="K111" i="20"/>
  <c r="J112" i="20"/>
  <c r="J113" i="20"/>
  <c r="K114" i="20"/>
  <c r="K115" i="20"/>
  <c r="AH843" i="19" s="1"/>
  <c r="J116" i="20"/>
  <c r="J117" i="20"/>
  <c r="J176" i="20"/>
  <c r="K119" i="20"/>
  <c r="AH2065" i="19" s="1"/>
  <c r="AJ2065" i="19" s="1"/>
  <c r="AK2065" i="19" s="1" a="1"/>
  <c r="AK2065" i="19" s="1"/>
  <c r="J120" i="20"/>
  <c r="K121" i="20"/>
  <c r="AH2407" i="19" s="1"/>
  <c r="AJ2407" i="19" s="1"/>
  <c r="AK2407" i="19" s="1" a="1"/>
  <c r="AK2407" i="19" s="1"/>
  <c r="K122" i="20"/>
  <c r="AH344" i="19" s="1"/>
  <c r="AJ344" i="19" s="1"/>
  <c r="AK344" i="19" s="1" a="1"/>
  <c r="AK344" i="19" s="1"/>
  <c r="J123" i="20"/>
  <c r="J124" i="20"/>
  <c r="K124" i="20" s="1"/>
  <c r="J125" i="20"/>
  <c r="J126" i="20"/>
  <c r="K127" i="20"/>
  <c r="AH388" i="19" s="1"/>
  <c r="AJ388" i="19" s="1"/>
  <c r="AK388" i="19" s="1" a="1"/>
  <c r="AK388" i="19" s="1"/>
  <c r="K128" i="20"/>
  <c r="K129" i="20"/>
  <c r="AH2183" i="19" s="1"/>
  <c r="AJ2183" i="19" s="1"/>
  <c r="AK2183" i="19" s="1" a="1"/>
  <c r="AK2183" i="19" s="1"/>
  <c r="J130" i="20"/>
  <c r="J131" i="20"/>
  <c r="J133" i="20"/>
  <c r="J134" i="20"/>
  <c r="K135" i="20"/>
  <c r="AH670" i="19" s="1"/>
  <c r="AJ670" i="19" s="1"/>
  <c r="J136" i="20"/>
  <c r="K136" i="20" s="1"/>
  <c r="J168" i="20"/>
  <c r="J138" i="20"/>
  <c r="K139" i="20"/>
  <c r="K140" i="20"/>
  <c r="J142" i="20"/>
  <c r="J152" i="20"/>
  <c r="J144" i="20"/>
  <c r="J145" i="20"/>
  <c r="K145" i="20" s="1"/>
  <c r="K146" i="20"/>
  <c r="AH711" i="19" s="1"/>
  <c r="AJ711" i="19" s="1"/>
  <c r="K147" i="20"/>
  <c r="AH1089" i="19" s="1"/>
  <c r="AJ1089" i="19" s="1"/>
  <c r="K148" i="20"/>
  <c r="AH594" i="19" s="1"/>
  <c r="AJ594" i="19" s="1"/>
  <c r="J150" i="20"/>
  <c r="J151" i="20"/>
  <c r="J143" i="20"/>
  <c r="J153" i="20"/>
  <c r="K154" i="20"/>
  <c r="AH391" i="19" s="1"/>
  <c r="AJ391" i="19" s="1"/>
  <c r="AK391" i="19" s="1" a="1"/>
  <c r="AK391" i="19" s="1"/>
  <c r="K155" i="20"/>
  <c r="K156" i="20"/>
  <c r="J158" i="20"/>
  <c r="J91" i="20"/>
  <c r="K161" i="20"/>
  <c r="AH1476" i="19" s="1"/>
  <c r="AJ1476" i="19" s="1"/>
  <c r="J162" i="20"/>
  <c r="K163" i="20"/>
  <c r="AH393" i="19" s="1"/>
  <c r="AJ393" i="19" s="1"/>
  <c r="AK393" i="19" s="1" a="1"/>
  <c r="AK393" i="19" s="1"/>
  <c r="J164" i="20"/>
  <c r="K165" i="20"/>
  <c r="K166" i="20"/>
  <c r="AH729" i="19" s="1"/>
  <c r="AJ729" i="19" s="1"/>
  <c r="J167" i="20"/>
  <c r="J85" i="20"/>
  <c r="J169" i="20"/>
  <c r="K170" i="20"/>
  <c r="AH394" i="19" s="1"/>
  <c r="AJ394" i="19" s="1"/>
  <c r="AK394" i="19" s="1" a="1"/>
  <c r="AK394" i="19" s="1"/>
  <c r="J171" i="20"/>
  <c r="K172" i="20"/>
  <c r="AH591" i="19" s="1"/>
  <c r="AJ591" i="19" s="1"/>
  <c r="K173" i="20"/>
  <c r="J174" i="20"/>
  <c r="J175" i="20"/>
  <c r="J137" i="20"/>
  <c r="K178" i="20"/>
  <c r="AH395" i="19" s="1"/>
  <c r="AJ395" i="19" s="1"/>
  <c r="AK395" i="19" s="1" a="1"/>
  <c r="AK395" i="19" s="1"/>
  <c r="K179" i="20"/>
  <c r="AH1381" i="19" s="1"/>
  <c r="AJ1381" i="19" s="1"/>
  <c r="K180" i="20"/>
  <c r="J181" i="20"/>
  <c r="J37" i="20"/>
  <c r="J183" i="20"/>
  <c r="K184" i="20"/>
  <c r="K185" i="20"/>
  <c r="J187" i="20"/>
  <c r="K187" i="20" s="1"/>
  <c r="K189" i="20"/>
  <c r="AH952" i="19" s="1"/>
  <c r="AJ952" i="19" s="1"/>
  <c r="J190" i="20"/>
  <c r="K190" i="20" s="1"/>
  <c r="AH760" i="19" s="1"/>
  <c r="J191" i="20"/>
  <c r="K192" i="20"/>
  <c r="K193" i="20"/>
  <c r="AH1038" i="19" s="1"/>
  <c r="AJ1038" i="19" s="1"/>
  <c r="J194" i="20"/>
  <c r="K194" i="20" s="1"/>
  <c r="J195" i="20"/>
  <c r="J196" i="20"/>
  <c r="J197" i="20"/>
  <c r="K197" i="20" s="1"/>
  <c r="K198" i="20"/>
  <c r="K199" i="20"/>
  <c r="AH780" i="19" s="1"/>
  <c r="AJ780" i="19" s="1"/>
  <c r="K200" i="20"/>
  <c r="AH1390" i="19" s="1"/>
  <c r="AJ1390" i="19" s="1"/>
  <c r="K201" i="20"/>
  <c r="AH566" i="19" s="1"/>
  <c r="AJ566" i="19" s="1"/>
  <c r="K202" i="20"/>
  <c r="AH464" i="19" s="1"/>
  <c r="K203" i="20"/>
  <c r="K204" i="20"/>
  <c r="AH800" i="19" s="1"/>
  <c r="AJ800" i="19" s="1"/>
  <c r="K205" i="20"/>
  <c r="AH1296" i="19" s="1"/>
  <c r="AJ1296" i="19" s="1"/>
  <c r="K206" i="20"/>
  <c r="AH450" i="19" s="1"/>
  <c r="K207" i="20"/>
  <c r="J208" i="20"/>
  <c r="K208" i="20" s="1"/>
  <c r="AH451" i="19" s="1"/>
  <c r="K209" i="20"/>
  <c r="AH1403" i="19" s="1"/>
  <c r="AJ1403" i="19" s="1"/>
  <c r="K210" i="20"/>
  <c r="K211" i="20"/>
  <c r="K212" i="20"/>
  <c r="AH1393" i="19" s="1"/>
  <c r="AJ1393" i="19" s="1"/>
  <c r="K213" i="20"/>
  <c r="AH1402" i="19" s="1"/>
  <c r="AJ1402" i="19" s="1"/>
  <c r="K214" i="20"/>
  <c r="K215" i="20"/>
  <c r="K216" i="20"/>
  <c r="K217" i="20"/>
  <c r="K218" i="20"/>
  <c r="J219" i="20"/>
  <c r="K219" i="20" s="1"/>
  <c r="AH761" i="19" s="1"/>
  <c r="AJ761" i="19" s="1"/>
  <c r="J220" i="20"/>
  <c r="K221" i="20"/>
  <c r="AH962" i="19" s="1"/>
  <c r="AJ962" i="19" s="1"/>
  <c r="K222" i="20"/>
  <c r="AH498" i="19" s="1"/>
  <c r="AJ498" i="19" s="1"/>
  <c r="AK498" i="19" s="1" a="1"/>
  <c r="AK498" i="19" s="1"/>
  <c r="K223" i="20"/>
  <c r="AH674" i="19" s="1"/>
  <c r="AJ674" i="19" s="1"/>
  <c r="K224" i="20"/>
  <c r="AH1329" i="19" s="1"/>
  <c r="AJ1329" i="19" s="1"/>
  <c r="J226" i="20"/>
  <c r="K227" i="20"/>
  <c r="K228" i="20"/>
  <c r="AH1101" i="19" s="1"/>
  <c r="AJ1101" i="19" s="1"/>
  <c r="J229" i="20"/>
  <c r="K230" i="20"/>
  <c r="AH1486" i="19" s="1"/>
  <c r="AJ1486" i="19" s="1"/>
  <c r="K231" i="20"/>
  <c r="K232" i="20"/>
  <c r="K233" i="20"/>
  <c r="AH500" i="19" s="1"/>
  <c r="K234" i="20"/>
  <c r="K235" i="20"/>
  <c r="K236" i="20"/>
  <c r="K240" i="20"/>
  <c r="K246" i="20"/>
  <c r="K247" i="20"/>
  <c r="K248" i="20"/>
  <c r="K249" i="20"/>
  <c r="K250" i="20"/>
  <c r="K251" i="20"/>
  <c r="K252" i="20"/>
  <c r="K253" i="20"/>
  <c r="K254" i="20"/>
  <c r="AH1972" i="19" s="1"/>
  <c r="AJ1972" i="19" s="1"/>
  <c r="AK1972" i="19" s="1" a="1"/>
  <c r="AK1972" i="19" s="1"/>
  <c r="K255" i="20"/>
  <c r="AH1974" i="19" s="1"/>
  <c r="AJ1974" i="19" s="1"/>
  <c r="AK1974" i="19" s="1" a="1"/>
  <c r="AK1974" i="19" s="1"/>
  <c r="K256" i="20"/>
  <c r="K257" i="20"/>
  <c r="K259" i="20"/>
  <c r="K260" i="20"/>
  <c r="AH2232" i="19" s="1"/>
  <c r="AJ2232" i="19" s="1"/>
  <c r="AK2232" i="19" s="1" a="1"/>
  <c r="AK2232" i="19" s="1"/>
  <c r="K261" i="20"/>
  <c r="AH1661" i="19" s="1"/>
  <c r="AJ1661" i="19" s="1"/>
  <c r="AK1661" i="19" s="1" a="1"/>
  <c r="AK1661" i="19" s="1"/>
  <c r="K118" i="20"/>
  <c r="K267" i="20"/>
  <c r="K268" i="20"/>
  <c r="K269" i="20"/>
  <c r="K270" i="20"/>
  <c r="K271" i="20"/>
  <c r="K272" i="20"/>
  <c r="K273" i="20"/>
  <c r="K274" i="20"/>
  <c r="K275" i="20"/>
  <c r="K276" i="20"/>
  <c r="K277" i="20"/>
  <c r="AH2042" i="19" s="1"/>
  <c r="AJ2042" i="19" s="1"/>
  <c r="AK2042" i="19" s="1" a="1"/>
  <c r="AK2042" i="19" s="1"/>
  <c r="K278" i="20"/>
  <c r="K279" i="20"/>
  <c r="K280" i="20"/>
  <c r="K281" i="20"/>
  <c r="K282" i="20"/>
  <c r="K284" i="20"/>
  <c r="K285" i="20"/>
  <c r="K286" i="20"/>
  <c r="K287" i="20"/>
  <c r="K289" i="20"/>
  <c r="K290" i="20"/>
  <c r="K291" i="20"/>
  <c r="K292" i="20"/>
  <c r="K293" i="20"/>
  <c r="K294" i="20"/>
  <c r="K295" i="20"/>
  <c r="K296" i="20"/>
  <c r="K297" i="20"/>
  <c r="K298" i="20"/>
  <c r="K299" i="20"/>
  <c r="K300" i="20"/>
  <c r="K301" i="20"/>
  <c r="K302" i="20"/>
  <c r="K303" i="20"/>
  <c r="K304" i="20"/>
  <c r="K305" i="20"/>
  <c r="K306" i="20"/>
  <c r="K307" i="20"/>
  <c r="K308" i="20"/>
  <c r="K309" i="20"/>
  <c r="K310" i="20"/>
  <c r="K311" i="20"/>
  <c r="K312" i="20"/>
  <c r="K313" i="20"/>
  <c r="K314" i="20"/>
  <c r="K315" i="20"/>
  <c r="K316" i="20"/>
  <c r="K317" i="20"/>
  <c r="K318" i="20"/>
  <c r="K319" i="20"/>
  <c r="K320" i="20"/>
  <c r="K321" i="20"/>
  <c r="K322" i="20"/>
  <c r="K323" i="20"/>
  <c r="K324" i="20"/>
  <c r="K325" i="20"/>
  <c r="K326" i="20"/>
  <c r="K327" i="20"/>
  <c r="K328" i="20"/>
  <c r="K329" i="20"/>
  <c r="K330" i="20"/>
  <c r="K331" i="20"/>
  <c r="K332" i="20"/>
  <c r="K333" i="20"/>
  <c r="K334" i="20"/>
  <c r="K335" i="20"/>
  <c r="K336" i="20"/>
  <c r="K337" i="20"/>
  <c r="K338" i="20"/>
  <c r="K339" i="20"/>
  <c r="K340" i="20"/>
  <c r="K341" i="20"/>
  <c r="K342" i="20"/>
  <c r="K343" i="20"/>
  <c r="K344" i="20"/>
  <c r="K345" i="20"/>
  <c r="K346" i="20"/>
  <c r="K347" i="20"/>
  <c r="K348" i="20"/>
  <c r="K349" i="20"/>
  <c r="K350" i="20"/>
  <c r="K351" i="20"/>
  <c r="K352" i="20"/>
  <c r="K353" i="20"/>
  <c r="K354" i="20"/>
  <c r="K355" i="20"/>
  <c r="K356" i="20"/>
  <c r="K357" i="20"/>
  <c r="K358" i="20"/>
  <c r="K359" i="20"/>
  <c r="K360" i="20"/>
  <c r="K361" i="20"/>
  <c r="K362" i="20"/>
  <c r="K363" i="20"/>
  <c r="K364" i="20"/>
  <c r="K365" i="20"/>
  <c r="K366" i="20"/>
  <c r="K367" i="20"/>
  <c r="K368" i="20"/>
  <c r="K369" i="20"/>
  <c r="K370" i="20"/>
  <c r="K371" i="20"/>
  <c r="K372" i="20"/>
  <c r="K373" i="20"/>
  <c r="K374" i="20"/>
  <c r="K375" i="20"/>
  <c r="K376" i="20"/>
  <c r="K377" i="20"/>
  <c r="K378" i="20"/>
  <c r="K379" i="20"/>
  <c r="K380" i="20"/>
  <c r="K381" i="20"/>
  <c r="K382" i="20"/>
  <c r="K383" i="20"/>
  <c r="K384" i="20"/>
  <c r="K385" i="20"/>
  <c r="K386" i="20"/>
  <c r="K387" i="20"/>
  <c r="K388" i="20"/>
  <c r="K389" i="20"/>
  <c r="K390" i="20"/>
  <c r="K391" i="20"/>
  <c r="K392" i="20"/>
  <c r="K393" i="20"/>
  <c r="K394" i="20"/>
  <c r="K395" i="20"/>
  <c r="K396" i="20"/>
  <c r="K397" i="20"/>
  <c r="K398" i="20"/>
  <c r="K399" i="20"/>
  <c r="K400" i="20"/>
  <c r="K401" i="20"/>
  <c r="K402" i="20"/>
  <c r="K403" i="20"/>
  <c r="K404" i="20"/>
  <c r="K405" i="20"/>
  <c r="K406" i="20"/>
  <c r="K407" i="20"/>
  <c r="K408" i="20"/>
  <c r="K409" i="20"/>
  <c r="K410" i="20"/>
  <c r="K411" i="20"/>
  <c r="K412" i="20"/>
  <c r="K413" i="20"/>
  <c r="K414" i="20"/>
  <c r="K415" i="20"/>
  <c r="K416" i="20"/>
  <c r="K417" i="20"/>
  <c r="K418" i="20"/>
  <c r="K419" i="20"/>
  <c r="K420" i="20"/>
  <c r="K421" i="20"/>
  <c r="K422" i="20"/>
  <c r="K423" i="20"/>
  <c r="K424" i="20"/>
  <c r="K425" i="20"/>
  <c r="K426" i="20"/>
  <c r="K427" i="20"/>
  <c r="K428" i="20"/>
  <c r="K429" i="20"/>
  <c r="K430" i="20"/>
  <c r="K431" i="20"/>
  <c r="K432" i="20"/>
  <c r="K433" i="20"/>
  <c r="K434" i="20"/>
  <c r="K435" i="20"/>
  <c r="K436" i="20"/>
  <c r="K437" i="20"/>
  <c r="K438" i="20"/>
  <c r="K439" i="20"/>
  <c r="K440" i="20"/>
  <c r="K441" i="20"/>
  <c r="K442" i="20"/>
  <c r="K443" i="20"/>
  <c r="K444" i="20"/>
  <c r="K445" i="20"/>
  <c r="K446" i="20"/>
  <c r="W2" i="19"/>
  <c r="X2" i="19"/>
  <c r="AD2" i="19"/>
  <c r="AE2" i="19"/>
  <c r="AF2" i="19"/>
  <c r="AJ2" i="19"/>
  <c r="AK2" i="19" s="1" a="1"/>
  <c r="AK2" i="19" s="1"/>
  <c r="U3" i="19"/>
  <c r="W3" i="19" s="1"/>
  <c r="AD3" i="19"/>
  <c r="AE3" i="19"/>
  <c r="AF3" i="19"/>
  <c r="AH3" i="19"/>
  <c r="AI3" i="19"/>
  <c r="W4" i="19"/>
  <c r="X4" i="19"/>
  <c r="AD4" i="19"/>
  <c r="AE4" i="19"/>
  <c r="AF4" i="19"/>
  <c r="AJ4" i="19"/>
  <c r="AK4" i="19" s="1" a="1"/>
  <c r="AK4" i="19" s="1"/>
  <c r="U5" i="19"/>
  <c r="W5" i="19" s="1"/>
  <c r="AD5" i="19"/>
  <c r="AE5" i="19"/>
  <c r="AF5" i="19"/>
  <c r="AH5" i="19"/>
  <c r="W6" i="19"/>
  <c r="X6" i="19"/>
  <c r="AJ6" i="19"/>
  <c r="AK6" i="19" s="1" a="1"/>
  <c r="AK6" i="19" s="1"/>
  <c r="W7" i="19"/>
  <c r="X7" i="19"/>
  <c r="AD7" i="19"/>
  <c r="AE7" i="19"/>
  <c r="AF7" i="19"/>
  <c r="AJ7" i="19"/>
  <c r="AK7" i="19" s="1" a="1"/>
  <c r="AK7" i="19" s="1"/>
  <c r="W9" i="19"/>
  <c r="X9" i="19"/>
  <c r="AD9" i="19"/>
  <c r="AE9" i="19"/>
  <c r="AF9" i="19"/>
  <c r="AH9" i="19"/>
  <c r="AJ9" i="19" s="1"/>
  <c r="AK9" i="19" s="1" a="1"/>
  <c r="AK9" i="19" s="1"/>
  <c r="W8" i="19"/>
  <c r="X8" i="19"/>
  <c r="AD8" i="19"/>
  <c r="AE8" i="19"/>
  <c r="AF8" i="19"/>
  <c r="AH8" i="19"/>
  <c r="AJ8" i="19" s="1"/>
  <c r="AK8" i="19" s="1" a="1"/>
  <c r="AK8" i="19" s="1"/>
  <c r="W10" i="19"/>
  <c r="X10" i="19"/>
  <c r="AD10" i="19"/>
  <c r="AE10" i="19"/>
  <c r="AF10" i="19"/>
  <c r="AJ10" i="19"/>
  <c r="AK10" i="19" s="1" a="1"/>
  <c r="AK10" i="19" s="1"/>
  <c r="W11" i="19"/>
  <c r="X11" i="19"/>
  <c r="AD11" i="19"/>
  <c r="AE11" i="19"/>
  <c r="AF11" i="19"/>
  <c r="AJ11" i="19"/>
  <c r="AK11" i="19" s="1" a="1"/>
  <c r="AK11" i="19" s="1"/>
  <c r="W12" i="19"/>
  <c r="X12" i="19"/>
  <c r="AD12" i="19"/>
  <c r="AE12" i="19"/>
  <c r="AF12" i="19"/>
  <c r="AJ12" i="19"/>
  <c r="AK12" i="19" s="1" a="1"/>
  <c r="AK12" i="19" s="1"/>
  <c r="W14" i="19"/>
  <c r="X14" i="19"/>
  <c r="AD14" i="19"/>
  <c r="AE14" i="19"/>
  <c r="AF14" i="19"/>
  <c r="AJ14" i="19"/>
  <c r="AK14" i="19" s="1" a="1"/>
  <c r="AK14" i="19" s="1"/>
  <c r="W13" i="19"/>
  <c r="X13" i="19"/>
  <c r="AD13" i="19"/>
  <c r="AE13" i="19"/>
  <c r="AF13" i="19"/>
  <c r="AJ13" i="19"/>
  <c r="AK13" i="19" s="1" a="1"/>
  <c r="AK13" i="19" s="1"/>
  <c r="W15" i="19"/>
  <c r="X15" i="19"/>
  <c r="AD15" i="19"/>
  <c r="AE15" i="19"/>
  <c r="AF15" i="19"/>
  <c r="AJ15" i="19"/>
  <c r="AK15" i="19" s="1" a="1"/>
  <c r="AK15" i="19" s="1"/>
  <c r="W16" i="19"/>
  <c r="X16" i="19"/>
  <c r="AD16" i="19"/>
  <c r="AE16" i="19"/>
  <c r="AF16" i="19"/>
  <c r="AJ16" i="19"/>
  <c r="AK16" i="19" s="1" a="1"/>
  <c r="AK16" i="19" s="1"/>
  <c r="W25" i="19"/>
  <c r="X25" i="19"/>
  <c r="AD25" i="19"/>
  <c r="AE25" i="19"/>
  <c r="AF25" i="19"/>
  <c r="AH25" i="19"/>
  <c r="AJ25" i="19" s="1"/>
  <c r="AK25" i="19" s="1" a="1"/>
  <c r="AK25" i="19" s="1"/>
  <c r="W26" i="19"/>
  <c r="X26" i="19"/>
  <c r="AD26" i="19"/>
  <c r="AE26" i="19"/>
  <c r="AF26" i="19"/>
  <c r="AH26" i="19"/>
  <c r="AJ26" i="19" s="1"/>
  <c r="AK26" i="19" s="1" a="1"/>
  <c r="AK26" i="19" s="1"/>
  <c r="W24" i="19"/>
  <c r="X24" i="19"/>
  <c r="AD24" i="19"/>
  <c r="AE24" i="19"/>
  <c r="AF24" i="19"/>
  <c r="AH24" i="19"/>
  <c r="AJ24" i="19" s="1"/>
  <c r="AK24" i="19" s="1" a="1"/>
  <c r="AK24" i="19" s="1"/>
  <c r="U17" i="19"/>
  <c r="W17" i="19" s="1"/>
  <c r="AD17" i="19"/>
  <c r="AE17" i="19"/>
  <c r="AF17" i="19"/>
  <c r="U18" i="19"/>
  <c r="W18" i="19" s="1"/>
  <c r="AD18" i="19"/>
  <c r="AE18" i="19"/>
  <c r="AF18" i="19"/>
  <c r="U19" i="19"/>
  <c r="W19" i="19" s="1"/>
  <c r="AD19" i="19"/>
  <c r="AE19" i="19"/>
  <c r="AF19" i="19"/>
  <c r="W20" i="19"/>
  <c r="X20" i="19"/>
  <c r="AD20" i="19"/>
  <c r="AE20" i="19"/>
  <c r="AF20" i="19"/>
  <c r="AJ20" i="19"/>
  <c r="AK20" i="19" s="1" a="1"/>
  <c r="AK20" i="19" s="1"/>
  <c r="W21" i="19"/>
  <c r="X21" i="19"/>
  <c r="AD21" i="19"/>
  <c r="AE21" i="19"/>
  <c r="AF21" i="19"/>
  <c r="AH21" i="19"/>
  <c r="AJ21" i="19" s="1"/>
  <c r="AK21" i="19" s="1" a="1"/>
  <c r="AK21" i="19" s="1"/>
  <c r="U22" i="19"/>
  <c r="AJ22" i="19" s="1"/>
  <c r="AK22" i="19" s="1" a="1"/>
  <c r="AK22" i="19" s="1"/>
  <c r="AD22" i="19"/>
  <c r="AE22" i="19"/>
  <c r="AF22" i="19"/>
  <c r="U23" i="19"/>
  <c r="W23" i="19" s="1"/>
  <c r="AD23" i="19"/>
  <c r="AE23" i="19"/>
  <c r="AF23" i="19"/>
  <c r="E27" i="19"/>
  <c r="W27" i="19"/>
  <c r="X27" i="19"/>
  <c r="AD27" i="19"/>
  <c r="AE27" i="19"/>
  <c r="AF27" i="19"/>
  <c r="AJ27" i="19"/>
  <c r="AK27" i="19" s="1" a="1"/>
  <c r="AK27" i="19" s="1"/>
  <c r="E29" i="19"/>
  <c r="W29" i="19"/>
  <c r="X29" i="19"/>
  <c r="AD29" i="19"/>
  <c r="AE29" i="19"/>
  <c r="AF29" i="19"/>
  <c r="AJ29" i="19"/>
  <c r="AK29" i="19" s="1" a="1"/>
  <c r="AK29" i="19" s="1"/>
  <c r="E28" i="19"/>
  <c r="W28" i="19"/>
  <c r="X28" i="19"/>
  <c r="AD28" i="19"/>
  <c r="AE28" i="19"/>
  <c r="AF28" i="19"/>
  <c r="AJ28" i="19"/>
  <c r="AK28" i="19" s="1" a="1"/>
  <c r="AK28" i="19" s="1"/>
  <c r="E30" i="19"/>
  <c r="W30" i="19"/>
  <c r="X30" i="19"/>
  <c r="AD30" i="19"/>
  <c r="AE30" i="19"/>
  <c r="AF30" i="19"/>
  <c r="AJ30" i="19"/>
  <c r="AK30" i="19" s="1" a="1"/>
  <c r="AK30" i="19" s="1"/>
  <c r="W39" i="19"/>
  <c r="X39" i="19"/>
  <c r="AD39" i="19"/>
  <c r="AE39" i="19"/>
  <c r="AF39" i="19"/>
  <c r="AH39" i="19"/>
  <c r="AJ39" i="19" s="1"/>
  <c r="AK39" i="19" s="1" a="1"/>
  <c r="AK39" i="19" s="1"/>
  <c r="W33" i="19"/>
  <c r="X33" i="19"/>
  <c r="AD33" i="19"/>
  <c r="AE33" i="19"/>
  <c r="AF33" i="19"/>
  <c r="AH33" i="19"/>
  <c r="AJ33" i="19" s="1"/>
  <c r="AK33" i="19" s="1" a="1"/>
  <c r="AK33" i="19" s="1"/>
  <c r="W31" i="19"/>
  <c r="X31" i="19"/>
  <c r="AD31" i="19"/>
  <c r="AE31" i="19"/>
  <c r="AF31" i="19"/>
  <c r="AH31" i="19"/>
  <c r="AJ31" i="19" s="1"/>
  <c r="AK31" i="19" s="1" a="1"/>
  <c r="AK31" i="19" s="1"/>
  <c r="E32" i="19"/>
  <c r="W32" i="19"/>
  <c r="X32" i="19"/>
  <c r="AD32" i="19"/>
  <c r="AE32" i="19"/>
  <c r="AF32" i="19"/>
  <c r="AH32" i="19"/>
  <c r="AJ32" i="19" s="1"/>
  <c r="AK32" i="19" s="1" a="1"/>
  <c r="AK32" i="19" s="1"/>
  <c r="E38" i="19"/>
  <c r="W38" i="19"/>
  <c r="X38" i="19"/>
  <c r="AD38" i="19"/>
  <c r="AE38" i="19"/>
  <c r="AF38" i="19"/>
  <c r="AH38" i="19"/>
  <c r="AJ38" i="19" s="1"/>
  <c r="AK38" i="19" s="1" a="1"/>
  <c r="AK38" i="19" s="1"/>
  <c r="E37" i="19"/>
  <c r="W37" i="19"/>
  <c r="X37" i="19"/>
  <c r="AD37" i="19"/>
  <c r="AE37" i="19"/>
  <c r="AF37" i="19"/>
  <c r="AH37" i="19"/>
  <c r="AJ37" i="19" s="1"/>
  <c r="AK37" i="19" s="1" a="1"/>
  <c r="AK37" i="19" s="1"/>
  <c r="E36" i="19"/>
  <c r="W36" i="19"/>
  <c r="X36" i="19"/>
  <c r="AD36" i="19"/>
  <c r="AE36" i="19"/>
  <c r="AF36" i="19"/>
  <c r="AH36" i="19"/>
  <c r="AJ36" i="19" s="1"/>
  <c r="AK36" i="19" s="1" a="1"/>
  <c r="AK36" i="19" s="1"/>
  <c r="E35" i="19"/>
  <c r="W35" i="19"/>
  <c r="X35" i="19"/>
  <c r="AD35" i="19"/>
  <c r="AE35" i="19"/>
  <c r="AF35" i="19"/>
  <c r="AH35" i="19"/>
  <c r="AJ35" i="19" s="1"/>
  <c r="AK35" i="19" s="1" a="1"/>
  <c r="AK35" i="19" s="1"/>
  <c r="E34" i="19"/>
  <c r="W34" i="19"/>
  <c r="X34" i="19"/>
  <c r="AD34" i="19"/>
  <c r="AE34" i="19"/>
  <c r="AF34" i="19"/>
  <c r="AH34" i="19"/>
  <c r="AJ34" i="19" s="1"/>
  <c r="AK34" i="19" s="1" a="1"/>
  <c r="AK34" i="19" s="1"/>
  <c r="U41" i="19"/>
  <c r="W41" i="19" s="1"/>
  <c r="AD41" i="19"/>
  <c r="AE41" i="19"/>
  <c r="AF41" i="19"/>
  <c r="U42" i="19"/>
  <c r="W42" i="19" s="1"/>
  <c r="AD42" i="19"/>
  <c r="AE42" i="19"/>
  <c r="AF42" i="19"/>
  <c r="U43" i="19"/>
  <c r="W43" i="19" s="1"/>
  <c r="AD43" i="19"/>
  <c r="AE43" i="19"/>
  <c r="AF43" i="19"/>
  <c r="W40" i="19"/>
  <c r="X40" i="19"/>
  <c r="AD40" i="19"/>
  <c r="AE40" i="19"/>
  <c r="AF40" i="19"/>
  <c r="AJ40" i="19"/>
  <c r="AK40" i="19" s="1" a="1"/>
  <c r="AK40" i="19" s="1"/>
  <c r="U44" i="19"/>
  <c r="AJ44" i="19" s="1"/>
  <c r="AK44" i="19" s="1" a="1"/>
  <c r="AK44" i="19" s="1"/>
  <c r="AD44" i="19"/>
  <c r="AE44" i="19"/>
  <c r="AF44" i="19"/>
  <c r="W45" i="19"/>
  <c r="X45" i="19"/>
  <c r="AD45" i="19"/>
  <c r="AE45" i="19"/>
  <c r="AF45" i="19"/>
  <c r="AJ45" i="19"/>
  <c r="AK45" i="19" s="1" a="1"/>
  <c r="AK45" i="19" s="1"/>
  <c r="W48" i="19"/>
  <c r="X48" i="19"/>
  <c r="AD48" i="19"/>
  <c r="AE48" i="19"/>
  <c r="AF48" i="19"/>
  <c r="AJ48" i="19"/>
  <c r="AK48" i="19" s="1" a="1"/>
  <c r="AK48" i="19" s="1"/>
  <c r="W46" i="19"/>
  <c r="X46" i="19"/>
  <c r="AD46" i="19"/>
  <c r="AE46" i="19"/>
  <c r="AF46" i="19"/>
  <c r="AJ46" i="19"/>
  <c r="AK46" i="19" s="1" a="1"/>
  <c r="AK46" i="19" s="1"/>
  <c r="W47" i="19"/>
  <c r="X47" i="19"/>
  <c r="AD47" i="19"/>
  <c r="AE47" i="19"/>
  <c r="AF47" i="19"/>
  <c r="AJ47" i="19"/>
  <c r="AK47" i="19" s="1" a="1"/>
  <c r="AK47" i="19" s="1"/>
  <c r="W49" i="19"/>
  <c r="X49" i="19"/>
  <c r="AD49" i="19"/>
  <c r="AE49" i="19"/>
  <c r="AF49" i="19"/>
  <c r="AJ49" i="19"/>
  <c r="AK49" i="19" s="1" a="1"/>
  <c r="AK49" i="19" s="1"/>
  <c r="E50" i="19"/>
  <c r="W50" i="19"/>
  <c r="X50" i="19"/>
  <c r="AD50" i="19"/>
  <c r="AE50" i="19"/>
  <c r="AF50" i="19"/>
  <c r="AJ50" i="19"/>
  <c r="AK50" i="19" s="1" a="1"/>
  <c r="AK50" i="19" s="1"/>
  <c r="W51" i="19"/>
  <c r="X51" i="19"/>
  <c r="AD51" i="19"/>
  <c r="AE51" i="19"/>
  <c r="AF51" i="19"/>
  <c r="AJ51" i="19"/>
  <c r="AK51" i="19" s="1" a="1"/>
  <c r="AK51" i="19" s="1"/>
  <c r="E52" i="19"/>
  <c r="W52" i="19"/>
  <c r="X52" i="19"/>
  <c r="AD52" i="19"/>
  <c r="AE52" i="19"/>
  <c r="AF52" i="19"/>
  <c r="AJ52" i="19"/>
  <c r="AK52" i="19" s="1" a="1"/>
  <c r="AK52" i="19" s="1"/>
  <c r="E54" i="19"/>
  <c r="W54" i="19"/>
  <c r="X54" i="19"/>
  <c r="AD54" i="19"/>
  <c r="AE54" i="19"/>
  <c r="AF54" i="19"/>
  <c r="AJ54" i="19"/>
  <c r="AK54" i="19" s="1" a="1"/>
  <c r="AK54" i="19" s="1"/>
  <c r="E53" i="19"/>
  <c r="W53" i="19"/>
  <c r="X53" i="19"/>
  <c r="AD53" i="19"/>
  <c r="AE53" i="19"/>
  <c r="AF53" i="19"/>
  <c r="AJ53" i="19"/>
  <c r="AK53" i="19" s="1" a="1"/>
  <c r="AK53" i="19" s="1"/>
  <c r="E63" i="19"/>
  <c r="W63" i="19"/>
  <c r="X63" i="19"/>
  <c r="AD63" i="19"/>
  <c r="AE63" i="19"/>
  <c r="AF63" i="19"/>
  <c r="AJ63" i="19"/>
  <c r="AK63" i="19" s="1" a="1"/>
  <c r="AK63" i="19" s="1"/>
  <c r="E64" i="19"/>
  <c r="W64" i="19"/>
  <c r="X64" i="19"/>
  <c r="AD64" i="19"/>
  <c r="AE64" i="19"/>
  <c r="AF64" i="19"/>
  <c r="AJ64" i="19"/>
  <c r="AK64" i="19" s="1" a="1"/>
  <c r="AK64" i="19" s="1"/>
  <c r="E57" i="19"/>
  <c r="W57" i="19"/>
  <c r="X57" i="19"/>
  <c r="AD57" i="19"/>
  <c r="AE57" i="19"/>
  <c r="AF57" i="19"/>
  <c r="AJ57" i="19"/>
  <c r="AK57" i="19" s="1" a="1"/>
  <c r="AK57" i="19" s="1"/>
  <c r="E65" i="19"/>
  <c r="W65" i="19"/>
  <c r="X65" i="19"/>
  <c r="AD65" i="19"/>
  <c r="AE65" i="19"/>
  <c r="AF65" i="19"/>
  <c r="AJ65" i="19"/>
  <c r="AK65" i="19" s="1" a="1"/>
  <c r="AK65" i="19" s="1"/>
  <c r="W56" i="19"/>
  <c r="X56" i="19"/>
  <c r="AD56" i="19"/>
  <c r="AE56" i="19"/>
  <c r="AF56" i="19"/>
  <c r="AJ56" i="19"/>
  <c r="AK56" i="19" s="1" a="1"/>
  <c r="AK56" i="19" s="1"/>
  <c r="E55" i="19"/>
  <c r="W55" i="19"/>
  <c r="X55" i="19"/>
  <c r="AD55" i="19"/>
  <c r="AE55" i="19"/>
  <c r="AF55" i="19"/>
  <c r="AJ55" i="19"/>
  <c r="AK55" i="19" s="1" a="1"/>
  <c r="AK55" i="19" s="1"/>
  <c r="E62" i="19"/>
  <c r="W62" i="19"/>
  <c r="X62" i="19"/>
  <c r="AD62" i="19"/>
  <c r="AE62" i="19"/>
  <c r="AF62" i="19"/>
  <c r="AJ62" i="19"/>
  <c r="AK62" i="19" s="1" a="1"/>
  <c r="AK62" i="19" s="1"/>
  <c r="E61" i="19"/>
  <c r="W61" i="19"/>
  <c r="X61" i="19"/>
  <c r="AD61" i="19"/>
  <c r="AE61" i="19"/>
  <c r="AF61" i="19"/>
  <c r="AJ61" i="19"/>
  <c r="AK61" i="19" s="1" a="1"/>
  <c r="AK61" i="19" s="1"/>
  <c r="E60" i="19"/>
  <c r="W60" i="19"/>
  <c r="X60" i="19"/>
  <c r="AD60" i="19"/>
  <c r="AE60" i="19"/>
  <c r="AF60" i="19"/>
  <c r="AJ60" i="19"/>
  <c r="AK60" i="19" s="1" a="1"/>
  <c r="AK60" i="19" s="1"/>
  <c r="E59" i="19"/>
  <c r="W59" i="19"/>
  <c r="X59" i="19"/>
  <c r="AD59" i="19"/>
  <c r="AE59" i="19"/>
  <c r="AF59" i="19"/>
  <c r="AJ59" i="19"/>
  <c r="AK59" i="19" s="1" a="1"/>
  <c r="AK59" i="19" s="1"/>
  <c r="E58" i="19"/>
  <c r="W58" i="19"/>
  <c r="X58" i="19"/>
  <c r="AD58" i="19"/>
  <c r="AE58" i="19"/>
  <c r="AF58" i="19"/>
  <c r="AJ58" i="19"/>
  <c r="AK58" i="19" s="1" a="1"/>
  <c r="AK58" i="19" s="1"/>
  <c r="U66" i="19"/>
  <c r="W66" i="19" s="1"/>
  <c r="AD66" i="19"/>
  <c r="AE66" i="19"/>
  <c r="AF66" i="19"/>
  <c r="AH66" i="19"/>
  <c r="U67" i="19"/>
  <c r="W67" i="19" s="1"/>
  <c r="AD67" i="19"/>
  <c r="AE67" i="19"/>
  <c r="AF67" i="19"/>
  <c r="E68" i="19"/>
  <c r="W68" i="19"/>
  <c r="X68" i="19"/>
  <c r="AD68" i="19"/>
  <c r="AE68" i="19"/>
  <c r="AF68" i="19"/>
  <c r="AJ68" i="19"/>
  <c r="AK68" i="19" s="1" a="1"/>
  <c r="AK68" i="19" s="1"/>
  <c r="W69" i="19"/>
  <c r="X69" i="19"/>
  <c r="AD69" i="19"/>
  <c r="AE69" i="19"/>
  <c r="AF69" i="19"/>
  <c r="AJ69" i="19"/>
  <c r="AK69" i="19" s="1" a="1"/>
  <c r="AK69" i="19" s="1"/>
  <c r="E70" i="19"/>
  <c r="W70" i="19"/>
  <c r="X70" i="19"/>
  <c r="AD70" i="19"/>
  <c r="AE70" i="19"/>
  <c r="AF70" i="19"/>
  <c r="AJ70" i="19"/>
  <c r="AK70" i="19" s="1" a="1"/>
  <c r="AK70" i="19" s="1"/>
  <c r="E71" i="19"/>
  <c r="U71" i="19"/>
  <c r="AJ71" i="19" s="1"/>
  <c r="AK71" i="19" s="1" a="1"/>
  <c r="AK71" i="19" s="1"/>
  <c r="AD71" i="19"/>
  <c r="AE71" i="19"/>
  <c r="AF71" i="19"/>
  <c r="E73" i="19"/>
  <c r="W73" i="19"/>
  <c r="X73" i="19"/>
  <c r="AD73" i="19"/>
  <c r="AE73" i="19"/>
  <c r="AF73" i="19"/>
  <c r="AJ73" i="19"/>
  <c r="AK73" i="19" s="1" a="1"/>
  <c r="AK73" i="19" s="1"/>
  <c r="E72" i="19"/>
  <c r="W72" i="19"/>
  <c r="X72" i="19"/>
  <c r="AD72" i="19"/>
  <c r="AE72" i="19"/>
  <c r="AF72" i="19"/>
  <c r="AJ72" i="19"/>
  <c r="AK72" i="19" s="1" a="1"/>
  <c r="AK72" i="19" s="1"/>
  <c r="E74" i="19"/>
  <c r="W74" i="19"/>
  <c r="X74" i="19"/>
  <c r="AD74" i="19"/>
  <c r="AE74" i="19"/>
  <c r="AF74" i="19"/>
  <c r="AJ74" i="19"/>
  <c r="AK74" i="19" s="1" a="1"/>
  <c r="AK74" i="19" s="1"/>
  <c r="E75" i="19"/>
  <c r="W75" i="19"/>
  <c r="X75" i="19"/>
  <c r="AD75" i="19"/>
  <c r="AE75" i="19"/>
  <c r="AF75" i="19"/>
  <c r="AH75" i="19"/>
  <c r="AJ75" i="19" s="1"/>
  <c r="AK75" i="19" s="1" a="1"/>
  <c r="AK75" i="19" s="1"/>
  <c r="E76" i="19"/>
  <c r="W76" i="19"/>
  <c r="X76" i="19"/>
  <c r="AD76" i="19"/>
  <c r="AE76" i="19"/>
  <c r="AF76" i="19"/>
  <c r="AH76" i="19"/>
  <c r="AJ76" i="19" s="1"/>
  <c r="AK76" i="19" s="1" a="1"/>
  <c r="AK76" i="19" s="1"/>
  <c r="E77" i="19"/>
  <c r="W77" i="19"/>
  <c r="X77" i="19"/>
  <c r="AD77" i="19"/>
  <c r="AE77" i="19"/>
  <c r="AF77" i="19"/>
  <c r="AH77" i="19"/>
  <c r="AJ77" i="19" s="1"/>
  <c r="AK77" i="19" s="1" a="1"/>
  <c r="AK77" i="19" s="1"/>
  <c r="W78" i="19"/>
  <c r="X78" i="19"/>
  <c r="AD78" i="19"/>
  <c r="AE78" i="19"/>
  <c r="AF78" i="19"/>
  <c r="AI78" i="19"/>
  <c r="AJ78" i="19"/>
  <c r="AK78" i="19" s="1" a="1"/>
  <c r="AK78" i="19" s="1"/>
  <c r="E79" i="19"/>
  <c r="W79" i="19"/>
  <c r="X79" i="19"/>
  <c r="AD79" i="19"/>
  <c r="AE79" i="19"/>
  <c r="AF79" i="19"/>
  <c r="AJ79" i="19"/>
  <c r="AK79" i="19" s="1" a="1"/>
  <c r="AK79" i="19" s="1"/>
  <c r="E81" i="19"/>
  <c r="W81" i="19"/>
  <c r="X81" i="19"/>
  <c r="AD81" i="19"/>
  <c r="AE81" i="19"/>
  <c r="AF81" i="19"/>
  <c r="AJ81" i="19"/>
  <c r="AK81" i="19" s="1" a="1"/>
  <c r="AK81" i="19" s="1"/>
  <c r="E82" i="19"/>
  <c r="W82" i="19"/>
  <c r="X82" i="19"/>
  <c r="AD82" i="19"/>
  <c r="AE82" i="19"/>
  <c r="AF82" i="19"/>
  <c r="AJ82" i="19"/>
  <c r="AK82" i="19" s="1" a="1"/>
  <c r="AK82" i="19" s="1"/>
  <c r="E83" i="19"/>
  <c r="W83" i="19"/>
  <c r="X83" i="19"/>
  <c r="AD83" i="19"/>
  <c r="AE83" i="19"/>
  <c r="AF83" i="19"/>
  <c r="AJ83" i="19"/>
  <c r="AK83" i="19" s="1" a="1"/>
  <c r="AK83" i="19" s="1"/>
  <c r="E80" i="19"/>
  <c r="W80" i="19"/>
  <c r="X80" i="19"/>
  <c r="AD80" i="19"/>
  <c r="AE80" i="19"/>
  <c r="AF80" i="19"/>
  <c r="AJ80" i="19"/>
  <c r="AK80" i="19" s="1" a="1"/>
  <c r="AK80" i="19" s="1"/>
  <c r="E88" i="19"/>
  <c r="W88" i="19"/>
  <c r="X88" i="19"/>
  <c r="AD88" i="19"/>
  <c r="AE88" i="19"/>
  <c r="AF88" i="19"/>
  <c r="AJ88" i="19"/>
  <c r="AK88" i="19" s="1" a="1"/>
  <c r="AK88" i="19" s="1"/>
  <c r="E84" i="19"/>
  <c r="W84" i="19"/>
  <c r="X84" i="19"/>
  <c r="AD84" i="19"/>
  <c r="AE84" i="19"/>
  <c r="AF84" i="19"/>
  <c r="AJ84" i="19"/>
  <c r="AK84" i="19" s="1" a="1"/>
  <c r="AK84" i="19" s="1"/>
  <c r="E86" i="19"/>
  <c r="W86" i="19"/>
  <c r="X86" i="19"/>
  <c r="AD86" i="19"/>
  <c r="AE86" i="19"/>
  <c r="AF86" i="19"/>
  <c r="AJ86" i="19"/>
  <c r="AK86" i="19" s="1" a="1"/>
  <c r="AK86" i="19" s="1"/>
  <c r="E85" i="19"/>
  <c r="W85" i="19"/>
  <c r="X85" i="19"/>
  <c r="AD85" i="19"/>
  <c r="AE85" i="19"/>
  <c r="AF85" i="19"/>
  <c r="AJ85" i="19"/>
  <c r="AK85" i="19" s="1" a="1"/>
  <c r="AK85" i="19" s="1"/>
  <c r="E87" i="19"/>
  <c r="W87" i="19"/>
  <c r="X87" i="19"/>
  <c r="AD87" i="19"/>
  <c r="AE87" i="19"/>
  <c r="AF87" i="19"/>
  <c r="AJ87" i="19"/>
  <c r="AK87" i="19" s="1" a="1"/>
  <c r="AK87" i="19" s="1"/>
  <c r="W90" i="19"/>
  <c r="X90" i="19"/>
  <c r="AD90" i="19"/>
  <c r="AE90" i="19"/>
  <c r="AF90" i="19"/>
  <c r="AJ90" i="19"/>
  <c r="AK90" i="19" s="1" a="1"/>
  <c r="AK90" i="19" s="1"/>
  <c r="W89" i="19"/>
  <c r="X89" i="19"/>
  <c r="AD89" i="19"/>
  <c r="AE89" i="19"/>
  <c r="AF89" i="19"/>
  <c r="AJ89" i="19"/>
  <c r="AK89" i="19" s="1" a="1"/>
  <c r="AK89" i="19" s="1"/>
  <c r="W91" i="19"/>
  <c r="X91" i="19"/>
  <c r="AD91" i="19"/>
  <c r="AE91" i="19"/>
  <c r="AF91" i="19"/>
  <c r="AJ91" i="19"/>
  <c r="AK91" i="19" s="1" a="1"/>
  <c r="AK91" i="19" s="1"/>
  <c r="W93" i="19"/>
  <c r="X93" i="19"/>
  <c r="AD93" i="19"/>
  <c r="AE93" i="19"/>
  <c r="AF93" i="19"/>
  <c r="AJ93" i="19"/>
  <c r="AK93" i="19" s="1" a="1"/>
  <c r="AK93" i="19" s="1"/>
  <c r="W92" i="19"/>
  <c r="X92" i="19"/>
  <c r="AD92" i="19"/>
  <c r="AE92" i="19"/>
  <c r="AF92" i="19"/>
  <c r="AJ92" i="19"/>
  <c r="AK92" i="19" s="1" a="1"/>
  <c r="AK92" i="19" s="1"/>
  <c r="W95" i="19"/>
  <c r="X95" i="19"/>
  <c r="AD95" i="19"/>
  <c r="AE95" i="19"/>
  <c r="AF95" i="19"/>
  <c r="AJ95" i="19"/>
  <c r="AK95" i="19" s="1" a="1"/>
  <c r="AK95" i="19" s="1"/>
  <c r="W94" i="19"/>
  <c r="X94" i="19"/>
  <c r="AD94" i="19"/>
  <c r="AE94" i="19"/>
  <c r="AF94" i="19"/>
  <c r="AJ94" i="19"/>
  <c r="AK94" i="19" s="1" a="1"/>
  <c r="AK94" i="19" s="1"/>
  <c r="W97" i="19"/>
  <c r="X97" i="19"/>
  <c r="AD97" i="19"/>
  <c r="AE97" i="19"/>
  <c r="AF97" i="19"/>
  <c r="AJ97" i="19"/>
  <c r="AK97" i="19" s="1" a="1"/>
  <c r="AK97" i="19" s="1"/>
  <c r="W96" i="19"/>
  <c r="X96" i="19"/>
  <c r="AD96" i="19"/>
  <c r="AE96" i="19"/>
  <c r="AF96" i="19"/>
  <c r="AJ96" i="19"/>
  <c r="AK96" i="19" s="1" a="1"/>
  <c r="AK96" i="19" s="1"/>
  <c r="E98" i="19"/>
  <c r="W98" i="19"/>
  <c r="X98" i="19"/>
  <c r="AD98" i="19"/>
  <c r="AE98" i="19"/>
  <c r="AF98" i="19"/>
  <c r="AH98" i="19"/>
  <c r="AJ98" i="19" s="1"/>
  <c r="AK98" i="19" s="1" a="1"/>
  <c r="AK98" i="19" s="1"/>
  <c r="E100" i="19"/>
  <c r="W100" i="19"/>
  <c r="X100" i="19"/>
  <c r="AD100" i="19"/>
  <c r="AE100" i="19"/>
  <c r="AF100" i="19"/>
  <c r="AH100" i="19"/>
  <c r="AJ100" i="19" s="1"/>
  <c r="AK100" i="19" s="1" a="1"/>
  <c r="AK100" i="19" s="1"/>
  <c r="E99" i="19"/>
  <c r="W99" i="19"/>
  <c r="X99" i="19"/>
  <c r="AD99" i="19"/>
  <c r="AE99" i="19"/>
  <c r="AF99" i="19"/>
  <c r="AH99" i="19"/>
  <c r="AJ99" i="19" s="1"/>
  <c r="AK99" i="19" s="1" a="1"/>
  <c r="AK99" i="19" s="1"/>
  <c r="E101" i="19"/>
  <c r="W101" i="19"/>
  <c r="X101" i="19"/>
  <c r="AD101" i="19"/>
  <c r="AE101" i="19"/>
  <c r="AF101" i="19"/>
  <c r="AH101" i="19"/>
  <c r="AJ101" i="19" s="1"/>
  <c r="AK101" i="19" s="1" a="1"/>
  <c r="AK101" i="19" s="1"/>
  <c r="E103" i="19"/>
  <c r="W103" i="19"/>
  <c r="X103" i="19"/>
  <c r="AD103" i="19"/>
  <c r="AE103" i="19"/>
  <c r="AF103" i="19"/>
  <c r="AJ103" i="19"/>
  <c r="AK103" i="19" s="1" a="1"/>
  <c r="AK103" i="19" s="1"/>
  <c r="E102" i="19"/>
  <c r="W102" i="19"/>
  <c r="X102" i="19"/>
  <c r="AD102" i="19"/>
  <c r="AE102" i="19"/>
  <c r="AF102" i="19"/>
  <c r="AJ102" i="19"/>
  <c r="AK102" i="19" s="1" a="1"/>
  <c r="AK102" i="19" s="1"/>
  <c r="E104" i="19"/>
  <c r="W104" i="19"/>
  <c r="X104" i="19"/>
  <c r="AD104" i="19"/>
  <c r="AE104" i="19"/>
  <c r="AF104" i="19"/>
  <c r="AJ104" i="19"/>
  <c r="AK104" i="19" s="1" a="1"/>
  <c r="AK104" i="19" s="1"/>
  <c r="W113" i="19"/>
  <c r="X113" i="19"/>
  <c r="AD113" i="19"/>
  <c r="AE113" i="19"/>
  <c r="AF113" i="19"/>
  <c r="AJ113" i="19"/>
  <c r="AK113" i="19" s="1" a="1"/>
  <c r="AK113" i="19" s="1"/>
  <c r="W116" i="19"/>
  <c r="X116" i="19"/>
  <c r="AD116" i="19"/>
  <c r="AE116" i="19"/>
  <c r="AF116" i="19"/>
  <c r="AJ116" i="19"/>
  <c r="AK116" i="19" s="1" a="1"/>
  <c r="AK116" i="19" s="1"/>
  <c r="W111" i="19"/>
  <c r="X111" i="19"/>
  <c r="AD111" i="19"/>
  <c r="AE111" i="19"/>
  <c r="AF111" i="19"/>
  <c r="AJ111" i="19"/>
  <c r="AK111" i="19" s="1" a="1"/>
  <c r="AK111" i="19" s="1"/>
  <c r="W118" i="19"/>
  <c r="X118" i="19"/>
  <c r="AD118" i="19"/>
  <c r="AE118" i="19"/>
  <c r="AF118" i="19"/>
  <c r="AJ118" i="19"/>
  <c r="AK118" i="19" s="1" a="1"/>
  <c r="AK118" i="19" s="1"/>
  <c r="W117" i="19"/>
  <c r="X117" i="19"/>
  <c r="AD117" i="19"/>
  <c r="AE117" i="19"/>
  <c r="AF117" i="19"/>
  <c r="AJ117" i="19"/>
  <c r="AK117" i="19" s="1" a="1"/>
  <c r="AK117" i="19" s="1"/>
  <c r="W109" i="19"/>
  <c r="X109" i="19"/>
  <c r="AD109" i="19"/>
  <c r="AE109" i="19"/>
  <c r="AF109" i="19"/>
  <c r="AJ109" i="19"/>
  <c r="AK109" i="19" s="1" a="1"/>
  <c r="AK109" i="19" s="1"/>
  <c r="W106" i="19"/>
  <c r="X106" i="19"/>
  <c r="AD106" i="19"/>
  <c r="AE106" i="19"/>
  <c r="AF106" i="19"/>
  <c r="AJ106" i="19"/>
  <c r="AK106" i="19" s="1" a="1"/>
  <c r="AK106" i="19" s="1"/>
  <c r="W108" i="19"/>
  <c r="X108" i="19"/>
  <c r="AD108" i="19"/>
  <c r="AE108" i="19"/>
  <c r="AF108" i="19"/>
  <c r="AJ108" i="19"/>
  <c r="AK108" i="19" s="1" a="1"/>
  <c r="AK108" i="19" s="1"/>
  <c r="W114" i="19"/>
  <c r="X114" i="19"/>
  <c r="AD114" i="19"/>
  <c r="AE114" i="19"/>
  <c r="AF114" i="19"/>
  <c r="AJ114" i="19"/>
  <c r="AK114" i="19" s="1" a="1"/>
  <c r="AK114" i="19" s="1"/>
  <c r="W119" i="19"/>
  <c r="X119" i="19"/>
  <c r="AD119" i="19"/>
  <c r="AE119" i="19"/>
  <c r="AF119" i="19"/>
  <c r="AJ119" i="19"/>
  <c r="AK119" i="19" s="1" a="1"/>
  <c r="AK119" i="19" s="1"/>
  <c r="W112" i="19"/>
  <c r="X112" i="19"/>
  <c r="AD112" i="19"/>
  <c r="AE112" i="19"/>
  <c r="AF112" i="19"/>
  <c r="AJ112" i="19"/>
  <c r="AK112" i="19" s="1" a="1"/>
  <c r="AK112" i="19" s="1"/>
  <c r="W107" i="19"/>
  <c r="X107" i="19"/>
  <c r="AD107" i="19"/>
  <c r="AE107" i="19"/>
  <c r="AF107" i="19"/>
  <c r="AJ107" i="19"/>
  <c r="AK107" i="19" s="1" a="1"/>
  <c r="AK107" i="19" s="1"/>
  <c r="W110" i="19"/>
  <c r="X110" i="19"/>
  <c r="AD110" i="19"/>
  <c r="AE110" i="19"/>
  <c r="AF110" i="19"/>
  <c r="AJ110" i="19"/>
  <c r="AK110" i="19" s="1" a="1"/>
  <c r="AK110" i="19" s="1"/>
  <c r="W120" i="19"/>
  <c r="X120" i="19"/>
  <c r="AD120" i="19"/>
  <c r="AE120" i="19"/>
  <c r="AF120" i="19"/>
  <c r="AJ120" i="19"/>
  <c r="AK120" i="19" s="1" a="1"/>
  <c r="AK120" i="19" s="1"/>
  <c r="W115" i="19"/>
  <c r="X115" i="19"/>
  <c r="AD115" i="19"/>
  <c r="AE115" i="19"/>
  <c r="AF115" i="19"/>
  <c r="AJ115" i="19"/>
  <c r="AK115" i="19" s="1" a="1"/>
  <c r="AK115" i="19" s="1"/>
  <c r="W105" i="19"/>
  <c r="X105" i="19"/>
  <c r="AD105" i="19"/>
  <c r="AE105" i="19"/>
  <c r="AF105" i="19"/>
  <c r="AJ105" i="19"/>
  <c r="AK105" i="19" s="1" a="1"/>
  <c r="AK105" i="19" s="1"/>
  <c r="E127" i="19"/>
  <c r="U127" i="19"/>
  <c r="W127" i="19" s="1"/>
  <c r="AD127" i="19"/>
  <c r="AE127" i="19"/>
  <c r="AF127" i="19"/>
  <c r="E134" i="19"/>
  <c r="W134" i="19"/>
  <c r="X134" i="19"/>
  <c r="AD134" i="19"/>
  <c r="AE134" i="19"/>
  <c r="AF134" i="19"/>
  <c r="AJ134" i="19"/>
  <c r="AK134" i="19" s="1" a="1"/>
  <c r="AK134" i="19" s="1"/>
  <c r="E128" i="19"/>
  <c r="W128" i="19"/>
  <c r="X128" i="19"/>
  <c r="AD128" i="19"/>
  <c r="AE128" i="19"/>
  <c r="AF128" i="19"/>
  <c r="AJ128" i="19"/>
  <c r="AK128" i="19" s="1" a="1"/>
  <c r="AK128" i="19" s="1"/>
  <c r="E126" i="19"/>
  <c r="W126" i="19"/>
  <c r="X126" i="19"/>
  <c r="AD126" i="19"/>
  <c r="AE126" i="19"/>
  <c r="AF126" i="19"/>
  <c r="AJ126" i="19"/>
  <c r="AK126" i="19" s="1" a="1"/>
  <c r="AK126" i="19" s="1"/>
  <c r="E130" i="19"/>
  <c r="W130" i="19"/>
  <c r="X130" i="19"/>
  <c r="AD130" i="19"/>
  <c r="AE130" i="19"/>
  <c r="AF130" i="19"/>
  <c r="AJ130" i="19"/>
  <c r="AK130" i="19" s="1" a="1"/>
  <c r="AK130" i="19" s="1"/>
  <c r="E133" i="19"/>
  <c r="W133" i="19"/>
  <c r="X133" i="19"/>
  <c r="AD133" i="19"/>
  <c r="AE133" i="19"/>
  <c r="AF133" i="19"/>
  <c r="AJ133" i="19"/>
  <c r="AK133" i="19" s="1" a="1"/>
  <c r="AK133" i="19" s="1"/>
  <c r="E131" i="19"/>
  <c r="W131" i="19"/>
  <c r="X131" i="19"/>
  <c r="AD131" i="19"/>
  <c r="AE131" i="19"/>
  <c r="AF131" i="19"/>
  <c r="AJ131" i="19"/>
  <c r="AK131" i="19" s="1" a="1"/>
  <c r="AK131" i="19" s="1"/>
  <c r="E132" i="19"/>
  <c r="W132" i="19"/>
  <c r="X132" i="19"/>
  <c r="AD132" i="19"/>
  <c r="AE132" i="19"/>
  <c r="AF132" i="19"/>
  <c r="AJ132" i="19"/>
  <c r="AK132" i="19" s="1" a="1"/>
  <c r="AK132" i="19" s="1"/>
  <c r="W125" i="19"/>
  <c r="X125" i="19"/>
  <c r="AD125" i="19"/>
  <c r="AE125" i="19"/>
  <c r="AF125" i="19"/>
  <c r="AJ125" i="19"/>
  <c r="AK125" i="19" s="1" a="1"/>
  <c r="AK125" i="19" s="1"/>
  <c r="E124" i="19"/>
  <c r="W124" i="19"/>
  <c r="X124" i="19"/>
  <c r="AD124" i="19"/>
  <c r="AE124" i="19"/>
  <c r="AF124" i="19"/>
  <c r="AJ124" i="19"/>
  <c r="AK124" i="19" s="1" a="1"/>
  <c r="AK124" i="19" s="1"/>
  <c r="E129" i="19"/>
  <c r="W129" i="19"/>
  <c r="X129" i="19"/>
  <c r="AD129" i="19"/>
  <c r="AE129" i="19"/>
  <c r="AF129" i="19"/>
  <c r="AJ129" i="19"/>
  <c r="AK129" i="19" s="1" a="1"/>
  <c r="AK129" i="19" s="1"/>
  <c r="E137" i="19"/>
  <c r="W137" i="19"/>
  <c r="X137" i="19"/>
  <c r="AD137" i="19"/>
  <c r="AE137" i="19"/>
  <c r="AF137" i="19"/>
  <c r="AJ137" i="19"/>
  <c r="AK137" i="19" s="1" a="1"/>
  <c r="AK137" i="19" s="1"/>
  <c r="E135" i="19"/>
  <c r="W135" i="19"/>
  <c r="X135" i="19"/>
  <c r="AD135" i="19"/>
  <c r="AE135" i="19"/>
  <c r="AF135" i="19"/>
  <c r="AJ135" i="19"/>
  <c r="AK135" i="19" s="1" a="1"/>
  <c r="AK135" i="19" s="1"/>
  <c r="E136" i="19"/>
  <c r="W136" i="19"/>
  <c r="X136" i="19"/>
  <c r="AD136" i="19"/>
  <c r="AE136" i="19"/>
  <c r="AF136" i="19"/>
  <c r="AJ136" i="19"/>
  <c r="AK136" i="19" s="1" a="1"/>
  <c r="AK136" i="19" s="1"/>
  <c r="E138" i="19"/>
  <c r="W138" i="19"/>
  <c r="X138" i="19"/>
  <c r="AD138" i="19"/>
  <c r="AE138" i="19"/>
  <c r="AF138" i="19"/>
  <c r="AJ138" i="19"/>
  <c r="AK138" i="19" s="1" a="1"/>
  <c r="AK138" i="19" s="1"/>
  <c r="U122" i="19"/>
  <c r="AJ122" i="19" s="1"/>
  <c r="AK122" i="19" s="1" a="1"/>
  <c r="AK122" i="19" s="1"/>
  <c r="AD122" i="19"/>
  <c r="AE122" i="19"/>
  <c r="AF122" i="19"/>
  <c r="U123" i="19"/>
  <c r="W123" i="19" s="1"/>
  <c r="AD123" i="19"/>
  <c r="AE123" i="19"/>
  <c r="AF123" i="19"/>
  <c r="U121" i="19"/>
  <c r="W121" i="19" s="1"/>
  <c r="AD121" i="19"/>
  <c r="AE121" i="19"/>
  <c r="AF121" i="19"/>
  <c r="W139" i="19"/>
  <c r="X139" i="19"/>
  <c r="AD139" i="19"/>
  <c r="AE139" i="19"/>
  <c r="AF139" i="19"/>
  <c r="AH139" i="19"/>
  <c r="AJ139" i="19" s="1"/>
  <c r="AK139" i="19" s="1" a="1"/>
  <c r="AK139" i="19" s="1"/>
  <c r="W140" i="19"/>
  <c r="X140" i="19"/>
  <c r="AD140" i="19"/>
  <c r="AE140" i="19"/>
  <c r="AF140" i="19"/>
  <c r="AH140" i="19"/>
  <c r="AJ140" i="19" s="1"/>
  <c r="AK140" i="19" s="1" a="1"/>
  <c r="AK140" i="19" s="1"/>
  <c r="W143" i="19"/>
  <c r="X143" i="19"/>
  <c r="AD143" i="19"/>
  <c r="AE143" i="19"/>
  <c r="AF143" i="19"/>
  <c r="AH143" i="19"/>
  <c r="AJ143" i="19" s="1"/>
  <c r="AK143" i="19" s="1" a="1"/>
  <c r="AK143" i="19" s="1"/>
  <c r="W141" i="19"/>
  <c r="X141" i="19"/>
  <c r="AD141" i="19"/>
  <c r="AE141" i="19"/>
  <c r="AF141" i="19"/>
  <c r="AH141" i="19"/>
  <c r="AJ141" i="19" s="1"/>
  <c r="AK141" i="19" s="1" a="1"/>
  <c r="AK141" i="19" s="1"/>
  <c r="W142" i="19"/>
  <c r="X142" i="19"/>
  <c r="AD142" i="19"/>
  <c r="AE142" i="19"/>
  <c r="AF142" i="19"/>
  <c r="AH142" i="19"/>
  <c r="AJ142" i="19" s="1"/>
  <c r="AK142" i="19" s="1" a="1"/>
  <c r="AK142" i="19" s="1"/>
  <c r="W144" i="19"/>
  <c r="X144" i="19"/>
  <c r="AD144" i="19"/>
  <c r="AE144" i="19"/>
  <c r="AF144" i="19"/>
  <c r="AH144" i="19"/>
  <c r="AJ144" i="19" s="1"/>
  <c r="AK144" i="19" s="1" a="1"/>
  <c r="AK144" i="19" s="1"/>
  <c r="U145" i="19"/>
  <c r="W145" i="19" s="1"/>
  <c r="AD145" i="19"/>
  <c r="AE145" i="19"/>
  <c r="AF145" i="19"/>
  <c r="AH145" i="19"/>
  <c r="W146" i="19"/>
  <c r="X146" i="19"/>
  <c r="AD146" i="19"/>
  <c r="AE146" i="19"/>
  <c r="AF146" i="19"/>
  <c r="AH146" i="19"/>
  <c r="AJ146" i="19" s="1"/>
  <c r="AK146" i="19" s="1" a="1"/>
  <c r="AK146" i="19" s="1"/>
  <c r="W147" i="19"/>
  <c r="X147" i="19"/>
  <c r="AD147" i="19"/>
  <c r="AE147" i="19"/>
  <c r="AF147" i="19"/>
  <c r="AH147" i="19"/>
  <c r="AJ147" i="19" s="1"/>
  <c r="AK147" i="19" s="1" a="1"/>
  <c r="AK147" i="19" s="1"/>
  <c r="U148" i="19"/>
  <c r="W148" i="19" s="1"/>
  <c r="AD148" i="19"/>
  <c r="AE148" i="19"/>
  <c r="AF148" i="19"/>
  <c r="AH148" i="19"/>
  <c r="W149" i="19"/>
  <c r="X149" i="19"/>
  <c r="AD149" i="19"/>
  <c r="AE149" i="19"/>
  <c r="AF149" i="19"/>
  <c r="AH149" i="19"/>
  <c r="AJ149" i="19" s="1"/>
  <c r="AK149" i="19" s="1" a="1"/>
  <c r="AK149" i="19" s="1"/>
  <c r="W150" i="19"/>
  <c r="X150" i="19"/>
  <c r="AD150" i="19"/>
  <c r="AE150" i="19"/>
  <c r="AF150" i="19"/>
  <c r="AH150" i="19"/>
  <c r="AJ150" i="19" s="1"/>
  <c r="AK150" i="19" s="1" a="1"/>
  <c r="AK150" i="19" s="1"/>
  <c r="W151" i="19"/>
  <c r="X151" i="19"/>
  <c r="AD151" i="19"/>
  <c r="AE151" i="19"/>
  <c r="AF151" i="19"/>
  <c r="AH151" i="19"/>
  <c r="AJ151" i="19" s="1"/>
  <c r="AK151" i="19" s="1" a="1"/>
  <c r="AK151" i="19" s="1"/>
  <c r="W152" i="19"/>
  <c r="X152" i="19"/>
  <c r="AD152" i="19"/>
  <c r="AE152" i="19"/>
  <c r="AF152" i="19"/>
  <c r="AH152" i="19"/>
  <c r="AJ152" i="19" s="1"/>
  <c r="AK152" i="19" s="1" a="1"/>
  <c r="AK152" i="19" s="1"/>
  <c r="W153" i="19"/>
  <c r="X153" i="19"/>
  <c r="AD153" i="19"/>
  <c r="AE153" i="19"/>
  <c r="AF153" i="19"/>
  <c r="AH153" i="19"/>
  <c r="AJ153" i="19" s="1"/>
  <c r="AK153" i="19" s="1" a="1"/>
  <c r="AK153" i="19" s="1"/>
  <c r="W161" i="19"/>
  <c r="X161" i="19"/>
  <c r="AD161" i="19"/>
  <c r="AE161" i="19"/>
  <c r="AF161" i="19"/>
  <c r="AH161" i="19"/>
  <c r="AJ161" i="19" s="1"/>
  <c r="AK161" i="19" s="1" a="1"/>
  <c r="AK161" i="19" s="1"/>
  <c r="W160" i="19"/>
  <c r="X160" i="19"/>
  <c r="AD160" i="19"/>
  <c r="AE160" i="19"/>
  <c r="AF160" i="19"/>
  <c r="AH160" i="19"/>
  <c r="AJ160" i="19" s="1"/>
  <c r="AK160" i="19" s="1" a="1"/>
  <c r="AK160" i="19" s="1"/>
  <c r="W156" i="19"/>
  <c r="X156" i="19"/>
  <c r="AD156" i="19"/>
  <c r="AE156" i="19"/>
  <c r="AF156" i="19"/>
  <c r="AH156" i="19"/>
  <c r="AJ156" i="19" s="1"/>
  <c r="AK156" i="19" s="1" a="1"/>
  <c r="AK156" i="19" s="1"/>
  <c r="W157" i="19"/>
  <c r="X157" i="19"/>
  <c r="AD157" i="19"/>
  <c r="AE157" i="19"/>
  <c r="AF157" i="19"/>
  <c r="AH157" i="19"/>
  <c r="AJ157" i="19" s="1"/>
  <c r="AK157" i="19" s="1" a="1"/>
  <c r="AK157" i="19" s="1"/>
  <c r="W155" i="19"/>
  <c r="X155" i="19"/>
  <c r="AD155" i="19"/>
  <c r="AE155" i="19"/>
  <c r="AF155" i="19"/>
  <c r="AH155" i="19"/>
  <c r="AJ155" i="19" s="1"/>
  <c r="AK155" i="19" s="1" a="1"/>
  <c r="AK155" i="19" s="1"/>
  <c r="W159" i="19"/>
  <c r="X159" i="19"/>
  <c r="AD159" i="19"/>
  <c r="AE159" i="19"/>
  <c r="AF159" i="19"/>
  <c r="AH159" i="19"/>
  <c r="AJ159" i="19" s="1"/>
  <c r="AK159" i="19" s="1" a="1"/>
  <c r="AK159" i="19" s="1"/>
  <c r="W158" i="19"/>
  <c r="X158" i="19"/>
  <c r="AD158" i="19"/>
  <c r="AE158" i="19"/>
  <c r="AF158" i="19"/>
  <c r="AH158" i="19"/>
  <c r="AJ158" i="19" s="1"/>
  <c r="AK158" i="19" s="1" a="1"/>
  <c r="AK158" i="19" s="1"/>
  <c r="W154" i="19"/>
  <c r="X154" i="19"/>
  <c r="AD154" i="19"/>
  <c r="AE154" i="19"/>
  <c r="AF154" i="19"/>
  <c r="AH154" i="19"/>
  <c r="AJ154" i="19" s="1"/>
  <c r="AK154" i="19" s="1" a="1"/>
  <c r="AK154" i="19" s="1"/>
  <c r="W163" i="19"/>
  <c r="X163" i="19"/>
  <c r="AD163" i="19"/>
  <c r="AE163" i="19"/>
  <c r="AF163" i="19"/>
  <c r="AH163" i="19"/>
  <c r="AJ163" i="19" s="1"/>
  <c r="AK163" i="19" s="1" a="1"/>
  <c r="AK163" i="19" s="1"/>
  <c r="W162" i="19"/>
  <c r="X162" i="19"/>
  <c r="AD162" i="19"/>
  <c r="AE162" i="19"/>
  <c r="AF162" i="19"/>
  <c r="AH162" i="19"/>
  <c r="AJ162" i="19" s="1"/>
  <c r="AK162" i="19" s="1" a="1"/>
  <c r="AK162" i="19" s="1"/>
  <c r="W164" i="19"/>
  <c r="X164" i="19"/>
  <c r="AD164" i="19"/>
  <c r="AE164" i="19"/>
  <c r="AF164" i="19"/>
  <c r="AH164" i="19"/>
  <c r="AJ164" i="19" s="1"/>
  <c r="AK164" i="19" s="1" a="1"/>
  <c r="AK164" i="19" s="1"/>
  <c r="W165" i="19"/>
  <c r="X165" i="19"/>
  <c r="AD165" i="19"/>
  <c r="AE165" i="19"/>
  <c r="AF165" i="19"/>
  <c r="AJ165" i="19"/>
  <c r="AK165" i="19" s="1" a="1"/>
  <c r="AK165" i="19" s="1"/>
  <c r="W166" i="19"/>
  <c r="X166" i="19"/>
  <c r="AD166" i="19"/>
  <c r="AE166" i="19"/>
  <c r="AF166" i="19"/>
  <c r="AJ166" i="19"/>
  <c r="AK166" i="19" s="1" a="1"/>
  <c r="AK166" i="19" s="1"/>
  <c r="U167" i="19"/>
  <c r="W167" i="19" s="1"/>
  <c r="AD167" i="19"/>
  <c r="AE167" i="19"/>
  <c r="AF167" i="19"/>
  <c r="AH167" i="19"/>
  <c r="U168" i="19"/>
  <c r="W168" i="19" s="1"/>
  <c r="AD168" i="19"/>
  <c r="AE168" i="19"/>
  <c r="AF168" i="19"/>
  <c r="AH168" i="19"/>
  <c r="U169" i="19"/>
  <c r="W169" i="19" s="1"/>
  <c r="AD169" i="19"/>
  <c r="AE169" i="19"/>
  <c r="AF169" i="19"/>
  <c r="AH169" i="19"/>
  <c r="U170" i="19"/>
  <c r="W170" i="19" s="1"/>
  <c r="AD170" i="19"/>
  <c r="AE170" i="19"/>
  <c r="AF170" i="19"/>
  <c r="AH170" i="19"/>
  <c r="W172" i="19"/>
  <c r="X172" i="19"/>
  <c r="AD172" i="19"/>
  <c r="AE172" i="19"/>
  <c r="AF172" i="19"/>
  <c r="AH172" i="19"/>
  <c r="AJ172" i="19" s="1"/>
  <c r="AK172" i="19" s="1" a="1"/>
  <c r="AK172" i="19" s="1"/>
  <c r="W173" i="19"/>
  <c r="X173" i="19"/>
  <c r="AD173" i="19"/>
  <c r="AE173" i="19"/>
  <c r="AF173" i="19"/>
  <c r="AH173" i="19"/>
  <c r="AJ173" i="19" s="1"/>
  <c r="AK173" i="19" s="1" a="1"/>
  <c r="AK173" i="19" s="1"/>
  <c r="W171" i="19"/>
  <c r="X171" i="19"/>
  <c r="AD171" i="19"/>
  <c r="AE171" i="19"/>
  <c r="AF171" i="19"/>
  <c r="AH171" i="19"/>
  <c r="AJ171" i="19" s="1"/>
  <c r="AK171" i="19" s="1" a="1"/>
  <c r="AK171" i="19" s="1"/>
  <c r="W175" i="19"/>
  <c r="X175" i="19"/>
  <c r="AD175" i="19"/>
  <c r="AE175" i="19"/>
  <c r="AF175" i="19"/>
  <c r="AH175" i="19"/>
  <c r="AJ175" i="19" s="1"/>
  <c r="AK175" i="19" s="1" a="1"/>
  <c r="AK175" i="19" s="1"/>
  <c r="W177" i="19"/>
  <c r="X177" i="19"/>
  <c r="AD177" i="19"/>
  <c r="AE177" i="19"/>
  <c r="AF177" i="19"/>
  <c r="AH177" i="19"/>
  <c r="AJ177" i="19" s="1"/>
  <c r="AK177" i="19" s="1" a="1"/>
  <c r="AK177" i="19" s="1"/>
  <c r="W176" i="19"/>
  <c r="X176" i="19"/>
  <c r="AD176" i="19"/>
  <c r="AE176" i="19"/>
  <c r="AF176" i="19"/>
  <c r="AH176" i="19"/>
  <c r="AJ176" i="19" s="1"/>
  <c r="AK176" i="19" s="1" a="1"/>
  <c r="AK176" i="19" s="1"/>
  <c r="W178" i="19"/>
  <c r="X178" i="19"/>
  <c r="AD178" i="19"/>
  <c r="AE178" i="19"/>
  <c r="AF178" i="19"/>
  <c r="AH178" i="19"/>
  <c r="AJ178" i="19" s="1"/>
  <c r="AK178" i="19" s="1" a="1"/>
  <c r="AK178" i="19" s="1"/>
  <c r="W174" i="19"/>
  <c r="X174" i="19"/>
  <c r="AD174" i="19"/>
  <c r="AE174" i="19"/>
  <c r="AF174" i="19"/>
  <c r="AH174" i="19"/>
  <c r="AJ174" i="19" s="1"/>
  <c r="AK174" i="19" s="1" a="1"/>
  <c r="AK174" i="19" s="1"/>
  <c r="W181" i="19"/>
  <c r="X181" i="19"/>
  <c r="AD181" i="19"/>
  <c r="AE181" i="19"/>
  <c r="AF181" i="19"/>
  <c r="AH181" i="19"/>
  <c r="AJ181" i="19" s="1"/>
  <c r="AK181" i="19" s="1" a="1"/>
  <c r="AK181" i="19" s="1"/>
  <c r="W179" i="19"/>
  <c r="X179" i="19"/>
  <c r="AD179" i="19"/>
  <c r="AE179" i="19"/>
  <c r="AF179" i="19"/>
  <c r="AH179" i="19"/>
  <c r="AJ179" i="19" s="1"/>
  <c r="AK179" i="19" s="1" a="1"/>
  <c r="AK179" i="19" s="1"/>
  <c r="W180" i="19"/>
  <c r="X180" i="19"/>
  <c r="AD180" i="19"/>
  <c r="AE180" i="19"/>
  <c r="AF180" i="19"/>
  <c r="AH180" i="19"/>
  <c r="AJ180" i="19" s="1"/>
  <c r="AK180" i="19" s="1" a="1"/>
  <c r="AK180" i="19" s="1"/>
  <c r="W182" i="19"/>
  <c r="X182" i="19"/>
  <c r="AD182" i="19"/>
  <c r="AE182" i="19"/>
  <c r="AF182" i="19"/>
  <c r="AH182" i="19"/>
  <c r="AJ182" i="19" s="1"/>
  <c r="AK182" i="19" s="1" a="1"/>
  <c r="AK182" i="19" s="1"/>
  <c r="W183" i="19"/>
  <c r="X183" i="19"/>
  <c r="AD183" i="19"/>
  <c r="AE183" i="19"/>
  <c r="AF183" i="19"/>
  <c r="AJ183" i="19"/>
  <c r="AK183" i="19" s="1" a="1"/>
  <c r="AK183" i="19" s="1"/>
  <c r="U191" i="19"/>
  <c r="AJ191" i="19" s="1"/>
  <c r="AK191" i="19" s="1" a="1"/>
  <c r="AK191" i="19" s="1"/>
  <c r="AD191" i="19"/>
  <c r="AE191" i="19"/>
  <c r="AF191" i="19"/>
  <c r="W184" i="19"/>
  <c r="X184" i="19"/>
  <c r="AD184" i="19"/>
  <c r="AE184" i="19"/>
  <c r="AF184" i="19"/>
  <c r="AH184" i="19"/>
  <c r="AJ184" i="19" s="1"/>
  <c r="AK184" i="19" s="1" a="1"/>
  <c r="AK184" i="19" s="1"/>
  <c r="W185" i="19"/>
  <c r="X185" i="19"/>
  <c r="AD185" i="19"/>
  <c r="AE185" i="19"/>
  <c r="AF185" i="19"/>
  <c r="AH185" i="19"/>
  <c r="AJ185" i="19" s="1"/>
  <c r="AK185" i="19" s="1" a="1"/>
  <c r="AK185" i="19" s="1"/>
  <c r="W186" i="19"/>
  <c r="X186" i="19"/>
  <c r="AD186" i="19"/>
  <c r="AE186" i="19"/>
  <c r="AF186" i="19"/>
  <c r="AJ186" i="19"/>
  <c r="AK186" i="19" s="1" a="1"/>
  <c r="AK186" i="19" s="1"/>
  <c r="W190" i="19"/>
  <c r="X190" i="19"/>
  <c r="AD190" i="19"/>
  <c r="AE190" i="19"/>
  <c r="AF190" i="19"/>
  <c r="AJ190" i="19"/>
  <c r="AK190" i="19" s="1" a="1"/>
  <c r="AK190" i="19" s="1"/>
  <c r="W188" i="19"/>
  <c r="X188" i="19"/>
  <c r="AD188" i="19"/>
  <c r="AE188" i="19"/>
  <c r="AF188" i="19"/>
  <c r="AJ188" i="19"/>
  <c r="AK188" i="19" s="1" a="1"/>
  <c r="AK188" i="19" s="1"/>
  <c r="W187" i="19"/>
  <c r="X187" i="19"/>
  <c r="AD187" i="19"/>
  <c r="AE187" i="19"/>
  <c r="AF187" i="19"/>
  <c r="AJ187" i="19"/>
  <c r="AK187" i="19" s="1" a="1"/>
  <c r="AK187" i="19" s="1"/>
  <c r="W189" i="19"/>
  <c r="X189" i="19"/>
  <c r="AD189" i="19"/>
  <c r="AE189" i="19"/>
  <c r="AF189" i="19"/>
  <c r="AJ189" i="19"/>
  <c r="AK189" i="19" s="1" a="1"/>
  <c r="AK189" i="19" s="1"/>
  <c r="W193" i="19"/>
  <c r="X193" i="19"/>
  <c r="AD193" i="19"/>
  <c r="AE193" i="19"/>
  <c r="AF193" i="19"/>
  <c r="AH193" i="19"/>
  <c r="AJ193" i="19" s="1"/>
  <c r="AK193" i="19" s="1" a="1"/>
  <c r="AK193" i="19" s="1"/>
  <c r="W192" i="19"/>
  <c r="X192" i="19"/>
  <c r="AD192" i="19"/>
  <c r="AE192" i="19"/>
  <c r="AF192" i="19"/>
  <c r="AH192" i="19"/>
  <c r="AJ192" i="19" s="1"/>
  <c r="AK192" i="19" s="1" a="1"/>
  <c r="AK192" i="19" s="1"/>
  <c r="W195" i="19"/>
  <c r="X195" i="19"/>
  <c r="AD195" i="19"/>
  <c r="AE195" i="19"/>
  <c r="AF195" i="19"/>
  <c r="AH195" i="19"/>
  <c r="AJ195" i="19" s="1"/>
  <c r="AK195" i="19" s="1" a="1"/>
  <c r="AK195" i="19" s="1"/>
  <c r="W194" i="19"/>
  <c r="X194" i="19"/>
  <c r="AD194" i="19"/>
  <c r="AE194" i="19"/>
  <c r="AF194" i="19"/>
  <c r="AH194" i="19"/>
  <c r="AJ194" i="19" s="1"/>
  <c r="AK194" i="19" s="1" a="1"/>
  <c r="AK194" i="19" s="1"/>
  <c r="W198" i="19"/>
  <c r="X198" i="19"/>
  <c r="AD198" i="19"/>
  <c r="AE198" i="19"/>
  <c r="AF198" i="19"/>
  <c r="AH198" i="19"/>
  <c r="AJ198" i="19" s="1"/>
  <c r="AK198" i="19" s="1" a="1"/>
  <c r="AK198" i="19" s="1"/>
  <c r="W196" i="19"/>
  <c r="X196" i="19"/>
  <c r="AD196" i="19"/>
  <c r="AE196" i="19"/>
  <c r="AF196" i="19"/>
  <c r="AH196" i="19"/>
  <c r="AJ196" i="19" s="1"/>
  <c r="AK196" i="19" s="1" a="1"/>
  <c r="AK196" i="19" s="1"/>
  <c r="W199" i="19"/>
  <c r="X199" i="19"/>
  <c r="AD199" i="19"/>
  <c r="AE199" i="19"/>
  <c r="AF199" i="19"/>
  <c r="AH199" i="19"/>
  <c r="AJ199" i="19" s="1"/>
  <c r="AK199" i="19" s="1" a="1"/>
  <c r="AK199" i="19" s="1"/>
  <c r="W197" i="19"/>
  <c r="X197" i="19"/>
  <c r="AD197" i="19"/>
  <c r="AE197" i="19"/>
  <c r="AF197" i="19"/>
  <c r="AH197" i="19"/>
  <c r="AJ197" i="19" s="1"/>
  <c r="AK197" i="19" s="1" a="1"/>
  <c r="AK197" i="19" s="1"/>
  <c r="W203" i="19"/>
  <c r="X203" i="19"/>
  <c r="AD203" i="19"/>
  <c r="AE203" i="19"/>
  <c r="AF203" i="19"/>
  <c r="AH203" i="19"/>
  <c r="AJ203" i="19" s="1"/>
  <c r="AK203" i="19" s="1" a="1"/>
  <c r="AK203" i="19" s="1"/>
  <c r="W200" i="19"/>
  <c r="X200" i="19"/>
  <c r="AD200" i="19"/>
  <c r="AE200" i="19"/>
  <c r="AF200" i="19"/>
  <c r="AH200" i="19"/>
  <c r="AJ200" i="19" s="1"/>
  <c r="AK200" i="19" s="1" a="1"/>
  <c r="AK200" i="19" s="1"/>
  <c r="W202" i="19"/>
  <c r="X202" i="19"/>
  <c r="AD202" i="19"/>
  <c r="AE202" i="19"/>
  <c r="AF202" i="19"/>
  <c r="AH202" i="19"/>
  <c r="AJ202" i="19" s="1"/>
  <c r="AK202" i="19" s="1" a="1"/>
  <c r="AK202" i="19" s="1"/>
  <c r="W201" i="19"/>
  <c r="X201" i="19"/>
  <c r="AD201" i="19"/>
  <c r="AE201" i="19"/>
  <c r="AF201" i="19"/>
  <c r="AH201" i="19"/>
  <c r="AJ201" i="19" s="1"/>
  <c r="AK201" i="19" s="1" a="1"/>
  <c r="AK201" i="19" s="1"/>
  <c r="W204" i="19"/>
  <c r="X204" i="19"/>
  <c r="AD204" i="19"/>
  <c r="AE204" i="19"/>
  <c r="AF204" i="19"/>
  <c r="AJ204" i="19"/>
  <c r="AK204" i="19" s="1" a="1"/>
  <c r="AK204" i="19" s="1"/>
  <c r="W205" i="19"/>
  <c r="X205" i="19"/>
  <c r="AD205" i="19"/>
  <c r="AE205" i="19"/>
  <c r="AF205" i="19"/>
  <c r="AJ205" i="19"/>
  <c r="AK205" i="19" s="1" a="1"/>
  <c r="AK205" i="19" s="1"/>
  <c r="W206" i="19"/>
  <c r="X206" i="19"/>
  <c r="AD206" i="19"/>
  <c r="AE206" i="19"/>
  <c r="AF206" i="19"/>
  <c r="AJ206" i="19"/>
  <c r="AK206" i="19" s="1" a="1"/>
  <c r="AK206" i="19" s="1"/>
  <c r="W207" i="19"/>
  <c r="X207" i="19"/>
  <c r="AD207" i="19"/>
  <c r="AE207" i="19"/>
  <c r="AF207" i="19"/>
  <c r="AJ207" i="19"/>
  <c r="AK207" i="19" s="1" a="1"/>
  <c r="AK207" i="19" s="1"/>
  <c r="W208" i="19"/>
  <c r="X208" i="19"/>
  <c r="AD208" i="19"/>
  <c r="AE208" i="19"/>
  <c r="AF208" i="19"/>
  <c r="AJ208" i="19"/>
  <c r="AK208" i="19" s="1" a="1"/>
  <c r="AK208" i="19" s="1"/>
  <c r="W209" i="19"/>
  <c r="X209" i="19"/>
  <c r="AD209" i="19"/>
  <c r="AE209" i="19"/>
  <c r="AF209" i="19"/>
  <c r="AJ209" i="19"/>
  <c r="AK209" i="19" s="1" a="1"/>
  <c r="AK209" i="19" s="1"/>
  <c r="W213" i="19"/>
  <c r="X213" i="19"/>
  <c r="AD213" i="19"/>
  <c r="AE213" i="19"/>
  <c r="AF213" i="19"/>
  <c r="AJ213" i="19"/>
  <c r="AK213" i="19" s="1" a="1"/>
  <c r="AK213" i="19" s="1"/>
  <c r="W214" i="19"/>
  <c r="X214" i="19"/>
  <c r="AD214" i="19"/>
  <c r="AE214" i="19"/>
  <c r="AF214" i="19"/>
  <c r="AJ214" i="19"/>
  <c r="AK214" i="19" s="1" a="1"/>
  <c r="AK214" i="19" s="1"/>
  <c r="W210" i="19"/>
  <c r="X210" i="19"/>
  <c r="AD210" i="19"/>
  <c r="AE210" i="19"/>
  <c r="AF210" i="19"/>
  <c r="AJ210" i="19"/>
  <c r="AK210" i="19" s="1" a="1"/>
  <c r="AK210" i="19" s="1"/>
  <c r="W211" i="19"/>
  <c r="X211" i="19"/>
  <c r="AD211" i="19"/>
  <c r="AE211" i="19"/>
  <c r="AF211" i="19"/>
  <c r="AJ211" i="19"/>
  <c r="AK211" i="19" s="1" a="1"/>
  <c r="AK211" i="19" s="1"/>
  <c r="W212" i="19"/>
  <c r="X212" i="19"/>
  <c r="AD212" i="19"/>
  <c r="AE212" i="19"/>
  <c r="AF212" i="19"/>
  <c r="AJ212" i="19"/>
  <c r="AK212" i="19" s="1" a="1"/>
  <c r="AK212" i="19" s="1"/>
  <c r="U215" i="19"/>
  <c r="W215" i="19" s="1"/>
  <c r="AD215" i="19"/>
  <c r="AE215" i="19"/>
  <c r="AF215" i="19"/>
  <c r="AH215" i="19"/>
  <c r="W216" i="19"/>
  <c r="X216" i="19"/>
  <c r="AD216" i="19"/>
  <c r="AE216" i="19"/>
  <c r="AF216" i="19"/>
  <c r="AJ216" i="19"/>
  <c r="AK216" i="19" s="1" a="1"/>
  <c r="AK216" i="19" s="1"/>
  <c r="W218" i="19"/>
  <c r="X218" i="19"/>
  <c r="AD218" i="19"/>
  <c r="AE218" i="19"/>
  <c r="AF218" i="19"/>
  <c r="AH218" i="19"/>
  <c r="AJ218" i="19" s="1"/>
  <c r="AK218" i="19" s="1" a="1"/>
  <c r="AK218" i="19" s="1"/>
  <c r="W217" i="19"/>
  <c r="X217" i="19"/>
  <c r="AD217" i="19"/>
  <c r="AE217" i="19"/>
  <c r="AF217" i="19"/>
  <c r="AH217" i="19"/>
  <c r="AJ217" i="19" s="1"/>
  <c r="AK217" i="19" s="1" a="1"/>
  <c r="AK217" i="19" s="1"/>
  <c r="W219" i="19"/>
  <c r="X219" i="19"/>
  <c r="AD219" i="19"/>
  <c r="AE219" i="19"/>
  <c r="AF219" i="19"/>
  <c r="AH219" i="19"/>
  <c r="AJ219" i="19" s="1"/>
  <c r="AK219" i="19" s="1" a="1"/>
  <c r="AK219" i="19" s="1"/>
  <c r="W221" i="19"/>
  <c r="X221" i="19"/>
  <c r="AD221" i="19"/>
  <c r="AE221" i="19"/>
  <c r="AF221" i="19"/>
  <c r="AH221" i="19"/>
  <c r="AJ221" i="19" s="1"/>
  <c r="AK221" i="19" s="1" a="1"/>
  <c r="AK221" i="19" s="1"/>
  <c r="W220" i="19"/>
  <c r="X220" i="19"/>
  <c r="AD220" i="19"/>
  <c r="AE220" i="19"/>
  <c r="AF220" i="19"/>
  <c r="AH220" i="19"/>
  <c r="AJ220" i="19" s="1"/>
  <c r="AK220" i="19" s="1" a="1"/>
  <c r="AK220" i="19" s="1"/>
  <c r="W223" i="19"/>
  <c r="X223" i="19"/>
  <c r="AD223" i="19"/>
  <c r="AE223" i="19"/>
  <c r="AF223" i="19"/>
  <c r="AH223" i="19"/>
  <c r="AJ223" i="19" s="1"/>
  <c r="AK223" i="19" s="1" a="1"/>
  <c r="AK223" i="19" s="1"/>
  <c r="W222" i="19"/>
  <c r="X222" i="19"/>
  <c r="AD222" i="19"/>
  <c r="AE222" i="19"/>
  <c r="AF222" i="19"/>
  <c r="AH222" i="19"/>
  <c r="AJ222" i="19" s="1"/>
  <c r="AK222" i="19" s="1" a="1"/>
  <c r="AK222" i="19" s="1"/>
  <c r="W224" i="19"/>
  <c r="X224" i="19"/>
  <c r="AD224" i="19"/>
  <c r="AE224" i="19"/>
  <c r="AF224" i="19"/>
  <c r="AH224" i="19"/>
  <c r="AJ224" i="19" s="1"/>
  <c r="AK224" i="19" s="1" a="1"/>
  <c r="AK224" i="19" s="1"/>
  <c r="W225" i="19"/>
  <c r="X225" i="19"/>
  <c r="AD225" i="19"/>
  <c r="AE225" i="19"/>
  <c r="AF225" i="19"/>
  <c r="AH225" i="19"/>
  <c r="AJ225" i="19" s="1"/>
  <c r="AK225" i="19" s="1" a="1"/>
  <c r="AK225" i="19" s="1"/>
  <c r="W226" i="19"/>
  <c r="X226" i="19"/>
  <c r="AD226" i="19"/>
  <c r="AE226" i="19"/>
  <c r="AF226" i="19"/>
  <c r="AH226" i="19"/>
  <c r="AJ226" i="19" s="1"/>
  <c r="AK226" i="19" s="1" a="1"/>
  <c r="AK226" i="19" s="1"/>
  <c r="W227" i="19"/>
  <c r="X227" i="19"/>
  <c r="AD227" i="19"/>
  <c r="AE227" i="19"/>
  <c r="AF227" i="19"/>
  <c r="AH227" i="19"/>
  <c r="AJ227" i="19" s="1"/>
  <c r="AK227" i="19" s="1" a="1"/>
  <c r="AK227" i="19" s="1"/>
  <c r="W228" i="19"/>
  <c r="X228" i="19"/>
  <c r="AD228" i="19"/>
  <c r="AE228" i="19"/>
  <c r="AF228" i="19"/>
  <c r="AH228" i="19"/>
  <c r="AJ228" i="19" s="1"/>
  <c r="AK228" i="19" s="1" a="1"/>
  <c r="AK228" i="19" s="1"/>
  <c r="U230" i="19"/>
  <c r="W230" i="19" s="1"/>
  <c r="Y230" i="19"/>
  <c r="AD230" i="19"/>
  <c r="AE230" i="19"/>
  <c r="AF230" i="19"/>
  <c r="AH230" i="19"/>
  <c r="U229" i="19"/>
  <c r="W229" i="19" s="1"/>
  <c r="Y229" i="19"/>
  <c r="AD229" i="19"/>
  <c r="AE229" i="19"/>
  <c r="AF229" i="19"/>
  <c r="AH229" i="19"/>
  <c r="U231" i="19"/>
  <c r="W231" i="19" s="1"/>
  <c r="AD231" i="19"/>
  <c r="AE231" i="19"/>
  <c r="AF231" i="19"/>
  <c r="AH231" i="19"/>
  <c r="W232" i="19"/>
  <c r="X232" i="19"/>
  <c r="AD232" i="19"/>
  <c r="AE232" i="19"/>
  <c r="AF232" i="19"/>
  <c r="AJ232" i="19"/>
  <c r="AK232" i="19" s="1" a="1"/>
  <c r="AK232" i="19" s="1"/>
  <c r="W233" i="19"/>
  <c r="X233" i="19"/>
  <c r="AD233" i="19"/>
  <c r="AE233" i="19"/>
  <c r="AF233" i="19"/>
  <c r="AH233" i="19"/>
  <c r="AJ233" i="19" s="1"/>
  <c r="AK233" i="19" s="1" a="1"/>
  <c r="AK233" i="19" s="1"/>
  <c r="W234" i="19"/>
  <c r="Y234" i="19"/>
  <c r="X234" i="19"/>
  <c r="AD234" i="19"/>
  <c r="AE234" i="19"/>
  <c r="AF234" i="19"/>
  <c r="AH234" i="19"/>
  <c r="AJ234" i="19" s="1"/>
  <c r="AK234" i="19" s="1" a="1"/>
  <c r="AK234" i="19" s="1"/>
  <c r="W235" i="19"/>
  <c r="Y235" i="19"/>
  <c r="X235" i="19"/>
  <c r="AD235" i="19"/>
  <c r="AE235" i="19"/>
  <c r="AF235" i="19"/>
  <c r="AH235" i="19"/>
  <c r="AJ235" i="19" s="1"/>
  <c r="AK235" i="19" s="1" a="1"/>
  <c r="AK235" i="19" s="1"/>
  <c r="W236" i="19"/>
  <c r="Y236" i="19"/>
  <c r="X236" i="19"/>
  <c r="AD236" i="19"/>
  <c r="AE236" i="19"/>
  <c r="AF236" i="19"/>
  <c r="AH236" i="19"/>
  <c r="AJ236" i="19" s="1"/>
  <c r="AK236" i="19" s="1" a="1"/>
  <c r="AK236" i="19" s="1"/>
  <c r="W237" i="19"/>
  <c r="Y237" i="19"/>
  <c r="X237" i="19"/>
  <c r="AD237" i="19"/>
  <c r="AE237" i="19"/>
  <c r="AF237" i="19"/>
  <c r="AH237" i="19"/>
  <c r="AJ237" i="19" s="1"/>
  <c r="AK237" i="19" s="1" a="1"/>
  <c r="AK237" i="19" s="1"/>
  <c r="W238" i="19"/>
  <c r="Y238" i="19"/>
  <c r="X238" i="19"/>
  <c r="AD238" i="19"/>
  <c r="AE238" i="19"/>
  <c r="AF238" i="19"/>
  <c r="AH238" i="19"/>
  <c r="AJ238" i="19" s="1"/>
  <c r="AK238" i="19" s="1" a="1"/>
  <c r="AK238" i="19" s="1"/>
  <c r="W239" i="19"/>
  <c r="Y239" i="19"/>
  <c r="X239" i="19"/>
  <c r="AD239" i="19"/>
  <c r="AE239" i="19"/>
  <c r="AF239" i="19"/>
  <c r="AH239" i="19"/>
  <c r="AJ239" i="19" s="1"/>
  <c r="AK239" i="19" s="1" a="1"/>
  <c r="AK239" i="19" s="1"/>
  <c r="W240" i="19"/>
  <c r="Y240" i="19"/>
  <c r="X240" i="19"/>
  <c r="AD240" i="19"/>
  <c r="AE240" i="19"/>
  <c r="AF240" i="19"/>
  <c r="AH240" i="19"/>
  <c r="AJ240" i="19" s="1"/>
  <c r="AK240" i="19" s="1" a="1"/>
  <c r="AK240" i="19" s="1"/>
  <c r="W241" i="19"/>
  <c r="Y241" i="19"/>
  <c r="X241" i="19"/>
  <c r="AD241" i="19"/>
  <c r="AE241" i="19"/>
  <c r="AF241" i="19"/>
  <c r="AH241" i="19"/>
  <c r="AJ241" i="19" s="1"/>
  <c r="AK241" i="19" s="1" a="1"/>
  <c r="AK241" i="19" s="1"/>
  <c r="W242" i="19"/>
  <c r="Y242" i="19"/>
  <c r="X242" i="19"/>
  <c r="AD242" i="19"/>
  <c r="AE242" i="19"/>
  <c r="AF242" i="19"/>
  <c r="AH242" i="19"/>
  <c r="AJ242" i="19" s="1"/>
  <c r="AK242" i="19" s="1" a="1"/>
  <c r="AK242" i="19" s="1"/>
  <c r="W243" i="19"/>
  <c r="Y243" i="19"/>
  <c r="X243" i="19"/>
  <c r="AD243" i="19"/>
  <c r="AE243" i="19"/>
  <c r="AF243" i="19"/>
  <c r="AH243" i="19"/>
  <c r="AJ243" i="19" s="1"/>
  <c r="AK243" i="19" s="1" a="1"/>
  <c r="AK243" i="19" s="1"/>
  <c r="W244" i="19"/>
  <c r="Y244" i="19"/>
  <c r="X244" i="19"/>
  <c r="AD244" i="19"/>
  <c r="AE244" i="19"/>
  <c r="AF244" i="19"/>
  <c r="AH244" i="19"/>
  <c r="AJ244" i="19" s="1"/>
  <c r="AK244" i="19" s="1" a="1"/>
  <c r="AK244" i="19" s="1"/>
  <c r="W245" i="19"/>
  <c r="Y245" i="19"/>
  <c r="X245" i="19"/>
  <c r="AD245" i="19"/>
  <c r="AE245" i="19"/>
  <c r="AF245" i="19"/>
  <c r="AH245" i="19"/>
  <c r="AJ245" i="19" s="1"/>
  <c r="AK245" i="19" s="1" a="1"/>
  <c r="AK245" i="19" s="1"/>
  <c r="W246" i="19"/>
  <c r="Y246" i="19"/>
  <c r="X246" i="19"/>
  <c r="AD246" i="19"/>
  <c r="AE246" i="19"/>
  <c r="AF246" i="19"/>
  <c r="AH246" i="19"/>
  <c r="AJ246" i="19" s="1"/>
  <c r="AK246" i="19" s="1" a="1"/>
  <c r="AK246" i="19" s="1"/>
  <c r="W247" i="19"/>
  <c r="Y247" i="19"/>
  <c r="X247" i="19"/>
  <c r="AD247" i="19"/>
  <c r="AE247" i="19"/>
  <c r="AF247" i="19"/>
  <c r="AH247" i="19"/>
  <c r="AJ247" i="19" s="1"/>
  <c r="AK247" i="19" s="1" a="1"/>
  <c r="AK247" i="19" s="1"/>
  <c r="W248" i="19"/>
  <c r="Y248" i="19"/>
  <c r="X248" i="19"/>
  <c r="AD248" i="19"/>
  <c r="AE248" i="19"/>
  <c r="AF248" i="19"/>
  <c r="AH248" i="19"/>
  <c r="AJ248" i="19" s="1"/>
  <c r="AK248" i="19" s="1" a="1"/>
  <c r="AK248" i="19" s="1"/>
  <c r="W249" i="19"/>
  <c r="Y249" i="19"/>
  <c r="X249" i="19"/>
  <c r="AD249" i="19"/>
  <c r="AH249" i="19"/>
  <c r="AJ249" i="19" s="1"/>
  <c r="AK249" i="19" s="1" a="1"/>
  <c r="AK249" i="19" s="1"/>
  <c r="W251" i="19"/>
  <c r="X251" i="19"/>
  <c r="AD251" i="19"/>
  <c r="AE251" i="19"/>
  <c r="AF251" i="19"/>
  <c r="AJ251" i="19"/>
  <c r="AK251" i="19" s="1" a="1"/>
  <c r="AK251" i="19" s="1"/>
  <c r="W250" i="19"/>
  <c r="X250" i="19"/>
  <c r="AD250" i="19"/>
  <c r="AE250" i="19"/>
  <c r="AF250" i="19"/>
  <c r="AJ250" i="19"/>
  <c r="AK250" i="19" s="1" a="1"/>
  <c r="AK250" i="19" s="1"/>
  <c r="W252" i="19"/>
  <c r="X252" i="19"/>
  <c r="AD252" i="19"/>
  <c r="AE252" i="19"/>
  <c r="AF252" i="19"/>
  <c r="AH252" i="19"/>
  <c r="AJ252" i="19" s="1"/>
  <c r="AK252" i="19" s="1" a="1"/>
  <c r="AK252" i="19" s="1"/>
  <c r="W253" i="19"/>
  <c r="X253" i="19"/>
  <c r="AD253" i="19"/>
  <c r="AE253" i="19"/>
  <c r="AF253" i="19"/>
  <c r="AH253" i="19"/>
  <c r="AJ253" i="19" s="1"/>
  <c r="AK253" i="19" s="1" a="1"/>
  <c r="AK253" i="19" s="1"/>
  <c r="W254" i="19"/>
  <c r="X254" i="19"/>
  <c r="AD254" i="19"/>
  <c r="AE254" i="19"/>
  <c r="AF254" i="19"/>
  <c r="AH254" i="19"/>
  <c r="AJ254" i="19" s="1"/>
  <c r="AK254" i="19" s="1" a="1"/>
  <c r="AK254" i="19" s="1"/>
  <c r="W255" i="19"/>
  <c r="X255" i="19"/>
  <c r="AD255" i="19"/>
  <c r="AE255" i="19"/>
  <c r="AF255" i="19"/>
  <c r="AH255" i="19"/>
  <c r="AJ255" i="19" s="1"/>
  <c r="AK255" i="19" s="1" a="1"/>
  <c r="AK255" i="19" s="1"/>
  <c r="W258" i="19"/>
  <c r="X258" i="19"/>
  <c r="AD258" i="19"/>
  <c r="AE258" i="19"/>
  <c r="AF258" i="19"/>
  <c r="AH258" i="19"/>
  <c r="AJ258" i="19" s="1"/>
  <c r="AK258" i="19" s="1" a="1"/>
  <c r="AK258" i="19" s="1"/>
  <c r="W256" i="19"/>
  <c r="X256" i="19"/>
  <c r="AD256" i="19"/>
  <c r="AE256" i="19"/>
  <c r="AF256" i="19"/>
  <c r="AH256" i="19"/>
  <c r="AJ256" i="19" s="1"/>
  <c r="AK256" i="19" s="1" a="1"/>
  <c r="AK256" i="19" s="1"/>
  <c r="W257" i="19"/>
  <c r="X257" i="19"/>
  <c r="AD257" i="19"/>
  <c r="AE257" i="19"/>
  <c r="AF257" i="19"/>
  <c r="AH257" i="19"/>
  <c r="AJ257" i="19" s="1"/>
  <c r="AK257" i="19" s="1" a="1"/>
  <c r="AK257" i="19" s="1"/>
  <c r="W259" i="19"/>
  <c r="X259" i="19"/>
  <c r="AD259" i="19"/>
  <c r="AE259" i="19"/>
  <c r="AF259" i="19"/>
  <c r="AH259" i="19"/>
  <c r="AJ259" i="19" s="1"/>
  <c r="AK259" i="19" s="1" a="1"/>
  <c r="AK259" i="19" s="1"/>
  <c r="W260" i="19"/>
  <c r="X260" i="19"/>
  <c r="AD260" i="19"/>
  <c r="AE260" i="19"/>
  <c r="AF260" i="19"/>
  <c r="AH260" i="19"/>
  <c r="AJ260" i="19" s="1"/>
  <c r="AK260" i="19" s="1" a="1"/>
  <c r="AK260" i="19" s="1"/>
  <c r="W261" i="19"/>
  <c r="X261" i="19"/>
  <c r="AD261" i="19"/>
  <c r="AE261" i="19"/>
  <c r="AF261" i="19"/>
  <c r="AH261" i="19"/>
  <c r="AJ261" i="19" s="1"/>
  <c r="AK261" i="19" s="1" a="1"/>
  <c r="AK261" i="19" s="1"/>
  <c r="W265" i="19"/>
  <c r="X265" i="19"/>
  <c r="AD265" i="19"/>
  <c r="AE265" i="19"/>
  <c r="AF265" i="19"/>
  <c r="AH265" i="19"/>
  <c r="AJ265" i="19" s="1"/>
  <c r="AK265" i="19" s="1" a="1"/>
  <c r="AK265" i="19" s="1"/>
  <c r="W267" i="19"/>
  <c r="X267" i="19"/>
  <c r="AD267" i="19"/>
  <c r="AE267" i="19"/>
  <c r="AF267" i="19"/>
  <c r="AH267" i="19"/>
  <c r="AJ267" i="19" s="1"/>
  <c r="AK267" i="19" s="1" a="1"/>
  <c r="AK267" i="19" s="1"/>
  <c r="W268" i="19"/>
  <c r="X268" i="19"/>
  <c r="AD268" i="19"/>
  <c r="AE268" i="19"/>
  <c r="AF268" i="19"/>
  <c r="AH268" i="19"/>
  <c r="AJ268" i="19" s="1"/>
  <c r="AK268" i="19" s="1" a="1"/>
  <c r="AK268" i="19" s="1"/>
  <c r="W269" i="19"/>
  <c r="X269" i="19"/>
  <c r="AD269" i="19"/>
  <c r="AE269" i="19"/>
  <c r="AF269" i="19"/>
  <c r="AH269" i="19"/>
  <c r="AJ269" i="19" s="1"/>
  <c r="AK269" i="19" s="1" a="1"/>
  <c r="AK269" i="19" s="1"/>
  <c r="W270" i="19"/>
  <c r="X270" i="19"/>
  <c r="AD270" i="19"/>
  <c r="AE270" i="19"/>
  <c r="AF270" i="19"/>
  <c r="AH270" i="19"/>
  <c r="AJ270" i="19" s="1"/>
  <c r="AK270" i="19" s="1" a="1"/>
  <c r="AK270" i="19" s="1"/>
  <c r="W266" i="19"/>
  <c r="X266" i="19"/>
  <c r="AD266" i="19"/>
  <c r="AE266" i="19"/>
  <c r="AF266" i="19"/>
  <c r="AH266" i="19"/>
  <c r="AJ266" i="19" s="1"/>
  <c r="AK266" i="19" s="1" a="1"/>
  <c r="AK266" i="19" s="1"/>
  <c r="W262" i="19"/>
  <c r="X262" i="19"/>
  <c r="AD262" i="19"/>
  <c r="AE262" i="19"/>
  <c r="AF262" i="19"/>
  <c r="AH262" i="19"/>
  <c r="AJ262" i="19" s="1"/>
  <c r="AK262" i="19" s="1" a="1"/>
  <c r="AK262" i="19" s="1"/>
  <c r="W264" i="19"/>
  <c r="X264" i="19"/>
  <c r="AD264" i="19"/>
  <c r="AE264" i="19"/>
  <c r="AF264" i="19"/>
  <c r="AH264" i="19"/>
  <c r="AJ264" i="19" s="1"/>
  <c r="AK264" i="19" s="1" a="1"/>
  <c r="AK264" i="19" s="1"/>
  <c r="W263" i="19"/>
  <c r="X263" i="19"/>
  <c r="AD263" i="19"/>
  <c r="AE263" i="19"/>
  <c r="AF263" i="19"/>
  <c r="AH263" i="19"/>
  <c r="AJ263" i="19" s="1"/>
  <c r="AK263" i="19" s="1" a="1"/>
  <c r="AK263" i="19" s="1"/>
  <c r="W271" i="19"/>
  <c r="X271" i="19"/>
  <c r="AD271" i="19"/>
  <c r="AE271" i="19"/>
  <c r="AF271" i="19"/>
  <c r="AH271" i="19"/>
  <c r="AJ271" i="19" s="1"/>
  <c r="AK271" i="19" s="1" a="1"/>
  <c r="AK271" i="19" s="1"/>
  <c r="W272" i="19"/>
  <c r="X272" i="19"/>
  <c r="AD272" i="19"/>
  <c r="AE272" i="19"/>
  <c r="AF272" i="19"/>
  <c r="AH272" i="19"/>
  <c r="AJ272" i="19" s="1"/>
  <c r="AK272" i="19" s="1" a="1"/>
  <c r="AK272" i="19" s="1"/>
  <c r="W275" i="19"/>
  <c r="X275" i="19"/>
  <c r="AD275" i="19"/>
  <c r="AE275" i="19"/>
  <c r="AF275" i="19"/>
  <c r="AH275" i="19"/>
  <c r="AJ275" i="19" s="1"/>
  <c r="AK275" i="19" s="1" a="1"/>
  <c r="AK275" i="19" s="1"/>
  <c r="W273" i="19"/>
  <c r="X273" i="19"/>
  <c r="AD273" i="19"/>
  <c r="AE273" i="19"/>
  <c r="AF273" i="19"/>
  <c r="AH273" i="19"/>
  <c r="AJ273" i="19" s="1"/>
  <c r="AK273" i="19" s="1" a="1"/>
  <c r="AK273" i="19" s="1"/>
  <c r="W274" i="19"/>
  <c r="X274" i="19"/>
  <c r="AD274" i="19"/>
  <c r="AE274" i="19"/>
  <c r="AF274" i="19"/>
  <c r="AH274" i="19"/>
  <c r="AJ274" i="19" s="1"/>
  <c r="AK274" i="19" s="1" a="1"/>
  <c r="AK274" i="19" s="1"/>
  <c r="W276" i="19"/>
  <c r="X276" i="19"/>
  <c r="AD276" i="19"/>
  <c r="AE276" i="19"/>
  <c r="AF276" i="19"/>
  <c r="AH276" i="19"/>
  <c r="AJ276" i="19" s="1"/>
  <c r="AK276" i="19" s="1" a="1"/>
  <c r="AK276" i="19" s="1"/>
  <c r="W279" i="19"/>
  <c r="X279" i="19"/>
  <c r="AD279" i="19"/>
  <c r="AE279" i="19"/>
  <c r="AF279" i="19"/>
  <c r="AH279" i="19"/>
  <c r="AJ279" i="19" s="1"/>
  <c r="AK279" i="19" s="1" a="1"/>
  <c r="AK279" i="19" s="1"/>
  <c r="W277" i="19"/>
  <c r="X277" i="19"/>
  <c r="AD277" i="19"/>
  <c r="AE277" i="19"/>
  <c r="AF277" i="19"/>
  <c r="AH277" i="19"/>
  <c r="AJ277" i="19" s="1"/>
  <c r="AK277" i="19" s="1" a="1"/>
  <c r="AK277" i="19" s="1"/>
  <c r="W278" i="19"/>
  <c r="X278" i="19"/>
  <c r="AD278" i="19"/>
  <c r="AE278" i="19"/>
  <c r="AF278" i="19"/>
  <c r="AH278" i="19"/>
  <c r="AJ278" i="19" s="1"/>
  <c r="AK278" i="19" s="1" a="1"/>
  <c r="AK278" i="19" s="1"/>
  <c r="W280" i="19"/>
  <c r="X280" i="19"/>
  <c r="AD280" i="19"/>
  <c r="AE280" i="19"/>
  <c r="AF280" i="19"/>
  <c r="AH280" i="19"/>
  <c r="AJ280" i="19" s="1"/>
  <c r="AK280" i="19" s="1" a="1"/>
  <c r="AK280" i="19" s="1"/>
  <c r="W281" i="19"/>
  <c r="X281" i="19"/>
  <c r="AD281" i="19"/>
  <c r="AE281" i="19"/>
  <c r="AF281" i="19"/>
  <c r="AJ281" i="19"/>
  <c r="AK281" i="19" s="1" a="1"/>
  <c r="AK281" i="19" s="1"/>
  <c r="W282" i="19"/>
  <c r="X282" i="19"/>
  <c r="AD282" i="19"/>
  <c r="AE282" i="19"/>
  <c r="AF282" i="19"/>
  <c r="AJ282" i="19"/>
  <c r="AK282" i="19" s="1" a="1"/>
  <c r="AK282" i="19" s="1"/>
  <c r="W283" i="19"/>
  <c r="X283" i="19"/>
  <c r="AD283" i="19"/>
  <c r="AE283" i="19"/>
  <c r="AF283" i="19"/>
  <c r="AJ283" i="19"/>
  <c r="AK283" i="19" s="1" a="1"/>
  <c r="AK283" i="19" s="1"/>
  <c r="W284" i="19"/>
  <c r="X284" i="19"/>
  <c r="AD284" i="19"/>
  <c r="AE284" i="19"/>
  <c r="AF284" i="19"/>
  <c r="AJ284" i="19"/>
  <c r="AK284" i="19" s="1" a="1"/>
  <c r="AK284" i="19" s="1"/>
  <c r="W285" i="19"/>
  <c r="X285" i="19"/>
  <c r="AD285" i="19"/>
  <c r="AE285" i="19"/>
  <c r="AF285" i="19"/>
  <c r="AH285" i="19"/>
  <c r="AJ285" i="19" s="1"/>
  <c r="AK285" i="19" s="1" a="1"/>
  <c r="AK285" i="19" s="1"/>
  <c r="W286" i="19"/>
  <c r="X286" i="19"/>
  <c r="AD286" i="19"/>
  <c r="AE286" i="19"/>
  <c r="AF286" i="19"/>
  <c r="AH286" i="19"/>
  <c r="AJ286" i="19" s="1"/>
  <c r="AK286" i="19" s="1" a="1"/>
  <c r="AK286" i="19" s="1"/>
  <c r="W289" i="19"/>
  <c r="X289" i="19"/>
  <c r="AD289" i="19"/>
  <c r="AE289" i="19"/>
  <c r="AF289" i="19"/>
  <c r="AH289" i="19"/>
  <c r="AJ289" i="19" s="1"/>
  <c r="AK289" i="19" s="1" a="1"/>
  <c r="AK289" i="19" s="1"/>
  <c r="W287" i="19"/>
  <c r="X287" i="19"/>
  <c r="AD287" i="19"/>
  <c r="AE287" i="19"/>
  <c r="AF287" i="19"/>
  <c r="AH287" i="19"/>
  <c r="AJ287" i="19" s="1"/>
  <c r="AK287" i="19" s="1" a="1"/>
  <c r="AK287" i="19" s="1"/>
  <c r="W288" i="19"/>
  <c r="X288" i="19"/>
  <c r="AD288" i="19"/>
  <c r="AE288" i="19"/>
  <c r="AF288" i="19"/>
  <c r="AH288" i="19"/>
  <c r="AJ288" i="19" s="1"/>
  <c r="AK288" i="19" s="1" a="1"/>
  <c r="AK288" i="19" s="1"/>
  <c r="W292" i="19"/>
  <c r="X292" i="19"/>
  <c r="AD292" i="19"/>
  <c r="AE292" i="19"/>
  <c r="AF292" i="19"/>
  <c r="AJ292" i="19"/>
  <c r="AK292" i="19" s="1" a="1"/>
  <c r="AK292" i="19" s="1"/>
  <c r="W293" i="19"/>
  <c r="X293" i="19"/>
  <c r="AD293" i="19"/>
  <c r="AE293" i="19"/>
  <c r="AF293" i="19"/>
  <c r="AJ293" i="19"/>
  <c r="AK293" i="19" s="1" a="1"/>
  <c r="AK293" i="19" s="1"/>
  <c r="W290" i="19"/>
  <c r="X290" i="19"/>
  <c r="AD290" i="19"/>
  <c r="AE290" i="19"/>
  <c r="AF290" i="19"/>
  <c r="AJ290" i="19"/>
  <c r="AK290" i="19" s="1" a="1"/>
  <c r="AK290" i="19" s="1"/>
  <c r="W291" i="19"/>
  <c r="X291" i="19"/>
  <c r="AD291" i="19"/>
  <c r="AE291" i="19"/>
  <c r="AF291" i="19"/>
  <c r="AJ291" i="19"/>
  <c r="AK291" i="19" s="1" a="1"/>
  <c r="AK291" i="19" s="1"/>
  <c r="W300" i="19"/>
  <c r="X300" i="19"/>
  <c r="AD300" i="19"/>
  <c r="AE300" i="19"/>
  <c r="AF300" i="19"/>
  <c r="AH300" i="19"/>
  <c r="AJ300" i="19" s="1"/>
  <c r="AK300" i="19" s="1" a="1"/>
  <c r="AK300" i="19" s="1"/>
  <c r="W299" i="19"/>
  <c r="X299" i="19"/>
  <c r="AD299" i="19"/>
  <c r="AE299" i="19"/>
  <c r="AF299" i="19"/>
  <c r="AH299" i="19"/>
  <c r="AJ299" i="19" s="1"/>
  <c r="AK299" i="19" s="1" a="1"/>
  <c r="AK299" i="19" s="1"/>
  <c r="W294" i="19"/>
  <c r="X294" i="19"/>
  <c r="AD294" i="19"/>
  <c r="AE294" i="19"/>
  <c r="AF294" i="19"/>
  <c r="AJ294" i="19"/>
  <c r="AK294" i="19" s="1" a="1"/>
  <c r="AK294" i="19" s="1"/>
  <c r="W295" i="19"/>
  <c r="X295" i="19"/>
  <c r="AD295" i="19"/>
  <c r="AE295" i="19"/>
  <c r="AF295" i="19"/>
  <c r="AJ295" i="19"/>
  <c r="AK295" i="19" s="1" a="1"/>
  <c r="AK295" i="19" s="1"/>
  <c r="W298" i="19"/>
  <c r="X298" i="19"/>
  <c r="AD298" i="19"/>
  <c r="AE298" i="19"/>
  <c r="AF298" i="19"/>
  <c r="AJ298" i="19"/>
  <c r="AK298" i="19" s="1" a="1"/>
  <c r="AK298" i="19" s="1"/>
  <c r="W296" i="19"/>
  <c r="X296" i="19"/>
  <c r="AD296" i="19"/>
  <c r="AE296" i="19"/>
  <c r="AF296" i="19"/>
  <c r="AJ296" i="19"/>
  <c r="AK296" i="19" s="1" a="1"/>
  <c r="AK296" i="19" s="1"/>
  <c r="W297" i="19"/>
  <c r="X297" i="19"/>
  <c r="AD297" i="19"/>
  <c r="AE297" i="19"/>
  <c r="AF297" i="19"/>
  <c r="AJ297" i="19"/>
  <c r="AK297" i="19" s="1" a="1"/>
  <c r="AK297" i="19" s="1"/>
  <c r="U302" i="19"/>
  <c r="W302" i="19" s="1"/>
  <c r="AD302" i="19"/>
  <c r="AE302" i="19"/>
  <c r="AF302" i="19"/>
  <c r="AH302" i="19"/>
  <c r="W303" i="19"/>
  <c r="X303" i="19"/>
  <c r="AD303" i="19"/>
  <c r="AE303" i="19"/>
  <c r="AF303" i="19"/>
  <c r="AH303" i="19"/>
  <c r="AJ303" i="19" s="1"/>
  <c r="AK303" i="19" s="1" a="1"/>
  <c r="AK303" i="19" s="1"/>
  <c r="U301" i="19"/>
  <c r="AJ301" i="19" s="1"/>
  <c r="AK301" i="19" s="1" a="1"/>
  <c r="AK301" i="19" s="1"/>
  <c r="AD301" i="19"/>
  <c r="AE301" i="19"/>
  <c r="AF301" i="19"/>
  <c r="V304" i="19"/>
  <c r="W304" i="19" s="1"/>
  <c r="Y304" i="19"/>
  <c r="AD304" i="19"/>
  <c r="AE304" i="19"/>
  <c r="AF304" i="19"/>
  <c r="AG304" i="19"/>
  <c r="AH304" i="19"/>
  <c r="AJ304" i="19" s="1"/>
  <c r="AK304" i="19" s="1" a="1"/>
  <c r="AK304" i="19" s="1"/>
  <c r="W306" i="19"/>
  <c r="X306" i="19"/>
  <c r="AD306" i="19"/>
  <c r="AE306" i="19"/>
  <c r="AF306" i="19"/>
  <c r="AJ306" i="19"/>
  <c r="AK306" i="19" s="1" a="1"/>
  <c r="AK306" i="19" s="1"/>
  <c r="W305" i="19"/>
  <c r="X305" i="19"/>
  <c r="AD305" i="19"/>
  <c r="AE305" i="19"/>
  <c r="AF305" i="19"/>
  <c r="AJ305" i="19"/>
  <c r="AK305" i="19" s="1" a="1"/>
  <c r="AK305" i="19" s="1"/>
  <c r="W307" i="19"/>
  <c r="X307" i="19"/>
  <c r="AD307" i="19"/>
  <c r="AE307" i="19"/>
  <c r="AF307" i="19"/>
  <c r="AJ307" i="19"/>
  <c r="AK307" i="19" s="1" a="1"/>
  <c r="AK307" i="19" s="1"/>
  <c r="W308" i="19"/>
  <c r="X308" i="19"/>
  <c r="AD308" i="19"/>
  <c r="AE308" i="19"/>
  <c r="AF308" i="19"/>
  <c r="AJ308" i="19"/>
  <c r="AK308" i="19" s="1" a="1"/>
  <c r="AK308" i="19" s="1"/>
  <c r="W310" i="19"/>
  <c r="X310" i="19"/>
  <c r="AD310" i="19"/>
  <c r="AE310" i="19"/>
  <c r="AF310" i="19"/>
  <c r="AH310" i="19"/>
  <c r="AJ310" i="19" s="1"/>
  <c r="AK310" i="19" s="1" a="1"/>
  <c r="AK310" i="19" s="1"/>
  <c r="W309" i="19"/>
  <c r="X309" i="19"/>
  <c r="AD309" i="19"/>
  <c r="AE309" i="19"/>
  <c r="AF309" i="19"/>
  <c r="AH309" i="19"/>
  <c r="AJ309" i="19" s="1"/>
  <c r="AK309" i="19" s="1" a="1"/>
  <c r="AK309" i="19" s="1"/>
  <c r="W311" i="19"/>
  <c r="X311" i="19"/>
  <c r="AD311" i="19"/>
  <c r="AE311" i="19"/>
  <c r="AF311" i="19"/>
  <c r="W312" i="19"/>
  <c r="X312" i="19"/>
  <c r="AD312" i="19"/>
  <c r="AE312" i="19"/>
  <c r="AF312" i="19"/>
  <c r="W314" i="19"/>
  <c r="X314" i="19"/>
  <c r="AD314" i="19"/>
  <c r="AE314" i="19"/>
  <c r="AF314" i="19"/>
  <c r="W313" i="19"/>
  <c r="X313" i="19"/>
  <c r="AD313" i="19"/>
  <c r="AE313" i="19"/>
  <c r="AF313" i="19"/>
  <c r="W315" i="19"/>
  <c r="X315" i="19"/>
  <c r="AD315" i="19"/>
  <c r="AE315" i="19"/>
  <c r="AF315" i="19"/>
  <c r="AH315" i="19"/>
  <c r="AJ315" i="19" s="1"/>
  <c r="AK315" i="19" s="1" a="1"/>
  <c r="AK315" i="19" s="1"/>
  <c r="U316" i="19"/>
  <c r="W316" i="19" s="1"/>
  <c r="AD316" i="19"/>
  <c r="AE316" i="19"/>
  <c r="AF316" i="19"/>
  <c r="AH316" i="19"/>
  <c r="U317" i="19"/>
  <c r="AD317" i="19"/>
  <c r="AE317" i="19"/>
  <c r="AF317" i="19"/>
  <c r="AH317" i="19"/>
  <c r="W318" i="19"/>
  <c r="X318" i="19"/>
  <c r="AD318" i="19"/>
  <c r="AE318" i="19"/>
  <c r="AF318" i="19"/>
  <c r="AH318" i="19"/>
  <c r="AJ318" i="19" s="1"/>
  <c r="AK318" i="19" s="1" a="1"/>
  <c r="AK318" i="19" s="1"/>
  <c r="W319" i="19"/>
  <c r="X319" i="19"/>
  <c r="AD319" i="19"/>
  <c r="AE319" i="19"/>
  <c r="AF319" i="19"/>
  <c r="AH319" i="19"/>
  <c r="AJ319" i="19" s="1"/>
  <c r="AK319" i="19" s="1" a="1"/>
  <c r="AK319" i="19" s="1"/>
  <c r="U321" i="19"/>
  <c r="W321" i="19" s="1"/>
  <c r="AD321" i="19"/>
  <c r="AE321" i="19"/>
  <c r="AF321" i="19"/>
  <c r="U320" i="19"/>
  <c r="W320" i="19" s="1"/>
  <c r="AD320" i="19"/>
  <c r="AE320" i="19"/>
  <c r="AF320" i="19"/>
  <c r="V338" i="19"/>
  <c r="W338" i="19" s="1"/>
  <c r="Y338" i="19"/>
  <c r="AD338" i="19"/>
  <c r="AE338" i="19"/>
  <c r="AF338" i="19"/>
  <c r="AH338" i="19"/>
  <c r="AJ338" i="19" s="1"/>
  <c r="AK338" i="19" s="1" a="1"/>
  <c r="AK338" i="19" s="1"/>
  <c r="V334" i="19"/>
  <c r="W334" i="19" s="1"/>
  <c r="Y334" i="19"/>
  <c r="AD334" i="19"/>
  <c r="AE334" i="19"/>
  <c r="AF334" i="19"/>
  <c r="AH334" i="19"/>
  <c r="AJ334" i="19" s="1"/>
  <c r="AK334" i="19" s="1" a="1"/>
  <c r="AK334" i="19" s="1"/>
  <c r="V335" i="19"/>
  <c r="W335" i="19" s="1"/>
  <c r="Y335" i="19"/>
  <c r="AD335" i="19"/>
  <c r="AE335" i="19"/>
  <c r="AF335" i="19"/>
  <c r="AH335" i="19"/>
  <c r="AJ335" i="19" s="1"/>
  <c r="AK335" i="19" s="1" a="1"/>
  <c r="AK335" i="19" s="1"/>
  <c r="W336" i="19"/>
  <c r="X336" i="19"/>
  <c r="AD336" i="19"/>
  <c r="AE336" i="19"/>
  <c r="AF336" i="19"/>
  <c r="AH336" i="19"/>
  <c r="AJ336" i="19" s="1"/>
  <c r="AK336" i="19" s="1" a="1"/>
  <c r="AK336" i="19" s="1"/>
  <c r="W337" i="19"/>
  <c r="X337" i="19"/>
  <c r="AD337" i="19"/>
  <c r="AE337" i="19"/>
  <c r="AF337" i="19"/>
  <c r="AH337" i="19"/>
  <c r="AJ337" i="19" s="1"/>
  <c r="AK337" i="19" s="1" a="1"/>
  <c r="AK337" i="19" s="1"/>
  <c r="V327" i="19"/>
  <c r="W327" i="19" s="1"/>
  <c r="Y327" i="19"/>
  <c r="AD327" i="19"/>
  <c r="AE327" i="19"/>
  <c r="AF327" i="19"/>
  <c r="AH327" i="19"/>
  <c r="AJ327" i="19" s="1"/>
  <c r="AK327" i="19" s="1" a="1"/>
  <c r="AK327" i="19" s="1"/>
  <c r="V328" i="19"/>
  <c r="W328" i="19" s="1"/>
  <c r="Y328" i="19"/>
  <c r="AD328" i="19"/>
  <c r="AE328" i="19"/>
  <c r="AF328" i="19"/>
  <c r="AH328" i="19"/>
  <c r="AJ328" i="19" s="1"/>
  <c r="AK328" i="19" s="1" a="1"/>
  <c r="AK328" i="19" s="1"/>
  <c r="V332" i="19"/>
  <c r="W332" i="19" s="1"/>
  <c r="Y332" i="19"/>
  <c r="AD332" i="19"/>
  <c r="AE332" i="19"/>
  <c r="AF332" i="19"/>
  <c r="AH332" i="19"/>
  <c r="AJ332" i="19" s="1"/>
  <c r="AK332" i="19" s="1" a="1"/>
  <c r="AK332" i="19" s="1"/>
  <c r="V333" i="19"/>
  <c r="W333" i="19" s="1"/>
  <c r="Y333" i="19"/>
  <c r="AD333" i="19"/>
  <c r="AE333" i="19"/>
  <c r="AF333" i="19"/>
  <c r="AH333" i="19"/>
  <c r="AJ333" i="19" s="1"/>
  <c r="AK333" i="19" s="1" a="1"/>
  <c r="AK333" i="19" s="1"/>
  <c r="V331" i="19"/>
  <c r="W331" i="19" s="1"/>
  <c r="Y331" i="19"/>
  <c r="AD331" i="19"/>
  <c r="AE331" i="19"/>
  <c r="AF331" i="19"/>
  <c r="AH331" i="19"/>
  <c r="AJ331" i="19" s="1"/>
  <c r="AK331" i="19" s="1" a="1"/>
  <c r="AK331" i="19" s="1"/>
  <c r="V329" i="19"/>
  <c r="W329" i="19" s="1"/>
  <c r="Y329" i="19"/>
  <c r="AD329" i="19"/>
  <c r="AE329" i="19"/>
  <c r="AF329" i="19"/>
  <c r="AH329" i="19"/>
  <c r="AJ329" i="19" s="1"/>
  <c r="AK329" i="19" s="1" a="1"/>
  <c r="AK329" i="19" s="1"/>
  <c r="W330" i="19"/>
  <c r="Y330" i="19"/>
  <c r="X330" i="19"/>
  <c r="AD330" i="19"/>
  <c r="AE330" i="19"/>
  <c r="AF330" i="19"/>
  <c r="AH330" i="19"/>
  <c r="AJ330" i="19" s="1"/>
  <c r="AK330" i="19" s="1" a="1"/>
  <c r="AK330" i="19" s="1"/>
  <c r="U323" i="19"/>
  <c r="AJ323" i="19" s="1"/>
  <c r="AK323" i="19" s="1" a="1"/>
  <c r="AK323" i="19" s="1"/>
  <c r="Y323" i="19"/>
  <c r="AD323" i="19"/>
  <c r="AE323" i="19"/>
  <c r="AF323" i="19"/>
  <c r="U324" i="19"/>
  <c r="W324" i="19" s="1"/>
  <c r="Y324" i="19"/>
  <c r="AD324" i="19"/>
  <c r="AE324" i="19"/>
  <c r="AF324" i="19"/>
  <c r="U325" i="19"/>
  <c r="Y325" i="19"/>
  <c r="AD325" i="19"/>
  <c r="AE325" i="19"/>
  <c r="AF325" i="19"/>
  <c r="U326" i="19"/>
  <c r="AJ326" i="19" s="1"/>
  <c r="AK326" i="19" s="1" a="1"/>
  <c r="AK326" i="19" s="1"/>
  <c r="Y326" i="19"/>
  <c r="AD326" i="19"/>
  <c r="AE326" i="19"/>
  <c r="AF326" i="19"/>
  <c r="W322" i="19"/>
  <c r="Y322" i="19"/>
  <c r="X322" i="19"/>
  <c r="AD322" i="19"/>
  <c r="AE322" i="19"/>
  <c r="AF322" i="19"/>
  <c r="AJ322" i="19"/>
  <c r="AK322" i="19" s="1" a="1"/>
  <c r="AK322" i="19" s="1"/>
  <c r="U339" i="19"/>
  <c r="W339" i="19" s="1"/>
  <c r="Y339" i="19"/>
  <c r="AD339" i="19"/>
  <c r="AE339" i="19"/>
  <c r="AF339" i="19"/>
  <c r="U340" i="19"/>
  <c r="W340" i="19" s="1"/>
  <c r="Y340" i="19"/>
  <c r="AD340" i="19"/>
  <c r="AE340" i="19"/>
  <c r="AF340" i="19"/>
  <c r="W342" i="19"/>
  <c r="Y342" i="19"/>
  <c r="X342" i="19"/>
  <c r="AD342" i="19"/>
  <c r="AE342" i="19"/>
  <c r="AF342" i="19"/>
  <c r="AH342" i="19"/>
  <c r="AJ342" i="19" s="1"/>
  <c r="AK342" i="19" s="1" a="1"/>
  <c r="AK342" i="19" s="1"/>
  <c r="W341" i="19"/>
  <c r="Y341" i="19"/>
  <c r="X341" i="19"/>
  <c r="AD341" i="19"/>
  <c r="AE341" i="19"/>
  <c r="AF341" i="19"/>
  <c r="AH341" i="19"/>
  <c r="AJ341" i="19" s="1"/>
  <c r="AK341" i="19" s="1" a="1"/>
  <c r="AK341" i="19" s="1"/>
  <c r="W345" i="19"/>
  <c r="Y345" i="19"/>
  <c r="X345" i="19"/>
  <c r="AD345" i="19"/>
  <c r="AE345" i="19"/>
  <c r="AF345" i="19"/>
  <c r="AH345" i="19"/>
  <c r="AJ345" i="19" s="1"/>
  <c r="AK345" i="19" s="1" a="1"/>
  <c r="AK345" i="19" s="1"/>
  <c r="W346" i="19"/>
  <c r="Y346" i="19"/>
  <c r="X346" i="19"/>
  <c r="AD346" i="19"/>
  <c r="AE346" i="19"/>
  <c r="AF346" i="19"/>
  <c r="AH346" i="19"/>
  <c r="AJ346" i="19" s="1"/>
  <c r="AK346" i="19" s="1" a="1"/>
  <c r="AK346" i="19" s="1"/>
  <c r="W343" i="19"/>
  <c r="Y343" i="19"/>
  <c r="X343" i="19"/>
  <c r="AD343" i="19"/>
  <c r="AE343" i="19"/>
  <c r="AF343" i="19"/>
  <c r="AH343" i="19"/>
  <c r="AJ343" i="19" s="1"/>
  <c r="AK343" i="19" s="1" a="1"/>
  <c r="AK343" i="19" s="1"/>
  <c r="W344" i="19"/>
  <c r="Y344" i="19"/>
  <c r="X344" i="19"/>
  <c r="AD344" i="19"/>
  <c r="AE344" i="19"/>
  <c r="AF344" i="19"/>
  <c r="V347" i="19"/>
  <c r="W347" i="19" s="1"/>
  <c r="Y347" i="19"/>
  <c r="AD347" i="19"/>
  <c r="AE347" i="19"/>
  <c r="AF347" i="19"/>
  <c r="AG347" i="19"/>
  <c r="V348" i="19"/>
  <c r="W348" i="19" s="1"/>
  <c r="Y348" i="19"/>
  <c r="AD348" i="19"/>
  <c r="AE348" i="19"/>
  <c r="AF348" i="19"/>
  <c r="AG348" i="19"/>
  <c r="V349" i="19"/>
  <c r="W349" i="19" s="1"/>
  <c r="Y349" i="19"/>
  <c r="AD349" i="19"/>
  <c r="AE349" i="19"/>
  <c r="AF349" i="19"/>
  <c r="AG349" i="19"/>
  <c r="V350" i="19"/>
  <c r="W350" i="19" s="1"/>
  <c r="Y350" i="19"/>
  <c r="AD350" i="19"/>
  <c r="AE350" i="19"/>
  <c r="AF350" i="19"/>
  <c r="AG350" i="19"/>
  <c r="V351" i="19"/>
  <c r="W351" i="19" s="1"/>
  <c r="Y351" i="19"/>
  <c r="AD351" i="19"/>
  <c r="AE351" i="19"/>
  <c r="AF351" i="19"/>
  <c r="AG351" i="19"/>
  <c r="V352" i="19"/>
  <c r="W352" i="19" s="1"/>
  <c r="Y352" i="19"/>
  <c r="AD352" i="19"/>
  <c r="AE352" i="19"/>
  <c r="AF352" i="19"/>
  <c r="AG352" i="19"/>
  <c r="V353" i="19"/>
  <c r="W353" i="19" s="1"/>
  <c r="Y353" i="19"/>
  <c r="AD353" i="19"/>
  <c r="AE353" i="19"/>
  <c r="AF353" i="19"/>
  <c r="AG353" i="19"/>
  <c r="V354" i="19"/>
  <c r="W354" i="19" s="1"/>
  <c r="Y354" i="19"/>
  <c r="AD354" i="19"/>
  <c r="AE354" i="19"/>
  <c r="AF354" i="19"/>
  <c r="AG354" i="19"/>
  <c r="V355" i="19"/>
  <c r="W355" i="19" s="1"/>
  <c r="Y355" i="19"/>
  <c r="AD355" i="19"/>
  <c r="AE355" i="19"/>
  <c r="AF355" i="19"/>
  <c r="AG355" i="19"/>
  <c r="V356" i="19"/>
  <c r="W356" i="19" s="1"/>
  <c r="Y356" i="19"/>
  <c r="AD356" i="19"/>
  <c r="AE356" i="19"/>
  <c r="AF356" i="19"/>
  <c r="AG356" i="19"/>
  <c r="V357" i="19"/>
  <c r="W357" i="19" s="1"/>
  <c r="Y357" i="19"/>
  <c r="AD357" i="19"/>
  <c r="AE357" i="19"/>
  <c r="AF357" i="19"/>
  <c r="AG357" i="19"/>
  <c r="V358" i="19"/>
  <c r="W358" i="19" s="1"/>
  <c r="Y358" i="19"/>
  <c r="AD358" i="19"/>
  <c r="AE358" i="19"/>
  <c r="AF358" i="19"/>
  <c r="AG358" i="19"/>
  <c r="V359" i="19"/>
  <c r="W359" i="19" s="1"/>
  <c r="Y359" i="19"/>
  <c r="AD359" i="19"/>
  <c r="AE359" i="19"/>
  <c r="AF359" i="19"/>
  <c r="AG359" i="19"/>
  <c r="V360" i="19"/>
  <c r="W360" i="19" s="1"/>
  <c r="Y360" i="19"/>
  <c r="AD360" i="19"/>
  <c r="AE360" i="19"/>
  <c r="AF360" i="19"/>
  <c r="AG360" i="19"/>
  <c r="V361" i="19"/>
  <c r="W361" i="19" s="1"/>
  <c r="Y361" i="19"/>
  <c r="AD361" i="19"/>
  <c r="AE361" i="19"/>
  <c r="AF361" i="19"/>
  <c r="AG361" i="19"/>
  <c r="W362" i="19"/>
  <c r="X362" i="19"/>
  <c r="AD362" i="19"/>
  <c r="AE362" i="19"/>
  <c r="AF362" i="19"/>
  <c r="AH362" i="19"/>
  <c r="AJ362" i="19" s="1"/>
  <c r="AK362" i="19" s="1" a="1"/>
  <c r="AK362" i="19" s="1"/>
  <c r="V363" i="19"/>
  <c r="W363" i="19" s="1"/>
  <c r="Y363" i="19"/>
  <c r="AD363" i="19"/>
  <c r="AE363" i="19"/>
  <c r="AF363" i="19"/>
  <c r="AH363" i="19"/>
  <c r="AJ363" i="19" s="1"/>
  <c r="AK363" i="19" s="1" a="1"/>
  <c r="AK363" i="19" s="1"/>
  <c r="V364" i="19"/>
  <c r="W364" i="19" s="1"/>
  <c r="Y364" i="19"/>
  <c r="AD364" i="19"/>
  <c r="AE364" i="19"/>
  <c r="AF364" i="19"/>
  <c r="V366" i="19"/>
  <c r="W366" i="19" s="1"/>
  <c r="Y366" i="19"/>
  <c r="AD366" i="19"/>
  <c r="AE366" i="19"/>
  <c r="AF366" i="19"/>
  <c r="AH366" i="19"/>
  <c r="AJ366" i="19" s="1"/>
  <c r="AK366" i="19" s="1" a="1"/>
  <c r="AK366" i="19" s="1"/>
  <c r="V365" i="19"/>
  <c r="W365" i="19" s="1"/>
  <c r="Y365" i="19"/>
  <c r="AD365" i="19"/>
  <c r="AE365" i="19"/>
  <c r="AF365" i="19"/>
  <c r="AH365" i="19"/>
  <c r="AJ365" i="19" s="1"/>
  <c r="AK365" i="19" s="1" a="1"/>
  <c r="AK365" i="19" s="1"/>
  <c r="V368" i="19"/>
  <c r="W368" i="19" s="1"/>
  <c r="Y368" i="19"/>
  <c r="AD368" i="19"/>
  <c r="AE368" i="19"/>
  <c r="AF368" i="19"/>
  <c r="AH368" i="19"/>
  <c r="AJ368" i="19" s="1"/>
  <c r="AK368" i="19" s="1" a="1"/>
  <c r="AK368" i="19" s="1"/>
  <c r="V367" i="19"/>
  <c r="W367" i="19" s="1"/>
  <c r="Y367" i="19"/>
  <c r="AD367" i="19"/>
  <c r="AE367" i="19"/>
  <c r="AF367" i="19"/>
  <c r="AH367" i="19"/>
  <c r="AJ367" i="19" s="1"/>
  <c r="AK367" i="19" s="1" a="1"/>
  <c r="AK367" i="19" s="1"/>
  <c r="W369" i="19"/>
  <c r="X369" i="19"/>
  <c r="AD369" i="19"/>
  <c r="AE369" i="19"/>
  <c r="AF369" i="19"/>
  <c r="AH369" i="19"/>
  <c r="AJ369" i="19" s="1"/>
  <c r="AK369" i="19" s="1" a="1"/>
  <c r="AK369" i="19" s="1"/>
  <c r="W370" i="19"/>
  <c r="X370" i="19"/>
  <c r="AD370" i="19"/>
  <c r="AE370" i="19"/>
  <c r="AF370" i="19"/>
  <c r="AJ370" i="19"/>
  <c r="AK370" i="19" s="1" a="1"/>
  <c r="AK370" i="19" s="1"/>
  <c r="W371" i="19"/>
  <c r="X371" i="19"/>
  <c r="AD371" i="19"/>
  <c r="AE371" i="19"/>
  <c r="AF371" i="19"/>
  <c r="AH371" i="19"/>
  <c r="AJ371" i="19" s="1"/>
  <c r="AK371" i="19" s="1" a="1"/>
  <c r="AK371" i="19" s="1"/>
  <c r="F372" i="19"/>
  <c r="W372" i="19"/>
  <c r="Y372" i="19"/>
  <c r="X372" i="19"/>
  <c r="AD372" i="19"/>
  <c r="AE372" i="19"/>
  <c r="AF372" i="19"/>
  <c r="AH372" i="19"/>
  <c r="AJ372" i="19" s="1"/>
  <c r="AK372" i="19" s="1" a="1"/>
  <c r="AK372" i="19" s="1"/>
  <c r="W381" i="19"/>
  <c r="Y381" i="19"/>
  <c r="X381" i="19"/>
  <c r="AD381" i="19"/>
  <c r="AE381" i="19"/>
  <c r="AF381" i="19"/>
  <c r="W384" i="19"/>
  <c r="Y384" i="19"/>
  <c r="X384" i="19"/>
  <c r="AD384" i="19"/>
  <c r="AE384" i="19"/>
  <c r="AF384" i="19"/>
  <c r="W382" i="19"/>
  <c r="Y382" i="19"/>
  <c r="X382" i="19"/>
  <c r="AD382" i="19"/>
  <c r="AE382" i="19"/>
  <c r="AF382" i="19"/>
  <c r="W383" i="19"/>
  <c r="Y383" i="19"/>
  <c r="X383" i="19"/>
  <c r="AD383" i="19"/>
  <c r="AE383" i="19"/>
  <c r="AF383" i="19"/>
  <c r="W385" i="19"/>
  <c r="Y385" i="19"/>
  <c r="X385" i="19"/>
  <c r="AD385" i="19"/>
  <c r="AE385" i="19"/>
  <c r="AF385" i="19"/>
  <c r="W386" i="19"/>
  <c r="Y386" i="19"/>
  <c r="X386" i="19"/>
  <c r="AD386" i="19"/>
  <c r="AE386" i="19"/>
  <c r="AF386" i="19"/>
  <c r="W387" i="19"/>
  <c r="Y387" i="19"/>
  <c r="X387" i="19"/>
  <c r="AD387" i="19"/>
  <c r="AE387" i="19"/>
  <c r="AF387" i="19"/>
  <c r="W388" i="19"/>
  <c r="Y388" i="19"/>
  <c r="X388" i="19"/>
  <c r="AD388" i="19"/>
  <c r="AE388" i="19"/>
  <c r="AF388" i="19"/>
  <c r="W389" i="19"/>
  <c r="Y389" i="19"/>
  <c r="X389" i="19"/>
  <c r="AD389" i="19"/>
  <c r="AE389" i="19"/>
  <c r="AF389" i="19"/>
  <c r="W390" i="19"/>
  <c r="Y390" i="19"/>
  <c r="X390" i="19"/>
  <c r="AD390" i="19"/>
  <c r="AE390" i="19"/>
  <c r="AF390" i="19"/>
  <c r="W391" i="19"/>
  <c r="Y391" i="19"/>
  <c r="X391" i="19"/>
  <c r="AD391" i="19"/>
  <c r="AE391" i="19"/>
  <c r="AF391" i="19"/>
  <c r="W392" i="19"/>
  <c r="Y392" i="19"/>
  <c r="X392" i="19"/>
  <c r="AD392" i="19"/>
  <c r="AE392" i="19"/>
  <c r="AF392" i="19"/>
  <c r="W395" i="19"/>
  <c r="Y395" i="19"/>
  <c r="X395" i="19"/>
  <c r="AD395" i="19"/>
  <c r="AE395" i="19"/>
  <c r="AF395" i="19"/>
  <c r="W393" i="19"/>
  <c r="Y393" i="19"/>
  <c r="X393" i="19"/>
  <c r="AD393" i="19"/>
  <c r="AE393" i="19"/>
  <c r="AF393" i="19"/>
  <c r="W394" i="19"/>
  <c r="Y394" i="19"/>
  <c r="X394" i="19"/>
  <c r="AD394" i="19"/>
  <c r="AE394" i="19"/>
  <c r="AF394" i="19"/>
  <c r="U396" i="19"/>
  <c r="W396" i="19" s="1"/>
  <c r="AD396" i="19"/>
  <c r="AE396" i="19"/>
  <c r="AF396" i="19"/>
  <c r="W397" i="19"/>
  <c r="X397" i="19"/>
  <c r="AD397" i="19"/>
  <c r="AE397" i="19"/>
  <c r="AF397" i="19"/>
  <c r="AH397" i="19"/>
  <c r="AJ397" i="19" s="1"/>
  <c r="AK397" i="19" s="1" a="1"/>
  <c r="AK397" i="19" s="1"/>
  <c r="W398" i="19"/>
  <c r="X398" i="19"/>
  <c r="AD398" i="19"/>
  <c r="AE398" i="19"/>
  <c r="AF398" i="19"/>
  <c r="AH398" i="19"/>
  <c r="AJ398" i="19" s="1"/>
  <c r="AK398" i="19" s="1" a="1"/>
  <c r="AK398" i="19" s="1"/>
  <c r="V409" i="19"/>
  <c r="W409" i="19" s="1"/>
  <c r="Y409" i="19"/>
  <c r="AD409" i="19"/>
  <c r="AE409" i="19"/>
  <c r="AF409" i="19"/>
  <c r="AH409" i="19"/>
  <c r="AJ409" i="19" s="1"/>
  <c r="AK409" i="19" s="1" a="1"/>
  <c r="AK409" i="19" s="1"/>
  <c r="F408" i="19"/>
  <c r="W408" i="19"/>
  <c r="Y408" i="19"/>
  <c r="X408" i="19"/>
  <c r="AD408" i="19"/>
  <c r="AE408" i="19"/>
  <c r="AF408" i="19"/>
  <c r="AH408" i="19"/>
  <c r="AJ408" i="19" s="1"/>
  <c r="AK408" i="19" s="1" a="1"/>
  <c r="AK408" i="19" s="1"/>
  <c r="F401" i="19"/>
  <c r="W401" i="19"/>
  <c r="Y401" i="19"/>
  <c r="X401" i="19"/>
  <c r="AD401" i="19"/>
  <c r="AE401" i="19"/>
  <c r="AF401" i="19"/>
  <c r="AH401" i="19"/>
  <c r="AJ401" i="19" s="1"/>
  <c r="AK401" i="19" s="1" a="1"/>
  <c r="AK401" i="19" s="1"/>
  <c r="F400" i="19"/>
  <c r="W400" i="19"/>
  <c r="Y400" i="19"/>
  <c r="X400" i="19"/>
  <c r="AD400" i="19"/>
  <c r="AE400" i="19"/>
  <c r="AF400" i="19"/>
  <c r="AH400" i="19"/>
  <c r="AJ400" i="19" s="1"/>
  <c r="AK400" i="19" s="1" a="1"/>
  <c r="AK400" i="19" s="1"/>
  <c r="F399" i="19"/>
  <c r="W399" i="19"/>
  <c r="Y399" i="19"/>
  <c r="X399" i="19"/>
  <c r="AD399" i="19"/>
  <c r="AE399" i="19"/>
  <c r="AF399" i="19"/>
  <c r="AH399" i="19"/>
  <c r="AJ399" i="19" s="1"/>
  <c r="AK399" i="19" s="1" a="1"/>
  <c r="AK399" i="19" s="1"/>
  <c r="F407" i="19"/>
  <c r="W407" i="19"/>
  <c r="Y407" i="19"/>
  <c r="X407" i="19"/>
  <c r="AD407" i="19"/>
  <c r="AE407" i="19"/>
  <c r="AF407" i="19"/>
  <c r="AH407" i="19"/>
  <c r="AJ407" i="19" s="1"/>
  <c r="AK407" i="19" s="1" a="1"/>
  <c r="AK407" i="19" s="1"/>
  <c r="F406" i="19"/>
  <c r="W406" i="19"/>
  <c r="Y406" i="19"/>
  <c r="X406" i="19"/>
  <c r="AD406" i="19"/>
  <c r="AE406" i="19"/>
  <c r="AF406" i="19"/>
  <c r="AH406" i="19"/>
  <c r="AJ406" i="19" s="1"/>
  <c r="AK406" i="19" s="1" a="1"/>
  <c r="AK406" i="19" s="1"/>
  <c r="F405" i="19"/>
  <c r="W405" i="19"/>
  <c r="Y405" i="19"/>
  <c r="X405" i="19"/>
  <c r="AD405" i="19"/>
  <c r="AE405" i="19"/>
  <c r="AF405" i="19"/>
  <c r="AH405" i="19"/>
  <c r="AJ405" i="19" s="1"/>
  <c r="AK405" i="19" s="1" a="1"/>
  <c r="AK405" i="19" s="1"/>
  <c r="F404" i="19"/>
  <c r="W404" i="19"/>
  <c r="Y404" i="19"/>
  <c r="X404" i="19"/>
  <c r="AD404" i="19"/>
  <c r="AE404" i="19"/>
  <c r="AF404" i="19"/>
  <c r="AH404" i="19"/>
  <c r="AJ404" i="19" s="1"/>
  <c r="AK404" i="19" s="1" a="1"/>
  <c r="AK404" i="19" s="1"/>
  <c r="F403" i="19"/>
  <c r="W403" i="19"/>
  <c r="Y403" i="19"/>
  <c r="X403" i="19"/>
  <c r="AD403" i="19"/>
  <c r="AE403" i="19"/>
  <c r="AF403" i="19"/>
  <c r="AH403" i="19"/>
  <c r="AJ403" i="19" s="1"/>
  <c r="AK403" i="19" s="1" a="1"/>
  <c r="AK403" i="19" s="1"/>
  <c r="F402" i="19"/>
  <c r="W402" i="19"/>
  <c r="Y402" i="19"/>
  <c r="X402" i="19"/>
  <c r="AD402" i="19"/>
  <c r="AE402" i="19"/>
  <c r="AF402" i="19"/>
  <c r="AH402" i="19"/>
  <c r="AJ402" i="19" s="1"/>
  <c r="AK402" i="19" s="1" a="1"/>
  <c r="AK402" i="19" s="1"/>
  <c r="W410" i="19"/>
  <c r="X410" i="19"/>
  <c r="AD410" i="19"/>
  <c r="AE410" i="19"/>
  <c r="AF410" i="19"/>
  <c r="AH410" i="19"/>
  <c r="AJ410" i="19" s="1"/>
  <c r="AK410" i="19" s="1" a="1"/>
  <c r="AK410" i="19" s="1"/>
  <c r="F426" i="19"/>
  <c r="W426" i="19"/>
  <c r="Y426" i="19"/>
  <c r="X426" i="19"/>
  <c r="AD426" i="19"/>
  <c r="AE426" i="19"/>
  <c r="AF426" i="19"/>
  <c r="AH426" i="19"/>
  <c r="AJ426" i="19" s="1"/>
  <c r="AK426" i="19" s="1" a="1"/>
  <c r="AK426" i="19" s="1"/>
  <c r="F425" i="19"/>
  <c r="W425" i="19"/>
  <c r="Y425" i="19"/>
  <c r="X425" i="19"/>
  <c r="AD425" i="19"/>
  <c r="AE425" i="19"/>
  <c r="AF425" i="19"/>
  <c r="AH425" i="19"/>
  <c r="AJ425" i="19" s="1"/>
  <c r="AK425" i="19" s="1" a="1"/>
  <c r="AK425" i="19" s="1"/>
  <c r="W427" i="19"/>
  <c r="X427" i="19"/>
  <c r="AD427" i="19"/>
  <c r="AE427" i="19"/>
  <c r="AF427" i="19"/>
  <c r="AH427" i="19"/>
  <c r="AJ427" i="19" s="1"/>
  <c r="AK427" i="19" s="1" a="1"/>
  <c r="AK427" i="19" s="1"/>
  <c r="F415" i="19"/>
  <c r="W415" i="19"/>
  <c r="Y415" i="19"/>
  <c r="X415" i="19"/>
  <c r="AD415" i="19"/>
  <c r="AE415" i="19"/>
  <c r="AF415" i="19"/>
  <c r="F413" i="19"/>
  <c r="W413" i="19"/>
  <c r="Y413" i="19"/>
  <c r="X413" i="19"/>
  <c r="AD413" i="19"/>
  <c r="AE413" i="19"/>
  <c r="AF413" i="19"/>
  <c r="F414" i="19"/>
  <c r="W414" i="19"/>
  <c r="Y414" i="19"/>
  <c r="X414" i="19"/>
  <c r="AD414" i="19"/>
  <c r="AE414" i="19"/>
  <c r="AF414" i="19"/>
  <c r="F411" i="19"/>
  <c r="W411" i="19"/>
  <c r="Y411" i="19"/>
  <c r="X411" i="19"/>
  <c r="AD411" i="19"/>
  <c r="AE411" i="19"/>
  <c r="AF411" i="19"/>
  <c r="F412" i="19"/>
  <c r="U412" i="19"/>
  <c r="W412" i="19" s="1"/>
  <c r="Y412" i="19"/>
  <c r="AD412" i="19"/>
  <c r="AE412" i="19"/>
  <c r="AF412" i="19"/>
  <c r="F422" i="19"/>
  <c r="W422" i="19"/>
  <c r="Y422" i="19"/>
  <c r="X422" i="19"/>
  <c r="AD422" i="19"/>
  <c r="AE422" i="19"/>
  <c r="AF422" i="19"/>
  <c r="W420" i="19"/>
  <c r="X420" i="19"/>
  <c r="AD420" i="19"/>
  <c r="AE420" i="19"/>
  <c r="AF420" i="19"/>
  <c r="F421" i="19"/>
  <c r="W421" i="19"/>
  <c r="Y421" i="19"/>
  <c r="X421" i="19"/>
  <c r="AD421" i="19"/>
  <c r="AE421" i="19"/>
  <c r="AF421" i="19"/>
  <c r="F419" i="19"/>
  <c r="W419" i="19"/>
  <c r="Y419" i="19"/>
  <c r="X419" i="19"/>
  <c r="AD419" i="19"/>
  <c r="AE419" i="19"/>
  <c r="AF419" i="19"/>
  <c r="F418" i="19"/>
  <c r="W418" i="19"/>
  <c r="Y418" i="19"/>
  <c r="X418" i="19"/>
  <c r="AD418" i="19"/>
  <c r="AE418" i="19"/>
  <c r="AF418" i="19"/>
  <c r="F417" i="19"/>
  <c r="W417" i="19"/>
  <c r="Y417" i="19"/>
  <c r="X417" i="19"/>
  <c r="AD417" i="19"/>
  <c r="AE417" i="19"/>
  <c r="AF417" i="19"/>
  <c r="F416" i="19"/>
  <c r="W416" i="19"/>
  <c r="Y416" i="19"/>
  <c r="X416" i="19"/>
  <c r="AD416" i="19"/>
  <c r="AE416" i="19"/>
  <c r="AF416" i="19"/>
  <c r="F424" i="19"/>
  <c r="W424" i="19"/>
  <c r="Y424" i="19"/>
  <c r="X424" i="19"/>
  <c r="AD424" i="19"/>
  <c r="AE424" i="19"/>
  <c r="AF424" i="19"/>
  <c r="AH424" i="19"/>
  <c r="AJ424" i="19" s="1"/>
  <c r="AK424" i="19" s="1" a="1"/>
  <c r="AK424" i="19" s="1"/>
  <c r="F423" i="19"/>
  <c r="W423" i="19"/>
  <c r="Y423" i="19"/>
  <c r="X423" i="19"/>
  <c r="AD423" i="19"/>
  <c r="AE423" i="19"/>
  <c r="AF423" i="19"/>
  <c r="AH423" i="19"/>
  <c r="AJ423" i="19" s="1"/>
  <c r="AK423" i="19" s="1" a="1"/>
  <c r="AK423" i="19" s="1"/>
  <c r="W428" i="19"/>
  <c r="X428" i="19"/>
  <c r="AD428" i="19"/>
  <c r="AE428" i="19"/>
  <c r="AF428" i="19"/>
  <c r="AJ428" i="19"/>
  <c r="AK428" i="19" s="1" a="1"/>
  <c r="AK428" i="19" s="1"/>
  <c r="W430" i="19"/>
  <c r="X430" i="19"/>
  <c r="AD430" i="19"/>
  <c r="AE430" i="19"/>
  <c r="AF430" i="19"/>
  <c r="AJ430" i="19"/>
  <c r="AK430" i="19" s="1" a="1"/>
  <c r="AK430" i="19" s="1"/>
  <c r="U429" i="19"/>
  <c r="AJ429" i="19" s="1"/>
  <c r="AK429" i="19" s="1" a="1"/>
  <c r="AK429" i="19" s="1"/>
  <c r="AD429" i="19"/>
  <c r="AE429" i="19"/>
  <c r="AF429" i="19"/>
  <c r="U431" i="19"/>
  <c r="W431" i="19" s="1"/>
  <c r="AD431" i="19"/>
  <c r="AE431" i="19"/>
  <c r="AF431" i="19"/>
  <c r="U432" i="19"/>
  <c r="W432" i="19" s="1"/>
  <c r="AD432" i="19"/>
  <c r="AE432" i="19"/>
  <c r="AF432" i="19"/>
  <c r="W433" i="19"/>
  <c r="X433" i="19"/>
  <c r="AD433" i="19"/>
  <c r="AE433" i="19"/>
  <c r="AF433" i="19"/>
  <c r="AJ433" i="19"/>
  <c r="AK433" i="19" s="1" a="1"/>
  <c r="AK433" i="19" s="1"/>
  <c r="W444" i="19"/>
  <c r="Y444" i="19"/>
  <c r="X444" i="19"/>
  <c r="AD444" i="19"/>
  <c r="AE444" i="19"/>
  <c r="AF444" i="19"/>
  <c r="AH444" i="19"/>
  <c r="AJ444" i="19" s="1"/>
  <c r="AK444" i="19" s="1" a="1"/>
  <c r="AK444" i="19" s="1"/>
  <c r="AA446" i="19" a="1"/>
  <c r="AA446" i="19" s="1"/>
  <c r="U446" i="19"/>
  <c r="V446" i="19"/>
  <c r="Y446" i="19"/>
  <c r="AC446" i="19"/>
  <c r="AG446" i="19"/>
  <c r="AH446" i="19"/>
  <c r="AA445" i="19" a="1"/>
  <c r="AA445" i="19" s="1"/>
  <c r="U445" i="19"/>
  <c r="V445" i="19"/>
  <c r="Y445" i="19"/>
  <c r="AC445" i="19"/>
  <c r="AG445" i="19"/>
  <c r="AH445" i="19"/>
  <c r="W447" i="19"/>
  <c r="Y447" i="19"/>
  <c r="X447" i="19"/>
  <c r="AC447" i="19"/>
  <c r="AD447" i="19" s="1"/>
  <c r="AG447" i="19"/>
  <c r="D434" i="19"/>
  <c r="F434" i="19"/>
  <c r="S434" i="19"/>
  <c r="W434" i="19"/>
  <c r="Y434" i="19"/>
  <c r="X434" i="19"/>
  <c r="AD434" i="19"/>
  <c r="AE434" i="19"/>
  <c r="AF434" i="19"/>
  <c r="AH434" i="19"/>
  <c r="AJ434" i="19" s="1"/>
  <c r="AK434" i="19" s="1" a="1"/>
  <c r="AK434" i="19" s="1"/>
  <c r="D435" i="19"/>
  <c r="F435" i="19"/>
  <c r="S435" i="19"/>
  <c r="W435" i="19"/>
  <c r="Y435" i="19"/>
  <c r="X435" i="19"/>
  <c r="AD435" i="19"/>
  <c r="AE435" i="19"/>
  <c r="AF435" i="19"/>
  <c r="AH435" i="19"/>
  <c r="AJ435" i="19" s="1"/>
  <c r="AK435" i="19" s="1" a="1"/>
  <c r="AK435" i="19" s="1"/>
  <c r="D436" i="19"/>
  <c r="F436" i="19"/>
  <c r="S436" i="19"/>
  <c r="W436" i="19"/>
  <c r="Y436" i="19"/>
  <c r="X436" i="19"/>
  <c r="AD436" i="19"/>
  <c r="AE436" i="19"/>
  <c r="AF436" i="19"/>
  <c r="AH436" i="19"/>
  <c r="AJ436" i="19" s="1"/>
  <c r="AK436" i="19" s="1" a="1"/>
  <c r="AK436" i="19" s="1"/>
  <c r="D437" i="19"/>
  <c r="F437" i="19"/>
  <c r="S437" i="19"/>
  <c r="W437" i="19"/>
  <c r="Y437" i="19"/>
  <c r="X437" i="19"/>
  <c r="AD437" i="19"/>
  <c r="AE437" i="19"/>
  <c r="AF437" i="19"/>
  <c r="AH437" i="19"/>
  <c r="AJ437" i="19" s="1"/>
  <c r="AK437" i="19" s="1" a="1"/>
  <c r="AK437" i="19" s="1"/>
  <c r="D441" i="19"/>
  <c r="F441" i="19"/>
  <c r="S441" i="19"/>
  <c r="W441" i="19"/>
  <c r="Y441" i="19"/>
  <c r="X441" i="19"/>
  <c r="AD441" i="19"/>
  <c r="AE441" i="19"/>
  <c r="AF441" i="19"/>
  <c r="AH441" i="19"/>
  <c r="AJ441" i="19" s="1"/>
  <c r="AK441" i="19" s="1" a="1"/>
  <c r="AK441" i="19" s="1"/>
  <c r="D442" i="19"/>
  <c r="F442" i="19"/>
  <c r="S442" i="19"/>
  <c r="W442" i="19"/>
  <c r="Y442" i="19"/>
  <c r="X442" i="19"/>
  <c r="AD442" i="19"/>
  <c r="AE442" i="19"/>
  <c r="AF442" i="19"/>
  <c r="AH442" i="19"/>
  <c r="AJ442" i="19" s="1"/>
  <c r="AK442" i="19" s="1" a="1"/>
  <c r="AK442" i="19" s="1"/>
  <c r="D443" i="19"/>
  <c r="F443" i="19"/>
  <c r="S443" i="19"/>
  <c r="W443" i="19"/>
  <c r="Y443" i="19"/>
  <c r="X443" i="19"/>
  <c r="AD443" i="19"/>
  <c r="AE443" i="19"/>
  <c r="AF443" i="19"/>
  <c r="D439" i="19"/>
  <c r="F439" i="19"/>
  <c r="S439" i="19"/>
  <c r="W439" i="19"/>
  <c r="Y439" i="19"/>
  <c r="X439" i="19"/>
  <c r="AD439" i="19"/>
  <c r="AE439" i="19"/>
  <c r="AF439" i="19"/>
  <c r="D440" i="19"/>
  <c r="F440" i="19"/>
  <c r="S440" i="19"/>
  <c r="W440" i="19"/>
  <c r="Y440" i="19"/>
  <c r="X440" i="19"/>
  <c r="AD440" i="19"/>
  <c r="AE440" i="19"/>
  <c r="AF440" i="19"/>
  <c r="D438" i="19"/>
  <c r="F438" i="19"/>
  <c r="S438" i="19"/>
  <c r="W438" i="19"/>
  <c r="Y438" i="19"/>
  <c r="X438" i="19"/>
  <c r="AD438" i="19"/>
  <c r="AE438" i="19"/>
  <c r="AF438" i="19"/>
  <c r="D452" i="19"/>
  <c r="F452" i="19"/>
  <c r="L452" i="19"/>
  <c r="V452" i="19"/>
  <c r="W452" i="19" s="1"/>
  <c r="Y452" i="19"/>
  <c r="AD452" i="19"/>
  <c r="AE452" i="19"/>
  <c r="AF452" i="19"/>
  <c r="AG452" i="19"/>
  <c r="AH452" i="19"/>
  <c r="AJ452" i="19" s="1"/>
  <c r="AK452" i="19" s="1" a="1"/>
  <c r="AK452" i="19" s="1"/>
  <c r="D453" i="19"/>
  <c r="F453" i="19"/>
  <c r="L453" i="19"/>
  <c r="V453" i="19"/>
  <c r="W453" i="19" s="1"/>
  <c r="Y453" i="19"/>
  <c r="AD453" i="19"/>
  <c r="AE453" i="19"/>
  <c r="AF453" i="19"/>
  <c r="AG453" i="19"/>
  <c r="AH453" i="19"/>
  <c r="AJ453" i="19" s="1"/>
  <c r="AK453" i="19" s="1" a="1"/>
  <c r="AK453" i="19" s="1"/>
  <c r="D454" i="19"/>
  <c r="F454" i="19"/>
  <c r="L454" i="19"/>
  <c r="V454" i="19"/>
  <c r="W454" i="19" s="1"/>
  <c r="Y454" i="19"/>
  <c r="AD454" i="19"/>
  <c r="AE454" i="19"/>
  <c r="AF454" i="19"/>
  <c r="AG454" i="19"/>
  <c r="AH454" i="19"/>
  <c r="AJ454" i="19" s="1"/>
  <c r="AK454" i="19" s="1" a="1"/>
  <c r="AK454" i="19" s="1"/>
  <c r="D455" i="19"/>
  <c r="F455" i="19"/>
  <c r="L455" i="19"/>
  <c r="V455" i="19"/>
  <c r="W455" i="19" s="1"/>
  <c r="Y455" i="19"/>
  <c r="AD455" i="19"/>
  <c r="AE455" i="19"/>
  <c r="AF455" i="19"/>
  <c r="AG455" i="19"/>
  <c r="AH455" i="19"/>
  <c r="AJ455" i="19" s="1"/>
  <c r="AK455" i="19" s="1" a="1"/>
  <c r="AK455" i="19" s="1"/>
  <c r="D456" i="19"/>
  <c r="F456" i="19"/>
  <c r="L456" i="19"/>
  <c r="V456" i="19"/>
  <c r="W456" i="19" s="1"/>
  <c r="Y456" i="19"/>
  <c r="AD456" i="19"/>
  <c r="AE456" i="19"/>
  <c r="AF456" i="19"/>
  <c r="AG456" i="19"/>
  <c r="AH456" i="19"/>
  <c r="AJ456" i="19" s="1"/>
  <c r="AK456" i="19" s="1" a="1"/>
  <c r="AK456" i="19" s="1"/>
  <c r="D457" i="19"/>
  <c r="F457" i="19"/>
  <c r="L457" i="19"/>
  <c r="V457" i="19"/>
  <c r="W457" i="19" s="1"/>
  <c r="Y457" i="19"/>
  <c r="AD457" i="19"/>
  <c r="AE457" i="19"/>
  <c r="AF457" i="19"/>
  <c r="AG457" i="19"/>
  <c r="AH457" i="19"/>
  <c r="AJ457" i="19" s="1"/>
  <c r="AK457" i="19" s="1" a="1"/>
  <c r="AK457" i="19" s="1"/>
  <c r="AI457" i="19"/>
  <c r="W448" i="19"/>
  <c r="X448" i="19"/>
  <c r="AD448" i="19"/>
  <c r="AE448" i="19"/>
  <c r="AF448" i="19"/>
  <c r="W449" i="19"/>
  <c r="X449" i="19"/>
  <c r="AD449" i="19"/>
  <c r="AE449" i="19"/>
  <c r="AF449" i="19"/>
  <c r="AH449" i="19"/>
  <c r="AJ449" i="19" s="1"/>
  <c r="AK449" i="19" s="1" a="1"/>
  <c r="AK449" i="19" s="1"/>
  <c r="U450" i="19"/>
  <c r="W450" i="19" s="1"/>
  <c r="AD450" i="19"/>
  <c r="AE450" i="19"/>
  <c r="AF450" i="19"/>
  <c r="AI450" i="19"/>
  <c r="D451" i="19"/>
  <c r="J451" i="19"/>
  <c r="F451" i="19" s="1"/>
  <c r="L451" i="19"/>
  <c r="AA451" i="19" a="1"/>
  <c r="AA451" i="19" s="1"/>
  <c r="S451" i="19"/>
  <c r="U451" i="19"/>
  <c r="V451" i="19"/>
  <c r="Y451" i="19"/>
  <c r="AC451" i="19"/>
  <c r="AD451" i="19" s="1"/>
  <c r="AG451" i="19"/>
  <c r="D458" i="19"/>
  <c r="F458" i="19"/>
  <c r="W458" i="19"/>
  <c r="AD458" i="19"/>
  <c r="AE458" i="19"/>
  <c r="AF458" i="19"/>
  <c r="AI458" i="19"/>
  <c r="AJ458" i="19"/>
  <c r="AK458" i="19" s="1" a="1"/>
  <c r="AK458" i="19" s="1"/>
  <c r="D459" i="19"/>
  <c r="J459" i="19"/>
  <c r="L459" i="19"/>
  <c r="S459" i="19"/>
  <c r="V459" i="19"/>
  <c r="W459" i="19" s="1"/>
  <c r="Y459" i="19"/>
  <c r="AC459" i="19"/>
  <c r="AE459" i="19" s="1"/>
  <c r="AG459" i="19"/>
  <c r="D460" i="19"/>
  <c r="J460" i="19"/>
  <c r="F460" i="19" s="1"/>
  <c r="L460" i="19"/>
  <c r="S460" i="19"/>
  <c r="V460" i="19"/>
  <c r="W460" i="19" s="1"/>
  <c r="Y460" i="19"/>
  <c r="AC460" i="19"/>
  <c r="AG460" i="19"/>
  <c r="D461" i="19"/>
  <c r="J461" i="19"/>
  <c r="F461" i="19" s="1"/>
  <c r="L461" i="19"/>
  <c r="AA461" i="19" a="1"/>
  <c r="AA461" i="19" s="1"/>
  <c r="S461" i="19"/>
  <c r="U461" i="19"/>
  <c r="V461" i="19"/>
  <c r="Y461" i="19"/>
  <c r="AC461" i="19"/>
  <c r="AF461" i="19" s="1"/>
  <c r="AG461" i="19"/>
  <c r="U464" i="19"/>
  <c r="W464" i="19" s="1"/>
  <c r="Y464" i="19"/>
  <c r="AC464" i="19"/>
  <c r="AF464" i="19" s="1"/>
  <c r="AI464" i="19"/>
  <c r="D466" i="19"/>
  <c r="J466" i="19"/>
  <c r="L466" i="19"/>
  <c r="S466" i="19"/>
  <c r="V466" i="19"/>
  <c r="W466" i="19" s="1"/>
  <c r="Y466" i="19"/>
  <c r="AD466" i="19"/>
  <c r="AE466" i="19"/>
  <c r="AF466" i="19"/>
  <c r="D467" i="19"/>
  <c r="J467" i="19"/>
  <c r="F467" i="19" s="1"/>
  <c r="L467" i="19"/>
  <c r="S467" i="19"/>
  <c r="V467" i="19"/>
  <c r="W467" i="19" s="1"/>
  <c r="Y467" i="19"/>
  <c r="AD467" i="19"/>
  <c r="AE467" i="19"/>
  <c r="AF467" i="19"/>
  <c r="D465" i="19"/>
  <c r="J465" i="19"/>
  <c r="F465" i="19" s="1"/>
  <c r="L465" i="19"/>
  <c r="S465" i="19"/>
  <c r="V465" i="19"/>
  <c r="W465" i="19" s="1"/>
  <c r="Y465" i="19"/>
  <c r="AD465" i="19"/>
  <c r="AE465" i="19"/>
  <c r="AF465" i="19"/>
  <c r="F485" i="19"/>
  <c r="V485" i="19"/>
  <c r="W485" i="19" s="1"/>
  <c r="Y485" i="19"/>
  <c r="AD485" i="19"/>
  <c r="AE485" i="19"/>
  <c r="AF485" i="19"/>
  <c r="D469" i="19"/>
  <c r="F469" i="19"/>
  <c r="L469" i="19"/>
  <c r="S469" i="19"/>
  <c r="V469" i="19"/>
  <c r="W469" i="19" s="1"/>
  <c r="Y469" i="19"/>
  <c r="AH469" i="19"/>
  <c r="AJ469" i="19" s="1"/>
  <c r="AK469" i="19" s="1" a="1"/>
  <c r="AK469" i="19" s="1"/>
  <c r="D470" i="19"/>
  <c r="F470" i="19"/>
  <c r="L470" i="19"/>
  <c r="S470" i="19"/>
  <c r="V470" i="19"/>
  <c r="W470" i="19" s="1"/>
  <c r="Y470" i="19"/>
  <c r="AC470" i="19"/>
  <c r="AE470" i="19" s="1"/>
  <c r="AG470" i="19"/>
  <c r="AH470" i="19"/>
  <c r="AJ470" i="19" s="1"/>
  <c r="AK470" i="19" s="1" a="1"/>
  <c r="AK470" i="19" s="1"/>
  <c r="D471" i="19"/>
  <c r="F471" i="19"/>
  <c r="L471" i="19"/>
  <c r="S471" i="19"/>
  <c r="W471" i="19"/>
  <c r="Y471" i="19"/>
  <c r="AC471" i="19"/>
  <c r="AF471" i="19" s="1"/>
  <c r="AG471" i="19"/>
  <c r="AH471" i="19"/>
  <c r="AJ471" i="19" s="1"/>
  <c r="AK471" i="19" s="1" a="1"/>
  <c r="AK471" i="19" s="1"/>
  <c r="D472" i="19"/>
  <c r="F472" i="19"/>
  <c r="L472" i="19"/>
  <c r="S472" i="19"/>
  <c r="V472" i="19"/>
  <c r="W472" i="19" s="1"/>
  <c r="Y472" i="19"/>
  <c r="AC472" i="19"/>
  <c r="AD472" i="19" s="1"/>
  <c r="AG472" i="19"/>
  <c r="AH472" i="19"/>
  <c r="AJ472" i="19" s="1"/>
  <c r="AK472" i="19" s="1" a="1"/>
  <c r="AK472" i="19" s="1"/>
  <c r="F468" i="19"/>
  <c r="W468" i="19"/>
  <c r="Y468" i="19"/>
  <c r="X468" i="19"/>
  <c r="AD468" i="19"/>
  <c r="AE468" i="19"/>
  <c r="AF468" i="19"/>
  <c r="D484" i="19"/>
  <c r="F484" i="19"/>
  <c r="S484" i="19"/>
  <c r="V484" i="19"/>
  <c r="W484" i="19" s="1"/>
  <c r="Y484" i="19"/>
  <c r="X484" i="19"/>
  <c r="AD484" i="19"/>
  <c r="AE484" i="19"/>
  <c r="AF484" i="19"/>
  <c r="AH484" i="19"/>
  <c r="AJ484" i="19" s="1"/>
  <c r="AK484" i="19" s="1" a="1"/>
  <c r="AK484" i="19" s="1"/>
  <c r="D483" i="19"/>
  <c r="F483" i="19"/>
  <c r="S483" i="19"/>
  <c r="V483" i="19"/>
  <c r="W483" i="19" s="1"/>
  <c r="Y483" i="19"/>
  <c r="AD483" i="19"/>
  <c r="AE483" i="19"/>
  <c r="AF483" i="19"/>
  <c r="D480" i="19"/>
  <c r="F480" i="19"/>
  <c r="S480" i="19"/>
  <c r="V480" i="19"/>
  <c r="W480" i="19" s="1"/>
  <c r="Y480" i="19"/>
  <c r="AD480" i="19"/>
  <c r="AE480" i="19"/>
  <c r="AF480" i="19"/>
  <c r="D479" i="19"/>
  <c r="F479" i="19"/>
  <c r="V479" i="19"/>
  <c r="W479" i="19" s="1"/>
  <c r="Y479" i="19"/>
  <c r="AD479" i="19"/>
  <c r="AE479" i="19"/>
  <c r="AF479" i="19"/>
  <c r="D481" i="19"/>
  <c r="F481" i="19"/>
  <c r="S481" i="19"/>
  <c r="V481" i="19"/>
  <c r="W481" i="19" s="1"/>
  <c r="Y481" i="19"/>
  <c r="AD481" i="19"/>
  <c r="AE481" i="19"/>
  <c r="AF481" i="19"/>
  <c r="D482" i="19"/>
  <c r="J482" i="19"/>
  <c r="F482" i="19" s="1"/>
  <c r="L482" i="19"/>
  <c r="S482" i="19"/>
  <c r="V482" i="19"/>
  <c r="W482" i="19" s="1"/>
  <c r="Y482" i="19"/>
  <c r="AD482" i="19"/>
  <c r="AE482" i="19"/>
  <c r="AF482" i="19"/>
  <c r="AH482" i="19"/>
  <c r="AJ482" i="19" s="1"/>
  <c r="S474" i="19"/>
  <c r="V474" i="19"/>
  <c r="W474" i="19" s="1"/>
  <c r="Y474" i="19"/>
  <c r="AC474" i="19"/>
  <c r="AG474" i="19"/>
  <c r="AH474" i="19"/>
  <c r="AJ474" i="19" s="1"/>
  <c r="AK474" i="19" s="1" a="1"/>
  <c r="AK474" i="19" s="1"/>
  <c r="V473" i="19"/>
  <c r="W473" i="19" s="1"/>
  <c r="Y473" i="19"/>
  <c r="AC473" i="19"/>
  <c r="AD473" i="19" s="1"/>
  <c r="AG473" i="19"/>
  <c r="AH473" i="19"/>
  <c r="AJ473" i="19" s="1"/>
  <c r="AK473" i="19" s="1" a="1"/>
  <c r="AK473" i="19" s="1"/>
  <c r="J476" i="19"/>
  <c r="L476" i="19"/>
  <c r="AA476" i="19" a="1"/>
  <c r="AA476" i="19" s="1"/>
  <c r="S476" i="19"/>
  <c r="U476" i="19"/>
  <c r="V476" i="19"/>
  <c r="Y476" i="19"/>
  <c r="AC476" i="19"/>
  <c r="AF476" i="19" s="1"/>
  <c r="AG476" i="19"/>
  <c r="J477" i="19"/>
  <c r="L477" i="19"/>
  <c r="AA477" i="19" a="1"/>
  <c r="AA477" i="19" s="1"/>
  <c r="S477" i="19"/>
  <c r="U477" i="19"/>
  <c r="V477" i="19"/>
  <c r="Y477" i="19"/>
  <c r="AC477" i="19"/>
  <c r="AD477" i="19" s="1"/>
  <c r="AG477" i="19"/>
  <c r="J478" i="19"/>
  <c r="L478" i="19"/>
  <c r="S478" i="19"/>
  <c r="V478" i="19"/>
  <c r="W478" i="19" s="1"/>
  <c r="Y478" i="19"/>
  <c r="AC478" i="19"/>
  <c r="AG478" i="19"/>
  <c r="J475" i="19"/>
  <c r="L475" i="19"/>
  <c r="S475" i="19"/>
  <c r="V475" i="19"/>
  <c r="W475" i="19" s="1"/>
  <c r="Y475" i="19"/>
  <c r="AC475" i="19"/>
  <c r="AG475" i="19"/>
  <c r="F487" i="19"/>
  <c r="W487" i="19"/>
  <c r="Y487" i="19"/>
  <c r="X487" i="19"/>
  <c r="AC487" i="19"/>
  <c r="AF487" i="19" s="1"/>
  <c r="AG487" i="19"/>
  <c r="F486" i="19"/>
  <c r="W486" i="19"/>
  <c r="Y486" i="19"/>
  <c r="AC486" i="19"/>
  <c r="AD486" i="19" s="1"/>
  <c r="AG486" i="19"/>
  <c r="D491" i="19"/>
  <c r="F491" i="19"/>
  <c r="S491" i="19"/>
  <c r="V491" i="19"/>
  <c r="W491" i="19" s="1"/>
  <c r="Y491" i="19"/>
  <c r="AD491" i="19"/>
  <c r="AE491" i="19"/>
  <c r="AF491" i="19"/>
  <c r="D492" i="19"/>
  <c r="F492" i="19"/>
  <c r="AA492" i="19" a="1"/>
  <c r="AA492" i="19" s="1"/>
  <c r="S492" i="19"/>
  <c r="V492" i="19"/>
  <c r="W492" i="19" s="1"/>
  <c r="Y492" i="19"/>
  <c r="AD492" i="19"/>
  <c r="AE492" i="19"/>
  <c r="AF492" i="19"/>
  <c r="D489" i="19"/>
  <c r="F489" i="19"/>
  <c r="AA489" i="19" a="1"/>
  <c r="AA489" i="19" s="1"/>
  <c r="S489" i="19"/>
  <c r="V489" i="19"/>
  <c r="W489" i="19" s="1"/>
  <c r="Y489" i="19"/>
  <c r="AD489" i="19"/>
  <c r="AE489" i="19"/>
  <c r="AF489" i="19"/>
  <c r="AH489" i="19"/>
  <c r="AJ489" i="19" s="1"/>
  <c r="AK489" i="19" s="1" a="1"/>
  <c r="AK489" i="19" s="1"/>
  <c r="D498" i="19"/>
  <c r="F498" i="19"/>
  <c r="AA498" i="19" a="1"/>
  <c r="AA498" i="19" s="1"/>
  <c r="S498" i="19"/>
  <c r="V498" i="19"/>
  <c r="W498" i="19" s="1"/>
  <c r="Y498" i="19"/>
  <c r="AD498" i="19"/>
  <c r="AE498" i="19"/>
  <c r="AF498" i="19"/>
  <c r="D490" i="19"/>
  <c r="F490" i="19"/>
  <c r="AA490" i="19" a="1"/>
  <c r="AA490" i="19" s="1"/>
  <c r="S490" i="19"/>
  <c r="V490" i="19"/>
  <c r="W490" i="19" s="1"/>
  <c r="Y490" i="19"/>
  <c r="AD490" i="19"/>
  <c r="AE490" i="19"/>
  <c r="AF490" i="19"/>
  <c r="D493" i="19"/>
  <c r="F493" i="19"/>
  <c r="AA493" i="19" a="1"/>
  <c r="AA493" i="19" s="1"/>
  <c r="S493" i="19"/>
  <c r="U493" i="19"/>
  <c r="V493" i="19"/>
  <c r="Y493" i="19"/>
  <c r="AD493" i="19"/>
  <c r="AE493" i="19"/>
  <c r="AF493" i="19"/>
  <c r="D494" i="19"/>
  <c r="F494" i="19"/>
  <c r="AA494" i="19" a="1"/>
  <c r="AA494" i="19" s="1"/>
  <c r="S494" i="19"/>
  <c r="V494" i="19"/>
  <c r="W494" i="19" s="1"/>
  <c r="Y494" i="19"/>
  <c r="AD494" i="19"/>
  <c r="AE494" i="19"/>
  <c r="AF494" i="19"/>
  <c r="AH494" i="19"/>
  <c r="AJ494" i="19" s="1"/>
  <c r="AK494" i="19" s="1" a="1"/>
  <c r="AK494" i="19" s="1"/>
  <c r="D497" i="19"/>
  <c r="F497" i="19"/>
  <c r="AA497" i="19" a="1"/>
  <c r="AA497" i="19" s="1"/>
  <c r="S497" i="19"/>
  <c r="V497" i="19"/>
  <c r="W497" i="19" s="1"/>
  <c r="Y497" i="19"/>
  <c r="AD497" i="19"/>
  <c r="AE497" i="19"/>
  <c r="AF497" i="19"/>
  <c r="AH497" i="19"/>
  <c r="AJ497" i="19" s="1"/>
  <c r="AK497" i="19" s="1" a="1"/>
  <c r="AK497" i="19" s="1"/>
  <c r="D496" i="19"/>
  <c r="F496" i="19"/>
  <c r="AA496" i="19" a="1"/>
  <c r="AA496" i="19" s="1"/>
  <c r="S496" i="19"/>
  <c r="U496" i="19"/>
  <c r="V496" i="19"/>
  <c r="Y496" i="19"/>
  <c r="AD496" i="19"/>
  <c r="AE496" i="19"/>
  <c r="AF496" i="19"/>
  <c r="AH496" i="19"/>
  <c r="D495" i="19"/>
  <c r="F495" i="19"/>
  <c r="AA495" i="19" a="1"/>
  <c r="AA495" i="19" s="1"/>
  <c r="S495" i="19"/>
  <c r="V495" i="19"/>
  <c r="W495" i="19" s="1"/>
  <c r="Y495" i="19"/>
  <c r="AD495" i="19"/>
  <c r="AE495" i="19"/>
  <c r="AF495" i="19"/>
  <c r="AH495" i="19"/>
  <c r="AJ495" i="19" s="1"/>
  <c r="AK495" i="19" s="1" a="1"/>
  <c r="AK495" i="19" s="1"/>
  <c r="F488" i="19"/>
  <c r="W488" i="19"/>
  <c r="Y488" i="19"/>
  <c r="X488" i="19"/>
  <c r="AD488" i="19"/>
  <c r="AE488" i="19"/>
  <c r="AF488" i="19"/>
  <c r="AD505" i="19"/>
  <c r="AE505" i="19"/>
  <c r="AF505" i="19"/>
  <c r="AH505" i="19"/>
  <c r="AJ505" i="19" s="1"/>
  <c r="AK505" i="19" s="1" a="1"/>
  <c r="AK505" i="19" s="1"/>
  <c r="AI505" i="19"/>
  <c r="AD501" i="19"/>
  <c r="AE501" i="19"/>
  <c r="AF501" i="19"/>
  <c r="AH501" i="19"/>
  <c r="AJ501" i="19" s="1"/>
  <c r="AK501" i="19" s="1" a="1"/>
  <c r="AK501" i="19" s="1"/>
  <c r="AD502" i="19"/>
  <c r="AE502" i="19"/>
  <c r="AF502" i="19"/>
  <c r="AH502" i="19"/>
  <c r="AJ502" i="19" s="1"/>
  <c r="AK502" i="19" s="1" a="1"/>
  <c r="AK502" i="19" s="1"/>
  <c r="AD503" i="19"/>
  <c r="AE503" i="19"/>
  <c r="AF503" i="19"/>
  <c r="AH503" i="19"/>
  <c r="AJ503" i="19" s="1"/>
  <c r="AK503" i="19" s="1" a="1"/>
  <c r="AK503" i="19" s="1"/>
  <c r="AD504" i="19"/>
  <c r="AE504" i="19"/>
  <c r="AF504" i="19"/>
  <c r="AH504" i="19"/>
  <c r="AJ504" i="19" s="1"/>
  <c r="AK504" i="19" s="1" a="1"/>
  <c r="AK504" i="19" s="1"/>
  <c r="J506" i="19"/>
  <c r="L506" i="19"/>
  <c r="S506" i="19"/>
  <c r="V506" i="19"/>
  <c r="W506" i="19" s="1"/>
  <c r="Y506" i="19"/>
  <c r="AC506" i="19"/>
  <c r="AE506" i="19" s="1"/>
  <c r="AG506" i="19"/>
  <c r="AH506" i="19"/>
  <c r="AJ506" i="19" s="1"/>
  <c r="J507" i="19"/>
  <c r="L507" i="19"/>
  <c r="AA507" i="19" a="1"/>
  <c r="AA507" i="19" s="1"/>
  <c r="S507" i="19"/>
  <c r="U507" i="19"/>
  <c r="V507" i="19"/>
  <c r="Y507" i="19"/>
  <c r="AC507" i="19"/>
  <c r="AF507" i="19" s="1"/>
  <c r="AG507" i="19"/>
  <c r="AH507" i="19"/>
  <c r="J508" i="19"/>
  <c r="L508" i="19"/>
  <c r="S508" i="19"/>
  <c r="V508" i="19"/>
  <c r="W508" i="19" s="1"/>
  <c r="Y508" i="19"/>
  <c r="AC508" i="19"/>
  <c r="AF508" i="19" s="1"/>
  <c r="AG508" i="19"/>
  <c r="AH508" i="19"/>
  <c r="AJ508" i="19" s="1"/>
  <c r="J510" i="19"/>
  <c r="L510" i="19"/>
  <c r="S510" i="19"/>
  <c r="V510" i="19"/>
  <c r="W510" i="19" s="1"/>
  <c r="Y510" i="19"/>
  <c r="AC510" i="19"/>
  <c r="AE510" i="19" s="1"/>
  <c r="AG510" i="19"/>
  <c r="AH510" i="19"/>
  <c r="AJ510" i="19" s="1"/>
  <c r="J509" i="19"/>
  <c r="L509" i="19"/>
  <c r="AA509" i="19" a="1"/>
  <c r="AA509" i="19" s="1"/>
  <c r="S509" i="19"/>
  <c r="V509" i="19"/>
  <c r="W509" i="19" s="1"/>
  <c r="Y509" i="19"/>
  <c r="AC509" i="19"/>
  <c r="AE509" i="19" s="1"/>
  <c r="AG509" i="19"/>
  <c r="AH509" i="19"/>
  <c r="AJ509" i="19" s="1"/>
  <c r="S499" i="19"/>
  <c r="W499" i="19"/>
  <c r="Y499" i="19"/>
  <c r="AD499" i="19"/>
  <c r="AE499" i="19"/>
  <c r="AF499" i="19"/>
  <c r="AA500" i="19" a="1"/>
  <c r="AA500" i="19" s="1"/>
  <c r="S500" i="19"/>
  <c r="U500" i="19"/>
  <c r="W500" i="19" s="1"/>
  <c r="Y500" i="19"/>
  <c r="AD500" i="19"/>
  <c r="AE500" i="19"/>
  <c r="AF500" i="19"/>
  <c r="D512" i="19"/>
  <c r="F512" i="19"/>
  <c r="AA512" i="19" a="1"/>
  <c r="AA512" i="19" s="1"/>
  <c r="S512" i="19"/>
  <c r="U512" i="19"/>
  <c r="V512" i="19"/>
  <c r="Y512" i="19"/>
  <c r="AD512" i="19"/>
  <c r="AE512" i="19"/>
  <c r="AF512" i="19"/>
  <c r="AH512" i="19"/>
  <c r="AI512" i="19"/>
  <c r="D511" i="19"/>
  <c r="F511" i="19"/>
  <c r="AA511" i="19" a="1"/>
  <c r="AA511" i="19" s="1"/>
  <c r="S511" i="19"/>
  <c r="U511" i="19"/>
  <c r="V511" i="19"/>
  <c r="Y511" i="19"/>
  <c r="AD511" i="19"/>
  <c r="AE511" i="19"/>
  <c r="AF511" i="19"/>
  <c r="AH511" i="19"/>
  <c r="W522" i="19"/>
  <c r="Y522" i="19"/>
  <c r="X522" i="19"/>
  <c r="AD522" i="19"/>
  <c r="AE522" i="19"/>
  <c r="AF522" i="19"/>
  <c r="AH522" i="19"/>
  <c r="AJ522" i="19" s="1"/>
  <c r="AK522" i="19" s="1" a="1"/>
  <c r="AK522" i="19" s="1"/>
  <c r="W523" i="19"/>
  <c r="Y523" i="19"/>
  <c r="X523" i="19"/>
  <c r="AD523" i="19"/>
  <c r="AE523" i="19"/>
  <c r="AF523" i="19"/>
  <c r="AH523" i="19"/>
  <c r="AJ523" i="19" s="1"/>
  <c r="AK523" i="19" s="1" a="1"/>
  <c r="AK523" i="19" s="1"/>
  <c r="W521" i="19"/>
  <c r="Y521" i="19"/>
  <c r="X521" i="19"/>
  <c r="AD521" i="19"/>
  <c r="AE521" i="19"/>
  <c r="AF521" i="19"/>
  <c r="AH521" i="19"/>
  <c r="AJ521" i="19" s="1"/>
  <c r="AK521" i="19" s="1" a="1"/>
  <c r="AK521" i="19" s="1"/>
  <c r="W520" i="19"/>
  <c r="Y520" i="19"/>
  <c r="X520" i="19"/>
  <c r="AD520" i="19"/>
  <c r="AE520" i="19"/>
  <c r="AF520" i="19"/>
  <c r="AH520" i="19"/>
  <c r="AJ520" i="19" s="1"/>
  <c r="AK520" i="19" s="1" a="1"/>
  <c r="AK520" i="19" s="1"/>
  <c r="W519" i="19"/>
  <c r="Y519" i="19"/>
  <c r="X519" i="19"/>
  <c r="AD519" i="19"/>
  <c r="AE519" i="19"/>
  <c r="AF519" i="19"/>
  <c r="AH519" i="19"/>
  <c r="AJ519" i="19" s="1"/>
  <c r="AK519" i="19" s="1" a="1"/>
  <c r="AK519" i="19" s="1"/>
  <c r="W516" i="19"/>
  <c r="Y516" i="19"/>
  <c r="X516" i="19"/>
  <c r="AD516" i="19"/>
  <c r="AE516" i="19"/>
  <c r="AF516" i="19"/>
  <c r="AH516" i="19"/>
  <c r="AJ516" i="19" s="1"/>
  <c r="AK516" i="19" s="1" a="1"/>
  <c r="AK516" i="19" s="1"/>
  <c r="W518" i="19"/>
  <c r="Y518" i="19"/>
  <c r="X518" i="19"/>
  <c r="AD518" i="19"/>
  <c r="AE518" i="19"/>
  <c r="AF518" i="19"/>
  <c r="AH518" i="19"/>
  <c r="AJ518" i="19" s="1"/>
  <c r="AK518" i="19" s="1" a="1"/>
  <c r="AK518" i="19" s="1"/>
  <c r="W517" i="19"/>
  <c r="Y517" i="19"/>
  <c r="X517" i="19"/>
  <c r="AD517" i="19"/>
  <c r="AE517" i="19"/>
  <c r="AF517" i="19"/>
  <c r="AH517" i="19"/>
  <c r="AJ517" i="19" s="1"/>
  <c r="AK517" i="19" s="1" a="1"/>
  <c r="AK517" i="19" s="1"/>
  <c r="W515" i="19"/>
  <c r="Y515" i="19"/>
  <c r="X515" i="19"/>
  <c r="AD515" i="19"/>
  <c r="AE515" i="19"/>
  <c r="AF515" i="19"/>
  <c r="AH515" i="19"/>
  <c r="AJ515" i="19" s="1"/>
  <c r="AK515" i="19" s="1" a="1"/>
  <c r="AK515" i="19" s="1"/>
  <c r="W514" i="19"/>
  <c r="Y514" i="19"/>
  <c r="X514" i="19"/>
  <c r="AD514" i="19"/>
  <c r="AE514" i="19"/>
  <c r="AF514" i="19"/>
  <c r="AH514" i="19"/>
  <c r="AJ514" i="19" s="1"/>
  <c r="AK514" i="19" s="1" a="1"/>
  <c r="AK514" i="19" s="1"/>
  <c r="S513" i="19"/>
  <c r="W513" i="19"/>
  <c r="Y513" i="19"/>
  <c r="X513" i="19"/>
  <c r="AD513" i="19"/>
  <c r="AE513" i="19"/>
  <c r="AF513" i="19"/>
  <c r="AH513" i="19"/>
  <c r="AJ513" i="19" s="1"/>
  <c r="AK513" i="19" s="1" a="1"/>
  <c r="AK513" i="19" s="1"/>
  <c r="D529" i="19"/>
  <c r="F529" i="19"/>
  <c r="L529" i="19"/>
  <c r="S529" i="19"/>
  <c r="V529" i="19"/>
  <c r="W529" i="19" s="1"/>
  <c r="Y529" i="19"/>
  <c r="AD529" i="19"/>
  <c r="AE529" i="19"/>
  <c r="AF529" i="19"/>
  <c r="AG529" i="19"/>
  <c r="AH529" i="19"/>
  <c r="AJ529" i="19" s="1"/>
  <c r="AK529" i="19" s="1" a="1"/>
  <c r="AK529" i="19" s="1"/>
  <c r="D530" i="19"/>
  <c r="F530" i="19"/>
  <c r="L530" i="19"/>
  <c r="S530" i="19"/>
  <c r="V530" i="19"/>
  <c r="W530" i="19" s="1"/>
  <c r="Y530" i="19"/>
  <c r="AD530" i="19"/>
  <c r="AE530" i="19"/>
  <c r="AF530" i="19"/>
  <c r="AG530" i="19"/>
  <c r="D531" i="19"/>
  <c r="F531" i="19"/>
  <c r="L531" i="19"/>
  <c r="S531" i="19"/>
  <c r="V531" i="19"/>
  <c r="W531" i="19" s="1"/>
  <c r="Y531" i="19"/>
  <c r="AD531" i="19"/>
  <c r="AE531" i="19"/>
  <c r="AF531" i="19"/>
  <c r="AG531" i="19"/>
  <c r="AH531" i="19"/>
  <c r="AJ531" i="19" s="1"/>
  <c r="AK531" i="19" s="1" a="1"/>
  <c r="AK531" i="19" s="1"/>
  <c r="D532" i="19"/>
  <c r="F532" i="19"/>
  <c r="L532" i="19"/>
  <c r="S532" i="19"/>
  <c r="V532" i="19"/>
  <c r="W532" i="19" s="1"/>
  <c r="Y532" i="19"/>
  <c r="AD532" i="19"/>
  <c r="AE532" i="19"/>
  <c r="AF532" i="19"/>
  <c r="AG532" i="19"/>
  <c r="AH532" i="19"/>
  <c r="AJ532" i="19" s="1"/>
  <c r="AK532" i="19" s="1" a="1"/>
  <c r="AK532" i="19" s="1"/>
  <c r="D533" i="19"/>
  <c r="F533" i="19"/>
  <c r="L533" i="19"/>
  <c r="S533" i="19"/>
  <c r="V533" i="19"/>
  <c r="W533" i="19" s="1"/>
  <c r="Y533" i="19"/>
  <c r="AD533" i="19"/>
  <c r="AE533" i="19"/>
  <c r="AF533" i="19"/>
  <c r="AG533" i="19"/>
  <c r="AH533" i="19"/>
  <c r="AJ533" i="19" s="1"/>
  <c r="AK533" i="19" s="1" a="1"/>
  <c r="AK533" i="19" s="1"/>
  <c r="D534" i="19"/>
  <c r="F534" i="19"/>
  <c r="L534" i="19"/>
  <c r="S534" i="19"/>
  <c r="V534" i="19"/>
  <c r="W534" i="19" s="1"/>
  <c r="Y534" i="19"/>
  <c r="AD534" i="19"/>
  <c r="AE534" i="19"/>
  <c r="AF534" i="19"/>
  <c r="AG534" i="19"/>
  <c r="AH534" i="19"/>
  <c r="AJ534" i="19" s="1"/>
  <c r="AK534" i="19" s="1" a="1"/>
  <c r="AK534" i="19" s="1"/>
  <c r="D535" i="19"/>
  <c r="F535" i="19"/>
  <c r="L535" i="19"/>
  <c r="S535" i="19"/>
  <c r="V535" i="19"/>
  <c r="W535" i="19" s="1"/>
  <c r="Y535" i="19"/>
  <c r="AD535" i="19"/>
  <c r="AE535" i="19"/>
  <c r="AF535" i="19"/>
  <c r="AG535" i="19"/>
  <c r="AH535" i="19"/>
  <c r="AJ535" i="19" s="1"/>
  <c r="AK535" i="19" s="1" a="1"/>
  <c r="AK535" i="19" s="1"/>
  <c r="D536" i="19"/>
  <c r="F536" i="19"/>
  <c r="L536" i="19"/>
  <c r="S536" i="19"/>
  <c r="V536" i="19"/>
  <c r="W536" i="19" s="1"/>
  <c r="Y536" i="19"/>
  <c r="AD536" i="19"/>
  <c r="AE536" i="19"/>
  <c r="AF536" i="19"/>
  <c r="AG536" i="19"/>
  <c r="AH536" i="19"/>
  <c r="AJ536" i="19" s="1"/>
  <c r="AK536" i="19" s="1" a="1"/>
  <c r="AK536" i="19" s="1"/>
  <c r="D537" i="19"/>
  <c r="F537" i="19"/>
  <c r="L537" i="19"/>
  <c r="S537" i="19"/>
  <c r="V537" i="19"/>
  <c r="W537" i="19" s="1"/>
  <c r="Y537" i="19"/>
  <c r="AD537" i="19"/>
  <c r="AE537" i="19"/>
  <c r="AF537" i="19"/>
  <c r="AG537" i="19"/>
  <c r="AH537" i="19"/>
  <c r="AJ537" i="19" s="1"/>
  <c r="AK537" i="19" s="1" a="1"/>
  <c r="AK537" i="19" s="1"/>
  <c r="D538" i="19"/>
  <c r="F538" i="19"/>
  <c r="L538" i="19"/>
  <c r="S538" i="19"/>
  <c r="V538" i="19"/>
  <c r="W538" i="19" s="1"/>
  <c r="Y538" i="19"/>
  <c r="AD538" i="19"/>
  <c r="AE538" i="19"/>
  <c r="AF538" i="19"/>
  <c r="AG538" i="19"/>
  <c r="AH538" i="19"/>
  <c r="AJ538" i="19" s="1"/>
  <c r="AK538" i="19" s="1" a="1"/>
  <c r="AK538" i="19" s="1"/>
  <c r="D539" i="19"/>
  <c r="F539" i="19"/>
  <c r="L539" i="19"/>
  <c r="S539" i="19"/>
  <c r="V539" i="19"/>
  <c r="W539" i="19" s="1"/>
  <c r="Y539" i="19"/>
  <c r="AD539" i="19"/>
  <c r="AE539" i="19"/>
  <c r="AF539" i="19"/>
  <c r="AG539" i="19"/>
  <c r="AH539" i="19"/>
  <c r="AJ539" i="19" s="1"/>
  <c r="AK539" i="19" s="1" a="1"/>
  <c r="AK539" i="19" s="1"/>
  <c r="D540" i="19"/>
  <c r="F540" i="19"/>
  <c r="L540" i="19"/>
  <c r="S540" i="19"/>
  <c r="V540" i="19"/>
  <c r="W540" i="19" s="1"/>
  <c r="Y540" i="19"/>
  <c r="AD540" i="19"/>
  <c r="AE540" i="19"/>
  <c r="AF540" i="19"/>
  <c r="AG540" i="19"/>
  <c r="AH540" i="19"/>
  <c r="AJ540" i="19" s="1"/>
  <c r="AK540" i="19" s="1" a="1"/>
  <c r="AK540" i="19" s="1"/>
  <c r="D542" i="19"/>
  <c r="F542" i="19"/>
  <c r="L542" i="19"/>
  <c r="S542" i="19"/>
  <c r="V542" i="19"/>
  <c r="W542" i="19" s="1"/>
  <c r="Y542" i="19"/>
  <c r="AD542" i="19"/>
  <c r="AE542" i="19"/>
  <c r="AF542" i="19"/>
  <c r="AG542" i="19"/>
  <c r="AH542" i="19"/>
  <c r="AJ542" i="19" s="1"/>
  <c r="AK542" i="19" s="1" a="1"/>
  <c r="AK542" i="19" s="1"/>
  <c r="D541" i="19"/>
  <c r="F541" i="19"/>
  <c r="L541" i="19"/>
  <c r="V541" i="19"/>
  <c r="W541" i="19" s="1"/>
  <c r="Y541" i="19"/>
  <c r="AD541" i="19"/>
  <c r="AE541" i="19"/>
  <c r="AF541" i="19"/>
  <c r="AG541" i="19"/>
  <c r="AH541" i="19"/>
  <c r="AJ541" i="19" s="1"/>
  <c r="AK541" i="19" s="1" a="1"/>
  <c r="AK541" i="19" s="1"/>
  <c r="D543" i="19"/>
  <c r="F543" i="19"/>
  <c r="L543" i="19"/>
  <c r="S543" i="19"/>
  <c r="V543" i="19"/>
  <c r="W543" i="19" s="1"/>
  <c r="Y543" i="19"/>
  <c r="AD543" i="19"/>
  <c r="AE543" i="19"/>
  <c r="AF543" i="19"/>
  <c r="AG543" i="19"/>
  <c r="AH543" i="19"/>
  <c r="AJ543" i="19" s="1"/>
  <c r="AK543" i="19" s="1" a="1"/>
  <c r="AK543" i="19" s="1"/>
  <c r="D545" i="19"/>
  <c r="F545" i="19"/>
  <c r="L545" i="19"/>
  <c r="S545" i="19"/>
  <c r="V545" i="19"/>
  <c r="W545" i="19" s="1"/>
  <c r="Y545" i="19"/>
  <c r="AD545" i="19"/>
  <c r="AE545" i="19"/>
  <c r="AF545" i="19"/>
  <c r="AG545" i="19"/>
  <c r="AH545" i="19"/>
  <c r="AJ545" i="19" s="1"/>
  <c r="AK545" i="19" s="1" a="1"/>
  <c r="AK545" i="19" s="1"/>
  <c r="D544" i="19"/>
  <c r="F544" i="19"/>
  <c r="L544" i="19"/>
  <c r="S544" i="19"/>
  <c r="V544" i="19"/>
  <c r="W544" i="19" s="1"/>
  <c r="Y544" i="19"/>
  <c r="AD544" i="19"/>
  <c r="AE544" i="19"/>
  <c r="AF544" i="19"/>
  <c r="AG544" i="19"/>
  <c r="D546" i="19"/>
  <c r="F546" i="19"/>
  <c r="L546" i="19"/>
  <c r="S546" i="19"/>
  <c r="V546" i="19"/>
  <c r="W546" i="19" s="1"/>
  <c r="Y546" i="19"/>
  <c r="AD546" i="19"/>
  <c r="AE546" i="19"/>
  <c r="AF546" i="19"/>
  <c r="AG546" i="19"/>
  <c r="AI546" i="19"/>
  <c r="D547" i="19"/>
  <c r="F547" i="19"/>
  <c r="L547" i="19"/>
  <c r="S547" i="19"/>
  <c r="V547" i="19"/>
  <c r="W547" i="19" s="1"/>
  <c r="Y547" i="19"/>
  <c r="AD547" i="19"/>
  <c r="AE547" i="19"/>
  <c r="AF547" i="19"/>
  <c r="AG547" i="19"/>
  <c r="D548" i="19"/>
  <c r="L548" i="19"/>
  <c r="S548" i="19"/>
  <c r="V548" i="19"/>
  <c r="W548" i="19" s="1"/>
  <c r="Y548" i="19"/>
  <c r="AD548" i="19"/>
  <c r="AE548" i="19"/>
  <c r="AF548" i="19"/>
  <c r="AG548" i="19"/>
  <c r="AH548" i="19"/>
  <c r="AJ548" i="19" s="1"/>
  <c r="AK548" i="19" s="1" a="1"/>
  <c r="AK548" i="19" s="1"/>
  <c r="D549" i="19"/>
  <c r="F549" i="19"/>
  <c r="L549" i="19"/>
  <c r="S549" i="19"/>
  <c r="V549" i="19"/>
  <c r="W549" i="19" s="1"/>
  <c r="Y549" i="19"/>
  <c r="AC549" i="19"/>
  <c r="AE549" i="19" s="1"/>
  <c r="AG549" i="19"/>
  <c r="AH549" i="19"/>
  <c r="AJ549" i="19" s="1"/>
  <c r="AK549" i="19" s="1" a="1"/>
  <c r="AK549" i="19" s="1"/>
  <c r="D550" i="19"/>
  <c r="F550" i="19"/>
  <c r="L550" i="19"/>
  <c r="S550" i="19"/>
  <c r="V550" i="19"/>
  <c r="W550" i="19" s="1"/>
  <c r="Y550" i="19"/>
  <c r="AC550" i="19"/>
  <c r="AD550" i="19" s="1"/>
  <c r="AG550" i="19"/>
  <c r="AH550" i="19"/>
  <c r="AJ550" i="19" s="1"/>
  <c r="AK550" i="19" s="1" a="1"/>
  <c r="AK550" i="19" s="1"/>
  <c r="D525" i="19"/>
  <c r="J525" i="19"/>
  <c r="F525" i="19" s="1"/>
  <c r="L525" i="19"/>
  <c r="S525" i="19"/>
  <c r="V525" i="19"/>
  <c r="W525" i="19" s="1"/>
  <c r="Y525" i="19"/>
  <c r="AD525" i="19"/>
  <c r="AE525" i="19"/>
  <c r="AF525" i="19"/>
  <c r="AG525" i="19"/>
  <c r="D526" i="19"/>
  <c r="J526" i="19"/>
  <c r="F526" i="19" s="1"/>
  <c r="L526" i="19"/>
  <c r="S526" i="19"/>
  <c r="V526" i="19"/>
  <c r="W526" i="19" s="1"/>
  <c r="Y526" i="19"/>
  <c r="AD526" i="19"/>
  <c r="AE526" i="19"/>
  <c r="AF526" i="19"/>
  <c r="AG526" i="19"/>
  <c r="D524" i="19"/>
  <c r="J524" i="19"/>
  <c r="L524" i="19"/>
  <c r="S524" i="19"/>
  <c r="V524" i="19"/>
  <c r="W524" i="19" s="1"/>
  <c r="Y524" i="19"/>
  <c r="AD524" i="19"/>
  <c r="AE524" i="19"/>
  <c r="AF524" i="19"/>
  <c r="AG524" i="19"/>
  <c r="AH524" i="19"/>
  <c r="AJ524" i="19" s="1"/>
  <c r="D527" i="19"/>
  <c r="J527" i="19"/>
  <c r="F527" i="19" s="1"/>
  <c r="L527" i="19"/>
  <c r="S527" i="19"/>
  <c r="V527" i="19"/>
  <c r="W527" i="19" s="1"/>
  <c r="Y527" i="19"/>
  <c r="AD527" i="19"/>
  <c r="AE527" i="19"/>
  <c r="AF527" i="19"/>
  <c r="AG527" i="19"/>
  <c r="D528" i="19"/>
  <c r="J528" i="19"/>
  <c r="F528" i="19" s="1"/>
  <c r="L528" i="19"/>
  <c r="S528" i="19"/>
  <c r="V528" i="19"/>
  <c r="W528" i="19" s="1"/>
  <c r="Y528" i="19"/>
  <c r="AD528" i="19"/>
  <c r="AE528" i="19"/>
  <c r="AF528" i="19"/>
  <c r="AG528" i="19"/>
  <c r="AH528" i="19"/>
  <c r="AJ528" i="19" s="1"/>
  <c r="J558" i="19"/>
  <c r="F558" i="19" s="1"/>
  <c r="L558" i="19"/>
  <c r="S558" i="19"/>
  <c r="V558" i="19"/>
  <c r="W558" i="19" s="1"/>
  <c r="Y558" i="19"/>
  <c r="AC558" i="19"/>
  <c r="AE558" i="19" s="1"/>
  <c r="AG558" i="19"/>
  <c r="AH558" i="19"/>
  <c r="AJ558" i="19" s="1"/>
  <c r="J559" i="19"/>
  <c r="F559" i="19" s="1"/>
  <c r="L559" i="19"/>
  <c r="S559" i="19"/>
  <c r="V559" i="19"/>
  <c r="W559" i="19" s="1"/>
  <c r="Y559" i="19"/>
  <c r="AC559" i="19"/>
  <c r="AE559" i="19" s="1"/>
  <c r="AG559" i="19"/>
  <c r="AH559" i="19"/>
  <c r="AJ559" i="19" s="1"/>
  <c r="J560" i="19"/>
  <c r="F560" i="19" s="1"/>
  <c r="L560" i="19"/>
  <c r="S560" i="19"/>
  <c r="V560" i="19"/>
  <c r="W560" i="19" s="1"/>
  <c r="Y560" i="19"/>
  <c r="AC560" i="19"/>
  <c r="AF560" i="19" s="1"/>
  <c r="AG560" i="19"/>
  <c r="AH560" i="19"/>
  <c r="AJ560" i="19" s="1"/>
  <c r="J555" i="19"/>
  <c r="F555" i="19" s="1"/>
  <c r="L555" i="19"/>
  <c r="S555" i="19"/>
  <c r="V555" i="19"/>
  <c r="W555" i="19" s="1"/>
  <c r="Y555" i="19"/>
  <c r="AC555" i="19"/>
  <c r="AE555" i="19" s="1"/>
  <c r="AG555" i="19"/>
  <c r="J556" i="19"/>
  <c r="F556" i="19" s="1"/>
  <c r="L556" i="19"/>
  <c r="S556" i="19"/>
  <c r="V556" i="19"/>
  <c r="W556" i="19" s="1"/>
  <c r="Y556" i="19"/>
  <c r="AC556" i="19"/>
  <c r="AD556" i="19" s="1"/>
  <c r="AG556" i="19"/>
  <c r="J557" i="19"/>
  <c r="F557" i="19" s="1"/>
  <c r="L557" i="19"/>
  <c r="S557" i="19"/>
  <c r="V557" i="19"/>
  <c r="W557" i="19" s="1"/>
  <c r="Y557" i="19"/>
  <c r="AC557" i="19"/>
  <c r="AF557" i="19" s="1"/>
  <c r="AG557" i="19"/>
  <c r="J561" i="19"/>
  <c r="F561" i="19" s="1"/>
  <c r="L561" i="19"/>
  <c r="S561" i="19"/>
  <c r="V561" i="19"/>
  <c r="W561" i="19" s="1"/>
  <c r="Y561" i="19"/>
  <c r="AC561" i="19"/>
  <c r="AD561" i="19" s="1"/>
  <c r="AG561" i="19"/>
  <c r="J564" i="19"/>
  <c r="L564" i="19"/>
  <c r="S564" i="19"/>
  <c r="V564" i="19"/>
  <c r="W564" i="19" s="1"/>
  <c r="Y564" i="19"/>
  <c r="AC564" i="19"/>
  <c r="AD564" i="19" s="1"/>
  <c r="AG564" i="19"/>
  <c r="J562" i="19"/>
  <c r="F562" i="19" s="1"/>
  <c r="L562" i="19"/>
  <c r="S562" i="19"/>
  <c r="V562" i="19"/>
  <c r="W562" i="19" s="1"/>
  <c r="Y562" i="19"/>
  <c r="AC562" i="19"/>
  <c r="AE562" i="19" s="1"/>
  <c r="AG562" i="19"/>
  <c r="AH562" i="19"/>
  <c r="AJ562" i="19" s="1"/>
  <c r="J563" i="19"/>
  <c r="F563" i="19" s="1"/>
  <c r="L563" i="19"/>
  <c r="S563" i="19"/>
  <c r="V563" i="19"/>
  <c r="W563" i="19" s="1"/>
  <c r="Y563" i="19"/>
  <c r="AC563" i="19"/>
  <c r="AG563" i="19"/>
  <c r="J553" i="19"/>
  <c r="F553" i="19" s="1"/>
  <c r="L553" i="19"/>
  <c r="AA553" i="19" a="1"/>
  <c r="AA553" i="19" s="1"/>
  <c r="S553" i="19"/>
  <c r="V553" i="19"/>
  <c r="W553" i="19" s="1"/>
  <c r="Y553" i="19"/>
  <c r="AC553" i="19"/>
  <c r="AD553" i="19" s="1"/>
  <c r="AG553" i="19"/>
  <c r="J554" i="19"/>
  <c r="L554" i="19"/>
  <c r="S554" i="19"/>
  <c r="V554" i="19"/>
  <c r="W554" i="19" s="1"/>
  <c r="Y554" i="19"/>
  <c r="AC554" i="19"/>
  <c r="AD554" i="19" s="1"/>
  <c r="AG554" i="19"/>
  <c r="AH554" i="19"/>
  <c r="AJ554" i="19" s="1"/>
  <c r="D551" i="19"/>
  <c r="F551" i="19"/>
  <c r="L551" i="19"/>
  <c r="S551" i="19"/>
  <c r="V551" i="19"/>
  <c r="W551" i="19" s="1"/>
  <c r="Y551" i="19"/>
  <c r="AC551" i="19"/>
  <c r="AG551" i="19"/>
  <c r="AH551" i="19"/>
  <c r="AJ551" i="19" s="1"/>
  <c r="AK551" i="19" s="1" a="1"/>
  <c r="AK551" i="19" s="1"/>
  <c r="F552" i="19"/>
  <c r="L552" i="19"/>
  <c r="S552" i="19"/>
  <c r="V552" i="19"/>
  <c r="W552" i="19" s="1"/>
  <c r="Y552" i="19"/>
  <c r="AC552" i="19"/>
  <c r="AG552" i="19"/>
  <c r="J578" i="19"/>
  <c r="F578" i="19" s="1"/>
  <c r="L578" i="19"/>
  <c r="S578" i="19"/>
  <c r="V578" i="19"/>
  <c r="W578" i="19" s="1"/>
  <c r="Y578" i="19"/>
  <c r="AD578" i="19"/>
  <c r="AE578" i="19"/>
  <c r="AF578" i="19"/>
  <c r="AG578" i="19"/>
  <c r="AH578" i="19"/>
  <c r="AJ578" i="19" s="1"/>
  <c r="J579" i="19"/>
  <c r="F579" i="19" s="1"/>
  <c r="L579" i="19"/>
  <c r="S579" i="19"/>
  <c r="V579" i="19"/>
  <c r="W579" i="19" s="1"/>
  <c r="Y579" i="19"/>
  <c r="AD579" i="19"/>
  <c r="AE579" i="19"/>
  <c r="AF579" i="19"/>
  <c r="AG579" i="19"/>
  <c r="AH579" i="19"/>
  <c r="AJ579" i="19" s="1"/>
  <c r="D565" i="19"/>
  <c r="J565" i="19"/>
  <c r="F565" i="19" s="1"/>
  <c r="L565" i="19"/>
  <c r="S565" i="19"/>
  <c r="V565" i="19"/>
  <c r="W565" i="19" s="1"/>
  <c r="Y565" i="19"/>
  <c r="AC565" i="19"/>
  <c r="AD565" i="19" s="1"/>
  <c r="AG565" i="19"/>
  <c r="AI565" i="19"/>
  <c r="D566" i="19"/>
  <c r="J566" i="19"/>
  <c r="F566" i="19" s="1"/>
  <c r="L566" i="19"/>
  <c r="S566" i="19"/>
  <c r="W566" i="19"/>
  <c r="Y566" i="19"/>
  <c r="AC566" i="19"/>
  <c r="AG566" i="19"/>
  <c r="D567" i="19"/>
  <c r="J567" i="19"/>
  <c r="F567" i="19" s="1"/>
  <c r="L567" i="19"/>
  <c r="S567" i="19"/>
  <c r="V567" i="19"/>
  <c r="W567" i="19" s="1"/>
  <c r="Y567" i="19"/>
  <c r="AC567" i="19"/>
  <c r="AD567" i="19" s="1"/>
  <c r="AG567" i="19"/>
  <c r="AI567" i="19"/>
  <c r="D572" i="19"/>
  <c r="J572" i="19"/>
  <c r="F572" i="19" s="1"/>
  <c r="L572" i="19"/>
  <c r="S572" i="19"/>
  <c r="V572" i="19"/>
  <c r="W572" i="19" s="1"/>
  <c r="Y572" i="19"/>
  <c r="AD572" i="19"/>
  <c r="AE572" i="19"/>
  <c r="AF572" i="19"/>
  <c r="D571" i="19"/>
  <c r="J571" i="19"/>
  <c r="F571" i="19" s="1"/>
  <c r="L571" i="19"/>
  <c r="S571" i="19"/>
  <c r="V571" i="19"/>
  <c r="W571" i="19" s="1"/>
  <c r="Y571" i="19"/>
  <c r="AD571" i="19"/>
  <c r="AE571" i="19"/>
  <c r="AF571" i="19"/>
  <c r="D573" i="19"/>
  <c r="J573" i="19"/>
  <c r="F573" i="19" s="1"/>
  <c r="L573" i="19"/>
  <c r="S573" i="19"/>
  <c r="V573" i="19"/>
  <c r="W573" i="19" s="1"/>
  <c r="Y573" i="19"/>
  <c r="AD573" i="19"/>
  <c r="AE573" i="19"/>
  <c r="AF573" i="19"/>
  <c r="AH573" i="19"/>
  <c r="AJ573" i="19" s="1"/>
  <c r="D574" i="19"/>
  <c r="J574" i="19"/>
  <c r="L574" i="19"/>
  <c r="S574" i="19"/>
  <c r="V574" i="19"/>
  <c r="W574" i="19" s="1"/>
  <c r="Y574" i="19"/>
  <c r="AD574" i="19"/>
  <c r="AE574" i="19"/>
  <c r="AF574" i="19"/>
  <c r="AH574" i="19"/>
  <c r="AJ574" i="19" s="1"/>
  <c r="D575" i="19"/>
  <c r="J575" i="19"/>
  <c r="F575" i="19" s="1"/>
  <c r="L575" i="19"/>
  <c r="S575" i="19"/>
  <c r="V575" i="19"/>
  <c r="W575" i="19" s="1"/>
  <c r="Y575" i="19"/>
  <c r="AD575" i="19"/>
  <c r="AE575" i="19"/>
  <c r="AF575" i="19"/>
  <c r="AI575" i="19"/>
  <c r="D569" i="19"/>
  <c r="J569" i="19"/>
  <c r="F569" i="19" s="1"/>
  <c r="L569" i="19"/>
  <c r="S569" i="19"/>
  <c r="V569" i="19"/>
  <c r="W569" i="19" s="1"/>
  <c r="Y569" i="19"/>
  <c r="AD569" i="19"/>
  <c r="AE569" i="19"/>
  <c r="AF569" i="19"/>
  <c r="D568" i="19"/>
  <c r="J568" i="19"/>
  <c r="L568" i="19"/>
  <c r="S568" i="19"/>
  <c r="V568" i="19"/>
  <c r="W568" i="19" s="1"/>
  <c r="Y568" i="19"/>
  <c r="AD568" i="19"/>
  <c r="AE568" i="19"/>
  <c r="AF568" i="19"/>
  <c r="AH568" i="19"/>
  <c r="AJ568" i="19" s="1"/>
  <c r="D570" i="19"/>
  <c r="J570" i="19"/>
  <c r="L570" i="19"/>
  <c r="S570" i="19"/>
  <c r="V570" i="19"/>
  <c r="W570" i="19" s="1"/>
  <c r="Y570" i="19"/>
  <c r="AD570" i="19"/>
  <c r="AE570" i="19"/>
  <c r="AF570" i="19"/>
  <c r="J577" i="19"/>
  <c r="L577" i="19"/>
  <c r="S577" i="19"/>
  <c r="V577" i="19"/>
  <c r="W577" i="19" s="1"/>
  <c r="Y577" i="19"/>
  <c r="AD577" i="19"/>
  <c r="AE577" i="19"/>
  <c r="AF577" i="19"/>
  <c r="AH577" i="19"/>
  <c r="AJ577" i="19" s="1"/>
  <c r="J576" i="19"/>
  <c r="F576" i="19" s="1"/>
  <c r="L576" i="19"/>
  <c r="S576" i="19"/>
  <c r="V576" i="19"/>
  <c r="W576" i="19" s="1"/>
  <c r="Y576" i="19"/>
  <c r="AD576" i="19"/>
  <c r="AE576" i="19"/>
  <c r="AF576" i="19"/>
  <c r="V580" i="19"/>
  <c r="W580" i="19" s="1"/>
  <c r="Y580" i="19"/>
  <c r="AD580" i="19"/>
  <c r="AE580" i="19"/>
  <c r="AF580" i="19"/>
  <c r="AJ580" i="19"/>
  <c r="AK580" i="19" s="1" a="1"/>
  <c r="AK580" i="19" s="1"/>
  <c r="V582" i="19"/>
  <c r="W582" i="19" s="1"/>
  <c r="Y582" i="19"/>
  <c r="AD582" i="19"/>
  <c r="AE582" i="19"/>
  <c r="AF582" i="19"/>
  <c r="AJ582" i="19"/>
  <c r="AK582" i="19" s="1" a="1"/>
  <c r="AK582" i="19" s="1"/>
  <c r="V583" i="19"/>
  <c r="W583" i="19" s="1"/>
  <c r="Y583" i="19"/>
  <c r="AD583" i="19"/>
  <c r="AE583" i="19"/>
  <c r="AF583" i="19"/>
  <c r="AI583" i="19"/>
  <c r="AJ583" i="19"/>
  <c r="AK583" i="19" s="1" a="1"/>
  <c r="AK583" i="19" s="1"/>
  <c r="V581" i="19"/>
  <c r="W581" i="19" s="1"/>
  <c r="Y581" i="19"/>
  <c r="AD581" i="19"/>
  <c r="AE581" i="19"/>
  <c r="AF581" i="19"/>
  <c r="AJ581" i="19"/>
  <c r="AK581" i="19" s="1" a="1"/>
  <c r="AK581" i="19" s="1"/>
  <c r="L584" i="19"/>
  <c r="V584" i="19"/>
  <c r="W584" i="19" s="1"/>
  <c r="Y584" i="19"/>
  <c r="AC584" i="19"/>
  <c r="AD584" i="19" s="1"/>
  <c r="AG584" i="19"/>
  <c r="AH584" i="19"/>
  <c r="AJ584" i="19" s="1"/>
  <c r="AK584" i="19" s="1" a="1"/>
  <c r="AK584" i="19" s="1"/>
  <c r="L585" i="19"/>
  <c r="V585" i="19"/>
  <c r="W585" i="19" s="1"/>
  <c r="Y585" i="19"/>
  <c r="AC585" i="19"/>
  <c r="AF585" i="19" s="1"/>
  <c r="AG585" i="19"/>
  <c r="AH585" i="19"/>
  <c r="AJ585" i="19" s="1"/>
  <c r="AK585" i="19" s="1" a="1"/>
  <c r="AK585" i="19" s="1"/>
  <c r="AI585" i="19"/>
  <c r="L587" i="19"/>
  <c r="V587" i="19"/>
  <c r="W587" i="19" s="1"/>
  <c r="Y587" i="19"/>
  <c r="AC587" i="19"/>
  <c r="AE587" i="19" s="1"/>
  <c r="AG587" i="19"/>
  <c r="AH587" i="19"/>
  <c r="AJ587" i="19" s="1"/>
  <c r="AK587" i="19" s="1" a="1"/>
  <c r="AK587" i="19" s="1"/>
  <c r="AI587" i="19"/>
  <c r="L586" i="19"/>
  <c r="V586" i="19"/>
  <c r="W586" i="19" s="1"/>
  <c r="Y586" i="19"/>
  <c r="AC586" i="19"/>
  <c r="AF586" i="19" s="1"/>
  <c r="AG586" i="19"/>
  <c r="AH586" i="19"/>
  <c r="AJ586" i="19" s="1"/>
  <c r="AK586" i="19" s="1" a="1"/>
  <c r="AK586" i="19" s="1"/>
  <c r="J588" i="19"/>
  <c r="F588" i="19" s="1"/>
  <c r="L588" i="19"/>
  <c r="S588" i="19"/>
  <c r="V588" i="19"/>
  <c r="W588" i="19" s="1"/>
  <c r="Y588" i="19"/>
  <c r="AC588" i="19"/>
  <c r="AD588" i="19" s="1"/>
  <c r="AG588" i="19"/>
  <c r="J599" i="19"/>
  <c r="F599" i="19" s="1"/>
  <c r="L599" i="19"/>
  <c r="S599" i="19"/>
  <c r="V599" i="19"/>
  <c r="W599" i="19" s="1"/>
  <c r="Y599" i="19"/>
  <c r="AC599" i="19"/>
  <c r="AG599" i="19"/>
  <c r="J598" i="19"/>
  <c r="L598" i="19"/>
  <c r="S598" i="19"/>
  <c r="V598" i="19"/>
  <c r="W598" i="19" s="1"/>
  <c r="Y598" i="19"/>
  <c r="AC598" i="19"/>
  <c r="AE598" i="19" s="1"/>
  <c r="AG598" i="19"/>
  <c r="AH598" i="19"/>
  <c r="AJ598" i="19" s="1"/>
  <c r="J600" i="19"/>
  <c r="F600" i="19" s="1"/>
  <c r="L600" i="19"/>
  <c r="S600" i="19"/>
  <c r="V600" i="19"/>
  <c r="W600" i="19" s="1"/>
  <c r="Y600" i="19"/>
  <c r="AC600" i="19"/>
  <c r="AG600" i="19"/>
  <c r="J597" i="19"/>
  <c r="F597" i="19" s="1"/>
  <c r="L597" i="19"/>
  <c r="S597" i="19"/>
  <c r="V597" i="19"/>
  <c r="W597" i="19" s="1"/>
  <c r="Y597" i="19"/>
  <c r="AC597" i="19"/>
  <c r="AF597" i="19" s="1"/>
  <c r="AG597" i="19"/>
  <c r="AH597" i="19"/>
  <c r="AJ597" i="19" s="1"/>
  <c r="J596" i="19"/>
  <c r="L596" i="19"/>
  <c r="S596" i="19"/>
  <c r="V596" i="19"/>
  <c r="W596" i="19" s="1"/>
  <c r="Y596" i="19"/>
  <c r="AC596" i="19"/>
  <c r="AF596" i="19" s="1"/>
  <c r="AG596" i="19"/>
  <c r="AH596" i="19"/>
  <c r="AJ596" i="19" s="1"/>
  <c r="J595" i="19"/>
  <c r="L595" i="19"/>
  <c r="S595" i="19"/>
  <c r="V595" i="19"/>
  <c r="W595" i="19" s="1"/>
  <c r="Y595" i="19"/>
  <c r="AC595" i="19"/>
  <c r="AG595" i="19"/>
  <c r="J594" i="19"/>
  <c r="F594" i="19" s="1"/>
  <c r="L594" i="19"/>
  <c r="S594" i="19"/>
  <c r="V594" i="19"/>
  <c r="W594" i="19" s="1"/>
  <c r="Y594" i="19"/>
  <c r="AC594" i="19"/>
  <c r="AG594" i="19"/>
  <c r="AI594" i="19"/>
  <c r="J593" i="19"/>
  <c r="F593" i="19" s="1"/>
  <c r="L593" i="19"/>
  <c r="S593" i="19"/>
  <c r="V593" i="19"/>
  <c r="W593" i="19" s="1"/>
  <c r="Y593" i="19"/>
  <c r="AC593" i="19"/>
  <c r="AD593" i="19" s="1"/>
  <c r="AG593" i="19"/>
  <c r="AH593" i="19"/>
  <c r="AJ593" i="19" s="1"/>
  <c r="AI593" i="19"/>
  <c r="J592" i="19"/>
  <c r="F592" i="19" s="1"/>
  <c r="L592" i="19"/>
  <c r="S592" i="19"/>
  <c r="V592" i="19"/>
  <c r="W592" i="19" s="1"/>
  <c r="Y592" i="19"/>
  <c r="AC592" i="19"/>
  <c r="AD592" i="19" s="1"/>
  <c r="AG592" i="19"/>
  <c r="AH592" i="19"/>
  <c r="AJ592" i="19" s="1"/>
  <c r="AI592" i="19"/>
  <c r="J591" i="19"/>
  <c r="F591" i="19" s="1"/>
  <c r="L591" i="19"/>
  <c r="S591" i="19"/>
  <c r="V591" i="19"/>
  <c r="W591" i="19" s="1"/>
  <c r="Y591" i="19"/>
  <c r="AC591" i="19"/>
  <c r="AG591" i="19"/>
  <c r="J589" i="19"/>
  <c r="F589" i="19" s="1"/>
  <c r="L589" i="19"/>
  <c r="S589" i="19"/>
  <c r="V589" i="19"/>
  <c r="W589" i="19" s="1"/>
  <c r="Y589" i="19"/>
  <c r="AC589" i="19"/>
  <c r="AD589" i="19" s="1"/>
  <c r="AG589" i="19"/>
  <c r="AH589" i="19"/>
  <c r="AJ589" i="19" s="1"/>
  <c r="AI589" i="19"/>
  <c r="J590" i="19"/>
  <c r="F590" i="19" s="1"/>
  <c r="L590" i="19"/>
  <c r="S590" i="19"/>
  <c r="V590" i="19"/>
  <c r="W590" i="19" s="1"/>
  <c r="Y590" i="19"/>
  <c r="AC590" i="19"/>
  <c r="AE590" i="19" s="1"/>
  <c r="AG590" i="19"/>
  <c r="AH590" i="19"/>
  <c r="AJ590" i="19" s="1"/>
  <c r="AI590" i="19"/>
  <c r="J601" i="19"/>
  <c r="F601" i="19" s="1"/>
  <c r="L601" i="19"/>
  <c r="S601" i="19"/>
  <c r="V601" i="19"/>
  <c r="W601" i="19" s="1"/>
  <c r="Y601" i="19"/>
  <c r="AC601" i="19"/>
  <c r="AF601" i="19" s="1"/>
  <c r="AG601" i="19"/>
  <c r="F602" i="19"/>
  <c r="W602" i="19"/>
  <c r="Y602" i="19"/>
  <c r="X602" i="19"/>
  <c r="AD602" i="19"/>
  <c r="AE602" i="19"/>
  <c r="AF602" i="19"/>
  <c r="AG602" i="19"/>
  <c r="F603" i="19"/>
  <c r="W603" i="19"/>
  <c r="Y603" i="19"/>
  <c r="X603" i="19"/>
  <c r="AD603" i="19"/>
  <c r="AE603" i="19"/>
  <c r="AF603" i="19"/>
  <c r="AG603" i="19"/>
  <c r="AH603" i="19"/>
  <c r="AJ603" i="19" s="1"/>
  <c r="AK603" i="19" s="1" a="1"/>
  <c r="AK603" i="19" s="1"/>
  <c r="D616" i="19"/>
  <c r="J616" i="19"/>
  <c r="F616" i="19" s="1"/>
  <c r="L616" i="19"/>
  <c r="S616" i="19"/>
  <c r="V616" i="19"/>
  <c r="W616" i="19" s="1"/>
  <c r="Y616" i="19"/>
  <c r="AC616" i="19"/>
  <c r="AD616" i="19" s="1"/>
  <c r="AG616" i="19"/>
  <c r="AH616" i="19"/>
  <c r="AJ616" i="19" s="1"/>
  <c r="D615" i="19"/>
  <c r="J615" i="19"/>
  <c r="L615" i="19"/>
  <c r="S615" i="19"/>
  <c r="V615" i="19"/>
  <c r="W615" i="19" s="1"/>
  <c r="Y615" i="19"/>
  <c r="AC615" i="19"/>
  <c r="AF615" i="19" s="1"/>
  <c r="AG615" i="19"/>
  <c r="AH615" i="19"/>
  <c r="AJ615" i="19" s="1"/>
  <c r="D614" i="19"/>
  <c r="J614" i="19"/>
  <c r="F614" i="19" s="1"/>
  <c r="L614" i="19"/>
  <c r="S614" i="19"/>
  <c r="V614" i="19"/>
  <c r="W614" i="19" s="1"/>
  <c r="Y614" i="19"/>
  <c r="AC614" i="19"/>
  <c r="AG614" i="19"/>
  <c r="AH614" i="19"/>
  <c r="AJ614" i="19" s="1"/>
  <c r="D613" i="19"/>
  <c r="J613" i="19"/>
  <c r="L613" i="19"/>
  <c r="S613" i="19"/>
  <c r="V613" i="19"/>
  <c r="W613" i="19" s="1"/>
  <c r="Y613" i="19"/>
  <c r="AC613" i="19"/>
  <c r="AG613" i="19"/>
  <c r="AH613" i="19"/>
  <c r="AJ613" i="19" s="1"/>
  <c r="D612" i="19"/>
  <c r="J612" i="19"/>
  <c r="F612" i="19" s="1"/>
  <c r="L612" i="19"/>
  <c r="S612" i="19"/>
  <c r="V612" i="19"/>
  <c r="W612" i="19" s="1"/>
  <c r="Y612" i="19"/>
  <c r="AC612" i="19"/>
  <c r="AD612" i="19" s="1"/>
  <c r="AG612" i="19"/>
  <c r="AH612" i="19"/>
  <c r="AJ612" i="19" s="1"/>
  <c r="D611" i="19"/>
  <c r="J611" i="19"/>
  <c r="F611" i="19" s="1"/>
  <c r="L611" i="19"/>
  <c r="S611" i="19"/>
  <c r="V611" i="19"/>
  <c r="W611" i="19" s="1"/>
  <c r="Y611" i="19"/>
  <c r="AC611" i="19"/>
  <c r="AF611" i="19" s="1"/>
  <c r="AG611" i="19"/>
  <c r="AH611" i="19"/>
  <c r="AJ611" i="19" s="1"/>
  <c r="D610" i="19"/>
  <c r="J610" i="19"/>
  <c r="F610" i="19" s="1"/>
  <c r="L610" i="19"/>
  <c r="S610" i="19"/>
  <c r="V610" i="19"/>
  <c r="W610" i="19" s="1"/>
  <c r="Y610" i="19"/>
  <c r="AC610" i="19"/>
  <c r="AE610" i="19" s="1"/>
  <c r="AG610" i="19"/>
  <c r="AH610" i="19"/>
  <c r="AJ610" i="19" s="1"/>
  <c r="D609" i="19"/>
  <c r="J609" i="19"/>
  <c r="F609" i="19" s="1"/>
  <c r="L609" i="19"/>
  <c r="S609" i="19"/>
  <c r="V609" i="19"/>
  <c r="W609" i="19" s="1"/>
  <c r="Y609" i="19"/>
  <c r="AC609" i="19"/>
  <c r="AF609" i="19" s="1"/>
  <c r="AG609" i="19"/>
  <c r="AH609" i="19"/>
  <c r="AJ609" i="19" s="1"/>
  <c r="D608" i="19"/>
  <c r="J608" i="19"/>
  <c r="F608" i="19" s="1"/>
  <c r="L608" i="19"/>
  <c r="S608" i="19"/>
  <c r="V608" i="19"/>
  <c r="W608" i="19" s="1"/>
  <c r="Y608" i="19"/>
  <c r="AC608" i="19"/>
  <c r="AE608" i="19" s="1"/>
  <c r="AG608" i="19"/>
  <c r="AH608" i="19"/>
  <c r="AJ608" i="19" s="1"/>
  <c r="D606" i="19"/>
  <c r="J606" i="19"/>
  <c r="L606" i="19"/>
  <c r="U606" i="19"/>
  <c r="W606" i="19" s="1"/>
  <c r="Y606" i="19"/>
  <c r="AC606" i="19"/>
  <c r="AD606" i="19" s="1"/>
  <c r="AG606" i="19"/>
  <c r="AH606" i="19"/>
  <c r="D607" i="19"/>
  <c r="J607" i="19"/>
  <c r="F607" i="19" s="1"/>
  <c r="L607" i="19"/>
  <c r="W607" i="19"/>
  <c r="Y607" i="19"/>
  <c r="X607" i="19"/>
  <c r="AC607" i="19"/>
  <c r="AF607" i="19" s="1"/>
  <c r="AG607" i="19"/>
  <c r="AH607" i="19"/>
  <c r="AJ607" i="19" s="1"/>
  <c r="D605" i="19"/>
  <c r="J605" i="19"/>
  <c r="L605" i="19"/>
  <c r="V605" i="19"/>
  <c r="W605" i="19" s="1"/>
  <c r="Y605" i="19"/>
  <c r="AC605" i="19"/>
  <c r="AD605" i="19" s="1"/>
  <c r="AG605" i="19"/>
  <c r="AH605" i="19"/>
  <c r="AJ605" i="19" s="1"/>
  <c r="D604" i="19"/>
  <c r="J604" i="19"/>
  <c r="F604" i="19" s="1"/>
  <c r="L604" i="19"/>
  <c r="V604" i="19"/>
  <c r="W604" i="19" s="1"/>
  <c r="Y604" i="19"/>
  <c r="AC604" i="19"/>
  <c r="AE604" i="19" s="1"/>
  <c r="AG604" i="19"/>
  <c r="AH604" i="19"/>
  <c r="AJ604" i="19" s="1"/>
  <c r="F622" i="19"/>
  <c r="L622" i="19"/>
  <c r="AA622" i="19" a="1"/>
  <c r="AA622" i="19" s="1"/>
  <c r="S622" i="19"/>
  <c r="U622" i="19"/>
  <c r="V622" i="19"/>
  <c r="Y622" i="19"/>
  <c r="AC622" i="19"/>
  <c r="AG622" i="19"/>
  <c r="AH622" i="19"/>
  <c r="F621" i="19"/>
  <c r="L621" i="19"/>
  <c r="AA621" i="19" a="1"/>
  <c r="AA621" i="19" s="1"/>
  <c r="S621" i="19"/>
  <c r="U621" i="19"/>
  <c r="V621" i="19"/>
  <c r="Y621" i="19"/>
  <c r="AC621" i="19"/>
  <c r="AE621" i="19" s="1"/>
  <c r="AG621" i="19"/>
  <c r="AH621" i="19"/>
  <c r="F623" i="19"/>
  <c r="L623" i="19"/>
  <c r="AA623" i="19" a="1"/>
  <c r="AA623" i="19" s="1"/>
  <c r="U623" i="19"/>
  <c r="V623" i="19"/>
  <c r="Y623" i="19"/>
  <c r="AC623" i="19"/>
  <c r="AF623" i="19" s="1"/>
  <c r="AG623" i="19"/>
  <c r="AH623" i="19"/>
  <c r="F624" i="19"/>
  <c r="L624" i="19"/>
  <c r="AA624" i="19" a="1"/>
  <c r="AA624" i="19" s="1"/>
  <c r="S624" i="19"/>
  <c r="U624" i="19"/>
  <c r="V624" i="19"/>
  <c r="Y624" i="19"/>
  <c r="AC624" i="19"/>
  <c r="AG624" i="19"/>
  <c r="AH624" i="19"/>
  <c r="L620" i="19"/>
  <c r="S620" i="19"/>
  <c r="V620" i="19"/>
  <c r="W620" i="19" s="1"/>
  <c r="Y620" i="19"/>
  <c r="AC620" i="19"/>
  <c r="AG620" i="19"/>
  <c r="AH620" i="19"/>
  <c r="AJ620" i="19" s="1"/>
  <c r="AK620" i="19" s="1" a="1"/>
  <c r="AK620" i="19" s="1"/>
  <c r="AI620" i="19"/>
  <c r="F619" i="19"/>
  <c r="L619" i="19"/>
  <c r="S619" i="19"/>
  <c r="V619" i="19"/>
  <c r="W619" i="19" s="1"/>
  <c r="Y619" i="19"/>
  <c r="AC619" i="19"/>
  <c r="AF619" i="19" s="1"/>
  <c r="AG619" i="19"/>
  <c r="AH619" i="19"/>
  <c r="AJ619" i="19" s="1"/>
  <c r="AK619" i="19" s="1" a="1"/>
  <c r="AK619" i="19" s="1"/>
  <c r="J626" i="19"/>
  <c r="L626" i="19"/>
  <c r="AA626" i="19" a="1"/>
  <c r="AA626" i="19" s="1"/>
  <c r="S626" i="19"/>
  <c r="U626" i="19"/>
  <c r="V626" i="19"/>
  <c r="Y626" i="19"/>
  <c r="AC626" i="19"/>
  <c r="AG626" i="19"/>
  <c r="AH626" i="19"/>
  <c r="AI626" i="19"/>
  <c r="J625" i="19"/>
  <c r="L625" i="19"/>
  <c r="AA625" i="19" a="1"/>
  <c r="AA625" i="19" s="1"/>
  <c r="S625" i="19"/>
  <c r="U625" i="19"/>
  <c r="V625" i="19"/>
  <c r="Y625" i="19"/>
  <c r="AC625" i="19"/>
  <c r="AD625" i="19" s="1"/>
  <c r="AG625" i="19"/>
  <c r="AH625" i="19"/>
  <c r="J627" i="19"/>
  <c r="L627" i="19"/>
  <c r="AA627" i="19" a="1"/>
  <c r="AA627" i="19" s="1"/>
  <c r="S627" i="19"/>
  <c r="U627" i="19"/>
  <c r="V627" i="19"/>
  <c r="Y627" i="19"/>
  <c r="AC627" i="19"/>
  <c r="AD627" i="19" s="1"/>
  <c r="AG627" i="19"/>
  <c r="J618" i="19"/>
  <c r="L618" i="19"/>
  <c r="V618" i="19"/>
  <c r="W618" i="19" s="1"/>
  <c r="Y618" i="19"/>
  <c r="AD618" i="19"/>
  <c r="AE618" i="19"/>
  <c r="AF618" i="19"/>
  <c r="AH618" i="19"/>
  <c r="AJ618" i="19" s="1"/>
  <c r="J617" i="19"/>
  <c r="L617" i="19"/>
  <c r="V617" i="19"/>
  <c r="W617" i="19" s="1"/>
  <c r="Y617" i="19"/>
  <c r="AD617" i="19"/>
  <c r="AE617" i="19"/>
  <c r="AF617" i="19"/>
  <c r="F638" i="19"/>
  <c r="S638" i="19"/>
  <c r="V638" i="19"/>
  <c r="W638" i="19" s="1"/>
  <c r="Y638" i="19"/>
  <c r="X638" i="19"/>
  <c r="AD638" i="19"/>
  <c r="AE638" i="19"/>
  <c r="AF638" i="19"/>
  <c r="AJ638" i="19"/>
  <c r="AK638" i="19" s="1" a="1"/>
  <c r="AK638" i="19" s="1"/>
  <c r="F637" i="19"/>
  <c r="S637" i="19"/>
  <c r="V637" i="19"/>
  <c r="W637" i="19" s="1"/>
  <c r="Y637" i="19"/>
  <c r="X637" i="19"/>
  <c r="AD637" i="19"/>
  <c r="AE637" i="19"/>
  <c r="AF637" i="19"/>
  <c r="AH637" i="19"/>
  <c r="AJ637" i="19" s="1"/>
  <c r="AK637" i="19" s="1" a="1"/>
  <c r="AK637" i="19" s="1"/>
  <c r="J628" i="19"/>
  <c r="F628" i="19" s="1"/>
  <c r="L628" i="19"/>
  <c r="V628" i="19"/>
  <c r="W628" i="19" s="1"/>
  <c r="Y628" i="19"/>
  <c r="AD628" i="19"/>
  <c r="AE628" i="19"/>
  <c r="AF628" i="19"/>
  <c r="AG628" i="19"/>
  <c r="F636" i="19"/>
  <c r="L636" i="19"/>
  <c r="AA636" i="19" a="1"/>
  <c r="AA636" i="19" s="1"/>
  <c r="U636" i="19"/>
  <c r="V636" i="19"/>
  <c r="Y636" i="19"/>
  <c r="AD636" i="19"/>
  <c r="AE636" i="19"/>
  <c r="AF636" i="19"/>
  <c r="AG636" i="19"/>
  <c r="AH636" i="19"/>
  <c r="F635" i="19"/>
  <c r="L635" i="19"/>
  <c r="AA635" i="19" a="1"/>
  <c r="AA635" i="19" s="1"/>
  <c r="U635" i="19"/>
  <c r="V635" i="19"/>
  <c r="Y635" i="19"/>
  <c r="AD635" i="19"/>
  <c r="AE635" i="19"/>
  <c r="AF635" i="19"/>
  <c r="AG635" i="19"/>
  <c r="AH635" i="19"/>
  <c r="F634" i="19"/>
  <c r="L634" i="19"/>
  <c r="AA634" i="19" a="1"/>
  <c r="AA634" i="19" s="1"/>
  <c r="U634" i="19"/>
  <c r="V634" i="19"/>
  <c r="Y634" i="19"/>
  <c r="AD634" i="19"/>
  <c r="AE634" i="19"/>
  <c r="AF634" i="19"/>
  <c r="AG634" i="19"/>
  <c r="AH634" i="19"/>
  <c r="AI634" i="19"/>
  <c r="F632" i="19"/>
  <c r="L632" i="19"/>
  <c r="AA632" i="19" a="1"/>
  <c r="AA632" i="19" s="1"/>
  <c r="U632" i="19"/>
  <c r="V632" i="19"/>
  <c r="Y632" i="19"/>
  <c r="AD632" i="19"/>
  <c r="AE632" i="19"/>
  <c r="AF632" i="19"/>
  <c r="AG632" i="19"/>
  <c r="AH632" i="19"/>
  <c r="F633" i="19"/>
  <c r="L633" i="19"/>
  <c r="AA633" i="19" a="1"/>
  <c r="AA633" i="19" s="1"/>
  <c r="U633" i="19"/>
  <c r="V633" i="19"/>
  <c r="Y633" i="19"/>
  <c r="AD633" i="19"/>
  <c r="AE633" i="19"/>
  <c r="AF633" i="19"/>
  <c r="AG633" i="19"/>
  <c r="AH633" i="19"/>
  <c r="F630" i="19"/>
  <c r="U630" i="19"/>
  <c r="W630" i="19" s="1"/>
  <c r="Y630" i="19"/>
  <c r="AC630" i="19"/>
  <c r="AD630" i="19" s="1"/>
  <c r="AG630" i="19"/>
  <c r="AH630" i="19"/>
  <c r="F631" i="19"/>
  <c r="V631" i="19"/>
  <c r="W631" i="19" s="1"/>
  <c r="Y631" i="19"/>
  <c r="X631" i="19"/>
  <c r="AC631" i="19"/>
  <c r="AF631" i="19" s="1"/>
  <c r="AG631" i="19"/>
  <c r="AH631" i="19"/>
  <c r="AJ631" i="19" s="1"/>
  <c r="AK631" i="19" s="1" a="1"/>
  <c r="AK631" i="19" s="1"/>
  <c r="J629" i="19"/>
  <c r="F629" i="19" s="1"/>
  <c r="L629" i="19"/>
  <c r="V629" i="19"/>
  <c r="W629" i="19" s="1"/>
  <c r="Y629" i="19"/>
  <c r="AD629" i="19"/>
  <c r="AE629" i="19"/>
  <c r="AF629" i="19"/>
  <c r="AI629" i="19"/>
  <c r="F639" i="19"/>
  <c r="U639" i="19"/>
  <c r="Y639" i="19"/>
  <c r="AH639" i="19"/>
  <c r="S641" i="19"/>
  <c r="V641" i="19"/>
  <c r="W641" i="19" s="1"/>
  <c r="Y641" i="19"/>
  <c r="AD641" i="19"/>
  <c r="AE641" i="19"/>
  <c r="AF641" i="19"/>
  <c r="AI641" i="19"/>
  <c r="AJ641" i="19"/>
  <c r="AK641" i="19" s="1" a="1"/>
  <c r="AK641" i="19" s="1"/>
  <c r="V640" i="19"/>
  <c r="W640" i="19" s="1"/>
  <c r="Y640" i="19"/>
  <c r="AD640" i="19"/>
  <c r="AE640" i="19"/>
  <c r="AF640" i="19"/>
  <c r="AJ640" i="19"/>
  <c r="AK640" i="19" s="1" a="1"/>
  <c r="AK640" i="19" s="1"/>
  <c r="L643" i="19"/>
  <c r="S643" i="19"/>
  <c r="V643" i="19"/>
  <c r="W643" i="19" s="1"/>
  <c r="Y643" i="19"/>
  <c r="AC643" i="19"/>
  <c r="AE643" i="19" s="1"/>
  <c r="AG643" i="19"/>
  <c r="AH643" i="19"/>
  <c r="AJ643" i="19" s="1"/>
  <c r="AK643" i="19" s="1" a="1"/>
  <c r="AK643" i="19" s="1"/>
  <c r="AI643" i="19"/>
  <c r="L642" i="19"/>
  <c r="V642" i="19"/>
  <c r="W642" i="19" s="1"/>
  <c r="Y642" i="19"/>
  <c r="AC642" i="19"/>
  <c r="AF642" i="19" s="1"/>
  <c r="AG642" i="19"/>
  <c r="AH642" i="19"/>
  <c r="AJ642" i="19" s="1"/>
  <c r="AK642" i="19" s="1" a="1"/>
  <c r="AK642" i="19" s="1"/>
  <c r="F644" i="19"/>
  <c r="L644" i="19"/>
  <c r="S644" i="19"/>
  <c r="V644" i="19"/>
  <c r="W644" i="19" s="1"/>
  <c r="Y644" i="19"/>
  <c r="AC644" i="19"/>
  <c r="AD644" i="19" s="1"/>
  <c r="AG644" i="19"/>
  <c r="AH644" i="19"/>
  <c r="AJ644" i="19" s="1"/>
  <c r="AK644" i="19" s="1" a="1"/>
  <c r="AK644" i="19" s="1"/>
  <c r="F645" i="19"/>
  <c r="L645" i="19"/>
  <c r="S645" i="19"/>
  <c r="V645" i="19"/>
  <c r="W645" i="19" s="1"/>
  <c r="Y645" i="19"/>
  <c r="AC645" i="19"/>
  <c r="AE645" i="19" s="1"/>
  <c r="AG645" i="19"/>
  <c r="AH645" i="19"/>
  <c r="AJ645" i="19" s="1"/>
  <c r="AK645" i="19" s="1" a="1"/>
  <c r="AK645" i="19" s="1"/>
  <c r="J646" i="19"/>
  <c r="F646" i="19" s="1"/>
  <c r="L646" i="19"/>
  <c r="S646" i="19"/>
  <c r="V646" i="19"/>
  <c r="W646" i="19" s="1"/>
  <c r="Y646" i="19"/>
  <c r="AD646" i="19"/>
  <c r="AE646" i="19"/>
  <c r="AF646" i="19"/>
  <c r="J648" i="19"/>
  <c r="F648" i="19" s="1"/>
  <c r="L648" i="19"/>
  <c r="S648" i="19"/>
  <c r="V648" i="19"/>
  <c r="W648" i="19" s="1"/>
  <c r="Y648" i="19"/>
  <c r="AD648" i="19"/>
  <c r="AE648" i="19"/>
  <c r="AF648" i="19"/>
  <c r="AH648" i="19"/>
  <c r="AJ648" i="19" s="1"/>
  <c r="J647" i="19"/>
  <c r="F647" i="19" s="1"/>
  <c r="L647" i="19"/>
  <c r="S647" i="19"/>
  <c r="V647" i="19"/>
  <c r="W647" i="19" s="1"/>
  <c r="Y647" i="19"/>
  <c r="AD647" i="19"/>
  <c r="AE647" i="19"/>
  <c r="AF647" i="19"/>
  <c r="J649" i="19"/>
  <c r="L649" i="19"/>
  <c r="V649" i="19"/>
  <c r="W649" i="19" s="1"/>
  <c r="Y649" i="19"/>
  <c r="AC649" i="19"/>
  <c r="AD649" i="19" s="1"/>
  <c r="AG649" i="19"/>
  <c r="AH649" i="19"/>
  <c r="AJ649" i="19" s="1"/>
  <c r="J650" i="19"/>
  <c r="L650" i="19"/>
  <c r="AA650" i="19" a="1"/>
  <c r="AA650" i="19" s="1"/>
  <c r="S650" i="19"/>
  <c r="U650" i="19"/>
  <c r="V650" i="19"/>
  <c r="Y650" i="19"/>
  <c r="AC650" i="19"/>
  <c r="AG650" i="19"/>
  <c r="AH650" i="19"/>
  <c r="F651" i="19"/>
  <c r="L651" i="19"/>
  <c r="S651" i="19"/>
  <c r="V651" i="19"/>
  <c r="W651" i="19" s="1"/>
  <c r="Y651" i="19"/>
  <c r="AC651" i="19"/>
  <c r="AD651" i="19" s="1"/>
  <c r="AG651" i="19"/>
  <c r="AH651" i="19"/>
  <c r="AJ651" i="19" s="1"/>
  <c r="AK651" i="19" s="1" a="1"/>
  <c r="AK651" i="19" s="1"/>
  <c r="AI651" i="19"/>
  <c r="F652" i="19"/>
  <c r="L652" i="19"/>
  <c r="S652" i="19"/>
  <c r="V652" i="19"/>
  <c r="W652" i="19" s="1"/>
  <c r="Y652" i="19"/>
  <c r="AC652" i="19"/>
  <c r="AD652" i="19" s="1"/>
  <c r="AG652" i="19"/>
  <c r="AH652" i="19"/>
  <c r="AJ652" i="19" s="1"/>
  <c r="AK652" i="19" s="1" a="1"/>
  <c r="AK652" i="19" s="1"/>
  <c r="S659" i="19"/>
  <c r="V659" i="19"/>
  <c r="W659" i="19" s="1"/>
  <c r="Y659" i="19"/>
  <c r="AC659" i="19"/>
  <c r="AF659" i="19" s="1"/>
  <c r="AG659" i="19"/>
  <c r="AI659" i="19"/>
  <c r="L660" i="19"/>
  <c r="S660" i="19"/>
  <c r="V660" i="19"/>
  <c r="W660" i="19" s="1"/>
  <c r="Y660" i="19"/>
  <c r="AD660" i="19"/>
  <c r="AE660" i="19"/>
  <c r="AF660" i="19"/>
  <c r="AJ660" i="19"/>
  <c r="AK660" i="19" s="1" a="1"/>
  <c r="AK660" i="19" s="1"/>
  <c r="J653" i="19"/>
  <c r="F653" i="19" s="1"/>
  <c r="L653" i="19"/>
  <c r="V653" i="19"/>
  <c r="W653" i="19" s="1"/>
  <c r="Y653" i="19"/>
  <c r="AD653" i="19"/>
  <c r="AE653" i="19"/>
  <c r="AF653" i="19"/>
  <c r="J655" i="19"/>
  <c r="F655" i="19" s="1"/>
  <c r="L655" i="19"/>
  <c r="V655" i="19"/>
  <c r="W655" i="19" s="1"/>
  <c r="Y655" i="19"/>
  <c r="AD655" i="19"/>
  <c r="AE655" i="19"/>
  <c r="AF655" i="19"/>
  <c r="J654" i="19"/>
  <c r="F654" i="19" s="1"/>
  <c r="L654" i="19"/>
  <c r="V654" i="19"/>
  <c r="W654" i="19" s="1"/>
  <c r="Y654" i="19"/>
  <c r="AD654" i="19"/>
  <c r="AE654" i="19"/>
  <c r="AF654" i="19"/>
  <c r="J656" i="19"/>
  <c r="F656" i="19" s="1"/>
  <c r="L656" i="19"/>
  <c r="V656" i="19"/>
  <c r="W656" i="19" s="1"/>
  <c r="Y656" i="19"/>
  <c r="AD656" i="19"/>
  <c r="AE656" i="19"/>
  <c r="AF656" i="19"/>
  <c r="J658" i="19"/>
  <c r="F658" i="19" s="1"/>
  <c r="L658" i="19"/>
  <c r="V658" i="19"/>
  <c r="W658" i="19" s="1"/>
  <c r="Y658" i="19"/>
  <c r="AD658" i="19"/>
  <c r="AE658" i="19"/>
  <c r="AF658" i="19"/>
  <c r="AH658" i="19"/>
  <c r="AJ658" i="19" s="1"/>
  <c r="J657" i="19"/>
  <c r="F657" i="19" s="1"/>
  <c r="L657" i="19"/>
  <c r="V657" i="19"/>
  <c r="W657" i="19" s="1"/>
  <c r="Y657" i="19"/>
  <c r="AD657" i="19"/>
  <c r="AE657" i="19"/>
  <c r="AF657" i="19"/>
  <c r="J662" i="19"/>
  <c r="F662" i="19" s="1"/>
  <c r="L662" i="19"/>
  <c r="V662" i="19"/>
  <c r="W662" i="19" s="1"/>
  <c r="Y662" i="19"/>
  <c r="AD662" i="19"/>
  <c r="AE662" i="19"/>
  <c r="AF662" i="19"/>
  <c r="J661" i="19"/>
  <c r="F661" i="19" s="1"/>
  <c r="L661" i="19"/>
  <c r="V661" i="19"/>
  <c r="W661" i="19" s="1"/>
  <c r="Y661" i="19"/>
  <c r="AD661" i="19"/>
  <c r="AE661" i="19"/>
  <c r="AF661" i="19"/>
  <c r="J664" i="19"/>
  <c r="F664" i="19" s="1"/>
  <c r="L664" i="19"/>
  <c r="S664" i="19"/>
  <c r="V664" i="19"/>
  <c r="W664" i="19" s="1"/>
  <c r="Y664" i="19"/>
  <c r="AD664" i="19"/>
  <c r="AE664" i="19"/>
  <c r="AF664" i="19"/>
  <c r="J674" i="19"/>
  <c r="L674" i="19"/>
  <c r="V674" i="19"/>
  <c r="W674" i="19" s="1"/>
  <c r="Y674" i="19"/>
  <c r="AD674" i="19"/>
  <c r="AE674" i="19"/>
  <c r="AF674" i="19"/>
  <c r="J663" i="19"/>
  <c r="F663" i="19" s="1"/>
  <c r="L663" i="19"/>
  <c r="V663" i="19"/>
  <c r="W663" i="19" s="1"/>
  <c r="Y663" i="19"/>
  <c r="AD663" i="19"/>
  <c r="AE663" i="19"/>
  <c r="AF663" i="19"/>
  <c r="AH663" i="19"/>
  <c r="AJ663" i="19" s="1"/>
  <c r="J673" i="19"/>
  <c r="F673" i="19" s="1"/>
  <c r="L673" i="19"/>
  <c r="V673" i="19"/>
  <c r="W673" i="19" s="1"/>
  <c r="Y673" i="19"/>
  <c r="AD673" i="19"/>
  <c r="AE673" i="19"/>
  <c r="AF673" i="19"/>
  <c r="J666" i="19"/>
  <c r="F666" i="19" s="1"/>
  <c r="L666" i="19"/>
  <c r="V666" i="19"/>
  <c r="W666" i="19" s="1"/>
  <c r="Y666" i="19"/>
  <c r="AD666" i="19"/>
  <c r="AE666" i="19"/>
  <c r="AF666" i="19"/>
  <c r="J670" i="19"/>
  <c r="F670" i="19" s="1"/>
  <c r="L670" i="19"/>
  <c r="V670" i="19"/>
  <c r="W670" i="19" s="1"/>
  <c r="Y670" i="19"/>
  <c r="AD670" i="19"/>
  <c r="AE670" i="19"/>
  <c r="AF670" i="19"/>
  <c r="J668" i="19"/>
  <c r="F668" i="19" s="1"/>
  <c r="L668" i="19"/>
  <c r="V668" i="19"/>
  <c r="W668" i="19" s="1"/>
  <c r="Y668" i="19"/>
  <c r="AD668" i="19"/>
  <c r="AE668" i="19"/>
  <c r="AF668" i="19"/>
  <c r="J667" i="19"/>
  <c r="F667" i="19" s="1"/>
  <c r="L667" i="19"/>
  <c r="V667" i="19"/>
  <c r="W667" i="19" s="1"/>
  <c r="Y667" i="19"/>
  <c r="AD667" i="19"/>
  <c r="AE667" i="19"/>
  <c r="AF667" i="19"/>
  <c r="AH667" i="19"/>
  <c r="AJ667" i="19" s="1"/>
  <c r="J669" i="19"/>
  <c r="F669" i="19" s="1"/>
  <c r="L669" i="19"/>
  <c r="V669" i="19"/>
  <c r="W669" i="19" s="1"/>
  <c r="Y669" i="19"/>
  <c r="AD669" i="19"/>
  <c r="AE669" i="19"/>
  <c r="AF669" i="19"/>
  <c r="AH669" i="19"/>
  <c r="AJ669" i="19" s="1"/>
  <c r="J672" i="19"/>
  <c r="L672" i="19"/>
  <c r="V672" i="19"/>
  <c r="W672" i="19" s="1"/>
  <c r="Y672" i="19"/>
  <c r="AD672" i="19"/>
  <c r="AE672" i="19"/>
  <c r="AF672" i="19"/>
  <c r="J671" i="19"/>
  <c r="F671" i="19" s="1"/>
  <c r="L671" i="19"/>
  <c r="V671" i="19"/>
  <c r="W671" i="19" s="1"/>
  <c r="Y671" i="19"/>
  <c r="AD671" i="19"/>
  <c r="AE671" i="19"/>
  <c r="AF671" i="19"/>
  <c r="J665" i="19"/>
  <c r="F665" i="19" s="1"/>
  <c r="L665" i="19"/>
  <c r="V665" i="19"/>
  <c r="W665" i="19" s="1"/>
  <c r="Y665" i="19"/>
  <c r="AD665" i="19"/>
  <c r="AE665" i="19"/>
  <c r="AF665" i="19"/>
  <c r="AI665" i="19"/>
  <c r="J676" i="19"/>
  <c r="L676" i="19"/>
  <c r="V676" i="19"/>
  <c r="W676" i="19" s="1"/>
  <c r="Y676" i="19"/>
  <c r="AD676" i="19"/>
  <c r="AE676" i="19"/>
  <c r="AF676" i="19"/>
  <c r="J675" i="19"/>
  <c r="L675" i="19"/>
  <c r="V675" i="19"/>
  <c r="W675" i="19" s="1"/>
  <c r="Y675" i="19"/>
  <c r="AD675" i="19"/>
  <c r="AE675" i="19"/>
  <c r="AF675" i="19"/>
  <c r="W682" i="19"/>
  <c r="AD682" i="19"/>
  <c r="AE682" i="19"/>
  <c r="AF682" i="19"/>
  <c r="AG682" i="19"/>
  <c r="AH682" i="19"/>
  <c r="AJ682" i="19" s="1"/>
  <c r="AK682" i="19" s="1" a="1"/>
  <c r="AK682" i="19" s="1"/>
  <c r="W681" i="19"/>
  <c r="AD681" i="19"/>
  <c r="AE681" i="19"/>
  <c r="AF681" i="19"/>
  <c r="AG681" i="19"/>
  <c r="AH681" i="19"/>
  <c r="AJ681" i="19" s="1"/>
  <c r="AK681" i="19" s="1" a="1"/>
  <c r="AK681" i="19" s="1"/>
  <c r="W678" i="19"/>
  <c r="AD678" i="19"/>
  <c r="AE678" i="19"/>
  <c r="AF678" i="19"/>
  <c r="AG678" i="19"/>
  <c r="AH678" i="19"/>
  <c r="AJ678" i="19" s="1"/>
  <c r="AK678" i="19" s="1" a="1"/>
  <c r="AK678" i="19" s="1"/>
  <c r="W679" i="19"/>
  <c r="AD679" i="19"/>
  <c r="AE679" i="19"/>
  <c r="AF679" i="19"/>
  <c r="AG679" i="19"/>
  <c r="W680" i="19"/>
  <c r="AD680" i="19"/>
  <c r="AE680" i="19"/>
  <c r="AF680" i="19"/>
  <c r="AG680" i="19"/>
  <c r="W677" i="19"/>
  <c r="AD677" i="19"/>
  <c r="AE677" i="19"/>
  <c r="AF677" i="19"/>
  <c r="AG677" i="19"/>
  <c r="AH677" i="19"/>
  <c r="AJ677" i="19" s="1"/>
  <c r="AK677" i="19" s="1" a="1"/>
  <c r="AK677" i="19" s="1"/>
  <c r="S683" i="19"/>
  <c r="V683" i="19"/>
  <c r="W683" i="19" s="1"/>
  <c r="Y683" i="19"/>
  <c r="AD683" i="19"/>
  <c r="AE683" i="19"/>
  <c r="AF683" i="19"/>
  <c r="AI683" i="19"/>
  <c r="AJ683" i="19"/>
  <c r="AK683" i="19" s="1" a="1"/>
  <c r="AK683" i="19" s="1"/>
  <c r="L684" i="19"/>
  <c r="S684" i="19"/>
  <c r="V684" i="19"/>
  <c r="W684" i="19" s="1"/>
  <c r="Y684" i="19"/>
  <c r="AC684" i="19"/>
  <c r="AG684" i="19"/>
  <c r="AH684" i="19"/>
  <c r="AJ684" i="19" s="1"/>
  <c r="AK684" i="19" s="1" a="1"/>
  <c r="AK684" i="19" s="1"/>
  <c r="AI684" i="19"/>
  <c r="J686" i="19"/>
  <c r="L686" i="19"/>
  <c r="V686" i="19"/>
  <c r="W686" i="19" s="1"/>
  <c r="Y686" i="19"/>
  <c r="AD686" i="19"/>
  <c r="AE686" i="19"/>
  <c r="AF686" i="19"/>
  <c r="J685" i="19"/>
  <c r="L685" i="19"/>
  <c r="V685" i="19"/>
  <c r="W685" i="19" s="1"/>
  <c r="Y685" i="19"/>
  <c r="AD685" i="19"/>
  <c r="AE685" i="19"/>
  <c r="AF685" i="19"/>
  <c r="AI685" i="19"/>
  <c r="J701" i="19"/>
  <c r="F701" i="19" s="1"/>
  <c r="L701" i="19"/>
  <c r="S701" i="19"/>
  <c r="V701" i="19"/>
  <c r="W701" i="19" s="1"/>
  <c r="Y701" i="19"/>
  <c r="AC701" i="19"/>
  <c r="AG701" i="19"/>
  <c r="J702" i="19"/>
  <c r="F702" i="19" s="1"/>
  <c r="L702" i="19"/>
  <c r="S702" i="19"/>
  <c r="V702" i="19"/>
  <c r="W702" i="19" s="1"/>
  <c r="Y702" i="19"/>
  <c r="AC702" i="19"/>
  <c r="AD702" i="19" s="1"/>
  <c r="AG702" i="19"/>
  <c r="AH702" i="19"/>
  <c r="AJ702" i="19" s="1"/>
  <c r="J703" i="19"/>
  <c r="L703" i="19"/>
  <c r="S703" i="19"/>
  <c r="V703" i="19"/>
  <c r="W703" i="19" s="1"/>
  <c r="Y703" i="19"/>
  <c r="AC703" i="19"/>
  <c r="AD703" i="19" s="1"/>
  <c r="AG703" i="19"/>
  <c r="J704" i="19"/>
  <c r="F704" i="19" s="1"/>
  <c r="L704" i="19"/>
  <c r="S704" i="19"/>
  <c r="V704" i="19"/>
  <c r="W704" i="19" s="1"/>
  <c r="Y704" i="19"/>
  <c r="AC704" i="19"/>
  <c r="AF704" i="19" s="1"/>
  <c r="AG704" i="19"/>
  <c r="AH704" i="19"/>
  <c r="AJ704" i="19" s="1"/>
  <c r="J706" i="19"/>
  <c r="F706" i="19" s="1"/>
  <c r="L706" i="19"/>
  <c r="S706" i="19"/>
  <c r="V706" i="19"/>
  <c r="W706" i="19" s="1"/>
  <c r="Y706" i="19"/>
  <c r="AC706" i="19"/>
  <c r="AF706" i="19" s="1"/>
  <c r="AG706" i="19"/>
  <c r="J707" i="19"/>
  <c r="F707" i="19" s="1"/>
  <c r="L707" i="19"/>
  <c r="S707" i="19"/>
  <c r="V707" i="19"/>
  <c r="W707" i="19" s="1"/>
  <c r="Y707" i="19"/>
  <c r="AC707" i="19"/>
  <c r="AG707" i="19"/>
  <c r="J709" i="19"/>
  <c r="F709" i="19" s="1"/>
  <c r="L709" i="19"/>
  <c r="S709" i="19"/>
  <c r="V709" i="19"/>
  <c r="W709" i="19" s="1"/>
  <c r="Y709" i="19"/>
  <c r="AC709" i="19"/>
  <c r="AF709" i="19" s="1"/>
  <c r="AG709" i="19"/>
  <c r="J708" i="19"/>
  <c r="F708" i="19" s="1"/>
  <c r="L708" i="19"/>
  <c r="S708" i="19"/>
  <c r="V708" i="19"/>
  <c r="W708" i="19" s="1"/>
  <c r="Y708" i="19"/>
  <c r="AC708" i="19"/>
  <c r="AF708" i="19" s="1"/>
  <c r="AG708" i="19"/>
  <c r="AH708" i="19"/>
  <c r="AJ708" i="19" s="1"/>
  <c r="J711" i="19"/>
  <c r="L711" i="19"/>
  <c r="S711" i="19"/>
  <c r="V711" i="19"/>
  <c r="W711" i="19" s="1"/>
  <c r="Y711" i="19"/>
  <c r="AC711" i="19"/>
  <c r="AE711" i="19" s="1"/>
  <c r="AG711" i="19"/>
  <c r="J712" i="19"/>
  <c r="F712" i="19" s="1"/>
  <c r="L712" i="19"/>
  <c r="S712" i="19"/>
  <c r="V712" i="19"/>
  <c r="W712" i="19" s="1"/>
  <c r="Y712" i="19"/>
  <c r="AC712" i="19"/>
  <c r="AD712" i="19" s="1"/>
  <c r="AG712" i="19"/>
  <c r="J713" i="19"/>
  <c r="L713" i="19"/>
  <c r="S713" i="19"/>
  <c r="V713" i="19"/>
  <c r="W713" i="19" s="1"/>
  <c r="Y713" i="19"/>
  <c r="AC713" i="19"/>
  <c r="AD713" i="19" s="1"/>
  <c r="AG713" i="19"/>
  <c r="J716" i="19"/>
  <c r="L716" i="19"/>
  <c r="S716" i="19"/>
  <c r="V716" i="19"/>
  <c r="W716" i="19" s="1"/>
  <c r="Y716" i="19"/>
  <c r="AC716" i="19"/>
  <c r="AF716" i="19" s="1"/>
  <c r="AG716" i="19"/>
  <c r="J714" i="19"/>
  <c r="F714" i="19" s="1"/>
  <c r="L714" i="19"/>
  <c r="S714" i="19"/>
  <c r="V714" i="19"/>
  <c r="W714" i="19" s="1"/>
  <c r="Y714" i="19"/>
  <c r="AC714" i="19"/>
  <c r="AF714" i="19" s="1"/>
  <c r="AG714" i="19"/>
  <c r="AH714" i="19"/>
  <c r="AJ714" i="19" s="1"/>
  <c r="AI714" i="19"/>
  <c r="J715" i="19"/>
  <c r="F715" i="19" s="1"/>
  <c r="L715" i="19"/>
  <c r="S715" i="19"/>
  <c r="V715" i="19"/>
  <c r="W715" i="19" s="1"/>
  <c r="Y715" i="19"/>
  <c r="AC715" i="19"/>
  <c r="AG715" i="19"/>
  <c r="J705" i="19"/>
  <c r="L705" i="19"/>
  <c r="S705" i="19"/>
  <c r="V705" i="19"/>
  <c r="W705" i="19" s="1"/>
  <c r="Y705" i="19"/>
  <c r="AC705" i="19"/>
  <c r="AF705" i="19" s="1"/>
  <c r="AG705" i="19"/>
  <c r="AH705" i="19"/>
  <c r="AJ705" i="19" s="1"/>
  <c r="J717" i="19"/>
  <c r="L717" i="19"/>
  <c r="S717" i="19"/>
  <c r="V717" i="19"/>
  <c r="W717" i="19" s="1"/>
  <c r="Y717" i="19"/>
  <c r="AC717" i="19"/>
  <c r="AG717" i="19"/>
  <c r="J710" i="19"/>
  <c r="F710" i="19" s="1"/>
  <c r="L710" i="19"/>
  <c r="S710" i="19"/>
  <c r="V710" i="19"/>
  <c r="W710" i="19" s="1"/>
  <c r="Y710" i="19"/>
  <c r="AC710" i="19"/>
  <c r="AD710" i="19" s="1"/>
  <c r="AG710" i="19"/>
  <c r="AH710" i="19"/>
  <c r="AJ710" i="19" s="1"/>
  <c r="D719" i="19"/>
  <c r="J719" i="19"/>
  <c r="F719" i="19" s="1"/>
  <c r="L719" i="19"/>
  <c r="S719" i="19"/>
  <c r="V719" i="19"/>
  <c r="W719" i="19" s="1"/>
  <c r="Y719" i="19"/>
  <c r="AC719" i="19"/>
  <c r="AE719" i="19" s="1"/>
  <c r="AG719" i="19"/>
  <c r="AH719" i="19"/>
  <c r="AJ719" i="19" s="1"/>
  <c r="D718" i="19"/>
  <c r="J718" i="19"/>
  <c r="F718" i="19" s="1"/>
  <c r="L718" i="19"/>
  <c r="S718" i="19"/>
  <c r="V718" i="19"/>
  <c r="W718" i="19" s="1"/>
  <c r="Y718" i="19"/>
  <c r="AC718" i="19"/>
  <c r="AG718" i="19"/>
  <c r="AH718" i="19"/>
  <c r="AJ718" i="19" s="1"/>
  <c r="F699" i="19"/>
  <c r="S699" i="19"/>
  <c r="V699" i="19"/>
  <c r="W699" i="19" s="1"/>
  <c r="Y699" i="19"/>
  <c r="AD699" i="19"/>
  <c r="AE699" i="19"/>
  <c r="AF699" i="19"/>
  <c r="AH699" i="19"/>
  <c r="AJ699" i="19" s="1"/>
  <c r="AK699" i="19" s="1" a="1"/>
  <c r="AK699" i="19" s="1"/>
  <c r="F698" i="19"/>
  <c r="S698" i="19"/>
  <c r="V698" i="19"/>
  <c r="W698" i="19" s="1"/>
  <c r="Y698" i="19"/>
  <c r="AD698" i="19"/>
  <c r="AE698" i="19"/>
  <c r="AF698" i="19"/>
  <c r="AH698" i="19"/>
  <c r="AJ698" i="19" s="1"/>
  <c r="AK698" i="19" s="1" a="1"/>
  <c r="AK698" i="19" s="1"/>
  <c r="F691" i="19"/>
  <c r="S691" i="19"/>
  <c r="V691" i="19"/>
  <c r="W691" i="19" s="1"/>
  <c r="Y691" i="19"/>
  <c r="AD691" i="19"/>
  <c r="AE691" i="19"/>
  <c r="AF691" i="19"/>
  <c r="AH691" i="19"/>
  <c r="AJ691" i="19" s="1"/>
  <c r="AK691" i="19" s="1" a="1"/>
  <c r="AK691" i="19" s="1"/>
  <c r="F690" i="19"/>
  <c r="S690" i="19"/>
  <c r="V690" i="19"/>
  <c r="W690" i="19" s="1"/>
  <c r="Y690" i="19"/>
  <c r="AD690" i="19"/>
  <c r="AE690" i="19"/>
  <c r="AF690" i="19"/>
  <c r="AH690" i="19"/>
  <c r="AJ690" i="19" s="1"/>
  <c r="AK690" i="19" s="1" a="1"/>
  <c r="AK690" i="19" s="1"/>
  <c r="F692" i="19"/>
  <c r="S692" i="19"/>
  <c r="V692" i="19"/>
  <c r="W692" i="19" s="1"/>
  <c r="Y692" i="19"/>
  <c r="AD692" i="19"/>
  <c r="AE692" i="19"/>
  <c r="AF692" i="19"/>
  <c r="AH692" i="19"/>
  <c r="AJ692" i="19" s="1"/>
  <c r="AK692" i="19" s="1" a="1"/>
  <c r="AK692" i="19" s="1"/>
  <c r="F693" i="19"/>
  <c r="S693" i="19"/>
  <c r="V693" i="19"/>
  <c r="W693" i="19" s="1"/>
  <c r="Y693" i="19"/>
  <c r="AD693" i="19"/>
  <c r="AE693" i="19"/>
  <c r="AF693" i="19"/>
  <c r="AH693" i="19"/>
  <c r="AJ693" i="19" s="1"/>
  <c r="AK693" i="19" s="1" a="1"/>
  <c r="AK693" i="19" s="1"/>
  <c r="F695" i="19"/>
  <c r="S695" i="19"/>
  <c r="V695" i="19"/>
  <c r="W695" i="19" s="1"/>
  <c r="Y695" i="19"/>
  <c r="AD695" i="19"/>
  <c r="AE695" i="19"/>
  <c r="AF695" i="19"/>
  <c r="AH695" i="19"/>
  <c r="AJ695" i="19" s="1"/>
  <c r="AK695" i="19" s="1" a="1"/>
  <c r="AK695" i="19" s="1"/>
  <c r="F694" i="19"/>
  <c r="S694" i="19"/>
  <c r="V694" i="19"/>
  <c r="W694" i="19" s="1"/>
  <c r="Y694" i="19"/>
  <c r="AD694" i="19"/>
  <c r="AE694" i="19"/>
  <c r="AF694" i="19"/>
  <c r="AH694" i="19"/>
  <c r="AJ694" i="19" s="1"/>
  <c r="AK694" i="19" s="1" a="1"/>
  <c r="AK694" i="19" s="1"/>
  <c r="F689" i="19"/>
  <c r="S689" i="19"/>
  <c r="V689" i="19"/>
  <c r="W689" i="19" s="1"/>
  <c r="Y689" i="19"/>
  <c r="AD689" i="19"/>
  <c r="AE689" i="19"/>
  <c r="AF689" i="19"/>
  <c r="F696" i="19"/>
  <c r="S696" i="19"/>
  <c r="V696" i="19"/>
  <c r="W696" i="19" s="1"/>
  <c r="Y696" i="19"/>
  <c r="AD696" i="19"/>
  <c r="AE696" i="19"/>
  <c r="AF696" i="19"/>
  <c r="AH696" i="19"/>
  <c r="AJ696" i="19" s="1"/>
  <c r="AK696" i="19" s="1" a="1"/>
  <c r="AK696" i="19" s="1"/>
  <c r="F700" i="19"/>
  <c r="S700" i="19"/>
  <c r="V700" i="19"/>
  <c r="W700" i="19" s="1"/>
  <c r="Y700" i="19"/>
  <c r="AD700" i="19"/>
  <c r="AE700" i="19"/>
  <c r="AF700" i="19"/>
  <c r="AH700" i="19"/>
  <c r="AJ700" i="19" s="1"/>
  <c r="AK700" i="19" s="1" a="1"/>
  <c r="AK700" i="19" s="1"/>
  <c r="AI700" i="19"/>
  <c r="F687" i="19"/>
  <c r="S687" i="19"/>
  <c r="V687" i="19"/>
  <c r="W687" i="19" s="1"/>
  <c r="Y687" i="19"/>
  <c r="AD687" i="19"/>
  <c r="AE687" i="19"/>
  <c r="AF687" i="19"/>
  <c r="F697" i="19"/>
  <c r="S697" i="19"/>
  <c r="V697" i="19"/>
  <c r="W697" i="19" s="1"/>
  <c r="Y697" i="19"/>
  <c r="AD697" i="19"/>
  <c r="AE697" i="19"/>
  <c r="AF697" i="19"/>
  <c r="AH697" i="19"/>
  <c r="AJ697" i="19" s="1"/>
  <c r="AK697" i="19" s="1" a="1"/>
  <c r="AK697" i="19" s="1"/>
  <c r="F688" i="19"/>
  <c r="S688" i="19"/>
  <c r="V688" i="19"/>
  <c r="W688" i="19" s="1"/>
  <c r="Y688" i="19"/>
  <c r="AD688" i="19"/>
  <c r="AE688" i="19"/>
  <c r="AF688" i="19"/>
  <c r="F721" i="19"/>
  <c r="L721" i="19"/>
  <c r="S721" i="19"/>
  <c r="V721" i="19"/>
  <c r="W721" i="19" s="1"/>
  <c r="Y721" i="19"/>
  <c r="AC721" i="19"/>
  <c r="AG721" i="19"/>
  <c r="AH721" i="19"/>
  <c r="AJ721" i="19" s="1"/>
  <c r="AK721" i="19" s="1" a="1"/>
  <c r="AK721" i="19" s="1"/>
  <c r="J720" i="19"/>
  <c r="L720" i="19"/>
  <c r="S720" i="19"/>
  <c r="V720" i="19"/>
  <c r="W720" i="19" s="1"/>
  <c r="Y720" i="19"/>
  <c r="AD720" i="19"/>
  <c r="AE720" i="19"/>
  <c r="AF720" i="19"/>
  <c r="AI720" i="19"/>
  <c r="J722" i="19"/>
  <c r="F722" i="19" s="1"/>
  <c r="L722" i="19"/>
  <c r="S722" i="19"/>
  <c r="V722" i="19"/>
  <c r="W722" i="19" s="1"/>
  <c r="Y722" i="19"/>
  <c r="AC722" i="19"/>
  <c r="AE722" i="19" s="1"/>
  <c r="AG722" i="19"/>
  <c r="J723" i="19"/>
  <c r="F723" i="19" s="1"/>
  <c r="L723" i="19"/>
  <c r="S723" i="19"/>
  <c r="V723" i="19"/>
  <c r="W723" i="19" s="1"/>
  <c r="Y723" i="19"/>
  <c r="AD723" i="19"/>
  <c r="AE723" i="19"/>
  <c r="AF723" i="19"/>
  <c r="F727" i="19"/>
  <c r="L727" i="19"/>
  <c r="S727" i="19"/>
  <c r="V727" i="19"/>
  <c r="W727" i="19" s="1"/>
  <c r="Y727" i="19"/>
  <c r="AC727" i="19"/>
  <c r="AD727" i="19" s="1"/>
  <c r="AG727" i="19"/>
  <c r="AH727" i="19"/>
  <c r="AJ727" i="19" s="1"/>
  <c r="AK727" i="19" s="1" a="1"/>
  <c r="AK727" i="19" s="1"/>
  <c r="F726" i="19"/>
  <c r="L726" i="19"/>
  <c r="S726" i="19"/>
  <c r="V726" i="19"/>
  <c r="W726" i="19" s="1"/>
  <c r="Y726" i="19"/>
  <c r="AC726" i="19"/>
  <c r="AF726" i="19" s="1"/>
  <c r="AG726" i="19"/>
  <c r="AH726" i="19"/>
  <c r="AJ726" i="19" s="1"/>
  <c r="AK726" i="19" s="1" a="1"/>
  <c r="AK726" i="19" s="1"/>
  <c r="F725" i="19"/>
  <c r="L725" i="19"/>
  <c r="S725" i="19"/>
  <c r="V725" i="19"/>
  <c r="W725" i="19" s="1"/>
  <c r="Y725" i="19"/>
  <c r="AC725" i="19"/>
  <c r="AF725" i="19" s="1"/>
  <c r="AG725" i="19"/>
  <c r="AH725" i="19"/>
  <c r="AJ725" i="19" s="1"/>
  <c r="AK725" i="19" s="1" a="1"/>
  <c r="AK725" i="19" s="1"/>
  <c r="AI725" i="19"/>
  <c r="F724" i="19"/>
  <c r="L724" i="19"/>
  <c r="S724" i="19"/>
  <c r="V724" i="19"/>
  <c r="W724" i="19" s="1"/>
  <c r="Y724" i="19"/>
  <c r="AC724" i="19"/>
  <c r="AF724" i="19" s="1"/>
  <c r="AG724" i="19"/>
  <c r="AH724" i="19"/>
  <c r="AJ724" i="19" s="1"/>
  <c r="AK724" i="19" s="1" a="1"/>
  <c r="AK724" i="19" s="1"/>
  <c r="J729" i="19"/>
  <c r="L729" i="19"/>
  <c r="S729" i="19"/>
  <c r="V729" i="19"/>
  <c r="W729" i="19" s="1"/>
  <c r="Y729" i="19"/>
  <c r="AC729" i="19"/>
  <c r="AD729" i="19" s="1"/>
  <c r="AG729" i="19"/>
  <c r="J730" i="19"/>
  <c r="L730" i="19"/>
  <c r="S730" i="19"/>
  <c r="V730" i="19"/>
  <c r="W730" i="19" s="1"/>
  <c r="Y730" i="19"/>
  <c r="AC730" i="19"/>
  <c r="AF730" i="19" s="1"/>
  <c r="AG730" i="19"/>
  <c r="J731" i="19"/>
  <c r="L731" i="19"/>
  <c r="S731" i="19"/>
  <c r="V731" i="19"/>
  <c r="W731" i="19" s="1"/>
  <c r="Y731" i="19"/>
  <c r="AC731" i="19"/>
  <c r="AG731" i="19"/>
  <c r="J732" i="19"/>
  <c r="L732" i="19"/>
  <c r="S732" i="19"/>
  <c r="V732" i="19"/>
  <c r="W732" i="19" s="1"/>
  <c r="Y732" i="19"/>
  <c r="AC732" i="19"/>
  <c r="AG732" i="19"/>
  <c r="J743" i="19"/>
  <c r="L743" i="19"/>
  <c r="V743" i="19"/>
  <c r="W743" i="19" s="1"/>
  <c r="Y743" i="19"/>
  <c r="AD743" i="19"/>
  <c r="AE743" i="19"/>
  <c r="AF743" i="19"/>
  <c r="AI743" i="19"/>
  <c r="J742" i="19"/>
  <c r="F742" i="19" s="1"/>
  <c r="L742" i="19"/>
  <c r="V742" i="19"/>
  <c r="W742" i="19" s="1"/>
  <c r="Y742" i="19"/>
  <c r="AD742" i="19"/>
  <c r="AE742" i="19"/>
  <c r="AF742" i="19"/>
  <c r="AH742" i="19"/>
  <c r="AJ742" i="19" s="1"/>
  <c r="J741" i="19"/>
  <c r="F741" i="19" s="1"/>
  <c r="L741" i="19"/>
  <c r="V741" i="19"/>
  <c r="W741" i="19" s="1"/>
  <c r="Y741" i="19"/>
  <c r="AD741" i="19"/>
  <c r="AE741" i="19"/>
  <c r="AF741" i="19"/>
  <c r="AH741" i="19"/>
  <c r="AJ741" i="19" s="1"/>
  <c r="J740" i="19"/>
  <c r="F740" i="19" s="1"/>
  <c r="L740" i="19"/>
  <c r="V740" i="19"/>
  <c r="W740" i="19" s="1"/>
  <c r="Y740" i="19"/>
  <c r="AD740" i="19"/>
  <c r="AE740" i="19"/>
  <c r="AF740" i="19"/>
  <c r="J738" i="19"/>
  <c r="F738" i="19" s="1"/>
  <c r="L738" i="19"/>
  <c r="V738" i="19"/>
  <c r="W738" i="19" s="1"/>
  <c r="Y738" i="19"/>
  <c r="AD738" i="19"/>
  <c r="AE738" i="19"/>
  <c r="AF738" i="19"/>
  <c r="AH738" i="19"/>
  <c r="AJ738" i="19" s="1"/>
  <c r="J737" i="19"/>
  <c r="L737" i="19"/>
  <c r="V737" i="19"/>
  <c r="W737" i="19" s="1"/>
  <c r="Y737" i="19"/>
  <c r="AD737" i="19"/>
  <c r="AE737" i="19"/>
  <c r="AF737" i="19"/>
  <c r="J735" i="19"/>
  <c r="F735" i="19" s="1"/>
  <c r="L735" i="19"/>
  <c r="V735" i="19"/>
  <c r="W735" i="19" s="1"/>
  <c r="Y735" i="19"/>
  <c r="AD735" i="19"/>
  <c r="AE735" i="19"/>
  <c r="AF735" i="19"/>
  <c r="J733" i="19"/>
  <c r="F733" i="19" s="1"/>
  <c r="L733" i="19"/>
  <c r="V733" i="19"/>
  <c r="W733" i="19" s="1"/>
  <c r="Y733" i="19"/>
  <c r="AD733" i="19"/>
  <c r="AE733" i="19"/>
  <c r="AF733" i="19"/>
  <c r="AH733" i="19"/>
  <c r="AJ733" i="19" s="1"/>
  <c r="J739" i="19"/>
  <c r="L739" i="19"/>
  <c r="V739" i="19"/>
  <c r="W739" i="19" s="1"/>
  <c r="Y739" i="19"/>
  <c r="AD739" i="19"/>
  <c r="AE739" i="19"/>
  <c r="AF739" i="19"/>
  <c r="J736" i="19"/>
  <c r="F736" i="19" s="1"/>
  <c r="L736" i="19"/>
  <c r="V736" i="19"/>
  <c r="W736" i="19" s="1"/>
  <c r="Y736" i="19"/>
  <c r="AD736" i="19"/>
  <c r="AE736" i="19"/>
  <c r="AF736" i="19"/>
  <c r="J734" i="19"/>
  <c r="L734" i="19"/>
  <c r="V734" i="19"/>
  <c r="W734" i="19" s="1"/>
  <c r="Y734" i="19"/>
  <c r="AD734" i="19"/>
  <c r="AE734" i="19"/>
  <c r="AF734" i="19"/>
  <c r="J745" i="19"/>
  <c r="L745" i="19"/>
  <c r="V745" i="19"/>
  <c r="W745" i="19" s="1"/>
  <c r="Y745" i="19"/>
  <c r="AD745" i="19"/>
  <c r="AE745" i="19"/>
  <c r="AF745" i="19"/>
  <c r="AH745" i="19"/>
  <c r="AJ745" i="19" s="1"/>
  <c r="J744" i="19"/>
  <c r="F744" i="19" s="1"/>
  <c r="L744" i="19"/>
  <c r="V744" i="19"/>
  <c r="W744" i="19" s="1"/>
  <c r="Y744" i="19"/>
  <c r="AD744" i="19"/>
  <c r="AE744" i="19"/>
  <c r="AF744" i="19"/>
  <c r="J728" i="19"/>
  <c r="L728" i="19"/>
  <c r="V728" i="19"/>
  <c r="W728" i="19" s="1"/>
  <c r="Y728" i="19"/>
  <c r="AD728" i="19"/>
  <c r="AE728" i="19"/>
  <c r="AF728" i="19"/>
  <c r="S752" i="19"/>
  <c r="V752" i="19"/>
  <c r="W752" i="19" s="1"/>
  <c r="Y752" i="19"/>
  <c r="AD752" i="19"/>
  <c r="AE752" i="19"/>
  <c r="AF752" i="19"/>
  <c r="AJ752" i="19"/>
  <c r="AK752" i="19" s="1" a="1"/>
  <c r="AK752" i="19" s="1"/>
  <c r="AA753" i="19" a="1"/>
  <c r="AA753" i="19" s="1"/>
  <c r="S753" i="19"/>
  <c r="U753" i="19"/>
  <c r="AJ753" i="19" s="1"/>
  <c r="AK753" i="19" s="1" a="1"/>
  <c r="AK753" i="19" s="1"/>
  <c r="V753" i="19"/>
  <c r="Y753" i="19"/>
  <c r="AD753" i="19"/>
  <c r="AE753" i="19"/>
  <c r="AF753" i="19"/>
  <c r="AI753" i="19"/>
  <c r="J747" i="19"/>
  <c r="L747" i="19"/>
  <c r="S747" i="19"/>
  <c r="V747" i="19"/>
  <c r="W747" i="19" s="1"/>
  <c r="Y747" i="19"/>
  <c r="AC747" i="19"/>
  <c r="AD747" i="19" s="1"/>
  <c r="AG747" i="19"/>
  <c r="AH747" i="19"/>
  <c r="AJ747" i="19" s="1"/>
  <c r="J746" i="19"/>
  <c r="L746" i="19"/>
  <c r="S746" i="19"/>
  <c r="V746" i="19"/>
  <c r="W746" i="19" s="1"/>
  <c r="Y746" i="19"/>
  <c r="AC746" i="19"/>
  <c r="AG746" i="19"/>
  <c r="AH746" i="19"/>
  <c r="AJ746" i="19" s="1"/>
  <c r="AI746" i="19"/>
  <c r="J748" i="19"/>
  <c r="L748" i="19"/>
  <c r="S748" i="19"/>
  <c r="V748" i="19"/>
  <c r="W748" i="19" s="1"/>
  <c r="Y748" i="19"/>
  <c r="AC748" i="19"/>
  <c r="AE748" i="19" s="1"/>
  <c r="AG748" i="19"/>
  <c r="AH748" i="19"/>
  <c r="AJ748" i="19" s="1"/>
  <c r="J749" i="19"/>
  <c r="L749" i="19"/>
  <c r="S749" i="19"/>
  <c r="V749" i="19"/>
  <c r="W749" i="19" s="1"/>
  <c r="Y749" i="19"/>
  <c r="AC749" i="19"/>
  <c r="AG749" i="19"/>
  <c r="AH749" i="19"/>
  <c r="AJ749" i="19" s="1"/>
  <c r="AI749" i="19"/>
  <c r="J751" i="19"/>
  <c r="L751" i="19"/>
  <c r="S751" i="19"/>
  <c r="V751" i="19"/>
  <c r="W751" i="19" s="1"/>
  <c r="Y751" i="19"/>
  <c r="AC751" i="19"/>
  <c r="AD751" i="19" s="1"/>
  <c r="AG751" i="19"/>
  <c r="AH751" i="19"/>
  <c r="AJ751" i="19" s="1"/>
  <c r="AI751" i="19"/>
  <c r="J750" i="19"/>
  <c r="L750" i="19"/>
  <c r="S750" i="19"/>
  <c r="V750" i="19"/>
  <c r="W750" i="19" s="1"/>
  <c r="Y750" i="19"/>
  <c r="AC750" i="19"/>
  <c r="AG750" i="19"/>
  <c r="AH750" i="19"/>
  <c r="AJ750" i="19" s="1"/>
  <c r="J758" i="19"/>
  <c r="L758" i="19"/>
  <c r="S758" i="19"/>
  <c r="V758" i="19"/>
  <c r="W758" i="19" s="1"/>
  <c r="Y758" i="19"/>
  <c r="AC758" i="19"/>
  <c r="AD758" i="19" s="1"/>
  <c r="AG758" i="19"/>
  <c r="AH758" i="19"/>
  <c r="AJ758" i="19" s="1"/>
  <c r="J757" i="19"/>
  <c r="AD757" i="19"/>
  <c r="AE757" i="19"/>
  <c r="AF757" i="19"/>
  <c r="AJ757" i="19"/>
  <c r="J756" i="19"/>
  <c r="F756" i="19" s="1"/>
  <c r="L756" i="19"/>
  <c r="V756" i="19"/>
  <c r="W756" i="19" s="1"/>
  <c r="Y756" i="19"/>
  <c r="AC756" i="19"/>
  <c r="AD756" i="19" s="1"/>
  <c r="AG756" i="19"/>
  <c r="AH756" i="19"/>
  <c r="AJ756" i="19" s="1"/>
  <c r="J754" i="19"/>
  <c r="L754" i="19"/>
  <c r="V754" i="19"/>
  <c r="W754" i="19" s="1"/>
  <c r="Y754" i="19"/>
  <c r="AC754" i="19"/>
  <c r="AE754" i="19" s="1"/>
  <c r="AG754" i="19"/>
  <c r="AH754" i="19"/>
  <c r="AJ754" i="19" s="1"/>
  <c r="J755" i="19"/>
  <c r="L755" i="19"/>
  <c r="V755" i="19"/>
  <c r="W755" i="19" s="1"/>
  <c r="Y755" i="19"/>
  <c r="AC755" i="19"/>
  <c r="AE755" i="19" s="1"/>
  <c r="AG755" i="19"/>
  <c r="AH755" i="19"/>
  <c r="AJ755" i="19" s="1"/>
  <c r="J759" i="19"/>
  <c r="L759" i="19"/>
  <c r="S759" i="19"/>
  <c r="V759" i="19"/>
  <c r="W759" i="19" s="1"/>
  <c r="Y759" i="19"/>
  <c r="AC759" i="19"/>
  <c r="AF759" i="19" s="1"/>
  <c r="AG759" i="19"/>
  <c r="AJ759" i="19"/>
  <c r="J760" i="19"/>
  <c r="F760" i="19" s="1"/>
  <c r="L760" i="19"/>
  <c r="AA760" i="19" a="1"/>
  <c r="AA760" i="19" s="1"/>
  <c r="S760" i="19"/>
  <c r="U760" i="19"/>
  <c r="V760" i="19"/>
  <c r="Y760" i="19"/>
  <c r="AC760" i="19"/>
  <c r="AE760" i="19" s="1"/>
  <c r="AG760" i="19"/>
  <c r="AI760" i="19"/>
  <c r="J761" i="19"/>
  <c r="F761" i="19" s="1"/>
  <c r="L761" i="19"/>
  <c r="S761" i="19"/>
  <c r="V761" i="19"/>
  <c r="W761" i="19" s="1"/>
  <c r="Y761" i="19"/>
  <c r="AC761" i="19"/>
  <c r="AD761" i="19" s="1"/>
  <c r="AG761" i="19"/>
  <c r="J764" i="19"/>
  <c r="F764" i="19" s="1"/>
  <c r="L764" i="19"/>
  <c r="S764" i="19"/>
  <c r="V764" i="19"/>
  <c r="W764" i="19" s="1"/>
  <c r="Y764" i="19"/>
  <c r="AC764" i="19"/>
  <c r="AG764" i="19"/>
  <c r="J765" i="19"/>
  <c r="F765" i="19" s="1"/>
  <c r="L765" i="19"/>
  <c r="S765" i="19"/>
  <c r="V765" i="19"/>
  <c r="W765" i="19" s="1"/>
  <c r="Y765" i="19"/>
  <c r="AC765" i="19"/>
  <c r="AD765" i="19" s="1"/>
  <c r="AG765" i="19"/>
  <c r="J763" i="19"/>
  <c r="L763" i="19"/>
  <c r="S763" i="19"/>
  <c r="V763" i="19"/>
  <c r="W763" i="19" s="1"/>
  <c r="Y763" i="19"/>
  <c r="AC763" i="19"/>
  <c r="AF763" i="19" s="1"/>
  <c r="AG763" i="19"/>
  <c r="AH763" i="19"/>
  <c r="AJ763" i="19" s="1"/>
  <c r="J767" i="19"/>
  <c r="S767" i="19"/>
  <c r="V767" i="19"/>
  <c r="W767" i="19" s="1"/>
  <c r="Y767" i="19"/>
  <c r="AD767" i="19"/>
  <c r="AE767" i="19"/>
  <c r="AF767" i="19"/>
  <c r="AI767" i="19"/>
  <c r="AJ767" i="19"/>
  <c r="J766" i="19"/>
  <c r="S766" i="19"/>
  <c r="V766" i="19"/>
  <c r="W766" i="19" s="1"/>
  <c r="Y766" i="19"/>
  <c r="AD766" i="19"/>
  <c r="AE766" i="19"/>
  <c r="AF766" i="19"/>
  <c r="AJ766" i="19"/>
  <c r="J770" i="19"/>
  <c r="L770" i="19"/>
  <c r="S770" i="19"/>
  <c r="V770" i="19"/>
  <c r="W770" i="19" s="1"/>
  <c r="Y770" i="19"/>
  <c r="AC770" i="19"/>
  <c r="AG770" i="19"/>
  <c r="AH770" i="19"/>
  <c r="AJ770" i="19" s="1"/>
  <c r="J769" i="19"/>
  <c r="L769" i="19"/>
  <c r="AA769" i="19" a="1"/>
  <c r="AA769" i="19" s="1"/>
  <c r="S769" i="19"/>
  <c r="U769" i="19"/>
  <c r="V769" i="19"/>
  <c r="Y769" i="19"/>
  <c r="AG769" i="19"/>
  <c r="AH769" i="19"/>
  <c r="AI769" i="19"/>
  <c r="J768" i="19"/>
  <c r="L768" i="19"/>
  <c r="AA768" i="19" a="1"/>
  <c r="AA768" i="19" s="1"/>
  <c r="S768" i="19"/>
  <c r="V768" i="19"/>
  <c r="W768" i="19" s="1"/>
  <c r="Y768" i="19"/>
  <c r="AG768" i="19"/>
  <c r="AH768" i="19"/>
  <c r="AJ768" i="19" s="1"/>
  <c r="J762" i="19"/>
  <c r="F762" i="19" s="1"/>
  <c r="V762" i="19"/>
  <c r="W762" i="19" s="1"/>
  <c r="Y762" i="19"/>
  <c r="AD762" i="19"/>
  <c r="AE762" i="19"/>
  <c r="AF762" i="19"/>
  <c r="AH762" i="19"/>
  <c r="AJ762" i="19" s="1"/>
  <c r="J772" i="19"/>
  <c r="L772" i="19"/>
  <c r="S772" i="19"/>
  <c r="V772" i="19"/>
  <c r="W772" i="19" s="1"/>
  <c r="Y772" i="19"/>
  <c r="AC772" i="19"/>
  <c r="AG772" i="19"/>
  <c r="J771" i="19"/>
  <c r="L771" i="19"/>
  <c r="S771" i="19"/>
  <c r="V771" i="19"/>
  <c r="W771" i="19" s="1"/>
  <c r="Y771" i="19"/>
  <c r="AC771" i="19"/>
  <c r="AE771" i="19" s="1"/>
  <c r="AG771" i="19"/>
  <c r="AH771" i="19"/>
  <c r="AJ771" i="19" s="1"/>
  <c r="AI771" i="19"/>
  <c r="J773" i="19"/>
  <c r="L773" i="19"/>
  <c r="S773" i="19"/>
  <c r="V773" i="19"/>
  <c r="W773" i="19" s="1"/>
  <c r="Y773" i="19"/>
  <c r="AC773" i="19"/>
  <c r="AG773" i="19"/>
  <c r="AH773" i="19"/>
  <c r="AJ773" i="19" s="1"/>
  <c r="D775" i="19"/>
  <c r="J775" i="19"/>
  <c r="L775" i="19"/>
  <c r="AA775" i="19" a="1"/>
  <c r="AA775" i="19" s="1"/>
  <c r="S775" i="19"/>
  <c r="V775" i="19"/>
  <c r="W775" i="19" s="1"/>
  <c r="Y775" i="19"/>
  <c r="AD775" i="19"/>
  <c r="AE775" i="19"/>
  <c r="AF775" i="19"/>
  <c r="AG775" i="19"/>
  <c r="D774" i="19"/>
  <c r="J774" i="19"/>
  <c r="L774" i="19"/>
  <c r="AA774" i="19" a="1"/>
  <c r="AA774" i="19" s="1"/>
  <c r="S774" i="19"/>
  <c r="V774" i="19"/>
  <c r="W774" i="19" s="1"/>
  <c r="Y774" i="19"/>
  <c r="AD774" i="19"/>
  <c r="AE774" i="19"/>
  <c r="AF774" i="19"/>
  <c r="AG774" i="19"/>
  <c r="J784" i="19"/>
  <c r="F784" i="19" s="1"/>
  <c r="L784" i="19"/>
  <c r="V784" i="19"/>
  <c r="W784" i="19" s="1"/>
  <c r="Y784" i="19"/>
  <c r="AD784" i="19"/>
  <c r="AE784" i="19"/>
  <c r="AF784" i="19"/>
  <c r="J782" i="19"/>
  <c r="F782" i="19" s="1"/>
  <c r="L782" i="19"/>
  <c r="V782" i="19"/>
  <c r="W782" i="19" s="1"/>
  <c r="Y782" i="19"/>
  <c r="AD782" i="19"/>
  <c r="AE782" i="19"/>
  <c r="AF782" i="19"/>
  <c r="J783" i="19"/>
  <c r="L783" i="19"/>
  <c r="V783" i="19"/>
  <c r="W783" i="19" s="1"/>
  <c r="Y783" i="19"/>
  <c r="AD783" i="19"/>
  <c r="AE783" i="19"/>
  <c r="AF783" i="19"/>
  <c r="AH783" i="19"/>
  <c r="AJ783" i="19" s="1"/>
  <c r="J781" i="19"/>
  <c r="F781" i="19" s="1"/>
  <c r="L781" i="19"/>
  <c r="V781" i="19"/>
  <c r="W781" i="19" s="1"/>
  <c r="Y781" i="19"/>
  <c r="AD781" i="19"/>
  <c r="AE781" i="19"/>
  <c r="AF781" i="19"/>
  <c r="J787" i="19"/>
  <c r="L787" i="19"/>
  <c r="V787" i="19"/>
  <c r="W787" i="19" s="1"/>
  <c r="Y787" i="19"/>
  <c r="AD787" i="19"/>
  <c r="AE787" i="19"/>
  <c r="AF787" i="19"/>
  <c r="AI787" i="19"/>
  <c r="J786" i="19"/>
  <c r="F786" i="19" s="1"/>
  <c r="L786" i="19"/>
  <c r="V786" i="19"/>
  <c r="W786" i="19" s="1"/>
  <c r="Y786" i="19"/>
  <c r="AD786" i="19"/>
  <c r="AE786" i="19"/>
  <c r="AF786" i="19"/>
  <c r="J785" i="19"/>
  <c r="L785" i="19"/>
  <c r="V785" i="19"/>
  <c r="W785" i="19" s="1"/>
  <c r="Y785" i="19"/>
  <c r="AD785" i="19"/>
  <c r="AE785" i="19"/>
  <c r="AF785" i="19"/>
  <c r="J790" i="19"/>
  <c r="F790" i="19" s="1"/>
  <c r="L790" i="19"/>
  <c r="V790" i="19"/>
  <c r="W790" i="19" s="1"/>
  <c r="Y790" i="19"/>
  <c r="AD790" i="19"/>
  <c r="AE790" i="19"/>
  <c r="AF790" i="19"/>
  <c r="AH790" i="19"/>
  <c r="AJ790" i="19" s="1"/>
  <c r="J789" i="19"/>
  <c r="L789" i="19"/>
  <c r="V789" i="19"/>
  <c r="W789" i="19" s="1"/>
  <c r="Y789" i="19"/>
  <c r="AD789" i="19"/>
  <c r="AE789" i="19"/>
  <c r="AF789" i="19"/>
  <c r="J788" i="19"/>
  <c r="F788" i="19" s="1"/>
  <c r="L788" i="19"/>
  <c r="V788" i="19"/>
  <c r="W788" i="19" s="1"/>
  <c r="Y788" i="19"/>
  <c r="AD788" i="19"/>
  <c r="AE788" i="19"/>
  <c r="AF788" i="19"/>
  <c r="J780" i="19"/>
  <c r="F780" i="19" s="1"/>
  <c r="L780" i="19"/>
  <c r="S780" i="19"/>
  <c r="V780" i="19"/>
  <c r="W780" i="19" s="1"/>
  <c r="Y780" i="19"/>
  <c r="AD780" i="19"/>
  <c r="AE780" i="19"/>
  <c r="AF780" i="19"/>
  <c r="AG780" i="19"/>
  <c r="J778" i="19"/>
  <c r="L778" i="19"/>
  <c r="S778" i="19"/>
  <c r="V778" i="19"/>
  <c r="W778" i="19" s="1"/>
  <c r="Y778" i="19"/>
  <c r="AC778" i="19"/>
  <c r="AG778" i="19"/>
  <c r="AH778" i="19"/>
  <c r="AJ778" i="19" s="1"/>
  <c r="J779" i="19"/>
  <c r="L779" i="19"/>
  <c r="S779" i="19"/>
  <c r="V779" i="19"/>
  <c r="W779" i="19" s="1"/>
  <c r="Y779" i="19"/>
  <c r="AC779" i="19"/>
  <c r="AF779" i="19" s="1"/>
  <c r="AG779" i="19"/>
  <c r="J776" i="19"/>
  <c r="L776" i="19"/>
  <c r="S776" i="19"/>
  <c r="V776" i="19"/>
  <c r="W776" i="19" s="1"/>
  <c r="Y776" i="19"/>
  <c r="AD776" i="19"/>
  <c r="AE776" i="19"/>
  <c r="AF776" i="19"/>
  <c r="AH776" i="19"/>
  <c r="AJ776" i="19" s="1"/>
  <c r="J777" i="19"/>
  <c r="L777" i="19"/>
  <c r="S777" i="19"/>
  <c r="V777" i="19"/>
  <c r="W777" i="19" s="1"/>
  <c r="Y777" i="19"/>
  <c r="AD777" i="19"/>
  <c r="AE777" i="19"/>
  <c r="AF777" i="19"/>
  <c r="J791" i="19"/>
  <c r="L791" i="19"/>
  <c r="S791" i="19"/>
  <c r="V791" i="19"/>
  <c r="W791" i="19" s="1"/>
  <c r="Y791" i="19"/>
  <c r="AC791" i="19"/>
  <c r="AD791" i="19" s="1"/>
  <c r="AG791" i="19"/>
  <c r="AH791" i="19"/>
  <c r="AJ791" i="19" s="1"/>
  <c r="AI791" i="19"/>
  <c r="J793" i="19"/>
  <c r="L793" i="19"/>
  <c r="S793" i="19"/>
  <c r="V793" i="19"/>
  <c r="W793" i="19" s="1"/>
  <c r="Y793" i="19"/>
  <c r="AC793" i="19"/>
  <c r="AD793" i="19" s="1"/>
  <c r="AG793" i="19"/>
  <c r="J794" i="19"/>
  <c r="L794" i="19"/>
  <c r="S794" i="19"/>
  <c r="V794" i="19"/>
  <c r="W794" i="19" s="1"/>
  <c r="Y794" i="19"/>
  <c r="AC794" i="19"/>
  <c r="AG794" i="19"/>
  <c r="AH794" i="19"/>
  <c r="AJ794" i="19" s="1"/>
  <c r="J792" i="19"/>
  <c r="L792" i="19"/>
  <c r="S792" i="19"/>
  <c r="V792" i="19"/>
  <c r="W792" i="19" s="1"/>
  <c r="Y792" i="19"/>
  <c r="AC792" i="19"/>
  <c r="AG792" i="19"/>
  <c r="AH792" i="19"/>
  <c r="AJ792" i="19" s="1"/>
  <c r="J796" i="19"/>
  <c r="L796" i="19"/>
  <c r="S796" i="19"/>
  <c r="V796" i="19"/>
  <c r="W796" i="19" s="1"/>
  <c r="Y796" i="19"/>
  <c r="AD796" i="19"/>
  <c r="AE796" i="19"/>
  <c r="AF796" i="19"/>
  <c r="AI796" i="19"/>
  <c r="AJ796" i="19"/>
  <c r="J795" i="19"/>
  <c r="L795" i="19"/>
  <c r="S795" i="19"/>
  <c r="V795" i="19"/>
  <c r="W795" i="19" s="1"/>
  <c r="Y795" i="19"/>
  <c r="AD795" i="19"/>
  <c r="AE795" i="19"/>
  <c r="AF795" i="19"/>
  <c r="AJ795" i="19"/>
  <c r="J800" i="19"/>
  <c r="F800" i="19" s="1"/>
  <c r="L800" i="19"/>
  <c r="S800" i="19"/>
  <c r="V800" i="19"/>
  <c r="W800" i="19" s="1"/>
  <c r="Y800" i="19"/>
  <c r="AD800" i="19"/>
  <c r="AE800" i="19"/>
  <c r="AF800" i="19"/>
  <c r="AG800" i="19"/>
  <c r="AI800" i="19"/>
  <c r="J799" i="19"/>
  <c r="L799" i="19"/>
  <c r="S799" i="19"/>
  <c r="V799" i="19"/>
  <c r="W799" i="19" s="1"/>
  <c r="Y799" i="19"/>
  <c r="AD799" i="19"/>
  <c r="AE799" i="19"/>
  <c r="AF799" i="19"/>
  <c r="AG799" i="19"/>
  <c r="AH799" i="19"/>
  <c r="AJ799" i="19" s="1"/>
  <c r="J797" i="19"/>
  <c r="L797" i="19"/>
  <c r="V797" i="19"/>
  <c r="W797" i="19" s="1"/>
  <c r="Y797" i="19"/>
  <c r="X797" i="19"/>
  <c r="AC797" i="19"/>
  <c r="AG797" i="19"/>
  <c r="J798" i="19"/>
  <c r="L798" i="19"/>
  <c r="V798" i="19"/>
  <c r="W798" i="19" s="1"/>
  <c r="Y798" i="19"/>
  <c r="AC798" i="19"/>
  <c r="AE798" i="19" s="1"/>
  <c r="AG798" i="19"/>
  <c r="J802" i="19"/>
  <c r="F802" i="19" s="1"/>
  <c r="L802" i="19"/>
  <c r="S802" i="19"/>
  <c r="V802" i="19"/>
  <c r="W802" i="19" s="1"/>
  <c r="Y802" i="19"/>
  <c r="AC802" i="19"/>
  <c r="AG802" i="19"/>
  <c r="AH802" i="19"/>
  <c r="AJ802" i="19" s="1"/>
  <c r="J801" i="19"/>
  <c r="F801" i="19" s="1"/>
  <c r="L801" i="19"/>
  <c r="S801" i="19"/>
  <c r="V801" i="19"/>
  <c r="W801" i="19" s="1"/>
  <c r="Y801" i="19"/>
  <c r="AC801" i="19"/>
  <c r="AG801" i="19"/>
  <c r="AH801" i="19"/>
  <c r="AJ801" i="19" s="1"/>
  <c r="J810" i="19"/>
  <c r="F810" i="19" s="1"/>
  <c r="U810" i="19"/>
  <c r="W810" i="19" s="1"/>
  <c r="Y810" i="19"/>
  <c r="AD810" i="19"/>
  <c r="AE810" i="19"/>
  <c r="AF810" i="19"/>
  <c r="AH810" i="19"/>
  <c r="J808" i="19"/>
  <c r="F808" i="19" s="1"/>
  <c r="U808" i="19"/>
  <c r="Y808" i="19"/>
  <c r="AD808" i="19"/>
  <c r="AE808" i="19"/>
  <c r="AF808" i="19"/>
  <c r="AH808" i="19"/>
  <c r="J809" i="19"/>
  <c r="F809" i="19" s="1"/>
  <c r="W809" i="19"/>
  <c r="Y809" i="19"/>
  <c r="X809" i="19"/>
  <c r="AD809" i="19"/>
  <c r="AE809" i="19"/>
  <c r="AF809" i="19"/>
  <c r="AH809" i="19"/>
  <c r="AJ809" i="19" s="1"/>
  <c r="J807" i="19"/>
  <c r="F807" i="19" s="1"/>
  <c r="W807" i="19"/>
  <c r="Y807" i="19"/>
  <c r="X807" i="19"/>
  <c r="AD807" i="19"/>
  <c r="AE807" i="19"/>
  <c r="AF807" i="19"/>
  <c r="AH807" i="19"/>
  <c r="AJ807" i="19" s="1"/>
  <c r="J806" i="19"/>
  <c r="F806" i="19" s="1"/>
  <c r="U806" i="19"/>
  <c r="W806" i="19" s="1"/>
  <c r="Y806" i="19"/>
  <c r="AD806" i="19"/>
  <c r="AE806" i="19"/>
  <c r="AF806" i="19"/>
  <c r="AH806" i="19"/>
  <c r="J804" i="19"/>
  <c r="F804" i="19" s="1"/>
  <c r="U804" i="19"/>
  <c r="W804" i="19" s="1"/>
  <c r="Y804" i="19"/>
  <c r="AD804" i="19"/>
  <c r="AE804" i="19"/>
  <c r="AF804" i="19"/>
  <c r="AH804" i="19"/>
  <c r="J805" i="19"/>
  <c r="W805" i="19"/>
  <c r="Y805" i="19"/>
  <c r="X805" i="19"/>
  <c r="AD805" i="19"/>
  <c r="AE805" i="19"/>
  <c r="AF805" i="19"/>
  <c r="AH805" i="19"/>
  <c r="AJ805" i="19" s="1"/>
  <c r="J803" i="19"/>
  <c r="F803" i="19" s="1"/>
  <c r="W803" i="19"/>
  <c r="Y803" i="19"/>
  <c r="X803" i="19"/>
  <c r="AD803" i="19"/>
  <c r="AE803" i="19"/>
  <c r="AF803" i="19"/>
  <c r="AH803" i="19"/>
  <c r="AJ803" i="19" s="1"/>
  <c r="J830" i="19"/>
  <c r="L830" i="19"/>
  <c r="S830" i="19"/>
  <c r="V830" i="19"/>
  <c r="W830" i="19" s="1"/>
  <c r="Y830" i="19"/>
  <c r="AC830" i="19"/>
  <c r="AF830" i="19" s="1"/>
  <c r="AG830" i="19"/>
  <c r="AH830" i="19"/>
  <c r="AJ830" i="19" s="1"/>
  <c r="AI830" i="19"/>
  <c r="J829" i="19"/>
  <c r="L829" i="19"/>
  <c r="S829" i="19"/>
  <c r="V829" i="19"/>
  <c r="W829" i="19" s="1"/>
  <c r="Y829" i="19"/>
  <c r="AC829" i="19"/>
  <c r="AF829" i="19" s="1"/>
  <c r="AG829" i="19"/>
  <c r="AH829" i="19"/>
  <c r="AJ829" i="19" s="1"/>
  <c r="J814" i="19"/>
  <c r="L814" i="19"/>
  <c r="S814" i="19"/>
  <c r="V814" i="19"/>
  <c r="W814" i="19" s="1"/>
  <c r="Y814" i="19"/>
  <c r="AI814" i="19"/>
  <c r="AJ814" i="19"/>
  <c r="J813" i="19"/>
  <c r="L813" i="19"/>
  <c r="S813" i="19"/>
  <c r="V813" i="19"/>
  <c r="W813" i="19" s="1"/>
  <c r="Y813" i="19"/>
  <c r="AJ813" i="19"/>
  <c r="J832" i="19"/>
  <c r="L832" i="19"/>
  <c r="S832" i="19"/>
  <c r="V832" i="19"/>
  <c r="W832" i="19" s="1"/>
  <c r="Y832" i="19"/>
  <c r="AC832" i="19"/>
  <c r="AD832" i="19" s="1"/>
  <c r="AG832" i="19"/>
  <c r="AH832" i="19"/>
  <c r="AJ832" i="19" s="1"/>
  <c r="AI832" i="19"/>
  <c r="J831" i="19"/>
  <c r="L831" i="19"/>
  <c r="S831" i="19"/>
  <c r="V831" i="19"/>
  <c r="W831" i="19" s="1"/>
  <c r="Y831" i="19"/>
  <c r="AC831" i="19"/>
  <c r="AF831" i="19" s="1"/>
  <c r="AG831" i="19"/>
  <c r="AH831" i="19"/>
  <c r="AJ831" i="19" s="1"/>
  <c r="J819" i="19"/>
  <c r="F819" i="19" s="1"/>
  <c r="L819" i="19"/>
  <c r="V819" i="19"/>
  <c r="W819" i="19" s="1"/>
  <c r="Y819" i="19"/>
  <c r="AC819" i="19"/>
  <c r="AF819" i="19" s="1"/>
  <c r="AG819" i="19"/>
  <c r="AH819" i="19"/>
  <c r="AJ819" i="19" s="1"/>
  <c r="J818" i="19"/>
  <c r="F818" i="19" s="1"/>
  <c r="L818" i="19"/>
  <c r="V818" i="19"/>
  <c r="W818" i="19" s="1"/>
  <c r="Y818" i="19"/>
  <c r="AC818" i="19"/>
  <c r="AE818" i="19" s="1"/>
  <c r="AG818" i="19"/>
  <c r="AH818" i="19"/>
  <c r="AJ818" i="19" s="1"/>
  <c r="J822" i="19"/>
  <c r="L822" i="19"/>
  <c r="V822" i="19"/>
  <c r="W822" i="19" s="1"/>
  <c r="Y822" i="19"/>
  <c r="AC822" i="19"/>
  <c r="AG822" i="19"/>
  <c r="AH822" i="19"/>
  <c r="AJ822" i="19" s="1"/>
  <c r="J821" i="19"/>
  <c r="F821" i="19" s="1"/>
  <c r="L821" i="19"/>
  <c r="V821" i="19"/>
  <c r="W821" i="19" s="1"/>
  <c r="Y821" i="19"/>
  <c r="AC821" i="19"/>
  <c r="AG821" i="19"/>
  <c r="J820" i="19"/>
  <c r="F820" i="19" s="1"/>
  <c r="L820" i="19"/>
  <c r="V820" i="19"/>
  <c r="W820" i="19" s="1"/>
  <c r="Y820" i="19"/>
  <c r="AC820" i="19"/>
  <c r="AG820" i="19"/>
  <c r="J823" i="19"/>
  <c r="F823" i="19" s="1"/>
  <c r="L823" i="19"/>
  <c r="V823" i="19"/>
  <c r="W823" i="19" s="1"/>
  <c r="Y823" i="19"/>
  <c r="AC823" i="19"/>
  <c r="AE823" i="19" s="1"/>
  <c r="AG823" i="19"/>
  <c r="AH823" i="19"/>
  <c r="AJ823" i="19" s="1"/>
  <c r="J817" i="19"/>
  <c r="L817" i="19"/>
  <c r="V817" i="19"/>
  <c r="W817" i="19" s="1"/>
  <c r="Y817" i="19"/>
  <c r="AC817" i="19"/>
  <c r="AG817" i="19"/>
  <c r="J828" i="19"/>
  <c r="F828" i="19" s="1"/>
  <c r="L828" i="19"/>
  <c r="V828" i="19"/>
  <c r="W828" i="19" s="1"/>
  <c r="Y828" i="19"/>
  <c r="AC828" i="19"/>
  <c r="AF828" i="19" s="1"/>
  <c r="AG828" i="19"/>
  <c r="J826" i="19"/>
  <c r="F826" i="19" s="1"/>
  <c r="L826" i="19"/>
  <c r="V826" i="19"/>
  <c r="W826" i="19" s="1"/>
  <c r="Y826" i="19"/>
  <c r="AC826" i="19"/>
  <c r="AG826" i="19"/>
  <c r="AH826" i="19"/>
  <c r="AJ826" i="19" s="1"/>
  <c r="J824" i="19"/>
  <c r="F824" i="19" s="1"/>
  <c r="L824" i="19"/>
  <c r="V824" i="19"/>
  <c r="W824" i="19" s="1"/>
  <c r="Y824" i="19"/>
  <c r="AC824" i="19"/>
  <c r="AE824" i="19" s="1"/>
  <c r="AG824" i="19"/>
  <c r="J825" i="19"/>
  <c r="F825" i="19" s="1"/>
  <c r="L825" i="19"/>
  <c r="V825" i="19"/>
  <c r="W825" i="19" s="1"/>
  <c r="Y825" i="19"/>
  <c r="AC825" i="19"/>
  <c r="AD825" i="19" s="1"/>
  <c r="AG825" i="19"/>
  <c r="AI825" i="19"/>
  <c r="J827" i="19"/>
  <c r="F827" i="19" s="1"/>
  <c r="L827" i="19"/>
  <c r="V827" i="19"/>
  <c r="W827" i="19" s="1"/>
  <c r="Y827" i="19"/>
  <c r="AC827" i="19"/>
  <c r="AG827" i="19"/>
  <c r="AH827" i="19"/>
  <c r="AJ827" i="19" s="1"/>
  <c r="J812" i="19"/>
  <c r="F812" i="19" s="1"/>
  <c r="V812" i="19"/>
  <c r="W812" i="19" s="1"/>
  <c r="Y812" i="19"/>
  <c r="X812" i="19"/>
  <c r="AD812" i="19"/>
  <c r="AE812" i="19"/>
  <c r="AF812" i="19"/>
  <c r="AH812" i="19"/>
  <c r="AJ812" i="19" s="1"/>
  <c r="J811" i="19"/>
  <c r="F811" i="19" s="1"/>
  <c r="V811" i="19"/>
  <c r="W811" i="19" s="1"/>
  <c r="Y811" i="19"/>
  <c r="X811" i="19"/>
  <c r="AD811" i="19"/>
  <c r="AE811" i="19"/>
  <c r="AF811" i="19"/>
  <c r="AH811" i="19"/>
  <c r="AJ811" i="19" s="1"/>
  <c r="J833" i="19"/>
  <c r="L833" i="19"/>
  <c r="S833" i="19"/>
  <c r="V833" i="19"/>
  <c r="W833" i="19" s="1"/>
  <c r="Y833" i="19"/>
  <c r="AC833" i="19"/>
  <c r="AG833" i="19"/>
  <c r="AH833" i="19"/>
  <c r="AJ833" i="19" s="1"/>
  <c r="J816" i="19"/>
  <c r="V816" i="19"/>
  <c r="W816" i="19" s="1"/>
  <c r="Y816" i="19"/>
  <c r="X816" i="19"/>
  <c r="AC816" i="19"/>
  <c r="AF816" i="19" s="1"/>
  <c r="AG816" i="19"/>
  <c r="AH816" i="19"/>
  <c r="AJ816" i="19" s="1"/>
  <c r="J815" i="19"/>
  <c r="F815" i="19" s="1"/>
  <c r="V815" i="19"/>
  <c r="W815" i="19" s="1"/>
  <c r="Y815" i="19"/>
  <c r="X815" i="19"/>
  <c r="AC815" i="19"/>
  <c r="AD815" i="19" s="1"/>
  <c r="AG815" i="19"/>
  <c r="AH815" i="19"/>
  <c r="AJ815" i="19" s="1"/>
  <c r="J834" i="19"/>
  <c r="F834" i="19" s="1"/>
  <c r="L834" i="19"/>
  <c r="S834" i="19"/>
  <c r="V834" i="19"/>
  <c r="W834" i="19" s="1"/>
  <c r="Y834" i="19"/>
  <c r="AC834" i="19"/>
  <c r="AF834" i="19" s="1"/>
  <c r="AG834" i="19"/>
  <c r="AH834" i="19"/>
  <c r="AJ834" i="19" s="1"/>
  <c r="J835" i="19"/>
  <c r="F835" i="19" s="1"/>
  <c r="L835" i="19"/>
  <c r="S835" i="19"/>
  <c r="V835" i="19"/>
  <c r="W835" i="19" s="1"/>
  <c r="Y835" i="19"/>
  <c r="AC835" i="19"/>
  <c r="AF835" i="19" s="1"/>
  <c r="AG835" i="19"/>
  <c r="AH835" i="19"/>
  <c r="AJ835" i="19" s="1"/>
  <c r="J839" i="19"/>
  <c r="F839" i="19" s="1"/>
  <c r="L839" i="19"/>
  <c r="S839" i="19"/>
  <c r="V839" i="19"/>
  <c r="W839" i="19" s="1"/>
  <c r="Y839" i="19"/>
  <c r="AC839" i="19"/>
  <c r="AG839" i="19"/>
  <c r="AH839" i="19"/>
  <c r="AJ839" i="19" s="1"/>
  <c r="J838" i="19"/>
  <c r="F838" i="19" s="1"/>
  <c r="L838" i="19"/>
  <c r="S838" i="19"/>
  <c r="V838" i="19"/>
  <c r="W838" i="19" s="1"/>
  <c r="Y838" i="19"/>
  <c r="AC838" i="19"/>
  <c r="AD838" i="19" s="1"/>
  <c r="AG838" i="19"/>
  <c r="AH838" i="19"/>
  <c r="AJ838" i="19" s="1"/>
  <c r="J840" i="19"/>
  <c r="L840" i="19"/>
  <c r="S840" i="19"/>
  <c r="V840" i="19"/>
  <c r="W840" i="19" s="1"/>
  <c r="Y840" i="19"/>
  <c r="AC840" i="19"/>
  <c r="AD840" i="19" s="1"/>
  <c r="AG840" i="19"/>
  <c r="AH840" i="19"/>
  <c r="AJ840" i="19" s="1"/>
  <c r="J836" i="19"/>
  <c r="AJ836" i="19"/>
  <c r="J837" i="19"/>
  <c r="AJ837" i="19"/>
  <c r="J844" i="19"/>
  <c r="L844" i="19"/>
  <c r="S844" i="19"/>
  <c r="V844" i="19"/>
  <c r="W844" i="19" s="1"/>
  <c r="Y844" i="19"/>
  <c r="AC844" i="19"/>
  <c r="AG844" i="19"/>
  <c r="AH844" i="19"/>
  <c r="AJ844" i="19" s="1"/>
  <c r="AI844" i="19"/>
  <c r="J842" i="19"/>
  <c r="F842" i="19" s="1"/>
  <c r="L842" i="19"/>
  <c r="S842" i="19"/>
  <c r="V842" i="19"/>
  <c r="W842" i="19" s="1"/>
  <c r="Y842" i="19"/>
  <c r="AC842" i="19"/>
  <c r="AG842" i="19"/>
  <c r="AH842" i="19"/>
  <c r="AJ842" i="19" s="1"/>
  <c r="AI842" i="19"/>
  <c r="J843" i="19"/>
  <c r="F843" i="19" s="1"/>
  <c r="L843" i="19"/>
  <c r="AA843" i="19" a="1"/>
  <c r="AA843" i="19" s="1"/>
  <c r="S843" i="19"/>
  <c r="U843" i="19"/>
  <c r="V843" i="19"/>
  <c r="Y843" i="19"/>
  <c r="AC843" i="19"/>
  <c r="AD843" i="19" s="1"/>
  <c r="AG843" i="19"/>
  <c r="AI843" i="19"/>
  <c r="J845" i="19"/>
  <c r="F845" i="19" s="1"/>
  <c r="L845" i="19"/>
  <c r="AA845" i="19" a="1"/>
  <c r="AA845" i="19" s="1"/>
  <c r="S845" i="19"/>
  <c r="U845" i="19"/>
  <c r="V845" i="19"/>
  <c r="Y845" i="19"/>
  <c r="AC845" i="19"/>
  <c r="AD845" i="19" s="1"/>
  <c r="AG845" i="19"/>
  <c r="J841" i="19"/>
  <c r="F841" i="19" s="1"/>
  <c r="L841" i="19"/>
  <c r="S841" i="19"/>
  <c r="V841" i="19"/>
  <c r="W841" i="19" s="1"/>
  <c r="Y841" i="19"/>
  <c r="AC841" i="19"/>
  <c r="AG841" i="19"/>
  <c r="J846" i="19"/>
  <c r="F846" i="19" s="1"/>
  <c r="L846" i="19"/>
  <c r="S846" i="19"/>
  <c r="V846" i="19"/>
  <c r="W846" i="19" s="1"/>
  <c r="Y846" i="19"/>
  <c r="AC846" i="19"/>
  <c r="AG846" i="19"/>
  <c r="AH846" i="19"/>
  <c r="AJ846" i="19" s="1"/>
  <c r="J850" i="19"/>
  <c r="F850" i="19" s="1"/>
  <c r="L850" i="19"/>
  <c r="S850" i="19"/>
  <c r="V850" i="19"/>
  <c r="W850" i="19" s="1"/>
  <c r="Y850" i="19"/>
  <c r="AD850" i="19"/>
  <c r="AE850" i="19"/>
  <c r="AF850" i="19"/>
  <c r="J848" i="19"/>
  <c r="F848" i="19" s="1"/>
  <c r="L848" i="19"/>
  <c r="S848" i="19"/>
  <c r="V848" i="19"/>
  <c r="W848" i="19" s="1"/>
  <c r="Y848" i="19"/>
  <c r="AD848" i="19"/>
  <c r="AE848" i="19"/>
  <c r="AF848" i="19"/>
  <c r="AH848" i="19"/>
  <c r="AJ848" i="19" s="1"/>
  <c r="J847" i="19"/>
  <c r="L847" i="19"/>
  <c r="S847" i="19"/>
  <c r="V847" i="19"/>
  <c r="W847" i="19" s="1"/>
  <c r="Y847" i="19"/>
  <c r="AD847" i="19"/>
  <c r="AE847" i="19"/>
  <c r="AF847" i="19"/>
  <c r="J849" i="19"/>
  <c r="F849" i="19" s="1"/>
  <c r="L849" i="19"/>
  <c r="S849" i="19"/>
  <c r="V849" i="19"/>
  <c r="W849" i="19" s="1"/>
  <c r="Y849" i="19"/>
  <c r="AD849" i="19"/>
  <c r="AE849" i="19"/>
  <c r="AF849" i="19"/>
  <c r="J851" i="19"/>
  <c r="L851" i="19"/>
  <c r="S851" i="19"/>
  <c r="V851" i="19"/>
  <c r="W851" i="19" s="1"/>
  <c r="Y851" i="19"/>
  <c r="AC851" i="19"/>
  <c r="AF851" i="19" s="1"/>
  <c r="AG851" i="19"/>
  <c r="AH851" i="19"/>
  <c r="AJ851" i="19" s="1"/>
  <c r="AI851" i="19"/>
  <c r="J852" i="19"/>
  <c r="L852" i="19"/>
  <c r="S852" i="19"/>
  <c r="V852" i="19"/>
  <c r="W852" i="19" s="1"/>
  <c r="Y852" i="19"/>
  <c r="AC852" i="19"/>
  <c r="AF852" i="19" s="1"/>
  <c r="AG852" i="19"/>
  <c r="AH852" i="19"/>
  <c r="AJ852" i="19" s="1"/>
  <c r="J855" i="19"/>
  <c r="L855" i="19"/>
  <c r="V855" i="19"/>
  <c r="W855" i="19" s="1"/>
  <c r="Y855" i="19"/>
  <c r="AD855" i="19"/>
  <c r="AE855" i="19"/>
  <c r="AF855" i="19"/>
  <c r="J854" i="19"/>
  <c r="F854" i="19" s="1"/>
  <c r="L854" i="19"/>
  <c r="S854" i="19"/>
  <c r="V854" i="19"/>
  <c r="W854" i="19" s="1"/>
  <c r="Y854" i="19"/>
  <c r="AD854" i="19"/>
  <c r="AE854" i="19"/>
  <c r="AF854" i="19"/>
  <c r="AH854" i="19"/>
  <c r="AJ854" i="19" s="1"/>
  <c r="J853" i="19"/>
  <c r="F853" i="19" s="1"/>
  <c r="L853" i="19"/>
  <c r="S853" i="19"/>
  <c r="V853" i="19"/>
  <c r="W853" i="19" s="1"/>
  <c r="Y853" i="19"/>
  <c r="AD853" i="19"/>
  <c r="AE853" i="19"/>
  <c r="AF853" i="19"/>
  <c r="J862" i="19"/>
  <c r="F862" i="19" s="1"/>
  <c r="L862" i="19"/>
  <c r="V862" i="19"/>
  <c r="W862" i="19" s="1"/>
  <c r="Y862" i="19"/>
  <c r="AD862" i="19"/>
  <c r="AE862" i="19"/>
  <c r="AF862" i="19"/>
  <c r="J861" i="19"/>
  <c r="L861" i="19"/>
  <c r="V861" i="19"/>
  <c r="W861" i="19" s="1"/>
  <c r="Y861" i="19"/>
  <c r="AD861" i="19"/>
  <c r="AE861" i="19"/>
  <c r="AF861" i="19"/>
  <c r="J859" i="19"/>
  <c r="F859" i="19" s="1"/>
  <c r="L859" i="19"/>
  <c r="V859" i="19"/>
  <c r="W859" i="19" s="1"/>
  <c r="Y859" i="19"/>
  <c r="AD859" i="19"/>
  <c r="AE859" i="19"/>
  <c r="AF859" i="19"/>
  <c r="AH859" i="19"/>
  <c r="AJ859" i="19" s="1"/>
  <c r="J860" i="19"/>
  <c r="F860" i="19" s="1"/>
  <c r="L860" i="19"/>
  <c r="V860" i="19"/>
  <c r="W860" i="19" s="1"/>
  <c r="Y860" i="19"/>
  <c r="AD860" i="19"/>
  <c r="AE860" i="19"/>
  <c r="AF860" i="19"/>
  <c r="J858" i="19"/>
  <c r="F858" i="19" s="1"/>
  <c r="L858" i="19"/>
  <c r="V858" i="19"/>
  <c r="W858" i="19" s="1"/>
  <c r="Y858" i="19"/>
  <c r="AD858" i="19"/>
  <c r="AE858" i="19"/>
  <c r="AF858" i="19"/>
  <c r="AH858" i="19"/>
  <c r="AJ858" i="19" s="1"/>
  <c r="J857" i="19"/>
  <c r="F857" i="19" s="1"/>
  <c r="L857" i="19"/>
  <c r="V857" i="19"/>
  <c r="W857" i="19" s="1"/>
  <c r="Y857" i="19"/>
  <c r="AD857" i="19"/>
  <c r="AE857" i="19"/>
  <c r="AF857" i="19"/>
  <c r="J856" i="19"/>
  <c r="F856" i="19" s="1"/>
  <c r="L856" i="19"/>
  <c r="V856" i="19"/>
  <c r="W856" i="19" s="1"/>
  <c r="Y856" i="19"/>
  <c r="AD856" i="19"/>
  <c r="AE856" i="19"/>
  <c r="AF856" i="19"/>
  <c r="AH856" i="19"/>
  <c r="AJ856" i="19" s="1"/>
  <c r="J863" i="19"/>
  <c r="F863" i="19" s="1"/>
  <c r="L863" i="19"/>
  <c r="S863" i="19"/>
  <c r="V863" i="19"/>
  <c r="W863" i="19" s="1"/>
  <c r="Y863" i="19"/>
  <c r="AC863" i="19"/>
  <c r="AG863" i="19"/>
  <c r="AH863" i="19"/>
  <c r="AJ863" i="19" s="1"/>
  <c r="J864" i="19"/>
  <c r="F864" i="19" s="1"/>
  <c r="L864" i="19"/>
  <c r="S864" i="19"/>
  <c r="V864" i="19"/>
  <c r="W864" i="19" s="1"/>
  <c r="Y864" i="19"/>
  <c r="AC864" i="19"/>
  <c r="AE864" i="19" s="1"/>
  <c r="AG864" i="19"/>
  <c r="J865" i="19"/>
  <c r="F865" i="19" s="1"/>
  <c r="L865" i="19"/>
  <c r="S865" i="19"/>
  <c r="V865" i="19"/>
  <c r="W865" i="19" s="1"/>
  <c r="Y865" i="19"/>
  <c r="AC865" i="19"/>
  <c r="AG865" i="19"/>
  <c r="AH865" i="19"/>
  <c r="AJ865" i="19" s="1"/>
  <c r="J866" i="19"/>
  <c r="F866" i="19" s="1"/>
  <c r="L866" i="19"/>
  <c r="S866" i="19"/>
  <c r="V866" i="19"/>
  <c r="W866" i="19" s="1"/>
  <c r="Y866" i="19"/>
  <c r="AC866" i="19"/>
  <c r="AD866" i="19" s="1"/>
  <c r="AG866" i="19"/>
  <c r="AH866" i="19"/>
  <c r="AJ866" i="19" s="1"/>
  <c r="J869" i="19"/>
  <c r="F869" i="19" s="1"/>
  <c r="L869" i="19"/>
  <c r="S869" i="19"/>
  <c r="V869" i="19"/>
  <c r="W869" i="19" s="1"/>
  <c r="Y869" i="19"/>
  <c r="AC869" i="19"/>
  <c r="AG869" i="19"/>
  <c r="AH869" i="19"/>
  <c r="AJ869" i="19" s="1"/>
  <c r="J871" i="19"/>
  <c r="F871" i="19" s="1"/>
  <c r="L871" i="19"/>
  <c r="S871" i="19"/>
  <c r="V871" i="19"/>
  <c r="W871" i="19" s="1"/>
  <c r="Y871" i="19"/>
  <c r="AC871" i="19"/>
  <c r="AD871" i="19" s="1"/>
  <c r="AG871" i="19"/>
  <c r="AH871" i="19"/>
  <c r="AJ871" i="19" s="1"/>
  <c r="J870" i="19"/>
  <c r="F870" i="19" s="1"/>
  <c r="L870" i="19"/>
  <c r="S870" i="19"/>
  <c r="V870" i="19"/>
  <c r="W870" i="19" s="1"/>
  <c r="Y870" i="19"/>
  <c r="AC870" i="19"/>
  <c r="AD870" i="19" s="1"/>
  <c r="AG870" i="19"/>
  <c r="AH870" i="19"/>
  <c r="AJ870" i="19" s="1"/>
  <c r="J868" i="19"/>
  <c r="L868" i="19"/>
  <c r="S868" i="19"/>
  <c r="V868" i="19"/>
  <c r="W868" i="19" s="1"/>
  <c r="Y868" i="19"/>
  <c r="AC868" i="19"/>
  <c r="AG868" i="19"/>
  <c r="AH868" i="19"/>
  <c r="AJ868" i="19" s="1"/>
  <c r="J867" i="19"/>
  <c r="F867" i="19" s="1"/>
  <c r="L867" i="19"/>
  <c r="S867" i="19"/>
  <c r="V867" i="19"/>
  <c r="W867" i="19" s="1"/>
  <c r="Y867" i="19"/>
  <c r="AC867" i="19"/>
  <c r="AD867" i="19" s="1"/>
  <c r="AG867" i="19"/>
  <c r="AH867" i="19"/>
  <c r="AJ867" i="19" s="1"/>
  <c r="J876" i="19"/>
  <c r="F876" i="19" s="1"/>
  <c r="L876" i="19"/>
  <c r="S876" i="19"/>
  <c r="V876" i="19"/>
  <c r="W876" i="19" s="1"/>
  <c r="Y876" i="19"/>
  <c r="AD876" i="19"/>
  <c r="AE876" i="19"/>
  <c r="AF876" i="19"/>
  <c r="AH876" i="19"/>
  <c r="AJ876" i="19" s="1"/>
  <c r="J874" i="19"/>
  <c r="F874" i="19" s="1"/>
  <c r="L874" i="19"/>
  <c r="S874" i="19"/>
  <c r="V874" i="19"/>
  <c r="W874" i="19" s="1"/>
  <c r="Y874" i="19"/>
  <c r="AD874" i="19"/>
  <c r="AE874" i="19"/>
  <c r="AF874" i="19"/>
  <c r="J875" i="19"/>
  <c r="F875" i="19" s="1"/>
  <c r="L875" i="19"/>
  <c r="S875" i="19"/>
  <c r="V875" i="19"/>
  <c r="W875" i="19" s="1"/>
  <c r="Y875" i="19"/>
  <c r="AD875" i="19"/>
  <c r="AE875" i="19"/>
  <c r="AF875" i="19"/>
  <c r="AH875" i="19"/>
  <c r="AJ875" i="19" s="1"/>
  <c r="J873" i="19"/>
  <c r="F873" i="19" s="1"/>
  <c r="L873" i="19"/>
  <c r="AA873" i="19" a="1"/>
  <c r="AA873" i="19" s="1"/>
  <c r="S873" i="19"/>
  <c r="U873" i="19"/>
  <c r="V873" i="19"/>
  <c r="Y873" i="19"/>
  <c r="AC873" i="19"/>
  <c r="AF873" i="19" s="1"/>
  <c r="J872" i="19"/>
  <c r="F872" i="19" s="1"/>
  <c r="L872" i="19"/>
  <c r="V872" i="19"/>
  <c r="W872" i="19" s="1"/>
  <c r="Y872" i="19"/>
  <c r="AC872" i="19"/>
  <c r="AF872" i="19" s="1"/>
  <c r="AH872" i="19"/>
  <c r="AJ872" i="19" s="1"/>
  <c r="J878" i="19"/>
  <c r="F878" i="19" s="1"/>
  <c r="L878" i="19"/>
  <c r="V878" i="19"/>
  <c r="W878" i="19" s="1"/>
  <c r="Y878" i="19"/>
  <c r="AC878" i="19"/>
  <c r="AG878" i="19"/>
  <c r="J879" i="19"/>
  <c r="F879" i="19" s="1"/>
  <c r="L879" i="19"/>
  <c r="V879" i="19"/>
  <c r="W879" i="19" s="1"/>
  <c r="Y879" i="19"/>
  <c r="AC879" i="19"/>
  <c r="AD879" i="19" s="1"/>
  <c r="AG879" i="19"/>
  <c r="J882" i="19"/>
  <c r="F882" i="19" s="1"/>
  <c r="L882" i="19"/>
  <c r="S882" i="19"/>
  <c r="V882" i="19"/>
  <c r="W882" i="19" s="1"/>
  <c r="Y882" i="19"/>
  <c r="AD882" i="19"/>
  <c r="AE882" i="19"/>
  <c r="AF882" i="19"/>
  <c r="J881" i="19"/>
  <c r="L881" i="19"/>
  <c r="S881" i="19"/>
  <c r="V881" i="19"/>
  <c r="W881" i="19" s="1"/>
  <c r="Y881" i="19"/>
  <c r="AD881" i="19"/>
  <c r="AE881" i="19"/>
  <c r="AF881" i="19"/>
  <c r="J880" i="19"/>
  <c r="F880" i="19" s="1"/>
  <c r="L880" i="19"/>
  <c r="S880" i="19"/>
  <c r="V880" i="19"/>
  <c r="W880" i="19" s="1"/>
  <c r="Y880" i="19"/>
  <c r="AD880" i="19"/>
  <c r="AE880" i="19"/>
  <c r="AF880" i="19"/>
  <c r="AH880" i="19"/>
  <c r="AJ880" i="19" s="1"/>
  <c r="J891" i="19"/>
  <c r="L891" i="19"/>
  <c r="V891" i="19"/>
  <c r="W891" i="19" s="1"/>
  <c r="Y891" i="19"/>
  <c r="AC891" i="19"/>
  <c r="AG891" i="19"/>
  <c r="AH891" i="19"/>
  <c r="AJ891" i="19" s="1"/>
  <c r="J890" i="19"/>
  <c r="L890" i="19"/>
  <c r="V890" i="19"/>
  <c r="W890" i="19" s="1"/>
  <c r="Y890" i="19"/>
  <c r="AC890" i="19"/>
  <c r="AG890" i="19"/>
  <c r="AH890" i="19"/>
  <c r="AJ890" i="19" s="1"/>
  <c r="AI890" i="19"/>
  <c r="J887" i="19"/>
  <c r="L887" i="19"/>
  <c r="V887" i="19"/>
  <c r="W887" i="19" s="1"/>
  <c r="Y887" i="19"/>
  <c r="AC887" i="19"/>
  <c r="AE887" i="19" s="1"/>
  <c r="AG887" i="19"/>
  <c r="AH887" i="19"/>
  <c r="AJ887" i="19" s="1"/>
  <c r="J889" i="19"/>
  <c r="L889" i="19"/>
  <c r="V889" i="19"/>
  <c r="W889" i="19" s="1"/>
  <c r="Y889" i="19"/>
  <c r="AC889" i="19"/>
  <c r="AD889" i="19" s="1"/>
  <c r="AG889" i="19"/>
  <c r="AH889" i="19"/>
  <c r="AJ889" i="19" s="1"/>
  <c r="J888" i="19"/>
  <c r="L888" i="19"/>
  <c r="V888" i="19"/>
  <c r="W888" i="19" s="1"/>
  <c r="Y888" i="19"/>
  <c r="AC888" i="19"/>
  <c r="AG888" i="19"/>
  <c r="AH888" i="19"/>
  <c r="AJ888" i="19" s="1"/>
  <c r="J885" i="19"/>
  <c r="L885" i="19"/>
  <c r="V885" i="19"/>
  <c r="W885" i="19" s="1"/>
  <c r="Y885" i="19"/>
  <c r="AC885" i="19"/>
  <c r="AD885" i="19" s="1"/>
  <c r="AG885" i="19"/>
  <c r="AJ885" i="19"/>
  <c r="J886" i="19"/>
  <c r="L886" i="19"/>
  <c r="V886" i="19"/>
  <c r="W886" i="19" s="1"/>
  <c r="Y886" i="19"/>
  <c r="AC886" i="19"/>
  <c r="AE886" i="19" s="1"/>
  <c r="AG886" i="19"/>
  <c r="AJ886" i="19"/>
  <c r="J884" i="19"/>
  <c r="L884" i="19"/>
  <c r="V884" i="19"/>
  <c r="W884" i="19" s="1"/>
  <c r="Y884" i="19"/>
  <c r="AC884" i="19"/>
  <c r="AD884" i="19" s="1"/>
  <c r="AG884" i="19"/>
  <c r="AH884" i="19"/>
  <c r="AJ884" i="19" s="1"/>
  <c r="J883" i="19"/>
  <c r="F883" i="19" s="1"/>
  <c r="L883" i="19"/>
  <c r="V883" i="19"/>
  <c r="W883" i="19" s="1"/>
  <c r="Y883" i="19"/>
  <c r="AC883" i="19"/>
  <c r="AG883" i="19"/>
  <c r="AH883" i="19"/>
  <c r="AJ883" i="19" s="1"/>
  <c r="J896" i="19"/>
  <c r="F896" i="19" s="1"/>
  <c r="L896" i="19"/>
  <c r="S896" i="19"/>
  <c r="V896" i="19"/>
  <c r="W896" i="19" s="1"/>
  <c r="Y896" i="19"/>
  <c r="AD896" i="19"/>
  <c r="AE896" i="19"/>
  <c r="AF896" i="19"/>
  <c r="J892" i="19"/>
  <c r="L892" i="19"/>
  <c r="S892" i="19"/>
  <c r="V892" i="19"/>
  <c r="W892" i="19" s="1"/>
  <c r="Y892" i="19"/>
  <c r="AC892" i="19"/>
  <c r="AH892" i="19"/>
  <c r="AJ892" i="19" s="1"/>
  <c r="J893" i="19"/>
  <c r="F893" i="19" s="1"/>
  <c r="L893" i="19"/>
  <c r="S893" i="19"/>
  <c r="V893" i="19"/>
  <c r="W893" i="19" s="1"/>
  <c r="Y893" i="19"/>
  <c r="AC893" i="19"/>
  <c r="AD893" i="19" s="1"/>
  <c r="AH893" i="19"/>
  <c r="AJ893" i="19" s="1"/>
  <c r="J895" i="19"/>
  <c r="F895" i="19" s="1"/>
  <c r="L895" i="19"/>
  <c r="S895" i="19"/>
  <c r="V895" i="19"/>
  <c r="W895" i="19" s="1"/>
  <c r="Y895" i="19"/>
  <c r="AC895" i="19"/>
  <c r="AH895" i="19"/>
  <c r="AJ895" i="19" s="1"/>
  <c r="J894" i="19"/>
  <c r="F894" i="19" s="1"/>
  <c r="L894" i="19"/>
  <c r="S894" i="19"/>
  <c r="V894" i="19"/>
  <c r="W894" i="19" s="1"/>
  <c r="Y894" i="19"/>
  <c r="AC894" i="19"/>
  <c r="AH894" i="19"/>
  <c r="AJ894" i="19" s="1"/>
  <c r="AI894" i="19"/>
  <c r="J900" i="19"/>
  <c r="L900" i="19"/>
  <c r="S900" i="19"/>
  <c r="V900" i="19"/>
  <c r="W900" i="19" s="1"/>
  <c r="Y900" i="19"/>
  <c r="AD900" i="19"/>
  <c r="AE900" i="19"/>
  <c r="AF900" i="19"/>
  <c r="J899" i="19"/>
  <c r="F899" i="19" s="1"/>
  <c r="L899" i="19"/>
  <c r="S899" i="19"/>
  <c r="V899" i="19"/>
  <c r="W899" i="19" s="1"/>
  <c r="Y899" i="19"/>
  <c r="AD899" i="19"/>
  <c r="AE899" i="19"/>
  <c r="AF899" i="19"/>
  <c r="J898" i="19"/>
  <c r="F898" i="19" s="1"/>
  <c r="L898" i="19"/>
  <c r="S898" i="19"/>
  <c r="V898" i="19"/>
  <c r="W898" i="19" s="1"/>
  <c r="Y898" i="19"/>
  <c r="AD898" i="19"/>
  <c r="AE898" i="19"/>
  <c r="AF898" i="19"/>
  <c r="AH898" i="19"/>
  <c r="AJ898" i="19" s="1"/>
  <c r="J897" i="19"/>
  <c r="F897" i="19" s="1"/>
  <c r="L897" i="19"/>
  <c r="V897" i="19"/>
  <c r="W897" i="19" s="1"/>
  <c r="Y897" i="19"/>
  <c r="AD897" i="19"/>
  <c r="AE897" i="19"/>
  <c r="AF897" i="19"/>
  <c r="J901" i="19"/>
  <c r="F901" i="19" s="1"/>
  <c r="L901" i="19"/>
  <c r="S901" i="19"/>
  <c r="V901" i="19"/>
  <c r="W901" i="19" s="1"/>
  <c r="Y901" i="19"/>
  <c r="AC901" i="19"/>
  <c r="AD901" i="19" s="1"/>
  <c r="AH901" i="19"/>
  <c r="AJ901" i="19" s="1"/>
  <c r="J902" i="19"/>
  <c r="L902" i="19"/>
  <c r="S902" i="19"/>
  <c r="V902" i="19"/>
  <c r="W902" i="19" s="1"/>
  <c r="Y902" i="19"/>
  <c r="AC902" i="19"/>
  <c r="AF902" i="19" s="1"/>
  <c r="AH902" i="19"/>
  <c r="AJ902" i="19" s="1"/>
  <c r="J906" i="19"/>
  <c r="F906" i="19" s="1"/>
  <c r="L906" i="19"/>
  <c r="S906" i="19"/>
  <c r="V906" i="19"/>
  <c r="W906" i="19" s="1"/>
  <c r="Y906" i="19"/>
  <c r="AD906" i="19"/>
  <c r="AE906" i="19"/>
  <c r="AF906" i="19"/>
  <c r="J905" i="19"/>
  <c r="F905" i="19" s="1"/>
  <c r="L905" i="19"/>
  <c r="S905" i="19"/>
  <c r="V905" i="19"/>
  <c r="W905" i="19" s="1"/>
  <c r="Y905" i="19"/>
  <c r="AD905" i="19"/>
  <c r="AE905" i="19"/>
  <c r="AF905" i="19"/>
  <c r="J904" i="19"/>
  <c r="F904" i="19" s="1"/>
  <c r="L904" i="19"/>
  <c r="S904" i="19"/>
  <c r="V904" i="19"/>
  <c r="W904" i="19" s="1"/>
  <c r="Y904" i="19"/>
  <c r="AD904" i="19"/>
  <c r="AE904" i="19"/>
  <c r="AF904" i="19"/>
  <c r="J903" i="19"/>
  <c r="L903" i="19"/>
  <c r="S903" i="19"/>
  <c r="V903" i="19"/>
  <c r="W903" i="19" s="1"/>
  <c r="Y903" i="19"/>
  <c r="AD903" i="19"/>
  <c r="AE903" i="19"/>
  <c r="AF903" i="19"/>
  <c r="J908" i="19"/>
  <c r="F908" i="19" s="1"/>
  <c r="L908" i="19"/>
  <c r="S908" i="19"/>
  <c r="V908" i="19"/>
  <c r="W908" i="19" s="1"/>
  <c r="Y908" i="19"/>
  <c r="AD908" i="19"/>
  <c r="AE908" i="19"/>
  <c r="AF908" i="19"/>
  <c r="AH908" i="19"/>
  <c r="AJ908" i="19" s="1"/>
  <c r="J910" i="19"/>
  <c r="L910" i="19"/>
  <c r="S910" i="19"/>
  <c r="V910" i="19"/>
  <c r="W910" i="19" s="1"/>
  <c r="Y910" i="19"/>
  <c r="AD910" i="19"/>
  <c r="AE910" i="19"/>
  <c r="AF910" i="19"/>
  <c r="AH910" i="19"/>
  <c r="AJ910" i="19" s="1"/>
  <c r="J909" i="19"/>
  <c r="F909" i="19" s="1"/>
  <c r="L909" i="19"/>
  <c r="S909" i="19"/>
  <c r="V909" i="19"/>
  <c r="W909" i="19" s="1"/>
  <c r="Y909" i="19"/>
  <c r="J907" i="19"/>
  <c r="F907" i="19" s="1"/>
  <c r="L907" i="19"/>
  <c r="S907" i="19"/>
  <c r="V907" i="19"/>
  <c r="W907" i="19" s="1"/>
  <c r="Y907" i="19"/>
  <c r="AD907" i="19"/>
  <c r="AE907" i="19"/>
  <c r="AF907" i="19"/>
  <c r="AI907" i="19"/>
  <c r="J912" i="19"/>
  <c r="L912" i="19"/>
  <c r="V912" i="19"/>
  <c r="W912" i="19" s="1"/>
  <c r="Y912" i="19"/>
  <c r="AD912" i="19"/>
  <c r="AE912" i="19"/>
  <c r="AF912" i="19"/>
  <c r="J913" i="19"/>
  <c r="F913" i="19" s="1"/>
  <c r="L913" i="19"/>
  <c r="V913" i="19"/>
  <c r="W913" i="19" s="1"/>
  <c r="Y913" i="19"/>
  <c r="AD913" i="19"/>
  <c r="AE913" i="19"/>
  <c r="AF913" i="19"/>
  <c r="AH913" i="19"/>
  <c r="AJ913" i="19" s="1"/>
  <c r="J914" i="19"/>
  <c r="L914" i="19"/>
  <c r="S914" i="19"/>
  <c r="V914" i="19"/>
  <c r="W914" i="19" s="1"/>
  <c r="Y914" i="19"/>
  <c r="AD914" i="19"/>
  <c r="AE914" i="19"/>
  <c r="AF914" i="19"/>
  <c r="AH914" i="19"/>
  <c r="AJ914" i="19" s="1"/>
  <c r="J911" i="19"/>
  <c r="L911" i="19"/>
  <c r="V911" i="19"/>
  <c r="W911" i="19" s="1"/>
  <c r="Y911" i="19"/>
  <c r="AD911" i="19"/>
  <c r="AE911" i="19"/>
  <c r="AF911" i="19"/>
  <c r="AH911" i="19"/>
  <c r="AJ911" i="19" s="1"/>
  <c r="J915" i="19"/>
  <c r="F915" i="19" s="1"/>
  <c r="L915" i="19"/>
  <c r="S915" i="19"/>
  <c r="V915" i="19"/>
  <c r="W915" i="19" s="1"/>
  <c r="Y915" i="19"/>
  <c r="AC915" i="19"/>
  <c r="AE915" i="19" s="1"/>
  <c r="AG915" i="19"/>
  <c r="AH915" i="19"/>
  <c r="AJ915" i="19" s="1"/>
  <c r="J916" i="19"/>
  <c r="F916" i="19" s="1"/>
  <c r="L916" i="19"/>
  <c r="S916" i="19"/>
  <c r="V916" i="19"/>
  <c r="W916" i="19" s="1"/>
  <c r="Y916" i="19"/>
  <c r="AC916" i="19"/>
  <c r="AF916" i="19" s="1"/>
  <c r="AG916" i="19"/>
  <c r="AH916" i="19"/>
  <c r="AJ916" i="19" s="1"/>
  <c r="J917" i="19"/>
  <c r="L917" i="19"/>
  <c r="AA917" i="19" a="1"/>
  <c r="AA917" i="19" s="1"/>
  <c r="S917" i="19"/>
  <c r="U917" i="19"/>
  <c r="V917" i="19"/>
  <c r="Y917" i="19"/>
  <c r="AC917" i="19"/>
  <c r="AD917" i="19" s="1"/>
  <c r="AG917" i="19"/>
  <c r="AH917" i="19"/>
  <c r="AI917" i="19"/>
  <c r="J918" i="19"/>
  <c r="L918" i="19"/>
  <c r="AA918" i="19" a="1"/>
  <c r="AA918" i="19" s="1"/>
  <c r="S918" i="19"/>
  <c r="U918" i="19"/>
  <c r="V918" i="19"/>
  <c r="Y918" i="19"/>
  <c r="AC918" i="19"/>
  <c r="AE918" i="19" s="1"/>
  <c r="AG918" i="19"/>
  <c r="AH918" i="19"/>
  <c r="AI918" i="19"/>
  <c r="J922" i="19"/>
  <c r="F922" i="19" s="1"/>
  <c r="L922" i="19"/>
  <c r="S922" i="19"/>
  <c r="V922" i="19"/>
  <c r="W922" i="19" s="1"/>
  <c r="Y922" i="19"/>
  <c r="AD922" i="19"/>
  <c r="AE922" i="19"/>
  <c r="AF922" i="19"/>
  <c r="J921" i="19"/>
  <c r="F921" i="19" s="1"/>
  <c r="L921" i="19"/>
  <c r="S921" i="19"/>
  <c r="V921" i="19"/>
  <c r="W921" i="19" s="1"/>
  <c r="Y921" i="19"/>
  <c r="AD921" i="19"/>
  <c r="AE921" i="19"/>
  <c r="AF921" i="19"/>
  <c r="J923" i="19"/>
  <c r="L923" i="19"/>
  <c r="S923" i="19"/>
  <c r="V923" i="19"/>
  <c r="W923" i="19" s="1"/>
  <c r="Y923" i="19"/>
  <c r="AD923" i="19"/>
  <c r="AE923" i="19"/>
  <c r="AF923" i="19"/>
  <c r="AH923" i="19"/>
  <c r="AJ923" i="19" s="1"/>
  <c r="J920" i="19"/>
  <c r="L920" i="19"/>
  <c r="S920" i="19"/>
  <c r="V920" i="19"/>
  <c r="W920" i="19" s="1"/>
  <c r="Y920" i="19"/>
  <c r="AD920" i="19"/>
  <c r="AE920" i="19"/>
  <c r="AF920" i="19"/>
  <c r="J919" i="19"/>
  <c r="F919" i="19" s="1"/>
  <c r="L919" i="19"/>
  <c r="S919" i="19"/>
  <c r="V919" i="19"/>
  <c r="W919" i="19" s="1"/>
  <c r="Y919" i="19"/>
  <c r="AC919" i="19"/>
  <c r="AF919" i="19" s="1"/>
  <c r="AG919" i="19"/>
  <c r="AH919" i="19"/>
  <c r="AJ919" i="19" s="1"/>
  <c r="J947" i="19"/>
  <c r="F947" i="19" s="1"/>
  <c r="L947" i="19"/>
  <c r="V947" i="19"/>
  <c r="W947" i="19" s="1"/>
  <c r="Y947" i="19"/>
  <c r="AD947" i="19"/>
  <c r="AE947" i="19"/>
  <c r="AF947" i="19"/>
  <c r="AG947" i="19"/>
  <c r="AH947" i="19"/>
  <c r="AJ947" i="19" s="1"/>
  <c r="J948" i="19"/>
  <c r="L948" i="19"/>
  <c r="V948" i="19"/>
  <c r="W948" i="19" s="1"/>
  <c r="Y948" i="19"/>
  <c r="AD948" i="19"/>
  <c r="AE948" i="19"/>
  <c r="AF948" i="19"/>
  <c r="AG948" i="19"/>
  <c r="J926" i="19"/>
  <c r="L926" i="19"/>
  <c r="S926" i="19"/>
  <c r="V926" i="19"/>
  <c r="W926" i="19" s="1"/>
  <c r="Y926" i="19"/>
  <c r="AC926" i="19"/>
  <c r="AG926" i="19"/>
  <c r="J927" i="19"/>
  <c r="F927" i="19" s="1"/>
  <c r="L927" i="19"/>
  <c r="S927" i="19"/>
  <c r="V927" i="19"/>
  <c r="W927" i="19" s="1"/>
  <c r="Y927" i="19"/>
  <c r="AC927" i="19"/>
  <c r="AG927" i="19"/>
  <c r="AH927" i="19"/>
  <c r="AJ927" i="19" s="1"/>
  <c r="J928" i="19"/>
  <c r="F928" i="19" s="1"/>
  <c r="L928" i="19"/>
  <c r="S928" i="19"/>
  <c r="V928" i="19"/>
  <c r="W928" i="19" s="1"/>
  <c r="Y928" i="19"/>
  <c r="AC928" i="19"/>
  <c r="AG928" i="19"/>
  <c r="AH928" i="19"/>
  <c r="AJ928" i="19" s="1"/>
  <c r="J925" i="19"/>
  <c r="L925" i="19"/>
  <c r="S925" i="19"/>
  <c r="V925" i="19"/>
  <c r="W925" i="19" s="1"/>
  <c r="Y925" i="19"/>
  <c r="AC925" i="19"/>
  <c r="AD925" i="19" s="1"/>
  <c r="AG925" i="19"/>
  <c r="J929" i="19"/>
  <c r="L929" i="19"/>
  <c r="S929" i="19"/>
  <c r="V929" i="19"/>
  <c r="W929" i="19" s="1"/>
  <c r="Y929" i="19"/>
  <c r="AC929" i="19"/>
  <c r="AD929" i="19" s="1"/>
  <c r="AG929" i="19"/>
  <c r="AH929" i="19"/>
  <c r="AJ929" i="19" s="1"/>
  <c r="J930" i="19"/>
  <c r="L930" i="19"/>
  <c r="S930" i="19"/>
  <c r="V930" i="19"/>
  <c r="W930" i="19" s="1"/>
  <c r="Y930" i="19"/>
  <c r="AC930" i="19"/>
  <c r="AG930" i="19"/>
  <c r="J931" i="19"/>
  <c r="F931" i="19" s="1"/>
  <c r="L931" i="19"/>
  <c r="S931" i="19"/>
  <c r="V931" i="19"/>
  <c r="W931" i="19" s="1"/>
  <c r="Y931" i="19"/>
  <c r="AC931" i="19"/>
  <c r="AG931" i="19"/>
  <c r="J924" i="19"/>
  <c r="L924" i="19"/>
  <c r="S924" i="19"/>
  <c r="V924" i="19"/>
  <c r="W924" i="19" s="1"/>
  <c r="Y924" i="19"/>
  <c r="AC924" i="19"/>
  <c r="AD924" i="19" s="1"/>
  <c r="AG924" i="19"/>
  <c r="AH924" i="19"/>
  <c r="AJ924" i="19" s="1"/>
  <c r="AI924" i="19"/>
  <c r="J949" i="19"/>
  <c r="F949" i="19" s="1"/>
  <c r="L949" i="19"/>
  <c r="S949" i="19"/>
  <c r="V949" i="19"/>
  <c r="W949" i="19" s="1"/>
  <c r="Y949" i="19"/>
  <c r="AD949" i="19"/>
  <c r="AE949" i="19"/>
  <c r="AF949" i="19"/>
  <c r="AG949" i="19"/>
  <c r="J952" i="19"/>
  <c r="L952" i="19"/>
  <c r="V952" i="19"/>
  <c r="W952" i="19" s="1"/>
  <c r="Y952" i="19"/>
  <c r="AC952" i="19"/>
  <c r="AG952" i="19"/>
  <c r="J951" i="19"/>
  <c r="L951" i="19"/>
  <c r="V951" i="19"/>
  <c r="W951" i="19" s="1"/>
  <c r="Y951" i="19"/>
  <c r="AC951" i="19"/>
  <c r="AG951" i="19"/>
  <c r="J950" i="19"/>
  <c r="F950" i="19" s="1"/>
  <c r="L950" i="19"/>
  <c r="S950" i="19"/>
  <c r="V950" i="19"/>
  <c r="W950" i="19" s="1"/>
  <c r="Y950" i="19"/>
  <c r="AC950" i="19"/>
  <c r="AF950" i="19" s="1"/>
  <c r="AG950" i="19"/>
  <c r="AH950" i="19"/>
  <c r="AJ950" i="19" s="1"/>
  <c r="J942" i="19"/>
  <c r="L942" i="19"/>
  <c r="S942" i="19"/>
  <c r="V942" i="19"/>
  <c r="W942" i="19" s="1"/>
  <c r="Y942" i="19"/>
  <c r="AD942" i="19"/>
  <c r="AE942" i="19"/>
  <c r="AF942" i="19"/>
  <c r="AH942" i="19"/>
  <c r="AJ942" i="19" s="1"/>
  <c r="J943" i="19"/>
  <c r="F943" i="19" s="1"/>
  <c r="L943" i="19"/>
  <c r="S943" i="19"/>
  <c r="V943" i="19"/>
  <c r="W943" i="19" s="1"/>
  <c r="Y943" i="19"/>
  <c r="AD943" i="19"/>
  <c r="AE943" i="19"/>
  <c r="AF943" i="19"/>
  <c r="AH943" i="19"/>
  <c r="AJ943" i="19" s="1"/>
  <c r="J944" i="19"/>
  <c r="F944" i="19" s="1"/>
  <c r="L944" i="19"/>
  <c r="S944" i="19"/>
  <c r="V944" i="19"/>
  <c r="W944" i="19" s="1"/>
  <c r="Y944" i="19"/>
  <c r="AD944" i="19"/>
  <c r="AE944" i="19"/>
  <c r="AF944" i="19"/>
  <c r="AH944" i="19"/>
  <c r="AJ944" i="19" s="1"/>
  <c r="J945" i="19"/>
  <c r="F945" i="19" s="1"/>
  <c r="L945" i="19"/>
  <c r="S945" i="19"/>
  <c r="V945" i="19"/>
  <c r="W945" i="19" s="1"/>
  <c r="Y945" i="19"/>
  <c r="AD945" i="19"/>
  <c r="AE945" i="19"/>
  <c r="AF945" i="19"/>
  <c r="AH945" i="19"/>
  <c r="AJ945" i="19" s="1"/>
  <c r="AI945" i="19"/>
  <c r="J946" i="19"/>
  <c r="F946" i="19" s="1"/>
  <c r="L946" i="19"/>
  <c r="S946" i="19"/>
  <c r="V946" i="19"/>
  <c r="W946" i="19" s="1"/>
  <c r="Y946" i="19"/>
  <c r="AD946" i="19"/>
  <c r="AE946" i="19"/>
  <c r="AF946" i="19"/>
  <c r="AH946" i="19"/>
  <c r="AJ946" i="19" s="1"/>
  <c r="AI946" i="19"/>
  <c r="J937" i="19"/>
  <c r="F937" i="19" s="1"/>
  <c r="L937" i="19"/>
  <c r="S937" i="19"/>
  <c r="V937" i="19"/>
  <c r="W937" i="19" s="1"/>
  <c r="Y937" i="19"/>
  <c r="AD937" i="19"/>
  <c r="AE937" i="19"/>
  <c r="AF937" i="19"/>
  <c r="AH937" i="19"/>
  <c r="AJ937" i="19" s="1"/>
  <c r="J938" i="19"/>
  <c r="F938" i="19" s="1"/>
  <c r="L938" i="19"/>
  <c r="S938" i="19"/>
  <c r="V938" i="19"/>
  <c r="W938" i="19" s="1"/>
  <c r="Y938" i="19"/>
  <c r="AD938" i="19"/>
  <c r="AE938" i="19"/>
  <c r="AF938" i="19"/>
  <c r="AH938" i="19"/>
  <c r="AJ938" i="19" s="1"/>
  <c r="J941" i="19"/>
  <c r="F941" i="19" s="1"/>
  <c r="L941" i="19"/>
  <c r="S941" i="19"/>
  <c r="V941" i="19"/>
  <c r="W941" i="19" s="1"/>
  <c r="Y941" i="19"/>
  <c r="AD941" i="19"/>
  <c r="AE941" i="19"/>
  <c r="AF941" i="19"/>
  <c r="J940" i="19"/>
  <c r="F940" i="19" s="1"/>
  <c r="L940" i="19"/>
  <c r="S940" i="19"/>
  <c r="V940" i="19"/>
  <c r="W940" i="19" s="1"/>
  <c r="Y940" i="19"/>
  <c r="AD940" i="19"/>
  <c r="AE940" i="19"/>
  <c r="AF940" i="19"/>
  <c r="AH940" i="19"/>
  <c r="AJ940" i="19" s="1"/>
  <c r="J939" i="19"/>
  <c r="F939" i="19" s="1"/>
  <c r="L939" i="19"/>
  <c r="S939" i="19"/>
  <c r="V939" i="19"/>
  <c r="W939" i="19" s="1"/>
  <c r="Y939" i="19"/>
  <c r="AD939" i="19"/>
  <c r="AE939" i="19"/>
  <c r="AF939" i="19"/>
  <c r="AH939" i="19"/>
  <c r="AJ939" i="19" s="1"/>
  <c r="J936" i="19"/>
  <c r="F936" i="19" s="1"/>
  <c r="L936" i="19"/>
  <c r="S936" i="19"/>
  <c r="V936" i="19"/>
  <c r="W936" i="19" s="1"/>
  <c r="Y936" i="19"/>
  <c r="AD936" i="19"/>
  <c r="AE936" i="19"/>
  <c r="AF936" i="19"/>
  <c r="J935" i="19"/>
  <c r="F935" i="19" s="1"/>
  <c r="L935" i="19"/>
  <c r="S935" i="19"/>
  <c r="V935" i="19"/>
  <c r="W935" i="19" s="1"/>
  <c r="Y935" i="19"/>
  <c r="AD935" i="19"/>
  <c r="AE935" i="19"/>
  <c r="AF935" i="19"/>
  <c r="AH935" i="19"/>
  <c r="AJ935" i="19" s="1"/>
  <c r="J933" i="19"/>
  <c r="F933" i="19" s="1"/>
  <c r="L933" i="19"/>
  <c r="S933" i="19"/>
  <c r="V933" i="19"/>
  <c r="W933" i="19" s="1"/>
  <c r="Y933" i="19"/>
  <c r="AD933" i="19"/>
  <c r="AE933" i="19"/>
  <c r="AF933" i="19"/>
  <c r="J934" i="19"/>
  <c r="F934" i="19" s="1"/>
  <c r="L934" i="19"/>
  <c r="S934" i="19"/>
  <c r="V934" i="19"/>
  <c r="W934" i="19" s="1"/>
  <c r="Y934" i="19"/>
  <c r="AD934" i="19"/>
  <c r="AE934" i="19"/>
  <c r="AF934" i="19"/>
  <c r="J932" i="19"/>
  <c r="F932" i="19" s="1"/>
  <c r="L932" i="19"/>
  <c r="S932" i="19"/>
  <c r="V932" i="19"/>
  <c r="W932" i="19" s="1"/>
  <c r="Y932" i="19"/>
  <c r="AD932" i="19"/>
  <c r="AE932" i="19"/>
  <c r="AF932" i="19"/>
  <c r="J954" i="19"/>
  <c r="F954" i="19" s="1"/>
  <c r="L954" i="19"/>
  <c r="S954" i="19"/>
  <c r="V954" i="19"/>
  <c r="W954" i="19" s="1"/>
  <c r="Y954" i="19"/>
  <c r="AD954" i="19"/>
  <c r="AE954" i="19"/>
  <c r="AF954" i="19"/>
  <c r="J953" i="19"/>
  <c r="F953" i="19" s="1"/>
  <c r="L953" i="19"/>
  <c r="S953" i="19"/>
  <c r="V953" i="19"/>
  <c r="W953" i="19" s="1"/>
  <c r="Y953" i="19"/>
  <c r="AD953" i="19"/>
  <c r="AE953" i="19"/>
  <c r="AF953" i="19"/>
  <c r="AH953" i="19"/>
  <c r="AJ953" i="19" s="1"/>
  <c r="J957" i="19"/>
  <c r="F957" i="19" s="1"/>
  <c r="L957" i="19"/>
  <c r="S957" i="19"/>
  <c r="V957" i="19"/>
  <c r="W957" i="19" s="1"/>
  <c r="Y957" i="19"/>
  <c r="AD957" i="19"/>
  <c r="AE957" i="19"/>
  <c r="AF957" i="19"/>
  <c r="J956" i="19"/>
  <c r="F956" i="19" s="1"/>
  <c r="L956" i="19"/>
  <c r="S956" i="19"/>
  <c r="V956" i="19"/>
  <c r="W956" i="19" s="1"/>
  <c r="Y956" i="19"/>
  <c r="AD956" i="19"/>
  <c r="AE956" i="19"/>
  <c r="AF956" i="19"/>
  <c r="J955" i="19"/>
  <c r="F955" i="19" s="1"/>
  <c r="L955" i="19"/>
  <c r="S955" i="19"/>
  <c r="V955" i="19"/>
  <c r="W955" i="19" s="1"/>
  <c r="Y955" i="19"/>
  <c r="AD955" i="19"/>
  <c r="AE955" i="19"/>
  <c r="AF955" i="19"/>
  <c r="J958" i="19"/>
  <c r="F958" i="19" s="1"/>
  <c r="L958" i="19"/>
  <c r="S958" i="19"/>
  <c r="V958" i="19"/>
  <c r="W958" i="19" s="1"/>
  <c r="Y958" i="19"/>
  <c r="AC958" i="19"/>
  <c r="AD958" i="19" s="1"/>
  <c r="AG958" i="19"/>
  <c r="AH958" i="19"/>
  <c r="AJ958" i="19" s="1"/>
  <c r="J959" i="19"/>
  <c r="L959" i="19"/>
  <c r="S959" i="19"/>
  <c r="V959" i="19"/>
  <c r="W959" i="19" s="1"/>
  <c r="Y959" i="19"/>
  <c r="AC959" i="19"/>
  <c r="AG959" i="19"/>
  <c r="AH959" i="19"/>
  <c r="AJ959" i="19" s="1"/>
  <c r="J966" i="19"/>
  <c r="L966" i="19"/>
  <c r="S966" i="19"/>
  <c r="V966" i="19"/>
  <c r="W966" i="19" s="1"/>
  <c r="Y966" i="19"/>
  <c r="AC966" i="19"/>
  <c r="AF966" i="19" s="1"/>
  <c r="AG966" i="19"/>
  <c r="AH966" i="19"/>
  <c r="AJ966" i="19" s="1"/>
  <c r="AI966" i="19"/>
  <c r="J965" i="19"/>
  <c r="L965" i="19"/>
  <c r="S965" i="19"/>
  <c r="V965" i="19"/>
  <c r="W965" i="19" s="1"/>
  <c r="Y965" i="19"/>
  <c r="AC965" i="19"/>
  <c r="AD965" i="19" s="1"/>
  <c r="AG965" i="19"/>
  <c r="J963" i="19"/>
  <c r="L963" i="19"/>
  <c r="S963" i="19"/>
  <c r="V963" i="19"/>
  <c r="W963" i="19" s="1"/>
  <c r="Y963" i="19"/>
  <c r="AC963" i="19"/>
  <c r="AG963" i="19"/>
  <c r="J964" i="19"/>
  <c r="L964" i="19"/>
  <c r="S964" i="19"/>
  <c r="V964" i="19"/>
  <c r="W964" i="19" s="1"/>
  <c r="Y964" i="19"/>
  <c r="AC964" i="19"/>
  <c r="AD964" i="19" s="1"/>
  <c r="AG964" i="19"/>
  <c r="AH964" i="19"/>
  <c r="AJ964" i="19" s="1"/>
  <c r="J961" i="19"/>
  <c r="L961" i="19"/>
  <c r="S961" i="19"/>
  <c r="V961" i="19"/>
  <c r="W961" i="19" s="1"/>
  <c r="Y961" i="19"/>
  <c r="AC961" i="19"/>
  <c r="AG961" i="19"/>
  <c r="AH961" i="19"/>
  <c r="AJ961" i="19" s="1"/>
  <c r="AI961" i="19"/>
  <c r="J962" i="19"/>
  <c r="L962" i="19"/>
  <c r="S962" i="19"/>
  <c r="V962" i="19"/>
  <c r="W962" i="19" s="1"/>
  <c r="Y962" i="19"/>
  <c r="AC962" i="19"/>
  <c r="AF962" i="19" s="1"/>
  <c r="AG962" i="19"/>
  <c r="J960" i="19"/>
  <c r="F960" i="19" s="1"/>
  <c r="L960" i="19"/>
  <c r="S960" i="19"/>
  <c r="V960" i="19"/>
  <c r="W960" i="19" s="1"/>
  <c r="Y960" i="19"/>
  <c r="AC960" i="19"/>
  <c r="AG960" i="19"/>
  <c r="AH960" i="19"/>
  <c r="AJ960" i="19" s="1"/>
  <c r="J981" i="19"/>
  <c r="F981" i="19" s="1"/>
  <c r="L981" i="19"/>
  <c r="S981" i="19"/>
  <c r="V981" i="19"/>
  <c r="W981" i="19" s="1"/>
  <c r="Y981" i="19"/>
  <c r="AC981" i="19"/>
  <c r="AD981" i="19" s="1"/>
  <c r="AG981" i="19"/>
  <c r="J980" i="19"/>
  <c r="L980" i="19"/>
  <c r="S980" i="19"/>
  <c r="V980" i="19"/>
  <c r="W980" i="19" s="1"/>
  <c r="Y980" i="19"/>
  <c r="AC980" i="19"/>
  <c r="AD980" i="19" s="1"/>
  <c r="AG980" i="19"/>
  <c r="J979" i="19"/>
  <c r="F979" i="19" s="1"/>
  <c r="L979" i="19"/>
  <c r="S979" i="19"/>
  <c r="V979" i="19"/>
  <c r="W979" i="19" s="1"/>
  <c r="Y979" i="19"/>
  <c r="AC979" i="19"/>
  <c r="AG979" i="19"/>
  <c r="J982" i="19"/>
  <c r="L982" i="19"/>
  <c r="S982" i="19"/>
  <c r="V982" i="19"/>
  <c r="W982" i="19" s="1"/>
  <c r="Y982" i="19"/>
  <c r="AC982" i="19"/>
  <c r="AG982" i="19"/>
  <c r="AH982" i="19"/>
  <c r="AJ982" i="19" s="1"/>
  <c r="J985" i="19"/>
  <c r="F985" i="19" s="1"/>
  <c r="V985" i="19"/>
  <c r="W985" i="19" s="1"/>
  <c r="Y985" i="19"/>
  <c r="AD985" i="19"/>
  <c r="AE985" i="19"/>
  <c r="AF985" i="19"/>
  <c r="AG985" i="19"/>
  <c r="J987" i="19"/>
  <c r="V987" i="19"/>
  <c r="W987" i="19" s="1"/>
  <c r="Y987" i="19"/>
  <c r="AD987" i="19"/>
  <c r="AE987" i="19"/>
  <c r="AF987" i="19"/>
  <c r="AG987" i="19"/>
  <c r="AH987" i="19"/>
  <c r="AJ987" i="19" s="1"/>
  <c r="J986" i="19"/>
  <c r="F986" i="19" s="1"/>
  <c r="S986" i="19"/>
  <c r="V986" i="19"/>
  <c r="W986" i="19" s="1"/>
  <c r="Y986" i="19"/>
  <c r="AD986" i="19"/>
  <c r="AE986" i="19"/>
  <c r="AF986" i="19"/>
  <c r="AG986" i="19"/>
  <c r="AH986" i="19"/>
  <c r="AJ986" i="19" s="1"/>
  <c r="J983" i="19"/>
  <c r="L983" i="19"/>
  <c r="S983" i="19"/>
  <c r="V983" i="19"/>
  <c r="W983" i="19" s="1"/>
  <c r="Y983" i="19"/>
  <c r="AC983" i="19"/>
  <c r="AG983" i="19"/>
  <c r="AH983" i="19"/>
  <c r="AJ983" i="19" s="1"/>
  <c r="J984" i="19"/>
  <c r="L984" i="19"/>
  <c r="S984" i="19"/>
  <c r="V984" i="19"/>
  <c r="W984" i="19" s="1"/>
  <c r="Y984" i="19"/>
  <c r="AC984" i="19"/>
  <c r="AD984" i="19" s="1"/>
  <c r="AG984" i="19"/>
  <c r="J989" i="19"/>
  <c r="F989" i="19" s="1"/>
  <c r="L989" i="19"/>
  <c r="V989" i="19"/>
  <c r="W989" i="19" s="1"/>
  <c r="Y989" i="19"/>
  <c r="AD989" i="19"/>
  <c r="AE989" i="19"/>
  <c r="AF989" i="19"/>
  <c r="J992" i="19"/>
  <c r="F992" i="19" s="1"/>
  <c r="L992" i="19"/>
  <c r="V992" i="19"/>
  <c r="W992" i="19" s="1"/>
  <c r="Y992" i="19"/>
  <c r="AD992" i="19"/>
  <c r="AE992" i="19"/>
  <c r="AF992" i="19"/>
  <c r="AH992" i="19"/>
  <c r="AJ992" i="19" s="1"/>
  <c r="AI992" i="19"/>
  <c r="J991" i="19"/>
  <c r="L991" i="19"/>
  <c r="V991" i="19"/>
  <c r="W991" i="19" s="1"/>
  <c r="Y991" i="19"/>
  <c r="AD991" i="19"/>
  <c r="AE991" i="19"/>
  <c r="AF991" i="19"/>
  <c r="J988" i="19"/>
  <c r="F988" i="19" s="1"/>
  <c r="L988" i="19"/>
  <c r="V988" i="19"/>
  <c r="W988" i="19" s="1"/>
  <c r="Y988" i="19"/>
  <c r="AD988" i="19"/>
  <c r="AE988" i="19"/>
  <c r="AF988" i="19"/>
  <c r="J990" i="19"/>
  <c r="F990" i="19" s="1"/>
  <c r="L990" i="19"/>
  <c r="V990" i="19"/>
  <c r="W990" i="19" s="1"/>
  <c r="Y990" i="19"/>
  <c r="AD990" i="19"/>
  <c r="AE990" i="19"/>
  <c r="AF990" i="19"/>
  <c r="AH990" i="19"/>
  <c r="AJ990" i="19" s="1"/>
  <c r="J995" i="19"/>
  <c r="F995" i="19" s="1"/>
  <c r="L995" i="19"/>
  <c r="S995" i="19"/>
  <c r="V995" i="19"/>
  <c r="W995" i="19" s="1"/>
  <c r="Y995" i="19"/>
  <c r="AD995" i="19"/>
  <c r="AE995" i="19"/>
  <c r="AF995" i="19"/>
  <c r="J994" i="19"/>
  <c r="F994" i="19" s="1"/>
  <c r="L994" i="19"/>
  <c r="S994" i="19"/>
  <c r="V994" i="19"/>
  <c r="W994" i="19" s="1"/>
  <c r="Y994" i="19"/>
  <c r="AD994" i="19"/>
  <c r="AE994" i="19"/>
  <c r="AF994" i="19"/>
  <c r="J993" i="19"/>
  <c r="L993" i="19"/>
  <c r="AA993" i="19" a="1"/>
  <c r="AA993" i="19" s="1"/>
  <c r="S993" i="19"/>
  <c r="U993" i="19"/>
  <c r="V993" i="19"/>
  <c r="Y993" i="19"/>
  <c r="AC993" i="19"/>
  <c r="AE993" i="19" s="1"/>
  <c r="AG993" i="19"/>
  <c r="J996" i="19"/>
  <c r="F996" i="19" s="1"/>
  <c r="Y996" i="19"/>
  <c r="X996" i="19"/>
  <c r="AD996" i="19"/>
  <c r="AE996" i="19"/>
  <c r="AH996" i="19"/>
  <c r="AJ996" i="19" s="1"/>
  <c r="J1006" i="19"/>
  <c r="F1006" i="19" s="1"/>
  <c r="L1006" i="19"/>
  <c r="V1006" i="19"/>
  <c r="W1006" i="19" s="1"/>
  <c r="Y1006" i="19"/>
  <c r="AD1006" i="19"/>
  <c r="AE1006" i="19"/>
  <c r="AF1006" i="19"/>
  <c r="AH1006" i="19"/>
  <c r="AJ1006" i="19" s="1"/>
  <c r="J1004" i="19"/>
  <c r="F1004" i="19" s="1"/>
  <c r="L1004" i="19"/>
  <c r="V1004" i="19"/>
  <c r="W1004" i="19" s="1"/>
  <c r="Y1004" i="19"/>
  <c r="AD1004" i="19"/>
  <c r="AE1004" i="19"/>
  <c r="AF1004" i="19"/>
  <c r="AH1004" i="19"/>
  <c r="AJ1004" i="19" s="1"/>
  <c r="J1005" i="19"/>
  <c r="F1005" i="19" s="1"/>
  <c r="L1005" i="19"/>
  <c r="V1005" i="19"/>
  <c r="W1005" i="19" s="1"/>
  <c r="Y1005" i="19"/>
  <c r="AD1005" i="19"/>
  <c r="AE1005" i="19"/>
  <c r="AF1005" i="19"/>
  <c r="AH1005" i="19"/>
  <c r="AJ1005" i="19" s="1"/>
  <c r="J1009" i="19"/>
  <c r="L1009" i="19"/>
  <c r="V1009" i="19"/>
  <c r="W1009" i="19" s="1"/>
  <c r="Y1009" i="19"/>
  <c r="AD1009" i="19"/>
  <c r="AE1009" i="19"/>
  <c r="AF1009" i="19"/>
  <c r="J1008" i="19"/>
  <c r="L1008" i="19"/>
  <c r="V1008" i="19"/>
  <c r="W1008" i="19" s="1"/>
  <c r="Y1008" i="19"/>
  <c r="AD1008" i="19"/>
  <c r="AE1008" i="19"/>
  <c r="AF1008" i="19"/>
  <c r="AH1008" i="19"/>
  <c r="AJ1008" i="19" s="1"/>
  <c r="J1007" i="19"/>
  <c r="L1007" i="19"/>
  <c r="V1007" i="19"/>
  <c r="W1007" i="19" s="1"/>
  <c r="Y1007" i="19"/>
  <c r="AD1007" i="19"/>
  <c r="AE1007" i="19"/>
  <c r="AF1007" i="19"/>
  <c r="J1003" i="19"/>
  <c r="F1003" i="19" s="1"/>
  <c r="L1003" i="19"/>
  <c r="V1003" i="19"/>
  <c r="W1003" i="19" s="1"/>
  <c r="Y1003" i="19"/>
  <c r="AD1003" i="19"/>
  <c r="AE1003" i="19"/>
  <c r="AF1003" i="19"/>
  <c r="J1000" i="19"/>
  <c r="F1000" i="19" s="1"/>
  <c r="L1000" i="19"/>
  <c r="S1000" i="19"/>
  <c r="V1000" i="19"/>
  <c r="W1000" i="19" s="1"/>
  <c r="Y1000" i="19"/>
  <c r="AD1000" i="19"/>
  <c r="AE1000" i="19"/>
  <c r="AF1000" i="19"/>
  <c r="AH1000" i="19"/>
  <c r="AJ1000" i="19" s="1"/>
  <c r="J997" i="19"/>
  <c r="L997" i="19"/>
  <c r="AA997" i="19" a="1"/>
  <c r="AA997" i="19" s="1"/>
  <c r="S997" i="19"/>
  <c r="U997" i="19"/>
  <c r="V997" i="19"/>
  <c r="Y997" i="19"/>
  <c r="AD997" i="19"/>
  <c r="AE997" i="19"/>
  <c r="AF997" i="19"/>
  <c r="AH997" i="19"/>
  <c r="J998" i="19"/>
  <c r="L998" i="19"/>
  <c r="S998" i="19"/>
  <c r="V998" i="19"/>
  <c r="W998" i="19" s="1"/>
  <c r="Y998" i="19"/>
  <c r="AD998" i="19"/>
  <c r="AE998" i="19"/>
  <c r="AF998" i="19"/>
  <c r="AH998" i="19"/>
  <c r="AJ998" i="19" s="1"/>
  <c r="J999" i="19"/>
  <c r="F999" i="19" s="1"/>
  <c r="L999" i="19"/>
  <c r="AA999" i="19" a="1"/>
  <c r="AA999" i="19" s="1"/>
  <c r="S999" i="19"/>
  <c r="U999" i="19"/>
  <c r="V999" i="19"/>
  <c r="Y999" i="19"/>
  <c r="AD999" i="19"/>
  <c r="AE999" i="19"/>
  <c r="AF999" i="19"/>
  <c r="J1010" i="19"/>
  <c r="L1010" i="19"/>
  <c r="S1010" i="19"/>
  <c r="V1010" i="19"/>
  <c r="W1010" i="19" s="1"/>
  <c r="Y1010" i="19"/>
  <c r="AC1010" i="19"/>
  <c r="AD1010" i="19" s="1"/>
  <c r="AG1010" i="19"/>
  <c r="J1002" i="19"/>
  <c r="L1002" i="19"/>
  <c r="AA1002" i="19" a="1"/>
  <c r="AA1002" i="19" s="1"/>
  <c r="S1002" i="19"/>
  <c r="U1002" i="19"/>
  <c r="V1002" i="19"/>
  <c r="Y1002" i="19"/>
  <c r="AC1002" i="19"/>
  <c r="AF1002" i="19" s="1"/>
  <c r="AG1002" i="19"/>
  <c r="AH1002" i="19"/>
  <c r="J1001" i="19"/>
  <c r="L1001" i="19"/>
  <c r="AA1001" i="19" a="1"/>
  <c r="AA1001" i="19" s="1"/>
  <c r="S1001" i="19"/>
  <c r="U1001" i="19"/>
  <c r="V1001" i="19"/>
  <c r="Y1001" i="19"/>
  <c r="AC1001" i="19"/>
  <c r="AF1001" i="19" s="1"/>
  <c r="AG1001" i="19"/>
  <c r="J1011" i="19"/>
  <c r="L1011" i="19"/>
  <c r="AA1011" i="19" a="1"/>
  <c r="AA1011" i="19" s="1"/>
  <c r="S1011" i="19"/>
  <c r="U1011" i="19"/>
  <c r="V1011" i="19"/>
  <c r="Y1011" i="19"/>
  <c r="AC1011" i="19"/>
  <c r="AD1011" i="19" s="1"/>
  <c r="AG1011" i="19"/>
  <c r="AH1011" i="19"/>
  <c r="J1012" i="19"/>
  <c r="L1012" i="19"/>
  <c r="AA1012" i="19" a="1"/>
  <c r="AA1012" i="19" s="1"/>
  <c r="S1012" i="19"/>
  <c r="U1012" i="19"/>
  <c r="V1012" i="19"/>
  <c r="Y1012" i="19"/>
  <c r="AC1012" i="19"/>
  <c r="AE1012" i="19" s="1"/>
  <c r="AG1012" i="19"/>
  <c r="AH1012" i="19"/>
  <c r="J1013" i="19"/>
  <c r="L1013" i="19"/>
  <c r="AA1013" i="19" a="1"/>
  <c r="AA1013" i="19" s="1"/>
  <c r="S1013" i="19"/>
  <c r="U1013" i="19"/>
  <c r="V1013" i="19"/>
  <c r="Y1013" i="19"/>
  <c r="AC1013" i="19"/>
  <c r="AE1013" i="19" s="1"/>
  <c r="AG1013" i="19"/>
  <c r="AH1013" i="19"/>
  <c r="J1015" i="19"/>
  <c r="F1015" i="19" s="1"/>
  <c r="L1015" i="19"/>
  <c r="S1015" i="19"/>
  <c r="V1015" i="19"/>
  <c r="W1015" i="19" s="1"/>
  <c r="Y1015" i="19"/>
  <c r="AD1015" i="19"/>
  <c r="AE1015" i="19"/>
  <c r="AF1015" i="19"/>
  <c r="J1016" i="19"/>
  <c r="F1016" i="19" s="1"/>
  <c r="L1016" i="19"/>
  <c r="S1016" i="19"/>
  <c r="V1016" i="19"/>
  <c r="W1016" i="19" s="1"/>
  <c r="Y1016" i="19"/>
  <c r="AD1016" i="19"/>
  <c r="AE1016" i="19"/>
  <c r="AF1016" i="19"/>
  <c r="AG1016" i="19"/>
  <c r="J1014" i="19"/>
  <c r="L1014" i="19"/>
  <c r="V1014" i="19"/>
  <c r="W1014" i="19" s="1"/>
  <c r="Y1014" i="19"/>
  <c r="AC1014" i="19"/>
  <c r="AF1014" i="19" s="1"/>
  <c r="AG1014" i="19"/>
  <c r="AH1014" i="19"/>
  <c r="AJ1014" i="19" s="1"/>
  <c r="J1024" i="19"/>
  <c r="F1024" i="19" s="1"/>
  <c r="L1024" i="19"/>
  <c r="S1024" i="19"/>
  <c r="V1024" i="19"/>
  <c r="W1024" i="19" s="1"/>
  <c r="Y1024" i="19"/>
  <c r="AD1024" i="19"/>
  <c r="AJ1024" i="19"/>
  <c r="J1025" i="19"/>
  <c r="L1025" i="19"/>
  <c r="S1025" i="19"/>
  <c r="V1025" i="19"/>
  <c r="W1025" i="19" s="1"/>
  <c r="Y1025" i="19"/>
  <c r="AC1025" i="19"/>
  <c r="AG1025" i="19"/>
  <c r="AH1025" i="19"/>
  <c r="AJ1025" i="19" s="1"/>
  <c r="J1026" i="19"/>
  <c r="F1026" i="19" s="1"/>
  <c r="L1026" i="19"/>
  <c r="S1026" i="19"/>
  <c r="V1026" i="19"/>
  <c r="W1026" i="19" s="1"/>
  <c r="Y1026" i="19"/>
  <c r="AC1026" i="19"/>
  <c r="AD1026" i="19" s="1"/>
  <c r="AG1026" i="19"/>
  <c r="AH1026" i="19"/>
  <c r="AJ1026" i="19" s="1"/>
  <c r="J1023" i="19"/>
  <c r="F1023" i="19" s="1"/>
  <c r="L1023" i="19"/>
  <c r="S1023" i="19"/>
  <c r="V1023" i="19"/>
  <c r="W1023" i="19" s="1"/>
  <c r="Y1023" i="19"/>
  <c r="AC1023" i="19"/>
  <c r="AE1023" i="19" s="1"/>
  <c r="AG1023" i="19"/>
  <c r="AH1023" i="19"/>
  <c r="AJ1023" i="19" s="1"/>
  <c r="J1020" i="19"/>
  <c r="F1020" i="19" s="1"/>
  <c r="L1020" i="19"/>
  <c r="V1020" i="19"/>
  <c r="W1020" i="19" s="1"/>
  <c r="Y1020" i="19"/>
  <c r="AD1020" i="19"/>
  <c r="AE1020" i="19"/>
  <c r="AF1020" i="19"/>
  <c r="J1019" i="19"/>
  <c r="F1019" i="19" s="1"/>
  <c r="L1019" i="19"/>
  <c r="V1019" i="19"/>
  <c r="W1019" i="19" s="1"/>
  <c r="Y1019" i="19"/>
  <c r="AD1019" i="19"/>
  <c r="AE1019" i="19"/>
  <c r="AF1019" i="19"/>
  <c r="AH1019" i="19"/>
  <c r="AJ1019" i="19" s="1"/>
  <c r="J1017" i="19"/>
  <c r="F1017" i="19" s="1"/>
  <c r="L1017" i="19"/>
  <c r="V1017" i="19"/>
  <c r="W1017" i="19" s="1"/>
  <c r="Y1017" i="19"/>
  <c r="AD1017" i="19"/>
  <c r="AE1017" i="19"/>
  <c r="AF1017" i="19"/>
  <c r="AH1017" i="19"/>
  <c r="AJ1017" i="19" s="1"/>
  <c r="J1022" i="19"/>
  <c r="L1022" i="19"/>
  <c r="V1022" i="19"/>
  <c r="W1022" i="19" s="1"/>
  <c r="Y1022" i="19"/>
  <c r="AD1022" i="19"/>
  <c r="AE1022" i="19"/>
  <c r="AF1022" i="19"/>
  <c r="AH1022" i="19"/>
  <c r="AJ1022" i="19" s="1"/>
  <c r="J1021" i="19"/>
  <c r="L1021" i="19"/>
  <c r="V1021" i="19"/>
  <c r="W1021" i="19" s="1"/>
  <c r="Y1021" i="19"/>
  <c r="AD1021" i="19"/>
  <c r="AE1021" i="19"/>
  <c r="AF1021" i="19"/>
  <c r="J1018" i="19"/>
  <c r="L1018" i="19"/>
  <c r="V1018" i="19"/>
  <c r="W1018" i="19" s="1"/>
  <c r="Y1018" i="19"/>
  <c r="AD1018" i="19"/>
  <c r="AE1018" i="19"/>
  <c r="AF1018" i="19"/>
  <c r="J1028" i="19"/>
  <c r="F1028" i="19" s="1"/>
  <c r="L1028" i="19"/>
  <c r="AA1028" i="19" a="1"/>
  <c r="AA1028" i="19" s="1"/>
  <c r="S1028" i="19"/>
  <c r="U1028" i="19"/>
  <c r="V1028" i="19"/>
  <c r="Y1028" i="19"/>
  <c r="AC1028" i="19"/>
  <c r="AD1028" i="19" s="1"/>
  <c r="AG1028" i="19"/>
  <c r="J1029" i="19"/>
  <c r="F1029" i="19" s="1"/>
  <c r="L1029" i="19"/>
  <c r="AA1029" i="19" a="1"/>
  <c r="AA1029" i="19" s="1"/>
  <c r="S1029" i="19"/>
  <c r="U1029" i="19"/>
  <c r="V1029" i="19"/>
  <c r="Y1029" i="19"/>
  <c r="AC1029" i="19"/>
  <c r="AG1029" i="19"/>
  <c r="J1027" i="19"/>
  <c r="F1027" i="19" s="1"/>
  <c r="L1027" i="19"/>
  <c r="AA1027" i="19" a="1"/>
  <c r="AA1027" i="19" s="1"/>
  <c r="S1027" i="19"/>
  <c r="U1027" i="19"/>
  <c r="V1027" i="19"/>
  <c r="Y1027" i="19"/>
  <c r="AC1027" i="19"/>
  <c r="AF1027" i="19" s="1"/>
  <c r="AG1027" i="19"/>
  <c r="J1031" i="19"/>
  <c r="F1031" i="19" s="1"/>
  <c r="S1031" i="19"/>
  <c r="V1031" i="19"/>
  <c r="W1031" i="19" s="1"/>
  <c r="Y1031" i="19"/>
  <c r="X1031" i="19"/>
  <c r="AD1031" i="19"/>
  <c r="AE1031" i="19"/>
  <c r="AF1031" i="19"/>
  <c r="AG1031" i="19"/>
  <c r="AI1031" i="19"/>
  <c r="J1030" i="19"/>
  <c r="S1030" i="19"/>
  <c r="V1030" i="19"/>
  <c r="W1030" i="19" s="1"/>
  <c r="Y1030" i="19"/>
  <c r="X1030" i="19"/>
  <c r="AD1030" i="19"/>
  <c r="AE1030" i="19"/>
  <c r="AF1030" i="19"/>
  <c r="AG1030" i="19"/>
  <c r="AI1030" i="19"/>
  <c r="J1032" i="19"/>
  <c r="S1032" i="19"/>
  <c r="V1032" i="19"/>
  <c r="W1032" i="19" s="1"/>
  <c r="Y1032" i="19"/>
  <c r="X1032" i="19"/>
  <c r="AD1032" i="19"/>
  <c r="AE1032" i="19"/>
  <c r="AF1032" i="19"/>
  <c r="AG1032" i="19"/>
  <c r="AI1032" i="19"/>
  <c r="J1033" i="19"/>
  <c r="F1033" i="19" s="1"/>
  <c r="L1033" i="19"/>
  <c r="V1033" i="19"/>
  <c r="W1033" i="19" s="1"/>
  <c r="Y1033" i="19"/>
  <c r="AD1033" i="19"/>
  <c r="AE1033" i="19"/>
  <c r="AF1033" i="19"/>
  <c r="AG1033" i="19"/>
  <c r="J1035" i="19"/>
  <c r="L1035" i="19"/>
  <c r="S1035" i="19"/>
  <c r="V1035" i="19"/>
  <c r="W1035" i="19" s="1"/>
  <c r="Y1035" i="19"/>
  <c r="AD1035" i="19"/>
  <c r="AE1035" i="19"/>
  <c r="AF1035" i="19"/>
  <c r="J1034" i="19"/>
  <c r="F1034" i="19" s="1"/>
  <c r="L1034" i="19"/>
  <c r="S1034" i="19"/>
  <c r="V1034" i="19"/>
  <c r="W1034" i="19" s="1"/>
  <c r="Y1034" i="19"/>
  <c r="AD1034" i="19"/>
  <c r="AE1034" i="19"/>
  <c r="AF1034" i="19"/>
  <c r="AH1034" i="19"/>
  <c r="AJ1034" i="19" s="1"/>
  <c r="J1041" i="19"/>
  <c r="F1041" i="19" s="1"/>
  <c r="L1041" i="19"/>
  <c r="S1041" i="19"/>
  <c r="V1041" i="19"/>
  <c r="W1041" i="19" s="1"/>
  <c r="Y1041" i="19"/>
  <c r="AD1041" i="19"/>
  <c r="AE1041" i="19"/>
  <c r="AF1041" i="19"/>
  <c r="J1040" i="19"/>
  <c r="F1040" i="19" s="1"/>
  <c r="L1040" i="19"/>
  <c r="S1040" i="19"/>
  <c r="V1040" i="19"/>
  <c r="W1040" i="19" s="1"/>
  <c r="Y1040" i="19"/>
  <c r="AD1040" i="19"/>
  <c r="AE1040" i="19"/>
  <c r="AF1040" i="19"/>
  <c r="AH1040" i="19"/>
  <c r="AJ1040" i="19" s="1"/>
  <c r="J1036" i="19"/>
  <c r="F1036" i="19" s="1"/>
  <c r="L1036" i="19"/>
  <c r="AA1036" i="19" a="1"/>
  <c r="AA1036" i="19" s="1"/>
  <c r="U1036" i="19"/>
  <c r="V1036" i="19"/>
  <c r="Y1036" i="19"/>
  <c r="AD1036" i="19"/>
  <c r="AE1036" i="19"/>
  <c r="AF1036" i="19"/>
  <c r="J1039" i="19"/>
  <c r="F1039" i="19" s="1"/>
  <c r="L1039" i="19"/>
  <c r="V1039" i="19"/>
  <c r="W1039" i="19" s="1"/>
  <c r="Y1039" i="19"/>
  <c r="AD1039" i="19"/>
  <c r="AE1039" i="19"/>
  <c r="AF1039" i="19"/>
  <c r="J1037" i="19"/>
  <c r="L1037" i="19"/>
  <c r="V1037" i="19"/>
  <c r="W1037" i="19" s="1"/>
  <c r="Y1037" i="19"/>
  <c r="AD1037" i="19"/>
  <c r="AE1037" i="19"/>
  <c r="AF1037" i="19"/>
  <c r="AI1037" i="19"/>
  <c r="J1038" i="19"/>
  <c r="F1038" i="19" s="1"/>
  <c r="L1038" i="19"/>
  <c r="V1038" i="19"/>
  <c r="W1038" i="19" s="1"/>
  <c r="Y1038" i="19"/>
  <c r="AD1038" i="19"/>
  <c r="AE1038" i="19"/>
  <c r="AF1038" i="19"/>
  <c r="J1043" i="19"/>
  <c r="L1043" i="19"/>
  <c r="V1043" i="19"/>
  <c r="W1043" i="19" s="1"/>
  <c r="Y1043" i="19"/>
  <c r="AD1043" i="19"/>
  <c r="AE1043" i="19"/>
  <c r="AF1043" i="19"/>
  <c r="AH1043" i="19"/>
  <c r="AJ1043" i="19" s="1"/>
  <c r="J1044" i="19"/>
  <c r="F1044" i="19" s="1"/>
  <c r="L1044" i="19"/>
  <c r="V1044" i="19"/>
  <c r="W1044" i="19" s="1"/>
  <c r="Y1044" i="19"/>
  <c r="AD1044" i="19"/>
  <c r="AE1044" i="19"/>
  <c r="AF1044" i="19"/>
  <c r="J1042" i="19"/>
  <c r="F1042" i="19" s="1"/>
  <c r="L1042" i="19"/>
  <c r="S1042" i="19"/>
  <c r="V1042" i="19"/>
  <c r="W1042" i="19" s="1"/>
  <c r="Y1042" i="19"/>
  <c r="AD1042" i="19"/>
  <c r="AE1042" i="19"/>
  <c r="AF1042" i="19"/>
  <c r="AH1042" i="19"/>
  <c r="AJ1042" i="19" s="1"/>
  <c r="J1045" i="19"/>
  <c r="F1045" i="19" s="1"/>
  <c r="L1045" i="19"/>
  <c r="S1045" i="19"/>
  <c r="V1045" i="19"/>
  <c r="W1045" i="19" s="1"/>
  <c r="Y1045" i="19"/>
  <c r="AD1045" i="19"/>
  <c r="AE1045" i="19"/>
  <c r="AF1045" i="19"/>
  <c r="AH1045" i="19"/>
  <c r="AJ1045" i="19" s="1"/>
  <c r="J1046" i="19"/>
  <c r="F1046" i="19" s="1"/>
  <c r="L1046" i="19"/>
  <c r="S1046" i="19"/>
  <c r="V1046" i="19"/>
  <c r="W1046" i="19" s="1"/>
  <c r="Y1046" i="19"/>
  <c r="AD1046" i="19"/>
  <c r="AE1046" i="19"/>
  <c r="AF1046" i="19"/>
  <c r="AH1046" i="19"/>
  <c r="AJ1046" i="19" s="1"/>
  <c r="J1048" i="19"/>
  <c r="F1048" i="19" s="1"/>
  <c r="L1048" i="19"/>
  <c r="S1048" i="19"/>
  <c r="V1048" i="19"/>
  <c r="W1048" i="19" s="1"/>
  <c r="Y1048" i="19"/>
  <c r="AD1048" i="19"/>
  <c r="AE1048" i="19"/>
  <c r="AF1048" i="19"/>
  <c r="J1047" i="19"/>
  <c r="L1047" i="19"/>
  <c r="S1047" i="19"/>
  <c r="V1047" i="19"/>
  <c r="W1047" i="19" s="1"/>
  <c r="Y1047" i="19"/>
  <c r="AD1047" i="19"/>
  <c r="AE1047" i="19"/>
  <c r="AF1047" i="19"/>
  <c r="AH1047" i="19"/>
  <c r="AJ1047" i="19" s="1"/>
  <c r="J1050" i="19"/>
  <c r="S1050" i="19"/>
  <c r="V1050" i="19"/>
  <c r="W1050" i="19" s="1"/>
  <c r="Y1050" i="19"/>
  <c r="X1050" i="19"/>
  <c r="AD1050" i="19"/>
  <c r="AE1050" i="19"/>
  <c r="AF1050" i="19"/>
  <c r="AG1050" i="19"/>
  <c r="AI1050" i="19"/>
  <c r="J1051" i="19"/>
  <c r="F1051" i="19" s="1"/>
  <c r="S1051" i="19"/>
  <c r="V1051" i="19"/>
  <c r="W1051" i="19" s="1"/>
  <c r="Y1051" i="19"/>
  <c r="X1051" i="19"/>
  <c r="AD1051" i="19"/>
  <c r="AE1051" i="19"/>
  <c r="AF1051" i="19"/>
  <c r="AG1051" i="19"/>
  <c r="AI1051" i="19"/>
  <c r="J1049" i="19"/>
  <c r="S1049" i="19"/>
  <c r="V1049" i="19"/>
  <c r="W1049" i="19" s="1"/>
  <c r="Y1049" i="19"/>
  <c r="X1049" i="19"/>
  <c r="AD1049" i="19"/>
  <c r="AE1049" i="19"/>
  <c r="AF1049" i="19"/>
  <c r="AG1049" i="19"/>
  <c r="AI1049" i="19"/>
  <c r="J1059" i="19"/>
  <c r="F1059" i="19" s="1"/>
  <c r="L1059" i="19"/>
  <c r="AA1059" i="19" a="1"/>
  <c r="AA1059" i="19" s="1"/>
  <c r="S1059" i="19"/>
  <c r="U1059" i="19"/>
  <c r="V1059" i="19"/>
  <c r="Y1059" i="19"/>
  <c r="AD1059" i="19"/>
  <c r="AE1059" i="19"/>
  <c r="AF1059" i="19"/>
  <c r="AH1059" i="19"/>
  <c r="J1058" i="19"/>
  <c r="F1058" i="19" s="1"/>
  <c r="L1058" i="19"/>
  <c r="AA1058" i="19" a="1"/>
  <c r="AA1058" i="19" s="1"/>
  <c r="S1058" i="19"/>
  <c r="U1058" i="19"/>
  <c r="V1058" i="19"/>
  <c r="Y1058" i="19"/>
  <c r="AD1058" i="19"/>
  <c r="AE1058" i="19"/>
  <c r="AF1058" i="19"/>
  <c r="AH1058" i="19"/>
  <c r="J1053" i="19"/>
  <c r="F1053" i="19" s="1"/>
  <c r="L1053" i="19"/>
  <c r="V1053" i="19"/>
  <c r="W1053" i="19" s="1"/>
  <c r="Y1053" i="19"/>
  <c r="AD1053" i="19"/>
  <c r="AE1053" i="19"/>
  <c r="AF1053" i="19"/>
  <c r="J1052" i="19"/>
  <c r="L1052" i="19"/>
  <c r="V1052" i="19"/>
  <c r="W1052" i="19" s="1"/>
  <c r="Y1052" i="19"/>
  <c r="AD1052" i="19"/>
  <c r="AE1052" i="19"/>
  <c r="AF1052" i="19"/>
  <c r="J1056" i="19"/>
  <c r="F1056" i="19" s="1"/>
  <c r="L1056" i="19"/>
  <c r="V1056" i="19"/>
  <c r="W1056" i="19" s="1"/>
  <c r="Y1056" i="19"/>
  <c r="AD1056" i="19"/>
  <c r="AE1056" i="19"/>
  <c r="AF1056" i="19"/>
  <c r="AH1056" i="19"/>
  <c r="AJ1056" i="19" s="1"/>
  <c r="J1054" i="19"/>
  <c r="F1054" i="19" s="1"/>
  <c r="L1054" i="19"/>
  <c r="V1054" i="19"/>
  <c r="W1054" i="19" s="1"/>
  <c r="Y1054" i="19"/>
  <c r="AD1054" i="19"/>
  <c r="AE1054" i="19"/>
  <c r="AF1054" i="19"/>
  <c r="AH1054" i="19"/>
  <c r="AJ1054" i="19" s="1"/>
  <c r="J1055" i="19"/>
  <c r="L1055" i="19"/>
  <c r="V1055" i="19"/>
  <c r="W1055" i="19" s="1"/>
  <c r="Y1055" i="19"/>
  <c r="AD1055" i="19"/>
  <c r="AE1055" i="19"/>
  <c r="AF1055" i="19"/>
  <c r="J1057" i="19"/>
  <c r="L1057" i="19"/>
  <c r="V1057" i="19"/>
  <c r="W1057" i="19" s="1"/>
  <c r="Y1057" i="19"/>
  <c r="AD1057" i="19"/>
  <c r="AE1057" i="19"/>
  <c r="AF1057" i="19"/>
  <c r="J1060" i="19"/>
  <c r="F1060" i="19" s="1"/>
  <c r="L1060" i="19"/>
  <c r="S1060" i="19"/>
  <c r="V1060" i="19"/>
  <c r="W1060" i="19" s="1"/>
  <c r="Y1060" i="19"/>
  <c r="AC1060" i="19"/>
  <c r="AF1060" i="19" s="1"/>
  <c r="AG1060" i="19"/>
  <c r="AH1060" i="19"/>
  <c r="AJ1060" i="19" s="1"/>
  <c r="J1061" i="19"/>
  <c r="F1061" i="19" s="1"/>
  <c r="L1061" i="19"/>
  <c r="V1061" i="19"/>
  <c r="W1061" i="19" s="1"/>
  <c r="Y1061" i="19"/>
  <c r="AD1061" i="19"/>
  <c r="AE1061" i="19"/>
  <c r="AF1061" i="19"/>
  <c r="AG1061" i="19"/>
  <c r="AH1061" i="19"/>
  <c r="AJ1061" i="19" s="1"/>
  <c r="J1062" i="19"/>
  <c r="F1062" i="19" s="1"/>
  <c r="L1062" i="19"/>
  <c r="V1062" i="19"/>
  <c r="W1062" i="19" s="1"/>
  <c r="Y1062" i="19"/>
  <c r="AD1062" i="19"/>
  <c r="AE1062" i="19"/>
  <c r="AF1062" i="19"/>
  <c r="AG1062" i="19"/>
  <c r="AH1062" i="19"/>
  <c r="AJ1062" i="19" s="1"/>
  <c r="J1063" i="19"/>
  <c r="F1063" i="19" s="1"/>
  <c r="L1063" i="19"/>
  <c r="V1063" i="19"/>
  <c r="W1063" i="19" s="1"/>
  <c r="Y1063" i="19"/>
  <c r="AD1063" i="19"/>
  <c r="AE1063" i="19"/>
  <c r="AF1063" i="19"/>
  <c r="AG1063" i="19"/>
  <c r="AH1063" i="19"/>
  <c r="AJ1063" i="19" s="1"/>
  <c r="J1064" i="19"/>
  <c r="F1064" i="19" s="1"/>
  <c r="L1064" i="19"/>
  <c r="V1064" i="19"/>
  <c r="W1064" i="19" s="1"/>
  <c r="Y1064" i="19"/>
  <c r="AD1064" i="19"/>
  <c r="AE1064" i="19"/>
  <c r="AF1064" i="19"/>
  <c r="AG1064" i="19"/>
  <c r="AH1064" i="19"/>
  <c r="AJ1064" i="19" s="1"/>
  <c r="J1065" i="19"/>
  <c r="F1065" i="19" s="1"/>
  <c r="L1065" i="19"/>
  <c r="V1065" i="19"/>
  <c r="W1065" i="19" s="1"/>
  <c r="Y1065" i="19"/>
  <c r="AD1065" i="19"/>
  <c r="AE1065" i="19"/>
  <c r="AF1065" i="19"/>
  <c r="AG1065" i="19"/>
  <c r="AH1065" i="19"/>
  <c r="AJ1065" i="19" s="1"/>
  <c r="J1066" i="19"/>
  <c r="F1066" i="19" s="1"/>
  <c r="L1066" i="19"/>
  <c r="V1066" i="19"/>
  <c r="W1066" i="19" s="1"/>
  <c r="Y1066" i="19"/>
  <c r="AD1066" i="19"/>
  <c r="AE1066" i="19"/>
  <c r="AF1066" i="19"/>
  <c r="AG1066" i="19"/>
  <c r="AH1066" i="19"/>
  <c r="AJ1066" i="19" s="1"/>
  <c r="J1067" i="19"/>
  <c r="F1067" i="19" s="1"/>
  <c r="L1067" i="19"/>
  <c r="V1067" i="19"/>
  <c r="W1067" i="19" s="1"/>
  <c r="Y1067" i="19"/>
  <c r="AD1067" i="19"/>
  <c r="AE1067" i="19"/>
  <c r="AF1067" i="19"/>
  <c r="AG1067" i="19"/>
  <c r="AH1067" i="19"/>
  <c r="AJ1067" i="19" s="1"/>
  <c r="J1068" i="19"/>
  <c r="F1068" i="19" s="1"/>
  <c r="L1068" i="19"/>
  <c r="V1068" i="19"/>
  <c r="W1068" i="19" s="1"/>
  <c r="Y1068" i="19"/>
  <c r="AD1068" i="19"/>
  <c r="AE1068" i="19"/>
  <c r="AF1068" i="19"/>
  <c r="AG1068" i="19"/>
  <c r="AH1068" i="19"/>
  <c r="AJ1068" i="19" s="1"/>
  <c r="J1069" i="19"/>
  <c r="F1069" i="19" s="1"/>
  <c r="L1069" i="19"/>
  <c r="V1069" i="19"/>
  <c r="W1069" i="19" s="1"/>
  <c r="Y1069" i="19"/>
  <c r="AD1069" i="19"/>
  <c r="AE1069" i="19"/>
  <c r="AF1069" i="19"/>
  <c r="AG1069" i="19"/>
  <c r="AH1069" i="19"/>
  <c r="AJ1069" i="19" s="1"/>
  <c r="J1070" i="19"/>
  <c r="F1070" i="19" s="1"/>
  <c r="L1070" i="19"/>
  <c r="V1070" i="19"/>
  <c r="W1070" i="19" s="1"/>
  <c r="Y1070" i="19"/>
  <c r="AD1070" i="19"/>
  <c r="AE1070" i="19"/>
  <c r="AF1070" i="19"/>
  <c r="AG1070" i="19"/>
  <c r="AH1070" i="19"/>
  <c r="AJ1070" i="19" s="1"/>
  <c r="J1071" i="19"/>
  <c r="F1071" i="19" s="1"/>
  <c r="L1071" i="19"/>
  <c r="V1071" i="19"/>
  <c r="W1071" i="19" s="1"/>
  <c r="Y1071" i="19"/>
  <c r="AD1071" i="19"/>
  <c r="AE1071" i="19"/>
  <c r="AF1071" i="19"/>
  <c r="AG1071" i="19"/>
  <c r="AH1071" i="19"/>
  <c r="AJ1071" i="19" s="1"/>
  <c r="J1072" i="19"/>
  <c r="F1072" i="19" s="1"/>
  <c r="L1072" i="19"/>
  <c r="V1072" i="19"/>
  <c r="W1072" i="19" s="1"/>
  <c r="Y1072" i="19"/>
  <c r="AD1072" i="19"/>
  <c r="AE1072" i="19"/>
  <c r="AF1072" i="19"/>
  <c r="AG1072" i="19"/>
  <c r="AH1072" i="19"/>
  <c r="AJ1072" i="19" s="1"/>
  <c r="J1073" i="19"/>
  <c r="F1073" i="19" s="1"/>
  <c r="L1073" i="19"/>
  <c r="V1073" i="19"/>
  <c r="W1073" i="19" s="1"/>
  <c r="Y1073" i="19"/>
  <c r="AD1073" i="19"/>
  <c r="AE1073" i="19"/>
  <c r="AF1073" i="19"/>
  <c r="AG1073" i="19"/>
  <c r="AH1073" i="19"/>
  <c r="AJ1073" i="19" s="1"/>
  <c r="J1074" i="19"/>
  <c r="F1074" i="19" s="1"/>
  <c r="L1074" i="19"/>
  <c r="V1074" i="19"/>
  <c r="W1074" i="19" s="1"/>
  <c r="Y1074" i="19"/>
  <c r="AD1074" i="19"/>
  <c r="AE1074" i="19"/>
  <c r="AF1074" i="19"/>
  <c r="AG1074" i="19"/>
  <c r="AH1074" i="19"/>
  <c r="AJ1074" i="19" s="1"/>
  <c r="J1076" i="19"/>
  <c r="F1076" i="19" s="1"/>
  <c r="L1076" i="19"/>
  <c r="S1076" i="19"/>
  <c r="V1076" i="19"/>
  <c r="W1076" i="19" s="1"/>
  <c r="Y1076" i="19"/>
  <c r="AC1076" i="19"/>
  <c r="AD1076" i="19" s="1"/>
  <c r="AG1076" i="19"/>
  <c r="AH1076" i="19"/>
  <c r="AJ1076" i="19" s="1"/>
  <c r="J1075" i="19"/>
  <c r="L1075" i="19"/>
  <c r="S1075" i="19"/>
  <c r="V1075" i="19"/>
  <c r="W1075" i="19" s="1"/>
  <c r="Y1075" i="19"/>
  <c r="AC1075" i="19"/>
  <c r="AG1075" i="19"/>
  <c r="AH1075" i="19"/>
  <c r="AJ1075" i="19" s="1"/>
  <c r="J1080" i="19"/>
  <c r="F1080" i="19" s="1"/>
  <c r="L1080" i="19"/>
  <c r="S1080" i="19"/>
  <c r="V1080" i="19"/>
  <c r="W1080" i="19" s="1"/>
  <c r="Y1080" i="19"/>
  <c r="AC1080" i="19"/>
  <c r="AE1080" i="19" s="1"/>
  <c r="AG1080" i="19"/>
  <c r="AH1080" i="19"/>
  <c r="AJ1080" i="19" s="1"/>
  <c r="J1078" i="19"/>
  <c r="L1078" i="19"/>
  <c r="S1078" i="19"/>
  <c r="V1078" i="19"/>
  <c r="W1078" i="19" s="1"/>
  <c r="Y1078" i="19"/>
  <c r="AD1078" i="19"/>
  <c r="AE1078" i="19"/>
  <c r="AF1078" i="19"/>
  <c r="AG1078" i="19"/>
  <c r="J1079" i="19"/>
  <c r="F1079" i="19" s="1"/>
  <c r="L1079" i="19"/>
  <c r="S1079" i="19"/>
  <c r="V1079" i="19"/>
  <c r="W1079" i="19" s="1"/>
  <c r="Y1079" i="19"/>
  <c r="AD1079" i="19"/>
  <c r="AE1079" i="19"/>
  <c r="AF1079" i="19"/>
  <c r="AG1079" i="19"/>
  <c r="AH1079" i="19"/>
  <c r="AJ1079" i="19" s="1"/>
  <c r="J1077" i="19"/>
  <c r="L1077" i="19"/>
  <c r="S1077" i="19"/>
  <c r="V1077" i="19"/>
  <c r="W1077" i="19" s="1"/>
  <c r="Y1077" i="19"/>
  <c r="AC1077" i="19"/>
  <c r="AD1077" i="19" s="1"/>
  <c r="AG1077" i="19"/>
  <c r="AH1077" i="19"/>
  <c r="AJ1077" i="19" s="1"/>
  <c r="J1081" i="19"/>
  <c r="L1081" i="19"/>
  <c r="AA1081" i="19" a="1"/>
  <c r="AA1081" i="19" s="1"/>
  <c r="S1081" i="19"/>
  <c r="U1081" i="19"/>
  <c r="V1081" i="19"/>
  <c r="Y1081" i="19"/>
  <c r="AC1081" i="19"/>
  <c r="AG1081" i="19"/>
  <c r="AH1081" i="19"/>
  <c r="J1082" i="19"/>
  <c r="L1082" i="19"/>
  <c r="AA1082" i="19" a="1"/>
  <c r="AA1082" i="19" s="1"/>
  <c r="S1082" i="19"/>
  <c r="U1082" i="19"/>
  <c r="V1082" i="19"/>
  <c r="Y1082" i="19"/>
  <c r="AC1082" i="19"/>
  <c r="AE1082" i="19" s="1"/>
  <c r="AG1082" i="19"/>
  <c r="J1083" i="19"/>
  <c r="L1083" i="19"/>
  <c r="S1083" i="19"/>
  <c r="V1083" i="19"/>
  <c r="W1083" i="19" s="1"/>
  <c r="Y1083" i="19"/>
  <c r="AC1083" i="19"/>
  <c r="AG1083" i="19"/>
  <c r="AH1083" i="19"/>
  <c r="AJ1083" i="19" s="1"/>
  <c r="AI1083" i="19"/>
  <c r="J1084" i="19"/>
  <c r="L1084" i="19"/>
  <c r="S1084" i="19"/>
  <c r="V1084" i="19"/>
  <c r="W1084" i="19" s="1"/>
  <c r="Y1084" i="19"/>
  <c r="AC1084" i="19"/>
  <c r="AG1084" i="19"/>
  <c r="AH1084" i="19"/>
  <c r="AJ1084" i="19" s="1"/>
  <c r="J1088" i="19"/>
  <c r="F1088" i="19" s="1"/>
  <c r="L1088" i="19"/>
  <c r="V1088" i="19"/>
  <c r="W1088" i="19" s="1"/>
  <c r="Y1088" i="19"/>
  <c r="AD1088" i="19"/>
  <c r="AE1088" i="19"/>
  <c r="AF1088" i="19"/>
  <c r="AH1088" i="19"/>
  <c r="AJ1088" i="19" s="1"/>
  <c r="J1093" i="19"/>
  <c r="L1093" i="19"/>
  <c r="V1093" i="19"/>
  <c r="W1093" i="19" s="1"/>
  <c r="Y1093" i="19"/>
  <c r="AD1093" i="19"/>
  <c r="AE1093" i="19"/>
  <c r="AF1093" i="19"/>
  <c r="AI1093" i="19"/>
  <c r="J1094" i="19"/>
  <c r="F1094" i="19" s="1"/>
  <c r="L1094" i="19"/>
  <c r="V1094" i="19"/>
  <c r="W1094" i="19" s="1"/>
  <c r="Y1094" i="19"/>
  <c r="AD1094" i="19"/>
  <c r="AE1094" i="19"/>
  <c r="AF1094" i="19"/>
  <c r="J1092" i="19"/>
  <c r="F1092" i="19" s="1"/>
  <c r="L1092" i="19"/>
  <c r="V1092" i="19"/>
  <c r="W1092" i="19" s="1"/>
  <c r="Y1092" i="19"/>
  <c r="AD1092" i="19"/>
  <c r="AE1092" i="19"/>
  <c r="AF1092" i="19"/>
  <c r="AH1092" i="19"/>
  <c r="AJ1092" i="19" s="1"/>
  <c r="J1090" i="19"/>
  <c r="L1090" i="19"/>
  <c r="V1090" i="19"/>
  <c r="W1090" i="19" s="1"/>
  <c r="Y1090" i="19"/>
  <c r="AD1090" i="19"/>
  <c r="AE1090" i="19"/>
  <c r="AF1090" i="19"/>
  <c r="AH1090" i="19"/>
  <c r="AJ1090" i="19" s="1"/>
  <c r="J1089" i="19"/>
  <c r="F1089" i="19" s="1"/>
  <c r="L1089" i="19"/>
  <c r="V1089" i="19"/>
  <c r="W1089" i="19" s="1"/>
  <c r="Y1089" i="19"/>
  <c r="AD1089" i="19"/>
  <c r="AE1089" i="19"/>
  <c r="AF1089" i="19"/>
  <c r="J1091" i="19"/>
  <c r="F1091" i="19" s="1"/>
  <c r="L1091" i="19"/>
  <c r="V1091" i="19"/>
  <c r="W1091" i="19" s="1"/>
  <c r="Y1091" i="19"/>
  <c r="AD1091" i="19"/>
  <c r="AE1091" i="19"/>
  <c r="AF1091" i="19"/>
  <c r="AH1091" i="19"/>
  <c r="AJ1091" i="19" s="1"/>
  <c r="J1087" i="19"/>
  <c r="F1087" i="19" s="1"/>
  <c r="L1087" i="19"/>
  <c r="V1087" i="19"/>
  <c r="W1087" i="19" s="1"/>
  <c r="Y1087" i="19"/>
  <c r="AD1087" i="19"/>
  <c r="AE1087" i="19"/>
  <c r="AF1087" i="19"/>
  <c r="J1097" i="19"/>
  <c r="L1097" i="19"/>
  <c r="S1097" i="19"/>
  <c r="V1097" i="19"/>
  <c r="W1097" i="19" s="1"/>
  <c r="Y1097" i="19"/>
  <c r="AD1097" i="19"/>
  <c r="AE1097" i="19"/>
  <c r="AF1097" i="19"/>
  <c r="J1096" i="19"/>
  <c r="L1096" i="19"/>
  <c r="S1096" i="19"/>
  <c r="V1096" i="19"/>
  <c r="W1096" i="19" s="1"/>
  <c r="Y1096" i="19"/>
  <c r="AD1096" i="19"/>
  <c r="AE1096" i="19"/>
  <c r="AF1096" i="19"/>
  <c r="J1095" i="19"/>
  <c r="L1095" i="19"/>
  <c r="S1095" i="19"/>
  <c r="V1095" i="19"/>
  <c r="W1095" i="19" s="1"/>
  <c r="Y1095" i="19"/>
  <c r="AD1095" i="19"/>
  <c r="AE1095" i="19"/>
  <c r="AF1095" i="19"/>
  <c r="J1099" i="19"/>
  <c r="L1099" i="19"/>
  <c r="S1099" i="19"/>
  <c r="V1099" i="19"/>
  <c r="W1099" i="19" s="1"/>
  <c r="Y1099" i="19"/>
  <c r="AD1099" i="19"/>
  <c r="AE1099" i="19"/>
  <c r="AF1099" i="19"/>
  <c r="J1098" i="19"/>
  <c r="L1098" i="19"/>
  <c r="S1098" i="19"/>
  <c r="V1098" i="19"/>
  <c r="W1098" i="19" s="1"/>
  <c r="Y1098" i="19"/>
  <c r="AD1098" i="19"/>
  <c r="AE1098" i="19"/>
  <c r="AF1098" i="19"/>
  <c r="AH1098" i="19"/>
  <c r="AJ1098" i="19" s="1"/>
  <c r="J1114" i="19"/>
  <c r="F1114" i="19" s="1"/>
  <c r="L1114" i="19"/>
  <c r="V1114" i="19"/>
  <c r="W1114" i="19" s="1"/>
  <c r="Y1114" i="19"/>
  <c r="AD1114" i="19"/>
  <c r="AE1114" i="19"/>
  <c r="AF1114" i="19"/>
  <c r="AG1114" i="19"/>
  <c r="AH1114" i="19"/>
  <c r="AJ1114" i="19" s="1"/>
  <c r="J1100" i="19"/>
  <c r="F1100" i="19" s="1"/>
  <c r="L1100" i="19"/>
  <c r="S1100" i="19"/>
  <c r="V1100" i="19"/>
  <c r="W1100" i="19" s="1"/>
  <c r="Y1100" i="19"/>
  <c r="AD1100" i="19"/>
  <c r="AE1100" i="19"/>
  <c r="AF1100" i="19"/>
  <c r="AH1100" i="19"/>
  <c r="AJ1100" i="19" s="1"/>
  <c r="J1101" i="19"/>
  <c r="F1101" i="19" s="1"/>
  <c r="L1101" i="19"/>
  <c r="S1101" i="19"/>
  <c r="V1101" i="19"/>
  <c r="W1101" i="19" s="1"/>
  <c r="Y1101" i="19"/>
  <c r="X1101" i="19"/>
  <c r="AD1101" i="19"/>
  <c r="AE1101" i="19"/>
  <c r="AF1101" i="19"/>
  <c r="AI1101" i="19"/>
  <c r="J1102" i="19"/>
  <c r="L1102" i="19"/>
  <c r="V1102" i="19"/>
  <c r="W1102" i="19" s="1"/>
  <c r="Y1102" i="19"/>
  <c r="AD1102" i="19"/>
  <c r="AE1102" i="19"/>
  <c r="AF1102" i="19"/>
  <c r="J1105" i="19"/>
  <c r="L1105" i="19"/>
  <c r="V1105" i="19"/>
  <c r="W1105" i="19" s="1"/>
  <c r="Y1105" i="19"/>
  <c r="AD1105" i="19"/>
  <c r="AE1105" i="19"/>
  <c r="AF1105" i="19"/>
  <c r="AH1105" i="19"/>
  <c r="AJ1105" i="19" s="1"/>
  <c r="J1104" i="19"/>
  <c r="L1104" i="19"/>
  <c r="V1104" i="19"/>
  <c r="W1104" i="19" s="1"/>
  <c r="Y1104" i="19"/>
  <c r="AD1104" i="19"/>
  <c r="AE1104" i="19"/>
  <c r="AF1104" i="19"/>
  <c r="J1103" i="19"/>
  <c r="L1103" i="19"/>
  <c r="V1103" i="19"/>
  <c r="W1103" i="19" s="1"/>
  <c r="Y1103" i="19"/>
  <c r="AD1103" i="19"/>
  <c r="AE1103" i="19"/>
  <c r="AF1103" i="19"/>
  <c r="AH1103" i="19"/>
  <c r="AJ1103" i="19" s="1"/>
  <c r="J1107" i="19"/>
  <c r="L1107" i="19"/>
  <c r="S1107" i="19"/>
  <c r="V1107" i="19"/>
  <c r="W1107" i="19" s="1"/>
  <c r="Y1107" i="19"/>
  <c r="AD1107" i="19"/>
  <c r="AE1107" i="19"/>
  <c r="AF1107" i="19"/>
  <c r="J1111" i="19"/>
  <c r="L1111" i="19"/>
  <c r="S1111" i="19"/>
  <c r="V1111" i="19"/>
  <c r="W1111" i="19" s="1"/>
  <c r="Y1111" i="19"/>
  <c r="AD1111" i="19"/>
  <c r="AE1111" i="19"/>
  <c r="AF1111" i="19"/>
  <c r="J1106" i="19"/>
  <c r="L1106" i="19"/>
  <c r="S1106" i="19"/>
  <c r="V1106" i="19"/>
  <c r="W1106" i="19" s="1"/>
  <c r="Y1106" i="19"/>
  <c r="AD1106" i="19"/>
  <c r="AE1106" i="19"/>
  <c r="AF1106" i="19"/>
  <c r="AH1106" i="19"/>
  <c r="AJ1106" i="19" s="1"/>
  <c r="J1109" i="19"/>
  <c r="L1109" i="19"/>
  <c r="S1109" i="19"/>
  <c r="V1109" i="19"/>
  <c r="W1109" i="19" s="1"/>
  <c r="Y1109" i="19"/>
  <c r="AD1109" i="19"/>
  <c r="AE1109" i="19"/>
  <c r="AF1109" i="19"/>
  <c r="AI1109" i="19"/>
  <c r="J1110" i="19"/>
  <c r="L1110" i="19"/>
  <c r="S1110" i="19"/>
  <c r="V1110" i="19"/>
  <c r="W1110" i="19" s="1"/>
  <c r="Y1110" i="19"/>
  <c r="AD1110" i="19"/>
  <c r="AE1110" i="19"/>
  <c r="AF1110" i="19"/>
  <c r="AH1110" i="19"/>
  <c r="AJ1110" i="19" s="1"/>
  <c r="J1108" i="19"/>
  <c r="L1108" i="19"/>
  <c r="S1108" i="19"/>
  <c r="V1108" i="19"/>
  <c r="W1108" i="19" s="1"/>
  <c r="Y1108" i="19"/>
  <c r="AD1108" i="19"/>
  <c r="AE1108" i="19"/>
  <c r="AF1108" i="19"/>
  <c r="AH1108" i="19"/>
  <c r="AJ1108" i="19" s="1"/>
  <c r="J1112" i="19"/>
  <c r="L1112" i="19"/>
  <c r="S1112" i="19"/>
  <c r="V1112" i="19"/>
  <c r="W1112" i="19" s="1"/>
  <c r="Y1112" i="19"/>
  <c r="AD1112" i="19"/>
  <c r="AE1112" i="19"/>
  <c r="AF1112" i="19"/>
  <c r="J1113" i="19"/>
  <c r="L1113" i="19"/>
  <c r="S1113" i="19"/>
  <c r="V1113" i="19"/>
  <c r="W1113" i="19" s="1"/>
  <c r="Y1113" i="19"/>
  <c r="AD1113" i="19"/>
  <c r="AE1113" i="19"/>
  <c r="AF1113" i="19"/>
  <c r="J1116" i="19"/>
  <c r="L1116" i="19"/>
  <c r="S1116" i="19"/>
  <c r="V1116" i="19"/>
  <c r="W1116" i="19" s="1"/>
  <c r="Y1116" i="19"/>
  <c r="AC1116" i="19"/>
  <c r="AF1116" i="19" s="1"/>
  <c r="AG1116" i="19"/>
  <c r="AH1116" i="19"/>
  <c r="AJ1116" i="19" s="1"/>
  <c r="J1115" i="19"/>
  <c r="L1115" i="19"/>
  <c r="S1115" i="19"/>
  <c r="V1115" i="19"/>
  <c r="W1115" i="19" s="1"/>
  <c r="Y1115" i="19"/>
  <c r="AC1115" i="19"/>
  <c r="AG1115" i="19"/>
  <c r="AH1115" i="19"/>
  <c r="AJ1115" i="19" s="1"/>
  <c r="J1117" i="19"/>
  <c r="F1117" i="19" s="1"/>
  <c r="L1117" i="19"/>
  <c r="V1117" i="19"/>
  <c r="W1117" i="19" s="1"/>
  <c r="Y1117" i="19"/>
  <c r="AD1117" i="19"/>
  <c r="AE1117" i="19"/>
  <c r="AF1117" i="19"/>
  <c r="AH1117" i="19"/>
  <c r="AJ1117" i="19" s="1"/>
  <c r="J1118" i="19"/>
  <c r="F1118" i="19" s="1"/>
  <c r="L1118" i="19"/>
  <c r="V1118" i="19"/>
  <c r="W1118" i="19" s="1"/>
  <c r="Y1118" i="19"/>
  <c r="AD1118" i="19"/>
  <c r="AE1118" i="19"/>
  <c r="AF1118" i="19"/>
  <c r="J1119" i="19"/>
  <c r="L1119" i="19"/>
  <c r="V1119" i="19"/>
  <c r="W1119" i="19" s="1"/>
  <c r="Y1119" i="19"/>
  <c r="AD1119" i="19"/>
  <c r="AE1119" i="19"/>
  <c r="AF1119" i="19"/>
  <c r="AH1119" i="19"/>
  <c r="AJ1119" i="19" s="1"/>
  <c r="J1120" i="19"/>
  <c r="F1120" i="19" s="1"/>
  <c r="L1120" i="19"/>
  <c r="S1120" i="19"/>
  <c r="V1120" i="19"/>
  <c r="W1120" i="19" s="1"/>
  <c r="Y1120" i="19"/>
  <c r="AD1120" i="19"/>
  <c r="AE1120" i="19"/>
  <c r="AF1120" i="19"/>
  <c r="J1123" i="19"/>
  <c r="L1123" i="19"/>
  <c r="S1123" i="19"/>
  <c r="V1123" i="19"/>
  <c r="W1123" i="19" s="1"/>
  <c r="Y1123" i="19"/>
  <c r="AD1123" i="19"/>
  <c r="AE1123" i="19"/>
  <c r="AF1123" i="19"/>
  <c r="AH1123" i="19"/>
  <c r="AJ1123" i="19" s="1"/>
  <c r="AI1123" i="19"/>
  <c r="J1122" i="19"/>
  <c r="F1122" i="19" s="1"/>
  <c r="L1122" i="19"/>
  <c r="S1122" i="19"/>
  <c r="V1122" i="19"/>
  <c r="W1122" i="19" s="1"/>
  <c r="Y1122" i="19"/>
  <c r="AD1122" i="19"/>
  <c r="AE1122" i="19"/>
  <c r="AF1122" i="19"/>
  <c r="J1121" i="19"/>
  <c r="F1121" i="19" s="1"/>
  <c r="L1121" i="19"/>
  <c r="S1121" i="19"/>
  <c r="V1121" i="19"/>
  <c r="W1121" i="19" s="1"/>
  <c r="Y1121" i="19"/>
  <c r="AD1121" i="19"/>
  <c r="AE1121" i="19"/>
  <c r="AF1121" i="19"/>
  <c r="AI1121" i="19"/>
  <c r="J1124" i="19"/>
  <c r="L1124" i="19"/>
  <c r="V1124" i="19"/>
  <c r="W1124" i="19" s="1"/>
  <c r="Y1124" i="19"/>
  <c r="AD1124" i="19"/>
  <c r="AE1124" i="19"/>
  <c r="AF1124" i="19"/>
  <c r="AH1124" i="19"/>
  <c r="AJ1124" i="19" s="1"/>
  <c r="J1125" i="19"/>
  <c r="L1125" i="19"/>
  <c r="S1125" i="19"/>
  <c r="V1125" i="19"/>
  <c r="W1125" i="19" s="1"/>
  <c r="Y1125" i="19"/>
  <c r="AC1125" i="19"/>
  <c r="AE1125" i="19" s="1"/>
  <c r="AG1125" i="19"/>
  <c r="AH1125" i="19"/>
  <c r="AJ1125" i="19" s="1"/>
  <c r="J1127" i="19"/>
  <c r="F1127" i="19" s="1"/>
  <c r="L1127" i="19"/>
  <c r="S1127" i="19"/>
  <c r="V1127" i="19"/>
  <c r="W1127" i="19" s="1"/>
  <c r="Y1127" i="19"/>
  <c r="AD1127" i="19"/>
  <c r="AE1127" i="19"/>
  <c r="AF1127" i="19"/>
  <c r="J1126" i="19"/>
  <c r="F1126" i="19" s="1"/>
  <c r="L1126" i="19"/>
  <c r="S1126" i="19"/>
  <c r="V1126" i="19"/>
  <c r="W1126" i="19" s="1"/>
  <c r="Y1126" i="19"/>
  <c r="AD1126" i="19"/>
  <c r="AE1126" i="19"/>
  <c r="AF1126" i="19"/>
  <c r="AI1126" i="19"/>
  <c r="J1129" i="19"/>
  <c r="L1129" i="19"/>
  <c r="S1129" i="19"/>
  <c r="V1129" i="19"/>
  <c r="W1129" i="19" s="1"/>
  <c r="Y1129" i="19"/>
  <c r="AC1129" i="19"/>
  <c r="AD1129" i="19" s="1"/>
  <c r="AG1129" i="19"/>
  <c r="AH1129" i="19"/>
  <c r="AJ1129" i="19" s="1"/>
  <c r="J1130" i="19"/>
  <c r="L1130" i="19"/>
  <c r="S1130" i="19"/>
  <c r="V1130" i="19"/>
  <c r="W1130" i="19" s="1"/>
  <c r="Y1130" i="19"/>
  <c r="AC1130" i="19"/>
  <c r="AD1130" i="19" s="1"/>
  <c r="AG1130" i="19"/>
  <c r="AH1130" i="19"/>
  <c r="AJ1130" i="19" s="1"/>
  <c r="J1128" i="19"/>
  <c r="L1128" i="19"/>
  <c r="S1128" i="19"/>
  <c r="V1128" i="19"/>
  <c r="W1128" i="19" s="1"/>
  <c r="Y1128" i="19"/>
  <c r="AC1128" i="19"/>
  <c r="AE1128" i="19" s="1"/>
  <c r="AG1128" i="19"/>
  <c r="AH1128" i="19"/>
  <c r="AJ1128" i="19" s="1"/>
  <c r="J1131" i="19"/>
  <c r="L1131" i="19"/>
  <c r="S1131" i="19"/>
  <c r="V1131" i="19"/>
  <c r="W1131" i="19" s="1"/>
  <c r="Y1131" i="19"/>
  <c r="AC1131" i="19"/>
  <c r="AD1131" i="19" s="1"/>
  <c r="AG1131" i="19"/>
  <c r="AH1131" i="19"/>
  <c r="AJ1131" i="19" s="1"/>
  <c r="J1132" i="19"/>
  <c r="L1132" i="19"/>
  <c r="AA1132" i="19" a="1"/>
  <c r="AA1132" i="19" s="1"/>
  <c r="S1132" i="19"/>
  <c r="U1132" i="19"/>
  <c r="V1132" i="19"/>
  <c r="Y1132" i="19"/>
  <c r="AC1132" i="19"/>
  <c r="AD1132" i="19" s="1"/>
  <c r="AG1132" i="19"/>
  <c r="AH1132" i="19"/>
  <c r="J1137" i="19"/>
  <c r="L1137" i="19"/>
  <c r="S1137" i="19"/>
  <c r="V1137" i="19"/>
  <c r="W1137" i="19" s="1"/>
  <c r="Y1137" i="19"/>
  <c r="AC1137" i="19"/>
  <c r="AG1137" i="19"/>
  <c r="AH1137" i="19"/>
  <c r="AJ1137" i="19" s="1"/>
  <c r="J1136" i="19"/>
  <c r="L1136" i="19"/>
  <c r="S1136" i="19"/>
  <c r="V1136" i="19"/>
  <c r="W1136" i="19" s="1"/>
  <c r="Y1136" i="19"/>
  <c r="AC1136" i="19"/>
  <c r="AE1136" i="19" s="1"/>
  <c r="AG1136" i="19"/>
  <c r="AH1136" i="19"/>
  <c r="AJ1136" i="19" s="1"/>
  <c r="J1139" i="19"/>
  <c r="L1139" i="19"/>
  <c r="S1139" i="19"/>
  <c r="V1139" i="19"/>
  <c r="W1139" i="19" s="1"/>
  <c r="Y1139" i="19"/>
  <c r="AD1139" i="19"/>
  <c r="AE1139" i="19"/>
  <c r="AF1139" i="19"/>
  <c r="J1140" i="19"/>
  <c r="L1140" i="19"/>
  <c r="S1140" i="19"/>
  <c r="V1140" i="19"/>
  <c r="W1140" i="19" s="1"/>
  <c r="Y1140" i="19"/>
  <c r="AD1140" i="19"/>
  <c r="AE1140" i="19"/>
  <c r="AF1140" i="19"/>
  <c r="AH1140" i="19"/>
  <c r="AJ1140" i="19" s="1"/>
  <c r="AI1140" i="19"/>
  <c r="J1141" i="19"/>
  <c r="L1141" i="19"/>
  <c r="S1141" i="19"/>
  <c r="V1141" i="19"/>
  <c r="W1141" i="19" s="1"/>
  <c r="Y1141" i="19"/>
  <c r="AD1141" i="19"/>
  <c r="AE1141" i="19"/>
  <c r="AF1141" i="19"/>
  <c r="J1138" i="19"/>
  <c r="L1138" i="19"/>
  <c r="S1138" i="19"/>
  <c r="V1138" i="19"/>
  <c r="W1138" i="19" s="1"/>
  <c r="Y1138" i="19"/>
  <c r="AD1138" i="19"/>
  <c r="AE1138" i="19"/>
  <c r="AF1138" i="19"/>
  <c r="J1142" i="19"/>
  <c r="L1142" i="19"/>
  <c r="S1142" i="19"/>
  <c r="V1142" i="19"/>
  <c r="W1142" i="19" s="1"/>
  <c r="Y1142" i="19"/>
  <c r="AD1142" i="19"/>
  <c r="AE1142" i="19"/>
  <c r="AF1142" i="19"/>
  <c r="J1143" i="19"/>
  <c r="L1143" i="19"/>
  <c r="S1143" i="19"/>
  <c r="V1143" i="19"/>
  <c r="W1143" i="19" s="1"/>
  <c r="Y1143" i="19"/>
  <c r="AC1143" i="19"/>
  <c r="AD1143" i="19" s="1"/>
  <c r="AG1143" i="19"/>
  <c r="AH1143" i="19"/>
  <c r="AJ1143" i="19" s="1"/>
  <c r="J1133" i="19"/>
  <c r="L1133" i="19"/>
  <c r="V1133" i="19"/>
  <c r="W1133" i="19" s="1"/>
  <c r="Y1133" i="19"/>
  <c r="AC1133" i="19"/>
  <c r="AE1133" i="19" s="1"/>
  <c r="AG1133" i="19"/>
  <c r="J1134" i="19"/>
  <c r="L1134" i="19"/>
  <c r="V1134" i="19"/>
  <c r="W1134" i="19" s="1"/>
  <c r="Y1134" i="19"/>
  <c r="AC1134" i="19"/>
  <c r="AE1134" i="19" s="1"/>
  <c r="AG1134" i="19"/>
  <c r="J1135" i="19"/>
  <c r="L1135" i="19"/>
  <c r="V1135" i="19"/>
  <c r="W1135" i="19" s="1"/>
  <c r="Y1135" i="19"/>
  <c r="AC1135" i="19"/>
  <c r="AF1135" i="19" s="1"/>
  <c r="AG1135" i="19"/>
  <c r="J1144" i="19"/>
  <c r="F1144" i="19" s="1"/>
  <c r="L1144" i="19"/>
  <c r="S1144" i="19"/>
  <c r="V1144" i="19"/>
  <c r="W1144" i="19" s="1"/>
  <c r="Y1144" i="19"/>
  <c r="AD1144" i="19"/>
  <c r="AE1144" i="19"/>
  <c r="AF1144" i="19"/>
  <c r="AH1144" i="19"/>
  <c r="AJ1144" i="19" s="1"/>
  <c r="J1145" i="19"/>
  <c r="L1145" i="19"/>
  <c r="S1145" i="19"/>
  <c r="V1145" i="19"/>
  <c r="W1145" i="19" s="1"/>
  <c r="Y1145" i="19"/>
  <c r="AC1145" i="19"/>
  <c r="AG1145" i="19"/>
  <c r="J1150" i="19"/>
  <c r="L1150" i="19"/>
  <c r="S1150" i="19"/>
  <c r="V1150" i="19"/>
  <c r="W1150" i="19" s="1"/>
  <c r="Y1150" i="19"/>
  <c r="AD1150" i="19"/>
  <c r="AE1150" i="19"/>
  <c r="AF1150" i="19"/>
  <c r="J1146" i="19"/>
  <c r="L1146" i="19"/>
  <c r="S1146" i="19"/>
  <c r="V1146" i="19"/>
  <c r="W1146" i="19" s="1"/>
  <c r="Y1146" i="19"/>
  <c r="AD1146" i="19"/>
  <c r="AE1146" i="19"/>
  <c r="AF1146" i="19"/>
  <c r="J1148" i="19"/>
  <c r="L1148" i="19"/>
  <c r="S1148" i="19"/>
  <c r="V1148" i="19"/>
  <c r="W1148" i="19" s="1"/>
  <c r="Y1148" i="19"/>
  <c r="AD1148" i="19"/>
  <c r="AE1148" i="19"/>
  <c r="AF1148" i="19"/>
  <c r="AH1148" i="19"/>
  <c r="AJ1148" i="19" s="1"/>
  <c r="J1149" i="19"/>
  <c r="L1149" i="19"/>
  <c r="S1149" i="19"/>
  <c r="V1149" i="19"/>
  <c r="W1149" i="19" s="1"/>
  <c r="Y1149" i="19"/>
  <c r="AD1149" i="19"/>
  <c r="AE1149" i="19"/>
  <c r="AF1149" i="19"/>
  <c r="J1147" i="19"/>
  <c r="L1147" i="19"/>
  <c r="S1147" i="19"/>
  <c r="V1147" i="19"/>
  <c r="W1147" i="19" s="1"/>
  <c r="Y1147" i="19"/>
  <c r="AD1147" i="19"/>
  <c r="AE1147" i="19"/>
  <c r="AF1147" i="19"/>
  <c r="J1151" i="19"/>
  <c r="L1151" i="19"/>
  <c r="S1151" i="19"/>
  <c r="V1151" i="19"/>
  <c r="W1151" i="19" s="1"/>
  <c r="Y1151" i="19"/>
  <c r="AC1151" i="19"/>
  <c r="AG1151" i="19"/>
  <c r="AH1151" i="19"/>
  <c r="AJ1151" i="19" s="1"/>
  <c r="J1152" i="19"/>
  <c r="AK1152" i="19" s="1" a="1"/>
  <c r="AK1152" i="19" s="1"/>
  <c r="S1152" i="19"/>
  <c r="U1152" i="19"/>
  <c r="W1152" i="19" s="1"/>
  <c r="J1155" i="19"/>
  <c r="L1155" i="19"/>
  <c r="S1155" i="19"/>
  <c r="V1155" i="19"/>
  <c r="W1155" i="19" s="1"/>
  <c r="Y1155" i="19"/>
  <c r="AC1155" i="19"/>
  <c r="AD1155" i="19" s="1"/>
  <c r="AG1155" i="19"/>
  <c r="AH1155" i="19"/>
  <c r="AJ1155" i="19" s="1"/>
  <c r="J1154" i="19"/>
  <c r="L1154" i="19"/>
  <c r="S1154" i="19"/>
  <c r="V1154" i="19"/>
  <c r="W1154" i="19" s="1"/>
  <c r="Y1154" i="19"/>
  <c r="AC1154" i="19"/>
  <c r="AD1154" i="19" s="1"/>
  <c r="AG1154" i="19"/>
  <c r="AH1154" i="19"/>
  <c r="AJ1154" i="19" s="1"/>
  <c r="J1153" i="19"/>
  <c r="L1153" i="19"/>
  <c r="S1153" i="19"/>
  <c r="V1153" i="19"/>
  <c r="W1153" i="19" s="1"/>
  <c r="Y1153" i="19"/>
  <c r="AC1153" i="19"/>
  <c r="AD1153" i="19" s="1"/>
  <c r="AG1153" i="19"/>
  <c r="AH1153" i="19"/>
  <c r="AJ1153" i="19" s="1"/>
  <c r="J1157" i="19"/>
  <c r="F1157" i="19" s="1"/>
  <c r="L1157" i="19"/>
  <c r="S1157" i="19"/>
  <c r="V1157" i="19"/>
  <c r="W1157" i="19" s="1"/>
  <c r="Y1157" i="19"/>
  <c r="AD1157" i="19"/>
  <c r="AE1157" i="19"/>
  <c r="AF1157" i="19"/>
  <c r="AG1157" i="19"/>
  <c r="J1161" i="19"/>
  <c r="L1161" i="19"/>
  <c r="S1161" i="19"/>
  <c r="V1161" i="19"/>
  <c r="W1161" i="19" s="1"/>
  <c r="Y1161" i="19"/>
  <c r="AC1161" i="19"/>
  <c r="AD1161" i="19" s="1"/>
  <c r="AG1161" i="19"/>
  <c r="AJ1161" i="19"/>
  <c r="J1159" i="19"/>
  <c r="L1159" i="19"/>
  <c r="S1159" i="19"/>
  <c r="V1159" i="19"/>
  <c r="W1159" i="19" s="1"/>
  <c r="Y1159" i="19"/>
  <c r="AC1159" i="19"/>
  <c r="AF1159" i="19" s="1"/>
  <c r="AG1159" i="19"/>
  <c r="AJ1159" i="19"/>
  <c r="J1160" i="19"/>
  <c r="L1160" i="19"/>
  <c r="S1160" i="19"/>
  <c r="V1160" i="19"/>
  <c r="W1160" i="19" s="1"/>
  <c r="Y1160" i="19"/>
  <c r="AC1160" i="19"/>
  <c r="AD1160" i="19" s="1"/>
  <c r="AG1160" i="19"/>
  <c r="AJ1160" i="19"/>
  <c r="J1156" i="19"/>
  <c r="L1156" i="19"/>
  <c r="AA1156" i="19" a="1"/>
  <c r="AA1156" i="19" s="1"/>
  <c r="S1156" i="19"/>
  <c r="U1156" i="19"/>
  <c r="V1156" i="19"/>
  <c r="Y1156" i="19"/>
  <c r="AD1156" i="19"/>
  <c r="AE1156" i="19"/>
  <c r="AF1156" i="19"/>
  <c r="AG1156" i="19"/>
  <c r="AH1156" i="19"/>
  <c r="J1162" i="19"/>
  <c r="L1162" i="19"/>
  <c r="S1162" i="19"/>
  <c r="V1162" i="19"/>
  <c r="W1162" i="19" s="1"/>
  <c r="Y1162" i="19"/>
  <c r="AD1162" i="19"/>
  <c r="AE1162" i="19"/>
  <c r="AF1162" i="19"/>
  <c r="J1158" i="19"/>
  <c r="L1158" i="19"/>
  <c r="AA1158" i="19" a="1"/>
  <c r="AA1158" i="19" s="1"/>
  <c r="S1158" i="19"/>
  <c r="U1158" i="19"/>
  <c r="V1158" i="19"/>
  <c r="Y1158" i="19"/>
  <c r="AC1158" i="19"/>
  <c r="AE1158" i="19" s="1"/>
  <c r="AG1158" i="19"/>
  <c r="AH1158" i="19"/>
  <c r="J1164" i="19"/>
  <c r="L1164" i="19"/>
  <c r="S1164" i="19"/>
  <c r="V1164" i="19"/>
  <c r="W1164" i="19" s="1"/>
  <c r="Y1164" i="19"/>
  <c r="AC1164" i="19"/>
  <c r="AD1164" i="19" s="1"/>
  <c r="AG1164" i="19"/>
  <c r="AH1164" i="19"/>
  <c r="AJ1164" i="19" s="1"/>
  <c r="J1163" i="19"/>
  <c r="L1163" i="19"/>
  <c r="S1163" i="19"/>
  <c r="V1163" i="19"/>
  <c r="W1163" i="19" s="1"/>
  <c r="Y1163" i="19"/>
  <c r="AC1163" i="19"/>
  <c r="AD1163" i="19" s="1"/>
  <c r="AG1163" i="19"/>
  <c r="AH1163" i="19"/>
  <c r="AJ1163" i="19" s="1"/>
  <c r="J1165" i="19"/>
  <c r="L1165" i="19"/>
  <c r="AA1165" i="19" a="1"/>
  <c r="AA1165" i="19" s="1"/>
  <c r="S1165" i="19"/>
  <c r="U1165" i="19"/>
  <c r="V1165" i="19"/>
  <c r="Y1165" i="19"/>
  <c r="AD1165" i="19"/>
  <c r="AE1165" i="19"/>
  <c r="AF1165" i="19"/>
  <c r="AH1165" i="19"/>
  <c r="J1166" i="19"/>
  <c r="L1166" i="19"/>
  <c r="V1166" i="19"/>
  <c r="W1166" i="19" s="1"/>
  <c r="Y1166" i="19"/>
  <c r="AC1166" i="19"/>
  <c r="AF1166" i="19" s="1"/>
  <c r="AG1166" i="19"/>
  <c r="AH1166" i="19"/>
  <c r="AJ1166" i="19" s="1"/>
  <c r="AI1166" i="19"/>
  <c r="J1167" i="19"/>
  <c r="L1167" i="19"/>
  <c r="S1167" i="19"/>
  <c r="V1167" i="19"/>
  <c r="W1167" i="19" s="1"/>
  <c r="Y1167" i="19"/>
  <c r="X1167" i="19"/>
  <c r="AC1167" i="19"/>
  <c r="AG1167" i="19"/>
  <c r="AI1167" i="19"/>
  <c r="J1184" i="19"/>
  <c r="L1184" i="19"/>
  <c r="S1184" i="19"/>
  <c r="V1184" i="19"/>
  <c r="W1184" i="19" s="1"/>
  <c r="Y1184" i="19"/>
  <c r="AD1184" i="19"/>
  <c r="AE1184" i="19"/>
  <c r="AF1184" i="19"/>
  <c r="AH1184" i="19"/>
  <c r="AJ1184" i="19" s="1"/>
  <c r="J1185" i="19"/>
  <c r="L1185" i="19"/>
  <c r="S1185" i="19"/>
  <c r="V1185" i="19"/>
  <c r="W1185" i="19" s="1"/>
  <c r="Y1185" i="19"/>
  <c r="AD1185" i="19"/>
  <c r="AE1185" i="19"/>
  <c r="AF1185" i="19"/>
  <c r="J1187" i="19"/>
  <c r="L1187" i="19"/>
  <c r="S1187" i="19"/>
  <c r="V1187" i="19"/>
  <c r="W1187" i="19" s="1"/>
  <c r="Y1187" i="19"/>
  <c r="AD1187" i="19"/>
  <c r="AE1187" i="19"/>
  <c r="AF1187" i="19"/>
  <c r="J1186" i="19"/>
  <c r="L1186" i="19"/>
  <c r="S1186" i="19"/>
  <c r="V1186" i="19"/>
  <c r="W1186" i="19" s="1"/>
  <c r="Y1186" i="19"/>
  <c r="AD1186" i="19"/>
  <c r="AE1186" i="19"/>
  <c r="AF1186" i="19"/>
  <c r="AH1186" i="19"/>
  <c r="AJ1186" i="19" s="1"/>
  <c r="J1177" i="19"/>
  <c r="L1177" i="19"/>
  <c r="S1177" i="19"/>
  <c r="V1177" i="19"/>
  <c r="W1177" i="19" s="1"/>
  <c r="Y1177" i="19"/>
  <c r="AD1177" i="19"/>
  <c r="AE1177" i="19"/>
  <c r="AF1177" i="19"/>
  <c r="J1176" i="19"/>
  <c r="L1176" i="19"/>
  <c r="S1176" i="19"/>
  <c r="V1176" i="19"/>
  <c r="W1176" i="19" s="1"/>
  <c r="Y1176" i="19"/>
  <c r="AD1176" i="19"/>
  <c r="AE1176" i="19"/>
  <c r="AF1176" i="19"/>
  <c r="J1174" i="19"/>
  <c r="L1174" i="19"/>
  <c r="S1174" i="19"/>
  <c r="V1174" i="19"/>
  <c r="W1174" i="19" s="1"/>
  <c r="Y1174" i="19"/>
  <c r="AD1174" i="19"/>
  <c r="AE1174" i="19"/>
  <c r="AF1174" i="19"/>
  <c r="AH1174" i="19"/>
  <c r="AJ1174" i="19" s="1"/>
  <c r="J1173" i="19"/>
  <c r="L1173" i="19"/>
  <c r="S1173" i="19"/>
  <c r="V1173" i="19"/>
  <c r="W1173" i="19" s="1"/>
  <c r="Y1173" i="19"/>
  <c r="AD1173" i="19"/>
  <c r="AE1173" i="19"/>
  <c r="AF1173" i="19"/>
  <c r="J1175" i="19"/>
  <c r="L1175" i="19"/>
  <c r="S1175" i="19"/>
  <c r="V1175" i="19"/>
  <c r="W1175" i="19" s="1"/>
  <c r="Y1175" i="19"/>
  <c r="AD1175" i="19"/>
  <c r="AE1175" i="19"/>
  <c r="AF1175" i="19"/>
  <c r="AI1175" i="19"/>
  <c r="J1172" i="19"/>
  <c r="L1172" i="19"/>
  <c r="S1172" i="19"/>
  <c r="V1172" i="19"/>
  <c r="W1172" i="19" s="1"/>
  <c r="Y1172" i="19"/>
  <c r="AD1172" i="19"/>
  <c r="AE1172" i="19"/>
  <c r="AF1172" i="19"/>
  <c r="J1171" i="19"/>
  <c r="L1171" i="19"/>
  <c r="S1171" i="19"/>
  <c r="V1171" i="19"/>
  <c r="W1171" i="19" s="1"/>
  <c r="Y1171" i="19"/>
  <c r="AD1171" i="19"/>
  <c r="AE1171" i="19"/>
  <c r="AF1171" i="19"/>
  <c r="AH1171" i="19"/>
  <c r="AJ1171" i="19" s="1"/>
  <c r="J1169" i="19"/>
  <c r="L1169" i="19"/>
  <c r="S1169" i="19"/>
  <c r="V1169" i="19"/>
  <c r="W1169" i="19" s="1"/>
  <c r="Y1169" i="19"/>
  <c r="AD1169" i="19"/>
  <c r="AE1169" i="19"/>
  <c r="AF1169" i="19"/>
  <c r="J1170" i="19"/>
  <c r="L1170" i="19"/>
  <c r="S1170" i="19"/>
  <c r="V1170" i="19"/>
  <c r="W1170" i="19" s="1"/>
  <c r="Y1170" i="19"/>
  <c r="AD1170" i="19"/>
  <c r="AE1170" i="19"/>
  <c r="AF1170" i="19"/>
  <c r="J1168" i="19"/>
  <c r="L1168" i="19"/>
  <c r="S1168" i="19"/>
  <c r="V1168" i="19"/>
  <c r="W1168" i="19" s="1"/>
  <c r="Y1168" i="19"/>
  <c r="AD1168" i="19"/>
  <c r="AE1168" i="19"/>
  <c r="AF1168" i="19"/>
  <c r="J1178" i="19"/>
  <c r="L1178" i="19"/>
  <c r="S1178" i="19"/>
  <c r="V1178" i="19"/>
  <c r="W1178" i="19" s="1"/>
  <c r="Y1178" i="19"/>
  <c r="AD1178" i="19"/>
  <c r="AE1178" i="19"/>
  <c r="AF1178" i="19"/>
  <c r="J1182" i="19"/>
  <c r="L1182" i="19"/>
  <c r="S1182" i="19"/>
  <c r="V1182" i="19"/>
  <c r="W1182" i="19" s="1"/>
  <c r="Y1182" i="19"/>
  <c r="AD1182" i="19"/>
  <c r="AE1182" i="19"/>
  <c r="AF1182" i="19"/>
  <c r="AH1182" i="19"/>
  <c r="AJ1182" i="19" s="1"/>
  <c r="J1183" i="19"/>
  <c r="L1183" i="19"/>
  <c r="S1183" i="19"/>
  <c r="V1183" i="19"/>
  <c r="W1183" i="19" s="1"/>
  <c r="Y1183" i="19"/>
  <c r="AD1183" i="19"/>
  <c r="AE1183" i="19"/>
  <c r="AF1183" i="19"/>
  <c r="J1181" i="19"/>
  <c r="L1181" i="19"/>
  <c r="S1181" i="19"/>
  <c r="V1181" i="19"/>
  <c r="W1181" i="19" s="1"/>
  <c r="Y1181" i="19"/>
  <c r="AD1181" i="19"/>
  <c r="AE1181" i="19"/>
  <c r="AF1181" i="19"/>
  <c r="AH1181" i="19"/>
  <c r="AJ1181" i="19" s="1"/>
  <c r="AI1181" i="19"/>
  <c r="J1179" i="19"/>
  <c r="L1179" i="19"/>
  <c r="S1179" i="19"/>
  <c r="V1179" i="19"/>
  <c r="W1179" i="19" s="1"/>
  <c r="Y1179" i="19"/>
  <c r="AD1179" i="19"/>
  <c r="AE1179" i="19"/>
  <c r="AF1179" i="19"/>
  <c r="AH1179" i="19"/>
  <c r="AJ1179" i="19" s="1"/>
  <c r="J1180" i="19"/>
  <c r="L1180" i="19"/>
  <c r="S1180" i="19"/>
  <c r="V1180" i="19"/>
  <c r="W1180" i="19" s="1"/>
  <c r="Y1180" i="19"/>
  <c r="AD1180" i="19"/>
  <c r="AE1180" i="19"/>
  <c r="AF1180" i="19"/>
  <c r="AI1180" i="19"/>
  <c r="J1219" i="19"/>
  <c r="L1219" i="19"/>
  <c r="S1219" i="19"/>
  <c r="V1219" i="19"/>
  <c r="W1219" i="19" s="1"/>
  <c r="Y1219" i="19"/>
  <c r="AC1219" i="19"/>
  <c r="AG1219" i="19"/>
  <c r="J1220" i="19"/>
  <c r="L1220" i="19"/>
  <c r="S1220" i="19"/>
  <c r="V1220" i="19"/>
  <c r="W1220" i="19" s="1"/>
  <c r="Y1220" i="19"/>
  <c r="AC1220" i="19"/>
  <c r="AD1220" i="19" s="1"/>
  <c r="AG1220" i="19"/>
  <c r="J1221" i="19"/>
  <c r="L1221" i="19"/>
  <c r="S1221" i="19"/>
  <c r="V1221" i="19"/>
  <c r="W1221" i="19" s="1"/>
  <c r="Y1221" i="19"/>
  <c r="AC1221" i="19"/>
  <c r="AF1221" i="19" s="1"/>
  <c r="AG1221" i="19"/>
  <c r="J1222" i="19"/>
  <c r="L1222" i="19"/>
  <c r="AA1222" i="19" a="1"/>
  <c r="AA1222" i="19" s="1"/>
  <c r="S1222" i="19"/>
  <c r="U1222" i="19"/>
  <c r="V1222" i="19"/>
  <c r="Y1222" i="19"/>
  <c r="AC1222" i="19"/>
  <c r="AG1222" i="19"/>
  <c r="AH1222" i="19"/>
  <c r="J1223" i="19"/>
  <c r="L1223" i="19"/>
  <c r="S1223" i="19"/>
  <c r="V1223" i="19"/>
  <c r="W1223" i="19" s="1"/>
  <c r="Y1223" i="19"/>
  <c r="AC1223" i="19"/>
  <c r="AE1223" i="19" s="1"/>
  <c r="AG1223" i="19"/>
  <c r="J1197" i="19"/>
  <c r="L1197" i="19"/>
  <c r="S1197" i="19"/>
  <c r="V1197" i="19"/>
  <c r="W1197" i="19" s="1"/>
  <c r="Y1197" i="19"/>
  <c r="AD1197" i="19"/>
  <c r="AE1197" i="19"/>
  <c r="AF1197" i="19"/>
  <c r="AI1197" i="19"/>
  <c r="J1198" i="19"/>
  <c r="L1198" i="19"/>
  <c r="S1198" i="19"/>
  <c r="V1198" i="19"/>
  <c r="W1198" i="19" s="1"/>
  <c r="Y1198" i="19"/>
  <c r="AD1198" i="19"/>
  <c r="AE1198" i="19"/>
  <c r="AF1198" i="19"/>
  <c r="AH1198" i="19"/>
  <c r="AJ1198" i="19" s="1"/>
  <c r="J1196" i="19"/>
  <c r="L1196" i="19"/>
  <c r="S1196" i="19"/>
  <c r="V1196" i="19"/>
  <c r="W1196" i="19" s="1"/>
  <c r="Y1196" i="19"/>
  <c r="AD1196" i="19"/>
  <c r="AE1196" i="19"/>
  <c r="AF1196" i="19"/>
  <c r="AH1196" i="19"/>
  <c r="AJ1196" i="19" s="1"/>
  <c r="J1188" i="19"/>
  <c r="L1188" i="19"/>
  <c r="S1188" i="19"/>
  <c r="V1188" i="19"/>
  <c r="W1188" i="19" s="1"/>
  <c r="Y1188" i="19"/>
  <c r="AD1188" i="19"/>
  <c r="AE1188" i="19"/>
  <c r="AF1188" i="19"/>
  <c r="J1189" i="19"/>
  <c r="L1189" i="19"/>
  <c r="S1189" i="19"/>
  <c r="V1189" i="19"/>
  <c r="W1189" i="19" s="1"/>
  <c r="Y1189" i="19"/>
  <c r="AD1189" i="19"/>
  <c r="AE1189" i="19"/>
  <c r="AF1189" i="19"/>
  <c r="J1190" i="19"/>
  <c r="L1190" i="19"/>
  <c r="S1190" i="19"/>
  <c r="V1190" i="19"/>
  <c r="W1190" i="19" s="1"/>
  <c r="Y1190" i="19"/>
  <c r="AD1190" i="19"/>
  <c r="AE1190" i="19"/>
  <c r="AF1190" i="19"/>
  <c r="AH1190" i="19"/>
  <c r="AJ1190" i="19" s="1"/>
  <c r="J1194" i="19"/>
  <c r="L1194" i="19"/>
  <c r="S1194" i="19"/>
  <c r="V1194" i="19"/>
  <c r="W1194" i="19" s="1"/>
  <c r="Y1194" i="19"/>
  <c r="AD1194" i="19"/>
  <c r="AE1194" i="19"/>
  <c r="AF1194" i="19"/>
  <c r="AH1194" i="19"/>
  <c r="AJ1194" i="19" s="1"/>
  <c r="J1195" i="19"/>
  <c r="L1195" i="19"/>
  <c r="S1195" i="19"/>
  <c r="V1195" i="19"/>
  <c r="W1195" i="19" s="1"/>
  <c r="Y1195" i="19"/>
  <c r="AD1195" i="19"/>
  <c r="AE1195" i="19"/>
  <c r="AF1195" i="19"/>
  <c r="J1191" i="19"/>
  <c r="L1191" i="19"/>
  <c r="S1191" i="19"/>
  <c r="V1191" i="19"/>
  <c r="W1191" i="19" s="1"/>
  <c r="Y1191" i="19"/>
  <c r="AD1191" i="19"/>
  <c r="AE1191" i="19"/>
  <c r="AF1191" i="19"/>
  <c r="AH1191" i="19"/>
  <c r="AJ1191" i="19" s="1"/>
  <c r="J1192" i="19"/>
  <c r="L1192" i="19"/>
  <c r="S1192" i="19"/>
  <c r="V1192" i="19"/>
  <c r="W1192" i="19" s="1"/>
  <c r="Y1192" i="19"/>
  <c r="AD1192" i="19"/>
  <c r="AE1192" i="19"/>
  <c r="AF1192" i="19"/>
  <c r="J1193" i="19"/>
  <c r="L1193" i="19"/>
  <c r="S1193" i="19"/>
  <c r="V1193" i="19"/>
  <c r="W1193" i="19" s="1"/>
  <c r="Y1193" i="19"/>
  <c r="AD1193" i="19"/>
  <c r="AE1193" i="19"/>
  <c r="AF1193" i="19"/>
  <c r="AH1193" i="19"/>
  <c r="AJ1193" i="19" s="1"/>
  <c r="J1224" i="19"/>
  <c r="L1224" i="19"/>
  <c r="S1224" i="19"/>
  <c r="V1224" i="19"/>
  <c r="W1224" i="19" s="1"/>
  <c r="Y1224" i="19"/>
  <c r="AC1224" i="19"/>
  <c r="AE1224" i="19" s="1"/>
  <c r="AG1224" i="19"/>
  <c r="AH1224" i="19"/>
  <c r="AJ1224" i="19" s="1"/>
  <c r="J1204" i="19"/>
  <c r="L1204" i="19"/>
  <c r="S1204" i="19"/>
  <c r="V1204" i="19"/>
  <c r="W1204" i="19" s="1"/>
  <c r="Y1204" i="19"/>
  <c r="AD1204" i="19"/>
  <c r="AE1204" i="19"/>
  <c r="AF1204" i="19"/>
  <c r="AH1204" i="19"/>
  <c r="AJ1204" i="19" s="1"/>
  <c r="J1201" i="19"/>
  <c r="L1201" i="19"/>
  <c r="S1201" i="19"/>
  <c r="V1201" i="19"/>
  <c r="W1201" i="19" s="1"/>
  <c r="Y1201" i="19"/>
  <c r="AD1201" i="19"/>
  <c r="AE1201" i="19"/>
  <c r="AF1201" i="19"/>
  <c r="J1202" i="19"/>
  <c r="L1202" i="19"/>
  <c r="S1202" i="19"/>
  <c r="V1202" i="19"/>
  <c r="W1202" i="19" s="1"/>
  <c r="Y1202" i="19"/>
  <c r="AD1202" i="19"/>
  <c r="AE1202" i="19"/>
  <c r="AF1202" i="19"/>
  <c r="J1206" i="19"/>
  <c r="L1206" i="19"/>
  <c r="S1206" i="19"/>
  <c r="V1206" i="19"/>
  <c r="W1206" i="19" s="1"/>
  <c r="Y1206" i="19"/>
  <c r="AD1206" i="19"/>
  <c r="AE1206" i="19"/>
  <c r="AF1206" i="19"/>
  <c r="AH1206" i="19"/>
  <c r="AJ1206" i="19" s="1"/>
  <c r="J1200" i="19"/>
  <c r="L1200" i="19"/>
  <c r="S1200" i="19"/>
  <c r="V1200" i="19"/>
  <c r="W1200" i="19" s="1"/>
  <c r="Y1200" i="19"/>
  <c r="AD1200" i="19"/>
  <c r="AE1200" i="19"/>
  <c r="AF1200" i="19"/>
  <c r="J1205" i="19"/>
  <c r="L1205" i="19"/>
  <c r="S1205" i="19"/>
  <c r="V1205" i="19"/>
  <c r="W1205" i="19" s="1"/>
  <c r="Y1205" i="19"/>
  <c r="AD1205" i="19"/>
  <c r="AE1205" i="19"/>
  <c r="AF1205" i="19"/>
  <c r="J1203" i="19"/>
  <c r="L1203" i="19"/>
  <c r="S1203" i="19"/>
  <c r="V1203" i="19"/>
  <c r="W1203" i="19" s="1"/>
  <c r="Y1203" i="19"/>
  <c r="AD1203" i="19"/>
  <c r="AE1203" i="19"/>
  <c r="AF1203" i="19"/>
  <c r="AH1203" i="19"/>
  <c r="AJ1203" i="19" s="1"/>
  <c r="J1199" i="19"/>
  <c r="L1199" i="19"/>
  <c r="S1199" i="19"/>
  <c r="V1199" i="19"/>
  <c r="W1199" i="19" s="1"/>
  <c r="Y1199" i="19"/>
  <c r="AD1199" i="19"/>
  <c r="AE1199" i="19"/>
  <c r="AF1199" i="19"/>
  <c r="AH1199" i="19"/>
  <c r="AJ1199" i="19" s="1"/>
  <c r="J1209" i="19"/>
  <c r="L1209" i="19"/>
  <c r="S1209" i="19"/>
  <c r="V1209" i="19"/>
  <c r="W1209" i="19" s="1"/>
  <c r="Y1209" i="19"/>
  <c r="AD1209" i="19"/>
  <c r="AE1209" i="19"/>
  <c r="AF1209" i="19"/>
  <c r="J1207" i="19"/>
  <c r="L1207" i="19"/>
  <c r="S1207" i="19"/>
  <c r="V1207" i="19"/>
  <c r="W1207" i="19" s="1"/>
  <c r="Y1207" i="19"/>
  <c r="AD1207" i="19"/>
  <c r="AE1207" i="19"/>
  <c r="AF1207" i="19"/>
  <c r="J1210" i="19"/>
  <c r="L1210" i="19"/>
  <c r="S1210" i="19"/>
  <c r="V1210" i="19"/>
  <c r="W1210" i="19" s="1"/>
  <c r="Y1210" i="19"/>
  <c r="AD1210" i="19"/>
  <c r="AE1210" i="19"/>
  <c r="AF1210" i="19"/>
  <c r="AH1210" i="19"/>
  <c r="AJ1210" i="19" s="1"/>
  <c r="J1211" i="19"/>
  <c r="L1211" i="19"/>
  <c r="S1211" i="19"/>
  <c r="V1211" i="19"/>
  <c r="W1211" i="19" s="1"/>
  <c r="Y1211" i="19"/>
  <c r="AD1211" i="19"/>
  <c r="AE1211" i="19"/>
  <c r="AF1211" i="19"/>
  <c r="J1208" i="19"/>
  <c r="L1208" i="19"/>
  <c r="S1208" i="19"/>
  <c r="V1208" i="19"/>
  <c r="W1208" i="19" s="1"/>
  <c r="Y1208" i="19"/>
  <c r="AD1208" i="19"/>
  <c r="AE1208" i="19"/>
  <c r="AF1208" i="19"/>
  <c r="J1214" i="19"/>
  <c r="L1214" i="19"/>
  <c r="S1214" i="19"/>
  <c r="V1214" i="19"/>
  <c r="W1214" i="19" s="1"/>
  <c r="Y1214" i="19"/>
  <c r="AD1214" i="19"/>
  <c r="AE1214" i="19"/>
  <c r="AF1214" i="19"/>
  <c r="J1212" i="19"/>
  <c r="L1212" i="19"/>
  <c r="S1212" i="19"/>
  <c r="V1212" i="19"/>
  <c r="W1212" i="19" s="1"/>
  <c r="Y1212" i="19"/>
  <c r="AD1212" i="19"/>
  <c r="AE1212" i="19"/>
  <c r="AF1212" i="19"/>
  <c r="AH1212" i="19"/>
  <c r="AJ1212" i="19" s="1"/>
  <c r="AI1212" i="19"/>
  <c r="J1213" i="19"/>
  <c r="L1213" i="19"/>
  <c r="S1213" i="19"/>
  <c r="V1213" i="19"/>
  <c r="W1213" i="19" s="1"/>
  <c r="Y1213" i="19"/>
  <c r="AD1213" i="19"/>
  <c r="AE1213" i="19"/>
  <c r="AF1213" i="19"/>
  <c r="J1218" i="19"/>
  <c r="L1218" i="19"/>
  <c r="S1218" i="19"/>
  <c r="V1218" i="19"/>
  <c r="W1218" i="19" s="1"/>
  <c r="Y1218" i="19"/>
  <c r="AD1218" i="19"/>
  <c r="AE1218" i="19"/>
  <c r="AF1218" i="19"/>
  <c r="AH1218" i="19"/>
  <c r="AJ1218" i="19" s="1"/>
  <c r="J1215" i="19"/>
  <c r="L1215" i="19"/>
  <c r="S1215" i="19"/>
  <c r="V1215" i="19"/>
  <c r="W1215" i="19" s="1"/>
  <c r="Y1215" i="19"/>
  <c r="AD1215" i="19"/>
  <c r="AE1215" i="19"/>
  <c r="AF1215" i="19"/>
  <c r="AH1215" i="19"/>
  <c r="AJ1215" i="19" s="1"/>
  <c r="J1216" i="19"/>
  <c r="L1216" i="19"/>
  <c r="S1216" i="19"/>
  <c r="V1216" i="19"/>
  <c r="W1216" i="19" s="1"/>
  <c r="Y1216" i="19"/>
  <c r="AD1216" i="19"/>
  <c r="AE1216" i="19"/>
  <c r="AF1216" i="19"/>
  <c r="J1217" i="19"/>
  <c r="L1217" i="19"/>
  <c r="S1217" i="19"/>
  <c r="V1217" i="19"/>
  <c r="W1217" i="19" s="1"/>
  <c r="Y1217" i="19"/>
  <c r="AD1217" i="19"/>
  <c r="AE1217" i="19"/>
  <c r="AF1217" i="19"/>
  <c r="J1225" i="19"/>
  <c r="L1225" i="19"/>
  <c r="S1225" i="19"/>
  <c r="V1225" i="19"/>
  <c r="W1225" i="19" s="1"/>
  <c r="Y1225" i="19"/>
  <c r="AC1225" i="19"/>
  <c r="AG1225" i="19"/>
  <c r="AH1225" i="19"/>
  <c r="AJ1225" i="19" s="1"/>
  <c r="J1226" i="19"/>
  <c r="L1226" i="19"/>
  <c r="S1226" i="19"/>
  <c r="V1226" i="19"/>
  <c r="W1226" i="19" s="1"/>
  <c r="Y1226" i="19"/>
  <c r="AD1226" i="19"/>
  <c r="AE1226" i="19"/>
  <c r="AF1226" i="19"/>
  <c r="AH1226" i="19"/>
  <c r="AJ1226" i="19" s="1"/>
  <c r="J1227" i="19"/>
  <c r="L1227" i="19"/>
  <c r="S1227" i="19"/>
  <c r="V1227" i="19"/>
  <c r="W1227" i="19" s="1"/>
  <c r="Y1227" i="19"/>
  <c r="AD1227" i="19"/>
  <c r="AE1227" i="19"/>
  <c r="AF1227" i="19"/>
  <c r="J1228" i="19"/>
  <c r="L1228" i="19"/>
  <c r="S1228" i="19"/>
  <c r="V1228" i="19"/>
  <c r="W1228" i="19" s="1"/>
  <c r="Y1228" i="19"/>
  <c r="AD1228" i="19"/>
  <c r="AE1228" i="19"/>
  <c r="AF1228" i="19"/>
  <c r="AH1228" i="19"/>
  <c r="AJ1228" i="19" s="1"/>
  <c r="J1229" i="19"/>
  <c r="L1229" i="19"/>
  <c r="S1229" i="19"/>
  <c r="V1229" i="19"/>
  <c r="W1229" i="19" s="1"/>
  <c r="Y1229" i="19"/>
  <c r="AD1229" i="19"/>
  <c r="AE1229" i="19"/>
  <c r="AF1229" i="19"/>
  <c r="J1230" i="19"/>
  <c r="L1230" i="19"/>
  <c r="S1230" i="19"/>
  <c r="V1230" i="19"/>
  <c r="W1230" i="19" s="1"/>
  <c r="Y1230" i="19"/>
  <c r="AD1230" i="19"/>
  <c r="AE1230" i="19"/>
  <c r="AF1230" i="19"/>
  <c r="J1231" i="19"/>
  <c r="L1231" i="19"/>
  <c r="S1231" i="19"/>
  <c r="V1231" i="19"/>
  <c r="W1231" i="19" s="1"/>
  <c r="Y1231" i="19"/>
  <c r="AD1231" i="19"/>
  <c r="AE1231" i="19"/>
  <c r="AF1231" i="19"/>
  <c r="J1232" i="19"/>
  <c r="L1232" i="19"/>
  <c r="S1232" i="19"/>
  <c r="V1232" i="19"/>
  <c r="W1232" i="19" s="1"/>
  <c r="Y1232" i="19"/>
  <c r="AD1232" i="19"/>
  <c r="AE1232" i="19"/>
  <c r="AF1232" i="19"/>
  <c r="J1233" i="19"/>
  <c r="L1233" i="19"/>
  <c r="S1233" i="19"/>
  <c r="V1233" i="19"/>
  <c r="W1233" i="19" s="1"/>
  <c r="Y1233" i="19"/>
  <c r="AD1233" i="19"/>
  <c r="AE1233" i="19"/>
  <c r="AF1233" i="19"/>
  <c r="J1234" i="19"/>
  <c r="L1234" i="19"/>
  <c r="S1234" i="19"/>
  <c r="V1234" i="19"/>
  <c r="W1234" i="19" s="1"/>
  <c r="Y1234" i="19"/>
  <c r="AD1234" i="19"/>
  <c r="AE1234" i="19"/>
  <c r="AF1234" i="19"/>
  <c r="AH1234" i="19"/>
  <c r="AJ1234" i="19" s="1"/>
  <c r="J1235" i="19"/>
  <c r="L1235" i="19"/>
  <c r="S1235" i="19"/>
  <c r="V1235" i="19"/>
  <c r="W1235" i="19" s="1"/>
  <c r="Y1235" i="19"/>
  <c r="AD1235" i="19"/>
  <c r="AE1235" i="19"/>
  <c r="AF1235" i="19"/>
  <c r="AH1235" i="19"/>
  <c r="AJ1235" i="19" s="1"/>
  <c r="J1243" i="19"/>
  <c r="L1243" i="19"/>
  <c r="S1243" i="19"/>
  <c r="V1243" i="19"/>
  <c r="W1243" i="19" s="1"/>
  <c r="Y1243" i="19"/>
  <c r="AD1243" i="19"/>
  <c r="AE1243" i="19"/>
  <c r="AF1243" i="19"/>
  <c r="AH1243" i="19"/>
  <c r="AJ1243" i="19" s="1"/>
  <c r="J1239" i="19"/>
  <c r="L1239" i="19"/>
  <c r="S1239" i="19"/>
  <c r="V1239" i="19"/>
  <c r="W1239" i="19" s="1"/>
  <c r="Y1239" i="19"/>
  <c r="AD1239" i="19"/>
  <c r="AE1239" i="19"/>
  <c r="AF1239" i="19"/>
  <c r="J1236" i="19"/>
  <c r="L1236" i="19"/>
  <c r="S1236" i="19"/>
  <c r="V1236" i="19"/>
  <c r="W1236" i="19" s="1"/>
  <c r="Y1236" i="19"/>
  <c r="AD1236" i="19"/>
  <c r="AE1236" i="19"/>
  <c r="AF1236" i="19"/>
  <c r="J1242" i="19"/>
  <c r="L1242" i="19"/>
  <c r="S1242" i="19"/>
  <c r="V1242" i="19"/>
  <c r="W1242" i="19" s="1"/>
  <c r="Y1242" i="19"/>
  <c r="AD1242" i="19"/>
  <c r="AE1242" i="19"/>
  <c r="AF1242" i="19"/>
  <c r="J1238" i="19"/>
  <c r="L1238" i="19"/>
  <c r="S1238" i="19"/>
  <c r="V1238" i="19"/>
  <c r="W1238" i="19" s="1"/>
  <c r="Y1238" i="19"/>
  <c r="AD1238" i="19"/>
  <c r="AE1238" i="19"/>
  <c r="AF1238" i="19"/>
  <c r="AH1238" i="19"/>
  <c r="AJ1238" i="19" s="1"/>
  <c r="J1241" i="19"/>
  <c r="L1241" i="19"/>
  <c r="S1241" i="19"/>
  <c r="V1241" i="19"/>
  <c r="W1241" i="19" s="1"/>
  <c r="Y1241" i="19"/>
  <c r="AD1241" i="19"/>
  <c r="AE1241" i="19"/>
  <c r="AF1241" i="19"/>
  <c r="AI1241" i="19"/>
  <c r="J1240" i="19"/>
  <c r="L1240" i="19"/>
  <c r="S1240" i="19"/>
  <c r="V1240" i="19"/>
  <c r="W1240" i="19" s="1"/>
  <c r="Y1240" i="19"/>
  <c r="AD1240" i="19"/>
  <c r="AE1240" i="19"/>
  <c r="AF1240" i="19"/>
  <c r="J1237" i="19"/>
  <c r="L1237" i="19"/>
  <c r="S1237" i="19"/>
  <c r="V1237" i="19"/>
  <c r="W1237" i="19" s="1"/>
  <c r="Y1237" i="19"/>
  <c r="AD1237" i="19"/>
  <c r="AE1237" i="19"/>
  <c r="AF1237" i="19"/>
  <c r="AH1237" i="19"/>
  <c r="AJ1237" i="19" s="1"/>
  <c r="J1244" i="19"/>
  <c r="L1244" i="19"/>
  <c r="AA1244" i="19" a="1"/>
  <c r="AA1244" i="19" s="1"/>
  <c r="S1244" i="19"/>
  <c r="U1244" i="19"/>
  <c r="V1244" i="19"/>
  <c r="Y1244" i="19"/>
  <c r="AC1244" i="19"/>
  <c r="AF1244" i="19" s="1"/>
  <c r="AG1244" i="19"/>
  <c r="AH1244" i="19"/>
  <c r="J1245" i="19"/>
  <c r="L1245" i="19"/>
  <c r="AA1245" i="19" a="1"/>
  <c r="AA1245" i="19" s="1"/>
  <c r="S1245" i="19"/>
  <c r="U1245" i="19"/>
  <c r="V1245" i="19"/>
  <c r="Y1245" i="19"/>
  <c r="AC1245" i="19"/>
  <c r="AD1245" i="19" s="1"/>
  <c r="AG1245" i="19"/>
  <c r="AH1245" i="19"/>
  <c r="J1246" i="19"/>
  <c r="L1246" i="19"/>
  <c r="S1246" i="19"/>
  <c r="V1246" i="19"/>
  <c r="W1246" i="19" s="1"/>
  <c r="Y1246" i="19"/>
  <c r="AC1246" i="19"/>
  <c r="AF1246" i="19" s="1"/>
  <c r="AG1246" i="19"/>
  <c r="AH1246" i="19"/>
  <c r="AJ1246" i="19" s="1"/>
  <c r="J1257" i="19"/>
  <c r="F1257" i="19" s="1"/>
  <c r="L1257" i="19"/>
  <c r="S1257" i="19"/>
  <c r="V1257" i="19"/>
  <c r="W1257" i="19" s="1"/>
  <c r="Y1257" i="19"/>
  <c r="AC1257" i="19"/>
  <c r="AG1257" i="19"/>
  <c r="AH1257" i="19"/>
  <c r="AJ1257" i="19" s="1"/>
  <c r="J1259" i="19"/>
  <c r="L1259" i="19"/>
  <c r="S1259" i="19"/>
  <c r="V1259" i="19"/>
  <c r="W1259" i="19" s="1"/>
  <c r="Y1259" i="19"/>
  <c r="AC1259" i="19"/>
  <c r="AE1259" i="19" s="1"/>
  <c r="AG1259" i="19"/>
  <c r="AH1259" i="19"/>
  <c r="AJ1259" i="19" s="1"/>
  <c r="J1258" i="19"/>
  <c r="L1258" i="19"/>
  <c r="S1258" i="19"/>
  <c r="V1258" i="19"/>
  <c r="W1258" i="19" s="1"/>
  <c r="Y1258" i="19"/>
  <c r="AC1258" i="19"/>
  <c r="AG1258" i="19"/>
  <c r="J1260" i="19"/>
  <c r="L1260" i="19"/>
  <c r="S1260" i="19"/>
  <c r="V1260" i="19"/>
  <c r="W1260" i="19" s="1"/>
  <c r="Y1260" i="19"/>
  <c r="AC1260" i="19"/>
  <c r="AD1260" i="19" s="1"/>
  <c r="AG1260" i="19"/>
  <c r="AH1260" i="19"/>
  <c r="AJ1260" i="19" s="1"/>
  <c r="J1263" i="19"/>
  <c r="L1263" i="19"/>
  <c r="S1263" i="19"/>
  <c r="V1263" i="19"/>
  <c r="W1263" i="19" s="1"/>
  <c r="Y1263" i="19"/>
  <c r="AC1263" i="19"/>
  <c r="AD1263" i="19" s="1"/>
  <c r="AG1263" i="19"/>
  <c r="J1261" i="19"/>
  <c r="L1261" i="19"/>
  <c r="S1261" i="19"/>
  <c r="V1261" i="19"/>
  <c r="W1261" i="19" s="1"/>
  <c r="Y1261" i="19"/>
  <c r="AC1261" i="19"/>
  <c r="AE1261" i="19" s="1"/>
  <c r="AG1261" i="19"/>
  <c r="J1262" i="19"/>
  <c r="L1262" i="19"/>
  <c r="S1262" i="19"/>
  <c r="V1262" i="19"/>
  <c r="W1262" i="19" s="1"/>
  <c r="Y1262" i="19"/>
  <c r="AC1262" i="19"/>
  <c r="AD1262" i="19" s="1"/>
  <c r="AG1262" i="19"/>
  <c r="J1264" i="19"/>
  <c r="L1264" i="19"/>
  <c r="S1264" i="19"/>
  <c r="V1264" i="19"/>
  <c r="W1264" i="19" s="1"/>
  <c r="Y1264" i="19"/>
  <c r="AC1264" i="19"/>
  <c r="AD1264" i="19" s="1"/>
  <c r="AG1264" i="19"/>
  <c r="AH1264" i="19"/>
  <c r="AJ1264" i="19" s="1"/>
  <c r="J1267" i="19"/>
  <c r="L1267" i="19"/>
  <c r="S1267" i="19"/>
  <c r="V1267" i="19"/>
  <c r="W1267" i="19" s="1"/>
  <c r="Y1267" i="19"/>
  <c r="AC1267" i="19"/>
  <c r="AD1267" i="19" s="1"/>
  <c r="AG1267" i="19"/>
  <c r="AH1267" i="19"/>
  <c r="AJ1267" i="19" s="1"/>
  <c r="J1265" i="19"/>
  <c r="L1265" i="19"/>
  <c r="AA1265" i="19" a="1"/>
  <c r="AA1265" i="19" s="1"/>
  <c r="S1265" i="19"/>
  <c r="U1265" i="19"/>
  <c r="V1265" i="19"/>
  <c r="Y1265" i="19"/>
  <c r="AC1265" i="19"/>
  <c r="AD1265" i="19" s="1"/>
  <c r="AG1265" i="19"/>
  <c r="AH1265" i="19"/>
  <c r="J1266" i="19"/>
  <c r="L1266" i="19"/>
  <c r="AA1266" i="19" a="1"/>
  <c r="AA1266" i="19" s="1"/>
  <c r="S1266" i="19"/>
  <c r="U1266" i="19"/>
  <c r="V1266" i="19"/>
  <c r="Y1266" i="19"/>
  <c r="AC1266" i="19"/>
  <c r="AD1266" i="19" s="1"/>
  <c r="AG1266" i="19"/>
  <c r="AH1266" i="19"/>
  <c r="AI1266" i="19"/>
  <c r="J1249" i="19"/>
  <c r="L1249" i="19"/>
  <c r="S1249" i="19"/>
  <c r="V1249" i="19"/>
  <c r="W1249" i="19" s="1"/>
  <c r="Y1249" i="19"/>
  <c r="AD1249" i="19"/>
  <c r="AE1249" i="19"/>
  <c r="AF1249" i="19"/>
  <c r="J1248" i="19"/>
  <c r="L1248" i="19"/>
  <c r="S1248" i="19"/>
  <c r="V1248" i="19"/>
  <c r="W1248" i="19" s="1"/>
  <c r="Y1248" i="19"/>
  <c r="AD1248" i="19"/>
  <c r="AE1248" i="19"/>
  <c r="AF1248" i="19"/>
  <c r="AH1248" i="19"/>
  <c r="AJ1248" i="19" s="1"/>
  <c r="J1250" i="19"/>
  <c r="L1250" i="19"/>
  <c r="S1250" i="19"/>
  <c r="V1250" i="19"/>
  <c r="W1250" i="19" s="1"/>
  <c r="Y1250" i="19"/>
  <c r="AD1250" i="19"/>
  <c r="AE1250" i="19"/>
  <c r="AF1250" i="19"/>
  <c r="AH1250" i="19"/>
  <c r="AJ1250" i="19" s="1"/>
  <c r="AI1250" i="19"/>
  <c r="J1247" i="19"/>
  <c r="L1247" i="19"/>
  <c r="S1247" i="19"/>
  <c r="V1247" i="19"/>
  <c r="W1247" i="19" s="1"/>
  <c r="Y1247" i="19"/>
  <c r="AD1247" i="19"/>
  <c r="AE1247" i="19"/>
  <c r="AF1247" i="19"/>
  <c r="AH1247" i="19"/>
  <c r="AJ1247" i="19" s="1"/>
  <c r="J1251" i="19"/>
  <c r="L1251" i="19"/>
  <c r="S1251" i="19"/>
  <c r="V1251" i="19"/>
  <c r="W1251" i="19" s="1"/>
  <c r="Y1251" i="19"/>
  <c r="AD1251" i="19"/>
  <c r="AE1251" i="19"/>
  <c r="AF1251" i="19"/>
  <c r="AH1251" i="19"/>
  <c r="AJ1251" i="19" s="1"/>
  <c r="J1252" i="19"/>
  <c r="L1252" i="19"/>
  <c r="S1252" i="19"/>
  <c r="V1252" i="19"/>
  <c r="W1252" i="19" s="1"/>
  <c r="Y1252" i="19"/>
  <c r="AD1252" i="19"/>
  <c r="AE1252" i="19"/>
  <c r="AF1252" i="19"/>
  <c r="AH1252" i="19"/>
  <c r="AJ1252" i="19" s="1"/>
  <c r="J1256" i="19"/>
  <c r="L1256" i="19"/>
  <c r="S1256" i="19"/>
  <c r="V1256" i="19"/>
  <c r="W1256" i="19" s="1"/>
  <c r="Y1256" i="19"/>
  <c r="AD1256" i="19"/>
  <c r="AE1256" i="19"/>
  <c r="AF1256" i="19"/>
  <c r="AH1256" i="19"/>
  <c r="AJ1256" i="19" s="1"/>
  <c r="J1255" i="19"/>
  <c r="L1255" i="19"/>
  <c r="S1255" i="19"/>
  <c r="V1255" i="19"/>
  <c r="W1255" i="19" s="1"/>
  <c r="Y1255" i="19"/>
  <c r="AD1255" i="19"/>
  <c r="AE1255" i="19"/>
  <c r="AF1255" i="19"/>
  <c r="AH1255" i="19"/>
  <c r="AJ1255" i="19" s="1"/>
  <c r="J1254" i="19"/>
  <c r="L1254" i="19"/>
  <c r="S1254" i="19"/>
  <c r="V1254" i="19"/>
  <c r="W1254" i="19" s="1"/>
  <c r="Y1254" i="19"/>
  <c r="AD1254" i="19"/>
  <c r="AE1254" i="19"/>
  <c r="AF1254" i="19"/>
  <c r="AH1254" i="19"/>
  <c r="AJ1254" i="19" s="1"/>
  <c r="J1253" i="19"/>
  <c r="L1253" i="19"/>
  <c r="S1253" i="19"/>
  <c r="V1253" i="19"/>
  <c r="W1253" i="19" s="1"/>
  <c r="Y1253" i="19"/>
  <c r="AD1253" i="19"/>
  <c r="AE1253" i="19"/>
  <c r="AF1253" i="19"/>
  <c r="J1269" i="19"/>
  <c r="L1269" i="19"/>
  <c r="S1269" i="19"/>
  <c r="V1269" i="19"/>
  <c r="W1269" i="19" s="1"/>
  <c r="Y1269" i="19"/>
  <c r="AD1269" i="19"/>
  <c r="AE1269" i="19"/>
  <c r="AF1269" i="19"/>
  <c r="J1268" i="19"/>
  <c r="L1268" i="19"/>
  <c r="S1268" i="19"/>
  <c r="V1268" i="19"/>
  <c r="W1268" i="19" s="1"/>
  <c r="Y1268" i="19"/>
  <c r="AD1268" i="19"/>
  <c r="AE1268" i="19"/>
  <c r="AF1268" i="19"/>
  <c r="J1270" i="19"/>
  <c r="L1270" i="19"/>
  <c r="S1270" i="19"/>
  <c r="V1270" i="19"/>
  <c r="W1270" i="19" s="1"/>
  <c r="Y1270" i="19"/>
  <c r="AD1270" i="19"/>
  <c r="AE1270" i="19"/>
  <c r="AF1270" i="19"/>
  <c r="J1272" i="19"/>
  <c r="L1272" i="19"/>
  <c r="S1272" i="19"/>
  <c r="V1272" i="19"/>
  <c r="W1272" i="19" s="1"/>
  <c r="Y1272" i="19"/>
  <c r="AD1272" i="19"/>
  <c r="AE1272" i="19"/>
  <c r="AF1272" i="19"/>
  <c r="J1271" i="19"/>
  <c r="L1271" i="19"/>
  <c r="S1271" i="19"/>
  <c r="V1271" i="19"/>
  <c r="W1271" i="19" s="1"/>
  <c r="Y1271" i="19"/>
  <c r="AD1271" i="19"/>
  <c r="AE1271" i="19"/>
  <c r="AF1271" i="19"/>
  <c r="AH1271" i="19"/>
  <c r="AJ1271" i="19" s="1"/>
  <c r="J1273" i="19"/>
  <c r="L1273" i="19"/>
  <c r="S1273" i="19"/>
  <c r="V1273" i="19"/>
  <c r="W1273" i="19" s="1"/>
  <c r="Y1273" i="19"/>
  <c r="AC1273" i="19"/>
  <c r="AD1273" i="19" s="1"/>
  <c r="AG1273" i="19"/>
  <c r="AH1273" i="19"/>
  <c r="AJ1273" i="19" s="1"/>
  <c r="J1274" i="19"/>
  <c r="L1274" i="19"/>
  <c r="S1274" i="19"/>
  <c r="V1274" i="19"/>
  <c r="W1274" i="19" s="1"/>
  <c r="Y1274" i="19"/>
  <c r="AC1274" i="19"/>
  <c r="AG1274" i="19"/>
  <c r="AH1274" i="19"/>
  <c r="AJ1274" i="19" s="1"/>
  <c r="J1275" i="19"/>
  <c r="L1275" i="19"/>
  <c r="S1275" i="19"/>
  <c r="V1275" i="19"/>
  <c r="W1275" i="19" s="1"/>
  <c r="Y1275" i="19"/>
  <c r="AD1275" i="19"/>
  <c r="AE1275" i="19"/>
  <c r="AF1275" i="19"/>
  <c r="J1276" i="19"/>
  <c r="L1276" i="19"/>
  <c r="S1276" i="19"/>
  <c r="V1276" i="19"/>
  <c r="W1276" i="19" s="1"/>
  <c r="Y1276" i="19"/>
  <c r="AD1276" i="19"/>
  <c r="AE1276" i="19"/>
  <c r="AF1276" i="19"/>
  <c r="AH1276" i="19"/>
  <c r="AJ1276" i="19" s="1"/>
  <c r="J1278" i="19"/>
  <c r="L1278" i="19"/>
  <c r="S1278" i="19"/>
  <c r="V1278" i="19"/>
  <c r="W1278" i="19" s="1"/>
  <c r="Y1278" i="19"/>
  <c r="AD1278" i="19"/>
  <c r="AE1278" i="19"/>
  <c r="AF1278" i="19"/>
  <c r="J1277" i="19"/>
  <c r="L1277" i="19"/>
  <c r="S1277" i="19"/>
  <c r="V1277" i="19"/>
  <c r="W1277" i="19" s="1"/>
  <c r="Y1277" i="19"/>
  <c r="AD1277" i="19"/>
  <c r="AE1277" i="19"/>
  <c r="AF1277" i="19"/>
  <c r="AH1277" i="19"/>
  <c r="AJ1277" i="19" s="1"/>
  <c r="AI1277" i="19"/>
  <c r="J1291" i="19"/>
  <c r="L1291" i="19"/>
  <c r="S1291" i="19"/>
  <c r="V1291" i="19"/>
  <c r="W1291" i="19" s="1"/>
  <c r="Y1291" i="19"/>
  <c r="AC1291" i="19"/>
  <c r="AD1291" i="19" s="1"/>
  <c r="AG1291" i="19"/>
  <c r="J1294" i="19"/>
  <c r="L1294" i="19"/>
  <c r="S1294" i="19"/>
  <c r="V1294" i="19"/>
  <c r="W1294" i="19" s="1"/>
  <c r="Y1294" i="19"/>
  <c r="AC1294" i="19"/>
  <c r="AF1294" i="19" s="1"/>
  <c r="AG1294" i="19"/>
  <c r="J1295" i="19"/>
  <c r="L1295" i="19"/>
  <c r="S1295" i="19"/>
  <c r="V1295" i="19"/>
  <c r="W1295" i="19" s="1"/>
  <c r="Y1295" i="19"/>
  <c r="AC1295" i="19"/>
  <c r="AG1295" i="19"/>
  <c r="AI1295" i="19"/>
  <c r="J1292" i="19"/>
  <c r="L1292" i="19"/>
  <c r="S1292" i="19"/>
  <c r="V1292" i="19"/>
  <c r="W1292" i="19" s="1"/>
  <c r="Y1292" i="19"/>
  <c r="AC1292" i="19"/>
  <c r="AD1292" i="19" s="1"/>
  <c r="AG1292" i="19"/>
  <c r="J1293" i="19"/>
  <c r="L1293" i="19"/>
  <c r="S1293" i="19"/>
  <c r="V1293" i="19"/>
  <c r="W1293" i="19" s="1"/>
  <c r="Y1293" i="19"/>
  <c r="AC1293" i="19"/>
  <c r="AD1293" i="19" s="1"/>
  <c r="AG1293" i="19"/>
  <c r="AH1293" i="19"/>
  <c r="AJ1293" i="19" s="1"/>
  <c r="J1290" i="19"/>
  <c r="L1290" i="19"/>
  <c r="S1290" i="19"/>
  <c r="V1290" i="19"/>
  <c r="W1290" i="19" s="1"/>
  <c r="Y1290" i="19"/>
  <c r="AC1290" i="19"/>
  <c r="AF1290" i="19" s="1"/>
  <c r="AG1290" i="19"/>
  <c r="AH1290" i="19"/>
  <c r="AJ1290" i="19" s="1"/>
  <c r="AI1290" i="19"/>
  <c r="L1279" i="19"/>
  <c r="S1279" i="19"/>
  <c r="V1279" i="19"/>
  <c r="W1279" i="19" s="1"/>
  <c r="Y1279" i="19"/>
  <c r="AC1279" i="19"/>
  <c r="AG1279" i="19"/>
  <c r="AH1279" i="19"/>
  <c r="AJ1279" i="19" s="1"/>
  <c r="AK1279" i="19" s="1" a="1"/>
  <c r="AK1279" i="19" s="1"/>
  <c r="AI1279" i="19"/>
  <c r="J1280" i="19"/>
  <c r="L1280" i="19"/>
  <c r="S1280" i="19"/>
  <c r="V1280" i="19"/>
  <c r="W1280" i="19" s="1"/>
  <c r="Y1280" i="19"/>
  <c r="AC1280" i="19"/>
  <c r="AD1280" i="19" s="1"/>
  <c r="AG1280" i="19"/>
  <c r="AH1280" i="19"/>
  <c r="AJ1280" i="19" s="1"/>
  <c r="L1288" i="19"/>
  <c r="S1288" i="19"/>
  <c r="V1288" i="19"/>
  <c r="W1288" i="19" s="1"/>
  <c r="Y1288" i="19"/>
  <c r="AD1288" i="19"/>
  <c r="AE1288" i="19"/>
  <c r="AF1288" i="19"/>
  <c r="AG1288" i="19"/>
  <c r="AH1288" i="19"/>
  <c r="AJ1288" i="19" s="1"/>
  <c r="AK1288" i="19" s="1" a="1"/>
  <c r="AK1288" i="19" s="1"/>
  <c r="J1281" i="19"/>
  <c r="L1281" i="19"/>
  <c r="S1281" i="19"/>
  <c r="V1281" i="19"/>
  <c r="W1281" i="19" s="1"/>
  <c r="Y1281" i="19"/>
  <c r="AD1281" i="19"/>
  <c r="AE1281" i="19"/>
  <c r="AF1281" i="19"/>
  <c r="J1282" i="19"/>
  <c r="L1282" i="19"/>
  <c r="S1282" i="19"/>
  <c r="V1282" i="19"/>
  <c r="W1282" i="19" s="1"/>
  <c r="Y1282" i="19"/>
  <c r="AD1282" i="19"/>
  <c r="AE1282" i="19"/>
  <c r="AF1282" i="19"/>
  <c r="AH1282" i="19"/>
  <c r="AJ1282" i="19" s="1"/>
  <c r="J1287" i="19"/>
  <c r="L1287" i="19"/>
  <c r="S1287" i="19"/>
  <c r="V1287" i="19"/>
  <c r="W1287" i="19" s="1"/>
  <c r="Y1287" i="19"/>
  <c r="AD1287" i="19"/>
  <c r="AE1287" i="19"/>
  <c r="AF1287" i="19"/>
  <c r="AH1287" i="19"/>
  <c r="AJ1287" i="19" s="1"/>
  <c r="J1285" i="19"/>
  <c r="L1285" i="19"/>
  <c r="S1285" i="19"/>
  <c r="V1285" i="19"/>
  <c r="W1285" i="19" s="1"/>
  <c r="Y1285" i="19"/>
  <c r="AD1285" i="19"/>
  <c r="AE1285" i="19"/>
  <c r="AF1285" i="19"/>
  <c r="AH1285" i="19"/>
  <c r="AJ1285" i="19" s="1"/>
  <c r="J1283" i="19"/>
  <c r="L1283" i="19"/>
  <c r="S1283" i="19"/>
  <c r="V1283" i="19"/>
  <c r="W1283" i="19" s="1"/>
  <c r="Y1283" i="19"/>
  <c r="AD1283" i="19"/>
  <c r="AE1283" i="19"/>
  <c r="AF1283" i="19"/>
  <c r="AH1283" i="19"/>
  <c r="AJ1283" i="19" s="1"/>
  <c r="J1284" i="19"/>
  <c r="L1284" i="19"/>
  <c r="S1284" i="19"/>
  <c r="V1284" i="19"/>
  <c r="W1284" i="19" s="1"/>
  <c r="Y1284" i="19"/>
  <c r="AD1284" i="19"/>
  <c r="AE1284" i="19"/>
  <c r="AF1284" i="19"/>
  <c r="J1286" i="19"/>
  <c r="L1286" i="19"/>
  <c r="S1286" i="19"/>
  <c r="V1286" i="19"/>
  <c r="W1286" i="19" s="1"/>
  <c r="Y1286" i="19"/>
  <c r="AD1286" i="19"/>
  <c r="AE1286" i="19"/>
  <c r="AF1286" i="19"/>
  <c r="J1289" i="19"/>
  <c r="L1289" i="19"/>
  <c r="S1289" i="19"/>
  <c r="V1289" i="19"/>
  <c r="W1289" i="19" s="1"/>
  <c r="Y1289" i="19"/>
  <c r="AC1289" i="19"/>
  <c r="AF1289" i="19" s="1"/>
  <c r="AG1289" i="19"/>
  <c r="AH1289" i="19"/>
  <c r="AJ1289" i="19" s="1"/>
  <c r="J1297" i="19"/>
  <c r="L1297" i="19"/>
  <c r="S1297" i="19"/>
  <c r="V1297" i="19"/>
  <c r="W1297" i="19" s="1"/>
  <c r="Y1297" i="19"/>
  <c r="AD1297" i="19"/>
  <c r="AE1297" i="19"/>
  <c r="AF1297" i="19"/>
  <c r="AG1297" i="19"/>
  <c r="J1298" i="19"/>
  <c r="L1298" i="19"/>
  <c r="S1298" i="19"/>
  <c r="V1298" i="19"/>
  <c r="W1298" i="19" s="1"/>
  <c r="Y1298" i="19"/>
  <c r="AD1298" i="19"/>
  <c r="AE1298" i="19"/>
  <c r="AF1298" i="19"/>
  <c r="AG1298" i="19"/>
  <c r="J1296" i="19"/>
  <c r="L1296" i="19"/>
  <c r="S1296" i="19"/>
  <c r="V1296" i="19"/>
  <c r="W1296" i="19" s="1"/>
  <c r="Y1296" i="19"/>
  <c r="AC1296" i="19"/>
  <c r="AE1296" i="19" s="1"/>
  <c r="AG1296" i="19"/>
  <c r="J1299" i="19"/>
  <c r="L1299" i="19"/>
  <c r="S1299" i="19"/>
  <c r="V1299" i="19"/>
  <c r="W1299" i="19" s="1"/>
  <c r="Y1299" i="19"/>
  <c r="AC1299" i="19"/>
  <c r="AD1299" i="19" s="1"/>
  <c r="AG1299" i="19"/>
  <c r="J1300" i="19"/>
  <c r="L1300" i="19"/>
  <c r="S1300" i="19"/>
  <c r="V1300" i="19"/>
  <c r="W1300" i="19" s="1"/>
  <c r="Y1300" i="19"/>
  <c r="AD1300" i="19"/>
  <c r="AE1300" i="19"/>
  <c r="AF1300" i="19"/>
  <c r="AH1300" i="19"/>
  <c r="AJ1300" i="19" s="1"/>
  <c r="L1317" i="19"/>
  <c r="S1317" i="19"/>
  <c r="V1317" i="19"/>
  <c r="W1317" i="19" s="1"/>
  <c r="Y1317" i="19"/>
  <c r="AD1317" i="19"/>
  <c r="AE1317" i="19"/>
  <c r="AF1317" i="19"/>
  <c r="AG1317" i="19"/>
  <c r="AH1317" i="19"/>
  <c r="AJ1317" i="19" s="1"/>
  <c r="AK1317" i="19" s="1" a="1"/>
  <c r="AK1317" i="19" s="1"/>
  <c r="J1313" i="19"/>
  <c r="L1313" i="19"/>
  <c r="S1313" i="19"/>
  <c r="V1313" i="19"/>
  <c r="W1313" i="19" s="1"/>
  <c r="Y1313" i="19"/>
  <c r="AD1313" i="19"/>
  <c r="AE1313" i="19"/>
  <c r="AF1313" i="19"/>
  <c r="J1314" i="19"/>
  <c r="L1314" i="19"/>
  <c r="S1314" i="19"/>
  <c r="V1314" i="19"/>
  <c r="W1314" i="19" s="1"/>
  <c r="Y1314" i="19"/>
  <c r="AD1314" i="19"/>
  <c r="AE1314" i="19"/>
  <c r="AF1314" i="19"/>
  <c r="L1316" i="19"/>
  <c r="S1316" i="19"/>
  <c r="V1316" i="19"/>
  <c r="W1316" i="19" s="1"/>
  <c r="Y1316" i="19"/>
  <c r="AD1316" i="19"/>
  <c r="AE1316" i="19"/>
  <c r="AF1316" i="19"/>
  <c r="AG1316" i="19"/>
  <c r="AH1316" i="19"/>
  <c r="AJ1316" i="19" s="1"/>
  <c r="AK1316" i="19" s="1" a="1"/>
  <c r="AK1316" i="19" s="1"/>
  <c r="L1315" i="19"/>
  <c r="S1315" i="19"/>
  <c r="V1315" i="19"/>
  <c r="W1315" i="19" s="1"/>
  <c r="Y1315" i="19"/>
  <c r="AD1315" i="19"/>
  <c r="AE1315" i="19"/>
  <c r="AF1315" i="19"/>
  <c r="AG1315" i="19"/>
  <c r="AH1315" i="19"/>
  <c r="AJ1315" i="19" s="1"/>
  <c r="AK1315" i="19" s="1" a="1"/>
  <c r="AK1315" i="19" s="1"/>
  <c r="J1309" i="19"/>
  <c r="L1309" i="19"/>
  <c r="S1309" i="19"/>
  <c r="V1309" i="19"/>
  <c r="W1309" i="19" s="1"/>
  <c r="Y1309" i="19"/>
  <c r="AC1309" i="19"/>
  <c r="AF1309" i="19" s="1"/>
  <c r="AG1309" i="19"/>
  <c r="AH1309" i="19"/>
  <c r="AJ1309" i="19" s="1"/>
  <c r="J1302" i="19"/>
  <c r="L1302" i="19"/>
  <c r="V1302" i="19"/>
  <c r="W1302" i="19" s="1"/>
  <c r="Y1302" i="19"/>
  <c r="AD1302" i="19"/>
  <c r="AE1302" i="19"/>
  <c r="AF1302" i="19"/>
  <c r="AH1302" i="19"/>
  <c r="AJ1302" i="19" s="1"/>
  <c r="J1303" i="19"/>
  <c r="L1303" i="19"/>
  <c r="V1303" i="19"/>
  <c r="W1303" i="19" s="1"/>
  <c r="Y1303" i="19"/>
  <c r="AD1303" i="19"/>
  <c r="AE1303" i="19"/>
  <c r="AF1303" i="19"/>
  <c r="AH1303" i="19"/>
  <c r="AJ1303" i="19" s="1"/>
  <c r="J1301" i="19"/>
  <c r="L1301" i="19"/>
  <c r="V1301" i="19"/>
  <c r="W1301" i="19" s="1"/>
  <c r="Y1301" i="19"/>
  <c r="AD1301" i="19"/>
  <c r="AE1301" i="19"/>
  <c r="AF1301" i="19"/>
  <c r="AH1301" i="19"/>
  <c r="AJ1301" i="19" s="1"/>
  <c r="J1305" i="19"/>
  <c r="L1305" i="19"/>
  <c r="V1305" i="19"/>
  <c r="W1305" i="19" s="1"/>
  <c r="Y1305" i="19"/>
  <c r="AD1305" i="19"/>
  <c r="AE1305" i="19"/>
  <c r="AF1305" i="19"/>
  <c r="AH1305" i="19"/>
  <c r="AJ1305" i="19" s="1"/>
  <c r="J1304" i="19"/>
  <c r="L1304" i="19"/>
  <c r="V1304" i="19"/>
  <c r="W1304" i="19" s="1"/>
  <c r="Y1304" i="19"/>
  <c r="AD1304" i="19"/>
  <c r="AE1304" i="19"/>
  <c r="AF1304" i="19"/>
  <c r="AH1304" i="19"/>
  <c r="AJ1304" i="19" s="1"/>
  <c r="J1307" i="19"/>
  <c r="L1307" i="19"/>
  <c r="V1307" i="19"/>
  <c r="W1307" i="19" s="1"/>
  <c r="Y1307" i="19"/>
  <c r="AD1307" i="19"/>
  <c r="AE1307" i="19"/>
  <c r="AF1307" i="19"/>
  <c r="J1306" i="19"/>
  <c r="L1306" i="19"/>
  <c r="V1306" i="19"/>
  <c r="W1306" i="19" s="1"/>
  <c r="Y1306" i="19"/>
  <c r="AD1306" i="19"/>
  <c r="AE1306" i="19"/>
  <c r="AF1306" i="19"/>
  <c r="J1308" i="19"/>
  <c r="L1308" i="19"/>
  <c r="V1308" i="19"/>
  <c r="W1308" i="19" s="1"/>
  <c r="Y1308" i="19"/>
  <c r="AD1308" i="19"/>
  <c r="AE1308" i="19"/>
  <c r="AF1308" i="19"/>
  <c r="AH1308" i="19"/>
  <c r="AJ1308" i="19" s="1"/>
  <c r="V1311" i="19"/>
  <c r="W1311" i="19" s="1"/>
  <c r="Y1311" i="19"/>
  <c r="X1311" i="19"/>
  <c r="AD1311" i="19"/>
  <c r="AE1311" i="19"/>
  <c r="AF1311" i="19"/>
  <c r="AH1311" i="19"/>
  <c r="AJ1311" i="19" s="1"/>
  <c r="AK1311" i="19" s="1" a="1"/>
  <c r="AK1311" i="19" s="1"/>
  <c r="V1310" i="19"/>
  <c r="W1310" i="19" s="1"/>
  <c r="Y1310" i="19"/>
  <c r="X1310" i="19"/>
  <c r="AD1310" i="19"/>
  <c r="AE1310" i="19"/>
  <c r="AF1310" i="19"/>
  <c r="AH1310" i="19"/>
  <c r="AJ1310" i="19" s="1"/>
  <c r="AK1310" i="19" s="1" a="1"/>
  <c r="AK1310" i="19" s="1"/>
  <c r="V1312" i="19"/>
  <c r="W1312" i="19" s="1"/>
  <c r="Y1312" i="19"/>
  <c r="X1312" i="19"/>
  <c r="AD1312" i="19"/>
  <c r="AE1312" i="19"/>
  <c r="AF1312" i="19"/>
  <c r="AH1312" i="19"/>
  <c r="AJ1312" i="19" s="1"/>
  <c r="AK1312" i="19" s="1" a="1"/>
  <c r="AK1312" i="19" s="1"/>
  <c r="J1321" i="19"/>
  <c r="L1321" i="19"/>
  <c r="S1321" i="19"/>
  <c r="V1321" i="19"/>
  <c r="W1321" i="19" s="1"/>
  <c r="Y1321" i="19"/>
  <c r="AC1321" i="19"/>
  <c r="AF1321" i="19" s="1"/>
  <c r="AG1321" i="19"/>
  <c r="J1320" i="19"/>
  <c r="L1320" i="19"/>
  <c r="S1320" i="19"/>
  <c r="V1320" i="19"/>
  <c r="W1320" i="19" s="1"/>
  <c r="Y1320" i="19"/>
  <c r="AC1320" i="19"/>
  <c r="AF1320" i="19" s="1"/>
  <c r="AG1320" i="19"/>
  <c r="V1319" i="19"/>
  <c r="W1319" i="19" s="1"/>
  <c r="Y1319" i="19"/>
  <c r="X1319" i="19"/>
  <c r="AC1319" i="19"/>
  <c r="AG1319" i="19"/>
  <c r="AH1319" i="19"/>
  <c r="AJ1319" i="19" s="1"/>
  <c r="AK1319" i="19" s="1" a="1"/>
  <c r="AK1319" i="19" s="1"/>
  <c r="AI1319" i="19"/>
  <c r="J1318" i="19"/>
  <c r="L1318" i="19"/>
  <c r="S1318" i="19"/>
  <c r="V1318" i="19"/>
  <c r="W1318" i="19" s="1"/>
  <c r="Y1318" i="19"/>
  <c r="AC1318" i="19"/>
  <c r="AG1318" i="19"/>
  <c r="AH1318" i="19"/>
  <c r="AJ1318" i="19" s="1"/>
  <c r="J1349" i="19"/>
  <c r="L1349" i="19"/>
  <c r="S1349" i="19"/>
  <c r="V1349" i="19"/>
  <c r="W1349" i="19" s="1"/>
  <c r="Y1349" i="19"/>
  <c r="AC1349" i="19"/>
  <c r="AF1349" i="19" s="1"/>
  <c r="AG1349" i="19"/>
  <c r="AH1349" i="19"/>
  <c r="AJ1349" i="19" s="1"/>
  <c r="J1339" i="19"/>
  <c r="L1339" i="19"/>
  <c r="S1339" i="19"/>
  <c r="V1339" i="19"/>
  <c r="Y1339" i="19"/>
  <c r="AD1339" i="19"/>
  <c r="AE1339" i="19"/>
  <c r="AF1339" i="19"/>
  <c r="AH1339" i="19"/>
  <c r="AJ1339" i="19" s="1"/>
  <c r="J1347" i="19"/>
  <c r="L1347" i="19"/>
  <c r="S1347" i="19"/>
  <c r="V1347" i="19"/>
  <c r="Y1347" i="19"/>
  <c r="AD1347" i="19"/>
  <c r="AE1347" i="19"/>
  <c r="AF1347" i="19"/>
  <c r="AH1347" i="19"/>
  <c r="AJ1347" i="19" s="1"/>
  <c r="J1348" i="19"/>
  <c r="L1348" i="19"/>
  <c r="S1348" i="19"/>
  <c r="V1348" i="19"/>
  <c r="Y1348" i="19"/>
  <c r="AD1348" i="19"/>
  <c r="AE1348" i="19"/>
  <c r="AF1348" i="19"/>
  <c r="AH1348" i="19"/>
  <c r="AJ1348" i="19" s="1"/>
  <c r="J1338" i="19"/>
  <c r="L1338" i="19"/>
  <c r="S1338" i="19"/>
  <c r="V1338" i="19"/>
  <c r="Y1338" i="19"/>
  <c r="AD1338" i="19"/>
  <c r="AE1338" i="19"/>
  <c r="AF1338" i="19"/>
  <c r="AH1338" i="19"/>
  <c r="AJ1338" i="19" s="1"/>
  <c r="J1345" i="19"/>
  <c r="L1345" i="19"/>
  <c r="S1345" i="19"/>
  <c r="V1345" i="19"/>
  <c r="Y1345" i="19"/>
  <c r="AD1345" i="19"/>
  <c r="AE1345" i="19"/>
  <c r="AF1345" i="19"/>
  <c r="AH1345" i="19"/>
  <c r="AJ1345" i="19" s="1"/>
  <c r="AI1345" i="19"/>
  <c r="J1346" i="19"/>
  <c r="L1346" i="19"/>
  <c r="S1346" i="19"/>
  <c r="V1346" i="19"/>
  <c r="Y1346" i="19"/>
  <c r="AD1346" i="19"/>
  <c r="AE1346" i="19"/>
  <c r="AF1346" i="19"/>
  <c r="AH1346" i="19"/>
  <c r="AJ1346" i="19" s="1"/>
  <c r="AI1346" i="19"/>
  <c r="J1334" i="19"/>
  <c r="L1334" i="19"/>
  <c r="S1334" i="19"/>
  <c r="V1334" i="19"/>
  <c r="Y1334" i="19"/>
  <c r="AD1334" i="19"/>
  <c r="AE1334" i="19"/>
  <c r="AF1334" i="19"/>
  <c r="AH1334" i="19"/>
  <c r="AJ1334" i="19" s="1"/>
  <c r="J1335" i="19"/>
  <c r="L1335" i="19"/>
  <c r="S1335" i="19"/>
  <c r="V1335" i="19"/>
  <c r="Y1335" i="19"/>
  <c r="AD1335" i="19"/>
  <c r="AE1335" i="19"/>
  <c r="AF1335" i="19"/>
  <c r="AH1335" i="19"/>
  <c r="AJ1335" i="19" s="1"/>
  <c r="J1340" i="19"/>
  <c r="L1340" i="19"/>
  <c r="S1340" i="19"/>
  <c r="V1340" i="19"/>
  <c r="Y1340" i="19"/>
  <c r="AD1340" i="19"/>
  <c r="AE1340" i="19"/>
  <c r="AF1340" i="19"/>
  <c r="AH1340" i="19"/>
  <c r="AJ1340" i="19" s="1"/>
  <c r="J1336" i="19"/>
  <c r="L1336" i="19"/>
  <c r="S1336" i="19"/>
  <c r="V1336" i="19"/>
  <c r="Y1336" i="19"/>
  <c r="AD1336" i="19"/>
  <c r="AE1336" i="19"/>
  <c r="AF1336" i="19"/>
  <c r="AH1336" i="19"/>
  <c r="AJ1336" i="19" s="1"/>
  <c r="J1337" i="19"/>
  <c r="L1337" i="19"/>
  <c r="S1337" i="19"/>
  <c r="V1337" i="19"/>
  <c r="Y1337" i="19"/>
  <c r="AD1337" i="19"/>
  <c r="AE1337" i="19"/>
  <c r="AF1337" i="19"/>
  <c r="AH1337" i="19"/>
  <c r="AJ1337" i="19" s="1"/>
  <c r="J1341" i="19"/>
  <c r="L1341" i="19"/>
  <c r="S1341" i="19"/>
  <c r="V1341" i="19"/>
  <c r="Y1341" i="19"/>
  <c r="AD1341" i="19"/>
  <c r="AE1341" i="19"/>
  <c r="AF1341" i="19"/>
  <c r="AH1341" i="19"/>
  <c r="AJ1341" i="19" s="1"/>
  <c r="J1333" i="19"/>
  <c r="L1333" i="19"/>
  <c r="S1333" i="19"/>
  <c r="V1333" i="19"/>
  <c r="Y1333" i="19"/>
  <c r="AD1333" i="19"/>
  <c r="AE1333" i="19"/>
  <c r="AF1333" i="19"/>
  <c r="AH1333" i="19"/>
  <c r="AJ1333" i="19" s="1"/>
  <c r="J1342" i="19"/>
  <c r="L1342" i="19"/>
  <c r="S1342" i="19"/>
  <c r="V1342" i="19"/>
  <c r="Y1342" i="19"/>
  <c r="AD1342" i="19"/>
  <c r="AE1342" i="19"/>
  <c r="AF1342" i="19"/>
  <c r="AH1342" i="19"/>
  <c r="AJ1342" i="19" s="1"/>
  <c r="J1344" i="19"/>
  <c r="L1344" i="19"/>
  <c r="S1344" i="19"/>
  <c r="V1344" i="19"/>
  <c r="Y1344" i="19"/>
  <c r="AD1344" i="19"/>
  <c r="AE1344" i="19"/>
  <c r="AF1344" i="19"/>
  <c r="AH1344" i="19"/>
  <c r="AJ1344" i="19" s="1"/>
  <c r="J1343" i="19"/>
  <c r="L1343" i="19"/>
  <c r="S1343" i="19"/>
  <c r="V1343" i="19"/>
  <c r="Y1343" i="19"/>
  <c r="AD1343" i="19"/>
  <c r="AE1343" i="19"/>
  <c r="AF1343" i="19"/>
  <c r="AH1343" i="19"/>
  <c r="AJ1343" i="19" s="1"/>
  <c r="J1350" i="19"/>
  <c r="L1350" i="19"/>
  <c r="S1350" i="19"/>
  <c r="V1350" i="19"/>
  <c r="W1350" i="19" s="1"/>
  <c r="Y1350" i="19"/>
  <c r="AC1350" i="19"/>
  <c r="AD1350" i="19" s="1"/>
  <c r="AG1350" i="19"/>
  <c r="AH1350" i="19"/>
  <c r="AJ1350" i="19" s="1"/>
  <c r="J1351" i="19"/>
  <c r="L1351" i="19"/>
  <c r="S1351" i="19"/>
  <c r="V1351" i="19"/>
  <c r="W1351" i="19" s="1"/>
  <c r="Y1351" i="19"/>
  <c r="AC1351" i="19"/>
  <c r="AD1351" i="19" s="1"/>
  <c r="AG1351" i="19"/>
  <c r="AH1351" i="19"/>
  <c r="AJ1351" i="19" s="1"/>
  <c r="J1328" i="19"/>
  <c r="F1328" i="19" s="1"/>
  <c r="L1328" i="19"/>
  <c r="S1328" i="19"/>
  <c r="V1328" i="19"/>
  <c r="W1328" i="19" s="1"/>
  <c r="Y1328" i="19"/>
  <c r="AC1328" i="19"/>
  <c r="AG1328" i="19"/>
  <c r="AH1328" i="19"/>
  <c r="AJ1328" i="19" s="1"/>
  <c r="AI1328" i="19"/>
  <c r="J1329" i="19"/>
  <c r="F1329" i="19" s="1"/>
  <c r="L1329" i="19"/>
  <c r="S1329" i="19"/>
  <c r="V1329" i="19"/>
  <c r="W1329" i="19" s="1"/>
  <c r="Y1329" i="19"/>
  <c r="AC1329" i="19"/>
  <c r="AG1329" i="19"/>
  <c r="AI1329" i="19"/>
  <c r="J1323" i="19"/>
  <c r="F1323" i="19" s="1"/>
  <c r="L1323" i="19"/>
  <c r="S1323" i="19"/>
  <c r="V1323" i="19"/>
  <c r="W1323" i="19" s="1"/>
  <c r="Y1323" i="19"/>
  <c r="AC1323" i="19"/>
  <c r="AD1323" i="19" s="1"/>
  <c r="AG1323" i="19"/>
  <c r="AH1323" i="19"/>
  <c r="AJ1323" i="19" s="1"/>
  <c r="AI1323" i="19"/>
  <c r="J1327" i="19"/>
  <c r="L1327" i="19"/>
  <c r="S1327" i="19"/>
  <c r="V1327" i="19"/>
  <c r="W1327" i="19" s="1"/>
  <c r="Y1327" i="19"/>
  <c r="AC1327" i="19"/>
  <c r="AD1327" i="19" s="1"/>
  <c r="AG1327" i="19"/>
  <c r="J1322" i="19"/>
  <c r="F1322" i="19" s="1"/>
  <c r="L1322" i="19"/>
  <c r="S1322" i="19"/>
  <c r="V1322" i="19"/>
  <c r="W1322" i="19" s="1"/>
  <c r="Y1322" i="19"/>
  <c r="AC1322" i="19"/>
  <c r="AE1322" i="19" s="1"/>
  <c r="AG1322" i="19"/>
  <c r="AH1322" i="19"/>
  <c r="AJ1322" i="19" s="1"/>
  <c r="J1324" i="19"/>
  <c r="F1324" i="19" s="1"/>
  <c r="L1324" i="19"/>
  <c r="S1324" i="19"/>
  <c r="V1324" i="19"/>
  <c r="W1324" i="19" s="1"/>
  <c r="Y1324" i="19"/>
  <c r="AC1324" i="19"/>
  <c r="AD1324" i="19" s="1"/>
  <c r="AG1324" i="19"/>
  <c r="AH1324" i="19"/>
  <c r="AJ1324" i="19" s="1"/>
  <c r="AI1324" i="19"/>
  <c r="J1325" i="19"/>
  <c r="F1325" i="19" s="1"/>
  <c r="L1325" i="19"/>
  <c r="S1325" i="19"/>
  <c r="V1325" i="19"/>
  <c r="W1325" i="19" s="1"/>
  <c r="Y1325" i="19"/>
  <c r="AC1325" i="19"/>
  <c r="AE1325" i="19" s="1"/>
  <c r="AG1325" i="19"/>
  <c r="J1326" i="19"/>
  <c r="F1326" i="19" s="1"/>
  <c r="L1326" i="19"/>
  <c r="S1326" i="19"/>
  <c r="V1326" i="19"/>
  <c r="W1326" i="19" s="1"/>
  <c r="Y1326" i="19"/>
  <c r="AC1326" i="19"/>
  <c r="AF1326" i="19" s="1"/>
  <c r="AG1326" i="19"/>
  <c r="AH1326" i="19"/>
  <c r="AJ1326" i="19" s="1"/>
  <c r="J1332" i="19"/>
  <c r="F1332" i="19" s="1"/>
  <c r="L1332" i="19"/>
  <c r="S1332" i="19"/>
  <c r="V1332" i="19"/>
  <c r="W1332" i="19" s="1"/>
  <c r="Y1332" i="19"/>
  <c r="AD1332" i="19"/>
  <c r="AE1332" i="19"/>
  <c r="AF1332" i="19"/>
  <c r="J1330" i="19"/>
  <c r="F1330" i="19" s="1"/>
  <c r="L1330" i="19"/>
  <c r="S1330" i="19"/>
  <c r="V1330" i="19"/>
  <c r="W1330" i="19" s="1"/>
  <c r="Y1330" i="19"/>
  <c r="AD1330" i="19"/>
  <c r="AE1330" i="19"/>
  <c r="AF1330" i="19"/>
  <c r="J1331" i="19"/>
  <c r="F1331" i="19" s="1"/>
  <c r="L1331" i="19"/>
  <c r="S1331" i="19"/>
  <c r="V1331" i="19"/>
  <c r="W1331" i="19" s="1"/>
  <c r="Y1331" i="19"/>
  <c r="AD1331" i="19"/>
  <c r="AE1331" i="19"/>
  <c r="AF1331" i="19"/>
  <c r="J1353" i="19"/>
  <c r="F1353" i="19" s="1"/>
  <c r="L1353" i="19"/>
  <c r="S1353" i="19"/>
  <c r="V1353" i="19"/>
  <c r="W1353" i="19" s="1"/>
  <c r="Y1353" i="19"/>
  <c r="AD1353" i="19"/>
  <c r="AE1353" i="19"/>
  <c r="AF1353" i="19"/>
  <c r="AH1353" i="19"/>
  <c r="AJ1353" i="19" s="1"/>
  <c r="J1354" i="19"/>
  <c r="F1354" i="19" s="1"/>
  <c r="L1354" i="19"/>
  <c r="S1354" i="19"/>
  <c r="V1354" i="19"/>
  <c r="W1354" i="19" s="1"/>
  <c r="Y1354" i="19"/>
  <c r="AD1354" i="19"/>
  <c r="AE1354" i="19"/>
  <c r="AF1354" i="19"/>
  <c r="J1355" i="19"/>
  <c r="F1355" i="19" s="1"/>
  <c r="L1355" i="19"/>
  <c r="S1355" i="19"/>
  <c r="V1355" i="19"/>
  <c r="W1355" i="19" s="1"/>
  <c r="Y1355" i="19"/>
  <c r="AD1355" i="19"/>
  <c r="AE1355" i="19"/>
  <c r="AF1355" i="19"/>
  <c r="J1352" i="19"/>
  <c r="F1352" i="19" s="1"/>
  <c r="L1352" i="19"/>
  <c r="S1352" i="19"/>
  <c r="V1352" i="19"/>
  <c r="W1352" i="19" s="1"/>
  <c r="Y1352" i="19"/>
  <c r="AD1352" i="19"/>
  <c r="AE1352" i="19"/>
  <c r="AF1352" i="19"/>
  <c r="J1357" i="19"/>
  <c r="F1357" i="19" s="1"/>
  <c r="L1357" i="19"/>
  <c r="S1357" i="19"/>
  <c r="V1357" i="19"/>
  <c r="W1357" i="19" s="1"/>
  <c r="Y1357" i="19"/>
  <c r="AC1357" i="19"/>
  <c r="AD1357" i="19" s="1"/>
  <c r="AG1357" i="19"/>
  <c r="AH1357" i="19"/>
  <c r="AJ1357" i="19" s="1"/>
  <c r="J1356" i="19"/>
  <c r="F1356" i="19" s="1"/>
  <c r="L1356" i="19"/>
  <c r="S1356" i="19"/>
  <c r="V1356" i="19"/>
  <c r="W1356" i="19" s="1"/>
  <c r="Y1356" i="19"/>
  <c r="AC1356" i="19"/>
  <c r="AF1356" i="19" s="1"/>
  <c r="AG1356" i="19"/>
  <c r="AH1356" i="19"/>
  <c r="AJ1356" i="19" s="1"/>
  <c r="J1358" i="19"/>
  <c r="F1358" i="19" s="1"/>
  <c r="L1358" i="19"/>
  <c r="S1358" i="19"/>
  <c r="V1358" i="19"/>
  <c r="W1358" i="19" s="1"/>
  <c r="Y1358" i="19"/>
  <c r="AD1358" i="19"/>
  <c r="AE1358" i="19"/>
  <c r="AF1358" i="19"/>
  <c r="AG1358" i="19"/>
  <c r="AH1358" i="19"/>
  <c r="AJ1358" i="19" s="1"/>
  <c r="L1359" i="19"/>
  <c r="S1359" i="19"/>
  <c r="V1359" i="19"/>
  <c r="W1359" i="19" s="1"/>
  <c r="Y1359" i="19"/>
  <c r="AC1359" i="19"/>
  <c r="AD1359" i="19" s="1"/>
  <c r="AG1359" i="19"/>
  <c r="AH1359" i="19"/>
  <c r="AJ1359" i="19" s="1"/>
  <c r="AK1359" i="19" s="1" a="1"/>
  <c r="AK1359" i="19" s="1"/>
  <c r="L1362" i="19"/>
  <c r="S1362" i="19"/>
  <c r="V1362" i="19"/>
  <c r="W1362" i="19" s="1"/>
  <c r="Y1362" i="19"/>
  <c r="AC1362" i="19"/>
  <c r="AD1362" i="19" s="1"/>
  <c r="AG1362" i="19"/>
  <c r="AH1362" i="19"/>
  <c r="AJ1362" i="19" s="1"/>
  <c r="AK1362" i="19" s="1" a="1"/>
  <c r="AK1362" i="19" s="1"/>
  <c r="AI1362" i="19"/>
  <c r="L1363" i="19"/>
  <c r="S1363" i="19"/>
  <c r="V1363" i="19"/>
  <c r="W1363" i="19" s="1"/>
  <c r="Y1363" i="19"/>
  <c r="AC1363" i="19"/>
  <c r="AD1363" i="19" s="1"/>
  <c r="AG1363" i="19"/>
  <c r="AH1363" i="19"/>
  <c r="AJ1363" i="19" s="1"/>
  <c r="AK1363" i="19" s="1" a="1"/>
  <c r="AK1363" i="19" s="1"/>
  <c r="AI1363" i="19"/>
  <c r="L1360" i="19"/>
  <c r="S1360" i="19"/>
  <c r="V1360" i="19"/>
  <c r="W1360" i="19" s="1"/>
  <c r="Y1360" i="19"/>
  <c r="AC1360" i="19"/>
  <c r="AF1360" i="19" s="1"/>
  <c r="AG1360" i="19"/>
  <c r="L1361" i="19"/>
  <c r="S1361" i="19"/>
  <c r="V1361" i="19"/>
  <c r="W1361" i="19" s="1"/>
  <c r="Y1361" i="19"/>
  <c r="AC1361" i="19"/>
  <c r="AD1361" i="19" s="1"/>
  <c r="AG1361" i="19"/>
  <c r="J1366" i="19"/>
  <c r="F1366" i="19" s="1"/>
  <c r="L1366" i="19"/>
  <c r="S1366" i="19"/>
  <c r="V1366" i="19"/>
  <c r="W1366" i="19" s="1"/>
  <c r="Y1366" i="19"/>
  <c r="AD1366" i="19"/>
  <c r="AE1366" i="19"/>
  <c r="AF1366" i="19"/>
  <c r="J1365" i="19"/>
  <c r="F1365" i="19" s="1"/>
  <c r="L1365" i="19"/>
  <c r="S1365" i="19"/>
  <c r="V1365" i="19"/>
  <c r="W1365" i="19" s="1"/>
  <c r="Y1365" i="19"/>
  <c r="AD1365" i="19"/>
  <c r="AE1365" i="19"/>
  <c r="AF1365" i="19"/>
  <c r="J1364" i="19"/>
  <c r="F1364" i="19" s="1"/>
  <c r="L1364" i="19"/>
  <c r="S1364" i="19"/>
  <c r="V1364" i="19"/>
  <c r="W1364" i="19" s="1"/>
  <c r="Y1364" i="19"/>
  <c r="AD1364" i="19"/>
  <c r="AE1364" i="19"/>
  <c r="AF1364" i="19"/>
  <c r="AH1364" i="19"/>
  <c r="AJ1364" i="19" s="1"/>
  <c r="J1368" i="19"/>
  <c r="L1368" i="19"/>
  <c r="S1368" i="19"/>
  <c r="V1368" i="19"/>
  <c r="W1368" i="19" s="1"/>
  <c r="Y1368" i="19"/>
  <c r="AD1368" i="19"/>
  <c r="AE1368" i="19"/>
  <c r="AF1368" i="19"/>
  <c r="J1369" i="19"/>
  <c r="F1369" i="19" s="1"/>
  <c r="L1369" i="19"/>
  <c r="S1369" i="19"/>
  <c r="V1369" i="19"/>
  <c r="W1369" i="19" s="1"/>
  <c r="Y1369" i="19"/>
  <c r="AD1369" i="19"/>
  <c r="AE1369" i="19"/>
  <c r="AF1369" i="19"/>
  <c r="J1367" i="19"/>
  <c r="F1367" i="19" s="1"/>
  <c r="L1367" i="19"/>
  <c r="S1367" i="19"/>
  <c r="V1367" i="19"/>
  <c r="W1367" i="19" s="1"/>
  <c r="Y1367" i="19"/>
  <c r="AD1367" i="19"/>
  <c r="AE1367" i="19"/>
  <c r="AF1367" i="19"/>
  <c r="J1370" i="19"/>
  <c r="F1370" i="19" s="1"/>
  <c r="L1370" i="19"/>
  <c r="S1370" i="19"/>
  <c r="V1370" i="19"/>
  <c r="W1370" i="19" s="1"/>
  <c r="Y1370" i="19"/>
  <c r="AD1370" i="19"/>
  <c r="AE1370" i="19"/>
  <c r="AF1370" i="19"/>
  <c r="AH1370" i="19"/>
  <c r="AJ1370" i="19" s="1"/>
  <c r="J1373" i="19"/>
  <c r="F1373" i="19" s="1"/>
  <c r="L1373" i="19"/>
  <c r="S1373" i="19"/>
  <c r="V1373" i="19"/>
  <c r="W1373" i="19" s="1"/>
  <c r="Y1373" i="19"/>
  <c r="AD1373" i="19"/>
  <c r="AE1373" i="19"/>
  <c r="AF1373" i="19"/>
  <c r="J1375" i="19"/>
  <c r="F1375" i="19" s="1"/>
  <c r="L1375" i="19"/>
  <c r="S1375" i="19"/>
  <c r="V1375" i="19"/>
  <c r="W1375" i="19" s="1"/>
  <c r="Y1375" i="19"/>
  <c r="AD1375" i="19"/>
  <c r="AE1375" i="19"/>
  <c r="AF1375" i="19"/>
  <c r="AH1375" i="19"/>
  <c r="AJ1375" i="19" s="1"/>
  <c r="J1374" i="19"/>
  <c r="F1374" i="19" s="1"/>
  <c r="L1374" i="19"/>
  <c r="S1374" i="19"/>
  <c r="V1374" i="19"/>
  <c r="W1374" i="19" s="1"/>
  <c r="Y1374" i="19"/>
  <c r="AD1374" i="19"/>
  <c r="AE1374" i="19"/>
  <c r="AF1374" i="19"/>
  <c r="AH1374" i="19"/>
  <c r="AJ1374" i="19" s="1"/>
  <c r="J1371" i="19"/>
  <c r="F1371" i="19" s="1"/>
  <c r="L1371" i="19"/>
  <c r="S1371" i="19"/>
  <c r="V1371" i="19"/>
  <c r="W1371" i="19" s="1"/>
  <c r="Y1371" i="19"/>
  <c r="AD1371" i="19"/>
  <c r="AE1371" i="19"/>
  <c r="AF1371" i="19"/>
  <c r="J1372" i="19"/>
  <c r="F1372" i="19" s="1"/>
  <c r="L1372" i="19"/>
  <c r="S1372" i="19"/>
  <c r="V1372" i="19"/>
  <c r="W1372" i="19" s="1"/>
  <c r="Y1372" i="19"/>
  <c r="AD1372" i="19"/>
  <c r="AE1372" i="19"/>
  <c r="AF1372" i="19"/>
  <c r="AH1372" i="19"/>
  <c r="AJ1372" i="19" s="1"/>
  <c r="J1383" i="19"/>
  <c r="L1383" i="19"/>
  <c r="AA1383" i="19" a="1"/>
  <c r="AA1383" i="19" s="1"/>
  <c r="S1383" i="19"/>
  <c r="U1383" i="19"/>
  <c r="V1383" i="19"/>
  <c r="Y1383" i="19"/>
  <c r="AC1383" i="19"/>
  <c r="AD1383" i="19" s="1"/>
  <c r="AG1383" i="19"/>
  <c r="J1382" i="19"/>
  <c r="L1382" i="19"/>
  <c r="AA1382" i="19" a="1"/>
  <c r="AA1382" i="19" s="1"/>
  <c r="S1382" i="19"/>
  <c r="U1382" i="19"/>
  <c r="V1382" i="19"/>
  <c r="Y1382" i="19"/>
  <c r="AC1382" i="19"/>
  <c r="AE1382" i="19" s="1"/>
  <c r="AG1382" i="19"/>
  <c r="J1380" i="19"/>
  <c r="F1380" i="19" s="1"/>
  <c r="L1380" i="19"/>
  <c r="S1380" i="19"/>
  <c r="V1380" i="19"/>
  <c r="W1380" i="19" s="1"/>
  <c r="Y1380" i="19"/>
  <c r="AD1380" i="19"/>
  <c r="AE1380" i="19"/>
  <c r="AF1380" i="19"/>
  <c r="AH1380" i="19"/>
  <c r="AJ1380" i="19" s="1"/>
  <c r="J1376" i="19"/>
  <c r="L1376" i="19"/>
  <c r="S1376" i="19"/>
  <c r="V1376" i="19"/>
  <c r="W1376" i="19" s="1"/>
  <c r="Y1376" i="19"/>
  <c r="AD1376" i="19"/>
  <c r="AE1376" i="19"/>
  <c r="AF1376" i="19"/>
  <c r="J1381" i="19"/>
  <c r="F1381" i="19" s="1"/>
  <c r="L1381" i="19"/>
  <c r="S1381" i="19"/>
  <c r="V1381" i="19"/>
  <c r="W1381" i="19" s="1"/>
  <c r="Y1381" i="19"/>
  <c r="AD1381" i="19"/>
  <c r="AE1381" i="19"/>
  <c r="AF1381" i="19"/>
  <c r="AI1381" i="19"/>
  <c r="J1377" i="19"/>
  <c r="L1377" i="19"/>
  <c r="S1377" i="19"/>
  <c r="V1377" i="19"/>
  <c r="W1377" i="19" s="1"/>
  <c r="Y1377" i="19"/>
  <c r="AD1377" i="19"/>
  <c r="AE1377" i="19"/>
  <c r="AF1377" i="19"/>
  <c r="AH1377" i="19"/>
  <c r="AJ1377" i="19" s="1"/>
  <c r="J1379" i="19"/>
  <c r="F1379" i="19" s="1"/>
  <c r="L1379" i="19"/>
  <c r="S1379" i="19"/>
  <c r="V1379" i="19"/>
  <c r="W1379" i="19" s="1"/>
  <c r="Y1379" i="19"/>
  <c r="AD1379" i="19"/>
  <c r="AE1379" i="19"/>
  <c r="AF1379" i="19"/>
  <c r="AI1379" i="19"/>
  <c r="J1378" i="19"/>
  <c r="F1378" i="19" s="1"/>
  <c r="L1378" i="19"/>
  <c r="S1378" i="19"/>
  <c r="V1378" i="19"/>
  <c r="W1378" i="19" s="1"/>
  <c r="Y1378" i="19"/>
  <c r="AD1378" i="19"/>
  <c r="AE1378" i="19"/>
  <c r="AF1378" i="19"/>
  <c r="AH1378" i="19"/>
  <c r="AJ1378" i="19" s="1"/>
  <c r="J1384" i="19"/>
  <c r="F1384" i="19" s="1"/>
  <c r="L1384" i="19"/>
  <c r="AA1384" i="19" a="1"/>
  <c r="AA1384" i="19" s="1"/>
  <c r="S1384" i="19"/>
  <c r="U1384" i="19"/>
  <c r="V1384" i="19"/>
  <c r="Y1384" i="19"/>
  <c r="AC1384" i="19"/>
  <c r="AG1384" i="19"/>
  <c r="J1387" i="19"/>
  <c r="F1387" i="19" s="1"/>
  <c r="L1387" i="19"/>
  <c r="S1387" i="19"/>
  <c r="V1387" i="19"/>
  <c r="W1387" i="19" s="1"/>
  <c r="Y1387" i="19"/>
  <c r="AC1387" i="19"/>
  <c r="AF1387" i="19" s="1"/>
  <c r="AG1387" i="19"/>
  <c r="AH1387" i="19"/>
  <c r="AJ1387" i="19" s="1"/>
  <c r="J1386" i="19"/>
  <c r="F1386" i="19" s="1"/>
  <c r="L1386" i="19"/>
  <c r="S1386" i="19"/>
  <c r="V1386" i="19"/>
  <c r="W1386" i="19" s="1"/>
  <c r="Y1386" i="19"/>
  <c r="AC1386" i="19"/>
  <c r="AD1386" i="19" s="1"/>
  <c r="AG1386" i="19"/>
  <c r="AH1386" i="19"/>
  <c r="AJ1386" i="19" s="1"/>
  <c r="J1385" i="19"/>
  <c r="F1385" i="19" s="1"/>
  <c r="L1385" i="19"/>
  <c r="S1385" i="19"/>
  <c r="V1385" i="19"/>
  <c r="W1385" i="19" s="1"/>
  <c r="Y1385" i="19"/>
  <c r="AC1385" i="19"/>
  <c r="AD1385" i="19" s="1"/>
  <c r="AG1385" i="19"/>
  <c r="AH1385" i="19"/>
  <c r="AJ1385" i="19" s="1"/>
  <c r="AI1385" i="19"/>
  <c r="J1388" i="19"/>
  <c r="F1388" i="19" s="1"/>
  <c r="L1388" i="19"/>
  <c r="AA1388" i="19" a="1"/>
  <c r="AA1388" i="19" s="1"/>
  <c r="S1388" i="19"/>
  <c r="U1388" i="19"/>
  <c r="V1388" i="19"/>
  <c r="Y1388" i="19"/>
  <c r="AC1388" i="19"/>
  <c r="AE1388" i="19" s="1"/>
  <c r="AG1388" i="19"/>
  <c r="AH1388" i="19"/>
  <c r="J1389" i="19"/>
  <c r="F1389" i="19" s="1"/>
  <c r="L1389" i="19"/>
  <c r="AA1389" i="19" a="1"/>
  <c r="AA1389" i="19" s="1"/>
  <c r="S1389" i="19"/>
  <c r="U1389" i="19"/>
  <c r="V1389" i="19"/>
  <c r="Y1389" i="19"/>
  <c r="AC1389" i="19"/>
  <c r="AD1389" i="19" s="1"/>
  <c r="AG1389" i="19"/>
  <c r="AH1389" i="19"/>
  <c r="J1391" i="19"/>
  <c r="L1391" i="19"/>
  <c r="AA1391" i="19" a="1"/>
  <c r="AA1391" i="19" s="1"/>
  <c r="S1391" i="19"/>
  <c r="U1391" i="19"/>
  <c r="V1391" i="19"/>
  <c r="Y1391" i="19"/>
  <c r="AC1391" i="19"/>
  <c r="AE1391" i="19" s="1"/>
  <c r="AG1391" i="19"/>
  <c r="AH1391" i="19"/>
  <c r="AI1391" i="19"/>
  <c r="J1390" i="19"/>
  <c r="F1390" i="19" s="1"/>
  <c r="L1390" i="19"/>
  <c r="S1390" i="19"/>
  <c r="V1390" i="19"/>
  <c r="W1390" i="19" s="1"/>
  <c r="Y1390" i="19"/>
  <c r="AC1390" i="19"/>
  <c r="AF1390" i="19" s="1"/>
  <c r="AG1390" i="19"/>
  <c r="AI1390" i="19"/>
  <c r="J1392" i="19"/>
  <c r="L1392" i="19"/>
  <c r="S1392" i="19"/>
  <c r="V1392" i="19"/>
  <c r="W1392" i="19" s="1"/>
  <c r="Y1392" i="19"/>
  <c r="AC1392" i="19"/>
  <c r="AG1392" i="19"/>
  <c r="AH1392" i="19"/>
  <c r="AJ1392" i="19" s="1"/>
  <c r="AI1392" i="19"/>
  <c r="J1393" i="19"/>
  <c r="F1393" i="19" s="1"/>
  <c r="L1393" i="19"/>
  <c r="S1393" i="19"/>
  <c r="V1393" i="19"/>
  <c r="W1393" i="19" s="1"/>
  <c r="Y1393" i="19"/>
  <c r="AC1393" i="19"/>
  <c r="AG1393" i="19"/>
  <c r="AI1393" i="19"/>
  <c r="F1401" i="19"/>
  <c r="L1401" i="19"/>
  <c r="S1401" i="19"/>
  <c r="V1401" i="19"/>
  <c r="W1401" i="19" s="1"/>
  <c r="Y1401" i="19"/>
  <c r="AD1401" i="19"/>
  <c r="AE1401" i="19"/>
  <c r="AF1401" i="19"/>
  <c r="AH1401" i="19"/>
  <c r="AJ1401" i="19" s="1"/>
  <c r="AK1401" i="19" s="1" a="1"/>
  <c r="AK1401" i="19" s="1"/>
  <c r="F1394" i="19"/>
  <c r="L1394" i="19"/>
  <c r="S1394" i="19"/>
  <c r="V1394" i="19"/>
  <c r="W1394" i="19" s="1"/>
  <c r="Y1394" i="19"/>
  <c r="AD1394" i="19"/>
  <c r="AE1394" i="19"/>
  <c r="AF1394" i="19"/>
  <c r="F1398" i="19"/>
  <c r="L1398" i="19"/>
  <c r="S1398" i="19"/>
  <c r="V1398" i="19"/>
  <c r="W1398" i="19" s="1"/>
  <c r="Y1398" i="19"/>
  <c r="AD1398" i="19"/>
  <c r="AE1398" i="19"/>
  <c r="AF1398" i="19"/>
  <c r="AH1398" i="19"/>
  <c r="AJ1398" i="19" s="1"/>
  <c r="AK1398" i="19" s="1" a="1"/>
  <c r="AK1398" i="19" s="1"/>
  <c r="F1399" i="19"/>
  <c r="L1399" i="19"/>
  <c r="S1399" i="19"/>
  <c r="V1399" i="19"/>
  <c r="W1399" i="19" s="1"/>
  <c r="Y1399" i="19"/>
  <c r="AD1399" i="19"/>
  <c r="AE1399" i="19"/>
  <c r="AF1399" i="19"/>
  <c r="AH1399" i="19"/>
  <c r="AJ1399" i="19" s="1"/>
  <c r="AK1399" i="19" s="1" a="1"/>
  <c r="AK1399" i="19" s="1"/>
  <c r="F1395" i="19"/>
  <c r="L1395" i="19"/>
  <c r="S1395" i="19"/>
  <c r="V1395" i="19"/>
  <c r="W1395" i="19" s="1"/>
  <c r="Y1395" i="19"/>
  <c r="AD1395" i="19"/>
  <c r="AE1395" i="19"/>
  <c r="AF1395" i="19"/>
  <c r="AH1395" i="19"/>
  <c r="AJ1395" i="19" s="1"/>
  <c r="AK1395" i="19" s="1" a="1"/>
  <c r="AK1395" i="19" s="1"/>
  <c r="F1396" i="19"/>
  <c r="L1396" i="19"/>
  <c r="S1396" i="19"/>
  <c r="V1396" i="19"/>
  <c r="W1396" i="19" s="1"/>
  <c r="Y1396" i="19"/>
  <c r="AD1396" i="19"/>
  <c r="AE1396" i="19"/>
  <c r="AF1396" i="19"/>
  <c r="AH1396" i="19"/>
  <c r="AJ1396" i="19" s="1"/>
  <c r="AK1396" i="19" s="1" a="1"/>
  <c r="AK1396" i="19" s="1"/>
  <c r="F1400" i="19"/>
  <c r="L1400" i="19"/>
  <c r="S1400" i="19"/>
  <c r="V1400" i="19"/>
  <c r="W1400" i="19" s="1"/>
  <c r="Y1400" i="19"/>
  <c r="AD1400" i="19"/>
  <c r="AE1400" i="19"/>
  <c r="AF1400" i="19"/>
  <c r="AH1400" i="19"/>
  <c r="AJ1400" i="19" s="1"/>
  <c r="AK1400" i="19" s="1" a="1"/>
  <c r="AK1400" i="19" s="1"/>
  <c r="F1397" i="19"/>
  <c r="L1397" i="19"/>
  <c r="S1397" i="19"/>
  <c r="V1397" i="19"/>
  <c r="W1397" i="19" s="1"/>
  <c r="Y1397" i="19"/>
  <c r="AD1397" i="19"/>
  <c r="AE1397" i="19"/>
  <c r="AF1397" i="19"/>
  <c r="AH1397" i="19"/>
  <c r="AJ1397" i="19" s="1"/>
  <c r="AK1397" i="19" s="1" a="1"/>
  <c r="AK1397" i="19" s="1"/>
  <c r="J1402" i="19"/>
  <c r="F1402" i="19" s="1"/>
  <c r="L1402" i="19"/>
  <c r="S1402" i="19"/>
  <c r="V1402" i="19"/>
  <c r="W1402" i="19" s="1"/>
  <c r="Y1402" i="19"/>
  <c r="AC1402" i="19"/>
  <c r="AE1402" i="19" s="1"/>
  <c r="AG1402" i="19"/>
  <c r="J1403" i="19"/>
  <c r="F1403" i="19" s="1"/>
  <c r="L1403" i="19"/>
  <c r="S1403" i="19"/>
  <c r="V1403" i="19"/>
  <c r="W1403" i="19" s="1"/>
  <c r="Y1403" i="19"/>
  <c r="AC1403" i="19"/>
  <c r="AD1403" i="19" s="1"/>
  <c r="AG1403" i="19"/>
  <c r="J1406" i="19"/>
  <c r="F1406" i="19" s="1"/>
  <c r="L1406" i="19"/>
  <c r="S1406" i="19"/>
  <c r="V1406" i="19"/>
  <c r="W1406" i="19" s="1"/>
  <c r="Y1406" i="19"/>
  <c r="AD1406" i="19"/>
  <c r="AE1406" i="19"/>
  <c r="AF1406" i="19"/>
  <c r="AH1406" i="19"/>
  <c r="AJ1406" i="19" s="1"/>
  <c r="J1407" i="19"/>
  <c r="F1407" i="19" s="1"/>
  <c r="L1407" i="19"/>
  <c r="S1407" i="19"/>
  <c r="V1407" i="19"/>
  <c r="W1407" i="19" s="1"/>
  <c r="Y1407" i="19"/>
  <c r="AD1407" i="19"/>
  <c r="AE1407" i="19"/>
  <c r="AF1407" i="19"/>
  <c r="AH1407" i="19"/>
  <c r="AJ1407" i="19" s="1"/>
  <c r="J1412" i="19"/>
  <c r="F1412" i="19" s="1"/>
  <c r="L1412" i="19"/>
  <c r="S1412" i="19"/>
  <c r="V1412" i="19"/>
  <c r="W1412" i="19" s="1"/>
  <c r="Y1412" i="19"/>
  <c r="AD1412" i="19"/>
  <c r="AE1412" i="19"/>
  <c r="AF1412" i="19"/>
  <c r="AI1412" i="19"/>
  <c r="J1411" i="19"/>
  <c r="F1411" i="19" s="1"/>
  <c r="L1411" i="19"/>
  <c r="S1411" i="19"/>
  <c r="V1411" i="19"/>
  <c r="W1411" i="19" s="1"/>
  <c r="Y1411" i="19"/>
  <c r="AD1411" i="19"/>
  <c r="AE1411" i="19"/>
  <c r="AF1411" i="19"/>
  <c r="J1410" i="19"/>
  <c r="F1410" i="19" s="1"/>
  <c r="L1410" i="19"/>
  <c r="S1410" i="19"/>
  <c r="V1410" i="19"/>
  <c r="W1410" i="19" s="1"/>
  <c r="Y1410" i="19"/>
  <c r="AD1410" i="19"/>
  <c r="AE1410" i="19"/>
  <c r="AF1410" i="19"/>
  <c r="J1409" i="19"/>
  <c r="F1409" i="19" s="1"/>
  <c r="L1409" i="19"/>
  <c r="S1409" i="19"/>
  <c r="V1409" i="19"/>
  <c r="W1409" i="19" s="1"/>
  <c r="Y1409" i="19"/>
  <c r="AD1409" i="19"/>
  <c r="AE1409" i="19"/>
  <c r="AF1409" i="19"/>
  <c r="AH1409" i="19"/>
  <c r="AJ1409" i="19" s="1"/>
  <c r="F1404" i="19"/>
  <c r="L1404" i="19"/>
  <c r="S1404" i="19"/>
  <c r="V1404" i="19"/>
  <c r="W1404" i="19" s="1"/>
  <c r="Y1404" i="19"/>
  <c r="AD1404" i="19"/>
  <c r="AE1404" i="19"/>
  <c r="AF1404" i="19"/>
  <c r="AH1404" i="19"/>
  <c r="AJ1404" i="19" s="1"/>
  <c r="AK1404" i="19" s="1" a="1"/>
  <c r="AK1404" i="19" s="1"/>
  <c r="J1415" i="19"/>
  <c r="F1415" i="19" s="1"/>
  <c r="L1415" i="19"/>
  <c r="S1415" i="19"/>
  <c r="V1415" i="19"/>
  <c r="W1415" i="19" s="1"/>
  <c r="Y1415" i="19"/>
  <c r="AD1415" i="19"/>
  <c r="AE1415" i="19"/>
  <c r="AF1415" i="19"/>
  <c r="J1414" i="19"/>
  <c r="L1414" i="19"/>
  <c r="S1414" i="19"/>
  <c r="V1414" i="19"/>
  <c r="W1414" i="19" s="1"/>
  <c r="Y1414" i="19"/>
  <c r="AD1414" i="19"/>
  <c r="AE1414" i="19"/>
  <c r="AF1414" i="19"/>
  <c r="J1413" i="19"/>
  <c r="F1413" i="19" s="1"/>
  <c r="L1413" i="19"/>
  <c r="S1413" i="19"/>
  <c r="V1413" i="19"/>
  <c r="W1413" i="19" s="1"/>
  <c r="Y1413" i="19"/>
  <c r="AD1413" i="19"/>
  <c r="AE1413" i="19"/>
  <c r="AF1413" i="19"/>
  <c r="AI1413" i="19"/>
  <c r="J1405" i="19"/>
  <c r="F1405" i="19" s="1"/>
  <c r="L1405" i="19"/>
  <c r="S1405" i="19"/>
  <c r="V1405" i="19"/>
  <c r="W1405" i="19" s="1"/>
  <c r="Y1405" i="19"/>
  <c r="AD1405" i="19"/>
  <c r="AE1405" i="19"/>
  <c r="AF1405" i="19"/>
  <c r="AH1405" i="19"/>
  <c r="AJ1405" i="19" s="1"/>
  <c r="J1408" i="19"/>
  <c r="F1408" i="19" s="1"/>
  <c r="L1408" i="19"/>
  <c r="S1408" i="19"/>
  <c r="V1408" i="19"/>
  <c r="W1408" i="19" s="1"/>
  <c r="Y1408" i="19"/>
  <c r="AD1408" i="19"/>
  <c r="AE1408" i="19"/>
  <c r="AF1408" i="19"/>
  <c r="J1417" i="19"/>
  <c r="F1417" i="19" s="1"/>
  <c r="L1417" i="19"/>
  <c r="S1417" i="19"/>
  <c r="V1417" i="19"/>
  <c r="W1417" i="19" s="1"/>
  <c r="Y1417" i="19"/>
  <c r="AC1417" i="19"/>
  <c r="AD1417" i="19" s="1"/>
  <c r="AG1417" i="19"/>
  <c r="AH1417" i="19"/>
  <c r="AJ1417" i="19" s="1"/>
  <c r="AI1417" i="19"/>
  <c r="J1418" i="19"/>
  <c r="F1418" i="19" s="1"/>
  <c r="L1418" i="19"/>
  <c r="S1418" i="19"/>
  <c r="V1418" i="19"/>
  <c r="W1418" i="19" s="1"/>
  <c r="Y1418" i="19"/>
  <c r="AD1418" i="19"/>
  <c r="AE1418" i="19"/>
  <c r="AF1418" i="19"/>
  <c r="AG1418" i="19"/>
  <c r="AH1418" i="19"/>
  <c r="AJ1418" i="19" s="1"/>
  <c r="J1419" i="19"/>
  <c r="F1419" i="19" s="1"/>
  <c r="L1419" i="19"/>
  <c r="S1419" i="19"/>
  <c r="V1419" i="19"/>
  <c r="W1419" i="19" s="1"/>
  <c r="Y1419" i="19"/>
  <c r="AD1419" i="19"/>
  <c r="AE1419" i="19"/>
  <c r="AF1419" i="19"/>
  <c r="AG1419" i="19"/>
  <c r="AH1419" i="19"/>
  <c r="AJ1419" i="19" s="1"/>
  <c r="J1416" i="19"/>
  <c r="F1416" i="19" s="1"/>
  <c r="L1416" i="19"/>
  <c r="S1416" i="19"/>
  <c r="V1416" i="19"/>
  <c r="W1416" i="19" s="1"/>
  <c r="Y1416" i="19"/>
  <c r="AD1416" i="19"/>
  <c r="AE1416" i="19"/>
  <c r="AF1416" i="19"/>
  <c r="AH1416" i="19"/>
  <c r="AJ1416" i="19" s="1"/>
  <c r="J1425" i="19"/>
  <c r="F1425" i="19" s="1"/>
  <c r="L1425" i="19"/>
  <c r="S1425" i="19"/>
  <c r="V1425" i="19"/>
  <c r="W1425" i="19" s="1"/>
  <c r="Y1425" i="19"/>
  <c r="AD1425" i="19"/>
  <c r="AE1425" i="19"/>
  <c r="AF1425" i="19"/>
  <c r="J1424" i="19"/>
  <c r="F1424" i="19" s="1"/>
  <c r="L1424" i="19"/>
  <c r="S1424" i="19"/>
  <c r="V1424" i="19"/>
  <c r="W1424" i="19" s="1"/>
  <c r="Y1424" i="19"/>
  <c r="AD1424" i="19"/>
  <c r="AE1424" i="19"/>
  <c r="AF1424" i="19"/>
  <c r="AH1424" i="19"/>
  <c r="AJ1424" i="19" s="1"/>
  <c r="J1423" i="19"/>
  <c r="F1423" i="19" s="1"/>
  <c r="L1423" i="19"/>
  <c r="S1423" i="19"/>
  <c r="V1423" i="19"/>
  <c r="W1423" i="19" s="1"/>
  <c r="Y1423" i="19"/>
  <c r="AD1423" i="19"/>
  <c r="AE1423" i="19"/>
  <c r="AF1423" i="19"/>
  <c r="AH1423" i="19"/>
  <c r="AJ1423" i="19" s="1"/>
  <c r="AI1423" i="19"/>
  <c r="J1420" i="19"/>
  <c r="L1420" i="19"/>
  <c r="S1420" i="19"/>
  <c r="V1420" i="19"/>
  <c r="W1420" i="19" s="1"/>
  <c r="Y1420" i="19"/>
  <c r="AD1420" i="19"/>
  <c r="AE1420" i="19"/>
  <c r="AF1420" i="19"/>
  <c r="J1421" i="19"/>
  <c r="F1421" i="19" s="1"/>
  <c r="L1421" i="19"/>
  <c r="S1421" i="19"/>
  <c r="V1421" i="19"/>
  <c r="W1421" i="19" s="1"/>
  <c r="Y1421" i="19"/>
  <c r="AD1421" i="19"/>
  <c r="AE1421" i="19"/>
  <c r="AF1421" i="19"/>
  <c r="AH1421" i="19"/>
  <c r="AJ1421" i="19" s="1"/>
  <c r="J1422" i="19"/>
  <c r="F1422" i="19" s="1"/>
  <c r="L1422" i="19"/>
  <c r="S1422" i="19"/>
  <c r="V1422" i="19"/>
  <c r="W1422" i="19" s="1"/>
  <c r="Y1422" i="19"/>
  <c r="AD1422" i="19"/>
  <c r="AE1422" i="19"/>
  <c r="AF1422" i="19"/>
  <c r="J1426" i="19"/>
  <c r="F1426" i="19" s="1"/>
  <c r="L1426" i="19"/>
  <c r="S1426" i="19"/>
  <c r="V1426" i="19"/>
  <c r="W1426" i="19" s="1"/>
  <c r="Y1426" i="19"/>
  <c r="AD1426" i="19"/>
  <c r="AE1426" i="19"/>
  <c r="AF1426" i="19"/>
  <c r="AH1426" i="19"/>
  <c r="AJ1426" i="19" s="1"/>
  <c r="J1427" i="19"/>
  <c r="F1427" i="19" s="1"/>
  <c r="L1427" i="19"/>
  <c r="S1427" i="19"/>
  <c r="V1427" i="19"/>
  <c r="W1427" i="19" s="1"/>
  <c r="Y1427" i="19"/>
  <c r="AD1427" i="19"/>
  <c r="AE1427" i="19"/>
  <c r="AF1427" i="19"/>
  <c r="AH1427" i="19"/>
  <c r="AJ1427" i="19" s="1"/>
  <c r="J1428" i="19"/>
  <c r="F1428" i="19" s="1"/>
  <c r="L1428" i="19"/>
  <c r="S1428" i="19"/>
  <c r="V1428" i="19"/>
  <c r="W1428" i="19" s="1"/>
  <c r="Y1428" i="19"/>
  <c r="AD1428" i="19"/>
  <c r="AE1428" i="19"/>
  <c r="AF1428" i="19"/>
  <c r="J1429" i="19"/>
  <c r="F1429" i="19" s="1"/>
  <c r="L1429" i="19"/>
  <c r="S1429" i="19"/>
  <c r="V1429" i="19"/>
  <c r="W1429" i="19" s="1"/>
  <c r="Y1429" i="19"/>
  <c r="AD1429" i="19"/>
  <c r="AE1429" i="19"/>
  <c r="AF1429" i="19"/>
  <c r="AH1429" i="19"/>
  <c r="AJ1429" i="19" s="1"/>
  <c r="J1430" i="19"/>
  <c r="F1430" i="19" s="1"/>
  <c r="L1430" i="19"/>
  <c r="S1430" i="19"/>
  <c r="V1430" i="19"/>
  <c r="W1430" i="19" s="1"/>
  <c r="Y1430" i="19"/>
  <c r="AD1430" i="19"/>
  <c r="AE1430" i="19"/>
  <c r="AF1430" i="19"/>
  <c r="AH1430" i="19"/>
  <c r="AJ1430" i="19" s="1"/>
  <c r="J1431" i="19"/>
  <c r="F1431" i="19" s="1"/>
  <c r="L1431" i="19"/>
  <c r="S1431" i="19"/>
  <c r="V1431" i="19"/>
  <c r="W1431" i="19" s="1"/>
  <c r="Y1431" i="19"/>
  <c r="AD1431" i="19"/>
  <c r="AE1431" i="19"/>
  <c r="AF1431" i="19"/>
  <c r="J1433" i="19"/>
  <c r="F1433" i="19" s="1"/>
  <c r="L1433" i="19"/>
  <c r="S1433" i="19"/>
  <c r="V1433" i="19"/>
  <c r="W1433" i="19" s="1"/>
  <c r="Y1433" i="19"/>
  <c r="AD1433" i="19"/>
  <c r="AE1433" i="19"/>
  <c r="AF1433" i="19"/>
  <c r="AH1433" i="19"/>
  <c r="AJ1433" i="19" s="1"/>
  <c r="J1432" i="19"/>
  <c r="L1432" i="19"/>
  <c r="S1432" i="19"/>
  <c r="V1432" i="19"/>
  <c r="W1432" i="19" s="1"/>
  <c r="Y1432" i="19"/>
  <c r="AD1432" i="19"/>
  <c r="AE1432" i="19"/>
  <c r="AF1432" i="19"/>
  <c r="AH1432" i="19"/>
  <c r="AJ1432" i="19" s="1"/>
  <c r="J1434" i="19"/>
  <c r="F1434" i="19" s="1"/>
  <c r="L1434" i="19"/>
  <c r="S1434" i="19"/>
  <c r="V1434" i="19"/>
  <c r="W1434" i="19" s="1"/>
  <c r="Y1434" i="19"/>
  <c r="AD1434" i="19"/>
  <c r="AE1434" i="19"/>
  <c r="AF1434" i="19"/>
  <c r="AH1434" i="19"/>
  <c r="AJ1434" i="19" s="1"/>
  <c r="J1436" i="19"/>
  <c r="F1436" i="19" s="1"/>
  <c r="L1436" i="19"/>
  <c r="S1436" i="19"/>
  <c r="V1436" i="19"/>
  <c r="W1436" i="19" s="1"/>
  <c r="Y1436" i="19"/>
  <c r="AD1436" i="19"/>
  <c r="AE1436" i="19"/>
  <c r="AF1436" i="19"/>
  <c r="AH1436" i="19"/>
  <c r="AJ1436" i="19" s="1"/>
  <c r="J1435" i="19"/>
  <c r="F1435" i="19" s="1"/>
  <c r="L1435" i="19"/>
  <c r="S1435" i="19"/>
  <c r="V1435" i="19"/>
  <c r="W1435" i="19" s="1"/>
  <c r="Y1435" i="19"/>
  <c r="AD1435" i="19"/>
  <c r="AE1435" i="19"/>
  <c r="AF1435" i="19"/>
  <c r="J1438" i="19"/>
  <c r="F1438" i="19" s="1"/>
  <c r="L1438" i="19"/>
  <c r="S1438" i="19"/>
  <c r="V1438" i="19"/>
  <c r="W1438" i="19" s="1"/>
  <c r="Y1438" i="19"/>
  <c r="AD1438" i="19"/>
  <c r="AE1438" i="19"/>
  <c r="AF1438" i="19"/>
  <c r="AH1438" i="19"/>
  <c r="AJ1438" i="19" s="1"/>
  <c r="J1437" i="19"/>
  <c r="L1437" i="19"/>
  <c r="S1437" i="19"/>
  <c r="V1437" i="19"/>
  <c r="W1437" i="19" s="1"/>
  <c r="Y1437" i="19"/>
  <c r="AD1437" i="19"/>
  <c r="AE1437" i="19"/>
  <c r="AF1437" i="19"/>
  <c r="J1441" i="19"/>
  <c r="L1441" i="19"/>
  <c r="S1441" i="19"/>
  <c r="V1441" i="19"/>
  <c r="W1441" i="19" s="1"/>
  <c r="Y1441" i="19"/>
  <c r="AD1441" i="19"/>
  <c r="AE1441" i="19"/>
  <c r="AF1441" i="19"/>
  <c r="AH1441" i="19"/>
  <c r="AJ1441" i="19" s="1"/>
  <c r="J1439" i="19"/>
  <c r="F1439" i="19" s="1"/>
  <c r="L1439" i="19"/>
  <c r="S1439" i="19"/>
  <c r="V1439" i="19"/>
  <c r="W1439" i="19" s="1"/>
  <c r="Y1439" i="19"/>
  <c r="AD1439" i="19"/>
  <c r="AE1439" i="19"/>
  <c r="AF1439" i="19"/>
  <c r="AH1439" i="19"/>
  <c r="AJ1439" i="19" s="1"/>
  <c r="J1440" i="19"/>
  <c r="F1440" i="19" s="1"/>
  <c r="L1440" i="19"/>
  <c r="S1440" i="19"/>
  <c r="V1440" i="19"/>
  <c r="W1440" i="19" s="1"/>
  <c r="Y1440" i="19"/>
  <c r="AD1440" i="19"/>
  <c r="AE1440" i="19"/>
  <c r="AF1440" i="19"/>
  <c r="J1442" i="19"/>
  <c r="F1442" i="19" s="1"/>
  <c r="L1442" i="19"/>
  <c r="S1442" i="19"/>
  <c r="V1442" i="19"/>
  <c r="W1442" i="19" s="1"/>
  <c r="Y1442" i="19"/>
  <c r="AD1442" i="19"/>
  <c r="AE1442" i="19"/>
  <c r="AF1442" i="19"/>
  <c r="AH1442" i="19"/>
  <c r="AJ1442" i="19" s="1"/>
  <c r="J1444" i="19"/>
  <c r="F1444" i="19" s="1"/>
  <c r="L1444" i="19"/>
  <c r="S1444" i="19"/>
  <c r="V1444" i="19"/>
  <c r="W1444" i="19" s="1"/>
  <c r="Y1444" i="19"/>
  <c r="AD1444" i="19"/>
  <c r="AE1444" i="19"/>
  <c r="AF1444" i="19"/>
  <c r="J1443" i="19"/>
  <c r="L1443" i="19"/>
  <c r="S1443" i="19"/>
  <c r="V1443" i="19"/>
  <c r="W1443" i="19" s="1"/>
  <c r="Y1443" i="19"/>
  <c r="AD1443" i="19"/>
  <c r="AE1443" i="19"/>
  <c r="AF1443" i="19"/>
  <c r="AH1443" i="19"/>
  <c r="AJ1443" i="19" s="1"/>
  <c r="J1445" i="19"/>
  <c r="F1445" i="19" s="1"/>
  <c r="L1445" i="19"/>
  <c r="S1445" i="19"/>
  <c r="V1445" i="19"/>
  <c r="W1445" i="19" s="1"/>
  <c r="Y1445" i="19"/>
  <c r="AD1445" i="19"/>
  <c r="AE1445" i="19"/>
  <c r="AF1445" i="19"/>
  <c r="AH1445" i="19"/>
  <c r="AJ1445" i="19" s="1"/>
  <c r="J1449" i="19"/>
  <c r="L1449" i="19"/>
  <c r="S1449" i="19"/>
  <c r="V1449" i="19"/>
  <c r="W1449" i="19" s="1"/>
  <c r="Y1449" i="19"/>
  <c r="AD1449" i="19"/>
  <c r="AE1449" i="19"/>
  <c r="AF1449" i="19"/>
  <c r="AH1449" i="19"/>
  <c r="AJ1449" i="19" s="1"/>
  <c r="J1448" i="19"/>
  <c r="F1448" i="19" s="1"/>
  <c r="L1448" i="19"/>
  <c r="S1448" i="19"/>
  <c r="V1448" i="19"/>
  <c r="W1448" i="19" s="1"/>
  <c r="Y1448" i="19"/>
  <c r="AD1448" i="19"/>
  <c r="AE1448" i="19"/>
  <c r="AF1448" i="19"/>
  <c r="AH1448" i="19"/>
  <c r="AJ1448" i="19" s="1"/>
  <c r="J1447" i="19"/>
  <c r="F1447" i="19" s="1"/>
  <c r="L1447" i="19"/>
  <c r="S1447" i="19"/>
  <c r="V1447" i="19"/>
  <c r="W1447" i="19" s="1"/>
  <c r="Y1447" i="19"/>
  <c r="AD1447" i="19"/>
  <c r="AE1447" i="19"/>
  <c r="AF1447" i="19"/>
  <c r="J1446" i="19"/>
  <c r="F1446" i="19" s="1"/>
  <c r="L1446" i="19"/>
  <c r="S1446" i="19"/>
  <c r="V1446" i="19"/>
  <c r="W1446" i="19" s="1"/>
  <c r="Y1446" i="19"/>
  <c r="AD1446" i="19"/>
  <c r="AE1446" i="19"/>
  <c r="AF1446" i="19"/>
  <c r="J1450" i="19"/>
  <c r="F1450" i="19" s="1"/>
  <c r="L1450" i="19"/>
  <c r="S1450" i="19"/>
  <c r="V1450" i="19"/>
  <c r="W1450" i="19" s="1"/>
  <c r="Y1450" i="19"/>
  <c r="AC1450" i="19"/>
  <c r="AD1450" i="19" s="1"/>
  <c r="AG1450" i="19"/>
  <c r="AH1450" i="19"/>
  <c r="AJ1450" i="19" s="1"/>
  <c r="J1451" i="19"/>
  <c r="F1451" i="19" s="1"/>
  <c r="L1451" i="19"/>
  <c r="S1451" i="19"/>
  <c r="V1451" i="19"/>
  <c r="W1451" i="19" s="1"/>
  <c r="Y1451" i="19"/>
  <c r="AC1451" i="19"/>
  <c r="AE1451" i="19" s="1"/>
  <c r="AG1451" i="19"/>
  <c r="AH1451" i="19"/>
  <c r="AJ1451" i="19" s="1"/>
  <c r="J1458" i="19"/>
  <c r="F1458" i="19" s="1"/>
  <c r="L1458" i="19"/>
  <c r="S1458" i="19"/>
  <c r="V1458" i="19"/>
  <c r="W1458" i="19" s="1"/>
  <c r="Y1458" i="19"/>
  <c r="AD1458" i="19"/>
  <c r="AE1458" i="19"/>
  <c r="AF1458" i="19"/>
  <c r="J1453" i="19"/>
  <c r="L1453" i="19"/>
  <c r="S1453" i="19"/>
  <c r="V1453" i="19"/>
  <c r="W1453" i="19" s="1"/>
  <c r="Y1453" i="19"/>
  <c r="AD1453" i="19"/>
  <c r="AE1453" i="19"/>
  <c r="AF1453" i="19"/>
  <c r="J1457" i="19"/>
  <c r="F1457" i="19" s="1"/>
  <c r="L1457" i="19"/>
  <c r="S1457" i="19"/>
  <c r="V1457" i="19"/>
  <c r="W1457" i="19" s="1"/>
  <c r="Y1457" i="19"/>
  <c r="AD1457" i="19"/>
  <c r="AE1457" i="19"/>
  <c r="AF1457" i="19"/>
  <c r="J1456" i="19"/>
  <c r="F1456" i="19" s="1"/>
  <c r="L1456" i="19"/>
  <c r="S1456" i="19"/>
  <c r="V1456" i="19"/>
  <c r="W1456" i="19" s="1"/>
  <c r="Y1456" i="19"/>
  <c r="AD1456" i="19"/>
  <c r="AE1456" i="19"/>
  <c r="AF1456" i="19"/>
  <c r="AH1456" i="19"/>
  <c r="AJ1456" i="19" s="1"/>
  <c r="J1452" i="19"/>
  <c r="F1452" i="19" s="1"/>
  <c r="L1452" i="19"/>
  <c r="S1452" i="19"/>
  <c r="V1452" i="19"/>
  <c r="W1452" i="19" s="1"/>
  <c r="Y1452" i="19"/>
  <c r="AD1452" i="19"/>
  <c r="AE1452" i="19"/>
  <c r="AF1452" i="19"/>
  <c r="J1454" i="19"/>
  <c r="F1454" i="19" s="1"/>
  <c r="L1454" i="19"/>
  <c r="S1454" i="19"/>
  <c r="V1454" i="19"/>
  <c r="W1454" i="19" s="1"/>
  <c r="Y1454" i="19"/>
  <c r="AD1454" i="19"/>
  <c r="AE1454" i="19"/>
  <c r="AF1454" i="19"/>
  <c r="AH1454" i="19"/>
  <c r="AJ1454" i="19" s="1"/>
  <c r="J1455" i="19"/>
  <c r="F1455" i="19" s="1"/>
  <c r="L1455" i="19"/>
  <c r="S1455" i="19"/>
  <c r="V1455" i="19"/>
  <c r="W1455" i="19" s="1"/>
  <c r="Y1455" i="19"/>
  <c r="AD1455" i="19"/>
  <c r="AE1455" i="19"/>
  <c r="AF1455" i="19"/>
  <c r="J1464" i="19"/>
  <c r="F1464" i="19" s="1"/>
  <c r="L1464" i="19"/>
  <c r="S1464" i="19"/>
  <c r="V1464" i="19"/>
  <c r="W1464" i="19" s="1"/>
  <c r="Y1464" i="19"/>
  <c r="AD1464" i="19"/>
  <c r="AE1464" i="19"/>
  <c r="AF1464" i="19"/>
  <c r="J1463" i="19"/>
  <c r="F1463" i="19" s="1"/>
  <c r="L1463" i="19"/>
  <c r="S1463" i="19"/>
  <c r="V1463" i="19"/>
  <c r="W1463" i="19" s="1"/>
  <c r="Y1463" i="19"/>
  <c r="AD1463" i="19"/>
  <c r="AE1463" i="19"/>
  <c r="AF1463" i="19"/>
  <c r="AH1463" i="19"/>
  <c r="AJ1463" i="19" s="1"/>
  <c r="J1459" i="19"/>
  <c r="F1459" i="19" s="1"/>
  <c r="L1459" i="19"/>
  <c r="S1459" i="19"/>
  <c r="V1459" i="19"/>
  <c r="W1459" i="19" s="1"/>
  <c r="Y1459" i="19"/>
  <c r="AD1459" i="19"/>
  <c r="AE1459" i="19"/>
  <c r="AF1459" i="19"/>
  <c r="AH1459" i="19"/>
  <c r="AJ1459" i="19" s="1"/>
  <c r="J1460" i="19"/>
  <c r="F1460" i="19" s="1"/>
  <c r="L1460" i="19"/>
  <c r="S1460" i="19"/>
  <c r="V1460" i="19"/>
  <c r="W1460" i="19" s="1"/>
  <c r="Y1460" i="19"/>
  <c r="AH1460" i="19"/>
  <c r="AJ1460" i="19" s="1"/>
  <c r="J1468" i="19"/>
  <c r="F1468" i="19" s="1"/>
  <c r="L1468" i="19"/>
  <c r="S1468" i="19"/>
  <c r="V1468" i="19"/>
  <c r="W1468" i="19" s="1"/>
  <c r="Y1468" i="19"/>
  <c r="AD1468" i="19"/>
  <c r="AE1468" i="19"/>
  <c r="AF1468" i="19"/>
  <c r="J1469" i="19"/>
  <c r="F1469" i="19" s="1"/>
  <c r="L1469" i="19"/>
  <c r="S1469" i="19"/>
  <c r="V1469" i="19"/>
  <c r="W1469" i="19" s="1"/>
  <c r="Y1469" i="19"/>
  <c r="AD1469" i="19"/>
  <c r="AE1469" i="19"/>
  <c r="AF1469" i="19"/>
  <c r="J1470" i="19"/>
  <c r="F1470" i="19" s="1"/>
  <c r="L1470" i="19"/>
  <c r="S1470" i="19"/>
  <c r="V1470" i="19"/>
  <c r="W1470" i="19" s="1"/>
  <c r="Y1470" i="19"/>
  <c r="AD1470" i="19"/>
  <c r="AE1470" i="19"/>
  <c r="AF1470" i="19"/>
  <c r="AH1470" i="19"/>
  <c r="AJ1470" i="19" s="1"/>
  <c r="J1466" i="19"/>
  <c r="F1466" i="19" s="1"/>
  <c r="L1466" i="19"/>
  <c r="S1466" i="19"/>
  <c r="V1466" i="19"/>
  <c r="W1466" i="19" s="1"/>
  <c r="Y1466" i="19"/>
  <c r="AD1466" i="19"/>
  <c r="AE1466" i="19"/>
  <c r="AF1466" i="19"/>
  <c r="J1465" i="19"/>
  <c r="F1465" i="19" s="1"/>
  <c r="L1465" i="19"/>
  <c r="S1465" i="19"/>
  <c r="V1465" i="19"/>
  <c r="W1465" i="19" s="1"/>
  <c r="Y1465" i="19"/>
  <c r="AD1465" i="19"/>
  <c r="AE1465" i="19"/>
  <c r="AF1465" i="19"/>
  <c r="AH1465" i="19"/>
  <c r="AJ1465" i="19" s="1"/>
  <c r="J1467" i="19"/>
  <c r="F1467" i="19" s="1"/>
  <c r="L1467" i="19"/>
  <c r="S1467" i="19"/>
  <c r="V1467" i="19"/>
  <c r="W1467" i="19" s="1"/>
  <c r="Y1467" i="19"/>
  <c r="AD1467" i="19"/>
  <c r="AE1467" i="19"/>
  <c r="AF1467" i="19"/>
  <c r="AH1467" i="19"/>
  <c r="AJ1467" i="19" s="1"/>
  <c r="J1461" i="19"/>
  <c r="F1461" i="19" s="1"/>
  <c r="L1461" i="19"/>
  <c r="S1461" i="19"/>
  <c r="V1461" i="19"/>
  <c r="W1461" i="19" s="1"/>
  <c r="Y1461" i="19"/>
  <c r="AD1461" i="19"/>
  <c r="AE1461" i="19"/>
  <c r="AF1461" i="19"/>
  <c r="J1462" i="19"/>
  <c r="F1462" i="19" s="1"/>
  <c r="L1462" i="19"/>
  <c r="S1462" i="19"/>
  <c r="V1462" i="19"/>
  <c r="W1462" i="19" s="1"/>
  <c r="Y1462" i="19"/>
  <c r="AD1462" i="19"/>
  <c r="AE1462" i="19"/>
  <c r="AF1462" i="19"/>
  <c r="AH1462" i="19"/>
  <c r="AJ1462" i="19" s="1"/>
  <c r="J1471" i="19"/>
  <c r="F1471" i="19" s="1"/>
  <c r="L1471" i="19"/>
  <c r="S1471" i="19"/>
  <c r="V1471" i="19"/>
  <c r="W1471" i="19" s="1"/>
  <c r="Y1471" i="19"/>
  <c r="AD1471" i="19"/>
  <c r="AE1471" i="19"/>
  <c r="AF1471" i="19"/>
  <c r="AH1471" i="19"/>
  <c r="AJ1471" i="19" s="1"/>
  <c r="AI1471" i="19"/>
  <c r="U375" i="19"/>
  <c r="W375" i="19" s="1"/>
  <c r="AD375" i="19"/>
  <c r="AE375" i="19"/>
  <c r="AF375" i="19"/>
  <c r="AH375" i="19"/>
  <c r="AI375" i="19"/>
  <c r="AD373" i="19"/>
  <c r="AE373" i="19"/>
  <c r="AF373" i="19"/>
  <c r="AH373" i="19"/>
  <c r="AJ373" i="19" s="1"/>
  <c r="AK373" i="19" s="1" a="1"/>
  <c r="AK373" i="19" s="1"/>
  <c r="AD374" i="19"/>
  <c r="AE374" i="19"/>
  <c r="AF374" i="19"/>
  <c r="AH374" i="19"/>
  <c r="AJ374" i="19" s="1"/>
  <c r="AK374" i="19" s="1" a="1"/>
  <c r="AK374" i="19" s="1"/>
  <c r="W376" i="19"/>
  <c r="X376" i="19"/>
  <c r="AD376" i="19"/>
  <c r="AE376" i="19"/>
  <c r="AF376" i="19"/>
  <c r="AH376" i="19"/>
  <c r="AJ376" i="19" s="1"/>
  <c r="AK376" i="19" s="1" a="1"/>
  <c r="AK376" i="19" s="1"/>
  <c r="W377" i="19"/>
  <c r="X377" i="19"/>
  <c r="AD377" i="19"/>
  <c r="AE377" i="19"/>
  <c r="AF377" i="19"/>
  <c r="AH377" i="19"/>
  <c r="AJ377" i="19" s="1"/>
  <c r="AK377" i="19" s="1" a="1"/>
  <c r="AK377" i="19" s="1"/>
  <c r="AI377" i="19"/>
  <c r="V379" i="19"/>
  <c r="W379" i="19" s="1"/>
  <c r="Y379" i="19"/>
  <c r="AC379" i="19"/>
  <c r="AE379" i="19" s="1"/>
  <c r="AG379" i="19"/>
  <c r="AH379" i="19"/>
  <c r="AJ379" i="19" s="1"/>
  <c r="AK379" i="19" s="1" a="1"/>
  <c r="AK379" i="19" s="1"/>
  <c r="AI379" i="19"/>
  <c r="AA380" i="19" a="1"/>
  <c r="AA380" i="19" s="1"/>
  <c r="U380" i="19"/>
  <c r="V380" i="19"/>
  <c r="Y380" i="19"/>
  <c r="AC380" i="19"/>
  <c r="AG380" i="19"/>
  <c r="AH380" i="19"/>
  <c r="AI380" i="19"/>
  <c r="V378" i="19"/>
  <c r="W378" i="19" s="1"/>
  <c r="Y378" i="19"/>
  <c r="AC378" i="19"/>
  <c r="AD378" i="19" s="1"/>
  <c r="AG378" i="19"/>
  <c r="AH378" i="19"/>
  <c r="AJ378" i="19" s="1"/>
  <c r="AK378" i="19" s="1" a="1"/>
  <c r="AK378" i="19" s="1"/>
  <c r="S462" i="19"/>
  <c r="W462" i="19"/>
  <c r="Y462" i="19"/>
  <c r="X462" i="19"/>
  <c r="AD462" i="19"/>
  <c r="AE462" i="19"/>
  <c r="AF462" i="19"/>
  <c r="AH462" i="19"/>
  <c r="AJ462" i="19" s="1"/>
  <c r="AK462" i="19" s="1" a="1"/>
  <c r="AK462" i="19" s="1"/>
  <c r="S463" i="19"/>
  <c r="W463" i="19"/>
  <c r="Y463" i="19"/>
  <c r="X463" i="19"/>
  <c r="AD463" i="19"/>
  <c r="AE463" i="19"/>
  <c r="AF463" i="19"/>
  <c r="AH463" i="19"/>
  <c r="AJ463" i="19" s="1"/>
  <c r="AK463" i="19" s="1" a="1"/>
  <c r="AK463" i="19" s="1"/>
  <c r="AI463" i="19"/>
  <c r="J1085" i="19"/>
  <c r="S1085" i="19"/>
  <c r="V1085" i="19"/>
  <c r="Y1085" i="19"/>
  <c r="X1085" i="19"/>
  <c r="AI1085" i="19"/>
  <c r="J1086" i="19"/>
  <c r="V1086" i="19"/>
  <c r="W1086" i="19" s="1"/>
  <c r="Y1086" i="19"/>
  <c r="X1086" i="19"/>
  <c r="AD1086" i="19"/>
  <c r="AE1086" i="19"/>
  <c r="AF1086" i="19"/>
  <c r="AH1086" i="19"/>
  <c r="AJ1086" i="19" s="1"/>
  <c r="AI1086" i="19"/>
  <c r="W2346" i="19"/>
  <c r="X2346" i="19"/>
  <c r="AD2346" i="19"/>
  <c r="AE2346" i="19"/>
  <c r="AF2346" i="19"/>
  <c r="AJ2346" i="19"/>
  <c r="AK2346" i="19" s="1" a="1"/>
  <c r="AK2346" i="19" s="1"/>
  <c r="E2345" i="19"/>
  <c r="W2345" i="19"/>
  <c r="X2345" i="19"/>
  <c r="AD2345" i="19"/>
  <c r="AE2345" i="19"/>
  <c r="AF2345" i="19"/>
  <c r="AJ2345" i="19"/>
  <c r="AK2345" i="19" s="1" a="1"/>
  <c r="AK2345" i="19" s="1"/>
  <c r="E2344" i="19"/>
  <c r="W2344" i="19"/>
  <c r="X2344" i="19"/>
  <c r="AD2344" i="19"/>
  <c r="AE2344" i="19"/>
  <c r="AF2344" i="19"/>
  <c r="AJ2344" i="19"/>
  <c r="AK2344" i="19" s="1" a="1"/>
  <c r="AK2344" i="19" s="1"/>
  <c r="J2343" i="19"/>
  <c r="L2343" i="19"/>
  <c r="V2343" i="19"/>
  <c r="W2343" i="19" s="1"/>
  <c r="Y2343" i="19"/>
  <c r="AC2343" i="19"/>
  <c r="AE2343" i="19" s="1"/>
  <c r="AG2343" i="19"/>
  <c r="AH2343" i="19"/>
  <c r="AJ2343" i="19" s="1"/>
  <c r="J975" i="19"/>
  <c r="F975" i="19" s="1"/>
  <c r="L975" i="19"/>
  <c r="V975" i="19"/>
  <c r="W975" i="19" s="1"/>
  <c r="Y975" i="19"/>
  <c r="AD975" i="19"/>
  <c r="AE975" i="19"/>
  <c r="AF975" i="19"/>
  <c r="AH975" i="19"/>
  <c r="AJ975" i="19" s="1"/>
  <c r="J968" i="19"/>
  <c r="F968" i="19" s="1"/>
  <c r="L968" i="19"/>
  <c r="V968" i="19"/>
  <c r="W968" i="19" s="1"/>
  <c r="Y968" i="19"/>
  <c r="AD968" i="19"/>
  <c r="AE968" i="19"/>
  <c r="AF968" i="19"/>
  <c r="J967" i="19"/>
  <c r="F967" i="19" s="1"/>
  <c r="L967" i="19"/>
  <c r="V967" i="19"/>
  <c r="W967" i="19" s="1"/>
  <c r="Y967" i="19"/>
  <c r="AD967" i="19"/>
  <c r="AE967" i="19"/>
  <c r="AF967" i="19"/>
  <c r="AH967" i="19"/>
  <c r="AJ967" i="19" s="1"/>
  <c r="J972" i="19"/>
  <c r="F972" i="19" s="1"/>
  <c r="L972" i="19"/>
  <c r="V972" i="19"/>
  <c r="W972" i="19" s="1"/>
  <c r="Y972" i="19"/>
  <c r="AD972" i="19"/>
  <c r="AE972" i="19"/>
  <c r="AF972" i="19"/>
  <c r="AH972" i="19"/>
  <c r="AJ972" i="19" s="1"/>
  <c r="J971" i="19"/>
  <c r="L971" i="19"/>
  <c r="V971" i="19"/>
  <c r="W971" i="19" s="1"/>
  <c r="Y971" i="19"/>
  <c r="AD971" i="19"/>
  <c r="AE971" i="19"/>
  <c r="AF971" i="19"/>
  <c r="AH971" i="19"/>
  <c r="AJ971" i="19" s="1"/>
  <c r="J974" i="19"/>
  <c r="F974" i="19" s="1"/>
  <c r="L974" i="19"/>
  <c r="V974" i="19"/>
  <c r="W974" i="19" s="1"/>
  <c r="Y974" i="19"/>
  <c r="AD974" i="19"/>
  <c r="AE974" i="19"/>
  <c r="AF974" i="19"/>
  <c r="AH974" i="19"/>
  <c r="AJ974" i="19" s="1"/>
  <c r="J969" i="19"/>
  <c r="F969" i="19" s="1"/>
  <c r="L969" i="19"/>
  <c r="V969" i="19"/>
  <c r="W969" i="19" s="1"/>
  <c r="Y969" i="19"/>
  <c r="AD969" i="19"/>
  <c r="AE969" i="19"/>
  <c r="AF969" i="19"/>
  <c r="AH969" i="19"/>
  <c r="AJ969" i="19" s="1"/>
  <c r="J973" i="19"/>
  <c r="F973" i="19" s="1"/>
  <c r="L973" i="19"/>
  <c r="V973" i="19"/>
  <c r="W973" i="19" s="1"/>
  <c r="Y973" i="19"/>
  <c r="AD973" i="19"/>
  <c r="AE973" i="19"/>
  <c r="AF973" i="19"/>
  <c r="J970" i="19"/>
  <c r="F970" i="19" s="1"/>
  <c r="L970" i="19"/>
  <c r="V970" i="19"/>
  <c r="W970" i="19" s="1"/>
  <c r="Y970" i="19"/>
  <c r="AD970" i="19"/>
  <c r="AE970" i="19"/>
  <c r="AF970" i="19"/>
  <c r="AH970" i="19"/>
  <c r="AJ970" i="19" s="1"/>
  <c r="J978" i="19"/>
  <c r="F978" i="19" s="1"/>
  <c r="L978" i="19"/>
  <c r="V978" i="19"/>
  <c r="W978" i="19" s="1"/>
  <c r="Y978" i="19"/>
  <c r="AD978" i="19"/>
  <c r="AE978" i="19"/>
  <c r="AF978" i="19"/>
  <c r="AH978" i="19"/>
  <c r="AJ978" i="19" s="1"/>
  <c r="J976" i="19"/>
  <c r="F976" i="19" s="1"/>
  <c r="L976" i="19"/>
  <c r="V976" i="19"/>
  <c r="W976" i="19" s="1"/>
  <c r="Y976" i="19"/>
  <c r="AD976" i="19"/>
  <c r="AE976" i="19"/>
  <c r="AF976" i="19"/>
  <c r="AH976" i="19"/>
  <c r="AJ976" i="19" s="1"/>
  <c r="J977" i="19"/>
  <c r="F977" i="19" s="1"/>
  <c r="L977" i="19"/>
  <c r="V977" i="19"/>
  <c r="W977" i="19" s="1"/>
  <c r="Y977" i="19"/>
  <c r="AD977" i="19"/>
  <c r="AE977" i="19"/>
  <c r="AF977" i="19"/>
  <c r="J877" i="19"/>
  <c r="L877" i="19"/>
  <c r="S877" i="19"/>
  <c r="V877" i="19"/>
  <c r="W877" i="19" s="1"/>
  <c r="Y877" i="19"/>
  <c r="X877" i="19"/>
  <c r="AD877" i="19"/>
  <c r="AE877" i="19"/>
  <c r="AF877" i="19"/>
  <c r="AG877" i="19"/>
  <c r="AI877" i="19"/>
  <c r="J2349" i="19"/>
  <c r="L2349" i="19"/>
  <c r="S2349" i="19"/>
  <c r="V2349" i="19"/>
  <c r="W2349" i="19" s="1"/>
  <c r="Y2349" i="19"/>
  <c r="J1529" i="19"/>
  <c r="L1529" i="19"/>
  <c r="V1529" i="19"/>
  <c r="W1529" i="19" s="1"/>
  <c r="Y1529" i="19"/>
  <c r="AC1529" i="19"/>
  <c r="AF1529" i="19" s="1"/>
  <c r="AG1529" i="19"/>
  <c r="J1530" i="19"/>
  <c r="L1530" i="19"/>
  <c r="V1530" i="19"/>
  <c r="W1530" i="19" s="1"/>
  <c r="Y1530" i="19"/>
  <c r="AC1530" i="19"/>
  <c r="AF1530" i="19" s="1"/>
  <c r="AG1530" i="19"/>
  <c r="AH1530" i="19"/>
  <c r="AJ1530" i="19" s="1"/>
  <c r="J1532" i="19"/>
  <c r="L1532" i="19"/>
  <c r="V1532" i="19"/>
  <c r="W1532" i="19" s="1"/>
  <c r="Y1532" i="19"/>
  <c r="AC1532" i="19"/>
  <c r="AF1532" i="19" s="1"/>
  <c r="AG1532" i="19"/>
  <c r="J1531" i="19"/>
  <c r="L1531" i="19"/>
  <c r="V1531" i="19"/>
  <c r="W1531" i="19" s="1"/>
  <c r="Y1531" i="19"/>
  <c r="AC1531" i="19"/>
  <c r="AF1531" i="19" s="1"/>
  <c r="AG1531" i="19"/>
  <c r="J1533" i="19"/>
  <c r="L1533" i="19"/>
  <c r="V1533" i="19"/>
  <c r="Y1533" i="19"/>
  <c r="AC1533" i="19"/>
  <c r="AF1533" i="19" s="1"/>
  <c r="AG1533" i="19"/>
  <c r="AH1533" i="19"/>
  <c r="AJ1533" i="19" s="1"/>
  <c r="AI1533" i="19"/>
  <c r="J1547" i="19"/>
  <c r="F1547" i="19" s="1"/>
  <c r="L1547" i="19"/>
  <c r="S1547" i="19"/>
  <c r="V1547" i="19"/>
  <c r="W1547" i="19" s="1"/>
  <c r="Y1547" i="19"/>
  <c r="AC1547" i="19"/>
  <c r="AF1547" i="19" s="1"/>
  <c r="AG1547" i="19"/>
  <c r="AH1547" i="19"/>
  <c r="AJ1547" i="19" s="1"/>
  <c r="AI1547" i="19"/>
  <c r="J1546" i="19"/>
  <c r="F1546" i="19" s="1"/>
  <c r="L1546" i="19"/>
  <c r="S1546" i="19"/>
  <c r="V1546" i="19"/>
  <c r="W1546" i="19" s="1"/>
  <c r="Y1546" i="19"/>
  <c r="AG1546" i="19"/>
  <c r="AH1546" i="19"/>
  <c r="AJ1546" i="19" s="1"/>
  <c r="J1545" i="19"/>
  <c r="F1545" i="19" s="1"/>
  <c r="L1545" i="19"/>
  <c r="AA1545" i="19" a="1"/>
  <c r="AA1545" i="19" s="1"/>
  <c r="S1545" i="19"/>
  <c r="U1545" i="19"/>
  <c r="V1545" i="19"/>
  <c r="Y1545" i="19"/>
  <c r="AG1545" i="19"/>
  <c r="AH1545" i="19"/>
  <c r="J1490" i="19"/>
  <c r="F1490" i="19" s="1"/>
  <c r="L1490" i="19"/>
  <c r="V1490" i="19"/>
  <c r="W1490" i="19" s="1"/>
  <c r="Y1490" i="19"/>
  <c r="AD1490" i="19"/>
  <c r="AE1490" i="19"/>
  <c r="AF1490" i="19"/>
  <c r="AH1490" i="19"/>
  <c r="AJ1490" i="19" s="1"/>
  <c r="J1527" i="19"/>
  <c r="L1527" i="19"/>
  <c r="S1527" i="19"/>
  <c r="V1527" i="19"/>
  <c r="W1527" i="19" s="1"/>
  <c r="Y1527" i="19"/>
  <c r="AD1527" i="19"/>
  <c r="AG1527" i="19"/>
  <c r="AH1527" i="19"/>
  <c r="AJ1527" i="19" s="1"/>
  <c r="J1526" i="19"/>
  <c r="F1526" i="19" s="1"/>
  <c r="L1526" i="19"/>
  <c r="S1526" i="19"/>
  <c r="V1526" i="19"/>
  <c r="W1526" i="19" s="1"/>
  <c r="Y1526" i="19"/>
  <c r="AF1526" i="19"/>
  <c r="AG1526" i="19"/>
  <c r="J1548" i="19"/>
  <c r="L1548" i="19"/>
  <c r="S1548" i="19"/>
  <c r="V1548" i="19"/>
  <c r="W1548" i="19" s="1"/>
  <c r="Y1548" i="19"/>
  <c r="AC1548" i="19"/>
  <c r="AF1548" i="19" s="1"/>
  <c r="AG1548" i="19"/>
  <c r="AH1548" i="19"/>
  <c r="AJ1548" i="19" s="1"/>
  <c r="J1487" i="19"/>
  <c r="F1487" i="19" s="1"/>
  <c r="L1487" i="19"/>
  <c r="AA1487" i="19" a="1"/>
  <c r="AA1487" i="19" s="1"/>
  <c r="S1487" i="19"/>
  <c r="U1487" i="19"/>
  <c r="V1487" i="19"/>
  <c r="Y1487" i="19"/>
  <c r="AC1487" i="19"/>
  <c r="AF1487" i="19" s="1"/>
  <c r="AG1487" i="19"/>
  <c r="AH1487" i="19"/>
  <c r="J1486" i="19"/>
  <c r="F1486" i="19" s="1"/>
  <c r="L1486" i="19"/>
  <c r="S1486" i="19"/>
  <c r="V1486" i="19"/>
  <c r="W1486" i="19" s="1"/>
  <c r="Y1486" i="19"/>
  <c r="AC1486" i="19"/>
  <c r="AF1486" i="19" s="1"/>
  <c r="AG1486" i="19"/>
  <c r="J1536" i="19"/>
  <c r="L1536" i="19"/>
  <c r="S1536" i="19"/>
  <c r="V1536" i="19"/>
  <c r="W1536" i="19" s="1"/>
  <c r="Y1536" i="19"/>
  <c r="AC1536" i="19"/>
  <c r="AD1536" i="19" s="1"/>
  <c r="AG1536" i="19"/>
  <c r="AH1536" i="19"/>
  <c r="AJ1536" i="19" s="1"/>
  <c r="J1491" i="19"/>
  <c r="F1491" i="19" s="1"/>
  <c r="L1491" i="19"/>
  <c r="V1491" i="19"/>
  <c r="W1491" i="19" s="1"/>
  <c r="Y1491" i="19"/>
  <c r="AC1491" i="19"/>
  <c r="AF1491" i="19" s="1"/>
  <c r="AG1491" i="19"/>
  <c r="AH1491" i="19"/>
  <c r="AJ1491" i="19" s="1"/>
  <c r="J1492" i="19"/>
  <c r="F1492" i="19" s="1"/>
  <c r="L1492" i="19"/>
  <c r="V1492" i="19"/>
  <c r="W1492" i="19" s="1"/>
  <c r="Y1492" i="19"/>
  <c r="AC1492" i="19"/>
  <c r="AF1492" i="19" s="1"/>
  <c r="AG1492" i="19"/>
  <c r="AH1492" i="19"/>
  <c r="AJ1492" i="19" s="1"/>
  <c r="J1493" i="19"/>
  <c r="L1493" i="19"/>
  <c r="V1493" i="19"/>
  <c r="W1493" i="19" s="1"/>
  <c r="Y1493" i="19"/>
  <c r="AC1493" i="19"/>
  <c r="AG1493" i="19"/>
  <c r="AH1493" i="19"/>
  <c r="AJ1493" i="19" s="1"/>
  <c r="J1498" i="19"/>
  <c r="F1498" i="19" s="1"/>
  <c r="L1498" i="19"/>
  <c r="V1498" i="19"/>
  <c r="W1498" i="19" s="1"/>
  <c r="Y1498" i="19"/>
  <c r="AC1498" i="19"/>
  <c r="AE1498" i="19" s="1"/>
  <c r="AG1498" i="19"/>
  <c r="AH1498" i="19"/>
  <c r="AJ1498" i="19" s="1"/>
  <c r="J1496" i="19"/>
  <c r="F1496" i="19" s="1"/>
  <c r="L1496" i="19"/>
  <c r="V1496" i="19"/>
  <c r="W1496" i="19" s="1"/>
  <c r="Y1496" i="19"/>
  <c r="AC1496" i="19"/>
  <c r="AE1496" i="19" s="1"/>
  <c r="AG1496" i="19"/>
  <c r="AH1496" i="19"/>
  <c r="AJ1496" i="19" s="1"/>
  <c r="J1497" i="19"/>
  <c r="F1497" i="19" s="1"/>
  <c r="L1497" i="19"/>
  <c r="V1497" i="19"/>
  <c r="W1497" i="19" s="1"/>
  <c r="Y1497" i="19"/>
  <c r="AC1497" i="19"/>
  <c r="AG1497" i="19"/>
  <c r="AH1497" i="19"/>
  <c r="AJ1497" i="19" s="1"/>
  <c r="J1499" i="19"/>
  <c r="F1499" i="19" s="1"/>
  <c r="L1499" i="19"/>
  <c r="V1499" i="19"/>
  <c r="W1499" i="19" s="1"/>
  <c r="Y1499" i="19"/>
  <c r="AC1499" i="19"/>
  <c r="AG1499" i="19"/>
  <c r="AH1499" i="19"/>
  <c r="AJ1499" i="19" s="1"/>
  <c r="J1494" i="19"/>
  <c r="F1494" i="19" s="1"/>
  <c r="L1494" i="19"/>
  <c r="V1494" i="19"/>
  <c r="W1494" i="19" s="1"/>
  <c r="Y1494" i="19"/>
  <c r="AC1494" i="19"/>
  <c r="AD1494" i="19" s="1"/>
  <c r="AG1494" i="19"/>
  <c r="AH1494" i="19"/>
  <c r="AJ1494" i="19" s="1"/>
  <c r="J1495" i="19"/>
  <c r="F1495" i="19" s="1"/>
  <c r="L1495" i="19"/>
  <c r="V1495" i="19"/>
  <c r="W1495" i="19" s="1"/>
  <c r="Y1495" i="19"/>
  <c r="AC1495" i="19"/>
  <c r="AG1495" i="19"/>
  <c r="AH1495" i="19"/>
  <c r="AJ1495" i="19" s="1"/>
  <c r="J1515" i="19"/>
  <c r="F1515" i="19" s="1"/>
  <c r="L1515" i="19"/>
  <c r="S1515" i="19"/>
  <c r="V1515" i="19"/>
  <c r="W1515" i="19" s="1"/>
  <c r="Y1515" i="19"/>
  <c r="AC1515" i="19"/>
  <c r="AF1515" i="19" s="1"/>
  <c r="AG1515" i="19"/>
  <c r="AH1515" i="19"/>
  <c r="AJ1515" i="19" s="1"/>
  <c r="AI1515" i="19"/>
  <c r="J1474" i="19"/>
  <c r="F1474" i="19" s="1"/>
  <c r="L1474" i="19"/>
  <c r="V1474" i="19"/>
  <c r="W1474" i="19" s="1"/>
  <c r="Y1474" i="19"/>
  <c r="AH1474" i="19"/>
  <c r="AJ1474" i="19" s="1"/>
  <c r="J1472" i="19"/>
  <c r="F1472" i="19" s="1"/>
  <c r="L1472" i="19"/>
  <c r="V1472" i="19"/>
  <c r="W1472" i="19" s="1"/>
  <c r="Y1472" i="19"/>
  <c r="AH1472" i="19"/>
  <c r="AJ1472" i="19" s="1"/>
  <c r="J1473" i="19"/>
  <c r="F1473" i="19" s="1"/>
  <c r="L1473" i="19"/>
  <c r="V1473" i="19"/>
  <c r="W1473" i="19" s="1"/>
  <c r="Y1473" i="19"/>
  <c r="J1476" i="19"/>
  <c r="L1476" i="19"/>
  <c r="V1476" i="19"/>
  <c r="W1476" i="19" s="1"/>
  <c r="Y1476" i="19"/>
  <c r="AI1476" i="19"/>
  <c r="J1477" i="19"/>
  <c r="F1477" i="19" s="1"/>
  <c r="L1477" i="19"/>
  <c r="V1477" i="19"/>
  <c r="W1477" i="19" s="1"/>
  <c r="Y1477" i="19"/>
  <c r="AH1477" i="19"/>
  <c r="AJ1477" i="19" s="1"/>
  <c r="J1475" i="19"/>
  <c r="F1475" i="19" s="1"/>
  <c r="L1475" i="19"/>
  <c r="V1475" i="19"/>
  <c r="W1475" i="19" s="1"/>
  <c r="Y1475" i="19"/>
  <c r="AH1475" i="19"/>
  <c r="AJ1475" i="19" s="1"/>
  <c r="J1478" i="19"/>
  <c r="F1478" i="19" s="1"/>
  <c r="L1478" i="19"/>
  <c r="V1478" i="19"/>
  <c r="W1478" i="19" s="1"/>
  <c r="Y1478" i="19"/>
  <c r="J1479" i="19"/>
  <c r="F1479" i="19" s="1"/>
  <c r="L1479" i="19"/>
  <c r="V1479" i="19"/>
  <c r="W1479" i="19" s="1"/>
  <c r="Y1479" i="19"/>
  <c r="AH1479" i="19"/>
  <c r="AJ1479" i="19" s="1"/>
  <c r="J1482" i="19"/>
  <c r="L1482" i="19"/>
  <c r="S1482" i="19"/>
  <c r="V1482" i="19"/>
  <c r="W1482" i="19" s="1"/>
  <c r="Y1482" i="19"/>
  <c r="AH1482" i="19"/>
  <c r="AJ1482" i="19" s="1"/>
  <c r="J1484" i="19"/>
  <c r="F1484" i="19" s="1"/>
  <c r="L1484" i="19"/>
  <c r="V1484" i="19"/>
  <c r="W1484" i="19" s="1"/>
  <c r="Y1484" i="19"/>
  <c r="AI1484" i="19"/>
  <c r="J1485" i="19"/>
  <c r="F1485" i="19" s="1"/>
  <c r="L1485" i="19"/>
  <c r="V1485" i="19"/>
  <c r="W1485" i="19" s="1"/>
  <c r="Y1485" i="19"/>
  <c r="AH1485" i="19"/>
  <c r="AJ1485" i="19" s="1"/>
  <c r="J1481" i="19"/>
  <c r="L1481" i="19"/>
  <c r="V1481" i="19"/>
  <c r="W1481" i="19" s="1"/>
  <c r="Y1481" i="19"/>
  <c r="AH1481" i="19"/>
  <c r="AJ1481" i="19" s="1"/>
  <c r="J1480" i="19"/>
  <c r="F1480" i="19" s="1"/>
  <c r="L1480" i="19"/>
  <c r="V1480" i="19"/>
  <c r="W1480" i="19" s="1"/>
  <c r="Y1480" i="19"/>
  <c r="J1483" i="19"/>
  <c r="F1483" i="19" s="1"/>
  <c r="AH1483" i="19"/>
  <c r="AJ1483" i="19" s="1"/>
  <c r="J1502" i="19"/>
  <c r="F1502" i="19" s="1"/>
  <c r="L1502" i="19"/>
  <c r="S1502" i="19"/>
  <c r="V1502" i="19"/>
  <c r="W1502" i="19" s="1"/>
  <c r="Y1502" i="19"/>
  <c r="AC1502" i="19"/>
  <c r="AF1502" i="19" s="1"/>
  <c r="AG1502" i="19"/>
  <c r="AH1502" i="19"/>
  <c r="AJ1502" i="19" s="1"/>
  <c r="AI1502" i="19"/>
  <c r="F1722" i="19"/>
  <c r="F1723" i="19"/>
  <c r="F1724" i="19"/>
  <c r="F1719" i="19"/>
  <c r="N1634" i="16"/>
  <c r="O1634" i="16" s="1"/>
  <c r="L1634" i="16" s="1"/>
  <c r="F1634" i="16"/>
  <c r="N1633" i="16"/>
  <c r="O1633" i="16" s="1"/>
  <c r="L1633" i="16" s="1"/>
  <c r="F1633" i="16"/>
  <c r="N1632" i="16"/>
  <c r="O1632" i="16" s="1"/>
  <c r="L1632" i="16" s="1"/>
  <c r="F1632" i="16"/>
  <c r="N1631" i="16"/>
  <c r="O1631" i="16" s="1"/>
  <c r="L1631" i="16" s="1"/>
  <c r="F1631" i="16"/>
  <c r="N1630" i="16"/>
  <c r="O1630" i="16" s="1"/>
  <c r="L1630" i="16" s="1"/>
  <c r="F1630" i="16"/>
  <c r="N1629" i="16"/>
  <c r="O1629" i="16" s="1"/>
  <c r="L1629" i="16" s="1"/>
  <c r="F1629" i="16"/>
  <c r="N1628" i="16"/>
  <c r="O1628" i="16" s="1"/>
  <c r="L1628" i="16" s="1"/>
  <c r="F1628" i="16"/>
  <c r="N1627" i="16"/>
  <c r="O1627" i="16" s="1"/>
  <c r="L1627" i="16" s="1"/>
  <c r="F1627" i="16"/>
  <c r="N1626" i="16"/>
  <c r="O1626" i="16" s="1"/>
  <c r="L1626" i="16" s="1"/>
  <c r="A1626" i="16" s="1"/>
  <c r="F1626" i="16"/>
  <c r="N1625" i="16"/>
  <c r="O1625" i="16" s="1"/>
  <c r="L1625" i="16" s="1"/>
  <c r="A1625" i="16" s="1"/>
  <c r="F1625" i="16"/>
  <c r="N1624" i="16"/>
  <c r="O1624" i="16" s="1"/>
  <c r="L1624" i="16" s="1"/>
  <c r="F1624" i="16"/>
  <c r="N1623" i="16"/>
  <c r="O1623" i="16" s="1"/>
  <c r="L1623" i="16" s="1"/>
  <c r="F1623" i="16"/>
  <c r="N1622" i="16"/>
  <c r="O1622" i="16" s="1"/>
  <c r="L1622" i="16" s="1"/>
  <c r="F1622" i="16"/>
  <c r="N1621" i="16"/>
  <c r="O1621" i="16" s="1"/>
  <c r="L1621" i="16" s="1"/>
  <c r="F1621" i="16"/>
  <c r="N1620" i="16"/>
  <c r="O1620" i="16" s="1"/>
  <c r="L1620" i="16" s="1"/>
  <c r="F1620" i="16"/>
  <c r="N1619" i="16"/>
  <c r="O1619" i="16" s="1"/>
  <c r="L1619" i="16" s="1"/>
  <c r="F1619" i="16"/>
  <c r="N1618" i="16"/>
  <c r="O1618" i="16" s="1"/>
  <c r="L1618" i="16" s="1"/>
  <c r="F1618" i="16"/>
  <c r="N1617" i="16"/>
  <c r="O1617" i="16" s="1"/>
  <c r="L1617" i="16" s="1"/>
  <c r="F1617" i="16"/>
  <c r="N1616" i="16"/>
  <c r="O1616" i="16" s="1"/>
  <c r="L1616" i="16" s="1"/>
  <c r="F1616" i="16"/>
  <c r="N1615" i="16"/>
  <c r="O1615" i="16" s="1"/>
  <c r="L1615" i="16" s="1"/>
  <c r="F1615" i="16"/>
  <c r="N1614" i="16"/>
  <c r="O1614" i="16" s="1"/>
  <c r="L1614" i="16" s="1"/>
  <c r="F1614" i="16"/>
  <c r="N1613" i="16"/>
  <c r="O1613" i="16" s="1"/>
  <c r="L1613" i="16" s="1"/>
  <c r="F1613" i="16"/>
  <c r="N1612" i="16"/>
  <c r="O1612" i="16" s="1"/>
  <c r="L1612" i="16" s="1"/>
  <c r="F1612" i="16"/>
  <c r="N1611" i="16"/>
  <c r="O1611" i="16" s="1"/>
  <c r="L1611" i="16" s="1"/>
  <c r="F1611" i="16"/>
  <c r="N1610" i="16"/>
  <c r="O1610" i="16" s="1"/>
  <c r="L1610" i="16" s="1"/>
  <c r="F1610" i="16"/>
  <c r="N1609" i="16"/>
  <c r="O1609" i="16" s="1"/>
  <c r="L1609" i="16" s="1"/>
  <c r="F1609" i="16"/>
  <c r="N1608" i="16"/>
  <c r="O1608" i="16" s="1"/>
  <c r="L1608" i="16" s="1"/>
  <c r="F1608" i="16"/>
  <c r="N1607" i="16"/>
  <c r="O1607" i="16" s="1"/>
  <c r="L1607" i="16" s="1"/>
  <c r="F1607" i="16"/>
  <c r="N1606" i="16"/>
  <c r="O1606" i="16" s="1"/>
  <c r="L1606" i="16" s="1"/>
  <c r="F1606" i="16"/>
  <c r="N1605" i="16"/>
  <c r="O1605" i="16" s="1"/>
  <c r="L1605" i="16" s="1"/>
  <c r="A1605" i="16" s="1"/>
  <c r="F1605" i="16"/>
  <c r="N1604" i="16"/>
  <c r="O1604" i="16" s="1"/>
  <c r="L1604" i="16" s="1"/>
  <c r="A1604" i="16" s="1"/>
  <c r="F1604" i="16"/>
  <c r="N2009" i="16"/>
  <c r="O2009" i="16" s="1"/>
  <c r="L2009" i="16" s="1"/>
  <c r="F2009" i="16"/>
  <c r="N2008" i="16"/>
  <c r="O2008" i="16" s="1"/>
  <c r="L2008" i="16" s="1"/>
  <c r="F2008" i="16"/>
  <c r="N2007" i="16"/>
  <c r="O2007" i="16" s="1"/>
  <c r="L2007" i="16" s="1"/>
  <c r="F2007" i="16"/>
  <c r="N2006" i="16"/>
  <c r="O2006" i="16" s="1"/>
  <c r="L2006" i="16" s="1"/>
  <c r="F2006" i="16"/>
  <c r="N1603" i="16"/>
  <c r="O1603" i="16" s="1"/>
  <c r="L1603" i="16" s="1"/>
  <c r="F1603" i="16"/>
  <c r="N1602" i="16"/>
  <c r="O1602" i="16" s="1"/>
  <c r="L1602" i="16" s="1"/>
  <c r="F1602" i="16"/>
  <c r="N1601" i="16"/>
  <c r="K1601" i="16" s="1"/>
  <c r="F1601" i="16"/>
  <c r="AI1302" i="19" l="1"/>
  <c r="AI1000" i="19"/>
  <c r="AI1260" i="19"/>
  <c r="AI1349" i="19"/>
  <c r="AI551" i="19"/>
  <c r="AI446" i="19"/>
  <c r="AH709" i="19"/>
  <c r="AJ709" i="19" s="1"/>
  <c r="AI511" i="19"/>
  <c r="AH980" i="19"/>
  <c r="AJ980" i="19" s="1"/>
  <c r="AI1269" i="19"/>
  <c r="AI2407" i="19"/>
  <c r="AI958" i="19"/>
  <c r="AI1161" i="19"/>
  <c r="AI674" i="19"/>
  <c r="AI1199" i="19"/>
  <c r="AI2298" i="19"/>
  <c r="AI2096" i="19"/>
  <c r="AI2277" i="19"/>
  <c r="AH2096" i="19"/>
  <c r="AJ2096" i="19" s="1"/>
  <c r="AK2096" i="19" s="1" a="1"/>
  <c r="AK2096" i="19" s="1"/>
  <c r="AH2277" i="19"/>
  <c r="AJ2277" i="19" s="1"/>
  <c r="AK2277" i="19" s="1" a="1"/>
  <c r="AK2277" i="19" s="1"/>
  <c r="AI2217" i="19"/>
  <c r="AI2372" i="19"/>
  <c r="AI2224" i="19"/>
  <c r="AH2224" i="19"/>
  <c r="AJ2224" i="19" s="1"/>
  <c r="AK2224" i="19" s="1" a="1"/>
  <c r="AK2224" i="19" s="1"/>
  <c r="AI2049" i="19"/>
  <c r="AI2370" i="19"/>
  <c r="AI770" i="19"/>
  <c r="AI2258" i="19"/>
  <c r="AI1448" i="19"/>
  <c r="AI1229" i="19"/>
  <c r="AI1120" i="19"/>
  <c r="AI1044" i="19"/>
  <c r="AI1021" i="19"/>
  <c r="AI786" i="19"/>
  <c r="AI562" i="19"/>
  <c r="AI1499" i="19"/>
  <c r="AI1425" i="19"/>
  <c r="AI1411" i="19"/>
  <c r="AI1386" i="19"/>
  <c r="AI1307" i="19"/>
  <c r="AI1293" i="19"/>
  <c r="AI1271" i="19"/>
  <c r="AI1270" i="19"/>
  <c r="AI1224" i="19"/>
  <c r="AI1119" i="19"/>
  <c r="AI1090" i="19"/>
  <c r="AI1076" i="19"/>
  <c r="AI1025" i="19"/>
  <c r="AI833" i="19"/>
  <c r="AI790" i="19"/>
  <c r="AI745" i="19"/>
  <c r="AI648" i="19"/>
  <c r="AI618" i="19"/>
  <c r="AI619" i="19"/>
  <c r="AI577" i="19"/>
  <c r="AI472" i="19"/>
  <c r="AI443" i="19"/>
  <c r="AI1441" i="19"/>
  <c r="AI1183" i="19"/>
  <c r="AI1125" i="19"/>
  <c r="AI959" i="19"/>
  <c r="AI941" i="19"/>
  <c r="AI944" i="19"/>
  <c r="AI909" i="19"/>
  <c r="AI863" i="19"/>
  <c r="AI742" i="19"/>
  <c r="AI673" i="19"/>
  <c r="AI644" i="19"/>
  <c r="AI470" i="19"/>
  <c r="AI453" i="19"/>
  <c r="AI452" i="19"/>
  <c r="AI1481" i="19"/>
  <c r="AI1472" i="19"/>
  <c r="AI1546" i="19"/>
  <c r="AI1404" i="19"/>
  <c r="AI1370" i="19"/>
  <c r="AI1336" i="19"/>
  <c r="AI1259" i="19"/>
  <c r="AI991" i="19"/>
  <c r="AI979" i="19"/>
  <c r="AI383" i="19"/>
  <c r="AI1410" i="19"/>
  <c r="AI1360" i="19"/>
  <c r="AI1157" i="19"/>
  <c r="AI1008" i="19"/>
  <c r="AI649" i="19"/>
  <c r="AI1247" i="19"/>
  <c r="AI1134" i="19"/>
  <c r="AI1133" i="19"/>
  <c r="AI1143" i="19"/>
  <c r="AI1089" i="19"/>
  <c r="AI1055" i="19"/>
  <c r="AI861" i="19"/>
  <c r="AI1460" i="19"/>
  <c r="AI1459" i="19"/>
  <c r="AI1444" i="19"/>
  <c r="AI1440" i="19"/>
  <c r="AI1438" i="19"/>
  <c r="AI1429" i="19"/>
  <c r="AI1422" i="19"/>
  <c r="AI1394" i="19"/>
  <c r="AI1255" i="19"/>
  <c r="AI1205" i="19"/>
  <c r="AI1104" i="19"/>
  <c r="AI997" i="19"/>
  <c r="AI940" i="19"/>
  <c r="AI899" i="19"/>
  <c r="AI572" i="19"/>
  <c r="AI466" i="19"/>
  <c r="AI561" i="19"/>
  <c r="AI782" i="19"/>
  <c r="AI707" i="19"/>
  <c r="AI676" i="19"/>
  <c r="AI658" i="19"/>
  <c r="AI556" i="19"/>
  <c r="AI1463" i="19"/>
  <c r="AI721" i="19"/>
  <c r="AI1435" i="19"/>
  <c r="AI1369" i="19"/>
  <c r="AI794" i="19"/>
  <c r="AI827" i="19"/>
  <c r="AI783" i="19"/>
  <c r="AI744" i="19"/>
  <c r="AI709" i="19"/>
  <c r="AI672" i="19"/>
  <c r="AI650" i="19"/>
  <c r="AI557" i="19"/>
  <c r="AI388" i="19"/>
  <c r="AI2268" i="19"/>
  <c r="AI2269" i="19"/>
  <c r="AI2270" i="19"/>
  <c r="AI2271" i="19"/>
  <c r="AI410" i="19"/>
  <c r="F884" i="19"/>
  <c r="AK884" i="19" a="1"/>
  <c r="AK884" i="19" s="1"/>
  <c r="F888" i="19"/>
  <c r="AK888" i="19" a="1"/>
  <c r="AK888" i="19" s="1"/>
  <c r="F889" i="19"/>
  <c r="AK889" i="19" a="1"/>
  <c r="AK889" i="19" s="1"/>
  <c r="F887" i="19"/>
  <c r="AK887" i="19" a="1"/>
  <c r="AK887" i="19" s="1"/>
  <c r="F890" i="19"/>
  <c r="AK890" i="19" a="1"/>
  <c r="AK890" i="19" s="1"/>
  <c r="F891" i="19"/>
  <c r="AK891" i="19" a="1"/>
  <c r="AK891" i="19" s="1"/>
  <c r="AK1161" i="19" a="1"/>
  <c r="AK1161" i="19" s="1"/>
  <c r="F886" i="19"/>
  <c r="AK886" i="19" a="1"/>
  <c r="AK886" i="19" s="1"/>
  <c r="AK1160" i="19" a="1"/>
  <c r="AK1160" i="19" s="1"/>
  <c r="F885" i="19"/>
  <c r="AK885" i="19" a="1"/>
  <c r="AK885" i="19" s="1"/>
  <c r="AK1159" i="19" a="1"/>
  <c r="AK1159" i="19" s="1"/>
  <c r="AH1528" i="19"/>
  <c r="AJ1528" i="19" s="1"/>
  <c r="AK1528" i="19" s="1" a="1"/>
  <c r="AK1528" i="19" s="1"/>
  <c r="AH2218" i="19"/>
  <c r="AJ2218" i="19" s="1"/>
  <c r="AK2218" i="19" s="1" a="1"/>
  <c r="AK2218" i="19" s="1"/>
  <c r="AI1528" i="19"/>
  <c r="AI2218" i="19"/>
  <c r="AI772" i="19"/>
  <c r="AH546" i="19"/>
  <c r="AJ546" i="19" s="1"/>
  <c r="AK546" i="19" s="1" a="1"/>
  <c r="AK546" i="19" s="1"/>
  <c r="AI1935" i="19"/>
  <c r="AI2124" i="19"/>
  <c r="AH1557" i="19"/>
  <c r="AJ1557" i="19" s="1"/>
  <c r="AK1557" i="19" s="1" a="1"/>
  <c r="AK1557" i="19" s="1"/>
  <c r="AH2106" i="19"/>
  <c r="AJ2106" i="19" s="1"/>
  <c r="AK2106" i="19" s="1" a="1"/>
  <c r="AK2106" i="19" s="1"/>
  <c r="AI489" i="19"/>
  <c r="AI2106" i="19"/>
  <c r="AI597" i="19"/>
  <c r="AI2180" i="19"/>
  <c r="AH1030" i="19"/>
  <c r="AJ1030" i="19" s="1"/>
  <c r="AK1030" i="19" s="1" a="1"/>
  <c r="AK1030" i="19" s="1"/>
  <c r="AH1049" i="19"/>
  <c r="AJ1049" i="19" s="1"/>
  <c r="AK1049" i="19" s="1" a="1"/>
  <c r="AK1049" i="19" s="1"/>
  <c r="AH877" i="19"/>
  <c r="AJ877" i="19" s="1"/>
  <c r="AK877" i="19" s="1" a="1"/>
  <c r="AK877" i="19" s="1"/>
  <c r="AH1031" i="19"/>
  <c r="AJ1031" i="19" s="1"/>
  <c r="AK1031" i="19" s="1" a="1"/>
  <c r="AK1031" i="19" s="1"/>
  <c r="AH1051" i="19"/>
  <c r="AJ1051" i="19" s="1"/>
  <c r="AK1051" i="19" s="1" a="1"/>
  <c r="AK1051" i="19" s="1"/>
  <c r="AH386" i="19"/>
  <c r="AJ386" i="19" s="1"/>
  <c r="AK386" i="19" s="1" a="1"/>
  <c r="AK386" i="19" s="1"/>
  <c r="AH1292" i="19"/>
  <c r="AJ1292" i="19" s="1"/>
  <c r="AK1292" i="19" s="1" a="1"/>
  <c r="AK1292" i="19" s="1"/>
  <c r="AH706" i="19"/>
  <c r="AJ706" i="19" s="1"/>
  <c r="AK706" i="19" s="1" a="1"/>
  <c r="AK706" i="19" s="1"/>
  <c r="AH949" i="19"/>
  <c r="AJ949" i="19" s="1"/>
  <c r="AH1016" i="19"/>
  <c r="AJ1016" i="19" s="1"/>
  <c r="AK1016" i="19" s="1" a="1"/>
  <c r="AK1016" i="19" s="1"/>
  <c r="AH1935" i="19"/>
  <c r="AJ1935" i="19" s="1"/>
  <c r="AK1935" i="19" s="1" a="1"/>
  <c r="AK1935" i="19" s="1"/>
  <c r="AH989" i="19"/>
  <c r="AJ989" i="19" s="1"/>
  <c r="AK989" i="19" s="1" a="1"/>
  <c r="AK989" i="19" s="1"/>
  <c r="AH1053" i="19"/>
  <c r="AJ1053" i="19" s="1"/>
  <c r="AK1053" i="19" s="1" a="1"/>
  <c r="AK1053" i="19" s="1"/>
  <c r="AH1102" i="19"/>
  <c r="AJ1102" i="19" s="1"/>
  <c r="AK1102" i="19" s="1" a="1"/>
  <c r="AK1102" i="19" s="1"/>
  <c r="AH1162" i="19"/>
  <c r="AJ1162" i="19" s="1"/>
  <c r="AK1162" i="19" s="1" a="1"/>
  <c r="AK1162" i="19" s="1"/>
  <c r="AH1233" i="19"/>
  <c r="AJ1233" i="19" s="1"/>
  <c r="AK1233" i="19" s="1" a="1"/>
  <c r="AK1233" i="19" s="1"/>
  <c r="AH1272" i="19"/>
  <c r="AJ1272" i="19" s="1"/>
  <c r="AH1367" i="19"/>
  <c r="AJ1367" i="19" s="1"/>
  <c r="AK1367" i="19" s="1" a="1"/>
  <c r="AK1367" i="19" s="1"/>
  <c r="AH1149" i="19"/>
  <c r="AJ1149" i="19" s="1"/>
  <c r="AK1149" i="19" s="1" a="1"/>
  <c r="AK1149" i="19" s="1"/>
  <c r="AH1331" i="19"/>
  <c r="AJ1331" i="19" s="1"/>
  <c r="AK1331" i="19" s="1" a="1"/>
  <c r="AK1331" i="19" s="1"/>
  <c r="AH1354" i="19"/>
  <c r="AJ1354" i="19" s="1"/>
  <c r="AK1354" i="19" s="1" a="1"/>
  <c r="AK1354" i="19" s="1"/>
  <c r="AH1373" i="19"/>
  <c r="AJ1373" i="19" s="1"/>
  <c r="AK1373" i="19" s="1" a="1"/>
  <c r="AK1373" i="19" s="1"/>
  <c r="AH1015" i="19"/>
  <c r="AJ1015" i="19" s="1"/>
  <c r="AK1015" i="19" s="1" a="1"/>
  <c r="AK1015" i="19" s="1"/>
  <c r="AH1200" i="19"/>
  <c r="AJ1200" i="19" s="1"/>
  <c r="AK1200" i="19" s="1" a="1"/>
  <c r="AK1200" i="19" s="1"/>
  <c r="AH1221" i="19"/>
  <c r="AJ1221" i="19" s="1"/>
  <c r="AH1223" i="19"/>
  <c r="AJ1223" i="19" s="1"/>
  <c r="AK1223" i="19" s="1" a="1"/>
  <c r="AK1223" i="19" s="1"/>
  <c r="AH722" i="19"/>
  <c r="AJ722" i="19" s="1"/>
  <c r="AK722" i="19" s="1" a="1"/>
  <c r="AK722" i="19" s="1"/>
  <c r="AH878" i="19"/>
  <c r="AJ878" i="19" s="1"/>
  <c r="AK878" i="19" s="1" a="1"/>
  <c r="AK878" i="19" s="1"/>
  <c r="AH1219" i="19"/>
  <c r="AJ1219" i="19" s="1"/>
  <c r="AK1219" i="19" s="1" a="1"/>
  <c r="AK1219" i="19" s="1"/>
  <c r="AI1034" i="19"/>
  <c r="AI1095" i="19"/>
  <c r="AI1052" i="19"/>
  <c r="AI1303" i="19"/>
  <c r="AI1172" i="19"/>
  <c r="AI949" i="19"/>
  <c r="AI1016" i="19"/>
  <c r="AI1530" i="19"/>
  <c r="AI1536" i="19"/>
  <c r="AI346" i="19"/>
  <c r="AI695" i="19"/>
  <c r="AI1153" i="19"/>
  <c r="AI1225" i="19"/>
  <c r="AI1357" i="19"/>
  <c r="AI902" i="19"/>
  <c r="AI1116" i="19"/>
  <c r="AI1723" i="19"/>
  <c r="AI1309" i="19"/>
  <c r="AI876" i="19"/>
  <c r="AI900" i="19"/>
  <c r="AI910" i="19"/>
  <c r="AI1174" i="19"/>
  <c r="AI1243" i="19"/>
  <c r="AI1256" i="19"/>
  <c r="AI1235" i="19"/>
  <c r="AI1022" i="19"/>
  <c r="AI337" i="19"/>
  <c r="AI1039" i="19"/>
  <c r="AI1111" i="19"/>
  <c r="AI1122" i="19"/>
  <c r="AI1415" i="19"/>
  <c r="AI1478" i="19"/>
  <c r="AI1214" i="19"/>
  <c r="AI896" i="19"/>
  <c r="AI448" i="19"/>
  <c r="AI1296" i="19"/>
  <c r="AI1482" i="19"/>
  <c r="AI978" i="19"/>
  <c r="AH1455" i="19"/>
  <c r="AJ1455" i="19" s="1"/>
  <c r="AK1455" i="19" s="1" a="1"/>
  <c r="AK1455" i="19" s="1"/>
  <c r="AH1453" i="19"/>
  <c r="AJ1453" i="19" s="1"/>
  <c r="AK1453" i="19" s="1" a="1"/>
  <c r="AK1453" i="19" s="1"/>
  <c r="AH1444" i="19"/>
  <c r="AJ1444" i="19" s="1"/>
  <c r="AK1444" i="19" s="1" a="1"/>
  <c r="AK1444" i="19" s="1"/>
  <c r="AI1352" i="19"/>
  <c r="AI1301" i="19"/>
  <c r="AH1099" i="19"/>
  <c r="AJ1099" i="19" s="1"/>
  <c r="AK1099" i="19" s="1" a="1"/>
  <c r="AK1099" i="19" s="1"/>
  <c r="AH1097" i="19"/>
  <c r="AJ1097" i="19" s="1"/>
  <c r="AK1097" i="19" s="1" a="1"/>
  <c r="AK1097" i="19" s="1"/>
  <c r="AI1094" i="19"/>
  <c r="AH1018" i="19"/>
  <c r="AJ1018" i="19" s="1"/>
  <c r="AK1018" i="19" s="1" a="1"/>
  <c r="AK1018" i="19" s="1"/>
  <c r="AH981" i="19"/>
  <c r="AJ981" i="19" s="1"/>
  <c r="AK981" i="19" s="1" a="1"/>
  <c r="AK981" i="19" s="1"/>
  <c r="AI828" i="19"/>
  <c r="AI731" i="19"/>
  <c r="AI645" i="19"/>
  <c r="AI635" i="19"/>
  <c r="AI513" i="19"/>
  <c r="AH1294" i="19"/>
  <c r="AJ1294" i="19" s="1"/>
  <c r="AK1294" i="19" s="1" a="1"/>
  <c r="AK1294" i="19" s="1"/>
  <c r="AH717" i="19"/>
  <c r="AJ717" i="19" s="1"/>
  <c r="AK717" i="19" s="1" a="1"/>
  <c r="AK717" i="19" s="1"/>
  <c r="AH1141" i="19"/>
  <c r="AJ1141" i="19" s="1"/>
  <c r="AK1141" i="19" s="1" a="1"/>
  <c r="AK1141" i="19" s="1"/>
  <c r="AH1150" i="19"/>
  <c r="AJ1150" i="19" s="1"/>
  <c r="AK1150" i="19" s="1" a="1"/>
  <c r="AK1150" i="19" s="1"/>
  <c r="AH1176" i="19"/>
  <c r="AJ1176" i="19" s="1"/>
  <c r="AK1176" i="19" s="1" a="1"/>
  <c r="AK1176" i="19" s="1"/>
  <c r="AH1332" i="19"/>
  <c r="AJ1332" i="19" s="1"/>
  <c r="AK1332" i="19" s="1" a="1"/>
  <c r="AK1332" i="19" s="1"/>
  <c r="AH1093" i="19"/>
  <c r="AJ1093" i="19" s="1"/>
  <c r="AH743" i="19"/>
  <c r="AJ743" i="19" s="1"/>
  <c r="AK743" i="19" s="1" a="1"/>
  <c r="AK743" i="19" s="1"/>
  <c r="AH1197" i="19"/>
  <c r="AJ1197" i="19" s="1"/>
  <c r="AK1197" i="19" s="1" a="1"/>
  <c r="AK1197" i="19" s="1"/>
  <c r="AH1241" i="19"/>
  <c r="AJ1241" i="19" s="1"/>
  <c r="AK1241" i="19" s="1" a="1"/>
  <c r="AK1241" i="19" s="1"/>
  <c r="AH1410" i="19"/>
  <c r="AJ1410" i="19" s="1"/>
  <c r="AK1410" i="19" s="1" a="1"/>
  <c r="AK1410" i="19" s="1"/>
  <c r="AH1440" i="19"/>
  <c r="AJ1440" i="19" s="1"/>
  <c r="AK1440" i="19" s="1" a="1"/>
  <c r="AK1440" i="19" s="1"/>
  <c r="AH1270" i="19"/>
  <c r="AJ1270" i="19" s="1"/>
  <c r="AK1270" i="19" s="1" a="1"/>
  <c r="AK1270" i="19" s="1"/>
  <c r="AH782" i="19"/>
  <c r="AJ782" i="19" s="1"/>
  <c r="AK782" i="19" s="1" a="1"/>
  <c r="AK782" i="19" s="1"/>
  <c r="AH1307" i="19"/>
  <c r="AJ1307" i="19" s="1"/>
  <c r="AK1307" i="19" s="1" a="1"/>
  <c r="AK1307" i="19" s="1"/>
  <c r="AH1249" i="19"/>
  <c r="AJ1249" i="19" s="1"/>
  <c r="AK1249" i="19" s="1" a="1"/>
  <c r="AK1249" i="19" s="1"/>
  <c r="AH1379" i="19"/>
  <c r="AJ1379" i="19" s="1"/>
  <c r="AK1379" i="19" s="1" a="1"/>
  <c r="AK1379" i="19" s="1"/>
  <c r="AH1435" i="19"/>
  <c r="AJ1435" i="19" s="1"/>
  <c r="AK1435" i="19" s="1" a="1"/>
  <c r="AK1435" i="19" s="1"/>
  <c r="AH1269" i="19"/>
  <c r="AJ1269" i="19" s="1"/>
  <c r="AK1269" i="19" s="1" a="1"/>
  <c r="AK1269" i="19" s="1"/>
  <c r="AH1286" i="19"/>
  <c r="AJ1286" i="19" s="1"/>
  <c r="AK1286" i="19" s="1" a="1"/>
  <c r="AK1286" i="19" s="1"/>
  <c r="AH1352" i="19"/>
  <c r="AJ1352" i="19" s="1"/>
  <c r="AK1352" i="19" s="1" a="1"/>
  <c r="AK1352" i="19" s="1"/>
  <c r="AH1369" i="19"/>
  <c r="AJ1369" i="19" s="1"/>
  <c r="AK1369" i="19" s="1" a="1"/>
  <c r="AK1369" i="19" s="1"/>
  <c r="AH905" i="19"/>
  <c r="AJ905" i="19" s="1"/>
  <c r="AH2349" i="19"/>
  <c r="AJ2349" i="19" s="1"/>
  <c r="AK2349" i="19" s="1" a="1"/>
  <c r="AK2349" i="19" s="1"/>
  <c r="AH1185" i="19"/>
  <c r="AJ1185" i="19" s="1"/>
  <c r="AK1185" i="19" s="1" a="1"/>
  <c r="AK1185" i="19" s="1"/>
  <c r="AH850" i="19"/>
  <c r="AJ850" i="19" s="1"/>
  <c r="AK850" i="19" s="1" a="1"/>
  <c r="AK850" i="19" s="1"/>
  <c r="AH925" i="19"/>
  <c r="AJ925" i="19" s="1"/>
  <c r="AK925" i="19" s="1" a="1"/>
  <c r="AK925" i="19" s="1"/>
  <c r="AH821" i="19"/>
  <c r="AJ821" i="19" s="1"/>
  <c r="AK821" i="19" s="1" a="1"/>
  <c r="AK821" i="19" s="1"/>
  <c r="AI722" i="19"/>
  <c r="AI951" i="19"/>
  <c r="AI1222" i="19"/>
  <c r="AI1221" i="19"/>
  <c r="AI1171" i="19"/>
  <c r="AI1210" i="19"/>
  <c r="AI1462" i="19"/>
  <c r="AI935" i="19"/>
  <c r="AI1159" i="19"/>
  <c r="AI1545" i="19"/>
  <c r="AI885" i="19"/>
  <c r="AI386" i="19"/>
  <c r="AI824" i="19"/>
  <c r="AI48" i="19"/>
  <c r="AI826" i="19"/>
  <c r="AI1821" i="19"/>
  <c r="AI1300" i="19"/>
  <c r="AI1366" i="19"/>
  <c r="AI1468" i="19"/>
  <c r="AI1473" i="19"/>
  <c r="AI1249" i="19"/>
  <c r="AI1361" i="19"/>
  <c r="AI1135" i="19"/>
  <c r="AI326" i="19"/>
  <c r="AI1267" i="19"/>
  <c r="AI233" i="19"/>
  <c r="AI1350" i="19"/>
  <c r="AI1012" i="19"/>
  <c r="AI969" i="19"/>
  <c r="AI1451" i="19"/>
  <c r="AI1447" i="19"/>
  <c r="AI1405" i="19"/>
  <c r="AI1383" i="19"/>
  <c r="AH1366" i="19"/>
  <c r="AJ1366" i="19" s="1"/>
  <c r="AK1366" i="19" s="1" a="1"/>
  <c r="AK1366" i="19" s="1"/>
  <c r="AH1284" i="19"/>
  <c r="AJ1284" i="19" s="1"/>
  <c r="AK1284" i="19" s="1" a="1"/>
  <c r="AK1284" i="19" s="1"/>
  <c r="AH1295" i="19"/>
  <c r="AJ1295" i="19" s="1"/>
  <c r="AK1295" i="19" s="1" a="1"/>
  <c r="AK1295" i="19" s="1"/>
  <c r="AI1182" i="19"/>
  <c r="AI1177" i="19"/>
  <c r="AH1187" i="19"/>
  <c r="AJ1187" i="19" s="1"/>
  <c r="AK1187" i="19" s="1" a="1"/>
  <c r="AK1187" i="19" s="1"/>
  <c r="AI1127" i="19"/>
  <c r="AH1473" i="19"/>
  <c r="AJ1473" i="19" s="1"/>
  <c r="AK1473" i="19" s="1" a="1"/>
  <c r="AK1473" i="19" s="1"/>
  <c r="AH1085" i="19"/>
  <c r="AJ1085" i="19" s="1"/>
  <c r="AK1085" i="19" s="1" a="1"/>
  <c r="AK1085" i="19" s="1"/>
  <c r="AH1425" i="19"/>
  <c r="AJ1425" i="19" s="1"/>
  <c r="AI1408" i="19"/>
  <c r="AH1414" i="19"/>
  <c r="AJ1414" i="19" s="1"/>
  <c r="AK1414" i="19" s="1" a="1"/>
  <c r="AK1414" i="19" s="1"/>
  <c r="AI1402" i="19"/>
  <c r="AI1382" i="19"/>
  <c r="AH1383" i="19"/>
  <c r="AJ1383" i="19" s="1"/>
  <c r="AK1383" i="19" s="1" a="1"/>
  <c r="AK1383" i="19" s="1"/>
  <c r="AI1368" i="19"/>
  <c r="AI1332" i="19"/>
  <c r="AI1298" i="19"/>
  <c r="AI1297" i="19"/>
  <c r="AH1291" i="19"/>
  <c r="AJ1291" i="19" s="1"/>
  <c r="AK1291" i="19" s="1" a="1"/>
  <c r="AK1291" i="19" s="1"/>
  <c r="AH1278" i="19"/>
  <c r="AJ1278" i="19" s="1"/>
  <c r="AK1278" i="19" s="1" a="1"/>
  <c r="AK1278" i="19" s="1"/>
  <c r="AI1215" i="19"/>
  <c r="AI1211" i="19"/>
  <c r="AI1220" i="19"/>
  <c r="AH1157" i="19"/>
  <c r="AJ1157" i="19" s="1"/>
  <c r="AK1157" i="19" s="1" a="1"/>
  <c r="AK1157" i="19" s="1"/>
  <c r="AI1154" i="19"/>
  <c r="AH1029" i="19"/>
  <c r="AJ1029" i="19" s="1"/>
  <c r="AK1029" i="19" s="1" a="1"/>
  <c r="AK1029" i="19" s="1"/>
  <c r="AI960" i="19"/>
  <c r="AH903" i="19"/>
  <c r="AJ903" i="19" s="1"/>
  <c r="AK903" i="19" s="1" a="1"/>
  <c r="AK903" i="19" s="1"/>
  <c r="AH879" i="19"/>
  <c r="AJ879" i="19" s="1"/>
  <c r="AK879" i="19" s="1" a="1"/>
  <c r="AK879" i="19" s="1"/>
  <c r="AI878" i="19"/>
  <c r="AH828" i="19"/>
  <c r="AJ828" i="19" s="1"/>
  <c r="AK828" i="19" s="1" a="1"/>
  <c r="AK828" i="19" s="1"/>
  <c r="AH730" i="19"/>
  <c r="AJ730" i="19" s="1"/>
  <c r="AK730" i="19" s="1" a="1"/>
  <c r="AK730" i="19" s="1"/>
  <c r="AH977" i="19"/>
  <c r="AJ977" i="19" s="1"/>
  <c r="AI970" i="19"/>
  <c r="AH1468" i="19"/>
  <c r="AJ1468" i="19" s="1"/>
  <c r="AK1468" i="19" s="1" a="1"/>
  <c r="AK1468" i="19" s="1"/>
  <c r="AH1464" i="19"/>
  <c r="AJ1464" i="19" s="1"/>
  <c r="AK1464" i="19" s="1" a="1"/>
  <c r="AK1464" i="19" s="1"/>
  <c r="AI1458" i="19"/>
  <c r="AH1422" i="19"/>
  <c r="AJ1422" i="19" s="1"/>
  <c r="AK1422" i="19" s="1" a="1"/>
  <c r="AK1422" i="19" s="1"/>
  <c r="AH1408" i="19"/>
  <c r="AJ1408" i="19" s="1"/>
  <c r="AK1408" i="19" s="1" a="1"/>
  <c r="AK1408" i="19" s="1"/>
  <c r="AH1412" i="19"/>
  <c r="AJ1412" i="19" s="1"/>
  <c r="AK1412" i="19" s="1" a="1"/>
  <c r="AK1412" i="19" s="1"/>
  <c r="AI1389" i="19"/>
  <c r="AH1382" i="19"/>
  <c r="AJ1382" i="19" s="1"/>
  <c r="AK1382" i="19" s="1" a="1"/>
  <c r="AK1382" i="19" s="1"/>
  <c r="AH1368" i="19"/>
  <c r="AJ1368" i="19" s="1"/>
  <c r="AH1365" i="19"/>
  <c r="AJ1365" i="19" s="1"/>
  <c r="AK1365" i="19" s="1" a="1"/>
  <c r="AK1365" i="19" s="1"/>
  <c r="AH1355" i="19"/>
  <c r="AJ1355" i="19" s="1"/>
  <c r="AK1355" i="19" s="1" a="1"/>
  <c r="AK1355" i="19" s="1"/>
  <c r="AH1314" i="19"/>
  <c r="AJ1314" i="19" s="1"/>
  <c r="AK1314" i="19" s="1" a="1"/>
  <c r="AK1314" i="19" s="1"/>
  <c r="AH1298" i="19"/>
  <c r="AJ1298" i="19" s="1"/>
  <c r="AK1298" i="19" s="1" a="1"/>
  <c r="AK1298" i="19" s="1"/>
  <c r="AH1297" i="19"/>
  <c r="AJ1297" i="19" s="1"/>
  <c r="AK1297" i="19" s="1" a="1"/>
  <c r="AK1297" i="19" s="1"/>
  <c r="AI1286" i="19"/>
  <c r="AI1274" i="19"/>
  <c r="AI1253" i="19"/>
  <c r="AH1239" i="19"/>
  <c r="AJ1239" i="19" s="1"/>
  <c r="AK1239" i="19" s="1" a="1"/>
  <c r="AK1239" i="19" s="1"/>
  <c r="AH1217" i="19"/>
  <c r="AJ1217" i="19" s="1"/>
  <c r="AK1217" i="19" s="1" a="1"/>
  <c r="AK1217" i="19" s="1"/>
  <c r="AH1213" i="19"/>
  <c r="AJ1213" i="19" s="1"/>
  <c r="AK1213" i="19" s="1" a="1"/>
  <c r="AK1213" i="19" s="1"/>
  <c r="AI1206" i="19"/>
  <c r="AI1223" i="19"/>
  <c r="AI1219" i="19"/>
  <c r="AH1107" i="19"/>
  <c r="AJ1107" i="19" s="1"/>
  <c r="AK1107" i="19" s="1" a="1"/>
  <c r="AK1107" i="19" s="1"/>
  <c r="AH1104" i="19"/>
  <c r="AJ1104" i="19" s="1"/>
  <c r="AK1104" i="19" s="1" a="1"/>
  <c r="AK1104" i="19" s="1"/>
  <c r="AH1055" i="19"/>
  <c r="AJ1055" i="19" s="1"/>
  <c r="AK1055" i="19" s="1" a="1"/>
  <c r="AK1055" i="19" s="1"/>
  <c r="AH922" i="19"/>
  <c r="AJ922" i="19" s="1"/>
  <c r="AK922" i="19" s="1" a="1"/>
  <c r="AK922" i="19" s="1"/>
  <c r="AI916" i="19"/>
  <c r="AI914" i="19"/>
  <c r="AH912" i="19"/>
  <c r="AJ912" i="19" s="1"/>
  <c r="AK912" i="19" s="1" a="1"/>
  <c r="AK912" i="19" s="1"/>
  <c r="AH909" i="19"/>
  <c r="AJ909" i="19" s="1"/>
  <c r="AI840" i="19"/>
  <c r="AH774" i="19"/>
  <c r="AJ774" i="19" s="1"/>
  <c r="AK774" i="19" s="1" a="1"/>
  <c r="AK774" i="19" s="1"/>
  <c r="AH744" i="19"/>
  <c r="AJ744" i="19" s="1"/>
  <c r="AK744" i="19" s="1" a="1"/>
  <c r="AK744" i="19" s="1"/>
  <c r="AI737" i="19"/>
  <c r="AI698" i="19"/>
  <c r="AI717" i="19"/>
  <c r="AH448" i="19"/>
  <c r="AJ448" i="19" s="1"/>
  <c r="AK448" i="19" s="1" a="1"/>
  <c r="AK448" i="19" s="1"/>
  <c r="AH1866" i="19"/>
  <c r="AJ1866" i="19" s="1"/>
  <c r="AK1866" i="19" s="1" a="1"/>
  <c r="AK1866" i="19" s="1"/>
  <c r="AH2075" i="19"/>
  <c r="AJ2075" i="19" s="1"/>
  <c r="AK2075" i="19" s="1" a="1"/>
  <c r="AK2075" i="19" s="1"/>
  <c r="AH2074" i="19"/>
  <c r="AJ2074" i="19" s="1"/>
  <c r="AK2074" i="19" s="1" a="1"/>
  <c r="AK2074" i="19" s="1"/>
  <c r="AH1774" i="19"/>
  <c r="AJ1774" i="19" s="1"/>
  <c r="AK1774" i="19" s="1" a="1"/>
  <c r="AK1774" i="19" s="1"/>
  <c r="AH2086" i="19"/>
  <c r="AJ2086" i="19" s="1"/>
  <c r="AK2086" i="19" s="1" a="1"/>
  <c r="AK2086" i="19" s="1"/>
  <c r="AI1443" i="19"/>
  <c r="AH775" i="19"/>
  <c r="AJ775" i="19" s="1"/>
  <c r="AK775" i="19" s="1" a="1"/>
  <c r="AK775" i="19" s="1"/>
  <c r="AH2068" i="19"/>
  <c r="AJ2068" i="19" s="1"/>
  <c r="AK2068" i="19" s="1" a="1"/>
  <c r="AK2068" i="19" s="1"/>
  <c r="AI981" i="19"/>
  <c r="AI2068" i="19"/>
  <c r="AI187" i="19"/>
  <c r="AI2079" i="19"/>
  <c r="AI2078" i="19"/>
  <c r="AI1973" i="19"/>
  <c r="AI2044" i="19"/>
  <c r="AI2045" i="19"/>
  <c r="AH2044" i="19"/>
  <c r="AJ2044" i="19" s="1"/>
  <c r="AK2044" i="19" s="1" a="1"/>
  <c r="AK2044" i="19" s="1"/>
  <c r="AH2045" i="19"/>
  <c r="AJ2045" i="19" s="1"/>
  <c r="AK2045" i="19" s="1" a="1"/>
  <c r="AK2045" i="19" s="1"/>
  <c r="AI1494" i="19"/>
  <c r="AI2061" i="19"/>
  <c r="AI1498" i="19"/>
  <c r="AI2065" i="19"/>
  <c r="AI2038" i="19"/>
  <c r="AI2037" i="19"/>
  <c r="AH1973" i="19"/>
  <c r="AJ1973" i="19" s="1"/>
  <c r="AK1973" i="19" s="1" a="1"/>
  <c r="AK1973" i="19" s="1"/>
  <c r="AI646" i="19"/>
  <c r="AI1951" i="19"/>
  <c r="AI1950" i="19"/>
  <c r="AI1949" i="19"/>
  <c r="AH646" i="19"/>
  <c r="AJ646" i="19" s="1"/>
  <c r="AK646" i="19" s="1" a="1"/>
  <c r="AK646" i="19" s="1"/>
  <c r="AH1949" i="19"/>
  <c r="AJ1949" i="19" s="1"/>
  <c r="AK1949" i="19" s="1" a="1"/>
  <c r="AK1949" i="19" s="1"/>
  <c r="AH1951" i="19"/>
  <c r="AJ1951" i="19" s="1"/>
  <c r="AK1951" i="19" s="1" a="1"/>
  <c r="AK1951" i="19" s="1"/>
  <c r="AH1950" i="19"/>
  <c r="AJ1950" i="19" s="1"/>
  <c r="AK1950" i="19" s="1" a="1"/>
  <c r="AK1950" i="19" s="1"/>
  <c r="AD620" i="19"/>
  <c r="AF620" i="19"/>
  <c r="AE620" i="19"/>
  <c r="AH1325" i="19"/>
  <c r="AJ1325" i="19" s="1"/>
  <c r="AK1325" i="19" s="1" a="1"/>
  <c r="AK1325" i="19" s="1"/>
  <c r="AH1979" i="19"/>
  <c r="AJ1979" i="19" s="1"/>
  <c r="AK1979" i="19" s="1" a="1"/>
  <c r="AK1979" i="19" s="1"/>
  <c r="AI1325" i="19"/>
  <c r="AI1979" i="19"/>
  <c r="AH1837" i="19"/>
  <c r="AJ1837" i="19" s="1"/>
  <c r="AK1837" i="19" s="1" a="1"/>
  <c r="AK1837" i="19" s="1"/>
  <c r="AH1032" i="19"/>
  <c r="AJ1032" i="19" s="1"/>
  <c r="AK1032" i="19" s="1" a="1"/>
  <c r="AK1032" i="19" s="1"/>
  <c r="AH1050" i="19"/>
  <c r="AJ1050" i="19" s="1"/>
  <c r="AK1050" i="19" s="1" a="1"/>
  <c r="AK1050" i="19" s="1"/>
  <c r="AH1167" i="19"/>
  <c r="AJ1167" i="19" s="1"/>
  <c r="AK1167" i="19" s="1" a="1"/>
  <c r="AK1167" i="19" s="1"/>
  <c r="AH443" i="19"/>
  <c r="AJ443" i="19" s="1"/>
  <c r="AK443" i="19" s="1" a="1"/>
  <c r="AK443" i="19" s="1"/>
  <c r="AH575" i="19"/>
  <c r="AJ575" i="19" s="1"/>
  <c r="AK575" i="19" s="1" a="1"/>
  <c r="AK575" i="19" s="1"/>
  <c r="AH673" i="19"/>
  <c r="AJ673" i="19" s="1"/>
  <c r="AK673" i="19" s="1" a="1"/>
  <c r="AK673" i="19" s="1"/>
  <c r="AH1183" i="19"/>
  <c r="AJ1183" i="19" s="1"/>
  <c r="AK1183" i="19" s="1" a="1"/>
  <c r="AK1183" i="19" s="1"/>
  <c r="AH563" i="19"/>
  <c r="AJ563" i="19" s="1"/>
  <c r="AK563" i="19" s="1" a="1"/>
  <c r="AK563" i="19" s="1"/>
  <c r="AH715" i="19"/>
  <c r="AJ715" i="19" s="1"/>
  <c r="AK715" i="19" s="1" a="1"/>
  <c r="AK715" i="19" s="1"/>
  <c r="AH439" i="19"/>
  <c r="AJ439" i="19" s="1"/>
  <c r="AK439" i="19" s="1" a="1"/>
  <c r="AK439" i="19" s="1"/>
  <c r="AH572" i="19"/>
  <c r="AJ572" i="19" s="1"/>
  <c r="AK572" i="19" s="1" a="1"/>
  <c r="AK572" i="19" s="1"/>
  <c r="AH655" i="19"/>
  <c r="AJ655" i="19" s="1"/>
  <c r="AK655" i="19" s="1" a="1"/>
  <c r="AK655" i="19" s="1"/>
  <c r="AH662" i="19"/>
  <c r="AJ662" i="19" s="1"/>
  <c r="AK662" i="19" s="1" a="1"/>
  <c r="AK662" i="19" s="1"/>
  <c r="AH672" i="19"/>
  <c r="AJ672" i="19" s="1"/>
  <c r="AK672" i="19" s="1" a="1"/>
  <c r="AK672" i="19" s="1"/>
  <c r="AH786" i="19"/>
  <c r="AJ786" i="19" s="1"/>
  <c r="AK786" i="19" s="1" a="1"/>
  <c r="AK786" i="19" s="1"/>
  <c r="AH991" i="19"/>
  <c r="AJ991" i="19" s="1"/>
  <c r="AK991" i="19" s="1" a="1"/>
  <c r="AK991" i="19" s="1"/>
  <c r="AH1180" i="19"/>
  <c r="AJ1180" i="19" s="1"/>
  <c r="AK1180" i="19" s="1" a="1"/>
  <c r="AK1180" i="19" s="1"/>
  <c r="AH1205" i="19"/>
  <c r="AJ1205" i="19" s="1"/>
  <c r="AK1205" i="19" s="1" a="1"/>
  <c r="AK1205" i="19" s="1"/>
  <c r="AH595" i="19"/>
  <c r="AJ595" i="19" s="1"/>
  <c r="AK595" i="19" s="1" a="1"/>
  <c r="AK595" i="19" s="1"/>
  <c r="AH841" i="19"/>
  <c r="AJ841" i="19" s="1"/>
  <c r="AK841" i="19" s="1" a="1"/>
  <c r="AK841" i="19" s="1"/>
  <c r="AH1819" i="19"/>
  <c r="AJ1819" i="19" s="1"/>
  <c r="AK1819" i="19" s="1" a="1"/>
  <c r="AK1819" i="19" s="1"/>
  <c r="AH1057" i="19"/>
  <c r="AJ1057" i="19" s="1"/>
  <c r="AK1057" i="19" s="1" a="1"/>
  <c r="AK1057" i="19" s="1"/>
  <c r="AH1139" i="19"/>
  <c r="AJ1139" i="19" s="1"/>
  <c r="AK1139" i="19" s="1" a="1"/>
  <c r="AK1139" i="19" s="1"/>
  <c r="AH1192" i="19"/>
  <c r="AJ1192" i="19" s="1"/>
  <c r="AK1192" i="19" s="1" a="1"/>
  <c r="AK1192" i="19" s="1"/>
  <c r="AH1227" i="19"/>
  <c r="AJ1227" i="19" s="1"/>
  <c r="AK1227" i="19" s="1" a="1"/>
  <c r="AK1227" i="19" s="1"/>
  <c r="AH468" i="19"/>
  <c r="AJ468" i="19" s="1"/>
  <c r="AK468" i="19" s="1" a="1"/>
  <c r="AK468" i="19" s="1"/>
  <c r="AH739" i="19"/>
  <c r="AJ739" i="19" s="1"/>
  <c r="AK739" i="19" s="1" a="1"/>
  <c r="AK739" i="19" s="1"/>
  <c r="AH881" i="19"/>
  <c r="AJ881" i="19" s="1"/>
  <c r="AK881" i="19" s="1" a="1"/>
  <c r="AK881" i="19" s="1"/>
  <c r="AH906" i="19"/>
  <c r="AJ906" i="19" s="1"/>
  <c r="AK906" i="19" s="1" a="1"/>
  <c r="AK906" i="19" s="1"/>
  <c r="AH920" i="19"/>
  <c r="AJ920" i="19" s="1"/>
  <c r="AK920" i="19" s="1" a="1"/>
  <c r="AK920" i="19" s="1"/>
  <c r="AH954" i="19"/>
  <c r="AJ954" i="19" s="1"/>
  <c r="AK954" i="19" s="1" a="1"/>
  <c r="AK954" i="19" s="1"/>
  <c r="AH957" i="19"/>
  <c r="AJ957" i="19" s="1"/>
  <c r="AK957" i="19" s="1" a="1"/>
  <c r="AK957" i="19" s="1"/>
  <c r="AH1035" i="19"/>
  <c r="AJ1035" i="19" s="1"/>
  <c r="AK1035" i="19" s="1" a="1"/>
  <c r="AK1035" i="19" s="1"/>
  <c r="AH1041" i="19"/>
  <c r="AJ1041" i="19" s="1"/>
  <c r="AK1041" i="19" s="1" a="1"/>
  <c r="AK1041" i="19" s="1"/>
  <c r="AH1096" i="19"/>
  <c r="AJ1096" i="19" s="1"/>
  <c r="AK1096" i="19" s="1" a="1"/>
  <c r="AK1096" i="19" s="1"/>
  <c r="AH499" i="19"/>
  <c r="AJ499" i="19" s="1"/>
  <c r="AK499" i="19" s="1" a="1"/>
  <c r="AK499" i="19" s="1"/>
  <c r="AH951" i="19"/>
  <c r="AJ951" i="19" s="1"/>
  <c r="AK951" i="19" s="1" a="1"/>
  <c r="AK951" i="19" s="1"/>
  <c r="AH1220" i="19"/>
  <c r="AJ1220" i="19" s="1"/>
  <c r="AK1220" i="19" s="1" a="1"/>
  <c r="AK1220" i="19" s="1"/>
  <c r="AH897" i="19"/>
  <c r="AJ897" i="19" s="1"/>
  <c r="AK897" i="19" s="1" a="1"/>
  <c r="AK897" i="19" s="1"/>
  <c r="AH853" i="19"/>
  <c r="AJ853" i="19" s="1"/>
  <c r="AK853" i="19" s="1" a="1"/>
  <c r="AK853" i="19" s="1"/>
  <c r="AH685" i="19"/>
  <c r="AJ685" i="19" s="1"/>
  <c r="AK685" i="19" s="1" a="1"/>
  <c r="AK685" i="19" s="1"/>
  <c r="AH1121" i="19"/>
  <c r="AJ1121" i="19" s="1"/>
  <c r="AK1121" i="19" s="1" a="1"/>
  <c r="AK1121" i="19" s="1"/>
  <c r="AH1126" i="19"/>
  <c r="AJ1126" i="19" s="1"/>
  <c r="AK1126" i="19" s="1" a="1"/>
  <c r="AK1126" i="19" s="1"/>
  <c r="AH1175" i="19"/>
  <c r="AJ1175" i="19" s="1"/>
  <c r="AK1175" i="19" s="1" a="1"/>
  <c r="AK1175" i="19" s="1"/>
  <c r="AH731" i="19"/>
  <c r="AJ731" i="19" s="1"/>
  <c r="AK731" i="19" s="1" a="1"/>
  <c r="AK731" i="19" s="1"/>
  <c r="AH732" i="19"/>
  <c r="AJ732" i="19" s="1"/>
  <c r="AK732" i="19" s="1" a="1"/>
  <c r="AK732" i="19" s="1"/>
  <c r="AH941" i="19"/>
  <c r="AJ941" i="19" s="1"/>
  <c r="AK941" i="19" s="1" a="1"/>
  <c r="AK941" i="19" s="1"/>
  <c r="AH1021" i="19"/>
  <c r="AJ1021" i="19" s="1"/>
  <c r="AK1021" i="19" s="1" a="1"/>
  <c r="AK1021" i="19" s="1"/>
  <c r="AH1120" i="19"/>
  <c r="AJ1120" i="19" s="1"/>
  <c r="AK1120" i="19" s="1" a="1"/>
  <c r="AK1120" i="19" s="1"/>
  <c r="AH1229" i="19"/>
  <c r="AJ1229" i="19" s="1"/>
  <c r="AK1229" i="19" s="1" a="1"/>
  <c r="AK1229" i="19" s="1"/>
  <c r="AH570" i="19"/>
  <c r="AJ570" i="19" s="1"/>
  <c r="AK570" i="19" s="1" a="1"/>
  <c r="AK570" i="19" s="1"/>
  <c r="AH1195" i="19"/>
  <c r="AJ1195" i="19" s="1"/>
  <c r="AK1195" i="19" s="1" a="1"/>
  <c r="AK1195" i="19" s="1"/>
  <c r="AH1230" i="19"/>
  <c r="AJ1230" i="19" s="1"/>
  <c r="AK1230" i="19" s="1" a="1"/>
  <c r="AK1230" i="19" s="1"/>
  <c r="AH1087" i="19"/>
  <c r="AJ1087" i="19" s="1"/>
  <c r="AK1087" i="19" s="1" a="1"/>
  <c r="AK1087" i="19" s="1"/>
  <c r="AH1275" i="19"/>
  <c r="AJ1275" i="19" s="1"/>
  <c r="AK1275" i="19" s="1" a="1"/>
  <c r="AK1275" i="19" s="1"/>
  <c r="AH1201" i="19"/>
  <c r="AJ1201" i="19" s="1"/>
  <c r="AK1201" i="19" s="1" a="1"/>
  <c r="AK1201" i="19" s="1"/>
  <c r="AH1033" i="19"/>
  <c r="AJ1033" i="19" s="1"/>
  <c r="AK1033" i="19" s="1" a="1"/>
  <c r="AK1033" i="19" s="1"/>
  <c r="AH1078" i="19"/>
  <c r="AJ1078" i="19" s="1"/>
  <c r="AK1078" i="19" s="1" a="1"/>
  <c r="AK1078" i="19" s="1"/>
  <c r="AH936" i="19"/>
  <c r="AJ936" i="19" s="1"/>
  <c r="AK936" i="19" s="1" a="1"/>
  <c r="AK936" i="19" s="1"/>
  <c r="AH1211" i="19"/>
  <c r="AJ1211" i="19" s="1"/>
  <c r="AK1211" i="19" s="1" a="1"/>
  <c r="AK1211" i="19" s="1"/>
  <c r="AH904" i="19"/>
  <c r="AJ904" i="19" s="1"/>
  <c r="AK904" i="19" s="1" a="1"/>
  <c r="AK904" i="19" s="1"/>
  <c r="AH921" i="19"/>
  <c r="AJ921" i="19" s="1"/>
  <c r="AK921" i="19" s="1" a="1"/>
  <c r="AK921" i="19" s="1"/>
  <c r="AH955" i="19"/>
  <c r="AJ955" i="19" s="1"/>
  <c r="AK955" i="19" s="1" a="1"/>
  <c r="AK955" i="19" s="1"/>
  <c r="AH1145" i="19"/>
  <c r="AJ1145" i="19" s="1"/>
  <c r="AK1145" i="19" s="1" a="1"/>
  <c r="AK1145" i="19" s="1"/>
  <c r="AH1027" i="19"/>
  <c r="AJ1027" i="19" s="1"/>
  <c r="AK1027" i="19" s="1" a="1"/>
  <c r="AK1027" i="19" s="1"/>
  <c r="AH973" i="19"/>
  <c r="AJ973" i="19" s="1"/>
  <c r="AK973" i="19" s="1" a="1"/>
  <c r="AK973" i="19" s="1"/>
  <c r="AH1466" i="19"/>
  <c r="AJ1466" i="19" s="1"/>
  <c r="AK1466" i="19" s="1" a="1"/>
  <c r="AK1466" i="19" s="1"/>
  <c r="AH1469" i="19"/>
  <c r="AJ1469" i="19" s="1"/>
  <c r="AK1469" i="19" s="1" a="1"/>
  <c r="AK1469" i="19" s="1"/>
  <c r="AH1457" i="19"/>
  <c r="AJ1457" i="19" s="1"/>
  <c r="AK1457" i="19" s="1" a="1"/>
  <c r="AK1457" i="19" s="1"/>
  <c r="AI1450" i="19"/>
  <c r="AH1447" i="19"/>
  <c r="AJ1447" i="19" s="1"/>
  <c r="AK1447" i="19" s="1" a="1"/>
  <c r="AK1447" i="19" s="1"/>
  <c r="AH1431" i="19"/>
  <c r="AJ1431" i="19" s="1"/>
  <c r="AK1431" i="19" s="1" a="1"/>
  <c r="AK1431" i="19" s="1"/>
  <c r="AH1428" i="19"/>
  <c r="AJ1428" i="19" s="1"/>
  <c r="AK1428" i="19" s="1" a="1"/>
  <c r="AK1428" i="19" s="1"/>
  <c r="AH1327" i="19"/>
  <c r="AJ1327" i="19" s="1"/>
  <c r="AK1327" i="19" s="1" a="1"/>
  <c r="AK1327" i="19" s="1"/>
  <c r="AH1281" i="19"/>
  <c r="AJ1281" i="19" s="1"/>
  <c r="AK1281" i="19" s="1" a="1"/>
  <c r="AK1281" i="19" s="1"/>
  <c r="AH1240" i="19"/>
  <c r="AJ1240" i="19" s="1"/>
  <c r="AK1240" i="19" s="1" a="1"/>
  <c r="AK1240" i="19" s="1"/>
  <c r="AH1236" i="19"/>
  <c r="AJ1236" i="19" s="1"/>
  <c r="AK1236" i="19" s="1" a="1"/>
  <c r="AK1236" i="19" s="1"/>
  <c r="AH1172" i="19"/>
  <c r="AJ1172" i="19" s="1"/>
  <c r="AK1172" i="19" s="1" a="1"/>
  <c r="AK1172" i="19" s="1"/>
  <c r="AH1173" i="19"/>
  <c r="AJ1173" i="19" s="1"/>
  <c r="AK1173" i="19" s="1" a="1"/>
  <c r="AK1173" i="19" s="1"/>
  <c r="AH1147" i="19"/>
  <c r="AJ1147" i="19" s="1"/>
  <c r="AK1147" i="19" s="1" a="1"/>
  <c r="AK1147" i="19" s="1"/>
  <c r="AH1109" i="19"/>
  <c r="AJ1109" i="19" s="1"/>
  <c r="AK1109" i="19" s="1" a="1"/>
  <c r="AK1109" i="19" s="1"/>
  <c r="AH1095" i="19"/>
  <c r="AJ1095" i="19" s="1"/>
  <c r="AK1095" i="19" s="1" a="1"/>
  <c r="AK1095" i="19" s="1"/>
  <c r="AH1020" i="19"/>
  <c r="AJ1020" i="19" s="1"/>
  <c r="AK1020" i="19" s="1" a="1"/>
  <c r="AK1020" i="19" s="1"/>
  <c r="AH930" i="19"/>
  <c r="AJ930" i="19" s="1"/>
  <c r="AK930" i="19" s="1" a="1"/>
  <c r="AK930" i="19" s="1"/>
  <c r="AH845" i="19"/>
  <c r="AJ845" i="19" s="1"/>
  <c r="AK845" i="19" s="1" a="1"/>
  <c r="AK845" i="19" s="1"/>
  <c r="AH447" i="19"/>
  <c r="AJ447" i="19" s="1"/>
  <c r="AK447" i="19" s="1" a="1"/>
  <c r="AK447" i="19" s="1"/>
  <c r="AH772" i="19"/>
  <c r="AJ772" i="19" s="1"/>
  <c r="AK772" i="19" s="1" a="1"/>
  <c r="AK772" i="19" s="1"/>
  <c r="AH797" i="19"/>
  <c r="AJ797" i="19" s="1"/>
  <c r="AK797" i="19" s="1" a="1"/>
  <c r="AK797" i="19" s="1"/>
  <c r="AH798" i="19"/>
  <c r="AJ798" i="19" s="1"/>
  <c r="AK798" i="19" s="1" a="1"/>
  <c r="AK798" i="19" s="1"/>
  <c r="AH900" i="19"/>
  <c r="AJ900" i="19" s="1"/>
  <c r="AK900" i="19" s="1" a="1"/>
  <c r="AK900" i="19" s="1"/>
  <c r="AH1094" i="19"/>
  <c r="AJ1094" i="19" s="1"/>
  <c r="AK1094" i="19" s="1" a="1"/>
  <c r="AK1094" i="19" s="1"/>
  <c r="AH438" i="19"/>
  <c r="AJ438" i="19" s="1"/>
  <c r="AK438" i="19" s="1" a="1"/>
  <c r="AK438" i="19" s="1"/>
  <c r="AH1118" i="19"/>
  <c r="AJ1118" i="19" s="1"/>
  <c r="AK1118" i="19" s="1" a="1"/>
  <c r="AK1118" i="19" s="1"/>
  <c r="AH1142" i="19"/>
  <c r="AJ1142" i="19" s="1"/>
  <c r="AK1142" i="19" s="1" a="1"/>
  <c r="AK1142" i="19" s="1"/>
  <c r="AH1718" i="19"/>
  <c r="AJ1718" i="19" s="1"/>
  <c r="AK1718" i="19" s="1" a="1"/>
  <c r="AK1718" i="19" s="1"/>
  <c r="AH1216" i="19"/>
  <c r="AJ1216" i="19" s="1"/>
  <c r="AK1216" i="19" s="1" a="1"/>
  <c r="AK1216" i="19" s="1"/>
  <c r="AH480" i="19"/>
  <c r="AJ480" i="19" s="1"/>
  <c r="AK480" i="19" s="1" a="1"/>
  <c r="AK480" i="19" s="1"/>
  <c r="AH788" i="19"/>
  <c r="AJ788" i="19" s="1"/>
  <c r="AK788" i="19" s="1" a="1"/>
  <c r="AK788" i="19" s="1"/>
  <c r="AH873" i="19"/>
  <c r="AJ873" i="19" s="1"/>
  <c r="AK873" i="19" s="1" a="1"/>
  <c r="AK873" i="19" s="1"/>
  <c r="AH993" i="19"/>
  <c r="AJ993" i="19" s="1"/>
  <c r="AK993" i="19" s="1" a="1"/>
  <c r="AK993" i="19" s="1"/>
  <c r="AH956" i="19"/>
  <c r="AJ956" i="19" s="1"/>
  <c r="AK956" i="19" s="1" a="1"/>
  <c r="AK956" i="19" s="1"/>
  <c r="AH882" i="19"/>
  <c r="AJ882" i="19" s="1"/>
  <c r="AK882" i="19" s="1" a="1"/>
  <c r="AK882" i="19" s="1"/>
  <c r="AH847" i="19"/>
  <c r="AJ847" i="19" s="1"/>
  <c r="AK847" i="19" s="1" a="1"/>
  <c r="AK847" i="19" s="1"/>
  <c r="AH737" i="19"/>
  <c r="AJ737" i="19" s="1"/>
  <c r="AK737" i="19" s="1" a="1"/>
  <c r="AK737" i="19" s="1"/>
  <c r="AH687" i="19"/>
  <c r="AJ687" i="19" s="1"/>
  <c r="AK687" i="19" s="1" a="1"/>
  <c r="AK687" i="19" s="1"/>
  <c r="AH712" i="19"/>
  <c r="AJ712" i="19" s="1"/>
  <c r="AK712" i="19" s="1" a="1"/>
  <c r="AK712" i="19" s="1"/>
  <c r="AH656" i="19"/>
  <c r="AJ656" i="19" s="1"/>
  <c r="AK656" i="19" s="1" a="1"/>
  <c r="AK656" i="19" s="1"/>
  <c r="AH628" i="19"/>
  <c r="AJ628" i="19" s="1"/>
  <c r="AK628" i="19" s="1" a="1"/>
  <c r="AK628" i="19" s="1"/>
  <c r="AH525" i="19"/>
  <c r="AJ525" i="19" s="1"/>
  <c r="AK525" i="19" s="1" a="1"/>
  <c r="AK525" i="19" s="1"/>
  <c r="AI1105" i="19"/>
  <c r="AI1056" i="19"/>
  <c r="AI1036" i="19"/>
  <c r="AI1013" i="19"/>
  <c r="AI964" i="19"/>
  <c r="AI936" i="19"/>
  <c r="AI952" i="19"/>
  <c r="AI799" i="19"/>
  <c r="AI738" i="19"/>
  <c r="AI697" i="19"/>
  <c r="AI708" i="19"/>
  <c r="AI624" i="19"/>
  <c r="AI599" i="19"/>
  <c r="AI872" i="19"/>
  <c r="AI1864" i="19"/>
  <c r="AI950" i="19"/>
  <c r="AI1003" i="19"/>
  <c r="AI1077" i="19"/>
  <c r="AI1080" i="19"/>
  <c r="AI1378" i="19"/>
  <c r="AI930" i="19"/>
  <c r="AI849" i="19"/>
  <c r="AI1452" i="19"/>
  <c r="AI1396" i="19"/>
  <c r="AI1314" i="19"/>
  <c r="AI1268" i="19"/>
  <c r="AI1185" i="19"/>
  <c r="AI1163" i="19"/>
  <c r="AI988" i="19"/>
  <c r="AI963" i="19"/>
  <c r="AI792" i="19"/>
  <c r="AI793" i="19"/>
  <c r="AI724" i="19"/>
  <c r="AI621" i="19"/>
  <c r="AI548" i="19"/>
  <c r="AI547" i="19"/>
  <c r="AI536" i="19"/>
  <c r="AI1729" i="19"/>
  <c r="AI1832" i="19"/>
  <c r="AI1446" i="19"/>
  <c r="AI1115" i="19"/>
  <c r="AI855" i="19"/>
  <c r="AI764" i="19"/>
  <c r="AI1387" i="19"/>
  <c r="AI1313" i="19"/>
  <c r="AI1299" i="19"/>
  <c r="AI1189" i="19"/>
  <c r="AI1075" i="19"/>
  <c r="AI884" i="19"/>
  <c r="AI625" i="19"/>
  <c r="AI539" i="19"/>
  <c r="AI1700" i="19"/>
  <c r="AI1819" i="19"/>
  <c r="AH561" i="19"/>
  <c r="AJ561" i="19" s="1"/>
  <c r="AK561" i="19" s="1" a="1"/>
  <c r="AK561" i="19" s="1"/>
  <c r="AH601" i="19"/>
  <c r="AJ601" i="19" s="1"/>
  <c r="AK601" i="19" s="1" a="1"/>
  <c r="AK601" i="19" s="1"/>
  <c r="AH1696" i="19"/>
  <c r="AJ1696" i="19" s="1"/>
  <c r="AK1696" i="19" s="1" a="1"/>
  <c r="AK1696" i="19" s="1"/>
  <c r="AH1821" i="19"/>
  <c r="AJ1821" i="19" s="1"/>
  <c r="AK1821" i="19" s="1" a="1"/>
  <c r="AK1821" i="19" s="1"/>
  <c r="AI1840" i="19"/>
  <c r="AH1802" i="19"/>
  <c r="AJ1802" i="19" s="1"/>
  <c r="AK1802" i="19" s="1" a="1"/>
  <c r="AK1802" i="19" s="1"/>
  <c r="AH1801" i="19"/>
  <c r="AJ1801" i="19" s="1"/>
  <c r="AK1801" i="19" s="1" a="1"/>
  <c r="AK1801" i="19" s="1"/>
  <c r="AI1802" i="19"/>
  <c r="AI1801" i="19"/>
  <c r="AH389" i="19"/>
  <c r="AJ389" i="19" s="1"/>
  <c r="AK389" i="19" s="1" a="1"/>
  <c r="AK389" i="19" s="1"/>
  <c r="AH1797" i="19"/>
  <c r="AJ1797" i="19" s="1"/>
  <c r="AK1797" i="19" s="1" a="1"/>
  <c r="AK1797" i="19" s="1"/>
  <c r="AI390" i="19"/>
  <c r="AI1797" i="19"/>
  <c r="AI1503" i="19"/>
  <c r="AI1774" i="19"/>
  <c r="AH1599" i="19"/>
  <c r="AJ1599" i="19" s="1"/>
  <c r="AK1599" i="19" s="1" a="1"/>
  <c r="AK1599" i="19" s="1"/>
  <c r="AH1700" i="19"/>
  <c r="AJ1700" i="19" s="1"/>
  <c r="AK1700" i="19" s="1" a="1"/>
  <c r="AK1700" i="19" s="1"/>
  <c r="AH1653" i="19"/>
  <c r="AJ1653" i="19" s="1"/>
  <c r="AK1653" i="19" s="1" a="1"/>
  <c r="AK1653" i="19" s="1"/>
  <c r="AH1761" i="19"/>
  <c r="AJ1761" i="19" s="1"/>
  <c r="AK1761" i="19" s="1" a="1"/>
  <c r="AK1761" i="19" s="1"/>
  <c r="AI1232" i="19"/>
  <c r="AI1761" i="19"/>
  <c r="AI1196" i="19"/>
  <c r="AI1218" i="19"/>
  <c r="AI1112" i="19"/>
  <c r="AI934" i="19"/>
  <c r="AI943" i="19"/>
  <c r="AI777" i="19"/>
  <c r="AI779" i="19"/>
  <c r="AI712" i="19"/>
  <c r="AI623" i="19"/>
  <c r="AI535" i="19"/>
  <c r="AI1320" i="19"/>
  <c r="AI1529" i="19"/>
  <c r="AI2349" i="19"/>
  <c r="AI1374" i="19"/>
  <c r="AI1265" i="19"/>
  <c r="AI1209" i="19"/>
  <c r="AI1170" i="19"/>
  <c r="AI1184" i="19"/>
  <c r="AI1164" i="19"/>
  <c r="AI1028" i="19"/>
  <c r="AI1024" i="19"/>
  <c r="AI984" i="19"/>
  <c r="AI838" i="19"/>
  <c r="AI834" i="19"/>
  <c r="AI823" i="19"/>
  <c r="AI756" i="19"/>
  <c r="AI696" i="19"/>
  <c r="AI713" i="19"/>
  <c r="AI549" i="19"/>
  <c r="AI544" i="19"/>
  <c r="AI543" i="19"/>
  <c r="AI540" i="19"/>
  <c r="AI533" i="19"/>
  <c r="AI479" i="19"/>
  <c r="AI1042" i="19"/>
  <c r="AI1427" i="19"/>
  <c r="AI1490" i="19"/>
  <c r="AI1251" i="19"/>
  <c r="AI1252" i="19"/>
  <c r="AI701" i="19"/>
  <c r="AI817" i="19"/>
  <c r="AI1358" i="19"/>
  <c r="AI998" i="19"/>
  <c r="AI1288" i="19"/>
  <c r="AI341" i="19"/>
  <c r="AI690" i="19"/>
  <c r="AI1580" i="19"/>
  <c r="AI1137" i="19"/>
  <c r="AI1327" i="19"/>
  <c r="AI343" i="19"/>
  <c r="AI692" i="19"/>
  <c r="AI1079" i="19"/>
  <c r="AI477" i="19"/>
  <c r="AI1261" i="19"/>
  <c r="AI1531" i="19"/>
  <c r="AI965" i="19"/>
  <c r="AI1262" i="19"/>
  <c r="AI570" i="19"/>
  <c r="AI656" i="19"/>
  <c r="AI1375" i="19"/>
  <c r="AI1469" i="19"/>
  <c r="AI973" i="19"/>
  <c r="AI1287" i="19"/>
  <c r="AI478" i="19"/>
  <c r="AI1532" i="19"/>
  <c r="AI402" i="19"/>
  <c r="AI647" i="19"/>
  <c r="AI671" i="19"/>
  <c r="AI789" i="19"/>
  <c r="AI1103" i="19"/>
  <c r="AI1142" i="19"/>
  <c r="AI1421" i="19"/>
  <c r="AI1439" i="19"/>
  <c r="AI571" i="19"/>
  <c r="AI661" i="19"/>
  <c r="AI781" i="19"/>
  <c r="AI785" i="19"/>
  <c r="AI859" i="19"/>
  <c r="AI1118" i="19"/>
  <c r="AI1179" i="19"/>
  <c r="AI1228" i="19"/>
  <c r="AI1409" i="19"/>
  <c r="AI1420" i="19"/>
  <c r="AI654" i="19"/>
  <c r="AI728" i="19"/>
  <c r="AI860" i="19"/>
  <c r="AI1007" i="19"/>
  <c r="AI1721" i="19"/>
  <c r="AI1124" i="19"/>
  <c r="AI520" i="19"/>
  <c r="AI887" i="19"/>
  <c r="AI1457" i="19"/>
  <c r="AI1306" i="19"/>
  <c r="AI1240" i="19"/>
  <c r="AI1108" i="19"/>
  <c r="AI664" i="19"/>
  <c r="AI675" i="19"/>
  <c r="AI492" i="19"/>
  <c r="AI552" i="19"/>
  <c r="AI689" i="19"/>
  <c r="AI765" i="19"/>
  <c r="AI1254" i="19"/>
  <c r="AI1054" i="19"/>
  <c r="AI898" i="19"/>
  <c r="AI845" i="19"/>
  <c r="AI1428" i="19"/>
  <c r="AI1398" i="19"/>
  <c r="AI1280" i="19"/>
  <c r="AI1263" i="19"/>
  <c r="AI1203" i="19"/>
  <c r="AI1195" i="19"/>
  <c r="AI687" i="19"/>
  <c r="AI705" i="19"/>
  <c r="AI441" i="19"/>
  <c r="AI942" i="19"/>
  <c r="AI405" i="19"/>
  <c r="AI573" i="19"/>
  <c r="AI741" i="19"/>
  <c r="AI975" i="19"/>
  <c r="AI1092" i="19"/>
  <c r="AI1461" i="19"/>
  <c r="AI1465" i="19"/>
  <c r="AI1453" i="19"/>
  <c r="AI1376" i="19"/>
  <c r="AI1318" i="19"/>
  <c r="AI1273" i="19"/>
  <c r="AI1258" i="19"/>
  <c r="AI1246" i="19"/>
  <c r="AI1194" i="19"/>
  <c r="AI931" i="19"/>
  <c r="AI920" i="19"/>
  <c r="AI801" i="19"/>
  <c r="AI739" i="19"/>
  <c r="AI606" i="19"/>
  <c r="AI578" i="19"/>
  <c r="AI564" i="19"/>
  <c r="AI524" i="19"/>
  <c r="AI537" i="19"/>
  <c r="AI531" i="19"/>
  <c r="AI1740" i="19"/>
  <c r="AI1739" i="19"/>
  <c r="AH1716" i="19"/>
  <c r="AJ1716" i="19" s="1"/>
  <c r="AK1716" i="19" s="1" a="1"/>
  <c r="AK1716" i="19" s="1"/>
  <c r="AH1732" i="19"/>
  <c r="AJ1732" i="19" s="1"/>
  <c r="AK1732" i="19" s="1" a="1"/>
  <c r="AK1732" i="19" s="1"/>
  <c r="AI1716" i="19"/>
  <c r="AI1732" i="19"/>
  <c r="W1519" i="19"/>
  <c r="AH679" i="19"/>
  <c r="AJ679" i="19" s="1"/>
  <c r="AK679" i="19" s="1" a="1"/>
  <c r="AK679" i="19" s="1"/>
  <c r="AH1838" i="19"/>
  <c r="AJ1838" i="19" s="1"/>
  <c r="AK1838" i="19" s="1" a="1"/>
  <c r="AK1838" i="19" s="1"/>
  <c r="AI1838" i="19"/>
  <c r="AI1454" i="19"/>
  <c r="AI1718" i="19"/>
  <c r="AI517" i="19"/>
  <c r="AI1844" i="19"/>
  <c r="AI249" i="19"/>
  <c r="AI229" i="19"/>
  <c r="AI1867" i="19"/>
  <c r="AI1719" i="19"/>
  <c r="AH1878" i="19"/>
  <c r="AJ1878" i="19" s="1"/>
  <c r="AK1878" i="19" s="1" a="1"/>
  <c r="AK1878" i="19" s="1"/>
  <c r="AH1900" i="19"/>
  <c r="AJ1900" i="19" s="1"/>
  <c r="AK1900" i="19" s="1" a="1"/>
  <c r="AK1900" i="19" s="1"/>
  <c r="AH1892" i="19"/>
  <c r="AJ1892" i="19" s="1"/>
  <c r="AK1892" i="19" s="1" a="1"/>
  <c r="AK1892" i="19" s="1"/>
  <c r="AH1896" i="19"/>
  <c r="AJ1896" i="19" s="1"/>
  <c r="AK1896" i="19" s="1" a="1"/>
  <c r="AK1896" i="19" s="1"/>
  <c r="AH1890" i="19"/>
  <c r="AJ1890" i="19" s="1"/>
  <c r="AK1890" i="19" s="1" a="1"/>
  <c r="AK1890" i="19" s="1"/>
  <c r="AH1891" i="19"/>
  <c r="AJ1891" i="19" s="1"/>
  <c r="AK1891" i="19" s="1" a="1"/>
  <c r="AK1891" i="19" s="1"/>
  <c r="AH1889" i="19"/>
  <c r="AJ1889" i="19" s="1"/>
  <c r="AK1889" i="19" s="1" a="1"/>
  <c r="AK1889" i="19" s="1"/>
  <c r="AH1888" i="19"/>
  <c r="AJ1888" i="19" s="1"/>
  <c r="AK1888" i="19" s="1" a="1"/>
  <c r="AK1888" i="19" s="1"/>
  <c r="AH1926" i="19"/>
  <c r="AJ1926" i="19" s="1"/>
  <c r="AK1926" i="19" s="1" a="1"/>
  <c r="AK1926" i="19" s="1"/>
  <c r="AH1916" i="19"/>
  <c r="AJ1916" i="19" s="1"/>
  <c r="AK1916" i="19" s="1" a="1"/>
  <c r="AK1916" i="19" s="1"/>
  <c r="AH1919" i="19"/>
  <c r="AJ1919" i="19" s="1"/>
  <c r="AK1919" i="19" s="1" a="1"/>
  <c r="AK1919" i="19" s="1"/>
  <c r="AH1921" i="19"/>
  <c r="AJ1921" i="19" s="1"/>
  <c r="AK1921" i="19" s="1" a="1"/>
  <c r="AK1921" i="19" s="1"/>
  <c r="AH1985" i="19"/>
  <c r="AJ1985" i="19" s="1"/>
  <c r="AK1985" i="19" s="1" a="1"/>
  <c r="AK1985" i="19" s="1"/>
  <c r="AH1938" i="19"/>
  <c r="AJ1938" i="19" s="1"/>
  <c r="AK1938" i="19" s="1" a="1"/>
  <c r="AK1938" i="19" s="1"/>
  <c r="AH1934" i="19"/>
  <c r="AJ1934" i="19" s="1"/>
  <c r="AK1934" i="19" s="1" a="1"/>
  <c r="AK1934" i="19" s="1"/>
  <c r="AH1870" i="19"/>
  <c r="AJ1870" i="19" s="1"/>
  <c r="AK1870" i="19" s="1" a="1"/>
  <c r="AK1870" i="19" s="1"/>
  <c r="AH1875" i="19"/>
  <c r="AJ1875" i="19" s="1"/>
  <c r="AK1875" i="19" s="1" a="1"/>
  <c r="AK1875" i="19" s="1"/>
  <c r="AH1880" i="19"/>
  <c r="AJ1880" i="19" s="1"/>
  <c r="AK1880" i="19" s="1" a="1"/>
  <c r="AK1880" i="19" s="1"/>
  <c r="AH1879" i="19"/>
  <c r="AJ1879" i="19" s="1"/>
  <c r="AK1879" i="19" s="1" a="1"/>
  <c r="AK1879" i="19" s="1"/>
  <c r="AH1899" i="19"/>
  <c r="AJ1899" i="19" s="1"/>
  <c r="AK1899" i="19" s="1" a="1"/>
  <c r="AK1899" i="19" s="1"/>
  <c r="AH1898" i="19"/>
  <c r="AJ1898" i="19" s="1"/>
  <c r="AK1898" i="19" s="1" a="1"/>
  <c r="AK1898" i="19" s="1"/>
  <c r="AH1893" i="19"/>
  <c r="AJ1893" i="19" s="1"/>
  <c r="AK1893" i="19" s="1" a="1"/>
  <c r="AK1893" i="19" s="1"/>
  <c r="AH1887" i="19"/>
  <c r="AJ1887" i="19" s="1"/>
  <c r="AK1887" i="19" s="1" a="1"/>
  <c r="AK1887" i="19" s="1"/>
  <c r="AH1886" i="19"/>
  <c r="AJ1886" i="19" s="1"/>
  <c r="AK1886" i="19" s="1" a="1"/>
  <c r="AK1886" i="19" s="1"/>
  <c r="AH1910" i="19"/>
  <c r="AJ1910" i="19" s="1"/>
  <c r="AK1910" i="19" s="1" a="1"/>
  <c r="AK1910" i="19" s="1"/>
  <c r="AH1908" i="19"/>
  <c r="AJ1908" i="19" s="1"/>
  <c r="AK1908" i="19" s="1" a="1"/>
  <c r="AK1908" i="19" s="1"/>
  <c r="AH1915" i="19"/>
  <c r="AJ1915" i="19" s="1"/>
  <c r="AK1915" i="19" s="1" a="1"/>
  <c r="AK1915" i="19" s="1"/>
  <c r="AH1922" i="19"/>
  <c r="AJ1922" i="19" s="1"/>
  <c r="AK1922" i="19" s="1" a="1"/>
  <c r="AK1922" i="19" s="1"/>
  <c r="AH1928" i="19"/>
  <c r="AJ1928" i="19" s="1"/>
  <c r="AK1928" i="19" s="1" a="1"/>
  <c r="AK1928" i="19" s="1"/>
  <c r="AH1920" i="19"/>
  <c r="AJ1920" i="19" s="1"/>
  <c r="AK1920" i="19" s="1" a="1"/>
  <c r="AK1920" i="19" s="1"/>
  <c r="AH1933" i="19"/>
  <c r="AJ1933" i="19" s="1"/>
  <c r="AK1933" i="19" s="1" a="1"/>
  <c r="AK1933" i="19" s="1"/>
  <c r="AH1876" i="19"/>
  <c r="AJ1876" i="19" s="1"/>
  <c r="AK1876" i="19" s="1" a="1"/>
  <c r="AK1876" i="19" s="1"/>
  <c r="AH1874" i="19"/>
  <c r="AJ1874" i="19" s="1"/>
  <c r="AK1874" i="19" s="1" a="1"/>
  <c r="AK1874" i="19" s="1"/>
  <c r="AH1877" i="19"/>
  <c r="AJ1877" i="19" s="1"/>
  <c r="AK1877" i="19" s="1" a="1"/>
  <c r="AK1877" i="19" s="1"/>
  <c r="AH1901" i="19"/>
  <c r="AJ1901" i="19" s="1"/>
  <c r="AK1901" i="19" s="1" a="1"/>
  <c r="AK1901" i="19" s="1"/>
  <c r="AH1902" i="19"/>
  <c r="AJ1902" i="19" s="1"/>
  <c r="AK1902" i="19" s="1" a="1"/>
  <c r="AK1902" i="19" s="1"/>
  <c r="AH1885" i="19"/>
  <c r="AJ1885" i="19" s="1"/>
  <c r="AK1885" i="19" s="1" a="1"/>
  <c r="AK1885" i="19" s="1"/>
  <c r="AH2014" i="19"/>
  <c r="AJ2014" i="19" s="1"/>
  <c r="AK2014" i="19" s="1" a="1"/>
  <c r="AK2014" i="19" s="1"/>
  <c r="AH1903" i="19"/>
  <c r="AJ1903" i="19" s="1"/>
  <c r="AK1903" i="19" s="1" a="1"/>
  <c r="AK1903" i="19" s="1"/>
  <c r="AH1913" i="19"/>
  <c r="AJ1913" i="19" s="1"/>
  <c r="AK1913" i="19" s="1" a="1"/>
  <c r="AK1913" i="19" s="1"/>
  <c r="AH1883" i="19"/>
  <c r="AJ1883" i="19" s="1"/>
  <c r="AK1883" i="19" s="1" a="1"/>
  <c r="AK1883" i="19" s="1"/>
  <c r="AH1905" i="19"/>
  <c r="AJ1905" i="19" s="1"/>
  <c r="AK1905" i="19" s="1" a="1"/>
  <c r="AK1905" i="19" s="1"/>
  <c r="AH1980" i="19"/>
  <c r="AJ1980" i="19" s="1"/>
  <c r="AK1980" i="19" s="1" a="1"/>
  <c r="AK1980" i="19" s="1"/>
  <c r="AH1981" i="19"/>
  <c r="AJ1981" i="19" s="1"/>
  <c r="AK1981" i="19" s="1" a="1"/>
  <c r="AK1981" i="19" s="1"/>
  <c r="AH1984" i="19"/>
  <c r="AJ1984" i="19" s="1"/>
  <c r="AK1984" i="19" s="1" a="1"/>
  <c r="AK1984" i="19" s="1"/>
  <c r="AH1982" i="19"/>
  <c r="AJ1982" i="19" s="1"/>
  <c r="AK1982" i="19" s="1" a="1"/>
  <c r="AK1982" i="19" s="1"/>
  <c r="AH1993" i="19"/>
  <c r="AJ1993" i="19" s="1"/>
  <c r="AK1993" i="19" s="1" a="1"/>
  <c r="AK1993" i="19" s="1"/>
  <c r="AH1987" i="19"/>
  <c r="AJ1987" i="19" s="1"/>
  <c r="AK1987" i="19" s="1" a="1"/>
  <c r="AK1987" i="19" s="1"/>
  <c r="AH1995" i="19"/>
  <c r="AJ1995" i="19" s="1"/>
  <c r="AK1995" i="19" s="1" a="1"/>
  <c r="AK1995" i="19" s="1"/>
  <c r="AH1936" i="19"/>
  <c r="AJ1936" i="19" s="1"/>
  <c r="AK1936" i="19" s="1" a="1"/>
  <c r="AK1936" i="19" s="1"/>
  <c r="AH1953" i="19"/>
  <c r="AJ1953" i="19" s="1"/>
  <c r="AK1953" i="19" s="1" a="1"/>
  <c r="AK1953" i="19" s="1"/>
  <c r="AH2347" i="19"/>
  <c r="AJ2347" i="19" s="1"/>
  <c r="AK2347" i="19" s="1" a="1"/>
  <c r="AK2347" i="19" s="1"/>
  <c r="AH1967" i="19"/>
  <c r="AJ1967" i="19" s="1"/>
  <c r="AK1967" i="19" s="1" a="1"/>
  <c r="AK1967" i="19" s="1"/>
  <c r="AH1999" i="19"/>
  <c r="AJ1999" i="19" s="1"/>
  <c r="AK1999" i="19" s="1" a="1"/>
  <c r="AK1999" i="19" s="1"/>
  <c r="AH1998" i="19"/>
  <c r="AJ1998" i="19" s="1"/>
  <c r="AK1998" i="19" s="1" a="1"/>
  <c r="AK1998" i="19" s="1"/>
  <c r="AH2001" i="19"/>
  <c r="AJ2001" i="19" s="1"/>
  <c r="AK2001" i="19" s="1" a="1"/>
  <c r="AK2001" i="19" s="1"/>
  <c r="AH2004" i="19"/>
  <c r="AJ2004" i="19" s="1"/>
  <c r="AK2004" i="19" s="1" a="1"/>
  <c r="AK2004" i="19" s="1"/>
  <c r="AH2010" i="19"/>
  <c r="AJ2010" i="19" s="1"/>
  <c r="AK2010" i="19" s="1" a="1"/>
  <c r="AK2010" i="19" s="1"/>
  <c r="AH2020" i="19"/>
  <c r="AJ2020" i="19" s="1"/>
  <c r="AK2020" i="19" s="1" a="1"/>
  <c r="AK2020" i="19" s="1"/>
  <c r="AH2012" i="19"/>
  <c r="AJ2012" i="19" s="1"/>
  <c r="AK2012" i="19" s="1" a="1"/>
  <c r="AK2012" i="19" s="1"/>
  <c r="AH2025" i="19"/>
  <c r="AJ2025" i="19" s="1"/>
  <c r="AK2025" i="19" s="1" a="1"/>
  <c r="AK2025" i="19" s="1"/>
  <c r="AH2060" i="19"/>
  <c r="AJ2060" i="19" s="1"/>
  <c r="AK2060" i="19" s="1" a="1"/>
  <c r="AK2060" i="19" s="1"/>
  <c r="AH2059" i="19"/>
  <c r="AJ2059" i="19" s="1"/>
  <c r="AK2059" i="19" s="1" a="1"/>
  <c r="AK2059" i="19" s="1"/>
  <c r="AH1904" i="19"/>
  <c r="AJ1904" i="19" s="1"/>
  <c r="AK1904" i="19" s="1" a="1"/>
  <c r="AK1904" i="19" s="1"/>
  <c r="AH1884" i="19"/>
  <c r="AJ1884" i="19" s="1"/>
  <c r="AK1884" i="19" s="1" a="1"/>
  <c r="AK1884" i="19" s="1"/>
  <c r="AH1881" i="19"/>
  <c r="AJ1881" i="19" s="1"/>
  <c r="AK1881" i="19" s="1" a="1"/>
  <c r="AK1881" i="19" s="1"/>
  <c r="AH1911" i="19"/>
  <c r="AJ1911" i="19" s="1"/>
  <c r="AK1911" i="19" s="1" a="1"/>
  <c r="AK1911" i="19" s="1"/>
  <c r="AH1909" i="19"/>
  <c r="AJ1909" i="19" s="1"/>
  <c r="AK1909" i="19" s="1" a="1"/>
  <c r="AK1909" i="19" s="1"/>
  <c r="AH1914" i="19"/>
  <c r="AJ1914" i="19" s="1"/>
  <c r="AK1914" i="19" s="1" a="1"/>
  <c r="AK1914" i="19" s="1"/>
  <c r="AH1927" i="19"/>
  <c r="AJ1927" i="19" s="1"/>
  <c r="AK1927" i="19" s="1" a="1"/>
  <c r="AK1927" i="19" s="1"/>
  <c r="AH1929" i="19"/>
  <c r="AJ1929" i="19" s="1"/>
  <c r="AK1929" i="19" s="1" a="1"/>
  <c r="AK1929" i="19" s="1"/>
  <c r="AH1932" i="19"/>
  <c r="AJ1932" i="19" s="1"/>
  <c r="AK1932" i="19" s="1" a="1"/>
  <c r="AK1932" i="19" s="1"/>
  <c r="AH2015" i="19"/>
  <c r="AJ2015" i="19" s="1"/>
  <c r="AK2015" i="19" s="1" a="1"/>
  <c r="AK2015" i="19" s="1"/>
  <c r="AH1992" i="19"/>
  <c r="AJ1992" i="19" s="1"/>
  <c r="AK1992" i="19" s="1" a="1"/>
  <c r="AK1992" i="19" s="1"/>
  <c r="AH1991" i="19"/>
  <c r="AJ1991" i="19" s="1"/>
  <c r="AK1991" i="19" s="1" a="1"/>
  <c r="AK1991" i="19" s="1"/>
  <c r="AH1990" i="19"/>
  <c r="AJ1990" i="19" s="1"/>
  <c r="AK1990" i="19" s="1" a="1"/>
  <c r="AK1990" i="19" s="1"/>
  <c r="AH1976" i="19"/>
  <c r="AJ1976" i="19" s="1"/>
  <c r="AK1976" i="19" s="1" a="1"/>
  <c r="AK1976" i="19" s="1"/>
  <c r="AH1989" i="19"/>
  <c r="AJ1989" i="19" s="1"/>
  <c r="AK1989" i="19" s="1" a="1"/>
  <c r="AK1989" i="19" s="1"/>
  <c r="AH1977" i="19"/>
  <c r="AJ1977" i="19" s="1"/>
  <c r="AK1977" i="19" s="1" a="1"/>
  <c r="AK1977" i="19" s="1"/>
  <c r="AH1961" i="19"/>
  <c r="AJ1961" i="19" s="1"/>
  <c r="AK1961" i="19" s="1" a="1"/>
  <c r="AK1961" i="19" s="1"/>
  <c r="AH1954" i="19"/>
  <c r="AJ1954" i="19" s="1"/>
  <c r="AK1954" i="19" s="1" a="1"/>
  <c r="AK1954" i="19" s="1"/>
  <c r="AH1952" i="19"/>
  <c r="AJ1952" i="19" s="1"/>
  <c r="AK1952" i="19" s="1" a="1"/>
  <c r="AK1952" i="19" s="1"/>
  <c r="AH1948" i="19"/>
  <c r="AJ1948" i="19" s="1"/>
  <c r="AK1948" i="19" s="1" a="1"/>
  <c r="AK1948" i="19" s="1"/>
  <c r="AH1966" i="19"/>
  <c r="AJ1966" i="19" s="1"/>
  <c r="AK1966" i="19" s="1" a="1"/>
  <c r="AK1966" i="19" s="1"/>
  <c r="AH2053" i="19"/>
  <c r="AJ2053" i="19" s="1"/>
  <c r="AK2053" i="19" s="1" a="1"/>
  <c r="AK2053" i="19" s="1"/>
  <c r="AH1939" i="19"/>
  <c r="AJ1939" i="19" s="1"/>
  <c r="AK1939" i="19" s="1" a="1"/>
  <c r="AK1939" i="19" s="1"/>
  <c r="AH1943" i="19"/>
  <c r="AJ1943" i="19" s="1"/>
  <c r="AK1943" i="19" s="1" a="1"/>
  <c r="AK1943" i="19" s="1"/>
  <c r="AH1997" i="19"/>
  <c r="AJ1997" i="19" s="1"/>
  <c r="AK1997" i="19" s="1" a="1"/>
  <c r="AK1997" i="19" s="1"/>
  <c r="AH2031" i="19"/>
  <c r="AJ2031" i="19" s="1"/>
  <c r="AK2031" i="19" s="1" a="1"/>
  <c r="AK2031" i="19" s="1"/>
  <c r="AH2002" i="19"/>
  <c r="AJ2002" i="19" s="1"/>
  <c r="AK2002" i="19" s="1" a="1"/>
  <c r="AK2002" i="19" s="1"/>
  <c r="AH2007" i="19"/>
  <c r="AJ2007" i="19" s="1"/>
  <c r="AK2007" i="19" s="1" a="1"/>
  <c r="AK2007" i="19" s="1"/>
  <c r="AH2008" i="19"/>
  <c r="AJ2008" i="19" s="1"/>
  <c r="AK2008" i="19" s="1" a="1"/>
  <c r="AK2008" i="19" s="1"/>
  <c r="AH2011" i="19"/>
  <c r="AJ2011" i="19" s="1"/>
  <c r="AK2011" i="19" s="1" a="1"/>
  <c r="AK2011" i="19" s="1"/>
  <c r="AH2019" i="19"/>
  <c r="AJ2019" i="19" s="1"/>
  <c r="AK2019" i="19" s="1" a="1"/>
  <c r="AK2019" i="19" s="1"/>
  <c r="AH2018" i="19"/>
  <c r="AJ2018" i="19" s="1"/>
  <c r="AK2018" i="19" s="1" a="1"/>
  <c r="AK2018" i="19" s="1"/>
  <c r="AH2356" i="19"/>
  <c r="AJ2356" i="19" s="1"/>
  <c r="AK2356" i="19" s="1" a="1"/>
  <c r="AK2356" i="19" s="1"/>
  <c r="AH1895" i="19"/>
  <c r="AJ1895" i="19" s="1"/>
  <c r="AK1895" i="19" s="1" a="1"/>
  <c r="AK1895" i="19" s="1"/>
  <c r="AH1906" i="19"/>
  <c r="AJ1906" i="19" s="1"/>
  <c r="AK1906" i="19" s="1" a="1"/>
  <c r="AK1906" i="19" s="1"/>
  <c r="AH1917" i="19"/>
  <c r="AJ1917" i="19" s="1"/>
  <c r="AK1917" i="19" s="1" a="1"/>
  <c r="AK1917" i="19" s="1"/>
  <c r="AH1930" i="19"/>
  <c r="AJ1930" i="19" s="1"/>
  <c r="AK1930" i="19" s="1" a="1"/>
  <c r="AK1930" i="19" s="1"/>
  <c r="AH1986" i="19"/>
  <c r="AJ1986" i="19" s="1"/>
  <c r="AK1986" i="19" s="1" a="1"/>
  <c r="AK1986" i="19" s="1"/>
  <c r="AH1983" i="19"/>
  <c r="AJ1983" i="19" s="1"/>
  <c r="AK1983" i="19" s="1" a="1"/>
  <c r="AK1983" i="19" s="1"/>
  <c r="AH1994" i="19"/>
  <c r="AJ1994" i="19" s="1"/>
  <c r="AK1994" i="19" s="1" a="1"/>
  <c r="AK1994" i="19" s="1"/>
  <c r="AH1937" i="19"/>
  <c r="AJ1937" i="19" s="1"/>
  <c r="AK1937" i="19" s="1" a="1"/>
  <c r="AK1937" i="19" s="1"/>
  <c r="AH1944" i="19"/>
  <c r="AJ1944" i="19" s="1"/>
  <c r="AK1944" i="19" s="1" a="1"/>
  <c r="AK1944" i="19" s="1"/>
  <c r="AH1947" i="19"/>
  <c r="AJ1947" i="19" s="1"/>
  <c r="AK1947" i="19" s="1" a="1"/>
  <c r="AK1947" i="19" s="1"/>
  <c r="AH1957" i="19"/>
  <c r="AJ1957" i="19" s="1"/>
  <c r="AK1957" i="19" s="1" a="1"/>
  <c r="AK1957" i="19" s="1"/>
  <c r="AH1963" i="19"/>
  <c r="AJ1963" i="19" s="1"/>
  <c r="AK1963" i="19" s="1" a="1"/>
  <c r="AK1963" i="19" s="1"/>
  <c r="AH1958" i="19"/>
  <c r="AJ1958" i="19" s="1"/>
  <c r="AK1958" i="19" s="1" a="1"/>
  <c r="AK1958" i="19" s="1"/>
  <c r="AH1946" i="19"/>
  <c r="AJ1946" i="19" s="1"/>
  <c r="AK1946" i="19" s="1" a="1"/>
  <c r="AK1946" i="19" s="1"/>
  <c r="AH1945" i="19"/>
  <c r="AJ1945" i="19" s="1"/>
  <c r="AK1945" i="19" s="1" a="1"/>
  <c r="AK1945" i="19" s="1"/>
  <c r="AH1968" i="19"/>
  <c r="AJ1968" i="19" s="1"/>
  <c r="AK1968" i="19" s="1" a="1"/>
  <c r="AK1968" i="19" s="1"/>
  <c r="AH2051" i="19"/>
  <c r="AJ2051" i="19" s="1"/>
  <c r="AK2051" i="19" s="1" a="1"/>
  <c r="AK2051" i="19" s="1"/>
  <c r="AH2050" i="19"/>
  <c r="AJ2050" i="19" s="1"/>
  <c r="AK2050" i="19" s="1" a="1"/>
  <c r="AK2050" i="19" s="1"/>
  <c r="AH2052" i="19"/>
  <c r="AJ2052" i="19" s="1"/>
  <c r="AK2052" i="19" s="1" a="1"/>
  <c r="AK2052" i="19" s="1"/>
  <c r="AH1942" i="19"/>
  <c r="AJ1942" i="19" s="1"/>
  <c r="AK1942" i="19" s="1" a="1"/>
  <c r="AK1942" i="19" s="1"/>
  <c r="AH1971" i="19"/>
  <c r="AJ1971" i="19" s="1"/>
  <c r="AK1971" i="19" s="1" a="1"/>
  <c r="AK1971" i="19" s="1"/>
  <c r="AH1970" i="19"/>
  <c r="AJ1970" i="19" s="1"/>
  <c r="AK1970" i="19" s="1" a="1"/>
  <c r="AK1970" i="19" s="1"/>
  <c r="AH1996" i="19"/>
  <c r="AJ1996" i="19" s="1"/>
  <c r="AK1996" i="19" s="1" a="1"/>
  <c r="AK1996" i="19" s="1"/>
  <c r="AH2033" i="19"/>
  <c r="AJ2033" i="19" s="1"/>
  <c r="AK2033" i="19" s="1" a="1"/>
  <c r="AK2033" i="19" s="1"/>
  <c r="AH2039" i="19"/>
  <c r="AJ2039" i="19" s="1"/>
  <c r="AK2039" i="19" s="1" a="1"/>
  <c r="AK2039" i="19" s="1"/>
  <c r="AH2034" i="19"/>
  <c r="AJ2034" i="19" s="1"/>
  <c r="AK2034" i="19" s="1" a="1"/>
  <c r="AK2034" i="19" s="1"/>
  <c r="AH2035" i="19"/>
  <c r="AJ2035" i="19" s="1"/>
  <c r="AK2035" i="19" s="1" a="1"/>
  <c r="AK2035" i="19" s="1"/>
  <c r="AH1925" i="19"/>
  <c r="AJ1925" i="19" s="1"/>
  <c r="AK1925" i="19" s="1" a="1"/>
  <c r="AK1925" i="19" s="1"/>
  <c r="AH1924" i="19"/>
  <c r="AJ1924" i="19" s="1"/>
  <c r="AK1924" i="19" s="1" a="1"/>
  <c r="AK1924" i="19" s="1"/>
  <c r="AH1955" i="19"/>
  <c r="AJ1955" i="19" s="1"/>
  <c r="AK1955" i="19" s="1" a="1"/>
  <c r="AK1955" i="19" s="1"/>
  <c r="AH1969" i="19"/>
  <c r="AJ1969" i="19" s="1"/>
  <c r="AK1969" i="19" s="1" a="1"/>
  <c r="AK1969" i="19" s="1"/>
  <c r="AH2036" i="19"/>
  <c r="AJ2036" i="19" s="1"/>
  <c r="AK2036" i="19" s="1" a="1"/>
  <c r="AK2036" i="19" s="1"/>
  <c r="AH2021" i="19"/>
  <c r="AJ2021" i="19" s="1"/>
  <c r="AK2021" i="19" s="1" a="1"/>
  <c r="AK2021" i="19" s="1"/>
  <c r="AH2072" i="19"/>
  <c r="AJ2072" i="19" s="1"/>
  <c r="AK2072" i="19" s="1" a="1"/>
  <c r="AK2072" i="19" s="1"/>
  <c r="AH2071" i="19"/>
  <c r="AJ2071" i="19" s="1"/>
  <c r="AK2071" i="19" s="1" a="1"/>
  <c r="AK2071" i="19" s="1"/>
  <c r="AH2066" i="19"/>
  <c r="AJ2066" i="19" s="1"/>
  <c r="AK2066" i="19" s="1" a="1"/>
  <c r="AK2066" i="19" s="1"/>
  <c r="AH2063" i="19"/>
  <c r="AJ2063" i="19" s="1"/>
  <c r="AK2063" i="19" s="1" a="1"/>
  <c r="AK2063" i="19" s="1"/>
  <c r="AH2058" i="19"/>
  <c r="AJ2058" i="19" s="1"/>
  <c r="AK2058" i="19" s="1" a="1"/>
  <c r="AK2058" i="19" s="1"/>
  <c r="AH2028" i="19"/>
  <c r="AJ2028" i="19" s="1"/>
  <c r="AK2028" i="19" s="1" a="1"/>
  <c r="AK2028" i="19" s="1"/>
  <c r="AH2101" i="19"/>
  <c r="AJ2101" i="19" s="1"/>
  <c r="AK2101" i="19" s="1" a="1"/>
  <c r="AK2101" i="19" s="1"/>
  <c r="AH2114" i="19"/>
  <c r="AJ2114" i="19" s="1"/>
  <c r="AK2114" i="19" s="1" a="1"/>
  <c r="AK2114" i="19" s="1"/>
  <c r="AH2105" i="19"/>
  <c r="AJ2105" i="19" s="1"/>
  <c r="AK2105" i="19" s="1" a="1"/>
  <c r="AK2105" i="19" s="1"/>
  <c r="AH2080" i="19"/>
  <c r="AJ2080" i="19" s="1"/>
  <c r="AK2080" i="19" s="1" a="1"/>
  <c r="AK2080" i="19" s="1"/>
  <c r="AH2081" i="19"/>
  <c r="AJ2081" i="19" s="1"/>
  <c r="AK2081" i="19" s="1" a="1"/>
  <c r="AK2081" i="19" s="1"/>
  <c r="AH2128" i="19"/>
  <c r="AJ2128" i="19" s="1"/>
  <c r="AK2128" i="19" s="1" a="1"/>
  <c r="AK2128" i="19" s="1"/>
  <c r="AH2055" i="19"/>
  <c r="AJ2055" i="19" s="1"/>
  <c r="AK2055" i="19" s="1" a="1"/>
  <c r="AK2055" i="19" s="1"/>
  <c r="AH2091" i="19"/>
  <c r="AH1894" i="19"/>
  <c r="AJ1894" i="19" s="1"/>
  <c r="AK1894" i="19" s="1" a="1"/>
  <c r="AK1894" i="19" s="1"/>
  <c r="AH1988" i="19"/>
  <c r="AJ1988" i="19" s="1"/>
  <c r="AK1988" i="19" s="1" a="1"/>
  <c r="AK1988" i="19" s="1"/>
  <c r="AH1978" i="19"/>
  <c r="AJ1978" i="19" s="1"/>
  <c r="AK1978" i="19" s="1" a="1"/>
  <c r="AK1978" i="19" s="1"/>
  <c r="AH1940" i="19"/>
  <c r="AJ1940" i="19" s="1"/>
  <c r="AK1940" i="19" s="1" a="1"/>
  <c r="AK1940" i="19" s="1"/>
  <c r="AH2357" i="19"/>
  <c r="AJ2357" i="19" s="1"/>
  <c r="AK2357" i="19" s="1" a="1"/>
  <c r="AK2357" i="19" s="1"/>
  <c r="AH2032" i="19"/>
  <c r="AJ2032" i="19" s="1"/>
  <c r="AK2032" i="19" s="1" a="1"/>
  <c r="AK2032" i="19" s="1"/>
  <c r="AH2005" i="19"/>
  <c r="AJ2005" i="19" s="1"/>
  <c r="AK2005" i="19" s="1" a="1"/>
  <c r="AK2005" i="19" s="1"/>
  <c r="AH2022" i="19"/>
  <c r="AJ2022" i="19" s="1"/>
  <c r="AK2022" i="19" s="1" a="1"/>
  <c r="AK2022" i="19" s="1"/>
  <c r="AH2016" i="19"/>
  <c r="AJ2016" i="19" s="1"/>
  <c r="AK2016" i="19" s="1" a="1"/>
  <c r="AK2016" i="19" s="1"/>
  <c r="AH2024" i="19"/>
  <c r="AJ2024" i="19" s="1"/>
  <c r="AK2024" i="19" s="1" a="1"/>
  <c r="AK2024" i="19" s="1"/>
  <c r="AH2023" i="19"/>
  <c r="AJ2023" i="19" s="1"/>
  <c r="AK2023" i="19" s="1" a="1"/>
  <c r="AK2023" i="19" s="1"/>
  <c r="AH2027" i="19"/>
  <c r="AJ2027" i="19" s="1"/>
  <c r="AK2027" i="19" s="1" a="1"/>
  <c r="AK2027" i="19" s="1"/>
  <c r="AH2043" i="19"/>
  <c r="AJ2043" i="19" s="1"/>
  <c r="AK2043" i="19" s="1" a="1"/>
  <c r="AK2043" i="19" s="1"/>
  <c r="AH2102" i="19"/>
  <c r="AJ2102" i="19" s="1"/>
  <c r="AK2102" i="19" s="1" a="1"/>
  <c r="AK2102" i="19" s="1"/>
  <c r="AH2113" i="19"/>
  <c r="AJ2113" i="19" s="1"/>
  <c r="AK2113" i="19" s="1" a="1"/>
  <c r="AK2113" i="19" s="1"/>
  <c r="AH2112" i="19"/>
  <c r="AJ2112" i="19" s="1"/>
  <c r="AK2112" i="19" s="1" a="1"/>
  <c r="AK2112" i="19" s="1"/>
  <c r="AH2111" i="19"/>
  <c r="AJ2111" i="19" s="1"/>
  <c r="AK2111" i="19" s="1" a="1"/>
  <c r="AK2111" i="19" s="1"/>
  <c r="AH2110" i="19"/>
  <c r="AJ2110" i="19" s="1"/>
  <c r="AK2110" i="19" s="1" a="1"/>
  <c r="AK2110" i="19" s="1"/>
  <c r="AH2070" i="19"/>
  <c r="AJ2070" i="19" s="1"/>
  <c r="AK2070" i="19" s="1" a="1"/>
  <c r="AK2070" i="19" s="1"/>
  <c r="AH1882" i="19"/>
  <c r="AJ1882" i="19" s="1"/>
  <c r="AK1882" i="19" s="1" a="1"/>
  <c r="AK1882" i="19" s="1"/>
  <c r="AH1964" i="19"/>
  <c r="AJ1964" i="19" s="1"/>
  <c r="AK1964" i="19" s="1" a="1"/>
  <c r="AK1964" i="19" s="1"/>
  <c r="AH1962" i="19"/>
  <c r="AJ1962" i="19" s="1"/>
  <c r="AK1962" i="19" s="1" a="1"/>
  <c r="AK1962" i="19" s="1"/>
  <c r="AH1960" i="19"/>
  <c r="AJ1960" i="19" s="1"/>
  <c r="AK1960" i="19" s="1" a="1"/>
  <c r="AK1960" i="19" s="1"/>
  <c r="AH1959" i="19"/>
  <c r="AJ1959" i="19" s="1"/>
  <c r="AK1959" i="19" s="1" a="1"/>
  <c r="AK1959" i="19" s="1"/>
  <c r="AH1956" i="19"/>
  <c r="AJ1956" i="19" s="1"/>
  <c r="AK1956" i="19" s="1" a="1"/>
  <c r="AK1956" i="19" s="1"/>
  <c r="AH2054" i="19"/>
  <c r="AJ2054" i="19" s="1"/>
  <c r="AK2054" i="19" s="1" a="1"/>
  <c r="AK2054" i="19" s="1"/>
  <c r="AH1941" i="19"/>
  <c r="AJ1941" i="19" s="1"/>
  <c r="AK1941" i="19" s="1" a="1"/>
  <c r="AK1941" i="19" s="1"/>
  <c r="AH2000" i="19"/>
  <c r="AJ2000" i="19" s="1"/>
  <c r="AK2000" i="19" s="1" a="1"/>
  <c r="AK2000" i="19" s="1"/>
  <c r="AH2348" i="19"/>
  <c r="AJ2348" i="19" s="1"/>
  <c r="AK2348" i="19" s="1" a="1"/>
  <c r="AK2348" i="19" s="1"/>
  <c r="AH2006" i="19"/>
  <c r="AJ2006" i="19" s="1"/>
  <c r="AK2006" i="19" s="1" a="1"/>
  <c r="AK2006" i="19" s="1"/>
  <c r="AH2026" i="19"/>
  <c r="AJ2026" i="19" s="1"/>
  <c r="AK2026" i="19" s="1" a="1"/>
  <c r="AK2026" i="19" s="1"/>
  <c r="AH2062" i="19"/>
  <c r="AJ2062" i="19" s="1"/>
  <c r="AK2062" i="19" s="1" a="1"/>
  <c r="AK2062" i="19" s="1"/>
  <c r="AH2040" i="19"/>
  <c r="AJ2040" i="19" s="1"/>
  <c r="AK2040" i="19" s="1" a="1"/>
  <c r="AK2040" i="19" s="1"/>
  <c r="AH2192" i="19"/>
  <c r="AJ2192" i="19" s="1"/>
  <c r="AK2192" i="19" s="1" a="1"/>
  <c r="AK2192" i="19" s="1"/>
  <c r="AH2041" i="19"/>
  <c r="AJ2041" i="19" s="1"/>
  <c r="AK2041" i="19" s="1" a="1"/>
  <c r="AK2041" i="19" s="1"/>
  <c r="AH2103" i="19"/>
  <c r="AJ2103" i="19" s="1"/>
  <c r="AK2103" i="19" s="1" a="1"/>
  <c r="AK2103" i="19" s="1"/>
  <c r="AH2076" i="19"/>
  <c r="AJ2076" i="19" s="1"/>
  <c r="AK2076" i="19" s="1" a="1"/>
  <c r="AK2076" i="19" s="1"/>
  <c r="AH2108" i="19"/>
  <c r="AJ2108" i="19" s="1"/>
  <c r="AK2108" i="19" s="1" a="1"/>
  <c r="AK2108" i="19" s="1"/>
  <c r="AH2077" i="19"/>
  <c r="AJ2077" i="19" s="1"/>
  <c r="AK2077" i="19" s="1" a="1"/>
  <c r="AK2077" i="19" s="1"/>
  <c r="AH2155" i="19"/>
  <c r="AJ2155" i="19" s="1"/>
  <c r="AK2155" i="19" s="1" a="1"/>
  <c r="AK2155" i="19" s="1"/>
  <c r="AH2057" i="19"/>
  <c r="AJ2057" i="19" s="1"/>
  <c r="AK2057" i="19" s="1" a="1"/>
  <c r="AK2057" i="19" s="1"/>
  <c r="AH2056" i="19"/>
  <c r="AJ2056" i="19" s="1"/>
  <c r="AK2056" i="19" s="1" a="1"/>
  <c r="AK2056" i="19" s="1"/>
  <c r="AH2100" i="19"/>
  <c r="AH2156" i="19"/>
  <c r="AH2094" i="19"/>
  <c r="AH2009" i="19"/>
  <c r="AJ2009" i="19" s="1"/>
  <c r="AK2009" i="19" s="1" a="1"/>
  <c r="AK2009" i="19" s="1"/>
  <c r="AH2193" i="19"/>
  <c r="AJ2193" i="19" s="1"/>
  <c r="AK2193" i="19" s="1" a="1"/>
  <c r="AK2193" i="19" s="1"/>
  <c r="AH2048" i="19"/>
  <c r="AJ2048" i="19" s="1"/>
  <c r="AK2048" i="19" s="1" a="1"/>
  <c r="AK2048" i="19" s="1"/>
  <c r="AH1645" i="19"/>
  <c r="AJ1645" i="19" s="1"/>
  <c r="AK1645" i="19" s="1" a="1"/>
  <c r="AK1645" i="19" s="1"/>
  <c r="AH2088" i="19"/>
  <c r="AH2087" i="19"/>
  <c r="AH2084" i="19"/>
  <c r="AH2120" i="19"/>
  <c r="AH2132" i="19"/>
  <c r="AJ2132" i="19" s="1"/>
  <c r="AK2132" i="19" s="1" a="1"/>
  <c r="AK2132" i="19" s="1"/>
  <c r="AH2159" i="19"/>
  <c r="AJ2159" i="19" s="1"/>
  <c r="AK2159" i="19" s="1" a="1"/>
  <c r="AK2159" i="19" s="1"/>
  <c r="AH2158" i="19"/>
  <c r="AJ2158" i="19" s="1"/>
  <c r="AK2158" i="19" s="1" a="1"/>
  <c r="AK2158" i="19" s="1"/>
  <c r="AH2166" i="19"/>
  <c r="AJ2166" i="19" s="1"/>
  <c r="AK2166" i="19" s="1" a="1"/>
  <c r="AK2166" i="19" s="1"/>
  <c r="AH2179" i="19"/>
  <c r="AJ2179" i="19" s="1"/>
  <c r="AK2179" i="19" s="1" a="1"/>
  <c r="AK2179" i="19" s="1"/>
  <c r="AH2121" i="19"/>
  <c r="AJ2121" i="19" s="1"/>
  <c r="AK2121" i="19" s="1" a="1"/>
  <c r="AK2121" i="19" s="1"/>
  <c r="AH2127" i="19"/>
  <c r="AJ2127" i="19" s="1"/>
  <c r="AK2127" i="19" s="1" a="1"/>
  <c r="AK2127" i="19" s="1"/>
  <c r="AH2126" i="19"/>
  <c r="AJ2126" i="19" s="1"/>
  <c r="AK2126" i="19" s="1" a="1"/>
  <c r="AK2126" i="19" s="1"/>
  <c r="AH2172" i="19"/>
  <c r="AJ2172" i="19" s="1"/>
  <c r="AK2172" i="19" s="1" a="1"/>
  <c r="AK2172" i="19" s="1"/>
  <c r="AH2216" i="19"/>
  <c r="AJ2216" i="19" s="1"/>
  <c r="AK2216" i="19" s="1" a="1"/>
  <c r="AK2216" i="19" s="1"/>
  <c r="AH2262" i="19"/>
  <c r="AJ2262" i="19" s="1"/>
  <c r="AK2262" i="19" s="1" a="1"/>
  <c r="AK2262" i="19" s="1"/>
  <c r="AH2263" i="19"/>
  <c r="AJ2263" i="19" s="1"/>
  <c r="AK2263" i="19" s="1" a="1"/>
  <c r="AK2263" i="19" s="1"/>
  <c r="AH2149" i="19"/>
  <c r="AJ2149" i="19" s="1"/>
  <c r="AK2149" i="19" s="1" a="1"/>
  <c r="AK2149" i="19" s="1"/>
  <c r="AH2150" i="19"/>
  <c r="AJ2150" i="19" s="1"/>
  <c r="AK2150" i="19" s="1" a="1"/>
  <c r="AK2150" i="19" s="1"/>
  <c r="AH2137" i="19"/>
  <c r="AJ2137" i="19" s="1"/>
  <c r="AK2137" i="19" s="1" a="1"/>
  <c r="AK2137" i="19" s="1"/>
  <c r="AH2174" i="19"/>
  <c r="AJ2174" i="19" s="1"/>
  <c r="AK2174" i="19" s="1" a="1"/>
  <c r="AK2174" i="19" s="1"/>
  <c r="AH2206" i="19"/>
  <c r="AJ2206" i="19" s="1"/>
  <c r="AK2206" i="19" s="1" a="1"/>
  <c r="AK2206" i="19" s="1"/>
  <c r="AH2208" i="19"/>
  <c r="AJ2208" i="19" s="1"/>
  <c r="AK2208" i="19" s="1" a="1"/>
  <c r="AK2208" i="19" s="1"/>
  <c r="AH2211" i="19"/>
  <c r="AJ2211" i="19" s="1"/>
  <c r="AK2211" i="19" s="1" a="1"/>
  <c r="AK2211" i="19" s="1"/>
  <c r="AH2212" i="19"/>
  <c r="AJ2212" i="19" s="1"/>
  <c r="AK2212" i="19" s="1" a="1"/>
  <c r="AK2212" i="19" s="1"/>
  <c r="AH2213" i="19"/>
  <c r="AJ2213" i="19" s="1"/>
  <c r="AK2213" i="19" s="1" a="1"/>
  <c r="AK2213" i="19" s="1"/>
  <c r="AH2362" i="19"/>
  <c r="AJ2362" i="19" s="1"/>
  <c r="AK2362" i="19" s="1" a="1"/>
  <c r="AK2362" i="19" s="1"/>
  <c r="AH2223" i="19"/>
  <c r="AJ2223" i="19" s="1"/>
  <c r="AK2223" i="19" s="1" a="1"/>
  <c r="AK2223" i="19" s="1"/>
  <c r="AH2234" i="19"/>
  <c r="AJ2234" i="19" s="1"/>
  <c r="AK2234" i="19" s="1" a="1"/>
  <c r="AK2234" i="19" s="1"/>
  <c r="AH2225" i="19"/>
  <c r="AJ2225" i="19" s="1"/>
  <c r="AK2225" i="19" s="1" a="1"/>
  <c r="AK2225" i="19" s="1"/>
  <c r="AH2242" i="19"/>
  <c r="AJ2242" i="19" s="1"/>
  <c r="AK2242" i="19" s="1" a="1"/>
  <c r="AK2242" i="19" s="1"/>
  <c r="AH2247" i="19"/>
  <c r="AJ2247" i="19" s="1"/>
  <c r="AK2247" i="19" s="1" a="1"/>
  <c r="AK2247" i="19" s="1"/>
  <c r="AH2248" i="19"/>
  <c r="AJ2248" i="19" s="1"/>
  <c r="AK2248" i="19" s="1" a="1"/>
  <c r="AK2248" i="19" s="1"/>
  <c r="AH2249" i="19"/>
  <c r="AJ2249" i="19" s="1"/>
  <c r="AK2249" i="19" s="1" a="1"/>
  <c r="AK2249" i="19" s="1"/>
  <c r="AH2250" i="19"/>
  <c r="AJ2250" i="19" s="1"/>
  <c r="AK2250" i="19" s="1" a="1"/>
  <c r="AK2250" i="19" s="1"/>
  <c r="AH2336" i="19"/>
  <c r="AJ2336" i="19" s="1"/>
  <c r="AK2336" i="19" s="1" a="1"/>
  <c r="AK2336" i="19" s="1"/>
  <c r="AH2338" i="19"/>
  <c r="AJ2338" i="19" s="1"/>
  <c r="AK2338" i="19" s="1" a="1"/>
  <c r="AK2338" i="19" s="1"/>
  <c r="AH1897" i="19"/>
  <c r="AJ1897" i="19" s="1"/>
  <c r="AK1897" i="19" s="1" a="1"/>
  <c r="AK1897" i="19" s="1"/>
  <c r="AH1931" i="19"/>
  <c r="AJ1931" i="19" s="1"/>
  <c r="AK1931" i="19" s="1" a="1"/>
  <c r="AK1931" i="19" s="1"/>
  <c r="AH2358" i="19"/>
  <c r="AJ2358" i="19" s="1"/>
  <c r="AK2358" i="19" s="1" a="1"/>
  <c r="AK2358" i="19" s="1"/>
  <c r="AH2030" i="19"/>
  <c r="AJ2030" i="19" s="1"/>
  <c r="AK2030" i="19" s="1" a="1"/>
  <c r="AK2030" i="19" s="1"/>
  <c r="AH2003" i="19"/>
  <c r="AJ2003" i="19" s="1"/>
  <c r="AK2003" i="19" s="1" a="1"/>
  <c r="AK2003" i="19" s="1"/>
  <c r="AH2073" i="19"/>
  <c r="AJ2073" i="19" s="1"/>
  <c r="AK2073" i="19" s="1" a="1"/>
  <c r="AK2073" i="19" s="1"/>
  <c r="AH2067" i="19"/>
  <c r="AJ2067" i="19" s="1"/>
  <c r="AK2067" i="19" s="1" a="1"/>
  <c r="AK2067" i="19" s="1"/>
  <c r="AH2046" i="19"/>
  <c r="AJ2046" i="19" s="1"/>
  <c r="AK2046" i="19" s="1" a="1"/>
  <c r="AK2046" i="19" s="1"/>
  <c r="AH2154" i="19"/>
  <c r="AJ2154" i="19" s="1"/>
  <c r="AK2154" i="19" s="1" a="1"/>
  <c r="AK2154" i="19" s="1"/>
  <c r="AH2107" i="19"/>
  <c r="AJ2107" i="19" s="1"/>
  <c r="AK2107" i="19" s="1" a="1"/>
  <c r="AK2107" i="19" s="1"/>
  <c r="AH2089" i="19"/>
  <c r="AH2085" i="19"/>
  <c r="AH2095" i="19"/>
  <c r="AH2098" i="19"/>
  <c r="AH2097" i="19"/>
  <c r="AH2167" i="19"/>
  <c r="AJ2167" i="19" s="1"/>
  <c r="AK2167" i="19" s="1" a="1"/>
  <c r="AK2167" i="19" s="1"/>
  <c r="AH2170" i="19"/>
  <c r="AJ2170" i="19" s="1"/>
  <c r="AK2170" i="19" s="1" a="1"/>
  <c r="AK2170" i="19" s="1"/>
  <c r="AH2186" i="19"/>
  <c r="AJ2186" i="19" s="1"/>
  <c r="AK2186" i="19" s="1" a="1"/>
  <c r="AK2186" i="19" s="1"/>
  <c r="AH2125" i="19"/>
  <c r="AJ2125" i="19" s="1"/>
  <c r="AK2125" i="19" s="1" a="1"/>
  <c r="AK2125" i="19" s="1"/>
  <c r="AH2123" i="19"/>
  <c r="AJ2123" i="19" s="1"/>
  <c r="AK2123" i="19" s="1" a="1"/>
  <c r="AK2123" i="19" s="1"/>
  <c r="AH2220" i="19"/>
  <c r="AJ2220" i="19" s="1"/>
  <c r="AK2220" i="19" s="1" a="1"/>
  <c r="AK2220" i="19" s="1"/>
  <c r="AH2264" i="19"/>
  <c r="AJ2264" i="19" s="1"/>
  <c r="AK2264" i="19" s="1" a="1"/>
  <c r="AK2264" i="19" s="1"/>
  <c r="AH2266" i="19"/>
  <c r="AJ2266" i="19" s="1"/>
  <c r="AK2266" i="19" s="1" a="1"/>
  <c r="AK2266" i="19" s="1"/>
  <c r="AH2267" i="19"/>
  <c r="AJ2267" i="19" s="1"/>
  <c r="AK2267" i="19" s="1" a="1"/>
  <c r="AK2267" i="19" s="1"/>
  <c r="AH2147" i="19"/>
  <c r="AJ2147" i="19" s="1"/>
  <c r="AK2147" i="19" s="1" a="1"/>
  <c r="AK2147" i="19" s="1"/>
  <c r="AH2151" i="19"/>
  <c r="AJ2151" i="19" s="1"/>
  <c r="AK2151" i="19" s="1" a="1"/>
  <c r="AK2151" i="19" s="1"/>
  <c r="AH2129" i="19"/>
  <c r="AJ2129" i="19" s="1"/>
  <c r="AK2129" i="19" s="1" a="1"/>
  <c r="AK2129" i="19" s="1"/>
  <c r="AH2171" i="19"/>
  <c r="AJ2171" i="19" s="1"/>
  <c r="AK2171" i="19" s="1" a="1"/>
  <c r="AK2171" i="19" s="1"/>
  <c r="AH2141" i="19"/>
  <c r="AJ2141" i="19" s="1"/>
  <c r="AK2141" i="19" s="1" a="1"/>
  <c r="AK2141" i="19" s="1"/>
  <c r="AH2176" i="19"/>
  <c r="AJ2176" i="19" s="1"/>
  <c r="AK2176" i="19" s="1" a="1"/>
  <c r="AK2176" i="19" s="1"/>
  <c r="AH2177" i="19"/>
  <c r="AJ2177" i="19" s="1"/>
  <c r="AK2177" i="19" s="1" a="1"/>
  <c r="AK2177" i="19" s="1"/>
  <c r="AH2190" i="19"/>
  <c r="AJ2190" i="19" s="1"/>
  <c r="AK2190" i="19" s="1" a="1"/>
  <c r="AK2190" i="19" s="1"/>
  <c r="AH2201" i="19"/>
  <c r="AJ2201" i="19" s="1"/>
  <c r="AK2201" i="19" s="1" a="1"/>
  <c r="AK2201" i="19" s="1"/>
  <c r="AH2202" i="19"/>
  <c r="AJ2202" i="19" s="1"/>
  <c r="AK2202" i="19" s="1" a="1"/>
  <c r="AK2202" i="19" s="1"/>
  <c r="AH2207" i="19"/>
  <c r="AJ2207" i="19" s="1"/>
  <c r="AK2207" i="19" s="1" a="1"/>
  <c r="AK2207" i="19" s="1"/>
  <c r="AH2215" i="19"/>
  <c r="AJ2215" i="19" s="1"/>
  <c r="AK2215" i="19" s="1" a="1"/>
  <c r="AK2215" i="19" s="1"/>
  <c r="AH2221" i="19"/>
  <c r="AJ2221" i="19" s="1"/>
  <c r="AK2221" i="19" s="1" a="1"/>
  <c r="AK2221" i="19" s="1"/>
  <c r="AH2228" i="19"/>
  <c r="AJ2228" i="19" s="1"/>
  <c r="AK2228" i="19" s="1" a="1"/>
  <c r="AK2228" i="19" s="1"/>
  <c r="AH2229" i="19"/>
  <c r="AJ2229" i="19" s="1"/>
  <c r="AK2229" i="19" s="1" a="1"/>
  <c r="AK2229" i="19" s="1"/>
  <c r="AH2237" i="19"/>
  <c r="AJ2237" i="19" s="1"/>
  <c r="AK2237" i="19" s="1" a="1"/>
  <c r="AK2237" i="19" s="1"/>
  <c r="AH2238" i="19"/>
  <c r="AJ2238" i="19" s="1"/>
  <c r="AK2238" i="19" s="1" a="1"/>
  <c r="AK2238" i="19" s="1"/>
  <c r="AH2239" i="19"/>
  <c r="AJ2239" i="19" s="1"/>
  <c r="AK2239" i="19" s="1" a="1"/>
  <c r="AK2239" i="19" s="1"/>
  <c r="AH1918" i="19"/>
  <c r="AJ1918" i="19" s="1"/>
  <c r="AK1918" i="19" s="1" a="1"/>
  <c r="AK1918" i="19" s="1"/>
  <c r="AH1965" i="19"/>
  <c r="AJ1965" i="19" s="1"/>
  <c r="AK1965" i="19" s="1" a="1"/>
  <c r="AK1965" i="19" s="1"/>
  <c r="AH2017" i="19"/>
  <c r="AJ2017" i="19" s="1"/>
  <c r="AK2017" i="19" s="1" a="1"/>
  <c r="AK2017" i="19" s="1"/>
  <c r="AH2064" i="19"/>
  <c r="AJ2064" i="19" s="1"/>
  <c r="AK2064" i="19" s="1" a="1"/>
  <c r="AK2064" i="19" s="1"/>
  <c r="AH2069" i="19"/>
  <c r="AJ2069" i="19" s="1"/>
  <c r="AK2069" i="19" s="1" a="1"/>
  <c r="AK2069" i="19" s="1"/>
  <c r="AH2029" i="19"/>
  <c r="AJ2029" i="19" s="1"/>
  <c r="AK2029" i="19" s="1" a="1"/>
  <c r="AK2029" i="19" s="1"/>
  <c r="AH2109" i="19"/>
  <c r="AJ2109" i="19" s="1"/>
  <c r="AK2109" i="19" s="1" a="1"/>
  <c r="AK2109" i="19" s="1"/>
  <c r="AH2083" i="19"/>
  <c r="AJ2083" i="19" s="1"/>
  <c r="AK2083" i="19" s="1" a="1"/>
  <c r="AK2083" i="19" s="1"/>
  <c r="AH2092" i="19"/>
  <c r="AH2090" i="19"/>
  <c r="AH2195" i="19"/>
  <c r="AH2359" i="19"/>
  <c r="AH2117" i="19"/>
  <c r="AJ2117" i="19" s="1"/>
  <c r="AK2117" i="19" s="1" a="1"/>
  <c r="AK2117" i="19" s="1"/>
  <c r="AH2119" i="19"/>
  <c r="AJ2119" i="19" s="1"/>
  <c r="AK2119" i="19" s="1" a="1"/>
  <c r="AK2119" i="19" s="1"/>
  <c r="AH2165" i="19"/>
  <c r="AJ2165" i="19" s="1"/>
  <c r="AK2165" i="19" s="1" a="1"/>
  <c r="AK2165" i="19" s="1"/>
  <c r="AH2182" i="19"/>
  <c r="AJ2182" i="19" s="1"/>
  <c r="AK2182" i="19" s="1" a="1"/>
  <c r="AK2182" i="19" s="1"/>
  <c r="AH2188" i="19"/>
  <c r="AJ2188" i="19" s="1"/>
  <c r="AK2188" i="19" s="1" a="1"/>
  <c r="AK2188" i="19" s="1"/>
  <c r="AH2189" i="19"/>
  <c r="AJ2189" i="19" s="1"/>
  <c r="AK2189" i="19" s="1" a="1"/>
  <c r="AK2189" i="19" s="1"/>
  <c r="AH2122" i="19"/>
  <c r="AJ2122" i="19" s="1"/>
  <c r="AK2122" i="19" s="1" a="1"/>
  <c r="AK2122" i="19" s="1"/>
  <c r="AH2136" i="19"/>
  <c r="AJ2136" i="19" s="1"/>
  <c r="AK2136" i="19" s="1" a="1"/>
  <c r="AK2136" i="19" s="1"/>
  <c r="AH2173" i="19"/>
  <c r="AJ2173" i="19" s="1"/>
  <c r="AK2173" i="19" s="1" a="1"/>
  <c r="AK2173" i="19" s="1"/>
  <c r="AH2273" i="19"/>
  <c r="AJ2273" i="19" s="1"/>
  <c r="AK2273" i="19" s="1" a="1"/>
  <c r="AK2273" i="19" s="1"/>
  <c r="AH2145" i="19"/>
  <c r="AJ2145" i="19" s="1"/>
  <c r="AK2145" i="19" s="1" a="1"/>
  <c r="AK2145" i="19" s="1"/>
  <c r="AH2148" i="19"/>
  <c r="AJ2148" i="19" s="1"/>
  <c r="AK2148" i="19" s="1" a="1"/>
  <c r="AK2148" i="19" s="1"/>
  <c r="AH2133" i="19"/>
  <c r="AJ2133" i="19" s="1"/>
  <c r="AK2133" i="19" s="1" a="1"/>
  <c r="AK2133" i="19" s="1"/>
  <c r="AH2138" i="19"/>
  <c r="AJ2138" i="19" s="1"/>
  <c r="AK2138" i="19" s="1" a="1"/>
  <c r="AK2138" i="19" s="1"/>
  <c r="AH2139" i="19"/>
  <c r="AJ2139" i="19" s="1"/>
  <c r="AK2139" i="19" s="1" a="1"/>
  <c r="AK2139" i="19" s="1"/>
  <c r="AH2175" i="19"/>
  <c r="AJ2175" i="19" s="1"/>
  <c r="AK2175" i="19" s="1" a="1"/>
  <c r="AK2175" i="19" s="1"/>
  <c r="AH2198" i="19"/>
  <c r="AJ2198" i="19" s="1"/>
  <c r="AK2198" i="19" s="1" a="1"/>
  <c r="AK2198" i="19" s="1"/>
  <c r="AH2200" i="19"/>
  <c r="AJ2200" i="19" s="1"/>
  <c r="AK2200" i="19" s="1" a="1"/>
  <c r="AK2200" i="19" s="1"/>
  <c r="AH2199" i="19"/>
  <c r="AJ2199" i="19" s="1"/>
  <c r="AK2199" i="19" s="1" a="1"/>
  <c r="AK2199" i="19" s="1"/>
  <c r="AH2204" i="19"/>
  <c r="AJ2204" i="19" s="1"/>
  <c r="AK2204" i="19" s="1" a="1"/>
  <c r="AK2204" i="19" s="1"/>
  <c r="AH2205" i="19"/>
  <c r="AJ2205" i="19" s="1"/>
  <c r="AK2205" i="19" s="1" a="1"/>
  <c r="AK2205" i="19" s="1"/>
  <c r="AH2361" i="19"/>
  <c r="AJ2361" i="19" s="1"/>
  <c r="AK2361" i="19" s="1" a="1"/>
  <c r="AK2361" i="19" s="1"/>
  <c r="AH2363" i="19"/>
  <c r="AJ2363" i="19" s="1"/>
  <c r="AK2363" i="19" s="1" a="1"/>
  <c r="AK2363" i="19" s="1"/>
  <c r="AH2364" i="19"/>
  <c r="AJ2364" i="19" s="1"/>
  <c r="AK2364" i="19" s="1" a="1"/>
  <c r="AK2364" i="19" s="1"/>
  <c r="AH2257" i="19"/>
  <c r="AJ2257" i="19" s="1"/>
  <c r="AK2257" i="19" s="1" a="1"/>
  <c r="AK2257" i="19" s="1"/>
  <c r="AH2226" i="19"/>
  <c r="AJ2226" i="19" s="1"/>
  <c r="AK2226" i="19" s="1" a="1"/>
  <c r="AK2226" i="19" s="1"/>
  <c r="AH2227" i="19"/>
  <c r="AJ2227" i="19" s="1"/>
  <c r="AK2227" i="19" s="1" a="1"/>
  <c r="AK2227" i="19" s="1"/>
  <c r="AH2236" i="19"/>
  <c r="AJ2236" i="19" s="1"/>
  <c r="AK2236" i="19" s="1" a="1"/>
  <c r="AK2236" i="19" s="1"/>
  <c r="AH2243" i="19"/>
  <c r="AJ2243" i="19" s="1"/>
  <c r="AK2243" i="19" s="1" a="1"/>
  <c r="AK2243" i="19" s="1"/>
  <c r="AH2245" i="19"/>
  <c r="AJ2245" i="19" s="1"/>
  <c r="AK2245" i="19" s="1" a="1"/>
  <c r="AK2245" i="19" s="1"/>
  <c r="AH2246" i="19"/>
  <c r="AJ2246" i="19" s="1"/>
  <c r="AK2246" i="19" s="1" a="1"/>
  <c r="AK2246" i="19" s="1"/>
  <c r="AH2365" i="19"/>
  <c r="AJ2365" i="19" s="1"/>
  <c r="AK2365" i="19" s="1" a="1"/>
  <c r="AK2365" i="19" s="1"/>
  <c r="AH2367" i="19"/>
  <c r="AJ2367" i="19" s="1"/>
  <c r="AK2367" i="19" s="1" a="1"/>
  <c r="AK2367" i="19" s="1"/>
  <c r="AH2252" i="19"/>
  <c r="AJ2252" i="19" s="1"/>
  <c r="AK2252" i="19" s="1" a="1"/>
  <c r="AK2252" i="19" s="1"/>
  <c r="AH2253" i="19"/>
  <c r="AJ2253" i="19" s="1"/>
  <c r="AK2253" i="19" s="1" a="1"/>
  <c r="AK2253" i="19" s="1"/>
  <c r="AH2278" i="19"/>
  <c r="AJ2278" i="19" s="1"/>
  <c r="AK2278" i="19" s="1" a="1"/>
  <c r="AK2278" i="19" s="1"/>
  <c r="AH2281" i="19"/>
  <c r="AJ2281" i="19" s="1"/>
  <c r="AK2281" i="19" s="1" a="1"/>
  <c r="AK2281" i="19" s="1"/>
  <c r="AH2283" i="19"/>
  <c r="AJ2283" i="19" s="1"/>
  <c r="AK2283" i="19" s="1" a="1"/>
  <c r="AK2283" i="19" s="1"/>
  <c r="AH2285" i="19"/>
  <c r="AJ2285" i="19" s="1"/>
  <c r="AK2285" i="19" s="1" a="1"/>
  <c r="AK2285" i="19" s="1"/>
  <c r="AH2194" i="19"/>
  <c r="AJ2194" i="19" s="1"/>
  <c r="AK2194" i="19" s="1" a="1"/>
  <c r="AK2194" i="19" s="1"/>
  <c r="AH2164" i="19"/>
  <c r="AJ2164" i="19" s="1"/>
  <c r="AK2164" i="19" s="1" a="1"/>
  <c r="AK2164" i="19" s="1"/>
  <c r="AH2161" i="19"/>
  <c r="AJ2161" i="19" s="1"/>
  <c r="AK2161" i="19" s="1" a="1"/>
  <c r="AK2161" i="19" s="1"/>
  <c r="AH2169" i="19"/>
  <c r="AJ2169" i="19" s="1"/>
  <c r="AK2169" i="19" s="1" a="1"/>
  <c r="AK2169" i="19" s="1"/>
  <c r="AH2185" i="19"/>
  <c r="AJ2185" i="19" s="1"/>
  <c r="AK2185" i="19" s="1" a="1"/>
  <c r="AK2185" i="19" s="1"/>
  <c r="AH2152" i="19"/>
  <c r="AJ2152" i="19" s="1"/>
  <c r="AK2152" i="19" s="1" a="1"/>
  <c r="AK2152" i="19" s="1"/>
  <c r="AH2142" i="19"/>
  <c r="AJ2142" i="19" s="1"/>
  <c r="AK2142" i="19" s="1" a="1"/>
  <c r="AK2142" i="19" s="1"/>
  <c r="AH2235" i="19"/>
  <c r="AJ2235" i="19" s="1"/>
  <c r="AK2235" i="19" s="1" a="1"/>
  <c r="AK2235" i="19" s="1"/>
  <c r="AH2241" i="19"/>
  <c r="AJ2241" i="19" s="1"/>
  <c r="AK2241" i="19" s="1" a="1"/>
  <c r="AK2241" i="19" s="1"/>
  <c r="AH2368" i="19"/>
  <c r="AJ2368" i="19" s="1"/>
  <c r="AK2368" i="19" s="1" a="1"/>
  <c r="AK2368" i="19" s="1"/>
  <c r="AH2251" i="19"/>
  <c r="AJ2251" i="19" s="1"/>
  <c r="AK2251" i="19" s="1" a="1"/>
  <c r="AK2251" i="19" s="1"/>
  <c r="AH2279" i="19"/>
  <c r="AJ2279" i="19" s="1"/>
  <c r="AK2279" i="19" s="1" a="1"/>
  <c r="AK2279" i="19" s="1"/>
  <c r="AH2284" i="19"/>
  <c r="AJ2284" i="19" s="1"/>
  <c r="AK2284" i="19" s="1" a="1"/>
  <c r="AK2284" i="19" s="1"/>
  <c r="AH2286" i="19"/>
  <c r="AJ2286" i="19" s="1"/>
  <c r="AK2286" i="19" s="1" a="1"/>
  <c r="AK2286" i="19" s="1"/>
  <c r="AH2339" i="19"/>
  <c r="AJ2339" i="19" s="1"/>
  <c r="AK2339" i="19" s="1" a="1"/>
  <c r="AK2339" i="19" s="1"/>
  <c r="AH2302" i="19"/>
  <c r="AJ2302" i="19" s="1"/>
  <c r="AK2302" i="19" s="1" a="1"/>
  <c r="AK2302" i="19" s="1"/>
  <c r="AH2375" i="19"/>
  <c r="AJ2375" i="19" s="1"/>
  <c r="AK2375" i="19" s="1" a="1"/>
  <c r="AK2375" i="19" s="1"/>
  <c r="AH2260" i="19"/>
  <c r="AJ2260" i="19" s="1"/>
  <c r="AK2260" i="19" s="1" a="1"/>
  <c r="AK2260" i="19" s="1"/>
  <c r="AH2311" i="19"/>
  <c r="AJ2311" i="19" s="1"/>
  <c r="AK2311" i="19" s="1" a="1"/>
  <c r="AK2311" i="19" s="1"/>
  <c r="AH2314" i="19"/>
  <c r="AJ2314" i="19" s="1"/>
  <c r="AK2314" i="19" s="1" a="1"/>
  <c r="AK2314" i="19" s="1"/>
  <c r="AH2319" i="19"/>
  <c r="AJ2319" i="19" s="1"/>
  <c r="AK2319" i="19" s="1" a="1"/>
  <c r="AK2319" i="19" s="1"/>
  <c r="AH2320" i="19"/>
  <c r="AJ2320" i="19" s="1"/>
  <c r="AK2320" i="19" s="1" a="1"/>
  <c r="AK2320" i="19" s="1"/>
  <c r="AH2322" i="19"/>
  <c r="AJ2322" i="19" s="1"/>
  <c r="AK2322" i="19" s="1" a="1"/>
  <c r="AK2322" i="19" s="1"/>
  <c r="AH2330" i="19"/>
  <c r="AJ2330" i="19" s="1"/>
  <c r="AK2330" i="19" s="1" a="1"/>
  <c r="AK2330" i="19" s="1"/>
  <c r="AH2376" i="19"/>
  <c r="AJ2376" i="19" s="1"/>
  <c r="AK2376" i="19" s="1" a="1"/>
  <c r="AK2376" i="19" s="1"/>
  <c r="AH2377" i="19"/>
  <c r="AJ2377" i="19" s="1"/>
  <c r="AK2377" i="19" s="1" a="1"/>
  <c r="AK2377" i="19" s="1"/>
  <c r="AH2385" i="19"/>
  <c r="AJ2385" i="19" s="1"/>
  <c r="AK2385" i="19" s="1" a="1"/>
  <c r="AK2385" i="19" s="1"/>
  <c r="AH2386" i="19"/>
  <c r="AJ2386" i="19" s="1"/>
  <c r="AK2386" i="19" s="1" a="1"/>
  <c r="AK2386" i="19" s="1"/>
  <c r="AH2392" i="19"/>
  <c r="AJ2392" i="19" s="1"/>
  <c r="AK2392" i="19" s="1" a="1"/>
  <c r="AK2392" i="19" s="1"/>
  <c r="AH2395" i="19"/>
  <c r="AJ2395" i="19" s="1"/>
  <c r="AK2395" i="19" s="1" a="1"/>
  <c r="AK2395" i="19" s="1"/>
  <c r="AH2412" i="19"/>
  <c r="AJ2412" i="19" s="1"/>
  <c r="AK2412" i="19" s="1" a="1"/>
  <c r="AK2412" i="19" s="1"/>
  <c r="AH2414" i="19"/>
  <c r="AJ2414" i="19" s="1"/>
  <c r="AK2414" i="19" s="1" a="1"/>
  <c r="AK2414" i="19" s="1"/>
  <c r="AH2420" i="19"/>
  <c r="AJ2420" i="19" s="1"/>
  <c r="AK2420" i="19" s="1" a="1"/>
  <c r="AK2420" i="19" s="1"/>
  <c r="AH2421" i="19"/>
  <c r="AJ2421" i="19" s="1"/>
  <c r="AK2421" i="19" s="1" a="1"/>
  <c r="AK2421" i="19" s="1"/>
  <c r="AH2422" i="19"/>
  <c r="AJ2422" i="19" s="1"/>
  <c r="AK2422" i="19" s="1" a="1"/>
  <c r="AK2422" i="19" s="1"/>
  <c r="AH2423" i="19"/>
  <c r="AJ2423" i="19" s="1"/>
  <c r="AK2423" i="19" s="1" a="1"/>
  <c r="AK2423" i="19" s="1"/>
  <c r="AH2429" i="19"/>
  <c r="AJ2429" i="19" s="1"/>
  <c r="AK2429" i="19" s="1" a="1"/>
  <c r="AK2429" i="19" s="1"/>
  <c r="AH2432" i="19"/>
  <c r="AJ2432" i="19" s="1"/>
  <c r="AK2432" i="19" s="1" a="1"/>
  <c r="AK2432" i="19" s="1"/>
  <c r="AH2433" i="19"/>
  <c r="AJ2433" i="19" s="1"/>
  <c r="AK2433" i="19" s="1" a="1"/>
  <c r="AK2433" i="19" s="1"/>
  <c r="AH2434" i="19"/>
  <c r="AJ2434" i="19" s="1"/>
  <c r="AK2434" i="19" s="1" a="1"/>
  <c r="AK2434" i="19" s="1"/>
  <c r="AH2104" i="19"/>
  <c r="AJ2104" i="19" s="1"/>
  <c r="AK2104" i="19" s="1" a="1"/>
  <c r="AK2104" i="19" s="1"/>
  <c r="AH2047" i="19"/>
  <c r="AJ2047" i="19" s="1"/>
  <c r="AK2047" i="19" s="1" a="1"/>
  <c r="AK2047" i="19" s="1"/>
  <c r="AH2093" i="19"/>
  <c r="AH2196" i="19"/>
  <c r="AH2157" i="19"/>
  <c r="AH2115" i="19"/>
  <c r="AJ2115" i="19" s="1"/>
  <c r="AK2115" i="19" s="1" a="1"/>
  <c r="AK2115" i="19" s="1"/>
  <c r="AH2168" i="19"/>
  <c r="AJ2168" i="19" s="1"/>
  <c r="AK2168" i="19" s="1" a="1"/>
  <c r="AK2168" i="19" s="1"/>
  <c r="AH2160" i="19"/>
  <c r="AJ2160" i="19" s="1"/>
  <c r="AK2160" i="19" s="1" a="1"/>
  <c r="AK2160" i="19" s="1"/>
  <c r="AH2163" i="19"/>
  <c r="AJ2163" i="19" s="1"/>
  <c r="AK2163" i="19" s="1" a="1"/>
  <c r="AK2163" i="19" s="1"/>
  <c r="AH2146" i="19"/>
  <c r="AJ2146" i="19" s="1"/>
  <c r="AK2146" i="19" s="1" a="1"/>
  <c r="AK2146" i="19" s="1"/>
  <c r="AH2143" i="19"/>
  <c r="AJ2143" i="19" s="1"/>
  <c r="AK2143" i="19" s="1" a="1"/>
  <c r="AK2143" i="19" s="1"/>
  <c r="AH2191" i="19"/>
  <c r="AJ2191" i="19" s="1"/>
  <c r="AK2191" i="19" s="1" a="1"/>
  <c r="AK2191" i="19" s="1"/>
  <c r="AH2210" i="19"/>
  <c r="AJ2210" i="19" s="1"/>
  <c r="AK2210" i="19" s="1" a="1"/>
  <c r="AK2210" i="19" s="1"/>
  <c r="AH2256" i="19"/>
  <c r="AJ2256" i="19" s="1"/>
  <c r="AK2256" i="19" s="1" a="1"/>
  <c r="AK2256" i="19" s="1"/>
  <c r="AH2240" i="19"/>
  <c r="AJ2240" i="19" s="1"/>
  <c r="AK2240" i="19" s="1" a="1"/>
  <c r="AK2240" i="19" s="1"/>
  <c r="AH2244" i="19"/>
  <c r="AJ2244" i="19" s="1"/>
  <c r="AK2244" i="19" s="1" a="1"/>
  <c r="AK2244" i="19" s="1"/>
  <c r="AH2337" i="19"/>
  <c r="AJ2337" i="19" s="1"/>
  <c r="AK2337" i="19" s="1" a="1"/>
  <c r="AK2337" i="19" s="1"/>
  <c r="AH2282" i="19"/>
  <c r="AJ2282" i="19" s="1"/>
  <c r="AK2282" i="19" s="1" a="1"/>
  <c r="AK2282" i="19" s="1"/>
  <c r="AH2255" i="19"/>
  <c r="AJ2255" i="19" s="1"/>
  <c r="AK2255" i="19" s="1" a="1"/>
  <c r="AK2255" i="19" s="1"/>
  <c r="AH2259" i="19"/>
  <c r="AJ2259" i="19" s="1"/>
  <c r="AK2259" i="19" s="1" a="1"/>
  <c r="AK2259" i="19" s="1"/>
  <c r="AH2335" i="19"/>
  <c r="AJ2335" i="19" s="1"/>
  <c r="AK2335" i="19" s="1" a="1"/>
  <c r="AK2335" i="19" s="1"/>
  <c r="AH2313" i="19"/>
  <c r="AJ2313" i="19" s="1"/>
  <c r="AK2313" i="19" s="1" a="1"/>
  <c r="AK2313" i="19" s="1"/>
  <c r="AH2318" i="19"/>
  <c r="AJ2318" i="19" s="1"/>
  <c r="AK2318" i="19" s="1" a="1"/>
  <c r="AK2318" i="19" s="1"/>
  <c r="AH2324" i="19"/>
  <c r="AJ2324" i="19" s="1"/>
  <c r="AK2324" i="19" s="1" a="1"/>
  <c r="AK2324" i="19" s="1"/>
  <c r="AH2383" i="19"/>
  <c r="AJ2383" i="19" s="1"/>
  <c r="AK2383" i="19" s="1" a="1"/>
  <c r="AK2383" i="19" s="1"/>
  <c r="AH2293" i="19"/>
  <c r="AJ2293" i="19" s="1"/>
  <c r="AK2293" i="19" s="1" a="1"/>
  <c r="AK2293" i="19" s="1"/>
  <c r="AH2390" i="19"/>
  <c r="AJ2390" i="19" s="1"/>
  <c r="AK2390" i="19" s="1" a="1"/>
  <c r="AK2390" i="19" s="1"/>
  <c r="AH2288" i="19"/>
  <c r="AJ2288" i="19" s="1"/>
  <c r="AK2288" i="19" s="1" a="1"/>
  <c r="AK2288" i="19" s="1"/>
  <c r="AH2287" i="19"/>
  <c r="AJ2287" i="19" s="1"/>
  <c r="AK2287" i="19" s="1" a="1"/>
  <c r="AK2287" i="19" s="1"/>
  <c r="AH2391" i="19"/>
  <c r="AJ2391" i="19" s="1"/>
  <c r="AK2391" i="19" s="1" a="1"/>
  <c r="AK2391" i="19" s="1"/>
  <c r="AH2396" i="19"/>
  <c r="AJ2396" i="19" s="1"/>
  <c r="AK2396" i="19" s="1" a="1"/>
  <c r="AK2396" i="19" s="1"/>
  <c r="AH2397" i="19"/>
  <c r="AJ2397" i="19" s="1"/>
  <c r="AK2397" i="19" s="1" a="1"/>
  <c r="AK2397" i="19" s="1"/>
  <c r="AH2398" i="19"/>
  <c r="AJ2398" i="19" s="1"/>
  <c r="AK2398" i="19" s="1" a="1"/>
  <c r="AK2398" i="19" s="1"/>
  <c r="AH2404" i="19"/>
  <c r="AJ2404" i="19" s="1"/>
  <c r="AK2404" i="19" s="1" a="1"/>
  <c r="AK2404" i="19" s="1"/>
  <c r="AH2405" i="19"/>
  <c r="AJ2405" i="19" s="1"/>
  <c r="AK2405" i="19" s="1" a="1"/>
  <c r="AK2405" i="19" s="1"/>
  <c r="AH2406" i="19"/>
  <c r="AJ2406" i="19" s="1"/>
  <c r="AK2406" i="19" s="1" a="1"/>
  <c r="AK2406" i="19" s="1"/>
  <c r="AH2413" i="19"/>
  <c r="AJ2413" i="19" s="1"/>
  <c r="AK2413" i="19" s="1" a="1"/>
  <c r="AK2413" i="19" s="1"/>
  <c r="AH2441" i="19"/>
  <c r="AJ2441" i="19" s="1"/>
  <c r="AK2441" i="19" s="1" a="1"/>
  <c r="AK2441" i="19" s="1"/>
  <c r="AH2447" i="19"/>
  <c r="AJ2447" i="19" s="1"/>
  <c r="AK2447" i="19" s="1" a="1"/>
  <c r="AK2447" i="19" s="1"/>
  <c r="AH2448" i="19"/>
  <c r="AJ2448" i="19" s="1"/>
  <c r="AK2448" i="19" s="1" a="1"/>
  <c r="AK2448" i="19" s="1"/>
  <c r="AH2449" i="19"/>
  <c r="AJ2449" i="19" s="1"/>
  <c r="AK2449" i="19" s="1" a="1"/>
  <c r="AK2449" i="19" s="1"/>
  <c r="AH1907" i="19"/>
  <c r="AJ1907" i="19" s="1"/>
  <c r="AK1907" i="19" s="1" a="1"/>
  <c r="AK1907" i="19" s="1"/>
  <c r="AH1923" i="19"/>
  <c r="AJ1923" i="19" s="1"/>
  <c r="AK1923" i="19" s="1" a="1"/>
  <c r="AK1923" i="19" s="1"/>
  <c r="AH2130" i="19"/>
  <c r="AH2118" i="19"/>
  <c r="AJ2118" i="19" s="1"/>
  <c r="AK2118" i="19" s="1" a="1"/>
  <c r="AK2118" i="19" s="1"/>
  <c r="AH2162" i="19"/>
  <c r="AJ2162" i="19" s="1"/>
  <c r="AK2162" i="19" s="1" a="1"/>
  <c r="AK2162" i="19" s="1"/>
  <c r="AH2184" i="19"/>
  <c r="AJ2184" i="19" s="1"/>
  <c r="AK2184" i="19" s="1" a="1"/>
  <c r="AK2184" i="19" s="1"/>
  <c r="AH2181" i="19"/>
  <c r="AJ2181" i="19" s="1"/>
  <c r="AK2181" i="19" s="1" a="1"/>
  <c r="AK2181" i="19" s="1"/>
  <c r="AH2178" i="19"/>
  <c r="AJ2178" i="19" s="1"/>
  <c r="AK2178" i="19" s="1" a="1"/>
  <c r="AK2178" i="19" s="1"/>
  <c r="AH2135" i="19"/>
  <c r="AJ2135" i="19" s="1"/>
  <c r="AK2135" i="19" s="1" a="1"/>
  <c r="AK2135" i="19" s="1"/>
  <c r="AH2219" i="19"/>
  <c r="AJ2219" i="19" s="1"/>
  <c r="AK2219" i="19" s="1" a="1"/>
  <c r="AK2219" i="19" s="1"/>
  <c r="AH2265" i="19"/>
  <c r="AJ2265" i="19" s="1"/>
  <c r="AK2265" i="19" s="1" a="1"/>
  <c r="AK2265" i="19" s="1"/>
  <c r="AH2144" i="19"/>
  <c r="AH2197" i="19"/>
  <c r="AJ2197" i="19" s="1"/>
  <c r="AK2197" i="19" s="1" a="1"/>
  <c r="AK2197" i="19" s="1"/>
  <c r="AH2203" i="19"/>
  <c r="AJ2203" i="19" s="1"/>
  <c r="AK2203" i="19" s="1" a="1"/>
  <c r="AK2203" i="19" s="1"/>
  <c r="AH2209" i="19"/>
  <c r="AJ2209" i="19" s="1"/>
  <c r="AK2209" i="19" s="1" a="1"/>
  <c r="AK2209" i="19" s="1"/>
  <c r="AH2231" i="19"/>
  <c r="AJ2231" i="19" s="1"/>
  <c r="AK2231" i="19" s="1" a="1"/>
  <c r="AK2231" i="19" s="1"/>
  <c r="AH2366" i="19"/>
  <c r="AJ2366" i="19" s="1"/>
  <c r="AK2366" i="19" s="1" a="1"/>
  <c r="AK2366" i="19" s="1"/>
  <c r="AH2373" i="19"/>
  <c r="AJ2373" i="19" s="1"/>
  <c r="AK2373" i="19" s="1" a="1"/>
  <c r="AK2373" i="19" s="1"/>
  <c r="AH2254" i="19"/>
  <c r="AJ2254" i="19" s="1"/>
  <c r="AK2254" i="19" s="1" a="1"/>
  <c r="AK2254" i="19" s="1"/>
  <c r="AH2274" i="19"/>
  <c r="AJ2274" i="19" s="1"/>
  <c r="AK2274" i="19" s="1" a="1"/>
  <c r="AK2274" i="19" s="1"/>
  <c r="AH2276" i="19"/>
  <c r="AJ2276" i="19" s="1"/>
  <c r="AK2276" i="19" s="1" a="1"/>
  <c r="AK2276" i="19" s="1"/>
  <c r="AH2280" i="19"/>
  <c r="AJ2280" i="19" s="1"/>
  <c r="AK2280" i="19" s="1" a="1"/>
  <c r="AK2280" i="19" s="1"/>
  <c r="AH2295" i="19"/>
  <c r="AJ2295" i="19" s="1"/>
  <c r="AK2295" i="19" s="1" a="1"/>
  <c r="AK2295" i="19" s="1"/>
  <c r="AH2297" i="19"/>
  <c r="AJ2297" i="19" s="1"/>
  <c r="AK2297" i="19" s="1" a="1"/>
  <c r="AK2297" i="19" s="1"/>
  <c r="AH2301" i="19"/>
  <c r="AJ2301" i="19" s="1"/>
  <c r="AK2301" i="19" s="1" a="1"/>
  <c r="AK2301" i="19" s="1"/>
  <c r="AH2308" i="19"/>
  <c r="AJ2308" i="19" s="1"/>
  <c r="AK2308" i="19" s="1" a="1"/>
  <c r="AK2308" i="19" s="1"/>
  <c r="AH2316" i="19"/>
  <c r="AJ2316" i="19" s="1"/>
  <c r="AK2316" i="19" s="1" a="1"/>
  <c r="AK2316" i="19" s="1"/>
  <c r="AH2317" i="19"/>
  <c r="AJ2317" i="19" s="1"/>
  <c r="AK2317" i="19" s="1" a="1"/>
  <c r="AK2317" i="19" s="1"/>
  <c r="AH2323" i="19"/>
  <c r="AJ2323" i="19" s="1"/>
  <c r="AK2323" i="19" s="1" a="1"/>
  <c r="AK2323" i="19" s="1"/>
  <c r="AH2325" i="19"/>
  <c r="AJ2325" i="19" s="1"/>
  <c r="AK2325" i="19" s="1" a="1"/>
  <c r="AK2325" i="19" s="1"/>
  <c r="AH2326" i="19"/>
  <c r="AJ2326" i="19" s="1"/>
  <c r="AK2326" i="19" s="1" a="1"/>
  <c r="AK2326" i="19" s="1"/>
  <c r="AH2328" i="19"/>
  <c r="AJ2328" i="19" s="1"/>
  <c r="AK2328" i="19" s="1" a="1"/>
  <c r="AK2328" i="19" s="1"/>
  <c r="AH2329" i="19"/>
  <c r="AJ2329" i="19" s="1"/>
  <c r="AK2329" i="19" s="1" a="1"/>
  <c r="AK2329" i="19" s="1"/>
  <c r="AH2331" i="19"/>
  <c r="AJ2331" i="19" s="1"/>
  <c r="AK2331" i="19" s="1" a="1"/>
  <c r="AK2331" i="19" s="1"/>
  <c r="AH2379" i="19"/>
  <c r="AJ2379" i="19" s="1"/>
  <c r="AK2379" i="19" s="1" a="1"/>
  <c r="AK2379" i="19" s="1"/>
  <c r="AH2380" i="19"/>
  <c r="AJ2380" i="19" s="1"/>
  <c r="AK2380" i="19" s="1" a="1"/>
  <c r="AK2380" i="19" s="1"/>
  <c r="AH2382" i="19"/>
  <c r="AJ2382" i="19" s="1"/>
  <c r="AK2382" i="19" s="1" a="1"/>
  <c r="AK2382" i="19" s="1"/>
  <c r="AH2388" i="19"/>
  <c r="AJ2388" i="19" s="1"/>
  <c r="AK2388" i="19" s="1" a="1"/>
  <c r="AK2388" i="19" s="1"/>
  <c r="AH2389" i="19"/>
  <c r="AJ2389" i="19" s="1"/>
  <c r="AK2389" i="19" s="1" a="1"/>
  <c r="AK2389" i="19" s="1"/>
  <c r="AH2294" i="19"/>
  <c r="AJ2294" i="19" s="1"/>
  <c r="AK2294" i="19" s="1" a="1"/>
  <c r="AK2294" i="19" s="1"/>
  <c r="AH2292" i="19"/>
  <c r="AJ2292" i="19" s="1"/>
  <c r="AK2292" i="19" s="1" a="1"/>
  <c r="AK2292" i="19" s="1"/>
  <c r="AH2289" i="19"/>
  <c r="AJ2289" i="19" s="1"/>
  <c r="AK2289" i="19" s="1" a="1"/>
  <c r="AK2289" i="19" s="1"/>
  <c r="AH2290" i="19"/>
  <c r="AJ2290" i="19" s="1"/>
  <c r="AK2290" i="19" s="1" a="1"/>
  <c r="AK2290" i="19" s="1"/>
  <c r="AH2394" i="19"/>
  <c r="AJ2394" i="19" s="1"/>
  <c r="AK2394" i="19" s="1" a="1"/>
  <c r="AK2394" i="19" s="1"/>
  <c r="AH2399" i="19"/>
  <c r="AJ2399" i="19" s="1"/>
  <c r="AK2399" i="19" s="1" a="1"/>
  <c r="AK2399" i="19" s="1"/>
  <c r="AH2401" i="19"/>
  <c r="AJ2401" i="19" s="1"/>
  <c r="AK2401" i="19" s="1" a="1"/>
  <c r="AK2401" i="19" s="1"/>
  <c r="AH2402" i="19"/>
  <c r="AJ2402" i="19" s="1"/>
  <c r="AK2402" i="19" s="1" a="1"/>
  <c r="AK2402" i="19" s="1"/>
  <c r="AH2403" i="19"/>
  <c r="AJ2403" i="19" s="1"/>
  <c r="AK2403" i="19" s="1" a="1"/>
  <c r="AK2403" i="19" s="1"/>
  <c r="AH2153" i="19"/>
  <c r="AJ2153" i="19" s="1"/>
  <c r="AK2153" i="19" s="1" a="1"/>
  <c r="AK2153" i="19" s="1"/>
  <c r="AH2275" i="19"/>
  <c r="AJ2275" i="19" s="1"/>
  <c r="AK2275" i="19" s="1" a="1"/>
  <c r="AK2275" i="19" s="1"/>
  <c r="AH2300" i="19"/>
  <c r="AJ2300" i="19" s="1"/>
  <c r="AK2300" i="19" s="1" a="1"/>
  <c r="AK2300" i="19" s="1"/>
  <c r="AH2303" i="19"/>
  <c r="AJ2303" i="19" s="1"/>
  <c r="AK2303" i="19" s="1" a="1"/>
  <c r="AK2303" i="19" s="1"/>
  <c r="AH2305" i="19"/>
  <c r="AJ2305" i="19" s="1"/>
  <c r="AK2305" i="19" s="1" a="1"/>
  <c r="AK2305" i="19" s="1"/>
  <c r="AH2307" i="19"/>
  <c r="AJ2307" i="19" s="1"/>
  <c r="AK2307" i="19" s="1" a="1"/>
  <c r="AK2307" i="19" s="1"/>
  <c r="AH2309" i="19"/>
  <c r="AJ2309" i="19" s="1"/>
  <c r="AK2309" i="19" s="1" a="1"/>
  <c r="AK2309" i="19" s="1"/>
  <c r="AH2312" i="19"/>
  <c r="AJ2312" i="19" s="1"/>
  <c r="AK2312" i="19" s="1" a="1"/>
  <c r="AK2312" i="19" s="1"/>
  <c r="AH2327" i="19"/>
  <c r="AJ2327" i="19" s="1"/>
  <c r="AK2327" i="19" s="1" a="1"/>
  <c r="AK2327" i="19" s="1"/>
  <c r="AH2333" i="19"/>
  <c r="AJ2333" i="19" s="1"/>
  <c r="AK2333" i="19" s="1" a="1"/>
  <c r="AK2333" i="19" s="1"/>
  <c r="AH2384" i="19"/>
  <c r="AJ2384" i="19" s="1"/>
  <c r="AK2384" i="19" s="1" a="1"/>
  <c r="AK2384" i="19" s="1"/>
  <c r="AH2387" i="19"/>
  <c r="AJ2387" i="19" s="1"/>
  <c r="AK2387" i="19" s="1" a="1"/>
  <c r="AK2387" i="19" s="1"/>
  <c r="AH2408" i="19"/>
  <c r="AJ2408" i="19" s="1"/>
  <c r="AK2408" i="19" s="1" a="1"/>
  <c r="AK2408" i="19" s="1"/>
  <c r="AH2410" i="19"/>
  <c r="AJ2410" i="19" s="1"/>
  <c r="AK2410" i="19" s="1" a="1"/>
  <c r="AK2410" i="19" s="1"/>
  <c r="AH2415" i="19"/>
  <c r="AJ2415" i="19" s="1"/>
  <c r="AK2415" i="19" s="1" a="1"/>
  <c r="AK2415" i="19" s="1"/>
  <c r="AH2428" i="19"/>
  <c r="AJ2428" i="19" s="1"/>
  <c r="AK2428" i="19" s="1" a="1"/>
  <c r="AK2428" i="19" s="1"/>
  <c r="AH2435" i="19"/>
  <c r="AJ2435" i="19" s="1"/>
  <c r="AK2435" i="19" s="1" a="1"/>
  <c r="AK2435" i="19" s="1"/>
  <c r="AH2442" i="19"/>
  <c r="AJ2442" i="19" s="1"/>
  <c r="AK2442" i="19" s="1" a="1"/>
  <c r="AK2442" i="19" s="1"/>
  <c r="AH2450" i="19"/>
  <c r="AJ2450" i="19" s="1"/>
  <c r="AK2450" i="19" s="1" a="1"/>
  <c r="AK2450" i="19" s="1"/>
  <c r="AH2458" i="19"/>
  <c r="AJ2458" i="19" s="1"/>
  <c r="AK2458" i="19" s="1" a="1"/>
  <c r="AK2458" i="19" s="1"/>
  <c r="AH2462" i="19"/>
  <c r="AJ2462" i="19" s="1"/>
  <c r="AK2462" i="19" s="1" a="1"/>
  <c r="AK2462" i="19" s="1"/>
  <c r="AH2463" i="19"/>
  <c r="AJ2463" i="19" s="1"/>
  <c r="AK2463" i="19" s="1" a="1"/>
  <c r="AK2463" i="19" s="1"/>
  <c r="AH2473" i="19"/>
  <c r="AJ2473" i="19" s="1"/>
  <c r="AK2473" i="19" s="1" a="1"/>
  <c r="AK2473" i="19" s="1"/>
  <c r="AH2475" i="19"/>
  <c r="AJ2475" i="19" s="1"/>
  <c r="AK2475" i="19" s="1" a="1"/>
  <c r="AK2475" i="19" s="1"/>
  <c r="AH2477" i="19"/>
  <c r="AJ2477" i="19" s="1"/>
  <c r="AK2477" i="19" s="1" a="1"/>
  <c r="AK2477" i="19" s="1"/>
  <c r="AH2478" i="19"/>
  <c r="AJ2478" i="19" s="1"/>
  <c r="AK2478" i="19" s="1" a="1"/>
  <c r="AK2478" i="19" s="1"/>
  <c r="AH2483" i="19"/>
  <c r="AJ2483" i="19" s="1"/>
  <c r="AK2483" i="19" s="1" a="1"/>
  <c r="AK2483" i="19" s="1"/>
  <c r="AH2485" i="19"/>
  <c r="AJ2485" i="19" s="1"/>
  <c r="AK2485" i="19" s="1" a="1"/>
  <c r="AK2485" i="19" s="1"/>
  <c r="AH2486" i="19"/>
  <c r="AJ2486" i="19" s="1"/>
  <c r="AK2486" i="19" s="1" a="1"/>
  <c r="AK2486" i="19" s="1"/>
  <c r="AH2491" i="19"/>
  <c r="AJ2491" i="19" s="1"/>
  <c r="AK2491" i="19" s="1" a="1"/>
  <c r="AK2491" i="19" s="1"/>
  <c r="AH2493" i="19"/>
  <c r="AJ2493" i="19" s="1"/>
  <c r="AK2493" i="19" s="1" a="1"/>
  <c r="AK2493" i="19" s="1"/>
  <c r="AH2494" i="19"/>
  <c r="AJ2494" i="19" s="1"/>
  <c r="AK2494" i="19" s="1" a="1"/>
  <c r="AK2494" i="19" s="1"/>
  <c r="AH2499" i="19"/>
  <c r="AJ2499" i="19" s="1"/>
  <c r="AK2499" i="19" s="1" a="1"/>
  <c r="AK2499" i="19" s="1"/>
  <c r="AH2501" i="19"/>
  <c r="AJ2501" i="19" s="1"/>
  <c r="AK2501" i="19" s="1" a="1"/>
  <c r="AK2501" i="19" s="1"/>
  <c r="AH2502" i="19"/>
  <c r="AJ2502" i="19" s="1"/>
  <c r="AK2502" i="19" s="1" a="1"/>
  <c r="AK2502" i="19" s="1"/>
  <c r="AH2507" i="19"/>
  <c r="AJ2507" i="19" s="1"/>
  <c r="AK2507" i="19" s="1" a="1"/>
  <c r="AK2507" i="19" s="1"/>
  <c r="AH2509" i="19"/>
  <c r="AJ2509" i="19" s="1"/>
  <c r="AK2509" i="19" s="1" a="1"/>
  <c r="AK2509" i="19" s="1"/>
  <c r="AH2510" i="19"/>
  <c r="AJ2510" i="19" s="1"/>
  <c r="AK2510" i="19" s="1" a="1"/>
  <c r="AK2510" i="19" s="1"/>
  <c r="AH2515" i="19"/>
  <c r="AJ2515" i="19" s="1"/>
  <c r="AK2515" i="19" s="1" a="1"/>
  <c r="AK2515" i="19" s="1"/>
  <c r="AH2519" i="19"/>
  <c r="AJ2519" i="19" s="1"/>
  <c r="AK2519" i="19" s="1" a="1"/>
  <c r="AK2519" i="19" s="1"/>
  <c r="AH2520" i="19"/>
  <c r="AJ2520" i="19" s="1"/>
  <c r="AK2520" i="19" s="1" a="1"/>
  <c r="AK2520" i="19" s="1"/>
  <c r="AH2527" i="19"/>
  <c r="AJ2527" i="19" s="1"/>
  <c r="AK2527" i="19" s="1" a="1"/>
  <c r="AK2527" i="19" s="1"/>
  <c r="AH2531" i="19"/>
  <c r="AJ2531" i="19" s="1"/>
  <c r="AK2531" i="19" s="1" a="1"/>
  <c r="AK2531" i="19" s="1"/>
  <c r="AH2538" i="19"/>
  <c r="AJ2538" i="19" s="1"/>
  <c r="AK2538" i="19" s="1" a="1"/>
  <c r="AK2538" i="19" s="1"/>
  <c r="AH2539" i="19"/>
  <c r="AJ2539" i="19" s="1"/>
  <c r="AK2539" i="19" s="1" a="1"/>
  <c r="AK2539" i="19" s="1"/>
  <c r="AH2543" i="19"/>
  <c r="AJ2543" i="19" s="1"/>
  <c r="AK2543" i="19" s="1" a="1"/>
  <c r="AK2543" i="19" s="1"/>
  <c r="AH2547" i="19"/>
  <c r="AJ2547" i="19" s="1"/>
  <c r="AK2547" i="19" s="1" a="1"/>
  <c r="AK2547" i="19" s="1"/>
  <c r="AH2556" i="19"/>
  <c r="AJ2556" i="19" s="1"/>
  <c r="AK2556" i="19" s="1" a="1"/>
  <c r="AK2556" i="19" s="1"/>
  <c r="AH2559" i="19"/>
  <c r="AJ2559" i="19" s="1"/>
  <c r="AK2559" i="19" s="1" a="1"/>
  <c r="AK2559" i="19" s="1"/>
  <c r="AH2560" i="19"/>
  <c r="AJ2560" i="19" s="1"/>
  <c r="AK2560" i="19" s="1" a="1"/>
  <c r="AK2560" i="19" s="1"/>
  <c r="AH2565" i="19"/>
  <c r="AJ2565" i="19" s="1"/>
  <c r="AK2565" i="19" s="1" a="1"/>
  <c r="AK2565" i="19" s="1"/>
  <c r="AH2566" i="19"/>
  <c r="AJ2566" i="19" s="1"/>
  <c r="AK2566" i="19" s="1" a="1"/>
  <c r="AK2566" i="19" s="1"/>
  <c r="AH2568" i="19"/>
  <c r="AJ2568" i="19" s="1"/>
  <c r="AK2568" i="19" s="1" a="1"/>
  <c r="AK2568" i="19" s="1"/>
  <c r="AH2570" i="19"/>
  <c r="AJ2570" i="19" s="1"/>
  <c r="AK2570" i="19" s="1" a="1"/>
  <c r="AK2570" i="19" s="1"/>
  <c r="AH2572" i="19"/>
  <c r="AJ2572" i="19" s="1"/>
  <c r="AK2572" i="19" s="1" a="1"/>
  <c r="AK2572" i="19" s="1"/>
  <c r="AH2582" i="19"/>
  <c r="AJ2582" i="19" s="1"/>
  <c r="AK2582" i="19" s="1" a="1"/>
  <c r="AK2582" i="19" s="1"/>
  <c r="AH2583" i="19"/>
  <c r="AJ2583" i="19" s="1"/>
  <c r="AK2583" i="19" s="1" a="1"/>
  <c r="AK2583" i="19" s="1"/>
  <c r="AH2584" i="19"/>
  <c r="AJ2584" i="19" s="1"/>
  <c r="AK2584" i="19" s="1" a="1"/>
  <c r="AK2584" i="19" s="1"/>
  <c r="AH1717" i="19"/>
  <c r="AJ1717" i="19" s="1"/>
  <c r="AK1717" i="19" s="1" a="1"/>
  <c r="AK1717" i="19" s="1"/>
  <c r="AH1725" i="19"/>
  <c r="AJ1725" i="19" s="1"/>
  <c r="AK1725" i="19" s="1" a="1"/>
  <c r="AK1725" i="19" s="1"/>
  <c r="AH2116" i="19"/>
  <c r="AJ2116" i="19" s="1"/>
  <c r="AK2116" i="19" s="1" a="1"/>
  <c r="AK2116" i="19" s="1"/>
  <c r="AH2134" i="19"/>
  <c r="AJ2134" i="19" s="1"/>
  <c r="AK2134" i="19" s="1" a="1"/>
  <c r="AK2134" i="19" s="1"/>
  <c r="AH2214" i="19"/>
  <c r="AJ2214" i="19" s="1"/>
  <c r="AK2214" i="19" s="1" a="1"/>
  <c r="AK2214" i="19" s="1"/>
  <c r="AH2222" i="19"/>
  <c r="AJ2222" i="19" s="1"/>
  <c r="AK2222" i="19" s="1" a="1"/>
  <c r="AK2222" i="19" s="1"/>
  <c r="AH2321" i="19"/>
  <c r="AJ2321" i="19" s="1"/>
  <c r="AK2321" i="19" s="1" a="1"/>
  <c r="AK2321" i="19" s="1"/>
  <c r="AH2261" i="19"/>
  <c r="AJ2261" i="19" s="1"/>
  <c r="AK2261" i="19" s="1" a="1"/>
  <c r="AK2261" i="19" s="1"/>
  <c r="AH2378" i="19"/>
  <c r="AJ2378" i="19" s="1"/>
  <c r="AK2378" i="19" s="1" a="1"/>
  <c r="AK2378" i="19" s="1"/>
  <c r="AH2291" i="19"/>
  <c r="AJ2291" i="19" s="1"/>
  <c r="AK2291" i="19" s="1" a="1"/>
  <c r="AK2291" i="19" s="1"/>
  <c r="AH2416" i="19"/>
  <c r="AJ2416" i="19" s="1"/>
  <c r="AK2416" i="19" s="1" a="1"/>
  <c r="AK2416" i="19" s="1"/>
  <c r="AH2418" i="19"/>
  <c r="AJ2418" i="19" s="1"/>
  <c r="AK2418" i="19" s="1" a="1"/>
  <c r="AK2418" i="19" s="1"/>
  <c r="AH2425" i="19"/>
  <c r="AJ2425" i="19" s="1"/>
  <c r="AK2425" i="19" s="1" a="1"/>
  <c r="AK2425" i="19" s="1"/>
  <c r="AH2427" i="19"/>
  <c r="AJ2427" i="19" s="1"/>
  <c r="AK2427" i="19" s="1" a="1"/>
  <c r="AK2427" i="19" s="1"/>
  <c r="AH2431" i="19"/>
  <c r="AJ2431" i="19" s="1"/>
  <c r="AK2431" i="19" s="1" a="1"/>
  <c r="AK2431" i="19" s="1"/>
  <c r="AH2438" i="19"/>
  <c r="AJ2438" i="19" s="1"/>
  <c r="AK2438" i="19" s="1" a="1"/>
  <c r="AK2438" i="19" s="1"/>
  <c r="AH2439" i="19"/>
  <c r="AJ2439" i="19" s="1"/>
  <c r="AK2439" i="19" s="1" a="1"/>
  <c r="AK2439" i="19" s="1"/>
  <c r="AH2452" i="19"/>
  <c r="AJ2452" i="19" s="1"/>
  <c r="AK2452" i="19" s="1" a="1"/>
  <c r="AK2452" i="19" s="1"/>
  <c r="AH2453" i="19"/>
  <c r="AJ2453" i="19" s="1"/>
  <c r="AK2453" i="19" s="1" a="1"/>
  <c r="AK2453" i="19" s="1"/>
  <c r="AH2455" i="19"/>
  <c r="AJ2455" i="19" s="1"/>
  <c r="AK2455" i="19" s="1" a="1"/>
  <c r="AK2455" i="19" s="1"/>
  <c r="AH2464" i="19"/>
  <c r="AJ2464" i="19" s="1"/>
  <c r="AK2464" i="19" s="1" a="1"/>
  <c r="AK2464" i="19" s="1"/>
  <c r="AH2466" i="19"/>
  <c r="AJ2466" i="19" s="1"/>
  <c r="AK2466" i="19" s="1" a="1"/>
  <c r="AK2466" i="19" s="1"/>
  <c r="AH2469" i="19"/>
  <c r="AJ2469" i="19" s="1"/>
  <c r="AK2469" i="19" s="1" a="1"/>
  <c r="AK2469" i="19" s="1"/>
  <c r="AH2479" i="19"/>
  <c r="AJ2479" i="19" s="1"/>
  <c r="AK2479" i="19" s="1" a="1"/>
  <c r="AK2479" i="19" s="1"/>
  <c r="AH2480" i="19"/>
  <c r="AJ2480" i="19" s="1"/>
  <c r="AK2480" i="19" s="1" a="1"/>
  <c r="AK2480" i="19" s="1"/>
  <c r="AH2487" i="19"/>
  <c r="AJ2487" i="19" s="1"/>
  <c r="AK2487" i="19" s="1" a="1"/>
  <c r="AK2487" i="19" s="1"/>
  <c r="AH2488" i="19"/>
  <c r="AJ2488" i="19" s="1"/>
  <c r="AK2488" i="19" s="1" a="1"/>
  <c r="AK2488" i="19" s="1"/>
  <c r="AH2495" i="19"/>
  <c r="AJ2495" i="19" s="1"/>
  <c r="AK2495" i="19" s="1" a="1"/>
  <c r="AK2495" i="19" s="1"/>
  <c r="AH2496" i="19"/>
  <c r="AJ2496" i="19" s="1"/>
  <c r="AK2496" i="19" s="1" a="1"/>
  <c r="AK2496" i="19" s="1"/>
  <c r="AH2503" i="19"/>
  <c r="AJ2503" i="19" s="1"/>
  <c r="AK2503" i="19" s="1" a="1"/>
  <c r="AK2503" i="19" s="1"/>
  <c r="AH2504" i="19"/>
  <c r="AJ2504" i="19" s="1"/>
  <c r="AK2504" i="19" s="1" a="1"/>
  <c r="AK2504" i="19" s="1"/>
  <c r="AH2511" i="19"/>
  <c r="AJ2511" i="19" s="1"/>
  <c r="AK2511" i="19" s="1" a="1"/>
  <c r="AK2511" i="19" s="1"/>
  <c r="AH2512" i="19"/>
  <c r="AJ2512" i="19" s="1"/>
  <c r="AK2512" i="19" s="1" a="1"/>
  <c r="AK2512" i="19" s="1"/>
  <c r="AH2516" i="19"/>
  <c r="AJ2516" i="19" s="1"/>
  <c r="AK2516" i="19" s="1" a="1"/>
  <c r="AK2516" i="19" s="1"/>
  <c r="AH2524" i="19"/>
  <c r="AJ2524" i="19" s="1"/>
  <c r="AK2524" i="19" s="1" a="1"/>
  <c r="AK2524" i="19" s="1"/>
  <c r="AH2528" i="19"/>
  <c r="AJ2528" i="19" s="1"/>
  <c r="AK2528" i="19" s="1" a="1"/>
  <c r="AK2528" i="19" s="1"/>
  <c r="AH2532" i="19"/>
  <c r="AJ2532" i="19" s="1"/>
  <c r="AK2532" i="19" s="1" a="1"/>
  <c r="AK2532" i="19" s="1"/>
  <c r="AH2536" i="19"/>
  <c r="AJ2536" i="19" s="1"/>
  <c r="AK2536" i="19" s="1" a="1"/>
  <c r="AK2536" i="19" s="1"/>
  <c r="AH2537" i="19"/>
  <c r="AJ2537" i="19" s="1"/>
  <c r="AK2537" i="19" s="1" a="1"/>
  <c r="AK2537" i="19" s="1"/>
  <c r="AH2544" i="19"/>
  <c r="AJ2544" i="19" s="1"/>
  <c r="AK2544" i="19" s="1" a="1"/>
  <c r="AK2544" i="19" s="1"/>
  <c r="AH2548" i="19"/>
  <c r="AJ2548" i="19" s="1"/>
  <c r="AK2548" i="19" s="1" a="1"/>
  <c r="AK2548" i="19" s="1"/>
  <c r="AH2551" i="19"/>
  <c r="AJ2551" i="19" s="1"/>
  <c r="AK2551" i="19" s="1" a="1"/>
  <c r="AK2551" i="19" s="1"/>
  <c r="AH2552" i="19"/>
  <c r="AJ2552" i="19" s="1"/>
  <c r="AK2552" i="19" s="1" a="1"/>
  <c r="AK2552" i="19" s="1"/>
  <c r="AH2553" i="19"/>
  <c r="AJ2553" i="19" s="1"/>
  <c r="AK2553" i="19" s="1" a="1"/>
  <c r="AK2553" i="19" s="1"/>
  <c r="AH2564" i="19"/>
  <c r="AJ2564" i="19" s="1"/>
  <c r="AK2564" i="19" s="1" a="1"/>
  <c r="AK2564" i="19" s="1"/>
  <c r="AH2567" i="19"/>
  <c r="AJ2567" i="19" s="1"/>
  <c r="AK2567" i="19" s="1" a="1"/>
  <c r="AK2567" i="19" s="1"/>
  <c r="AH2571" i="19"/>
  <c r="AJ2571" i="19" s="1"/>
  <c r="AK2571" i="19" s="1" a="1"/>
  <c r="AK2571" i="19" s="1"/>
  <c r="AH2578" i="19"/>
  <c r="AJ2578" i="19" s="1"/>
  <c r="AK2578" i="19" s="1" a="1"/>
  <c r="AK2578" i="19" s="1"/>
  <c r="AH2579" i="19"/>
  <c r="AJ2579" i="19" s="1"/>
  <c r="AK2579" i="19" s="1" a="1"/>
  <c r="AK2579" i="19" s="1"/>
  <c r="AH2581" i="19"/>
  <c r="AJ2581" i="19" s="1"/>
  <c r="AK2581" i="19" s="1" a="1"/>
  <c r="AK2581" i="19" s="1"/>
  <c r="AH2589" i="19"/>
  <c r="AJ2589" i="19" s="1"/>
  <c r="AK2589" i="19" s="1" a="1"/>
  <c r="AK2589" i="19" s="1"/>
  <c r="AH2590" i="19"/>
  <c r="AJ2590" i="19" s="1"/>
  <c r="AK2590" i="19" s="1" a="1"/>
  <c r="AK2590" i="19" s="1"/>
  <c r="AH1755" i="19"/>
  <c r="AJ1755" i="19" s="1"/>
  <c r="AK1755" i="19" s="1" a="1"/>
  <c r="AK1755" i="19" s="1"/>
  <c r="AH1735" i="19"/>
  <c r="AJ1735" i="19" s="1"/>
  <c r="AK1735" i="19" s="1" a="1"/>
  <c r="AK1735" i="19" s="1"/>
  <c r="AH1736" i="19"/>
  <c r="AJ1736" i="19" s="1"/>
  <c r="AK1736" i="19" s="1" a="1"/>
  <c r="AK1736" i="19" s="1"/>
  <c r="AH1785" i="19"/>
  <c r="AJ1785" i="19" s="1"/>
  <c r="AK1785" i="19" s="1" a="1"/>
  <c r="AK1785" i="19" s="1"/>
  <c r="AH1786" i="19"/>
  <c r="AJ1786" i="19" s="1"/>
  <c r="AK1786" i="19" s="1" a="1"/>
  <c r="AK1786" i="19" s="1"/>
  <c r="AH2360" i="19"/>
  <c r="AJ2360" i="19" s="1"/>
  <c r="AK2360" i="19" s="1" a="1"/>
  <c r="AK2360" i="19" s="1"/>
  <c r="AH2233" i="19"/>
  <c r="AJ2233" i="19" s="1"/>
  <c r="AK2233" i="19" s="1" a="1"/>
  <c r="AK2233" i="19" s="1"/>
  <c r="AH2369" i="19"/>
  <c r="AJ2369" i="19" s="1"/>
  <c r="AK2369" i="19" s="1" a="1"/>
  <c r="AK2369" i="19" s="1"/>
  <c r="AH2296" i="19"/>
  <c r="AJ2296" i="19" s="1"/>
  <c r="AK2296" i="19" s="1" a="1"/>
  <c r="AK2296" i="19" s="1"/>
  <c r="AH2299" i="19"/>
  <c r="AJ2299" i="19" s="1"/>
  <c r="AK2299" i="19" s="1" a="1"/>
  <c r="AK2299" i="19" s="1"/>
  <c r="AH2304" i="19"/>
  <c r="AJ2304" i="19" s="1"/>
  <c r="AK2304" i="19" s="1" a="1"/>
  <c r="AK2304" i="19" s="1"/>
  <c r="AH2374" i="19"/>
  <c r="AJ2374" i="19" s="1"/>
  <c r="AK2374" i="19" s="1" a="1"/>
  <c r="AK2374" i="19" s="1"/>
  <c r="AH2306" i="19"/>
  <c r="AJ2306" i="19" s="1"/>
  <c r="AK2306" i="19" s="1" a="1"/>
  <c r="AK2306" i="19" s="1"/>
  <c r="AH2315" i="19"/>
  <c r="AJ2315" i="19" s="1"/>
  <c r="AK2315" i="19" s="1" a="1"/>
  <c r="AK2315" i="19" s="1"/>
  <c r="AH2332" i="19"/>
  <c r="AJ2332" i="19" s="1"/>
  <c r="AK2332" i="19" s="1" a="1"/>
  <c r="AK2332" i="19" s="1"/>
  <c r="AH2334" i="19"/>
  <c r="AJ2334" i="19" s="1"/>
  <c r="AK2334" i="19" s="1" a="1"/>
  <c r="AK2334" i="19" s="1"/>
  <c r="AH2381" i="19"/>
  <c r="AJ2381" i="19" s="1"/>
  <c r="AK2381" i="19" s="1" a="1"/>
  <c r="AK2381" i="19" s="1"/>
  <c r="AH2424" i="19"/>
  <c r="AJ2424" i="19" s="1"/>
  <c r="AK2424" i="19" s="1" a="1"/>
  <c r="AK2424" i="19" s="1"/>
  <c r="AH2426" i="19"/>
  <c r="AJ2426" i="19" s="1"/>
  <c r="AK2426" i="19" s="1" a="1"/>
  <c r="AK2426" i="19" s="1"/>
  <c r="AH2437" i="19"/>
  <c r="AJ2437" i="19" s="1"/>
  <c r="AK2437" i="19" s="1" a="1"/>
  <c r="AK2437" i="19" s="1"/>
  <c r="AH2440" i="19"/>
  <c r="AJ2440" i="19" s="1"/>
  <c r="AK2440" i="19" s="1" a="1"/>
  <c r="AK2440" i="19" s="1"/>
  <c r="AH2446" i="19"/>
  <c r="AJ2446" i="19" s="1"/>
  <c r="AK2446" i="19" s="1" a="1"/>
  <c r="AK2446" i="19" s="1"/>
  <c r="AH2454" i="19"/>
  <c r="AJ2454" i="19" s="1"/>
  <c r="AK2454" i="19" s="1" a="1"/>
  <c r="AK2454" i="19" s="1"/>
  <c r="AH2460" i="19"/>
  <c r="AJ2460" i="19" s="1"/>
  <c r="AK2460" i="19" s="1" a="1"/>
  <c r="AK2460" i="19" s="1"/>
  <c r="AH2461" i="19"/>
  <c r="AJ2461" i="19" s="1"/>
  <c r="AK2461" i="19" s="1" a="1"/>
  <c r="AK2461" i="19" s="1"/>
  <c r="AH2465" i="19"/>
  <c r="AJ2465" i="19" s="1"/>
  <c r="AK2465" i="19" s="1" a="1"/>
  <c r="AK2465" i="19" s="1"/>
  <c r="AH2470" i="19"/>
  <c r="AJ2470" i="19" s="1"/>
  <c r="AK2470" i="19" s="1" a="1"/>
  <c r="AK2470" i="19" s="1"/>
  <c r="AH2471" i="19"/>
  <c r="AJ2471" i="19" s="1"/>
  <c r="AK2471" i="19" s="1" a="1"/>
  <c r="AK2471" i="19" s="1"/>
  <c r="AH2476" i="19"/>
  <c r="AJ2476" i="19" s="1"/>
  <c r="AK2476" i="19" s="1" a="1"/>
  <c r="AK2476" i="19" s="1"/>
  <c r="AH2484" i="19"/>
  <c r="AJ2484" i="19" s="1"/>
  <c r="AK2484" i="19" s="1" a="1"/>
  <c r="AK2484" i="19" s="1"/>
  <c r="AH2492" i="19"/>
  <c r="AJ2492" i="19" s="1"/>
  <c r="AK2492" i="19" s="1" a="1"/>
  <c r="AK2492" i="19" s="1"/>
  <c r="AH2500" i="19"/>
  <c r="AJ2500" i="19" s="1"/>
  <c r="AK2500" i="19" s="1" a="1"/>
  <c r="AK2500" i="19" s="1"/>
  <c r="AH2508" i="19"/>
  <c r="AJ2508" i="19" s="1"/>
  <c r="AK2508" i="19" s="1" a="1"/>
  <c r="AK2508" i="19" s="1"/>
  <c r="AH2521" i="19"/>
  <c r="AJ2521" i="19" s="1"/>
  <c r="AK2521" i="19" s="1" a="1"/>
  <c r="AK2521" i="19" s="1"/>
  <c r="AH2522" i="19"/>
  <c r="AJ2522" i="19" s="1"/>
  <c r="AK2522" i="19" s="1" a="1"/>
  <c r="AK2522" i="19" s="1"/>
  <c r="AH2534" i="19"/>
  <c r="AJ2534" i="19" s="1"/>
  <c r="AK2534" i="19" s="1" a="1"/>
  <c r="AK2534" i="19" s="1"/>
  <c r="AH2535" i="19"/>
  <c r="AJ2535" i="19" s="1"/>
  <c r="AK2535" i="19" s="1" a="1"/>
  <c r="AK2535" i="19" s="1"/>
  <c r="AH2550" i="19"/>
  <c r="AJ2550" i="19" s="1"/>
  <c r="AK2550" i="19" s="1" a="1"/>
  <c r="AK2550" i="19" s="1"/>
  <c r="AH2561" i="19"/>
  <c r="AJ2561" i="19" s="1"/>
  <c r="AK2561" i="19" s="1" a="1"/>
  <c r="AK2561" i="19" s="1"/>
  <c r="AH2562" i="19"/>
  <c r="AJ2562" i="19" s="1"/>
  <c r="AK2562" i="19" s="1" a="1"/>
  <c r="AK2562" i="19" s="1"/>
  <c r="AH2574" i="19"/>
  <c r="AJ2574" i="19" s="1"/>
  <c r="AK2574" i="19" s="1" a="1"/>
  <c r="AK2574" i="19" s="1"/>
  <c r="AH2575" i="19"/>
  <c r="AJ2575" i="19" s="1"/>
  <c r="AK2575" i="19" s="1" a="1"/>
  <c r="AK2575" i="19" s="1"/>
  <c r="AH2577" i="19"/>
  <c r="AJ2577" i="19" s="1"/>
  <c r="AK2577" i="19" s="1" a="1"/>
  <c r="AK2577" i="19" s="1"/>
  <c r="AH2580" i="19"/>
  <c r="AJ2580" i="19" s="1"/>
  <c r="AK2580" i="19" s="1" a="1"/>
  <c r="AK2580" i="19" s="1"/>
  <c r="AH2586" i="19"/>
  <c r="AJ2586" i="19" s="1"/>
  <c r="AK2586" i="19" s="1" a="1"/>
  <c r="AK2586" i="19" s="1"/>
  <c r="AH2587" i="19"/>
  <c r="AJ2587" i="19" s="1"/>
  <c r="AK2587" i="19" s="1" a="1"/>
  <c r="AK2587" i="19" s="1"/>
  <c r="AH2588" i="19"/>
  <c r="AJ2588" i="19" s="1"/>
  <c r="AK2588" i="19" s="1" a="1"/>
  <c r="AK2588" i="19" s="1"/>
  <c r="AH2591" i="19"/>
  <c r="AJ2591" i="19" s="1"/>
  <c r="AK2591" i="19" s="1" a="1"/>
  <c r="AK2591" i="19" s="1"/>
  <c r="AH1720" i="19"/>
  <c r="AJ1720" i="19" s="1"/>
  <c r="AK1720" i="19" s="1" a="1"/>
  <c r="AK1720" i="19" s="1"/>
  <c r="AH1728" i="19"/>
  <c r="AJ1728" i="19" s="1"/>
  <c r="AK1728" i="19" s="1" a="1"/>
  <c r="AK1728" i="19" s="1"/>
  <c r="AH1748" i="19"/>
  <c r="AJ1748" i="19" s="1"/>
  <c r="AK1748" i="19" s="1" a="1"/>
  <c r="AK1748" i="19" s="1"/>
  <c r="AH2187" i="19"/>
  <c r="AJ2187" i="19" s="1"/>
  <c r="AK2187" i="19" s="1" a="1"/>
  <c r="AK2187" i="19" s="1"/>
  <c r="AH2411" i="19"/>
  <c r="AJ2411" i="19" s="1"/>
  <c r="AK2411" i="19" s="1" a="1"/>
  <c r="AK2411" i="19" s="1"/>
  <c r="AH2417" i="19"/>
  <c r="AJ2417" i="19" s="1"/>
  <c r="AK2417" i="19" s="1" a="1"/>
  <c r="AK2417" i="19" s="1"/>
  <c r="AH2430" i="19"/>
  <c r="AJ2430" i="19" s="1"/>
  <c r="AK2430" i="19" s="1" a="1"/>
  <c r="AK2430" i="19" s="1"/>
  <c r="AH2444" i="19"/>
  <c r="AJ2444" i="19" s="1"/>
  <c r="AK2444" i="19" s="1" a="1"/>
  <c r="AK2444" i="19" s="1"/>
  <c r="AH2474" i="19"/>
  <c r="AJ2474" i="19" s="1"/>
  <c r="AK2474" i="19" s="1" a="1"/>
  <c r="AK2474" i="19" s="1"/>
  <c r="AH2482" i="19"/>
  <c r="AJ2482" i="19" s="1"/>
  <c r="AK2482" i="19" s="1" a="1"/>
  <c r="AK2482" i="19" s="1"/>
  <c r="AH2490" i="19"/>
  <c r="AJ2490" i="19" s="1"/>
  <c r="AK2490" i="19" s="1" a="1"/>
  <c r="AK2490" i="19" s="1"/>
  <c r="AH2505" i="19"/>
  <c r="AJ2505" i="19" s="1"/>
  <c r="AK2505" i="19" s="1" a="1"/>
  <c r="AK2505" i="19" s="1"/>
  <c r="AH2523" i="19"/>
  <c r="AJ2523" i="19" s="1"/>
  <c r="AK2523" i="19" s="1" a="1"/>
  <c r="AK2523" i="19" s="1"/>
  <c r="AH2530" i="19"/>
  <c r="AJ2530" i="19" s="1"/>
  <c r="AK2530" i="19" s="1" a="1"/>
  <c r="AK2530" i="19" s="1"/>
  <c r="AH2541" i="19"/>
  <c r="AJ2541" i="19" s="1"/>
  <c r="AK2541" i="19" s="1" a="1"/>
  <c r="AK2541" i="19" s="1"/>
  <c r="AH2546" i="19"/>
  <c r="AJ2546" i="19" s="1"/>
  <c r="AK2546" i="19" s="1" a="1"/>
  <c r="AK2546" i="19" s="1"/>
  <c r="AH2549" i="19"/>
  <c r="AJ2549" i="19" s="1"/>
  <c r="AK2549" i="19" s="1" a="1"/>
  <c r="AK2549" i="19" s="1"/>
  <c r="AH2555" i="19"/>
  <c r="AJ2555" i="19" s="1"/>
  <c r="AK2555" i="19" s="1" a="1"/>
  <c r="AK2555" i="19" s="1"/>
  <c r="AH2563" i="19"/>
  <c r="AJ2563" i="19" s="1"/>
  <c r="AK2563" i="19" s="1" a="1"/>
  <c r="AK2563" i="19" s="1"/>
  <c r="AH1738" i="19"/>
  <c r="AJ1738" i="19" s="1"/>
  <c r="AK1738" i="19" s="1" a="1"/>
  <c r="AK1738" i="19" s="1"/>
  <c r="AH1726" i="19"/>
  <c r="AJ1726" i="19" s="1"/>
  <c r="AK1726" i="19" s="1" a="1"/>
  <c r="AK1726" i="19" s="1"/>
  <c r="AH1750" i="19"/>
  <c r="AJ1750" i="19" s="1"/>
  <c r="AK1750" i="19" s="1" a="1"/>
  <c r="AK1750" i="19" s="1"/>
  <c r="AH1760" i="19"/>
  <c r="AJ1760" i="19" s="1"/>
  <c r="AK1760" i="19" s="1" a="1"/>
  <c r="AK1760" i="19" s="1"/>
  <c r="AH1766" i="19"/>
  <c r="AJ1766" i="19" s="1"/>
  <c r="AK1766" i="19" s="1" a="1"/>
  <c r="AK1766" i="19" s="1"/>
  <c r="AH1775" i="19"/>
  <c r="AJ1775" i="19" s="1"/>
  <c r="AK1775" i="19" s="1" a="1"/>
  <c r="AK1775" i="19" s="1"/>
  <c r="AH1781" i="19"/>
  <c r="AJ1781" i="19" s="1"/>
  <c r="AK1781" i="19" s="1" a="1"/>
  <c r="AK1781" i="19" s="1"/>
  <c r="AH1770" i="19"/>
  <c r="AJ1770" i="19" s="1"/>
  <c r="AK1770" i="19" s="1" a="1"/>
  <c r="AK1770" i="19" s="1"/>
  <c r="AH1771" i="19"/>
  <c r="AJ1771" i="19" s="1"/>
  <c r="AK1771" i="19" s="1" a="1"/>
  <c r="AK1771" i="19" s="1"/>
  <c r="AH1861" i="19"/>
  <c r="AJ1861" i="19" s="1"/>
  <c r="AK1861" i="19" s="1" a="1"/>
  <c r="AK1861" i="19" s="1"/>
  <c r="AH1862" i="19"/>
  <c r="AJ1862" i="19" s="1"/>
  <c r="AK1862" i="19" s="1" a="1"/>
  <c r="AK1862" i="19" s="1"/>
  <c r="AH1863" i="19"/>
  <c r="AJ1863" i="19" s="1"/>
  <c r="AK1863" i="19" s="1" a="1"/>
  <c r="AK1863" i="19" s="1"/>
  <c r="AH1860" i="19"/>
  <c r="AJ1860" i="19" s="1"/>
  <c r="AK1860" i="19" s="1" a="1"/>
  <c r="AK1860" i="19" s="1"/>
  <c r="AH1794" i="19"/>
  <c r="AJ1794" i="19" s="1"/>
  <c r="AK1794" i="19" s="1" a="1"/>
  <c r="AK1794" i="19" s="1"/>
  <c r="AH1796" i="19"/>
  <c r="AJ1796" i="19" s="1"/>
  <c r="AK1796" i="19" s="1" a="1"/>
  <c r="AK1796" i="19" s="1"/>
  <c r="AH1799" i="19"/>
  <c r="AJ1799" i="19" s="1"/>
  <c r="AK1799" i="19" s="1" a="1"/>
  <c r="AK1799" i="19" s="1"/>
  <c r="AH1806" i="19"/>
  <c r="AJ1806" i="19" s="1"/>
  <c r="AK1806" i="19" s="1" a="1"/>
  <c r="AK1806" i="19" s="1"/>
  <c r="AH1807" i="19"/>
  <c r="AJ1807" i="19" s="1"/>
  <c r="AK1807" i="19" s="1" a="1"/>
  <c r="AK1807" i="19" s="1"/>
  <c r="AH1820" i="19"/>
  <c r="AJ1820" i="19" s="1"/>
  <c r="AK1820" i="19" s="1" a="1"/>
  <c r="AK1820" i="19" s="1"/>
  <c r="AH1827" i="19"/>
  <c r="AJ1827" i="19" s="1"/>
  <c r="AK1827" i="19" s="1" a="1"/>
  <c r="AK1827" i="19" s="1"/>
  <c r="AH1847" i="19"/>
  <c r="AJ1847" i="19" s="1"/>
  <c r="AK1847" i="19" s="1" a="1"/>
  <c r="AK1847" i="19" s="1"/>
  <c r="AH1851" i="19"/>
  <c r="AJ1851" i="19" s="1"/>
  <c r="AK1851" i="19" s="1" a="1"/>
  <c r="AK1851" i="19" s="1"/>
  <c r="AH1849" i="19"/>
  <c r="AJ1849" i="19" s="1"/>
  <c r="AK1849" i="19" s="1" a="1"/>
  <c r="AK1849" i="19" s="1"/>
  <c r="AH1871" i="19"/>
  <c r="AJ1871" i="19" s="1"/>
  <c r="AK1871" i="19" s="1" a="1"/>
  <c r="AK1871" i="19" s="1"/>
  <c r="AH1854" i="19"/>
  <c r="AJ1854" i="19" s="1"/>
  <c r="AK1854" i="19" s="1" a="1"/>
  <c r="AK1854" i="19" s="1"/>
  <c r="AH1855" i="19"/>
  <c r="AJ1855" i="19" s="1"/>
  <c r="AK1855" i="19" s="1" a="1"/>
  <c r="AK1855" i="19" s="1"/>
  <c r="AH1868" i="19"/>
  <c r="AJ1868" i="19" s="1"/>
  <c r="AK1868" i="19" s="1" a="1"/>
  <c r="AK1868" i="19" s="1"/>
  <c r="AH1719" i="19"/>
  <c r="AJ1719" i="19" s="1"/>
  <c r="AK1719" i="19" s="1" a="1"/>
  <c r="AK1719" i="19" s="1"/>
  <c r="AH2140" i="19"/>
  <c r="AJ2140" i="19" s="1"/>
  <c r="AK2140" i="19" s="1" a="1"/>
  <c r="AK2140" i="19" s="1"/>
  <c r="AH2230" i="19"/>
  <c r="AJ2230" i="19" s="1"/>
  <c r="AK2230" i="19" s="1" a="1"/>
  <c r="AK2230" i="19" s="1"/>
  <c r="AH2400" i="19"/>
  <c r="AJ2400" i="19" s="1"/>
  <c r="AK2400" i="19" s="1" a="1"/>
  <c r="AK2400" i="19" s="1"/>
  <c r="AH2436" i="19"/>
  <c r="AJ2436" i="19" s="1"/>
  <c r="AK2436" i="19" s="1" a="1"/>
  <c r="AK2436" i="19" s="1"/>
  <c r="AH2451" i="19"/>
  <c r="AJ2451" i="19" s="1"/>
  <c r="AK2451" i="19" s="1" a="1"/>
  <c r="AK2451" i="19" s="1"/>
  <c r="AH2456" i="19"/>
  <c r="AJ2456" i="19" s="1"/>
  <c r="AK2456" i="19" s="1" a="1"/>
  <c r="AK2456" i="19" s="1"/>
  <c r="AH2472" i="19"/>
  <c r="AJ2472" i="19" s="1"/>
  <c r="AK2472" i="19" s="1" a="1"/>
  <c r="AK2472" i="19" s="1"/>
  <c r="AH2497" i="19"/>
  <c r="AJ2497" i="19" s="1"/>
  <c r="AK2497" i="19" s="1" a="1"/>
  <c r="AK2497" i="19" s="1"/>
  <c r="AH2514" i="19"/>
  <c r="AJ2514" i="19" s="1"/>
  <c r="AK2514" i="19" s="1" a="1"/>
  <c r="AK2514" i="19" s="1"/>
  <c r="AH2517" i="19"/>
  <c r="AJ2517" i="19" s="1"/>
  <c r="AK2517" i="19" s="1" a="1"/>
  <c r="AK2517" i="19" s="1"/>
  <c r="AH2526" i="19"/>
  <c r="AJ2526" i="19" s="1"/>
  <c r="AK2526" i="19" s="1" a="1"/>
  <c r="AK2526" i="19" s="1"/>
  <c r="AH2533" i="19"/>
  <c r="AJ2533" i="19" s="1"/>
  <c r="AK2533" i="19" s="1" a="1"/>
  <c r="AK2533" i="19" s="1"/>
  <c r="AH2558" i="19"/>
  <c r="AJ2558" i="19" s="1"/>
  <c r="AK2558" i="19" s="1" a="1"/>
  <c r="AK2558" i="19" s="1"/>
  <c r="AH2569" i="19"/>
  <c r="AJ2569" i="19" s="1"/>
  <c r="AK2569" i="19" s="1" a="1"/>
  <c r="AK2569" i="19" s="1"/>
  <c r="AH1737" i="19"/>
  <c r="AJ1737" i="19" s="1"/>
  <c r="AK1737" i="19" s="1" a="1"/>
  <c r="AK1737" i="19" s="1"/>
  <c r="AH1733" i="19"/>
  <c r="AJ1733" i="19" s="1"/>
  <c r="AK1733" i="19" s="1" a="1"/>
  <c r="AK1733" i="19" s="1"/>
  <c r="AH1753" i="19"/>
  <c r="AJ1753" i="19" s="1"/>
  <c r="AK1753" i="19" s="1" a="1"/>
  <c r="AK1753" i="19" s="1"/>
  <c r="AH2342" i="19"/>
  <c r="AJ2342" i="19" s="1"/>
  <c r="AK2342" i="19" s="1" a="1"/>
  <c r="AK2342" i="19" s="1"/>
  <c r="AH1756" i="19"/>
  <c r="AJ1756" i="19" s="1"/>
  <c r="AK1756" i="19" s="1" a="1"/>
  <c r="AK1756" i="19" s="1"/>
  <c r="AH1758" i="19"/>
  <c r="AJ1758" i="19" s="1"/>
  <c r="AK1758" i="19" s="1" a="1"/>
  <c r="AK1758" i="19" s="1"/>
  <c r="AH1765" i="19"/>
  <c r="AJ1765" i="19" s="1"/>
  <c r="AK1765" i="19" s="1" a="1"/>
  <c r="AK1765" i="19" s="1"/>
  <c r="AH1764" i="19"/>
  <c r="AJ1764" i="19" s="1"/>
  <c r="AK1764" i="19" s="1" a="1"/>
  <c r="AK1764" i="19" s="1"/>
  <c r="AH1784" i="19"/>
  <c r="AJ1784" i="19" s="1"/>
  <c r="AK1784" i="19" s="1" a="1"/>
  <c r="AK1784" i="19" s="1"/>
  <c r="AH1777" i="19"/>
  <c r="AJ1777" i="19" s="1"/>
  <c r="AK1777" i="19" s="1" a="1"/>
  <c r="AK1777" i="19" s="1"/>
  <c r="AH1778" i="19"/>
  <c r="AJ1778" i="19" s="1"/>
  <c r="AK1778" i="19" s="1" a="1"/>
  <c r="AK1778" i="19" s="1"/>
  <c r="AH1773" i="19"/>
  <c r="AJ1773" i="19" s="1"/>
  <c r="AK1773" i="19" s="1" a="1"/>
  <c r="AK1773" i="19" s="1"/>
  <c r="AH1772" i="19"/>
  <c r="AJ1772" i="19" s="1"/>
  <c r="AK1772" i="19" s="1" a="1"/>
  <c r="AK1772" i="19" s="1"/>
  <c r="AH1787" i="19"/>
  <c r="AJ1787" i="19" s="1"/>
  <c r="AK1787" i="19" s="1" a="1"/>
  <c r="AK1787" i="19" s="1"/>
  <c r="AH1793" i="19"/>
  <c r="AJ1793" i="19" s="1"/>
  <c r="AK1793" i="19" s="1" a="1"/>
  <c r="AK1793" i="19" s="1"/>
  <c r="AH1817" i="19"/>
  <c r="AJ1817" i="19" s="1"/>
  <c r="AK1817" i="19" s="1" a="1"/>
  <c r="AK1817" i="19" s="1"/>
  <c r="AH1800" i="19"/>
  <c r="AJ1800" i="19" s="1"/>
  <c r="AK1800" i="19" s="1" a="1"/>
  <c r="AK1800" i="19" s="1"/>
  <c r="AH1812" i="19"/>
  <c r="AJ1812" i="19" s="1"/>
  <c r="AK1812" i="19" s="1" a="1"/>
  <c r="AK1812" i="19" s="1"/>
  <c r="AH1811" i="19"/>
  <c r="AJ1811" i="19" s="1"/>
  <c r="AK1811" i="19" s="1" a="1"/>
  <c r="AK1811" i="19" s="1"/>
  <c r="AH1814" i="19"/>
  <c r="AJ1814" i="19" s="1"/>
  <c r="AK1814" i="19" s="1" a="1"/>
  <c r="AK1814" i="19" s="1"/>
  <c r="AH1823" i="19"/>
  <c r="AJ1823" i="19" s="1"/>
  <c r="AK1823" i="19" s="1" a="1"/>
  <c r="AK1823" i="19" s="1"/>
  <c r="AH1824" i="19"/>
  <c r="AJ1824" i="19" s="1"/>
  <c r="AK1824" i="19" s="1" a="1"/>
  <c r="AK1824" i="19" s="1"/>
  <c r="AH1829" i="19"/>
  <c r="AJ1829" i="19" s="1"/>
  <c r="AK1829" i="19" s="1" a="1"/>
  <c r="AK1829" i="19" s="1"/>
  <c r="AH1848" i="19"/>
  <c r="AJ1848" i="19" s="1"/>
  <c r="AK1848" i="19" s="1" a="1"/>
  <c r="AK1848" i="19" s="1"/>
  <c r="AH1872" i="19"/>
  <c r="AJ1872" i="19" s="1"/>
  <c r="AK1872" i="19" s="1" a="1"/>
  <c r="AK1872" i="19" s="1"/>
  <c r="AH1873" i="19"/>
  <c r="AJ1873" i="19" s="1"/>
  <c r="AK1873" i="19" s="1" a="1"/>
  <c r="AK1873" i="19" s="1"/>
  <c r="AH1869" i="19"/>
  <c r="AJ1869" i="19" s="1"/>
  <c r="AK1869" i="19" s="1" a="1"/>
  <c r="AK1869" i="19" s="1"/>
  <c r="AH1852" i="19"/>
  <c r="AJ1852" i="19" s="1"/>
  <c r="AK1852" i="19" s="1" a="1"/>
  <c r="AK1852" i="19" s="1"/>
  <c r="AH2131" i="19"/>
  <c r="AH2310" i="19"/>
  <c r="AJ2310" i="19" s="1"/>
  <c r="AK2310" i="19" s="1" a="1"/>
  <c r="AK2310" i="19" s="1"/>
  <c r="AH2409" i="19"/>
  <c r="AJ2409" i="19" s="1"/>
  <c r="AK2409" i="19" s="1" a="1"/>
  <c r="AK2409" i="19" s="1"/>
  <c r="AH2419" i="19"/>
  <c r="AJ2419" i="19" s="1"/>
  <c r="AK2419" i="19" s="1" a="1"/>
  <c r="AK2419" i="19" s="1"/>
  <c r="AH2443" i="19"/>
  <c r="AJ2443" i="19" s="1"/>
  <c r="AK2443" i="19" s="1" a="1"/>
  <c r="AK2443" i="19" s="1"/>
  <c r="AH2445" i="19"/>
  <c r="AJ2445" i="19" s="1"/>
  <c r="AK2445" i="19" s="1" a="1"/>
  <c r="AK2445" i="19" s="1"/>
  <c r="AH2459" i="19"/>
  <c r="AJ2459" i="19" s="1"/>
  <c r="AK2459" i="19" s="1" a="1"/>
  <c r="AK2459" i="19" s="1"/>
  <c r="AH2467" i="19"/>
  <c r="AJ2467" i="19" s="1"/>
  <c r="AK2467" i="19" s="1" a="1"/>
  <c r="AK2467" i="19" s="1"/>
  <c r="AH2481" i="19"/>
  <c r="AJ2481" i="19" s="1"/>
  <c r="AK2481" i="19" s="1" a="1"/>
  <c r="AK2481" i="19" s="1"/>
  <c r="AH2489" i="19"/>
  <c r="AJ2489" i="19" s="1"/>
  <c r="AK2489" i="19" s="1" a="1"/>
  <c r="AK2489" i="19" s="1"/>
  <c r="AH2506" i="19"/>
  <c r="AJ2506" i="19" s="1"/>
  <c r="AK2506" i="19" s="1" a="1"/>
  <c r="AK2506" i="19" s="1"/>
  <c r="AH2529" i="19"/>
  <c r="AJ2529" i="19" s="1"/>
  <c r="AK2529" i="19" s="1" a="1"/>
  <c r="AK2529" i="19" s="1"/>
  <c r="AH2540" i="19"/>
  <c r="AJ2540" i="19" s="1"/>
  <c r="AK2540" i="19" s="1" a="1"/>
  <c r="AK2540" i="19" s="1"/>
  <c r="AH2542" i="19"/>
  <c r="AJ2542" i="19" s="1"/>
  <c r="AK2542" i="19" s="1" a="1"/>
  <c r="AK2542" i="19" s="1"/>
  <c r="AH2545" i="19"/>
  <c r="AJ2545" i="19" s="1"/>
  <c r="AK2545" i="19" s="1" a="1"/>
  <c r="AK2545" i="19" s="1"/>
  <c r="AH2554" i="19"/>
  <c r="AJ2554" i="19" s="1"/>
  <c r="AK2554" i="19" s="1" a="1"/>
  <c r="AK2554" i="19" s="1"/>
  <c r="AH2576" i="19"/>
  <c r="AJ2576" i="19" s="1"/>
  <c r="AK2576" i="19" s="1" a="1"/>
  <c r="AK2576" i="19" s="1"/>
  <c r="AH1734" i="19"/>
  <c r="AJ1734" i="19" s="1"/>
  <c r="AK1734" i="19" s="1" a="1"/>
  <c r="AK1734" i="19" s="1"/>
  <c r="AH1754" i="19"/>
  <c r="AJ1754" i="19" s="1"/>
  <c r="AK1754" i="19" s="1" a="1"/>
  <c r="AK1754" i="19" s="1"/>
  <c r="AH1749" i="19"/>
  <c r="AJ1749" i="19" s="1"/>
  <c r="AK1749" i="19" s="1" a="1"/>
  <c r="AK1749" i="19" s="1"/>
  <c r="AH1757" i="19"/>
  <c r="AJ1757" i="19" s="1"/>
  <c r="AK1757" i="19" s="1" a="1"/>
  <c r="AK1757" i="19" s="1"/>
  <c r="AH1759" i="19"/>
  <c r="AJ1759" i="19" s="1"/>
  <c r="AK1759" i="19" s="1" a="1"/>
  <c r="AK1759" i="19" s="1"/>
  <c r="AH1767" i="19"/>
  <c r="AJ1767" i="19" s="1"/>
  <c r="AK1767" i="19" s="1" a="1"/>
  <c r="AK1767" i="19" s="1"/>
  <c r="AH1776" i="19"/>
  <c r="AJ1776" i="19" s="1"/>
  <c r="AK1776" i="19" s="1" a="1"/>
  <c r="AK1776" i="19" s="1"/>
  <c r="AH1779" i="19"/>
  <c r="AJ1779" i="19" s="1"/>
  <c r="AK1779" i="19" s="1" a="1"/>
  <c r="AK1779" i="19" s="1"/>
  <c r="AH1769" i="19"/>
  <c r="AJ1769" i="19" s="1"/>
  <c r="AK1769" i="19" s="1" a="1"/>
  <c r="AK1769" i="19" s="1"/>
  <c r="AH1788" i="19"/>
  <c r="AJ1788" i="19" s="1"/>
  <c r="AK1788" i="19" s="1" a="1"/>
  <c r="AK1788" i="19" s="1"/>
  <c r="AH1795" i="19"/>
  <c r="AJ1795" i="19" s="1"/>
  <c r="AK1795" i="19" s="1" a="1"/>
  <c r="AK1795" i="19" s="1"/>
  <c r="AH1798" i="19"/>
  <c r="AJ1798" i="19" s="1"/>
  <c r="AK1798" i="19" s="1" a="1"/>
  <c r="AK1798" i="19" s="1"/>
  <c r="AH2354" i="19"/>
  <c r="AJ2354" i="19" s="1"/>
  <c r="AK2354" i="19" s="1" a="1"/>
  <c r="AK2354" i="19" s="1"/>
  <c r="AH2355" i="19"/>
  <c r="AJ2355" i="19" s="1"/>
  <c r="AK2355" i="19" s="1" a="1"/>
  <c r="AK2355" i="19" s="1"/>
  <c r="AH1816" i="19"/>
  <c r="AJ1816" i="19" s="1"/>
  <c r="AK1816" i="19" s="1" a="1"/>
  <c r="AK1816" i="19" s="1"/>
  <c r="AH1803" i="19"/>
  <c r="AJ1803" i="19" s="1"/>
  <c r="AK1803" i="19" s="1" a="1"/>
  <c r="AK1803" i="19" s="1"/>
  <c r="AH1804" i="19"/>
  <c r="AJ1804" i="19" s="1"/>
  <c r="AK1804" i="19" s="1" a="1"/>
  <c r="AK1804" i="19" s="1"/>
  <c r="AH1810" i="19"/>
  <c r="AJ1810" i="19" s="1"/>
  <c r="AK1810" i="19" s="1" a="1"/>
  <c r="AK1810" i="19" s="1"/>
  <c r="AH1809" i="19"/>
  <c r="AJ1809" i="19" s="1"/>
  <c r="AK1809" i="19" s="1" a="1"/>
  <c r="AK1809" i="19" s="1"/>
  <c r="AH1822" i="19"/>
  <c r="AJ1822" i="19" s="1"/>
  <c r="AK1822" i="19" s="1" a="1"/>
  <c r="AK1822" i="19" s="1"/>
  <c r="AH1826" i="19"/>
  <c r="AJ1826" i="19" s="1"/>
  <c r="AK1826" i="19" s="1" a="1"/>
  <c r="AK1826" i="19" s="1"/>
  <c r="AH1846" i="19"/>
  <c r="AJ1846" i="19" s="1"/>
  <c r="AK1846" i="19" s="1" a="1"/>
  <c r="AK1846" i="19" s="1"/>
  <c r="AH1828" i="19"/>
  <c r="AJ1828" i="19" s="1"/>
  <c r="AK1828" i="19" s="1" a="1"/>
  <c r="AK1828" i="19" s="1"/>
  <c r="AH1975" i="19"/>
  <c r="AJ1975" i="19" s="1"/>
  <c r="AK1975" i="19" s="1" a="1"/>
  <c r="AK1975" i="19" s="1"/>
  <c r="AH1834" i="19"/>
  <c r="AJ1834" i="19" s="1"/>
  <c r="AK1834" i="19" s="1" a="1"/>
  <c r="AK1834" i="19" s="1"/>
  <c r="AH1836" i="19"/>
  <c r="AJ1836" i="19" s="1"/>
  <c r="AK1836" i="19" s="1" a="1"/>
  <c r="AK1836" i="19" s="1"/>
  <c r="AH1850" i="19"/>
  <c r="AJ1850" i="19" s="1"/>
  <c r="AK1850" i="19" s="1" a="1"/>
  <c r="AK1850" i="19" s="1"/>
  <c r="AH1853" i="19"/>
  <c r="AJ1853" i="19" s="1"/>
  <c r="AK1853" i="19" s="1" a="1"/>
  <c r="AK1853" i="19" s="1"/>
  <c r="AH1856" i="19"/>
  <c r="AJ1856" i="19" s="1"/>
  <c r="AK1856" i="19" s="1" a="1"/>
  <c r="AK1856" i="19" s="1"/>
  <c r="AH1865" i="19"/>
  <c r="AJ1865" i="19" s="1"/>
  <c r="AK1865" i="19" s="1" a="1"/>
  <c r="AK1865" i="19" s="1"/>
  <c r="AH1867" i="19"/>
  <c r="AJ1867" i="19" s="1"/>
  <c r="AK1867" i="19" s="1" a="1"/>
  <c r="AK1867" i="19" s="1"/>
  <c r="AH2393" i="19"/>
  <c r="AJ2393" i="19" s="1"/>
  <c r="AK2393" i="19" s="1" a="1"/>
  <c r="AK2393" i="19" s="1"/>
  <c r="AH2457" i="19"/>
  <c r="AJ2457" i="19" s="1"/>
  <c r="AK2457" i="19" s="1" a="1"/>
  <c r="AK2457" i="19" s="1"/>
  <c r="AH2468" i="19"/>
  <c r="AJ2468" i="19" s="1"/>
  <c r="AK2468" i="19" s="1" a="1"/>
  <c r="AK2468" i="19" s="1"/>
  <c r="AH2498" i="19"/>
  <c r="AJ2498" i="19" s="1"/>
  <c r="AK2498" i="19" s="1" a="1"/>
  <c r="AK2498" i="19" s="1"/>
  <c r="AH2513" i="19"/>
  <c r="AJ2513" i="19" s="1"/>
  <c r="AK2513" i="19" s="1" a="1"/>
  <c r="AK2513" i="19" s="1"/>
  <c r="AH2518" i="19"/>
  <c r="AJ2518" i="19" s="1"/>
  <c r="AK2518" i="19" s="1" a="1"/>
  <c r="AK2518" i="19" s="1"/>
  <c r="AH2525" i="19"/>
  <c r="AJ2525" i="19" s="1"/>
  <c r="AK2525" i="19" s="1" a="1"/>
  <c r="AK2525" i="19" s="1"/>
  <c r="AH2557" i="19"/>
  <c r="AJ2557" i="19" s="1"/>
  <c r="AK2557" i="19" s="1" a="1"/>
  <c r="AK2557" i="19" s="1"/>
  <c r="AH2573" i="19"/>
  <c r="AJ2573" i="19" s="1"/>
  <c r="AK2573" i="19" s="1" a="1"/>
  <c r="AK2573" i="19" s="1"/>
  <c r="AH2585" i="19"/>
  <c r="AJ2585" i="19" s="1"/>
  <c r="AK2585" i="19" s="1" a="1"/>
  <c r="AK2585" i="19" s="1"/>
  <c r="AH1727" i="19"/>
  <c r="AJ1727" i="19" s="1"/>
  <c r="AK1727" i="19" s="1" a="1"/>
  <c r="AK1727" i="19" s="1"/>
  <c r="AH1762" i="19"/>
  <c r="AJ1762" i="19" s="1"/>
  <c r="AK1762" i="19" s="1" a="1"/>
  <c r="AK1762" i="19" s="1"/>
  <c r="AH1763" i="19"/>
  <c r="AJ1763" i="19" s="1"/>
  <c r="AK1763" i="19" s="1" a="1"/>
  <c r="AK1763" i="19" s="1"/>
  <c r="AH1768" i="19"/>
  <c r="AJ1768" i="19" s="1"/>
  <c r="AK1768" i="19" s="1" a="1"/>
  <c r="AK1768" i="19" s="1"/>
  <c r="AH1780" i="19"/>
  <c r="AJ1780" i="19" s="1"/>
  <c r="AK1780" i="19" s="1" a="1"/>
  <c r="AK1780" i="19" s="1"/>
  <c r="AH1783" i="19"/>
  <c r="AJ1783" i="19" s="1"/>
  <c r="AK1783" i="19" s="1" a="1"/>
  <c r="AK1783" i="19" s="1"/>
  <c r="AH1782" i="19"/>
  <c r="AJ1782" i="19" s="1"/>
  <c r="AK1782" i="19" s="1" a="1"/>
  <c r="AK1782" i="19" s="1"/>
  <c r="AH1859" i="19"/>
  <c r="AJ1859" i="19" s="1"/>
  <c r="AK1859" i="19" s="1" a="1"/>
  <c r="AK1859" i="19" s="1"/>
  <c r="AH1815" i="19"/>
  <c r="AJ1815" i="19" s="1"/>
  <c r="AK1815" i="19" s="1" a="1"/>
  <c r="AK1815" i="19" s="1"/>
  <c r="AH1789" i="19"/>
  <c r="AJ1789" i="19" s="1"/>
  <c r="AK1789" i="19" s="1" a="1"/>
  <c r="AK1789" i="19" s="1"/>
  <c r="AH1791" i="19"/>
  <c r="AJ1791" i="19" s="1"/>
  <c r="AK1791" i="19" s="1" a="1"/>
  <c r="AK1791" i="19" s="1"/>
  <c r="AH1792" i="19"/>
  <c r="AJ1792" i="19" s="1"/>
  <c r="AK1792" i="19" s="1" a="1"/>
  <c r="AK1792" i="19" s="1"/>
  <c r="AH1790" i="19"/>
  <c r="AJ1790" i="19" s="1"/>
  <c r="AK1790" i="19" s="1" a="1"/>
  <c r="AK1790" i="19" s="1"/>
  <c r="AH1805" i="19"/>
  <c r="AJ1805" i="19" s="1"/>
  <c r="AK1805" i="19" s="1" a="1"/>
  <c r="AK1805" i="19" s="1"/>
  <c r="AH1808" i="19"/>
  <c r="AJ1808" i="19" s="1"/>
  <c r="AK1808" i="19" s="1" a="1"/>
  <c r="AK1808" i="19" s="1"/>
  <c r="AH1818" i="19"/>
  <c r="AJ1818" i="19" s="1"/>
  <c r="AK1818" i="19" s="1" a="1"/>
  <c r="AK1818" i="19" s="1"/>
  <c r="AH1813" i="19"/>
  <c r="AJ1813" i="19" s="1"/>
  <c r="AK1813" i="19" s="1" a="1"/>
  <c r="AK1813" i="19" s="1"/>
  <c r="AH1845" i="19"/>
  <c r="AJ1845" i="19" s="1"/>
  <c r="AK1845" i="19" s="1" a="1"/>
  <c r="AK1845" i="19" s="1"/>
  <c r="AH1825" i="19"/>
  <c r="AJ1825" i="19" s="1"/>
  <c r="AK1825" i="19" s="1" a="1"/>
  <c r="AK1825" i="19" s="1"/>
  <c r="AH1830" i="19"/>
  <c r="AJ1830" i="19" s="1"/>
  <c r="AK1830" i="19" s="1" a="1"/>
  <c r="AK1830" i="19" s="1"/>
  <c r="AH1912" i="19"/>
  <c r="AJ1912" i="19" s="1"/>
  <c r="AK1912" i="19" s="1" a="1"/>
  <c r="AK1912" i="19" s="1"/>
  <c r="AH1833" i="19"/>
  <c r="AJ1833" i="19" s="1"/>
  <c r="AK1833" i="19" s="1" a="1"/>
  <c r="AK1833" i="19" s="1"/>
  <c r="AH1835" i="19"/>
  <c r="AJ1835" i="19" s="1"/>
  <c r="AK1835" i="19" s="1" a="1"/>
  <c r="AK1835" i="19" s="1"/>
  <c r="AH1857" i="19"/>
  <c r="AJ1857" i="19" s="1"/>
  <c r="AK1857" i="19" s="1" a="1"/>
  <c r="AK1857" i="19" s="1"/>
  <c r="AH1858" i="19"/>
  <c r="AJ1858" i="19" s="1"/>
  <c r="AK1858" i="19" s="1" a="1"/>
  <c r="AK1858" i="19" s="1"/>
  <c r="AI1903" i="19"/>
  <c r="AI1913" i="19"/>
  <c r="AI1904" i="19"/>
  <c r="AI1883" i="19"/>
  <c r="AI1881" i="19"/>
  <c r="AI1894" i="19"/>
  <c r="AI1897" i="19"/>
  <c r="AI1906" i="19"/>
  <c r="AI1905" i="19"/>
  <c r="AI1907" i="19"/>
  <c r="AI1909" i="19"/>
  <c r="AI1914" i="19"/>
  <c r="AI1925" i="19"/>
  <c r="AI1923" i="19"/>
  <c r="AI1927" i="19"/>
  <c r="AI1929" i="19"/>
  <c r="AI1918" i="19"/>
  <c r="AI1917" i="19"/>
  <c r="AI1932" i="19"/>
  <c r="AI1931" i="19"/>
  <c r="AI1991" i="19"/>
  <c r="AI1987" i="19"/>
  <c r="AI1988" i="19"/>
  <c r="AI1983" i="19"/>
  <c r="AI1976" i="19"/>
  <c r="AI1978" i="19"/>
  <c r="AI1977" i="19"/>
  <c r="AI1878" i="19"/>
  <c r="AI1900" i="19"/>
  <c r="AI1892" i="19"/>
  <c r="AI1896" i="19"/>
  <c r="AI1890" i="19"/>
  <c r="AI1891" i="19"/>
  <c r="AI1889" i="19"/>
  <c r="AI1888" i="19"/>
  <c r="AI1926" i="19"/>
  <c r="AI1916" i="19"/>
  <c r="AI1919" i="19"/>
  <c r="AI1921" i="19"/>
  <c r="AI1870" i="19"/>
  <c r="AI1875" i="19"/>
  <c r="AI1880" i="19"/>
  <c r="AI1879" i="19"/>
  <c r="AI1899" i="19"/>
  <c r="AI1902" i="19"/>
  <c r="AI2014" i="19"/>
  <c r="AI1882" i="19"/>
  <c r="AI1898" i="19"/>
  <c r="AI1924" i="19"/>
  <c r="AI1965" i="19"/>
  <c r="AI1964" i="19"/>
  <c r="AI1962" i="19"/>
  <c r="AI1955" i="19"/>
  <c r="AI1960" i="19"/>
  <c r="AI1959" i="19"/>
  <c r="AI1956" i="19"/>
  <c r="AI1969" i="19"/>
  <c r="AI2054" i="19"/>
  <c r="AI1941" i="19"/>
  <c r="AI1940" i="19"/>
  <c r="AI2358" i="19"/>
  <c r="AI2000" i="19"/>
  <c r="AI2357" i="19"/>
  <c r="AI2032" i="19"/>
  <c r="AI2030" i="19"/>
  <c r="AI2036" i="19"/>
  <c r="AI2005" i="19"/>
  <c r="AI2022" i="19"/>
  <c r="AI2017" i="19"/>
  <c r="AI2026" i="19"/>
  <c r="AI2024" i="19"/>
  <c r="AI2071" i="19"/>
  <c r="AI2073" i="19"/>
  <c r="AI2067" i="19"/>
  <c r="AI2062" i="19"/>
  <c r="AI1874" i="19"/>
  <c r="AI1877" i="19"/>
  <c r="AI1885" i="19"/>
  <c r="AI1886" i="19"/>
  <c r="AI1980" i="19"/>
  <c r="AI1981" i="19"/>
  <c r="AI1984" i="19"/>
  <c r="AI1982" i="19"/>
  <c r="AI1985" i="19"/>
  <c r="AI1993" i="19"/>
  <c r="AI1995" i="19"/>
  <c r="AI1936" i="19"/>
  <c r="AI1953" i="19"/>
  <c r="AI2347" i="19"/>
  <c r="AI1967" i="19"/>
  <c r="AI1999" i="19"/>
  <c r="AI1998" i="19"/>
  <c r="AI2001" i="19"/>
  <c r="AI2004" i="19"/>
  <c r="AI2010" i="19"/>
  <c r="AI2020" i="19"/>
  <c r="AI2012" i="19"/>
  <c r="AI1876" i="19"/>
  <c r="AI1884" i="19"/>
  <c r="AI1893" i="19"/>
  <c r="AI1887" i="19"/>
  <c r="AI1911" i="19"/>
  <c r="AI1908" i="19"/>
  <c r="AI1915" i="19"/>
  <c r="AI1922" i="19"/>
  <c r="AI1928" i="19"/>
  <c r="AI1920" i="19"/>
  <c r="AI2015" i="19"/>
  <c r="AI1992" i="19"/>
  <c r="AI1990" i="19"/>
  <c r="AI1989" i="19"/>
  <c r="AI1934" i="19"/>
  <c r="AI1961" i="19"/>
  <c r="AI1954" i="19"/>
  <c r="AI1952" i="19"/>
  <c r="AI1948" i="19"/>
  <c r="AI1966" i="19"/>
  <c r="AI2053" i="19"/>
  <c r="AI1939" i="19"/>
  <c r="AI1943" i="19"/>
  <c r="AI1997" i="19"/>
  <c r="AI2031" i="19"/>
  <c r="AI2356" i="19"/>
  <c r="AI1895" i="19"/>
  <c r="AI1910" i="19"/>
  <c r="AI1947" i="19"/>
  <c r="AI1963" i="19"/>
  <c r="AI1958" i="19"/>
  <c r="AI1945" i="19"/>
  <c r="AI2051" i="19"/>
  <c r="AI2052" i="19"/>
  <c r="AI2003" i="19"/>
  <c r="AI2009" i="19"/>
  <c r="AI2059" i="19"/>
  <c r="AI2064" i="19"/>
  <c r="AI2069" i="19"/>
  <c r="AI2029" i="19"/>
  <c r="AI2193" i="19"/>
  <c r="AI2194" i="19"/>
  <c r="AI2104" i="19"/>
  <c r="AI2048" i="19"/>
  <c r="AI2047" i="19"/>
  <c r="AI2046" i="19"/>
  <c r="AI1645" i="19"/>
  <c r="AI2153" i="19"/>
  <c r="AI2154" i="19"/>
  <c r="AI2109" i="19"/>
  <c r="AI2107" i="19"/>
  <c r="AI2093" i="19"/>
  <c r="AI2088" i="19"/>
  <c r="AI1933" i="19"/>
  <c r="AI1986" i="19"/>
  <c r="AI1937" i="19"/>
  <c r="AI1946" i="19"/>
  <c r="AI1968" i="19"/>
  <c r="AI1970" i="19"/>
  <c r="AI1996" i="19"/>
  <c r="AI2039" i="19"/>
  <c r="AI2035" i="19"/>
  <c r="AI2019" i="19"/>
  <c r="AI2021" i="19"/>
  <c r="AI2025" i="19"/>
  <c r="AI2072" i="19"/>
  <c r="AI2060" i="19"/>
  <c r="AI2066" i="19"/>
  <c r="AI2063" i="19"/>
  <c r="AI2058" i="19"/>
  <c r="AI2028" i="19"/>
  <c r="AI2101" i="19"/>
  <c r="AI2114" i="19"/>
  <c r="AI2105" i="19"/>
  <c r="AI2080" i="19"/>
  <c r="AI2081" i="19"/>
  <c r="AI2128" i="19"/>
  <c r="AI2055" i="19"/>
  <c r="AI1901" i="19"/>
  <c r="AI1930" i="19"/>
  <c r="AI1994" i="19"/>
  <c r="AI1957" i="19"/>
  <c r="AI2050" i="19"/>
  <c r="AI2002" i="19"/>
  <c r="AI2008" i="19"/>
  <c r="AI2011" i="19"/>
  <c r="AI2018" i="19"/>
  <c r="AI2016" i="19"/>
  <c r="AI2023" i="19"/>
  <c r="AI2027" i="19"/>
  <c r="AI2043" i="19"/>
  <c r="AI2102" i="19"/>
  <c r="AI2113" i="19"/>
  <c r="AI2112" i="19"/>
  <c r="AI2111" i="19"/>
  <c r="AI2110" i="19"/>
  <c r="AI2070" i="19"/>
  <c r="AI2083" i="19"/>
  <c r="AI2092" i="19"/>
  <c r="AI1942" i="19"/>
  <c r="AI2006" i="19"/>
  <c r="AI2040" i="19"/>
  <c r="AI2103" i="19"/>
  <c r="AI2057" i="19"/>
  <c r="AI2100" i="19"/>
  <c r="AI2094" i="19"/>
  <c r="AI2196" i="19"/>
  <c r="AI2130" i="19"/>
  <c r="AI2131" i="19"/>
  <c r="AI2157" i="19"/>
  <c r="AI2116" i="19"/>
  <c r="AI2118" i="19"/>
  <c r="AI2115" i="19"/>
  <c r="AI2168" i="19"/>
  <c r="AI2160" i="19"/>
  <c r="AI2164" i="19"/>
  <c r="AI2162" i="19"/>
  <c r="AI2163" i="19"/>
  <c r="AI2161" i="19"/>
  <c r="AI2169" i="19"/>
  <c r="AI2184" i="19"/>
  <c r="AI2185" i="19"/>
  <c r="AI2187" i="19"/>
  <c r="AI2181" i="19"/>
  <c r="AI2178" i="19"/>
  <c r="AI2134" i="19"/>
  <c r="AI2135" i="19"/>
  <c r="AI2219" i="19"/>
  <c r="AI2265" i="19"/>
  <c r="AI2152" i="19"/>
  <c r="AI2140" i="19"/>
  <c r="AI2142" i="19"/>
  <c r="AI2360" i="19"/>
  <c r="AI2197" i="19"/>
  <c r="AI2191" i="19"/>
  <c r="AI2203" i="19"/>
  <c r="AI2209" i="19"/>
  <c r="AI2210" i="19"/>
  <c r="AI2214" i="19"/>
  <c r="AI2256" i="19"/>
  <c r="AI2222" i="19"/>
  <c r="AI2230" i="19"/>
  <c r="AI2231" i="19"/>
  <c r="AI2233" i="19"/>
  <c r="AI2235" i="19"/>
  <c r="AI2240" i="19"/>
  <c r="AI2241" i="19"/>
  <c r="AI2366" i="19"/>
  <c r="AI2369" i="19"/>
  <c r="AI2337" i="19"/>
  <c r="AI2251" i="19"/>
  <c r="AI2254" i="19"/>
  <c r="AI2275" i="19"/>
  <c r="AI2276" i="19"/>
  <c r="AI1944" i="19"/>
  <c r="AI2034" i="19"/>
  <c r="AI2007" i="19"/>
  <c r="AI2192" i="19"/>
  <c r="AI2076" i="19"/>
  <c r="AI2077" i="19"/>
  <c r="AI2087" i="19"/>
  <c r="AI2084" i="19"/>
  <c r="AI2120" i="19"/>
  <c r="AI2132" i="19"/>
  <c r="AI2159" i="19"/>
  <c r="AI2158" i="19"/>
  <c r="AI2166" i="19"/>
  <c r="AI2179" i="19"/>
  <c r="AI2121" i="19"/>
  <c r="AI2127" i="19"/>
  <c r="AI2126" i="19"/>
  <c r="AI2172" i="19"/>
  <c r="AI2216" i="19"/>
  <c r="AI2262" i="19"/>
  <c r="AI2263" i="19"/>
  <c r="AI2149" i="19"/>
  <c r="AI2150" i="19"/>
  <c r="AI2137" i="19"/>
  <c r="AI2174" i="19"/>
  <c r="AI2206" i="19"/>
  <c r="AI2208" i="19"/>
  <c r="AI2211" i="19"/>
  <c r="AI2212" i="19"/>
  <c r="AI2213" i="19"/>
  <c r="AI2362" i="19"/>
  <c r="AI2223" i="19"/>
  <c r="AI2234" i="19"/>
  <c r="AI1938" i="19"/>
  <c r="AI1971" i="19"/>
  <c r="AI2348" i="19"/>
  <c r="AI2156" i="19"/>
  <c r="AI2089" i="19"/>
  <c r="AI2085" i="19"/>
  <c r="AI2095" i="19"/>
  <c r="AI2098" i="19"/>
  <c r="AI2097" i="19"/>
  <c r="AI2099" i="19"/>
  <c r="AI2167" i="19"/>
  <c r="AI2170" i="19"/>
  <c r="AI2186" i="19"/>
  <c r="AI2125" i="19"/>
  <c r="AI2123" i="19"/>
  <c r="AI2220" i="19"/>
  <c r="AI2264" i="19"/>
  <c r="AI2266" i="19"/>
  <c r="AI2267" i="19"/>
  <c r="AI2151" i="19"/>
  <c r="AI2129" i="19"/>
  <c r="AI2171" i="19"/>
  <c r="AI2141" i="19"/>
  <c r="AI2176" i="19"/>
  <c r="AI2177" i="19"/>
  <c r="AI2190" i="19"/>
  <c r="AI2201" i="19"/>
  <c r="AI2202" i="19"/>
  <c r="AI2207" i="19"/>
  <c r="AI2215" i="19"/>
  <c r="AI2221" i="19"/>
  <c r="AI2228" i="19"/>
  <c r="AI2229" i="19"/>
  <c r="AI2237" i="19"/>
  <c r="AI2238" i="19"/>
  <c r="AI2239" i="19"/>
  <c r="AI2244" i="19"/>
  <c r="AI2368" i="19"/>
  <c r="AI2373" i="19"/>
  <c r="AI2274" i="19"/>
  <c r="AI2255" i="19"/>
  <c r="AI2284" i="19"/>
  <c r="AI2295" i="19"/>
  <c r="AI2359" i="19"/>
  <c r="AI2117" i="19"/>
  <c r="AI2189" i="19"/>
  <c r="AI2122" i="19"/>
  <c r="AI2173" i="19"/>
  <c r="AI2363" i="19"/>
  <c r="AI2243" i="19"/>
  <c r="AI2336" i="19"/>
  <c r="AI2338" i="19"/>
  <c r="AI2278" i="19"/>
  <c r="AI2285" i="19"/>
  <c r="AI2296" i="19"/>
  <c r="AI2299" i="19"/>
  <c r="AI2300" i="19"/>
  <c r="AI2303" i="19"/>
  <c r="AI2304" i="19"/>
  <c r="AI2374" i="19"/>
  <c r="AI2305" i="19"/>
  <c r="AI2306" i="19"/>
  <c r="AI2307" i="19"/>
  <c r="AI2309" i="19"/>
  <c r="AI2310" i="19"/>
  <c r="AI2312" i="19"/>
  <c r="AI2315" i="19"/>
  <c r="AI2321" i="19"/>
  <c r="AI2327" i="19"/>
  <c r="AI2332" i="19"/>
  <c r="AI2333" i="19"/>
  <c r="AI2334" i="19"/>
  <c r="AI2261" i="19"/>
  <c r="AI2378" i="19"/>
  <c r="AI2381" i="19"/>
  <c r="AI2384" i="19"/>
  <c r="AI2387" i="19"/>
  <c r="AI2291" i="19"/>
  <c r="AI2393" i="19"/>
  <c r="AI2400" i="19"/>
  <c r="AI2409" i="19"/>
  <c r="AI2415" i="19"/>
  <c r="AI2416" i="19"/>
  <c r="AI2417" i="19"/>
  <c r="AI2418" i="19"/>
  <c r="AI2425" i="19"/>
  <c r="AI2428" i="19"/>
  <c r="AI2430" i="19"/>
  <c r="AI2108" i="19"/>
  <c r="AI2182" i="19"/>
  <c r="AI2188" i="19"/>
  <c r="AI2136" i="19"/>
  <c r="AI2273" i="19"/>
  <c r="AI2148" i="19"/>
  <c r="AI2139" i="19"/>
  <c r="AI2200" i="19"/>
  <c r="AI2199" i="19"/>
  <c r="AI2205" i="19"/>
  <c r="AI2227" i="19"/>
  <c r="AI2248" i="19"/>
  <c r="AI2250" i="19"/>
  <c r="AI2279" i="19"/>
  <c r="AI2281" i="19"/>
  <c r="AI2286" i="19"/>
  <c r="AI2339" i="19"/>
  <c r="AI2302" i="19"/>
  <c r="AI2375" i="19"/>
  <c r="AI2260" i="19"/>
  <c r="AI2311" i="19"/>
  <c r="AI2314" i="19"/>
  <c r="AI2319" i="19"/>
  <c r="AI2320" i="19"/>
  <c r="AI2322" i="19"/>
  <c r="AI2330" i="19"/>
  <c r="AI2376" i="19"/>
  <c r="AI2377" i="19"/>
  <c r="AI2385" i="19"/>
  <c r="AI2386" i="19"/>
  <c r="AI2392" i="19"/>
  <c r="AI2395" i="19"/>
  <c r="AI2412" i="19"/>
  <c r="AI2414" i="19"/>
  <c r="AI2420" i="19"/>
  <c r="AI2421" i="19"/>
  <c r="AI2422" i="19"/>
  <c r="AI2423" i="19"/>
  <c r="AI2429" i="19"/>
  <c r="AI2432" i="19"/>
  <c r="AI2433" i="19"/>
  <c r="AI2434" i="19"/>
  <c r="AI2440" i="19"/>
  <c r="AI2442" i="19"/>
  <c r="AI2443" i="19"/>
  <c r="AI2033" i="19"/>
  <c r="AI2056" i="19"/>
  <c r="AI2165" i="19"/>
  <c r="AI2133" i="19"/>
  <c r="AI2364" i="19"/>
  <c r="AI2257" i="19"/>
  <c r="AI2236" i="19"/>
  <c r="AI2245" i="19"/>
  <c r="AI2246" i="19"/>
  <c r="AI2252" i="19"/>
  <c r="AI2282" i="19"/>
  <c r="AI2259" i="19"/>
  <c r="AI2335" i="19"/>
  <c r="AI2313" i="19"/>
  <c r="AI2318" i="19"/>
  <c r="AI2324" i="19"/>
  <c r="AI2383" i="19"/>
  <c r="AI2293" i="19"/>
  <c r="AI2390" i="19"/>
  <c r="AI2288" i="19"/>
  <c r="AI2287" i="19"/>
  <c r="AI2391" i="19"/>
  <c r="AI2396" i="19"/>
  <c r="AI2397" i="19"/>
  <c r="AI2398" i="19"/>
  <c r="AI2404" i="19"/>
  <c r="AI2090" i="19"/>
  <c r="AI2138" i="19"/>
  <c r="AI2204" i="19"/>
  <c r="AI2225" i="19"/>
  <c r="AI2249" i="19"/>
  <c r="AI2367" i="19"/>
  <c r="AI2283" i="19"/>
  <c r="AI2297" i="19"/>
  <c r="AI2317" i="19"/>
  <c r="AI2325" i="19"/>
  <c r="AI2331" i="19"/>
  <c r="AI2380" i="19"/>
  <c r="AI2290" i="19"/>
  <c r="AI2394" i="19"/>
  <c r="AI2401" i="19"/>
  <c r="AI2405" i="19"/>
  <c r="AI2411" i="19"/>
  <c r="AI2419" i="19"/>
  <c r="AI2436" i="19"/>
  <c r="AI2444" i="19"/>
  <c r="AI2445" i="19"/>
  <c r="AI2447" i="19"/>
  <c r="AI2451" i="19"/>
  <c r="AI2456" i="19"/>
  <c r="AI2457" i="19"/>
  <c r="AI2459" i="19"/>
  <c r="AI2467" i="19"/>
  <c r="AI2468" i="19"/>
  <c r="AI2472" i="19"/>
  <c r="AI2474" i="19"/>
  <c r="AI2481" i="19"/>
  <c r="AI2482" i="19"/>
  <c r="AI2489" i="19"/>
  <c r="AI2490" i="19"/>
  <c r="AI2497" i="19"/>
  <c r="AI2498" i="19"/>
  <c r="AI2505" i="19"/>
  <c r="AI2506" i="19"/>
  <c r="AI2513" i="19"/>
  <c r="AI2514" i="19"/>
  <c r="AI2517" i="19"/>
  <c r="AI2518" i="19"/>
  <c r="AI2523" i="19"/>
  <c r="AI2525" i="19"/>
  <c r="AI2526" i="19"/>
  <c r="AI2529" i="19"/>
  <c r="AI2530" i="19"/>
  <c r="AI2533" i="19"/>
  <c r="AI2540" i="19"/>
  <c r="AI2541" i="19"/>
  <c r="AI2542" i="19"/>
  <c r="AI2545" i="19"/>
  <c r="AI2546" i="19"/>
  <c r="AI2549" i="19"/>
  <c r="AI2554" i="19"/>
  <c r="AI2555" i="19"/>
  <c r="AI2557" i="19"/>
  <c r="AI2558" i="19"/>
  <c r="AI2563" i="19"/>
  <c r="AI2569" i="19"/>
  <c r="AI2573" i="19"/>
  <c r="AI2576" i="19"/>
  <c r="AI2585" i="19"/>
  <c r="AI2361" i="19"/>
  <c r="AI2226" i="19"/>
  <c r="AI2242" i="19"/>
  <c r="AI2247" i="19"/>
  <c r="AI2308" i="19"/>
  <c r="AI2328" i="19"/>
  <c r="AI2388" i="19"/>
  <c r="AI2294" i="19"/>
  <c r="AI2399" i="19"/>
  <c r="AI2403" i="19"/>
  <c r="AI2408" i="19"/>
  <c r="AI2410" i="19"/>
  <c r="AI2413" i="19"/>
  <c r="AI2435" i="19"/>
  <c r="AI2450" i="19"/>
  <c r="AI2458" i="19"/>
  <c r="AI2462" i="19"/>
  <c r="AI2463" i="19"/>
  <c r="AI2473" i="19"/>
  <c r="AI2475" i="19"/>
  <c r="AI2477" i="19"/>
  <c r="AI2478" i="19"/>
  <c r="AI2483" i="19"/>
  <c r="AI2485" i="19"/>
  <c r="AI2486" i="19"/>
  <c r="AI2491" i="19"/>
  <c r="AI2493" i="19"/>
  <c r="AI2494" i="19"/>
  <c r="AI2499" i="19"/>
  <c r="AI2501" i="19"/>
  <c r="AI2502" i="19"/>
  <c r="AI2507" i="19"/>
  <c r="AI2509" i="19"/>
  <c r="AI2510" i="19"/>
  <c r="AI2515" i="19"/>
  <c r="AI2519" i="19"/>
  <c r="AI2520" i="19"/>
  <c r="AI2527" i="19"/>
  <c r="AI2531" i="19"/>
  <c r="AI2538" i="19"/>
  <c r="AI2539" i="19"/>
  <c r="AI2543" i="19"/>
  <c r="AI2547" i="19"/>
  <c r="AI2556" i="19"/>
  <c r="AI2559" i="19"/>
  <c r="AI2560" i="19"/>
  <c r="AI2565" i="19"/>
  <c r="AI2566" i="19"/>
  <c r="AI2568" i="19"/>
  <c r="AI2570" i="19"/>
  <c r="AI2572" i="19"/>
  <c r="AI2582" i="19"/>
  <c r="AI2583" i="19"/>
  <c r="AI2584" i="19"/>
  <c r="AI1717" i="19"/>
  <c r="AI1725" i="19"/>
  <c r="AI1737" i="19"/>
  <c r="AI1734" i="19"/>
  <c r="AI1726" i="19"/>
  <c r="AI1727" i="19"/>
  <c r="AI2041" i="19"/>
  <c r="AI2091" i="19"/>
  <c r="AI2195" i="19"/>
  <c r="AI2175" i="19"/>
  <c r="AI2198" i="19"/>
  <c r="AI2365" i="19"/>
  <c r="AI2253" i="19"/>
  <c r="AI2301" i="19"/>
  <c r="AI2323" i="19"/>
  <c r="AI2326" i="19"/>
  <c r="AI2379" i="19"/>
  <c r="AI2289" i="19"/>
  <c r="AI2402" i="19"/>
  <c r="AI2406" i="19"/>
  <c r="AI2427" i="19"/>
  <c r="AI2431" i="19"/>
  <c r="AI2438" i="19"/>
  <c r="AI2439" i="19"/>
  <c r="AI2441" i="19"/>
  <c r="AI2449" i="19"/>
  <c r="AI2452" i="19"/>
  <c r="AI2453" i="19"/>
  <c r="AI2455" i="19"/>
  <c r="AI2464" i="19"/>
  <c r="AI2466" i="19"/>
  <c r="AI2469" i="19"/>
  <c r="AI2479" i="19"/>
  <c r="AI2480" i="19"/>
  <c r="AI2487" i="19"/>
  <c r="AI2488" i="19"/>
  <c r="AI2495" i="19"/>
  <c r="AI2496" i="19"/>
  <c r="AI2503" i="19"/>
  <c r="AI2504" i="19"/>
  <c r="AI2511" i="19"/>
  <c r="AI2512" i="19"/>
  <c r="AI2516" i="19"/>
  <c r="AI2524" i="19"/>
  <c r="AI2528" i="19"/>
  <c r="AI2532" i="19"/>
  <c r="AI2536" i="19"/>
  <c r="AI2537" i="19"/>
  <c r="AI2544" i="19"/>
  <c r="AI2548" i="19"/>
  <c r="AI2551" i="19"/>
  <c r="AI2552" i="19"/>
  <c r="AI2553" i="19"/>
  <c r="AI2564" i="19"/>
  <c r="AI2567" i="19"/>
  <c r="AI2571" i="19"/>
  <c r="AI2578" i="19"/>
  <c r="AI2579" i="19"/>
  <c r="AI2581" i="19"/>
  <c r="AI2589" i="19"/>
  <c r="AI2590" i="19"/>
  <c r="AI1755" i="19"/>
  <c r="AI1735" i="19"/>
  <c r="AI1736" i="19"/>
  <c r="AI1785" i="19"/>
  <c r="AI1786" i="19"/>
  <c r="AI2316" i="19"/>
  <c r="AI2382" i="19"/>
  <c r="AI2426" i="19"/>
  <c r="AI2454" i="19"/>
  <c r="AI2461" i="19"/>
  <c r="AI2470" i="19"/>
  <c r="AI2492" i="19"/>
  <c r="AI2535" i="19"/>
  <c r="AI2586" i="19"/>
  <c r="AI2588" i="19"/>
  <c r="AI2591" i="19"/>
  <c r="AI1728" i="19"/>
  <c r="AI1762" i="19"/>
  <c r="AI1763" i="19"/>
  <c r="AI1768" i="19"/>
  <c r="AI1780" i="19"/>
  <c r="AI1783" i="19"/>
  <c r="AI1782" i="19"/>
  <c r="AI1859" i="19"/>
  <c r="AI1815" i="19"/>
  <c r="AI1789" i="19"/>
  <c r="AI1791" i="19"/>
  <c r="AI1792" i="19"/>
  <c r="AI1790" i="19"/>
  <c r="AI1805" i="19"/>
  <c r="AI1808" i="19"/>
  <c r="AI1818" i="19"/>
  <c r="AI1813" i="19"/>
  <c r="AI1845" i="19"/>
  <c r="AI1825" i="19"/>
  <c r="AI1830" i="19"/>
  <c r="AI1912" i="19"/>
  <c r="AI1837" i="19"/>
  <c r="AI1833" i="19"/>
  <c r="AI1835" i="19"/>
  <c r="AI1857" i="19"/>
  <c r="AI1858" i="19"/>
  <c r="AI1866" i="19"/>
  <c r="AI2155" i="19"/>
  <c r="AI2119" i="19"/>
  <c r="AI2329" i="19"/>
  <c r="AI2389" i="19"/>
  <c r="AI2465" i="19"/>
  <c r="AI2476" i="19"/>
  <c r="AI2484" i="19"/>
  <c r="AI2550" i="19"/>
  <c r="AI2561" i="19"/>
  <c r="AI2574" i="19"/>
  <c r="AI1720" i="19"/>
  <c r="AI1738" i="19"/>
  <c r="AI1750" i="19"/>
  <c r="AI1760" i="19"/>
  <c r="AI1766" i="19"/>
  <c r="AI1775" i="19"/>
  <c r="AI1781" i="19"/>
  <c r="AI1770" i="19"/>
  <c r="AI1771" i="19"/>
  <c r="AI1861" i="19"/>
  <c r="AI1862" i="19"/>
  <c r="AI1863" i="19"/>
  <c r="AI1860" i="19"/>
  <c r="AI1794" i="19"/>
  <c r="AI1796" i="19"/>
  <c r="AI1799" i="19"/>
  <c r="AI1806" i="19"/>
  <c r="AI1807" i="19"/>
  <c r="AI1820" i="19"/>
  <c r="AI1827" i="19"/>
  <c r="AI1847" i="19"/>
  <c r="AI1831" i="19"/>
  <c r="AI1851" i="19"/>
  <c r="AI1849" i="19"/>
  <c r="AI1871" i="19"/>
  <c r="AI1854" i="19"/>
  <c r="AI1855" i="19"/>
  <c r="AI1868" i="19"/>
  <c r="AI2424" i="19"/>
  <c r="AI2448" i="19"/>
  <c r="AI2460" i="19"/>
  <c r="AI2471" i="19"/>
  <c r="AI2508" i="19"/>
  <c r="AI2522" i="19"/>
  <c r="AI2534" i="19"/>
  <c r="AI2562" i="19"/>
  <c r="AI2580" i="19"/>
  <c r="AI2587" i="19"/>
  <c r="AI1733" i="19"/>
  <c r="AI1753" i="19"/>
  <c r="AI2342" i="19"/>
  <c r="AI1756" i="19"/>
  <c r="AI1758" i="19"/>
  <c r="AI1765" i="19"/>
  <c r="AI1764" i="19"/>
  <c r="AI1784" i="19"/>
  <c r="AI1777" i="19"/>
  <c r="AI1778" i="19"/>
  <c r="AI1773" i="19"/>
  <c r="AI1772" i="19"/>
  <c r="AI1787" i="19"/>
  <c r="AI1793" i="19"/>
  <c r="AI1817" i="19"/>
  <c r="AI1800" i="19"/>
  <c r="AI1812" i="19"/>
  <c r="AI1811" i="19"/>
  <c r="AI1814" i="19"/>
  <c r="AI1823" i="19"/>
  <c r="AI1824" i="19"/>
  <c r="AI1829" i="19"/>
  <c r="AI1848" i="19"/>
  <c r="AI1872" i="19"/>
  <c r="AI1873" i="19"/>
  <c r="AI1869" i="19"/>
  <c r="AI1852" i="19"/>
  <c r="AI2280" i="19"/>
  <c r="AI2292" i="19"/>
  <c r="AI2437" i="19"/>
  <c r="AI2446" i="19"/>
  <c r="AI2500" i="19"/>
  <c r="AI2521" i="19"/>
  <c r="AI2575" i="19"/>
  <c r="AI2577" i="19"/>
  <c r="AI1748" i="19"/>
  <c r="AI1754" i="19"/>
  <c r="AI1749" i="19"/>
  <c r="AI1757" i="19"/>
  <c r="AI1759" i="19"/>
  <c r="AI1767" i="19"/>
  <c r="AI1776" i="19"/>
  <c r="AI1779" i="19"/>
  <c r="AI1769" i="19"/>
  <c r="AI1788" i="19"/>
  <c r="AI1795" i="19"/>
  <c r="AI1798" i="19"/>
  <c r="AI2354" i="19"/>
  <c r="AI2355" i="19"/>
  <c r="AI1816" i="19"/>
  <c r="AI1803" i="19"/>
  <c r="AI1804" i="19"/>
  <c r="AI1810" i="19"/>
  <c r="AI1809" i="19"/>
  <c r="AI1822" i="19"/>
  <c r="AI1826" i="19"/>
  <c r="AI1846" i="19"/>
  <c r="AI1828" i="19"/>
  <c r="AI1975" i="19"/>
  <c r="AI1834" i="19"/>
  <c r="AI1836" i="19"/>
  <c r="AI1850" i="19"/>
  <c r="AI1853" i="19"/>
  <c r="AI1856" i="19"/>
  <c r="AI1865" i="19"/>
  <c r="AI230" i="19"/>
  <c r="AI1724" i="19"/>
  <c r="AD1715" i="19"/>
  <c r="AI475" i="19"/>
  <c r="AI391" i="19"/>
  <c r="AI389" i="19"/>
  <c r="AH460" i="19"/>
  <c r="AJ460" i="19" s="1"/>
  <c r="AK460" i="19" s="1" a="1"/>
  <c r="AK460" i="19" s="1"/>
  <c r="AI395" i="19"/>
  <c r="AH1709" i="19"/>
  <c r="AJ1709" i="19" s="1"/>
  <c r="AK1709" i="19" s="1" a="1"/>
  <c r="AK1709" i="19" s="1"/>
  <c r="AH1710" i="19"/>
  <c r="AJ1710" i="19" s="1"/>
  <c r="AK1710" i="19" s="1" a="1"/>
  <c r="AK1710" i="19" s="1"/>
  <c r="AH1708" i="19"/>
  <c r="AJ1708" i="19" s="1"/>
  <c r="AK1708" i="19" s="1" a="1"/>
  <c r="AK1708" i="19" s="1"/>
  <c r="AI1576" i="19"/>
  <c r="AI1709" i="19"/>
  <c r="AI1710" i="19"/>
  <c r="AI1708" i="19"/>
  <c r="AH1037" i="19"/>
  <c r="AJ1037" i="19" s="1"/>
  <c r="AK1037" i="19" s="1" a="1"/>
  <c r="AK1037" i="19" s="1"/>
  <c r="AH701" i="19"/>
  <c r="AJ701" i="19" s="1"/>
  <c r="AK701" i="19" s="1" a="1"/>
  <c r="AK701" i="19" s="1"/>
  <c r="AH713" i="19"/>
  <c r="AJ713" i="19" s="1"/>
  <c r="AK713" i="19" s="1" a="1"/>
  <c r="AK713" i="19" s="1"/>
  <c r="AH864" i="19"/>
  <c r="AJ864" i="19" s="1"/>
  <c r="AK864" i="19" s="1" a="1"/>
  <c r="AK864" i="19" s="1"/>
  <c r="AH740" i="19"/>
  <c r="AJ740" i="19" s="1"/>
  <c r="AK740" i="19" s="1" a="1"/>
  <c r="AK740" i="19" s="1"/>
  <c r="AH629" i="19"/>
  <c r="AJ629" i="19" s="1"/>
  <c r="AK629" i="19" s="1" a="1"/>
  <c r="AK629" i="19" s="1"/>
  <c r="AH1413" i="19"/>
  <c r="AJ1413" i="19" s="1"/>
  <c r="AK1413" i="19" s="1" a="1"/>
  <c r="AK1413" i="19" s="1"/>
  <c r="AH1411" i="19"/>
  <c r="AJ1411" i="19" s="1"/>
  <c r="AK1411" i="19" s="1" a="1"/>
  <c r="AK1411" i="19" s="1"/>
  <c r="AH1253" i="19"/>
  <c r="AJ1253" i="19" s="1"/>
  <c r="AK1253" i="19" s="1" a="1"/>
  <c r="AK1253" i="19" s="1"/>
  <c r="AH999" i="19"/>
  <c r="AJ999" i="19" s="1"/>
  <c r="AK999" i="19" s="1" a="1"/>
  <c r="AK999" i="19" s="1"/>
  <c r="AH784" i="19"/>
  <c r="AJ784" i="19" s="1"/>
  <c r="AK784" i="19" s="1" a="1"/>
  <c r="AK784" i="19" s="1"/>
  <c r="AH765" i="19"/>
  <c r="AJ765" i="19" s="1"/>
  <c r="AK765" i="19" s="1" a="1"/>
  <c r="AK765" i="19" s="1"/>
  <c r="AH492" i="19"/>
  <c r="AJ492" i="19" s="1"/>
  <c r="AK492" i="19" s="1" a="1"/>
  <c r="AK492" i="19" s="1"/>
  <c r="AH1052" i="19"/>
  <c r="AJ1052" i="19" s="1"/>
  <c r="AK1052" i="19" s="1" a="1"/>
  <c r="AK1052" i="19" s="1"/>
  <c r="AH787" i="19"/>
  <c r="AJ787" i="19" s="1"/>
  <c r="AK787" i="19" s="1" a="1"/>
  <c r="AK787" i="19" s="1"/>
  <c r="AH985" i="19"/>
  <c r="AJ985" i="19" s="1"/>
  <c r="AK985" i="19" s="1" a="1"/>
  <c r="AK985" i="19" s="1"/>
  <c r="AH824" i="19"/>
  <c r="AJ824" i="19" s="1"/>
  <c r="AK824" i="19" s="1" a="1"/>
  <c r="AK824" i="19" s="1"/>
  <c r="AH1009" i="19"/>
  <c r="AJ1009" i="19" s="1"/>
  <c r="AK1009" i="19" s="1" a="1"/>
  <c r="AK1009" i="19" s="1"/>
  <c r="AI818" i="19"/>
  <c r="AH676" i="19"/>
  <c r="AJ676" i="19" s="1"/>
  <c r="AK676" i="19" s="1" a="1"/>
  <c r="AK676" i="19" s="1"/>
  <c r="AH948" i="19"/>
  <c r="AJ948" i="19" s="1"/>
  <c r="AK948" i="19" s="1" a="1"/>
  <c r="AK948" i="19" s="1"/>
  <c r="AH467" i="19"/>
  <c r="AJ467" i="19" s="1"/>
  <c r="AK467" i="19" s="1" a="1"/>
  <c r="AK467" i="19" s="1"/>
  <c r="AH440" i="19"/>
  <c r="AJ440" i="19" s="1"/>
  <c r="AK440" i="19" s="1" a="1"/>
  <c r="AK440" i="19" s="1"/>
  <c r="AH1044" i="19"/>
  <c r="AJ1044" i="19" s="1"/>
  <c r="AK1044" i="19" s="1" a="1"/>
  <c r="AK1044" i="19" s="1"/>
  <c r="AH720" i="19"/>
  <c r="AJ720" i="19" s="1"/>
  <c r="AK720" i="19" s="1" a="1"/>
  <c r="AK720" i="19" s="1"/>
  <c r="AH547" i="19"/>
  <c r="AJ547" i="19" s="1"/>
  <c r="AK547" i="19" s="1" a="1"/>
  <c r="AK547" i="19" s="1"/>
  <c r="AH907" i="19"/>
  <c r="AJ907" i="19" s="1"/>
  <c r="AK907" i="19" s="1" a="1"/>
  <c r="AK907" i="19" s="1"/>
  <c r="AI335" i="19"/>
  <c r="AI1397" i="19"/>
  <c r="AI1696" i="19"/>
  <c r="AH311" i="19"/>
  <c r="AJ311" i="19" s="1"/>
  <c r="AK311" i="19" s="1" a="1"/>
  <c r="AK311" i="19" s="1"/>
  <c r="AH862" i="19"/>
  <c r="AJ862" i="19" s="1"/>
  <c r="AK862" i="19" s="1" a="1"/>
  <c r="AK862" i="19" s="1"/>
  <c r="AI686" i="19"/>
  <c r="AI666" i="19"/>
  <c r="AI550" i="19"/>
  <c r="AH479" i="19"/>
  <c r="AJ479" i="19" s="1"/>
  <c r="AK479" i="19" s="1" a="1"/>
  <c r="AK479" i="19" s="1"/>
  <c r="AI694" i="19"/>
  <c r="AI715" i="19"/>
  <c r="AH680" i="19"/>
  <c r="AJ680" i="19" s="1"/>
  <c r="AK680" i="19" s="1" a="1"/>
  <c r="AK680" i="19" s="1"/>
  <c r="AH666" i="19"/>
  <c r="AJ666" i="19" s="1"/>
  <c r="AK666" i="19" s="1" a="1"/>
  <c r="AK666" i="19" s="1"/>
  <c r="AI633" i="19"/>
  <c r="AH567" i="19"/>
  <c r="AJ567" i="19" s="1"/>
  <c r="AK567" i="19" s="1" a="1"/>
  <c r="AK567" i="19" s="1"/>
  <c r="AH553" i="19"/>
  <c r="AJ553" i="19" s="1"/>
  <c r="AK553" i="19" s="1" a="1"/>
  <c r="AK553" i="19" s="1"/>
  <c r="AI541" i="19"/>
  <c r="AI532" i="19"/>
  <c r="AH488" i="19"/>
  <c r="AJ488" i="19" s="1"/>
  <c r="AK488" i="19" s="1" a="1"/>
  <c r="AK488" i="19" s="1"/>
  <c r="AI538" i="19"/>
  <c r="AI496" i="19"/>
  <c r="AH487" i="19"/>
  <c r="AJ487" i="19" s="1"/>
  <c r="AK487" i="19" s="1" a="1"/>
  <c r="AK487" i="19" s="1"/>
  <c r="AI408" i="19"/>
  <c r="AI394" i="19"/>
  <c r="AH688" i="19"/>
  <c r="AJ688" i="19" s="1"/>
  <c r="AK688" i="19" s="1" a="1"/>
  <c r="AK688" i="19" s="1"/>
  <c r="AI368" i="19"/>
  <c r="W1512" i="19"/>
  <c r="AI481" i="19"/>
  <c r="AI1653" i="19"/>
  <c r="AH1394" i="19"/>
  <c r="AJ1394" i="19" s="1"/>
  <c r="AK1394" i="19" s="1" a="1"/>
  <c r="AK1394" i="19" s="1"/>
  <c r="AH1651" i="19"/>
  <c r="AJ1651" i="19" s="1"/>
  <c r="AK1651" i="19" s="1" a="1"/>
  <c r="AK1651" i="19" s="1"/>
  <c r="AH314" i="19"/>
  <c r="AJ314" i="19" s="1"/>
  <c r="AK314" i="19" s="1" a="1"/>
  <c r="AK314" i="19" s="1"/>
  <c r="AI693" i="19"/>
  <c r="AI574" i="19"/>
  <c r="AI473" i="19"/>
  <c r="AI469" i="19"/>
  <c r="AI445" i="19"/>
  <c r="AI755" i="19"/>
  <c r="AI628" i="19"/>
  <c r="AH565" i="19"/>
  <c r="AJ565" i="19" s="1"/>
  <c r="AK565" i="19" s="1" a="1"/>
  <c r="AK565" i="19" s="1"/>
  <c r="AI559" i="19"/>
  <c r="AI525" i="19"/>
  <c r="AI456" i="19"/>
  <c r="AH653" i="19"/>
  <c r="AJ653" i="19" s="1"/>
  <c r="AK653" i="19" s="1" a="1"/>
  <c r="AK653" i="19" s="1"/>
  <c r="AI471" i="19"/>
  <c r="AH466" i="19"/>
  <c r="AJ466" i="19" s="1"/>
  <c r="AK466" i="19" s="1" a="1"/>
  <c r="AK466" i="19" s="1"/>
  <c r="AH552" i="19"/>
  <c r="AJ552" i="19" s="1"/>
  <c r="AK552" i="19" s="1" a="1"/>
  <c r="AK552" i="19" s="1"/>
  <c r="AH661" i="19"/>
  <c r="AJ661" i="19" s="1"/>
  <c r="AK661" i="19" s="1" a="1"/>
  <c r="AK661" i="19" s="1"/>
  <c r="AI1009" i="19"/>
  <c r="AH689" i="19"/>
  <c r="AJ689" i="19" s="1"/>
  <c r="AK689" i="19" s="1" a="1"/>
  <c r="AK689" i="19" s="1"/>
  <c r="AH419" i="19"/>
  <c r="AJ419" i="19" s="1"/>
  <c r="AK419" i="19" s="1" a="1"/>
  <c r="AK419" i="19" s="1"/>
  <c r="AI294" i="19"/>
  <c r="AH392" i="19"/>
  <c r="AJ392" i="19" s="1"/>
  <c r="AK392" i="19" s="1" a="1"/>
  <c r="AK392" i="19" s="1"/>
  <c r="AH1384" i="19"/>
  <c r="AJ1384" i="19" s="1"/>
  <c r="AK1384" i="19" s="1" a="1"/>
  <c r="AK1384" i="19" s="1"/>
  <c r="AI1198" i="19"/>
  <c r="AH1178" i="19"/>
  <c r="AJ1178" i="19" s="1"/>
  <c r="AK1178" i="19" s="1" a="1"/>
  <c r="AK1178" i="19" s="1"/>
  <c r="AH1113" i="19"/>
  <c r="AJ1113" i="19" s="1"/>
  <c r="AK1113" i="19" s="1" a="1"/>
  <c r="AK1113" i="19" s="1"/>
  <c r="AH1048" i="19"/>
  <c r="AJ1048" i="19" s="1"/>
  <c r="AK1048" i="19" s="1" a="1"/>
  <c r="AK1048" i="19" s="1"/>
  <c r="AI990" i="19"/>
  <c r="AI939" i="19"/>
  <c r="AI862" i="19"/>
  <c r="AI837" i="19"/>
  <c r="AI740" i="19"/>
  <c r="AI494" i="19"/>
  <c r="AI784" i="19"/>
  <c r="AI437" i="19"/>
  <c r="AI406" i="19"/>
  <c r="AI387" i="19"/>
  <c r="AH490" i="19"/>
  <c r="AJ490" i="19" s="1"/>
  <c r="AK490" i="19" s="1" a="1"/>
  <c r="AK490" i="19" s="1"/>
  <c r="AI484" i="19"/>
  <c r="AI333" i="19"/>
  <c r="AI440" i="19"/>
  <c r="AI558" i="19"/>
  <c r="AI495" i="19"/>
  <c r="AH899" i="19"/>
  <c r="AJ899" i="19" s="1"/>
  <c r="AK899" i="19" s="1" a="1"/>
  <c r="AK899" i="19" s="1"/>
  <c r="AH861" i="19"/>
  <c r="AJ861" i="19" s="1"/>
  <c r="AK861" i="19" s="1" a="1"/>
  <c r="AK861" i="19" s="1"/>
  <c r="AI476" i="19"/>
  <c r="AI483" i="19"/>
  <c r="AI465" i="19"/>
  <c r="AH555" i="19"/>
  <c r="AJ555" i="19" s="1"/>
  <c r="AK555" i="19" s="1" a="1"/>
  <c r="AK555" i="19" s="1"/>
  <c r="AI956" i="19"/>
  <c r="AI588" i="19"/>
  <c r="AI438" i="19"/>
  <c r="AI46" i="19"/>
  <c r="AH1202" i="19"/>
  <c r="AJ1202" i="19" s="1"/>
  <c r="AK1202" i="19" s="1" a="1"/>
  <c r="AK1202" i="19" s="1"/>
  <c r="AH874" i="19"/>
  <c r="AJ874" i="19" s="1"/>
  <c r="AK874" i="19" s="1" a="1"/>
  <c r="AK874" i="19" s="1"/>
  <c r="AH557" i="19"/>
  <c r="AJ557" i="19" s="1"/>
  <c r="AK557" i="19" s="1" a="1"/>
  <c r="AK557" i="19" s="1"/>
  <c r="AH657" i="19"/>
  <c r="AJ657" i="19" s="1"/>
  <c r="AK657" i="19" s="1" a="1"/>
  <c r="AK657" i="19" s="1"/>
  <c r="AH617" i="19"/>
  <c r="AJ617" i="19" s="1"/>
  <c r="AK617" i="19" s="1" a="1"/>
  <c r="AK617" i="19" s="1"/>
  <c r="AH571" i="19"/>
  <c r="AJ571" i="19" s="1"/>
  <c r="AK571" i="19" s="1" a="1"/>
  <c r="AK571" i="19" s="1"/>
  <c r="AH1242" i="19"/>
  <c r="AJ1242" i="19" s="1"/>
  <c r="AK1242" i="19" s="1" a="1"/>
  <c r="AK1242" i="19" s="1"/>
  <c r="AH785" i="19"/>
  <c r="AJ785" i="19" s="1"/>
  <c r="AK785" i="19" s="1" a="1"/>
  <c r="AK785" i="19" s="1"/>
  <c r="AH1420" i="19"/>
  <c r="AJ1420" i="19" s="1"/>
  <c r="AK1420" i="19" s="1" a="1"/>
  <c r="AK1420" i="19" s="1"/>
  <c r="AH931" i="19"/>
  <c r="AJ931" i="19" s="1"/>
  <c r="AK931" i="19" s="1" a="1"/>
  <c r="AK931" i="19" s="1"/>
  <c r="AH668" i="19"/>
  <c r="AJ668" i="19" s="1"/>
  <c r="AK668" i="19" s="1" a="1"/>
  <c r="AK668" i="19" s="1"/>
  <c r="AH627" i="19"/>
  <c r="AJ627" i="19" s="1"/>
  <c r="AK627" i="19" s="1" a="1"/>
  <c r="AK627" i="19" s="1"/>
  <c r="AH320" i="19"/>
  <c r="AJ320" i="19" s="1"/>
  <c r="AK320" i="19" s="1" a="1"/>
  <c r="AK320" i="19" s="1"/>
  <c r="AH312" i="19"/>
  <c r="AJ312" i="19" s="1"/>
  <c r="AK312" i="19" s="1" a="1"/>
  <c r="AK312" i="19" s="1"/>
  <c r="AH569" i="19"/>
  <c r="AJ569" i="19" s="1"/>
  <c r="AK569" i="19" s="1" a="1"/>
  <c r="AK569" i="19" s="1"/>
  <c r="AH707" i="19"/>
  <c r="AJ707" i="19" s="1"/>
  <c r="AK707" i="19" s="1" a="1"/>
  <c r="AK707" i="19" s="1"/>
  <c r="AH675" i="19"/>
  <c r="AJ675" i="19" s="1"/>
  <c r="AK675" i="19" s="1" a="1"/>
  <c r="AK675" i="19" s="1"/>
  <c r="AH556" i="19"/>
  <c r="AJ556" i="19" s="1"/>
  <c r="AK556" i="19" s="1" a="1"/>
  <c r="AK556" i="19" s="1"/>
  <c r="AH716" i="19"/>
  <c r="AJ716" i="19" s="1"/>
  <c r="AK716" i="19" s="1" a="1"/>
  <c r="AK716" i="19" s="1"/>
  <c r="AH313" i="19"/>
  <c r="AJ313" i="19" s="1"/>
  <c r="AK313" i="19" s="1" a="1"/>
  <c r="AK313" i="19" s="1"/>
  <c r="AI653" i="19"/>
  <c r="AI499" i="19"/>
  <c r="AH789" i="19"/>
  <c r="AJ789" i="19" s="1"/>
  <c r="AK789" i="19" s="1" a="1"/>
  <c r="AK789" i="19" s="1"/>
  <c r="AH857" i="19"/>
  <c r="AJ857" i="19" s="1"/>
  <c r="AK857" i="19" s="1" a="1"/>
  <c r="AK857" i="19" s="1"/>
  <c r="AH1306" i="19"/>
  <c r="AJ1306" i="19" s="1"/>
  <c r="AK1306" i="19" s="1" a="1"/>
  <c r="AK1306" i="19" s="1"/>
  <c r="AH860" i="19"/>
  <c r="AJ860" i="19" s="1"/>
  <c r="AK860" i="19" s="1" a="1"/>
  <c r="AK860" i="19" s="1"/>
  <c r="AH1007" i="19"/>
  <c r="AJ1007" i="19" s="1"/>
  <c r="AK1007" i="19" s="1" a="1"/>
  <c r="AK1007" i="19" s="1"/>
  <c r="AH671" i="19"/>
  <c r="AJ671" i="19" s="1"/>
  <c r="AK671" i="19" s="1" a="1"/>
  <c r="AK671" i="19" s="1"/>
  <c r="AH647" i="19"/>
  <c r="AJ647" i="19" s="1"/>
  <c r="AK647" i="19" s="1" a="1"/>
  <c r="AK647" i="19" s="1"/>
  <c r="AH781" i="19"/>
  <c r="AJ781" i="19" s="1"/>
  <c r="AK781" i="19" s="1" a="1"/>
  <c r="AK781" i="19" s="1"/>
  <c r="AH728" i="19"/>
  <c r="AJ728" i="19" s="1"/>
  <c r="AK728" i="19" s="1" a="1"/>
  <c r="AK728" i="19" s="1"/>
  <c r="AH654" i="19"/>
  <c r="AJ654" i="19" s="1"/>
  <c r="AK654" i="19" s="1" a="1"/>
  <c r="AK654" i="19" s="1"/>
  <c r="AI196" i="19"/>
  <c r="AH564" i="19"/>
  <c r="AJ564" i="19" s="1"/>
  <c r="AK564" i="19" s="1" a="1"/>
  <c r="AK564" i="19" s="1"/>
  <c r="AH526" i="19"/>
  <c r="AJ526" i="19" s="1"/>
  <c r="AK526" i="19" s="1" a="1"/>
  <c r="AK526" i="19" s="1"/>
  <c r="AH485" i="19"/>
  <c r="AJ485" i="19" s="1"/>
  <c r="AK485" i="19" s="1" a="1"/>
  <c r="AK485" i="19" s="1"/>
  <c r="AH825" i="19"/>
  <c r="AJ825" i="19" s="1"/>
  <c r="AK825" i="19" s="1" a="1"/>
  <c r="AK825" i="19" s="1"/>
  <c r="AI880" i="19"/>
  <c r="AI808" i="19"/>
  <c r="AI1191" i="19"/>
  <c r="AI691" i="19"/>
  <c r="AI1377" i="19"/>
  <c r="AI1372" i="19"/>
  <c r="AI1364" i="19"/>
  <c r="AI1304" i="19"/>
  <c r="AI1148" i="19"/>
  <c r="AI1406" i="19"/>
  <c r="AI929" i="19"/>
  <c r="AI911" i="19"/>
  <c r="AI776" i="19"/>
  <c r="AI678" i="19"/>
  <c r="AI555" i="19"/>
  <c r="AI435" i="19"/>
  <c r="AI1310" i="19"/>
  <c r="AI875" i="19"/>
  <c r="AI758" i="19"/>
  <c r="AI409" i="19"/>
  <c r="AI270" i="19"/>
  <c r="AI976" i="19"/>
  <c r="AI1283" i="19"/>
  <c r="AI1040" i="19"/>
  <c r="AI847" i="19"/>
  <c r="AI815" i="19"/>
  <c r="AI680" i="19"/>
  <c r="AI271" i="19"/>
  <c r="AI88" i="19"/>
  <c r="AI778" i="19"/>
  <c r="AI734" i="19"/>
  <c r="AI2344" i="19"/>
  <c r="AI2346" i="19"/>
  <c r="AI1407" i="19"/>
  <c r="AI1017" i="19"/>
  <c r="AI806" i="19"/>
  <c r="AI662" i="19"/>
  <c r="AI1014" i="19"/>
  <c r="AI955" i="19"/>
  <c r="AI812" i="19"/>
  <c r="AI821" i="19"/>
  <c r="AI809" i="19"/>
  <c r="AI576" i="19"/>
  <c r="AI1353" i="19"/>
  <c r="AI1231" i="19"/>
  <c r="AI1098" i="19"/>
  <c r="AI923" i="19"/>
  <c r="AI810" i="19"/>
  <c r="AI655" i="19"/>
  <c r="AI17" i="19"/>
  <c r="AI1106" i="19"/>
  <c r="AI983" i="19"/>
  <c r="AI921" i="19"/>
  <c r="AI1432" i="19"/>
  <c r="AI937" i="19"/>
  <c r="AI968" i="19"/>
  <c r="AI1186" i="19"/>
  <c r="AI602" i="19"/>
  <c r="AI488" i="19"/>
  <c r="AI1371" i="19"/>
  <c r="AI1312" i="19"/>
  <c r="AI1311" i="19"/>
  <c r="AI1292" i="19"/>
  <c r="AI1248" i="19"/>
  <c r="AI1238" i="19"/>
  <c r="AI1216" i="19"/>
  <c r="AI1046" i="19"/>
  <c r="AI932" i="19"/>
  <c r="AI904" i="19"/>
  <c r="AI398" i="19"/>
  <c r="AI89" i="19"/>
  <c r="AI1168" i="19"/>
  <c r="AI1289" i="19"/>
  <c r="AI882" i="19"/>
  <c r="AI639" i="19"/>
  <c r="AI1207" i="19"/>
  <c r="AI706" i="19"/>
  <c r="AI1226" i="19"/>
  <c r="AI816" i="19"/>
  <c r="AI2345" i="19"/>
  <c r="AI811" i="19"/>
  <c r="AI807" i="19"/>
  <c r="AI757" i="19"/>
  <c r="AI682" i="19"/>
  <c r="AH321" i="19"/>
  <c r="AJ321" i="19" s="1"/>
  <c r="AK321" i="19" s="1" a="1"/>
  <c r="AK321" i="19" s="1"/>
  <c r="AH1620" i="19"/>
  <c r="AJ1620" i="19" s="1"/>
  <c r="AK1620" i="19" s="1" a="1"/>
  <c r="AK1620" i="19" s="1"/>
  <c r="AH1616" i="19"/>
  <c r="AJ1616" i="19" s="1"/>
  <c r="AK1616" i="19" s="1" a="1"/>
  <c r="AK1616" i="19" s="1"/>
  <c r="AH1619" i="19"/>
  <c r="AJ1619" i="19" s="1"/>
  <c r="AK1619" i="19" s="1" a="1"/>
  <c r="AK1619" i="19" s="1"/>
  <c r="AH1622" i="19"/>
  <c r="AJ1622" i="19" s="1"/>
  <c r="AK1622" i="19" s="1" a="1"/>
  <c r="AK1622" i="19" s="1"/>
  <c r="AH1621" i="19"/>
  <c r="AJ1621" i="19" s="1"/>
  <c r="AK1621" i="19" s="1" a="1"/>
  <c r="AK1621" i="19" s="1"/>
  <c r="AI199" i="19"/>
  <c r="AI1620" i="19"/>
  <c r="AI1616" i="19"/>
  <c r="AI1619" i="19"/>
  <c r="AI1622" i="19"/>
  <c r="AI1621" i="19"/>
  <c r="AA1461" i="19" a="1"/>
  <c r="AA1461" i="19" s="1"/>
  <c r="X1461" i="19" s="1"/>
  <c r="AA1456" i="19" a="1"/>
  <c r="AA1456" i="19" s="1"/>
  <c r="X1456" i="19" s="1"/>
  <c r="AA1458" i="19" a="1"/>
  <c r="AA1458" i="19" s="1"/>
  <c r="X1458" i="19" s="1"/>
  <c r="AA1491" i="19" a="1"/>
  <c r="AA1491" i="19" s="1"/>
  <c r="X1491" i="19" s="1"/>
  <c r="AA1531" i="19" a="1"/>
  <c r="AA1531" i="19" s="1"/>
  <c r="X1531" i="19" s="1"/>
  <c r="AA976" i="19" a="1"/>
  <c r="AA976" i="19" s="1"/>
  <c r="X976" i="19" s="1"/>
  <c r="AA1455" i="19" a="1"/>
  <c r="AA1455" i="19" s="1"/>
  <c r="X1455" i="19" s="1"/>
  <c r="AA1433" i="19" a="1"/>
  <c r="AA1433" i="19" s="1"/>
  <c r="X1433" i="19" s="1"/>
  <c r="AA1429" i="19" a="1"/>
  <c r="AA1429" i="19" s="1"/>
  <c r="X1429" i="19" s="1"/>
  <c r="AA1426" i="19" a="1"/>
  <c r="AA1426" i="19" s="1"/>
  <c r="X1426" i="19" s="1"/>
  <c r="AA1393" i="19" a="1"/>
  <c r="AA1393" i="19" s="1"/>
  <c r="X1393" i="19" s="1"/>
  <c r="AA1356" i="19" a="1"/>
  <c r="AA1356" i="19" s="1"/>
  <c r="X1356" i="19" s="1"/>
  <c r="AA1324" i="19" a="1"/>
  <c r="AA1324" i="19" s="1"/>
  <c r="X1324" i="19" s="1"/>
  <c r="AA1336" i="19" a="1"/>
  <c r="AA1336" i="19" s="1"/>
  <c r="X1336" i="19" s="1"/>
  <c r="AA1334" i="19" a="1"/>
  <c r="AA1334" i="19" s="1"/>
  <c r="X1334" i="19" s="1"/>
  <c r="AA1339" i="19" a="1"/>
  <c r="AA1339" i="19" s="1"/>
  <c r="X1339" i="19" s="1"/>
  <c r="AA1280" i="19" a="1"/>
  <c r="AA1280" i="19" s="1"/>
  <c r="X1280" i="19" s="1"/>
  <c r="AA1233" i="19" a="1"/>
  <c r="AA1233" i="19" s="1"/>
  <c r="X1233" i="19" s="1"/>
  <c r="AA1209" i="19" a="1"/>
  <c r="AA1209" i="19" s="1"/>
  <c r="X1209" i="19" s="1"/>
  <c r="AA1205" i="19" a="1"/>
  <c r="AA1205" i="19" s="1"/>
  <c r="X1205" i="19" s="1"/>
  <c r="AA1188" i="19" a="1"/>
  <c r="AA1188" i="19" s="1"/>
  <c r="X1188" i="19" s="1"/>
  <c r="AA1221" i="19" a="1"/>
  <c r="AA1221" i="19" s="1"/>
  <c r="X1221" i="19" s="1"/>
  <c r="AA1183" i="19" a="1"/>
  <c r="AA1183" i="19" s="1"/>
  <c r="X1183" i="19" s="1"/>
  <c r="AA1163" i="19" a="1"/>
  <c r="AA1163" i="19" s="1"/>
  <c r="X1163" i="19" s="1"/>
  <c r="AA1150" i="19" a="1"/>
  <c r="AA1150" i="19" s="1"/>
  <c r="X1150" i="19" s="1"/>
  <c r="AA1142" i="19" a="1"/>
  <c r="AA1142" i="19" s="1"/>
  <c r="X1142" i="19" s="1"/>
  <c r="AA1127" i="19" a="1"/>
  <c r="AA1127" i="19" s="1"/>
  <c r="X1127" i="19" s="1"/>
  <c r="AA1116" i="19" a="1"/>
  <c r="AA1116" i="19" s="1"/>
  <c r="X1116" i="19" s="1"/>
  <c r="AA1106" i="19" a="1"/>
  <c r="AA1106" i="19" s="1"/>
  <c r="X1106" i="19" s="1"/>
  <c r="AA1100" i="19" a="1"/>
  <c r="AA1100" i="19" s="1"/>
  <c r="X1100" i="19" s="1"/>
  <c r="AA1091" i="19" a="1"/>
  <c r="AA1091" i="19" s="1"/>
  <c r="X1091" i="19" s="1"/>
  <c r="AA1043" i="19" a="1"/>
  <c r="AA1043" i="19" s="1"/>
  <c r="X1043" i="19" s="1"/>
  <c r="AA1035" i="19" a="1"/>
  <c r="AA1035" i="19" s="1"/>
  <c r="X1035" i="19" s="1"/>
  <c r="AA591" i="19" a="1"/>
  <c r="AA591" i="19" s="1"/>
  <c r="X591" i="19" s="1"/>
  <c r="AA596" i="19" a="1"/>
  <c r="AA596" i="19" s="1"/>
  <c r="X596" i="19" s="1"/>
  <c r="AA580" i="19" a="1"/>
  <c r="AA580" i="19" s="1"/>
  <c r="X580" i="19" s="1"/>
  <c r="AA547" i="19" a="1"/>
  <c r="AA547" i="19" s="1"/>
  <c r="X547" i="19" s="1"/>
  <c r="AA537" i="19" a="1"/>
  <c r="AA537" i="19" s="1"/>
  <c r="X537" i="19" s="1"/>
  <c r="X498" i="19"/>
  <c r="AA491" i="19" a="1"/>
  <c r="AA491" i="19" s="1"/>
  <c r="AA479" i="19" a="1"/>
  <c r="AA479" i="19" s="1"/>
  <c r="X479" i="19" s="1"/>
  <c r="AA466" i="19" a="1"/>
  <c r="AA466" i="19" s="1"/>
  <c r="X466" i="19" s="1"/>
  <c r="AA350" i="19" a="1"/>
  <c r="AA350" i="19" s="1"/>
  <c r="X350" i="19" s="1"/>
  <c r="AA1507" i="19" a="1"/>
  <c r="AA1507" i="19" s="1"/>
  <c r="X1507" i="19" s="1"/>
  <c r="AA1501" i="19" a="1"/>
  <c r="AA1501" i="19" s="1"/>
  <c r="X1501" i="19" s="1"/>
  <c r="AA1602" i="19" a="1"/>
  <c r="AA1602" i="19" s="1"/>
  <c r="X1602" i="19" s="1"/>
  <c r="AA1587" i="19" a="1"/>
  <c r="AA1587" i="19" s="1"/>
  <c r="X1587" i="19" s="1"/>
  <c r="AA1584" i="19" a="1"/>
  <c r="AA1584" i="19" s="1"/>
  <c r="X1584" i="19" s="1"/>
  <c r="AA1580" i="19" a="1"/>
  <c r="AA1580" i="19" s="1"/>
  <c r="X1580" i="19" s="1"/>
  <c r="AA1554" i="19" a="1"/>
  <c r="AA1554" i="19" s="1"/>
  <c r="X1554" i="19" s="1"/>
  <c r="AA1557" i="19" a="1"/>
  <c r="AA1557" i="19" s="1"/>
  <c r="X1557" i="19" s="1"/>
  <c r="AA1511" i="19" a="1"/>
  <c r="AA1511" i="19" s="1"/>
  <c r="X1511" i="19" s="1"/>
  <c r="AA1509" i="19" a="1"/>
  <c r="AA1509" i="19" s="1"/>
  <c r="X1509" i="19" s="1"/>
  <c r="AA1519" i="19" a="1"/>
  <c r="AA1519" i="19" s="1"/>
  <c r="X1519" i="19" s="1"/>
  <c r="AA1330" i="19" a="1"/>
  <c r="AA1330" i="19" s="1"/>
  <c r="X1330" i="19" s="1"/>
  <c r="AA1306" i="19" a="1"/>
  <c r="AA1306" i="19" s="1"/>
  <c r="X1306" i="19" s="1"/>
  <c r="AA1315" i="19" a="1"/>
  <c r="AA1315" i="19" s="1"/>
  <c r="X1315" i="19" s="1"/>
  <c r="AA1248" i="19" a="1"/>
  <c r="AA1248" i="19" s="1"/>
  <c r="X1248" i="19" s="1"/>
  <c r="AA1216" i="19" a="1"/>
  <c r="AA1216" i="19" s="1"/>
  <c r="X1216" i="19" s="1"/>
  <c r="AA1174" i="19" a="1"/>
  <c r="AA1174" i="19" s="1"/>
  <c r="X1174" i="19" s="1"/>
  <c r="AA1161" i="19" a="1"/>
  <c r="AA1161" i="19" s="1"/>
  <c r="X1161" i="19" s="1"/>
  <c r="AA1128" i="19" a="1"/>
  <c r="AA1128" i="19" s="1"/>
  <c r="X1128" i="19" s="1"/>
  <c r="AA1060" i="19" a="1"/>
  <c r="AA1060" i="19" s="1"/>
  <c r="X1060" i="19" s="1"/>
  <c r="AA1015" i="19" a="1"/>
  <c r="AA1015" i="19" s="1"/>
  <c r="X1015" i="19" s="1"/>
  <c r="AA914" i="19" a="1"/>
  <c r="AA914" i="19" s="1"/>
  <c r="X914" i="19" s="1"/>
  <c r="AA904" i="19" a="1"/>
  <c r="AA904" i="19" s="1"/>
  <c r="X904" i="19" s="1"/>
  <c r="AA895" i="19" a="1"/>
  <c r="AA895" i="19" s="1"/>
  <c r="X895" i="19" s="1"/>
  <c r="AA892" i="19" a="1"/>
  <c r="AA892" i="19" s="1"/>
  <c r="X892" i="19" s="1"/>
  <c r="AA889" i="19" a="1"/>
  <c r="AA889" i="19" s="1"/>
  <c r="X889" i="19" s="1"/>
  <c r="AA863" i="19" a="1"/>
  <c r="AA863" i="19" s="1"/>
  <c r="X863" i="19" s="1"/>
  <c r="AA855" i="19" a="1"/>
  <c r="AA855" i="19" s="1"/>
  <c r="X855" i="19" s="1"/>
  <c r="AA1495" i="19" a="1"/>
  <c r="AA1495" i="19" s="1"/>
  <c r="X1495" i="19" s="1"/>
  <c r="AA1484" i="19" a="1"/>
  <c r="AA1484" i="19" s="1"/>
  <c r="X1484" i="19" s="1"/>
  <c r="AA1477" i="19" a="1"/>
  <c r="AA1477" i="19" s="1"/>
  <c r="X1477" i="19" s="1"/>
  <c r="AA1493" i="19" a="1"/>
  <c r="AA1493" i="19" s="1"/>
  <c r="X1493" i="19" s="1"/>
  <c r="AA1526" i="19" a="1"/>
  <c r="AA1526" i="19" s="1"/>
  <c r="X1526" i="19" s="1"/>
  <c r="AA1547" i="19" a="1"/>
  <c r="AA1547" i="19" s="1"/>
  <c r="X1547" i="19" s="1"/>
  <c r="AA975" i="19" a="1"/>
  <c r="AA975" i="19" s="1"/>
  <c r="X975" i="19" s="1"/>
  <c r="AA1374" i="19" a="1"/>
  <c r="AA1374" i="19" s="1"/>
  <c r="X1374" i="19" s="1"/>
  <c r="AA1370" i="19" a="1"/>
  <c r="AA1370" i="19" s="1"/>
  <c r="X1370" i="19" s="1"/>
  <c r="AA1368" i="19" a="1"/>
  <c r="AA1368" i="19" s="1"/>
  <c r="X1368" i="19" s="1"/>
  <c r="AA1366" i="19" a="1"/>
  <c r="AA1366" i="19" s="1"/>
  <c r="X1366" i="19" s="1"/>
  <c r="AA1360" i="19" a="1"/>
  <c r="AA1360" i="19" s="1"/>
  <c r="X1360" i="19" s="1"/>
  <c r="AA1307" i="19" a="1"/>
  <c r="AA1307" i="19" s="1"/>
  <c r="X1307" i="19" s="1"/>
  <c r="AA1316" i="19" a="1"/>
  <c r="AA1316" i="19" s="1"/>
  <c r="X1316" i="19" s="1"/>
  <c r="AA1317" i="19" a="1"/>
  <c r="AA1317" i="19" s="1"/>
  <c r="X1317" i="19" s="1"/>
  <c r="AA1256" i="19" a="1"/>
  <c r="AA1256" i="19" s="1"/>
  <c r="X1256" i="19" s="1"/>
  <c r="AA1247" i="19" a="1"/>
  <c r="AA1247" i="19" s="1"/>
  <c r="X1247" i="19" s="1"/>
  <c r="AA1240" i="19" a="1"/>
  <c r="AA1240" i="19" s="1"/>
  <c r="X1240" i="19" s="1"/>
  <c r="AA1242" i="19" a="1"/>
  <c r="AA1242" i="19" s="1"/>
  <c r="X1242" i="19" s="1"/>
  <c r="AA1194" i="19" a="1"/>
  <c r="AA1194" i="19" s="1"/>
  <c r="X1194" i="19" s="1"/>
  <c r="AA1169" i="19" a="1"/>
  <c r="AA1169" i="19" s="1"/>
  <c r="X1169" i="19" s="1"/>
  <c r="AA1176" i="19" a="1"/>
  <c r="AA1176" i="19" s="1"/>
  <c r="X1176" i="19" s="1"/>
  <c r="AA1149" i="19" a="1"/>
  <c r="AA1149" i="19" s="1"/>
  <c r="X1149" i="19" s="1"/>
  <c r="AA1136" i="19" a="1"/>
  <c r="AA1136" i="19" s="1"/>
  <c r="X1136" i="19" s="1"/>
  <c r="AA1130" i="19" a="1"/>
  <c r="AA1130" i="19" s="1"/>
  <c r="X1130" i="19" s="1"/>
  <c r="AA1105" i="19" a="1"/>
  <c r="AA1105" i="19" s="1"/>
  <c r="X1105" i="19" s="1"/>
  <c r="AA1093" i="19" a="1"/>
  <c r="AA1093" i="19" s="1"/>
  <c r="X1093" i="19" s="1"/>
  <c r="AA1053" i="19" a="1"/>
  <c r="AA1053" i="19" s="1"/>
  <c r="X1053" i="19" s="1"/>
  <c r="AA1045" i="19" a="1"/>
  <c r="AA1045" i="19" s="1"/>
  <c r="X1045" i="19" s="1"/>
  <c r="AA1017" i="19" a="1"/>
  <c r="AA1017" i="19" s="1"/>
  <c r="X1017" i="19" s="1"/>
  <c r="AA1014" i="19" a="1"/>
  <c r="AA1014" i="19" s="1"/>
  <c r="X1014" i="19" s="1"/>
  <c r="AA963" i="19" a="1"/>
  <c r="AA963" i="19" s="1"/>
  <c r="X963" i="19" s="1"/>
  <c r="AA943" i="19" a="1"/>
  <c r="AA943" i="19" s="1"/>
  <c r="X943" i="19" s="1"/>
  <c r="AA926" i="19" a="1"/>
  <c r="AA926" i="19" s="1"/>
  <c r="X926" i="19" s="1"/>
  <c r="AA905" i="19" a="1"/>
  <c r="AA905" i="19" s="1"/>
  <c r="X905" i="19" s="1"/>
  <c r="AA896" i="19" a="1"/>
  <c r="AA896" i="19" s="1"/>
  <c r="X896" i="19" s="1"/>
  <c r="AA891" i="19" a="1"/>
  <c r="AA891" i="19" s="1"/>
  <c r="X891" i="19" s="1"/>
  <c r="AA882" i="19" a="1"/>
  <c r="AA882" i="19" s="1"/>
  <c r="X882" i="19" s="1"/>
  <c r="AA869" i="19" a="1"/>
  <c r="AA869" i="19" s="1"/>
  <c r="X869" i="19" s="1"/>
  <c r="AA821" i="19" a="1"/>
  <c r="AA821" i="19" s="1"/>
  <c r="X821" i="19" s="1"/>
  <c r="AA796" i="19" a="1"/>
  <c r="AA796" i="19" s="1"/>
  <c r="X796" i="19" s="1"/>
  <c r="AA773" i="19" a="1"/>
  <c r="AA773" i="19" s="1"/>
  <c r="X773" i="19" s="1"/>
  <c r="AA766" i="19" a="1"/>
  <c r="AA766" i="19" s="1"/>
  <c r="X766" i="19" s="1"/>
  <c r="AA761" i="19" a="1"/>
  <c r="AA761" i="19" s="1"/>
  <c r="X761" i="19" s="1"/>
  <c r="AA702" i="19" a="1"/>
  <c r="AA702" i="19" s="1"/>
  <c r="X702" i="19" s="1"/>
  <c r="AA675" i="19" a="1"/>
  <c r="AA675" i="19" s="1"/>
  <c r="X675" i="19" s="1"/>
  <c r="AA669" i="19" a="1"/>
  <c r="AA669" i="19" s="1"/>
  <c r="X669" i="19" s="1"/>
  <c r="AA659" i="19" a="1"/>
  <c r="AA659" i="19" s="1"/>
  <c r="X659" i="19" s="1"/>
  <c r="AA608" i="19" a="1"/>
  <c r="AA608" i="19" s="1"/>
  <c r="X608" i="19" s="1"/>
  <c r="AA611" i="19" a="1"/>
  <c r="AA611" i="19" s="1"/>
  <c r="X611" i="19" s="1"/>
  <c r="AA584" i="19" a="1"/>
  <c r="AA584" i="19" s="1"/>
  <c r="X584" i="19" s="1"/>
  <c r="AA583" i="19" a="1"/>
  <c r="AA583" i="19" s="1"/>
  <c r="X583" i="19" s="1"/>
  <c r="AA575" i="19" a="1"/>
  <c r="AA575" i="19" s="1"/>
  <c r="X575" i="19" s="1"/>
  <c r="AA572" i="19" a="1"/>
  <c r="AA572" i="19" s="1"/>
  <c r="X572" i="19" s="1"/>
  <c r="AA552" i="19" a="1"/>
  <c r="AA552" i="19" s="1"/>
  <c r="X552" i="19" s="1"/>
  <c r="AA557" i="19" a="1"/>
  <c r="AA557" i="19" s="1"/>
  <c r="X557" i="19" s="1"/>
  <c r="AA525" i="19" a="1"/>
  <c r="AA525" i="19" s="1"/>
  <c r="X525" i="19" s="1"/>
  <c r="AA532" i="19" a="1"/>
  <c r="AA532" i="19" s="1"/>
  <c r="X532" i="19" s="1"/>
  <c r="AA455" i="19" a="1"/>
  <c r="AA455" i="19" s="1"/>
  <c r="X455" i="19" s="1"/>
  <c r="AA359" i="19" a="1"/>
  <c r="AA359" i="19" s="1"/>
  <c r="X359" i="19" s="1"/>
  <c r="AA328" i="19" a="1"/>
  <c r="AA328" i="19" s="1"/>
  <c r="X328" i="19" s="1"/>
  <c r="AA1503" i="19" a="1"/>
  <c r="AA1503" i="19" s="1"/>
  <c r="X1503" i="19" s="1"/>
  <c r="AA1715" i="19" a="1"/>
  <c r="AA1715" i="19" s="1"/>
  <c r="X1715" i="19" s="1"/>
  <c r="AA1701" i="19" a="1"/>
  <c r="AA1701" i="19" s="1"/>
  <c r="X1701" i="19" s="1"/>
  <c r="AA1714" i="19" a="1"/>
  <c r="AA1714" i="19" s="1"/>
  <c r="X1714" i="19" s="1"/>
  <c r="AA1677" i="19" a="1"/>
  <c r="AA1677" i="19" s="1"/>
  <c r="X1677" i="19" s="1"/>
  <c r="AA1666" i="19" a="1"/>
  <c r="AA1666" i="19" s="1"/>
  <c r="X1666" i="19" s="1"/>
  <c r="AA1659" i="19" a="1"/>
  <c r="AA1659" i="19" s="1"/>
  <c r="X1659" i="19" s="1"/>
  <c r="AA1648" i="19" a="1"/>
  <c r="AA1648" i="19" s="1"/>
  <c r="X1648" i="19" s="1"/>
  <c r="AA1691" i="19" a="1"/>
  <c r="AA1691" i="19" s="1"/>
  <c r="X1691" i="19" s="1"/>
  <c r="AA1746" i="19" a="1"/>
  <c r="AA1746" i="19" s="1"/>
  <c r="X1746" i="19" s="1"/>
  <c r="AA1641" i="19" a="1"/>
  <c r="AA1641" i="19" s="1"/>
  <c r="X1641" i="19" s="1"/>
  <c r="AA1635" i="19" a="1"/>
  <c r="AA1635" i="19" s="1"/>
  <c r="X1635" i="19" s="1"/>
  <c r="AA1625" i="19" a="1"/>
  <c r="AA1625" i="19" s="1"/>
  <c r="X1625" i="19" s="1"/>
  <c r="AA1605" i="19" a="1"/>
  <c r="AA1605" i="19" s="1"/>
  <c r="X1605" i="19" s="1"/>
  <c r="AA1600" i="19" a="1"/>
  <c r="AA1600" i="19" s="1"/>
  <c r="X1600" i="19" s="1"/>
  <c r="AA1567" i="19" a="1"/>
  <c r="AA1567" i="19" s="1"/>
  <c r="X1567" i="19" s="1"/>
  <c r="AA1538" i="19" a="1"/>
  <c r="AA1538" i="19" s="1"/>
  <c r="X1538" i="19" s="1"/>
  <c r="AA1025" i="19" a="1"/>
  <c r="AA1025" i="19" s="1"/>
  <c r="X1025" i="19" s="1"/>
  <c r="AA936" i="19" a="1"/>
  <c r="AA936" i="19" s="1"/>
  <c r="X936" i="19" s="1"/>
  <c r="AA951" i="19" a="1"/>
  <c r="AA951" i="19" s="1"/>
  <c r="X951" i="19" s="1"/>
  <c r="AA928" i="19" a="1"/>
  <c r="AA928" i="19" s="1"/>
  <c r="X928" i="19" s="1"/>
  <c r="AA921" i="19" a="1"/>
  <c r="AA921" i="19" s="1"/>
  <c r="X921" i="19" s="1"/>
  <c r="AA1530" i="19" a="1"/>
  <c r="AA1530" i="19" s="1"/>
  <c r="X1530" i="19" s="1"/>
  <c r="AA2349" i="19" a="1"/>
  <c r="AA2349" i="19" s="1"/>
  <c r="X2349" i="19" s="1"/>
  <c r="AA974" i="19" a="1"/>
  <c r="AA974" i="19" s="1"/>
  <c r="X974" i="19" s="1"/>
  <c r="AA1459" i="19" a="1"/>
  <c r="AA1459" i="19" s="1"/>
  <c r="X1459" i="19" s="1"/>
  <c r="AA1437" i="19" a="1"/>
  <c r="AA1437" i="19" s="1"/>
  <c r="X1437" i="19" s="1"/>
  <c r="AA1436" i="19" a="1"/>
  <c r="AA1436" i="19" s="1"/>
  <c r="X1436" i="19" s="1"/>
  <c r="AA1420" i="19" a="1"/>
  <c r="AA1420" i="19" s="1"/>
  <c r="X1420" i="19" s="1"/>
  <c r="AA1425" i="19" a="1"/>
  <c r="AA1425" i="19" s="1"/>
  <c r="X1425" i="19" s="1"/>
  <c r="AA1415" i="19" a="1"/>
  <c r="AA1415" i="19" s="1"/>
  <c r="X1415" i="19" s="1"/>
  <c r="AA1398" i="19" a="1"/>
  <c r="AA1398" i="19" s="1"/>
  <c r="X1398" i="19" s="1"/>
  <c r="AA1328" i="19" a="1"/>
  <c r="AA1328" i="19" s="1"/>
  <c r="X1328" i="19" s="1"/>
  <c r="AA1338" i="19" a="1"/>
  <c r="AA1338" i="19" s="1"/>
  <c r="X1338" i="19" s="1"/>
  <c r="AA1289" i="19" a="1"/>
  <c r="AA1289" i="19" s="1"/>
  <c r="X1289" i="19" s="1"/>
  <c r="AA1283" i="19" a="1"/>
  <c r="AA1283" i="19" s="1"/>
  <c r="X1283" i="19" s="1"/>
  <c r="AA1282" i="19" a="1"/>
  <c r="AA1282" i="19" s="1"/>
  <c r="X1282" i="19" s="1"/>
  <c r="AA1295" i="19" a="1"/>
  <c r="AA1295" i="19" s="1"/>
  <c r="X1295" i="19" s="1"/>
  <c r="AA1273" i="19" a="1"/>
  <c r="AA1273" i="19" s="1"/>
  <c r="X1273" i="19" s="1"/>
  <c r="AA1270" i="19" a="1"/>
  <c r="AA1270" i="19" s="1"/>
  <c r="X1270" i="19" s="1"/>
  <c r="AA1253" i="19" a="1"/>
  <c r="AA1253" i="19" s="1"/>
  <c r="X1253" i="19" s="1"/>
  <c r="AA1260" i="19" a="1"/>
  <c r="AA1260" i="19" s="1"/>
  <c r="X1260" i="19" s="1"/>
  <c r="AA1243" i="19" a="1"/>
  <c r="AA1243" i="19" s="1"/>
  <c r="X1243" i="19" s="1"/>
  <c r="AA1211" i="19" a="1"/>
  <c r="AA1211" i="19" s="1"/>
  <c r="X1211" i="19" s="1"/>
  <c r="AA1192" i="19" a="1"/>
  <c r="AA1192" i="19" s="1"/>
  <c r="X1192" i="19" s="1"/>
  <c r="AA1197" i="19" a="1"/>
  <c r="AA1197" i="19" s="1"/>
  <c r="X1197" i="19" s="1"/>
  <c r="AA1187" i="19" a="1"/>
  <c r="AA1187" i="19" s="1"/>
  <c r="X1187" i="19" s="1"/>
  <c r="AA1155" i="19" a="1"/>
  <c r="AA1155" i="19" s="1"/>
  <c r="X1155" i="19" s="1"/>
  <c r="AA1072" i="19" a="1"/>
  <c r="AA1072" i="19" s="1"/>
  <c r="X1072" i="19" s="1"/>
  <c r="AA1064" i="19" a="1"/>
  <c r="AA1064" i="19" s="1"/>
  <c r="X1064" i="19" s="1"/>
  <c r="AA1057" i="19" a="1"/>
  <c r="AA1057" i="19" s="1"/>
  <c r="X1057" i="19" s="1"/>
  <c r="AA1040" i="19" a="1"/>
  <c r="AA1040" i="19" s="1"/>
  <c r="X1040" i="19" s="1"/>
  <c r="AA1008" i="19" a="1"/>
  <c r="AA1008" i="19" s="1"/>
  <c r="X1008" i="19" s="1"/>
  <c r="AA994" i="19" a="1"/>
  <c r="AA994" i="19" s="1"/>
  <c r="X994" i="19" s="1"/>
  <c r="AA981" i="19" a="1"/>
  <c r="AA981" i="19" s="1"/>
  <c r="X981" i="19" s="1"/>
  <c r="AA934" i="19" a="1"/>
  <c r="AA934" i="19" s="1"/>
  <c r="X934" i="19" s="1"/>
  <c r="AA941" i="19" a="1"/>
  <c r="AA941" i="19" s="1"/>
  <c r="X941" i="19" s="1"/>
  <c r="AA946" i="19" a="1"/>
  <c r="AA946" i="19" s="1"/>
  <c r="X946" i="19" s="1"/>
  <c r="AA913" i="19" a="1"/>
  <c r="AA913" i="19" s="1"/>
  <c r="X913" i="19" s="1"/>
  <c r="AA898" i="19" a="1"/>
  <c r="AA898" i="19" s="1"/>
  <c r="X898" i="19" s="1"/>
  <c r="AA887" i="19" a="1"/>
  <c r="AA887" i="19" s="1"/>
  <c r="X887" i="19" s="1"/>
  <c r="AA856" i="19" a="1"/>
  <c r="AA856" i="19" s="1"/>
  <c r="X856" i="19" s="1"/>
  <c r="AA861" i="19" a="1"/>
  <c r="AA861" i="19" s="1"/>
  <c r="X861" i="19" s="1"/>
  <c r="AA852" i="19" a="1"/>
  <c r="AA852" i="19" s="1"/>
  <c r="X852" i="19" s="1"/>
  <c r="AA847" i="19" a="1"/>
  <c r="AA847" i="19" s="1"/>
  <c r="X847" i="19" s="1"/>
  <c r="AA844" i="19" a="1"/>
  <c r="AA844" i="19" s="1"/>
  <c r="X844" i="19" s="1"/>
  <c r="AA823" i="19" a="1"/>
  <c r="AA823" i="19" s="1"/>
  <c r="X823" i="19" s="1"/>
  <c r="AA830" i="19" a="1"/>
  <c r="AA830" i="19" s="1"/>
  <c r="X830" i="19" s="1"/>
  <c r="AA799" i="19" a="1"/>
  <c r="AA799" i="19" s="1"/>
  <c r="X799" i="19" s="1"/>
  <c r="AA778" i="19" a="1"/>
  <c r="AA778" i="19" s="1"/>
  <c r="X778" i="19" s="1"/>
  <c r="AA781" i="19" a="1"/>
  <c r="AA781" i="19" s="1"/>
  <c r="X781" i="19" s="1"/>
  <c r="AA734" i="19" a="1"/>
  <c r="AA734" i="19" s="1"/>
  <c r="X734" i="19" s="1"/>
  <c r="AA743" i="19" a="1"/>
  <c r="AA743" i="19" s="1"/>
  <c r="X743" i="19" s="1"/>
  <c r="AA724" i="19" a="1"/>
  <c r="AA724" i="19" s="1"/>
  <c r="X724" i="19" s="1"/>
  <c r="AA689" i="19" a="1"/>
  <c r="AA689" i="19" s="1"/>
  <c r="X689" i="19" s="1"/>
  <c r="AA716" i="19" a="1"/>
  <c r="AA716" i="19" s="1"/>
  <c r="X716" i="19" s="1"/>
  <c r="AA673" i="19" a="1"/>
  <c r="AA673" i="19" s="1"/>
  <c r="X673" i="19" s="1"/>
  <c r="AA656" i="19" a="1"/>
  <c r="AA656" i="19" s="1"/>
  <c r="X656" i="19" s="1"/>
  <c r="AA1481" i="19" a="1"/>
  <c r="AA1481" i="19" s="1"/>
  <c r="X1481" i="19" s="1"/>
  <c r="AA1490" i="19" a="1"/>
  <c r="AA1490" i="19" s="1"/>
  <c r="X1490" i="19" s="1"/>
  <c r="AA1443" i="19" a="1"/>
  <c r="AA1443" i="19" s="1"/>
  <c r="X1443" i="19" s="1"/>
  <c r="AA1440" i="19" a="1"/>
  <c r="AA1440" i="19" s="1"/>
  <c r="X1440" i="19" s="1"/>
  <c r="AA1418" i="19" a="1"/>
  <c r="AA1418" i="19" s="1"/>
  <c r="X1418" i="19" s="1"/>
  <c r="AA1405" i="19" a="1"/>
  <c r="AA1405" i="19" s="1"/>
  <c r="X1405" i="19" s="1"/>
  <c r="AA1410" i="19" a="1"/>
  <c r="AA1410" i="19" s="1"/>
  <c r="X1410" i="19" s="1"/>
  <c r="AA1402" i="19" a="1"/>
  <c r="AA1402" i="19" s="1"/>
  <c r="X1402" i="19" s="1"/>
  <c r="AA1396" i="19" a="1"/>
  <c r="AA1396" i="19" s="1"/>
  <c r="X1396" i="19" s="1"/>
  <c r="AA1387" i="19" a="1"/>
  <c r="AA1387" i="19" s="1"/>
  <c r="X1387" i="19" s="1"/>
  <c r="AA1379" i="19" a="1"/>
  <c r="AA1379" i="19" s="1"/>
  <c r="X1379" i="19" s="1"/>
  <c r="AA1376" i="19" a="1"/>
  <c r="AA1376" i="19" s="1"/>
  <c r="X1376" i="19" s="1"/>
  <c r="AA1502" i="19" a="1"/>
  <c r="AA1502" i="19" s="1"/>
  <c r="X1502" i="19" s="1"/>
  <c r="AA1478" i="19" a="1"/>
  <c r="AA1478" i="19" s="1"/>
  <c r="X1478" i="19" s="1"/>
  <c r="AA1486" i="19" a="1"/>
  <c r="AA1486" i="19" s="1"/>
  <c r="X1486" i="19" s="1"/>
  <c r="AA972" i="19" a="1"/>
  <c r="AA972" i="19" s="1"/>
  <c r="X972" i="19" s="1"/>
  <c r="AA1469" i="19" a="1"/>
  <c r="AA1469" i="19" s="1"/>
  <c r="X1469" i="19" s="1"/>
  <c r="AA1450" i="19" a="1"/>
  <c r="AA1450" i="19" s="1"/>
  <c r="X1450" i="19" s="1"/>
  <c r="AA1448" i="19" a="1"/>
  <c r="AA1448" i="19" s="1"/>
  <c r="X1448" i="19" s="1"/>
  <c r="AA1407" i="19" a="1"/>
  <c r="AA1407" i="19" s="1"/>
  <c r="X1407" i="19" s="1"/>
  <c r="AA1332" i="19" a="1"/>
  <c r="AA1332" i="19" s="1"/>
  <c r="X1332" i="19" s="1"/>
  <c r="AA1327" i="19" a="1"/>
  <c r="AA1327" i="19" s="1"/>
  <c r="X1327" i="19" s="1"/>
  <c r="AA1302" i="19" a="1"/>
  <c r="AA1302" i="19" s="1"/>
  <c r="X1302" i="19" s="1"/>
  <c r="AA1290" i="19" a="1"/>
  <c r="AA1290" i="19" s="1"/>
  <c r="X1290" i="19" s="1"/>
  <c r="AA1276" i="19" a="1"/>
  <c r="AA1276" i="19" s="1"/>
  <c r="X1276" i="19" s="1"/>
  <c r="AA1249" i="19" a="1"/>
  <c r="AA1249" i="19" s="1"/>
  <c r="X1249" i="19" s="1"/>
  <c r="AA1267" i="19" a="1"/>
  <c r="AA1267" i="19" s="1"/>
  <c r="X1267" i="19" s="1"/>
  <c r="AA1225" i="19" a="1"/>
  <c r="AA1225" i="19" s="1"/>
  <c r="X1225" i="19" s="1"/>
  <c r="AA1215" i="19" a="1"/>
  <c r="AA1215" i="19" s="1"/>
  <c r="X1215" i="19" s="1"/>
  <c r="AA1212" i="19" a="1"/>
  <c r="AA1212" i="19" s="1"/>
  <c r="X1212" i="19" s="1"/>
  <c r="AA1204" i="19" a="1"/>
  <c r="AA1204" i="19" s="1"/>
  <c r="X1204" i="19" s="1"/>
  <c r="AA1175" i="19" a="1"/>
  <c r="AA1175" i="19" s="1"/>
  <c r="X1175" i="19" s="1"/>
  <c r="AA1144" i="19" a="1"/>
  <c r="AA1144" i="19" s="1"/>
  <c r="X1144" i="19" s="1"/>
  <c r="AA1134" i="19" a="1"/>
  <c r="AA1134" i="19" s="1"/>
  <c r="X1134" i="19" s="1"/>
  <c r="AA1118" i="19" a="1"/>
  <c r="AA1118" i="19" s="1"/>
  <c r="X1118" i="19" s="1"/>
  <c r="AA1076" i="19" a="1"/>
  <c r="AA1076" i="19" s="1"/>
  <c r="X1076" i="19" s="1"/>
  <c r="AA1067" i="19" a="1"/>
  <c r="AA1067" i="19" s="1"/>
  <c r="X1067" i="19" s="1"/>
  <c r="AA1047" i="19" a="1"/>
  <c r="AA1047" i="19" s="1"/>
  <c r="X1047" i="19" s="1"/>
  <c r="AA1037" i="19" a="1"/>
  <c r="AA1037" i="19" s="1"/>
  <c r="X1037" i="19" s="1"/>
  <c r="AA992" i="19" a="1"/>
  <c r="AA992" i="19" s="1"/>
  <c r="X992" i="19" s="1"/>
  <c r="AA987" i="19" a="1"/>
  <c r="AA987" i="19" s="1"/>
  <c r="X987" i="19" s="1"/>
  <c r="AA953" i="19" a="1"/>
  <c r="AA953" i="19" s="1"/>
  <c r="X953" i="19" s="1"/>
  <c r="AA930" i="19" a="1"/>
  <c r="AA930" i="19" s="1"/>
  <c r="X930" i="19" s="1"/>
  <c r="AA915" i="19" a="1"/>
  <c r="AA915" i="19" s="1"/>
  <c r="X915" i="19" s="1"/>
  <c r="AA908" i="19" a="1"/>
  <c r="AA908" i="19" s="1"/>
  <c r="X908" i="19" s="1"/>
  <c r="AA858" i="19" a="1"/>
  <c r="AA858" i="19" s="1"/>
  <c r="X858" i="19" s="1"/>
  <c r="AA839" i="19" a="1"/>
  <c r="AA839" i="19" s="1"/>
  <c r="X839" i="19" s="1"/>
  <c r="AA777" i="19" a="1"/>
  <c r="AA777" i="19" s="1"/>
  <c r="X777" i="19" s="1"/>
  <c r="AA785" i="19" a="1"/>
  <c r="AA785" i="19" s="1"/>
  <c r="X785" i="19" s="1"/>
  <c r="AH764" i="19"/>
  <c r="AJ764" i="19" s="1"/>
  <c r="AK764" i="19" s="1" a="1"/>
  <c r="AK764" i="19" s="1"/>
  <c r="AA751" i="19" a="1"/>
  <c r="AA751" i="19" s="1"/>
  <c r="X751" i="19" s="1"/>
  <c r="AA740" i="19" a="1"/>
  <c r="AA740" i="19" s="1"/>
  <c r="X740" i="19" s="1"/>
  <c r="AA687" i="19" a="1"/>
  <c r="AA687" i="19" s="1"/>
  <c r="X687" i="19" s="1"/>
  <c r="AA690" i="19" a="1"/>
  <c r="AA690" i="19" s="1"/>
  <c r="X690" i="19" s="1"/>
  <c r="AA705" i="19" a="1"/>
  <c r="AA705" i="19" s="1"/>
  <c r="X705" i="19" s="1"/>
  <c r="AA709" i="19" a="1"/>
  <c r="AA709" i="19" s="1"/>
  <c r="X709" i="19" s="1"/>
  <c r="AA683" i="19" a="1"/>
  <c r="AA683" i="19" s="1"/>
  <c r="X683" i="19" s="1"/>
  <c r="AA662" i="19" a="1"/>
  <c r="AA662" i="19" s="1"/>
  <c r="X662" i="19" s="1"/>
  <c r="AI652" i="19"/>
  <c r="AA647" i="19" a="1"/>
  <c r="AA647" i="19" s="1"/>
  <c r="X647" i="19" s="1"/>
  <c r="AA645" i="19" a="1"/>
  <c r="AA645" i="19" s="1"/>
  <c r="X645" i="19" s="1"/>
  <c r="AI617" i="19"/>
  <c r="AH602" i="19"/>
  <c r="AJ602" i="19" s="1"/>
  <c r="AK602" i="19" s="1" a="1"/>
  <c r="AK602" i="19" s="1"/>
  <c r="AA601" i="19" a="1"/>
  <c r="AA601" i="19" s="1"/>
  <c r="X601" i="19" s="1"/>
  <c r="AA588" i="19" a="1"/>
  <c r="AA588" i="19" s="1"/>
  <c r="X588" i="19" s="1"/>
  <c r="AA587" i="19" a="1"/>
  <c r="AA587" i="19" s="1"/>
  <c r="X587" i="19" s="1"/>
  <c r="AH576" i="19"/>
  <c r="AJ576" i="19" s="1"/>
  <c r="AK576" i="19" s="1" a="1"/>
  <c r="AK576" i="19" s="1"/>
  <c r="AH544" i="19"/>
  <c r="AJ544" i="19" s="1"/>
  <c r="AK544" i="19" s="1" a="1"/>
  <c r="AK544" i="19" s="1"/>
  <c r="AH530" i="19"/>
  <c r="AJ530" i="19" s="1"/>
  <c r="AK530" i="19" s="1" a="1"/>
  <c r="AK530" i="19" s="1"/>
  <c r="AI510" i="19"/>
  <c r="AA508" i="19" a="1"/>
  <c r="AA508" i="19" s="1"/>
  <c r="X508" i="19" s="1"/>
  <c r="AH493" i="19"/>
  <c r="AJ493" i="19" s="1"/>
  <c r="AK493" i="19" s="1" a="1"/>
  <c r="AK493" i="19" s="1"/>
  <c r="AA472" i="19" a="1"/>
  <c r="AA472" i="19" s="1"/>
  <c r="X472" i="19" s="1"/>
  <c r="AA365" i="19" a="1"/>
  <c r="AA365" i="19" s="1"/>
  <c r="X365" i="19" s="1"/>
  <c r="AA352" i="19" a="1"/>
  <c r="AA352" i="19" s="1"/>
  <c r="X352" i="19" s="1"/>
  <c r="AI285" i="19"/>
  <c r="AA1743" i="19" a="1"/>
  <c r="AA1743" i="19" s="1"/>
  <c r="X1743" i="19" s="1"/>
  <c r="AA1610" i="19" a="1"/>
  <c r="AA1610" i="19" s="1"/>
  <c r="X1610" i="19" s="1"/>
  <c r="AA1597" i="19" a="1"/>
  <c r="AA1597" i="19" s="1"/>
  <c r="X1597" i="19" s="1"/>
  <c r="AA1577" i="19" a="1"/>
  <c r="AA1577" i="19" s="1"/>
  <c r="X1577" i="19" s="1"/>
  <c r="AA1570" i="19" a="1"/>
  <c r="AA1570" i="19" s="1"/>
  <c r="X1570" i="19" s="1"/>
  <c r="AA1362" i="19" a="1"/>
  <c r="AA1362" i="19" s="1"/>
  <c r="X1362" i="19" s="1"/>
  <c r="AA1353" i="19" a="1"/>
  <c r="AA1353" i="19" s="1"/>
  <c r="X1353" i="19" s="1"/>
  <c r="AA1350" i="19" a="1"/>
  <c r="AA1350" i="19" s="1"/>
  <c r="X1350" i="19" s="1"/>
  <c r="AA1318" i="19" a="1"/>
  <c r="AA1318" i="19" s="1"/>
  <c r="X1318" i="19" s="1"/>
  <c r="AA1320" i="19" a="1"/>
  <c r="AA1320" i="19" s="1"/>
  <c r="X1320" i="19" s="1"/>
  <c r="AA1291" i="19" a="1"/>
  <c r="AA1291" i="19" s="1"/>
  <c r="X1291" i="19" s="1"/>
  <c r="AA1259" i="19" a="1"/>
  <c r="AA1259" i="19" s="1"/>
  <c r="X1259" i="19" s="1"/>
  <c r="AA1231" i="19" a="1"/>
  <c r="AA1231" i="19" s="1"/>
  <c r="X1231" i="19" s="1"/>
  <c r="AA1228" i="19" a="1"/>
  <c r="AA1228" i="19" s="1"/>
  <c r="X1228" i="19" s="1"/>
  <c r="AA1219" i="19" a="1"/>
  <c r="AA1219" i="19" s="1"/>
  <c r="X1219" i="19" s="1"/>
  <c r="AA1160" i="19" a="1"/>
  <c r="AA1160" i="19" s="1"/>
  <c r="X1160" i="19" s="1"/>
  <c r="AA1157" i="19" a="1"/>
  <c r="AA1157" i="19" s="1"/>
  <c r="X1157" i="19" s="1"/>
  <c r="AA1141" i="19" a="1"/>
  <c r="AA1141" i="19" s="1"/>
  <c r="X1141" i="19" s="1"/>
  <c r="AA1124" i="19" a="1"/>
  <c r="AA1124" i="19" s="1"/>
  <c r="X1124" i="19" s="1"/>
  <c r="AA1123" i="19" a="1"/>
  <c r="AA1123" i="19" s="1"/>
  <c r="X1123" i="19" s="1"/>
  <c r="AA1112" i="19" a="1"/>
  <c r="AA1112" i="19" s="1"/>
  <c r="X1112" i="19" s="1"/>
  <c r="AA1107" i="19" a="1"/>
  <c r="AA1107" i="19" s="1"/>
  <c r="X1107" i="19" s="1"/>
  <c r="AA1096" i="19" a="1"/>
  <c r="AA1096" i="19" s="1"/>
  <c r="X1096" i="19" s="1"/>
  <c r="AA1090" i="19" a="1"/>
  <c r="AA1090" i="19" s="1"/>
  <c r="X1090" i="19" s="1"/>
  <c r="AA1018" i="19" a="1"/>
  <c r="AA1018" i="19" s="1"/>
  <c r="X1018" i="19" s="1"/>
  <c r="AA1020" i="19" a="1"/>
  <c r="AA1020" i="19" s="1"/>
  <c r="X1020" i="19" s="1"/>
  <c r="AA1000" i="19" a="1"/>
  <c r="AA1000" i="19" s="1"/>
  <c r="X1000" i="19" s="1"/>
  <c r="AA1005" i="19" a="1"/>
  <c r="AA1005" i="19" s="1"/>
  <c r="X1005" i="19" s="1"/>
  <c r="AA982" i="19" a="1"/>
  <c r="AA982" i="19" s="1"/>
  <c r="X982" i="19" s="1"/>
  <c r="AA955" i="19" a="1"/>
  <c r="AA955" i="19" s="1"/>
  <c r="X955" i="19" s="1"/>
  <c r="AA884" i="19" a="1"/>
  <c r="AA884" i="19" s="1"/>
  <c r="X884" i="19" s="1"/>
  <c r="AA878" i="19" a="1"/>
  <c r="AA878" i="19" s="1"/>
  <c r="X878" i="19" s="1"/>
  <c r="AA865" i="19" a="1"/>
  <c r="AA865" i="19" s="1"/>
  <c r="X865" i="19" s="1"/>
  <c r="AA825" i="19" a="1"/>
  <c r="AA825" i="19" s="1"/>
  <c r="X825" i="19" s="1"/>
  <c r="AA818" i="19" a="1"/>
  <c r="AA818" i="19" s="1"/>
  <c r="X818" i="19" s="1"/>
  <c r="AA728" i="19" a="1"/>
  <c r="AA728" i="19" s="1"/>
  <c r="X728" i="19" s="1"/>
  <c r="AA739" i="19" a="1"/>
  <c r="AA739" i="19" s="1"/>
  <c r="X739" i="19" s="1"/>
  <c r="AA726" i="19" a="1"/>
  <c r="AA726" i="19" s="1"/>
  <c r="X726" i="19" s="1"/>
  <c r="AA719" i="19" a="1"/>
  <c r="AA719" i="19" s="1"/>
  <c r="X719" i="19" s="1"/>
  <c r="AA668" i="19" a="1"/>
  <c r="AA668" i="19" s="1"/>
  <c r="X668" i="19" s="1"/>
  <c r="AA674" i="19" a="1"/>
  <c r="AA674" i="19" s="1"/>
  <c r="X674" i="19" s="1"/>
  <c r="AA651" i="19" a="1"/>
  <c r="AA651" i="19" s="1"/>
  <c r="X651" i="19" s="1"/>
  <c r="AA618" i="19" a="1"/>
  <c r="AA618" i="19" s="1"/>
  <c r="X618" i="19" s="1"/>
  <c r="AA605" i="19" a="1"/>
  <c r="AA605" i="19" s="1"/>
  <c r="X605" i="19" s="1"/>
  <c r="AI582" i="19"/>
  <c r="AA562" i="19" a="1"/>
  <c r="AA562" i="19" s="1"/>
  <c r="X562" i="19" s="1"/>
  <c r="AA558" i="19" a="1"/>
  <c r="AA558" i="19" s="1"/>
  <c r="X558" i="19" s="1"/>
  <c r="AA543" i="19" a="1"/>
  <c r="AA543" i="19" s="1"/>
  <c r="X543" i="19" s="1"/>
  <c r="AI542" i="19"/>
  <c r="AA538" i="19" a="1"/>
  <c r="AA538" i="19" s="1"/>
  <c r="X538" i="19" s="1"/>
  <c r="AH486" i="19"/>
  <c r="AJ486" i="19" s="1"/>
  <c r="AK486" i="19" s="1" a="1"/>
  <c r="AK486" i="19" s="1"/>
  <c r="AA474" i="19" a="1"/>
  <c r="AA474" i="19" s="1"/>
  <c r="X474" i="19" s="1"/>
  <c r="AI480" i="19"/>
  <c r="AA459" i="19" a="1"/>
  <c r="AA459" i="19" s="1"/>
  <c r="X459" i="19" s="1"/>
  <c r="AI436" i="19"/>
  <c r="AA367" i="19" a="1"/>
  <c r="AA367" i="19" s="1"/>
  <c r="X367" i="19" s="1"/>
  <c r="AA361" i="19" a="1"/>
  <c r="AA361" i="19" s="1"/>
  <c r="X361" i="19" s="1"/>
  <c r="AA333" i="19" a="1"/>
  <c r="AA333" i="19" s="1"/>
  <c r="X333" i="19" s="1"/>
  <c r="AA1699" i="19" a="1"/>
  <c r="AA1699" i="19" s="1"/>
  <c r="X1699" i="19" s="1"/>
  <c r="AA1704" i="19" a="1"/>
  <c r="AA1704" i="19" s="1"/>
  <c r="X1704" i="19" s="1"/>
  <c r="AA1680" i="19" a="1"/>
  <c r="AA1680" i="19" s="1"/>
  <c r="X1680" i="19" s="1"/>
  <c r="AA1674" i="19" a="1"/>
  <c r="AA1674" i="19" s="1"/>
  <c r="X1674" i="19" s="1"/>
  <c r="AA1664" i="19" a="1"/>
  <c r="AA1664" i="19" s="1"/>
  <c r="X1664" i="19" s="1"/>
  <c r="AA1654" i="19" a="1"/>
  <c r="AA1654" i="19" s="1"/>
  <c r="X1654" i="19" s="1"/>
  <c r="AA1684" i="19" a="1"/>
  <c r="AA1684" i="19" s="1"/>
  <c r="X1684" i="19" s="1"/>
  <c r="AA1687" i="19" a="1"/>
  <c r="AA1687" i="19" s="1"/>
  <c r="X1687" i="19" s="1"/>
  <c r="AA1642" i="19" a="1"/>
  <c r="AA1642" i="19" s="1"/>
  <c r="X1642" i="19" s="1"/>
  <c r="AA1630" i="19" a="1"/>
  <c r="AA1630" i="19" s="1"/>
  <c r="X1630" i="19" s="1"/>
  <c r="AA2351" i="19" a="1"/>
  <c r="AA2351" i="19" s="1"/>
  <c r="X2351" i="19" s="1"/>
  <c r="F1751" i="19"/>
  <c r="AA1614" i="19" a="1"/>
  <c r="AA1614" i="19" s="1"/>
  <c r="X1614" i="19" s="1"/>
  <c r="AA1598" i="19" a="1"/>
  <c r="AA1598" i="19" s="1"/>
  <c r="X1598" i="19" s="1"/>
  <c r="AA1544" i="19" a="1"/>
  <c r="AA1544" i="19" s="1"/>
  <c r="X1544" i="19" s="1"/>
  <c r="AA1552" i="19" a="1"/>
  <c r="AA1552" i="19" s="1"/>
  <c r="X1552" i="19" s="1"/>
  <c r="AA876" i="19" a="1"/>
  <c r="AA876" i="19" s="1"/>
  <c r="X876" i="19" s="1"/>
  <c r="AA853" i="19" a="1"/>
  <c r="AA853" i="19" s="1"/>
  <c r="X853" i="19" s="1"/>
  <c r="AA850" i="19" a="1"/>
  <c r="AA850" i="19" s="1"/>
  <c r="X850" i="19" s="1"/>
  <c r="AA831" i="19" a="1"/>
  <c r="AA831" i="19" s="1"/>
  <c r="X831" i="19" s="1"/>
  <c r="AA802" i="19" a="1"/>
  <c r="AA802" i="19" s="1"/>
  <c r="X802" i="19" s="1"/>
  <c r="AA788" i="19" a="1"/>
  <c r="AA788" i="19" s="1"/>
  <c r="X788" i="19" s="1"/>
  <c r="AA782" i="19" a="1"/>
  <c r="AA782" i="19" s="1"/>
  <c r="X782" i="19" s="1"/>
  <c r="AA763" i="19" a="1"/>
  <c r="AA763" i="19" s="1"/>
  <c r="X763" i="19" s="1"/>
  <c r="AA735" i="19" a="1"/>
  <c r="AA735" i="19" s="1"/>
  <c r="X735" i="19" s="1"/>
  <c r="AA731" i="19" a="1"/>
  <c r="AA731" i="19" s="1"/>
  <c r="X731" i="19" s="1"/>
  <c r="AA721" i="19" a="1"/>
  <c r="AA721" i="19" s="1"/>
  <c r="X721" i="19" s="1"/>
  <c r="AA695" i="19" a="1"/>
  <c r="AA695" i="19" s="1"/>
  <c r="X695" i="19" s="1"/>
  <c r="AA712" i="19" a="1"/>
  <c r="AA712" i="19" s="1"/>
  <c r="X712" i="19" s="1"/>
  <c r="AA665" i="19" a="1"/>
  <c r="AA665" i="19" s="1"/>
  <c r="X665" i="19" s="1"/>
  <c r="AA655" i="19" a="1"/>
  <c r="AA655" i="19" s="1"/>
  <c r="X655" i="19" s="1"/>
  <c r="AA642" i="19" a="1"/>
  <c r="AA642" i="19" s="1"/>
  <c r="X642" i="19" s="1"/>
  <c r="AA616" i="19" a="1"/>
  <c r="AA616" i="19" s="1"/>
  <c r="X616" i="19" s="1"/>
  <c r="AA593" i="19" a="1"/>
  <c r="AA593" i="19" s="1"/>
  <c r="X593" i="19" s="1"/>
  <c r="AA600" i="19" a="1"/>
  <c r="AA600" i="19" s="1"/>
  <c r="X600" i="19" s="1"/>
  <c r="AA577" i="19" a="1"/>
  <c r="AA577" i="19" s="1"/>
  <c r="X577" i="19" s="1"/>
  <c r="AA526" i="19" a="1"/>
  <c r="AA526" i="19" s="1"/>
  <c r="X526" i="19" s="1"/>
  <c r="AA548" i="19" a="1"/>
  <c r="AA548" i="19" s="1"/>
  <c r="X548" i="19" s="1"/>
  <c r="AA533" i="19" a="1"/>
  <c r="AA533" i="19" s="1"/>
  <c r="X533" i="19" s="1"/>
  <c r="AA467" i="19" a="1"/>
  <c r="AA467" i="19" s="1"/>
  <c r="X467" i="19" s="1"/>
  <c r="AA456" i="19" a="1"/>
  <c r="AA456" i="19" s="1"/>
  <c r="X456" i="19" s="1"/>
  <c r="AA354" i="19" a="1"/>
  <c r="AA354" i="19" s="1"/>
  <c r="X354" i="19" s="1"/>
  <c r="AA329" i="19" a="1"/>
  <c r="AA329" i="19" s="1"/>
  <c r="X329" i="19" s="1"/>
  <c r="AA1574" i="19" a="1"/>
  <c r="AA1574" i="19" s="1"/>
  <c r="X1574" i="19" s="1"/>
  <c r="AA2340" i="19" a="1"/>
  <c r="AA2340" i="19" s="1"/>
  <c r="X2340" i="19" s="1"/>
  <c r="AA1523" i="19" a="1"/>
  <c r="AA1523" i="19" s="1"/>
  <c r="X1523" i="19" s="1"/>
  <c r="AA1521" i="19" a="1"/>
  <c r="AA1521" i="19" s="1"/>
  <c r="X1521" i="19" s="1"/>
  <c r="AA1516" i="19" a="1"/>
  <c r="AA1516" i="19" s="1"/>
  <c r="X1516" i="19" s="1"/>
  <c r="AA1126" i="19" a="1"/>
  <c r="AA1126" i="19" s="1"/>
  <c r="X1126" i="19" s="1"/>
  <c r="AA1115" i="19" a="1"/>
  <c r="AA1115" i="19" s="1"/>
  <c r="X1115" i="19" s="1"/>
  <c r="AA990" i="19" a="1"/>
  <c r="AA990" i="19" s="1"/>
  <c r="X990" i="19" s="1"/>
  <c r="AA940" i="19" a="1"/>
  <c r="AA940" i="19" s="1"/>
  <c r="X940" i="19" s="1"/>
  <c r="AA937" i="19" a="1"/>
  <c r="AA937" i="19" s="1"/>
  <c r="X937" i="19" s="1"/>
  <c r="AA947" i="19" a="1"/>
  <c r="AA947" i="19" s="1"/>
  <c r="X947" i="19" s="1"/>
  <c r="AA897" i="19" a="1"/>
  <c r="AA897" i="19" s="1"/>
  <c r="X897" i="19" s="1"/>
  <c r="AA885" i="19" a="1"/>
  <c r="AA885" i="19" s="1"/>
  <c r="X885" i="19" s="1"/>
  <c r="AA849" i="19" a="1"/>
  <c r="AA849" i="19" s="1"/>
  <c r="X849" i="19" s="1"/>
  <c r="AA834" i="19" a="1"/>
  <c r="AA834" i="19" s="1"/>
  <c r="X834" i="19" s="1"/>
  <c r="AA826" i="19" a="1"/>
  <c r="AA826" i="19" s="1"/>
  <c r="X826" i="19" s="1"/>
  <c r="AA813" i="19" a="1"/>
  <c r="AA813" i="19" s="1"/>
  <c r="X813" i="19" s="1"/>
  <c r="AA794" i="19" a="1"/>
  <c r="AA794" i="19" s="1"/>
  <c r="X794" i="19" s="1"/>
  <c r="AA772" i="19" a="1"/>
  <c r="AA772" i="19" s="1"/>
  <c r="X772" i="19" s="1"/>
  <c r="AA759" i="19" a="1"/>
  <c r="AA759" i="19" s="1"/>
  <c r="X759" i="19" s="1"/>
  <c r="AA748" i="19" a="1"/>
  <c r="AA748" i="19" s="1"/>
  <c r="X748" i="19" s="1"/>
  <c r="AA685" i="19" a="1"/>
  <c r="AA685" i="19" s="1"/>
  <c r="X685" i="19" s="1"/>
  <c r="AA640" i="19" a="1"/>
  <c r="AA640" i="19" s="1"/>
  <c r="X640" i="19" s="1"/>
  <c r="AA613" i="19" a="1"/>
  <c r="AA613" i="19" s="1"/>
  <c r="X613" i="19" s="1"/>
  <c r="AA569" i="19" a="1"/>
  <c r="AA569" i="19" s="1"/>
  <c r="X569" i="19" s="1"/>
  <c r="AA571" i="19" a="1"/>
  <c r="AA571" i="19" s="1"/>
  <c r="X571" i="19" s="1"/>
  <c r="AA554" i="19" a="1"/>
  <c r="AA554" i="19" s="1"/>
  <c r="X554" i="19" s="1"/>
  <c r="AA555" i="19" a="1"/>
  <c r="AA555" i="19" s="1"/>
  <c r="X555" i="19" s="1"/>
  <c r="AA506" i="19" a="1"/>
  <c r="AA506" i="19" s="1"/>
  <c r="X506" i="19" s="1"/>
  <c r="AA483" i="19" a="1"/>
  <c r="AA483" i="19" s="1"/>
  <c r="X483" i="19" s="1"/>
  <c r="AA469" i="19" a="1"/>
  <c r="AA469" i="19" s="1"/>
  <c r="X469" i="19" s="1"/>
  <c r="AA347" i="19" a="1"/>
  <c r="AA347" i="19" s="1"/>
  <c r="X347" i="19" s="1"/>
  <c r="AA334" i="19" a="1"/>
  <c r="AA334" i="19" s="1"/>
  <c r="X334" i="19" s="1"/>
  <c r="AI161" i="19"/>
  <c r="AA2352" i="19" a="1"/>
  <c r="AA2352" i="19" s="1"/>
  <c r="X2352" i="19" s="1"/>
  <c r="AA1711" i="19" a="1"/>
  <c r="AA1711" i="19" s="1"/>
  <c r="X1711" i="19" s="1"/>
  <c r="AA1682" i="19" a="1"/>
  <c r="AA1682" i="19" s="1"/>
  <c r="X1682" i="19" s="1"/>
  <c r="AA1672" i="19" a="1"/>
  <c r="AA1672" i="19" s="1"/>
  <c r="X1672" i="19" s="1"/>
  <c r="AA1667" i="19" a="1"/>
  <c r="AA1667" i="19" s="1"/>
  <c r="X1667" i="19" s="1"/>
  <c r="AA1650" i="19" a="1"/>
  <c r="AA1650" i="19" s="1"/>
  <c r="X1650" i="19" s="1"/>
  <c r="AA1694" i="19" a="1"/>
  <c r="AA1694" i="19" s="1"/>
  <c r="X1694" i="19" s="1"/>
  <c r="AA1688" i="19" a="1"/>
  <c r="AA1688" i="19" s="1"/>
  <c r="X1688" i="19" s="1"/>
  <c r="AA1638" i="19" a="1"/>
  <c r="AA1638" i="19" s="1"/>
  <c r="X1638" i="19" s="1"/>
  <c r="AA1636" i="19" a="1"/>
  <c r="AA1636" i="19" s="1"/>
  <c r="X1636" i="19" s="1"/>
  <c r="AA1603" i="19" a="1"/>
  <c r="AA1603" i="19" s="1"/>
  <c r="X1603" i="19" s="1"/>
  <c r="AA1590" i="19" a="1"/>
  <c r="AA1590" i="19" s="1"/>
  <c r="X1590" i="19" s="1"/>
  <c r="AA1568" i="19" a="1"/>
  <c r="AA1568" i="19" s="1"/>
  <c r="X1568" i="19" s="1"/>
  <c r="AA1582" i="19" a="1"/>
  <c r="AA1582" i="19" s="1"/>
  <c r="X1582" i="19" s="1"/>
  <c r="AA1592" i="19" a="1"/>
  <c r="AA1592" i="19" s="1"/>
  <c r="X1592" i="19" s="1"/>
  <c r="AA1542" i="19" a="1"/>
  <c r="AA1542" i="19" s="1"/>
  <c r="X1542" i="19" s="1"/>
  <c r="AA1550" i="19" a="1"/>
  <c r="AA1550" i="19" s="1"/>
  <c r="X1550" i="19" s="1"/>
  <c r="AA1514" i="19" a="1"/>
  <c r="AA1514" i="19" s="1"/>
  <c r="X1514" i="19" s="1"/>
  <c r="AA1518" i="19" a="1"/>
  <c r="AA1518" i="19" s="1"/>
  <c r="X1518" i="19" s="1"/>
  <c r="AA1146" i="19" a="1"/>
  <c r="AA1146" i="19" s="1"/>
  <c r="X1146" i="19" s="1"/>
  <c r="AA1034" i="19" a="1"/>
  <c r="AA1034" i="19" s="1"/>
  <c r="X1034" i="19" s="1"/>
  <c r="AA1026" i="19" a="1"/>
  <c r="AA1026" i="19" s="1"/>
  <c r="X1026" i="19" s="1"/>
  <c r="AA1006" i="19" a="1"/>
  <c r="AA1006" i="19" s="1"/>
  <c r="X1006" i="19" s="1"/>
  <c r="AA1482" i="19" a="1"/>
  <c r="AA1482" i="19" s="1"/>
  <c r="X1482" i="19" s="1"/>
  <c r="AA1492" i="19" a="1"/>
  <c r="AA1492" i="19" s="1"/>
  <c r="X1492" i="19" s="1"/>
  <c r="AA2343" i="19" a="1"/>
  <c r="AA2343" i="19" s="1"/>
  <c r="X2343" i="19" s="1"/>
  <c r="AA378" i="19" a="1"/>
  <c r="AA378" i="19" s="1"/>
  <c r="X378" i="19" s="1"/>
  <c r="AA1445" i="19" a="1"/>
  <c r="AA1445" i="19" s="1"/>
  <c r="X1445" i="19" s="1"/>
  <c r="AA1442" i="19" a="1"/>
  <c r="AA1442" i="19" s="1"/>
  <c r="X1442" i="19" s="1"/>
  <c r="AA1435" i="19" a="1"/>
  <c r="AA1435" i="19" s="1"/>
  <c r="X1435" i="19" s="1"/>
  <c r="AA1408" i="19" a="1"/>
  <c r="AA1408" i="19" s="1"/>
  <c r="X1408" i="19" s="1"/>
  <c r="AA1414" i="19" a="1"/>
  <c r="AA1414" i="19" s="1"/>
  <c r="X1414" i="19" s="1"/>
  <c r="AA1409" i="19" a="1"/>
  <c r="AA1409" i="19" s="1"/>
  <c r="X1409" i="19" s="1"/>
  <c r="AA1400" i="19" a="1"/>
  <c r="AA1400" i="19" s="1"/>
  <c r="X1400" i="19" s="1"/>
  <c r="AA1378" i="19" a="1"/>
  <c r="AA1378" i="19" s="1"/>
  <c r="X1378" i="19" s="1"/>
  <c r="AA1371" i="19" a="1"/>
  <c r="AA1371" i="19" s="1"/>
  <c r="X1371" i="19" s="1"/>
  <c r="AA1373" i="19" a="1"/>
  <c r="AA1373" i="19" s="1"/>
  <c r="X1373" i="19" s="1"/>
  <c r="AA1369" i="19" a="1"/>
  <c r="AA1369" i="19" s="1"/>
  <c r="X1369" i="19" s="1"/>
  <c r="AA1365" i="19" a="1"/>
  <c r="AA1365" i="19" s="1"/>
  <c r="X1365" i="19" s="1"/>
  <c r="AA1358" i="19" a="1"/>
  <c r="AA1358" i="19" s="1"/>
  <c r="X1358" i="19" s="1"/>
  <c r="AA1329" i="19" a="1"/>
  <c r="AA1329" i="19" s="1"/>
  <c r="X1329" i="19" s="1"/>
  <c r="AA1313" i="19" a="1"/>
  <c r="AA1313" i="19" s="1"/>
  <c r="X1313" i="19" s="1"/>
  <c r="AA1297" i="19" a="1"/>
  <c r="AA1297" i="19" s="1"/>
  <c r="X1297" i="19" s="1"/>
  <c r="AA1288" i="19" a="1"/>
  <c r="AA1288" i="19" s="1"/>
  <c r="X1288" i="19" s="1"/>
  <c r="AA1292" i="19" a="1"/>
  <c r="AA1292" i="19" s="1"/>
  <c r="X1292" i="19" s="1"/>
  <c r="AA1274" i="19" a="1"/>
  <c r="AA1274" i="19" s="1"/>
  <c r="X1274" i="19" s="1"/>
  <c r="AA1255" i="19" a="1"/>
  <c r="AA1255" i="19" s="1"/>
  <c r="X1255" i="19" s="1"/>
  <c r="AA1251" i="19" a="1"/>
  <c r="AA1251" i="19" s="1"/>
  <c r="X1251" i="19" s="1"/>
  <c r="AA1263" i="19" a="1"/>
  <c r="AA1263" i="19" s="1"/>
  <c r="X1263" i="19" s="1"/>
  <c r="AA1246" i="19" a="1"/>
  <c r="AA1246" i="19" s="1"/>
  <c r="X1246" i="19" s="1"/>
  <c r="AA1237" i="19" a="1"/>
  <c r="AA1237" i="19" s="1"/>
  <c r="X1237" i="19" s="1"/>
  <c r="AA1193" i="19" a="1"/>
  <c r="AA1193" i="19" s="1"/>
  <c r="X1193" i="19" s="1"/>
  <c r="AA1195" i="19" a="1"/>
  <c r="AA1195" i="19" s="1"/>
  <c r="X1195" i="19" s="1"/>
  <c r="AA1189" i="19" a="1"/>
  <c r="AA1189" i="19" s="1"/>
  <c r="X1189" i="19" s="1"/>
  <c r="AA1186" i="19" a="1"/>
  <c r="AA1186" i="19" s="1"/>
  <c r="X1186" i="19" s="1"/>
  <c r="AA1184" i="19" a="1"/>
  <c r="AA1184" i="19" s="1"/>
  <c r="X1184" i="19" s="1"/>
  <c r="AA1087" i="19" a="1"/>
  <c r="AA1087" i="19" s="1"/>
  <c r="X1087" i="19" s="1"/>
  <c r="AA1073" i="19" a="1"/>
  <c r="AA1073" i="19" s="1"/>
  <c r="X1073" i="19" s="1"/>
  <c r="AA1065" i="19" a="1"/>
  <c r="AA1065" i="19" s="1"/>
  <c r="X1065" i="19" s="1"/>
  <c r="AA1044" i="19" a="1"/>
  <c r="AA1044" i="19" s="1"/>
  <c r="X1044" i="19" s="1"/>
  <c r="AA1010" i="19" a="1"/>
  <c r="AA1010" i="19" s="1"/>
  <c r="X1010" i="19" s="1"/>
  <c r="AA1007" i="19" a="1"/>
  <c r="AA1007" i="19" s="1"/>
  <c r="X1007" i="19" s="1"/>
  <c r="AA980" i="19" a="1"/>
  <c r="AA980" i="19" s="1"/>
  <c r="X980" i="19" s="1"/>
  <c r="AA932" i="19" a="1"/>
  <c r="AA932" i="19" s="1"/>
  <c r="X932" i="19" s="1"/>
  <c r="AA944" i="19" a="1"/>
  <c r="AA944" i="19" s="1"/>
  <c r="X944" i="19" s="1"/>
  <c r="AA950" i="19" a="1"/>
  <c r="AA950" i="19" s="1"/>
  <c r="X950" i="19" s="1"/>
  <c r="AA925" i="19" a="1"/>
  <c r="AA925" i="19" s="1"/>
  <c r="X925" i="19" s="1"/>
  <c r="AA900" i="19" a="1"/>
  <c r="AA900" i="19" s="1"/>
  <c r="X900" i="19" s="1"/>
  <c r="AA881" i="19" a="1"/>
  <c r="AA881" i="19" s="1"/>
  <c r="X881" i="19" s="1"/>
  <c r="AA868" i="19" a="1"/>
  <c r="AA868" i="19" s="1"/>
  <c r="X868" i="19" s="1"/>
  <c r="AA859" i="19" a="1"/>
  <c r="AA859" i="19" s="1"/>
  <c r="X859" i="19" s="1"/>
  <c r="AA841" i="19" a="1"/>
  <c r="AA841" i="19" s="1"/>
  <c r="X841" i="19" s="1"/>
  <c r="AA842" i="19" a="1"/>
  <c r="AA842" i="19" s="1"/>
  <c r="X842" i="19" s="1"/>
  <c r="AA829" i="19" a="1"/>
  <c r="AA829" i="19" s="1"/>
  <c r="X829" i="19" s="1"/>
  <c r="AA795" i="19" a="1"/>
  <c r="AA795" i="19" s="1"/>
  <c r="X795" i="19" s="1"/>
  <c r="AA779" i="19" a="1"/>
  <c r="AA779" i="19" s="1"/>
  <c r="X779" i="19" s="1"/>
  <c r="AA787" i="19" a="1"/>
  <c r="AA787" i="19" s="1"/>
  <c r="X787" i="19" s="1"/>
  <c r="AA754" i="19" a="1"/>
  <c r="AA754" i="19" s="1"/>
  <c r="X754" i="19" s="1"/>
  <c r="AA742" i="19" a="1"/>
  <c r="AA742" i="19" s="1"/>
  <c r="X742" i="19" s="1"/>
  <c r="AA729" i="19" a="1"/>
  <c r="AA729" i="19" s="1"/>
  <c r="X729" i="19" s="1"/>
  <c r="AA723" i="19" a="1"/>
  <c r="AA723" i="19" s="1"/>
  <c r="X723" i="19" s="1"/>
  <c r="AA696" i="19" a="1"/>
  <c r="AA696" i="19" s="1"/>
  <c r="X696" i="19" s="1"/>
  <c r="AA698" i="19" a="1"/>
  <c r="AA698" i="19" s="1"/>
  <c r="X698" i="19" s="1"/>
  <c r="AA714" i="19" a="1"/>
  <c r="AA714" i="19" s="1"/>
  <c r="X714" i="19" s="1"/>
  <c r="AA706" i="19" a="1"/>
  <c r="AA706" i="19" s="1"/>
  <c r="X706" i="19" s="1"/>
  <c r="AA666" i="19" a="1"/>
  <c r="AA666" i="19" s="1"/>
  <c r="X666" i="19" s="1"/>
  <c r="AA658" i="19" a="1"/>
  <c r="AA658" i="19" s="1"/>
  <c r="X658" i="19" s="1"/>
  <c r="AA610" i="19" a="1"/>
  <c r="AA610" i="19" s="1"/>
  <c r="X610" i="19" s="1"/>
  <c r="AA589" i="19" a="1"/>
  <c r="AA589" i="19" s="1"/>
  <c r="X589" i="19" s="1"/>
  <c r="AA545" i="19" a="1"/>
  <c r="AA545" i="19" s="1"/>
  <c r="X545" i="19" s="1"/>
  <c r="AA539" i="19" a="1"/>
  <c r="AA539" i="19" s="1"/>
  <c r="X539" i="19" s="1"/>
  <c r="AA529" i="19" a="1"/>
  <c r="AA529" i="19" s="1"/>
  <c r="X529" i="19" s="1"/>
  <c r="AA475" i="19" a="1"/>
  <c r="AA475" i="19" s="1"/>
  <c r="X475" i="19" s="1"/>
  <c r="AA481" i="19" a="1"/>
  <c r="AA481" i="19" s="1"/>
  <c r="X481" i="19" s="1"/>
  <c r="AA363" i="19" a="1"/>
  <c r="AA363" i="19" s="1"/>
  <c r="X363" i="19" s="1"/>
  <c r="AA356" i="19" a="1"/>
  <c r="AA356" i="19" s="1"/>
  <c r="X356" i="19" s="1"/>
  <c r="AA1504" i="19" a="1"/>
  <c r="AA1504" i="19" s="1"/>
  <c r="X1504" i="19" s="1"/>
  <c r="AA1606" i="19" a="1"/>
  <c r="AA1606" i="19" s="1"/>
  <c r="X1606" i="19" s="1"/>
  <c r="AA1586" i="19" a="1"/>
  <c r="AA1586" i="19" s="1"/>
  <c r="X1586" i="19" s="1"/>
  <c r="AA1579" i="19" a="1"/>
  <c r="AA1579" i="19" s="1"/>
  <c r="X1579" i="19" s="1"/>
  <c r="AA1572" i="19" a="1"/>
  <c r="AA1572" i="19" s="1"/>
  <c r="X1572" i="19" s="1"/>
  <c r="AA1558" i="19" a="1"/>
  <c r="AA1558" i="19" s="1"/>
  <c r="X1558" i="19" s="1"/>
  <c r="AA1512" i="19" a="1"/>
  <c r="AA1512" i="19" s="1"/>
  <c r="X1512" i="19" s="1"/>
  <c r="AA770" i="19" a="1"/>
  <c r="AA770" i="19" s="1"/>
  <c r="X770" i="19" s="1"/>
  <c r="AA745" i="19" a="1"/>
  <c r="AA745" i="19" s="1"/>
  <c r="X745" i="19" s="1"/>
  <c r="AA649" i="19" a="1"/>
  <c r="AA649" i="19" s="1"/>
  <c r="X649" i="19" s="1"/>
  <c r="AA620" i="19" a="1"/>
  <c r="AA620" i="19" s="1"/>
  <c r="X620" i="19" s="1"/>
  <c r="AA595" i="19" a="1"/>
  <c r="AA595" i="19" s="1"/>
  <c r="X595" i="19" s="1"/>
  <c r="AA578" i="19" a="1"/>
  <c r="AA578" i="19" s="1"/>
  <c r="X578" i="19" s="1"/>
  <c r="AA561" i="19" a="1"/>
  <c r="AA561" i="19" s="1"/>
  <c r="X561" i="19" s="1"/>
  <c r="AA549" i="19" a="1"/>
  <c r="AA549" i="19" s="1"/>
  <c r="X549" i="19" s="1"/>
  <c r="AA534" i="19" a="1"/>
  <c r="AA534" i="19" s="1"/>
  <c r="X534" i="19" s="1"/>
  <c r="AA457" i="19" a="1"/>
  <c r="AA457" i="19" s="1"/>
  <c r="X458" i="19" s="1"/>
  <c r="AA452" i="19" a="1"/>
  <c r="AA452" i="19" s="1"/>
  <c r="X452" i="19" s="1"/>
  <c r="AA349" i="19" a="1"/>
  <c r="AA349" i="19" s="1"/>
  <c r="X349" i="19" s="1"/>
  <c r="AA304" i="19" a="1"/>
  <c r="AA304" i="19" s="1"/>
  <c r="X304" i="19" s="1"/>
  <c r="AA1839" i="19" a="1"/>
  <c r="AA1839" i="19" s="1"/>
  <c r="X1839" i="19" s="1"/>
  <c r="AA1702" i="19" a="1"/>
  <c r="AA1702" i="19" s="1"/>
  <c r="X1702" i="19" s="1"/>
  <c r="AA1706" i="19" a="1"/>
  <c r="AA1706" i="19" s="1"/>
  <c r="X1706" i="19" s="1"/>
  <c r="AA1695" i="19" a="1"/>
  <c r="AA1695" i="19" s="1"/>
  <c r="X1695" i="19" s="1"/>
  <c r="AA1676" i="19" a="1"/>
  <c r="AA1676" i="19" s="1"/>
  <c r="X1676" i="19" s="1"/>
  <c r="AA1673" i="19" a="1"/>
  <c r="AA1673" i="19" s="1"/>
  <c r="X1673" i="19" s="1"/>
  <c r="AA1658" i="19" a="1"/>
  <c r="AA1658" i="19" s="1"/>
  <c r="X1658" i="19" s="1"/>
  <c r="AA1647" i="19" a="1"/>
  <c r="AA1647" i="19" s="1"/>
  <c r="X1647" i="19" s="1"/>
  <c r="AA1693" i="19" a="1"/>
  <c r="AA1693" i="19" s="1"/>
  <c r="X1693" i="19" s="1"/>
  <c r="AA1644" i="19" a="1"/>
  <c r="AA1644" i="19" s="1"/>
  <c r="X1644" i="19" s="1"/>
  <c r="AA1637" i="19" a="1"/>
  <c r="AA1637" i="19" s="1"/>
  <c r="X1637" i="19" s="1"/>
  <c r="AA1633" i="19" a="1"/>
  <c r="AA1633" i="19" s="1"/>
  <c r="X1633" i="19" s="1"/>
  <c r="AA1624" i="19" a="1"/>
  <c r="AA1624" i="19" s="1"/>
  <c r="X1624" i="19" s="1"/>
  <c r="AA1612" i="19" a="1"/>
  <c r="AA1612" i="19" s="1"/>
  <c r="X1612" i="19" s="1"/>
  <c r="AA1594" i="19" a="1"/>
  <c r="AA1594" i="19" s="1"/>
  <c r="X1594" i="19" s="1"/>
  <c r="AA1560" i="19" a="1"/>
  <c r="AA1560" i="19" s="1"/>
  <c r="X1560" i="19" s="1"/>
  <c r="AA1540" i="19" a="1"/>
  <c r="AA1540" i="19" s="1"/>
  <c r="X1540" i="19" s="1"/>
  <c r="AA984" i="19" a="1"/>
  <c r="AA984" i="19" s="1"/>
  <c r="X984" i="19" s="1"/>
  <c r="AA962" i="19" a="1"/>
  <c r="AA962" i="19" s="1"/>
  <c r="X962" i="19" s="1"/>
  <c r="AA966" i="19" a="1"/>
  <c r="AA966" i="19" s="1"/>
  <c r="X966" i="19" s="1"/>
  <c r="AA935" i="19" a="1"/>
  <c r="AA935" i="19" s="1"/>
  <c r="X935" i="19" s="1"/>
  <c r="AA949" i="19" a="1"/>
  <c r="AA949" i="19" s="1"/>
  <c r="X949" i="19" s="1"/>
  <c r="AA923" i="19" a="1"/>
  <c r="AA923" i="19" s="1"/>
  <c r="X923" i="19" s="1"/>
  <c r="AA1476" i="19" a="1"/>
  <c r="AA1476" i="19" s="1"/>
  <c r="X1476" i="19" s="1"/>
  <c r="AA1497" i="19" a="1"/>
  <c r="AA1497" i="19" s="1"/>
  <c r="X1497" i="19" s="1"/>
  <c r="AA1548" i="19" a="1"/>
  <c r="AA1548" i="19" s="1"/>
  <c r="X1548" i="19" s="1"/>
  <c r="AA977" i="19" a="1"/>
  <c r="AA977" i="19" s="1"/>
  <c r="X977" i="19" s="1"/>
  <c r="AA379" i="19" a="1"/>
  <c r="AA379" i="19" s="1"/>
  <c r="X379" i="19" s="1"/>
  <c r="AA1421" i="19" a="1"/>
  <c r="AA1421" i="19" s="1"/>
  <c r="X1421" i="19" s="1"/>
  <c r="AA1419" i="19" a="1"/>
  <c r="AA1419" i="19" s="1"/>
  <c r="X1419" i="19" s="1"/>
  <c r="AA1399" i="19" a="1"/>
  <c r="AA1399" i="19" s="1"/>
  <c r="X1399" i="19" s="1"/>
  <c r="AA1325" i="19" a="1"/>
  <c r="AA1325" i="19" s="1"/>
  <c r="X1325" i="19" s="1"/>
  <c r="AA1345" i="19" a="1"/>
  <c r="AA1345" i="19" s="1"/>
  <c r="X1345" i="19" s="1"/>
  <c r="AA1287" i="19" a="1"/>
  <c r="AA1287" i="19" s="1"/>
  <c r="X1287" i="19" s="1"/>
  <c r="AA1269" i="19" a="1"/>
  <c r="AA1269" i="19" s="1"/>
  <c r="X1269" i="19" s="1"/>
  <c r="AA1239" i="19" a="1"/>
  <c r="AA1239" i="19" s="1"/>
  <c r="X1239" i="19" s="1"/>
  <c r="AA1208" i="19" a="1"/>
  <c r="AA1208" i="19" s="1"/>
  <c r="X1208" i="19" s="1"/>
  <c r="AA1485" i="19" a="1"/>
  <c r="AA1485" i="19" s="1"/>
  <c r="X1485" i="19" s="1"/>
  <c r="AA1533" i="19" a="1"/>
  <c r="AA1533" i="19" s="1"/>
  <c r="X1533" i="19" s="1"/>
  <c r="AA1470" i="19" a="1"/>
  <c r="AA1470" i="19" s="1"/>
  <c r="X1470" i="19" s="1"/>
  <c r="AA1447" i="19" a="1"/>
  <c r="AA1447" i="19" s="1"/>
  <c r="X1447" i="19" s="1"/>
  <c r="AA1412" i="19" a="1"/>
  <c r="AA1412" i="19" s="1"/>
  <c r="X1412" i="19" s="1"/>
  <c r="AA1403" i="19" a="1"/>
  <c r="AA1403" i="19" s="1"/>
  <c r="X1403" i="19" s="1"/>
  <c r="AA1386" i="19" a="1"/>
  <c r="AA1386" i="19" s="1"/>
  <c r="X1386" i="19" s="1"/>
  <c r="AA1381" i="19" a="1"/>
  <c r="AA1381" i="19" s="1"/>
  <c r="X1381" i="19" s="1"/>
  <c r="AA1238" i="19" a="1"/>
  <c r="AA1238" i="19" s="1"/>
  <c r="X1238" i="19" s="1"/>
  <c r="AA1213" i="19" a="1"/>
  <c r="AA1213" i="19" s="1"/>
  <c r="X1213" i="19" s="1"/>
  <c r="AA1172" i="19" a="1"/>
  <c r="AA1172" i="19" s="1"/>
  <c r="X1172" i="19" s="1"/>
  <c r="AA1154" i="19" a="1"/>
  <c r="AA1154" i="19" s="1"/>
  <c r="X1154" i="19" s="1"/>
  <c r="AA1147" i="19" a="1"/>
  <c r="AA1147" i="19" s="1"/>
  <c r="X1147" i="19" s="1"/>
  <c r="AA1104" i="19" a="1"/>
  <c r="AA1104" i="19" s="1"/>
  <c r="X1104" i="19" s="1"/>
  <c r="AA1094" i="19" a="1"/>
  <c r="AA1094" i="19" s="1"/>
  <c r="X1094" i="19" s="1"/>
  <c r="AA1046" i="19" a="1"/>
  <c r="AA1046" i="19" s="1"/>
  <c r="X1046" i="19" s="1"/>
  <c r="AA1022" i="19" a="1"/>
  <c r="AA1022" i="19" s="1"/>
  <c r="X1022" i="19" s="1"/>
  <c r="AA910" i="19" a="1"/>
  <c r="AA910" i="19" s="1"/>
  <c r="X910" i="19" s="1"/>
  <c r="AA1303" i="19" a="1"/>
  <c r="AA1303" i="19" s="1"/>
  <c r="X1303" i="19" s="1"/>
  <c r="AA1278" i="19" a="1"/>
  <c r="AA1278" i="19" s="1"/>
  <c r="X1278" i="19" s="1"/>
  <c r="AA991" i="19" a="1"/>
  <c r="AA991" i="19" s="1"/>
  <c r="X991" i="19" s="1"/>
  <c r="AA964" i="19" a="1"/>
  <c r="AA964" i="19" s="1"/>
  <c r="X964" i="19" s="1"/>
  <c r="AA958" i="19" a="1"/>
  <c r="AA958" i="19" s="1"/>
  <c r="X958" i="19" s="1"/>
  <c r="AA957" i="19" a="1"/>
  <c r="AA957" i="19" s="1"/>
  <c r="X957" i="19" s="1"/>
  <c r="AA952" i="19" a="1"/>
  <c r="AA952" i="19" s="1"/>
  <c r="X952" i="19" s="1"/>
  <c r="AA931" i="19" a="1"/>
  <c r="AA931" i="19" s="1"/>
  <c r="X931" i="19" s="1"/>
  <c r="AA927" i="19" a="1"/>
  <c r="AA927" i="19" s="1"/>
  <c r="X927" i="19" s="1"/>
  <c r="AA871" i="19" a="1"/>
  <c r="AA871" i="19" s="1"/>
  <c r="X871" i="19" s="1"/>
  <c r="AA820" i="19" a="1"/>
  <c r="AA820" i="19" s="1"/>
  <c r="X820" i="19" s="1"/>
  <c r="AA791" i="19" a="1"/>
  <c r="AA791" i="19" s="1"/>
  <c r="X791" i="19" s="1"/>
  <c r="AA790" i="19" a="1"/>
  <c r="AA790" i="19" s="1"/>
  <c r="X790" i="19" s="1"/>
  <c r="AA764" i="19" a="1"/>
  <c r="AA764" i="19" s="1"/>
  <c r="X764" i="19" s="1"/>
  <c r="AA750" i="19" a="1"/>
  <c r="AA750" i="19" s="1"/>
  <c r="X750" i="19" s="1"/>
  <c r="AA747" i="19" a="1"/>
  <c r="AA747" i="19" s="1"/>
  <c r="X747" i="19" s="1"/>
  <c r="AA738" i="19" a="1"/>
  <c r="AA738" i="19" s="1"/>
  <c r="X738" i="19" s="1"/>
  <c r="AA697" i="19" a="1"/>
  <c r="AA697" i="19" s="1"/>
  <c r="X697" i="19" s="1"/>
  <c r="AA692" i="19" a="1"/>
  <c r="AA692" i="19" s="1"/>
  <c r="X692" i="19" s="1"/>
  <c r="AA718" i="19" a="1"/>
  <c r="AA718" i="19" s="1"/>
  <c r="X718" i="19" s="1"/>
  <c r="AA717" i="19" a="1"/>
  <c r="AA717" i="19" s="1"/>
  <c r="X717" i="19" s="1"/>
  <c r="AA708" i="19" a="1"/>
  <c r="AA708" i="19" s="1"/>
  <c r="X708" i="19" s="1"/>
  <c r="AA703" i="19" a="1"/>
  <c r="AA703" i="19" s="1"/>
  <c r="X703" i="19" s="1"/>
  <c r="AA684" i="19" a="1"/>
  <c r="AA684" i="19" s="1"/>
  <c r="X684" i="19" s="1"/>
  <c r="AA672" i="19" a="1"/>
  <c r="AA672" i="19" s="1"/>
  <c r="X672" i="19" s="1"/>
  <c r="AA661" i="19" a="1"/>
  <c r="AA661" i="19" s="1"/>
  <c r="X661" i="19" s="1"/>
  <c r="AA646" i="19" a="1"/>
  <c r="AA646" i="19" s="1"/>
  <c r="X646" i="19" s="1"/>
  <c r="AA599" i="19" a="1"/>
  <c r="AA599" i="19" s="1"/>
  <c r="X599" i="19" s="1"/>
  <c r="AA524" i="19" a="1"/>
  <c r="AA524" i="19" s="1"/>
  <c r="X524" i="19" s="1"/>
  <c r="AA499" i="19" a="1"/>
  <c r="AA499" i="19" s="1"/>
  <c r="X499" i="19" s="1"/>
  <c r="AA470" i="19" a="1"/>
  <c r="AA470" i="19" s="1"/>
  <c r="X470" i="19" s="1"/>
  <c r="AA465" i="19" a="1"/>
  <c r="AA465" i="19" s="1"/>
  <c r="X465" i="19" s="1"/>
  <c r="AA409" i="19" a="1"/>
  <c r="AA409" i="19" s="1"/>
  <c r="X409" i="19" s="1"/>
  <c r="AA358" i="19" a="1"/>
  <c r="AA358" i="19" s="1"/>
  <c r="X358" i="19" s="1"/>
  <c r="AA327" i="19" a="1"/>
  <c r="AA327" i="19" s="1"/>
  <c r="X327" i="19" s="1"/>
  <c r="AA1626" i="19" a="1"/>
  <c r="AA1626" i="19" s="1"/>
  <c r="X1626" i="19" s="1"/>
  <c r="AA1500" i="19" a="1"/>
  <c r="AA1500" i="19" s="1"/>
  <c r="X1500" i="19" s="1"/>
  <c r="AA1741" i="19" a="1"/>
  <c r="AA1741" i="19" s="1"/>
  <c r="X1741" i="19" s="1"/>
  <c r="AA1615" i="19" a="1"/>
  <c r="AA1615" i="19" s="1"/>
  <c r="X1615" i="19" s="1"/>
  <c r="AA1611" i="19" a="1"/>
  <c r="AA1611" i="19" s="1"/>
  <c r="X1611" i="19" s="1"/>
  <c r="AA1595" i="19" a="1"/>
  <c r="AA1595" i="19" s="1"/>
  <c r="X1595" i="19" s="1"/>
  <c r="AA1576" i="19" a="1"/>
  <c r="AA1576" i="19" s="1"/>
  <c r="X1576" i="19" s="1"/>
  <c r="AA1569" i="19" a="1"/>
  <c r="AA1569" i="19" s="1"/>
  <c r="X1569" i="19" s="1"/>
  <c r="AA1515" i="19" a="1"/>
  <c r="AA1515" i="19" s="1"/>
  <c r="X1515" i="19" s="1"/>
  <c r="AA970" i="19" a="1"/>
  <c r="AA970" i="19" s="1"/>
  <c r="X970" i="19" s="1"/>
  <c r="AA1546" i="19" a="1"/>
  <c r="AA1546" i="19" s="1"/>
  <c r="X1546" i="19" s="1"/>
  <c r="AA968" i="19" a="1"/>
  <c r="AA968" i="19" s="1"/>
  <c r="X968" i="19" s="1"/>
  <c r="AA1452" i="19" a="1"/>
  <c r="AA1452" i="19" s="1"/>
  <c r="X1452" i="19" s="1"/>
  <c r="AA1430" i="19" a="1"/>
  <c r="AA1430" i="19" s="1"/>
  <c r="X1430" i="19" s="1"/>
  <c r="AA1352" i="19" a="1"/>
  <c r="AA1352" i="19" s="1"/>
  <c r="X1352" i="19" s="1"/>
  <c r="AA1342" i="19" a="1"/>
  <c r="AA1342" i="19" s="1"/>
  <c r="X1342" i="19" s="1"/>
  <c r="AA1335" i="19" a="1"/>
  <c r="AA1335" i="19" s="1"/>
  <c r="X1335" i="19" s="1"/>
  <c r="AA1206" i="19" a="1"/>
  <c r="AA1206" i="19" s="1"/>
  <c r="X1206" i="19" s="1"/>
  <c r="AA1181" i="19" a="1"/>
  <c r="AA1181" i="19" s="1"/>
  <c r="X1181" i="19" s="1"/>
  <c r="AA817" i="19" a="1"/>
  <c r="AA817" i="19" s="1"/>
  <c r="X817" i="19" s="1"/>
  <c r="AA1475" i="19" a="1"/>
  <c r="AA1475" i="19" s="1"/>
  <c r="X1475" i="19" s="1"/>
  <c r="AA1529" i="19" a="1"/>
  <c r="AA1529" i="19" s="1"/>
  <c r="X1529" i="19" s="1"/>
  <c r="AA1467" i="19" a="1"/>
  <c r="AA1467" i="19" s="1"/>
  <c r="X1467" i="19" s="1"/>
  <c r="AA1451" i="19" a="1"/>
  <c r="AA1451" i="19" s="1"/>
  <c r="X1451" i="19" s="1"/>
  <c r="AA1354" i="19" a="1"/>
  <c r="AA1354" i="19" s="1"/>
  <c r="X1354" i="19" s="1"/>
  <c r="AA1322" i="19" a="1"/>
  <c r="AA1322" i="19" s="1"/>
  <c r="X1322" i="19" s="1"/>
  <c r="AA1361" i="19" a="1"/>
  <c r="AA1361" i="19" s="1"/>
  <c r="X1361" i="19" s="1"/>
  <c r="AA1357" i="19" a="1"/>
  <c r="AA1357" i="19" s="1"/>
  <c r="X1357" i="19" s="1"/>
  <c r="AA1351" i="19" a="1"/>
  <c r="AA1351" i="19" s="1"/>
  <c r="X1351" i="19" s="1"/>
  <c r="AA1344" i="19" a="1"/>
  <c r="AA1344" i="19" s="1"/>
  <c r="X1344" i="19" s="1"/>
  <c r="AA1341" i="19" a="1"/>
  <c r="AA1341" i="19" s="1"/>
  <c r="X1341" i="19" s="1"/>
  <c r="AA1349" i="19" a="1"/>
  <c r="AA1349" i="19" s="1"/>
  <c r="X1349" i="19" s="1"/>
  <c r="AA1279" i="19" a="1"/>
  <c r="AA1279" i="19" s="1"/>
  <c r="X1279" i="19" s="1"/>
  <c r="AA1258" i="19" a="1"/>
  <c r="AA1258" i="19" s="1"/>
  <c r="X1258" i="19" s="1"/>
  <c r="AA1232" i="19" a="1"/>
  <c r="AA1232" i="19" s="1"/>
  <c r="X1232" i="19" s="1"/>
  <c r="AA1199" i="19" a="1"/>
  <c r="AA1199" i="19" s="1"/>
  <c r="X1199" i="19" s="1"/>
  <c r="AA1200" i="19" a="1"/>
  <c r="AA1200" i="19" s="1"/>
  <c r="X1200" i="19" s="1"/>
  <c r="AA1220" i="19" a="1"/>
  <c r="AA1220" i="19" s="1"/>
  <c r="X1220" i="19" s="1"/>
  <c r="AA1179" i="19" a="1"/>
  <c r="AA1179" i="19" s="1"/>
  <c r="X1179" i="19" s="1"/>
  <c r="AA1166" i="19" a="1"/>
  <c r="AA1166" i="19" s="1"/>
  <c r="X1166" i="19" s="1"/>
  <c r="AA1164" i="19" a="1"/>
  <c r="AA1164" i="19" s="1"/>
  <c r="X1164" i="19" s="1"/>
  <c r="AA1138" i="19" a="1"/>
  <c r="AA1138" i="19" s="1"/>
  <c r="X1138" i="19" s="1"/>
  <c r="AA1125" i="19" a="1"/>
  <c r="AA1125" i="19" s="1"/>
  <c r="X1125" i="19" s="1"/>
  <c r="AA1113" i="19" a="1"/>
  <c r="AA1113" i="19" s="1"/>
  <c r="X1113" i="19" s="1"/>
  <c r="AA1110" i="19" a="1"/>
  <c r="AA1110" i="19" s="1"/>
  <c r="X1110" i="19" s="1"/>
  <c r="AA1111" i="19" a="1"/>
  <c r="AA1111" i="19" s="1"/>
  <c r="X1111" i="19" s="1"/>
  <c r="AA1114" i="19" a="1"/>
  <c r="AA1114" i="19" s="1"/>
  <c r="X1114" i="19" s="1"/>
  <c r="AA1095" i="19" a="1"/>
  <c r="AA1095" i="19" s="1"/>
  <c r="X1095" i="19" s="1"/>
  <c r="AA1089" i="19" a="1"/>
  <c r="AA1089" i="19" s="1"/>
  <c r="X1089" i="19" s="1"/>
  <c r="AA1079" i="19" a="1"/>
  <c r="AA1079" i="19" s="1"/>
  <c r="X1079" i="19" s="1"/>
  <c r="AA1033" i="19" a="1"/>
  <c r="AA1033" i="19" s="1"/>
  <c r="X1033" i="19" s="1"/>
  <c r="AA986" i="19" a="1"/>
  <c r="AA986" i="19" s="1"/>
  <c r="X986" i="19" s="1"/>
  <c r="AA933" i="19" a="1"/>
  <c r="AA933" i="19" s="1"/>
  <c r="X933" i="19" s="1"/>
  <c r="AA920" i="19" a="1"/>
  <c r="AA920" i="19" s="1"/>
  <c r="X920" i="19" s="1"/>
  <c r="AA922" i="19" a="1"/>
  <c r="AA922" i="19" s="1"/>
  <c r="X922" i="19" s="1"/>
  <c r="AA916" i="19" a="1"/>
  <c r="AA916" i="19" s="1"/>
  <c r="X916" i="19" s="1"/>
  <c r="AA912" i="19" a="1"/>
  <c r="AA912" i="19" s="1"/>
  <c r="X912" i="19" s="1"/>
  <c r="AA890" i="19" a="1"/>
  <c r="AA890" i="19" s="1"/>
  <c r="X890" i="19" s="1"/>
  <c r="AA874" i="19" a="1"/>
  <c r="AA874" i="19" s="1"/>
  <c r="X874" i="19" s="1"/>
  <c r="AA857" i="19" a="1"/>
  <c r="AA857" i="19" s="1"/>
  <c r="X857" i="19" s="1"/>
  <c r="AA838" i="19" a="1"/>
  <c r="AA838" i="19" s="1"/>
  <c r="X838" i="19" s="1"/>
  <c r="AA736" i="19" a="1"/>
  <c r="AA736" i="19" s="1"/>
  <c r="X736" i="19" s="1"/>
  <c r="AA663" i="19" a="1"/>
  <c r="AA663" i="19" s="1"/>
  <c r="X663" i="19" s="1"/>
  <c r="AA660" i="19" a="1"/>
  <c r="AA660" i="19" s="1"/>
  <c r="X660" i="19" s="1"/>
  <c r="AA652" i="19" a="1"/>
  <c r="AA652" i="19" s="1"/>
  <c r="X652" i="19" s="1"/>
  <c r="AA617" i="19" a="1"/>
  <c r="AA617" i="19" s="1"/>
  <c r="X617" i="19" s="1"/>
  <c r="AA604" i="19" a="1"/>
  <c r="AA604" i="19" s="1"/>
  <c r="X604" i="19" s="1"/>
  <c r="AA581" i="19" a="1"/>
  <c r="AA581" i="19" s="1"/>
  <c r="X581" i="19" s="1"/>
  <c r="AA582" i="19" a="1"/>
  <c r="AA582" i="19" s="1"/>
  <c r="X582" i="19" s="1"/>
  <c r="AA576" i="19" a="1"/>
  <c r="AA576" i="19" s="1"/>
  <c r="X576" i="19" s="1"/>
  <c r="AA573" i="19" a="1"/>
  <c r="AA573" i="19" s="1"/>
  <c r="X573" i="19" s="1"/>
  <c r="AA563" i="19" a="1"/>
  <c r="AA563" i="19" s="1"/>
  <c r="X563" i="19" s="1"/>
  <c r="AA559" i="19" a="1"/>
  <c r="AA559" i="19" s="1"/>
  <c r="X559" i="19" s="1"/>
  <c r="AA540" i="19" a="1"/>
  <c r="AA540" i="19" s="1"/>
  <c r="X540" i="19" s="1"/>
  <c r="AA510" i="19" a="1"/>
  <c r="AA510" i="19" s="1"/>
  <c r="X510" i="19" s="1"/>
  <c r="AA366" i="19" a="1"/>
  <c r="AA366" i="19" s="1"/>
  <c r="X366" i="19" s="1"/>
  <c r="AA351" i="19" a="1"/>
  <c r="AA351" i="19" s="1"/>
  <c r="X351" i="19" s="1"/>
  <c r="AA1841" i="19" a="1"/>
  <c r="AA1841" i="19" s="1"/>
  <c r="X1841" i="19" s="1"/>
  <c r="AA1713" i="19" a="1"/>
  <c r="AA1713" i="19" s="1"/>
  <c r="X1713" i="19" s="1"/>
  <c r="AA1747" i="19" a="1"/>
  <c r="AA1747" i="19" s="1"/>
  <c r="X1747" i="19" s="1"/>
  <c r="AA1668" i="19" a="1"/>
  <c r="AA1668" i="19" s="1"/>
  <c r="X1668" i="19" s="1"/>
  <c r="AA1671" i="19" a="1"/>
  <c r="AA1671" i="19" s="1"/>
  <c r="X1671" i="19" s="1"/>
  <c r="AA1662" i="19" a="1"/>
  <c r="AA1662" i="19" s="1"/>
  <c r="X1662" i="19" s="1"/>
  <c r="AA1657" i="19" a="1"/>
  <c r="AA1657" i="19" s="1"/>
  <c r="X1657" i="19" s="1"/>
  <c r="AA1690" i="19" a="1"/>
  <c r="AA1690" i="19" s="1"/>
  <c r="X1690" i="19" s="1"/>
  <c r="AA1686" i="19" a="1"/>
  <c r="AA1686" i="19" s="1"/>
  <c r="X1686" i="19" s="1"/>
  <c r="AA1613" i="19" a="1"/>
  <c r="AA1613" i="19" s="1"/>
  <c r="X1613" i="19" s="1"/>
  <c r="AA1634" i="19" a="1"/>
  <c r="AA1634" i="19" s="1"/>
  <c r="X1634" i="19" s="1"/>
  <c r="AA2350" i="19" a="1"/>
  <c r="AA2350" i="19" s="1"/>
  <c r="X2350" i="19" s="1"/>
  <c r="AA1564" i="19" a="1"/>
  <c r="AA1564" i="19" s="1"/>
  <c r="X1564" i="19" s="1"/>
  <c r="AA1591" i="19" a="1"/>
  <c r="AA1591" i="19" s="1"/>
  <c r="X1591" i="19" s="1"/>
  <c r="AA1537" i="19" a="1"/>
  <c r="AA1537" i="19" s="1"/>
  <c r="X1537" i="19" s="1"/>
  <c r="AA1551" i="19" a="1"/>
  <c r="AA1551" i="19" s="1"/>
  <c r="X1551" i="19" s="1"/>
  <c r="AA1229" i="19" a="1"/>
  <c r="AA1229" i="19" s="1"/>
  <c r="X1229" i="19" s="1"/>
  <c r="AA1226" i="19" a="1"/>
  <c r="AA1226" i="19" s="1"/>
  <c r="X1226" i="19" s="1"/>
  <c r="AA1201" i="19" a="1"/>
  <c r="AA1201" i="19" s="1"/>
  <c r="X1201" i="19" s="1"/>
  <c r="AA1170" i="19" a="1"/>
  <c r="AA1170" i="19" s="1"/>
  <c r="X1170" i="19" s="1"/>
  <c r="AA1145" i="19" a="1"/>
  <c r="AA1145" i="19" s="1"/>
  <c r="X1145" i="19" s="1"/>
  <c r="AA1139" i="19" a="1"/>
  <c r="AA1139" i="19" s="1"/>
  <c r="X1139" i="19" s="1"/>
  <c r="AA1122" i="19" a="1"/>
  <c r="AA1122" i="19" s="1"/>
  <c r="X1122" i="19" s="1"/>
  <c r="AA1119" i="19" a="1"/>
  <c r="AA1119" i="19" s="1"/>
  <c r="X1119" i="19" s="1"/>
  <c r="AA1075" i="19" a="1"/>
  <c r="AA1075" i="19" s="1"/>
  <c r="X1075" i="19" s="1"/>
  <c r="AA1068" i="19" a="1"/>
  <c r="AA1068" i="19" s="1"/>
  <c r="X1068" i="19" s="1"/>
  <c r="AA1052" i="19" a="1"/>
  <c r="AA1052" i="19" s="1"/>
  <c r="X1052" i="19" s="1"/>
  <c r="AA1038" i="19" a="1"/>
  <c r="AA1038" i="19" s="1"/>
  <c r="X1038" i="19" s="1"/>
  <c r="AA1024" i="19" a="1"/>
  <c r="AA1024" i="19" s="1"/>
  <c r="X1024" i="19" s="1"/>
  <c r="AA1474" i="19" a="1"/>
  <c r="AA1474" i="19" s="1"/>
  <c r="X1474" i="19" s="1"/>
  <c r="AA1536" i="19" a="1"/>
  <c r="AA1536" i="19" s="1"/>
  <c r="X1536" i="19" s="1"/>
  <c r="AA978" i="19" a="1"/>
  <c r="AA978" i="19" s="1"/>
  <c r="X978" i="19" s="1"/>
  <c r="AA971" i="19" a="1"/>
  <c r="AA971" i="19" s="1"/>
  <c r="X971" i="19" s="1"/>
  <c r="AA1471" i="19" a="1"/>
  <c r="AA1471" i="19" s="1"/>
  <c r="X1471" i="19" s="1"/>
  <c r="AA1457" i="19" a="1"/>
  <c r="AA1457" i="19" s="1"/>
  <c r="X1457" i="19" s="1"/>
  <c r="AA1431" i="19" a="1"/>
  <c r="AA1431" i="19" s="1"/>
  <c r="X1431" i="19" s="1"/>
  <c r="AA1392" i="19" a="1"/>
  <c r="AA1392" i="19" s="1"/>
  <c r="X1392" i="19" s="1"/>
  <c r="AA1480" i="19" a="1"/>
  <c r="AA1480" i="19" s="1"/>
  <c r="X1480" i="19" s="1"/>
  <c r="AA1454" i="19" a="1"/>
  <c r="AA1454" i="19" s="1"/>
  <c r="X1454" i="19" s="1"/>
  <c r="AA1434" i="19" a="1"/>
  <c r="AA1434" i="19" s="1"/>
  <c r="X1434" i="19" s="1"/>
  <c r="AA1428" i="19" a="1"/>
  <c r="AA1428" i="19" s="1"/>
  <c r="X1428" i="19" s="1"/>
  <c r="AA1422" i="19" a="1"/>
  <c r="AA1422" i="19" s="1"/>
  <c r="X1422" i="19" s="1"/>
  <c r="AA1416" i="19" a="1"/>
  <c r="AA1416" i="19" s="1"/>
  <c r="X1416" i="19" s="1"/>
  <c r="AA1363" i="19" a="1"/>
  <c r="AA1363" i="19" s="1"/>
  <c r="X1363" i="19" s="1"/>
  <c r="AA1340" i="19" a="1"/>
  <c r="AA1340" i="19" s="1"/>
  <c r="X1340" i="19" s="1"/>
  <c r="AA1346" i="19" a="1"/>
  <c r="AA1346" i="19" s="1"/>
  <c r="X1346" i="19" s="1"/>
  <c r="AA1348" i="19" a="1"/>
  <c r="AA1348" i="19" s="1"/>
  <c r="X1348" i="19" s="1"/>
  <c r="AA1298" i="19" a="1"/>
  <c r="AA1298" i="19" s="1"/>
  <c r="X1298" i="19" s="1"/>
  <c r="AA1285" i="19" a="1"/>
  <c r="AA1285" i="19" s="1"/>
  <c r="X1285" i="19" s="1"/>
  <c r="AA1281" i="19" a="1"/>
  <c r="AA1281" i="19" s="1"/>
  <c r="X1281" i="19" s="1"/>
  <c r="AA1294" i="19" a="1"/>
  <c r="AA1294" i="19" s="1"/>
  <c r="X1294" i="19" s="1"/>
  <c r="AA1268" i="19" a="1"/>
  <c r="AA1268" i="19" s="1"/>
  <c r="X1268" i="19" s="1"/>
  <c r="AA1196" i="19" a="1"/>
  <c r="AA1196" i="19" s="1"/>
  <c r="X1196" i="19" s="1"/>
  <c r="AA1223" i="19" a="1"/>
  <c r="AA1223" i="19" s="1"/>
  <c r="X1223" i="19" s="1"/>
  <c r="AA1182" i="19" a="1"/>
  <c r="AA1182" i="19" s="1"/>
  <c r="X1182" i="19" s="1"/>
  <c r="AA1135" i="19" a="1"/>
  <c r="AA1135" i="19" s="1"/>
  <c r="X1135" i="19" s="1"/>
  <c r="AA1133" i="19" a="1"/>
  <c r="AA1133" i="19" s="1"/>
  <c r="X1133" i="19" s="1"/>
  <c r="AA1129" i="19" a="1"/>
  <c r="AA1129" i="19" s="1"/>
  <c r="X1129" i="19" s="1"/>
  <c r="AA1102" i="19" a="1"/>
  <c r="AA1102" i="19" s="1"/>
  <c r="X1102" i="19" s="1"/>
  <c r="AA1088" i="19" a="1"/>
  <c r="AA1088" i="19" s="1"/>
  <c r="X1088" i="19" s="1"/>
  <c r="AA1071" i="19" a="1"/>
  <c r="AA1071" i="19" s="1"/>
  <c r="X1071" i="19" s="1"/>
  <c r="AA1063" i="19" a="1"/>
  <c r="AA1063" i="19" s="1"/>
  <c r="X1063" i="19" s="1"/>
  <c r="AA1055" i="19" a="1"/>
  <c r="AA1055" i="19" s="1"/>
  <c r="X1055" i="19" s="1"/>
  <c r="AA1041" i="19" a="1"/>
  <c r="AA1041" i="19" s="1"/>
  <c r="X1041" i="19" s="1"/>
  <c r="AA1019" i="19" a="1"/>
  <c r="AA1019" i="19" s="1"/>
  <c r="X1019" i="19" s="1"/>
  <c r="AA1009" i="19" a="1"/>
  <c r="AA1009" i="19" s="1"/>
  <c r="X1009" i="19" s="1"/>
  <c r="AA960" i="19" a="1"/>
  <c r="AA960" i="19" s="1"/>
  <c r="X960" i="19" s="1"/>
  <c r="AA965" i="19" a="1"/>
  <c r="AA965" i="19" s="1"/>
  <c r="X965" i="19" s="1"/>
  <c r="AA939" i="19" a="1"/>
  <c r="AA939" i="19" s="1"/>
  <c r="X939" i="19" s="1"/>
  <c r="AA938" i="19" a="1"/>
  <c r="AA938" i="19" s="1"/>
  <c r="X938" i="19" s="1"/>
  <c r="AA883" i="19" a="1"/>
  <c r="AA883" i="19" s="1"/>
  <c r="X883" i="19" s="1"/>
  <c r="AA879" i="19" a="1"/>
  <c r="AA879" i="19" s="1"/>
  <c r="X879" i="19" s="1"/>
  <c r="AA866" i="19" a="1"/>
  <c r="AA866" i="19" s="1"/>
  <c r="X866" i="19" s="1"/>
  <c r="AA862" i="19" a="1"/>
  <c r="AA862" i="19" s="1"/>
  <c r="X862" i="19" s="1"/>
  <c r="AA851" i="19" a="1"/>
  <c r="AA851" i="19" s="1"/>
  <c r="X851" i="19" s="1"/>
  <c r="AA848" i="19" a="1"/>
  <c r="AA848" i="19" s="1"/>
  <c r="X848" i="19" s="1"/>
  <c r="AA827" i="19" a="1"/>
  <c r="AA827" i="19" s="1"/>
  <c r="X827" i="19" s="1"/>
  <c r="AA822" i="19" a="1"/>
  <c r="AA822" i="19" s="1"/>
  <c r="X822" i="19" s="1"/>
  <c r="AA783" i="19" a="1"/>
  <c r="AA783" i="19" s="1"/>
  <c r="X783" i="19" s="1"/>
  <c r="AA732" i="19" a="1"/>
  <c r="AA732" i="19" s="1"/>
  <c r="X732" i="19" s="1"/>
  <c r="AA725" i="19" a="1"/>
  <c r="AA725" i="19" s="1"/>
  <c r="X725" i="19" s="1"/>
  <c r="AA720" i="19" a="1"/>
  <c r="AA720" i="19" s="1"/>
  <c r="X720" i="19" s="1"/>
  <c r="AA694" i="19" a="1"/>
  <c r="AA694" i="19" s="1"/>
  <c r="X694" i="19" s="1"/>
  <c r="AA713" i="19" a="1"/>
  <c r="AA713" i="19" s="1"/>
  <c r="X713" i="19" s="1"/>
  <c r="AA667" i="19" a="1"/>
  <c r="AA667" i="19" s="1"/>
  <c r="X667" i="19" s="1"/>
  <c r="AA654" i="19" a="1"/>
  <c r="AA654" i="19" s="1"/>
  <c r="X654" i="19" s="1"/>
  <c r="AA615" i="19" a="1"/>
  <c r="AA615" i="19" s="1"/>
  <c r="X615" i="19" s="1"/>
  <c r="AA592" i="19" a="1"/>
  <c r="AA592" i="19" s="1"/>
  <c r="X592" i="19" s="1"/>
  <c r="AA597" i="19" a="1"/>
  <c r="AA597" i="19" s="1"/>
  <c r="X597" i="19" s="1"/>
  <c r="AA586" i="19" a="1"/>
  <c r="AA586" i="19" s="1"/>
  <c r="X586" i="19" s="1"/>
  <c r="AA585" i="19" a="1"/>
  <c r="AA585" i="19" s="1"/>
  <c r="X585" i="19" s="1"/>
  <c r="AA568" i="19" a="1"/>
  <c r="AA568" i="19" s="1"/>
  <c r="AA544" i="19" a="1"/>
  <c r="AA544" i="19" s="1"/>
  <c r="X544" i="19" s="1"/>
  <c r="AA535" i="19" a="1"/>
  <c r="AA535" i="19" s="1"/>
  <c r="X535" i="19" s="1"/>
  <c r="AA530" i="19" a="1"/>
  <c r="AA530" i="19" s="1"/>
  <c r="X530" i="19" s="1"/>
  <c r="AA460" i="19" a="1"/>
  <c r="AA460" i="19" s="1"/>
  <c r="X460" i="19" s="1"/>
  <c r="AA453" i="19" a="1"/>
  <c r="AA453" i="19" s="1"/>
  <c r="X453" i="19" s="1"/>
  <c r="AA360" i="19" a="1"/>
  <c r="AA360" i="19" s="1"/>
  <c r="X360" i="19" s="1"/>
  <c r="AA332" i="19" a="1"/>
  <c r="AA332" i="19" s="1"/>
  <c r="X332" i="19" s="1"/>
  <c r="AA1483" i="19" a="1"/>
  <c r="AA1483" i="19" s="1"/>
  <c r="X1483" i="19" s="1"/>
  <c r="AA1489" i="19" a="1"/>
  <c r="AA1489" i="19" s="1"/>
  <c r="X1489" i="19" s="1"/>
  <c r="AA1599" i="19" a="1"/>
  <c r="AA1599" i="19" s="1"/>
  <c r="X1599" i="19" s="1"/>
  <c r="AA1589" i="19" a="1"/>
  <c r="AA1589" i="19" s="1"/>
  <c r="X1589" i="19" s="1"/>
  <c r="AA1573" i="19" a="1"/>
  <c r="AA1573" i="19" s="1"/>
  <c r="X1573" i="19" s="1"/>
  <c r="AA2341" i="19" a="1"/>
  <c r="AA2341" i="19" s="1"/>
  <c r="X2341" i="19" s="1"/>
  <c r="AA1522" i="19" a="1"/>
  <c r="AA1522" i="19" s="1"/>
  <c r="X1522" i="19" s="1"/>
  <c r="AA1510" i="19" a="1"/>
  <c r="AA1510" i="19" s="1"/>
  <c r="X1510" i="19" s="1"/>
  <c r="AA1513" i="19" a="1"/>
  <c r="AA1513" i="19" s="1"/>
  <c r="X1513" i="19" s="1"/>
  <c r="AA1517" i="19" a="1"/>
  <c r="AA1517" i="19" s="1"/>
  <c r="X1517" i="19" s="1"/>
  <c r="AA1380" i="19" a="1"/>
  <c r="AA1380" i="19" s="1"/>
  <c r="X1380" i="19" s="1"/>
  <c r="AA1367" i="19" a="1"/>
  <c r="AA1367" i="19" s="1"/>
  <c r="X1367" i="19" s="1"/>
  <c r="AA1359" i="19" a="1"/>
  <c r="AA1359" i="19" s="1"/>
  <c r="X1359" i="19" s="1"/>
  <c r="AA1326" i="19" a="1"/>
  <c r="AA1326" i="19" s="1"/>
  <c r="X1326" i="19" s="1"/>
  <c r="AA1304" i="19" a="1"/>
  <c r="AA1304" i="19" s="1"/>
  <c r="X1304" i="19" s="1"/>
  <c r="AA1314" i="19" a="1"/>
  <c r="AA1314" i="19" s="1"/>
  <c r="X1314" i="19" s="1"/>
  <c r="AA1300" i="19" a="1"/>
  <c r="AA1300" i="19" s="1"/>
  <c r="X1300" i="19" s="1"/>
  <c r="AA1286" i="19" a="1"/>
  <c r="AA1286" i="19" s="1"/>
  <c r="X1286" i="19" s="1"/>
  <c r="AA1271" i="19" a="1"/>
  <c r="AA1271" i="19" s="1"/>
  <c r="X1271" i="19" s="1"/>
  <c r="AA1254" i="19" a="1"/>
  <c r="AA1254" i="19" s="1"/>
  <c r="X1254" i="19" s="1"/>
  <c r="AA1264" i="19" a="1"/>
  <c r="AA1264" i="19" s="1"/>
  <c r="X1264" i="19" s="1"/>
  <c r="AA1236" i="19" a="1"/>
  <c r="AA1236" i="19" s="1"/>
  <c r="X1236" i="19" s="1"/>
  <c r="AA1235" i="19" a="1"/>
  <c r="AA1235" i="19" s="1"/>
  <c r="X1235" i="19" s="1"/>
  <c r="AA1210" i="19" a="1"/>
  <c r="AA1210" i="19" s="1"/>
  <c r="X1210" i="19" s="1"/>
  <c r="AA1191" i="19" a="1"/>
  <c r="AA1191" i="19" s="1"/>
  <c r="X1191" i="19" s="1"/>
  <c r="AA1177" i="19" a="1"/>
  <c r="AA1177" i="19" s="1"/>
  <c r="X1177" i="19" s="1"/>
  <c r="AA1185" i="19" a="1"/>
  <c r="AA1185" i="19" s="1"/>
  <c r="X1185" i="19" s="1"/>
  <c r="AA1137" i="19" a="1"/>
  <c r="AA1137" i="19" s="1"/>
  <c r="X1137" i="19" s="1"/>
  <c r="AA1117" i="19" a="1"/>
  <c r="AA1117" i="19" s="1"/>
  <c r="X1117" i="19" s="1"/>
  <c r="AA1039" i="19" a="1"/>
  <c r="AA1039" i="19" s="1"/>
  <c r="X1039" i="19" s="1"/>
  <c r="AA995" i="19" a="1"/>
  <c r="AA995" i="19" s="1"/>
  <c r="X995" i="19" s="1"/>
  <c r="AA989" i="19" a="1"/>
  <c r="AA989" i="19" s="1"/>
  <c r="X989" i="19" s="1"/>
  <c r="AA985" i="19" a="1"/>
  <c r="AA985" i="19" s="1"/>
  <c r="X985" i="19" s="1"/>
  <c r="AA945" i="19" a="1"/>
  <c r="AA945" i="19" s="1"/>
  <c r="X945" i="19" s="1"/>
  <c r="AA948" i="19" a="1"/>
  <c r="AA948" i="19" s="1"/>
  <c r="X948" i="19" s="1"/>
  <c r="AA906" i="19" a="1"/>
  <c r="AA906" i="19" s="1"/>
  <c r="X906" i="19" s="1"/>
  <c r="AA899" i="19" a="1"/>
  <c r="AA899" i="19" s="1"/>
  <c r="X899" i="19" s="1"/>
  <c r="AA872" i="19" a="1"/>
  <c r="AA872" i="19" s="1"/>
  <c r="X872" i="19" s="1"/>
  <c r="AA835" i="19" a="1"/>
  <c r="AA835" i="19" s="1"/>
  <c r="X835" i="19" s="1"/>
  <c r="AA819" i="19" a="1"/>
  <c r="AA819" i="19" s="1"/>
  <c r="X819" i="19" s="1"/>
  <c r="AA801" i="19" a="1"/>
  <c r="AA801" i="19" s="1"/>
  <c r="X801" i="19" s="1"/>
  <c r="AA792" i="19" a="1"/>
  <c r="AA792" i="19" s="1"/>
  <c r="X792" i="19" s="1"/>
  <c r="AA780" i="19" a="1"/>
  <c r="AA780" i="19" s="1"/>
  <c r="X780" i="19" s="1"/>
  <c r="AA771" i="19" a="1"/>
  <c r="AA771" i="19" s="1"/>
  <c r="X771" i="19" s="1"/>
  <c r="AA767" i="19" a="1"/>
  <c r="AA767" i="19" s="1"/>
  <c r="X767" i="19" s="1"/>
  <c r="AA609" i="19" a="1"/>
  <c r="AA609" i="19" s="1"/>
  <c r="X609" i="19" s="1"/>
  <c r="AA612" i="19" a="1"/>
  <c r="AA612" i="19" s="1"/>
  <c r="X612" i="19" s="1"/>
  <c r="AA579" i="19" a="1"/>
  <c r="AA579" i="19" s="1"/>
  <c r="X579" i="19" s="1"/>
  <c r="AA551" i="19" a="1"/>
  <c r="AA551" i="19" s="1"/>
  <c r="X551" i="19" s="1"/>
  <c r="AA556" i="19" a="1"/>
  <c r="AA556" i="19" s="1"/>
  <c r="X556" i="19" s="1"/>
  <c r="AA527" i="19" a="1"/>
  <c r="AA527" i="19" s="1"/>
  <c r="X527" i="19" s="1"/>
  <c r="AA482" i="19" a="1"/>
  <c r="AA482" i="19" s="1"/>
  <c r="X482" i="19" s="1"/>
  <c r="AA480" i="19" a="1"/>
  <c r="AA480" i="19" s="1"/>
  <c r="X480" i="19" s="1"/>
  <c r="AA368" i="19" a="1"/>
  <c r="AA368" i="19" s="1"/>
  <c r="X368" i="19" s="1"/>
  <c r="AA353" i="19" a="1"/>
  <c r="AA353" i="19" s="1"/>
  <c r="X353" i="19" s="1"/>
  <c r="AA331" i="19" a="1"/>
  <c r="AA331" i="19" s="1"/>
  <c r="X331" i="19" s="1"/>
  <c r="AA1506" i="19" a="1"/>
  <c r="AA1506" i="19" s="1"/>
  <c r="X1506" i="19" s="1"/>
  <c r="AA1488" i="19" a="1"/>
  <c r="AA1488" i="19" s="1"/>
  <c r="X1488" i="19" s="1"/>
  <c r="AA2353" i="19" a="1"/>
  <c r="AA2353" i="19" s="1"/>
  <c r="X2353" i="19" s="1"/>
  <c r="AA1707" i="19" a="1"/>
  <c r="AA1707" i="19" s="1"/>
  <c r="X1707" i="19" s="1"/>
  <c r="AA1697" i="19" a="1"/>
  <c r="AA1697" i="19" s="1"/>
  <c r="X1697" i="19" s="1"/>
  <c r="AA1678" i="19" a="1"/>
  <c r="AA1678" i="19" s="1"/>
  <c r="X1678" i="19" s="1"/>
  <c r="AA1669" i="19" a="1"/>
  <c r="AA1669" i="19" s="1"/>
  <c r="X1669" i="19" s="1"/>
  <c r="AA1663" i="19" a="1"/>
  <c r="AA1663" i="19" s="1"/>
  <c r="X1663" i="19" s="1"/>
  <c r="AA1656" i="19" a="1"/>
  <c r="AA1656" i="19" s="1"/>
  <c r="X1656" i="19" s="1"/>
  <c r="AA1692" i="19" a="1"/>
  <c r="AA1692" i="19" s="1"/>
  <c r="X1692" i="19" s="1"/>
  <c r="AA1745" i="19" a="1"/>
  <c r="AA1745" i="19" s="1"/>
  <c r="X1745" i="19" s="1"/>
  <c r="AA1639" i="19" a="1"/>
  <c r="AA1639" i="19" s="1"/>
  <c r="X1639" i="19" s="1"/>
  <c r="AA1631" i="19" a="1"/>
  <c r="AA1631" i="19" s="1"/>
  <c r="X1631" i="19" s="1"/>
  <c r="AA1607" i="19" a="1"/>
  <c r="AA1607" i="19" s="1"/>
  <c r="X1607" i="19" s="1"/>
  <c r="AA1585" i="19" a="1"/>
  <c r="AA1585" i="19" s="1"/>
  <c r="X1585" i="19" s="1"/>
  <c r="AA1566" i="19" a="1"/>
  <c r="AA1566" i="19" s="1"/>
  <c r="X1566" i="19" s="1"/>
  <c r="AA1583" i="19" a="1"/>
  <c r="AA1583" i="19" s="1"/>
  <c r="X1583" i="19" s="1"/>
  <c r="AA1541" i="19" a="1"/>
  <c r="AA1541" i="19" s="1"/>
  <c r="X1541" i="19" s="1"/>
  <c r="AA1525" i="19" a="1"/>
  <c r="AA1525" i="19" s="1"/>
  <c r="X1525" i="19" s="1"/>
  <c r="AA1508" i="19" a="1"/>
  <c r="AA1508" i="19" s="1"/>
  <c r="X1508" i="19" s="1"/>
  <c r="AA1472" i="19" a="1"/>
  <c r="AA1472" i="19" s="1"/>
  <c r="X1472" i="19" s="1"/>
  <c r="AA1494" i="19" a="1"/>
  <c r="AA1494" i="19" s="1"/>
  <c r="X1494" i="19" s="1"/>
  <c r="AA1465" i="19" a="1"/>
  <c r="AA1465" i="19" s="1"/>
  <c r="X1465" i="19" s="1"/>
  <c r="AA1390" i="19" a="1"/>
  <c r="AA1390" i="19" s="1"/>
  <c r="X1390" i="19" s="1"/>
  <c r="AA1462" i="19" a="1"/>
  <c r="AA1462" i="19" s="1"/>
  <c r="X1462" i="19" s="1"/>
  <c r="AA1453" i="19" a="1"/>
  <c r="AA1453" i="19" s="1"/>
  <c r="X1453" i="19" s="1"/>
  <c r="AA1337" i="19" a="1"/>
  <c r="AA1337" i="19" s="1"/>
  <c r="X1337" i="19" s="1"/>
  <c r="AA1347" i="19" a="1"/>
  <c r="AA1347" i="19" s="1"/>
  <c r="X1347" i="19" s="1"/>
  <c r="AA1305" i="19" a="1"/>
  <c r="AA1305" i="19" s="1"/>
  <c r="X1305" i="19" s="1"/>
  <c r="AA1299" i="19" a="1"/>
  <c r="AA1299" i="19" s="1"/>
  <c r="X1299" i="19" s="1"/>
  <c r="AA1262" i="19" a="1"/>
  <c r="AA1262" i="19" s="1"/>
  <c r="X1262" i="19" s="1"/>
  <c r="AA1203" i="19" a="1"/>
  <c r="AA1203" i="19" s="1"/>
  <c r="X1203" i="19" s="1"/>
  <c r="AA1178" i="19" a="1"/>
  <c r="AA1178" i="19" s="1"/>
  <c r="X1178" i="19" s="1"/>
  <c r="AA1143" i="19" a="1"/>
  <c r="AA1143" i="19" s="1"/>
  <c r="X1143" i="19" s="1"/>
  <c r="AA1109" i="19" a="1"/>
  <c r="AA1109" i="19" s="1"/>
  <c r="X1109" i="19" s="1"/>
  <c r="AA1098" i="19" a="1"/>
  <c r="AA1098" i="19" s="1"/>
  <c r="X1098" i="19" s="1"/>
  <c r="AA1084" i="19" a="1"/>
  <c r="AA1084" i="19" s="1"/>
  <c r="X1084" i="19" s="1"/>
  <c r="AA1078" i="19" a="1"/>
  <c r="AA1078" i="19" s="1"/>
  <c r="X1078" i="19" s="1"/>
  <c r="AA1070" i="19" a="1"/>
  <c r="AA1070" i="19" s="1"/>
  <c r="X1070" i="19" s="1"/>
  <c r="AA1062" i="19" a="1"/>
  <c r="AA1062" i="19" s="1"/>
  <c r="X1062" i="19" s="1"/>
  <c r="AA1054" i="19" a="1"/>
  <c r="AA1054" i="19" s="1"/>
  <c r="X1054" i="19" s="1"/>
  <c r="AA752" i="19" a="1"/>
  <c r="AA752" i="19" s="1"/>
  <c r="X752" i="19" s="1"/>
  <c r="AA701" i="19" a="1"/>
  <c r="AA701" i="19" s="1"/>
  <c r="X701" i="19" s="1"/>
  <c r="AA676" i="19" a="1"/>
  <c r="AA676" i="19" s="1"/>
  <c r="X676" i="19" s="1"/>
  <c r="AA629" i="19" a="1"/>
  <c r="AA629" i="19" s="1"/>
  <c r="X629" i="19" s="1"/>
  <c r="AA1479" i="19" a="1"/>
  <c r="AA1479" i="19" s="1"/>
  <c r="X1479" i="19" s="1"/>
  <c r="AA1473" i="19" a="1"/>
  <c r="AA1473" i="19" s="1"/>
  <c r="X1473" i="19" s="1"/>
  <c r="AA1499" i="19" a="1"/>
  <c r="AA1499" i="19" s="1"/>
  <c r="X1499" i="19" s="1"/>
  <c r="AA1446" i="19" a="1"/>
  <c r="AA1446" i="19" s="1"/>
  <c r="X1446" i="19" s="1"/>
  <c r="AA1449" i="19" a="1"/>
  <c r="AA1449" i="19" s="1"/>
  <c r="X1449" i="19" s="1"/>
  <c r="AA1444" i="19" a="1"/>
  <c r="AA1444" i="19" s="1"/>
  <c r="X1444" i="19" s="1"/>
  <c r="AA1439" i="19" a="1"/>
  <c r="AA1439" i="19" s="1"/>
  <c r="X1439" i="19" s="1"/>
  <c r="AA1413" i="19" a="1"/>
  <c r="AA1413" i="19" s="1"/>
  <c r="X1413" i="19" s="1"/>
  <c r="AA1411" i="19" a="1"/>
  <c r="AA1411" i="19" s="1"/>
  <c r="X1411" i="19" s="1"/>
  <c r="AA1397" i="19" a="1"/>
  <c r="AA1397" i="19" s="1"/>
  <c r="X1397" i="19" s="1"/>
  <c r="AA1377" i="19" a="1"/>
  <c r="AA1377" i="19" s="1"/>
  <c r="X1377" i="19" s="1"/>
  <c r="AA1372" i="19" a="1"/>
  <c r="AA1372" i="19" s="1"/>
  <c r="X1372" i="19" s="1"/>
  <c r="AA1375" i="19" a="1"/>
  <c r="AA1375" i="19" s="1"/>
  <c r="X1375" i="19" s="1"/>
  <c r="AA1364" i="19" a="1"/>
  <c r="AA1364" i="19" s="1"/>
  <c r="X1364" i="19" s="1"/>
  <c r="AA1323" i="19" a="1"/>
  <c r="AA1323" i="19" s="1"/>
  <c r="X1323" i="19" s="1"/>
  <c r="AA1321" i="19" a="1"/>
  <c r="AA1321" i="19" s="1"/>
  <c r="X1321" i="19" s="1"/>
  <c r="AA1309" i="19" a="1"/>
  <c r="AA1309" i="19" s="1"/>
  <c r="X1309" i="19" s="1"/>
  <c r="AA1293" i="19" a="1"/>
  <c r="AA1293" i="19" s="1"/>
  <c r="X1293" i="19" s="1"/>
  <c r="AA1275" i="19" a="1"/>
  <c r="AA1275" i="19" s="1"/>
  <c r="X1275" i="19" s="1"/>
  <c r="AA1252" i="19" a="1"/>
  <c r="AA1252" i="19" s="1"/>
  <c r="X1252" i="19" s="1"/>
  <c r="AA1250" i="19" a="1"/>
  <c r="AA1250" i="19" s="1"/>
  <c r="X1250" i="19" s="1"/>
  <c r="AA1257" i="19" a="1"/>
  <c r="AA1257" i="19" s="1"/>
  <c r="X1257" i="19" s="1"/>
  <c r="AA1241" i="19" a="1"/>
  <c r="AA1241" i="19" s="1"/>
  <c r="X1241" i="19" s="1"/>
  <c r="AA1217" i="19" a="1"/>
  <c r="AA1217" i="19" s="1"/>
  <c r="X1217" i="19" s="1"/>
  <c r="AA1214" i="19" a="1"/>
  <c r="AA1214" i="19" s="1"/>
  <c r="X1214" i="19" s="1"/>
  <c r="AA1224" i="19" a="1"/>
  <c r="AA1224" i="19" s="1"/>
  <c r="X1224" i="19" s="1"/>
  <c r="AA1190" i="19" a="1"/>
  <c r="AA1190" i="19" s="1"/>
  <c r="X1190" i="19" s="1"/>
  <c r="AA1171" i="19" a="1"/>
  <c r="AA1171" i="19" s="1"/>
  <c r="X1171" i="19" s="1"/>
  <c r="AA1173" i="19" a="1"/>
  <c r="AA1173" i="19" s="1"/>
  <c r="X1173" i="19" s="1"/>
  <c r="AA1151" i="19" a="1"/>
  <c r="AA1151" i="19" s="1"/>
  <c r="X1151" i="19" s="1"/>
  <c r="AA1148" i="19" a="1"/>
  <c r="AA1148" i="19" s="1"/>
  <c r="X1148" i="19" s="1"/>
  <c r="AA1074" i="19" a="1"/>
  <c r="AA1074" i="19" s="1"/>
  <c r="X1074" i="19" s="1"/>
  <c r="AA1066" i="19" a="1"/>
  <c r="AA1066" i="19" s="1"/>
  <c r="X1066" i="19" s="1"/>
  <c r="AA1048" i="19" a="1"/>
  <c r="AA1048" i="19" s="1"/>
  <c r="X1048" i="19" s="1"/>
  <c r="AA1042" i="19" a="1"/>
  <c r="AA1042" i="19" s="1"/>
  <c r="X1042" i="19" s="1"/>
  <c r="AA1023" i="19" a="1"/>
  <c r="AA1023" i="19" s="1"/>
  <c r="X1023" i="19" s="1"/>
  <c r="AA998" i="19" a="1"/>
  <c r="AA998" i="19" s="1"/>
  <c r="X998" i="19" s="1"/>
  <c r="AA1003" i="19" a="1"/>
  <c r="AA1003" i="19" s="1"/>
  <c r="X1003" i="19" s="1"/>
  <c r="AA1004" i="19" a="1"/>
  <c r="AA1004" i="19" s="1"/>
  <c r="X1004" i="19" s="1"/>
  <c r="AA954" i="19" a="1"/>
  <c r="AA954" i="19" s="1"/>
  <c r="X954" i="19" s="1"/>
  <c r="AA942" i="19" a="1"/>
  <c r="AA942" i="19" s="1"/>
  <c r="X942" i="19" s="1"/>
  <c r="AA929" i="19" a="1"/>
  <c r="AA929" i="19" s="1"/>
  <c r="X929" i="19" s="1"/>
  <c r="AA911" i="19" a="1"/>
  <c r="AA911" i="19" s="1"/>
  <c r="X911" i="19" s="1"/>
  <c r="AA909" i="19" a="1"/>
  <c r="AA909" i="19" s="1"/>
  <c r="X909" i="19" s="1"/>
  <c r="AA903" i="19" a="1"/>
  <c r="AA903" i="19" s="1"/>
  <c r="X903" i="19" s="1"/>
  <c r="AA901" i="19" a="1"/>
  <c r="AA901" i="19" s="1"/>
  <c r="X901" i="19" s="1"/>
  <c r="AA886" i="19" a="1"/>
  <c r="AA886" i="19" s="1"/>
  <c r="X886" i="19" s="1"/>
  <c r="AA880" i="19" a="1"/>
  <c r="AA880" i="19" s="1"/>
  <c r="X880" i="19" s="1"/>
  <c r="AA860" i="19" a="1"/>
  <c r="AA860" i="19" s="1"/>
  <c r="X860" i="19" s="1"/>
  <c r="AA824" i="19" a="1"/>
  <c r="AA824" i="19" s="1"/>
  <c r="X824" i="19" s="1"/>
  <c r="AA798" i="19" a="1"/>
  <c r="AA798" i="19" s="1"/>
  <c r="X798" i="19" s="1"/>
  <c r="AA800" i="19" a="1"/>
  <c r="AA800" i="19" s="1"/>
  <c r="X800" i="19" s="1"/>
  <c r="AA786" i="19" a="1"/>
  <c r="AA786" i="19" s="1"/>
  <c r="X786" i="19" s="1"/>
  <c r="AA749" i="19" a="1"/>
  <c r="AA749" i="19" s="1"/>
  <c r="X749" i="19" s="1"/>
  <c r="AA733" i="19" a="1"/>
  <c r="AA733" i="19" s="1"/>
  <c r="X733" i="19" s="1"/>
  <c r="AA741" i="19" a="1"/>
  <c r="AA741" i="19" s="1"/>
  <c r="X741" i="19" s="1"/>
  <c r="AA727" i="19" a="1"/>
  <c r="AA727" i="19" s="1"/>
  <c r="X727" i="19" s="1"/>
  <c r="AA700" i="19" a="1"/>
  <c r="AA700" i="19" s="1"/>
  <c r="X700" i="19" s="1"/>
  <c r="AA691" i="19" a="1"/>
  <c r="AA691" i="19" s="1"/>
  <c r="X691" i="19" s="1"/>
  <c r="AA715" i="19" a="1"/>
  <c r="AA715" i="19" s="1"/>
  <c r="X715" i="19" s="1"/>
  <c r="AA707" i="19" a="1"/>
  <c r="AA707" i="19" s="1"/>
  <c r="X707" i="19" s="1"/>
  <c r="AA670" i="19" a="1"/>
  <c r="AA670" i="19" s="1"/>
  <c r="X670" i="19" s="1"/>
  <c r="AA657" i="19" a="1"/>
  <c r="AA657" i="19" s="1"/>
  <c r="X657" i="19" s="1"/>
  <c r="AA644" i="19" a="1"/>
  <c r="AA644" i="19" s="1"/>
  <c r="X644" i="19" s="1"/>
  <c r="AA590" i="19" a="1"/>
  <c r="AA590" i="19" s="1"/>
  <c r="X590" i="19" s="1"/>
  <c r="AA550" i="19" a="1"/>
  <c r="AA550" i="19" s="1"/>
  <c r="X550" i="19" s="1"/>
  <c r="AA542" i="19" a="1"/>
  <c r="AA542" i="19" s="1"/>
  <c r="X542" i="19" s="1"/>
  <c r="AA473" i="19" a="1"/>
  <c r="AA473" i="19" s="1"/>
  <c r="X473" i="19" s="1"/>
  <c r="AI467" i="19"/>
  <c r="AA1505" i="19" a="1"/>
  <c r="AA1505" i="19" s="1"/>
  <c r="X1505" i="19" s="1"/>
  <c r="AA1604" i="19" a="1"/>
  <c r="AA1604" i="19" s="1"/>
  <c r="X1604" i="19" s="1"/>
  <c r="AA1593" i="19" a="1"/>
  <c r="AA1593" i="19" s="1"/>
  <c r="X1593" i="19" s="1"/>
  <c r="AA1578" i="19" a="1"/>
  <c r="AA1578" i="19" s="1"/>
  <c r="X1578" i="19" s="1"/>
  <c r="AA1571" i="19" a="1"/>
  <c r="AA1571" i="19" s="1"/>
  <c r="X1571" i="19" s="1"/>
  <c r="AA1524" i="19" a="1"/>
  <c r="AA1524" i="19" s="1"/>
  <c r="X1524" i="19" s="1"/>
  <c r="AA967" i="19" a="1"/>
  <c r="AA967" i="19" s="1"/>
  <c r="X967" i="19" s="1"/>
  <c r="AA1463" i="19" a="1"/>
  <c r="AA1463" i="19" s="1"/>
  <c r="X1463" i="19" s="1"/>
  <c r="AA1438" i="19" a="1"/>
  <c r="AA1438" i="19" s="1"/>
  <c r="X1438" i="19" s="1"/>
  <c r="AA1423" i="19" a="1"/>
  <c r="AA1423" i="19" s="1"/>
  <c r="X1423" i="19" s="1"/>
  <c r="AA1417" i="19" a="1"/>
  <c r="AA1417" i="19" s="1"/>
  <c r="X1417" i="19" s="1"/>
  <c r="AA1404" i="19" a="1"/>
  <c r="AA1404" i="19" s="1"/>
  <c r="X1404" i="19" s="1"/>
  <c r="AA1395" i="19" a="1"/>
  <c r="AA1395" i="19" s="1"/>
  <c r="X1395" i="19" s="1"/>
  <c r="AA1394" i="19" a="1"/>
  <c r="AA1394" i="19" s="1"/>
  <c r="X1394" i="19" s="1"/>
  <c r="AA1496" i="19" a="1"/>
  <c r="AA1496" i="19" s="1"/>
  <c r="X1496" i="19" s="1"/>
  <c r="AA973" i="19" a="1"/>
  <c r="AA973" i="19" s="1"/>
  <c r="X973" i="19" s="1"/>
  <c r="AA1466" i="19" a="1"/>
  <c r="AA1466" i="19" s="1"/>
  <c r="X1466" i="19" s="1"/>
  <c r="AA1468" i="19" a="1"/>
  <c r="AA1468" i="19" s="1"/>
  <c r="X1468" i="19" s="1"/>
  <c r="AA1406" i="19" a="1"/>
  <c r="AA1406" i="19" s="1"/>
  <c r="X1406" i="19" s="1"/>
  <c r="AA1385" i="19" a="1"/>
  <c r="AA1385" i="19" s="1"/>
  <c r="X1385" i="19" s="1"/>
  <c r="AA1331" i="19" a="1"/>
  <c r="AA1331" i="19" s="1"/>
  <c r="X1331" i="19" s="1"/>
  <c r="AA1308" i="19" a="1"/>
  <c r="AA1308" i="19" s="1"/>
  <c r="X1308" i="19" s="1"/>
  <c r="AA1261" i="19" a="1"/>
  <c r="AA1261" i="19" s="1"/>
  <c r="X1261" i="19" s="1"/>
  <c r="AA1230" i="19" a="1"/>
  <c r="AA1230" i="19" s="1"/>
  <c r="X1230" i="19" s="1"/>
  <c r="AA1227" i="19" a="1"/>
  <c r="AA1227" i="19" s="1"/>
  <c r="X1227" i="19" s="1"/>
  <c r="AA1218" i="19" a="1"/>
  <c r="AA1218" i="19" s="1"/>
  <c r="X1218" i="19" s="1"/>
  <c r="AA1162" i="19" a="1"/>
  <c r="AA1162" i="19" s="1"/>
  <c r="X1162" i="19" s="1"/>
  <c r="AA1159" i="19" a="1"/>
  <c r="AA1159" i="19" s="1"/>
  <c r="X1159" i="19" s="1"/>
  <c r="AA1153" i="19" a="1"/>
  <c r="AA1153" i="19" s="1"/>
  <c r="X1153" i="19" s="1"/>
  <c r="AA1103" i="19" a="1"/>
  <c r="AA1103" i="19" s="1"/>
  <c r="X1103" i="19" s="1"/>
  <c r="AA1097" i="19" a="1"/>
  <c r="AA1097" i="19" s="1"/>
  <c r="X1097" i="19" s="1"/>
  <c r="AA1092" i="19" a="1"/>
  <c r="AA1092" i="19" s="1"/>
  <c r="X1092" i="19" s="1"/>
  <c r="AA1077" i="19" a="1"/>
  <c r="AA1077" i="19" s="1"/>
  <c r="X1077" i="19" s="1"/>
  <c r="AA1021" i="19" a="1"/>
  <c r="AA1021" i="19" s="1"/>
  <c r="X1021" i="19" s="1"/>
  <c r="AA1016" i="19" a="1"/>
  <c r="AA1016" i="19" s="1"/>
  <c r="X1016" i="19" s="1"/>
  <c r="AA979" i="19" a="1"/>
  <c r="AA979" i="19" s="1"/>
  <c r="X979" i="19" s="1"/>
  <c r="AA867" i="19" a="1"/>
  <c r="AA867" i="19" s="1"/>
  <c r="X867" i="19" s="1"/>
  <c r="AA864" i="19" a="1"/>
  <c r="AA864" i="19" s="1"/>
  <c r="X864" i="19" s="1"/>
  <c r="AA846" i="19" a="1"/>
  <c r="AA846" i="19" s="1"/>
  <c r="X846" i="19" s="1"/>
  <c r="AA814" i="19" a="1"/>
  <c r="AA814" i="19" s="1"/>
  <c r="X814" i="19" s="1"/>
  <c r="AA776" i="19" a="1"/>
  <c r="AA776" i="19" s="1"/>
  <c r="X776" i="19" s="1"/>
  <c r="AA744" i="19" a="1"/>
  <c r="AA744" i="19" s="1"/>
  <c r="X744" i="19" s="1"/>
  <c r="AA730" i="19" a="1"/>
  <c r="AA730" i="19" s="1"/>
  <c r="X730" i="19" s="1"/>
  <c r="AA648" i="19" a="1"/>
  <c r="AA648" i="19" s="1"/>
  <c r="X648" i="19" s="1"/>
  <c r="AA643" i="19" a="1"/>
  <c r="AA643" i="19" s="1"/>
  <c r="X643" i="19" s="1"/>
  <c r="AA628" i="19" a="1"/>
  <c r="AA628" i="19" s="1"/>
  <c r="X628" i="19" s="1"/>
  <c r="AA619" i="19" a="1"/>
  <c r="AA619" i="19" s="1"/>
  <c r="X619" i="19" s="1"/>
  <c r="AA574" i="19" a="1"/>
  <c r="AA574" i="19" s="1"/>
  <c r="X574" i="19" s="1"/>
  <c r="AA564" i="19" a="1"/>
  <c r="AA564" i="19" s="1"/>
  <c r="X564" i="19" s="1"/>
  <c r="AA546" i="19" a="1"/>
  <c r="AA546" i="19" s="1"/>
  <c r="X546" i="19" s="1"/>
  <c r="AA536" i="19" a="1"/>
  <c r="AA536" i="19" s="1"/>
  <c r="X536" i="19" s="1"/>
  <c r="AA471" i="19" a="1"/>
  <c r="AA471" i="19" s="1"/>
  <c r="X471" i="19" s="1"/>
  <c r="AA454" i="19" a="1"/>
  <c r="AA454" i="19" s="1"/>
  <c r="X454" i="19" s="1"/>
  <c r="AA355" i="19" a="1"/>
  <c r="AA355" i="19" s="1"/>
  <c r="X355" i="19" s="1"/>
  <c r="AA335" i="19" a="1"/>
  <c r="AA335" i="19" s="1"/>
  <c r="X335" i="19" s="1"/>
  <c r="AA338" i="19" a="1"/>
  <c r="AA338" i="19" s="1"/>
  <c r="X338" i="19" s="1"/>
  <c r="AA1842" i="19" a="1"/>
  <c r="AA1842" i="19" s="1"/>
  <c r="X1842" i="19" s="1"/>
  <c r="AA1703" i="19" a="1"/>
  <c r="AA1703" i="19" s="1"/>
  <c r="X1703" i="19" s="1"/>
  <c r="AA1705" i="19" a="1"/>
  <c r="AA1705" i="19" s="1"/>
  <c r="X1705" i="19" s="1"/>
  <c r="AA1681" i="19" a="1"/>
  <c r="AA1681" i="19" s="1"/>
  <c r="X1681" i="19" s="1"/>
  <c r="AA1675" i="19" a="1"/>
  <c r="AA1675" i="19" s="1"/>
  <c r="X1675" i="19" s="1"/>
  <c r="AA1665" i="19" a="1"/>
  <c r="AA1665" i="19" s="1"/>
  <c r="X1665" i="19" s="1"/>
  <c r="AA1652" i="19" a="1"/>
  <c r="AA1652" i="19" s="1"/>
  <c r="X1652" i="19" s="1"/>
  <c r="AA1649" i="19" a="1"/>
  <c r="AA1649" i="19" s="1"/>
  <c r="X1649" i="19" s="1"/>
  <c r="AA1685" i="19" a="1"/>
  <c r="AA1685" i="19" s="1"/>
  <c r="X1685" i="19" s="1"/>
  <c r="AA1752" i="19" a="1"/>
  <c r="AA1752" i="19" s="1"/>
  <c r="X1752" i="19" s="1"/>
  <c r="AA1640" i="19" a="1"/>
  <c r="AA1640" i="19" s="1"/>
  <c r="X1640" i="19" s="1"/>
  <c r="AA1623" i="19" a="1"/>
  <c r="AA1623" i="19" s="1"/>
  <c r="X1623" i="19" s="1"/>
  <c r="AA1609" i="19" a="1"/>
  <c r="AA1609" i="19" s="1"/>
  <c r="X1609" i="19" s="1"/>
  <c r="AA1596" i="19" a="1"/>
  <c r="AA1596" i="19" s="1"/>
  <c r="X1596" i="19" s="1"/>
  <c r="AA1539" i="19" a="1"/>
  <c r="AA1539" i="19" s="1"/>
  <c r="X1539" i="19" s="1"/>
  <c r="AA1549" i="19" a="1"/>
  <c r="AA1549" i="19" s="1"/>
  <c r="X1549" i="19" s="1"/>
  <c r="AA907" i="19" a="1"/>
  <c r="AA907" i="19" s="1"/>
  <c r="X907" i="19" s="1"/>
  <c r="AA902" i="19" a="1"/>
  <c r="AA902" i="19" s="1"/>
  <c r="X902" i="19" s="1"/>
  <c r="AA1498" i="19" a="1"/>
  <c r="AA1498" i="19" s="1"/>
  <c r="X1498" i="19" s="1"/>
  <c r="AA1460" i="19" a="1"/>
  <c r="AA1460" i="19" s="1"/>
  <c r="X1460" i="19" s="1"/>
  <c r="AA1464" i="19" a="1"/>
  <c r="AA1464" i="19" s="1"/>
  <c r="X1464" i="19" s="1"/>
  <c r="AA1432" i="19" a="1"/>
  <c r="AA1432" i="19" s="1"/>
  <c r="X1432" i="19" s="1"/>
  <c r="AA1427" i="19" a="1"/>
  <c r="AA1427" i="19" s="1"/>
  <c r="X1427" i="19" s="1"/>
  <c r="AA1424" i="19" a="1"/>
  <c r="AA1424" i="19" s="1"/>
  <c r="X1424" i="19" s="1"/>
  <c r="AA1401" i="19" a="1"/>
  <c r="AA1401" i="19" s="1"/>
  <c r="X1401" i="19" s="1"/>
  <c r="AA1284" i="19" a="1"/>
  <c r="AA1284" i="19" s="1"/>
  <c r="X1284" i="19" s="1"/>
  <c r="AA1272" i="19" a="1"/>
  <c r="AA1272" i="19" s="1"/>
  <c r="X1272" i="19" s="1"/>
  <c r="AA1234" i="19" a="1"/>
  <c r="AA1234" i="19" s="1"/>
  <c r="X1234" i="19" s="1"/>
  <c r="AA1207" i="19" a="1"/>
  <c r="AA1207" i="19" s="1"/>
  <c r="X1207" i="19" s="1"/>
  <c r="AA1198" i="19" a="1"/>
  <c r="AA1198" i="19" s="1"/>
  <c r="X1198" i="19" s="1"/>
  <c r="AA1527" i="19" a="1"/>
  <c r="AA1527" i="19" s="1"/>
  <c r="X1527" i="19" s="1"/>
  <c r="AA1532" i="19" a="1"/>
  <c r="AA1532" i="19" s="1"/>
  <c r="X1532" i="19" s="1"/>
  <c r="AA969" i="19" a="1"/>
  <c r="AA969" i="19" s="1"/>
  <c r="X969" i="19" s="1"/>
  <c r="AA1441" i="19" a="1"/>
  <c r="AA1441" i="19" s="1"/>
  <c r="X1441" i="19" s="1"/>
  <c r="AA1355" i="19" a="1"/>
  <c r="AA1355" i="19" s="1"/>
  <c r="X1355" i="19" s="1"/>
  <c r="AA1343" i="19" a="1"/>
  <c r="AA1343" i="19" s="1"/>
  <c r="X1343" i="19" s="1"/>
  <c r="AA1333" i="19" a="1"/>
  <c r="AA1333" i="19" s="1"/>
  <c r="X1333" i="19" s="1"/>
  <c r="AA1301" i="19" a="1"/>
  <c r="AA1301" i="19" s="1"/>
  <c r="X1301" i="19" s="1"/>
  <c r="AA1296" i="19" a="1"/>
  <c r="AA1296" i="19" s="1"/>
  <c r="X1296" i="19" s="1"/>
  <c r="AA1277" i="19" a="1"/>
  <c r="AA1277" i="19" s="1"/>
  <c r="X1277" i="19" s="1"/>
  <c r="AA1202" i="19" a="1"/>
  <c r="AA1202" i="19" s="1"/>
  <c r="X1202" i="19" s="1"/>
  <c r="AA1180" i="19" a="1"/>
  <c r="AA1180" i="19" s="1"/>
  <c r="X1180" i="19" s="1"/>
  <c r="AA1168" i="19" a="1"/>
  <c r="AA1168" i="19" s="1"/>
  <c r="X1168" i="19" s="1"/>
  <c r="AA1140" i="19" a="1"/>
  <c r="AA1140" i="19" s="1"/>
  <c r="X1140" i="19" s="1"/>
  <c r="AA1131" i="19" a="1"/>
  <c r="AA1131" i="19" s="1"/>
  <c r="X1131" i="19" s="1"/>
  <c r="AA1121" i="19" a="1"/>
  <c r="AA1121" i="19" s="1"/>
  <c r="X1121" i="19" s="1"/>
  <c r="AA1120" i="19" a="1"/>
  <c r="AA1120" i="19" s="1"/>
  <c r="X1120" i="19" s="1"/>
  <c r="AA1108" i="19" a="1"/>
  <c r="AA1108" i="19" s="1"/>
  <c r="X1108" i="19" s="1"/>
  <c r="AA1099" i="19" a="1"/>
  <c r="AA1099" i="19" s="1"/>
  <c r="X1099" i="19" s="1"/>
  <c r="AA1083" i="19" a="1"/>
  <c r="AA1083" i="19" s="1"/>
  <c r="X1083" i="19" s="1"/>
  <c r="AA1080" i="19" a="1"/>
  <c r="AA1080" i="19" s="1"/>
  <c r="X1080" i="19" s="1"/>
  <c r="AA1069" i="19" a="1"/>
  <c r="AA1069" i="19" s="1"/>
  <c r="X1069" i="19" s="1"/>
  <c r="AA1061" i="19" a="1"/>
  <c r="AA1061" i="19" s="1"/>
  <c r="X1061" i="19" s="1"/>
  <c r="AA1056" i="19" a="1"/>
  <c r="AA1056" i="19" s="1"/>
  <c r="X1056" i="19" s="1"/>
  <c r="AA988" i="19" a="1"/>
  <c r="AA988" i="19" s="1"/>
  <c r="X988" i="19" s="1"/>
  <c r="AA983" i="19" a="1"/>
  <c r="AA983" i="19" s="1"/>
  <c r="X983" i="19" s="1"/>
  <c r="AA961" i="19" a="1"/>
  <c r="AA961" i="19" s="1"/>
  <c r="X961" i="19" s="1"/>
  <c r="AA959" i="19" a="1"/>
  <c r="AA959" i="19" s="1"/>
  <c r="X959" i="19" s="1"/>
  <c r="AA956" i="19" a="1"/>
  <c r="AA956" i="19" s="1"/>
  <c r="X956" i="19" s="1"/>
  <c r="AA924" i="19" a="1"/>
  <c r="AA924" i="19" s="1"/>
  <c r="X924" i="19" s="1"/>
  <c r="AA919" i="19" a="1"/>
  <c r="AA919" i="19" s="1"/>
  <c r="X919" i="19" s="1"/>
  <c r="AA888" i="19" a="1"/>
  <c r="AA888" i="19" s="1"/>
  <c r="X888" i="19" s="1"/>
  <c r="AA854" i="19" a="1"/>
  <c r="AA854" i="19" s="1"/>
  <c r="X854" i="19" s="1"/>
  <c r="AA828" i="19" a="1"/>
  <c r="AA828" i="19" s="1"/>
  <c r="X828" i="19" s="1"/>
  <c r="AA832" i="19" a="1"/>
  <c r="AA832" i="19" s="1"/>
  <c r="X832" i="19" s="1"/>
  <c r="AA793" i="19" a="1"/>
  <c r="AA793" i="19" s="1"/>
  <c r="X793" i="19" s="1"/>
  <c r="AA789" i="19" a="1"/>
  <c r="AA789" i="19" s="1"/>
  <c r="X789" i="19" s="1"/>
  <c r="AA784" i="19" a="1"/>
  <c r="AA784" i="19" s="1"/>
  <c r="X784" i="19" s="1"/>
  <c r="AA765" i="19" a="1"/>
  <c r="AA765" i="19" s="1"/>
  <c r="X765" i="19" s="1"/>
  <c r="AA755" i="19" a="1"/>
  <c r="AA755" i="19" s="1"/>
  <c r="X755" i="19" s="1"/>
  <c r="AA737" i="19" a="1"/>
  <c r="AA737" i="19" s="1"/>
  <c r="X737" i="19" s="1"/>
  <c r="AA688" i="19" a="1"/>
  <c r="AA688" i="19" s="1"/>
  <c r="X688" i="19" s="1"/>
  <c r="AA693" i="19" a="1"/>
  <c r="AA693" i="19" s="1"/>
  <c r="X693" i="19" s="1"/>
  <c r="AA710" i="19" a="1"/>
  <c r="AA710" i="19" s="1"/>
  <c r="X710" i="19" s="1"/>
  <c r="AA711" i="19" a="1"/>
  <c r="AA711" i="19" s="1"/>
  <c r="X711" i="19" s="1"/>
  <c r="AA686" i="19" a="1"/>
  <c r="AA686" i="19" s="1"/>
  <c r="X686" i="19" s="1"/>
  <c r="AA671" i="19" a="1"/>
  <c r="AA671" i="19" s="1"/>
  <c r="X671" i="19" s="1"/>
  <c r="AA664" i="19" a="1"/>
  <c r="AA664" i="19" s="1"/>
  <c r="X664" i="19" s="1"/>
  <c r="AA653" i="19" a="1"/>
  <c r="AA653" i="19" s="1"/>
  <c r="X653" i="19" s="1"/>
  <c r="AA641" i="19" a="1"/>
  <c r="AA641" i="19" s="1"/>
  <c r="X641" i="19" s="1"/>
  <c r="AA594" i="19" a="1"/>
  <c r="AA594" i="19" s="1"/>
  <c r="X594" i="19" s="1"/>
  <c r="AA598" i="19" a="1"/>
  <c r="AA598" i="19" s="1"/>
  <c r="X598" i="19" s="1"/>
  <c r="AA528" i="19" a="1"/>
  <c r="AA528" i="19" s="1"/>
  <c r="X528" i="19" s="1"/>
  <c r="AA531" i="19" a="1"/>
  <c r="AA531" i="19" s="1"/>
  <c r="X531" i="19" s="1"/>
  <c r="AA348" i="19" a="1"/>
  <c r="AA348" i="19" s="1"/>
  <c r="X348" i="19" s="1"/>
  <c r="AA1742" i="19" a="1"/>
  <c r="AA1742" i="19" s="1"/>
  <c r="X1742" i="19" s="1"/>
  <c r="AA1646" i="19" a="1"/>
  <c r="AA1646" i="19" s="1"/>
  <c r="X1646" i="19" s="1"/>
  <c r="AA1601" i="19" a="1"/>
  <c r="AA1601" i="19" s="1"/>
  <c r="X1601" i="19" s="1"/>
  <c r="AA1575" i="19" a="1"/>
  <c r="AA1575" i="19" s="1"/>
  <c r="X1575" i="19" s="1"/>
  <c r="AA1555" i="19" a="1"/>
  <c r="AA1555" i="19" s="1"/>
  <c r="X1555" i="19" s="1"/>
  <c r="AA894" i="19" a="1"/>
  <c r="AA894" i="19" s="1"/>
  <c r="X894" i="19" s="1"/>
  <c r="AA893" i="19" a="1"/>
  <c r="AA893" i="19" s="1"/>
  <c r="X893" i="19" s="1"/>
  <c r="AA875" i="19" a="1"/>
  <c r="AA875" i="19" s="1"/>
  <c r="X875" i="19" s="1"/>
  <c r="AA870" i="19" a="1"/>
  <c r="AA870" i="19" s="1"/>
  <c r="X870" i="19" s="1"/>
  <c r="AA840" i="19" a="1"/>
  <c r="AA840" i="19" s="1"/>
  <c r="X840" i="19" s="1"/>
  <c r="AA833" i="19" a="1"/>
  <c r="AA833" i="19" s="1"/>
  <c r="X833" i="19" s="1"/>
  <c r="AA756" i="19" a="1"/>
  <c r="AA756" i="19" s="1"/>
  <c r="X756" i="19" s="1"/>
  <c r="AA758" i="19" a="1"/>
  <c r="AA758" i="19" s="1"/>
  <c r="X758" i="19" s="1"/>
  <c r="AA746" i="19" a="1"/>
  <c r="AA746" i="19" s="1"/>
  <c r="X746" i="19" s="1"/>
  <c r="AA722" i="19" a="1"/>
  <c r="AA722" i="19" s="1"/>
  <c r="X722" i="19" s="1"/>
  <c r="AA699" i="19" a="1"/>
  <c r="AA699" i="19" s="1"/>
  <c r="X699" i="19" s="1"/>
  <c r="AA704" i="19" a="1"/>
  <c r="AA704" i="19" s="1"/>
  <c r="X704" i="19" s="1"/>
  <c r="AA614" i="19" a="1"/>
  <c r="AA614" i="19" s="1"/>
  <c r="X614" i="19" s="1"/>
  <c r="AA570" i="19" a="1"/>
  <c r="AA570" i="19" s="1"/>
  <c r="X570" i="19" s="1"/>
  <c r="AA560" i="19" a="1"/>
  <c r="AA560" i="19" s="1"/>
  <c r="X560" i="19" s="1"/>
  <c r="AA541" i="19" a="1"/>
  <c r="AA541" i="19" s="1"/>
  <c r="X541" i="19" s="1"/>
  <c r="AA478" i="19" a="1"/>
  <c r="AA478" i="19" s="1"/>
  <c r="X478" i="19" s="1"/>
  <c r="AA485" i="19" a="1"/>
  <c r="AA485" i="19" s="1"/>
  <c r="X485" i="19" s="1"/>
  <c r="AA364" i="19" a="1"/>
  <c r="AA364" i="19" s="1"/>
  <c r="X364" i="19" s="1"/>
  <c r="AA357" i="19" a="1"/>
  <c r="AA357" i="19" s="1"/>
  <c r="X357" i="19" s="1"/>
  <c r="AI336" i="19"/>
  <c r="AI190" i="19"/>
  <c r="AA1843" i="19" a="1"/>
  <c r="AA1843" i="19" s="1"/>
  <c r="X1843" i="19" s="1"/>
  <c r="AA1712" i="19" a="1"/>
  <c r="AA1712" i="19" s="1"/>
  <c r="X1712" i="19" s="1"/>
  <c r="AA1698" i="19" a="1"/>
  <c r="AA1698" i="19" s="1"/>
  <c r="X1698" i="19" s="1"/>
  <c r="AA1679" i="19" a="1"/>
  <c r="AA1679" i="19" s="1"/>
  <c r="X1679" i="19" s="1"/>
  <c r="AA1670" i="19" a="1"/>
  <c r="AA1670" i="19" s="1"/>
  <c r="X1670" i="19" s="1"/>
  <c r="AA1660" i="19" a="1"/>
  <c r="AA1660" i="19" s="1"/>
  <c r="X1660" i="19" s="1"/>
  <c r="AA1655" i="19" a="1"/>
  <c r="AA1655" i="19" s="1"/>
  <c r="X1655" i="19" s="1"/>
  <c r="AA1689" i="19" a="1"/>
  <c r="AA1689" i="19" s="1"/>
  <c r="X1689" i="19" s="1"/>
  <c r="AA1683" i="19" a="1"/>
  <c r="AA1683" i="19" s="1"/>
  <c r="X1683" i="19" s="1"/>
  <c r="AA1643" i="19" a="1"/>
  <c r="AA1643" i="19" s="1"/>
  <c r="X1643" i="19" s="1"/>
  <c r="AA1632" i="19" a="1"/>
  <c r="AA1632" i="19" s="1"/>
  <c r="X1632" i="19" s="1"/>
  <c r="AA1588" i="19" a="1"/>
  <c r="AA1588" i="19" s="1"/>
  <c r="X1588" i="19" s="1"/>
  <c r="AA1581" i="19" a="1"/>
  <c r="AA1581" i="19" s="1"/>
  <c r="X1581" i="19" s="1"/>
  <c r="AA1543" i="19" a="1"/>
  <c r="AA1543" i="19" s="1"/>
  <c r="X1543" i="19" s="1"/>
  <c r="AA1553" i="19" a="1"/>
  <c r="AA1553" i="19" s="1"/>
  <c r="X1553" i="19" s="1"/>
  <c r="AA1559" i="19" a="1"/>
  <c r="AA1559" i="19" s="1"/>
  <c r="X1559" i="19" s="1"/>
  <c r="AA1520" i="19" a="1"/>
  <c r="AA1520" i="19" s="1"/>
  <c r="X1520" i="19" s="1"/>
  <c r="AA1628" i="19" a="1"/>
  <c r="AA1628" i="19" s="1"/>
  <c r="X1628" i="19" s="1"/>
  <c r="AA1629" i="19" a="1"/>
  <c r="AA1629" i="19" s="1"/>
  <c r="X1629" i="19" s="1"/>
  <c r="AI1456" i="19"/>
  <c r="AI1201" i="19"/>
  <c r="AI460" i="19"/>
  <c r="AI663" i="19"/>
  <c r="AI637" i="19"/>
  <c r="AI429" i="19"/>
  <c r="AI259" i="19"/>
  <c r="AI160" i="19"/>
  <c r="AI111" i="19"/>
  <c r="AI1285" i="19"/>
  <c r="AI972" i="19"/>
  <c r="AI569" i="19"/>
  <c r="AI315" i="19"/>
  <c r="AI295" i="19"/>
  <c r="AI290" i="19"/>
  <c r="AI282" i="19"/>
  <c r="AI180" i="19"/>
  <c r="AI108" i="19"/>
  <c r="AI1020" i="19"/>
  <c r="AI400" i="19"/>
  <c r="AI987" i="19"/>
  <c r="AI1006" i="19"/>
  <c r="AI897" i="19"/>
  <c r="AI805" i="19"/>
  <c r="AI250" i="19"/>
  <c r="AI147" i="19"/>
  <c r="AI288" i="19"/>
  <c r="AI185" i="19"/>
  <c r="AI1466" i="19"/>
  <c r="AI677" i="19"/>
  <c r="AI679" i="19"/>
  <c r="AI681" i="19"/>
  <c r="AI397" i="19"/>
  <c r="AI219" i="19"/>
  <c r="AI209" i="19"/>
  <c r="AI81" i="19"/>
  <c r="AI10" i="19"/>
  <c r="AI762" i="19"/>
  <c r="AI733" i="19"/>
  <c r="AI430" i="19"/>
  <c r="AI257" i="19"/>
  <c r="AI83" i="19"/>
  <c r="AI1275" i="19"/>
  <c r="AI996" i="19"/>
  <c r="AI803" i="19"/>
  <c r="AI305" i="19"/>
  <c r="AI277" i="19"/>
  <c r="AI216" i="19"/>
  <c r="AI164" i="19"/>
  <c r="AI857" i="19"/>
  <c r="AI638" i="19"/>
  <c r="AI603" i="19"/>
  <c r="AI486" i="19"/>
  <c r="AI372" i="19"/>
  <c r="AI370" i="19"/>
  <c r="AI283" i="19"/>
  <c r="AI169" i="19"/>
  <c r="AI1202" i="19"/>
  <c r="AI804" i="19"/>
  <c r="AI788" i="19"/>
  <c r="AI263" i="19"/>
  <c r="AI142" i="19"/>
  <c r="AI985" i="19"/>
  <c r="AI1480" i="19"/>
  <c r="AI1351" i="19"/>
  <c r="AI703" i="19"/>
  <c r="AI342" i="19"/>
  <c r="AI1356" i="19"/>
  <c r="AI819" i="19"/>
  <c r="AI1010" i="19"/>
  <c r="AI926" i="19"/>
  <c r="AI366" i="19"/>
  <c r="AI427" i="19"/>
  <c r="AI426" i="19"/>
  <c r="AI369" i="19"/>
  <c r="AI320" i="19"/>
  <c r="AI313" i="19"/>
  <c r="AI306" i="19"/>
  <c r="AI293" i="19"/>
  <c r="AI217" i="19"/>
  <c r="AI184" i="19"/>
  <c r="AI177" i="19"/>
  <c r="AI162" i="19"/>
  <c r="AI62" i="19"/>
  <c r="AI298" i="19"/>
  <c r="AI284" i="19"/>
  <c r="AI272" i="19"/>
  <c r="AI260" i="19"/>
  <c r="AI225" i="19"/>
  <c r="AI197" i="19"/>
  <c r="AI156" i="19"/>
  <c r="AI123" i="19"/>
  <c r="AI80" i="19"/>
  <c r="AI82" i="19"/>
  <c r="AI79" i="19"/>
  <c r="AI60" i="19"/>
  <c r="AI431" i="19"/>
  <c r="AI371" i="19"/>
  <c r="AI307" i="19"/>
  <c r="AI291" i="19"/>
  <c r="AI286" i="19"/>
  <c r="AI221" i="19"/>
  <c r="AI214" i="19"/>
  <c r="AI193" i="19"/>
  <c r="AI182" i="19"/>
  <c r="AI149" i="19"/>
  <c r="AI144" i="19"/>
  <c r="AI114" i="19"/>
  <c r="AI58" i="19"/>
  <c r="AI310" i="19"/>
  <c r="AI297" i="19"/>
  <c r="AI273" i="19"/>
  <c r="AI265" i="19"/>
  <c r="AI227" i="19"/>
  <c r="AI178" i="19"/>
  <c r="AI165" i="19"/>
  <c r="AI155" i="19"/>
  <c r="AI101" i="19"/>
  <c r="AI100" i="19"/>
  <c r="AI303" i="19"/>
  <c r="AI287" i="19"/>
  <c r="AI255" i="19"/>
  <c r="AI211" i="19"/>
  <c r="AI206" i="19"/>
  <c r="AI195" i="19"/>
  <c r="AI151" i="19"/>
  <c r="AI139" i="19"/>
  <c r="AI105" i="19"/>
  <c r="AI102" i="19"/>
  <c r="AI424" i="19"/>
  <c r="AI318" i="19"/>
  <c r="AI311" i="19"/>
  <c r="AI223" i="19"/>
  <c r="AI173" i="19"/>
  <c r="AI158" i="19"/>
  <c r="AI132" i="19"/>
  <c r="AI133" i="19"/>
  <c r="AI126" i="19"/>
  <c r="AI134" i="19"/>
  <c r="AI67" i="19"/>
  <c r="AI433" i="19"/>
  <c r="AI428" i="19"/>
  <c r="AI281" i="19"/>
  <c r="AI264" i="19"/>
  <c r="AI268" i="19"/>
  <c r="AI256" i="19"/>
  <c r="AI208" i="19"/>
  <c r="AI198" i="19"/>
  <c r="AI153" i="19"/>
  <c r="AI143" i="19"/>
  <c r="AI136" i="19"/>
  <c r="AI137" i="19"/>
  <c r="AI124" i="19"/>
  <c r="AI109" i="19"/>
  <c r="AI76" i="19"/>
  <c r="AI74" i="19"/>
  <c r="AI487" i="19"/>
  <c r="AI425" i="19"/>
  <c r="AI321" i="19"/>
  <c r="AI314" i="19"/>
  <c r="AI292" i="19"/>
  <c r="AI218" i="19"/>
  <c r="AI175" i="19"/>
  <c r="AI163" i="19"/>
  <c r="AI122" i="19"/>
  <c r="AI110" i="19"/>
  <c r="AI296" i="19"/>
  <c r="AI275" i="19"/>
  <c r="AI261" i="19"/>
  <c r="AI226" i="19"/>
  <c r="AI203" i="19"/>
  <c r="AI157" i="19"/>
  <c r="AI86" i="19"/>
  <c r="AI308" i="19"/>
  <c r="AI302" i="19"/>
  <c r="AI289" i="19"/>
  <c r="AI254" i="19"/>
  <c r="AI210" i="19"/>
  <c r="AI205" i="19"/>
  <c r="AI192" i="19"/>
  <c r="AI150" i="19"/>
  <c r="AI121" i="19"/>
  <c r="AI115" i="19"/>
  <c r="AI119" i="19"/>
  <c r="AI99" i="19"/>
  <c r="AI98" i="19"/>
  <c r="AI87" i="19"/>
  <c r="AI63" i="19"/>
  <c r="AI432" i="19"/>
  <c r="AI423" i="19"/>
  <c r="AI317" i="19"/>
  <c r="AI309" i="19"/>
  <c r="AI280" i="19"/>
  <c r="AI274" i="19"/>
  <c r="AI228" i="19"/>
  <c r="AI174" i="19"/>
  <c r="AI172" i="19"/>
  <c r="AI159" i="19"/>
  <c r="AI127" i="19"/>
  <c r="AI104" i="19"/>
  <c r="AI103" i="19"/>
  <c r="AI57" i="19"/>
  <c r="AI258" i="19"/>
  <c r="AI212" i="19"/>
  <c r="AI207" i="19"/>
  <c r="AI202" i="19"/>
  <c r="AI194" i="19"/>
  <c r="AI152" i="19"/>
  <c r="AI140" i="19"/>
  <c r="AI131" i="19"/>
  <c r="AI130" i="19"/>
  <c r="AI128" i="19"/>
  <c r="AI24" i="19"/>
  <c r="AI13" i="19"/>
  <c r="AI319" i="19"/>
  <c r="AI312" i="19"/>
  <c r="AI301" i="19"/>
  <c r="AI222" i="19"/>
  <c r="AI171" i="19"/>
  <c r="AI154" i="19"/>
  <c r="AI138" i="19"/>
  <c r="AI135" i="19"/>
  <c r="AI129" i="19"/>
  <c r="AI125" i="19"/>
  <c r="AI50" i="19"/>
  <c r="AK1516" i="19" a="1"/>
  <c r="AK1516" i="19" s="1"/>
  <c r="AI69" i="19"/>
  <c r="AI71" i="19"/>
  <c r="AI37" i="19"/>
  <c r="AI106" i="19"/>
  <c r="AI51" i="19"/>
  <c r="AI28" i="19"/>
  <c r="AI120" i="19"/>
  <c r="AI116" i="19"/>
  <c r="AI77" i="19"/>
  <c r="AI75" i="19"/>
  <c r="AI54" i="19"/>
  <c r="AI14" i="19"/>
  <c r="AI56" i="19"/>
  <c r="AI31" i="19"/>
  <c r="AI34" i="19"/>
  <c r="AI418" i="19"/>
  <c r="AI20" i="19"/>
  <c r="AI1437" i="19"/>
  <c r="AI948" i="19"/>
  <c r="AI1129" i="19"/>
  <c r="AI1071" i="19"/>
  <c r="AI374" i="19"/>
  <c r="AI349" i="19"/>
  <c r="AI18" i="19"/>
  <c r="AI5" i="19"/>
  <c r="AI420" i="19"/>
  <c r="AI36" i="19"/>
  <c r="AI19" i="19"/>
  <c r="AI413" i="19"/>
  <c r="AI412" i="19"/>
  <c r="AI25" i="19"/>
  <c r="AI7" i="19"/>
  <c r="AI4" i="19"/>
  <c r="AH413" i="19"/>
  <c r="AJ413" i="19" s="1"/>
  <c r="AK413" i="19" s="1" a="1"/>
  <c r="AK413" i="19" s="1"/>
  <c r="AH1207" i="19"/>
  <c r="AJ1207" i="19" s="1"/>
  <c r="AK1207" i="19" s="1" a="1"/>
  <c r="AK1207" i="19" s="1"/>
  <c r="AH932" i="19"/>
  <c r="AJ932" i="19" s="1"/>
  <c r="AK932" i="19" s="1" a="1"/>
  <c r="AK932" i="19" s="1"/>
  <c r="AH734" i="19"/>
  <c r="AJ734" i="19" s="1"/>
  <c r="AK734" i="19" s="1" a="1"/>
  <c r="AK734" i="19" s="1"/>
  <c r="AH1371" i="19"/>
  <c r="AJ1371" i="19" s="1"/>
  <c r="AK1371" i="19" s="1" a="1"/>
  <c r="AK1371" i="19" s="1"/>
  <c r="AH1330" i="19"/>
  <c r="AJ1330" i="19" s="1"/>
  <c r="AK1330" i="19" s="1" a="1"/>
  <c r="AK1330" i="19" s="1"/>
  <c r="AH968" i="19"/>
  <c r="AJ968" i="19" s="1"/>
  <c r="AK968" i="19" s="1" a="1"/>
  <c r="AK968" i="19" s="1"/>
  <c r="X17" i="19"/>
  <c r="W71" i="19"/>
  <c r="AJ5" i="19"/>
  <c r="AK5" i="19" s="1" a="1"/>
  <c r="AK5" i="19" s="1"/>
  <c r="AI1501" i="19"/>
  <c r="AH414" i="19"/>
  <c r="AJ414" i="19" s="1"/>
  <c r="AK414" i="19" s="1" a="1"/>
  <c r="AK414" i="19" s="1"/>
  <c r="AI1117" i="19"/>
  <c r="AI1599" i="19"/>
  <c r="AI183" i="19"/>
  <c r="AI95" i="19"/>
  <c r="AI454" i="19"/>
  <c r="AI403" i="19"/>
  <c r="AI97" i="19"/>
  <c r="AI91" i="19"/>
  <c r="AI168" i="19"/>
  <c r="AI332" i="19"/>
  <c r="AI304" i="19"/>
  <c r="AI167" i="19"/>
  <c r="AI1624" i="19"/>
  <c r="AI1583" i="19"/>
  <c r="AI1584" i="19"/>
  <c r="AI1136" i="19"/>
  <c r="AI1577" i="19"/>
  <c r="AI596" i="19"/>
  <c r="AI1572" i="19"/>
  <c r="AI841" i="19"/>
  <c r="AI1573" i="19"/>
  <c r="AH1039" i="19"/>
  <c r="AJ1039" i="19" s="1"/>
  <c r="AK1039" i="19" s="1" a="1"/>
  <c r="AK1039" i="19" s="1"/>
  <c r="AH1177" i="19"/>
  <c r="AJ1177" i="19" s="1"/>
  <c r="AK1177" i="19" s="1" a="1"/>
  <c r="AK1177" i="19" s="1"/>
  <c r="AH1415" i="19"/>
  <c r="AJ1415" i="19" s="1"/>
  <c r="AK1415" i="19" s="1" a="1"/>
  <c r="AK1415" i="19" s="1"/>
  <c r="AH723" i="19"/>
  <c r="AJ723" i="19" s="1"/>
  <c r="AK723" i="19" s="1" a="1"/>
  <c r="AK723" i="19" s="1"/>
  <c r="AH1127" i="19"/>
  <c r="AJ1127" i="19" s="1"/>
  <c r="AK1127" i="19" s="1" a="1"/>
  <c r="AK1127" i="19" s="1"/>
  <c r="AH1214" i="19"/>
  <c r="AJ1214" i="19" s="1"/>
  <c r="AK1214" i="19" s="1" a="1"/>
  <c r="AK1214" i="19" s="1"/>
  <c r="AH686" i="19"/>
  <c r="AJ686" i="19" s="1"/>
  <c r="AK686" i="19" s="1" a="1"/>
  <c r="AK686" i="19" s="1"/>
  <c r="AH1458" i="19"/>
  <c r="AJ1458" i="19" s="1"/>
  <c r="AK1458" i="19" s="1" a="1"/>
  <c r="AK1458" i="19" s="1"/>
  <c r="AH1111" i="19"/>
  <c r="AJ1111" i="19" s="1"/>
  <c r="AK1111" i="19" s="1" a="1"/>
  <c r="AK1111" i="19" s="1"/>
  <c r="AH1036" i="19"/>
  <c r="AJ1036" i="19" s="1"/>
  <c r="AK1036" i="19" s="1" a="1"/>
  <c r="AK1036" i="19" s="1"/>
  <c r="AH1478" i="19"/>
  <c r="AJ1478" i="19" s="1"/>
  <c r="AK1478" i="19" s="1" a="1"/>
  <c r="AK1478" i="19" s="1"/>
  <c r="AH896" i="19"/>
  <c r="AJ896" i="19" s="1"/>
  <c r="AK896" i="19" s="1" a="1"/>
  <c r="AK896" i="19" s="1"/>
  <c r="AH1122" i="19"/>
  <c r="AJ1122" i="19" s="1"/>
  <c r="AK1122" i="19" s="1" a="1"/>
  <c r="AK1122" i="19" s="1"/>
  <c r="AJ396" i="19"/>
  <c r="AK396" i="19" s="1" a="1"/>
  <c r="AK396" i="19" s="1"/>
  <c r="X19" i="19"/>
  <c r="AJ17" i="19"/>
  <c r="AK17" i="19" s="1" a="1"/>
  <c r="AK17" i="19" s="1"/>
  <c r="X67" i="19"/>
  <c r="X41" i="19"/>
  <c r="AJ67" i="19"/>
  <c r="AK67" i="19" s="1" a="1"/>
  <c r="AK67" i="19" s="1"/>
  <c r="AH483" i="19"/>
  <c r="AJ483" i="19" s="1"/>
  <c r="AK483" i="19" s="1" a="1"/>
  <c r="AK483" i="19" s="1"/>
  <c r="AH465" i="19"/>
  <c r="AJ465" i="19" s="1"/>
  <c r="AK465" i="19" s="1" a="1"/>
  <c r="AK465" i="19" s="1"/>
  <c r="AI447" i="19"/>
  <c r="AH364" i="19"/>
  <c r="AJ364" i="19" s="1"/>
  <c r="AK364" i="19" s="1" a="1"/>
  <c r="AK364" i="19" s="1"/>
  <c r="AI248" i="19"/>
  <c r="AI247" i="19"/>
  <c r="AI246" i="19"/>
  <c r="AI245" i="19"/>
  <c r="AI244" i="19"/>
  <c r="AI243" i="19"/>
  <c r="AI242" i="19"/>
  <c r="AI241" i="19"/>
  <c r="AI240" i="19"/>
  <c r="AI239" i="19"/>
  <c r="AI238" i="19"/>
  <c r="AI237" i="19"/>
  <c r="AI236" i="19"/>
  <c r="AI235" i="19"/>
  <c r="AH417" i="19"/>
  <c r="AJ417" i="19" s="1"/>
  <c r="AK417" i="19" s="1" a="1"/>
  <c r="AK417" i="19" s="1"/>
  <c r="AI381" i="19"/>
  <c r="AH361" i="19"/>
  <c r="AJ361" i="19" s="1"/>
  <c r="AK361" i="19" s="1" a="1"/>
  <c r="AK361" i="19" s="1"/>
  <c r="AH360" i="19"/>
  <c r="AJ360" i="19" s="1"/>
  <c r="AK360" i="19" s="1" a="1"/>
  <c r="AK360" i="19" s="1"/>
  <c r="AH359" i="19"/>
  <c r="AJ359" i="19" s="1"/>
  <c r="AK359" i="19" s="1" a="1"/>
  <c r="AK359" i="19" s="1"/>
  <c r="AH358" i="19"/>
  <c r="AJ358" i="19" s="1"/>
  <c r="AK358" i="19" s="1" a="1"/>
  <c r="AK358" i="19" s="1"/>
  <c r="AH357" i="19"/>
  <c r="AJ357" i="19" s="1"/>
  <c r="AK357" i="19" s="1" a="1"/>
  <c r="AK357" i="19" s="1"/>
  <c r="AH356" i="19"/>
  <c r="AJ356" i="19" s="1"/>
  <c r="AK356" i="19" s="1" a="1"/>
  <c r="AK356" i="19" s="1"/>
  <c r="AH355" i="19"/>
  <c r="AJ355" i="19" s="1"/>
  <c r="AK355" i="19" s="1" a="1"/>
  <c r="AK355" i="19" s="1"/>
  <c r="AH354" i="19"/>
  <c r="AJ354" i="19" s="1"/>
  <c r="AK354" i="19" s="1" a="1"/>
  <c r="AK354" i="19" s="1"/>
  <c r="AH353" i="19"/>
  <c r="AJ353" i="19" s="1"/>
  <c r="AK353" i="19" s="1" a="1"/>
  <c r="AK353" i="19" s="1"/>
  <c r="AH352" i="19"/>
  <c r="AJ352" i="19" s="1"/>
  <c r="AK352" i="19" s="1" a="1"/>
  <c r="AK352" i="19" s="1"/>
  <c r="AH351" i="19"/>
  <c r="AJ351" i="19" s="1"/>
  <c r="AK351" i="19" s="1" a="1"/>
  <c r="AK351" i="19" s="1"/>
  <c r="AH350" i="19"/>
  <c r="AJ350" i="19" s="1"/>
  <c r="AK350" i="19" s="1" a="1"/>
  <c r="AK350" i="19" s="1"/>
  <c r="AH339" i="19"/>
  <c r="AJ339" i="19" s="1"/>
  <c r="AK339" i="19" s="1" a="1"/>
  <c r="AK339" i="19" s="1"/>
  <c r="AI323" i="19"/>
  <c r="AD769" i="19"/>
  <c r="AH1501" i="19"/>
  <c r="AJ1501" i="19" s="1"/>
  <c r="AK1501" i="19" s="1" a="1"/>
  <c r="AK1501" i="19" s="1"/>
  <c r="AH1135" i="19"/>
  <c r="AJ1135" i="19" s="1"/>
  <c r="AK1135" i="19" s="1" a="1"/>
  <c r="AK1135" i="19" s="1"/>
  <c r="AH1361" i="19"/>
  <c r="AJ1361" i="19" s="1"/>
  <c r="AK1361" i="19" s="1" a="1"/>
  <c r="AK1361" i="19" s="1"/>
  <c r="AH390" i="19"/>
  <c r="AJ390" i="19" s="1"/>
  <c r="AK390" i="19" s="1" a="1"/>
  <c r="AK390" i="19" s="1"/>
  <c r="AH383" i="19"/>
  <c r="AJ383" i="19" s="1"/>
  <c r="AK383" i="19" s="1" a="1"/>
  <c r="AK383" i="19" s="1"/>
  <c r="AI93" i="19"/>
  <c r="AH421" i="19"/>
  <c r="AJ421" i="19" s="1"/>
  <c r="AK421" i="19" s="1" a="1"/>
  <c r="AK421" i="19" s="1"/>
  <c r="AD1711" i="19"/>
  <c r="AI367" i="19"/>
  <c r="AI365" i="19"/>
  <c r="AI364" i="19"/>
  <c r="AI363" i="19"/>
  <c r="AI362" i="19"/>
  <c r="AH349" i="19"/>
  <c r="AJ349" i="19" s="1"/>
  <c r="AK349" i="19" s="1" a="1"/>
  <c r="AK349" i="19" s="1"/>
  <c r="AH348" i="19"/>
  <c r="AJ348" i="19" s="1"/>
  <c r="AK348" i="19" s="1" a="1"/>
  <c r="AK348" i="19" s="1"/>
  <c r="AH347" i="19"/>
  <c r="AJ347" i="19" s="1"/>
  <c r="AK347" i="19" s="1" a="1"/>
  <c r="AK347" i="19" s="1"/>
  <c r="AI329" i="19"/>
  <c r="AD1581" i="19"/>
  <c r="AD1583" i="19"/>
  <c r="AD1713" i="19"/>
  <c r="AD1573" i="19"/>
  <c r="AF1741" i="19"/>
  <c r="AE1682" i="19"/>
  <c r="AE1628" i="19"/>
  <c r="AE1608" i="19"/>
  <c r="AD1560" i="19"/>
  <c r="AE1583" i="19"/>
  <c r="AI1534" i="19"/>
  <c r="AI1535" i="19"/>
  <c r="AD1538" i="19"/>
  <c r="AH1231" i="19"/>
  <c r="AJ1231" i="19" s="1"/>
  <c r="AK1231" i="19" s="1" a="1"/>
  <c r="AK1231" i="19" s="1"/>
  <c r="AH1168" i="19"/>
  <c r="AJ1168" i="19" s="1"/>
  <c r="AK1168" i="19" s="1" a="1"/>
  <c r="AK1168" i="19" s="1"/>
  <c r="AD1553" i="19"/>
  <c r="AF1542" i="19"/>
  <c r="AD1706" i="19"/>
  <c r="AD1747" i="19"/>
  <c r="AE2340" i="19"/>
  <c r="AD1682" i="19"/>
  <c r="AD1688" i="19"/>
  <c r="AD1566" i="19"/>
  <c r="AD2340" i="19"/>
  <c r="AE1538" i="19"/>
  <c r="AD2350" i="19"/>
  <c r="AE1559" i="19"/>
  <c r="AD2352" i="19"/>
  <c r="AD1613" i="19"/>
  <c r="AD1628" i="19"/>
  <c r="AD1563" i="19"/>
  <c r="AH477" i="19"/>
  <c r="AJ477" i="19" s="1"/>
  <c r="AK477" i="19" s="1" a="1"/>
  <c r="AK477" i="19" s="1"/>
  <c r="AH1261" i="19"/>
  <c r="AJ1261" i="19" s="1"/>
  <c r="AK1261" i="19" s="1" a="1"/>
  <c r="AK1261" i="19" s="1"/>
  <c r="AH965" i="19"/>
  <c r="AJ965" i="19" s="1"/>
  <c r="AK965" i="19" s="1" a="1"/>
  <c r="AK965" i="19" s="1"/>
  <c r="AH1262" i="19"/>
  <c r="AJ1262" i="19" s="1"/>
  <c r="AK1262" i="19" s="1" a="1"/>
  <c r="AK1262" i="19" s="1"/>
  <c r="AH476" i="19"/>
  <c r="AJ476" i="19" s="1"/>
  <c r="AK476" i="19" s="1" a="1"/>
  <c r="AK476" i="19" s="1"/>
  <c r="AH1531" i="19"/>
  <c r="AJ1531" i="19" s="1"/>
  <c r="AK1531" i="19" s="1" a="1"/>
  <c r="AK1531" i="19" s="1"/>
  <c r="AH1320" i="19"/>
  <c r="AJ1320" i="19" s="1"/>
  <c r="AK1320" i="19" s="1" a="1"/>
  <c r="AK1320" i="19" s="1"/>
  <c r="AH1526" i="19"/>
  <c r="AJ1526" i="19" s="1"/>
  <c r="AK1526" i="19" s="1" a="1"/>
  <c r="AK1526" i="19" s="1"/>
  <c r="AH1500" i="19"/>
  <c r="AJ1500" i="19" s="1"/>
  <c r="AK1500" i="19" s="1" a="1"/>
  <c r="AK1500" i="19" s="1"/>
  <c r="AH1134" i="19"/>
  <c r="AJ1134" i="19" s="1"/>
  <c r="AK1134" i="19" s="1" a="1"/>
  <c r="AK1134" i="19" s="1"/>
  <c r="AH1133" i="19"/>
  <c r="AJ1133" i="19" s="1"/>
  <c r="AK1133" i="19" s="1" a="1"/>
  <c r="AK1133" i="19" s="1"/>
  <c r="AH1360" i="19"/>
  <c r="AJ1360" i="19" s="1"/>
  <c r="AK1360" i="19" s="1" a="1"/>
  <c r="AK1360" i="19" s="1"/>
  <c r="AH659" i="19"/>
  <c r="AJ659" i="19" s="1"/>
  <c r="AK659" i="19" s="1" a="1"/>
  <c r="AK659" i="19" s="1"/>
  <c r="AH777" i="19"/>
  <c r="AJ777" i="19" s="1"/>
  <c r="AK777" i="19" s="1" a="1"/>
  <c r="AK777" i="19" s="1"/>
  <c r="AH984" i="19"/>
  <c r="AJ984" i="19" s="1"/>
  <c r="AK984" i="19" s="1" a="1"/>
  <c r="AK984" i="19" s="1"/>
  <c r="AH779" i="19"/>
  <c r="AJ779" i="19" s="1"/>
  <c r="AK779" i="19" s="1" a="1"/>
  <c r="AK779" i="19" s="1"/>
  <c r="X5" i="19"/>
  <c r="AI2353" i="19"/>
  <c r="AI1635" i="19"/>
  <c r="AD1692" i="19"/>
  <c r="AE1707" i="19"/>
  <c r="AE1561" i="19"/>
  <c r="AD1656" i="19"/>
  <c r="AD1644" i="19"/>
  <c r="AD1608" i="19"/>
  <c r="AD1575" i="19"/>
  <c r="AD1550" i="19"/>
  <c r="AE1488" i="19"/>
  <c r="AE1706" i="19"/>
  <c r="AE1694" i="19"/>
  <c r="AE1627" i="19"/>
  <c r="AE1563" i="19"/>
  <c r="AE2341" i="19"/>
  <c r="AE1524" i="19"/>
  <c r="AF1552" i="19"/>
  <c r="AJ19" i="19"/>
  <c r="AK19" i="19" s="1" a="1"/>
  <c r="AK19" i="19" s="1"/>
  <c r="AI15" i="19"/>
  <c r="AI8" i="19"/>
  <c r="AJ3" i="19"/>
  <c r="AK3" i="19" s="1" a="1"/>
  <c r="AK3" i="19" s="1"/>
  <c r="AH420" i="19"/>
  <c r="AJ420" i="19" s="1"/>
  <c r="AK420" i="19" s="1" a="1"/>
  <c r="AK420" i="19" s="1"/>
  <c r="AI1585" i="19"/>
  <c r="AD1839" i="19"/>
  <c r="AD1693" i="19"/>
  <c r="AD1615" i="19"/>
  <c r="AD1540" i="19"/>
  <c r="AE1692" i="19"/>
  <c r="AE1731" i="19"/>
  <c r="AE1592" i="19"/>
  <c r="AF1690" i="19"/>
  <c r="AF1557" i="19"/>
  <c r="AD1627" i="19"/>
  <c r="AD2341" i="19"/>
  <c r="AD1559" i="19"/>
  <c r="AE1839" i="19"/>
  <c r="AE1697" i="19"/>
  <c r="AE1693" i="19"/>
  <c r="AE1584" i="19"/>
  <c r="AF1841" i="19"/>
  <c r="AF1686" i="19"/>
  <c r="AF1600" i="19"/>
  <c r="AD1841" i="19"/>
  <c r="AD1686" i="19"/>
  <c r="AD1614" i="19"/>
  <c r="AD1600" i="19"/>
  <c r="AD1580" i="19"/>
  <c r="AD1544" i="19"/>
  <c r="AE2352" i="19"/>
  <c r="AE1695" i="19"/>
  <c r="AE1688" i="19"/>
  <c r="AE1633" i="19"/>
  <c r="AE1615" i="19"/>
  <c r="AE1578" i="19"/>
  <c r="AE1540" i="19"/>
  <c r="AF1713" i="19"/>
  <c r="AF1613" i="19"/>
  <c r="AF1566" i="19"/>
  <c r="X148" i="19"/>
  <c r="AI26" i="19"/>
  <c r="AH415" i="19"/>
  <c r="AJ415" i="19" s="1"/>
  <c r="AK415" i="19" s="1" a="1"/>
  <c r="AK415" i="19" s="1"/>
  <c r="AI1540" i="19"/>
  <c r="AD1488" i="19"/>
  <c r="AD1697" i="19"/>
  <c r="AD1690" i="19"/>
  <c r="AD1731" i="19"/>
  <c r="AD1584" i="19"/>
  <c r="AD1592" i="19"/>
  <c r="AD1557" i="19"/>
  <c r="AE2353" i="19"/>
  <c r="AE1745" i="19"/>
  <c r="AE1614" i="19"/>
  <c r="AE1587" i="19"/>
  <c r="AE1573" i="19"/>
  <c r="AE1544" i="19"/>
  <c r="AF1747" i="19"/>
  <c r="AF1581" i="19"/>
  <c r="AI1623" i="19"/>
  <c r="AD1707" i="19"/>
  <c r="AD1561" i="19"/>
  <c r="AD1571" i="19"/>
  <c r="AD1552" i="19"/>
  <c r="AE1644" i="19"/>
  <c r="AE1580" i="19"/>
  <c r="AE1553" i="19"/>
  <c r="AF1575" i="19"/>
  <c r="AI1671" i="19"/>
  <c r="AD2353" i="19"/>
  <c r="AD1695" i="19"/>
  <c r="AD1694" i="19"/>
  <c r="AD1745" i="19"/>
  <c r="AD1633" i="19"/>
  <c r="AD1741" i="19"/>
  <c r="AD1587" i="19"/>
  <c r="AD1578" i="19"/>
  <c r="AD1542" i="19"/>
  <c r="AD1524" i="19"/>
  <c r="AE1711" i="19"/>
  <c r="AE1656" i="19"/>
  <c r="AE1560" i="19"/>
  <c r="AE1571" i="19"/>
  <c r="AE1550" i="19"/>
  <c r="AF2350" i="19"/>
  <c r="AJ145" i="19"/>
  <c r="AK145" i="19" s="1" a="1"/>
  <c r="AK145" i="19" s="1"/>
  <c r="X301" i="19"/>
  <c r="AF1715" i="19"/>
  <c r="AE1715" i="19"/>
  <c r="AF1842" i="19"/>
  <c r="AE1842" i="19"/>
  <c r="AD1842" i="19"/>
  <c r="AE1843" i="19"/>
  <c r="AF1843" i="19"/>
  <c r="AF1699" i="19"/>
  <c r="AE1699" i="19"/>
  <c r="AE1712" i="19"/>
  <c r="AF1712" i="19"/>
  <c r="AF1714" i="19"/>
  <c r="AE1714" i="19"/>
  <c r="AF1705" i="19"/>
  <c r="AE1705" i="19"/>
  <c r="AD1705" i="19"/>
  <c r="AF1704" i="19"/>
  <c r="AE1704" i="19"/>
  <c r="AE1698" i="19"/>
  <c r="AF1698" i="19"/>
  <c r="AF1681" i="19"/>
  <c r="AE1681" i="19"/>
  <c r="AD1681" i="19"/>
  <c r="AF1680" i="19"/>
  <c r="AE1680" i="19"/>
  <c r="AF1664" i="19"/>
  <c r="AE1664" i="19"/>
  <c r="AF1659" i="19"/>
  <c r="AE1659" i="19"/>
  <c r="AF1649" i="19"/>
  <c r="AE1649" i="19"/>
  <c r="AD1649" i="19"/>
  <c r="AF1684" i="19"/>
  <c r="AE1684" i="19"/>
  <c r="AE1689" i="19"/>
  <c r="AF1689" i="19"/>
  <c r="AF1691" i="19"/>
  <c r="AE1691" i="19"/>
  <c r="AF1685" i="19"/>
  <c r="AE1685" i="19"/>
  <c r="AD1685" i="19"/>
  <c r="AF1687" i="19"/>
  <c r="AE1687" i="19"/>
  <c r="AE1683" i="19"/>
  <c r="AF1683" i="19"/>
  <c r="AF1746" i="19"/>
  <c r="AE1746" i="19"/>
  <c r="AF1752" i="19"/>
  <c r="AE1752" i="19"/>
  <c r="AD1752" i="19"/>
  <c r="AF1642" i="19"/>
  <c r="AE1642" i="19"/>
  <c r="AF1640" i="19"/>
  <c r="AE1640" i="19"/>
  <c r="AD1640" i="19"/>
  <c r="AF1630" i="19"/>
  <c r="AE1630" i="19"/>
  <c r="AF1623" i="19"/>
  <c r="AE1623" i="19"/>
  <c r="AD1623" i="19"/>
  <c r="AF2351" i="19"/>
  <c r="AE2351" i="19"/>
  <c r="AE1629" i="19"/>
  <c r="AF1629" i="19"/>
  <c r="AF1751" i="19"/>
  <c r="AE1751" i="19"/>
  <c r="AF1730" i="19"/>
  <c r="AE1730" i="19"/>
  <c r="AD1730" i="19"/>
  <c r="AF1743" i="19"/>
  <c r="AE1743" i="19"/>
  <c r="AE1742" i="19"/>
  <c r="AF1742" i="19"/>
  <c r="AF1646" i="19"/>
  <c r="AE1646" i="19"/>
  <c r="AF1588" i="19"/>
  <c r="AE1588" i="19"/>
  <c r="AD1588" i="19"/>
  <c r="AF1568" i="19"/>
  <c r="AE1568" i="19"/>
  <c r="AE1567" i="19"/>
  <c r="AF1567" i="19"/>
  <c r="AF1562" i="19"/>
  <c r="AE1562" i="19"/>
  <c r="AF1565" i="19"/>
  <c r="AE1565" i="19"/>
  <c r="AD1565" i="19"/>
  <c r="AF1564" i="19"/>
  <c r="AE1564" i="19"/>
  <c r="AE1582" i="19"/>
  <c r="AF1582" i="19"/>
  <c r="AF1579" i="19"/>
  <c r="AE1579" i="19"/>
  <c r="AF1577" i="19"/>
  <c r="AE1577" i="19"/>
  <c r="AD1577" i="19"/>
  <c r="AF1576" i="19"/>
  <c r="AE1576" i="19"/>
  <c r="AE1574" i="19"/>
  <c r="AF1574" i="19"/>
  <c r="AF1572" i="19"/>
  <c r="AE1572" i="19"/>
  <c r="AF1570" i="19"/>
  <c r="AE1570" i="19"/>
  <c r="AD1570" i="19"/>
  <c r="AF1569" i="19"/>
  <c r="AE1569" i="19"/>
  <c r="AE1555" i="19"/>
  <c r="AF1555" i="19"/>
  <c r="AF1554" i="19"/>
  <c r="AE1554" i="19"/>
  <c r="AF1591" i="19"/>
  <c r="AE1591" i="19"/>
  <c r="AD1591" i="19"/>
  <c r="AF1543" i="19"/>
  <c r="AE1543" i="19"/>
  <c r="AE1541" i="19"/>
  <c r="AF1541" i="19"/>
  <c r="AF1539" i="19"/>
  <c r="AE1539" i="19"/>
  <c r="AF1537" i="19"/>
  <c r="AE1537" i="19"/>
  <c r="AD1537" i="19"/>
  <c r="AF1549" i="19"/>
  <c r="AE1549" i="19"/>
  <c r="AE1551" i="19"/>
  <c r="AF1551" i="19"/>
  <c r="AF1525" i="19"/>
  <c r="AE1525" i="19"/>
  <c r="AF1523" i="19"/>
  <c r="AE1523" i="19"/>
  <c r="AD1523" i="19"/>
  <c r="AF1522" i="19"/>
  <c r="AE1522" i="19"/>
  <c r="AE1558" i="19"/>
  <c r="AF1558" i="19"/>
  <c r="AF1511" i="19"/>
  <c r="AE1511" i="19"/>
  <c r="AD1511" i="19"/>
  <c r="AD1510" i="19"/>
  <c r="AF1510" i="19"/>
  <c r="AE1512" i="19"/>
  <c r="AD1512" i="19"/>
  <c r="AD1513" i="19"/>
  <c r="AE1513" i="19"/>
  <c r="W1058" i="19"/>
  <c r="AJ43" i="19"/>
  <c r="AK43" i="19" s="1" a="1"/>
  <c r="AK43" i="19" s="1"/>
  <c r="W301" i="19"/>
  <c r="X123" i="19"/>
  <c r="AJ169" i="19"/>
  <c r="AK169" i="19" s="1" a="1"/>
  <c r="AK169" i="19" s="1"/>
  <c r="X43" i="19"/>
  <c r="W1533" i="19"/>
  <c r="AJ18" i="19"/>
  <c r="AK18" i="19" s="1" a="1"/>
  <c r="AK18" i="19" s="1"/>
  <c r="AJ464" i="19"/>
  <c r="AK464" i="19" s="1" a="1"/>
  <c r="AK464" i="19" s="1"/>
  <c r="X396" i="19"/>
  <c r="X231" i="19"/>
  <c r="X71" i="19"/>
  <c r="AJ230" i="19"/>
  <c r="AK230" i="19" s="1" a="1"/>
  <c r="AK230" i="19" s="1"/>
  <c r="AJ66" i="19"/>
  <c r="AK66" i="19" s="1" a="1"/>
  <c r="AK66" i="19" s="1"/>
  <c r="AJ316" i="19"/>
  <c r="AK316" i="19" s="1" a="1"/>
  <c r="AK316" i="19" s="1"/>
  <c r="AJ231" i="19"/>
  <c r="AK231" i="19" s="1" a="1"/>
  <c r="AK231" i="19" s="1"/>
  <c r="X168" i="19"/>
  <c r="X18" i="19"/>
  <c r="AH1321" i="19"/>
  <c r="AJ1321" i="19" s="1"/>
  <c r="AK1321" i="19" s="1" a="1"/>
  <c r="AK1321" i="19" s="1"/>
  <c r="AH735" i="19"/>
  <c r="AJ735" i="19" s="1"/>
  <c r="AK735" i="19" s="1" a="1"/>
  <c r="AK735" i="19" s="1"/>
  <c r="AH933" i="19"/>
  <c r="AJ933" i="19" s="1"/>
  <c r="AK933" i="19" s="1" a="1"/>
  <c r="AK933" i="19" s="1"/>
  <c r="AH1188" i="19"/>
  <c r="AJ1188" i="19" s="1"/>
  <c r="AK1188" i="19" s="1" a="1"/>
  <c r="AK1188" i="19" s="1"/>
  <c r="AH1208" i="19"/>
  <c r="AJ1208" i="19" s="1"/>
  <c r="AK1208" i="19" s="1" a="1"/>
  <c r="AK1208" i="19" s="1"/>
  <c r="AH1169" i="19"/>
  <c r="AJ1169" i="19" s="1"/>
  <c r="AK1169" i="19" s="1" a="1"/>
  <c r="AK1169" i="19" s="1"/>
  <c r="AH1146" i="19"/>
  <c r="AJ1146" i="19" s="1"/>
  <c r="AK1146" i="19" s="1" a="1"/>
  <c r="AK1146" i="19" s="1"/>
  <c r="AH478" i="19"/>
  <c r="AJ478" i="19" s="1"/>
  <c r="AK478" i="19" s="1" a="1"/>
  <c r="AK478" i="19" s="1"/>
  <c r="AH1263" i="19"/>
  <c r="AJ1263" i="19" s="1"/>
  <c r="AK1263" i="19" s="1" a="1"/>
  <c r="AK1263" i="19" s="1"/>
  <c r="AH1532" i="19"/>
  <c r="AJ1532" i="19" s="1"/>
  <c r="AK1532" i="19" s="1" a="1"/>
  <c r="AK1532" i="19" s="1"/>
  <c r="AH475" i="19"/>
  <c r="AJ475" i="19" s="1"/>
  <c r="AK475" i="19" s="1" a="1"/>
  <c r="AK475" i="19" s="1"/>
  <c r="AH1258" i="19"/>
  <c r="AJ1258" i="19" s="1"/>
  <c r="AK1258" i="19" s="1" a="1"/>
  <c r="AK1258" i="19" s="1"/>
  <c r="AH1529" i="19"/>
  <c r="AJ1529" i="19" s="1"/>
  <c r="AK1529" i="19" s="1" a="1"/>
  <c r="AK1529" i="19" s="1"/>
  <c r="AH793" i="19"/>
  <c r="AJ793" i="19" s="1"/>
  <c r="AK793" i="19" s="1" a="1"/>
  <c r="AK793" i="19" s="1"/>
  <c r="AH963" i="19"/>
  <c r="AJ963" i="19" s="1"/>
  <c r="AK963" i="19" s="1" a="1"/>
  <c r="AK963" i="19" s="1"/>
  <c r="AH1299" i="19"/>
  <c r="AJ1299" i="19" s="1"/>
  <c r="AK1299" i="19" s="1" a="1"/>
  <c r="AK1299" i="19" s="1"/>
  <c r="AH1480" i="19"/>
  <c r="AJ1480" i="19" s="1"/>
  <c r="AK1480" i="19" s="1" a="1"/>
  <c r="AK1480" i="19" s="1"/>
  <c r="AH1437" i="19"/>
  <c r="AJ1437" i="19" s="1"/>
  <c r="AK1437" i="19" s="1" a="1"/>
  <c r="AK1437" i="19" s="1"/>
  <c r="AH481" i="19"/>
  <c r="AJ481" i="19" s="1"/>
  <c r="AK481" i="19" s="1" a="1"/>
  <c r="AK481" i="19" s="1"/>
  <c r="AH1112" i="19"/>
  <c r="AJ1112" i="19" s="1"/>
  <c r="AK1112" i="19" s="1" a="1"/>
  <c r="AK1112" i="19" s="1"/>
  <c r="AH1232" i="19"/>
  <c r="AJ1232" i="19" s="1"/>
  <c r="AK1232" i="19" s="1" a="1"/>
  <c r="AK1232" i="19" s="1"/>
  <c r="AH1452" i="19"/>
  <c r="AJ1452" i="19" s="1"/>
  <c r="AK1452" i="19" s="1" a="1"/>
  <c r="AK1452" i="19" s="1"/>
  <c r="AH1461" i="19"/>
  <c r="AJ1461" i="19" s="1"/>
  <c r="AK1461" i="19" s="1" a="1"/>
  <c r="AK1461" i="19" s="1"/>
  <c r="AH665" i="19"/>
  <c r="AJ665" i="19" s="1"/>
  <c r="AK665" i="19" s="1" a="1"/>
  <c r="AK665" i="19" s="1"/>
  <c r="AH855" i="19"/>
  <c r="AJ855" i="19" s="1"/>
  <c r="AK855" i="19" s="1" a="1"/>
  <c r="AK855" i="19" s="1"/>
  <c r="AH934" i="19"/>
  <c r="AJ934" i="19" s="1"/>
  <c r="AK934" i="19" s="1" a="1"/>
  <c r="AK934" i="19" s="1"/>
  <c r="AH988" i="19"/>
  <c r="AJ988" i="19" s="1"/>
  <c r="AK988" i="19" s="1" a="1"/>
  <c r="AK988" i="19" s="1"/>
  <c r="AH1189" i="19"/>
  <c r="AJ1189" i="19" s="1"/>
  <c r="AK1189" i="19" s="1" a="1"/>
  <c r="AK1189" i="19" s="1"/>
  <c r="AH1376" i="19"/>
  <c r="AJ1376" i="19" s="1"/>
  <c r="AK1376" i="19" s="1" a="1"/>
  <c r="AK1376" i="19" s="1"/>
  <c r="AH736" i="19"/>
  <c r="AJ736" i="19" s="1"/>
  <c r="AK736" i="19" s="1" a="1"/>
  <c r="AK736" i="19" s="1"/>
  <c r="AH1209" i="19"/>
  <c r="AJ1209" i="19" s="1"/>
  <c r="AK1209" i="19" s="1" a="1"/>
  <c r="AK1209" i="19" s="1"/>
  <c r="AH1268" i="19"/>
  <c r="AJ1268" i="19" s="1"/>
  <c r="AK1268" i="19" s="1" a="1"/>
  <c r="AK1268" i="19" s="1"/>
  <c r="AH1446" i="19"/>
  <c r="AJ1446" i="19" s="1"/>
  <c r="AK1446" i="19" s="1" a="1"/>
  <c r="AK1446" i="19" s="1"/>
  <c r="AH1170" i="19"/>
  <c r="AJ1170" i="19" s="1"/>
  <c r="AK1170" i="19" s="1" a="1"/>
  <c r="AK1170" i="19" s="1"/>
  <c r="AH1003" i="19"/>
  <c r="AJ1003" i="19" s="1"/>
  <c r="AK1003" i="19" s="1" a="1"/>
  <c r="AK1003" i="19" s="1"/>
  <c r="X320" i="19"/>
  <c r="X191" i="19"/>
  <c r="X122" i="19"/>
  <c r="AI1713" i="19"/>
  <c r="AH1698" i="19"/>
  <c r="AJ1698" i="19" s="1"/>
  <c r="AK1698" i="19" s="1" a="1"/>
  <c r="AK1698" i="19" s="1"/>
  <c r="AH1668" i="19"/>
  <c r="AJ1668" i="19" s="1"/>
  <c r="AK1668" i="19" s="1" a="1"/>
  <c r="AK1668" i="19" s="1"/>
  <c r="AI1666" i="19"/>
  <c r="AI1665" i="19"/>
  <c r="AI1663" i="19"/>
  <c r="AI1657" i="19"/>
  <c r="AH1649" i="19"/>
  <c r="AJ1649" i="19" s="1"/>
  <c r="AK1649" i="19" s="1" a="1"/>
  <c r="AK1649" i="19" s="1"/>
  <c r="AI1692" i="19"/>
  <c r="AI1627" i="19"/>
  <c r="AI1606" i="19"/>
  <c r="AI1602" i="19"/>
  <c r="AI1556" i="19"/>
  <c r="AI1543" i="19"/>
  <c r="AH1524" i="19"/>
  <c r="AJ1524" i="19" s="1"/>
  <c r="AK1524" i="19" s="1" a="1"/>
  <c r="AK1524" i="19" s="1"/>
  <c r="AI846" i="19"/>
  <c r="AI1489" i="19"/>
  <c r="AH1666" i="19"/>
  <c r="AJ1666" i="19" s="1"/>
  <c r="AK1666" i="19" s="1" a="1"/>
  <c r="AK1666" i="19" s="1"/>
  <c r="AH1665" i="19"/>
  <c r="AJ1665" i="19" s="1"/>
  <c r="AK1665" i="19" s="1" a="1"/>
  <c r="AK1665" i="19" s="1"/>
  <c r="AH1663" i="19"/>
  <c r="AJ1663" i="19" s="1"/>
  <c r="AK1663" i="19" s="1" a="1"/>
  <c r="AK1663" i="19" s="1"/>
  <c r="AH1657" i="19"/>
  <c r="AJ1657" i="19" s="1"/>
  <c r="AK1657" i="19" s="1" a="1"/>
  <c r="AK1657" i="19" s="1"/>
  <c r="AH1648" i="19"/>
  <c r="AJ1648" i="19" s="1"/>
  <c r="AK1648" i="19" s="1" a="1"/>
  <c r="AK1648" i="19" s="1"/>
  <c r="AH1638" i="19"/>
  <c r="AJ1638" i="19" s="1"/>
  <c r="AK1638" i="19" s="1" a="1"/>
  <c r="AK1638" i="19" s="1"/>
  <c r="AH1606" i="19"/>
  <c r="AJ1606" i="19" s="1"/>
  <c r="AK1606" i="19" s="1" a="1"/>
  <c r="AK1606" i="19" s="1"/>
  <c r="AH1602" i="19"/>
  <c r="AJ1602" i="19" s="1"/>
  <c r="AK1602" i="19" s="1" a="1"/>
  <c r="AK1602" i="19" s="1"/>
  <c r="AH1556" i="19"/>
  <c r="AJ1556" i="19" s="1"/>
  <c r="AK1556" i="19" s="1" a="1"/>
  <c r="AK1556" i="19" s="1"/>
  <c r="AH1550" i="19"/>
  <c r="AJ1550" i="19" s="1"/>
  <c r="AK1550" i="19" s="1" a="1"/>
  <c r="AK1550" i="19" s="1"/>
  <c r="AH1559" i="19"/>
  <c r="AJ1559" i="19" s="1"/>
  <c r="AK1559" i="19" s="1" a="1"/>
  <c r="AK1559" i="19" s="1"/>
  <c r="AH1617" i="19"/>
  <c r="AJ1617" i="19" s="1"/>
  <c r="AK1617" i="19" s="1" a="1"/>
  <c r="AK1617" i="19" s="1"/>
  <c r="X464" i="19"/>
  <c r="AJ215" i="19"/>
  <c r="AK215" i="19" s="1" a="1"/>
  <c r="AK215" i="19" s="1"/>
  <c r="X44" i="19"/>
  <c r="AJ41" i="19"/>
  <c r="AK41" i="19" s="1" a="1"/>
  <c r="AK41" i="19" s="1"/>
  <c r="X22" i="19"/>
  <c r="AH411" i="19"/>
  <c r="AJ411" i="19" s="1"/>
  <c r="AK411" i="19" s="1" a="1"/>
  <c r="AK411" i="19" s="1"/>
  <c r="AH418" i="19"/>
  <c r="AJ418" i="19" s="1"/>
  <c r="AK418" i="19" s="1" a="1"/>
  <c r="AK418" i="19" s="1"/>
  <c r="AI1842" i="19"/>
  <c r="AH2353" i="19"/>
  <c r="AJ2353" i="19" s="1"/>
  <c r="AK2353" i="19" s="1" a="1"/>
  <c r="AK2353" i="19" s="1"/>
  <c r="AH1685" i="19"/>
  <c r="AJ1685" i="19" s="1"/>
  <c r="AK1685" i="19" s="1" a="1"/>
  <c r="AK1685" i="19" s="1"/>
  <c r="AI1745" i="19"/>
  <c r="AH1625" i="19"/>
  <c r="AJ1625" i="19" s="1"/>
  <c r="AK1625" i="19" s="1" a="1"/>
  <c r="AK1625" i="19" s="1"/>
  <c r="AH1624" i="19"/>
  <c r="AJ1624" i="19" s="1"/>
  <c r="AK1624" i="19" s="1" a="1"/>
  <c r="AK1624" i="19" s="1"/>
  <c r="AI1731" i="19"/>
  <c r="AI1743" i="19"/>
  <c r="AI1615" i="19"/>
  <c r="AH1598" i="19"/>
  <c r="AJ1598" i="19" s="1"/>
  <c r="AK1598" i="19" s="1" a="1"/>
  <c r="AK1598" i="19" s="1"/>
  <c r="AH1593" i="19"/>
  <c r="AJ1593" i="19" s="1"/>
  <c r="AK1593" i="19" s="1" a="1"/>
  <c r="AK1593" i="19" s="1"/>
  <c r="AI1568" i="19"/>
  <c r="AH1561" i="19"/>
  <c r="AJ1561" i="19" s="1"/>
  <c r="AK1561" i="19" s="1" a="1"/>
  <c r="AK1561" i="19" s="1"/>
  <c r="AI1581" i="19"/>
  <c r="AH1577" i="19"/>
  <c r="AJ1577" i="19" s="1"/>
  <c r="AK1577" i="19" s="1" a="1"/>
  <c r="AK1577" i="19" s="1"/>
  <c r="AH1537" i="19"/>
  <c r="AJ1537" i="19" s="1"/>
  <c r="AK1537" i="19" s="1" a="1"/>
  <c r="AK1537" i="19" s="1"/>
  <c r="AI1549" i="19"/>
  <c r="AH1618" i="19"/>
  <c r="AJ1618" i="19" s="1"/>
  <c r="AK1618" i="19" s="1" a="1"/>
  <c r="AK1618" i="19" s="1"/>
  <c r="AI1520" i="19"/>
  <c r="X66" i="19"/>
  <c r="W44" i="19"/>
  <c r="AJ42" i="19"/>
  <c r="AK42" i="19" s="1" a="1"/>
  <c r="AK42" i="19" s="1"/>
  <c r="AH412" i="19"/>
  <c r="AJ412" i="19" s="1"/>
  <c r="AK412" i="19" s="1" a="1"/>
  <c r="AK412" i="19" s="1"/>
  <c r="AI1839" i="19"/>
  <c r="AH1702" i="19"/>
  <c r="AJ1702" i="19" s="1"/>
  <c r="AK1702" i="19" s="1" a="1"/>
  <c r="AK1702" i="19" s="1"/>
  <c r="AH1711" i="19"/>
  <c r="AJ1711" i="19" s="1"/>
  <c r="AK1711" i="19" s="1" a="1"/>
  <c r="AK1711" i="19" s="1"/>
  <c r="AH1693" i="19"/>
  <c r="AJ1693" i="19" s="1"/>
  <c r="AK1693" i="19" s="1" a="1"/>
  <c r="AK1693" i="19" s="1"/>
  <c r="AH1745" i="19"/>
  <c r="AJ1745" i="19" s="1"/>
  <c r="AK1745" i="19" s="1" a="1"/>
  <c r="AK1745" i="19" s="1"/>
  <c r="AI1604" i="19"/>
  <c r="AH1594" i="19"/>
  <c r="AJ1594" i="19" s="1"/>
  <c r="AK1594" i="19" s="1" a="1"/>
  <c r="AK1594" i="19" s="1"/>
  <c r="AH1590" i="19"/>
  <c r="AJ1590" i="19" s="1"/>
  <c r="AK1590" i="19" s="1" a="1"/>
  <c r="AK1590" i="19" s="1"/>
  <c r="AH1549" i="19"/>
  <c r="AJ1549" i="19" s="1"/>
  <c r="AK1549" i="19" s="1" a="1"/>
  <c r="AK1549" i="19" s="1"/>
  <c r="AI1557" i="19"/>
  <c r="AI1508" i="19"/>
  <c r="AH1520" i="19"/>
  <c r="AJ1520" i="19" s="1"/>
  <c r="AK1520" i="19" s="1" a="1"/>
  <c r="AK1520" i="19" s="1"/>
  <c r="X3" i="19"/>
  <c r="AI1715" i="19"/>
  <c r="AI1843" i="19"/>
  <c r="AI1703" i="19"/>
  <c r="AH1705" i="19"/>
  <c r="AJ1705" i="19" s="1"/>
  <c r="AK1705" i="19" s="1" a="1"/>
  <c r="AK1705" i="19" s="1"/>
  <c r="AH1697" i="19"/>
  <c r="AJ1697" i="19" s="1"/>
  <c r="AK1697" i="19" s="1" a="1"/>
  <c r="AK1697" i="19" s="1"/>
  <c r="AI1678" i="19"/>
  <c r="AH1662" i="19"/>
  <c r="AJ1662" i="19" s="1"/>
  <c r="AK1662" i="19" s="1" a="1"/>
  <c r="AK1662" i="19" s="1"/>
  <c r="AI1689" i="19"/>
  <c r="AH1644" i="19"/>
  <c r="AJ1644" i="19" s="1"/>
  <c r="AK1644" i="19" s="1" a="1"/>
  <c r="AK1644" i="19" s="1"/>
  <c r="AI1632" i="19"/>
  <c r="AH1604" i="19"/>
  <c r="AJ1604" i="19" s="1"/>
  <c r="AK1604" i="19" s="1" a="1"/>
  <c r="AK1604" i="19" s="1"/>
  <c r="AH1597" i="19"/>
  <c r="AJ1597" i="19" s="1"/>
  <c r="AK1597" i="19" s="1" a="1"/>
  <c r="AK1597" i="19" s="1"/>
  <c r="AI1541" i="19"/>
  <c r="W1244" i="19"/>
  <c r="X23" i="19"/>
  <c r="AH1519" i="19"/>
  <c r="AJ1519" i="19" s="1"/>
  <c r="AK1519" i="19" s="1" a="1"/>
  <c r="AK1519" i="19" s="1"/>
  <c r="AH1544" i="19"/>
  <c r="AJ1544" i="19" s="1"/>
  <c r="AK1544" i="19" s="1" a="1"/>
  <c r="AK1544" i="19" s="1"/>
  <c r="AH2340" i="19"/>
  <c r="AJ2340" i="19" s="1"/>
  <c r="AK2340" i="19" s="1" a="1"/>
  <c r="AK2340" i="19" s="1"/>
  <c r="AH1571" i="19"/>
  <c r="AJ1571" i="19" s="1"/>
  <c r="AK1571" i="19" s="1" a="1"/>
  <c r="AK1571" i="19" s="1"/>
  <c r="AH1572" i="19"/>
  <c r="AJ1572" i="19" s="1"/>
  <c r="AK1572" i="19" s="1" a="1"/>
  <c r="AK1572" i="19" s="1"/>
  <c r="AH1579" i="19"/>
  <c r="AJ1579" i="19" s="1"/>
  <c r="AK1579" i="19" s="1" a="1"/>
  <c r="AK1579" i="19" s="1"/>
  <c r="AH1564" i="19"/>
  <c r="AJ1564" i="19" s="1"/>
  <c r="AK1564" i="19" s="1" a="1"/>
  <c r="AK1564" i="19" s="1"/>
  <c r="AH1588" i="19"/>
  <c r="AJ1588" i="19" s="1"/>
  <c r="AK1588" i="19" s="1" a="1"/>
  <c r="AK1588" i="19" s="1"/>
  <c r="AH1596" i="19"/>
  <c r="AJ1596" i="19" s="1"/>
  <c r="AK1596" i="19" s="1" a="1"/>
  <c r="AK1596" i="19" s="1"/>
  <c r="AH1609" i="19"/>
  <c r="AJ1609" i="19" s="1"/>
  <c r="AK1609" i="19" s="1" a="1"/>
  <c r="AK1609" i="19" s="1"/>
  <c r="AH1611" i="19"/>
  <c r="AJ1611" i="19" s="1"/>
  <c r="AK1611" i="19" s="1" a="1"/>
  <c r="AK1611" i="19" s="1"/>
  <c r="AH1614" i="19"/>
  <c r="AJ1614" i="19" s="1"/>
  <c r="AK1614" i="19" s="1" a="1"/>
  <c r="AK1614" i="19" s="1"/>
  <c r="AH1646" i="19"/>
  <c r="AJ1646" i="19" s="1"/>
  <c r="AK1646" i="19" s="1" a="1"/>
  <c r="AK1646" i="19" s="1"/>
  <c r="AH1608" i="19"/>
  <c r="AJ1608" i="19" s="1"/>
  <c r="AK1608" i="19" s="1" a="1"/>
  <c r="AK1608" i="19" s="1"/>
  <c r="AH1741" i="19"/>
  <c r="AJ1741" i="19" s="1"/>
  <c r="AK1741" i="19" s="1" a="1"/>
  <c r="AK1741" i="19" s="1"/>
  <c r="AH1628" i="19"/>
  <c r="AJ1628" i="19" s="1"/>
  <c r="AK1628" i="19" s="1" a="1"/>
  <c r="AK1628" i="19" s="1"/>
  <c r="AH2350" i="19"/>
  <c r="AJ2350" i="19" s="1"/>
  <c r="AK2350" i="19" s="1" a="1"/>
  <c r="AK2350" i="19" s="1"/>
  <c r="AH1631" i="19"/>
  <c r="AJ1631" i="19" s="1"/>
  <c r="AK1631" i="19" s="1" a="1"/>
  <c r="AK1631" i="19" s="1"/>
  <c r="AH1641" i="19"/>
  <c r="AJ1641" i="19" s="1"/>
  <c r="AK1641" i="19" s="1" a="1"/>
  <c r="AK1641" i="19" s="1"/>
  <c r="AH1642" i="19"/>
  <c r="AJ1642" i="19" s="1"/>
  <c r="AK1642" i="19" s="1" a="1"/>
  <c r="AK1642" i="19" s="1"/>
  <c r="AH1690" i="19"/>
  <c r="AJ1690" i="19" s="1"/>
  <c r="AK1690" i="19" s="1" a="1"/>
  <c r="AK1690" i="19" s="1"/>
  <c r="AH1674" i="19"/>
  <c r="AJ1674" i="19" s="1"/>
  <c r="AK1674" i="19" s="1" a="1"/>
  <c r="AK1674" i="19" s="1"/>
  <c r="AH1675" i="19"/>
  <c r="AJ1675" i="19" s="1"/>
  <c r="AK1675" i="19" s="1" a="1"/>
  <c r="AK1675" i="19" s="1"/>
  <c r="AH1676" i="19"/>
  <c r="AJ1676" i="19" s="1"/>
  <c r="AK1676" i="19" s="1" a="1"/>
  <c r="AK1676" i="19" s="1"/>
  <c r="AH1672" i="19"/>
  <c r="AJ1672" i="19" s="1"/>
  <c r="AK1672" i="19" s="1" a="1"/>
  <c r="AK1672" i="19" s="1"/>
  <c r="AH1695" i="19"/>
  <c r="AJ1695" i="19" s="1"/>
  <c r="AK1695" i="19" s="1" a="1"/>
  <c r="AK1695" i="19" s="1"/>
  <c r="AH1706" i="19"/>
  <c r="AJ1706" i="19" s="1"/>
  <c r="AK1706" i="19" s="1" a="1"/>
  <c r="AK1706" i="19" s="1"/>
  <c r="AH1512" i="19"/>
  <c r="AJ1512" i="19" s="1"/>
  <c r="AK1512" i="19" s="1" a="1"/>
  <c r="AK1512" i="19" s="1"/>
  <c r="AH1522" i="19"/>
  <c r="AJ1522" i="19" s="1"/>
  <c r="AK1522" i="19" s="1" a="1"/>
  <c r="AK1522" i="19" s="1"/>
  <c r="AH1539" i="19"/>
  <c r="AJ1539" i="19" s="1"/>
  <c r="AK1539" i="19" s="1" a="1"/>
  <c r="AK1539" i="19" s="1"/>
  <c r="AH1542" i="19"/>
  <c r="AJ1542" i="19" s="1"/>
  <c r="AK1542" i="19" s="1" a="1"/>
  <c r="AK1542" i="19" s="1"/>
  <c r="AH1573" i="19"/>
  <c r="AJ1573" i="19" s="1"/>
  <c r="AK1573" i="19" s="1" a="1"/>
  <c r="AK1573" i="19" s="1"/>
  <c r="AH1566" i="19"/>
  <c r="AJ1566" i="19" s="1"/>
  <c r="AK1566" i="19" s="1" a="1"/>
  <c r="AK1566" i="19" s="1"/>
  <c r="AH1586" i="19"/>
  <c r="AJ1586" i="19" s="1"/>
  <c r="AK1586" i="19" s="1" a="1"/>
  <c r="AK1586" i="19" s="1"/>
  <c r="AH1751" i="19"/>
  <c r="AJ1751" i="19" s="1"/>
  <c r="AK1751" i="19" s="1" a="1"/>
  <c r="AK1751" i="19" s="1"/>
  <c r="AH1634" i="19"/>
  <c r="AJ1634" i="19" s="1"/>
  <c r="AK1634" i="19" s="1" a="1"/>
  <c r="AK1634" i="19" s="1"/>
  <c r="AH1688" i="19"/>
  <c r="AJ1688" i="19" s="1"/>
  <c r="AK1688" i="19" s="1" a="1"/>
  <c r="AK1688" i="19" s="1"/>
  <c r="AH1691" i="19"/>
  <c r="AJ1691" i="19" s="1"/>
  <c r="AK1691" i="19" s="1" a="1"/>
  <c r="AK1691" i="19" s="1"/>
  <c r="AH1694" i="19"/>
  <c r="AJ1694" i="19" s="1"/>
  <c r="AK1694" i="19" s="1" a="1"/>
  <c r="AK1694" i="19" s="1"/>
  <c r="AH1654" i="19"/>
  <c r="AJ1654" i="19" s="1"/>
  <c r="AK1654" i="19" s="1" a="1"/>
  <c r="AK1654" i="19" s="1"/>
  <c r="AH1673" i="19"/>
  <c r="AJ1673" i="19" s="1"/>
  <c r="AK1673" i="19" s="1" a="1"/>
  <c r="AK1673" i="19" s="1"/>
  <c r="AH1669" i="19"/>
  <c r="AJ1669" i="19" s="1"/>
  <c r="AK1669" i="19" s="1" a="1"/>
  <c r="AK1669" i="19" s="1"/>
  <c r="AH1670" i="19"/>
  <c r="AJ1670" i="19" s="1"/>
  <c r="AK1670" i="19" s="1" a="1"/>
  <c r="AK1670" i="19" s="1"/>
  <c r="AH1714" i="19"/>
  <c r="AJ1714" i="19" s="1"/>
  <c r="AK1714" i="19" s="1" a="1"/>
  <c r="AK1714" i="19" s="1"/>
  <c r="AH1699" i="19"/>
  <c r="AJ1699" i="19" s="1"/>
  <c r="AK1699" i="19" s="1" a="1"/>
  <c r="AK1699" i="19" s="1"/>
  <c r="AH1517" i="19"/>
  <c r="AJ1517" i="19" s="1"/>
  <c r="AK1517" i="19" s="1" a="1"/>
  <c r="AK1517" i="19" s="1"/>
  <c r="AH1509" i="19"/>
  <c r="AJ1509" i="19" s="1"/>
  <c r="AK1509" i="19" s="1" a="1"/>
  <c r="AK1509" i="19" s="1"/>
  <c r="AH1510" i="19"/>
  <c r="AJ1510" i="19" s="1"/>
  <c r="AK1510" i="19" s="1" a="1"/>
  <c r="AK1510" i="19" s="1"/>
  <c r="AH1538" i="19"/>
  <c r="AJ1538" i="19" s="1"/>
  <c r="AK1538" i="19" s="1" a="1"/>
  <c r="AK1538" i="19" s="1"/>
  <c r="AH1591" i="19"/>
  <c r="AJ1591" i="19" s="1"/>
  <c r="AK1591" i="19" s="1" a="1"/>
  <c r="AK1591" i="19" s="1"/>
  <c r="AH1554" i="19"/>
  <c r="AJ1554" i="19" s="1"/>
  <c r="AK1554" i="19" s="1" a="1"/>
  <c r="AK1554" i="19" s="1"/>
  <c r="AH1576" i="19"/>
  <c r="AJ1576" i="19" s="1"/>
  <c r="AK1576" i="19" s="1" a="1"/>
  <c r="AK1576" i="19" s="1"/>
  <c r="AH1582" i="19"/>
  <c r="AJ1582" i="19" s="1"/>
  <c r="AK1582" i="19" s="1" a="1"/>
  <c r="AK1582" i="19" s="1"/>
  <c r="AH1603" i="19"/>
  <c r="AJ1603" i="19" s="1"/>
  <c r="AK1603" i="19" s="1" a="1"/>
  <c r="AK1603" i="19" s="1"/>
  <c r="AH1607" i="19"/>
  <c r="AJ1607" i="19" s="1"/>
  <c r="AK1607" i="19" s="1" a="1"/>
  <c r="AK1607" i="19" s="1"/>
  <c r="AH1605" i="19"/>
  <c r="AJ1605" i="19" s="1"/>
  <c r="AK1605" i="19" s="1" a="1"/>
  <c r="AK1605" i="19" s="1"/>
  <c r="AH1612" i="19"/>
  <c r="AJ1612" i="19" s="1"/>
  <c r="AK1612" i="19" s="1" a="1"/>
  <c r="AK1612" i="19" s="1"/>
  <c r="AH1633" i="19"/>
  <c r="AJ1633" i="19" s="1"/>
  <c r="AK1633" i="19" s="1" a="1"/>
  <c r="AK1633" i="19" s="1"/>
  <c r="AH1643" i="19"/>
  <c r="AJ1643" i="19" s="1"/>
  <c r="AK1643" i="19" s="1" a="1"/>
  <c r="AK1643" i="19" s="1"/>
  <c r="AH1746" i="19"/>
  <c r="AJ1746" i="19" s="1"/>
  <c r="AK1746" i="19" s="1" a="1"/>
  <c r="AK1746" i="19" s="1"/>
  <c r="AH1656" i="19"/>
  <c r="AJ1656" i="19" s="1"/>
  <c r="AK1656" i="19" s="1" a="1"/>
  <c r="AK1656" i="19" s="1"/>
  <c r="AH1655" i="19"/>
  <c r="AJ1655" i="19" s="1"/>
  <c r="AK1655" i="19" s="1" a="1"/>
  <c r="AK1655" i="19" s="1"/>
  <c r="AH1664" i="19"/>
  <c r="AJ1664" i="19" s="1"/>
  <c r="AK1664" i="19" s="1" a="1"/>
  <c r="AK1664" i="19" s="1"/>
  <c r="AH1677" i="19"/>
  <c r="AJ1677" i="19" s="1"/>
  <c r="AK1677" i="19" s="1" a="1"/>
  <c r="AK1677" i="19" s="1"/>
  <c r="AH1680" i="19"/>
  <c r="AJ1680" i="19" s="1"/>
  <c r="AK1680" i="19" s="1" a="1"/>
  <c r="AK1680" i="19" s="1"/>
  <c r="AH1747" i="19"/>
  <c r="AJ1747" i="19" s="1"/>
  <c r="AK1747" i="19" s="1" a="1"/>
  <c r="AK1747" i="19" s="1"/>
  <c r="AH1712" i="19"/>
  <c r="AJ1712" i="19" s="1"/>
  <c r="AK1712" i="19" s="1" a="1"/>
  <c r="AK1712" i="19" s="1"/>
  <c r="AH2352" i="19"/>
  <c r="AJ2352" i="19" s="1"/>
  <c r="AK2352" i="19" s="1" a="1"/>
  <c r="AK2352" i="19" s="1"/>
  <c r="AH1841" i="19"/>
  <c r="AJ1841" i="19" s="1"/>
  <c r="AK1841" i="19" s="1" a="1"/>
  <c r="AK1841" i="19" s="1"/>
  <c r="AH1521" i="19"/>
  <c r="AJ1521" i="19" s="1"/>
  <c r="AK1521" i="19" s="1" a="1"/>
  <c r="AK1521" i="19" s="1"/>
  <c r="AH1513" i="19"/>
  <c r="AJ1513" i="19" s="1"/>
  <c r="AK1513" i="19" s="1" a="1"/>
  <c r="AK1513" i="19" s="1"/>
  <c r="AH1558" i="19"/>
  <c r="AJ1558" i="19" s="1"/>
  <c r="AK1558" i="19" s="1" a="1"/>
  <c r="AK1558" i="19" s="1"/>
  <c r="AH1525" i="19"/>
  <c r="AJ1525" i="19" s="1"/>
  <c r="AK1525" i="19" s="1" a="1"/>
  <c r="AK1525" i="19" s="1"/>
  <c r="AH1553" i="19"/>
  <c r="AJ1553" i="19" s="1"/>
  <c r="AK1553" i="19" s="1" a="1"/>
  <c r="AK1553" i="19" s="1"/>
  <c r="AH1552" i="19"/>
  <c r="AJ1552" i="19" s="1"/>
  <c r="AK1552" i="19" s="1" a="1"/>
  <c r="AK1552" i="19" s="1"/>
  <c r="AH1555" i="19"/>
  <c r="AJ1555" i="19" s="1"/>
  <c r="AK1555" i="19" s="1" a="1"/>
  <c r="AK1555" i="19" s="1"/>
  <c r="AH1569" i="19"/>
  <c r="AJ1569" i="19" s="1"/>
  <c r="AK1569" i="19" s="1" a="1"/>
  <c r="AK1569" i="19" s="1"/>
  <c r="AH1565" i="19"/>
  <c r="AJ1565" i="19" s="1"/>
  <c r="AK1565" i="19" s="1" a="1"/>
  <c r="AK1565" i="19" s="1"/>
  <c r="AH1563" i="19"/>
  <c r="AJ1563" i="19" s="1"/>
  <c r="AK1563" i="19" s="1" a="1"/>
  <c r="AK1563" i="19" s="1"/>
  <c r="AH1562" i="19"/>
  <c r="AJ1562" i="19" s="1"/>
  <c r="AK1562" i="19" s="1" a="1"/>
  <c r="AK1562" i="19" s="1"/>
  <c r="AH1560" i="19"/>
  <c r="AJ1560" i="19" s="1"/>
  <c r="AK1560" i="19" s="1" a="1"/>
  <c r="AK1560" i="19" s="1"/>
  <c r="AH1589" i="19"/>
  <c r="AJ1589" i="19" s="1"/>
  <c r="AK1589" i="19" s="1" a="1"/>
  <c r="AK1589" i="19" s="1"/>
  <c r="AH1587" i="19"/>
  <c r="AJ1587" i="19" s="1"/>
  <c r="AK1587" i="19" s="1" a="1"/>
  <c r="AK1587" i="19" s="1"/>
  <c r="AH1595" i="19"/>
  <c r="AJ1595" i="19" s="1"/>
  <c r="AK1595" i="19" s="1" a="1"/>
  <c r="AK1595" i="19" s="1"/>
  <c r="AH1636" i="19"/>
  <c r="AJ1636" i="19" s="1"/>
  <c r="AK1636" i="19" s="1" a="1"/>
  <c r="AK1636" i="19" s="1"/>
  <c r="AH1752" i="19"/>
  <c r="AJ1752" i="19" s="1"/>
  <c r="AK1752" i="19" s="1" a="1"/>
  <c r="AK1752" i="19" s="1"/>
  <c r="AH1687" i="19"/>
  <c r="AJ1687" i="19" s="1"/>
  <c r="AK1687" i="19" s="1" a="1"/>
  <c r="AK1687" i="19" s="1"/>
  <c r="AH1647" i="19"/>
  <c r="AJ1647" i="19" s="1"/>
  <c r="AK1647" i="19" s="1" a="1"/>
  <c r="AK1647" i="19" s="1"/>
  <c r="AH1652" i="19"/>
  <c r="AJ1652" i="19" s="1"/>
  <c r="AK1652" i="19" s="1" a="1"/>
  <c r="AK1652" i="19" s="1"/>
  <c r="AH1658" i="19"/>
  <c r="AJ1658" i="19" s="1"/>
  <c r="AK1658" i="19" s="1" a="1"/>
  <c r="AK1658" i="19" s="1"/>
  <c r="AH1659" i="19"/>
  <c r="AJ1659" i="19" s="1"/>
  <c r="AK1659" i="19" s="1" a="1"/>
  <c r="AK1659" i="19" s="1"/>
  <c r="AH1679" i="19"/>
  <c r="AJ1679" i="19" s="1"/>
  <c r="AK1679" i="19" s="1" a="1"/>
  <c r="AK1679" i="19" s="1"/>
  <c r="AH1682" i="19"/>
  <c r="AJ1682" i="19" s="1"/>
  <c r="AK1682" i="19" s="1" a="1"/>
  <c r="AK1682" i="19" s="1"/>
  <c r="AH1701" i="19"/>
  <c r="AJ1701" i="19" s="1"/>
  <c r="AK1701" i="19" s="1" a="1"/>
  <c r="AK1701" i="19" s="1"/>
  <c r="AH1523" i="19"/>
  <c r="AJ1523" i="19" s="1"/>
  <c r="AK1523" i="19" s="1" a="1"/>
  <c r="AK1523" i="19" s="1"/>
  <c r="AH1580" i="19"/>
  <c r="AJ1580" i="19" s="1"/>
  <c r="AK1580" i="19" s="1" a="1"/>
  <c r="AK1580" i="19" s="1"/>
  <c r="AH1574" i="19"/>
  <c r="AJ1574" i="19" s="1"/>
  <c r="AK1574" i="19" s="1" a="1"/>
  <c r="AK1574" i="19" s="1"/>
  <c r="AH1578" i="19"/>
  <c r="AJ1578" i="19" s="1"/>
  <c r="AK1578" i="19" s="1" a="1"/>
  <c r="AK1578" i="19" s="1"/>
  <c r="AH1584" i="19"/>
  <c r="AJ1584" i="19" s="1"/>
  <c r="AK1584" i="19" s="1" a="1"/>
  <c r="AK1584" i="19" s="1"/>
  <c r="AH1600" i="19"/>
  <c r="AJ1600" i="19" s="1"/>
  <c r="AK1600" i="19" s="1" a="1"/>
  <c r="AK1600" i="19" s="1"/>
  <c r="AH1601" i="19"/>
  <c r="AJ1601" i="19" s="1"/>
  <c r="AK1601" i="19" s="1" a="1"/>
  <c r="AK1601" i="19" s="1"/>
  <c r="AH1629" i="19"/>
  <c r="AJ1629" i="19" s="1"/>
  <c r="AK1629" i="19" s="1" a="1"/>
  <c r="AK1629" i="19" s="1"/>
  <c r="AH2351" i="19"/>
  <c r="AJ2351" i="19" s="1"/>
  <c r="AK2351" i="19" s="1" a="1"/>
  <c r="AK2351" i="19" s="1"/>
  <c r="AH1630" i="19"/>
  <c r="AJ1630" i="19" s="1"/>
  <c r="AK1630" i="19" s="1" a="1"/>
  <c r="AK1630" i="19" s="1"/>
  <c r="AH1640" i="19"/>
  <c r="AJ1640" i="19" s="1"/>
  <c r="AK1640" i="19" s="1" a="1"/>
  <c r="AK1640" i="19" s="1"/>
  <c r="AH1639" i="19"/>
  <c r="AJ1639" i="19" s="1"/>
  <c r="AK1639" i="19" s="1" a="1"/>
  <c r="AK1639" i="19" s="1"/>
  <c r="AH1683" i="19"/>
  <c r="AJ1683" i="19" s="1"/>
  <c r="AK1683" i="19" s="1" a="1"/>
  <c r="AK1683" i="19" s="1"/>
  <c r="AH1684" i="19"/>
  <c r="AJ1684" i="19" s="1"/>
  <c r="AK1684" i="19" s="1" a="1"/>
  <c r="AK1684" i="19" s="1"/>
  <c r="AH1660" i="19"/>
  <c r="AJ1660" i="19" s="1"/>
  <c r="AK1660" i="19" s="1" a="1"/>
  <c r="AK1660" i="19" s="1"/>
  <c r="AH1707" i="19"/>
  <c r="AJ1707" i="19" s="1"/>
  <c r="AK1707" i="19" s="1" a="1"/>
  <c r="AK1707" i="19" s="1"/>
  <c r="AH1518" i="19"/>
  <c r="AJ1518" i="19" s="1"/>
  <c r="AK1518" i="19" s="1" a="1"/>
  <c r="AK1518" i="19" s="1"/>
  <c r="AH1508" i="19"/>
  <c r="AJ1508" i="19" s="1"/>
  <c r="AK1508" i="19" s="1" a="1"/>
  <c r="AK1508" i="19" s="1"/>
  <c r="AH1511" i="19"/>
  <c r="AJ1511" i="19" s="1"/>
  <c r="AK1511" i="19" s="1" a="1"/>
  <c r="AK1511" i="19" s="1"/>
  <c r="AH1540" i="19"/>
  <c r="AJ1540" i="19" s="1"/>
  <c r="AK1540" i="19" s="1" a="1"/>
  <c r="AK1540" i="19" s="1"/>
  <c r="AH1543" i="19"/>
  <c r="AJ1543" i="19" s="1"/>
  <c r="AK1543" i="19" s="1" a="1"/>
  <c r="AK1543" i="19" s="1"/>
  <c r="AH2341" i="19"/>
  <c r="AJ2341" i="19" s="1"/>
  <c r="AK2341" i="19" s="1" a="1"/>
  <c r="AK2341" i="19" s="1"/>
  <c r="AH1570" i="19"/>
  <c r="AJ1570" i="19" s="1"/>
  <c r="AK1570" i="19" s="1" a="1"/>
  <c r="AK1570" i="19" s="1"/>
  <c r="AH1581" i="19"/>
  <c r="AJ1581" i="19" s="1"/>
  <c r="AK1581" i="19" s="1" a="1"/>
  <c r="AK1581" i="19" s="1"/>
  <c r="AH1568" i="19"/>
  <c r="AJ1568" i="19" s="1"/>
  <c r="AK1568" i="19" s="1" a="1"/>
  <c r="AK1568" i="19" s="1"/>
  <c r="AH1610" i="19"/>
  <c r="AJ1610" i="19" s="1"/>
  <c r="AK1610" i="19" s="1" a="1"/>
  <c r="AK1610" i="19" s="1"/>
  <c r="AH1615" i="19"/>
  <c r="AJ1615" i="19" s="1"/>
  <c r="AK1615" i="19" s="1" a="1"/>
  <c r="AK1615" i="19" s="1"/>
  <c r="AH1742" i="19"/>
  <c r="AJ1742" i="19" s="1"/>
  <c r="AK1742" i="19" s="1" a="1"/>
  <c r="AK1742" i="19" s="1"/>
  <c r="AH1743" i="19"/>
  <c r="AJ1743" i="19" s="1"/>
  <c r="AK1743" i="19" s="1" a="1"/>
  <c r="AK1743" i="19" s="1"/>
  <c r="AH1731" i="19"/>
  <c r="AJ1731" i="19" s="1"/>
  <c r="AK1731" i="19" s="1" a="1"/>
  <c r="AK1731" i="19" s="1"/>
  <c r="AH1627" i="19"/>
  <c r="AJ1627" i="19" s="1"/>
  <c r="AK1627" i="19" s="1" a="1"/>
  <c r="AK1627" i="19" s="1"/>
  <c r="AH1623" i="19"/>
  <c r="AJ1623" i="19" s="1"/>
  <c r="AK1623" i="19" s="1" a="1"/>
  <c r="AK1623" i="19" s="1"/>
  <c r="AH1635" i="19"/>
  <c r="AJ1635" i="19" s="1"/>
  <c r="AK1635" i="19" s="1" a="1"/>
  <c r="AK1635" i="19" s="1"/>
  <c r="AH1637" i="19"/>
  <c r="AJ1637" i="19" s="1"/>
  <c r="AK1637" i="19" s="1" a="1"/>
  <c r="AK1637" i="19" s="1"/>
  <c r="AH1613" i="19"/>
  <c r="AJ1613" i="19" s="1"/>
  <c r="AK1613" i="19" s="1" a="1"/>
  <c r="AK1613" i="19" s="1"/>
  <c r="AH1692" i="19"/>
  <c r="AJ1692" i="19" s="1"/>
  <c r="AK1692" i="19" s="1" a="1"/>
  <c r="AK1692" i="19" s="1"/>
  <c r="AH1689" i="19"/>
  <c r="AJ1689" i="19" s="1"/>
  <c r="AK1689" i="19" s="1" a="1"/>
  <c r="AK1689" i="19" s="1"/>
  <c r="AH1667" i="19"/>
  <c r="AJ1667" i="19" s="1"/>
  <c r="AK1667" i="19" s="1" a="1"/>
  <c r="AK1667" i="19" s="1"/>
  <c r="AH1671" i="19"/>
  <c r="AJ1671" i="19" s="1"/>
  <c r="AK1671" i="19" s="1" a="1"/>
  <c r="AK1671" i="19" s="1"/>
  <c r="AH1678" i="19"/>
  <c r="AJ1678" i="19" s="1"/>
  <c r="AK1678" i="19" s="1" a="1"/>
  <c r="AK1678" i="19" s="1"/>
  <c r="AH1681" i="19"/>
  <c r="AJ1681" i="19" s="1"/>
  <c r="AK1681" i="19" s="1" a="1"/>
  <c r="AK1681" i="19" s="1"/>
  <c r="AH1704" i="19"/>
  <c r="AJ1704" i="19" s="1"/>
  <c r="AK1704" i="19" s="1" a="1"/>
  <c r="AK1704" i="19" s="1"/>
  <c r="AH1713" i="19"/>
  <c r="AJ1713" i="19" s="1"/>
  <c r="AK1713" i="19" s="1" a="1"/>
  <c r="AK1713" i="19" s="1"/>
  <c r="AH1703" i="19"/>
  <c r="AJ1703" i="19" s="1"/>
  <c r="AK1703" i="19" s="1" a="1"/>
  <c r="AK1703" i="19" s="1"/>
  <c r="AH1842" i="19"/>
  <c r="AJ1842" i="19" s="1"/>
  <c r="AK1842" i="19" s="1" a="1"/>
  <c r="AK1842" i="19" s="1"/>
  <c r="AH1839" i="19"/>
  <c r="AJ1839" i="19" s="1"/>
  <c r="AK1839" i="19" s="1" a="1"/>
  <c r="AK1839" i="19" s="1"/>
  <c r="AH1715" i="19"/>
  <c r="AJ1715" i="19" s="1"/>
  <c r="AK1715" i="19" s="1" a="1"/>
  <c r="AK1715" i="19" s="1"/>
  <c r="AH422" i="19"/>
  <c r="AJ422" i="19" s="1"/>
  <c r="AK422" i="19" s="1" a="1"/>
  <c r="AK422" i="19" s="1"/>
  <c r="AH416" i="19"/>
  <c r="AJ416" i="19" s="1"/>
  <c r="AK416" i="19" s="1" a="1"/>
  <c r="AK416" i="19" s="1"/>
  <c r="AH1843" i="19"/>
  <c r="AJ1843" i="19" s="1"/>
  <c r="AK1843" i="19" s="1" a="1"/>
  <c r="AK1843" i="19" s="1"/>
  <c r="AI1704" i="19"/>
  <c r="AI1681" i="19"/>
  <c r="AI1667" i="19"/>
  <c r="AI1650" i="19"/>
  <c r="AI1637" i="19"/>
  <c r="AH1632" i="19"/>
  <c r="AJ1632" i="19" s="1"/>
  <c r="AK1632" i="19" s="1" a="1"/>
  <c r="AK1632" i="19" s="1"/>
  <c r="AI1742" i="19"/>
  <c r="AI1567" i="19"/>
  <c r="AH1583" i="19"/>
  <c r="AJ1583" i="19" s="1"/>
  <c r="AK1583" i="19" s="1" a="1"/>
  <c r="AK1583" i="19" s="1"/>
  <c r="AI2341" i="19"/>
  <c r="AH1541" i="19"/>
  <c r="AJ1541" i="19" s="1"/>
  <c r="AK1541" i="19" s="1" a="1"/>
  <c r="AK1541" i="19" s="1"/>
  <c r="AI1514" i="19"/>
  <c r="X215" i="19"/>
  <c r="AH1650" i="19"/>
  <c r="AJ1650" i="19" s="1"/>
  <c r="AK1650" i="19" s="1" a="1"/>
  <c r="AK1650" i="19" s="1"/>
  <c r="AH1686" i="19"/>
  <c r="AJ1686" i="19" s="1"/>
  <c r="AK1686" i="19" s="1" a="1"/>
  <c r="AK1686" i="19" s="1"/>
  <c r="AI1613" i="19"/>
  <c r="AH1567" i="19"/>
  <c r="AJ1567" i="19" s="1"/>
  <c r="AK1567" i="19" s="1" a="1"/>
  <c r="AK1567" i="19" s="1"/>
  <c r="AH1575" i="19"/>
  <c r="AJ1575" i="19" s="1"/>
  <c r="AK1575" i="19" s="1" a="1"/>
  <c r="AK1575" i="19" s="1"/>
  <c r="AH1592" i="19"/>
  <c r="AJ1592" i="19" s="1"/>
  <c r="AK1592" i="19" s="1" a="1"/>
  <c r="AK1592" i="19" s="1"/>
  <c r="AH1551" i="19"/>
  <c r="AJ1551" i="19" s="1"/>
  <c r="AK1551" i="19" s="1" a="1"/>
  <c r="AK1551" i="19" s="1"/>
  <c r="AH1514" i="19"/>
  <c r="AJ1514" i="19" s="1"/>
  <c r="AK1514" i="19" s="1" a="1"/>
  <c r="AK1514" i="19" s="1"/>
  <c r="AJ340" i="19"/>
  <c r="AK340" i="19" s="1" a="1"/>
  <c r="AK340" i="19" s="1"/>
  <c r="W323" i="19"/>
  <c r="X321" i="19"/>
  <c r="AI1617" i="19"/>
  <c r="AI1618" i="19"/>
  <c r="AI1524" i="19"/>
  <c r="AI1559" i="19"/>
  <c r="AI1550" i="19"/>
  <c r="AI1551" i="19"/>
  <c r="AI1537" i="19"/>
  <c r="AI1592" i="19"/>
  <c r="AI1561" i="19"/>
  <c r="AI1590" i="19"/>
  <c r="AI1593" i="19"/>
  <c r="AI1594" i="19"/>
  <c r="AI1597" i="19"/>
  <c r="AI1598" i="19"/>
  <c r="AI1625" i="19"/>
  <c r="AI1638" i="19"/>
  <c r="AI1644" i="19"/>
  <c r="AI1686" i="19"/>
  <c r="AI1685" i="19"/>
  <c r="AI1693" i="19"/>
  <c r="AI1649" i="19"/>
  <c r="AI1648" i="19"/>
  <c r="AI1662" i="19"/>
  <c r="AI1668" i="19"/>
  <c r="AI1697" i="19"/>
  <c r="AI1698" i="19"/>
  <c r="AI1705" i="19"/>
  <c r="AI1711" i="19"/>
  <c r="AI1519" i="19"/>
  <c r="AI1544" i="19"/>
  <c r="AI2340" i="19"/>
  <c r="AI1564" i="19"/>
  <c r="AI1588" i="19"/>
  <c r="AI1596" i="19"/>
  <c r="AI1609" i="19"/>
  <c r="AI1611" i="19"/>
  <c r="AI1614" i="19"/>
  <c r="AI1646" i="19"/>
  <c r="AI1608" i="19"/>
  <c r="AI1741" i="19"/>
  <c r="AI1628" i="19"/>
  <c r="AI2350" i="19"/>
  <c r="AI1631" i="19"/>
  <c r="AI1641" i="19"/>
  <c r="AI1642" i="19"/>
  <c r="AI1690" i="19"/>
  <c r="AI1674" i="19"/>
  <c r="AI1675" i="19"/>
  <c r="AI1676" i="19"/>
  <c r="AI1672" i="19"/>
  <c r="AI1695" i="19"/>
  <c r="AI1706" i="19"/>
  <c r="AI1702" i="19"/>
  <c r="AI1512" i="19"/>
  <c r="AI1522" i="19"/>
  <c r="AI1539" i="19"/>
  <c r="AI1542" i="19"/>
  <c r="AI1566" i="19"/>
  <c r="AI1586" i="19"/>
  <c r="AI1730" i="19"/>
  <c r="AI1751" i="19"/>
  <c r="AI1634" i="19"/>
  <c r="AI1688" i="19"/>
  <c r="AI1691" i="19"/>
  <c r="AI1694" i="19"/>
  <c r="AI1654" i="19"/>
  <c r="AI1673" i="19"/>
  <c r="AI1669" i="19"/>
  <c r="AI1670" i="19"/>
  <c r="AI1714" i="19"/>
  <c r="AI1699" i="19"/>
  <c r="AI1517" i="19"/>
  <c r="AI1509" i="19"/>
  <c r="AI1510" i="19"/>
  <c r="AI1538" i="19"/>
  <c r="AI1591" i="19"/>
  <c r="AI1554" i="19"/>
  <c r="AI1582" i="19"/>
  <c r="AI1603" i="19"/>
  <c r="AI1607" i="19"/>
  <c r="AI1605" i="19"/>
  <c r="AI1612" i="19"/>
  <c r="AI1633" i="19"/>
  <c r="AI1643" i="19"/>
  <c r="AI1746" i="19"/>
  <c r="AI1656" i="19"/>
  <c r="AI1655" i="19"/>
  <c r="AI1664" i="19"/>
  <c r="AI1677" i="19"/>
  <c r="AI1680" i="19"/>
  <c r="AI1747" i="19"/>
  <c r="AI1712" i="19"/>
  <c r="AI2352" i="19"/>
  <c r="AI1841" i="19"/>
  <c r="AI1521" i="19"/>
  <c r="AI1513" i="19"/>
  <c r="AI1558" i="19"/>
  <c r="AI1525" i="19"/>
  <c r="AI1553" i="19"/>
  <c r="AI1552" i="19"/>
  <c r="AI1555" i="19"/>
  <c r="AI1565" i="19"/>
  <c r="AI1563" i="19"/>
  <c r="AI1562" i="19"/>
  <c r="AI1560" i="19"/>
  <c r="AI1589" i="19"/>
  <c r="AI1587" i="19"/>
  <c r="AI1595" i="19"/>
  <c r="AI1636" i="19"/>
  <c r="AI1752" i="19"/>
  <c r="AI1687" i="19"/>
  <c r="AI1647" i="19"/>
  <c r="AI1652" i="19"/>
  <c r="AI1658" i="19"/>
  <c r="AI1659" i="19"/>
  <c r="AI1679" i="19"/>
  <c r="AI1682" i="19"/>
  <c r="AI1701" i="19"/>
  <c r="AI1523" i="19"/>
  <c r="AI1600" i="19"/>
  <c r="AI1601" i="19"/>
  <c r="AI1629" i="19"/>
  <c r="AI2351" i="19"/>
  <c r="AI1630" i="19"/>
  <c r="AI1640" i="19"/>
  <c r="AI1639" i="19"/>
  <c r="AI1683" i="19"/>
  <c r="AI1684" i="19"/>
  <c r="AI1660" i="19"/>
  <c r="AI1707" i="19"/>
  <c r="AI636" i="19"/>
  <c r="AI1488" i="19"/>
  <c r="AI1610" i="19"/>
  <c r="AH1585" i="19"/>
  <c r="AJ1585" i="19" s="1"/>
  <c r="AK1585" i="19" s="1" a="1"/>
  <c r="AK1585" i="19" s="1"/>
  <c r="AI1511" i="19"/>
  <c r="AI1518" i="19"/>
  <c r="X1265" i="19"/>
  <c r="X1244" i="19"/>
  <c r="AK1489" i="19" a="1"/>
  <c r="AK1489" i="19" s="1"/>
  <c r="AK1488" i="19" a="1"/>
  <c r="AK1488" i="19" s="1"/>
  <c r="F1599" i="19"/>
  <c r="F1647" i="19"/>
  <c r="F1685" i="19"/>
  <c r="F1687" i="19"/>
  <c r="F1686" i="19"/>
  <c r="F1640" i="19"/>
  <c r="F1594" i="19"/>
  <c r="F1600" i="19"/>
  <c r="F1644" i="19"/>
  <c r="F1634" i="19"/>
  <c r="F1635" i="19"/>
  <c r="F2340" i="19"/>
  <c r="F1633" i="19"/>
  <c r="F1590" i="19"/>
  <c r="F1589" i="19"/>
  <c r="F1554" i="19"/>
  <c r="F1731" i="19"/>
  <c r="F1544" i="19"/>
  <c r="AD768" i="19"/>
  <c r="F1611" i="19"/>
  <c r="F1570" i="19"/>
  <c r="F1659" i="19"/>
  <c r="F1699" i="19"/>
  <c r="F1691" i="19"/>
  <c r="F1641" i="19"/>
  <c r="F1625" i="19"/>
  <c r="F1539" i="19"/>
  <c r="F1646" i="19"/>
  <c r="AJ229" i="19"/>
  <c r="AK229" i="19" s="1" a="1"/>
  <c r="AK229" i="19" s="1"/>
  <c r="X170" i="19"/>
  <c r="W191" i="19"/>
  <c r="AJ148" i="19"/>
  <c r="AK148" i="19" s="1" a="1"/>
  <c r="AK148" i="19" s="1"/>
  <c r="W461" i="19"/>
  <c r="X229" i="19"/>
  <c r="AJ1389" i="19"/>
  <c r="AK1389" i="19" s="1" a="1"/>
  <c r="AK1389" i="19" s="1"/>
  <c r="AJ997" i="19"/>
  <c r="AK997" i="19" s="1" a="1"/>
  <c r="AK997" i="19" s="1"/>
  <c r="AJ1028" i="19"/>
  <c r="AK1028" i="19" s="1" a="1"/>
  <c r="AK1028" i="19" s="1"/>
  <c r="W1265" i="19"/>
  <c r="X1152" i="19"/>
  <c r="X1059" i="19"/>
  <c r="AJ167" i="19"/>
  <c r="AK167" i="19" s="1" a="1"/>
  <c r="AK167" i="19" s="1"/>
  <c r="X1222" i="19"/>
  <c r="W1389" i="19"/>
  <c r="X317" i="19"/>
  <c r="X169" i="19"/>
  <c r="X167" i="19"/>
  <c r="AJ127" i="19"/>
  <c r="AK127" i="19" s="1" a="1"/>
  <c r="AK127" i="19" s="1"/>
  <c r="X477" i="19"/>
  <c r="X997" i="19"/>
  <c r="AJ170" i="19"/>
  <c r="AK170" i="19" s="1" a="1"/>
  <c r="AK170" i="19" s="1"/>
  <c r="X230" i="19"/>
  <c r="AJ168" i="19"/>
  <c r="AK168" i="19" s="1" a="1"/>
  <c r="AK168" i="19" s="1"/>
  <c r="X145" i="19"/>
  <c r="X1389" i="19"/>
  <c r="AJ507" i="19"/>
  <c r="AK507" i="19" s="1" a="1"/>
  <c r="AK507" i="19" s="1"/>
  <c r="X127" i="19"/>
  <c r="X323" i="19"/>
  <c r="AJ496" i="19"/>
  <c r="AK496" i="19" s="1" a="1"/>
  <c r="AK496" i="19" s="1"/>
  <c r="X325" i="19"/>
  <c r="X627" i="19"/>
  <c r="AJ1082" i="19"/>
  <c r="AK1082" i="19" s="1" a="1"/>
  <c r="AK1082" i="19" s="1"/>
  <c r="AJ445" i="19"/>
  <c r="AK445" i="19" s="1" a="1"/>
  <c r="AK445" i="19" s="1"/>
  <c r="X316" i="19"/>
  <c r="K2009" i="16"/>
  <c r="A2009" i="16" s="1"/>
  <c r="K1634" i="16"/>
  <c r="A1634" i="16" s="1"/>
  <c r="X843" i="19"/>
  <c r="W626" i="19"/>
  <c r="K1630" i="16"/>
  <c r="A1630" i="16" s="1"/>
  <c r="W1082" i="19"/>
  <c r="W845" i="19"/>
  <c r="AJ606" i="19"/>
  <c r="AK606" i="19" s="1" a="1"/>
  <c r="AK606" i="19" s="1"/>
  <c r="W445" i="19"/>
  <c r="AJ512" i="19"/>
  <c r="AK512" i="19" s="1" a="1"/>
  <c r="AK512" i="19" s="1"/>
  <c r="W477" i="19"/>
  <c r="K1631" i="16"/>
  <c r="A1631" i="16" s="1"/>
  <c r="AD1546" i="19"/>
  <c r="AF1545" i="19"/>
  <c r="AI1399" i="19"/>
  <c r="AI953" i="19"/>
  <c r="AI971" i="19"/>
  <c r="AI1322" i="19"/>
  <c r="AI1347" i="19"/>
  <c r="AI1096" i="19"/>
  <c r="AI688" i="19"/>
  <c r="AI1193" i="19"/>
  <c r="AI1326" i="19"/>
  <c r="AI903" i="19"/>
  <c r="AI699" i="19"/>
  <c r="AI1464" i="19"/>
  <c r="AI1041" i="19"/>
  <c r="AI881" i="19"/>
  <c r="AI873" i="19"/>
  <c r="AI1467" i="19"/>
  <c r="AI1395" i="19"/>
  <c r="AI1169" i="19"/>
  <c r="AI1146" i="19"/>
  <c r="AI1005" i="19"/>
  <c r="AI957" i="19"/>
  <c r="AI906" i="19"/>
  <c r="AI895" i="19"/>
  <c r="AI852" i="19"/>
  <c r="AI735" i="19"/>
  <c r="AI726" i="19"/>
  <c r="AI669" i="19"/>
  <c r="AI44" i="19"/>
  <c r="AI1200" i="19"/>
  <c r="AI1373" i="19"/>
  <c r="AI1234" i="19"/>
  <c r="AI1081" i="19"/>
  <c r="AI579" i="19"/>
  <c r="AI1355" i="19"/>
  <c r="AI747" i="19"/>
  <c r="AI1176" i="19"/>
  <c r="AI1162" i="19"/>
  <c r="AI1047" i="19"/>
  <c r="AI1045" i="19"/>
  <c r="AI1019" i="19"/>
  <c r="AI399" i="19"/>
  <c r="AI1331" i="19"/>
  <c r="AI1384" i="19"/>
  <c r="AI1276" i="19"/>
  <c r="AI1187" i="19"/>
  <c r="AI1141" i="19"/>
  <c r="AI913" i="19"/>
  <c r="AI993" i="19"/>
  <c r="AI1424" i="19"/>
  <c r="AI1213" i="19"/>
  <c r="AI954" i="19"/>
  <c r="AI434" i="19"/>
  <c r="AI1257" i="19"/>
  <c r="AI1208" i="19"/>
  <c r="AI1158" i="19"/>
  <c r="AI1155" i="19"/>
  <c r="AI1100" i="19"/>
  <c r="AI1099" i="19"/>
  <c r="AI933" i="19"/>
  <c r="AI1035" i="19"/>
  <c r="AI905" i="19"/>
  <c r="AI850" i="19"/>
  <c r="AI1414" i="19"/>
  <c r="AI1278" i="19"/>
  <c r="AI1272" i="19"/>
  <c r="AI1097" i="19"/>
  <c r="AI1088" i="19"/>
  <c r="AI595" i="19"/>
  <c r="AI40" i="19"/>
  <c r="AI642" i="19"/>
  <c r="AI1400" i="19"/>
  <c r="AI1388" i="19"/>
  <c r="AI1308" i="19"/>
  <c r="AI1149" i="19"/>
  <c r="AI1004" i="19"/>
  <c r="AI922" i="19"/>
  <c r="AI667" i="19"/>
  <c r="AI1150" i="19"/>
  <c r="AI1001" i="19"/>
  <c r="AI986" i="19"/>
  <c r="AI1242" i="19"/>
  <c r="AI1173" i="19"/>
  <c r="AI856" i="19"/>
  <c r="K2007" i="16"/>
  <c r="A2007" i="16" s="1"/>
  <c r="K1629" i="16"/>
  <c r="A1629" i="16" s="1"/>
  <c r="AD1545" i="19"/>
  <c r="AE769" i="19"/>
  <c r="AE768" i="19"/>
  <c r="AF1546" i="19"/>
  <c r="W627" i="19"/>
  <c r="W429" i="19"/>
  <c r="AJ1013" i="19"/>
  <c r="AK1013" i="19" s="1" a="1"/>
  <c r="AK1013" i="19" s="1"/>
  <c r="X845" i="19"/>
  <c r="X1012" i="19"/>
  <c r="X918" i="19"/>
  <c r="AJ808" i="19"/>
  <c r="AK808" i="19" s="1" a="1"/>
  <c r="AK808" i="19" s="1"/>
  <c r="X639" i="19"/>
  <c r="X432" i="19"/>
  <c r="W326" i="19"/>
  <c r="W753" i="19"/>
  <c r="AJ431" i="19"/>
  <c r="AK431" i="19" s="1" a="1"/>
  <c r="AK431" i="19" s="1"/>
  <c r="X445" i="19"/>
  <c r="X412" i="19"/>
  <c r="AJ450" i="19"/>
  <c r="AK450" i="19" s="1" a="1"/>
  <c r="AK450" i="19" s="1"/>
  <c r="X1487" i="19"/>
  <c r="AJ650" i="19"/>
  <c r="AK650" i="19" s="1" a="1"/>
  <c r="AK650" i="19" s="1"/>
  <c r="K1632" i="16"/>
  <c r="A1632" i="16" s="1"/>
  <c r="X1245" i="19"/>
  <c r="X1058" i="19"/>
  <c r="AJ804" i="19"/>
  <c r="AK804" i="19" s="1" a="1"/>
  <c r="AK804" i="19" s="1"/>
  <c r="X431" i="19"/>
  <c r="AJ302" i="19"/>
  <c r="AK302" i="19" s="1" a="1"/>
  <c r="AK302" i="19" s="1"/>
  <c r="X630" i="19"/>
  <c r="X450" i="19"/>
  <c r="K2008" i="16"/>
  <c r="A2008" i="16" s="1"/>
  <c r="AJ918" i="19"/>
  <c r="AK918" i="19" s="1" a="1"/>
  <c r="AK918" i="19" s="1"/>
  <c r="AJ324" i="19"/>
  <c r="AK324" i="19" s="1" a="1"/>
  <c r="AK324" i="19" s="1"/>
  <c r="X804" i="19"/>
  <c r="K1603" i="16"/>
  <c r="A1603" i="16" s="1"/>
  <c r="AJ1165" i="19"/>
  <c r="AK1165" i="19" s="1" a="1"/>
  <c r="AK1165" i="19" s="1"/>
  <c r="X446" i="19"/>
  <c r="AJ432" i="19"/>
  <c r="AK432" i="19" s="1" a="1"/>
  <c r="AK432" i="19" s="1"/>
  <c r="X302" i="19"/>
  <c r="X650" i="19"/>
  <c r="X380" i="19"/>
  <c r="X429" i="19"/>
  <c r="X339" i="19"/>
  <c r="X326" i="19"/>
  <c r="X324" i="19"/>
  <c r="AI977" i="19"/>
  <c r="AI1470" i="19"/>
  <c r="AI1434" i="19"/>
  <c r="AI1419" i="19"/>
  <c r="AI1365" i="19"/>
  <c r="AI1316" i="19"/>
  <c r="AI1236" i="19"/>
  <c r="AI1156" i="19"/>
  <c r="AI1138" i="19"/>
  <c r="AI1132" i="19"/>
  <c r="AI1065" i="19"/>
  <c r="AI928" i="19"/>
  <c r="AI854" i="19"/>
  <c r="AI797" i="19"/>
  <c r="AI702" i="19"/>
  <c r="AI630" i="19"/>
  <c r="AI485" i="19"/>
  <c r="AI347" i="19"/>
  <c r="AI90" i="19"/>
  <c r="AI1431" i="19"/>
  <c r="AI1380" i="19"/>
  <c r="AI1139" i="19"/>
  <c r="AI1102" i="19"/>
  <c r="AI1114" i="19"/>
  <c r="AI1062" i="19"/>
  <c r="AI1057" i="19"/>
  <c r="AI1048" i="19"/>
  <c r="AI893" i="19"/>
  <c r="AI865" i="19"/>
  <c r="AI748" i="19"/>
  <c r="AI586" i="19"/>
  <c r="AI503" i="19"/>
  <c r="AI354" i="19"/>
  <c r="AI339" i="19"/>
  <c r="AI1281" i="19"/>
  <c r="AI874" i="19"/>
  <c r="AI462" i="19"/>
  <c r="AI1317" i="19"/>
  <c r="AI1485" i="19"/>
  <c r="AI1178" i="19"/>
  <c r="AI1027" i="19"/>
  <c r="AI795" i="19"/>
  <c r="AI730" i="19"/>
  <c r="AI581" i="19"/>
  <c r="AI506" i="19"/>
  <c r="AI361" i="19"/>
  <c r="AI1023" i="19"/>
  <c r="AI868" i="19"/>
  <c r="AI356" i="19"/>
  <c r="AI1305" i="19"/>
  <c r="AI1087" i="19"/>
  <c r="AI1078" i="19"/>
  <c r="AI1072" i="19"/>
  <c r="AI1053" i="19"/>
  <c r="AI1018" i="19"/>
  <c r="AI912" i="19"/>
  <c r="AI871" i="19"/>
  <c r="AI858" i="19"/>
  <c r="AI831" i="19"/>
  <c r="AI773" i="19"/>
  <c r="AI750" i="19"/>
  <c r="AI352" i="19"/>
  <c r="AI331" i="19"/>
  <c r="AI1068" i="19"/>
  <c r="AI523" i="19"/>
  <c r="AI373" i="19"/>
  <c r="AI1367" i="19"/>
  <c r="AI1069" i="19"/>
  <c r="AI919" i="19"/>
  <c r="AI727" i="19"/>
  <c r="AI632" i="19"/>
  <c r="AI526" i="19"/>
  <c r="AI401" i="19"/>
  <c r="AI359" i="19"/>
  <c r="AI92" i="19"/>
  <c r="AI357" i="19"/>
  <c r="AI94" i="19"/>
  <c r="AI376" i="19"/>
  <c r="AI1445" i="19"/>
  <c r="AI1401" i="19"/>
  <c r="AI1233" i="19"/>
  <c r="AI1060" i="19"/>
  <c r="AI1043" i="19"/>
  <c r="AI999" i="19"/>
  <c r="AI866" i="19"/>
  <c r="AI836" i="19"/>
  <c r="AI835" i="19"/>
  <c r="AI829" i="19"/>
  <c r="AI798" i="19"/>
  <c r="AI545" i="19"/>
  <c r="AI522" i="19"/>
  <c r="AI507" i="19"/>
  <c r="AI482" i="19"/>
  <c r="AI348" i="19"/>
  <c r="AI813" i="19"/>
  <c r="AI766" i="19"/>
  <c r="AI640" i="19"/>
  <c r="AI631" i="19"/>
  <c r="AI355" i="19"/>
  <c r="AI96" i="19"/>
  <c r="AI1436" i="19"/>
  <c r="AI350" i="19"/>
  <c r="AI1479" i="19"/>
  <c r="AI1527" i="19"/>
  <c r="AI2343" i="19"/>
  <c r="AI1426" i="19"/>
  <c r="AI1354" i="19"/>
  <c r="AI1264" i="19"/>
  <c r="AI1237" i="19"/>
  <c r="AI1227" i="19"/>
  <c r="AI1217" i="19"/>
  <c r="AI1070" i="19"/>
  <c r="AI1026" i="19"/>
  <c r="AI938" i="19"/>
  <c r="AI947" i="19"/>
  <c r="AI870" i="19"/>
  <c r="AI780" i="19"/>
  <c r="AI584" i="19"/>
  <c r="AI529" i="19"/>
  <c r="AI509" i="19"/>
  <c r="AI340" i="19"/>
  <c r="AI1416" i="19"/>
  <c r="AI1433" i="19"/>
  <c r="AI502" i="19"/>
  <c r="AI1284" i="19"/>
  <c r="AI1073" i="19"/>
  <c r="AI982" i="19"/>
  <c r="AI967" i="19"/>
  <c r="AI378" i="19"/>
  <c r="AI1455" i="19"/>
  <c r="AI1359" i="19"/>
  <c r="AI1204" i="19"/>
  <c r="AI1192" i="19"/>
  <c r="AI1151" i="19"/>
  <c r="AI1067" i="19"/>
  <c r="AI927" i="19"/>
  <c r="AI915" i="19"/>
  <c r="AI892" i="19"/>
  <c r="AI768" i="19"/>
  <c r="AI752" i="19"/>
  <c r="AI670" i="19"/>
  <c r="AI580" i="19"/>
  <c r="AI353" i="19"/>
  <c r="AI1144" i="19"/>
  <c r="AI1474" i="19"/>
  <c r="AI1131" i="19"/>
  <c r="AI1113" i="19"/>
  <c r="AI1064" i="19"/>
  <c r="AI1015" i="19"/>
  <c r="AI989" i="19"/>
  <c r="AI901" i="19"/>
  <c r="AI622" i="19"/>
  <c r="AI501" i="19"/>
  <c r="AI493" i="19"/>
  <c r="AI360" i="19"/>
  <c r="AI1066" i="19"/>
  <c r="AI867" i="19"/>
  <c r="AI1442" i="19"/>
  <c r="AI1239" i="19"/>
  <c r="AI1449" i="19"/>
  <c r="AI1061" i="19"/>
  <c r="AI530" i="19"/>
  <c r="AI504" i="19"/>
  <c r="AI351" i="19"/>
  <c r="AI1315" i="19"/>
  <c r="AI1475" i="19"/>
  <c r="AI1063" i="19"/>
  <c r="AI1230" i="19"/>
  <c r="AI1107" i="19"/>
  <c r="AI1074" i="19"/>
  <c r="AI869" i="19"/>
  <c r="AI839" i="19"/>
  <c r="AI802" i="19"/>
  <c r="AI528" i="19"/>
  <c r="AI73" i="19"/>
  <c r="AI66" i="19"/>
  <c r="AI65" i="19"/>
  <c r="AI64" i="19"/>
  <c r="AI53" i="19"/>
  <c r="AI52" i="19"/>
  <c r="AI422" i="19"/>
  <c r="AI176" i="19"/>
  <c r="AI141" i="19"/>
  <c r="AI113" i="19"/>
  <c r="AI70" i="19"/>
  <c r="AI68" i="19"/>
  <c r="AI59" i="19"/>
  <c r="AI61" i="19"/>
  <c r="AI55" i="19"/>
  <c r="AI38" i="19"/>
  <c r="AI39" i="19"/>
  <c r="AI22" i="19"/>
  <c r="AI2" i="19"/>
  <c r="AI146" i="19"/>
  <c r="AI107" i="19"/>
  <c r="AI27" i="19"/>
  <c r="AI9" i="19"/>
  <c r="AI421" i="19"/>
  <c r="AI299" i="19"/>
  <c r="AI278" i="19"/>
  <c r="AI279" i="19"/>
  <c r="AI262" i="19"/>
  <c r="AI253" i="19"/>
  <c r="AI224" i="19"/>
  <c r="AI204" i="19"/>
  <c r="AI179" i="19"/>
  <c r="AI148" i="19"/>
  <c r="AI117" i="19"/>
  <c r="AI415" i="19"/>
  <c r="AI419" i="19"/>
  <c r="AI85" i="19"/>
  <c r="AI84" i="19"/>
  <c r="AI72" i="19"/>
  <c r="AI35" i="19"/>
  <c r="AI21" i="19"/>
  <c r="AI16" i="19"/>
  <c r="AI32" i="19"/>
  <c r="AI33" i="19"/>
  <c r="AI30" i="19"/>
  <c r="AI414" i="19"/>
  <c r="AI417" i="19"/>
  <c r="AI267" i="19"/>
  <c r="AI251" i="19"/>
  <c r="AI220" i="19"/>
  <c r="AI213" i="19"/>
  <c r="AI200" i="19"/>
  <c r="AI170" i="19"/>
  <c r="AI112" i="19"/>
  <c r="AI29" i="19"/>
  <c r="AI23" i="19"/>
  <c r="AI316" i="19"/>
  <c r="AI300" i="19"/>
  <c r="AI276" i="19"/>
  <c r="AI266" i="19"/>
  <c r="AI269" i="19"/>
  <c r="AI252" i="19"/>
  <c r="AI201" i="19"/>
  <c r="AI181" i="19"/>
  <c r="AI166" i="19"/>
  <c r="AI145" i="19"/>
  <c r="AI118" i="19"/>
  <c r="AI411" i="19"/>
  <c r="AI416" i="19"/>
  <c r="AF643" i="19"/>
  <c r="AD684" i="19"/>
  <c r="AE684" i="19"/>
  <c r="AF684" i="19"/>
  <c r="AD642" i="19"/>
  <c r="AE642" i="19"/>
  <c r="AI1504" i="19"/>
  <c r="AI1626" i="19"/>
  <c r="AI1505" i="19"/>
  <c r="AI1506" i="19"/>
  <c r="AI1507" i="19"/>
  <c r="AH1507" i="19"/>
  <c r="AJ1507" i="19" s="1"/>
  <c r="AK1507" i="19" s="1" a="1"/>
  <c r="AK1507" i="19" s="1"/>
  <c r="AH1503" i="19"/>
  <c r="AJ1503" i="19" s="1"/>
  <c r="AK1503" i="19" s="1" a="1"/>
  <c r="AK1503" i="19" s="1"/>
  <c r="AH1626" i="19"/>
  <c r="AJ1626" i="19" s="1"/>
  <c r="AK1626" i="19" s="1" a="1"/>
  <c r="AK1626" i="19" s="1"/>
  <c r="AH1504" i="19"/>
  <c r="AJ1504" i="19" s="1"/>
  <c r="AK1504" i="19" s="1" a="1"/>
  <c r="AK1504" i="19" s="1"/>
  <c r="AH1505" i="19"/>
  <c r="AJ1505" i="19" s="1"/>
  <c r="AK1505" i="19" s="1" a="1"/>
  <c r="AK1505" i="19" s="1"/>
  <c r="AH1506" i="19"/>
  <c r="AJ1506" i="19" s="1"/>
  <c r="AK1506" i="19" s="1" a="1"/>
  <c r="AK1506" i="19" s="1"/>
  <c r="AD643" i="19"/>
  <c r="AD1626" i="19"/>
  <c r="AF1626" i="19"/>
  <c r="AD1533" i="19"/>
  <c r="AE1536" i="19"/>
  <c r="AF2343" i="19"/>
  <c r="AE1533" i="19"/>
  <c r="AF1536" i="19"/>
  <c r="AD1487" i="19"/>
  <c r="AD1532" i="19"/>
  <c r="AE1487" i="19"/>
  <c r="AE1532" i="19"/>
  <c r="AD1486" i="19"/>
  <c r="AD1531" i="19"/>
  <c r="AE1486" i="19"/>
  <c r="AD1547" i="19"/>
  <c r="AE1531" i="19"/>
  <c r="AE1547" i="19"/>
  <c r="AD1530" i="19"/>
  <c r="AD1548" i="19"/>
  <c r="AE1530" i="19"/>
  <c r="AE1548" i="19"/>
  <c r="AD1529" i="19"/>
  <c r="AD1515" i="19"/>
  <c r="AE1529" i="19"/>
  <c r="AD1502" i="19"/>
  <c r="AE1515" i="19"/>
  <c r="AD2343" i="19"/>
  <c r="AE1502" i="19"/>
  <c r="AE1500" i="19"/>
  <c r="AF1500" i="19"/>
  <c r="AD1500" i="19"/>
  <c r="F1503" i="19"/>
  <c r="F1505" i="19"/>
  <c r="AF1501" i="19"/>
  <c r="AE1501" i="19"/>
  <c r="K2006" i="16"/>
  <c r="A2006" i="16" s="1"/>
  <c r="K1627" i="16"/>
  <c r="A1627" i="16" s="1"/>
  <c r="X493" i="19"/>
  <c r="X490" i="19"/>
  <c r="AF249" i="19"/>
  <c r="AE249" i="19"/>
  <c r="AE1356" i="19"/>
  <c r="AK1179" i="19" a="1"/>
  <c r="AK1179" i="19" s="1"/>
  <c r="X632" i="19"/>
  <c r="AE1321" i="19"/>
  <c r="AK1427" i="19" a="1"/>
  <c r="AK1427" i="19" s="1"/>
  <c r="AK1108" i="19" a="1"/>
  <c r="AK1108" i="19" s="1"/>
  <c r="AE605" i="19"/>
  <c r="AK953" i="19" a="1"/>
  <c r="AK953" i="19" s="1"/>
  <c r="AF901" i="19"/>
  <c r="AK509" i="19" a="1"/>
  <c r="AK509" i="19" s="1"/>
  <c r="AK609" i="19" a="1"/>
  <c r="AK609" i="19" s="1"/>
  <c r="AK1454" i="19" a="1"/>
  <c r="AK1454" i="19" s="1"/>
  <c r="AK1153" i="19" a="1"/>
  <c r="AK1153" i="19" s="1"/>
  <c r="AK1349" i="19" a="1"/>
  <c r="AK1349" i="19" s="1"/>
  <c r="AK1475" i="19" a="1"/>
  <c r="AK1475" i="19" s="1"/>
  <c r="W635" i="19"/>
  <c r="AJ632" i="19"/>
  <c r="AK632" i="19" s="1" a="1"/>
  <c r="AK632" i="19" s="1"/>
  <c r="AD1125" i="19"/>
  <c r="AK826" i="19" a="1"/>
  <c r="AK826" i="19" s="1"/>
  <c r="AD705" i="19"/>
  <c r="AF1220" i="19"/>
  <c r="AK913" i="19" a="1"/>
  <c r="AK913" i="19" s="1"/>
  <c r="AE1220" i="19"/>
  <c r="AE964" i="19"/>
  <c r="AK1215" i="19" a="1"/>
  <c r="AK1215" i="19" s="1"/>
  <c r="AK1088" i="19" a="1"/>
  <c r="AK1088" i="19" s="1"/>
  <c r="AK1045" i="19" a="1"/>
  <c r="AK1045" i="19" s="1"/>
  <c r="AK1282" i="19" a="1"/>
  <c r="AK1282" i="19" s="1"/>
  <c r="AK1235" i="19" a="1"/>
  <c r="AK1235" i="19" s="1"/>
  <c r="AK1101" i="19" a="1"/>
  <c r="AK1101" i="19" s="1"/>
  <c r="AK759" i="19" a="1"/>
  <c r="AK759" i="19" s="1"/>
  <c r="AK1019" i="19" a="1"/>
  <c r="AK1019" i="19" s="1"/>
  <c r="AK1342" i="19" a="1"/>
  <c r="AK1342" i="19" s="1"/>
  <c r="AK876" i="19" a="1"/>
  <c r="AK876" i="19" s="1"/>
  <c r="AF470" i="19"/>
  <c r="AK710" i="19" a="1"/>
  <c r="AK710" i="19" s="1"/>
  <c r="AK1309" i="19" a="1"/>
  <c r="AK1309" i="19" s="1"/>
  <c r="AK1181" i="19" a="1"/>
  <c r="AK1181" i="19" s="1"/>
  <c r="AK1193" i="19" a="1"/>
  <c r="AK1193" i="19" s="1"/>
  <c r="AK1125" i="19" a="1"/>
  <c r="AK1125" i="19" s="1"/>
  <c r="AE751" i="19"/>
  <c r="AF1129" i="19"/>
  <c r="AK658" i="19" a="1"/>
  <c r="AK658" i="19" s="1"/>
  <c r="AE471" i="19"/>
  <c r="AF477" i="19"/>
  <c r="AK1358" i="19" a="1"/>
  <c r="AK1358" i="19" s="1"/>
  <c r="AF879" i="19"/>
  <c r="AF760" i="19"/>
  <c r="AF472" i="19"/>
  <c r="AK1272" i="19" a="1"/>
  <c r="AK1272" i="19" s="1"/>
  <c r="AK998" i="19" a="1"/>
  <c r="AK998" i="19" s="1"/>
  <c r="AK767" i="19" a="1"/>
  <c r="AK767" i="19" s="1"/>
  <c r="AK1293" i="19" a="1"/>
  <c r="AK1293" i="19" s="1"/>
  <c r="AK946" i="19" a="1"/>
  <c r="AK946" i="19" s="1"/>
  <c r="AD598" i="19"/>
  <c r="AK1194" i="19" a="1"/>
  <c r="AK1194" i="19" s="1"/>
  <c r="AK928" i="19" a="1"/>
  <c r="AK928" i="19" s="1"/>
  <c r="AK836" i="19" a="1"/>
  <c r="AK836" i="19" s="1"/>
  <c r="AK1436" i="19" a="1"/>
  <c r="AK1436" i="19" s="1"/>
  <c r="AK1210" i="19" a="1"/>
  <c r="AK1210" i="19" s="1"/>
  <c r="AK1351" i="19" a="1"/>
  <c r="AK1351" i="19" s="1"/>
  <c r="AK1499" i="19" a="1"/>
  <c r="AK1499" i="19" s="1"/>
  <c r="AK1479" i="19" a="1"/>
  <c r="AK1479" i="19" s="1"/>
  <c r="AE1361" i="19"/>
  <c r="AK1483" i="19" a="1"/>
  <c r="AK1483" i="19" s="1"/>
  <c r="AK1323" i="19" a="1"/>
  <c r="AK1323" i="19" s="1"/>
  <c r="AK1154" i="19" a="1"/>
  <c r="AK1154" i="19" s="1"/>
  <c r="AD927" i="19"/>
  <c r="AE834" i="19"/>
  <c r="AE584" i="19"/>
  <c r="AE472" i="19"/>
  <c r="W1027" i="19"/>
  <c r="F861" i="19"/>
  <c r="AD760" i="19"/>
  <c r="AD722" i="19"/>
  <c r="AF554" i="19"/>
  <c r="AK1243" i="19" a="1"/>
  <c r="AK1243" i="19" s="1"/>
  <c r="AE704" i="19"/>
  <c r="AE554" i="19"/>
  <c r="AK1305" i="19" a="1"/>
  <c r="AK1305" i="19" s="1"/>
  <c r="AK1405" i="19" a="1"/>
  <c r="AK1405" i="19" s="1"/>
  <c r="AE1387" i="19"/>
  <c r="AE1246" i="19"/>
  <c r="AK1092" i="19" a="1"/>
  <c r="AK1092" i="19" s="1"/>
  <c r="AK852" i="19" a="1"/>
  <c r="AK852" i="19" s="1"/>
  <c r="AK795" i="19" a="1"/>
  <c r="AK795" i="19" s="1"/>
  <c r="AF625" i="19"/>
  <c r="AK1456" i="19" a="1"/>
  <c r="AK1456" i="19" s="1"/>
  <c r="AE1349" i="19"/>
  <c r="AD1246" i="19"/>
  <c r="AJ1156" i="19"/>
  <c r="AK1156" i="19" s="1" a="1"/>
  <c r="AK1156" i="19" s="1"/>
  <c r="AK1144" i="19" a="1"/>
  <c r="AK1144" i="19" s="1"/>
  <c r="AD962" i="19"/>
  <c r="AE625" i="19"/>
  <c r="AD621" i="19"/>
  <c r="AF593" i="19"/>
  <c r="AK848" i="19" a="1"/>
  <c r="AK848" i="19" s="1"/>
  <c r="AK1433" i="19" a="1"/>
  <c r="AK1433" i="19" s="1"/>
  <c r="AK919" i="19" a="1"/>
  <c r="AK919" i="19" s="1"/>
  <c r="AE901" i="19"/>
  <c r="AK705" i="19" a="1"/>
  <c r="AK705" i="19" s="1"/>
  <c r="AK664" i="19" a="1"/>
  <c r="AK664" i="19" s="1"/>
  <c r="X634" i="19"/>
  <c r="AK1484" i="19" a="1"/>
  <c r="AK1484" i="19" s="1"/>
  <c r="AK1116" i="19" a="1"/>
  <c r="AK1116" i="19" s="1"/>
  <c r="AE758" i="19"/>
  <c r="AK1248" i="19" a="1"/>
  <c r="AK1248" i="19" s="1"/>
  <c r="AK1289" i="19" a="1"/>
  <c r="AK1289" i="19" s="1"/>
  <c r="AK1273" i="19" a="1"/>
  <c r="AK1273" i="19" s="1"/>
  <c r="AK1191" i="19" a="1"/>
  <c r="AK1191" i="19" s="1"/>
  <c r="AJ1132" i="19"/>
  <c r="AK1132" i="19" s="1" a="1"/>
  <c r="AK1132" i="19" s="1"/>
  <c r="AK1023" i="19" a="1"/>
  <c r="AK1023" i="19" s="1"/>
  <c r="AK823" i="19" a="1"/>
  <c r="AK823" i="19" s="1"/>
  <c r="AE829" i="19"/>
  <c r="AD559" i="19"/>
  <c r="AK1490" i="19" a="1"/>
  <c r="AK1490" i="19" s="1"/>
  <c r="AK1148" i="19" a="1"/>
  <c r="AK1148" i="19" s="1"/>
  <c r="AK1296" i="19" a="1"/>
  <c r="AK1296" i="19" s="1"/>
  <c r="AE1289" i="19"/>
  <c r="AK1250" i="19" a="1"/>
  <c r="AK1250" i="19" s="1"/>
  <c r="AE1244" i="19"/>
  <c r="AK1203" i="19" a="1"/>
  <c r="AK1203" i="19" s="1"/>
  <c r="AK1155" i="19" a="1"/>
  <c r="AK1155" i="19" s="1"/>
  <c r="AF984" i="19"/>
  <c r="AF917" i="19"/>
  <c r="AK1486" i="19" a="1"/>
  <c r="AK1486" i="19" s="1"/>
  <c r="AD1289" i="19"/>
  <c r="AK1228" i="19" a="1"/>
  <c r="AK1228" i="19" s="1"/>
  <c r="AK1061" i="19" a="1"/>
  <c r="AK1061" i="19" s="1"/>
  <c r="AE984" i="19"/>
  <c r="AE917" i="19"/>
  <c r="AK834" i="19" a="1"/>
  <c r="AK834" i="19" s="1"/>
  <c r="AF587" i="19"/>
  <c r="AK566" i="19" a="1"/>
  <c r="AK566" i="19" s="1"/>
  <c r="AK560" i="19" a="1"/>
  <c r="AK560" i="19" s="1"/>
  <c r="AK1385" i="19" a="1"/>
  <c r="AK1385" i="19" s="1"/>
  <c r="AF1361" i="19"/>
  <c r="AF1134" i="19"/>
  <c r="AK1129" i="19" a="1"/>
  <c r="AK1129" i="19" s="1"/>
  <c r="AE958" i="19"/>
  <c r="AF838" i="19"/>
  <c r="AK803" i="19" a="1"/>
  <c r="AK803" i="19" s="1"/>
  <c r="AK649" i="19" a="1"/>
  <c r="AK649" i="19" s="1"/>
  <c r="AD587" i="19"/>
  <c r="AK1515" i="19" a="1"/>
  <c r="AK1515" i="19" s="1"/>
  <c r="F1493" i="19"/>
  <c r="AK1493" i="19" a="1"/>
  <c r="AK1493" i="19" s="1"/>
  <c r="AK758" i="19" a="1"/>
  <c r="AK758" i="19" s="1"/>
  <c r="AD591" i="19"/>
  <c r="AE591" i="19"/>
  <c r="AK1267" i="19" a="1"/>
  <c r="AK1267" i="19" s="1"/>
  <c r="AF1392" i="19"/>
  <c r="AE1392" i="19"/>
  <c r="AK1285" i="19" a="1"/>
  <c r="AK1285" i="19" s="1"/>
  <c r="AK1115" i="19" a="1"/>
  <c r="AK1115" i="19" s="1"/>
  <c r="W1013" i="19"/>
  <c r="AE930" i="19"/>
  <c r="AD930" i="19"/>
  <c r="AF818" i="19"/>
  <c r="AK829" i="19" a="1"/>
  <c r="AK829" i="19" s="1"/>
  <c r="AE649" i="19"/>
  <c r="AK608" i="19" a="1"/>
  <c r="AK608" i="19" s="1"/>
  <c r="AD928" i="19"/>
  <c r="AE928" i="19"/>
  <c r="AK1495" i="19" a="1"/>
  <c r="AK1495" i="19" s="1"/>
  <c r="AK1533" i="19" a="1"/>
  <c r="AK1533" i="19" s="1"/>
  <c r="AK1530" i="19" a="1"/>
  <c r="AK1530" i="19" s="1"/>
  <c r="AK909" i="19" a="1"/>
  <c r="AK909" i="19" s="1"/>
  <c r="X624" i="19"/>
  <c r="AD1134" i="19"/>
  <c r="AK1138" i="19" a="1"/>
  <c r="AK1138" i="19" s="1"/>
  <c r="AF845" i="19"/>
  <c r="AD834" i="19"/>
  <c r="AE705" i="19"/>
  <c r="AK1498" i="19" a="1"/>
  <c r="AK1498" i="19" s="1"/>
  <c r="AK1381" i="19" a="1"/>
  <c r="AK1381" i="19" s="1"/>
  <c r="AE1060" i="19"/>
  <c r="AF840" i="19"/>
  <c r="AK807" i="19" a="1"/>
  <c r="AK807" i="19" s="1"/>
  <c r="AK780" i="19" a="1"/>
  <c r="AK780" i="19" s="1"/>
  <c r="AK771" i="19" a="1"/>
  <c r="AK771" i="19" s="1"/>
  <c r="AD1391" i="19"/>
  <c r="AE1360" i="19"/>
  <c r="AK1257" i="19" a="1"/>
  <c r="AK1257" i="19" s="1"/>
  <c r="AE840" i="19"/>
  <c r="AE589" i="19"/>
  <c r="AK588" i="19" a="1"/>
  <c r="AK588" i="19" s="1"/>
  <c r="AF1163" i="19"/>
  <c r="AK916" i="19" a="1"/>
  <c r="AK916" i="19" s="1"/>
  <c r="AK1370" i="19" a="1"/>
  <c r="AK1370" i="19" s="1"/>
  <c r="AK1237" i="19" a="1"/>
  <c r="AK1237" i="19" s="1"/>
  <c r="AK1196" i="19" a="1"/>
  <c r="AK1196" i="19" s="1"/>
  <c r="W1222" i="19"/>
  <c r="AE1163" i="19"/>
  <c r="AK1072" i="19" a="1"/>
  <c r="AK1072" i="19" s="1"/>
  <c r="AD926" i="19"/>
  <c r="AK854" i="19" a="1"/>
  <c r="AK854" i="19" s="1"/>
  <c r="AE816" i="19"/>
  <c r="W632" i="19"/>
  <c r="AE1028" i="19"/>
  <c r="AF1028" i="19"/>
  <c r="AD816" i="19"/>
  <c r="AE825" i="19"/>
  <c r="AF644" i="19"/>
  <c r="W1391" i="19"/>
  <c r="AK1274" i="19" a="1"/>
  <c r="AK1274" i="19" s="1"/>
  <c r="AK1259" i="19" a="1"/>
  <c r="AK1259" i="19" s="1"/>
  <c r="AF1083" i="19"/>
  <c r="AD1083" i="19"/>
  <c r="AD714" i="19"/>
  <c r="AD619" i="19"/>
  <c r="AE619" i="19"/>
  <c r="AE606" i="19"/>
  <c r="AF606" i="19"/>
  <c r="AK1407" i="19" a="1"/>
  <c r="AK1407" i="19" s="1"/>
  <c r="AK1380" i="19" a="1"/>
  <c r="AK1380" i="19" s="1"/>
  <c r="AK1340" i="19" a="1"/>
  <c r="AK1340" i="19" s="1"/>
  <c r="AK527" i="19" a="1"/>
  <c r="AK527" i="19" s="1"/>
  <c r="AK1536" i="19" a="1"/>
  <c r="AK1536" i="19" s="1"/>
  <c r="AK1387" i="19" a="1"/>
  <c r="AK1387" i="19" s="1"/>
  <c r="AE1159" i="19"/>
  <c r="AD1159" i="19"/>
  <c r="W1012" i="19"/>
  <c r="AK938" i="19" a="1"/>
  <c r="AK938" i="19" s="1"/>
  <c r="AF771" i="19"/>
  <c r="AK1425" i="19" a="1"/>
  <c r="AK1425" i="19" s="1"/>
  <c r="AD1013" i="19"/>
  <c r="AK776" i="19" a="1"/>
  <c r="AK776" i="19" s="1"/>
  <c r="AD771" i="19"/>
  <c r="AD610" i="19"/>
  <c r="AK1409" i="19" a="1"/>
  <c r="AK1409" i="19" s="1"/>
  <c r="AK1290" i="19" a="1"/>
  <c r="AK1290" i="19" s="1"/>
  <c r="AK1199" i="19" a="1"/>
  <c r="AK1199" i="19" s="1"/>
  <c r="AF1080" i="19"/>
  <c r="AK945" i="19" a="1"/>
  <c r="AK945" i="19" s="1"/>
  <c r="AK926" i="19" a="1"/>
  <c r="AK926" i="19" s="1"/>
  <c r="AF798" i="19"/>
  <c r="AK757" i="19" a="1"/>
  <c r="AK757" i="19" s="1"/>
  <c r="AF645" i="19"/>
  <c r="AD645" i="19"/>
  <c r="AF626" i="19"/>
  <c r="AD626" i="19"/>
  <c r="AK1442" i="19" a="1"/>
  <c r="AK1442" i="19" s="1"/>
  <c r="AK1106" i="19" a="1"/>
  <c r="AK1106" i="19" s="1"/>
  <c r="AD1080" i="19"/>
  <c r="AD1027" i="19"/>
  <c r="F991" i="19"/>
  <c r="AD798" i="19"/>
  <c r="AF719" i="19"/>
  <c r="AD719" i="19"/>
  <c r="AE567" i="19"/>
  <c r="W507" i="19"/>
  <c r="AK594" i="19" a="1"/>
  <c r="AK594" i="19" s="1"/>
  <c r="AJ639" i="19"/>
  <c r="AK639" i="19" s="1" a="1"/>
  <c r="AK639" i="19" s="1"/>
  <c r="W451" i="19"/>
  <c r="AK573" i="19" a="1"/>
  <c r="AK573" i="19" s="1"/>
  <c r="AE561" i="19"/>
  <c r="AE477" i="19"/>
  <c r="W496" i="19"/>
  <c r="AK1424" i="19" a="1"/>
  <c r="AK1424" i="19" s="1"/>
  <c r="AK1418" i="19" a="1"/>
  <c r="AK1418" i="19" s="1"/>
  <c r="W873" i="19"/>
  <c r="W636" i="19"/>
  <c r="AK592" i="19" a="1"/>
  <c r="AK592" i="19" s="1"/>
  <c r="AK508" i="19" a="1"/>
  <c r="AK508" i="19" s="1"/>
  <c r="AK578" i="19" a="1"/>
  <c r="AK578" i="19" s="1"/>
  <c r="AD1497" i="19"/>
  <c r="AE1497" i="19"/>
  <c r="AF1497" i="19"/>
  <c r="AD1495" i="19"/>
  <c r="AE1495" i="19"/>
  <c r="F1414" i="19"/>
  <c r="AE1491" i="19"/>
  <c r="AD1491" i="19"/>
  <c r="AD1145" i="19"/>
  <c r="AF1145" i="19"/>
  <c r="K1602" i="16"/>
  <c r="A1602" i="16" s="1"/>
  <c r="AE380" i="19"/>
  <c r="AD380" i="19"/>
  <c r="AF380" i="19"/>
  <c r="AK1492" i="19" a="1"/>
  <c r="AK1492" i="19" s="1"/>
  <c r="AK1482" i="19" a="1"/>
  <c r="AK1482" i="19" s="1"/>
  <c r="O1601" i="16"/>
  <c r="L1601" i="16" s="1"/>
  <c r="A1601" i="16" s="1"/>
  <c r="K1633" i="16"/>
  <c r="A1633" i="16" s="1"/>
  <c r="W1487" i="19"/>
  <c r="F1527" i="19"/>
  <c r="AK1527" i="19" a="1"/>
  <c r="AK1527" i="19" s="1"/>
  <c r="K1628" i="16"/>
  <c r="A1628" i="16" s="1"/>
  <c r="AE1526" i="19"/>
  <c r="AD1526" i="19"/>
  <c r="AF378" i="19"/>
  <c r="AE378" i="19"/>
  <c r="AE1115" i="19"/>
  <c r="AD1115" i="19"/>
  <c r="AE1493" i="19"/>
  <c r="AD1493" i="19"/>
  <c r="F1376" i="19"/>
  <c r="AF1225" i="19"/>
  <c r="AE1225" i="19"/>
  <c r="AD951" i="19"/>
  <c r="AF951" i="19"/>
  <c r="AE890" i="19"/>
  <c r="AD890" i="19"/>
  <c r="AK1472" i="19" a="1"/>
  <c r="AK1472" i="19" s="1"/>
  <c r="X1545" i="19"/>
  <c r="AK1547" i="19" a="1"/>
  <c r="AK1547" i="19" s="1"/>
  <c r="AJ375" i="19"/>
  <c r="AK375" i="19" s="1" a="1"/>
  <c r="AK375" i="19" s="1"/>
  <c r="AK1450" i="19" a="1"/>
  <c r="AK1450" i="19" s="1"/>
  <c r="AD1392" i="19"/>
  <c r="AK1343" i="19" a="1"/>
  <c r="AK1343" i="19" s="1"/>
  <c r="X1266" i="19"/>
  <c r="AD1244" i="19"/>
  <c r="AK1198" i="19" a="1"/>
  <c r="AK1198" i="19" s="1"/>
  <c r="AK1114" i="19" a="1"/>
  <c r="AK1114" i="19" s="1"/>
  <c r="F1055" i="19"/>
  <c r="AF1025" i="19"/>
  <c r="AD1025" i="19"/>
  <c r="AE844" i="19"/>
  <c r="AD844" i="19"/>
  <c r="AK1345" i="19" a="1"/>
  <c r="AK1345" i="19" s="1"/>
  <c r="AK1254" i="19" a="1"/>
  <c r="AK1254" i="19" s="1"/>
  <c r="AJ1012" i="19"/>
  <c r="AK1012" i="19" s="1" a="1"/>
  <c r="AK1012" i="19" s="1"/>
  <c r="AD983" i="19"/>
  <c r="AE983" i="19"/>
  <c r="AF963" i="19"/>
  <c r="AD963" i="19"/>
  <c r="AE963" i="19"/>
  <c r="AK895" i="19" a="1"/>
  <c r="AK895" i="19" s="1"/>
  <c r="AD873" i="19"/>
  <c r="AE873" i="19"/>
  <c r="AD828" i="19"/>
  <c r="AK1462" i="19" a="1"/>
  <c r="AK1462" i="19" s="1"/>
  <c r="AE1389" i="19"/>
  <c r="X1384" i="19"/>
  <c r="AK1287" i="19" a="1"/>
  <c r="AK1287" i="19" s="1"/>
  <c r="AJ1245" i="19"/>
  <c r="AK1245" i="19" s="1" a="1"/>
  <c r="AK1245" i="19" s="1"/>
  <c r="AJ1011" i="19"/>
  <c r="AK1011" i="19" s="1" a="1"/>
  <c r="AK1011" i="19" s="1"/>
  <c r="AD841" i="19"/>
  <c r="AE841" i="19"/>
  <c r="AF841" i="19"/>
  <c r="AK1497" i="19" a="1"/>
  <c r="AK1497" i="19" s="1"/>
  <c r="AJ1391" i="19"/>
  <c r="AK1391" i="19" s="1" a="1"/>
  <c r="AK1391" i="19" s="1"/>
  <c r="AK1386" i="19" a="1"/>
  <c r="AK1386" i="19" s="1"/>
  <c r="AK1277" i="19" a="1"/>
  <c r="AK1277" i="19" s="1"/>
  <c r="AE1222" i="19"/>
  <c r="AD1222" i="19"/>
  <c r="AD863" i="19"/>
  <c r="AE863" i="19"/>
  <c r="AF863" i="19"/>
  <c r="AD1012" i="19"/>
  <c r="AF1012" i="19"/>
  <c r="AK1005" i="19" a="1"/>
  <c r="AK1005" i="19" s="1"/>
  <c r="AE835" i="19"/>
  <c r="AD835" i="19"/>
  <c r="AD822" i="19"/>
  <c r="AF822" i="19"/>
  <c r="AJ380" i="19"/>
  <c r="AK380" i="19" s="1" a="1"/>
  <c r="AK380" i="19" s="1"/>
  <c r="AK1421" i="19" a="1"/>
  <c r="AK1421" i="19" s="1"/>
  <c r="AK1313" i="19" a="1"/>
  <c r="AK1313" i="19" s="1"/>
  <c r="AD1258" i="19"/>
  <c r="AF1258" i="19"/>
  <c r="AF1219" i="19"/>
  <c r="AD1219" i="19"/>
  <c r="AF1153" i="19"/>
  <c r="AD1135" i="19"/>
  <c r="AE1135" i="19"/>
  <c r="AD1128" i="19"/>
  <c r="AF1128" i="19"/>
  <c r="AE1076" i="19"/>
  <c r="AF1076" i="19"/>
  <c r="AE979" i="19"/>
  <c r="AD979" i="19"/>
  <c r="AD842" i="19"/>
  <c r="AE842" i="19"/>
  <c r="AF842" i="19"/>
  <c r="F1377" i="19"/>
  <c r="AK1377" i="19" a="1"/>
  <c r="AK1377" i="19" s="1"/>
  <c r="AK1206" i="19" a="1"/>
  <c r="AK1206" i="19" s="1"/>
  <c r="AK1182" i="19" a="1"/>
  <c r="AK1182" i="19" s="1"/>
  <c r="AE1153" i="19"/>
  <c r="AD1002" i="19"/>
  <c r="AE1002" i="19"/>
  <c r="AK792" i="19" a="1"/>
  <c r="AK792" i="19" s="1"/>
  <c r="AK1308" i="19" a="1"/>
  <c r="AK1308" i="19" s="1"/>
  <c r="AE1160" i="19"/>
  <c r="AF1160" i="19"/>
  <c r="AE1077" i="19"/>
  <c r="AJ1545" i="19"/>
  <c r="AK1545" i="19" s="1" a="1"/>
  <c r="AK1545" i="19" s="1"/>
  <c r="AD1325" i="19"/>
  <c r="AK1337" i="19" a="1"/>
  <c r="AK1337" i="19" s="1"/>
  <c r="AE1320" i="19"/>
  <c r="AF952" i="19"/>
  <c r="AD952" i="19"/>
  <c r="AE952" i="19"/>
  <c r="AE801" i="19"/>
  <c r="AD801" i="19"/>
  <c r="AD894" i="19"/>
  <c r="AE894" i="19"/>
  <c r="AF894" i="19"/>
  <c r="AD869" i="19"/>
  <c r="AE869" i="19"/>
  <c r="AF869" i="19"/>
  <c r="AD1084" i="19"/>
  <c r="AF1084" i="19"/>
  <c r="AD1402" i="19"/>
  <c r="X1391" i="19"/>
  <c r="AD961" i="19"/>
  <c r="AE961" i="19"/>
  <c r="AF961" i="19"/>
  <c r="AK1374" i="19" a="1"/>
  <c r="AK1374" i="19" s="1"/>
  <c r="AF965" i="19"/>
  <c r="AE965" i="19"/>
  <c r="W1545" i="19"/>
  <c r="W380" i="19"/>
  <c r="AK1300" i="19" a="1"/>
  <c r="AK1300" i="19" s="1"/>
  <c r="AK1271" i="19" a="1"/>
  <c r="AK1271" i="19" s="1"/>
  <c r="AE1264" i="19"/>
  <c r="AF1264" i="19"/>
  <c r="AD1225" i="19"/>
  <c r="AK944" i="19" a="1"/>
  <c r="AK944" i="19" s="1"/>
  <c r="AF926" i="19"/>
  <c r="AE926" i="19"/>
  <c r="X1082" i="19"/>
  <c r="AK1071" i="19" a="1"/>
  <c r="AK1071" i="19" s="1"/>
  <c r="W917" i="19"/>
  <c r="AK832" i="19" a="1"/>
  <c r="AK832" i="19" s="1"/>
  <c r="AD829" i="19"/>
  <c r="AK738" i="19" a="1"/>
  <c r="AK738" i="19" s="1"/>
  <c r="AK742" i="19" a="1"/>
  <c r="AK742" i="19" s="1"/>
  <c r="AF722" i="19"/>
  <c r="AE709" i="19"/>
  <c r="AE593" i="19"/>
  <c r="AE464" i="19"/>
  <c r="AF751" i="19"/>
  <c r="AE607" i="19"/>
  <c r="AK559" i="19" a="1"/>
  <c r="AK559" i="19" s="1"/>
  <c r="AD464" i="19"/>
  <c r="AD459" i="19"/>
  <c r="AK1375" i="19" a="1"/>
  <c r="AK1375" i="19" s="1"/>
  <c r="AK1350" i="19" a="1"/>
  <c r="AK1350" i="19" s="1"/>
  <c r="AK1334" i="19" a="1"/>
  <c r="AK1334" i="19" s="1"/>
  <c r="AK1184" i="19" a="1"/>
  <c r="AK1184" i="19" s="1"/>
  <c r="AK893" i="19" a="1"/>
  <c r="AK893" i="19" s="1"/>
  <c r="AE879" i="19"/>
  <c r="AK859" i="19" a="1"/>
  <c r="AK859" i="19" s="1"/>
  <c r="AE845" i="19"/>
  <c r="AK814" i="19" a="1"/>
  <c r="AK814" i="19" s="1"/>
  <c r="AK830" i="19" a="1"/>
  <c r="AK830" i="19" s="1"/>
  <c r="AK766" i="19" a="1"/>
  <c r="AK766" i="19" s="1"/>
  <c r="AK750" i="19" a="1"/>
  <c r="AK750" i="19" s="1"/>
  <c r="AD659" i="19"/>
  <c r="AK591" i="19" a="1"/>
  <c r="AK591" i="19" s="1"/>
  <c r="AE885" i="19"/>
  <c r="AK837" i="19" a="1"/>
  <c r="AK837" i="19" s="1"/>
  <c r="AK794" i="19" a="1"/>
  <c r="AK794" i="19" s="1"/>
  <c r="AK719" i="19" a="1"/>
  <c r="AK719" i="19" s="1"/>
  <c r="X633" i="19"/>
  <c r="X625" i="19"/>
  <c r="AE611" i="19"/>
  <c r="AK600" i="19" a="1"/>
  <c r="AK600" i="19" s="1"/>
  <c r="AK872" i="19" a="1"/>
  <c r="AK872" i="19" s="1"/>
  <c r="AK838" i="19" a="1"/>
  <c r="AK838" i="19" s="1"/>
  <c r="AK831" i="19" a="1"/>
  <c r="AK831" i="19" s="1"/>
  <c r="X808" i="19"/>
  <c r="AE716" i="19"/>
  <c r="AF605" i="19"/>
  <c r="AD611" i="19"/>
  <c r="AE615" i="19"/>
  <c r="AF591" i="19"/>
  <c r="AK510" i="19" a="1"/>
  <c r="AK510" i="19" s="1"/>
  <c r="AK1252" i="19" a="1"/>
  <c r="AK1252" i="19" s="1"/>
  <c r="AK1080" i="19" a="1"/>
  <c r="AK1080" i="19" s="1"/>
  <c r="W993" i="19"/>
  <c r="AK1100" i="19" a="1"/>
  <c r="AK1100" i="19" s="1"/>
  <c r="AK1069" i="19" a="1"/>
  <c r="AK1069" i="19" s="1"/>
  <c r="AK866" i="19" a="1"/>
  <c r="AK866" i="19" s="1"/>
  <c r="AF793" i="19"/>
  <c r="AF711" i="19"/>
  <c r="F926" i="19"/>
  <c r="AK819" i="19" a="1"/>
  <c r="AK819" i="19" s="1"/>
  <c r="AE793" i="19"/>
  <c r="AK756" i="19" a="1"/>
  <c r="AK756" i="19" s="1"/>
  <c r="AD711" i="19"/>
  <c r="AF702" i="19"/>
  <c r="AF589" i="19"/>
  <c r="AF473" i="19"/>
  <c r="AJ1266" i="19"/>
  <c r="AK1266" i="19" s="1" a="1"/>
  <c r="AK1266" i="19" s="1"/>
  <c r="AK1186" i="19" a="1"/>
  <c r="AK1186" i="19" s="1"/>
  <c r="X1165" i="19"/>
  <c r="W1158" i="19"/>
  <c r="AK1074" i="19" a="1"/>
  <c r="AK1074" i="19" s="1"/>
  <c r="AE702" i="19"/>
  <c r="AJ635" i="19"/>
  <c r="AK635" i="19" s="1" a="1"/>
  <c r="AK635" i="19" s="1"/>
  <c r="F705" i="19"/>
  <c r="AJ625" i="19"/>
  <c r="AK625" i="19" s="1" a="1"/>
  <c r="AK625" i="19" s="1"/>
  <c r="W623" i="19"/>
  <c r="AD509" i="19"/>
  <c r="W1382" i="19"/>
  <c r="AK1264" i="19" a="1"/>
  <c r="AK1264" i="19" s="1"/>
  <c r="AK1174" i="19" a="1"/>
  <c r="AK1174" i="19" s="1"/>
  <c r="W1002" i="19"/>
  <c r="AK994" i="19" a="1"/>
  <c r="AK994" i="19" s="1"/>
  <c r="AK905" i="19" a="1"/>
  <c r="AK905" i="19" s="1"/>
  <c r="AK880" i="19" a="1"/>
  <c r="AK880" i="19" s="1"/>
  <c r="AK800" i="19" a="1"/>
  <c r="AK800" i="19" s="1"/>
  <c r="AK1318" i="19" a="1"/>
  <c r="AK1318" i="19" s="1"/>
  <c r="AK1283" i="19" a="1"/>
  <c r="AK1283" i="19" s="1"/>
  <c r="AK1255" i="19" a="1"/>
  <c r="AK1255" i="19" s="1"/>
  <c r="AK1246" i="19" a="1"/>
  <c r="AK1246" i="19" s="1"/>
  <c r="AK1130" i="19" a="1"/>
  <c r="AK1130" i="19" s="1"/>
  <c r="AK1110" i="19" a="1"/>
  <c r="AK1110" i="19" s="1"/>
  <c r="AJ1059" i="19"/>
  <c r="AK1059" i="19" s="1" a="1"/>
  <c r="AK1059" i="19" s="1"/>
  <c r="AK733" i="19" a="1"/>
  <c r="AK733" i="19" s="1"/>
  <c r="AJ622" i="19"/>
  <c r="AK622" i="19" s="1" a="1"/>
  <c r="AK622" i="19" s="1"/>
  <c r="AF555" i="19"/>
  <c r="AK1448" i="19" a="1"/>
  <c r="AK1448" i="19" s="1"/>
  <c r="AK1430" i="19" a="1"/>
  <c r="AK1430" i="19" s="1"/>
  <c r="AK1426" i="19" a="1"/>
  <c r="AK1426" i="19" s="1"/>
  <c r="AK1423" i="19" a="1"/>
  <c r="AK1423" i="19" s="1"/>
  <c r="AK1419" i="19" a="1"/>
  <c r="AK1419" i="19" s="1"/>
  <c r="AK1378" i="19" a="1"/>
  <c r="AK1378" i="19" s="1"/>
  <c r="AK1372" i="19" a="1"/>
  <c r="AK1372" i="19" s="1"/>
  <c r="AK1346" i="19" a="1"/>
  <c r="AK1346" i="19" s="1"/>
  <c r="AK1117" i="19" a="1"/>
  <c r="AK1117" i="19" s="1"/>
  <c r="AK1063" i="19" a="1"/>
  <c r="AK1063" i="19" s="1"/>
  <c r="AK820" i="19" a="1"/>
  <c r="AK820" i="19" s="1"/>
  <c r="AK778" i="19" a="1"/>
  <c r="AK778" i="19" s="1"/>
  <c r="AK669" i="19" a="1"/>
  <c r="AK669" i="19" s="1"/>
  <c r="AK607" i="19" a="1"/>
  <c r="AK607" i="19" s="1"/>
  <c r="AK611" i="19" a="1"/>
  <c r="AK611" i="19" s="1"/>
  <c r="AK612" i="19" a="1"/>
  <c r="AK612" i="19" s="1"/>
  <c r="AK562" i="19" a="1"/>
  <c r="AK562" i="19" s="1"/>
  <c r="W512" i="19"/>
  <c r="AE1167" i="19"/>
  <c r="AD1167" i="19"/>
  <c r="AF1167" i="19"/>
  <c r="AD1329" i="19"/>
  <c r="AF1329" i="19"/>
  <c r="AK1432" i="19" a="1"/>
  <c r="AK1432" i="19" s="1"/>
  <c r="F1432" i="19"/>
  <c r="AK1494" i="19" a="1"/>
  <c r="AK1494" i="19" s="1"/>
  <c r="AK1471" i="19" a="1"/>
  <c r="AK1471" i="19" s="1"/>
  <c r="F1368" i="19"/>
  <c r="AK1368" i="19" a="1"/>
  <c r="AK1368" i="19" s="1"/>
  <c r="AJ1158" i="19"/>
  <c r="AK1158" i="19" s="1" a="1"/>
  <c r="AK1158" i="19" s="1"/>
  <c r="AE1499" i="19"/>
  <c r="AD1499" i="19"/>
  <c r="AE772" i="19"/>
  <c r="AF772" i="19"/>
  <c r="AD772" i="19"/>
  <c r="W1388" i="19"/>
  <c r="AJ1388" i="19"/>
  <c r="AK1388" i="19" s="1" a="1"/>
  <c r="AK1388" i="19" s="1"/>
  <c r="AF1319" i="19"/>
  <c r="AD1319" i="19"/>
  <c r="AE1319" i="19"/>
  <c r="AF1494" i="19"/>
  <c r="AE1494" i="19"/>
  <c r="F1047" i="19"/>
  <c r="AK1047" i="19" a="1"/>
  <c r="AK1047" i="19" s="1"/>
  <c r="AF827" i="19"/>
  <c r="AE827" i="19"/>
  <c r="AK1477" i="19" a="1"/>
  <c r="AK1477" i="19" s="1"/>
  <c r="AD1328" i="19"/>
  <c r="AE1328" i="19"/>
  <c r="AF1328" i="19"/>
  <c r="AK971" i="19" a="1"/>
  <c r="AK971" i="19" s="1"/>
  <c r="F971" i="19"/>
  <c r="AK1439" i="19" a="1"/>
  <c r="AK1439" i="19" s="1"/>
  <c r="AK1356" i="19" a="1"/>
  <c r="AK1356" i="19" s="1"/>
  <c r="AF1496" i="19"/>
  <c r="AD1496" i="19"/>
  <c r="F1382" i="19"/>
  <c r="AK1417" i="19" a="1"/>
  <c r="AK1417" i="19" s="1"/>
  <c r="AK1392" i="19" a="1"/>
  <c r="AK1392" i="19" s="1"/>
  <c r="F1392" i="19"/>
  <c r="AK1338" i="19" a="1"/>
  <c r="AK1338" i="19" s="1"/>
  <c r="AE1166" i="19"/>
  <c r="AK1131" i="19" a="1"/>
  <c r="AK1131" i="19" s="1"/>
  <c r="AK1070" i="19" a="1"/>
  <c r="AK1070" i="19" s="1"/>
  <c r="F1018" i="19"/>
  <c r="AK840" i="19" a="1"/>
  <c r="AK840" i="19" s="1"/>
  <c r="F840" i="19"/>
  <c r="F1437" i="19"/>
  <c r="AE1260" i="19"/>
  <c r="AF1260" i="19"/>
  <c r="AK1226" i="19" a="1"/>
  <c r="AK1226" i="19" s="1"/>
  <c r="AD1224" i="19"/>
  <c r="AF1224" i="19"/>
  <c r="AD1166" i="19"/>
  <c r="W1165" i="19"/>
  <c r="W1156" i="19"/>
  <c r="AK1119" i="19" a="1"/>
  <c r="AK1119" i="19" s="1"/>
  <c r="F1119" i="19"/>
  <c r="AK1105" i="19" a="1"/>
  <c r="AK1105" i="19" s="1"/>
  <c r="AK1038" i="19" a="1"/>
  <c r="AK1038" i="19" s="1"/>
  <c r="AF983" i="19"/>
  <c r="AE778" i="19"/>
  <c r="AD778" i="19"/>
  <c r="AF778" i="19"/>
  <c r="AE931" i="19"/>
  <c r="AF931" i="19"/>
  <c r="AD931" i="19"/>
  <c r="AF792" i="19"/>
  <c r="AE792" i="19"/>
  <c r="AD792" i="19"/>
  <c r="AD770" i="19"/>
  <c r="AE770" i="19"/>
  <c r="AF770" i="19"/>
  <c r="AE650" i="19"/>
  <c r="AF650" i="19"/>
  <c r="AK1443" i="19" a="1"/>
  <c r="AK1443" i="19" s="1"/>
  <c r="AK1438" i="19" a="1"/>
  <c r="AK1438" i="19" s="1"/>
  <c r="AE1154" i="19"/>
  <c r="AF1154" i="19"/>
  <c r="AK1083" i="19" a="1"/>
  <c r="AK1083" i="19" s="1"/>
  <c r="X1027" i="19"/>
  <c r="AJ1002" i="19"/>
  <c r="AK1002" i="19" s="1" a="1"/>
  <c r="AK1002" i="19" s="1"/>
  <c r="AD916" i="19"/>
  <c r="AE916" i="19"/>
  <c r="AF892" i="19"/>
  <c r="AD892" i="19"/>
  <c r="AE892" i="19"/>
  <c r="F675" i="19"/>
  <c r="AK1441" i="19" a="1"/>
  <c r="AK1441" i="19" s="1"/>
  <c r="AK1416" i="19" a="1"/>
  <c r="AK1416" i="19" s="1"/>
  <c r="X1388" i="19"/>
  <c r="AD1384" i="19"/>
  <c r="AE1384" i="19"/>
  <c r="X1382" i="19"/>
  <c r="F1383" i="19"/>
  <c r="AD1360" i="19"/>
  <c r="F1327" i="19"/>
  <c r="AK1046" i="19" a="1"/>
  <c r="AK1046" i="19" s="1"/>
  <c r="AF1010" i="19"/>
  <c r="AE1010" i="19"/>
  <c r="AD959" i="19"/>
  <c r="AE959" i="19"/>
  <c r="AE866" i="19"/>
  <c r="AF866" i="19"/>
  <c r="F773" i="19"/>
  <c r="AK773" i="19" a="1"/>
  <c r="AK773" i="19" s="1"/>
  <c r="AJ1487" i="19"/>
  <c r="AK1487" i="19" s="1" a="1"/>
  <c r="AK1487" i="19" s="1"/>
  <c r="AK1463" i="19" a="1"/>
  <c r="AK1463" i="19" s="1"/>
  <c r="AK1347" i="19" a="1"/>
  <c r="AK1347" i="19" s="1"/>
  <c r="AJ1265" i="19"/>
  <c r="AK1265" i="19" s="1" a="1"/>
  <c r="AK1265" i="19" s="1"/>
  <c r="W1245" i="19"/>
  <c r="AK1140" i="19" a="1"/>
  <c r="AK1140" i="19" s="1"/>
  <c r="F952" i="19"/>
  <c r="AK952" i="19" a="1"/>
  <c r="AK952" i="19" s="1"/>
  <c r="AD826" i="19"/>
  <c r="AF826" i="19"/>
  <c r="AK2343" i="19" a="1"/>
  <c r="AK2343" i="19" s="1"/>
  <c r="AK1459" i="19" a="1"/>
  <c r="AK1459" i="19" s="1"/>
  <c r="AD1387" i="19"/>
  <c r="W1384" i="19"/>
  <c r="AK1336" i="19" a="1"/>
  <c r="AK1336" i="19" s="1"/>
  <c r="AK1301" i="19" a="1"/>
  <c r="AK1301" i="19" s="1"/>
  <c r="AD1295" i="19"/>
  <c r="AF1295" i="19"/>
  <c r="AF1261" i="19"/>
  <c r="AK1225" i="19" a="1"/>
  <c r="AK1225" i="19" s="1"/>
  <c r="AK1163" i="19" a="1"/>
  <c r="AK1163" i="19" s="1"/>
  <c r="AE1145" i="19"/>
  <c r="AK1098" i="19" a="1"/>
  <c r="AK1098" i="19" s="1"/>
  <c r="AF1082" i="19"/>
  <c r="X1036" i="19"/>
  <c r="AK1034" i="19" a="1"/>
  <c r="AK1034" i="19" s="1"/>
  <c r="AK1004" i="19" a="1"/>
  <c r="AK1004" i="19" s="1"/>
  <c r="AE924" i="19"/>
  <c r="AF924" i="19"/>
  <c r="AK898" i="19" a="1"/>
  <c r="AK898" i="19" s="1"/>
  <c r="AE868" i="19"/>
  <c r="AD868" i="19"/>
  <c r="AF868" i="19"/>
  <c r="AD846" i="19"/>
  <c r="AF846" i="19"/>
  <c r="AF797" i="19"/>
  <c r="AD797" i="19"/>
  <c r="AE797" i="19"/>
  <c r="F754" i="19"/>
  <c r="AK754" i="19" a="1"/>
  <c r="AK754" i="19" s="1"/>
  <c r="AK1476" i="19" a="1"/>
  <c r="AK1476" i="19" s="1"/>
  <c r="AK1402" i="19" a="1"/>
  <c r="AK1402" i="19" s="1"/>
  <c r="AF1386" i="19"/>
  <c r="AF1357" i="19"/>
  <c r="AE1357" i="19"/>
  <c r="AF1266" i="19"/>
  <c r="AD1261" i="19"/>
  <c r="X1158" i="19"/>
  <c r="AF1143" i="19"/>
  <c r="AD1082" i="19"/>
  <c r="AJ1081" i="19"/>
  <c r="AK1081" i="19" s="1" a="1"/>
  <c r="AK1081" i="19" s="1"/>
  <c r="AJ1001" i="19"/>
  <c r="AK1001" i="19" s="1" a="1"/>
  <c r="AK1001" i="19" s="1"/>
  <c r="AK937" i="19" a="1"/>
  <c r="AK937" i="19" s="1"/>
  <c r="AD887" i="19"/>
  <c r="AF887" i="19"/>
  <c r="AF867" i="19"/>
  <c r="AE1386" i="19"/>
  <c r="AK1353" i="19" a="1"/>
  <c r="AK1353" i="19" s="1"/>
  <c r="AF1323" i="19"/>
  <c r="AE1323" i="19"/>
  <c r="AE1266" i="19"/>
  <c r="AD1257" i="19"/>
  <c r="AF1257" i="19"/>
  <c r="AK1212" i="19" a="1"/>
  <c r="AK1212" i="19" s="1"/>
  <c r="AD1221" i="19"/>
  <c r="AE1221" i="19"/>
  <c r="AE1143" i="19"/>
  <c r="AD1116" i="19"/>
  <c r="AE1116" i="19"/>
  <c r="AK1073" i="19" a="1"/>
  <c r="AK1073" i="19" s="1"/>
  <c r="AK1068" i="19" a="1"/>
  <c r="AK1068" i="19" s="1"/>
  <c r="W1036" i="19"/>
  <c r="AK1022" i="19" a="1"/>
  <c r="AK1022" i="19" s="1"/>
  <c r="F1022" i="19"/>
  <c r="AD966" i="19"/>
  <c r="AE966" i="19"/>
  <c r="AF929" i="19"/>
  <c r="AE929" i="19"/>
  <c r="AE867" i="19"/>
  <c r="AD833" i="19"/>
  <c r="AE833" i="19"/>
  <c r="F789" i="19"/>
  <c r="AF1161" i="19"/>
  <c r="AE1161" i="19"/>
  <c r="AK960" i="19" a="1"/>
  <c r="AK960" i="19" s="1"/>
  <c r="F903" i="19"/>
  <c r="F822" i="19"/>
  <c r="AK822" i="19" a="1"/>
  <c r="AK822" i="19" s="1"/>
  <c r="AF718" i="19"/>
  <c r="AE718" i="19"/>
  <c r="AD718" i="19"/>
  <c r="AK1460" i="19" a="1"/>
  <c r="AK1460" i="19" s="1"/>
  <c r="AF1450" i="19"/>
  <c r="F1449" i="19"/>
  <c r="AK1449" i="19" a="1"/>
  <c r="AK1449" i="19" s="1"/>
  <c r="AK1403" i="19" a="1"/>
  <c r="AK1403" i="19" s="1"/>
  <c r="AD1393" i="19"/>
  <c r="AE1393" i="19"/>
  <c r="AF1385" i="19"/>
  <c r="AD1356" i="19"/>
  <c r="AF1350" i="19"/>
  <c r="AE1318" i="19"/>
  <c r="AD1318" i="19"/>
  <c r="AF1259" i="19"/>
  <c r="AJ1244" i="19"/>
  <c r="AK1244" i="19" s="1" a="1"/>
  <c r="AK1244" i="19" s="1"/>
  <c r="AF1132" i="19"/>
  <c r="AE1132" i="19"/>
  <c r="AK1123" i="19" a="1"/>
  <c r="AK1123" i="19" s="1"/>
  <c r="AK1056" i="19" a="1"/>
  <c r="AK1056" i="19" s="1"/>
  <c r="AK996" i="19" a="1"/>
  <c r="AK996" i="19" s="1"/>
  <c r="AK923" i="19" a="1"/>
  <c r="AK923" i="19" s="1"/>
  <c r="F900" i="19"/>
  <c r="AK818" i="19" a="1"/>
  <c r="AK818" i="19" s="1"/>
  <c r="AD819" i="19"/>
  <c r="AE819" i="19"/>
  <c r="AE830" i="19"/>
  <c r="AD830" i="19"/>
  <c r="AE707" i="19"/>
  <c r="AF707" i="19"/>
  <c r="AD707" i="19"/>
  <c r="AE1450" i="19"/>
  <c r="X1383" i="19"/>
  <c r="AE1350" i="19"/>
  <c r="AK1339" i="19" a="1"/>
  <c r="AK1339" i="19" s="1"/>
  <c r="AF1299" i="19"/>
  <c r="AK1260" i="19" a="1"/>
  <c r="AK1260" i="19" s="1"/>
  <c r="AD1259" i="19"/>
  <c r="AK1124" i="19" a="1"/>
  <c r="AK1124" i="19" s="1"/>
  <c r="W1001" i="19"/>
  <c r="X1002" i="19"/>
  <c r="AE919" i="19"/>
  <c r="AD919" i="19"/>
  <c r="AD864" i="19"/>
  <c r="AF864" i="19"/>
  <c r="AF594" i="19"/>
  <c r="AD594" i="19"/>
  <c r="AE594" i="19"/>
  <c r="AK1406" i="19" a="1"/>
  <c r="AK1406" i="19" s="1"/>
  <c r="AF1403" i="19"/>
  <c r="AF1382" i="19"/>
  <c r="AK1151" i="19" a="1"/>
  <c r="AK1151" i="19" s="1"/>
  <c r="AK1137" i="19" a="1"/>
  <c r="AK1137" i="19" s="1"/>
  <c r="AK1065" i="19" a="1"/>
  <c r="AK1065" i="19" s="1"/>
  <c r="AK947" i="19" a="1"/>
  <c r="AK947" i="19" s="1"/>
  <c r="AK902" i="19" a="1"/>
  <c r="AK902" i="19" s="1"/>
  <c r="F902" i="19"/>
  <c r="AD624" i="19"/>
  <c r="AF624" i="19"/>
  <c r="AE624" i="19"/>
  <c r="AD613" i="19"/>
  <c r="AE613" i="19"/>
  <c r="AF613" i="19"/>
  <c r="AE1403" i="19"/>
  <c r="AF1389" i="19"/>
  <c r="AD1382" i="19"/>
  <c r="W1383" i="19"/>
  <c r="W1266" i="19"/>
  <c r="AK1238" i="19" a="1"/>
  <c r="AK1238" i="19" s="1"/>
  <c r="AK1218" i="19" a="1"/>
  <c r="AK1218" i="19" s="1"/>
  <c r="AK1171" i="19" a="1"/>
  <c r="AK1171" i="19" s="1"/>
  <c r="AK1166" i="19" a="1"/>
  <c r="AK1166" i="19" s="1"/>
  <c r="AD1133" i="19"/>
  <c r="AF1133" i="19"/>
  <c r="W1059" i="19"/>
  <c r="AE1014" i="19"/>
  <c r="AF1011" i="19"/>
  <c r="AK935" i="19" a="1"/>
  <c r="AK935" i="19" s="1"/>
  <c r="AK817" i="19" a="1"/>
  <c r="AK817" i="19" s="1"/>
  <c r="F817" i="19"/>
  <c r="AK1434" i="19" a="1"/>
  <c r="AK1434" i="19" s="1"/>
  <c r="AF1388" i="19"/>
  <c r="AD1388" i="19"/>
  <c r="AK1276" i="19" a="1"/>
  <c r="AK1276" i="19" s="1"/>
  <c r="AK1256" i="19" a="1"/>
  <c r="AK1256" i="19" s="1"/>
  <c r="X1156" i="19"/>
  <c r="AK1076" i="19" a="1"/>
  <c r="AK1076" i="19" s="1"/>
  <c r="AK1040" i="19" a="1"/>
  <c r="AK1040" i="19" s="1"/>
  <c r="AD1014" i="19"/>
  <c r="X1001" i="19"/>
  <c r="AF982" i="19"/>
  <c r="AD982" i="19"/>
  <c r="AE982" i="19"/>
  <c r="F911" i="19"/>
  <c r="AK911" i="19" a="1"/>
  <c r="AK911" i="19" s="1"/>
  <c r="AK901" i="19" a="1"/>
  <c r="AK901" i="19" s="1"/>
  <c r="AF886" i="19"/>
  <c r="AD886" i="19"/>
  <c r="F833" i="19"/>
  <c r="AK833" i="19" a="1"/>
  <c r="AK833" i="19" s="1"/>
  <c r="AE802" i="19"/>
  <c r="AD802" i="19"/>
  <c r="AF802" i="19"/>
  <c r="AK970" i="19" a="1"/>
  <c r="AK970" i="19" s="1"/>
  <c r="AK975" i="19" a="1"/>
  <c r="AK975" i="19" s="1"/>
  <c r="AK1364" i="19" a="1"/>
  <c r="AK1364" i="19" s="1"/>
  <c r="AK1322" i="19" a="1"/>
  <c r="AK1322" i="19" s="1"/>
  <c r="AK1303" i="19" a="1"/>
  <c r="AK1303" i="19" s="1"/>
  <c r="AK1247" i="19" a="1"/>
  <c r="AK1247" i="19" s="1"/>
  <c r="AJ1222" i="19"/>
  <c r="AK1222" i="19" s="1" a="1"/>
  <c r="AK1222" i="19" s="1"/>
  <c r="AK1128" i="19" a="1"/>
  <c r="AK1128" i="19" s="1"/>
  <c r="AE1083" i="19"/>
  <c r="X1081" i="19"/>
  <c r="AK1077" i="19" a="1"/>
  <c r="AK1077" i="19" s="1"/>
  <c r="X1029" i="19"/>
  <c r="X1013" i="19"/>
  <c r="F930" i="19"/>
  <c r="X917" i="19"/>
  <c r="AF825" i="19"/>
  <c r="AD820" i="19"/>
  <c r="AF820" i="19"/>
  <c r="AJ810" i="19"/>
  <c r="AK810" i="19" s="1" a="1"/>
  <c r="AK810" i="19" s="1"/>
  <c r="AD773" i="19"/>
  <c r="AF773" i="19"/>
  <c r="AJ760" i="19"/>
  <c r="AK760" i="19" s="1" a="1"/>
  <c r="AK760" i="19" s="1"/>
  <c r="AF748" i="19"/>
  <c r="AD748" i="19"/>
  <c r="AE595" i="19"/>
  <c r="AD595" i="19"/>
  <c r="AF595" i="19"/>
  <c r="F524" i="19"/>
  <c r="AK524" i="19" a="1"/>
  <c r="AK524" i="19" s="1"/>
  <c r="AK1079" i="19" a="1"/>
  <c r="AK1079" i="19" s="1"/>
  <c r="AK961" i="19" a="1"/>
  <c r="AK961" i="19" s="1"/>
  <c r="AK915" i="19" a="1"/>
  <c r="AK915" i="19" s="1"/>
  <c r="AD865" i="19"/>
  <c r="AF865" i="19"/>
  <c r="AD725" i="19"/>
  <c r="AE725" i="19"/>
  <c r="AD609" i="19"/>
  <c r="AE609" i="19"/>
  <c r="AK1328" i="19" a="1"/>
  <c r="AK1328" i="19" s="1"/>
  <c r="AK1344" i="19" a="1"/>
  <c r="AK1344" i="19" s="1"/>
  <c r="AK1251" i="19" a="1"/>
  <c r="AK1251" i="19" s="1"/>
  <c r="AK1234" i="19" a="1"/>
  <c r="AK1234" i="19" s="1"/>
  <c r="AK1204" i="19" a="1"/>
  <c r="AK1204" i="19" s="1"/>
  <c r="AK1103" i="19" a="1"/>
  <c r="AK1103" i="19" s="1"/>
  <c r="AK995" i="19" a="1"/>
  <c r="AK995" i="19" s="1"/>
  <c r="AK958" i="19" a="1"/>
  <c r="AK958" i="19" s="1"/>
  <c r="AE759" i="19"/>
  <c r="AD759" i="19"/>
  <c r="AD731" i="19"/>
  <c r="AE731" i="19"/>
  <c r="AF731" i="19"/>
  <c r="AK598" i="19" a="1"/>
  <c r="AK598" i="19" s="1"/>
  <c r="F598" i="19"/>
  <c r="AD478" i="19"/>
  <c r="AE478" i="19"/>
  <c r="AD446" i="19"/>
  <c r="AE446" i="19"/>
  <c r="AF446" i="19"/>
  <c r="AD851" i="19"/>
  <c r="AE851" i="19"/>
  <c r="AK761" i="19" a="1"/>
  <c r="AK761" i="19" s="1"/>
  <c r="AF747" i="19"/>
  <c r="AE747" i="19"/>
  <c r="AK709" i="19" a="1"/>
  <c r="AK709" i="19" s="1"/>
  <c r="AD475" i="19"/>
  <c r="AF475" i="19"/>
  <c r="AE475" i="19"/>
  <c r="AF713" i="19"/>
  <c r="W1011" i="19"/>
  <c r="AK983" i="19" a="1"/>
  <c r="AK983" i="19" s="1"/>
  <c r="AK982" i="19" a="1"/>
  <c r="AK982" i="19" s="1"/>
  <c r="AF958" i="19"/>
  <c r="AK892" i="19" a="1"/>
  <c r="AK892" i="19" s="1"/>
  <c r="F892" i="19"/>
  <c r="AF890" i="19"/>
  <c r="AD794" i="19"/>
  <c r="AF794" i="19"/>
  <c r="AE794" i="19"/>
  <c r="AE713" i="19"/>
  <c r="AD599" i="19"/>
  <c r="AE599" i="19"/>
  <c r="AF754" i="19"/>
  <c r="AD754" i="19"/>
  <c r="AK746" i="19" a="1"/>
  <c r="AK746" i="19" s="1"/>
  <c r="AD506" i="19"/>
  <c r="AF506" i="19"/>
  <c r="F1021" i="19"/>
  <c r="AD993" i="19"/>
  <c r="AF993" i="19"/>
  <c r="AK986" i="19" a="1"/>
  <c r="AK986" i="19" s="1"/>
  <c r="AK979" i="19" a="1"/>
  <c r="AK979" i="19" s="1"/>
  <c r="AD902" i="19"/>
  <c r="AE902" i="19"/>
  <c r="AE817" i="19"/>
  <c r="AF817" i="19"/>
  <c r="AD817" i="19"/>
  <c r="AD717" i="19"/>
  <c r="AE717" i="19"/>
  <c r="AF717" i="19"/>
  <c r="AK704" i="19" a="1"/>
  <c r="AK704" i="19" s="1"/>
  <c r="AK1335" i="19" a="1"/>
  <c r="AK1335" i="19" s="1"/>
  <c r="AK1224" i="19" a="1"/>
  <c r="AK1224" i="19" s="1"/>
  <c r="AK1190" i="19" a="1"/>
  <c r="AK1190" i="19" s="1"/>
  <c r="AF1131" i="19"/>
  <c r="AE1131" i="19"/>
  <c r="AF1125" i="19"/>
  <c r="AF1115" i="19"/>
  <c r="AE1027" i="19"/>
  <c r="AE962" i="19"/>
  <c r="AF928" i="19"/>
  <c r="AF885" i="19"/>
  <c r="X873" i="19"/>
  <c r="AD839" i="19"/>
  <c r="AE839" i="19"/>
  <c r="X806" i="19"/>
  <c r="W808" i="19"/>
  <c r="AK749" i="19" a="1"/>
  <c r="AK749" i="19" s="1"/>
  <c r="AF549" i="19"/>
  <c r="AD549" i="19"/>
  <c r="F805" i="19"/>
  <c r="AK805" i="19" a="1"/>
  <c r="AK805" i="19" s="1"/>
  <c r="AK718" i="19" a="1"/>
  <c r="AK718" i="19" s="1"/>
  <c r="AD551" i="19"/>
  <c r="AE551" i="19"/>
  <c r="W1081" i="19"/>
  <c r="W1029" i="19"/>
  <c r="AK1026" i="19" a="1"/>
  <c r="AK1026" i="19" s="1"/>
  <c r="W999" i="19"/>
  <c r="AF918" i="19"/>
  <c r="AD918" i="19"/>
  <c r="AK849" i="19" a="1"/>
  <c r="AK849" i="19" s="1"/>
  <c r="AK748" i="19" a="1"/>
  <c r="AK748" i="19" s="1"/>
  <c r="F734" i="19"/>
  <c r="AE710" i="19"/>
  <c r="AF710" i="19"/>
  <c r="AD704" i="19"/>
  <c r="X636" i="19"/>
  <c r="AD596" i="19"/>
  <c r="AE596" i="19"/>
  <c r="AF600" i="19"/>
  <c r="AE600" i="19"/>
  <c r="AK579" i="19" a="1"/>
  <c r="AK579" i="19" s="1"/>
  <c r="AF460" i="19"/>
  <c r="AE460" i="19"/>
  <c r="AD445" i="19"/>
  <c r="AF445" i="19"/>
  <c r="AK1067" i="19" a="1"/>
  <c r="AK1067" i="19" s="1"/>
  <c r="AK1062" i="19" a="1"/>
  <c r="AK1062" i="19" s="1"/>
  <c r="AJ1058" i="19"/>
  <c r="AK1058" i="19" s="1" a="1"/>
  <c r="AK1058" i="19" s="1"/>
  <c r="X1011" i="19"/>
  <c r="AK962" i="19" a="1"/>
  <c r="AK962" i="19" s="1"/>
  <c r="AK949" i="19" a="1"/>
  <c r="AK949" i="19" s="1"/>
  <c r="AK927" i="19" a="1"/>
  <c r="AK927" i="19" s="1"/>
  <c r="W918" i="19"/>
  <c r="W760" i="19"/>
  <c r="AE627" i="19"/>
  <c r="AF627" i="19"/>
  <c r="AE565" i="19"/>
  <c r="AF565" i="19"/>
  <c r="AD558" i="19"/>
  <c r="AF558" i="19"/>
  <c r="AK851" i="19" a="1"/>
  <c r="AK851" i="19" s="1"/>
  <c r="AJ806" i="19"/>
  <c r="AK806" i="19" s="1" a="1"/>
  <c r="AK806" i="19" s="1"/>
  <c r="X810" i="19"/>
  <c r="AK745" i="19" a="1"/>
  <c r="AK745" i="19" s="1"/>
  <c r="AD706" i="19"/>
  <c r="AE706" i="19"/>
  <c r="X626" i="19"/>
  <c r="AE616" i="19"/>
  <c r="AK593" i="19" a="1"/>
  <c r="AK593" i="19" s="1"/>
  <c r="AK577" i="19" a="1"/>
  <c r="AK577" i="19" s="1"/>
  <c r="X476" i="19"/>
  <c r="AK867" i="19" a="1"/>
  <c r="AK867" i="19" s="1"/>
  <c r="AK870" i="19" a="1"/>
  <c r="AK870" i="19" s="1"/>
  <c r="AK815" i="19" a="1"/>
  <c r="AK815" i="19" s="1"/>
  <c r="AF765" i="19"/>
  <c r="AE765" i="19"/>
  <c r="W650" i="19"/>
  <c r="X635" i="19"/>
  <c r="AF622" i="19"/>
  <c r="AE622" i="19"/>
  <c r="W622" i="19"/>
  <c r="AE564" i="19"/>
  <c r="AF564" i="19"/>
  <c r="AJ500" i="19"/>
  <c r="AK500" i="19" s="1" a="1"/>
  <c r="AK500" i="19" s="1"/>
  <c r="AK869" i="19" a="1"/>
  <c r="AK869" i="19" s="1"/>
  <c r="W843" i="19"/>
  <c r="AK809" i="19" a="1"/>
  <c r="AK809" i="19" s="1"/>
  <c r="AD763" i="19"/>
  <c r="AE763" i="19"/>
  <c r="X753" i="19"/>
  <c r="F720" i="19"/>
  <c r="AD560" i="19"/>
  <c r="AE560" i="19"/>
  <c r="AD470" i="19"/>
  <c r="AD716" i="19"/>
  <c r="AJ626" i="19"/>
  <c r="AK626" i="19" s="1" a="1"/>
  <c r="AK626" i="19" s="1"/>
  <c r="X621" i="19"/>
  <c r="X507" i="19"/>
  <c r="AE614" i="19"/>
  <c r="AF614" i="19"/>
  <c r="F568" i="19"/>
  <c r="AK568" i="19" a="1"/>
  <c r="AK568" i="19" s="1"/>
  <c r="AK865" i="19" a="1"/>
  <c r="AK865" i="19" s="1"/>
  <c r="AK839" i="19" a="1"/>
  <c r="AK839" i="19" s="1"/>
  <c r="AK827" i="19" a="1"/>
  <c r="AK827" i="19" s="1"/>
  <c r="AE828" i="19"/>
  <c r="AF801" i="19"/>
  <c r="X760" i="19"/>
  <c r="AF758" i="19"/>
  <c r="AE714" i="19"/>
  <c r="AE659" i="19"/>
  <c r="AJ630" i="19"/>
  <c r="AK630" i="19" s="1" a="1"/>
  <c r="AK630" i="19" s="1"/>
  <c r="AJ633" i="19"/>
  <c r="AK633" i="19" s="1" a="1"/>
  <c r="AK633" i="19" s="1"/>
  <c r="AE626" i="19"/>
  <c r="W621" i="19"/>
  <c r="AK590" i="19" a="1"/>
  <c r="AK590" i="19" s="1"/>
  <c r="F596" i="19"/>
  <c r="AK596" i="19" a="1"/>
  <c r="AK596" i="19" s="1"/>
  <c r="AD600" i="19"/>
  <c r="AD555" i="19"/>
  <c r="AF510" i="19"/>
  <c r="AD510" i="19"/>
  <c r="AJ451" i="19"/>
  <c r="AK451" i="19" s="1" a="1"/>
  <c r="AK451" i="19" s="1"/>
  <c r="AE445" i="19"/>
  <c r="AK714" i="19" a="1"/>
  <c r="AK714" i="19" s="1"/>
  <c r="W624" i="19"/>
  <c r="AJ621" i="19"/>
  <c r="AK621" i="19" s="1" a="1"/>
  <c r="AK621" i="19" s="1"/>
  <c r="X500" i="19"/>
  <c r="W493" i="19"/>
  <c r="X461" i="19"/>
  <c r="AK459" i="19" a="1"/>
  <c r="AK459" i="19" s="1"/>
  <c r="AK770" i="19" a="1"/>
  <c r="AK770" i="19" s="1"/>
  <c r="AK755" i="19" a="1"/>
  <c r="AK755" i="19" s="1"/>
  <c r="AK702" i="19" a="1"/>
  <c r="AK702" i="19" s="1"/>
  <c r="X622" i="19"/>
  <c r="X606" i="19"/>
  <c r="AK613" i="19" a="1"/>
  <c r="AK613" i="19" s="1"/>
  <c r="AK589" i="19" a="1"/>
  <c r="AK589" i="19" s="1"/>
  <c r="AE553" i="19"/>
  <c r="AK528" i="19" a="1"/>
  <c r="AK528" i="19" s="1"/>
  <c r="AF459" i="19"/>
  <c r="AJ461" i="19"/>
  <c r="AK461" i="19" s="1" a="1"/>
  <c r="AK461" i="19" s="1"/>
  <c r="AJ634" i="19"/>
  <c r="AK634" i="19" s="1" a="1"/>
  <c r="AK634" i="19" s="1"/>
  <c r="W625" i="19"/>
  <c r="AK816" i="19" a="1"/>
  <c r="AK816" i="19" s="1"/>
  <c r="AJ636" i="19"/>
  <c r="AK636" i="19" s="1" a="1"/>
  <c r="AK636" i="19" s="1"/>
  <c r="X623" i="19"/>
  <c r="AK574" i="19" a="1"/>
  <c r="AK574" i="19" s="1"/>
  <c r="W446" i="19"/>
  <c r="AK1474" i="19" a="1"/>
  <c r="AK1474" i="19" s="1"/>
  <c r="F1482" i="19"/>
  <c r="AK1496" i="19" a="1"/>
  <c r="AK1496" i="19" s="1"/>
  <c r="AK1502" i="19" a="1"/>
  <c r="AK1502" i="19" s="1"/>
  <c r="AF1495" i="19"/>
  <c r="AD1492" i="19"/>
  <c r="AE1492" i="19"/>
  <c r="AK1481" i="19" a="1"/>
  <c r="AK1481" i="19" s="1"/>
  <c r="F1481" i="19"/>
  <c r="AD1498" i="19"/>
  <c r="AF1498" i="19"/>
  <c r="AK1548" i="19" a="1"/>
  <c r="AK1548" i="19" s="1"/>
  <c r="AK1485" i="19" a="1"/>
  <c r="AK1485" i="19" s="1"/>
  <c r="F1548" i="19"/>
  <c r="AK1465" i="19" a="1"/>
  <c r="AK1465" i="19" s="1"/>
  <c r="F1453" i="19"/>
  <c r="AK1451" i="19" a="1"/>
  <c r="AK1451" i="19" s="1"/>
  <c r="F1476" i="19"/>
  <c r="AF1527" i="19"/>
  <c r="AK977" i="19" a="1"/>
  <c r="AK977" i="19" s="1"/>
  <c r="AK972" i="19" a="1"/>
  <c r="AK972" i="19" s="1"/>
  <c r="F1443" i="19"/>
  <c r="F1441" i="19"/>
  <c r="AE1527" i="19"/>
  <c r="AK976" i="19" a="1"/>
  <c r="AK976" i="19" s="1"/>
  <c r="AK967" i="19" a="1"/>
  <c r="AK967" i="19" s="1"/>
  <c r="AK1445" i="19" a="1"/>
  <c r="AK1445" i="19" s="1"/>
  <c r="AF1499" i="19"/>
  <c r="AF1493" i="19"/>
  <c r="AK978" i="19" a="1"/>
  <c r="AK978" i="19" s="1"/>
  <c r="AK1470" i="19" a="1"/>
  <c r="AK1470" i="19" s="1"/>
  <c r="AK1341" i="19" a="1"/>
  <c r="AK1341" i="19" s="1"/>
  <c r="AD1451" i="19"/>
  <c r="AF1451" i="19"/>
  <c r="AK1491" i="19" a="1"/>
  <c r="AK1491" i="19" s="1"/>
  <c r="AK1546" i="19" a="1"/>
  <c r="AK1546" i="19" s="1"/>
  <c r="AF379" i="19"/>
  <c r="AK1333" i="19" a="1"/>
  <c r="AK1333" i="19" s="1"/>
  <c r="AK969" i="19" a="1"/>
  <c r="AK969" i="19" s="1"/>
  <c r="AK1086" i="19" a="1"/>
  <c r="AK1086" i="19" s="1"/>
  <c r="AD379" i="19"/>
  <c r="AK974" i="19" a="1"/>
  <c r="AK974" i="19" s="1"/>
  <c r="AK1429" i="19" a="1"/>
  <c r="AK1429" i="19" s="1"/>
  <c r="AK1467" i="19" a="1"/>
  <c r="AK1467" i="19" s="1"/>
  <c r="AF1402" i="19"/>
  <c r="AK1393" i="19" a="1"/>
  <c r="AK1393" i="19" s="1"/>
  <c r="AE1390" i="19"/>
  <c r="AK1357" i="19" a="1"/>
  <c r="AK1357" i="19" s="1"/>
  <c r="AE1326" i="19"/>
  <c r="AD1322" i="19"/>
  <c r="AD1390" i="19"/>
  <c r="AD1326" i="19"/>
  <c r="AK1304" i="19" a="1"/>
  <c r="AK1304" i="19" s="1"/>
  <c r="AD1294" i="19"/>
  <c r="AE1294" i="19"/>
  <c r="AF1417" i="19"/>
  <c r="F1391" i="19"/>
  <c r="AF1383" i="19"/>
  <c r="AF1363" i="19"/>
  <c r="AF1327" i="19"/>
  <c r="AD1309" i="19"/>
  <c r="AE1309" i="19"/>
  <c r="AE1279" i="19"/>
  <c r="AF1279" i="19"/>
  <c r="AD1279" i="19"/>
  <c r="AE1417" i="19"/>
  <c r="AF1391" i="19"/>
  <c r="AE1383" i="19"/>
  <c r="AE1363" i="19"/>
  <c r="AF1325" i="19"/>
  <c r="AK1324" i="19" a="1"/>
  <c r="AK1324" i="19" s="1"/>
  <c r="AE1327" i="19"/>
  <c r="AD1349" i="19"/>
  <c r="AF1318" i="19"/>
  <c r="AD1320" i="19"/>
  <c r="AD1321" i="19"/>
  <c r="AF1393" i="19"/>
  <c r="AF1384" i="19"/>
  <c r="AF1362" i="19"/>
  <c r="AE1385" i="19"/>
  <c r="AE1362" i="19"/>
  <c r="AF1351" i="19"/>
  <c r="AK1329" i="19" a="1"/>
  <c r="AK1329" i="19" s="1"/>
  <c r="AE1351" i="19"/>
  <c r="AF1359" i="19"/>
  <c r="AF1324" i="19"/>
  <c r="AK1221" i="19" a="1"/>
  <c r="AK1221" i="19" s="1"/>
  <c r="AK1390" i="19" a="1"/>
  <c r="AK1390" i="19" s="1"/>
  <c r="AE1359" i="19"/>
  <c r="AK1326" i="19" a="1"/>
  <c r="AK1326" i="19" s="1"/>
  <c r="AE1324" i="19"/>
  <c r="AK1302" i="19" a="1"/>
  <c r="AK1302" i="19" s="1"/>
  <c r="AD1274" i="19"/>
  <c r="AE1274" i="19"/>
  <c r="AF1274" i="19"/>
  <c r="AK1348" i="19" a="1"/>
  <c r="AK1348" i="19" s="1"/>
  <c r="AF1322" i="19"/>
  <c r="AE1329" i="19"/>
  <c r="AD1296" i="19"/>
  <c r="AF1296" i="19"/>
  <c r="AK1280" i="19" a="1"/>
  <c r="AK1280" i="19" s="1"/>
  <c r="AD1290" i="19"/>
  <c r="AE1290" i="19"/>
  <c r="AD1223" i="19"/>
  <c r="AE1219" i="19"/>
  <c r="AD1029" i="19"/>
  <c r="AE1029" i="19"/>
  <c r="AF1029" i="19"/>
  <c r="AF1267" i="19"/>
  <c r="AF1263" i="19"/>
  <c r="F1093" i="19"/>
  <c r="AK1093" i="19" a="1"/>
  <c r="AK1093" i="19" s="1"/>
  <c r="AE1267" i="19"/>
  <c r="AE1263" i="19"/>
  <c r="AE1257" i="19"/>
  <c r="AF1222" i="19"/>
  <c r="AE1129" i="19"/>
  <c r="AD1075" i="19"/>
  <c r="AE1075" i="19"/>
  <c r="AF1075" i="19"/>
  <c r="AD1151" i="19"/>
  <c r="AE1151" i="19"/>
  <c r="AF1151" i="19"/>
  <c r="AE1130" i="19"/>
  <c r="AF1130" i="19"/>
  <c r="F1035" i="19"/>
  <c r="F920" i="19"/>
  <c r="AF1293" i="19"/>
  <c r="AF1291" i="19"/>
  <c r="AF1273" i="19"/>
  <c r="AK1164" i="19" a="1"/>
  <c r="AK1164" i="19" s="1"/>
  <c r="X1132" i="19"/>
  <c r="AK1066" i="19" a="1"/>
  <c r="AK1066" i="19" s="1"/>
  <c r="AE1293" i="19"/>
  <c r="AE1291" i="19"/>
  <c r="AE1273" i="19"/>
  <c r="W1132" i="19"/>
  <c r="AK1136" i="19" a="1"/>
  <c r="AK1136" i="19" s="1"/>
  <c r="AK1075" i="19" a="1"/>
  <c r="AK1075" i="19" s="1"/>
  <c r="F1075" i="19"/>
  <c r="AK929" i="19" a="1"/>
  <c r="AK929" i="19" s="1"/>
  <c r="F929" i="19"/>
  <c r="AE1299" i="19"/>
  <c r="AF1292" i="19"/>
  <c r="AF1262" i="19"/>
  <c r="AF1164" i="19"/>
  <c r="AF1155" i="19"/>
  <c r="F1123" i="19"/>
  <c r="AF1280" i="19"/>
  <c r="AE1292" i="19"/>
  <c r="AE1262" i="19"/>
  <c r="AE1258" i="19"/>
  <c r="AF1245" i="19"/>
  <c r="AE1164" i="19"/>
  <c r="AE1155" i="19"/>
  <c r="AK1143" i="19" a="1"/>
  <c r="AK1143" i="19" s="1"/>
  <c r="AK1084" i="19" a="1"/>
  <c r="AK1084" i="19" s="1"/>
  <c r="AE1280" i="19"/>
  <c r="AE1245" i="19"/>
  <c r="F1090" i="19"/>
  <c r="AK1090" i="19" a="1"/>
  <c r="AK1090" i="19" s="1"/>
  <c r="AD1081" i="19"/>
  <c r="AE1081" i="19"/>
  <c r="AF1081" i="19"/>
  <c r="AF1265" i="19"/>
  <c r="F1043" i="19"/>
  <c r="AK1043" i="19" a="1"/>
  <c r="AK1043" i="19" s="1"/>
  <c r="AE1265" i="19"/>
  <c r="AD1158" i="19"/>
  <c r="AF1158" i="19"/>
  <c r="AK1064" i="19" a="1"/>
  <c r="AK1064" i="19" s="1"/>
  <c r="AE1295" i="19"/>
  <c r="AF1223" i="19"/>
  <c r="AF1136" i="19"/>
  <c r="F1078" i="19"/>
  <c r="F1050" i="19"/>
  <c r="AD1136" i="19"/>
  <c r="AD1137" i="19"/>
  <c r="AE1137" i="19"/>
  <c r="AF1137" i="19"/>
  <c r="F1102" i="19"/>
  <c r="F997" i="19"/>
  <c r="AE1084" i="19"/>
  <c r="AK1024" i="19" a="1"/>
  <c r="AK1024" i="19" s="1"/>
  <c r="AK1014" i="19" a="1"/>
  <c r="AK1014" i="19" s="1"/>
  <c r="AK1010" i="19" a="1"/>
  <c r="AK1010" i="19" s="1"/>
  <c r="AK1000" i="19" a="1"/>
  <c r="AK1000" i="19" s="1"/>
  <c r="AF980" i="19"/>
  <c r="AK964" i="19" a="1"/>
  <c r="AK964" i="19" s="1"/>
  <c r="F912" i="19"/>
  <c r="AF1077" i="19"/>
  <c r="AK1060" i="19" a="1"/>
  <c r="AK1060" i="19" s="1"/>
  <c r="X993" i="19"/>
  <c r="AE980" i="19"/>
  <c r="F925" i="19"/>
  <c r="AK1025" i="19" a="1"/>
  <c r="AK1025" i="19" s="1"/>
  <c r="F1057" i="19"/>
  <c r="F1049" i="19"/>
  <c r="AK1042" i="19" a="1"/>
  <c r="AK1042" i="19" s="1"/>
  <c r="F1025" i="19"/>
  <c r="F987" i="19"/>
  <c r="AK987" i="19" a="1"/>
  <c r="AK987" i="19" s="1"/>
  <c r="F942" i="19"/>
  <c r="AK942" i="19" a="1"/>
  <c r="AK942" i="19" s="1"/>
  <c r="AK908" i="19" a="1"/>
  <c r="AK908" i="19" s="1"/>
  <c r="F923" i="19"/>
  <c r="AK914" i="19" a="1"/>
  <c r="AK914" i="19" s="1"/>
  <c r="F914" i="19"/>
  <c r="AK943" i="19" a="1"/>
  <c r="AK943" i="19" s="1"/>
  <c r="AE927" i="19"/>
  <c r="AF927" i="19"/>
  <c r="F910" i="19"/>
  <c r="AK910" i="19" a="1"/>
  <c r="AK910" i="19" s="1"/>
  <c r="AD1060" i="19"/>
  <c r="AK1054" i="19" a="1"/>
  <c r="AK1054" i="19" s="1"/>
  <c r="AE1025" i="19"/>
  <c r="AF1013" i="19"/>
  <c r="F1009" i="19"/>
  <c r="AD1001" i="19"/>
  <c r="AE1001" i="19"/>
  <c r="F1008" i="19"/>
  <c r="AK1008" i="19" a="1"/>
  <c r="AK1008" i="19" s="1"/>
  <c r="F959" i="19"/>
  <c r="AK959" i="19" a="1"/>
  <c r="AK959" i="19" s="1"/>
  <c r="F1052" i="19"/>
  <c r="F1037" i="19"/>
  <c r="F1032" i="19"/>
  <c r="AD1023" i="19"/>
  <c r="AF1023" i="19"/>
  <c r="AE1026" i="19"/>
  <c r="AF1026" i="19"/>
  <c r="F1030" i="19"/>
  <c r="X999" i="19"/>
  <c r="AK966" i="19" a="1"/>
  <c r="AK966" i="19" s="1"/>
  <c r="AE895" i="19"/>
  <c r="AF895" i="19"/>
  <c r="AD895" i="19"/>
  <c r="X1028" i="19"/>
  <c r="W997" i="19"/>
  <c r="F1007" i="19"/>
  <c r="F980" i="19"/>
  <c r="AK980" i="19" a="1"/>
  <c r="AK980" i="19" s="1"/>
  <c r="AK1091" i="19" a="1"/>
  <c r="AK1091" i="19" s="1"/>
  <c r="AK1089" i="19" a="1"/>
  <c r="AK1089" i="19" s="1"/>
  <c r="W1028" i="19"/>
  <c r="AD960" i="19"/>
  <c r="AE960" i="19"/>
  <c r="AF960" i="19"/>
  <c r="F798" i="19"/>
  <c r="AJ917" i="19"/>
  <c r="AK917" i="19" s="1" a="1"/>
  <c r="AK917" i="19" s="1"/>
  <c r="AK875" i="19" a="1"/>
  <c r="AK875" i="19" s="1"/>
  <c r="AK802" i="19" a="1"/>
  <c r="AK802" i="19" s="1"/>
  <c r="AE884" i="19"/>
  <c r="AF884" i="19"/>
  <c r="AF981" i="19"/>
  <c r="AK868" i="19" a="1"/>
  <c r="AK868" i="19" s="1"/>
  <c r="F868" i="19"/>
  <c r="AE981" i="19"/>
  <c r="AD891" i="19"/>
  <c r="AE891" i="19"/>
  <c r="AF891" i="19"/>
  <c r="AF964" i="19"/>
  <c r="AF959" i="19"/>
  <c r="AK950" i="19" a="1"/>
  <c r="AK950" i="19" s="1"/>
  <c r="F951" i="19"/>
  <c r="AF930" i="19"/>
  <c r="AF821" i="19"/>
  <c r="AD821" i="19"/>
  <c r="AE821" i="19"/>
  <c r="AD872" i="19"/>
  <c r="AE872" i="19"/>
  <c r="AE871" i="19"/>
  <c r="AF871" i="19"/>
  <c r="AE1011" i="19"/>
  <c r="AK990" i="19" a="1"/>
  <c r="AK990" i="19" s="1"/>
  <c r="AK939" i="19" a="1"/>
  <c r="AK939" i="19" s="1"/>
  <c r="AD883" i="19"/>
  <c r="AE883" i="19"/>
  <c r="AF883" i="19"/>
  <c r="AK844" i="19" a="1"/>
  <c r="AK844" i="19" s="1"/>
  <c r="F844" i="19"/>
  <c r="AK1017" i="19" a="1"/>
  <c r="AK1017" i="19" s="1"/>
  <c r="AF925" i="19"/>
  <c r="AK894" i="19" a="1"/>
  <c r="AK894" i="19" s="1"/>
  <c r="AE889" i="19"/>
  <c r="AF889" i="19"/>
  <c r="AF979" i="19"/>
  <c r="AK940" i="19" a="1"/>
  <c r="AK940" i="19" s="1"/>
  <c r="AE950" i="19"/>
  <c r="AE925" i="19"/>
  <c r="AF915" i="19"/>
  <c r="F791" i="19"/>
  <c r="AK791" i="19" a="1"/>
  <c r="AK791" i="19" s="1"/>
  <c r="AD950" i="19"/>
  <c r="AD915" i="19"/>
  <c r="F799" i="19"/>
  <c r="AK799" i="19" a="1"/>
  <c r="AK799" i="19" s="1"/>
  <c r="AK924" i="19" a="1"/>
  <c r="AK924" i="19" s="1"/>
  <c r="F847" i="19"/>
  <c r="AE951" i="19"/>
  <c r="F924" i="19"/>
  <c r="F948" i="19"/>
  <c r="AE893" i="19"/>
  <c r="AF893" i="19"/>
  <c r="AD878" i="19"/>
  <c r="AE878" i="19"/>
  <c r="AF878" i="19"/>
  <c r="AK1006" i="19" a="1"/>
  <c r="AK1006" i="19" s="1"/>
  <c r="AK992" i="19" a="1"/>
  <c r="AK992" i="19" s="1"/>
  <c r="AD888" i="19"/>
  <c r="AE888" i="19"/>
  <c r="AF888" i="19"/>
  <c r="F797" i="19"/>
  <c r="AK871" i="19" a="1"/>
  <c r="AK871" i="19" s="1"/>
  <c r="AK863" i="19" a="1"/>
  <c r="AK863" i="19" s="1"/>
  <c r="AF824" i="19"/>
  <c r="AE822" i="19"/>
  <c r="AK813" i="19" a="1"/>
  <c r="AK813" i="19" s="1"/>
  <c r="AF750" i="19"/>
  <c r="AD750" i="19"/>
  <c r="AE750" i="19"/>
  <c r="AD824" i="19"/>
  <c r="AJ769" i="19"/>
  <c r="AK769" i="19" s="1" a="1"/>
  <c r="AK769" i="19" s="1"/>
  <c r="W769" i="19"/>
  <c r="AD779" i="19"/>
  <c r="AE779" i="19"/>
  <c r="AE756" i="19"/>
  <c r="AF756" i="19"/>
  <c r="AK883" i="19" a="1"/>
  <c r="AK883" i="19" s="1"/>
  <c r="AF844" i="19"/>
  <c r="F816" i="19"/>
  <c r="AE826" i="19"/>
  <c r="AD818" i="19"/>
  <c r="X762" i="19"/>
  <c r="F783" i="19"/>
  <c r="AK783" i="19" a="1"/>
  <c r="AK783" i="19" s="1"/>
  <c r="AK856" i="19" a="1"/>
  <c r="AK856" i="19" s="1"/>
  <c r="F855" i="19"/>
  <c r="AK768" i="19" a="1"/>
  <c r="AK768" i="19" s="1"/>
  <c r="AF746" i="19"/>
  <c r="AD746" i="19"/>
  <c r="AE746" i="19"/>
  <c r="AJ843" i="19"/>
  <c r="AK843" i="19" s="1" a="1"/>
  <c r="AK843" i="19" s="1"/>
  <c r="AE838" i="19"/>
  <c r="AE831" i="19"/>
  <c r="F745" i="19"/>
  <c r="AF870" i="19"/>
  <c r="AK846" i="19" a="1"/>
  <c r="AK846" i="19" s="1"/>
  <c r="AF815" i="19"/>
  <c r="AK812" i="19" a="1"/>
  <c r="AK812" i="19" s="1"/>
  <c r="AD831" i="19"/>
  <c r="AE791" i="19"/>
  <c r="AF791" i="19"/>
  <c r="AK762" i="19" a="1"/>
  <c r="AK762" i="19" s="1"/>
  <c r="AE870" i="19"/>
  <c r="AF843" i="19"/>
  <c r="AE815" i="19"/>
  <c r="AK811" i="19" a="1"/>
  <c r="AK811" i="19" s="1"/>
  <c r="AF832" i="19"/>
  <c r="F787" i="19"/>
  <c r="F763" i="19"/>
  <c r="AK763" i="19" a="1"/>
  <c r="AK763" i="19" s="1"/>
  <c r="AK858" i="19" a="1"/>
  <c r="AK858" i="19" s="1"/>
  <c r="AE843" i="19"/>
  <c r="AK842" i="19" a="1"/>
  <c r="AK842" i="19" s="1"/>
  <c r="AK835" i="19" a="1"/>
  <c r="AK835" i="19" s="1"/>
  <c r="AF823" i="19"/>
  <c r="AE832" i="19"/>
  <c r="AF839" i="19"/>
  <c r="AF833" i="19"/>
  <c r="AD823" i="19"/>
  <c r="AK801" i="19" a="1"/>
  <c r="AK801" i="19" s="1"/>
  <c r="AE761" i="19"/>
  <c r="AF761" i="19"/>
  <c r="AD701" i="19"/>
  <c r="AE701" i="19"/>
  <c r="AF701" i="19"/>
  <c r="AD749" i="19"/>
  <c r="AE749" i="19"/>
  <c r="AF749" i="19"/>
  <c r="AF732" i="19"/>
  <c r="AD732" i="19"/>
  <c r="AE732" i="19"/>
  <c r="AE865" i="19"/>
  <c r="AE852" i="19"/>
  <c r="AE846" i="19"/>
  <c r="AD827" i="19"/>
  <c r="AE820" i="19"/>
  <c r="F785" i="19"/>
  <c r="F728" i="19"/>
  <c r="AD852" i="19"/>
  <c r="AD764" i="19"/>
  <c r="AE764" i="19"/>
  <c r="AF764" i="19"/>
  <c r="AK796" i="19" a="1"/>
  <c r="AK796" i="19" s="1"/>
  <c r="F774" i="19"/>
  <c r="X769" i="19"/>
  <c r="X768" i="19"/>
  <c r="AF755" i="19"/>
  <c r="F737" i="19"/>
  <c r="AD724" i="19"/>
  <c r="AD721" i="19"/>
  <c r="AE721" i="19"/>
  <c r="AD715" i="19"/>
  <c r="AE715" i="19"/>
  <c r="AF703" i="19"/>
  <c r="AD755" i="19"/>
  <c r="AK747" i="19" a="1"/>
  <c r="AK747" i="19" s="1"/>
  <c r="AK741" i="19" a="1"/>
  <c r="AK741" i="19" s="1"/>
  <c r="AE729" i="19"/>
  <c r="AF729" i="19"/>
  <c r="AE703" i="19"/>
  <c r="F672" i="19"/>
  <c r="AD726" i="19"/>
  <c r="AE726" i="19"/>
  <c r="F739" i="19"/>
  <c r="AD730" i="19"/>
  <c r="AE730" i="19"/>
  <c r="F716" i="19"/>
  <c r="AK708" i="19" a="1"/>
  <c r="AK708" i="19" s="1"/>
  <c r="F717" i="19"/>
  <c r="F676" i="19"/>
  <c r="F713" i="19"/>
  <c r="AK711" i="19" a="1"/>
  <c r="AK711" i="19" s="1"/>
  <c r="F674" i="19"/>
  <c r="AK674" i="19" a="1"/>
  <c r="AK674" i="19" s="1"/>
  <c r="F755" i="19"/>
  <c r="AK729" i="19" a="1"/>
  <c r="AK729" i="19" s="1"/>
  <c r="AK703" i="19" a="1"/>
  <c r="AK703" i="19" s="1"/>
  <c r="F703" i="19"/>
  <c r="F743" i="19"/>
  <c r="AE773" i="19"/>
  <c r="AK790" i="19" a="1"/>
  <c r="AK790" i="19" s="1"/>
  <c r="AK751" i="19" a="1"/>
  <c r="AK751" i="19" s="1"/>
  <c r="AE712" i="19"/>
  <c r="AF712" i="19"/>
  <c r="AE724" i="19"/>
  <c r="AE727" i="19"/>
  <c r="AF727" i="19"/>
  <c r="AF721" i="19"/>
  <c r="AF715" i="19"/>
  <c r="AD708" i="19"/>
  <c r="AE708" i="19"/>
  <c r="AD709" i="19"/>
  <c r="AF651" i="19"/>
  <c r="AE644" i="19"/>
  <c r="AD622" i="19"/>
  <c r="AF610" i="19"/>
  <c r="AD615" i="19"/>
  <c r="AF590" i="19"/>
  <c r="AE651" i="19"/>
  <c r="W639" i="19"/>
  <c r="W634" i="19"/>
  <c r="AD604" i="19"/>
  <c r="AF604" i="19"/>
  <c r="AD601" i="19"/>
  <c r="AE601" i="19"/>
  <c r="AD590" i="19"/>
  <c r="AJ624" i="19"/>
  <c r="AK624" i="19" s="1" a="1"/>
  <c r="AK624" i="19" s="1"/>
  <c r="AF592" i="19"/>
  <c r="AF562" i="19"/>
  <c r="AD562" i="19"/>
  <c r="AK667" i="19" a="1"/>
  <c r="AK667" i="19" s="1"/>
  <c r="AD650" i="19"/>
  <c r="F613" i="19"/>
  <c r="AE592" i="19"/>
  <c r="F554" i="19"/>
  <c r="AK554" i="19" a="1"/>
  <c r="AK554" i="19" s="1"/>
  <c r="F618" i="19"/>
  <c r="AK618" i="19" a="1"/>
  <c r="AK618" i="19" s="1"/>
  <c r="AF649" i="19"/>
  <c r="AK648" i="19" a="1"/>
  <c r="AK648" i="19" s="1"/>
  <c r="F617" i="19"/>
  <c r="AJ623" i="19"/>
  <c r="AK623" i="19" s="1" a="1"/>
  <c r="AK623" i="19" s="1"/>
  <c r="AD607" i="19"/>
  <c r="AF612" i="19"/>
  <c r="F595" i="19"/>
  <c r="F570" i="19"/>
  <c r="AD563" i="19"/>
  <c r="AE563" i="19"/>
  <c r="AF563" i="19"/>
  <c r="AE612" i="19"/>
  <c r="AK614" i="19" a="1"/>
  <c r="AK614" i="19" s="1"/>
  <c r="F574" i="19"/>
  <c r="AK670" i="19" a="1"/>
  <c r="AK670" i="19" s="1"/>
  <c r="AK599" i="19" a="1"/>
  <c r="AK599" i="19" s="1"/>
  <c r="F577" i="19"/>
  <c r="AF551" i="19"/>
  <c r="AF630" i="19"/>
  <c r="AK597" i="19" a="1"/>
  <c r="AK597" i="19" s="1"/>
  <c r="AE631" i="19"/>
  <c r="AE630" i="19"/>
  <c r="AE623" i="19"/>
  <c r="AF621" i="19"/>
  <c r="AD608" i="19"/>
  <c r="AF608" i="19"/>
  <c r="AK615" i="19" a="1"/>
  <c r="AK615" i="19" s="1"/>
  <c r="F564" i="19"/>
  <c r="AD631" i="19"/>
  <c r="AD623" i="19"/>
  <c r="AK604" i="19" a="1"/>
  <c r="AK604" i="19" s="1"/>
  <c r="AK610" i="19" a="1"/>
  <c r="AK610" i="19" s="1"/>
  <c r="F615" i="19"/>
  <c r="AD585" i="19"/>
  <c r="AE585" i="19"/>
  <c r="AF652" i="19"/>
  <c r="AD552" i="19"/>
  <c r="AE552" i="19"/>
  <c r="AF552" i="19"/>
  <c r="W511" i="19"/>
  <c r="AJ511" i="19"/>
  <c r="AK511" i="19" s="1" a="1"/>
  <c r="AK511" i="19" s="1"/>
  <c r="X486" i="19"/>
  <c r="X489" i="19"/>
  <c r="X491" i="19"/>
  <c r="AE652" i="19"/>
  <c r="F605" i="19"/>
  <c r="AK605" i="19" a="1"/>
  <c r="AK605" i="19" s="1"/>
  <c r="AD614" i="19"/>
  <c r="AK616" i="19" a="1"/>
  <c r="AK616" i="19" s="1"/>
  <c r="AF598" i="19"/>
  <c r="AE586" i="19"/>
  <c r="AE556" i="19"/>
  <c r="AF556" i="19"/>
  <c r="AK663" i="19" a="1"/>
  <c r="AK663" i="19" s="1"/>
  <c r="W633" i="19"/>
  <c r="AE588" i="19"/>
  <c r="AF588" i="19"/>
  <c r="AD586" i="19"/>
  <c r="AK558" i="19" a="1"/>
  <c r="AK558" i="19" s="1"/>
  <c r="AD597" i="19"/>
  <c r="AE597" i="19"/>
  <c r="AD566" i="19"/>
  <c r="AE566" i="19"/>
  <c r="AF566" i="19"/>
  <c r="X553" i="19"/>
  <c r="AD557" i="19"/>
  <c r="AE557" i="19"/>
  <c r="AK506" i="19" a="1"/>
  <c r="AK506" i="19" s="1"/>
  <c r="AD474" i="19"/>
  <c r="AE474" i="19"/>
  <c r="AF474" i="19"/>
  <c r="AF478" i="19"/>
  <c r="AE451" i="19"/>
  <c r="AF451" i="19"/>
  <c r="AE507" i="19"/>
  <c r="X451" i="19"/>
  <c r="AD508" i="19"/>
  <c r="AE508" i="19"/>
  <c r="AD507" i="19"/>
  <c r="AD487" i="19"/>
  <c r="AE487" i="19"/>
  <c r="AF550" i="19"/>
  <c r="AD476" i="19"/>
  <c r="AE476" i="19"/>
  <c r="AE550" i="19"/>
  <c r="AF616" i="19"/>
  <c r="AF599" i="19"/>
  <c r="AF584" i="19"/>
  <c r="AF567" i="19"/>
  <c r="AF553" i="19"/>
  <c r="AF561" i="19"/>
  <c r="AF559" i="19"/>
  <c r="AE486" i="19"/>
  <c r="AF486" i="19"/>
  <c r="W476" i="19"/>
  <c r="X340" i="19"/>
  <c r="X509" i="19"/>
  <c r="AD471" i="19"/>
  <c r="AJ446" i="19"/>
  <c r="AK446" i="19" s="1" a="1"/>
  <c r="AK446" i="19" s="1"/>
  <c r="AK482" i="19" a="1"/>
  <c r="AK482" i="19" s="1"/>
  <c r="AD460" i="19"/>
  <c r="AE473" i="19"/>
  <c r="AF447" i="19"/>
  <c r="AE447" i="19"/>
  <c r="W325" i="19"/>
  <c r="AJ325" i="19"/>
  <c r="AK325" i="19" s="1" a="1"/>
  <c r="AK325" i="19" s="1"/>
  <c r="AF509" i="19"/>
  <c r="AE461" i="19"/>
  <c r="AD461" i="19"/>
  <c r="W317" i="19"/>
  <c r="AJ317" i="19"/>
  <c r="AK317" i="19" s="1" a="1"/>
  <c r="AK317" i="19" s="1"/>
  <c r="AJ123" i="19"/>
  <c r="AK123" i="19" s="1" a="1"/>
  <c r="AK123" i="19" s="1"/>
  <c r="AJ23" i="19"/>
  <c r="AK23" i="19" s="1" a="1"/>
  <c r="AK23" i="19" s="1"/>
  <c r="AJ121" i="19"/>
  <c r="AK121" i="19" s="1" a="1"/>
  <c r="AK121" i="19" s="1"/>
  <c r="W122" i="19"/>
  <c r="W22" i="19"/>
  <c r="X121" i="19"/>
  <c r="X42" i="19"/>
  <c r="K1606" i="16"/>
  <c r="A1606" i="16" s="1"/>
  <c r="K1608" i="16"/>
  <c r="A1608" i="16" s="1"/>
  <c r="K1610" i="16"/>
  <c r="A1610" i="16" s="1"/>
  <c r="K1612" i="16"/>
  <c r="A1612" i="16" s="1"/>
  <c r="K1614" i="16"/>
  <c r="A1614" i="16" s="1"/>
  <c r="K1616" i="16"/>
  <c r="A1616" i="16" s="1"/>
  <c r="K1618" i="16"/>
  <c r="A1618" i="16" s="1"/>
  <c r="K1620" i="16"/>
  <c r="A1620" i="16" s="1"/>
  <c r="K1622" i="16"/>
  <c r="A1622" i="16" s="1"/>
  <c r="K1624" i="16"/>
  <c r="A1624" i="16" s="1"/>
  <c r="K1607" i="16"/>
  <c r="A1607" i="16" s="1"/>
  <c r="K1609" i="16"/>
  <c r="A1609" i="16" s="1"/>
  <c r="K1611" i="16"/>
  <c r="A1611" i="16" s="1"/>
  <c r="K1613" i="16"/>
  <c r="A1613" i="16" s="1"/>
  <c r="K1615" i="16"/>
  <c r="A1615" i="16" s="1"/>
  <c r="K1617" i="16"/>
  <c r="A1617" i="16" s="1"/>
  <c r="K1619" i="16"/>
  <c r="A1619" i="16" s="1"/>
  <c r="K1621" i="16"/>
  <c r="A1621" i="16" s="1"/>
  <c r="K1623" i="16"/>
  <c r="A1623" i="16" s="1"/>
  <c r="X494" i="19" l="1"/>
  <c r="X492" i="19"/>
  <c r="X512" i="19"/>
  <c r="AJ2144" i="19"/>
  <c r="AK2144" i="19" s="1" a="1"/>
  <c r="AK2144" i="19" s="1"/>
  <c r="X495" i="19"/>
  <c r="X566" i="19"/>
  <c r="X511" i="19"/>
  <c r="AJ2131" i="19"/>
  <c r="AK2131" i="19" s="1" a="1"/>
  <c r="AK2131" i="19" s="1"/>
  <c r="AJ2130" i="19"/>
  <c r="AK2130" i="19" s="1" a="1"/>
  <c r="AK2130" i="19" s="1"/>
  <c r="AJ2157" i="19"/>
  <c r="AK2157" i="19" s="1" a="1"/>
  <c r="AK2157" i="19" s="1"/>
  <c r="AJ2196" i="19"/>
  <c r="AK2196" i="19" s="1" a="1"/>
  <c r="AK2196" i="19" s="1"/>
  <c r="AJ2093" i="19"/>
  <c r="AK2093" i="19" s="1" a="1"/>
  <c r="AK2093" i="19" s="1"/>
  <c r="AJ2359" i="19"/>
  <c r="AK2359" i="19" s="1" a="1"/>
  <c r="AK2359" i="19" s="1"/>
  <c r="AJ2195" i="19"/>
  <c r="AK2195" i="19" s="1" a="1"/>
  <c r="AK2195" i="19" s="1"/>
  <c r="AJ2090" i="19"/>
  <c r="AK2090" i="19" s="1" a="1"/>
  <c r="AK2090" i="19" s="1"/>
  <c r="AJ2092" i="19"/>
  <c r="AK2092" i="19" s="1" a="1"/>
  <c r="AK2092" i="19" s="1"/>
  <c r="AJ2097" i="19"/>
  <c r="AK2097" i="19" s="1" a="1"/>
  <c r="AK2097" i="19" s="1"/>
  <c r="AJ2098" i="19"/>
  <c r="AK2098" i="19" s="1" a="1"/>
  <c r="AK2098" i="19" s="1"/>
  <c r="AJ2095" i="19"/>
  <c r="AK2095" i="19" s="1" a="1"/>
  <c r="AK2095" i="19" s="1"/>
  <c r="AJ2085" i="19"/>
  <c r="AK2085" i="19" s="1" a="1"/>
  <c r="AK2085" i="19" s="1"/>
  <c r="AJ2089" i="19"/>
  <c r="AK2089" i="19" s="1" a="1"/>
  <c r="AK2089" i="19" s="1"/>
  <c r="AJ2120" i="19"/>
  <c r="AK2120" i="19" s="1" a="1"/>
  <c r="AK2120" i="19" s="1"/>
  <c r="AJ2084" i="19"/>
  <c r="AK2084" i="19" s="1" a="1"/>
  <c r="AK2084" i="19" s="1"/>
  <c r="AJ2087" i="19"/>
  <c r="AK2087" i="19" s="1" a="1"/>
  <c r="AK2087" i="19" s="1"/>
  <c r="AJ2088" i="19"/>
  <c r="AK2088" i="19" s="1" a="1"/>
  <c r="AK2088" i="19" s="1"/>
  <c r="AJ2094" i="19"/>
  <c r="AK2094" i="19" s="1" a="1"/>
  <c r="AK2094" i="19" s="1"/>
  <c r="AJ2156" i="19"/>
  <c r="AK2156" i="19" s="1" a="1"/>
  <c r="AK2156" i="19" s="1"/>
  <c r="AJ2100" i="19"/>
  <c r="AK2100" i="19" s="1" a="1"/>
  <c r="AK2100" i="19" s="1"/>
  <c r="AJ2091" i="19"/>
  <c r="AK2091" i="19" s="1" a="1"/>
  <c r="AK2091" i="19" s="1"/>
  <c r="X774" i="19"/>
  <c r="X497" i="19"/>
  <c r="X567" i="19"/>
  <c r="X457" i="19"/>
  <c r="X568" i="19"/>
  <c r="X496" i="19"/>
  <c r="X775" i="19"/>
  <c r="X565" i="19"/>
  <c r="N745" i="15"/>
  <c r="Q745" i="15" s="1"/>
  <c r="G743" i="15"/>
  <c r="G744" i="15"/>
  <c r="G745" i="15"/>
  <c r="U743" i="15"/>
  <c r="U744" i="15"/>
  <c r="U745" i="15"/>
  <c r="P744" i="15"/>
  <c r="C745" i="15"/>
  <c r="C744" i="15"/>
  <c r="P743" i="15" l="1"/>
  <c r="N743" i="15" s="1"/>
  <c r="Q743" i="15" s="1"/>
  <c r="C743" i="15"/>
  <c r="G741" i="15"/>
  <c r="Q746" i="15"/>
  <c r="G746" i="15"/>
  <c r="G772" i="15" l="1"/>
  <c r="C746" i="15"/>
  <c r="C741" i="15"/>
  <c r="U746" i="15"/>
  <c r="U741" i="15"/>
  <c r="U772" i="15"/>
  <c r="Q772" i="15"/>
  <c r="U781" i="15"/>
  <c r="C772" i="15"/>
  <c r="P781" i="15"/>
  <c r="N781" i="15" s="1"/>
  <c r="Q781" i="15" s="1"/>
  <c r="G781" i="15"/>
  <c r="C781" i="15"/>
  <c r="Q740" i="15" l="1"/>
  <c r="Q815" i="15"/>
  <c r="U740" i="15"/>
  <c r="U815" i="15"/>
  <c r="G740" i="15"/>
  <c r="G815" i="15"/>
  <c r="C740" i="15"/>
  <c r="C815" i="15"/>
  <c r="Q737" i="15"/>
  <c r="G737" i="15"/>
  <c r="U737" i="15"/>
  <c r="C737" i="15"/>
  <c r="U736" i="15"/>
  <c r="Q736" i="15"/>
  <c r="G736" i="15"/>
  <c r="C736" i="15"/>
  <c r="G739" i="15"/>
  <c r="G738" i="15"/>
  <c r="U739" i="15"/>
  <c r="Q739" i="15"/>
  <c r="U738" i="15"/>
  <c r="Q738" i="15"/>
  <c r="C739" i="15"/>
  <c r="U758" i="15"/>
  <c r="Q758" i="15"/>
  <c r="G758" i="15"/>
  <c r="C738" i="15"/>
  <c r="U755" i="15"/>
  <c r="C758" i="15"/>
  <c r="Q755" i="15"/>
  <c r="G755" i="15"/>
  <c r="C755" i="15"/>
  <c r="U924" i="15"/>
  <c r="Q924" i="15"/>
  <c r="G924" i="15"/>
  <c r="C924" i="15"/>
  <c r="U757" i="15"/>
  <c r="Q757" i="15"/>
  <c r="G757" i="15"/>
  <c r="C757" i="15"/>
  <c r="U754" i="15"/>
  <c r="Q754" i="15"/>
  <c r="G754" i="15"/>
  <c r="C754" i="15"/>
  <c r="Q730" i="15"/>
  <c r="U730" i="15"/>
  <c r="U729" i="15"/>
  <c r="Q729" i="15"/>
  <c r="G729" i="15"/>
  <c r="G730" i="15"/>
  <c r="G728" i="15"/>
  <c r="C729" i="15"/>
  <c r="C730" i="15"/>
  <c r="U728" i="15"/>
  <c r="Q728" i="15"/>
  <c r="C728" i="15"/>
  <c r="G727" i="15"/>
  <c r="N727" i="15"/>
  <c r="Q727" i="15" s="1"/>
  <c r="U727" i="15"/>
  <c r="C727" i="15"/>
  <c r="G721" i="15"/>
  <c r="U721" i="15"/>
  <c r="Q721" i="15"/>
  <c r="C721" i="15"/>
  <c r="G720" i="15"/>
  <c r="U720" i="15"/>
  <c r="Q720" i="15"/>
  <c r="C720" i="15"/>
  <c r="U799" i="15"/>
  <c r="N799" i="15"/>
  <c r="Q799" i="15" s="1"/>
  <c r="G799" i="15"/>
  <c r="AH2" i="18" l="1" a="1"/>
  <c r="AH2" i="18" s="1"/>
  <c r="N719" i="15"/>
  <c r="Q719" i="15" s="1"/>
  <c r="U719" i="15"/>
  <c r="C799" i="15"/>
  <c r="G719" i="15"/>
  <c r="C719" i="15" l="1"/>
  <c r="U778" i="15"/>
  <c r="Q778" i="15"/>
  <c r="G778" i="15"/>
  <c r="C778" i="15"/>
  <c r="U627" i="15" l="1"/>
  <c r="Q627" i="15"/>
  <c r="G627" i="15"/>
  <c r="C627" i="15"/>
  <c r="U532" i="15"/>
  <c r="N532" i="15"/>
  <c r="Q532" i="15" s="1"/>
  <c r="G532" i="15"/>
  <c r="C532" i="15"/>
  <c r="U536" i="15"/>
  <c r="N536" i="15"/>
  <c r="Q536" i="15" s="1"/>
  <c r="G536" i="15"/>
  <c r="C536" i="15"/>
  <c r="U535" i="15"/>
  <c r="N535" i="15"/>
  <c r="Q535" i="15" s="1"/>
  <c r="G535" i="15"/>
  <c r="C535" i="15"/>
  <c r="U534" i="15"/>
  <c r="N534" i="15"/>
  <c r="Q534" i="15" s="1"/>
  <c r="G534" i="15"/>
  <c r="C534" i="15"/>
  <c r="N533" i="15"/>
  <c r="Q533" i="15" s="1"/>
  <c r="C533" i="15"/>
  <c r="U533" i="15"/>
  <c r="G533" i="15"/>
  <c r="N571" i="15"/>
  <c r="Q571" i="15" s="1"/>
  <c r="U571" i="15"/>
  <c r="G571" i="15"/>
  <c r="C571" i="15"/>
  <c r="U779" i="15"/>
  <c r="Q779" i="15"/>
  <c r="G779" i="15"/>
  <c r="C779" i="15"/>
  <c r="G718" i="15"/>
  <c r="U718" i="15"/>
  <c r="N718" i="15"/>
  <c r="Q718" i="15" s="1"/>
  <c r="C718" i="15"/>
  <c r="J1361" i="16" l="1"/>
  <c r="K1392" i="16"/>
  <c r="U716" i="15" l="1"/>
  <c r="U715" i="15"/>
  <c r="C716" i="15"/>
  <c r="N716" i="15"/>
  <c r="Q716" i="15" s="1"/>
  <c r="P715" i="15"/>
  <c r="N715" i="15" s="1"/>
  <c r="Q715" i="15" s="1"/>
  <c r="C715" i="15"/>
  <c r="Q714" i="15"/>
  <c r="G714" i="15"/>
  <c r="C714" i="15"/>
  <c r="Q735" i="15"/>
  <c r="G735" i="15"/>
  <c r="C735" i="15"/>
  <c r="Q732" i="15"/>
  <c r="G732" i="15"/>
  <c r="C732" i="15"/>
  <c r="Q713" i="15"/>
  <c r="G713" i="15"/>
  <c r="C713" i="15"/>
  <c r="G762" i="15"/>
  <c r="K1320" i="16"/>
  <c r="Q762" i="15"/>
  <c r="C762" i="15"/>
  <c r="N712" i="15"/>
  <c r="Q712" i="15" s="1"/>
  <c r="G712" i="15"/>
  <c r="C712" i="15"/>
  <c r="Q711" i="15"/>
  <c r="C711" i="15"/>
  <c r="U713" i="15"/>
  <c r="U732" i="15"/>
  <c r="U735" i="15"/>
  <c r="U714" i="15"/>
  <c r="U762" i="15"/>
  <c r="U712" i="15"/>
  <c r="U711" i="15"/>
  <c r="U725" i="15"/>
  <c r="Q725" i="15"/>
  <c r="Q724" i="15"/>
  <c r="G725" i="15"/>
  <c r="G724" i="15"/>
  <c r="C725" i="15"/>
  <c r="C724" i="15"/>
  <c r="I2" i="18"/>
  <c r="N710" i="15" l="1"/>
  <c r="N709" i="15"/>
  <c r="N708" i="15"/>
  <c r="N707" i="15"/>
  <c r="N706" i="15"/>
  <c r="N705" i="15"/>
  <c r="P704" i="15"/>
  <c r="N704" i="15" s="1"/>
  <c r="Q710" i="15" l="1"/>
  <c r="Q709" i="15"/>
  <c r="Q708" i="15"/>
  <c r="Q707" i="15"/>
  <c r="Q706" i="15"/>
  <c r="Q705" i="15"/>
  <c r="Q704" i="15"/>
  <c r="U704" i="15"/>
  <c r="U724" i="15"/>
  <c r="U710" i="15"/>
  <c r="U709" i="15"/>
  <c r="U708" i="15"/>
  <c r="U707" i="15"/>
  <c r="U706" i="15"/>
  <c r="U705" i="15"/>
  <c r="G710" i="15"/>
  <c r="G709" i="15"/>
  <c r="G708" i="15"/>
  <c r="G707" i="15"/>
  <c r="G706" i="15"/>
  <c r="G705" i="15"/>
  <c r="G704" i="15"/>
  <c r="C706" i="15"/>
  <c r="C707" i="15"/>
  <c r="C708" i="15"/>
  <c r="C709" i="15"/>
  <c r="C710" i="15"/>
  <c r="C704" i="15"/>
  <c r="D13" i="17"/>
  <c r="D12" i="17"/>
  <c r="D11" i="17"/>
  <c r="D10" i="17"/>
  <c r="D9" i="17"/>
  <c r="D8" i="17"/>
  <c r="D7" i="17"/>
  <c r="D6" i="17"/>
  <c r="D5" i="17"/>
  <c r="D4" i="17"/>
  <c r="D3" i="17"/>
  <c r="D2" i="17"/>
  <c r="V982" i="15" l="1"/>
  <c r="V979" i="15"/>
  <c r="V980" i="15"/>
  <c r="V981" i="15"/>
  <c r="V978" i="15"/>
  <c r="V977" i="15"/>
  <c r="V976" i="15"/>
  <c r="V971" i="15"/>
  <c r="V974" i="15"/>
  <c r="V975" i="15"/>
  <c r="V973" i="15"/>
  <c r="V972" i="15"/>
  <c r="V970" i="15"/>
  <c r="V964" i="15"/>
  <c r="V965" i="15"/>
  <c r="V962" i="15"/>
  <c r="V969" i="15"/>
  <c r="V966" i="15"/>
  <c r="V963" i="15"/>
  <c r="V968" i="15"/>
  <c r="V967" i="15"/>
  <c r="V950" i="15"/>
  <c r="V956" i="15"/>
  <c r="V955" i="15"/>
  <c r="V951" i="15"/>
  <c r="V960" i="15"/>
  <c r="V959" i="15"/>
  <c r="V953" i="15"/>
  <c r="V958" i="15"/>
  <c r="V952" i="15"/>
  <c r="V948" i="15"/>
  <c r="V957" i="15"/>
  <c r="V954" i="15"/>
  <c r="V949" i="15"/>
  <c r="V961" i="15"/>
  <c r="V943" i="15"/>
  <c r="V920" i="15"/>
  <c r="V944" i="15"/>
  <c r="V945" i="15"/>
  <c r="V946" i="15"/>
  <c r="V947" i="15"/>
  <c r="V940" i="15"/>
  <c r="V938" i="15"/>
  <c r="V939" i="15"/>
  <c r="V937" i="15"/>
  <c r="V941" i="15"/>
  <c r="V942" i="15"/>
  <c r="V936" i="15"/>
  <c r="V935" i="15"/>
  <c r="V934" i="15"/>
  <c r="V928" i="15"/>
  <c r="V933" i="15"/>
  <c r="V931" i="15"/>
  <c r="V929" i="15"/>
  <c r="V927" i="15"/>
  <c r="V932" i="15"/>
  <c r="V926" i="15"/>
  <c r="V930" i="15"/>
  <c r="V925" i="15"/>
  <c r="V923" i="15"/>
  <c r="V922" i="15"/>
  <c r="V921" i="15"/>
  <c r="V919" i="15"/>
  <c r="V918" i="15"/>
  <c r="V917" i="15"/>
  <c r="V916" i="15"/>
  <c r="V913" i="15"/>
  <c r="V915" i="15"/>
  <c r="V909" i="15"/>
  <c r="V908" i="15"/>
  <c r="V910" i="15"/>
  <c r="V912" i="15"/>
  <c r="V911" i="15"/>
  <c r="V907" i="15"/>
  <c r="V905" i="15"/>
  <c r="V906" i="15"/>
  <c r="V856" i="15"/>
  <c r="V879" i="15"/>
  <c r="V904" i="15"/>
  <c r="V903" i="15"/>
  <c r="V900" i="15"/>
  <c r="V901" i="15"/>
  <c r="V902" i="15"/>
  <c r="V898" i="15"/>
  <c r="V899" i="15"/>
  <c r="V897" i="15"/>
  <c r="V895" i="15"/>
  <c r="V891" i="15"/>
  <c r="V896" i="15"/>
  <c r="V894" i="15"/>
  <c r="V892" i="15"/>
  <c r="V893" i="15"/>
  <c r="V884" i="15"/>
  <c r="V886" i="15"/>
  <c r="V888" i="15"/>
  <c r="V874" i="15"/>
  <c r="V890" i="15"/>
  <c r="V877" i="15"/>
  <c r="V878" i="15"/>
  <c r="V876" i="15"/>
  <c r="V882" i="15"/>
  <c r="V883" i="15"/>
  <c r="V889" i="15"/>
  <c r="V885" i="15"/>
  <c r="V875" i="15"/>
  <c r="V887" i="15"/>
  <c r="V873" i="15"/>
  <c r="V872" i="15"/>
  <c r="V868" i="15"/>
  <c r="V869" i="15"/>
  <c r="V865" i="15"/>
  <c r="V867" i="15"/>
  <c r="V866" i="15"/>
  <c r="V861" i="15"/>
  <c r="V859" i="15"/>
  <c r="V860" i="15"/>
  <c r="V858" i="15"/>
  <c r="V857" i="15"/>
  <c r="V852" i="15"/>
  <c r="V851" i="15"/>
  <c r="V855" i="15"/>
  <c r="V850" i="15"/>
  <c r="V848" i="15"/>
  <c r="V754" i="15"/>
  <c r="V533" i="15"/>
  <c r="V721" i="15"/>
  <c r="V716" i="15"/>
  <c r="V802" i="15"/>
  <c r="V809" i="15"/>
  <c r="V820" i="15"/>
  <c r="V837" i="15"/>
  <c r="V750" i="15"/>
  <c r="V534" i="15"/>
  <c r="V799" i="15"/>
  <c r="V752" i="15"/>
  <c r="V810" i="15"/>
  <c r="V821" i="15"/>
  <c r="V838" i="15"/>
  <c r="V781" i="15"/>
  <c r="V535" i="15"/>
  <c r="V746" i="15"/>
  <c r="V778" i="15"/>
  <c r="V775" i="15"/>
  <c r="V783" i="15"/>
  <c r="V822" i="15"/>
  <c r="V839" i="15"/>
  <c r="V768" i="15"/>
  <c r="V536" i="15"/>
  <c r="V719" i="15"/>
  <c r="V776" i="15"/>
  <c r="V784" i="15"/>
  <c r="V823" i="15"/>
  <c r="V840" i="15"/>
  <c r="V727" i="15"/>
  <c r="V720" i="15"/>
  <c r="V704" i="15"/>
  <c r="V728" i="15"/>
  <c r="V811" i="15"/>
  <c r="V785" i="15"/>
  <c r="V824" i="15"/>
  <c r="V841" i="15"/>
  <c r="V924" i="15"/>
  <c r="V713" i="15"/>
  <c r="V762" i="15"/>
  <c r="V627" i="15"/>
  <c r="V792" i="15"/>
  <c r="V705" i="15"/>
  <c r="V729" i="15"/>
  <c r="V812" i="15"/>
  <c r="V786" i="15"/>
  <c r="V825" i="15"/>
  <c r="V842" i="15"/>
  <c r="V741" i="15"/>
  <c r="V779" i="15"/>
  <c r="V757" i="15"/>
  <c r="V712" i="15"/>
  <c r="V571" i="15"/>
  <c r="V793" i="15"/>
  <c r="V706" i="15"/>
  <c r="V730" i="15"/>
  <c r="V813" i="15"/>
  <c r="V791" i="15"/>
  <c r="V826" i="15"/>
  <c r="V843" i="15"/>
  <c r="V751" i="15"/>
  <c r="V707" i="15"/>
  <c r="V815" i="15"/>
  <c r="V773" i="15"/>
  <c r="V881" i="15"/>
  <c r="V827" i="15"/>
  <c r="V844" i="15"/>
  <c r="V794" i="15"/>
  <c r="V708" i="15"/>
  <c r="V740" i="15"/>
  <c r="V774" i="15"/>
  <c r="V805" i="15"/>
  <c r="V828" i="15"/>
  <c r="V845" i="15"/>
  <c r="V807" i="15"/>
  <c r="V735" i="15"/>
  <c r="V736" i="15"/>
  <c r="V737" i="15"/>
  <c r="V718" i="15"/>
  <c r="V804" i="15"/>
  <c r="V806" i="15"/>
  <c r="V830" i="15"/>
  <c r="V846" i="15"/>
  <c r="V758" i="15"/>
  <c r="V710" i="15"/>
  <c r="V744" i="15"/>
  <c r="V853" i="15"/>
  <c r="V914" i="15"/>
  <c r="V831" i="15"/>
  <c r="V847" i="15"/>
  <c r="V833" i="15"/>
  <c r="V738" i="15"/>
  <c r="V724" i="15"/>
  <c r="V745" i="15"/>
  <c r="V800" i="15"/>
  <c r="V798" i="15"/>
  <c r="V832" i="15"/>
  <c r="V849" i="15"/>
  <c r="V816" i="15"/>
  <c r="V732" i="15"/>
  <c r="V532" i="15"/>
  <c r="V739" i="15"/>
  <c r="V725" i="15"/>
  <c r="V747" i="15"/>
  <c r="V801" i="15"/>
  <c r="V817" i="15"/>
  <c r="V834" i="15"/>
  <c r="V709" i="15"/>
  <c r="V714" i="15"/>
  <c r="V755" i="15"/>
  <c r="V711" i="15"/>
  <c r="V748" i="15"/>
  <c r="V808" i="15"/>
  <c r="V818" i="15"/>
  <c r="V835" i="15"/>
  <c r="V772" i="15"/>
  <c r="V743" i="15"/>
  <c r="V715" i="15"/>
  <c r="V749" i="15"/>
  <c r="V803" i="15"/>
  <c r="V819" i="15"/>
  <c r="V836" i="15"/>
  <c r="N1239" i="16"/>
  <c r="F1239" i="16"/>
  <c r="N1238" i="16"/>
  <c r="F1238" i="16"/>
  <c r="N1237" i="16"/>
  <c r="F1237" i="16"/>
  <c r="N1236" i="16"/>
  <c r="F1236" i="16"/>
  <c r="N1235" i="16"/>
  <c r="F1235" i="16"/>
  <c r="N1234" i="16"/>
  <c r="F1234" i="16"/>
  <c r="N1233" i="16"/>
  <c r="F1233" i="16"/>
  <c r="N1232" i="16"/>
  <c r="F1232" i="16"/>
  <c r="N1231" i="16"/>
  <c r="K1231" i="16"/>
  <c r="F1231" i="16"/>
  <c r="N1230" i="16"/>
  <c r="K1230" i="16"/>
  <c r="F1230" i="16"/>
  <c r="N1229" i="16"/>
  <c r="F1229" i="16"/>
  <c r="N1228" i="16"/>
  <c r="F1228" i="16"/>
  <c r="N1227" i="16"/>
  <c r="F1227" i="16"/>
  <c r="N1226" i="16"/>
  <c r="F1226" i="16"/>
  <c r="N1225" i="16"/>
  <c r="F1225" i="16"/>
  <c r="N1224" i="16"/>
  <c r="F1224" i="16"/>
  <c r="N1223" i="16"/>
  <c r="K1223" i="16" s="1"/>
  <c r="F1223" i="16"/>
  <c r="N1222" i="16"/>
  <c r="F1222" i="16"/>
  <c r="N1221" i="16"/>
  <c r="F1221" i="16"/>
  <c r="N1220" i="16"/>
  <c r="K1220" i="16" s="1"/>
  <c r="F1220" i="16"/>
  <c r="N1219" i="16"/>
  <c r="F1219" i="16"/>
  <c r="N1218" i="16"/>
  <c r="F1218" i="16"/>
  <c r="N1217" i="16"/>
  <c r="K1217" i="16" s="1"/>
  <c r="F1217" i="16"/>
  <c r="N1216" i="16"/>
  <c r="K1216" i="16" s="1"/>
  <c r="F1216" i="16"/>
  <c r="N1215" i="16"/>
  <c r="F1215" i="16"/>
  <c r="N1214" i="16"/>
  <c r="F1214" i="16"/>
  <c r="N1213" i="16"/>
  <c r="F1213" i="16"/>
  <c r="N1212" i="16"/>
  <c r="K1212" i="16" s="1"/>
  <c r="F1212" i="16"/>
  <c r="N1211" i="16"/>
  <c r="F1211" i="16"/>
  <c r="N1210" i="16"/>
  <c r="F1210" i="16"/>
  <c r="N1209" i="16"/>
  <c r="F1209" i="16"/>
  <c r="N1208" i="16"/>
  <c r="F1208" i="16"/>
  <c r="N1207" i="16"/>
  <c r="F1207" i="16"/>
  <c r="N1206" i="16"/>
  <c r="F1206" i="16"/>
  <c r="N1205" i="16"/>
  <c r="F1205" i="16"/>
  <c r="N1204" i="16"/>
  <c r="F1204" i="16"/>
  <c r="N1203" i="16"/>
  <c r="F1203" i="16"/>
  <c r="N1202" i="16"/>
  <c r="F1202" i="16"/>
  <c r="N1201" i="16"/>
  <c r="F1201" i="16"/>
  <c r="N1200" i="16"/>
  <c r="F1200" i="16"/>
  <c r="N1199" i="16"/>
  <c r="F1199" i="16"/>
  <c r="N1198" i="16"/>
  <c r="F1198" i="16"/>
  <c r="N1197" i="16"/>
  <c r="F1197" i="16"/>
  <c r="N1196" i="16"/>
  <c r="F1196" i="16"/>
  <c r="N1195" i="16"/>
  <c r="F1195" i="16"/>
  <c r="N1194" i="16"/>
  <c r="F1194" i="16"/>
  <c r="N1193" i="16"/>
  <c r="F1193" i="16"/>
  <c r="N1192" i="16"/>
  <c r="F1192" i="16"/>
  <c r="N1191" i="16"/>
  <c r="K1191" i="16" s="1"/>
  <c r="F1191" i="16"/>
  <c r="N1190" i="16"/>
  <c r="F1190" i="16"/>
  <c r="N1189" i="16"/>
  <c r="F1189" i="16"/>
  <c r="N1188" i="16"/>
  <c r="F1188" i="16"/>
  <c r="N1187" i="16"/>
  <c r="K1187" i="16" s="1"/>
  <c r="F1187" i="16"/>
  <c r="N1186" i="16"/>
  <c r="F1186" i="16"/>
  <c r="N1185" i="16"/>
  <c r="F1185" i="16"/>
  <c r="N1184" i="16"/>
  <c r="F1184" i="16"/>
  <c r="N1183" i="16"/>
  <c r="F1183" i="16"/>
  <c r="N1182" i="16"/>
  <c r="F1182" i="16"/>
  <c r="N1181" i="16"/>
  <c r="F1181" i="16"/>
  <c r="N1180" i="16"/>
  <c r="F1180" i="16"/>
  <c r="N1179" i="16"/>
  <c r="F1179" i="16"/>
  <c r="N1178" i="16"/>
  <c r="F1178" i="16"/>
  <c r="N1177" i="16"/>
  <c r="F1177" i="16"/>
  <c r="N1176" i="16"/>
  <c r="F1176" i="16"/>
  <c r="N1175" i="16"/>
  <c r="F1175" i="16"/>
  <c r="N1174" i="16"/>
  <c r="F1174" i="16"/>
  <c r="N1173" i="16"/>
  <c r="K1173" i="16" s="1"/>
  <c r="F1173" i="16"/>
  <c r="N1172" i="16"/>
  <c r="K1172" i="16" s="1"/>
  <c r="F1172" i="16"/>
  <c r="N1171" i="16"/>
  <c r="F1171" i="16"/>
  <c r="N1170" i="16"/>
  <c r="F1170" i="16"/>
  <c r="N1169" i="16"/>
  <c r="F1169" i="16"/>
  <c r="N1168" i="16"/>
  <c r="F1168" i="16"/>
  <c r="N1167" i="16"/>
  <c r="F1167" i="16"/>
  <c r="N1166" i="16"/>
  <c r="F1166" i="16"/>
  <c r="N1165" i="16"/>
  <c r="F1165" i="16"/>
  <c r="N1164" i="16"/>
  <c r="F1164" i="16"/>
  <c r="N1163" i="16"/>
  <c r="F1163" i="16"/>
  <c r="N1162" i="16"/>
  <c r="K1162" i="16" s="1"/>
  <c r="F1162" i="16"/>
  <c r="N1161" i="16"/>
  <c r="K1161" i="16" s="1"/>
  <c r="F1161" i="16"/>
  <c r="N1160" i="16"/>
  <c r="K1160" i="16" s="1"/>
  <c r="F1160" i="16"/>
  <c r="N1159" i="16"/>
  <c r="F1159" i="16"/>
  <c r="N1158" i="16"/>
  <c r="K1158" i="16" s="1"/>
  <c r="F1158" i="16"/>
  <c r="N1157" i="16"/>
  <c r="F1157" i="16"/>
  <c r="N1156" i="16"/>
  <c r="K1156" i="16" s="1"/>
  <c r="F1156" i="16"/>
  <c r="N1155" i="16"/>
  <c r="K1155" i="16"/>
  <c r="F1155" i="16"/>
  <c r="N1154" i="16"/>
  <c r="F1154" i="16"/>
  <c r="N1153" i="16"/>
  <c r="F1153" i="16"/>
  <c r="N1152" i="16"/>
  <c r="F1152" i="16"/>
  <c r="N1151" i="16"/>
  <c r="F1151" i="16"/>
  <c r="N1150" i="16"/>
  <c r="F1150" i="16"/>
  <c r="N1149" i="16"/>
  <c r="F1149" i="16"/>
  <c r="N1148" i="16"/>
  <c r="F1148" i="16"/>
  <c r="N1147" i="16"/>
  <c r="F1147" i="16"/>
  <c r="N1146" i="16"/>
  <c r="F1146" i="16"/>
  <c r="N1145" i="16"/>
  <c r="K1145" i="16" s="1"/>
  <c r="F1145" i="16"/>
  <c r="N1144" i="16"/>
  <c r="F1144" i="16"/>
  <c r="N1143" i="16"/>
  <c r="K1143" i="16" s="1"/>
  <c r="F1143" i="16"/>
  <c r="N1142" i="16"/>
  <c r="F1142" i="16"/>
  <c r="N1141" i="16"/>
  <c r="K1141" i="16" s="1"/>
  <c r="F1141" i="16"/>
  <c r="N1140" i="16"/>
  <c r="K1140" i="16" s="1"/>
  <c r="F1140" i="16"/>
  <c r="N1139" i="16"/>
  <c r="F1139" i="16"/>
  <c r="N1137" i="16"/>
  <c r="F1137" i="16"/>
  <c r="N1136" i="16"/>
  <c r="F1136" i="16"/>
  <c r="N1138" i="16"/>
  <c r="F1138" i="16"/>
  <c r="N1135" i="16"/>
  <c r="F1135" i="16"/>
  <c r="N1134" i="16"/>
  <c r="F1134" i="16"/>
  <c r="N1133" i="16"/>
  <c r="O1133" i="16" s="1"/>
  <c r="F1133" i="16"/>
  <c r="A1133" i="16"/>
  <c r="N1132" i="16"/>
  <c r="F1132" i="16"/>
  <c r="N1131" i="16"/>
  <c r="F1131" i="16"/>
  <c r="N1130" i="16"/>
  <c r="F1130" i="16"/>
  <c r="N1129" i="16"/>
  <c r="F1129" i="16"/>
  <c r="N1128" i="16"/>
  <c r="K1128" i="16" s="1"/>
  <c r="F1128" i="16"/>
  <c r="N1127" i="16"/>
  <c r="F1127" i="16"/>
  <c r="N1126" i="16"/>
  <c r="K1126" i="16" s="1"/>
  <c r="F1126" i="16"/>
  <c r="N1125" i="16"/>
  <c r="F1125" i="16"/>
  <c r="N1124" i="16"/>
  <c r="K1124" i="16" s="1"/>
  <c r="F1124" i="16"/>
  <c r="N1123" i="16"/>
  <c r="F1123" i="16"/>
  <c r="N1122" i="16"/>
  <c r="F1122" i="16"/>
  <c r="N1121" i="16"/>
  <c r="F1121" i="16"/>
  <c r="N1120" i="16"/>
  <c r="F1120" i="16"/>
  <c r="N1119" i="16"/>
  <c r="K1119" i="16" s="1"/>
  <c r="F1119" i="16"/>
  <c r="N1118" i="16"/>
  <c r="K1118" i="16" s="1"/>
  <c r="F1118" i="16"/>
  <c r="N1117" i="16"/>
  <c r="F1117" i="16"/>
  <c r="N1116" i="16"/>
  <c r="F1116" i="16"/>
  <c r="N1115" i="16"/>
  <c r="F1115" i="16"/>
  <c r="N1114" i="16"/>
  <c r="F1114" i="16"/>
  <c r="N1113" i="16"/>
  <c r="F1113" i="16"/>
  <c r="N1112" i="16"/>
  <c r="F1112" i="16"/>
  <c r="N1111" i="16"/>
  <c r="F1111" i="16"/>
  <c r="N1110" i="16"/>
  <c r="F1110" i="16"/>
  <c r="N1109" i="16"/>
  <c r="F1109" i="16"/>
  <c r="N1108" i="16"/>
  <c r="F1108" i="16"/>
  <c r="N1107" i="16"/>
  <c r="F1107" i="16"/>
  <c r="N1106" i="16"/>
  <c r="K1106" i="16" s="1"/>
  <c r="F1106" i="16"/>
  <c r="N1105" i="16"/>
  <c r="F1105" i="16"/>
  <c r="N1104" i="16"/>
  <c r="F1104" i="16"/>
  <c r="N1103" i="16"/>
  <c r="K1103" i="16" s="1"/>
  <c r="F1103" i="16"/>
  <c r="N1102" i="16"/>
  <c r="K1102" i="16" s="1"/>
  <c r="F1102" i="16"/>
  <c r="N1101" i="16"/>
  <c r="F1101" i="16"/>
  <c r="N1100" i="16"/>
  <c r="K1100" i="16" s="1"/>
  <c r="F1100" i="16"/>
  <c r="N1099" i="16"/>
  <c r="K1099" i="16" s="1"/>
  <c r="F1099" i="16"/>
  <c r="N1098" i="16"/>
  <c r="F1098" i="16"/>
  <c r="N1097" i="16"/>
  <c r="F1097" i="16"/>
  <c r="N1096" i="16"/>
  <c r="F1096" i="16"/>
  <c r="N1095" i="16"/>
  <c r="K1095" i="16" s="1"/>
  <c r="F1095" i="16"/>
  <c r="N1094" i="16"/>
  <c r="F1094" i="16"/>
  <c r="N1093" i="16"/>
  <c r="F1093" i="16"/>
  <c r="N1092" i="16"/>
  <c r="F1092" i="16"/>
  <c r="N1091" i="16"/>
  <c r="K1091" i="16" s="1"/>
  <c r="F1091" i="16"/>
  <c r="N1090" i="16"/>
  <c r="F1090" i="16"/>
  <c r="N1089" i="16"/>
  <c r="F1089" i="16"/>
  <c r="N1088" i="16"/>
  <c r="F1088" i="16"/>
  <c r="N1087" i="16"/>
  <c r="K1087" i="16" s="1"/>
  <c r="F1087" i="16"/>
  <c r="N1086" i="16"/>
  <c r="F1086" i="16"/>
  <c r="N1085" i="16"/>
  <c r="F1085" i="16"/>
  <c r="N1084" i="16"/>
  <c r="F1084" i="16"/>
  <c r="N1083" i="16"/>
  <c r="K1083" i="16" s="1"/>
  <c r="F1083" i="16"/>
  <c r="N1082" i="16"/>
  <c r="K1082" i="16" s="1"/>
  <c r="F1082" i="16"/>
  <c r="N1081" i="16"/>
  <c r="K1081" i="16" s="1"/>
  <c r="F1081" i="16"/>
  <c r="N1080" i="16"/>
  <c r="F1080" i="16"/>
  <c r="N1079" i="16"/>
  <c r="K1079" i="16" s="1"/>
  <c r="F1079" i="16"/>
  <c r="N1078" i="16"/>
  <c r="F1078" i="16"/>
  <c r="N1077" i="16"/>
  <c r="K1077" i="16" s="1"/>
  <c r="F1077" i="16"/>
  <c r="N1076" i="16"/>
  <c r="F1076" i="16"/>
  <c r="N1075" i="16"/>
  <c r="F1075" i="16"/>
  <c r="N1074" i="16"/>
  <c r="F1074" i="16"/>
  <c r="N1073" i="16"/>
  <c r="F1073" i="16"/>
  <c r="N1072" i="16"/>
  <c r="F1072" i="16"/>
  <c r="N1071" i="16"/>
  <c r="F1071" i="16"/>
  <c r="N1070" i="16"/>
  <c r="F1070" i="16"/>
  <c r="N1069" i="16"/>
  <c r="K1069" i="16" s="1"/>
  <c r="F1069" i="16"/>
  <c r="N1068" i="16"/>
  <c r="F1068" i="16"/>
  <c r="N1067" i="16"/>
  <c r="F1067" i="16"/>
  <c r="N1066" i="16"/>
  <c r="K1066" i="16" s="1"/>
  <c r="F1066" i="16"/>
  <c r="N1065" i="16"/>
  <c r="F1065" i="16"/>
  <c r="N1064" i="16"/>
  <c r="F1064" i="16"/>
  <c r="N1063" i="16"/>
  <c r="K1063" i="16" s="1"/>
  <c r="F1063" i="16"/>
  <c r="N1062" i="16"/>
  <c r="K1062" i="16" s="1"/>
  <c r="F1062" i="16"/>
  <c r="N1061" i="16"/>
  <c r="F1061" i="16"/>
  <c r="N1060" i="16"/>
  <c r="K1060" i="16" s="1"/>
  <c r="F1060" i="16"/>
  <c r="N1059" i="16"/>
  <c r="K1059" i="16" s="1"/>
  <c r="F1059" i="16"/>
  <c r="N1058" i="16"/>
  <c r="F1058" i="16"/>
  <c r="N1057" i="16"/>
  <c r="F1057" i="16"/>
  <c r="N1056" i="16"/>
  <c r="F1056" i="16"/>
  <c r="N1055" i="16"/>
  <c r="F1055" i="16"/>
  <c r="N1054" i="16"/>
  <c r="F1054" i="16"/>
  <c r="N1053" i="16"/>
  <c r="F1053" i="16"/>
  <c r="N1052" i="16"/>
  <c r="F1052" i="16"/>
  <c r="N1051" i="16"/>
  <c r="F1051" i="16"/>
  <c r="N1050" i="16"/>
  <c r="F1050" i="16"/>
  <c r="N1049" i="16"/>
  <c r="F1049" i="16"/>
  <c r="N1048" i="16"/>
  <c r="F1048" i="16"/>
  <c r="N1047" i="16"/>
  <c r="F1047" i="16"/>
  <c r="N1046" i="16"/>
  <c r="F1046" i="16"/>
  <c r="N1045" i="16"/>
  <c r="F1045" i="16"/>
  <c r="N1035" i="16"/>
  <c r="F1035" i="16"/>
  <c r="N1044" i="16"/>
  <c r="K1044" i="16" s="1"/>
  <c r="F1044" i="16"/>
  <c r="N1043" i="16"/>
  <c r="F1043" i="16"/>
  <c r="N1042" i="16"/>
  <c r="F1042" i="16"/>
  <c r="N1041" i="16"/>
  <c r="K1041" i="16" s="1"/>
  <c r="F1041" i="16"/>
  <c r="N1040" i="16"/>
  <c r="K1040" i="16" s="1"/>
  <c r="F1040" i="16"/>
  <c r="N1039" i="16"/>
  <c r="F1039" i="16"/>
  <c r="N1038" i="16"/>
  <c r="K1038" i="16" s="1"/>
  <c r="F1038" i="16"/>
  <c r="N1037" i="16"/>
  <c r="F1037" i="16"/>
  <c r="N1036" i="16"/>
  <c r="F1036" i="16"/>
  <c r="N1034" i="16"/>
  <c r="F1034" i="16"/>
  <c r="N1033" i="16"/>
  <c r="K1033" i="16" s="1"/>
  <c r="F1033" i="16"/>
  <c r="N1032" i="16"/>
  <c r="F1032" i="16"/>
  <c r="N1031" i="16"/>
  <c r="F1031" i="16"/>
  <c r="N1030" i="16"/>
  <c r="F1030" i="16"/>
  <c r="N1029" i="16"/>
  <c r="F1029" i="16"/>
  <c r="N1028" i="16"/>
  <c r="F1028" i="16"/>
  <c r="N1027" i="16"/>
  <c r="F1027" i="16"/>
  <c r="N1026" i="16"/>
  <c r="K1026" i="16"/>
  <c r="F1026" i="16"/>
  <c r="N1025" i="16"/>
  <c r="F1025" i="16"/>
  <c r="N1024" i="16"/>
  <c r="F1024" i="16"/>
  <c r="N1023" i="16"/>
  <c r="F1023" i="16"/>
  <c r="N1022" i="16"/>
  <c r="F1022" i="16"/>
  <c r="N1021" i="16"/>
  <c r="F1021" i="16"/>
  <c r="N1020" i="16"/>
  <c r="K1020" i="16" s="1"/>
  <c r="F1020" i="16"/>
  <c r="N1019" i="16"/>
  <c r="F1019" i="16"/>
  <c r="N1018" i="16"/>
  <c r="F1018" i="16"/>
  <c r="N1017" i="16"/>
  <c r="F1017" i="16"/>
  <c r="N1016" i="16"/>
  <c r="F1016" i="16"/>
  <c r="N1015" i="16"/>
  <c r="K1015" i="16" s="1"/>
  <c r="F1015" i="16"/>
  <c r="N1014" i="16"/>
  <c r="F1014" i="16"/>
  <c r="N1013" i="16"/>
  <c r="K1013" i="16" s="1"/>
  <c r="F1013" i="16"/>
  <c r="N1012" i="16"/>
  <c r="F1012" i="16"/>
  <c r="N1011" i="16"/>
  <c r="K1011" i="16" s="1"/>
  <c r="F1011" i="16"/>
  <c r="N1010" i="16"/>
  <c r="F1010" i="16"/>
  <c r="N1009" i="16"/>
  <c r="K1009" i="16" s="1"/>
  <c r="F1009" i="16"/>
  <c r="N1008" i="16"/>
  <c r="F1008" i="16"/>
  <c r="N1007" i="16"/>
  <c r="K1007" i="16" s="1"/>
  <c r="F1007" i="16"/>
  <c r="N1006" i="16"/>
  <c r="F1006" i="16"/>
  <c r="N1005" i="16"/>
  <c r="F1005" i="16"/>
  <c r="N1004" i="16"/>
  <c r="F1004" i="16"/>
  <c r="N1003" i="16"/>
  <c r="K1003" i="16"/>
  <c r="F1003" i="16"/>
  <c r="N1002" i="16"/>
  <c r="F1002" i="16"/>
  <c r="N1001" i="16"/>
  <c r="F1001" i="16"/>
  <c r="N1000" i="16"/>
  <c r="F1000" i="16"/>
  <c r="N999" i="16"/>
  <c r="F999" i="16"/>
  <c r="N998" i="16"/>
  <c r="F998" i="16"/>
  <c r="N997" i="16"/>
  <c r="F997" i="16"/>
  <c r="N996" i="16"/>
  <c r="K996" i="16" s="1"/>
  <c r="F996" i="16"/>
  <c r="N995" i="16"/>
  <c r="F995" i="16"/>
  <c r="N994" i="16"/>
  <c r="K994" i="16" s="1"/>
  <c r="F994" i="16"/>
  <c r="N993" i="16"/>
  <c r="F993" i="16"/>
  <c r="N992" i="16"/>
  <c r="F992" i="16"/>
  <c r="N991" i="16"/>
  <c r="K991" i="16" s="1"/>
  <c r="F991" i="16"/>
  <c r="N990" i="16"/>
  <c r="K990" i="16" s="1"/>
  <c r="F990" i="16"/>
  <c r="N989" i="16"/>
  <c r="F989" i="16"/>
  <c r="N988" i="16"/>
  <c r="K988" i="16" s="1"/>
  <c r="F988" i="16"/>
  <c r="N987" i="16"/>
  <c r="F987" i="16"/>
  <c r="N986" i="16"/>
  <c r="K986" i="16" s="1"/>
  <c r="F986" i="16"/>
  <c r="N985" i="16"/>
  <c r="F985" i="16"/>
  <c r="N984" i="16"/>
  <c r="F984" i="16"/>
  <c r="N983" i="16"/>
  <c r="F983" i="16"/>
  <c r="N982" i="16"/>
  <c r="F982" i="16"/>
  <c r="N981" i="16"/>
  <c r="F981" i="16"/>
  <c r="N980" i="16"/>
  <c r="F980" i="16"/>
  <c r="N856" i="16"/>
  <c r="F856" i="16"/>
  <c r="N979" i="16"/>
  <c r="F979" i="16"/>
  <c r="N978" i="16"/>
  <c r="F978" i="16"/>
  <c r="N977" i="16"/>
  <c r="F977" i="16"/>
  <c r="N976" i="16"/>
  <c r="F976" i="16"/>
  <c r="N975" i="16"/>
  <c r="F975" i="16"/>
  <c r="N974" i="16"/>
  <c r="F974" i="16"/>
  <c r="N973" i="16"/>
  <c r="F973" i="16"/>
  <c r="N972" i="16"/>
  <c r="F972" i="16"/>
  <c r="N955" i="16"/>
  <c r="F955" i="16"/>
  <c r="N954" i="16"/>
  <c r="F954" i="16"/>
  <c r="N953" i="16"/>
  <c r="F953" i="16"/>
  <c r="N952" i="16"/>
  <c r="F952" i="16"/>
  <c r="N951" i="16"/>
  <c r="F951" i="16"/>
  <c r="N950" i="16"/>
  <c r="F950" i="16"/>
  <c r="N971" i="16"/>
  <c r="F971" i="16"/>
  <c r="N949" i="16"/>
  <c r="K949" i="16" s="1"/>
  <c r="F949" i="16"/>
  <c r="N948" i="16"/>
  <c r="F948" i="16"/>
  <c r="N947" i="16"/>
  <c r="K947" i="16" s="1"/>
  <c r="F947" i="16"/>
  <c r="N946" i="16"/>
  <c r="F946" i="16"/>
  <c r="N945" i="16"/>
  <c r="F945" i="16"/>
  <c r="N970" i="16"/>
  <c r="F970" i="16"/>
  <c r="N969" i="16"/>
  <c r="F969" i="16"/>
  <c r="N968" i="16"/>
  <c r="F968" i="16"/>
  <c r="N967" i="16"/>
  <c r="F967" i="16"/>
  <c r="N966" i="16"/>
  <c r="F966" i="16"/>
  <c r="N965" i="16"/>
  <c r="F965" i="16"/>
  <c r="N964" i="16"/>
  <c r="F964" i="16"/>
  <c r="N963" i="16"/>
  <c r="F963" i="16"/>
  <c r="N962" i="16"/>
  <c r="F962" i="16"/>
  <c r="N961" i="16"/>
  <c r="F961" i="16"/>
  <c r="N960" i="16"/>
  <c r="F960" i="16"/>
  <c r="N959" i="16"/>
  <c r="F959" i="16"/>
  <c r="N958" i="16"/>
  <c r="F958" i="16"/>
  <c r="N957" i="16"/>
  <c r="F957" i="16"/>
  <c r="N956" i="16"/>
  <c r="F956" i="16"/>
  <c r="N944" i="16"/>
  <c r="F944" i="16"/>
  <c r="N943" i="16"/>
  <c r="F943" i="16"/>
  <c r="N942" i="16"/>
  <c r="F942" i="16"/>
  <c r="N941" i="16"/>
  <c r="F941" i="16"/>
  <c r="N940" i="16"/>
  <c r="K940" i="16" s="1"/>
  <c r="F940" i="16"/>
  <c r="N939" i="16"/>
  <c r="K939" i="16" s="1"/>
  <c r="F939" i="16"/>
  <c r="N938" i="16"/>
  <c r="F938" i="16"/>
  <c r="N937" i="16"/>
  <c r="F937" i="16"/>
  <c r="N936" i="16"/>
  <c r="F936" i="16"/>
  <c r="N935" i="16"/>
  <c r="K935" i="16" s="1"/>
  <c r="F935" i="16"/>
  <c r="N934" i="16"/>
  <c r="F934" i="16"/>
  <c r="N933" i="16"/>
  <c r="F933" i="16"/>
  <c r="N932" i="16"/>
  <c r="F932" i="16"/>
  <c r="N931" i="16"/>
  <c r="F931" i="16"/>
  <c r="N930" i="16"/>
  <c r="F930" i="16"/>
  <c r="N929" i="16"/>
  <c r="K929" i="16" s="1"/>
  <c r="F929" i="16"/>
  <c r="N928" i="16"/>
  <c r="F928" i="16"/>
  <c r="N927" i="16"/>
  <c r="F927" i="16"/>
  <c r="N926" i="16"/>
  <c r="F926" i="16"/>
  <c r="N925" i="16"/>
  <c r="F925" i="16"/>
  <c r="N924" i="16"/>
  <c r="F924" i="16"/>
  <c r="N923" i="16"/>
  <c r="F923" i="16"/>
  <c r="N922" i="16"/>
  <c r="F922" i="16"/>
  <c r="N921" i="16"/>
  <c r="K921" i="16" s="1"/>
  <c r="F921" i="16"/>
  <c r="N920" i="16"/>
  <c r="F920" i="16"/>
  <c r="N919" i="16"/>
  <c r="F919" i="16"/>
  <c r="N918" i="16"/>
  <c r="F918" i="16"/>
  <c r="N917" i="16"/>
  <c r="K917" i="16" s="1"/>
  <c r="F917" i="16"/>
  <c r="N916" i="16"/>
  <c r="F916" i="16"/>
  <c r="N915" i="16"/>
  <c r="F915" i="16"/>
  <c r="N914" i="16"/>
  <c r="K914" i="16" s="1"/>
  <c r="F914" i="16"/>
  <c r="N913" i="16"/>
  <c r="K913" i="16" s="1"/>
  <c r="F913" i="16"/>
  <c r="N912" i="16"/>
  <c r="F912" i="16"/>
  <c r="N911" i="16"/>
  <c r="F911" i="16"/>
  <c r="N910" i="16"/>
  <c r="F910" i="16"/>
  <c r="N909" i="16"/>
  <c r="F909" i="16"/>
  <c r="N908" i="16"/>
  <c r="F908" i="16"/>
  <c r="N907" i="16"/>
  <c r="F907" i="16"/>
  <c r="N906" i="16"/>
  <c r="F906" i="16"/>
  <c r="N905" i="16"/>
  <c r="K905" i="16" s="1"/>
  <c r="F905" i="16"/>
  <c r="N904" i="16"/>
  <c r="F904" i="16"/>
  <c r="N903" i="16"/>
  <c r="F903" i="16"/>
  <c r="N902" i="16"/>
  <c r="K902" i="16" s="1"/>
  <c r="F902" i="16"/>
  <c r="N901" i="16"/>
  <c r="F901" i="16"/>
  <c r="N900" i="16"/>
  <c r="F900" i="16"/>
  <c r="N899" i="16"/>
  <c r="F899" i="16"/>
  <c r="N898" i="16"/>
  <c r="F898" i="16"/>
  <c r="N897" i="16"/>
  <c r="F897" i="16"/>
  <c r="N896" i="16"/>
  <c r="F896" i="16"/>
  <c r="N895" i="16"/>
  <c r="F895" i="16"/>
  <c r="N894" i="16"/>
  <c r="K894" i="16" s="1"/>
  <c r="F894" i="16"/>
  <c r="N893" i="16"/>
  <c r="K893" i="16" s="1"/>
  <c r="F893" i="16"/>
  <c r="N892" i="16"/>
  <c r="F892" i="16"/>
  <c r="N891" i="16"/>
  <c r="F891" i="16"/>
  <c r="N890" i="16"/>
  <c r="F890" i="16"/>
  <c r="N889" i="16"/>
  <c r="F889" i="16"/>
  <c r="N888" i="16"/>
  <c r="F888" i="16"/>
  <c r="N887" i="16"/>
  <c r="F887" i="16"/>
  <c r="N886" i="16"/>
  <c r="F886" i="16"/>
  <c r="N885" i="16"/>
  <c r="K885" i="16" s="1"/>
  <c r="F885" i="16"/>
  <c r="N884" i="16"/>
  <c r="K884" i="16" s="1"/>
  <c r="F884" i="16"/>
  <c r="N883" i="16"/>
  <c r="F883" i="16"/>
  <c r="N882" i="16"/>
  <c r="F882" i="16"/>
  <c r="N881" i="16"/>
  <c r="F881" i="16"/>
  <c r="N880" i="16"/>
  <c r="F880" i="16"/>
  <c r="N879" i="16"/>
  <c r="F879" i="16"/>
  <c r="N878" i="16"/>
  <c r="F878" i="16"/>
  <c r="N877" i="16"/>
  <c r="K877" i="16" s="1"/>
  <c r="J877" i="16"/>
  <c r="F877" i="16"/>
  <c r="N876" i="16"/>
  <c r="F876" i="16"/>
  <c r="N875" i="16"/>
  <c r="F875" i="16"/>
  <c r="N874" i="16"/>
  <c r="K874" i="16" s="1"/>
  <c r="F874" i="16"/>
  <c r="N873" i="16"/>
  <c r="F873" i="16"/>
  <c r="N872" i="16"/>
  <c r="K872" i="16" s="1"/>
  <c r="F872" i="16"/>
  <c r="N871" i="16"/>
  <c r="K871" i="16" s="1"/>
  <c r="F871" i="16"/>
  <c r="N870" i="16"/>
  <c r="K870" i="16" s="1"/>
  <c r="F870" i="16"/>
  <c r="N869" i="16"/>
  <c r="F869" i="16"/>
  <c r="N868" i="16"/>
  <c r="F868" i="16"/>
  <c r="N867" i="16"/>
  <c r="K867" i="16" s="1"/>
  <c r="F867" i="16"/>
  <c r="N866" i="16"/>
  <c r="K866" i="16" s="1"/>
  <c r="F866" i="16"/>
  <c r="N865" i="16"/>
  <c r="F865" i="16"/>
  <c r="N864" i="16"/>
  <c r="F864" i="16"/>
  <c r="N863" i="16"/>
  <c r="F863" i="16"/>
  <c r="N862" i="16"/>
  <c r="F862" i="16"/>
  <c r="N861" i="16"/>
  <c r="F861" i="16"/>
  <c r="N860" i="16"/>
  <c r="F860" i="16"/>
  <c r="N859" i="16"/>
  <c r="F859" i="16"/>
  <c r="N858" i="16"/>
  <c r="F858" i="16"/>
  <c r="N857" i="16"/>
  <c r="F857" i="16"/>
  <c r="N855" i="16"/>
  <c r="F855" i="16"/>
  <c r="N854" i="16"/>
  <c r="F854" i="16"/>
  <c r="N853" i="16"/>
  <c r="F853" i="16"/>
  <c r="N852" i="16"/>
  <c r="F852" i="16"/>
  <c r="N851" i="16"/>
  <c r="K851" i="16" s="1"/>
  <c r="F851" i="16"/>
  <c r="N850" i="16"/>
  <c r="F850" i="16"/>
  <c r="N849" i="16"/>
  <c r="F849" i="16"/>
  <c r="N848" i="16"/>
  <c r="F848" i="16"/>
  <c r="N847" i="16"/>
  <c r="F847" i="16"/>
  <c r="N846" i="16"/>
  <c r="F846" i="16"/>
  <c r="N845" i="16"/>
  <c r="F845" i="16"/>
  <c r="N844" i="16"/>
  <c r="F844" i="16"/>
  <c r="N843" i="16"/>
  <c r="F843" i="16"/>
  <c r="N842" i="16"/>
  <c r="F842" i="16"/>
  <c r="N841" i="16"/>
  <c r="F841" i="16"/>
  <c r="N840" i="16"/>
  <c r="F840" i="16"/>
  <c r="N839" i="16"/>
  <c r="F839" i="16"/>
  <c r="N838" i="16"/>
  <c r="F838" i="16"/>
  <c r="N837" i="16"/>
  <c r="F837" i="16"/>
  <c r="N836" i="16"/>
  <c r="K836" i="16" s="1"/>
  <c r="F836" i="16"/>
  <c r="N835" i="16"/>
  <c r="F835" i="16"/>
  <c r="N834" i="16"/>
  <c r="K834" i="16" s="1"/>
  <c r="F834" i="16"/>
  <c r="N833" i="16"/>
  <c r="F833" i="16"/>
  <c r="N832" i="16"/>
  <c r="F832" i="16"/>
  <c r="N831" i="16"/>
  <c r="F831" i="16"/>
  <c r="N830" i="16"/>
  <c r="F830" i="16"/>
  <c r="N829" i="16"/>
  <c r="F829" i="16"/>
  <c r="N828" i="16"/>
  <c r="F828" i="16"/>
  <c r="N827" i="16"/>
  <c r="F827" i="16"/>
  <c r="N826" i="16"/>
  <c r="F826" i="16"/>
  <c r="N825" i="16"/>
  <c r="F825" i="16"/>
  <c r="N824" i="16"/>
  <c r="K824" i="16" s="1"/>
  <c r="F824" i="16"/>
  <c r="N823" i="16"/>
  <c r="F823" i="16"/>
  <c r="N822" i="16"/>
  <c r="F822" i="16"/>
  <c r="N821" i="16"/>
  <c r="F821" i="16"/>
  <c r="N820" i="16"/>
  <c r="F820" i="16"/>
  <c r="N819" i="16"/>
  <c r="F819" i="16"/>
  <c r="N818" i="16"/>
  <c r="F818" i="16"/>
  <c r="N817" i="16"/>
  <c r="F817" i="16"/>
  <c r="N816" i="16"/>
  <c r="F816" i="16"/>
  <c r="N815" i="16"/>
  <c r="K815" i="16" s="1"/>
  <c r="F815" i="16"/>
  <c r="N814" i="16"/>
  <c r="K814" i="16" s="1"/>
  <c r="F814" i="16"/>
  <c r="N813" i="16"/>
  <c r="F813" i="16"/>
  <c r="N812" i="16"/>
  <c r="K812" i="16" s="1"/>
  <c r="F812" i="16"/>
  <c r="N811" i="16"/>
  <c r="F811" i="16"/>
  <c r="N810" i="16"/>
  <c r="F810" i="16"/>
  <c r="N809" i="16"/>
  <c r="F809" i="16"/>
  <c r="N808" i="16"/>
  <c r="F808" i="16"/>
  <c r="N807" i="16"/>
  <c r="F807" i="16"/>
  <c r="N806" i="16"/>
  <c r="F806" i="16"/>
  <c r="N805" i="16"/>
  <c r="K805" i="16" s="1"/>
  <c r="F805" i="16"/>
  <c r="N804" i="16"/>
  <c r="F804" i="16"/>
  <c r="N803" i="16"/>
  <c r="F803" i="16"/>
  <c r="N802" i="16"/>
  <c r="F802" i="16"/>
  <c r="N801" i="16"/>
  <c r="K801" i="16" s="1"/>
  <c r="F801" i="16"/>
  <c r="N800" i="16"/>
  <c r="F800" i="16"/>
  <c r="N799" i="16"/>
  <c r="K799" i="16" s="1"/>
  <c r="F799" i="16"/>
  <c r="N798" i="16"/>
  <c r="F798" i="16"/>
  <c r="N797" i="16"/>
  <c r="F797" i="16"/>
  <c r="N796" i="16"/>
  <c r="K796" i="16" s="1"/>
  <c r="F796" i="16"/>
  <c r="N795" i="16"/>
  <c r="F795" i="16"/>
  <c r="N789" i="16"/>
  <c r="K789" i="16" s="1"/>
  <c r="F789" i="16"/>
  <c r="N788" i="16"/>
  <c r="F788" i="16"/>
  <c r="N787" i="16"/>
  <c r="K787" i="16" s="1"/>
  <c r="F787" i="16"/>
  <c r="N794" i="16"/>
  <c r="F794" i="16"/>
  <c r="N793" i="16"/>
  <c r="F793" i="16"/>
  <c r="N792" i="16"/>
  <c r="F792" i="16"/>
  <c r="N791" i="16"/>
  <c r="F791" i="16"/>
  <c r="N790" i="16"/>
  <c r="F790" i="16"/>
  <c r="N786" i="16"/>
  <c r="F786" i="16"/>
  <c r="N785" i="16"/>
  <c r="K785" i="16" s="1"/>
  <c r="F785" i="16"/>
  <c r="N784" i="16"/>
  <c r="F784" i="16"/>
  <c r="N783" i="16"/>
  <c r="F783" i="16"/>
  <c r="N782" i="16"/>
  <c r="F782" i="16"/>
  <c r="N781" i="16"/>
  <c r="F781" i="16"/>
  <c r="N780" i="16"/>
  <c r="F780" i="16"/>
  <c r="N779" i="16"/>
  <c r="F779" i="16"/>
  <c r="N778" i="16"/>
  <c r="F778" i="16"/>
  <c r="N777" i="16"/>
  <c r="K777" i="16" s="1"/>
  <c r="F777" i="16"/>
  <c r="N776" i="16"/>
  <c r="K776" i="16" s="1"/>
  <c r="J776" i="16"/>
  <c r="F776" i="16"/>
  <c r="N758" i="16"/>
  <c r="K758" i="16" s="1"/>
  <c r="F758" i="16"/>
  <c r="N775" i="16"/>
  <c r="K775" i="16" s="1"/>
  <c r="F775" i="16"/>
  <c r="N774" i="16"/>
  <c r="F774" i="16"/>
  <c r="N773" i="16"/>
  <c r="F773" i="16"/>
  <c r="N772" i="16"/>
  <c r="F772" i="16"/>
  <c r="N771" i="16"/>
  <c r="F771" i="16"/>
  <c r="N770" i="16"/>
  <c r="F770" i="16"/>
  <c r="N769" i="16"/>
  <c r="F769" i="16"/>
  <c r="N768" i="16"/>
  <c r="F768" i="16"/>
  <c r="N767" i="16"/>
  <c r="F767" i="16"/>
  <c r="N766" i="16"/>
  <c r="F766" i="16"/>
  <c r="N765" i="16"/>
  <c r="F765" i="16"/>
  <c r="N764" i="16"/>
  <c r="F764" i="16"/>
  <c r="N763" i="16"/>
  <c r="F763" i="16"/>
  <c r="N762" i="16"/>
  <c r="F762" i="16"/>
  <c r="N761" i="16"/>
  <c r="F761" i="16"/>
  <c r="N760" i="16"/>
  <c r="F760" i="16"/>
  <c r="N759" i="16"/>
  <c r="F759" i="16"/>
  <c r="N757" i="16"/>
  <c r="F757" i="16"/>
  <c r="N756" i="16"/>
  <c r="K756" i="16" s="1"/>
  <c r="F756" i="16"/>
  <c r="N755" i="16"/>
  <c r="K755" i="16" s="1"/>
  <c r="F755" i="16"/>
  <c r="N754" i="16"/>
  <c r="F754" i="16"/>
  <c r="N753" i="16"/>
  <c r="K753" i="16" s="1"/>
  <c r="F753" i="16"/>
  <c r="N752" i="16"/>
  <c r="K752" i="16" s="1"/>
  <c r="F752" i="16"/>
  <c r="N751" i="16"/>
  <c r="K751" i="16" s="1"/>
  <c r="F751" i="16"/>
  <c r="N750" i="16"/>
  <c r="F750" i="16"/>
  <c r="N749" i="16"/>
  <c r="F749" i="16"/>
  <c r="N748" i="16"/>
  <c r="K748" i="16" s="1"/>
  <c r="F748" i="16"/>
  <c r="N747" i="16"/>
  <c r="F747" i="16"/>
  <c r="N746" i="16"/>
  <c r="K746" i="16" s="1"/>
  <c r="F746" i="16"/>
  <c r="N745" i="16"/>
  <c r="F745" i="16"/>
  <c r="N744" i="16"/>
  <c r="F744" i="16"/>
  <c r="N743" i="16"/>
  <c r="F743" i="16"/>
  <c r="N742" i="16"/>
  <c r="F742" i="16"/>
  <c r="N741" i="16"/>
  <c r="F741" i="16"/>
  <c r="N740" i="16"/>
  <c r="F740" i="16"/>
  <c r="N739" i="16"/>
  <c r="K739" i="16" s="1"/>
  <c r="F739" i="16"/>
  <c r="N738" i="16"/>
  <c r="F738" i="16"/>
  <c r="N737" i="16"/>
  <c r="K737" i="16" s="1"/>
  <c r="F737" i="16"/>
  <c r="N736" i="16"/>
  <c r="K736" i="16" s="1"/>
  <c r="F736" i="16"/>
  <c r="N735" i="16"/>
  <c r="F735" i="16"/>
  <c r="N734" i="16"/>
  <c r="F734" i="16"/>
  <c r="N733" i="16"/>
  <c r="F733" i="16"/>
  <c r="N732" i="16"/>
  <c r="F732" i="16"/>
  <c r="N731" i="16"/>
  <c r="F731" i="16"/>
  <c r="N730" i="16"/>
  <c r="F730" i="16"/>
  <c r="N729" i="16"/>
  <c r="F729" i="16"/>
  <c r="N728" i="16"/>
  <c r="F728" i="16"/>
  <c r="N727" i="16"/>
  <c r="F727" i="16"/>
  <c r="N726" i="16"/>
  <c r="K726" i="16" s="1"/>
  <c r="F726" i="16"/>
  <c r="N725" i="16"/>
  <c r="F725" i="16"/>
  <c r="N724" i="16"/>
  <c r="F724" i="16"/>
  <c r="N723" i="16"/>
  <c r="K723" i="16" s="1"/>
  <c r="F723" i="16"/>
  <c r="N722" i="16"/>
  <c r="F722" i="16"/>
  <c r="N721" i="16"/>
  <c r="F721" i="16"/>
  <c r="N720" i="16"/>
  <c r="F720" i="16"/>
  <c r="N719" i="16"/>
  <c r="F719" i="16"/>
  <c r="N717" i="16"/>
  <c r="F717" i="16"/>
  <c r="N716" i="16"/>
  <c r="F716" i="16"/>
  <c r="N715" i="16"/>
  <c r="F715" i="16"/>
  <c r="N714" i="16"/>
  <c r="K714" i="16" s="1"/>
  <c r="F714" i="16"/>
  <c r="N713" i="16"/>
  <c r="K713" i="16" s="1"/>
  <c r="F713" i="16"/>
  <c r="N718" i="16"/>
  <c r="J718" i="16"/>
  <c r="F718" i="16"/>
  <c r="N712" i="16"/>
  <c r="F712" i="16"/>
  <c r="N711" i="16"/>
  <c r="F711" i="16"/>
  <c r="N710" i="16"/>
  <c r="F710" i="16"/>
  <c r="N709" i="16"/>
  <c r="F709" i="16"/>
  <c r="N708" i="16"/>
  <c r="K708" i="16" s="1"/>
  <c r="F708" i="16"/>
  <c r="N707" i="16"/>
  <c r="F707" i="16"/>
  <c r="N706" i="16"/>
  <c r="F706" i="16"/>
  <c r="N705" i="16"/>
  <c r="F705" i="16"/>
  <c r="N704" i="16"/>
  <c r="K704" i="16" s="1"/>
  <c r="F704" i="16"/>
  <c r="N703" i="16"/>
  <c r="F703" i="16"/>
  <c r="N702" i="16"/>
  <c r="F702" i="16"/>
  <c r="N701" i="16"/>
  <c r="F701" i="16"/>
  <c r="N700" i="16"/>
  <c r="F700" i="16"/>
  <c r="N699" i="16"/>
  <c r="K699" i="16" s="1"/>
  <c r="F699" i="16"/>
  <c r="N698" i="16"/>
  <c r="K698" i="16" s="1"/>
  <c r="F698" i="16"/>
  <c r="N697" i="16"/>
  <c r="F697" i="16"/>
  <c r="N696" i="16"/>
  <c r="F696" i="16"/>
  <c r="N695" i="16"/>
  <c r="F695" i="16"/>
  <c r="N694" i="16"/>
  <c r="F694" i="16"/>
  <c r="N693" i="16"/>
  <c r="F693" i="16"/>
  <c r="N692" i="16"/>
  <c r="K692" i="16" s="1"/>
  <c r="F692" i="16"/>
  <c r="N691" i="16"/>
  <c r="F691" i="16"/>
  <c r="N690" i="16"/>
  <c r="F690" i="16"/>
  <c r="N689" i="16"/>
  <c r="F689" i="16"/>
  <c r="N688" i="16"/>
  <c r="F688" i="16"/>
  <c r="N687" i="16"/>
  <c r="K687" i="16" s="1"/>
  <c r="F687" i="16"/>
  <c r="N686" i="16"/>
  <c r="F686" i="16"/>
  <c r="N685" i="16"/>
  <c r="F685" i="16"/>
  <c r="N684" i="16"/>
  <c r="F684" i="16"/>
  <c r="N683" i="16"/>
  <c r="F683" i="16"/>
  <c r="N682" i="16"/>
  <c r="F682" i="16"/>
  <c r="N681" i="16"/>
  <c r="F681" i="16"/>
  <c r="N680" i="16"/>
  <c r="F680" i="16"/>
  <c r="N679" i="16"/>
  <c r="F679" i="16"/>
  <c r="N678" i="16"/>
  <c r="O678" i="16" s="1"/>
  <c r="L678" i="16" s="1"/>
  <c r="A678" i="16" s="1"/>
  <c r="F678" i="16"/>
  <c r="N677" i="16"/>
  <c r="O677" i="16" s="1"/>
  <c r="L677" i="16" s="1"/>
  <c r="A677" i="16" s="1"/>
  <c r="F677" i="16"/>
  <c r="N676" i="16"/>
  <c r="O676" i="16" s="1"/>
  <c r="L676" i="16" s="1"/>
  <c r="A676" i="16" s="1"/>
  <c r="F676" i="16"/>
  <c r="N675" i="16"/>
  <c r="O675" i="16" s="1"/>
  <c r="L675" i="16" s="1"/>
  <c r="A675" i="16" s="1"/>
  <c r="F675" i="16"/>
  <c r="N674" i="16"/>
  <c r="O674" i="16" s="1"/>
  <c r="L674" i="16" s="1"/>
  <c r="F674" i="16"/>
  <c r="N673" i="16"/>
  <c r="K673" i="16" s="1"/>
  <c r="F673" i="16"/>
  <c r="N672" i="16"/>
  <c r="K672" i="16" s="1"/>
  <c r="F672" i="16"/>
  <c r="N671" i="16"/>
  <c r="O671" i="16" s="1"/>
  <c r="L671" i="16" s="1"/>
  <c r="F671" i="16"/>
  <c r="N670" i="16"/>
  <c r="O670" i="16" s="1"/>
  <c r="L670" i="16" s="1"/>
  <c r="A670" i="16" s="1"/>
  <c r="F670" i="16"/>
  <c r="N669" i="16"/>
  <c r="O669" i="16" s="1"/>
  <c r="L669" i="16" s="1"/>
  <c r="A669" i="16" s="1"/>
  <c r="F669" i="16"/>
  <c r="N668" i="16"/>
  <c r="O668" i="16" s="1"/>
  <c r="L668" i="16" s="1"/>
  <c r="A668" i="16" s="1"/>
  <c r="F668" i="16"/>
  <c r="N667" i="16"/>
  <c r="O667" i="16" s="1"/>
  <c r="L667" i="16" s="1"/>
  <c r="A667" i="16" s="1"/>
  <c r="F667" i="16"/>
  <c r="N666" i="16"/>
  <c r="K666" i="16" s="1"/>
  <c r="F666" i="16"/>
  <c r="N665" i="16"/>
  <c r="O665" i="16" s="1"/>
  <c r="L665" i="16" s="1"/>
  <c r="F665" i="16"/>
  <c r="N657" i="16"/>
  <c r="O657" i="16" s="1"/>
  <c r="L657" i="16" s="1"/>
  <c r="F657" i="16"/>
  <c r="N656" i="16"/>
  <c r="O656" i="16" s="1"/>
  <c r="L656" i="16" s="1"/>
  <c r="F656" i="16"/>
  <c r="N655" i="16"/>
  <c r="K655" i="16" s="1"/>
  <c r="F655" i="16"/>
  <c r="N654" i="16"/>
  <c r="O654" i="16" s="1"/>
  <c r="L654" i="16" s="1"/>
  <c r="F654" i="16"/>
  <c r="N653" i="16"/>
  <c r="O653" i="16" s="1"/>
  <c r="L653" i="16" s="1"/>
  <c r="F653" i="16"/>
  <c r="N664" i="16"/>
  <c r="O664" i="16" s="1"/>
  <c r="L664" i="16" s="1"/>
  <c r="K664" i="16"/>
  <c r="F664" i="16"/>
  <c r="N663" i="16"/>
  <c r="K663" i="16" s="1"/>
  <c r="F663" i="16"/>
  <c r="N662" i="16"/>
  <c r="O662" i="16" s="1"/>
  <c r="L662" i="16" s="1"/>
  <c r="F662" i="16"/>
  <c r="N661" i="16"/>
  <c r="K661" i="16" s="1"/>
  <c r="F661" i="16"/>
  <c r="N660" i="16"/>
  <c r="O660" i="16" s="1"/>
  <c r="L660" i="16" s="1"/>
  <c r="F660" i="16"/>
  <c r="N659" i="16"/>
  <c r="O659" i="16" s="1"/>
  <c r="L659" i="16" s="1"/>
  <c r="F659" i="16"/>
  <c r="N658" i="16"/>
  <c r="O658" i="16" s="1"/>
  <c r="L658" i="16" s="1"/>
  <c r="A658" i="16" s="1"/>
  <c r="F658" i="16"/>
  <c r="N652" i="16"/>
  <c r="O652" i="16" s="1"/>
  <c r="L652" i="16" s="1"/>
  <c r="F652" i="16"/>
  <c r="N651" i="16"/>
  <c r="O651" i="16" s="1"/>
  <c r="L651" i="16" s="1"/>
  <c r="F651" i="16"/>
  <c r="N650" i="16"/>
  <c r="O650" i="16" s="1"/>
  <c r="L650" i="16" s="1"/>
  <c r="F650" i="16"/>
  <c r="N649" i="16"/>
  <c r="O649" i="16" s="1"/>
  <c r="L649" i="16" s="1"/>
  <c r="F649" i="16"/>
  <c r="N648" i="16"/>
  <c r="O648" i="16" s="1"/>
  <c r="L648" i="16" s="1"/>
  <c r="F648" i="16"/>
  <c r="N647" i="16"/>
  <c r="O647" i="16" s="1"/>
  <c r="L647" i="16" s="1"/>
  <c r="F647" i="16"/>
  <c r="N646" i="16"/>
  <c r="O646" i="16" s="1"/>
  <c r="L646" i="16" s="1"/>
  <c r="F646" i="16"/>
  <c r="N645" i="16"/>
  <c r="O645" i="16" s="1"/>
  <c r="L645" i="16" s="1"/>
  <c r="A645" i="16" s="1"/>
  <c r="F645" i="16"/>
  <c r="N641" i="16"/>
  <c r="K641" i="16" s="1"/>
  <c r="F641" i="16"/>
  <c r="N644" i="16"/>
  <c r="O644" i="16" s="1"/>
  <c r="L644" i="16" s="1"/>
  <c r="F644" i="16"/>
  <c r="N640" i="16"/>
  <c r="O640" i="16" s="1"/>
  <c r="L640" i="16" s="1"/>
  <c r="F640" i="16"/>
  <c r="N639" i="16"/>
  <c r="O639" i="16" s="1"/>
  <c r="L639" i="16" s="1"/>
  <c r="F639" i="16"/>
  <c r="N638" i="16"/>
  <c r="K638" i="16" s="1"/>
  <c r="F638" i="16"/>
  <c r="N637" i="16"/>
  <c r="O637" i="16" s="1"/>
  <c r="L637" i="16" s="1"/>
  <c r="F637" i="16"/>
  <c r="N643" i="16"/>
  <c r="O643" i="16" s="1"/>
  <c r="L643" i="16" s="1"/>
  <c r="F643" i="16"/>
  <c r="N642" i="16"/>
  <c r="O642" i="16" s="1"/>
  <c r="L642" i="16" s="1"/>
  <c r="A642" i="16" s="1"/>
  <c r="F642" i="16"/>
  <c r="N636" i="16"/>
  <c r="O636" i="16" s="1"/>
  <c r="L636" i="16" s="1"/>
  <c r="F636" i="16"/>
  <c r="N635" i="16"/>
  <c r="K635" i="16" s="1"/>
  <c r="F635" i="16"/>
  <c r="N634" i="16"/>
  <c r="O634" i="16" s="1"/>
  <c r="L634" i="16" s="1"/>
  <c r="F634" i="16"/>
  <c r="N633" i="16"/>
  <c r="O633" i="16" s="1"/>
  <c r="L633" i="16" s="1"/>
  <c r="A633" i="16" s="1"/>
  <c r="F633" i="16"/>
  <c r="N632" i="16"/>
  <c r="K632" i="16" s="1"/>
  <c r="F632" i="16"/>
  <c r="N631" i="16"/>
  <c r="K631" i="16" s="1"/>
  <c r="F631" i="16"/>
  <c r="N630" i="16"/>
  <c r="K630" i="16" s="1"/>
  <c r="F630" i="16"/>
  <c r="N629" i="16"/>
  <c r="O629" i="16" s="1"/>
  <c r="L629" i="16" s="1"/>
  <c r="A629" i="16" s="1"/>
  <c r="F629" i="16"/>
  <c r="N628" i="16"/>
  <c r="O628" i="16" s="1"/>
  <c r="L628" i="16" s="1"/>
  <c r="A628" i="16" s="1"/>
  <c r="F628" i="16"/>
  <c r="N627" i="16"/>
  <c r="O627" i="16" s="1"/>
  <c r="L627" i="16" s="1"/>
  <c r="F627" i="16"/>
  <c r="N626" i="16"/>
  <c r="O626" i="16" s="1"/>
  <c r="L626" i="16" s="1"/>
  <c r="F626" i="16"/>
  <c r="N625" i="16"/>
  <c r="K625" i="16" s="1"/>
  <c r="F625" i="16"/>
  <c r="N624" i="16"/>
  <c r="K624" i="16" s="1"/>
  <c r="F624" i="16"/>
  <c r="N623" i="16"/>
  <c r="O623" i="16" s="1"/>
  <c r="L623" i="16" s="1"/>
  <c r="F623" i="16"/>
  <c r="N622" i="16"/>
  <c r="O622" i="16" s="1"/>
  <c r="L622" i="16" s="1"/>
  <c r="F622" i="16"/>
  <c r="N621" i="16"/>
  <c r="K621" i="16" s="1"/>
  <c r="F621" i="16"/>
  <c r="N620" i="16"/>
  <c r="O620" i="16" s="1"/>
  <c r="L620" i="16" s="1"/>
  <c r="F620" i="16"/>
  <c r="N619" i="16"/>
  <c r="O619" i="16" s="1"/>
  <c r="L619" i="16" s="1"/>
  <c r="F619" i="16"/>
  <c r="N618" i="16"/>
  <c r="O618" i="16" s="1"/>
  <c r="L618" i="16" s="1"/>
  <c r="F618" i="16"/>
  <c r="N617" i="16"/>
  <c r="O617" i="16" s="1"/>
  <c r="L617" i="16" s="1"/>
  <c r="F617" i="16"/>
  <c r="N616" i="16"/>
  <c r="O616" i="16" s="1"/>
  <c r="L616" i="16" s="1"/>
  <c r="F616" i="16"/>
  <c r="N615" i="16"/>
  <c r="O615" i="16" s="1"/>
  <c r="L615" i="16" s="1"/>
  <c r="A615" i="16" s="1"/>
  <c r="F615" i="16"/>
  <c r="N614" i="16"/>
  <c r="O614" i="16" s="1"/>
  <c r="L614" i="16" s="1"/>
  <c r="F614" i="16"/>
  <c r="N613" i="16"/>
  <c r="O613" i="16" s="1"/>
  <c r="L613" i="16" s="1"/>
  <c r="F613" i="16"/>
  <c r="N612" i="16"/>
  <c r="O612" i="16" s="1"/>
  <c r="L612" i="16" s="1"/>
  <c r="F612" i="16"/>
  <c r="N611" i="16"/>
  <c r="O611" i="16" s="1"/>
  <c r="L611" i="16" s="1"/>
  <c r="A611" i="16" s="1"/>
  <c r="F611" i="16"/>
  <c r="N610" i="16"/>
  <c r="O610" i="16" s="1"/>
  <c r="L610" i="16" s="1"/>
  <c r="A610" i="16" s="1"/>
  <c r="F610" i="16"/>
  <c r="N609" i="16"/>
  <c r="O609" i="16" s="1"/>
  <c r="L609" i="16" s="1"/>
  <c r="A609" i="16" s="1"/>
  <c r="F609" i="16"/>
  <c r="N608" i="16"/>
  <c r="O608" i="16" s="1"/>
  <c r="L608" i="16" s="1"/>
  <c r="A608" i="16" s="1"/>
  <c r="F608" i="16"/>
  <c r="N607" i="16"/>
  <c r="O607" i="16" s="1"/>
  <c r="L607" i="16" s="1"/>
  <c r="F607" i="16"/>
  <c r="N606" i="16"/>
  <c r="O606" i="16" s="1"/>
  <c r="L606" i="16" s="1"/>
  <c r="F606" i="16"/>
  <c r="N605" i="16"/>
  <c r="O605" i="16" s="1"/>
  <c r="L605" i="16" s="1"/>
  <c r="F605" i="16"/>
  <c r="N604" i="16"/>
  <c r="O604" i="16" s="1"/>
  <c r="L604" i="16" s="1"/>
  <c r="F604" i="16"/>
  <c r="N603" i="16"/>
  <c r="O603" i="16" s="1"/>
  <c r="L603" i="16" s="1"/>
  <c r="F603" i="16"/>
  <c r="N602" i="16"/>
  <c r="K602" i="16" s="1"/>
  <c r="F602" i="16"/>
  <c r="N601" i="16"/>
  <c r="K601" i="16" s="1"/>
  <c r="F601" i="16"/>
  <c r="N600" i="16"/>
  <c r="O600" i="16" s="1"/>
  <c r="L600" i="16" s="1"/>
  <c r="F600" i="16"/>
  <c r="N599" i="16"/>
  <c r="O599" i="16" s="1"/>
  <c r="L599" i="16" s="1"/>
  <c r="F599" i="16"/>
  <c r="N598" i="16"/>
  <c r="O598" i="16" s="1"/>
  <c r="L598" i="16" s="1"/>
  <c r="F598" i="16"/>
  <c r="N597" i="16"/>
  <c r="O597" i="16" s="1"/>
  <c r="L597" i="16" s="1"/>
  <c r="F597" i="16"/>
  <c r="N596" i="16"/>
  <c r="O596" i="16" s="1"/>
  <c r="L596" i="16" s="1"/>
  <c r="F596" i="16"/>
  <c r="N595" i="16"/>
  <c r="K595" i="16" s="1"/>
  <c r="F595" i="16"/>
  <c r="N594" i="16"/>
  <c r="O594" i="16" s="1"/>
  <c r="L594" i="16" s="1"/>
  <c r="F594" i="16"/>
  <c r="N593" i="16"/>
  <c r="O593" i="16" s="1"/>
  <c r="L593" i="16" s="1"/>
  <c r="F593" i="16"/>
  <c r="N592" i="16"/>
  <c r="O592" i="16" s="1"/>
  <c r="L592" i="16" s="1"/>
  <c r="A592" i="16" s="1"/>
  <c r="F592" i="16"/>
  <c r="N591" i="16"/>
  <c r="O591" i="16" s="1"/>
  <c r="L591" i="16" s="1"/>
  <c r="A591" i="16" s="1"/>
  <c r="F591" i="16"/>
  <c r="N590" i="16"/>
  <c r="O590" i="16" s="1"/>
  <c r="L590" i="16" s="1"/>
  <c r="A590" i="16" s="1"/>
  <c r="F590" i="16"/>
  <c r="N589" i="16"/>
  <c r="O589" i="16" s="1"/>
  <c r="L589" i="16" s="1"/>
  <c r="A589" i="16" s="1"/>
  <c r="F589" i="16"/>
  <c r="N588" i="16"/>
  <c r="O588" i="16" s="1"/>
  <c r="L588" i="16" s="1"/>
  <c r="A588" i="16" s="1"/>
  <c r="F588" i="16"/>
  <c r="N587" i="16"/>
  <c r="K587" i="16" s="1"/>
  <c r="F587" i="16"/>
  <c r="N586" i="16"/>
  <c r="O586" i="16" s="1"/>
  <c r="L586" i="16" s="1"/>
  <c r="F586" i="16"/>
  <c r="N585" i="16"/>
  <c r="O585" i="16" s="1"/>
  <c r="L585" i="16" s="1"/>
  <c r="A585" i="16" s="1"/>
  <c r="F585" i="16"/>
  <c r="N584" i="16"/>
  <c r="O584" i="16" s="1"/>
  <c r="L584" i="16" s="1"/>
  <c r="A584" i="16" s="1"/>
  <c r="F584" i="16"/>
  <c r="N583" i="16"/>
  <c r="O583" i="16" s="1"/>
  <c r="L583" i="16" s="1"/>
  <c r="F583" i="16"/>
  <c r="N582" i="16"/>
  <c r="O582" i="16" s="1"/>
  <c r="L582" i="16" s="1"/>
  <c r="F582" i="16"/>
  <c r="N581" i="16"/>
  <c r="O581" i="16" s="1"/>
  <c r="L581" i="16" s="1"/>
  <c r="F581" i="16"/>
  <c r="N580" i="16"/>
  <c r="K580" i="16" s="1"/>
  <c r="F580" i="16"/>
  <c r="N579" i="16"/>
  <c r="O579" i="16" s="1"/>
  <c r="L579" i="16" s="1"/>
  <c r="A579" i="16" s="1"/>
  <c r="F579" i="16"/>
  <c r="N578" i="16"/>
  <c r="K578" i="16" s="1"/>
  <c r="F578" i="16"/>
  <c r="N577" i="16"/>
  <c r="K577" i="16" s="1"/>
  <c r="F577" i="16"/>
  <c r="N576" i="16"/>
  <c r="O576" i="16" s="1"/>
  <c r="L576" i="16" s="1"/>
  <c r="F576" i="16"/>
  <c r="N575" i="16"/>
  <c r="K575" i="16" s="1"/>
  <c r="F575" i="16"/>
  <c r="N574" i="16"/>
  <c r="O574" i="16" s="1"/>
  <c r="L574" i="16" s="1"/>
  <c r="A574" i="16" s="1"/>
  <c r="F574" i="16"/>
  <c r="N573" i="16"/>
  <c r="O573" i="16" s="1"/>
  <c r="L573" i="16" s="1"/>
  <c r="F573" i="16"/>
  <c r="N572" i="16"/>
  <c r="O572" i="16" s="1"/>
  <c r="L572" i="16" s="1"/>
  <c r="A572" i="16" s="1"/>
  <c r="F572" i="16"/>
  <c r="N571" i="16"/>
  <c r="O571" i="16" s="1"/>
  <c r="L571" i="16" s="1"/>
  <c r="A571" i="16" s="1"/>
  <c r="F571" i="16"/>
  <c r="N570" i="16"/>
  <c r="O570" i="16" s="1"/>
  <c r="L570" i="16" s="1"/>
  <c r="F570" i="16"/>
  <c r="N569" i="16"/>
  <c r="O569" i="16" s="1"/>
  <c r="L569" i="16" s="1"/>
  <c r="F569" i="16"/>
  <c r="N568" i="16"/>
  <c r="O568" i="16" s="1"/>
  <c r="L568" i="16" s="1"/>
  <c r="F568" i="16"/>
  <c r="N567" i="16"/>
  <c r="K567" i="16" s="1"/>
  <c r="F567" i="16"/>
  <c r="N566" i="16"/>
  <c r="K566" i="16" s="1"/>
  <c r="F566" i="16"/>
  <c r="N565" i="16"/>
  <c r="O565" i="16" s="1"/>
  <c r="L565" i="16" s="1"/>
  <c r="F565" i="16"/>
  <c r="N564" i="16"/>
  <c r="O564" i="16" s="1"/>
  <c r="L564" i="16" s="1"/>
  <c r="A564" i="16" s="1"/>
  <c r="F564" i="16"/>
  <c r="N563" i="16"/>
  <c r="O563" i="16" s="1"/>
  <c r="L563" i="16" s="1"/>
  <c r="F563" i="16"/>
  <c r="N562" i="16"/>
  <c r="O562" i="16" s="1"/>
  <c r="L562" i="16" s="1"/>
  <c r="A562" i="16" s="1"/>
  <c r="F562" i="16"/>
  <c r="A561" i="16"/>
  <c r="A560" i="16"/>
  <c r="A559" i="16"/>
  <c r="A558" i="16"/>
  <c r="A557" i="16"/>
  <c r="A556" i="16"/>
  <c r="A555" i="16"/>
  <c r="A554" i="16"/>
  <c r="A553" i="16"/>
  <c r="A552" i="16"/>
  <c r="A551" i="16"/>
  <c r="A550" i="16"/>
  <c r="A549" i="16"/>
  <c r="A548" i="16"/>
  <c r="A547" i="16"/>
  <c r="A546" i="16"/>
  <c r="A545" i="16"/>
  <c r="A544" i="16"/>
  <c r="A543" i="16"/>
  <c r="A542" i="16"/>
  <c r="A541" i="16"/>
  <c r="A540" i="16"/>
  <c r="A539" i="16"/>
  <c r="A538" i="16"/>
  <c r="A537" i="16"/>
  <c r="A536" i="16"/>
  <c r="A535" i="16"/>
  <c r="A534" i="16"/>
  <c r="A533" i="16"/>
  <c r="A532" i="16"/>
  <c r="A531" i="16"/>
  <c r="A530" i="16"/>
  <c r="A529" i="16"/>
  <c r="A528" i="16"/>
  <c r="A527" i="16"/>
  <c r="A526" i="16"/>
  <c r="A525" i="16"/>
  <c r="A524" i="16"/>
  <c r="A523" i="16"/>
  <c r="A522" i="16"/>
  <c r="A521" i="16"/>
  <c r="A520" i="16"/>
  <c r="A519" i="16"/>
  <c r="A518" i="16"/>
  <c r="A517" i="16"/>
  <c r="A516" i="16"/>
  <c r="A515" i="16"/>
  <c r="A514" i="16"/>
  <c r="A513" i="16"/>
  <c r="A512" i="16"/>
  <c r="A511" i="16"/>
  <c r="A510" i="16"/>
  <c r="A509" i="16"/>
  <c r="A508" i="16"/>
  <c r="A507" i="16"/>
  <c r="A506" i="16"/>
  <c r="A505" i="16"/>
  <c r="A504" i="16"/>
  <c r="A503" i="16"/>
  <c r="A502" i="16"/>
  <c r="A501" i="16"/>
  <c r="A500" i="16"/>
  <c r="A499" i="16"/>
  <c r="A498" i="16"/>
  <c r="A497" i="16"/>
  <c r="A496" i="16"/>
  <c r="A495" i="16"/>
  <c r="A494" i="16"/>
  <c r="A493" i="16"/>
  <c r="A492" i="16"/>
  <c r="A491" i="16"/>
  <c r="A490" i="16"/>
  <c r="A489" i="16"/>
  <c r="A488" i="16"/>
  <c r="A487" i="16"/>
  <c r="A486" i="16"/>
  <c r="A484" i="16"/>
  <c r="A483" i="16"/>
  <c r="A482" i="16"/>
  <c r="A485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29" i="16"/>
  <c r="A430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2" i="16"/>
  <c r="A415" i="16"/>
  <c r="A414" i="16"/>
  <c r="A413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4" i="16"/>
  <c r="A357" i="16"/>
  <c r="A356" i="16"/>
  <c r="A355" i="16"/>
  <c r="A353" i="16"/>
  <c r="A352" i="16"/>
  <c r="A351" i="16"/>
  <c r="A350" i="16"/>
  <c r="A349" i="16"/>
  <c r="A348" i="16"/>
  <c r="A347" i="16"/>
  <c r="A346" i="16"/>
  <c r="A345" i="16"/>
  <c r="A343" i="16"/>
  <c r="A342" i="16"/>
  <c r="A341" i="16"/>
  <c r="A340" i="16"/>
  <c r="A344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291" i="16"/>
  <c r="A290" i="16"/>
  <c r="A289" i="16"/>
  <c r="A313" i="16"/>
  <c r="A312" i="16"/>
  <c r="A288" i="16"/>
  <c r="A311" i="16"/>
  <c r="A310" i="16"/>
  <c r="A309" i="16"/>
  <c r="A308" i="16"/>
  <c r="A307" i="16"/>
  <c r="A306" i="16"/>
  <c r="A305" i="16"/>
  <c r="A304" i="16"/>
  <c r="A303" i="16"/>
  <c r="A287" i="16"/>
  <c r="A286" i="16"/>
  <c r="A285" i="16"/>
  <c r="A284" i="16"/>
  <c r="A302" i="16"/>
  <c r="A301" i="16"/>
  <c r="A300" i="16"/>
  <c r="A299" i="16"/>
  <c r="A298" i="16"/>
  <c r="A297" i="16"/>
  <c r="A296" i="16"/>
  <c r="A295" i="16"/>
  <c r="A294" i="16"/>
  <c r="A293" i="16"/>
  <c r="A292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15" i="16"/>
  <c r="A214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2" i="16"/>
  <c r="A153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1" i="16"/>
  <c r="A139" i="16"/>
  <c r="A138" i="16"/>
  <c r="A137" i="16"/>
  <c r="A136" i="16"/>
  <c r="A135" i="16"/>
  <c r="A134" i="16"/>
  <c r="A133" i="16"/>
  <c r="A132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40" i="16"/>
  <c r="A112" i="16"/>
  <c r="A111" i="16"/>
  <c r="A110" i="16"/>
  <c r="A109" i="16"/>
  <c r="A108" i="16"/>
  <c r="A107" i="16"/>
  <c r="A106" i="16"/>
  <c r="A105" i="16"/>
  <c r="A104" i="16"/>
  <c r="A103" i="16"/>
  <c r="A94" i="16"/>
  <c r="A102" i="16"/>
  <c r="A101" i="16"/>
  <c r="A100" i="16"/>
  <c r="A99" i="16"/>
  <c r="A98" i="16"/>
  <c r="A97" i="16"/>
  <c r="A96" i="16"/>
  <c r="A95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C705" i="15"/>
  <c r="U699" i="15"/>
  <c r="V699" i="15" s="1"/>
  <c r="Q699" i="15"/>
  <c r="G699" i="15"/>
  <c r="C699" i="15"/>
  <c r="U717" i="15"/>
  <c r="V717" i="15" s="1"/>
  <c r="Q717" i="15"/>
  <c r="G717" i="15"/>
  <c r="C717" i="15"/>
  <c r="U700" i="15"/>
  <c r="V700" i="15" s="1"/>
  <c r="Q700" i="15"/>
  <c r="G700" i="15"/>
  <c r="C700" i="15"/>
  <c r="U694" i="15"/>
  <c r="V694" i="15" s="1"/>
  <c r="N694" i="15"/>
  <c r="Q694" i="15" s="1"/>
  <c r="G694" i="15"/>
  <c r="C694" i="15"/>
  <c r="U693" i="15"/>
  <c r="V693" i="15" s="1"/>
  <c r="N693" i="15"/>
  <c r="Q693" i="15" s="1"/>
  <c r="G693" i="15"/>
  <c r="C693" i="15"/>
  <c r="U692" i="15"/>
  <c r="V692" i="15" s="1"/>
  <c r="N692" i="15"/>
  <c r="Q692" i="15" s="1"/>
  <c r="G692" i="15"/>
  <c r="C692" i="15"/>
  <c r="U691" i="15"/>
  <c r="V691" i="15" s="1"/>
  <c r="N691" i="15"/>
  <c r="Q691" i="15" s="1"/>
  <c r="G691" i="15"/>
  <c r="C691" i="15"/>
  <c r="U690" i="15"/>
  <c r="V690" i="15" s="1"/>
  <c r="N690" i="15"/>
  <c r="Q690" i="15" s="1"/>
  <c r="G690" i="15"/>
  <c r="C690" i="15"/>
  <c r="U689" i="15"/>
  <c r="V689" i="15" s="1"/>
  <c r="N689" i="15"/>
  <c r="Q689" i="15" s="1"/>
  <c r="G689" i="15"/>
  <c r="C689" i="15"/>
  <c r="U688" i="15"/>
  <c r="V688" i="15" s="1"/>
  <c r="N688" i="15"/>
  <c r="Q688" i="15" s="1"/>
  <c r="G688" i="15"/>
  <c r="C688" i="15"/>
  <c r="U687" i="15"/>
  <c r="V687" i="15" s="1"/>
  <c r="Q687" i="15"/>
  <c r="G687" i="15"/>
  <c r="C687" i="15"/>
  <c r="U686" i="15"/>
  <c r="V686" i="15" s="1"/>
  <c r="Q686" i="15"/>
  <c r="G686" i="15"/>
  <c r="C686" i="15"/>
  <c r="U685" i="15"/>
  <c r="V685" i="15" s="1"/>
  <c r="N685" i="15"/>
  <c r="Q685" i="15" s="1"/>
  <c r="G685" i="15"/>
  <c r="C685" i="15"/>
  <c r="U797" i="15"/>
  <c r="V797" i="15" s="1"/>
  <c r="N797" i="15"/>
  <c r="Q797" i="15" s="1"/>
  <c r="G797" i="15"/>
  <c r="C797" i="15"/>
  <c r="U684" i="15"/>
  <c r="V684" i="15" s="1"/>
  <c r="Q684" i="15"/>
  <c r="G684" i="15"/>
  <c r="C684" i="15"/>
  <c r="U683" i="15"/>
  <c r="V683" i="15" s="1"/>
  <c r="N683" i="15"/>
  <c r="Q683" i="15" s="1"/>
  <c r="G683" i="15"/>
  <c r="C683" i="15"/>
  <c r="U682" i="15"/>
  <c r="V682" i="15" s="1"/>
  <c r="N682" i="15"/>
  <c r="Q682" i="15" s="1"/>
  <c r="G682" i="15"/>
  <c r="C682" i="15"/>
  <c r="U681" i="15"/>
  <c r="V681" i="15" s="1"/>
  <c r="N681" i="15"/>
  <c r="Q681" i="15" s="1"/>
  <c r="G681" i="15"/>
  <c r="C681" i="15"/>
  <c r="U680" i="15"/>
  <c r="V680" i="15" s="1"/>
  <c r="N680" i="15"/>
  <c r="Q680" i="15" s="1"/>
  <c r="G680" i="15"/>
  <c r="C680" i="15"/>
  <c r="U679" i="15"/>
  <c r="V679" i="15" s="1"/>
  <c r="N679" i="15"/>
  <c r="Q679" i="15" s="1"/>
  <c r="G679" i="15"/>
  <c r="C679" i="15"/>
  <c r="U678" i="15"/>
  <c r="V678" i="15" s="1"/>
  <c r="N678" i="15"/>
  <c r="Q678" i="15" s="1"/>
  <c r="G678" i="15"/>
  <c r="C678" i="15"/>
  <c r="U677" i="15"/>
  <c r="V677" i="15" s="1"/>
  <c r="N677" i="15"/>
  <c r="Q677" i="15" s="1"/>
  <c r="G677" i="15"/>
  <c r="C677" i="15"/>
  <c r="U676" i="15"/>
  <c r="V676" i="15" s="1"/>
  <c r="N676" i="15"/>
  <c r="Q676" i="15" s="1"/>
  <c r="G676" i="15"/>
  <c r="C676" i="15"/>
  <c r="U675" i="15"/>
  <c r="V675" i="15" s="1"/>
  <c r="Q675" i="15"/>
  <c r="G675" i="15"/>
  <c r="C675" i="15"/>
  <c r="U674" i="15"/>
  <c r="V674" i="15" s="1"/>
  <c r="Q674" i="15"/>
  <c r="G674" i="15"/>
  <c r="C674" i="15"/>
  <c r="U673" i="15"/>
  <c r="V673" i="15" s="1"/>
  <c r="Q673" i="15"/>
  <c r="G673" i="15"/>
  <c r="C673" i="15"/>
  <c r="U672" i="15"/>
  <c r="V672" i="15" s="1"/>
  <c r="Q672" i="15"/>
  <c r="G672" i="15"/>
  <c r="C672" i="15"/>
  <c r="U671" i="15"/>
  <c r="V671" i="15" s="1"/>
  <c r="Q671" i="15"/>
  <c r="G671" i="15"/>
  <c r="C671" i="15"/>
  <c r="U670" i="15"/>
  <c r="V670" i="15" s="1"/>
  <c r="Q670" i="15"/>
  <c r="G670" i="15"/>
  <c r="C670" i="15"/>
  <c r="U669" i="15"/>
  <c r="V669" i="15" s="1"/>
  <c r="Q669" i="15"/>
  <c r="G669" i="15"/>
  <c r="C669" i="15"/>
  <c r="U668" i="15"/>
  <c r="V668" i="15" s="1"/>
  <c r="Q668" i="15"/>
  <c r="G668" i="15"/>
  <c r="C668" i="15"/>
  <c r="U667" i="15"/>
  <c r="V667" i="15" s="1"/>
  <c r="Q667" i="15"/>
  <c r="G667" i="15"/>
  <c r="C667" i="15"/>
  <c r="U666" i="15"/>
  <c r="V666" i="15" s="1"/>
  <c r="Q666" i="15"/>
  <c r="G666" i="15"/>
  <c r="C666" i="15"/>
  <c r="U665" i="15"/>
  <c r="V665" i="15" s="1"/>
  <c r="Q665" i="15"/>
  <c r="G665" i="15"/>
  <c r="C665" i="15"/>
  <c r="U664" i="15"/>
  <c r="V664" i="15" s="1"/>
  <c r="Q664" i="15"/>
  <c r="G664" i="15"/>
  <c r="C664" i="15"/>
  <c r="U663" i="15"/>
  <c r="V663" i="15" s="1"/>
  <c r="L663" i="15"/>
  <c r="Q663" i="15" s="1"/>
  <c r="G663" i="15"/>
  <c r="C663" i="15"/>
  <c r="U662" i="15"/>
  <c r="V662" i="15" s="1"/>
  <c r="Q662" i="15"/>
  <c r="G662" i="15"/>
  <c r="C662" i="15"/>
  <c r="U661" i="15"/>
  <c r="V661" i="15" s="1"/>
  <c r="Q661" i="15"/>
  <c r="G661" i="15"/>
  <c r="C661" i="15"/>
  <c r="U660" i="15"/>
  <c r="V660" i="15" s="1"/>
  <c r="Q660" i="15"/>
  <c r="G660" i="15"/>
  <c r="C660" i="15"/>
  <c r="U659" i="15"/>
  <c r="V659" i="15" s="1"/>
  <c r="P659" i="15"/>
  <c r="N659" i="15" s="1"/>
  <c r="Q659" i="15" s="1"/>
  <c r="G659" i="15"/>
  <c r="C659" i="15"/>
  <c r="U623" i="15"/>
  <c r="V623" i="15" s="1"/>
  <c r="N623" i="15"/>
  <c r="Q623" i="15" s="1"/>
  <c r="G623" i="15"/>
  <c r="C623" i="15"/>
  <c r="U657" i="15"/>
  <c r="V657" i="15" s="1"/>
  <c r="Q657" i="15"/>
  <c r="G657" i="15"/>
  <c r="C657" i="15"/>
  <c r="U656" i="15"/>
  <c r="V656" i="15" s="1"/>
  <c r="N656" i="15"/>
  <c r="Q656" i="15" s="1"/>
  <c r="G656" i="15"/>
  <c r="C656" i="15"/>
  <c r="U655" i="15"/>
  <c r="V655" i="15" s="1"/>
  <c r="N655" i="15"/>
  <c r="Q655" i="15" s="1"/>
  <c r="G655" i="15"/>
  <c r="C655" i="15"/>
  <c r="U654" i="15"/>
  <c r="V654" i="15" s="1"/>
  <c r="N654" i="15"/>
  <c r="Q654" i="15" s="1"/>
  <c r="G654" i="15"/>
  <c r="C654" i="15"/>
  <c r="U653" i="15"/>
  <c r="V653" i="15" s="1"/>
  <c r="N653" i="15"/>
  <c r="Q653" i="15" s="1"/>
  <c r="G653" i="15"/>
  <c r="C653" i="15"/>
  <c r="U652" i="15"/>
  <c r="V652" i="15" s="1"/>
  <c r="N652" i="15"/>
  <c r="Q652" i="15" s="1"/>
  <c r="G652" i="15"/>
  <c r="C652" i="15"/>
  <c r="U651" i="15"/>
  <c r="V651" i="15" s="1"/>
  <c r="N651" i="15"/>
  <c r="Q651" i="15" s="1"/>
  <c r="G651" i="15"/>
  <c r="C651" i="15"/>
  <c r="U650" i="15"/>
  <c r="V650" i="15" s="1"/>
  <c r="N650" i="15"/>
  <c r="Q650" i="15" s="1"/>
  <c r="G650" i="15"/>
  <c r="C650" i="15"/>
  <c r="U649" i="15"/>
  <c r="V649" i="15" s="1"/>
  <c r="N649" i="15"/>
  <c r="Q649" i="15" s="1"/>
  <c r="G649" i="15"/>
  <c r="C649" i="15"/>
  <c r="U648" i="15"/>
  <c r="V648" i="15" s="1"/>
  <c r="N648" i="15"/>
  <c r="Q648" i="15" s="1"/>
  <c r="G648" i="15"/>
  <c r="C648" i="15"/>
  <c r="U647" i="15"/>
  <c r="V647" i="15" s="1"/>
  <c r="N647" i="15"/>
  <c r="Q647" i="15" s="1"/>
  <c r="G647" i="15"/>
  <c r="C647" i="15"/>
  <c r="U796" i="15"/>
  <c r="V796" i="15" s="1"/>
  <c r="N796" i="15"/>
  <c r="Q796" i="15" s="1"/>
  <c r="G796" i="15"/>
  <c r="C796" i="15"/>
  <c r="U646" i="15"/>
  <c r="V646" i="15" s="1"/>
  <c r="N646" i="15"/>
  <c r="Q646" i="15" s="1"/>
  <c r="G646" i="15"/>
  <c r="C646" i="15"/>
  <c r="U645" i="15"/>
  <c r="V645" i="15" s="1"/>
  <c r="N645" i="15"/>
  <c r="Q645" i="15" s="1"/>
  <c r="G645" i="15"/>
  <c r="C645" i="15"/>
  <c r="U644" i="15"/>
  <c r="V644" i="15" s="1"/>
  <c r="N644" i="15"/>
  <c r="Q644" i="15" s="1"/>
  <c r="G644" i="15"/>
  <c r="C644" i="15"/>
  <c r="U643" i="15"/>
  <c r="V643" i="15" s="1"/>
  <c r="P643" i="15"/>
  <c r="N643" i="15" s="1"/>
  <c r="Q643" i="15" s="1"/>
  <c r="G643" i="15"/>
  <c r="C643" i="15"/>
  <c r="U642" i="15"/>
  <c r="V642" i="15" s="1"/>
  <c r="P642" i="15"/>
  <c r="N642" i="15" s="1"/>
  <c r="Q642" i="15" s="1"/>
  <c r="G642" i="15"/>
  <c r="C642" i="15"/>
  <c r="U795" i="15"/>
  <c r="V795" i="15" s="1"/>
  <c r="P795" i="15"/>
  <c r="N795" i="15" s="1"/>
  <c r="Q795" i="15" s="1"/>
  <c r="G795" i="15"/>
  <c r="C795" i="15"/>
  <c r="U641" i="15"/>
  <c r="V641" i="15" s="1"/>
  <c r="Q641" i="15"/>
  <c r="G641" i="15"/>
  <c r="C641" i="15"/>
  <c r="U640" i="15"/>
  <c r="V640" i="15" s="1"/>
  <c r="Q640" i="15"/>
  <c r="G640" i="15"/>
  <c r="C640" i="15"/>
  <c r="U639" i="15"/>
  <c r="V639" i="15" s="1"/>
  <c r="Q639" i="15"/>
  <c r="G639" i="15"/>
  <c r="C639" i="15"/>
  <c r="U638" i="15"/>
  <c r="V638" i="15" s="1"/>
  <c r="Q638" i="15"/>
  <c r="G638" i="15"/>
  <c r="C638" i="15"/>
  <c r="U637" i="15"/>
  <c r="V637" i="15" s="1"/>
  <c r="Q637" i="15"/>
  <c r="G637" i="15"/>
  <c r="C637" i="15"/>
  <c r="U636" i="15"/>
  <c r="V636" i="15" s="1"/>
  <c r="Q636" i="15"/>
  <c r="G636" i="15"/>
  <c r="C636" i="15"/>
  <c r="U635" i="15"/>
  <c r="V635" i="15" s="1"/>
  <c r="Q635" i="15"/>
  <c r="G635" i="15"/>
  <c r="C635" i="15"/>
  <c r="U634" i="15"/>
  <c r="V634" i="15" s="1"/>
  <c r="Q634" i="15"/>
  <c r="G634" i="15"/>
  <c r="C634" i="15"/>
  <c r="U633" i="15"/>
  <c r="V633" i="15" s="1"/>
  <c r="Q633" i="15"/>
  <c r="G633" i="15"/>
  <c r="C633" i="15"/>
  <c r="U632" i="15"/>
  <c r="V632" i="15" s="1"/>
  <c r="Q632" i="15"/>
  <c r="G632" i="15"/>
  <c r="C632" i="15"/>
  <c r="U631" i="15"/>
  <c r="V631" i="15" s="1"/>
  <c r="Q631" i="15"/>
  <c r="G631" i="15"/>
  <c r="C631" i="15"/>
  <c r="U771" i="15"/>
  <c r="V771" i="15" s="1"/>
  <c r="Q771" i="15"/>
  <c r="G771" i="15"/>
  <c r="C771" i="15"/>
  <c r="U770" i="15"/>
  <c r="V770" i="15" s="1"/>
  <c r="Q770" i="15"/>
  <c r="G770" i="15"/>
  <c r="C770" i="15"/>
  <c r="U630" i="15"/>
  <c r="V630" i="15" s="1"/>
  <c r="Q630" i="15"/>
  <c r="G630" i="15"/>
  <c r="C630" i="15"/>
  <c r="U629" i="15"/>
  <c r="V629" i="15" s="1"/>
  <c r="Q629" i="15"/>
  <c r="G629" i="15"/>
  <c r="C629" i="15"/>
  <c r="U628" i="15"/>
  <c r="V628" i="15" s="1"/>
  <c r="Q628" i="15"/>
  <c r="G628" i="15"/>
  <c r="C628" i="15"/>
  <c r="U622" i="15"/>
  <c r="V622" i="15" s="1"/>
  <c r="N622" i="15"/>
  <c r="Q622" i="15" s="1"/>
  <c r="G622" i="15"/>
  <c r="C622" i="15"/>
  <c r="U621" i="15"/>
  <c r="V621" i="15" s="1"/>
  <c r="N621" i="15"/>
  <c r="Q621" i="15" s="1"/>
  <c r="G621" i="15"/>
  <c r="C621" i="15"/>
  <c r="U620" i="15"/>
  <c r="V620" i="15" s="1"/>
  <c r="Q620" i="15"/>
  <c r="G620" i="15"/>
  <c r="C620" i="15"/>
  <c r="U619" i="15"/>
  <c r="V619" i="15" s="1"/>
  <c r="N619" i="15"/>
  <c r="Q619" i="15" s="1"/>
  <c r="G619" i="15"/>
  <c r="C619" i="15"/>
  <c r="U618" i="15"/>
  <c r="V618" i="15" s="1"/>
  <c r="N618" i="15"/>
  <c r="Q618" i="15" s="1"/>
  <c r="G618" i="15"/>
  <c r="C618" i="15"/>
  <c r="U769" i="15"/>
  <c r="V769" i="15" s="1"/>
  <c r="Q769" i="15"/>
  <c r="G769" i="15"/>
  <c r="C769" i="15"/>
  <c r="U616" i="15"/>
  <c r="V616" i="15" s="1"/>
  <c r="Q616" i="15"/>
  <c r="G616" i="15"/>
  <c r="C616" i="15"/>
  <c r="U615" i="15"/>
  <c r="V615" i="15" s="1"/>
  <c r="Q615" i="15"/>
  <c r="G615" i="15"/>
  <c r="C615" i="15"/>
  <c r="U614" i="15"/>
  <c r="V614" i="15" s="1"/>
  <c r="Q614" i="15"/>
  <c r="G614" i="15"/>
  <c r="C614" i="15"/>
  <c r="U613" i="15"/>
  <c r="V613" i="15" s="1"/>
  <c r="Q613" i="15"/>
  <c r="G613" i="15"/>
  <c r="C613" i="15"/>
  <c r="U612" i="15"/>
  <c r="V612" i="15" s="1"/>
  <c r="P612" i="15"/>
  <c r="N612" i="15" s="1"/>
  <c r="Q612" i="15" s="1"/>
  <c r="G612" i="15"/>
  <c r="C612" i="15"/>
  <c r="U611" i="15"/>
  <c r="V611" i="15" s="1"/>
  <c r="P611" i="15"/>
  <c r="N611" i="15" s="1"/>
  <c r="Q611" i="15" s="1"/>
  <c r="G611" i="15"/>
  <c r="C611" i="15"/>
  <c r="U610" i="15"/>
  <c r="V610" i="15" s="1"/>
  <c r="P610" i="15"/>
  <c r="N610" i="15" s="1"/>
  <c r="Q610" i="15" s="1"/>
  <c r="G610" i="15"/>
  <c r="C610" i="15"/>
  <c r="U617" i="15"/>
  <c r="V617" i="15" s="1"/>
  <c r="N617" i="15"/>
  <c r="Q617" i="15" s="1"/>
  <c r="G617" i="15"/>
  <c r="C617" i="15"/>
  <c r="U609" i="15"/>
  <c r="V609" i="15" s="1"/>
  <c r="N609" i="15"/>
  <c r="Q609" i="15" s="1"/>
  <c r="G609" i="15"/>
  <c r="C609" i="15"/>
  <c r="U608" i="15"/>
  <c r="V608" i="15" s="1"/>
  <c r="N608" i="15"/>
  <c r="Q608" i="15" s="1"/>
  <c r="G608" i="15"/>
  <c r="C608" i="15"/>
  <c r="U607" i="15"/>
  <c r="V607" i="15" s="1"/>
  <c r="N607" i="15"/>
  <c r="Q607" i="15" s="1"/>
  <c r="G607" i="15"/>
  <c r="C607" i="15"/>
  <c r="U606" i="15"/>
  <c r="V606" i="15" s="1"/>
  <c r="N606" i="15"/>
  <c r="Q606" i="15" s="1"/>
  <c r="G606" i="15"/>
  <c r="C606" i="15"/>
  <c r="U605" i="15"/>
  <c r="V605" i="15" s="1"/>
  <c r="N605" i="15"/>
  <c r="Q605" i="15" s="1"/>
  <c r="G605" i="15"/>
  <c r="C605" i="15"/>
  <c r="U598" i="15"/>
  <c r="V598" i="15" s="1"/>
  <c r="Q598" i="15"/>
  <c r="G598" i="15"/>
  <c r="C598" i="15"/>
  <c r="U625" i="15"/>
  <c r="V625" i="15" s="1"/>
  <c r="Q625" i="15"/>
  <c r="G625" i="15"/>
  <c r="C625" i="15"/>
  <c r="U597" i="15"/>
  <c r="V597" i="15" s="1"/>
  <c r="Q597" i="15"/>
  <c r="G597" i="15"/>
  <c r="C597" i="15"/>
  <c r="U595" i="15"/>
  <c r="V595" i="15" s="1"/>
  <c r="Q595" i="15"/>
  <c r="G595" i="15"/>
  <c r="C595" i="15"/>
  <c r="U594" i="15"/>
  <c r="V594" i="15" s="1"/>
  <c r="Q594" i="15"/>
  <c r="P594" i="15"/>
  <c r="G594" i="15"/>
  <c r="C594" i="15"/>
  <c r="U593" i="15"/>
  <c r="V593" i="15" s="1"/>
  <c r="N593" i="15"/>
  <c r="Q593" i="15" s="1"/>
  <c r="G593" i="15"/>
  <c r="C593" i="15"/>
  <c r="U790" i="15"/>
  <c r="V790" i="15" s="1"/>
  <c r="N790" i="15"/>
  <c r="Q790" i="15" s="1"/>
  <c r="G790" i="15"/>
  <c r="C790" i="15"/>
  <c r="U723" i="15"/>
  <c r="V723" i="15" s="1"/>
  <c r="N723" i="15"/>
  <c r="Q723" i="15" s="1"/>
  <c r="G723" i="15"/>
  <c r="C723" i="15"/>
  <c r="U591" i="15"/>
  <c r="V591" i="15" s="1"/>
  <c r="N591" i="15"/>
  <c r="Q591" i="15" s="1"/>
  <c r="G591" i="15"/>
  <c r="C591" i="15"/>
  <c r="U590" i="15"/>
  <c r="V590" i="15" s="1"/>
  <c r="N590" i="15"/>
  <c r="Q590" i="15" s="1"/>
  <c r="G590" i="15"/>
  <c r="C590" i="15"/>
  <c r="U767" i="15"/>
  <c r="V767" i="15" s="1"/>
  <c r="C767" i="15"/>
  <c r="U789" i="15"/>
  <c r="V789" i="15" s="1"/>
  <c r="N789" i="15"/>
  <c r="G789" i="15"/>
  <c r="C789" i="15"/>
  <c r="U584" i="15"/>
  <c r="V584" i="15" s="1"/>
  <c r="G584" i="15"/>
  <c r="C584" i="15"/>
  <c r="U582" i="15"/>
  <c r="V582" i="15" s="1"/>
  <c r="Q582" i="15"/>
  <c r="G582" i="15"/>
  <c r="C582" i="15"/>
  <c r="U726" i="15"/>
  <c r="V726" i="15" s="1"/>
  <c r="Q726" i="15"/>
  <c r="G726" i="15"/>
  <c r="C726" i="15"/>
  <c r="U701" i="15"/>
  <c r="V701" i="15" s="1"/>
  <c r="Q701" i="15"/>
  <c r="G701" i="15"/>
  <c r="C701" i="15"/>
  <c r="U572" i="15"/>
  <c r="V572" i="15" s="1"/>
  <c r="Q572" i="15"/>
  <c r="P572" i="15"/>
  <c r="G572" i="15"/>
  <c r="C572" i="15"/>
  <c r="U570" i="15"/>
  <c r="V570" i="15" s="1"/>
  <c r="Q570" i="15"/>
  <c r="P570" i="15"/>
  <c r="G570" i="15"/>
  <c r="C570" i="15"/>
  <c r="U569" i="15"/>
  <c r="V569" i="15" s="1"/>
  <c r="Q569" i="15"/>
  <c r="P569" i="15"/>
  <c r="G569" i="15"/>
  <c r="C569" i="15"/>
  <c r="U568" i="15"/>
  <c r="V568" i="15" s="1"/>
  <c r="Q568" i="15"/>
  <c r="P568" i="15"/>
  <c r="G568" i="15"/>
  <c r="C568" i="15"/>
  <c r="U567" i="15"/>
  <c r="V567" i="15" s="1"/>
  <c r="Q567" i="15"/>
  <c r="P567" i="15"/>
  <c r="G567" i="15"/>
  <c r="C567" i="15"/>
  <c r="U566" i="15"/>
  <c r="V566" i="15" s="1"/>
  <c r="Q566" i="15"/>
  <c r="P566" i="15"/>
  <c r="G566" i="15"/>
  <c r="C566" i="15"/>
  <c r="U565" i="15"/>
  <c r="V565" i="15" s="1"/>
  <c r="Q565" i="15"/>
  <c r="P565" i="15"/>
  <c r="G565" i="15"/>
  <c r="C565" i="15"/>
  <c r="U564" i="15"/>
  <c r="V564" i="15" s="1"/>
  <c r="Q564" i="15"/>
  <c r="P564" i="15"/>
  <c r="G564" i="15"/>
  <c r="C564" i="15"/>
  <c r="U563" i="15"/>
  <c r="V563" i="15" s="1"/>
  <c r="Q563" i="15"/>
  <c r="P563" i="15"/>
  <c r="G563" i="15"/>
  <c r="C563" i="15"/>
  <c r="U562" i="15"/>
  <c r="V562" i="15" s="1"/>
  <c r="Q562" i="15"/>
  <c r="P562" i="15"/>
  <c r="G562" i="15"/>
  <c r="C562" i="15"/>
  <c r="U561" i="15"/>
  <c r="V561" i="15" s="1"/>
  <c r="Q561" i="15"/>
  <c r="P561" i="15"/>
  <c r="G561" i="15"/>
  <c r="C561" i="15"/>
  <c r="U560" i="15"/>
  <c r="V560" i="15" s="1"/>
  <c r="Q560" i="15"/>
  <c r="P560" i="15"/>
  <c r="G560" i="15"/>
  <c r="C560" i="15"/>
  <c r="U559" i="15"/>
  <c r="V559" i="15" s="1"/>
  <c r="Q559" i="15"/>
  <c r="P559" i="15"/>
  <c r="G559" i="15"/>
  <c r="C559" i="15"/>
  <c r="U557" i="15"/>
  <c r="V557" i="15" s="1"/>
  <c r="Q557" i="15"/>
  <c r="P557" i="15"/>
  <c r="G557" i="15"/>
  <c r="C557" i="15"/>
  <c r="U556" i="15"/>
  <c r="V556" i="15" s="1"/>
  <c r="Q556" i="15"/>
  <c r="P556" i="15"/>
  <c r="G556" i="15"/>
  <c r="C556" i="15"/>
  <c r="U555" i="15"/>
  <c r="V555" i="15" s="1"/>
  <c r="Q555" i="15"/>
  <c r="P555" i="15"/>
  <c r="G555" i="15"/>
  <c r="C555" i="15"/>
  <c r="U554" i="15"/>
  <c r="V554" i="15" s="1"/>
  <c r="Q554" i="15"/>
  <c r="P554" i="15"/>
  <c r="G554" i="15"/>
  <c r="C554" i="15"/>
  <c r="U553" i="15"/>
  <c r="V553" i="15" s="1"/>
  <c r="Q553" i="15"/>
  <c r="P553" i="15"/>
  <c r="G553" i="15"/>
  <c r="C553" i="15"/>
  <c r="U552" i="15"/>
  <c r="V552" i="15" s="1"/>
  <c r="Q552" i="15"/>
  <c r="P552" i="15"/>
  <c r="G552" i="15"/>
  <c r="C552" i="15"/>
  <c r="U551" i="15"/>
  <c r="V551" i="15" s="1"/>
  <c r="Q551" i="15"/>
  <c r="P551" i="15"/>
  <c r="G551" i="15"/>
  <c r="C551" i="15"/>
  <c r="U550" i="15"/>
  <c r="V550" i="15" s="1"/>
  <c r="Q550" i="15"/>
  <c r="P550" i="15"/>
  <c r="G550" i="15"/>
  <c r="C550" i="15"/>
  <c r="U549" i="15"/>
  <c r="V549" i="15" s="1"/>
  <c r="Q549" i="15"/>
  <c r="P549" i="15"/>
  <c r="G549" i="15"/>
  <c r="C549" i="15"/>
  <c r="U548" i="15"/>
  <c r="V548" i="15" s="1"/>
  <c r="Q548" i="15"/>
  <c r="P548" i="15"/>
  <c r="G548" i="15"/>
  <c r="C548" i="15"/>
  <c r="U547" i="15"/>
  <c r="V547" i="15" s="1"/>
  <c r="Q547" i="15"/>
  <c r="P547" i="15"/>
  <c r="G547" i="15"/>
  <c r="C547" i="15"/>
  <c r="U546" i="15"/>
  <c r="V546" i="15" s="1"/>
  <c r="Q546" i="15"/>
  <c r="P546" i="15"/>
  <c r="G546" i="15"/>
  <c r="C546" i="15"/>
  <c r="U545" i="15"/>
  <c r="V545" i="15" s="1"/>
  <c r="Q545" i="15"/>
  <c r="P545" i="15"/>
  <c r="G545" i="15"/>
  <c r="C545" i="15"/>
  <c r="U544" i="15"/>
  <c r="V544" i="15" s="1"/>
  <c r="Q544" i="15"/>
  <c r="P544" i="15"/>
  <c r="G544" i="15"/>
  <c r="C544" i="15"/>
  <c r="U543" i="15"/>
  <c r="V543" i="15" s="1"/>
  <c r="Q543" i="15"/>
  <c r="P543" i="15"/>
  <c r="G543" i="15"/>
  <c r="C543" i="15"/>
  <c r="U542" i="15"/>
  <c r="V542" i="15" s="1"/>
  <c r="Q542" i="15"/>
  <c r="P542" i="15"/>
  <c r="G542" i="15"/>
  <c r="C542" i="15"/>
  <c r="U541" i="15"/>
  <c r="V541" i="15" s="1"/>
  <c r="Q541" i="15"/>
  <c r="P541" i="15"/>
  <c r="G541" i="15"/>
  <c r="C541" i="15"/>
  <c r="U540" i="15"/>
  <c r="V540" i="15" s="1"/>
  <c r="Q540" i="15"/>
  <c r="P540" i="15"/>
  <c r="G540" i="15"/>
  <c r="C540" i="15"/>
  <c r="U539" i="15"/>
  <c r="V539" i="15" s="1"/>
  <c r="Q539" i="15"/>
  <c r="P539" i="15"/>
  <c r="G539" i="15"/>
  <c r="C539" i="15"/>
  <c r="U538" i="15"/>
  <c r="V538" i="15" s="1"/>
  <c r="Q538" i="15"/>
  <c r="P538" i="15"/>
  <c r="G538" i="15"/>
  <c r="C538" i="15"/>
  <c r="U537" i="15"/>
  <c r="V537" i="15" s="1"/>
  <c r="Q537" i="15"/>
  <c r="P537" i="15"/>
  <c r="G537" i="15"/>
  <c r="C537" i="15"/>
  <c r="U16" i="15"/>
  <c r="V16" i="15" s="1"/>
  <c r="P16" i="15"/>
  <c r="N16" i="15" s="1"/>
  <c r="Q16" i="15" s="1"/>
  <c r="G16" i="15"/>
  <c r="C16" i="15"/>
  <c r="U15" i="15"/>
  <c r="V15" i="15" s="1"/>
  <c r="N15" i="15"/>
  <c r="Q15" i="15" s="1"/>
  <c r="G15" i="15"/>
  <c r="C15" i="15"/>
  <c r="U14" i="15"/>
  <c r="V14" i="15" s="1"/>
  <c r="Q14" i="15"/>
  <c r="G14" i="15"/>
  <c r="C14" i="15"/>
  <c r="U13" i="15"/>
  <c r="V13" i="15" s="1"/>
  <c r="P13" i="15"/>
  <c r="N13" i="15" s="1"/>
  <c r="Q13" i="15" s="1"/>
  <c r="G13" i="15"/>
  <c r="C13" i="15"/>
  <c r="U12" i="15"/>
  <c r="V12" i="15" s="1"/>
  <c r="P12" i="15"/>
  <c r="N12" i="15" s="1"/>
  <c r="Q12" i="15" s="1"/>
  <c r="G12" i="15"/>
  <c r="C12" i="15"/>
  <c r="U11" i="15"/>
  <c r="V11" i="15" s="1"/>
  <c r="Q11" i="15"/>
  <c r="G11" i="15"/>
  <c r="C11" i="15"/>
  <c r="U10" i="15"/>
  <c r="V10" i="15" s="1"/>
  <c r="Q10" i="15"/>
  <c r="G10" i="15"/>
  <c r="C10" i="15"/>
  <c r="U742" i="15"/>
  <c r="V742" i="15" s="1"/>
  <c r="Q742" i="15"/>
  <c r="G742" i="15"/>
  <c r="C742" i="15"/>
  <c r="U9" i="15"/>
  <c r="V9" i="15" s="1"/>
  <c r="N9" i="15"/>
  <c r="Q9" i="15" s="1"/>
  <c r="G9" i="15"/>
  <c r="C9" i="15"/>
  <c r="U8" i="15"/>
  <c r="V8" i="15" s="1"/>
  <c r="N8" i="15"/>
  <c r="Q8" i="15" s="1"/>
  <c r="G8" i="15"/>
  <c r="C8" i="15"/>
  <c r="U7" i="15"/>
  <c r="V7" i="15" s="1"/>
  <c r="P7" i="15"/>
  <c r="N7" i="15" s="1"/>
  <c r="Q7" i="15" s="1"/>
  <c r="G7" i="15"/>
  <c r="C7" i="15"/>
  <c r="U6" i="15"/>
  <c r="V6" i="15" s="1"/>
  <c r="P6" i="15"/>
  <c r="N6" i="15" s="1"/>
  <c r="Q6" i="15" s="1"/>
  <c r="G6" i="15"/>
  <c r="C6" i="15"/>
  <c r="U5" i="15"/>
  <c r="V5" i="15" s="1"/>
  <c r="P5" i="15"/>
  <c r="N5" i="15" s="1"/>
  <c r="Q5" i="15" s="1"/>
  <c r="G5" i="15"/>
  <c r="C5" i="15"/>
  <c r="U4" i="15"/>
  <c r="V4" i="15" s="1"/>
  <c r="Q4" i="15"/>
  <c r="G4" i="15"/>
  <c r="C4" i="15"/>
  <c r="U3" i="15"/>
  <c r="V3" i="15" s="1"/>
  <c r="Q3" i="15"/>
  <c r="G3" i="15"/>
  <c r="C3" i="15"/>
  <c r="U2" i="15"/>
  <c r="V2" i="15" s="1"/>
  <c r="Q2" i="15"/>
  <c r="G2" i="15"/>
  <c r="C2" i="15"/>
  <c r="U530" i="15"/>
  <c r="V530" i="15" s="1"/>
  <c r="N530" i="15"/>
  <c r="Q530" i="15" s="1"/>
  <c r="G530" i="15"/>
  <c r="C530" i="15"/>
  <c r="U529" i="15"/>
  <c r="V529" i="15" s="1"/>
  <c r="N529" i="15"/>
  <c r="Q529" i="15" s="1"/>
  <c r="G529" i="15"/>
  <c r="C529" i="15"/>
  <c r="U528" i="15"/>
  <c r="V528" i="15" s="1"/>
  <c r="Q528" i="15"/>
  <c r="G528" i="15"/>
  <c r="C528" i="15"/>
  <c r="U658" i="15"/>
  <c r="V658" i="15" s="1"/>
  <c r="Q658" i="15"/>
  <c r="G658" i="15"/>
  <c r="C658" i="15"/>
  <c r="U524" i="15"/>
  <c r="V524" i="15" s="1"/>
  <c r="Q524" i="15"/>
  <c r="G524" i="15"/>
  <c r="C524" i="15"/>
  <c r="U523" i="15"/>
  <c r="V523" i="15" s="1"/>
  <c r="Q523" i="15"/>
  <c r="G523" i="15"/>
  <c r="C523" i="15"/>
  <c r="U510" i="15"/>
  <c r="V510" i="15" s="1"/>
  <c r="N510" i="15"/>
  <c r="Q510" i="15" s="1"/>
  <c r="C510" i="15"/>
  <c r="U509" i="15"/>
  <c r="V509" i="15" s="1"/>
  <c r="N509" i="15"/>
  <c r="Q509" i="15" s="1"/>
  <c r="C509" i="15"/>
  <c r="U508" i="15"/>
  <c r="V508" i="15" s="1"/>
  <c r="N508" i="15"/>
  <c r="Q508" i="15" s="1"/>
  <c r="C508" i="15"/>
  <c r="U507" i="15"/>
  <c r="V507" i="15" s="1"/>
  <c r="N507" i="15"/>
  <c r="Q507" i="15" s="1"/>
  <c r="C507" i="15"/>
  <c r="U506" i="15"/>
  <c r="V506" i="15" s="1"/>
  <c r="N506" i="15"/>
  <c r="Q506" i="15" s="1"/>
  <c r="C506" i="15"/>
  <c r="U505" i="15"/>
  <c r="V505" i="15" s="1"/>
  <c r="Q505" i="15"/>
  <c r="C505" i="15"/>
  <c r="U588" i="15"/>
  <c r="V588" i="15" s="1"/>
  <c r="N588" i="15"/>
  <c r="Q588" i="15" s="1"/>
  <c r="C588" i="15"/>
  <c r="U504" i="15"/>
  <c r="V504" i="15" s="1"/>
  <c r="N504" i="15"/>
  <c r="Q504" i="15" s="1"/>
  <c r="C504" i="15"/>
  <c r="U503" i="15"/>
  <c r="V503" i="15" s="1"/>
  <c r="N503" i="15"/>
  <c r="Q503" i="15" s="1"/>
  <c r="C503" i="15"/>
  <c r="U573" i="15"/>
  <c r="V573" i="15" s="1"/>
  <c r="N573" i="15"/>
  <c r="Q573" i="15" s="1"/>
  <c r="C573" i="15"/>
  <c r="U574" i="15"/>
  <c r="V574" i="15" s="1"/>
  <c r="N574" i="15"/>
  <c r="Q574" i="15" s="1"/>
  <c r="C574" i="15"/>
  <c r="U579" i="15"/>
  <c r="V579" i="15" s="1"/>
  <c r="N579" i="15"/>
  <c r="Q579" i="15" s="1"/>
  <c r="C579" i="15"/>
  <c r="U578" i="15"/>
  <c r="V578" i="15" s="1"/>
  <c r="N578" i="15"/>
  <c r="Q578" i="15" s="1"/>
  <c r="C578" i="15"/>
  <c r="U626" i="15"/>
  <c r="V626" i="15" s="1"/>
  <c r="N626" i="15"/>
  <c r="Q626" i="15" s="1"/>
  <c r="G626" i="15"/>
  <c r="C626" i="15"/>
  <c r="U500" i="15"/>
  <c r="V500" i="15" s="1"/>
  <c r="Q500" i="15"/>
  <c r="G500" i="15"/>
  <c r="C500" i="15"/>
  <c r="U498" i="15"/>
  <c r="V498" i="15" s="1"/>
  <c r="L498" i="15"/>
  <c r="Q498" i="15" s="1"/>
  <c r="G498" i="15"/>
  <c r="C498" i="15"/>
  <c r="U599" i="15"/>
  <c r="V599" i="15" s="1"/>
  <c r="Q599" i="15"/>
  <c r="G599" i="15"/>
  <c r="C599" i="15"/>
  <c r="U496" i="15"/>
  <c r="V496" i="15" s="1"/>
  <c r="N496" i="15"/>
  <c r="Q496" i="15" s="1"/>
  <c r="G496" i="15"/>
  <c r="C496" i="15"/>
  <c r="U495" i="15"/>
  <c r="V495" i="15" s="1"/>
  <c r="Q495" i="15"/>
  <c r="G495" i="15"/>
  <c r="C495" i="15"/>
  <c r="U601" i="15"/>
  <c r="V601" i="15" s="1"/>
  <c r="Q601" i="15"/>
  <c r="G601" i="15"/>
  <c r="C601" i="15"/>
  <c r="U580" i="15"/>
  <c r="V580" i="15" s="1"/>
  <c r="Q580" i="15"/>
  <c r="G580" i="15"/>
  <c r="C580" i="15"/>
  <c r="U494" i="15"/>
  <c r="V494" i="15" s="1"/>
  <c r="Q494" i="15"/>
  <c r="G494" i="15"/>
  <c r="C494" i="15"/>
  <c r="U766" i="15"/>
  <c r="V766" i="15" s="1"/>
  <c r="Q766" i="15"/>
  <c r="G766" i="15"/>
  <c r="C766" i="15"/>
  <c r="U765" i="15"/>
  <c r="V765" i="15" s="1"/>
  <c r="Q765" i="15"/>
  <c r="G765" i="15"/>
  <c r="C765" i="15"/>
  <c r="U481" i="15"/>
  <c r="V481" i="15" s="1"/>
  <c r="Q481" i="15"/>
  <c r="G481" i="15"/>
  <c r="C481" i="15"/>
  <c r="U480" i="15"/>
  <c r="V480" i="15" s="1"/>
  <c r="N480" i="15"/>
  <c r="Q480" i="15" s="1"/>
  <c r="G480" i="15"/>
  <c r="C480" i="15"/>
  <c r="U703" i="15"/>
  <c r="V703" i="15" s="1"/>
  <c r="N703" i="15"/>
  <c r="Q703" i="15" s="1"/>
  <c r="G703" i="15"/>
  <c r="C703" i="15"/>
  <c r="U479" i="15"/>
  <c r="V479" i="15" s="1"/>
  <c r="N479" i="15"/>
  <c r="Q479" i="15" s="1"/>
  <c r="G479" i="15"/>
  <c r="C479" i="15"/>
  <c r="U478" i="15"/>
  <c r="V478" i="15" s="1"/>
  <c r="N478" i="15"/>
  <c r="Q478" i="15" s="1"/>
  <c r="G478" i="15"/>
  <c r="C478" i="15"/>
  <c r="U477" i="15"/>
  <c r="V477" i="15" s="1"/>
  <c r="N477" i="15"/>
  <c r="Q477" i="15" s="1"/>
  <c r="G477" i="15"/>
  <c r="C477" i="15"/>
  <c r="U476" i="15"/>
  <c r="V476" i="15" s="1"/>
  <c r="N476" i="15"/>
  <c r="Q476" i="15" s="1"/>
  <c r="G476" i="15"/>
  <c r="C476" i="15"/>
  <c r="U475" i="15"/>
  <c r="V475" i="15" s="1"/>
  <c r="N475" i="15"/>
  <c r="Q475" i="15" s="1"/>
  <c r="G475" i="15"/>
  <c r="C475" i="15"/>
  <c r="U474" i="15"/>
  <c r="V474" i="15" s="1"/>
  <c r="N474" i="15"/>
  <c r="Q474" i="15" s="1"/>
  <c r="G474" i="15"/>
  <c r="C474" i="15"/>
  <c r="U702" i="15"/>
  <c r="V702" i="15" s="1"/>
  <c r="N702" i="15"/>
  <c r="Q702" i="15" s="1"/>
  <c r="G702" i="15"/>
  <c r="C702" i="15"/>
  <c r="U473" i="15"/>
  <c r="V473" i="15" s="1"/>
  <c r="N473" i="15"/>
  <c r="Q473" i="15" s="1"/>
  <c r="G473" i="15"/>
  <c r="C473" i="15"/>
  <c r="U472" i="15"/>
  <c r="V472" i="15" s="1"/>
  <c r="N472" i="15"/>
  <c r="Q472" i="15" s="1"/>
  <c r="G472" i="15"/>
  <c r="C472" i="15"/>
  <c r="U471" i="15"/>
  <c r="V471" i="15" s="1"/>
  <c r="N471" i="15"/>
  <c r="Q471" i="15" s="1"/>
  <c r="G471" i="15"/>
  <c r="C471" i="15"/>
  <c r="U485" i="15"/>
  <c r="V485" i="15" s="1"/>
  <c r="P485" i="15"/>
  <c r="N485" i="15" s="1"/>
  <c r="Q485" i="15" s="1"/>
  <c r="G485" i="15"/>
  <c r="C485" i="15"/>
  <c r="U468" i="15"/>
  <c r="V468" i="15" s="1"/>
  <c r="N468" i="15"/>
  <c r="Q468" i="15" s="1"/>
  <c r="G468" i="15"/>
  <c r="C468" i="15"/>
  <c r="U764" i="15"/>
  <c r="V764" i="15" s="1"/>
  <c r="Q764" i="15"/>
  <c r="G764" i="15"/>
  <c r="C764" i="15"/>
  <c r="U466" i="15"/>
  <c r="V466" i="15" s="1"/>
  <c r="Q466" i="15"/>
  <c r="G466" i="15"/>
  <c r="C466" i="15"/>
  <c r="U583" i="15"/>
  <c r="V583" i="15" s="1"/>
  <c r="Q583" i="15"/>
  <c r="G583" i="15"/>
  <c r="C583" i="15"/>
  <c r="U880" i="15"/>
  <c r="V880" i="15" s="1"/>
  <c r="Q880" i="15"/>
  <c r="G880" i="15"/>
  <c r="C880" i="15"/>
  <c r="U722" i="15"/>
  <c r="V722" i="15" s="1"/>
  <c r="Q722" i="15"/>
  <c r="G722" i="15"/>
  <c r="C722" i="15"/>
  <c r="U464" i="15"/>
  <c r="V464" i="15" s="1"/>
  <c r="Q464" i="15"/>
  <c r="G464" i="15"/>
  <c r="C464" i="15"/>
  <c r="U462" i="15"/>
  <c r="V462" i="15" s="1"/>
  <c r="N462" i="15"/>
  <c r="Q462" i="15" s="1"/>
  <c r="G462" i="15"/>
  <c r="C462" i="15"/>
  <c r="U461" i="15"/>
  <c r="V461" i="15" s="1"/>
  <c r="L461" i="15"/>
  <c r="Q461" i="15" s="1"/>
  <c r="C461" i="15"/>
  <c r="U864" i="15"/>
  <c r="V864" i="15" s="1"/>
  <c r="Q864" i="15"/>
  <c r="G864" i="15"/>
  <c r="C864" i="15"/>
  <c r="U493" i="15"/>
  <c r="V493" i="15" s="1"/>
  <c r="N493" i="15"/>
  <c r="Q493" i="15" s="1"/>
  <c r="G493" i="15"/>
  <c r="C493" i="15"/>
  <c r="U492" i="15"/>
  <c r="V492" i="15" s="1"/>
  <c r="N492" i="15"/>
  <c r="Q492" i="15" s="1"/>
  <c r="G492" i="15"/>
  <c r="C492" i="15"/>
  <c r="U447" i="15"/>
  <c r="V447" i="15" s="1"/>
  <c r="N447" i="15"/>
  <c r="Q447" i="15" s="1"/>
  <c r="G447" i="15"/>
  <c r="C447" i="15"/>
  <c r="U459" i="15"/>
  <c r="V459" i="15" s="1"/>
  <c r="N459" i="15"/>
  <c r="Q459" i="15" s="1"/>
  <c r="G459" i="15"/>
  <c r="C459" i="15"/>
  <c r="U458" i="15"/>
  <c r="V458" i="15" s="1"/>
  <c r="P458" i="15"/>
  <c r="N458" i="15" s="1"/>
  <c r="Q458" i="15" s="1"/>
  <c r="G458" i="15"/>
  <c r="C458" i="15"/>
  <c r="U457" i="15"/>
  <c r="V457" i="15" s="1"/>
  <c r="P457" i="15"/>
  <c r="N457" i="15" s="1"/>
  <c r="Q457" i="15" s="1"/>
  <c r="G457" i="15"/>
  <c r="C457" i="15"/>
  <c r="U456" i="15"/>
  <c r="V456" i="15" s="1"/>
  <c r="N456" i="15"/>
  <c r="Q456" i="15" s="1"/>
  <c r="G456" i="15"/>
  <c r="C456" i="15"/>
  <c r="U455" i="15"/>
  <c r="V455" i="15" s="1"/>
  <c r="N455" i="15"/>
  <c r="Q455" i="15" s="1"/>
  <c r="G455" i="15"/>
  <c r="C455" i="15"/>
  <c r="U454" i="15"/>
  <c r="V454" i="15" s="1"/>
  <c r="N454" i="15"/>
  <c r="Q454" i="15" s="1"/>
  <c r="G454" i="15"/>
  <c r="C454" i="15"/>
  <c r="U453" i="15"/>
  <c r="V453" i="15" s="1"/>
  <c r="N453" i="15"/>
  <c r="Q453" i="15" s="1"/>
  <c r="G453" i="15"/>
  <c r="C453" i="15"/>
  <c r="U452" i="15"/>
  <c r="V452" i="15" s="1"/>
  <c r="N452" i="15"/>
  <c r="Q452" i="15" s="1"/>
  <c r="G452" i="15"/>
  <c r="C452" i="15"/>
  <c r="U451" i="15"/>
  <c r="V451" i="15" s="1"/>
  <c r="N451" i="15"/>
  <c r="Q451" i="15" s="1"/>
  <c r="G451" i="15"/>
  <c r="C451" i="15"/>
  <c r="U450" i="15"/>
  <c r="V450" i="15" s="1"/>
  <c r="N450" i="15"/>
  <c r="Q450" i="15" s="1"/>
  <c r="G450" i="15"/>
  <c r="C450" i="15"/>
  <c r="U449" i="15"/>
  <c r="V449" i="15" s="1"/>
  <c r="P449" i="15"/>
  <c r="N449" i="15" s="1"/>
  <c r="Q449" i="15" s="1"/>
  <c r="G449" i="15"/>
  <c r="C449" i="15"/>
  <c r="U589" i="15"/>
  <c r="V589" i="15" s="1"/>
  <c r="Q589" i="15"/>
  <c r="G589" i="15"/>
  <c r="C589" i="15"/>
  <c r="U490" i="15"/>
  <c r="V490" i="15" s="1"/>
  <c r="P490" i="15"/>
  <c r="N490" i="15" s="1"/>
  <c r="Q490" i="15" s="1"/>
  <c r="G490" i="15"/>
  <c r="C490" i="15"/>
  <c r="U829" i="15"/>
  <c r="V829" i="15" s="1"/>
  <c r="N829" i="15"/>
  <c r="Q829" i="15" s="1"/>
  <c r="G829" i="15"/>
  <c r="C829" i="15"/>
  <c r="U445" i="15"/>
  <c r="V445" i="15" s="1"/>
  <c r="Q445" i="15"/>
  <c r="G445" i="15"/>
  <c r="C445" i="15"/>
  <c r="U763" i="15"/>
  <c r="V763" i="15" s="1"/>
  <c r="Q763" i="15"/>
  <c r="G763" i="15"/>
  <c r="C763" i="15"/>
  <c r="U443" i="15"/>
  <c r="V443" i="15" s="1"/>
  <c r="Q443" i="15"/>
  <c r="G443" i="15"/>
  <c r="C443" i="15"/>
  <c r="U441" i="15"/>
  <c r="V441" i="15" s="1"/>
  <c r="N441" i="15"/>
  <c r="Q441" i="15" s="1"/>
  <c r="G441" i="15"/>
  <c r="C441" i="15"/>
  <c r="U448" i="15"/>
  <c r="V448" i="15" s="1"/>
  <c r="N448" i="15"/>
  <c r="Q448" i="15" s="1"/>
  <c r="G448" i="15"/>
  <c r="C448" i="15"/>
  <c r="U440" i="15"/>
  <c r="V440" i="15" s="1"/>
  <c r="P440" i="15"/>
  <c r="N440" i="15" s="1"/>
  <c r="Q440" i="15" s="1"/>
  <c r="G440" i="15"/>
  <c r="C440" i="15"/>
  <c r="U439" i="15"/>
  <c r="V439" i="15" s="1"/>
  <c r="N439" i="15"/>
  <c r="Q439" i="15" s="1"/>
  <c r="G439" i="15"/>
  <c r="C439" i="15"/>
  <c r="U438" i="15"/>
  <c r="V438" i="15" s="1"/>
  <c r="P438" i="15"/>
  <c r="N438" i="15" s="1"/>
  <c r="Q438" i="15" s="1"/>
  <c r="G438" i="15"/>
  <c r="C438" i="15"/>
  <c r="U437" i="15"/>
  <c r="V437" i="15" s="1"/>
  <c r="N437" i="15"/>
  <c r="Q437" i="15" s="1"/>
  <c r="G437" i="15"/>
  <c r="C437" i="15"/>
  <c r="U436" i="15"/>
  <c r="V436" i="15" s="1"/>
  <c r="P436" i="15"/>
  <c r="N436" i="15" s="1"/>
  <c r="Q436" i="15" s="1"/>
  <c r="G436" i="15"/>
  <c r="C436" i="15"/>
  <c r="U435" i="15"/>
  <c r="V435" i="15" s="1"/>
  <c r="N435" i="15"/>
  <c r="Q435" i="15" s="1"/>
  <c r="G435" i="15"/>
  <c r="C435" i="15"/>
  <c r="U434" i="15"/>
  <c r="V434" i="15" s="1"/>
  <c r="N434" i="15"/>
  <c r="Q434" i="15" s="1"/>
  <c r="G434" i="15"/>
  <c r="C434" i="15"/>
  <c r="U433" i="15"/>
  <c r="V433" i="15" s="1"/>
  <c r="N433" i="15"/>
  <c r="Q433" i="15" s="1"/>
  <c r="G433" i="15"/>
  <c r="C433" i="15"/>
  <c r="U465" i="15"/>
  <c r="V465" i="15" s="1"/>
  <c r="Q465" i="15"/>
  <c r="G465" i="15"/>
  <c r="C465" i="15"/>
  <c r="U432" i="15"/>
  <c r="V432" i="15" s="1"/>
  <c r="Q432" i="15"/>
  <c r="G432" i="15"/>
  <c r="C432" i="15"/>
  <c r="U430" i="15"/>
  <c r="V430" i="15" s="1"/>
  <c r="Q430" i="15"/>
  <c r="G430" i="15"/>
  <c r="C430" i="15"/>
  <c r="U429" i="15"/>
  <c r="V429" i="15" s="1"/>
  <c r="Q429" i="15"/>
  <c r="G429" i="15"/>
  <c r="C429" i="15"/>
  <c r="U428" i="15"/>
  <c r="V428" i="15" s="1"/>
  <c r="Q428" i="15"/>
  <c r="G428" i="15"/>
  <c r="C428" i="15"/>
  <c r="U788" i="15"/>
  <c r="V788" i="15" s="1"/>
  <c r="Q788" i="15"/>
  <c r="G788" i="15"/>
  <c r="C788" i="15"/>
  <c r="U426" i="15"/>
  <c r="V426" i="15" s="1"/>
  <c r="Q426" i="15"/>
  <c r="G426" i="15"/>
  <c r="C426" i="15"/>
  <c r="U425" i="15"/>
  <c r="V425" i="15" s="1"/>
  <c r="Q425" i="15"/>
  <c r="G425" i="15"/>
  <c r="C425" i="15"/>
  <c r="U484" i="15"/>
  <c r="V484" i="15" s="1"/>
  <c r="P484" i="15"/>
  <c r="N484" i="15" s="1"/>
  <c r="Q484" i="15" s="1"/>
  <c r="G484" i="15"/>
  <c r="C484" i="15"/>
  <c r="U424" i="15"/>
  <c r="V424" i="15" s="1"/>
  <c r="Q424" i="15"/>
  <c r="G424" i="15"/>
  <c r="C424" i="15"/>
  <c r="U422" i="15"/>
  <c r="V422" i="15" s="1"/>
  <c r="Q422" i="15"/>
  <c r="G422" i="15"/>
  <c r="C422" i="15"/>
  <c r="U421" i="15"/>
  <c r="V421" i="15" s="1"/>
  <c r="Q421" i="15"/>
  <c r="G421" i="15"/>
  <c r="C421" i="15"/>
  <c r="U420" i="15"/>
  <c r="V420" i="15" s="1"/>
  <c r="Q420" i="15"/>
  <c r="G420" i="15"/>
  <c r="C420" i="15"/>
  <c r="U419" i="15"/>
  <c r="V419" i="15" s="1"/>
  <c r="Q419" i="15"/>
  <c r="G419" i="15"/>
  <c r="C419" i="15"/>
  <c r="U418" i="15"/>
  <c r="V418" i="15" s="1"/>
  <c r="Q418" i="15"/>
  <c r="G418" i="15"/>
  <c r="C418" i="15"/>
  <c r="U417" i="15"/>
  <c r="V417" i="15" s="1"/>
  <c r="Q417" i="15"/>
  <c r="G417" i="15"/>
  <c r="C417" i="15"/>
  <c r="U416" i="15"/>
  <c r="V416" i="15" s="1"/>
  <c r="Q416" i="15"/>
  <c r="G416" i="15"/>
  <c r="C416" i="15"/>
  <c r="U415" i="15"/>
  <c r="V415" i="15" s="1"/>
  <c r="Q415" i="15"/>
  <c r="G415" i="15"/>
  <c r="C415" i="15"/>
  <c r="U777" i="15"/>
  <c r="V777" i="15" s="1"/>
  <c r="Q777" i="15"/>
  <c r="G777" i="15"/>
  <c r="C777" i="15"/>
  <c r="U467" i="15"/>
  <c r="V467" i="15" s="1"/>
  <c r="Q467" i="15"/>
  <c r="G467" i="15"/>
  <c r="C467" i="15"/>
  <c r="U410" i="15"/>
  <c r="V410" i="15" s="1"/>
  <c r="Q410" i="15"/>
  <c r="G410" i="15"/>
  <c r="C410" i="15"/>
  <c r="U442" i="15"/>
  <c r="V442" i="15" s="1"/>
  <c r="Q442" i="15"/>
  <c r="G442" i="15"/>
  <c r="C442" i="15"/>
  <c r="U409" i="15"/>
  <c r="V409" i="15" s="1"/>
  <c r="Q409" i="15"/>
  <c r="G409" i="15"/>
  <c r="C409" i="15"/>
  <c r="U408" i="15"/>
  <c r="V408" i="15" s="1"/>
  <c r="N408" i="15"/>
  <c r="Q408" i="15" s="1"/>
  <c r="G408" i="15"/>
  <c r="C408" i="15"/>
  <c r="U404" i="15"/>
  <c r="V404" i="15" s="1"/>
  <c r="N404" i="15"/>
  <c r="Q404" i="15" s="1"/>
  <c r="G404" i="15"/>
  <c r="C404" i="15"/>
  <c r="U460" i="15"/>
  <c r="V460" i="15" s="1"/>
  <c r="N460" i="15"/>
  <c r="Q460" i="15" s="1"/>
  <c r="G460" i="15"/>
  <c r="C460" i="15"/>
  <c r="U403" i="15"/>
  <c r="V403" i="15" s="1"/>
  <c r="N403" i="15"/>
  <c r="Q403" i="15" s="1"/>
  <c r="G403" i="15"/>
  <c r="C403" i="15"/>
  <c r="U491" i="15"/>
  <c r="V491" i="15" s="1"/>
  <c r="N491" i="15"/>
  <c r="Q491" i="15" s="1"/>
  <c r="G491" i="15"/>
  <c r="C491" i="15"/>
  <c r="U483" i="15"/>
  <c r="V483" i="15" s="1"/>
  <c r="N483" i="15"/>
  <c r="Q483" i="15" s="1"/>
  <c r="G483" i="15"/>
  <c r="C483" i="15"/>
  <c r="U499" i="15"/>
  <c r="V499" i="15" s="1"/>
  <c r="Q499" i="15"/>
  <c r="G499" i="15"/>
  <c r="C499" i="15"/>
  <c r="U402" i="15"/>
  <c r="V402" i="15" s="1"/>
  <c r="Q402" i="15"/>
  <c r="G402" i="15"/>
  <c r="C402" i="15"/>
  <c r="U401" i="15"/>
  <c r="V401" i="15" s="1"/>
  <c r="Q401" i="15"/>
  <c r="G401" i="15"/>
  <c r="C401" i="15"/>
  <c r="U400" i="15"/>
  <c r="V400" i="15" s="1"/>
  <c r="N400" i="15"/>
  <c r="Q400" i="15" s="1"/>
  <c r="G400" i="15"/>
  <c r="C400" i="15"/>
  <c r="U602" i="15"/>
  <c r="V602" i="15" s="1"/>
  <c r="N602" i="15"/>
  <c r="Q602" i="15" s="1"/>
  <c r="G602" i="15"/>
  <c r="C602" i="15"/>
  <c r="U399" i="15"/>
  <c r="V399" i="15" s="1"/>
  <c r="Q399" i="15"/>
  <c r="G399" i="15"/>
  <c r="C399" i="15"/>
  <c r="U398" i="15"/>
  <c r="V398" i="15" s="1"/>
  <c r="Q398" i="15"/>
  <c r="G398" i="15"/>
  <c r="C398" i="15"/>
  <c r="U397" i="15"/>
  <c r="V397" i="15" s="1"/>
  <c r="Q397" i="15"/>
  <c r="G397" i="15"/>
  <c r="C397" i="15"/>
  <c r="U396" i="15"/>
  <c r="V396" i="15" s="1"/>
  <c r="Q396" i="15"/>
  <c r="G396" i="15"/>
  <c r="C396" i="15"/>
  <c r="U395" i="15"/>
  <c r="V395" i="15" s="1"/>
  <c r="Q395" i="15"/>
  <c r="G395" i="15"/>
  <c r="C395" i="15"/>
  <c r="U394" i="15"/>
  <c r="V394" i="15" s="1"/>
  <c r="Q394" i="15"/>
  <c r="G394" i="15"/>
  <c r="C394" i="15"/>
  <c r="U393" i="15"/>
  <c r="V393" i="15" s="1"/>
  <c r="Q393" i="15"/>
  <c r="G393" i="15"/>
  <c r="C393" i="15"/>
  <c r="U392" i="15"/>
  <c r="V392" i="15" s="1"/>
  <c r="Q392" i="15"/>
  <c r="G392" i="15"/>
  <c r="C392" i="15"/>
  <c r="U463" i="15"/>
  <c r="V463" i="15" s="1"/>
  <c r="Q463" i="15"/>
  <c r="G463" i="15"/>
  <c r="C463" i="15"/>
  <c r="U698" i="15"/>
  <c r="V698" i="15" s="1"/>
  <c r="Q698" i="15"/>
  <c r="G698" i="15"/>
  <c r="C698" i="15"/>
  <c r="U391" i="15"/>
  <c r="V391" i="15" s="1"/>
  <c r="Q391" i="15"/>
  <c r="G391" i="15"/>
  <c r="C391" i="15"/>
  <c r="U390" i="15"/>
  <c r="V390" i="15" s="1"/>
  <c r="Q390" i="15"/>
  <c r="G390" i="15"/>
  <c r="C390" i="15"/>
  <c r="U470" i="15"/>
  <c r="V470" i="15" s="1"/>
  <c r="Q470" i="15"/>
  <c r="G470" i="15"/>
  <c r="C470" i="15"/>
  <c r="U389" i="15"/>
  <c r="V389" i="15" s="1"/>
  <c r="N389" i="15"/>
  <c r="Q389" i="15" s="1"/>
  <c r="G389" i="15"/>
  <c r="C389" i="15"/>
  <c r="U521" i="15"/>
  <c r="V521" i="15" s="1"/>
  <c r="N521" i="15"/>
  <c r="Q521" i="15" s="1"/>
  <c r="C521" i="15"/>
  <c r="U520" i="15"/>
  <c r="V520" i="15" s="1"/>
  <c r="N520" i="15"/>
  <c r="Q520" i="15" s="1"/>
  <c r="C520" i="15"/>
  <c r="U513" i="15"/>
  <c r="V513" i="15" s="1"/>
  <c r="N513" i="15"/>
  <c r="Q513" i="15" s="1"/>
  <c r="C513" i="15"/>
  <c r="U17" i="15"/>
  <c r="V17" i="15" s="1"/>
  <c r="N17" i="15"/>
  <c r="Q17" i="15" s="1"/>
  <c r="C17" i="15"/>
  <c r="U511" i="15"/>
  <c r="V511" i="15" s="1"/>
  <c r="N511" i="15"/>
  <c r="Q511" i="15" s="1"/>
  <c r="C511" i="15"/>
  <c r="U576" i="15"/>
  <c r="V576" i="15" s="1"/>
  <c r="N576" i="15"/>
  <c r="Q576" i="15" s="1"/>
  <c r="C576" i="15"/>
  <c r="U558" i="15"/>
  <c r="V558" i="15" s="1"/>
  <c r="N558" i="15"/>
  <c r="Q558" i="15" s="1"/>
  <c r="C558" i="15"/>
  <c r="U519" i="15"/>
  <c r="V519" i="15" s="1"/>
  <c r="Q519" i="15"/>
  <c r="C519" i="15"/>
  <c r="U581" i="15"/>
  <c r="V581" i="15" s="1"/>
  <c r="Q581" i="15"/>
  <c r="G581" i="15"/>
  <c r="C581" i="15"/>
  <c r="U862" i="15"/>
  <c r="V862" i="15" s="1"/>
  <c r="Q862" i="15"/>
  <c r="G862" i="15"/>
  <c r="C862" i="15"/>
  <c r="U388" i="15"/>
  <c r="V388" i="15" s="1"/>
  <c r="N388" i="15"/>
  <c r="Q388" i="15" s="1"/>
  <c r="G388" i="15"/>
  <c r="C388" i="15"/>
  <c r="U787" i="15"/>
  <c r="V787" i="15" s="1"/>
  <c r="Q787" i="15"/>
  <c r="G787" i="15"/>
  <c r="C787" i="15"/>
  <c r="U385" i="15"/>
  <c r="V385" i="15" s="1"/>
  <c r="Q385" i="15"/>
  <c r="G385" i="15"/>
  <c r="C385" i="15"/>
  <c r="U383" i="15"/>
  <c r="V383" i="15" s="1"/>
  <c r="Q383" i="15"/>
  <c r="G383" i="15"/>
  <c r="C383" i="15"/>
  <c r="U414" i="15"/>
  <c r="V414" i="15" s="1"/>
  <c r="N414" i="15"/>
  <c r="Q414" i="15" s="1"/>
  <c r="G414" i="15"/>
  <c r="C414" i="15"/>
  <c r="U382" i="15"/>
  <c r="V382" i="15" s="1"/>
  <c r="N382" i="15"/>
  <c r="Q382" i="15" s="1"/>
  <c r="G382" i="15"/>
  <c r="C382" i="15"/>
  <c r="U381" i="15"/>
  <c r="V381" i="15" s="1"/>
  <c r="Q381" i="15"/>
  <c r="G381" i="15"/>
  <c r="C381" i="15"/>
  <c r="U863" i="15"/>
  <c r="V863" i="15" s="1"/>
  <c r="Q863" i="15"/>
  <c r="G863" i="15"/>
  <c r="C863" i="15"/>
  <c r="U380" i="15"/>
  <c r="V380" i="15" s="1"/>
  <c r="N380" i="15"/>
  <c r="Q380" i="15" s="1"/>
  <c r="G380" i="15"/>
  <c r="C380" i="15"/>
  <c r="U379" i="15"/>
  <c r="V379" i="15" s="1"/>
  <c r="N379" i="15"/>
  <c r="Q379" i="15" s="1"/>
  <c r="G379" i="15"/>
  <c r="C379" i="15"/>
  <c r="U405" i="15"/>
  <c r="V405" i="15" s="1"/>
  <c r="P405" i="15"/>
  <c r="N405" i="15" s="1"/>
  <c r="Q405" i="15" s="1"/>
  <c r="G405" i="15"/>
  <c r="C405" i="15"/>
  <c r="U377" i="15"/>
  <c r="V377" i="15" s="1"/>
  <c r="Q377" i="15"/>
  <c r="G377" i="15"/>
  <c r="C377" i="15"/>
  <c r="U376" i="15"/>
  <c r="V376" i="15" s="1"/>
  <c r="Q376" i="15"/>
  <c r="G376" i="15"/>
  <c r="C376" i="15"/>
  <c r="U814" i="15"/>
  <c r="V814" i="15" s="1"/>
  <c r="Q814" i="15"/>
  <c r="G814" i="15"/>
  <c r="C814" i="15"/>
  <c r="U375" i="15"/>
  <c r="V375" i="15" s="1"/>
  <c r="Q375" i="15"/>
  <c r="G375" i="15"/>
  <c r="C375" i="15"/>
  <c r="U374" i="15"/>
  <c r="V374" i="15" s="1"/>
  <c r="Q374" i="15"/>
  <c r="G374" i="15"/>
  <c r="C374" i="15"/>
  <c r="U373" i="15"/>
  <c r="V373" i="15" s="1"/>
  <c r="Q373" i="15"/>
  <c r="G373" i="15"/>
  <c r="C373" i="15"/>
  <c r="U372" i="15"/>
  <c r="V372" i="15" s="1"/>
  <c r="Q372" i="15"/>
  <c r="G372" i="15"/>
  <c r="C372" i="15"/>
  <c r="U371" i="15"/>
  <c r="V371" i="15" s="1"/>
  <c r="Q371" i="15"/>
  <c r="G371" i="15"/>
  <c r="C371" i="15"/>
  <c r="U370" i="15"/>
  <c r="V370" i="15" s="1"/>
  <c r="Q370" i="15"/>
  <c r="G370" i="15"/>
  <c r="C370" i="15"/>
  <c r="U369" i="15"/>
  <c r="V369" i="15" s="1"/>
  <c r="Q369" i="15"/>
  <c r="G369" i="15"/>
  <c r="C369" i="15"/>
  <c r="U368" i="15"/>
  <c r="V368" i="15" s="1"/>
  <c r="Q368" i="15"/>
  <c r="G368" i="15"/>
  <c r="C368" i="15"/>
  <c r="U364" i="15"/>
  <c r="V364" i="15" s="1"/>
  <c r="Q364" i="15"/>
  <c r="G364" i="15"/>
  <c r="C364" i="15"/>
  <c r="U367" i="15"/>
  <c r="V367" i="15" s="1"/>
  <c r="N367" i="15"/>
  <c r="Q367" i="15" s="1"/>
  <c r="G367" i="15"/>
  <c r="C367" i="15"/>
  <c r="U366" i="15"/>
  <c r="V366" i="15" s="1"/>
  <c r="P366" i="15"/>
  <c r="N366" i="15" s="1"/>
  <c r="Q366" i="15" s="1"/>
  <c r="G366" i="15"/>
  <c r="C366" i="15"/>
  <c r="U365" i="15"/>
  <c r="V365" i="15" s="1"/>
  <c r="P365" i="15"/>
  <c r="N365" i="15" s="1"/>
  <c r="Q365" i="15" s="1"/>
  <c r="G365" i="15"/>
  <c r="C365" i="15"/>
  <c r="U378" i="15"/>
  <c r="V378" i="15" s="1"/>
  <c r="N378" i="15"/>
  <c r="Q378" i="15" s="1"/>
  <c r="G378" i="15"/>
  <c r="C378" i="15"/>
  <c r="U363" i="15"/>
  <c r="V363" i="15" s="1"/>
  <c r="N363" i="15"/>
  <c r="Q363" i="15" s="1"/>
  <c r="G363" i="15"/>
  <c r="C363" i="15"/>
  <c r="U362" i="15"/>
  <c r="V362" i="15" s="1"/>
  <c r="N362" i="15"/>
  <c r="Q362" i="15" s="1"/>
  <c r="G362" i="15"/>
  <c r="C362" i="15"/>
  <c r="U360" i="15"/>
  <c r="V360" i="15" s="1"/>
  <c r="Q360" i="15"/>
  <c r="G360" i="15"/>
  <c r="C360" i="15"/>
  <c r="U359" i="15"/>
  <c r="V359" i="15" s="1"/>
  <c r="Q359" i="15"/>
  <c r="G359" i="15"/>
  <c r="C359" i="15"/>
  <c r="U358" i="15"/>
  <c r="V358" i="15" s="1"/>
  <c r="Q358" i="15"/>
  <c r="G358" i="15"/>
  <c r="C358" i="15"/>
  <c r="U356" i="15"/>
  <c r="V356" i="15" s="1"/>
  <c r="P356" i="15"/>
  <c r="N356" i="15" s="1"/>
  <c r="Q356" i="15" s="1"/>
  <c r="G356" i="15"/>
  <c r="C356" i="15"/>
  <c r="U355" i="15"/>
  <c r="V355" i="15" s="1"/>
  <c r="Q355" i="15"/>
  <c r="G355" i="15"/>
  <c r="C355" i="15"/>
  <c r="U407" i="15"/>
  <c r="V407" i="15" s="1"/>
  <c r="N407" i="15"/>
  <c r="Q407" i="15" s="1"/>
  <c r="G407" i="15"/>
  <c r="C407" i="15"/>
  <c r="U406" i="15"/>
  <c r="V406" i="15" s="1"/>
  <c r="N406" i="15"/>
  <c r="Q406" i="15" s="1"/>
  <c r="G406" i="15"/>
  <c r="C406" i="15"/>
  <c r="U353" i="15"/>
  <c r="V353" i="15" s="1"/>
  <c r="L353" i="15"/>
  <c r="Q353" i="15" s="1"/>
  <c r="G353" i="15"/>
  <c r="C353" i="15"/>
  <c r="U352" i="15"/>
  <c r="V352" i="15" s="1"/>
  <c r="Q352" i="15"/>
  <c r="G352" i="15"/>
  <c r="C352" i="15"/>
  <c r="U351" i="15"/>
  <c r="V351" i="15" s="1"/>
  <c r="N351" i="15"/>
  <c r="Q351" i="15" s="1"/>
  <c r="G351" i="15"/>
  <c r="C351" i="15"/>
  <c r="U761" i="15"/>
  <c r="V761" i="15" s="1"/>
  <c r="N761" i="15"/>
  <c r="Q761" i="15" s="1"/>
  <c r="G761" i="15"/>
  <c r="C761" i="15"/>
  <c r="U497" i="15"/>
  <c r="V497" i="15" s="1"/>
  <c r="Q497" i="15"/>
  <c r="G497" i="15"/>
  <c r="C497" i="15"/>
  <c r="U349" i="15"/>
  <c r="V349" i="15" s="1"/>
  <c r="Q349" i="15"/>
  <c r="G349" i="15"/>
  <c r="C349" i="15"/>
  <c r="U347" i="15"/>
  <c r="V347" i="15" s="1"/>
  <c r="Q347" i="15"/>
  <c r="G347" i="15"/>
  <c r="C347" i="15"/>
  <c r="U522" i="15"/>
  <c r="V522" i="15" s="1"/>
  <c r="Q522" i="15"/>
  <c r="G522" i="15"/>
  <c r="C522" i="15"/>
  <c r="U345" i="15"/>
  <c r="V345" i="15" s="1"/>
  <c r="L345" i="15"/>
  <c r="Q345" i="15" s="1"/>
  <c r="G345" i="15"/>
  <c r="C345" i="15"/>
  <c r="U482" i="15"/>
  <c r="V482" i="15" s="1"/>
  <c r="N482" i="15"/>
  <c r="Q482" i="15" s="1"/>
  <c r="G482" i="15"/>
  <c r="C482" i="15"/>
  <c r="U342" i="15"/>
  <c r="V342" i="15" s="1"/>
  <c r="Q342" i="15"/>
  <c r="G342" i="15"/>
  <c r="C342" i="15"/>
  <c r="U331" i="15"/>
  <c r="V331" i="15" s="1"/>
  <c r="Q331" i="15"/>
  <c r="G331" i="15"/>
  <c r="C331" i="15"/>
  <c r="U329" i="15"/>
  <c r="V329" i="15" s="1"/>
  <c r="Q329" i="15"/>
  <c r="G329" i="15"/>
  <c r="C329" i="15"/>
  <c r="U327" i="15"/>
  <c r="V327" i="15" s="1"/>
  <c r="Q327" i="15"/>
  <c r="G327" i="15"/>
  <c r="C327" i="15"/>
  <c r="U350" i="15"/>
  <c r="V350" i="15" s="1"/>
  <c r="Q350" i="15"/>
  <c r="G350" i="15"/>
  <c r="C350" i="15"/>
  <c r="U516" i="15"/>
  <c r="V516" i="15" s="1"/>
  <c r="Q516" i="15"/>
  <c r="C516" i="15"/>
  <c r="U515" i="15"/>
  <c r="V515" i="15" s="1"/>
  <c r="N515" i="15"/>
  <c r="Q515" i="15" s="1"/>
  <c r="C515" i="15"/>
  <c r="U514" i="15"/>
  <c r="V514" i="15" s="1"/>
  <c r="N514" i="15"/>
  <c r="Q514" i="15" s="1"/>
  <c r="C514" i="15"/>
  <c r="U502" i="15"/>
  <c r="V502" i="15" s="1"/>
  <c r="N502" i="15"/>
  <c r="Q502" i="15" s="1"/>
  <c r="C502" i="15"/>
  <c r="U518" i="15"/>
  <c r="V518" i="15" s="1"/>
  <c r="N518" i="15"/>
  <c r="Q518" i="15" s="1"/>
  <c r="C518" i="15"/>
  <c r="U517" i="15"/>
  <c r="V517" i="15" s="1"/>
  <c r="N517" i="15"/>
  <c r="Q517" i="15" s="1"/>
  <c r="C517" i="15"/>
  <c r="U575" i="15"/>
  <c r="V575" i="15" s="1"/>
  <c r="N575" i="15"/>
  <c r="Q575" i="15" s="1"/>
  <c r="C575" i="15"/>
  <c r="U501" i="15"/>
  <c r="V501" i="15" s="1"/>
  <c r="Q501" i="15"/>
  <c r="G501" i="15"/>
  <c r="C501" i="15"/>
  <c r="U346" i="15"/>
  <c r="V346" i="15" s="1"/>
  <c r="Q346" i="15"/>
  <c r="G346" i="15"/>
  <c r="C346" i="15"/>
  <c r="U317" i="15"/>
  <c r="V317" i="15" s="1"/>
  <c r="Q317" i="15"/>
  <c r="G317" i="15"/>
  <c r="C317" i="15"/>
  <c r="U330" i="15"/>
  <c r="V330" i="15" s="1"/>
  <c r="Q330" i="15"/>
  <c r="G330" i="15"/>
  <c r="C330" i="15"/>
  <c r="U316" i="15"/>
  <c r="V316" i="15" s="1"/>
  <c r="Q316" i="15"/>
  <c r="G316" i="15"/>
  <c r="C316" i="15"/>
  <c r="U315" i="15"/>
  <c r="V315" i="15" s="1"/>
  <c r="Q315" i="15"/>
  <c r="G315" i="15"/>
  <c r="C315" i="15"/>
  <c r="U314" i="15"/>
  <c r="V314" i="15" s="1"/>
  <c r="Q314" i="15"/>
  <c r="G314" i="15"/>
  <c r="C314" i="15"/>
  <c r="U313" i="15"/>
  <c r="V313" i="15" s="1"/>
  <c r="Q313" i="15"/>
  <c r="G313" i="15"/>
  <c r="C313" i="15"/>
  <c r="U312" i="15"/>
  <c r="V312" i="15" s="1"/>
  <c r="Q312" i="15"/>
  <c r="G312" i="15"/>
  <c r="C312" i="15"/>
  <c r="U311" i="15"/>
  <c r="V311" i="15" s="1"/>
  <c r="Q311" i="15"/>
  <c r="G311" i="15"/>
  <c r="C311" i="15"/>
  <c r="U326" i="15"/>
  <c r="V326" i="15" s="1"/>
  <c r="Q326" i="15"/>
  <c r="G326" i="15"/>
  <c r="C326" i="15"/>
  <c r="U310" i="15"/>
  <c r="V310" i="15" s="1"/>
  <c r="Q310" i="15"/>
  <c r="G310" i="15"/>
  <c r="C310" i="15"/>
  <c r="U309" i="15"/>
  <c r="V309" i="15" s="1"/>
  <c r="Q309" i="15"/>
  <c r="G309" i="15"/>
  <c r="C309" i="15"/>
  <c r="U308" i="15"/>
  <c r="V308" i="15" s="1"/>
  <c r="Q308" i="15"/>
  <c r="G308" i="15"/>
  <c r="C308" i="15"/>
  <c r="U328" i="15"/>
  <c r="V328" i="15" s="1"/>
  <c r="Q328" i="15"/>
  <c r="G328" i="15"/>
  <c r="C328" i="15"/>
  <c r="U307" i="15"/>
  <c r="V307" i="15" s="1"/>
  <c r="Q307" i="15"/>
  <c r="G307" i="15"/>
  <c r="C307" i="15"/>
  <c r="U361" i="15"/>
  <c r="V361" i="15" s="1"/>
  <c r="Q361" i="15"/>
  <c r="G361" i="15"/>
  <c r="C361" i="15"/>
  <c r="U325" i="15"/>
  <c r="V325" i="15" s="1"/>
  <c r="Q325" i="15"/>
  <c r="G325" i="15"/>
  <c r="C325" i="15"/>
  <c r="U306" i="15"/>
  <c r="V306" i="15" s="1"/>
  <c r="Q306" i="15"/>
  <c r="G306" i="15"/>
  <c r="C306" i="15"/>
  <c r="U305" i="15"/>
  <c r="V305" i="15" s="1"/>
  <c r="Q305" i="15"/>
  <c r="G305" i="15"/>
  <c r="C305" i="15"/>
  <c r="U304" i="15"/>
  <c r="V304" i="15" s="1"/>
  <c r="Q304" i="15"/>
  <c r="G304" i="15"/>
  <c r="C304" i="15"/>
  <c r="U303" i="15"/>
  <c r="V303" i="15" s="1"/>
  <c r="Q303" i="15"/>
  <c r="G303" i="15"/>
  <c r="C303" i="15"/>
  <c r="U302" i="15"/>
  <c r="V302" i="15" s="1"/>
  <c r="Q302" i="15"/>
  <c r="G302" i="15"/>
  <c r="C302" i="15"/>
  <c r="U301" i="15"/>
  <c r="V301" i="15" s="1"/>
  <c r="Q301" i="15"/>
  <c r="G301" i="15"/>
  <c r="C301" i="15"/>
  <c r="U300" i="15"/>
  <c r="V300" i="15" s="1"/>
  <c r="Q300" i="15"/>
  <c r="G300" i="15"/>
  <c r="C300" i="15"/>
  <c r="U299" i="15"/>
  <c r="V299" i="15" s="1"/>
  <c r="Q299" i="15"/>
  <c r="G299" i="15"/>
  <c r="C299" i="15"/>
  <c r="U298" i="15"/>
  <c r="V298" i="15" s="1"/>
  <c r="Q298" i="15"/>
  <c r="G298" i="15"/>
  <c r="C298" i="15"/>
  <c r="U297" i="15"/>
  <c r="V297" i="15" s="1"/>
  <c r="Q297" i="15"/>
  <c r="P297" i="15"/>
  <c r="G297" i="15"/>
  <c r="C297" i="15"/>
  <c r="U296" i="15"/>
  <c r="V296" i="15" s="1"/>
  <c r="Q296" i="15"/>
  <c r="P296" i="15"/>
  <c r="G296" i="15"/>
  <c r="C296" i="15"/>
  <c r="U295" i="15"/>
  <c r="V295" i="15" s="1"/>
  <c r="Q295" i="15"/>
  <c r="P295" i="15"/>
  <c r="G295" i="15"/>
  <c r="C295" i="15"/>
  <c r="U294" i="15"/>
  <c r="V294" i="15" s="1"/>
  <c r="Q294" i="15"/>
  <c r="P294" i="15"/>
  <c r="G294" i="15"/>
  <c r="C294" i="15"/>
  <c r="U293" i="15"/>
  <c r="V293" i="15" s="1"/>
  <c r="Q293" i="15"/>
  <c r="G293" i="15"/>
  <c r="C293" i="15"/>
  <c r="U292" i="15"/>
  <c r="V292" i="15" s="1"/>
  <c r="Q292" i="15"/>
  <c r="G292" i="15"/>
  <c r="C292" i="15"/>
  <c r="U291" i="15"/>
  <c r="V291" i="15" s="1"/>
  <c r="Q291" i="15"/>
  <c r="P291" i="15"/>
  <c r="G291" i="15"/>
  <c r="C291" i="15"/>
  <c r="U290" i="15"/>
  <c r="V290" i="15" s="1"/>
  <c r="Q290" i="15"/>
  <c r="G290" i="15"/>
  <c r="C290" i="15"/>
  <c r="U289" i="15"/>
  <c r="V289" i="15" s="1"/>
  <c r="Q289" i="15"/>
  <c r="G289" i="15"/>
  <c r="C289" i="15"/>
  <c r="U288" i="15"/>
  <c r="V288" i="15" s="1"/>
  <c r="Q288" i="15"/>
  <c r="G288" i="15"/>
  <c r="C288" i="15"/>
  <c r="U287" i="15"/>
  <c r="V287" i="15" s="1"/>
  <c r="Q287" i="15"/>
  <c r="G287" i="15"/>
  <c r="C287" i="15"/>
  <c r="U286" i="15"/>
  <c r="V286" i="15" s="1"/>
  <c r="Q286" i="15"/>
  <c r="P286" i="15"/>
  <c r="G286" i="15"/>
  <c r="C286" i="15"/>
  <c r="U285" i="15"/>
  <c r="V285" i="15" s="1"/>
  <c r="Q285" i="15"/>
  <c r="G285" i="15"/>
  <c r="C285" i="15"/>
  <c r="U284" i="15"/>
  <c r="V284" i="15" s="1"/>
  <c r="Q284" i="15"/>
  <c r="G284" i="15"/>
  <c r="C284" i="15"/>
  <c r="U279" i="15"/>
  <c r="V279" i="15" s="1"/>
  <c r="Q279" i="15"/>
  <c r="G279" i="15"/>
  <c r="C279" i="15"/>
  <c r="U278" i="15"/>
  <c r="V278" i="15" s="1"/>
  <c r="Q278" i="15"/>
  <c r="G278" i="15"/>
  <c r="C278" i="15"/>
  <c r="U760" i="15"/>
  <c r="V760" i="15" s="1"/>
  <c r="Q760" i="15"/>
  <c r="G760" i="15"/>
  <c r="C760" i="15"/>
  <c r="U272" i="15"/>
  <c r="V272" i="15" s="1"/>
  <c r="Q272" i="15"/>
  <c r="G272" i="15"/>
  <c r="C272" i="15"/>
  <c r="U271" i="15"/>
  <c r="V271" i="15" s="1"/>
  <c r="N271" i="15"/>
  <c r="Q271" i="15" s="1"/>
  <c r="G271" i="15"/>
  <c r="C271" i="15"/>
  <c r="U320" i="15"/>
  <c r="V320" i="15" s="1"/>
  <c r="P320" i="15"/>
  <c r="N320" i="15" s="1"/>
  <c r="Q320" i="15" s="1"/>
  <c r="G320" i="15"/>
  <c r="C320" i="15"/>
  <c r="U270" i="15"/>
  <c r="V270" i="15" s="1"/>
  <c r="Q270" i="15"/>
  <c r="G270" i="15"/>
  <c r="C270" i="15"/>
  <c r="U280" i="15"/>
  <c r="V280" i="15" s="1"/>
  <c r="G280" i="15"/>
  <c r="C280" i="15"/>
  <c r="U277" i="15"/>
  <c r="V277" i="15" s="1"/>
  <c r="G277" i="15"/>
  <c r="C277" i="15"/>
  <c r="U266" i="15"/>
  <c r="V266" i="15" s="1"/>
  <c r="G266" i="15"/>
  <c r="C266" i="15"/>
  <c r="U324" i="15"/>
  <c r="V324" i="15" s="1"/>
  <c r="Q324" i="15"/>
  <c r="G324" i="15"/>
  <c r="C324" i="15"/>
  <c r="U323" i="15"/>
  <c r="V323" i="15" s="1"/>
  <c r="Q323" i="15"/>
  <c r="G323" i="15"/>
  <c r="C323" i="15"/>
  <c r="U592" i="15"/>
  <c r="V592" i="15" s="1"/>
  <c r="Q592" i="15"/>
  <c r="G592" i="15"/>
  <c r="C592" i="15"/>
  <c r="U263" i="15"/>
  <c r="V263" i="15" s="1"/>
  <c r="L263" i="15"/>
  <c r="Q263" i="15" s="1"/>
  <c r="G263" i="15"/>
  <c r="C263" i="15"/>
  <c r="U512" i="15"/>
  <c r="V512" i="15" s="1"/>
  <c r="N512" i="15"/>
  <c r="Q512" i="15" s="1"/>
  <c r="C512" i="15"/>
  <c r="U531" i="15"/>
  <c r="V531" i="15" s="1"/>
  <c r="N531" i="15"/>
  <c r="Q531" i="15" s="1"/>
  <c r="C531" i="15"/>
  <c r="U262" i="15"/>
  <c r="V262" i="15" s="1"/>
  <c r="Q262" i="15"/>
  <c r="C262" i="15"/>
  <c r="U261" i="15"/>
  <c r="V261" i="15" s="1"/>
  <c r="Q261" i="15"/>
  <c r="G261" i="15"/>
  <c r="C261" i="15"/>
  <c r="U260" i="15"/>
  <c r="V260" i="15" s="1"/>
  <c r="P260" i="15"/>
  <c r="N260" i="15" s="1"/>
  <c r="Q260" i="15" s="1"/>
  <c r="G260" i="15"/>
  <c r="C260" i="15"/>
  <c r="U259" i="15"/>
  <c r="V259" i="15" s="1"/>
  <c r="P259" i="15"/>
  <c r="N259" i="15" s="1"/>
  <c r="Q259" i="15" s="1"/>
  <c r="G259" i="15"/>
  <c r="C259" i="15"/>
  <c r="U258" i="15"/>
  <c r="V258" i="15" s="1"/>
  <c r="P258" i="15"/>
  <c r="N258" i="15" s="1"/>
  <c r="Q258" i="15" s="1"/>
  <c r="G258" i="15"/>
  <c r="C258" i="15"/>
  <c r="U257" i="15"/>
  <c r="V257" i="15" s="1"/>
  <c r="N257" i="15"/>
  <c r="Q257" i="15" s="1"/>
  <c r="G257" i="15"/>
  <c r="C257" i="15"/>
  <c r="U256" i="15"/>
  <c r="V256" i="15" s="1"/>
  <c r="N256" i="15"/>
  <c r="Q256" i="15" s="1"/>
  <c r="G256" i="15"/>
  <c r="C256" i="15"/>
  <c r="U255" i="15"/>
  <c r="V255" i="15" s="1"/>
  <c r="N255" i="15"/>
  <c r="Q255" i="15" s="1"/>
  <c r="G255" i="15"/>
  <c r="C255" i="15"/>
  <c r="U254" i="15"/>
  <c r="V254" i="15" s="1"/>
  <c r="N254" i="15"/>
  <c r="Q254" i="15" s="1"/>
  <c r="G254" i="15"/>
  <c r="C254" i="15"/>
  <c r="U253" i="15"/>
  <c r="V253" i="15" s="1"/>
  <c r="N253" i="15"/>
  <c r="Q253" i="15" s="1"/>
  <c r="G253" i="15"/>
  <c r="C253" i="15"/>
  <c r="U252" i="15"/>
  <c r="V252" i="15" s="1"/>
  <c r="N252" i="15"/>
  <c r="Q252" i="15" s="1"/>
  <c r="G252" i="15"/>
  <c r="C252" i="15"/>
  <c r="U251" i="15"/>
  <c r="V251" i="15" s="1"/>
  <c r="N251" i="15"/>
  <c r="Q251" i="15" s="1"/>
  <c r="G251" i="15"/>
  <c r="C251" i="15"/>
  <c r="U250" i="15"/>
  <c r="V250" i="15" s="1"/>
  <c r="N250" i="15"/>
  <c r="Q250" i="15" s="1"/>
  <c r="G250" i="15"/>
  <c r="C250" i="15"/>
  <c r="U249" i="15"/>
  <c r="V249" i="15" s="1"/>
  <c r="N249" i="15"/>
  <c r="Q249" i="15" s="1"/>
  <c r="G249" i="15"/>
  <c r="C249" i="15"/>
  <c r="U248" i="15"/>
  <c r="V248" i="15" s="1"/>
  <c r="N248" i="15"/>
  <c r="Q248" i="15" s="1"/>
  <c r="G248" i="15"/>
  <c r="C248" i="15"/>
  <c r="U247" i="15"/>
  <c r="V247" i="15" s="1"/>
  <c r="N247" i="15"/>
  <c r="Q247" i="15" s="1"/>
  <c r="G247" i="15"/>
  <c r="C247" i="15"/>
  <c r="U246" i="15"/>
  <c r="V246" i="15" s="1"/>
  <c r="N246" i="15"/>
  <c r="Q246" i="15" s="1"/>
  <c r="G246" i="15"/>
  <c r="C246" i="15"/>
  <c r="U274" i="15"/>
  <c r="V274" i="15" s="1"/>
  <c r="Q274" i="15"/>
  <c r="G274" i="15"/>
  <c r="C274" i="15"/>
  <c r="U269" i="15"/>
  <c r="V269" i="15" s="1"/>
  <c r="Q269" i="15"/>
  <c r="G269" i="15"/>
  <c r="C269" i="15"/>
  <c r="U384" i="15"/>
  <c r="V384" i="15" s="1"/>
  <c r="Q384" i="15"/>
  <c r="G384" i="15"/>
  <c r="C384" i="15"/>
  <c r="U283" i="15"/>
  <c r="V283" i="15" s="1"/>
  <c r="Q283" i="15"/>
  <c r="G283" i="15"/>
  <c r="C283" i="15"/>
  <c r="U282" i="15"/>
  <c r="V282" i="15" s="1"/>
  <c r="Q282" i="15"/>
  <c r="G282" i="15"/>
  <c r="C282" i="15"/>
  <c r="U281" i="15"/>
  <c r="V281" i="15" s="1"/>
  <c r="Q281" i="15"/>
  <c r="G281" i="15"/>
  <c r="C281" i="15"/>
  <c r="U245" i="15"/>
  <c r="V245" i="15" s="1"/>
  <c r="Q245" i="15"/>
  <c r="G245" i="15"/>
  <c r="C245" i="15"/>
  <c r="U268" i="15"/>
  <c r="V268" i="15" s="1"/>
  <c r="Q268" i="15"/>
  <c r="G268" i="15"/>
  <c r="C268" i="15"/>
  <c r="U244" i="15"/>
  <c r="V244" i="15" s="1"/>
  <c r="Q244" i="15"/>
  <c r="G244" i="15"/>
  <c r="C244" i="15"/>
  <c r="U243" i="15"/>
  <c r="V243" i="15" s="1"/>
  <c r="Q243" i="15"/>
  <c r="G243" i="15"/>
  <c r="C243" i="15"/>
  <c r="U242" i="15"/>
  <c r="V242" i="15" s="1"/>
  <c r="Q242" i="15"/>
  <c r="G242" i="15"/>
  <c r="C242" i="15"/>
  <c r="U241" i="15"/>
  <c r="V241" i="15" s="1"/>
  <c r="Q241" i="15"/>
  <c r="G241" i="15"/>
  <c r="C241" i="15"/>
  <c r="U240" i="15"/>
  <c r="V240" i="15" s="1"/>
  <c r="Q240" i="15"/>
  <c r="G240" i="15"/>
  <c r="C240" i="15"/>
  <c r="U239" i="15"/>
  <c r="V239" i="15" s="1"/>
  <c r="Q239" i="15"/>
  <c r="G239" i="15"/>
  <c r="C239" i="15"/>
  <c r="U276" i="15"/>
  <c r="V276" i="15" s="1"/>
  <c r="Q276" i="15"/>
  <c r="G276" i="15"/>
  <c r="C276" i="15"/>
  <c r="U600" i="15"/>
  <c r="V600" i="15" s="1"/>
  <c r="Q600" i="15"/>
  <c r="G600" i="15"/>
  <c r="C600" i="15"/>
  <c r="U275" i="15"/>
  <c r="V275" i="15" s="1"/>
  <c r="Q275" i="15"/>
  <c r="G275" i="15"/>
  <c r="C275" i="15"/>
  <c r="U236" i="15"/>
  <c r="V236" i="15" s="1"/>
  <c r="Q236" i="15"/>
  <c r="G236" i="15"/>
  <c r="C236" i="15"/>
  <c r="U235" i="15"/>
  <c r="V235" i="15" s="1"/>
  <c r="Q235" i="15"/>
  <c r="G235" i="15"/>
  <c r="C235" i="15"/>
  <c r="U234" i="15"/>
  <c r="V234" i="15" s="1"/>
  <c r="Q234" i="15"/>
  <c r="G234" i="15"/>
  <c r="C234" i="15"/>
  <c r="U233" i="15"/>
  <c r="V233" i="15" s="1"/>
  <c r="Q233" i="15"/>
  <c r="G233" i="15"/>
  <c r="C233" i="15"/>
  <c r="U232" i="15"/>
  <c r="V232" i="15" s="1"/>
  <c r="Q232" i="15"/>
  <c r="G232" i="15"/>
  <c r="C232" i="15"/>
  <c r="U231" i="15"/>
  <c r="V231" i="15" s="1"/>
  <c r="Q231" i="15"/>
  <c r="G231" i="15"/>
  <c r="C231" i="15"/>
  <c r="U230" i="15"/>
  <c r="V230" i="15" s="1"/>
  <c r="Q230" i="15"/>
  <c r="G230" i="15"/>
  <c r="C230" i="15"/>
  <c r="U759" i="15"/>
  <c r="V759" i="15" s="1"/>
  <c r="Q759" i="15"/>
  <c r="G759" i="15"/>
  <c r="C759" i="15"/>
  <c r="U229" i="15"/>
  <c r="V229" i="15" s="1"/>
  <c r="P229" i="15"/>
  <c r="N229" i="15" s="1"/>
  <c r="Q229" i="15" s="1"/>
  <c r="G229" i="15"/>
  <c r="C229" i="15"/>
  <c r="U228" i="15"/>
  <c r="V228" i="15" s="1"/>
  <c r="P228" i="15"/>
  <c r="N228" i="15" s="1"/>
  <c r="Q228" i="15" s="1"/>
  <c r="G228" i="15"/>
  <c r="C228" i="15"/>
  <c r="U525" i="15"/>
  <c r="V525" i="15" s="1"/>
  <c r="Q525" i="15"/>
  <c r="G525" i="15"/>
  <c r="C525" i="15"/>
  <c r="U446" i="15"/>
  <c r="V446" i="15" s="1"/>
  <c r="Q446" i="15"/>
  <c r="G446" i="15"/>
  <c r="C446" i="15"/>
  <c r="U227" i="15"/>
  <c r="V227" i="15" s="1"/>
  <c r="Q227" i="15"/>
  <c r="G227" i="15"/>
  <c r="C227" i="15"/>
  <c r="U226" i="15"/>
  <c r="V226" i="15" s="1"/>
  <c r="Q226" i="15"/>
  <c r="G226" i="15"/>
  <c r="C226" i="15"/>
  <c r="U225" i="15"/>
  <c r="V225" i="15" s="1"/>
  <c r="Q225" i="15"/>
  <c r="G225" i="15"/>
  <c r="C225" i="15"/>
  <c r="U224" i="15"/>
  <c r="V224" i="15" s="1"/>
  <c r="Q224" i="15"/>
  <c r="G224" i="15"/>
  <c r="C224" i="15"/>
  <c r="U223" i="15"/>
  <c r="V223" i="15" s="1"/>
  <c r="Q223" i="15"/>
  <c r="G223" i="15"/>
  <c r="C223" i="15"/>
  <c r="U222" i="15"/>
  <c r="V222" i="15" s="1"/>
  <c r="Q222" i="15"/>
  <c r="G222" i="15"/>
  <c r="C222" i="15"/>
  <c r="U220" i="15"/>
  <c r="V220" i="15" s="1"/>
  <c r="Q220" i="15"/>
  <c r="G220" i="15"/>
  <c r="C220" i="15"/>
  <c r="U219" i="15"/>
  <c r="V219" i="15" s="1"/>
  <c r="L219" i="15"/>
  <c r="Q219" i="15" s="1"/>
  <c r="G219" i="15"/>
  <c r="C219" i="15"/>
  <c r="U218" i="15"/>
  <c r="V218" i="15" s="1"/>
  <c r="Q218" i="15"/>
  <c r="G218" i="15"/>
  <c r="C218" i="15"/>
  <c r="U343" i="15"/>
  <c r="V343" i="15" s="1"/>
  <c r="Q343" i="15"/>
  <c r="G343" i="15"/>
  <c r="C343" i="15"/>
  <c r="U217" i="15"/>
  <c r="V217" i="15" s="1"/>
  <c r="Q217" i="15"/>
  <c r="G217" i="15"/>
  <c r="C217" i="15"/>
  <c r="U357" i="15"/>
  <c r="V357" i="15" s="1"/>
  <c r="L357" i="15"/>
  <c r="Q357" i="15" s="1"/>
  <c r="G357" i="15"/>
  <c r="C357" i="15"/>
  <c r="U332" i="15"/>
  <c r="V332" i="15" s="1"/>
  <c r="Q332" i="15"/>
  <c r="G332" i="15"/>
  <c r="C332" i="15"/>
  <c r="U215" i="15"/>
  <c r="V215" i="15" s="1"/>
  <c r="Q215" i="15"/>
  <c r="G215" i="15"/>
  <c r="C215" i="15"/>
  <c r="U214" i="15"/>
  <c r="V214" i="15" s="1"/>
  <c r="P214" i="15"/>
  <c r="N214" i="15" s="1"/>
  <c r="Q214" i="15" s="1"/>
  <c r="G214" i="15"/>
  <c r="C214" i="15"/>
  <c r="U318" i="15"/>
  <c r="V318" i="15" s="1"/>
  <c r="N318" i="15"/>
  <c r="Q318" i="15" s="1"/>
  <c r="G318" i="15"/>
  <c r="C318" i="15"/>
  <c r="U322" i="15"/>
  <c r="V322" i="15" s="1"/>
  <c r="Q322" i="15"/>
  <c r="G322" i="15"/>
  <c r="C322" i="15"/>
  <c r="U213" i="15"/>
  <c r="V213" i="15" s="1"/>
  <c r="Q213" i="15"/>
  <c r="G213" i="15"/>
  <c r="C213" i="15"/>
  <c r="U211" i="15"/>
  <c r="V211" i="15" s="1"/>
  <c r="C211" i="15"/>
  <c r="U489" i="15"/>
  <c r="V489" i="15" s="1"/>
  <c r="P489" i="15"/>
  <c r="N489" i="15" s="1"/>
  <c r="Q489" i="15" s="1"/>
  <c r="G489" i="15"/>
  <c r="C489" i="15"/>
  <c r="U210" i="15"/>
  <c r="V210" i="15" s="1"/>
  <c r="N210" i="15"/>
  <c r="Q210" i="15" s="1"/>
  <c r="G210" i="15"/>
  <c r="C210" i="15"/>
  <c r="U209" i="15"/>
  <c r="V209" i="15" s="1"/>
  <c r="N209" i="15"/>
  <c r="Q209" i="15" s="1"/>
  <c r="G209" i="15"/>
  <c r="C209" i="15"/>
  <c r="U488" i="15"/>
  <c r="V488" i="15" s="1"/>
  <c r="N488" i="15"/>
  <c r="Q488" i="15" s="1"/>
  <c r="G488" i="15"/>
  <c r="C488" i="15"/>
  <c r="U487" i="15"/>
  <c r="V487" i="15" s="1"/>
  <c r="N487" i="15"/>
  <c r="Q487" i="15" s="1"/>
  <c r="G487" i="15"/>
  <c r="C487" i="15"/>
  <c r="U486" i="15"/>
  <c r="V486" i="15" s="1"/>
  <c r="O486" i="15"/>
  <c r="N486" i="15" s="1"/>
  <c r="Q486" i="15" s="1"/>
  <c r="G486" i="15"/>
  <c r="C486" i="15"/>
  <c r="U206" i="15"/>
  <c r="V206" i="15" s="1"/>
  <c r="N206" i="15"/>
  <c r="Q206" i="15" s="1"/>
  <c r="G206" i="15"/>
  <c r="C206" i="15"/>
  <c r="U321" i="15"/>
  <c r="V321" i="15" s="1"/>
  <c r="N321" i="15"/>
  <c r="Q321" i="15" s="1"/>
  <c r="G321" i="15"/>
  <c r="C321" i="15"/>
  <c r="U205" i="15"/>
  <c r="V205" i="15" s="1"/>
  <c r="N205" i="15"/>
  <c r="Q205" i="15" s="1"/>
  <c r="G205" i="15"/>
  <c r="C205" i="15"/>
  <c r="U204" i="15"/>
  <c r="V204" i="15" s="1"/>
  <c r="Q204" i="15"/>
  <c r="G204" i="15"/>
  <c r="C204" i="15"/>
  <c r="U203" i="15"/>
  <c r="V203" i="15" s="1"/>
  <c r="Q203" i="15"/>
  <c r="G203" i="15"/>
  <c r="C203" i="15"/>
  <c r="U202" i="15"/>
  <c r="V202" i="15" s="1"/>
  <c r="Q202" i="15"/>
  <c r="G202" i="15"/>
  <c r="C202" i="15"/>
  <c r="U201" i="15"/>
  <c r="V201" i="15" s="1"/>
  <c r="G201" i="15"/>
  <c r="C201" i="15"/>
  <c r="U200" i="15"/>
  <c r="V200" i="15" s="1"/>
  <c r="G200" i="15"/>
  <c r="C200" i="15"/>
  <c r="U199" i="15"/>
  <c r="V199" i="15" s="1"/>
  <c r="G199" i="15"/>
  <c r="C199" i="15"/>
  <c r="U198" i="15"/>
  <c r="V198" i="15" s="1"/>
  <c r="G198" i="15"/>
  <c r="C198" i="15"/>
  <c r="U197" i="15"/>
  <c r="V197" i="15" s="1"/>
  <c r="G197" i="15"/>
  <c r="C197" i="15"/>
  <c r="U196" i="15"/>
  <c r="V196" i="15" s="1"/>
  <c r="G196" i="15"/>
  <c r="C196" i="15"/>
  <c r="U195" i="15"/>
  <c r="V195" i="15" s="1"/>
  <c r="G195" i="15"/>
  <c r="C195" i="15"/>
  <c r="U194" i="15"/>
  <c r="V194" i="15" s="1"/>
  <c r="G194" i="15"/>
  <c r="C194" i="15"/>
  <c r="U193" i="15"/>
  <c r="V193" i="15" s="1"/>
  <c r="G193" i="15"/>
  <c r="C193" i="15"/>
  <c r="U192" i="15"/>
  <c r="V192" i="15" s="1"/>
  <c r="G192" i="15"/>
  <c r="C192" i="15"/>
  <c r="U191" i="15"/>
  <c r="V191" i="15" s="1"/>
  <c r="G191" i="15"/>
  <c r="C191" i="15"/>
  <c r="U190" i="15"/>
  <c r="V190" i="15" s="1"/>
  <c r="G190" i="15"/>
  <c r="C190" i="15"/>
  <c r="U189" i="15"/>
  <c r="V189" i="15" s="1"/>
  <c r="G189" i="15"/>
  <c r="C189" i="15"/>
  <c r="U188" i="15"/>
  <c r="V188" i="15" s="1"/>
  <c r="G188" i="15"/>
  <c r="C188" i="15"/>
  <c r="U187" i="15"/>
  <c r="V187" i="15" s="1"/>
  <c r="G187" i="15"/>
  <c r="C187" i="15"/>
  <c r="U186" i="15"/>
  <c r="V186" i="15" s="1"/>
  <c r="G186" i="15"/>
  <c r="C186" i="15"/>
  <c r="U185" i="15"/>
  <c r="V185" i="15" s="1"/>
  <c r="G185" i="15"/>
  <c r="C185" i="15"/>
  <c r="U184" i="15"/>
  <c r="V184" i="15" s="1"/>
  <c r="G184" i="15"/>
  <c r="C184" i="15"/>
  <c r="U183" i="15"/>
  <c r="V183" i="15" s="1"/>
  <c r="G183" i="15"/>
  <c r="C183" i="15"/>
  <c r="U182" i="15"/>
  <c r="V182" i="15" s="1"/>
  <c r="G182" i="15"/>
  <c r="C182" i="15"/>
  <c r="U181" i="15"/>
  <c r="V181" i="15" s="1"/>
  <c r="G181" i="15"/>
  <c r="C181" i="15"/>
  <c r="U180" i="15"/>
  <c r="V180" i="15" s="1"/>
  <c r="G180" i="15"/>
  <c r="C180" i="15"/>
  <c r="U179" i="15"/>
  <c r="V179" i="15" s="1"/>
  <c r="G179" i="15"/>
  <c r="C179" i="15"/>
  <c r="U178" i="15"/>
  <c r="V178" i="15" s="1"/>
  <c r="G178" i="15"/>
  <c r="C178" i="15"/>
  <c r="U177" i="15"/>
  <c r="V177" i="15" s="1"/>
  <c r="Q177" i="15"/>
  <c r="G177" i="15"/>
  <c r="C177" i="15"/>
  <c r="U176" i="15"/>
  <c r="V176" i="15" s="1"/>
  <c r="Q176" i="15"/>
  <c r="G176" i="15"/>
  <c r="C176" i="15"/>
  <c r="U413" i="15"/>
  <c r="V413" i="15" s="1"/>
  <c r="Q413" i="15"/>
  <c r="G413" i="15"/>
  <c r="C413" i="15"/>
  <c r="U431" i="15"/>
  <c r="V431" i="15" s="1"/>
  <c r="Q431" i="15"/>
  <c r="G431" i="15"/>
  <c r="C431" i="15"/>
  <c r="U175" i="15"/>
  <c r="V175" i="15" s="1"/>
  <c r="Q175" i="15"/>
  <c r="G175" i="15"/>
  <c r="C175" i="15"/>
  <c r="U412" i="15"/>
  <c r="V412" i="15" s="1"/>
  <c r="Q412" i="15"/>
  <c r="G412" i="15"/>
  <c r="C412" i="15"/>
  <c r="U174" i="15"/>
  <c r="V174" i="15" s="1"/>
  <c r="Q174" i="15"/>
  <c r="G174" i="15"/>
  <c r="C174" i="15"/>
  <c r="U411" i="15"/>
  <c r="V411" i="15" s="1"/>
  <c r="Q411" i="15"/>
  <c r="G411" i="15"/>
  <c r="C411" i="15"/>
  <c r="U871" i="15"/>
  <c r="V871" i="15" s="1"/>
  <c r="Q871" i="15"/>
  <c r="G871" i="15"/>
  <c r="C871" i="15"/>
  <c r="U173" i="15"/>
  <c r="V173" i="15" s="1"/>
  <c r="Q173" i="15"/>
  <c r="G173" i="15"/>
  <c r="C173" i="15"/>
  <c r="U172" i="15"/>
  <c r="V172" i="15" s="1"/>
  <c r="Q172" i="15"/>
  <c r="G172" i="15"/>
  <c r="C172" i="15"/>
  <c r="U171" i="15"/>
  <c r="V171" i="15" s="1"/>
  <c r="Q171" i="15"/>
  <c r="G171" i="15"/>
  <c r="C171" i="15"/>
  <c r="U170" i="15"/>
  <c r="V170" i="15" s="1"/>
  <c r="Q170" i="15"/>
  <c r="G170" i="15"/>
  <c r="C170" i="15"/>
  <c r="U169" i="15"/>
  <c r="V169" i="15" s="1"/>
  <c r="Q169" i="15"/>
  <c r="G169" i="15"/>
  <c r="C169" i="15"/>
  <c r="U168" i="15"/>
  <c r="V168" i="15" s="1"/>
  <c r="Q168" i="15"/>
  <c r="G168" i="15"/>
  <c r="C168" i="15"/>
  <c r="U577" i="15"/>
  <c r="V577" i="15" s="1"/>
  <c r="Q577" i="15"/>
  <c r="G577" i="15"/>
  <c r="C577" i="15"/>
  <c r="U167" i="15"/>
  <c r="V167" i="15" s="1"/>
  <c r="Q167" i="15"/>
  <c r="G167" i="15"/>
  <c r="C167" i="15"/>
  <c r="U587" i="15"/>
  <c r="V587" i="15" s="1"/>
  <c r="Q587" i="15"/>
  <c r="G587" i="15"/>
  <c r="C587" i="15"/>
  <c r="U166" i="15"/>
  <c r="V166" i="15" s="1"/>
  <c r="Q166" i="15"/>
  <c r="G166" i="15"/>
  <c r="C166" i="15"/>
  <c r="U165" i="15"/>
  <c r="V165" i="15" s="1"/>
  <c r="Q165" i="15"/>
  <c r="G165" i="15"/>
  <c r="C165" i="15"/>
  <c r="U237" i="15"/>
  <c r="V237" i="15" s="1"/>
  <c r="Q237" i="15"/>
  <c r="G237" i="15"/>
  <c r="C237" i="15"/>
  <c r="U164" i="15"/>
  <c r="V164" i="15" s="1"/>
  <c r="Q164" i="15"/>
  <c r="G164" i="15"/>
  <c r="C164" i="15"/>
  <c r="U870" i="15"/>
  <c r="V870" i="15" s="1"/>
  <c r="Q870" i="15"/>
  <c r="G870" i="15"/>
  <c r="C870" i="15"/>
  <c r="U163" i="15"/>
  <c r="V163" i="15" s="1"/>
  <c r="Q163" i="15"/>
  <c r="G163" i="15"/>
  <c r="C163" i="15"/>
  <c r="U162" i="15"/>
  <c r="V162" i="15" s="1"/>
  <c r="Q162" i="15"/>
  <c r="G162" i="15"/>
  <c r="C162" i="15"/>
  <c r="U161" i="15"/>
  <c r="V161" i="15" s="1"/>
  <c r="Q161" i="15"/>
  <c r="G161" i="15"/>
  <c r="C161" i="15"/>
  <c r="U160" i="15"/>
  <c r="V160" i="15" s="1"/>
  <c r="Q160" i="15"/>
  <c r="G160" i="15"/>
  <c r="C160" i="15"/>
  <c r="U159" i="15"/>
  <c r="V159" i="15" s="1"/>
  <c r="Q159" i="15"/>
  <c r="G159" i="15"/>
  <c r="C159" i="15"/>
  <c r="U158" i="15"/>
  <c r="V158" i="15" s="1"/>
  <c r="Q158" i="15"/>
  <c r="G158" i="15"/>
  <c r="C158" i="15"/>
  <c r="U157" i="15"/>
  <c r="V157" i="15" s="1"/>
  <c r="Q157" i="15"/>
  <c r="G157" i="15"/>
  <c r="C157" i="15"/>
  <c r="U238" i="15"/>
  <c r="V238" i="15" s="1"/>
  <c r="Q238" i="15"/>
  <c r="G238" i="15"/>
  <c r="C238" i="15"/>
  <c r="U156" i="15"/>
  <c r="V156" i="15" s="1"/>
  <c r="Q156" i="15"/>
  <c r="G156" i="15"/>
  <c r="C156" i="15"/>
  <c r="U155" i="15"/>
  <c r="V155" i="15" s="1"/>
  <c r="P155" i="15"/>
  <c r="N155" i="15" s="1"/>
  <c r="Q155" i="15" s="1"/>
  <c r="G155" i="15"/>
  <c r="C155" i="15"/>
  <c r="U154" i="15"/>
  <c r="V154" i="15" s="1"/>
  <c r="Q154" i="15"/>
  <c r="G154" i="15"/>
  <c r="C154" i="15"/>
  <c r="U152" i="15"/>
  <c r="V152" i="15" s="1"/>
  <c r="P152" i="15"/>
  <c r="N152" i="15" s="1"/>
  <c r="Q152" i="15" s="1"/>
  <c r="G152" i="15"/>
  <c r="C152" i="15"/>
  <c r="U423" i="15"/>
  <c r="V423" i="15" s="1"/>
  <c r="P423" i="15"/>
  <c r="N423" i="15" s="1"/>
  <c r="Q423" i="15" s="1"/>
  <c r="G423" i="15"/>
  <c r="C423" i="15"/>
  <c r="U341" i="15"/>
  <c r="V341" i="15" s="1"/>
  <c r="N341" i="15"/>
  <c r="Q341" i="15" s="1"/>
  <c r="G341" i="15"/>
  <c r="C341" i="15"/>
  <c r="U340" i="15"/>
  <c r="V340" i="15" s="1"/>
  <c r="N340" i="15"/>
  <c r="Q340" i="15" s="1"/>
  <c r="G340" i="15"/>
  <c r="C340" i="15"/>
  <c r="U339" i="15"/>
  <c r="V339" i="15" s="1"/>
  <c r="N339" i="15"/>
  <c r="Q339" i="15" s="1"/>
  <c r="G339" i="15"/>
  <c r="C339" i="15"/>
  <c r="U338" i="15"/>
  <c r="V338" i="15" s="1"/>
  <c r="N338" i="15"/>
  <c r="Q338" i="15" s="1"/>
  <c r="G338" i="15"/>
  <c r="C338" i="15"/>
  <c r="U337" i="15"/>
  <c r="V337" i="15" s="1"/>
  <c r="N337" i="15"/>
  <c r="Q337" i="15" s="1"/>
  <c r="G337" i="15"/>
  <c r="C337" i="15"/>
  <c r="U336" i="15"/>
  <c r="V336" i="15" s="1"/>
  <c r="N336" i="15"/>
  <c r="Q336" i="15" s="1"/>
  <c r="G336" i="15"/>
  <c r="C336" i="15"/>
  <c r="U335" i="15"/>
  <c r="V335" i="15" s="1"/>
  <c r="N335" i="15"/>
  <c r="Q335" i="15" s="1"/>
  <c r="G335" i="15"/>
  <c r="C335" i="15"/>
  <c r="U334" i="15"/>
  <c r="V334" i="15" s="1"/>
  <c r="N334" i="15"/>
  <c r="Q334" i="15" s="1"/>
  <c r="G334" i="15"/>
  <c r="C334" i="15"/>
  <c r="U333" i="15"/>
  <c r="V333" i="15" s="1"/>
  <c r="N333" i="15"/>
  <c r="Q333" i="15" s="1"/>
  <c r="G333" i="15"/>
  <c r="C333" i="15"/>
  <c r="U348" i="15"/>
  <c r="V348" i="15" s="1"/>
  <c r="P348" i="15"/>
  <c r="N348" i="15" s="1"/>
  <c r="Q348" i="15" s="1"/>
  <c r="G348" i="15"/>
  <c r="C348" i="15"/>
  <c r="U387" i="15"/>
  <c r="V387" i="15" s="1"/>
  <c r="P387" i="15"/>
  <c r="N387" i="15" s="1"/>
  <c r="Q387" i="15" s="1"/>
  <c r="G387" i="15"/>
  <c r="C387" i="15"/>
  <c r="U153" i="15"/>
  <c r="V153" i="15" s="1"/>
  <c r="Q153" i="15"/>
  <c r="G153" i="15"/>
  <c r="C153" i="15"/>
  <c r="U150" i="15"/>
  <c r="V150" i="15" s="1"/>
  <c r="Q150" i="15"/>
  <c r="G150" i="15"/>
  <c r="C150" i="15"/>
  <c r="U149" i="15"/>
  <c r="V149" i="15" s="1"/>
  <c r="L149" i="15"/>
  <c r="Q149" i="15" s="1"/>
  <c r="G149" i="15"/>
  <c r="C149" i="15"/>
  <c r="U148" i="15"/>
  <c r="V148" i="15" s="1"/>
  <c r="Q148" i="15"/>
  <c r="G148" i="15"/>
  <c r="C148" i="15"/>
  <c r="U147" i="15"/>
  <c r="V147" i="15" s="1"/>
  <c r="Q147" i="15"/>
  <c r="G147" i="15"/>
  <c r="C147" i="15"/>
  <c r="U146" i="15"/>
  <c r="V146" i="15" s="1"/>
  <c r="G146" i="15"/>
  <c r="C146" i="15"/>
  <c r="U624" i="15"/>
  <c r="V624" i="15" s="1"/>
  <c r="Q624" i="15"/>
  <c r="G624" i="15"/>
  <c r="C624" i="15"/>
  <c r="U267" i="15"/>
  <c r="V267" i="15" s="1"/>
  <c r="Q267" i="15"/>
  <c r="G267" i="15"/>
  <c r="C267" i="15"/>
  <c r="U145" i="15"/>
  <c r="V145" i="15" s="1"/>
  <c r="N145" i="15"/>
  <c r="Q145" i="15" s="1"/>
  <c r="G145" i="15"/>
  <c r="C145" i="15"/>
  <c r="U140" i="15"/>
  <c r="V140" i="15" s="1"/>
  <c r="Q140" i="15"/>
  <c r="G140" i="15"/>
  <c r="C140" i="15"/>
  <c r="U139" i="15"/>
  <c r="V139" i="15" s="1"/>
  <c r="Q139" i="15"/>
  <c r="G139" i="15"/>
  <c r="C139" i="15"/>
  <c r="U138" i="15"/>
  <c r="V138" i="15" s="1"/>
  <c r="Q138" i="15"/>
  <c r="G138" i="15"/>
  <c r="C138" i="15"/>
  <c r="U137" i="15"/>
  <c r="V137" i="15" s="1"/>
  <c r="Q137" i="15"/>
  <c r="G137" i="15"/>
  <c r="C137" i="15"/>
  <c r="U136" i="15"/>
  <c r="V136" i="15" s="1"/>
  <c r="Q136" i="15"/>
  <c r="G136" i="15"/>
  <c r="C136" i="15"/>
  <c r="U354" i="15"/>
  <c r="V354" i="15" s="1"/>
  <c r="L354" i="15"/>
  <c r="Q354" i="15" s="1"/>
  <c r="G354" i="15"/>
  <c r="C354" i="15"/>
  <c r="U265" i="15"/>
  <c r="V265" i="15" s="1"/>
  <c r="Q265" i="15"/>
  <c r="G265" i="15"/>
  <c r="C265" i="15"/>
  <c r="U135" i="15"/>
  <c r="V135" i="15" s="1"/>
  <c r="Q135" i="15"/>
  <c r="G135" i="15"/>
  <c r="C135" i="15"/>
  <c r="U141" i="15"/>
  <c r="V141" i="15" s="1"/>
  <c r="Q141" i="15"/>
  <c r="G141" i="15"/>
  <c r="C141" i="15"/>
  <c r="U264" i="15"/>
  <c r="V264" i="15" s="1"/>
  <c r="Q264" i="15"/>
  <c r="G264" i="15"/>
  <c r="C264" i="15"/>
  <c r="U134" i="15"/>
  <c r="V134" i="15" s="1"/>
  <c r="Q134" i="15"/>
  <c r="G134" i="15"/>
  <c r="C134" i="15"/>
  <c r="U133" i="15"/>
  <c r="V133" i="15" s="1"/>
  <c r="Q133" i="15"/>
  <c r="G133" i="15"/>
  <c r="C133" i="15"/>
  <c r="U344" i="15"/>
  <c r="V344" i="15" s="1"/>
  <c r="Q344" i="15"/>
  <c r="G344" i="15"/>
  <c r="C344" i="15"/>
  <c r="U151" i="15"/>
  <c r="V151" i="15" s="1"/>
  <c r="Q151" i="15"/>
  <c r="G151" i="15"/>
  <c r="C151" i="15"/>
  <c r="U207" i="15"/>
  <c r="V207" i="15" s="1"/>
  <c r="Q207" i="15"/>
  <c r="G207" i="15"/>
  <c r="C207" i="15"/>
  <c r="U132" i="15"/>
  <c r="V132" i="15" s="1"/>
  <c r="Q132" i="15"/>
  <c r="G132" i="15"/>
  <c r="C132" i="15"/>
  <c r="U734" i="15"/>
  <c r="V734" i="15" s="1"/>
  <c r="Q734" i="15"/>
  <c r="G734" i="15"/>
  <c r="C734" i="15"/>
  <c r="U129" i="15"/>
  <c r="V129" i="15" s="1"/>
  <c r="Q129" i="15"/>
  <c r="G129" i="15"/>
  <c r="C129" i="15"/>
  <c r="U756" i="15"/>
  <c r="V756" i="15" s="1"/>
  <c r="Q756" i="15"/>
  <c r="G756" i="15"/>
  <c r="C756" i="15"/>
  <c r="U128" i="15"/>
  <c r="V128" i="15" s="1"/>
  <c r="Q128" i="15"/>
  <c r="G128" i="15"/>
  <c r="C128" i="15"/>
  <c r="U127" i="15"/>
  <c r="V127" i="15" s="1"/>
  <c r="Q127" i="15"/>
  <c r="G127" i="15"/>
  <c r="C127" i="15"/>
  <c r="U121" i="15"/>
  <c r="V121" i="15" s="1"/>
  <c r="Q121" i="15"/>
  <c r="G121" i="15"/>
  <c r="C121" i="15"/>
  <c r="U697" i="15"/>
  <c r="V697" i="15" s="1"/>
  <c r="Q697" i="15"/>
  <c r="G697" i="15"/>
  <c r="C697" i="15"/>
  <c r="U120" i="15"/>
  <c r="V120" i="15" s="1"/>
  <c r="Q120" i="15"/>
  <c r="G120" i="15"/>
  <c r="C120" i="15"/>
  <c r="U221" i="15"/>
  <c r="V221" i="15" s="1"/>
  <c r="L221" i="15"/>
  <c r="Q221" i="15" s="1"/>
  <c r="G221" i="15"/>
  <c r="C221" i="15"/>
  <c r="U119" i="15"/>
  <c r="V119" i="15" s="1"/>
  <c r="Q119" i="15"/>
  <c r="G119" i="15"/>
  <c r="C119" i="15"/>
  <c r="U118" i="15"/>
  <c r="V118" i="15" s="1"/>
  <c r="Q118" i="15"/>
  <c r="G118" i="15"/>
  <c r="C118" i="15"/>
  <c r="U117" i="15"/>
  <c r="V117" i="15" s="1"/>
  <c r="L117" i="15"/>
  <c r="Q117" i="15" s="1"/>
  <c r="G117" i="15"/>
  <c r="C117" i="15"/>
  <c r="U116" i="15"/>
  <c r="V116" i="15" s="1"/>
  <c r="Q116" i="15"/>
  <c r="G116" i="15"/>
  <c r="C116" i="15"/>
  <c r="U115" i="15"/>
  <c r="V115" i="15" s="1"/>
  <c r="Q115" i="15"/>
  <c r="G115" i="15"/>
  <c r="C115" i="15"/>
  <c r="U114" i="15"/>
  <c r="V114" i="15" s="1"/>
  <c r="Q114" i="15"/>
  <c r="G114" i="15"/>
  <c r="C114" i="15"/>
  <c r="U113" i="15"/>
  <c r="V113" i="15" s="1"/>
  <c r="Q113" i="15"/>
  <c r="G113" i="15"/>
  <c r="C113" i="15"/>
  <c r="U112" i="15"/>
  <c r="V112" i="15" s="1"/>
  <c r="Q112" i="15"/>
  <c r="G112" i="15"/>
  <c r="C112" i="15"/>
  <c r="U111" i="15"/>
  <c r="V111" i="15" s="1"/>
  <c r="Q111" i="15"/>
  <c r="G111" i="15"/>
  <c r="C111" i="15"/>
  <c r="U110" i="15"/>
  <c r="V110" i="15" s="1"/>
  <c r="L110" i="15"/>
  <c r="Q110" i="15" s="1"/>
  <c r="G110" i="15"/>
  <c r="C110" i="15"/>
  <c r="U126" i="15"/>
  <c r="V126" i="15" s="1"/>
  <c r="Q126" i="15"/>
  <c r="G126" i="15"/>
  <c r="C126" i="15"/>
  <c r="U109" i="15"/>
  <c r="V109" i="15" s="1"/>
  <c r="Q109" i="15"/>
  <c r="G109" i="15"/>
  <c r="C109" i="15"/>
  <c r="U444" i="15"/>
  <c r="V444" i="15" s="1"/>
  <c r="Q444" i="15"/>
  <c r="G444" i="15"/>
  <c r="C444" i="15"/>
  <c r="U108" i="15"/>
  <c r="V108" i="15" s="1"/>
  <c r="Q108" i="15"/>
  <c r="G108" i="15"/>
  <c r="C108" i="15"/>
  <c r="U733" i="15"/>
  <c r="V733" i="15" s="1"/>
  <c r="Q733" i="15"/>
  <c r="G733" i="15"/>
  <c r="C733" i="15"/>
  <c r="U731" i="15"/>
  <c r="V731" i="15" s="1"/>
  <c r="Q731" i="15"/>
  <c r="G731" i="15"/>
  <c r="C731" i="15"/>
  <c r="U107" i="15"/>
  <c r="V107" i="15" s="1"/>
  <c r="Q107" i="15"/>
  <c r="G107" i="15"/>
  <c r="C107" i="15"/>
  <c r="U427" i="15"/>
  <c r="V427" i="15" s="1"/>
  <c r="Q427" i="15"/>
  <c r="G427" i="15"/>
  <c r="C427" i="15"/>
  <c r="U106" i="15"/>
  <c r="V106" i="15" s="1"/>
  <c r="Q106" i="15"/>
  <c r="G106" i="15"/>
  <c r="C106" i="15"/>
  <c r="U105" i="15"/>
  <c r="V105" i="15" s="1"/>
  <c r="Q105" i="15"/>
  <c r="G105" i="15"/>
  <c r="C105" i="15"/>
  <c r="U469" i="15"/>
  <c r="V469" i="15" s="1"/>
  <c r="Q469" i="15"/>
  <c r="G469" i="15"/>
  <c r="C469" i="15"/>
  <c r="U586" i="15"/>
  <c r="V586" i="15" s="1"/>
  <c r="Q586" i="15"/>
  <c r="G586" i="15"/>
  <c r="C586" i="15"/>
  <c r="U585" i="15"/>
  <c r="V585" i="15" s="1"/>
  <c r="C585" i="15"/>
  <c r="U104" i="15"/>
  <c r="V104" i="15" s="1"/>
  <c r="C104" i="15"/>
  <c r="U103" i="15"/>
  <c r="V103" i="15" s="1"/>
  <c r="C103" i="15"/>
  <c r="U102" i="15"/>
  <c r="V102" i="15" s="1"/>
  <c r="C102" i="15"/>
  <c r="U101" i="15"/>
  <c r="V101" i="15" s="1"/>
  <c r="L101" i="15"/>
  <c r="Q101" i="15" s="1"/>
  <c r="G101" i="15"/>
  <c r="C101" i="15"/>
  <c r="U753" i="15"/>
  <c r="V753" i="15" s="1"/>
  <c r="Q753" i="15"/>
  <c r="G753" i="15"/>
  <c r="C753" i="15"/>
  <c r="U780" i="15"/>
  <c r="V780" i="15" s="1"/>
  <c r="Q780" i="15"/>
  <c r="G780" i="15"/>
  <c r="C780" i="15"/>
  <c r="U131" i="15"/>
  <c r="V131" i="15" s="1"/>
  <c r="Q131" i="15"/>
  <c r="G131" i="15"/>
  <c r="C131" i="15"/>
  <c r="U782" i="15"/>
  <c r="V782" i="15" s="1"/>
  <c r="N782" i="15"/>
  <c r="Q782" i="15" s="1"/>
  <c r="G782" i="15"/>
  <c r="C782" i="15"/>
  <c r="U130" i="15"/>
  <c r="V130" i="15" s="1"/>
  <c r="Q130" i="15"/>
  <c r="G130" i="15"/>
  <c r="C130" i="15"/>
  <c r="U212" i="15"/>
  <c r="V212" i="15" s="1"/>
  <c r="Q212" i="15"/>
  <c r="G212" i="15"/>
  <c r="C212" i="15"/>
  <c r="U100" i="15"/>
  <c r="V100" i="15" s="1"/>
  <c r="N100" i="15"/>
  <c r="Q100" i="15" s="1"/>
  <c r="G100" i="15"/>
  <c r="C100" i="15"/>
  <c r="U99" i="15"/>
  <c r="V99" i="15" s="1"/>
  <c r="N99" i="15"/>
  <c r="Q99" i="15" s="1"/>
  <c r="G99" i="15"/>
  <c r="C99" i="15"/>
  <c r="U98" i="15"/>
  <c r="V98" i="15" s="1"/>
  <c r="P98" i="15"/>
  <c r="N98" i="15" s="1"/>
  <c r="Q98" i="15" s="1"/>
  <c r="G98" i="15"/>
  <c r="C98" i="15"/>
  <c r="U97" i="15"/>
  <c r="V97" i="15" s="1"/>
  <c r="P97" i="15"/>
  <c r="N97" i="15" s="1"/>
  <c r="Q97" i="15" s="1"/>
  <c r="G97" i="15"/>
  <c r="C97" i="15"/>
  <c r="U696" i="15"/>
  <c r="V696" i="15" s="1"/>
  <c r="P696" i="15"/>
  <c r="N696" i="15" s="1"/>
  <c r="Q696" i="15" s="1"/>
  <c r="G696" i="15"/>
  <c r="C696" i="15"/>
  <c r="U96" i="15"/>
  <c r="V96" i="15" s="1"/>
  <c r="P96" i="15"/>
  <c r="N96" i="15" s="1"/>
  <c r="Q96" i="15" s="1"/>
  <c r="G96" i="15"/>
  <c r="C96" i="15"/>
  <c r="U854" i="15"/>
  <c r="V854" i="15" s="1"/>
  <c r="P854" i="15"/>
  <c r="N854" i="15" s="1"/>
  <c r="Q854" i="15" s="1"/>
  <c r="G854" i="15"/>
  <c r="C854" i="15"/>
  <c r="U95" i="15"/>
  <c r="V95" i="15" s="1"/>
  <c r="P95" i="15"/>
  <c r="N95" i="15" s="1"/>
  <c r="Q95" i="15" s="1"/>
  <c r="G95" i="15"/>
  <c r="C95" i="15"/>
  <c r="U94" i="15"/>
  <c r="V94" i="15" s="1"/>
  <c r="P94" i="15"/>
  <c r="N94" i="15" s="1"/>
  <c r="Q94" i="15" s="1"/>
  <c r="G94" i="15"/>
  <c r="C94" i="15"/>
  <c r="U93" i="15"/>
  <c r="V93" i="15" s="1"/>
  <c r="P93" i="15"/>
  <c r="N93" i="15" s="1"/>
  <c r="Q93" i="15" s="1"/>
  <c r="G93" i="15"/>
  <c r="C93" i="15"/>
  <c r="U92" i="15"/>
  <c r="V92" i="15" s="1"/>
  <c r="P92" i="15"/>
  <c r="N92" i="15" s="1"/>
  <c r="Q92" i="15" s="1"/>
  <c r="G92" i="15"/>
  <c r="C92" i="15"/>
  <c r="U91" i="15"/>
  <c r="V91" i="15" s="1"/>
  <c r="P91" i="15"/>
  <c r="N91" i="15" s="1"/>
  <c r="Q91" i="15" s="1"/>
  <c r="G91" i="15"/>
  <c r="C91" i="15"/>
  <c r="U90" i="15"/>
  <c r="V90" i="15" s="1"/>
  <c r="P90" i="15"/>
  <c r="N90" i="15" s="1"/>
  <c r="Q90" i="15" s="1"/>
  <c r="G90" i="15"/>
  <c r="C90" i="15"/>
  <c r="U596" i="15"/>
  <c r="V596" i="15" s="1"/>
  <c r="P596" i="15"/>
  <c r="N596" i="15" s="1"/>
  <c r="Q596" i="15" s="1"/>
  <c r="G596" i="15"/>
  <c r="C596" i="15"/>
  <c r="U89" i="15"/>
  <c r="V89" i="15" s="1"/>
  <c r="P89" i="15"/>
  <c r="N89" i="15" s="1"/>
  <c r="Q89" i="15" s="1"/>
  <c r="G89" i="15"/>
  <c r="C89" i="15"/>
  <c r="U88" i="15"/>
  <c r="V88" i="15" s="1"/>
  <c r="P88" i="15"/>
  <c r="N88" i="15" s="1"/>
  <c r="Q88" i="15" s="1"/>
  <c r="G88" i="15"/>
  <c r="C88" i="15"/>
  <c r="U125" i="15"/>
  <c r="V125" i="15" s="1"/>
  <c r="P125" i="15"/>
  <c r="N125" i="15" s="1"/>
  <c r="Q125" i="15" s="1"/>
  <c r="G125" i="15"/>
  <c r="C125" i="15"/>
  <c r="U144" i="15"/>
  <c r="V144" i="15" s="1"/>
  <c r="N144" i="15"/>
  <c r="Q144" i="15" s="1"/>
  <c r="G144" i="15"/>
  <c r="C144" i="15"/>
  <c r="U604" i="15"/>
  <c r="V604" i="15" s="1"/>
  <c r="Q604" i="15"/>
  <c r="G604" i="15"/>
  <c r="C604" i="15"/>
  <c r="U603" i="15"/>
  <c r="V603" i="15" s="1"/>
  <c r="Q603" i="15"/>
  <c r="G603" i="15"/>
  <c r="C603" i="15"/>
  <c r="U87" i="15"/>
  <c r="V87" i="15" s="1"/>
  <c r="P87" i="15"/>
  <c r="N87" i="15" s="1"/>
  <c r="Q87" i="15" s="1"/>
  <c r="G87" i="15"/>
  <c r="C87" i="15"/>
  <c r="U86" i="15"/>
  <c r="V86" i="15" s="1"/>
  <c r="P86" i="15"/>
  <c r="O86" i="15"/>
  <c r="G86" i="15"/>
  <c r="C86" i="15"/>
  <c r="U85" i="15"/>
  <c r="V85" i="15" s="1"/>
  <c r="P85" i="15"/>
  <c r="N85" i="15" s="1"/>
  <c r="Q85" i="15" s="1"/>
  <c r="G85" i="15"/>
  <c r="C85" i="15"/>
  <c r="U84" i="15"/>
  <c r="V84" i="15" s="1"/>
  <c r="P84" i="15"/>
  <c r="G84" i="15"/>
  <c r="C84" i="15"/>
  <c r="U143" i="15"/>
  <c r="V143" i="15" s="1"/>
  <c r="P143" i="15"/>
  <c r="N143" i="15" s="1"/>
  <c r="Q143" i="15" s="1"/>
  <c r="G143" i="15"/>
  <c r="C143" i="15"/>
  <c r="U142" i="15"/>
  <c r="V142" i="15" s="1"/>
  <c r="Q142" i="15"/>
  <c r="G142" i="15"/>
  <c r="C142" i="15"/>
  <c r="U273" i="15"/>
  <c r="V273" i="15" s="1"/>
  <c r="Q273" i="15"/>
  <c r="G273" i="15"/>
  <c r="C273" i="15"/>
  <c r="U124" i="15"/>
  <c r="V124" i="15" s="1"/>
  <c r="Q124" i="15"/>
  <c r="G124" i="15"/>
  <c r="C124" i="15"/>
  <c r="U319" i="15"/>
  <c r="V319" i="15" s="1"/>
  <c r="P319" i="15"/>
  <c r="N319" i="15" s="1"/>
  <c r="Q319" i="15" s="1"/>
  <c r="G319" i="15"/>
  <c r="C319" i="15"/>
  <c r="U526" i="15"/>
  <c r="V526" i="15" s="1"/>
  <c r="Q526" i="15"/>
  <c r="G526" i="15"/>
  <c r="C526" i="15"/>
  <c r="U83" i="15"/>
  <c r="V83" i="15" s="1"/>
  <c r="Q83" i="15"/>
  <c r="G83" i="15"/>
  <c r="C83" i="15"/>
  <c r="U82" i="15"/>
  <c r="V82" i="15" s="1"/>
  <c r="Q82" i="15"/>
  <c r="P82" i="15"/>
  <c r="G82" i="15"/>
  <c r="C82" i="15"/>
  <c r="U123" i="15"/>
  <c r="V123" i="15" s="1"/>
  <c r="N123" i="15"/>
  <c r="Q123" i="15" s="1"/>
  <c r="G123" i="15"/>
  <c r="C123" i="15"/>
  <c r="U81" i="15"/>
  <c r="V81" i="15" s="1"/>
  <c r="Q81" i="15"/>
  <c r="P81" i="15"/>
  <c r="G81" i="15"/>
  <c r="C81" i="15"/>
  <c r="U80" i="15"/>
  <c r="V80" i="15" s="1"/>
  <c r="Q80" i="15"/>
  <c r="P80" i="15"/>
  <c r="G80" i="15"/>
  <c r="C80" i="15"/>
  <c r="U79" i="15"/>
  <c r="V79" i="15" s="1"/>
  <c r="Q79" i="15"/>
  <c r="P79" i="15"/>
  <c r="G79" i="15"/>
  <c r="C79" i="15"/>
  <c r="U78" i="15"/>
  <c r="V78" i="15" s="1"/>
  <c r="Q78" i="15"/>
  <c r="P78" i="15"/>
  <c r="G78" i="15"/>
  <c r="C78" i="15"/>
  <c r="U77" i="15"/>
  <c r="V77" i="15" s="1"/>
  <c r="Q77" i="15"/>
  <c r="P77" i="15"/>
  <c r="G77" i="15"/>
  <c r="C77" i="15"/>
  <c r="U76" i="15"/>
  <c r="V76" i="15" s="1"/>
  <c r="Q76" i="15"/>
  <c r="P76" i="15"/>
  <c r="G76" i="15"/>
  <c r="C76" i="15"/>
  <c r="U75" i="15"/>
  <c r="V75" i="15" s="1"/>
  <c r="Q75" i="15"/>
  <c r="P75" i="15"/>
  <c r="G75" i="15"/>
  <c r="C75" i="15"/>
  <c r="U74" i="15"/>
  <c r="V74" i="15" s="1"/>
  <c r="Q74" i="15"/>
  <c r="P74" i="15"/>
  <c r="G74" i="15"/>
  <c r="C74" i="15"/>
  <c r="U73" i="15"/>
  <c r="V73" i="15" s="1"/>
  <c r="Q73" i="15"/>
  <c r="P73" i="15"/>
  <c r="G73" i="15"/>
  <c r="C73" i="15"/>
  <c r="U72" i="15"/>
  <c r="V72" i="15" s="1"/>
  <c r="Q72" i="15"/>
  <c r="P72" i="15"/>
  <c r="G72" i="15"/>
  <c r="C72" i="15"/>
  <c r="U71" i="15"/>
  <c r="V71" i="15" s="1"/>
  <c r="Q71" i="15"/>
  <c r="P71" i="15"/>
  <c r="G71" i="15"/>
  <c r="C71" i="15"/>
  <c r="U70" i="15"/>
  <c r="V70" i="15" s="1"/>
  <c r="Q70" i="15"/>
  <c r="P70" i="15"/>
  <c r="G70" i="15"/>
  <c r="C70" i="15"/>
  <c r="U69" i="15"/>
  <c r="V69" i="15" s="1"/>
  <c r="Q69" i="15"/>
  <c r="P69" i="15"/>
  <c r="G69" i="15"/>
  <c r="C69" i="15"/>
  <c r="U68" i="15"/>
  <c r="V68" i="15" s="1"/>
  <c r="Q68" i="15"/>
  <c r="P68" i="15"/>
  <c r="G68" i="15"/>
  <c r="C68" i="15"/>
  <c r="U67" i="15"/>
  <c r="V67" i="15" s="1"/>
  <c r="Q67" i="15"/>
  <c r="P67" i="15"/>
  <c r="G67" i="15"/>
  <c r="C67" i="15"/>
  <c r="U66" i="15"/>
  <c r="V66" i="15" s="1"/>
  <c r="Q66" i="15"/>
  <c r="P66" i="15"/>
  <c r="G66" i="15"/>
  <c r="C66" i="15"/>
  <c r="U65" i="15"/>
  <c r="V65" i="15" s="1"/>
  <c r="Q65" i="15"/>
  <c r="P65" i="15"/>
  <c r="G65" i="15"/>
  <c r="C65" i="15"/>
  <c r="U64" i="15"/>
  <c r="V64" i="15" s="1"/>
  <c r="Q64" i="15"/>
  <c r="P64" i="15"/>
  <c r="G64" i="15"/>
  <c r="C64" i="15"/>
  <c r="U63" i="15"/>
  <c r="V63" i="15" s="1"/>
  <c r="Q63" i="15"/>
  <c r="P63" i="15"/>
  <c r="G63" i="15"/>
  <c r="C63" i="15"/>
  <c r="U62" i="15"/>
  <c r="V62" i="15" s="1"/>
  <c r="Q62" i="15"/>
  <c r="P62" i="15"/>
  <c r="G62" i="15"/>
  <c r="C62" i="15"/>
  <c r="U61" i="15"/>
  <c r="V61" i="15" s="1"/>
  <c r="Q61" i="15"/>
  <c r="P61" i="15"/>
  <c r="G61" i="15"/>
  <c r="C61" i="15"/>
  <c r="U60" i="15"/>
  <c r="V60" i="15" s="1"/>
  <c r="Q60" i="15"/>
  <c r="P60" i="15"/>
  <c r="G60" i="15"/>
  <c r="C60" i="15"/>
  <c r="U59" i="15"/>
  <c r="V59" i="15" s="1"/>
  <c r="Q59" i="15"/>
  <c r="P59" i="15"/>
  <c r="G59" i="15"/>
  <c r="C59" i="15"/>
  <c r="U58" i="15"/>
  <c r="V58" i="15" s="1"/>
  <c r="Q58" i="15"/>
  <c r="P58" i="15"/>
  <c r="G58" i="15"/>
  <c r="C58" i="15"/>
  <c r="U57" i="15"/>
  <c r="V57" i="15" s="1"/>
  <c r="Q57" i="15"/>
  <c r="P57" i="15"/>
  <c r="G57" i="15"/>
  <c r="C57" i="15"/>
  <c r="U56" i="15"/>
  <c r="V56" i="15" s="1"/>
  <c r="Q56" i="15"/>
  <c r="P56" i="15"/>
  <c r="G56" i="15"/>
  <c r="C56" i="15"/>
  <c r="U55" i="15"/>
  <c r="V55" i="15" s="1"/>
  <c r="Q55" i="15"/>
  <c r="P55" i="15"/>
  <c r="G55" i="15"/>
  <c r="C55" i="15"/>
  <c r="U54" i="15"/>
  <c r="V54" i="15" s="1"/>
  <c r="Q54" i="15"/>
  <c r="P54" i="15"/>
  <c r="G54" i="15"/>
  <c r="C54" i="15"/>
  <c r="U53" i="15"/>
  <c r="V53" i="15" s="1"/>
  <c r="Q53" i="15"/>
  <c r="P53" i="15"/>
  <c r="G53" i="15"/>
  <c r="C53" i="15"/>
  <c r="U122" i="15"/>
  <c r="V122" i="15" s="1"/>
  <c r="Q122" i="15"/>
  <c r="G122" i="15"/>
  <c r="C122" i="15"/>
  <c r="U52" i="15"/>
  <c r="V52" i="15" s="1"/>
  <c r="Q52" i="15"/>
  <c r="P52" i="15"/>
  <c r="G52" i="15"/>
  <c r="C52" i="15"/>
  <c r="U51" i="15"/>
  <c r="V51" i="15" s="1"/>
  <c r="Q51" i="15"/>
  <c r="P51" i="15"/>
  <c r="G51" i="15"/>
  <c r="C51" i="15"/>
  <c r="U50" i="15"/>
  <c r="V50" i="15" s="1"/>
  <c r="Q50" i="15"/>
  <c r="P50" i="15"/>
  <c r="G50" i="15"/>
  <c r="C50" i="15"/>
  <c r="U49" i="15"/>
  <c r="V49" i="15" s="1"/>
  <c r="N49" i="15"/>
  <c r="Q49" i="15" s="1"/>
  <c r="G49" i="15"/>
  <c r="C49" i="15"/>
  <c r="U48" i="15"/>
  <c r="V48" i="15" s="1"/>
  <c r="Q48" i="15"/>
  <c r="G48" i="15"/>
  <c r="C48" i="15"/>
  <c r="U47" i="15"/>
  <c r="V47" i="15" s="1"/>
  <c r="Q47" i="15"/>
  <c r="P47" i="15"/>
  <c r="G47" i="15"/>
  <c r="C47" i="15"/>
  <c r="U46" i="15"/>
  <c r="V46" i="15" s="1"/>
  <c r="Q46" i="15"/>
  <c r="P46" i="15"/>
  <c r="G46" i="15"/>
  <c r="C46" i="15"/>
  <c r="U45" i="15"/>
  <c r="V45" i="15" s="1"/>
  <c r="Q45" i="15"/>
  <c r="P45" i="15"/>
  <c r="G45" i="15"/>
  <c r="C45" i="15"/>
  <c r="U44" i="15"/>
  <c r="V44" i="15" s="1"/>
  <c r="Q44" i="15"/>
  <c r="P44" i="15"/>
  <c r="G44" i="15"/>
  <c r="C44" i="15"/>
  <c r="U43" i="15"/>
  <c r="V43" i="15" s="1"/>
  <c r="Q43" i="15"/>
  <c r="P43" i="15"/>
  <c r="G43" i="15"/>
  <c r="C43" i="15"/>
  <c r="U42" i="15"/>
  <c r="V42" i="15" s="1"/>
  <c r="Q42" i="15"/>
  <c r="P42" i="15"/>
  <c r="G42" i="15"/>
  <c r="C42" i="15"/>
  <c r="U41" i="15"/>
  <c r="V41" i="15" s="1"/>
  <c r="Q41" i="15"/>
  <c r="P41" i="15"/>
  <c r="G41" i="15"/>
  <c r="C41" i="15"/>
  <c r="U40" i="15"/>
  <c r="V40" i="15" s="1"/>
  <c r="Q40" i="15"/>
  <c r="P40" i="15"/>
  <c r="G40" i="15"/>
  <c r="C40" i="15"/>
  <c r="U39" i="15"/>
  <c r="V39" i="15" s="1"/>
  <c r="Q39" i="15"/>
  <c r="P39" i="15"/>
  <c r="G39" i="15"/>
  <c r="C39" i="15"/>
  <c r="U38" i="15"/>
  <c r="V38" i="15" s="1"/>
  <c r="Q38" i="15"/>
  <c r="P38" i="15"/>
  <c r="G38" i="15"/>
  <c r="C38" i="15"/>
  <c r="U37" i="15"/>
  <c r="V37" i="15" s="1"/>
  <c r="Q37" i="15"/>
  <c r="P37" i="15"/>
  <c r="G37" i="15"/>
  <c r="C37" i="15"/>
  <c r="U36" i="15"/>
  <c r="V36" i="15" s="1"/>
  <c r="N36" i="15"/>
  <c r="Q36" i="15" s="1"/>
  <c r="G36" i="15"/>
  <c r="C36" i="15"/>
  <c r="U386" i="15"/>
  <c r="V386" i="15" s="1"/>
  <c r="N386" i="15"/>
  <c r="Q386" i="15" s="1"/>
  <c r="G386" i="15"/>
  <c r="C386" i="15"/>
  <c r="U35" i="15"/>
  <c r="V35" i="15" s="1"/>
  <c r="Q35" i="15"/>
  <c r="G35" i="15"/>
  <c r="C35" i="15"/>
  <c r="U34" i="15"/>
  <c r="V34" i="15" s="1"/>
  <c r="Q34" i="15"/>
  <c r="G34" i="15"/>
  <c r="C34" i="15"/>
  <c r="U33" i="15"/>
  <c r="V33" i="15" s="1"/>
  <c r="Q33" i="15"/>
  <c r="G33" i="15"/>
  <c r="C33" i="15"/>
  <c r="U32" i="15"/>
  <c r="V32" i="15" s="1"/>
  <c r="Q32" i="15"/>
  <c r="G32" i="15"/>
  <c r="C32" i="15"/>
  <c r="U31" i="15"/>
  <c r="V31" i="15" s="1"/>
  <c r="Q31" i="15"/>
  <c r="G31" i="15"/>
  <c r="C31" i="15"/>
  <c r="U30" i="15"/>
  <c r="V30" i="15" s="1"/>
  <c r="Q30" i="15"/>
  <c r="G30" i="15"/>
  <c r="C30" i="15"/>
  <c r="U29" i="15"/>
  <c r="V29" i="15" s="1"/>
  <c r="N29" i="15"/>
  <c r="Q29" i="15" s="1"/>
  <c r="G29" i="15"/>
  <c r="C29" i="15"/>
  <c r="U28" i="15"/>
  <c r="V28" i="15" s="1"/>
  <c r="Q28" i="15"/>
  <c r="G28" i="15"/>
  <c r="C28" i="15"/>
  <c r="U27" i="15"/>
  <c r="V27" i="15" s="1"/>
  <c r="Q27" i="15"/>
  <c r="P27" i="15"/>
  <c r="G27" i="15"/>
  <c r="C27" i="15"/>
  <c r="U26" i="15"/>
  <c r="V26" i="15" s="1"/>
  <c r="Q26" i="15"/>
  <c r="G26" i="15"/>
  <c r="C26" i="15"/>
  <c r="U25" i="15"/>
  <c r="V25" i="15" s="1"/>
  <c r="Q25" i="15"/>
  <c r="G25" i="15"/>
  <c r="C25" i="15"/>
  <c r="U216" i="15"/>
  <c r="V216" i="15" s="1"/>
  <c r="Q216" i="15"/>
  <c r="G216" i="15"/>
  <c r="C216" i="15"/>
  <c r="U24" i="15"/>
  <c r="V24" i="15" s="1"/>
  <c r="Q24" i="15"/>
  <c r="G24" i="15"/>
  <c r="C24" i="15"/>
  <c r="U23" i="15"/>
  <c r="V23" i="15" s="1"/>
  <c r="Q23" i="15"/>
  <c r="G23" i="15"/>
  <c r="C23" i="15"/>
  <c r="U22" i="15"/>
  <c r="V22" i="15" s="1"/>
  <c r="Q22" i="15"/>
  <c r="G22" i="15"/>
  <c r="C22" i="15"/>
  <c r="U21" i="15"/>
  <c r="V21" i="15" s="1"/>
  <c r="Q21" i="15"/>
  <c r="G21" i="15"/>
  <c r="C21" i="15"/>
  <c r="U20" i="15"/>
  <c r="V20" i="15" s="1"/>
  <c r="Q20" i="15"/>
  <c r="G20" i="15"/>
  <c r="C20" i="15"/>
  <c r="U19" i="15"/>
  <c r="V19" i="15" s="1"/>
  <c r="Q19" i="15"/>
  <c r="G19" i="15"/>
  <c r="C19" i="15"/>
  <c r="U695" i="15"/>
  <c r="V695" i="15" s="1"/>
  <c r="N695" i="15"/>
  <c r="Q695" i="15" s="1"/>
  <c r="G695" i="15"/>
  <c r="C695" i="15"/>
  <c r="U18" i="15"/>
  <c r="V18" i="15" s="1"/>
  <c r="Q18" i="15"/>
  <c r="G18" i="15"/>
  <c r="C18" i="15"/>
  <c r="U527" i="15"/>
  <c r="V527" i="15" s="1"/>
  <c r="Q527" i="15"/>
  <c r="G527" i="15"/>
  <c r="C527" i="15"/>
  <c r="U208" i="15"/>
  <c r="V208" i="15" s="1"/>
  <c r="Q208" i="15"/>
  <c r="G208" i="15"/>
  <c r="C208" i="15"/>
  <c r="N2463" i="16" l="1"/>
  <c r="H2463" i="16"/>
  <c r="I2463" i="16"/>
  <c r="F2463" i="16"/>
  <c r="I2461" i="16"/>
  <c r="I2457" i="16"/>
  <c r="I2453" i="16"/>
  <c r="F2452" i="16"/>
  <c r="F2456" i="16"/>
  <c r="F2460" i="16"/>
  <c r="N2451" i="16"/>
  <c r="H2454" i="16"/>
  <c r="N2455" i="16"/>
  <c r="H2458" i="16"/>
  <c r="N2459" i="16"/>
  <c r="H2462" i="16"/>
  <c r="I2455" i="16"/>
  <c r="F2454" i="16"/>
  <c r="F2462" i="16"/>
  <c r="H2452" i="16"/>
  <c r="H2456" i="16"/>
  <c r="N2461" i="16"/>
  <c r="I2462" i="16"/>
  <c r="F2451" i="16"/>
  <c r="F2459" i="16"/>
  <c r="N2452" i="16"/>
  <c r="H2455" i="16"/>
  <c r="N2460" i="16"/>
  <c r="I2460" i="16"/>
  <c r="I2456" i="16"/>
  <c r="I2452" i="16"/>
  <c r="F2453" i="16"/>
  <c r="F2457" i="16"/>
  <c r="F2461" i="16"/>
  <c r="H2453" i="16"/>
  <c r="N2454" i="16"/>
  <c r="H2457" i="16"/>
  <c r="N2458" i="16"/>
  <c r="H2461" i="16"/>
  <c r="N2462" i="16"/>
  <c r="O2462" i="16" s="1"/>
  <c r="I2459" i="16"/>
  <c r="I2451" i="16"/>
  <c r="F2458" i="16"/>
  <c r="N2453" i="16"/>
  <c r="N2457" i="16"/>
  <c r="H2460" i="16"/>
  <c r="I2458" i="16"/>
  <c r="I2454" i="16"/>
  <c r="F2455" i="16"/>
  <c r="H2451" i="16"/>
  <c r="N2456" i="16"/>
  <c r="H2459" i="16"/>
  <c r="O793" i="16"/>
  <c r="L793" i="16" s="1"/>
  <c r="A793" i="16" s="1"/>
  <c r="O798" i="16"/>
  <c r="L798" i="16" s="1"/>
  <c r="A798" i="16" s="1"/>
  <c r="O830" i="16"/>
  <c r="L830" i="16" s="1"/>
  <c r="A830" i="16" s="1"/>
  <c r="O846" i="16"/>
  <c r="L846" i="16" s="1"/>
  <c r="A846" i="16" s="1"/>
  <c r="O959" i="16"/>
  <c r="L959" i="16" s="1"/>
  <c r="A959" i="16" s="1"/>
  <c r="O967" i="16"/>
  <c r="L967" i="16" s="1"/>
  <c r="A967" i="16" s="1"/>
  <c r="O972" i="16"/>
  <c r="L972" i="16" s="1"/>
  <c r="A972" i="16" s="1"/>
  <c r="O1008" i="16"/>
  <c r="L1008" i="16" s="1"/>
  <c r="A1008" i="16" s="1"/>
  <c r="O1024" i="16"/>
  <c r="L1024" i="16" s="1"/>
  <c r="A1024" i="16" s="1"/>
  <c r="O1029" i="16"/>
  <c r="L1029" i="16" s="1"/>
  <c r="A1029" i="16" s="1"/>
  <c r="O1045" i="16"/>
  <c r="L1045" i="16" s="1"/>
  <c r="A1045" i="16" s="1"/>
  <c r="O1053" i="16"/>
  <c r="L1053" i="16" s="1"/>
  <c r="A1053" i="16" s="1"/>
  <c r="O1061" i="16"/>
  <c r="L1061" i="16" s="1"/>
  <c r="A1061" i="16" s="1"/>
  <c r="O1109" i="16"/>
  <c r="L1109" i="16" s="1"/>
  <c r="A1109" i="16" s="1"/>
  <c r="O1117" i="16"/>
  <c r="L1117" i="16" s="1"/>
  <c r="A1117" i="16" s="1"/>
  <c r="O1146" i="16"/>
  <c r="L1146" i="16" s="1"/>
  <c r="A1146" i="16" s="1"/>
  <c r="O1154" i="16"/>
  <c r="L1154" i="16" s="1"/>
  <c r="A1154" i="16" s="1"/>
  <c r="O1167" i="16"/>
  <c r="L1167" i="16" s="1"/>
  <c r="A1167" i="16" s="1"/>
  <c r="O1199" i="16"/>
  <c r="L1199" i="16" s="1"/>
  <c r="A1199" i="16" s="1"/>
  <c r="O1207" i="16"/>
  <c r="L1207" i="16" s="1"/>
  <c r="A1207" i="16" s="1"/>
  <c r="O770" i="16"/>
  <c r="L770" i="16" s="1"/>
  <c r="A770" i="16" s="1"/>
  <c r="O732" i="16"/>
  <c r="L732" i="16" s="1"/>
  <c r="A732" i="16" s="1"/>
  <c r="O765" i="16"/>
  <c r="L765" i="16" s="1"/>
  <c r="A765" i="16" s="1"/>
  <c r="O773" i="16"/>
  <c r="L773" i="16" s="1"/>
  <c r="A773" i="16" s="1"/>
  <c r="O858" i="16"/>
  <c r="L858" i="16" s="1"/>
  <c r="A858" i="16" s="1"/>
  <c r="O982" i="16"/>
  <c r="L982" i="16" s="1"/>
  <c r="A982" i="16" s="1"/>
  <c r="O998" i="16"/>
  <c r="L998" i="16" s="1"/>
  <c r="A998" i="16" s="1"/>
  <c r="O1072" i="16"/>
  <c r="L1072" i="16" s="1"/>
  <c r="A1072" i="16" s="1"/>
  <c r="O1149" i="16"/>
  <c r="L1149" i="16" s="1"/>
  <c r="A1149" i="16" s="1"/>
  <c r="O1178" i="16"/>
  <c r="L1178" i="16" s="1"/>
  <c r="A1178" i="16" s="1"/>
  <c r="O1202" i="16"/>
  <c r="L1202" i="16" s="1"/>
  <c r="A1202" i="16" s="1"/>
  <c r="O1218" i="16"/>
  <c r="L1218" i="16" s="1"/>
  <c r="A1218" i="16" s="1"/>
  <c r="O1226" i="16"/>
  <c r="L1226" i="16" s="1"/>
  <c r="A1226" i="16" s="1"/>
  <c r="O943" i="16"/>
  <c r="L943" i="16" s="1"/>
  <c r="A943" i="16" s="1"/>
  <c r="O962" i="16"/>
  <c r="L962" i="16" s="1"/>
  <c r="A962" i="16" s="1"/>
  <c r="O975" i="16"/>
  <c r="L975" i="16" s="1"/>
  <c r="A975" i="16" s="1"/>
  <c r="O1048" i="16"/>
  <c r="L1048" i="16" s="1"/>
  <c r="A1048" i="16" s="1"/>
  <c r="O1056" i="16"/>
  <c r="L1056" i="16" s="1"/>
  <c r="A1056" i="16" s="1"/>
  <c r="O760" i="16"/>
  <c r="L760" i="16" s="1"/>
  <c r="A760" i="16" s="1"/>
  <c r="O957" i="16"/>
  <c r="L957" i="16" s="1"/>
  <c r="A957" i="16" s="1"/>
  <c r="O978" i="16"/>
  <c r="L978" i="16" s="1"/>
  <c r="A978" i="16" s="1"/>
  <c r="O1022" i="16"/>
  <c r="L1022" i="16" s="1"/>
  <c r="A1022" i="16" s="1"/>
  <c r="O1075" i="16"/>
  <c r="L1075" i="16" s="1"/>
  <c r="A1075" i="16" s="1"/>
  <c r="O1107" i="16"/>
  <c r="L1107" i="16" s="1"/>
  <c r="A1107" i="16" s="1"/>
  <c r="O1115" i="16"/>
  <c r="L1115" i="16" s="1"/>
  <c r="A1115" i="16" s="1"/>
  <c r="O1131" i="16"/>
  <c r="L1131" i="16" s="1"/>
  <c r="A1131" i="16" s="1"/>
  <c r="O1152" i="16"/>
  <c r="L1152" i="16" s="1"/>
  <c r="A1152" i="16" s="1"/>
  <c r="O1181" i="16"/>
  <c r="L1181" i="16" s="1"/>
  <c r="A1181" i="16" s="1"/>
  <c r="O1205" i="16"/>
  <c r="L1205" i="16" s="1"/>
  <c r="A1205" i="16" s="1"/>
  <c r="O1229" i="16"/>
  <c r="L1229" i="16" s="1"/>
  <c r="A1229" i="16" s="1"/>
  <c r="O1231" i="16"/>
  <c r="L1231" i="16" s="1"/>
  <c r="A1231" i="16" s="1"/>
  <c r="O1239" i="16"/>
  <c r="L1239" i="16" s="1"/>
  <c r="A1239" i="16" s="1"/>
  <c r="O684" i="16"/>
  <c r="L684" i="16" s="1"/>
  <c r="A684" i="16" s="1"/>
  <c r="O809" i="16"/>
  <c r="L809" i="16" s="1"/>
  <c r="A809" i="16" s="1"/>
  <c r="O879" i="16"/>
  <c r="L879" i="16" s="1"/>
  <c r="A879" i="16" s="1"/>
  <c r="O1003" i="16"/>
  <c r="L1003" i="16" s="1"/>
  <c r="A1003" i="16" s="1"/>
  <c r="O1170" i="16"/>
  <c r="L1170" i="16" s="1"/>
  <c r="A1170" i="16" s="1"/>
  <c r="O682" i="16"/>
  <c r="L682" i="16" s="1"/>
  <c r="A682" i="16" s="1"/>
  <c r="O719" i="16"/>
  <c r="L719" i="16" s="1"/>
  <c r="A719" i="16" s="1"/>
  <c r="O768" i="16"/>
  <c r="L768" i="16" s="1"/>
  <c r="A768" i="16" s="1"/>
  <c r="O791" i="16"/>
  <c r="L791" i="16" s="1"/>
  <c r="A791" i="16" s="1"/>
  <c r="O828" i="16"/>
  <c r="L828" i="16" s="1"/>
  <c r="A828" i="16" s="1"/>
  <c r="O844" i="16"/>
  <c r="L844" i="16" s="1"/>
  <c r="A844" i="16" s="1"/>
  <c r="O861" i="16"/>
  <c r="L861" i="16" s="1"/>
  <c r="A861" i="16" s="1"/>
  <c r="O965" i="16"/>
  <c r="L965" i="16" s="1"/>
  <c r="A965" i="16" s="1"/>
  <c r="O763" i="16"/>
  <c r="L763" i="16" s="1"/>
  <c r="A763" i="16" s="1"/>
  <c r="O771" i="16"/>
  <c r="L771" i="16" s="1"/>
  <c r="A771" i="16" s="1"/>
  <c r="O794" i="16"/>
  <c r="L794" i="16" s="1"/>
  <c r="A794" i="16" s="1"/>
  <c r="O831" i="16"/>
  <c r="L831" i="16" s="1"/>
  <c r="A831" i="16" s="1"/>
  <c r="O847" i="16"/>
  <c r="L847" i="16" s="1"/>
  <c r="A847" i="16" s="1"/>
  <c r="O925" i="16"/>
  <c r="L925" i="16" s="1"/>
  <c r="A925" i="16" s="1"/>
  <c r="O960" i="16"/>
  <c r="L960" i="16" s="1"/>
  <c r="A960" i="16" s="1"/>
  <c r="O968" i="16"/>
  <c r="L968" i="16" s="1"/>
  <c r="A968" i="16" s="1"/>
  <c r="O971" i="16"/>
  <c r="L971" i="16" s="1"/>
  <c r="A971" i="16" s="1"/>
  <c r="O973" i="16"/>
  <c r="L973" i="16" s="1"/>
  <c r="A973" i="16" s="1"/>
  <c r="O980" i="16"/>
  <c r="L980" i="16" s="1"/>
  <c r="A980" i="16" s="1"/>
  <c r="O1025" i="16"/>
  <c r="L1025" i="16" s="1"/>
  <c r="A1025" i="16" s="1"/>
  <c r="O1030" i="16"/>
  <c r="L1030" i="16" s="1"/>
  <c r="A1030" i="16" s="1"/>
  <c r="O1046" i="16"/>
  <c r="L1046" i="16" s="1"/>
  <c r="A1046" i="16" s="1"/>
  <c r="O1054" i="16"/>
  <c r="L1054" i="16" s="1"/>
  <c r="A1054" i="16" s="1"/>
  <c r="O1070" i="16"/>
  <c r="L1070" i="16" s="1"/>
  <c r="A1070" i="16" s="1"/>
  <c r="O1086" i="16"/>
  <c r="L1086" i="16" s="1"/>
  <c r="A1086" i="16" s="1"/>
  <c r="O1110" i="16"/>
  <c r="L1110" i="16" s="1"/>
  <c r="A1110" i="16" s="1"/>
  <c r="O1147" i="16"/>
  <c r="L1147" i="16" s="1"/>
  <c r="A1147" i="16" s="1"/>
  <c r="O1168" i="16"/>
  <c r="L1168" i="16" s="1"/>
  <c r="A1168" i="16" s="1"/>
  <c r="O1176" i="16"/>
  <c r="L1176" i="16" s="1"/>
  <c r="A1176" i="16" s="1"/>
  <c r="O1184" i="16"/>
  <c r="L1184" i="16" s="1"/>
  <c r="A1184" i="16" s="1"/>
  <c r="O1200" i="16"/>
  <c r="L1200" i="16" s="1"/>
  <c r="A1200" i="16" s="1"/>
  <c r="O1208" i="16"/>
  <c r="L1208" i="16" s="1"/>
  <c r="A1208" i="16" s="1"/>
  <c r="O729" i="16"/>
  <c r="L729" i="16" s="1"/>
  <c r="A729" i="16" s="1"/>
  <c r="O762" i="16"/>
  <c r="L762" i="16" s="1"/>
  <c r="A762" i="16" s="1"/>
  <c r="O766" i="16"/>
  <c r="L766" i="16" s="1"/>
  <c r="A766" i="16" s="1"/>
  <c r="O774" i="16"/>
  <c r="L774" i="16" s="1"/>
  <c r="A774" i="16" s="1"/>
  <c r="O778" i="16"/>
  <c r="L778" i="16" s="1"/>
  <c r="A778" i="16" s="1"/>
  <c r="O850" i="16"/>
  <c r="L850" i="16" s="1"/>
  <c r="A850" i="16" s="1"/>
  <c r="O859" i="16"/>
  <c r="L859" i="16" s="1"/>
  <c r="A859" i="16" s="1"/>
  <c r="O880" i="16"/>
  <c r="L880" i="16" s="1"/>
  <c r="A880" i="16" s="1"/>
  <c r="O944" i="16"/>
  <c r="L944" i="16" s="1"/>
  <c r="A944" i="16" s="1"/>
  <c r="O963" i="16"/>
  <c r="L963" i="16" s="1"/>
  <c r="A963" i="16" s="1"/>
  <c r="O976" i="16"/>
  <c r="L976" i="16" s="1"/>
  <c r="A976" i="16" s="1"/>
  <c r="O1042" i="16"/>
  <c r="L1042" i="16" s="1"/>
  <c r="A1042" i="16" s="1"/>
  <c r="O1049" i="16"/>
  <c r="L1049" i="16" s="1"/>
  <c r="A1049" i="16" s="1"/>
  <c r="O1057" i="16"/>
  <c r="L1057" i="16" s="1"/>
  <c r="A1057" i="16" s="1"/>
  <c r="O1073" i="16"/>
  <c r="L1073" i="16" s="1"/>
  <c r="A1073" i="16" s="1"/>
  <c r="O1113" i="16"/>
  <c r="L1113" i="16" s="1"/>
  <c r="A1113" i="16" s="1"/>
  <c r="O1134" i="16"/>
  <c r="L1134" i="16" s="1"/>
  <c r="A1134" i="16" s="1"/>
  <c r="O1142" i="16"/>
  <c r="L1142" i="16" s="1"/>
  <c r="A1142" i="16" s="1"/>
  <c r="O1150" i="16"/>
  <c r="L1150" i="16" s="1"/>
  <c r="A1150" i="16" s="1"/>
  <c r="O1155" i="16"/>
  <c r="L1155" i="16" s="1"/>
  <c r="A1155" i="16" s="1"/>
  <c r="O1171" i="16"/>
  <c r="L1171" i="16" s="1"/>
  <c r="A1171" i="16" s="1"/>
  <c r="O1179" i="16"/>
  <c r="L1179" i="16" s="1"/>
  <c r="A1179" i="16" s="1"/>
  <c r="O1203" i="16"/>
  <c r="L1203" i="16" s="1"/>
  <c r="A1203" i="16" s="1"/>
  <c r="O1219" i="16"/>
  <c r="L1219" i="16" s="1"/>
  <c r="A1219" i="16" s="1"/>
  <c r="O688" i="16"/>
  <c r="L688" i="16" s="1"/>
  <c r="A688" i="16" s="1"/>
  <c r="O712" i="16"/>
  <c r="L712" i="16" s="1"/>
  <c r="A712" i="16" s="1"/>
  <c r="O683" i="16"/>
  <c r="L683" i="16" s="1"/>
  <c r="A683" i="16" s="1"/>
  <c r="O720" i="16"/>
  <c r="L720" i="16" s="1"/>
  <c r="A720" i="16" s="1"/>
  <c r="O728" i="16"/>
  <c r="L728" i="16" s="1"/>
  <c r="A728" i="16" s="1"/>
  <c r="O761" i="16"/>
  <c r="L761" i="16" s="1"/>
  <c r="A761" i="16" s="1"/>
  <c r="O769" i="16"/>
  <c r="L769" i="16" s="1"/>
  <c r="A769" i="16" s="1"/>
  <c r="O792" i="16"/>
  <c r="L792" i="16" s="1"/>
  <c r="A792" i="16" s="1"/>
  <c r="O845" i="16"/>
  <c r="L845" i="16" s="1"/>
  <c r="A845" i="16" s="1"/>
  <c r="O862" i="16"/>
  <c r="L862" i="16" s="1"/>
  <c r="A862" i="16" s="1"/>
  <c r="O958" i="16"/>
  <c r="L958" i="16" s="1"/>
  <c r="A958" i="16" s="1"/>
  <c r="O966" i="16"/>
  <c r="L966" i="16" s="1"/>
  <c r="A966" i="16" s="1"/>
  <c r="O979" i="16"/>
  <c r="L979" i="16" s="1"/>
  <c r="A979" i="16" s="1"/>
  <c r="O1002" i="16"/>
  <c r="L1002" i="16" s="1"/>
  <c r="A1002" i="16" s="1"/>
  <c r="O1023" i="16"/>
  <c r="L1023" i="16" s="1"/>
  <c r="A1023" i="16" s="1"/>
  <c r="O1028" i="16"/>
  <c r="L1028" i="16" s="1"/>
  <c r="A1028" i="16" s="1"/>
  <c r="O1035" i="16"/>
  <c r="L1035" i="16" s="1"/>
  <c r="A1035" i="16" s="1"/>
  <c r="O1108" i="16"/>
  <c r="L1108" i="16" s="1"/>
  <c r="A1108" i="16" s="1"/>
  <c r="O1116" i="16"/>
  <c r="L1116" i="16" s="1"/>
  <c r="A1116" i="16" s="1"/>
  <c r="O1132" i="16"/>
  <c r="L1132" i="16" s="1"/>
  <c r="A1132" i="16" s="1"/>
  <c r="O1153" i="16"/>
  <c r="L1153" i="16" s="1"/>
  <c r="A1153" i="16" s="1"/>
  <c r="O1166" i="16"/>
  <c r="L1166" i="16" s="1"/>
  <c r="A1166" i="16" s="1"/>
  <c r="O1174" i="16"/>
  <c r="L1174" i="16" s="1"/>
  <c r="A1174" i="16" s="1"/>
  <c r="O1198" i="16"/>
  <c r="L1198" i="16" s="1"/>
  <c r="A1198" i="16" s="1"/>
  <c r="O1206" i="16"/>
  <c r="L1206" i="16" s="1"/>
  <c r="A1206" i="16" s="1"/>
  <c r="O1222" i="16"/>
  <c r="L1222" i="16" s="1"/>
  <c r="A1222" i="16" s="1"/>
  <c r="O1232" i="16"/>
  <c r="L1232" i="16" s="1"/>
  <c r="A1232" i="16" s="1"/>
  <c r="O731" i="16"/>
  <c r="L731" i="16" s="1"/>
  <c r="A731" i="16" s="1"/>
  <c r="O764" i="16"/>
  <c r="L764" i="16" s="1"/>
  <c r="A764" i="16" s="1"/>
  <c r="O816" i="16"/>
  <c r="L816" i="16" s="1"/>
  <c r="A816" i="16" s="1"/>
  <c r="O848" i="16"/>
  <c r="L848" i="16" s="1"/>
  <c r="A848" i="16" s="1"/>
  <c r="O857" i="16"/>
  <c r="L857" i="16" s="1"/>
  <c r="A857" i="16" s="1"/>
  <c r="O878" i="16"/>
  <c r="L878" i="16" s="1"/>
  <c r="A878" i="16" s="1"/>
  <c r="O926" i="16"/>
  <c r="L926" i="16" s="1"/>
  <c r="A926" i="16" s="1"/>
  <c r="O942" i="16"/>
  <c r="L942" i="16" s="1"/>
  <c r="A942" i="16" s="1"/>
  <c r="O961" i="16"/>
  <c r="L961" i="16" s="1"/>
  <c r="A961" i="16" s="1"/>
  <c r="O974" i="16"/>
  <c r="L974" i="16" s="1"/>
  <c r="A974" i="16" s="1"/>
  <c r="O981" i="16"/>
  <c r="L981" i="16" s="1"/>
  <c r="A981" i="16" s="1"/>
  <c r="O1031" i="16"/>
  <c r="L1031" i="16" s="1"/>
  <c r="A1031" i="16" s="1"/>
  <c r="O1047" i="16"/>
  <c r="L1047" i="16" s="1"/>
  <c r="A1047" i="16" s="1"/>
  <c r="O1071" i="16"/>
  <c r="L1071" i="16" s="1"/>
  <c r="A1071" i="16" s="1"/>
  <c r="O1111" i="16"/>
  <c r="L1111" i="16" s="1"/>
  <c r="A1111" i="16" s="1"/>
  <c r="O1148" i="16"/>
  <c r="L1148" i="16" s="1"/>
  <c r="A1148" i="16" s="1"/>
  <c r="O1169" i="16"/>
  <c r="L1169" i="16" s="1"/>
  <c r="A1169" i="16" s="1"/>
  <c r="O1177" i="16"/>
  <c r="L1177" i="16" s="1"/>
  <c r="A1177" i="16" s="1"/>
  <c r="O1185" i="16"/>
  <c r="L1185" i="16" s="1"/>
  <c r="A1185" i="16" s="1"/>
  <c r="O1193" i="16"/>
  <c r="L1193" i="16" s="1"/>
  <c r="A1193" i="16" s="1"/>
  <c r="O1201" i="16"/>
  <c r="L1201" i="16" s="1"/>
  <c r="A1201" i="16" s="1"/>
  <c r="O1209" i="16"/>
  <c r="L1209" i="16" s="1"/>
  <c r="A1209" i="16" s="1"/>
  <c r="O1225" i="16"/>
  <c r="L1225" i="16" s="1"/>
  <c r="A1225" i="16" s="1"/>
  <c r="O1230" i="16"/>
  <c r="L1230" i="16" s="1"/>
  <c r="A1230" i="16" s="1"/>
  <c r="O681" i="16"/>
  <c r="L681" i="16" s="1"/>
  <c r="A681" i="16" s="1"/>
  <c r="O689" i="16"/>
  <c r="L689" i="16" s="1"/>
  <c r="A689" i="16" s="1"/>
  <c r="O759" i="16"/>
  <c r="L759" i="16" s="1"/>
  <c r="A759" i="16" s="1"/>
  <c r="O767" i="16"/>
  <c r="L767" i="16" s="1"/>
  <c r="A767" i="16" s="1"/>
  <c r="O790" i="16"/>
  <c r="L790" i="16" s="1"/>
  <c r="A790" i="16" s="1"/>
  <c r="O819" i="16"/>
  <c r="L819" i="16" s="1"/>
  <c r="A819" i="16" s="1"/>
  <c r="O827" i="16"/>
  <c r="L827" i="16" s="1"/>
  <c r="A827" i="16" s="1"/>
  <c r="O860" i="16"/>
  <c r="L860" i="16" s="1"/>
  <c r="A860" i="16" s="1"/>
  <c r="O889" i="16"/>
  <c r="L889" i="16" s="1"/>
  <c r="A889" i="16" s="1"/>
  <c r="O956" i="16"/>
  <c r="L956" i="16" s="1"/>
  <c r="A956" i="16" s="1"/>
  <c r="O964" i="16"/>
  <c r="L964" i="16" s="1"/>
  <c r="A964" i="16" s="1"/>
  <c r="O977" i="16"/>
  <c r="L977" i="16" s="1"/>
  <c r="A977" i="16" s="1"/>
  <c r="O1026" i="16"/>
  <c r="L1026" i="16" s="1"/>
  <c r="A1026" i="16" s="1"/>
  <c r="O1043" i="16"/>
  <c r="L1043" i="16" s="1"/>
  <c r="A1043" i="16" s="1"/>
  <c r="O1114" i="16"/>
  <c r="L1114" i="16" s="1"/>
  <c r="A1114" i="16" s="1"/>
  <c r="O1130" i="16"/>
  <c r="L1130" i="16" s="1"/>
  <c r="A1130" i="16" s="1"/>
  <c r="O1151" i="16"/>
  <c r="L1151" i="16" s="1"/>
  <c r="A1151" i="16" s="1"/>
  <c r="O1204" i="16"/>
  <c r="L1204" i="16" s="1"/>
  <c r="A1204" i="16" s="1"/>
  <c r="O1228" i="16"/>
  <c r="L1228" i="16" s="1"/>
  <c r="A1228" i="16" s="1"/>
  <c r="O1238" i="16"/>
  <c r="L1238" i="16" s="1"/>
  <c r="A1238" i="16" s="1"/>
  <c r="N2450" i="16"/>
  <c r="H2450" i="16"/>
  <c r="I2450" i="16"/>
  <c r="F2450" i="16"/>
  <c r="O1237" i="16"/>
  <c r="L1237" i="16" s="1"/>
  <c r="O1236" i="16"/>
  <c r="L1236" i="16" s="1"/>
  <c r="O1235" i="16"/>
  <c r="O1227" i="16"/>
  <c r="L1227" i="16" s="1"/>
  <c r="O1211" i="16"/>
  <c r="L1211" i="16" s="1"/>
  <c r="O1195" i="16"/>
  <c r="L1195" i="16" s="1"/>
  <c r="O1187" i="16"/>
  <c r="O1163" i="16"/>
  <c r="L1163" i="16" s="1"/>
  <c r="O1139" i="16"/>
  <c r="O1123" i="16"/>
  <c r="L1123" i="16" s="1"/>
  <c r="O1099" i="16"/>
  <c r="O1091" i="16"/>
  <c r="L1091" i="16" s="1"/>
  <c r="A1091" i="16" s="1"/>
  <c r="O1083" i="16"/>
  <c r="O1067" i="16"/>
  <c r="L1067" i="16" s="1"/>
  <c r="O1059" i="16"/>
  <c r="O1051" i="16"/>
  <c r="L1051" i="16" s="1"/>
  <c r="O1027" i="16"/>
  <c r="L1027" i="16" s="1"/>
  <c r="O1019" i="16"/>
  <c r="O1011" i="16"/>
  <c r="O995" i="16"/>
  <c r="L995" i="16" s="1"/>
  <c r="O987" i="16"/>
  <c r="L987" i="16" s="1"/>
  <c r="O955" i="16"/>
  <c r="L955" i="16" s="1"/>
  <c r="O947" i="16"/>
  <c r="O939" i="16"/>
  <c r="O931" i="16"/>
  <c r="L931" i="16" s="1"/>
  <c r="O923" i="16"/>
  <c r="L923" i="16" s="1"/>
  <c r="O915" i="16"/>
  <c r="L915" i="16" s="1"/>
  <c r="O907" i="16"/>
  <c r="L907" i="16" s="1"/>
  <c r="O899" i="16"/>
  <c r="L899" i="16" s="1"/>
  <c r="O891" i="16"/>
  <c r="L891" i="16" s="1"/>
  <c r="O883" i="16"/>
  <c r="L883" i="16" s="1"/>
  <c r="O875" i="16"/>
  <c r="L875" i="16" s="1"/>
  <c r="O867" i="16"/>
  <c r="O851" i="16"/>
  <c r="O843" i="16"/>
  <c r="L843" i="16" s="1"/>
  <c r="O835" i="16"/>
  <c r="L835" i="16" s="1"/>
  <c r="O811" i="16"/>
  <c r="L811" i="16" s="1"/>
  <c r="O803" i="16"/>
  <c r="L803" i="16" s="1"/>
  <c r="O795" i="16"/>
  <c r="L795" i="16" s="1"/>
  <c r="O787" i="16"/>
  <c r="L787" i="16" s="1"/>
  <c r="A787" i="16" s="1"/>
  <c r="O779" i="16"/>
  <c r="L779" i="16" s="1"/>
  <c r="O755" i="16"/>
  <c r="O747" i="16"/>
  <c r="L747" i="16" s="1"/>
  <c r="O739" i="16"/>
  <c r="L739" i="16" s="1"/>
  <c r="A739" i="16" s="1"/>
  <c r="O723" i="16"/>
  <c r="O715" i="16"/>
  <c r="L715" i="16" s="1"/>
  <c r="O707" i="16"/>
  <c r="L707" i="16" s="1"/>
  <c r="O699" i="16"/>
  <c r="L699" i="16" s="1"/>
  <c r="A699" i="16" s="1"/>
  <c r="O691" i="16"/>
  <c r="L691" i="16" s="1"/>
  <c r="O752" i="16"/>
  <c r="O680" i="16"/>
  <c r="L680" i="16" s="1"/>
  <c r="O1191" i="16"/>
  <c r="L1191" i="16" s="1"/>
  <c r="A1191" i="16" s="1"/>
  <c r="O1175" i="16"/>
  <c r="O1159" i="16"/>
  <c r="L1159" i="16" s="1"/>
  <c r="O1135" i="16"/>
  <c r="L1135" i="16" s="1"/>
  <c r="O1119" i="16"/>
  <c r="L1119" i="16" s="1"/>
  <c r="A1119" i="16" s="1"/>
  <c r="O1103" i="16"/>
  <c r="O1087" i="16"/>
  <c r="O1055" i="16"/>
  <c r="L1055" i="16" s="1"/>
  <c r="A1055" i="16" s="1"/>
  <c r="O1039" i="16"/>
  <c r="L1039" i="16" s="1"/>
  <c r="O1007" i="16"/>
  <c r="O991" i="16"/>
  <c r="O935" i="16"/>
  <c r="O919" i="16"/>
  <c r="L919" i="16" s="1"/>
  <c r="O903" i="16"/>
  <c r="L903" i="16" s="1"/>
  <c r="O887" i="16"/>
  <c r="L887" i="16" s="1"/>
  <c r="O855" i="16"/>
  <c r="L855" i="16" s="1"/>
  <c r="O823" i="16"/>
  <c r="L823" i="16" s="1"/>
  <c r="O807" i="16"/>
  <c r="O751" i="16"/>
  <c r="O727" i="16"/>
  <c r="L727" i="16" s="1"/>
  <c r="O695" i="16"/>
  <c r="L695" i="16" s="1"/>
  <c r="O679" i="16"/>
  <c r="L679" i="16" s="1"/>
  <c r="O1182" i="16"/>
  <c r="L1182" i="16" s="1"/>
  <c r="O1118" i="16"/>
  <c r="O1102" i="16"/>
  <c r="L1102" i="16" s="1"/>
  <c r="A1102" i="16" s="1"/>
  <c r="O1062" i="16"/>
  <c r="O1014" i="16"/>
  <c r="O950" i="16"/>
  <c r="O918" i="16"/>
  <c r="L918" i="16" s="1"/>
  <c r="O902" i="16"/>
  <c r="O886" i="16"/>
  <c r="O838" i="16"/>
  <c r="O822" i="16"/>
  <c r="L822" i="16" s="1"/>
  <c r="O1234" i="16"/>
  <c r="L1234" i="16" s="1"/>
  <c r="O1210" i="16"/>
  <c r="L1210" i="16" s="1"/>
  <c r="O1194" i="16"/>
  <c r="L1194" i="16" s="1"/>
  <c r="O1186" i="16"/>
  <c r="L1186" i="16" s="1"/>
  <c r="O1162" i="16"/>
  <c r="O1138" i="16"/>
  <c r="L1138" i="16" s="1"/>
  <c r="O1122" i="16"/>
  <c r="L1122" i="16" s="1"/>
  <c r="O1106" i="16"/>
  <c r="L1106" i="16" s="1"/>
  <c r="A1106" i="16" s="1"/>
  <c r="O1098" i="16"/>
  <c r="L1098" i="16" s="1"/>
  <c r="O1090" i="16"/>
  <c r="L1090" i="16" s="1"/>
  <c r="O1082" i="16"/>
  <c r="O1074" i="16"/>
  <c r="L1074" i="16" s="1"/>
  <c r="O1066" i="16"/>
  <c r="O1058" i="16"/>
  <c r="L1058" i="16" s="1"/>
  <c r="O1050" i="16"/>
  <c r="L1050" i="16" s="1"/>
  <c r="O1034" i="16"/>
  <c r="L1034" i="16" s="1"/>
  <c r="O1018" i="16"/>
  <c r="L1018" i="16" s="1"/>
  <c r="O1010" i="16"/>
  <c r="O994" i="16"/>
  <c r="O986" i="16"/>
  <c r="L986" i="16" s="1"/>
  <c r="A986" i="16" s="1"/>
  <c r="O970" i="16"/>
  <c r="L970" i="16" s="1"/>
  <c r="O954" i="16"/>
  <c r="O946" i="16"/>
  <c r="L946" i="16" s="1"/>
  <c r="O938" i="16"/>
  <c r="L938" i="16" s="1"/>
  <c r="O930" i="16"/>
  <c r="L930" i="16" s="1"/>
  <c r="O922" i="16"/>
  <c r="O914" i="16"/>
  <c r="O906" i="16"/>
  <c r="L906" i="16" s="1"/>
  <c r="O898" i="16"/>
  <c r="L898" i="16" s="1"/>
  <c r="O890" i="16"/>
  <c r="O882" i="16"/>
  <c r="L882" i="16" s="1"/>
  <c r="O874" i="16"/>
  <c r="L874" i="16" s="1"/>
  <c r="A874" i="16" s="1"/>
  <c r="O866" i="16"/>
  <c r="O842" i="16"/>
  <c r="L842" i="16" s="1"/>
  <c r="O834" i="16"/>
  <c r="O826" i="16"/>
  <c r="L826" i="16" s="1"/>
  <c r="O818" i="16"/>
  <c r="L818" i="16" s="1"/>
  <c r="O810" i="16"/>
  <c r="L810" i="16" s="1"/>
  <c r="O802" i="16"/>
  <c r="L802" i="16" s="1"/>
  <c r="O786" i="16"/>
  <c r="L786" i="16" s="1"/>
  <c r="O754" i="16"/>
  <c r="L754" i="16" s="1"/>
  <c r="O746" i="16"/>
  <c r="O738" i="16"/>
  <c r="L738" i="16" s="1"/>
  <c r="O730" i="16"/>
  <c r="L730" i="16" s="1"/>
  <c r="O722" i="16"/>
  <c r="L722" i="16" s="1"/>
  <c r="O714" i="16"/>
  <c r="O706" i="16"/>
  <c r="L706" i="16" s="1"/>
  <c r="O698" i="16"/>
  <c r="O690" i="16"/>
  <c r="L690" i="16" s="1"/>
  <c r="O776" i="16"/>
  <c r="O736" i="16"/>
  <c r="O696" i="16"/>
  <c r="L696" i="16" s="1"/>
  <c r="O1215" i="16"/>
  <c r="L1215" i="16" s="1"/>
  <c r="O1183" i="16"/>
  <c r="L1183" i="16" s="1"/>
  <c r="O1143" i="16"/>
  <c r="O1127" i="16"/>
  <c r="L1127" i="16" s="1"/>
  <c r="O1095" i="16"/>
  <c r="O1079" i="16"/>
  <c r="O1063" i="16"/>
  <c r="O1015" i="16"/>
  <c r="L1015" i="16" s="1"/>
  <c r="A1015" i="16" s="1"/>
  <c r="O999" i="16"/>
  <c r="L999" i="16" s="1"/>
  <c r="O983" i="16"/>
  <c r="L983" i="16" s="1"/>
  <c r="O951" i="16"/>
  <c r="L951" i="16" s="1"/>
  <c r="O927" i="16"/>
  <c r="L927" i="16" s="1"/>
  <c r="O895" i="16"/>
  <c r="L895" i="16" s="1"/>
  <c r="O863" i="16"/>
  <c r="O815" i="16"/>
  <c r="O799" i="16"/>
  <c r="O783" i="16"/>
  <c r="L783" i="16" s="1"/>
  <c r="O743" i="16"/>
  <c r="L743" i="16" s="1"/>
  <c r="O711" i="16"/>
  <c r="L711" i="16" s="1"/>
  <c r="O687" i="16"/>
  <c r="L687" i="16" s="1"/>
  <c r="A687" i="16" s="1"/>
  <c r="O1190" i="16"/>
  <c r="L1190" i="16" s="1"/>
  <c r="O1158" i="16"/>
  <c r="O1126" i="16"/>
  <c r="O1094" i="16"/>
  <c r="L1094" i="16" s="1"/>
  <c r="O1078" i="16"/>
  <c r="L1078" i="16" s="1"/>
  <c r="O1038" i="16"/>
  <c r="O1006" i="16"/>
  <c r="L1006" i="16" s="1"/>
  <c r="O990" i="16"/>
  <c r="L990" i="16" s="1"/>
  <c r="A990" i="16" s="1"/>
  <c r="O934" i="16"/>
  <c r="L934" i="16" s="1"/>
  <c r="O910" i="16"/>
  <c r="L910" i="16" s="1"/>
  <c r="O894" i="16"/>
  <c r="O870" i="16"/>
  <c r="L870" i="16" s="1"/>
  <c r="A870" i="16" s="1"/>
  <c r="O854" i="16"/>
  <c r="L854" i="16" s="1"/>
  <c r="O1233" i="16"/>
  <c r="L1233" i="16" s="1"/>
  <c r="O1217" i="16"/>
  <c r="O1161" i="16"/>
  <c r="L1161" i="16" s="1"/>
  <c r="A1161" i="16" s="1"/>
  <c r="O1145" i="16"/>
  <c r="O1137" i="16"/>
  <c r="L1137" i="16" s="1"/>
  <c r="O1129" i="16"/>
  <c r="L1129" i="16" s="1"/>
  <c r="O1121" i="16"/>
  <c r="L1121" i="16" s="1"/>
  <c r="O1105" i="16"/>
  <c r="L1105" i="16" s="1"/>
  <c r="O1097" i="16"/>
  <c r="L1097" i="16" s="1"/>
  <c r="O1089" i="16"/>
  <c r="L1089" i="16" s="1"/>
  <c r="O1081" i="16"/>
  <c r="L1081" i="16" s="1"/>
  <c r="A1081" i="16" s="1"/>
  <c r="O1065" i="16"/>
  <c r="L1065" i="16" s="1"/>
  <c r="O1041" i="16"/>
  <c r="O1033" i="16"/>
  <c r="O1017" i="16"/>
  <c r="L1017" i="16" s="1"/>
  <c r="O1009" i="16"/>
  <c r="O1001" i="16"/>
  <c r="L1001" i="16" s="1"/>
  <c r="O993" i="16"/>
  <c r="L993" i="16" s="1"/>
  <c r="O985" i="16"/>
  <c r="L985" i="16" s="1"/>
  <c r="O969" i="16"/>
  <c r="L969" i="16" s="1"/>
  <c r="O953" i="16"/>
  <c r="L953" i="16" s="1"/>
  <c r="O945" i="16"/>
  <c r="L945" i="16" s="1"/>
  <c r="O937" i="16"/>
  <c r="L937" i="16" s="1"/>
  <c r="O929" i="16"/>
  <c r="O921" i="16"/>
  <c r="O913" i="16"/>
  <c r="O905" i="16"/>
  <c r="L905" i="16" s="1"/>
  <c r="A905" i="16" s="1"/>
  <c r="O897" i="16"/>
  <c r="L897" i="16" s="1"/>
  <c r="O881" i="16"/>
  <c r="O873" i="16"/>
  <c r="O865" i="16"/>
  <c r="L865" i="16" s="1"/>
  <c r="O849" i="16"/>
  <c r="L849" i="16" s="1"/>
  <c r="A849" i="16" s="1"/>
  <c r="O841" i="16"/>
  <c r="O833" i="16"/>
  <c r="L833" i="16" s="1"/>
  <c r="O825" i="16"/>
  <c r="L825" i="16" s="1"/>
  <c r="O817" i="16"/>
  <c r="O801" i="16"/>
  <c r="O785" i="16"/>
  <c r="O777" i="16"/>
  <c r="L777" i="16" s="1"/>
  <c r="A777" i="16" s="1"/>
  <c r="O753" i="16"/>
  <c r="O745" i="16"/>
  <c r="L745" i="16" s="1"/>
  <c r="O737" i="16"/>
  <c r="O721" i="16"/>
  <c r="L721" i="16" s="1"/>
  <c r="O713" i="16"/>
  <c r="O705" i="16"/>
  <c r="L705" i="16" s="1"/>
  <c r="O697" i="16"/>
  <c r="L697" i="16" s="1"/>
  <c r="O824" i="16"/>
  <c r="O808" i="16"/>
  <c r="L808" i="16" s="1"/>
  <c r="O1224" i="16"/>
  <c r="L1224" i="16" s="1"/>
  <c r="O1216" i="16"/>
  <c r="O1192" i="16"/>
  <c r="L1192" i="16" s="1"/>
  <c r="O1160" i="16"/>
  <c r="O1144" i="16"/>
  <c r="L1144" i="16" s="1"/>
  <c r="O1136" i="16"/>
  <c r="L1136" i="16" s="1"/>
  <c r="O1128" i="16"/>
  <c r="L1128" i="16" s="1"/>
  <c r="A1128" i="16" s="1"/>
  <c r="O1120" i="16"/>
  <c r="L1120" i="16" s="1"/>
  <c r="O1112" i="16"/>
  <c r="L1112" i="16" s="1"/>
  <c r="O1104" i="16"/>
  <c r="L1104" i="16" s="1"/>
  <c r="O1096" i="16"/>
  <c r="L1096" i="16" s="1"/>
  <c r="O1088" i="16"/>
  <c r="L1088" i="16" s="1"/>
  <c r="O1080" i="16"/>
  <c r="L1080" i="16" s="1"/>
  <c r="O1064" i="16"/>
  <c r="L1064" i="16" s="1"/>
  <c r="O1040" i="16"/>
  <c r="O1032" i="16"/>
  <c r="O1016" i="16"/>
  <c r="L1016" i="16" s="1"/>
  <c r="O1000" i="16"/>
  <c r="O992" i="16"/>
  <c r="L992" i="16" s="1"/>
  <c r="O984" i="16"/>
  <c r="L984" i="16" s="1"/>
  <c r="O952" i="16"/>
  <c r="L952" i="16" s="1"/>
  <c r="O936" i="16"/>
  <c r="L936" i="16" s="1"/>
  <c r="O928" i="16"/>
  <c r="L928" i="16" s="1"/>
  <c r="O920" i="16"/>
  <c r="L920" i="16" s="1"/>
  <c r="O912" i="16"/>
  <c r="L912" i="16" s="1"/>
  <c r="O904" i="16"/>
  <c r="L904" i="16" s="1"/>
  <c r="O896" i="16"/>
  <c r="L896" i="16" s="1"/>
  <c r="O888" i="16"/>
  <c r="L888" i="16" s="1"/>
  <c r="O872" i="16"/>
  <c r="O864" i="16"/>
  <c r="L864" i="16" s="1"/>
  <c r="O856" i="16"/>
  <c r="L856" i="16" s="1"/>
  <c r="O840" i="16"/>
  <c r="L840" i="16" s="1"/>
  <c r="O832" i="16"/>
  <c r="L832" i="16" s="1"/>
  <c r="O800" i="16"/>
  <c r="L800" i="16" s="1"/>
  <c r="O784" i="16"/>
  <c r="L784" i="16" s="1"/>
  <c r="O744" i="16"/>
  <c r="L744" i="16" s="1"/>
  <c r="O704" i="16"/>
  <c r="O911" i="16"/>
  <c r="O871" i="16"/>
  <c r="L871" i="16" s="1"/>
  <c r="A871" i="16" s="1"/>
  <c r="O839" i="16"/>
  <c r="L839" i="16" s="1"/>
  <c r="O775" i="16"/>
  <c r="O735" i="16"/>
  <c r="L735" i="16" s="1"/>
  <c r="O703" i="16"/>
  <c r="L703" i="16" s="1"/>
  <c r="O1223" i="16"/>
  <c r="O1214" i="16"/>
  <c r="L1214" i="16" s="1"/>
  <c r="O1221" i="16"/>
  <c r="L1221" i="16" s="1"/>
  <c r="O1173" i="16"/>
  <c r="L1173" i="16" s="1"/>
  <c r="A1173" i="16" s="1"/>
  <c r="O1165" i="16"/>
  <c r="O1140" i="16"/>
  <c r="O1084" i="16"/>
  <c r="L1084" i="16" s="1"/>
  <c r="O1069" i="16"/>
  <c r="L1069" i="16" s="1"/>
  <c r="A1069" i="16" s="1"/>
  <c r="O1052" i="16"/>
  <c r="L1052" i="16" s="1"/>
  <c r="O1012" i="16"/>
  <c r="L1012" i="16" s="1"/>
  <c r="O996" i="16"/>
  <c r="O917" i="16"/>
  <c r="L917" i="16" s="1"/>
  <c r="A917" i="16" s="1"/>
  <c r="O869" i="16"/>
  <c r="L869" i="16" s="1"/>
  <c r="O853" i="16"/>
  <c r="O837" i="16"/>
  <c r="L837" i="16" s="1"/>
  <c r="O820" i="16"/>
  <c r="L820" i="16" s="1"/>
  <c r="O805" i="16"/>
  <c r="O758" i="16"/>
  <c r="O740" i="16"/>
  <c r="L740" i="16" s="1"/>
  <c r="O725" i="16"/>
  <c r="L725" i="16" s="1"/>
  <c r="O710" i="16"/>
  <c r="L710" i="16" s="1"/>
  <c r="O692" i="16"/>
  <c r="O733" i="16"/>
  <c r="L733" i="16" s="1"/>
  <c r="O908" i="16"/>
  <c r="L908" i="16" s="1"/>
  <c r="O750" i="16"/>
  <c r="L750" i="16" s="1"/>
  <c r="O741" i="16"/>
  <c r="L741" i="16" s="1"/>
  <c r="O1220" i="16"/>
  <c r="O1172" i="16"/>
  <c r="L1172" i="16" s="1"/>
  <c r="A1172" i="16" s="1"/>
  <c r="O1164" i="16"/>
  <c r="L1164" i="16" s="1"/>
  <c r="O1077" i="16"/>
  <c r="O1068" i="16"/>
  <c r="L1068" i="16" s="1"/>
  <c r="O1037" i="16"/>
  <c r="L1037" i="16" s="1"/>
  <c r="O989" i="16"/>
  <c r="L989" i="16" s="1"/>
  <c r="O941" i="16"/>
  <c r="L941" i="16" s="1"/>
  <c r="O916" i="16"/>
  <c r="L916" i="16" s="1"/>
  <c r="O885" i="16"/>
  <c r="O868" i="16"/>
  <c r="L868" i="16" s="1"/>
  <c r="O852" i="16"/>
  <c r="L852" i="16" s="1"/>
  <c r="O836" i="16"/>
  <c r="O804" i="16"/>
  <c r="O757" i="16"/>
  <c r="L757" i="16" s="1"/>
  <c r="O734" i="16"/>
  <c r="L734" i="16" s="1"/>
  <c r="O724" i="16"/>
  <c r="L724" i="16" s="1"/>
  <c r="O709" i="16"/>
  <c r="L709" i="16" s="1"/>
  <c r="O909" i="16"/>
  <c r="L909" i="16" s="1"/>
  <c r="O789" i="16"/>
  <c r="O756" i="16"/>
  <c r="O788" i="16"/>
  <c r="L788" i="16" s="1"/>
  <c r="O686" i="16"/>
  <c r="L686" i="16" s="1"/>
  <c r="O693" i="16"/>
  <c r="L693" i="16" s="1"/>
  <c r="O1197" i="16"/>
  <c r="L1197" i="16" s="1"/>
  <c r="O1180" i="16"/>
  <c r="L1180" i="16" s="1"/>
  <c r="O1157" i="16"/>
  <c r="L1157" i="16" s="1"/>
  <c r="O1101" i="16"/>
  <c r="O1076" i="16"/>
  <c r="L1076" i="16" s="1"/>
  <c r="O1036" i="16"/>
  <c r="L1036" i="16" s="1"/>
  <c r="O1005" i="16"/>
  <c r="O988" i="16"/>
  <c r="O940" i="16"/>
  <c r="O884" i="16"/>
  <c r="L884" i="16" s="1"/>
  <c r="A884" i="16" s="1"/>
  <c r="O772" i="16"/>
  <c r="L772" i="16" s="1"/>
  <c r="O708" i="16"/>
  <c r="O797" i="16"/>
  <c r="L797" i="16" s="1"/>
  <c r="O821" i="16"/>
  <c r="O1196" i="16"/>
  <c r="L1196" i="16" s="1"/>
  <c r="O1156" i="16"/>
  <c r="O1100" i="16"/>
  <c r="O1060" i="16"/>
  <c r="O1004" i="16"/>
  <c r="L1004" i="16" s="1"/>
  <c r="O933" i="16"/>
  <c r="L933" i="16" s="1"/>
  <c r="O814" i="16"/>
  <c r="O702" i="16"/>
  <c r="L702" i="16" s="1"/>
  <c r="O1213" i="16"/>
  <c r="L1213" i="16" s="1"/>
  <c r="O1093" i="16"/>
  <c r="L1093" i="16" s="1"/>
  <c r="O949" i="16"/>
  <c r="O932" i="16"/>
  <c r="L932" i="16" s="1"/>
  <c r="O901" i="16"/>
  <c r="L901" i="16" s="1"/>
  <c r="O829" i="16"/>
  <c r="L829" i="16" s="1"/>
  <c r="O813" i="16"/>
  <c r="O796" i="16"/>
  <c r="L796" i="16" s="1"/>
  <c r="A796" i="16" s="1"/>
  <c r="O782" i="16"/>
  <c r="L782" i="16" s="1"/>
  <c r="O749" i="16"/>
  <c r="L749" i="16" s="1"/>
  <c r="O718" i="16"/>
  <c r="O701" i="16"/>
  <c r="L701" i="16" s="1"/>
  <c r="O685" i="16"/>
  <c r="L685" i="16" s="1"/>
  <c r="O1013" i="16"/>
  <c r="O876" i="16"/>
  <c r="O1212" i="16"/>
  <c r="O1189" i="16"/>
  <c r="L1189" i="16" s="1"/>
  <c r="O1092" i="16"/>
  <c r="L1092" i="16" s="1"/>
  <c r="O1021" i="16"/>
  <c r="O948" i="16"/>
  <c r="L948" i="16" s="1"/>
  <c r="O900" i="16"/>
  <c r="O812" i="16"/>
  <c r="O781" i="16"/>
  <c r="L781" i="16" s="1"/>
  <c r="O748" i="16"/>
  <c r="L748" i="16" s="1"/>
  <c r="A748" i="16" s="1"/>
  <c r="O717" i="16"/>
  <c r="L717" i="16" s="1"/>
  <c r="O700" i="16"/>
  <c r="L700" i="16" s="1"/>
  <c r="O1020" i="16"/>
  <c r="O877" i="16"/>
  <c r="O780" i="16"/>
  <c r="L780" i="16" s="1"/>
  <c r="O716" i="16"/>
  <c r="L716" i="16" s="1"/>
  <c r="O694" i="16"/>
  <c r="L694" i="16" s="1"/>
  <c r="O1124" i="16"/>
  <c r="L1124" i="16" s="1"/>
  <c r="A1124" i="16" s="1"/>
  <c r="O997" i="16"/>
  <c r="L997" i="16" s="1"/>
  <c r="O892" i="16"/>
  <c r="L892" i="16" s="1"/>
  <c r="O726" i="16"/>
  <c r="O1188" i="16"/>
  <c r="L1188" i="16" s="1"/>
  <c r="O1125" i="16"/>
  <c r="O1044" i="16"/>
  <c r="O893" i="16"/>
  <c r="O742" i="16"/>
  <c r="L742" i="16" s="1"/>
  <c r="O1141" i="16"/>
  <c r="O1085" i="16"/>
  <c r="L1085" i="16" s="1"/>
  <c r="O924" i="16"/>
  <c r="L924" i="16" s="1"/>
  <c r="O806" i="16"/>
  <c r="L806" i="16" s="1"/>
  <c r="I2447" i="16"/>
  <c r="N2448" i="16"/>
  <c r="O2448" i="16" s="1"/>
  <c r="L2448" i="16" s="1"/>
  <c r="A2448" i="16" s="1"/>
  <c r="I2446" i="16"/>
  <c r="H2446" i="16"/>
  <c r="I2445" i="16"/>
  <c r="N2446" i="16"/>
  <c r="O2446" i="16" s="1"/>
  <c r="L2446" i="16" s="1"/>
  <c r="A2446" i="16" s="1"/>
  <c r="H2449" i="16"/>
  <c r="F2445" i="16"/>
  <c r="N2449" i="16"/>
  <c r="O2449" i="16" s="1"/>
  <c r="L2449" i="16" s="1"/>
  <c r="A2449" i="16" s="1"/>
  <c r="F2446" i="16"/>
  <c r="H2447" i="16"/>
  <c r="F2447" i="16"/>
  <c r="N2447" i="16"/>
  <c r="O2447" i="16" s="1"/>
  <c r="L2447" i="16" s="1"/>
  <c r="A2447" i="16" s="1"/>
  <c r="I2449" i="16"/>
  <c r="F2448" i="16"/>
  <c r="H2445" i="16"/>
  <c r="I2448" i="16"/>
  <c r="F2449" i="16"/>
  <c r="N2445" i="16"/>
  <c r="O2445" i="16" s="1"/>
  <c r="L2445" i="16" s="1"/>
  <c r="A2445" i="16" s="1"/>
  <c r="H2448" i="16"/>
  <c r="L886" i="16"/>
  <c r="L950" i="16"/>
  <c r="L1010" i="16"/>
  <c r="L1235" i="16"/>
  <c r="I2444" i="16"/>
  <c r="F2444" i="16"/>
  <c r="H2444" i="16"/>
  <c r="N2444" i="16"/>
  <c r="I2441" i="16"/>
  <c r="H2442" i="16"/>
  <c r="N2443" i="16"/>
  <c r="I2442" i="16"/>
  <c r="H2443" i="16"/>
  <c r="F2441" i="16"/>
  <c r="H2441" i="16"/>
  <c r="N2442" i="16"/>
  <c r="F2443" i="16"/>
  <c r="I2443" i="16"/>
  <c r="F2442" i="16"/>
  <c r="N2441" i="16"/>
  <c r="N2440" i="16"/>
  <c r="I2440" i="16"/>
  <c r="F2440" i="16"/>
  <c r="H2440" i="16"/>
  <c r="H2439" i="16"/>
  <c r="I2439" i="16"/>
  <c r="N2439" i="16"/>
  <c r="F2439" i="16"/>
  <c r="I2437" i="16"/>
  <c r="F2438" i="16"/>
  <c r="N2436" i="16"/>
  <c r="O2436" i="16" s="1"/>
  <c r="L2436" i="16" s="1"/>
  <c r="A2436" i="16" s="1"/>
  <c r="I2436" i="16"/>
  <c r="H2438" i="16"/>
  <c r="F2436" i="16"/>
  <c r="H2437" i="16"/>
  <c r="N2438" i="16"/>
  <c r="O2438" i="16" s="1"/>
  <c r="L2438" i="16" s="1"/>
  <c r="A2438" i="16" s="1"/>
  <c r="I2438" i="16"/>
  <c r="F2437" i="16"/>
  <c r="H2436" i="16"/>
  <c r="N2437" i="16"/>
  <c r="O2437" i="16" s="1"/>
  <c r="L2437" i="16" s="1"/>
  <c r="A2437" i="16" s="1"/>
  <c r="I2433" i="16"/>
  <c r="I2429" i="16"/>
  <c r="I2425" i="16"/>
  <c r="F2424" i="16"/>
  <c r="F2428" i="16"/>
  <c r="F2432" i="16"/>
  <c r="H2424" i="16"/>
  <c r="N2425" i="16"/>
  <c r="O2425" i="16" s="1"/>
  <c r="L2425" i="16" s="1"/>
  <c r="A2425" i="16" s="1"/>
  <c r="H2428" i="16"/>
  <c r="N2429" i="16"/>
  <c r="H2432" i="16"/>
  <c r="N2433" i="16"/>
  <c r="I2434" i="16"/>
  <c r="I2426" i="16"/>
  <c r="F2427" i="16"/>
  <c r="H2425" i="16"/>
  <c r="N2430" i="16"/>
  <c r="H2433" i="16"/>
  <c r="I2432" i="16"/>
  <c r="I2428" i="16"/>
  <c r="I2424" i="16"/>
  <c r="F2425" i="16"/>
  <c r="F2429" i="16"/>
  <c r="F2433" i="16"/>
  <c r="H2423" i="16"/>
  <c r="N2424" i="16"/>
  <c r="H2427" i="16"/>
  <c r="N2428" i="16"/>
  <c r="H2431" i="16"/>
  <c r="N2432" i="16"/>
  <c r="H2435" i="16"/>
  <c r="I2430" i="16"/>
  <c r="F2423" i="16"/>
  <c r="F2431" i="16"/>
  <c r="F2435" i="16"/>
  <c r="N2426" i="16"/>
  <c r="O2426" i="16" s="1"/>
  <c r="L2426" i="16" s="1"/>
  <c r="A2426" i="16" s="1"/>
  <c r="H2429" i="16"/>
  <c r="N2434" i="16"/>
  <c r="I2435" i="16"/>
  <c r="I2431" i="16"/>
  <c r="I2427" i="16"/>
  <c r="I2423" i="16"/>
  <c r="F2426" i="16"/>
  <c r="F2430" i="16"/>
  <c r="F2434" i="16"/>
  <c r="N2423" i="16"/>
  <c r="H2426" i="16"/>
  <c r="N2427" i="16"/>
  <c r="O2427" i="16" s="1"/>
  <c r="L2427" i="16" s="1"/>
  <c r="A2427" i="16" s="1"/>
  <c r="H2430" i="16"/>
  <c r="N2431" i="16"/>
  <c r="H2434" i="16"/>
  <c r="N2435" i="16"/>
  <c r="O2435" i="16" s="1"/>
  <c r="L2435" i="16" s="1"/>
  <c r="A2435" i="16" s="1"/>
  <c r="F2422" i="16"/>
  <c r="N2422" i="16"/>
  <c r="O2422" i="16" s="1"/>
  <c r="L2422" i="16" s="1"/>
  <c r="A2422" i="16" s="1"/>
  <c r="I2422" i="16"/>
  <c r="H2422" i="16"/>
  <c r="I2421" i="16"/>
  <c r="F2418" i="16"/>
  <c r="N2418" i="16"/>
  <c r="H2421" i="16"/>
  <c r="I2420" i="16"/>
  <c r="F2419" i="16"/>
  <c r="H2420" i="16"/>
  <c r="N2421" i="16"/>
  <c r="O2421" i="16" s="1"/>
  <c r="L2421" i="16" s="1"/>
  <c r="A2421" i="16" s="1"/>
  <c r="I2419" i="16"/>
  <c r="F2420" i="16"/>
  <c r="H2419" i="16"/>
  <c r="N2420" i="16"/>
  <c r="I2418" i="16"/>
  <c r="F2421" i="16"/>
  <c r="H2418" i="16"/>
  <c r="N2419" i="16"/>
  <c r="I2417" i="16"/>
  <c r="N2416" i="16"/>
  <c r="I2416" i="16"/>
  <c r="F2416" i="16"/>
  <c r="H2417" i="16"/>
  <c r="F2417" i="16"/>
  <c r="H2416" i="16"/>
  <c r="N2417" i="16"/>
  <c r="I2413" i="16"/>
  <c r="H2414" i="16"/>
  <c r="N2415" i="16"/>
  <c r="H2413" i="16"/>
  <c r="F2413" i="16"/>
  <c r="N2414" i="16"/>
  <c r="I2415" i="16"/>
  <c r="F2414" i="16"/>
  <c r="N2413" i="16"/>
  <c r="F2415" i="16"/>
  <c r="H2415" i="16"/>
  <c r="I2414" i="16"/>
  <c r="I2412" i="16"/>
  <c r="F2409" i="16"/>
  <c r="H2409" i="16"/>
  <c r="N2410" i="16"/>
  <c r="I2411" i="16"/>
  <c r="F2410" i="16"/>
  <c r="N2409" i="16"/>
  <c r="H2412" i="16"/>
  <c r="I2410" i="16"/>
  <c r="F2411" i="16"/>
  <c r="H2411" i="16"/>
  <c r="N2412" i="16"/>
  <c r="I2409" i="16"/>
  <c r="F2412" i="16"/>
  <c r="H2410" i="16"/>
  <c r="N2411" i="16"/>
  <c r="I2407" i="16"/>
  <c r="N2407" i="16"/>
  <c r="H2407" i="16"/>
  <c r="F2407" i="16"/>
  <c r="N2408" i="16"/>
  <c r="O2408" i="16" s="1"/>
  <c r="L2408" i="16" s="1"/>
  <c r="A2408" i="16" s="1"/>
  <c r="F2408" i="16"/>
  <c r="H2408" i="16"/>
  <c r="I2408" i="16"/>
  <c r="I2406" i="16"/>
  <c r="I2405" i="16"/>
  <c r="H2406" i="16"/>
  <c r="F2405" i="16"/>
  <c r="H2405" i="16"/>
  <c r="N2406" i="16"/>
  <c r="F2406" i="16"/>
  <c r="N2405" i="16"/>
  <c r="F2404" i="16"/>
  <c r="N2404" i="16"/>
  <c r="I2404" i="16"/>
  <c r="H2404" i="16"/>
  <c r="I2403" i="16"/>
  <c r="I2399" i="16"/>
  <c r="F2402" i="16"/>
  <c r="H2401" i="16"/>
  <c r="N2402" i="16"/>
  <c r="H2402" i="16"/>
  <c r="I2402" i="16"/>
  <c r="F2399" i="16"/>
  <c r="F2403" i="16"/>
  <c r="H2400" i="16"/>
  <c r="N2401" i="16"/>
  <c r="I2401" i="16"/>
  <c r="F2400" i="16"/>
  <c r="H2399" i="16"/>
  <c r="N2400" i="16"/>
  <c r="H2403" i="16"/>
  <c r="I2400" i="16"/>
  <c r="F2401" i="16"/>
  <c r="N2399" i="16"/>
  <c r="N2403" i="16"/>
  <c r="F2398" i="16"/>
  <c r="N2398" i="16"/>
  <c r="I2398" i="16"/>
  <c r="H2398" i="16"/>
  <c r="I2394" i="16"/>
  <c r="F2395" i="16"/>
  <c r="H2395" i="16"/>
  <c r="N2396" i="16"/>
  <c r="I2397" i="16"/>
  <c r="I2393" i="16"/>
  <c r="F2396" i="16"/>
  <c r="H2394" i="16"/>
  <c r="N2395" i="16"/>
  <c r="I2396" i="16"/>
  <c r="F2393" i="16"/>
  <c r="F2397" i="16"/>
  <c r="H2393" i="16"/>
  <c r="N2394" i="16"/>
  <c r="H2397" i="16"/>
  <c r="I2395" i="16"/>
  <c r="F2394" i="16"/>
  <c r="N2393" i="16"/>
  <c r="H2396" i="16"/>
  <c r="N2397" i="16"/>
  <c r="F2392" i="16"/>
  <c r="H2392" i="16"/>
  <c r="N2392" i="16"/>
  <c r="I2392" i="16"/>
  <c r="I2391" i="16"/>
  <c r="F2390" i="16"/>
  <c r="N2389" i="16"/>
  <c r="O2389" i="16" s="1"/>
  <c r="L2389" i="16" s="1"/>
  <c r="A2389" i="16" s="1"/>
  <c r="F2389" i="16"/>
  <c r="I2390" i="16"/>
  <c r="F2391" i="16"/>
  <c r="H2391" i="16"/>
  <c r="N2390" i="16"/>
  <c r="O2390" i="16" s="1"/>
  <c r="L2390" i="16" s="1"/>
  <c r="A2390" i="16" s="1"/>
  <c r="I2389" i="16"/>
  <c r="H2390" i="16"/>
  <c r="N2391" i="16"/>
  <c r="O2391" i="16" s="1"/>
  <c r="L2391" i="16" s="1"/>
  <c r="A2391" i="16" s="1"/>
  <c r="H2389" i="16"/>
  <c r="F2388" i="16"/>
  <c r="N2387" i="16"/>
  <c r="O2387" i="16" s="1"/>
  <c r="L2387" i="16" s="1"/>
  <c r="A2387" i="16" s="1"/>
  <c r="I2387" i="16"/>
  <c r="N2388" i="16"/>
  <c r="O2388" i="16" s="1"/>
  <c r="L2388" i="16" s="1"/>
  <c r="A2388" i="16" s="1"/>
  <c r="H2388" i="16"/>
  <c r="F2387" i="16"/>
  <c r="I2388" i="16"/>
  <c r="H2387" i="16"/>
  <c r="I2383" i="16"/>
  <c r="F2386" i="16"/>
  <c r="N2383" i="16"/>
  <c r="H2386" i="16"/>
  <c r="I2386" i="16"/>
  <c r="F2383" i="16"/>
  <c r="H2385" i="16"/>
  <c r="N2386" i="16"/>
  <c r="I2385" i="16"/>
  <c r="F2384" i="16"/>
  <c r="H2384" i="16"/>
  <c r="N2385" i="16"/>
  <c r="I2384" i="16"/>
  <c r="F2385" i="16"/>
  <c r="H2383" i="16"/>
  <c r="N2384" i="16"/>
  <c r="I2382" i="16"/>
  <c r="N2381" i="16"/>
  <c r="H2382" i="16"/>
  <c r="I2381" i="16"/>
  <c r="F2381" i="16"/>
  <c r="F2382" i="16"/>
  <c r="H2381" i="16"/>
  <c r="N2382" i="16"/>
  <c r="I2380" i="16"/>
  <c r="H2380" i="16"/>
  <c r="N2379" i="16"/>
  <c r="O2379" i="16" s="1"/>
  <c r="L2379" i="16" s="1"/>
  <c r="A2379" i="16" s="1"/>
  <c r="I2379" i="16"/>
  <c r="H2379" i="16"/>
  <c r="N2380" i="16"/>
  <c r="O2380" i="16" s="1"/>
  <c r="L2380" i="16" s="1"/>
  <c r="A2380" i="16" s="1"/>
  <c r="F2379" i="16"/>
  <c r="F2380" i="16"/>
  <c r="I2378" i="16"/>
  <c r="F2375" i="16"/>
  <c r="N2375" i="16"/>
  <c r="H2378" i="16"/>
  <c r="I2377" i="16"/>
  <c r="F2376" i="16"/>
  <c r="H2377" i="16"/>
  <c r="N2378" i="16"/>
  <c r="I2376" i="16"/>
  <c r="F2377" i="16"/>
  <c r="H2376" i="16"/>
  <c r="N2377" i="16"/>
  <c r="I2375" i="16"/>
  <c r="F2378" i="16"/>
  <c r="H2375" i="16"/>
  <c r="N2376" i="16"/>
  <c r="I2374" i="16"/>
  <c r="N2374" i="16"/>
  <c r="H2374" i="16"/>
  <c r="F2373" i="16"/>
  <c r="F2374" i="16"/>
  <c r="I2373" i="16"/>
  <c r="N2373" i="16"/>
  <c r="H2373" i="16"/>
  <c r="I2372" i="16"/>
  <c r="F2369" i="16"/>
  <c r="I2371" i="16"/>
  <c r="F2370" i="16"/>
  <c r="H2372" i="16"/>
  <c r="F2371" i="16"/>
  <c r="F2372" i="16"/>
  <c r="N2372" i="16"/>
  <c r="N2371" i="16"/>
  <c r="H2371" i="16"/>
  <c r="I2370" i="16"/>
  <c r="H2370" i="16"/>
  <c r="N2370" i="16"/>
  <c r="N2369" i="16"/>
  <c r="H2369" i="16"/>
  <c r="I2369" i="16"/>
  <c r="I2362" i="16"/>
  <c r="I2366" i="16"/>
  <c r="N2362" i="16"/>
  <c r="O2362" i="16" s="1"/>
  <c r="L2362" i="16" s="1"/>
  <c r="A2362" i="16" s="1"/>
  <c r="N2366" i="16"/>
  <c r="F2362" i="16"/>
  <c r="F2366" i="16"/>
  <c r="H2362" i="16"/>
  <c r="H2366" i="16"/>
  <c r="I2363" i="16"/>
  <c r="I2367" i="16"/>
  <c r="N2363" i="16"/>
  <c r="O2363" i="16" s="1"/>
  <c r="L2363" i="16" s="1"/>
  <c r="A2363" i="16" s="1"/>
  <c r="N2367" i="16"/>
  <c r="F2363" i="16"/>
  <c r="F2367" i="16"/>
  <c r="H2363" i="16"/>
  <c r="H2367" i="16"/>
  <c r="I2360" i="16"/>
  <c r="I2364" i="16"/>
  <c r="I2368" i="16"/>
  <c r="N2360" i="16"/>
  <c r="N2364" i="16"/>
  <c r="O2364" i="16" s="1"/>
  <c r="L2364" i="16" s="1"/>
  <c r="A2364" i="16" s="1"/>
  <c r="N2368" i="16"/>
  <c r="F2360" i="16"/>
  <c r="F2364" i="16"/>
  <c r="F2368" i="16"/>
  <c r="H2360" i="16"/>
  <c r="H2364" i="16"/>
  <c r="H2368" i="16"/>
  <c r="I2361" i="16"/>
  <c r="I2365" i="16"/>
  <c r="N2361" i="16"/>
  <c r="O2361" i="16" s="1"/>
  <c r="L2361" i="16" s="1"/>
  <c r="A2361" i="16" s="1"/>
  <c r="N2365" i="16"/>
  <c r="F2361" i="16"/>
  <c r="F2365" i="16"/>
  <c r="H2361" i="16"/>
  <c r="H2365" i="16"/>
  <c r="N2359" i="16"/>
  <c r="O2359" i="16" s="1"/>
  <c r="L2359" i="16" s="1"/>
  <c r="A2359" i="16" s="1"/>
  <c r="F2359" i="16"/>
  <c r="I2359" i="16"/>
  <c r="H2359" i="16"/>
  <c r="I2358" i="16"/>
  <c r="H2358" i="16"/>
  <c r="N2358" i="16"/>
  <c r="O2358" i="16" s="1"/>
  <c r="L2358" i="16" s="1"/>
  <c r="A2358" i="16" s="1"/>
  <c r="F2358" i="16"/>
  <c r="H2357" i="16"/>
  <c r="N2357" i="16"/>
  <c r="F2357" i="16"/>
  <c r="I2357" i="16"/>
  <c r="H2356" i="16"/>
  <c r="I2356" i="16"/>
  <c r="N2356" i="16"/>
  <c r="F2356" i="16"/>
  <c r="F2355" i="16"/>
  <c r="H2355" i="16"/>
  <c r="I2355" i="16"/>
  <c r="N2355" i="16"/>
  <c r="N2354" i="16"/>
  <c r="H2354" i="16"/>
  <c r="I2354" i="16"/>
  <c r="F2354" i="16"/>
  <c r="F2353" i="16"/>
  <c r="H2353" i="16"/>
  <c r="I2353" i="16"/>
  <c r="N2353" i="16"/>
  <c r="N2352" i="16"/>
  <c r="O2352" i="16" s="1"/>
  <c r="L2352" i="16" s="1"/>
  <c r="A2352" i="16" s="1"/>
  <c r="H2352" i="16"/>
  <c r="I2352" i="16"/>
  <c r="F2352" i="16"/>
  <c r="F2351" i="16"/>
  <c r="N2351" i="16"/>
  <c r="H2351" i="16"/>
  <c r="I2351" i="16"/>
  <c r="F2350" i="16"/>
  <c r="N2350" i="16"/>
  <c r="H2350" i="16"/>
  <c r="I2350" i="16"/>
  <c r="F2349" i="16"/>
  <c r="N2349" i="16"/>
  <c r="I2349" i="16"/>
  <c r="H2349" i="16"/>
  <c r="F2348" i="16"/>
  <c r="N2348" i="16"/>
  <c r="H2348" i="16"/>
  <c r="I2348" i="16"/>
  <c r="F2344" i="16"/>
  <c r="N2344" i="16"/>
  <c r="I2345" i="16"/>
  <c r="H2346" i="16"/>
  <c r="F2347" i="16"/>
  <c r="N2347" i="16"/>
  <c r="F2345" i="16"/>
  <c r="N2345" i="16"/>
  <c r="I2346" i="16"/>
  <c r="H2344" i="16"/>
  <c r="F2346" i="16"/>
  <c r="N2346" i="16"/>
  <c r="H2347" i="16"/>
  <c r="I2344" i="16"/>
  <c r="H2345" i="16"/>
  <c r="I2347" i="16"/>
  <c r="I2343" i="16"/>
  <c r="F2343" i="16"/>
  <c r="N2343" i="16"/>
  <c r="H2343" i="16"/>
  <c r="H2342" i="16"/>
  <c r="I2342" i="16"/>
  <c r="F2342" i="16"/>
  <c r="N2342" i="16"/>
  <c r="H2336" i="16"/>
  <c r="F2338" i="16"/>
  <c r="N2338" i="16"/>
  <c r="O2338" i="16" s="1"/>
  <c r="L2338" i="16" s="1"/>
  <c r="A2338" i="16" s="1"/>
  <c r="I2339" i="16"/>
  <c r="F2341" i="16"/>
  <c r="N2341" i="16"/>
  <c r="O2341" i="16" s="1"/>
  <c r="L2341" i="16" s="1"/>
  <c r="A2341" i="16" s="1"/>
  <c r="I2336" i="16"/>
  <c r="H2337" i="16"/>
  <c r="F2339" i="16"/>
  <c r="N2339" i="16"/>
  <c r="H2340" i="16"/>
  <c r="F2337" i="16"/>
  <c r="I2338" i="16"/>
  <c r="F2340" i="16"/>
  <c r="I2341" i="16"/>
  <c r="F2336" i="16"/>
  <c r="N2336" i="16"/>
  <c r="I2337" i="16"/>
  <c r="H2338" i="16"/>
  <c r="I2340" i="16"/>
  <c r="H2341" i="16"/>
  <c r="N2337" i="16"/>
  <c r="H2339" i="16"/>
  <c r="N2340" i="16"/>
  <c r="O2340" i="16" s="1"/>
  <c r="L2340" i="16" s="1"/>
  <c r="A2340" i="16" s="1"/>
  <c r="H2333" i="16"/>
  <c r="F2335" i="16"/>
  <c r="N2335" i="16"/>
  <c r="F2334" i="16"/>
  <c r="I2335" i="16"/>
  <c r="I2333" i="16"/>
  <c r="H2334" i="16"/>
  <c r="F2333" i="16"/>
  <c r="N2333" i="16"/>
  <c r="I2334" i="16"/>
  <c r="H2335" i="16"/>
  <c r="N2334" i="16"/>
  <c r="H2328" i="16"/>
  <c r="I2330" i="16"/>
  <c r="H2331" i="16"/>
  <c r="F2332" i="16"/>
  <c r="N2332" i="16"/>
  <c r="I2328" i="16"/>
  <c r="F2328" i="16"/>
  <c r="N2328" i="16"/>
  <c r="O2328" i="16" s="1"/>
  <c r="L2328" i="16" s="1"/>
  <c r="A2328" i="16" s="1"/>
  <c r="I2329" i="16"/>
  <c r="F2331" i="16"/>
  <c r="N2331" i="16"/>
  <c r="H2332" i="16"/>
  <c r="F2329" i="16"/>
  <c r="N2329" i="16"/>
  <c r="H2330" i="16"/>
  <c r="I2332" i="16"/>
  <c r="H2329" i="16"/>
  <c r="F2330" i="16"/>
  <c r="N2330" i="16"/>
  <c r="I2331" i="16"/>
  <c r="I2325" i="16"/>
  <c r="H2326" i="16"/>
  <c r="N2325" i="16"/>
  <c r="I2326" i="16"/>
  <c r="H2327" i="16"/>
  <c r="F2326" i="16"/>
  <c r="N2326" i="16"/>
  <c r="I2327" i="16"/>
  <c r="F2327" i="16"/>
  <c r="N2327" i="16"/>
  <c r="F2325" i="16"/>
  <c r="H2325" i="16"/>
  <c r="I2324" i="16"/>
  <c r="F2324" i="16"/>
  <c r="N2324" i="16"/>
  <c r="O2324" i="16" s="1"/>
  <c r="L2324" i="16" s="1"/>
  <c r="A2324" i="16" s="1"/>
  <c r="H2324" i="16"/>
  <c r="I2321" i="16"/>
  <c r="H2322" i="16"/>
  <c r="F2321" i="16"/>
  <c r="N2321" i="16"/>
  <c r="O2321" i="16" s="1"/>
  <c r="L2321" i="16" s="1"/>
  <c r="A2321" i="16" s="1"/>
  <c r="I2322" i="16"/>
  <c r="H2323" i="16"/>
  <c r="F2322" i="16"/>
  <c r="N2322" i="16"/>
  <c r="I2323" i="16"/>
  <c r="H2321" i="16"/>
  <c r="F2323" i="16"/>
  <c r="N2323" i="16"/>
  <c r="I2319" i="16"/>
  <c r="H2320" i="16"/>
  <c r="F2319" i="16"/>
  <c r="N2319" i="16"/>
  <c r="I2320" i="16"/>
  <c r="H2319" i="16"/>
  <c r="F2320" i="16"/>
  <c r="N2320" i="16"/>
  <c r="O2320" i="16" s="1"/>
  <c r="L2320" i="16" s="1"/>
  <c r="A2320" i="16" s="1"/>
  <c r="I2315" i="16"/>
  <c r="H2316" i="16"/>
  <c r="F2318" i="16"/>
  <c r="N2318" i="16"/>
  <c r="F2315" i="16"/>
  <c r="N2315" i="16"/>
  <c r="O2315" i="16" s="1"/>
  <c r="L2315" i="16" s="1"/>
  <c r="A2315" i="16" s="1"/>
  <c r="I2316" i="16"/>
  <c r="H2317" i="16"/>
  <c r="F2316" i="16"/>
  <c r="N2316" i="16"/>
  <c r="I2317" i="16"/>
  <c r="H2318" i="16"/>
  <c r="H2315" i="16"/>
  <c r="F2317" i="16"/>
  <c r="N2317" i="16"/>
  <c r="I2318" i="16"/>
  <c r="F2311" i="16"/>
  <c r="N2311" i="16"/>
  <c r="F2313" i="16"/>
  <c r="N2313" i="16"/>
  <c r="I2314" i="16"/>
  <c r="I2310" i="16"/>
  <c r="H2311" i="16"/>
  <c r="I2312" i="16"/>
  <c r="H2313" i="16"/>
  <c r="F2310" i="16"/>
  <c r="N2310" i="16"/>
  <c r="O2310" i="16" s="1"/>
  <c r="L2310" i="16" s="1"/>
  <c r="A2310" i="16" s="1"/>
  <c r="I2311" i="16"/>
  <c r="F2312" i="16"/>
  <c r="N2312" i="16"/>
  <c r="I2313" i="16"/>
  <c r="H2314" i="16"/>
  <c r="H2310" i="16"/>
  <c r="H2312" i="16"/>
  <c r="F2314" i="16"/>
  <c r="N2314" i="16"/>
  <c r="F2309" i="16"/>
  <c r="N2309" i="16"/>
  <c r="O2309" i="16" s="1"/>
  <c r="L2309" i="16" s="1"/>
  <c r="A2309" i="16" s="1"/>
  <c r="H2308" i="16"/>
  <c r="F2308" i="16"/>
  <c r="I2309" i="16"/>
  <c r="I2308" i="16"/>
  <c r="H2309" i="16"/>
  <c r="N2308" i="16"/>
  <c r="O2308" i="16" s="1"/>
  <c r="L2308" i="16" s="1"/>
  <c r="A2308" i="16" s="1"/>
  <c r="I2307" i="16"/>
  <c r="H2304" i="16"/>
  <c r="I2306" i="16"/>
  <c r="H2307" i="16"/>
  <c r="I2304" i="16"/>
  <c r="H2305" i="16"/>
  <c r="F2306" i="16"/>
  <c r="N2306" i="16"/>
  <c r="N2307" i="16"/>
  <c r="F2304" i="16"/>
  <c r="N2304" i="16"/>
  <c r="I2305" i="16"/>
  <c r="F2307" i="16"/>
  <c r="F2305" i="16"/>
  <c r="N2305" i="16"/>
  <c r="H2306" i="16"/>
  <c r="I2303" i="16"/>
  <c r="F2303" i="16"/>
  <c r="N2303" i="16"/>
  <c r="H2303" i="16"/>
  <c r="H2296" i="16"/>
  <c r="F2298" i="16"/>
  <c r="N2298" i="16"/>
  <c r="I2299" i="16"/>
  <c r="H2300" i="16"/>
  <c r="F2302" i="16"/>
  <c r="N2302" i="16"/>
  <c r="I2296" i="16"/>
  <c r="H2297" i="16"/>
  <c r="F2299" i="16"/>
  <c r="N2299" i="16"/>
  <c r="I2300" i="16"/>
  <c r="H2301" i="16"/>
  <c r="F2296" i="16"/>
  <c r="N2296" i="16"/>
  <c r="I2297" i="16"/>
  <c r="H2298" i="16"/>
  <c r="F2300" i="16"/>
  <c r="N2300" i="16"/>
  <c r="I2301" i="16"/>
  <c r="H2302" i="16"/>
  <c r="F2297" i="16"/>
  <c r="N2297" i="16"/>
  <c r="I2298" i="16"/>
  <c r="H2299" i="16"/>
  <c r="F2301" i="16"/>
  <c r="N2301" i="16"/>
  <c r="I2302" i="16"/>
  <c r="I2277" i="16"/>
  <c r="H2278" i="16"/>
  <c r="F2280" i="16"/>
  <c r="N2280" i="16"/>
  <c r="I2281" i="16"/>
  <c r="H2282" i="16"/>
  <c r="F2284" i="16"/>
  <c r="N2284" i="16"/>
  <c r="I2285" i="16"/>
  <c r="H2286" i="16"/>
  <c r="F2288" i="16"/>
  <c r="N2288" i="16"/>
  <c r="H2289" i="16"/>
  <c r="F2291" i="16"/>
  <c r="N2291" i="16"/>
  <c r="O2291" i="16" s="1"/>
  <c r="L2291" i="16" s="1"/>
  <c r="A2291" i="16" s="1"/>
  <c r="I2292" i="16"/>
  <c r="H2293" i="16"/>
  <c r="F2295" i="16"/>
  <c r="N2295" i="16"/>
  <c r="H2276" i="16"/>
  <c r="F2277" i="16"/>
  <c r="N2277" i="16"/>
  <c r="I2278" i="16"/>
  <c r="H2279" i="16"/>
  <c r="F2281" i="16"/>
  <c r="N2281" i="16"/>
  <c r="I2282" i="16"/>
  <c r="H2283" i="16"/>
  <c r="F2285" i="16"/>
  <c r="N2285" i="16"/>
  <c r="I2286" i="16"/>
  <c r="H2287" i="16"/>
  <c r="I2289" i="16"/>
  <c r="H2290" i="16"/>
  <c r="F2292" i="16"/>
  <c r="N2292" i="16"/>
  <c r="O2292" i="16" s="1"/>
  <c r="L2292" i="16" s="1"/>
  <c r="A2292" i="16" s="1"/>
  <c r="I2293" i="16"/>
  <c r="H2294" i="16"/>
  <c r="N2276" i="16"/>
  <c r="I2276" i="16"/>
  <c r="F2278" i="16"/>
  <c r="N2278" i="16"/>
  <c r="I2279" i="16"/>
  <c r="H2280" i="16"/>
  <c r="F2282" i="16"/>
  <c r="N2282" i="16"/>
  <c r="I2283" i="16"/>
  <c r="H2284" i="16"/>
  <c r="F2286" i="16"/>
  <c r="N2286" i="16"/>
  <c r="I2287" i="16"/>
  <c r="H2288" i="16"/>
  <c r="F2289" i="16"/>
  <c r="N2289" i="16"/>
  <c r="I2290" i="16"/>
  <c r="H2291" i="16"/>
  <c r="F2293" i="16"/>
  <c r="N2293" i="16"/>
  <c r="I2294" i="16"/>
  <c r="H2295" i="16"/>
  <c r="F2276" i="16"/>
  <c r="H2277" i="16"/>
  <c r="F2279" i="16"/>
  <c r="N2279" i="16"/>
  <c r="I2280" i="16"/>
  <c r="H2281" i="16"/>
  <c r="F2283" i="16"/>
  <c r="N2283" i="16"/>
  <c r="I2284" i="16"/>
  <c r="H2285" i="16"/>
  <c r="F2287" i="16"/>
  <c r="N2287" i="16"/>
  <c r="I2288" i="16"/>
  <c r="F2290" i="16"/>
  <c r="N2290" i="16"/>
  <c r="I2291" i="16"/>
  <c r="H2292" i="16"/>
  <c r="F2294" i="16"/>
  <c r="N2294" i="16"/>
  <c r="I2295" i="16"/>
  <c r="I2275" i="16"/>
  <c r="F2275" i="16"/>
  <c r="N2275" i="16"/>
  <c r="H2275" i="16"/>
  <c r="N2274" i="16"/>
  <c r="F2274" i="16"/>
  <c r="I2274" i="16"/>
  <c r="F2273" i="16"/>
  <c r="H2273" i="16"/>
  <c r="I2273" i="16"/>
  <c r="H2274" i="16"/>
  <c r="N2273" i="16"/>
  <c r="H2271" i="16"/>
  <c r="I2270" i="16"/>
  <c r="N2272" i="16"/>
  <c r="F2272" i="16"/>
  <c r="H2270" i="16"/>
  <c r="I2272" i="16"/>
  <c r="N2271" i="16"/>
  <c r="F2271" i="16"/>
  <c r="N2270" i="16"/>
  <c r="H2272" i="16"/>
  <c r="I2271" i="16"/>
  <c r="F2270" i="16"/>
  <c r="I2269" i="16"/>
  <c r="F2269" i="16"/>
  <c r="H2269" i="16"/>
  <c r="N2269" i="16"/>
  <c r="O2269" i="16" s="1"/>
  <c r="L2269" i="16" s="1"/>
  <c r="A2269" i="16" s="1"/>
  <c r="I2267" i="16"/>
  <c r="N2268" i="16"/>
  <c r="F2268" i="16"/>
  <c r="H2267" i="16"/>
  <c r="I2268" i="16"/>
  <c r="H2268" i="16"/>
  <c r="N2267" i="16"/>
  <c r="O2267" i="16" s="1"/>
  <c r="L2267" i="16" s="1"/>
  <c r="A2267" i="16" s="1"/>
  <c r="F2267" i="16"/>
  <c r="H2265" i="16"/>
  <c r="I2264" i="16"/>
  <c r="N2263" i="16"/>
  <c r="F2263" i="16"/>
  <c r="I2266" i="16"/>
  <c r="N2265" i="16"/>
  <c r="F2265" i="16"/>
  <c r="H2263" i="16"/>
  <c r="I2262" i="16"/>
  <c r="H2266" i="16"/>
  <c r="N2264" i="16"/>
  <c r="N2266" i="16"/>
  <c r="F2266" i="16"/>
  <c r="H2264" i="16"/>
  <c r="I2263" i="16"/>
  <c r="N2262" i="16"/>
  <c r="F2262" i="16"/>
  <c r="I2265" i="16"/>
  <c r="F2264" i="16"/>
  <c r="H2262" i="16"/>
  <c r="I2261" i="16"/>
  <c r="N2260" i="16"/>
  <c r="F2260" i="16"/>
  <c r="H2258" i="16"/>
  <c r="I2257" i="16"/>
  <c r="N2256" i="16"/>
  <c r="F2256" i="16"/>
  <c r="H2254" i="16"/>
  <c r="I2253" i="16"/>
  <c r="N2252" i="16"/>
  <c r="O2252" i="16" s="1"/>
  <c r="L2252" i="16" s="1"/>
  <c r="A2252" i="16" s="1"/>
  <c r="F2252" i="16"/>
  <c r="H2250" i="16"/>
  <c r="I2249" i="16"/>
  <c r="N2248" i="16"/>
  <c r="O2248" i="16" s="1"/>
  <c r="L2248" i="16" s="1"/>
  <c r="A2248" i="16" s="1"/>
  <c r="F2248" i="16"/>
  <c r="N2261" i="16"/>
  <c r="H2259" i="16"/>
  <c r="N2257" i="16"/>
  <c r="H2255" i="16"/>
  <c r="F2253" i="16"/>
  <c r="I2250" i="16"/>
  <c r="H2261" i="16"/>
  <c r="I2260" i="16"/>
  <c r="N2259" i="16"/>
  <c r="F2259" i="16"/>
  <c r="H2257" i="16"/>
  <c r="I2256" i="16"/>
  <c r="N2255" i="16"/>
  <c r="F2255" i="16"/>
  <c r="H2253" i="16"/>
  <c r="I2252" i="16"/>
  <c r="N2251" i="16"/>
  <c r="O2251" i="16" s="1"/>
  <c r="L2251" i="16" s="1"/>
  <c r="A2251" i="16" s="1"/>
  <c r="F2251" i="16"/>
  <c r="H2249" i="16"/>
  <c r="I2248" i="16"/>
  <c r="F2261" i="16"/>
  <c r="I2258" i="16"/>
  <c r="N2253" i="16"/>
  <c r="O2253" i="16" s="1"/>
  <c r="L2253" i="16" s="1"/>
  <c r="A2253" i="16" s="1"/>
  <c r="H2251" i="16"/>
  <c r="F2249" i="16"/>
  <c r="H2260" i="16"/>
  <c r="I2259" i="16"/>
  <c r="N2258" i="16"/>
  <c r="F2258" i="16"/>
  <c r="H2256" i="16"/>
  <c r="I2255" i="16"/>
  <c r="N2254" i="16"/>
  <c r="F2254" i="16"/>
  <c r="H2252" i="16"/>
  <c r="I2251" i="16"/>
  <c r="N2250" i="16"/>
  <c r="O2250" i="16" s="1"/>
  <c r="L2250" i="16" s="1"/>
  <c r="A2250" i="16" s="1"/>
  <c r="F2250" i="16"/>
  <c r="H2248" i="16"/>
  <c r="F2257" i="16"/>
  <c r="I2254" i="16"/>
  <c r="N2249" i="16"/>
  <c r="O2249" i="16" s="1"/>
  <c r="L2249" i="16" s="1"/>
  <c r="A2249" i="16" s="1"/>
  <c r="H2246" i="16"/>
  <c r="N2247" i="16"/>
  <c r="F2247" i="16"/>
  <c r="I2247" i="16"/>
  <c r="N2246" i="16"/>
  <c r="F2246" i="16"/>
  <c r="H2247" i="16"/>
  <c r="I2246" i="16"/>
  <c r="F2242" i="16"/>
  <c r="H2244" i="16"/>
  <c r="I2243" i="16"/>
  <c r="N2242" i="16"/>
  <c r="N2241" i="16"/>
  <c r="F2241" i="16"/>
  <c r="F2245" i="16"/>
  <c r="H2243" i="16"/>
  <c r="I2241" i="16"/>
  <c r="F2243" i="16"/>
  <c r="N2245" i="16"/>
  <c r="I2242" i="16"/>
  <c r="N2243" i="16"/>
  <c r="I2245" i="16"/>
  <c r="N2244" i="16"/>
  <c r="F2244" i="16"/>
  <c r="H2242" i="16"/>
  <c r="H2241" i="16"/>
  <c r="H2245" i="16"/>
  <c r="I2244" i="16"/>
  <c r="I2240" i="16"/>
  <c r="H2240" i="16"/>
  <c r="N2240" i="16"/>
  <c r="F2240" i="16"/>
  <c r="H2238" i="16"/>
  <c r="I2237" i="16"/>
  <c r="N2236" i="16"/>
  <c r="F2236" i="16"/>
  <c r="F2237" i="16"/>
  <c r="H2235" i="16"/>
  <c r="N2239" i="16"/>
  <c r="F2239" i="16"/>
  <c r="H2237" i="16"/>
  <c r="I2236" i="16"/>
  <c r="N2235" i="16"/>
  <c r="F2235" i="16"/>
  <c r="H2239" i="16"/>
  <c r="I2239" i="16"/>
  <c r="N2238" i="16"/>
  <c r="F2238" i="16"/>
  <c r="H2236" i="16"/>
  <c r="I2235" i="16"/>
  <c r="I2238" i="16"/>
  <c r="N2237" i="16"/>
  <c r="I2234" i="16"/>
  <c r="N2234" i="16"/>
  <c r="H2234" i="16"/>
  <c r="F2234" i="16"/>
  <c r="I2233" i="16"/>
  <c r="H2233" i="16"/>
  <c r="N2233" i="16"/>
  <c r="F2233" i="16"/>
  <c r="N2225" i="16"/>
  <c r="O2225" i="16" s="1"/>
  <c r="F2232" i="16"/>
  <c r="I2232" i="16"/>
  <c r="H2232" i="16"/>
  <c r="N2232" i="16"/>
  <c r="O2232" i="16" s="1"/>
  <c r="L2232" i="16" s="1"/>
  <c r="A2232" i="16" s="1"/>
  <c r="I2231" i="16"/>
  <c r="F2231" i="16"/>
  <c r="H2231" i="16"/>
  <c r="N2231" i="16"/>
  <c r="N2227" i="16"/>
  <c r="H2229" i="16"/>
  <c r="I2228" i="16"/>
  <c r="F2230" i="16"/>
  <c r="H2228" i="16"/>
  <c r="F2229" i="16"/>
  <c r="N2228" i="16"/>
  <c r="O2228" i="16" s="1"/>
  <c r="L2228" i="16" s="1"/>
  <c r="A2228" i="16" s="1"/>
  <c r="N2230" i="16"/>
  <c r="I2230" i="16"/>
  <c r="I2229" i="16"/>
  <c r="N2229" i="16"/>
  <c r="O2229" i="16" s="1"/>
  <c r="L2229" i="16" s="1"/>
  <c r="A2229" i="16" s="1"/>
  <c r="H2230" i="16"/>
  <c r="F2228" i="16"/>
  <c r="F2227" i="16"/>
  <c r="I2227" i="16"/>
  <c r="H2227" i="16"/>
  <c r="I2226" i="16"/>
  <c r="H2226" i="16"/>
  <c r="N2226" i="16"/>
  <c r="F2226" i="16"/>
  <c r="H2224" i="16"/>
  <c r="I2224" i="16"/>
  <c r="F2225" i="16"/>
  <c r="I2225" i="16"/>
  <c r="N2224" i="16"/>
  <c r="F2224" i="16"/>
  <c r="H2225" i="16"/>
  <c r="N2223" i="16"/>
  <c r="H2222" i="16"/>
  <c r="N2220" i="16"/>
  <c r="O2220" i="16" s="1"/>
  <c r="L2220" i="16" s="1"/>
  <c r="A2220" i="16" s="1"/>
  <c r="I2217" i="16"/>
  <c r="F2216" i="16"/>
  <c r="H2214" i="16"/>
  <c r="N2213" i="16"/>
  <c r="I2210" i="16"/>
  <c r="F2209" i="16"/>
  <c r="N2221" i="16"/>
  <c r="I2218" i="16"/>
  <c r="F2217" i="16"/>
  <c r="H2215" i="16"/>
  <c r="N2206" i="16"/>
  <c r="I2211" i="16"/>
  <c r="F2210" i="16"/>
  <c r="F2218" i="16"/>
  <c r="H2216" i="16"/>
  <c r="F2211" i="16"/>
  <c r="F2223" i="16"/>
  <c r="I2221" i="16"/>
  <c r="F2220" i="16"/>
  <c r="H2218" i="16"/>
  <c r="N2216" i="16"/>
  <c r="I2206" i="16"/>
  <c r="F2213" i="16"/>
  <c r="H2211" i="16"/>
  <c r="N2209" i="16"/>
  <c r="N2222" i="16"/>
  <c r="I2219" i="16"/>
  <c r="N2214" i="16"/>
  <c r="I2212" i="16"/>
  <c r="H2209" i="16"/>
  <c r="I2222" i="16"/>
  <c r="F2221" i="16"/>
  <c r="H2219" i="16"/>
  <c r="N2217" i="16"/>
  <c r="I2214" i="16"/>
  <c r="F2206" i="16"/>
  <c r="H2212" i="16"/>
  <c r="N2210" i="16"/>
  <c r="H2221" i="16"/>
  <c r="N2219" i="16"/>
  <c r="I2216" i="16"/>
  <c r="F2215" i="16"/>
  <c r="H2206" i="16"/>
  <c r="N2212" i="16"/>
  <c r="O2212" i="16" s="1"/>
  <c r="L2212" i="16" s="1"/>
  <c r="A2212" i="16" s="1"/>
  <c r="I2209" i="16"/>
  <c r="I2223" i="16"/>
  <c r="I2220" i="16"/>
  <c r="F2219" i="16"/>
  <c r="H2217" i="16"/>
  <c r="N2215" i="16"/>
  <c r="I2213" i="16"/>
  <c r="F2212" i="16"/>
  <c r="H2210" i="16"/>
  <c r="H2223" i="16"/>
  <c r="F2222" i="16"/>
  <c r="H2220" i="16"/>
  <c r="N2218" i="16"/>
  <c r="I2215" i="16"/>
  <c r="F2214" i="16"/>
  <c r="H2213" i="16"/>
  <c r="N2211" i="16"/>
  <c r="O2211" i="16" s="1"/>
  <c r="L2211" i="16" s="1"/>
  <c r="A2211" i="16" s="1"/>
  <c r="H2207" i="16"/>
  <c r="I2208" i="16"/>
  <c r="N2208" i="16"/>
  <c r="F2208" i="16"/>
  <c r="N2207" i="16"/>
  <c r="F2207" i="16"/>
  <c r="H2208" i="16"/>
  <c r="I2207" i="16"/>
  <c r="H2161" i="16"/>
  <c r="I2160" i="16"/>
  <c r="N2205" i="16"/>
  <c r="F2205" i="16"/>
  <c r="H2203" i="16"/>
  <c r="I2202" i="16"/>
  <c r="N2201" i="16"/>
  <c r="F2201" i="16"/>
  <c r="H2199" i="16"/>
  <c r="I2180" i="16"/>
  <c r="N2198" i="16"/>
  <c r="F2198" i="16"/>
  <c r="H2196" i="16"/>
  <c r="I2195" i="16"/>
  <c r="N2194" i="16"/>
  <c r="F2194" i="16"/>
  <c r="H2192" i="16"/>
  <c r="I2191" i="16"/>
  <c r="N2190" i="16"/>
  <c r="O2190" i="16" s="1"/>
  <c r="L2190" i="16" s="1"/>
  <c r="A2190" i="16" s="1"/>
  <c r="F2190" i="16"/>
  <c r="H2188" i="16"/>
  <c r="I2187" i="16"/>
  <c r="N2186" i="16"/>
  <c r="F2186" i="16"/>
  <c r="H2184" i="16"/>
  <c r="I2183" i="16"/>
  <c r="I2162" i="16"/>
  <c r="N2161" i="16"/>
  <c r="F2161" i="16"/>
  <c r="H2205" i="16"/>
  <c r="I2204" i="16"/>
  <c r="N2203" i="16"/>
  <c r="F2203" i="16"/>
  <c r="H2201" i="16"/>
  <c r="I2200" i="16"/>
  <c r="N2199" i="16"/>
  <c r="F2199" i="16"/>
  <c r="H2198" i="16"/>
  <c r="I2197" i="16"/>
  <c r="N2196" i="16"/>
  <c r="F2196" i="16"/>
  <c r="H2194" i="16"/>
  <c r="I2193" i="16"/>
  <c r="N2192" i="16"/>
  <c r="O2192" i="16" s="1"/>
  <c r="L2192" i="16" s="1"/>
  <c r="A2192" i="16" s="1"/>
  <c r="F2192" i="16"/>
  <c r="H2190" i="16"/>
  <c r="I2189" i="16"/>
  <c r="N2188" i="16"/>
  <c r="O2188" i="16" s="1"/>
  <c r="L2188" i="16" s="1"/>
  <c r="A2188" i="16" s="1"/>
  <c r="F2188" i="16"/>
  <c r="H2186" i="16"/>
  <c r="I2185" i="16"/>
  <c r="N2184" i="16"/>
  <c r="F2184" i="16"/>
  <c r="N2162" i="16"/>
  <c r="F2162" i="16"/>
  <c r="H2160" i="16"/>
  <c r="I2205" i="16"/>
  <c r="N2204" i="16"/>
  <c r="F2204" i="16"/>
  <c r="H2202" i="16"/>
  <c r="I2201" i="16"/>
  <c r="N2200" i="16"/>
  <c r="F2200" i="16"/>
  <c r="H2180" i="16"/>
  <c r="I2198" i="16"/>
  <c r="N2197" i="16"/>
  <c r="F2197" i="16"/>
  <c r="H2195" i="16"/>
  <c r="I2194" i="16"/>
  <c r="N2193" i="16"/>
  <c r="F2193" i="16"/>
  <c r="H2191" i="16"/>
  <c r="I2190" i="16"/>
  <c r="N2189" i="16"/>
  <c r="O2189" i="16" s="1"/>
  <c r="L2189" i="16" s="1"/>
  <c r="A2189" i="16" s="1"/>
  <c r="F2189" i="16"/>
  <c r="H2187" i="16"/>
  <c r="I2186" i="16"/>
  <c r="N2185" i="16"/>
  <c r="F2185" i="16"/>
  <c r="H2183" i="16"/>
  <c r="H2162" i="16"/>
  <c r="I2161" i="16"/>
  <c r="N2160" i="16"/>
  <c r="F2160" i="16"/>
  <c r="H2204" i="16"/>
  <c r="I2203" i="16"/>
  <c r="N2202" i="16"/>
  <c r="O2202" i="16" s="1"/>
  <c r="L2202" i="16" s="1"/>
  <c r="A2202" i="16" s="1"/>
  <c r="F2202" i="16"/>
  <c r="H2200" i="16"/>
  <c r="I2199" i="16"/>
  <c r="N2180" i="16"/>
  <c r="F2180" i="16"/>
  <c r="H2197" i="16"/>
  <c r="I2196" i="16"/>
  <c r="N2195" i="16"/>
  <c r="F2195" i="16"/>
  <c r="H2193" i="16"/>
  <c r="I2192" i="16"/>
  <c r="N2191" i="16"/>
  <c r="O2191" i="16" s="1"/>
  <c r="L2191" i="16" s="1"/>
  <c r="A2191" i="16" s="1"/>
  <c r="F2191" i="16"/>
  <c r="H2189" i="16"/>
  <c r="I2188" i="16"/>
  <c r="N2187" i="16"/>
  <c r="O2187" i="16" s="1"/>
  <c r="L2187" i="16" s="1"/>
  <c r="A2187" i="16" s="1"/>
  <c r="F2187" i="16"/>
  <c r="H2185" i="16"/>
  <c r="I2184" i="16"/>
  <c r="N2183" i="16"/>
  <c r="F2183" i="16"/>
  <c r="F2179" i="16"/>
  <c r="I2182" i="16"/>
  <c r="N2181" i="16"/>
  <c r="O2181" i="16" s="1"/>
  <c r="L2181" i="16" s="1"/>
  <c r="A2181" i="16" s="1"/>
  <c r="F2181" i="16"/>
  <c r="H2179" i="16"/>
  <c r="H2178" i="16"/>
  <c r="H2182" i="16"/>
  <c r="I2181" i="16"/>
  <c r="H2181" i="16"/>
  <c r="N2179" i="16"/>
  <c r="N2178" i="16"/>
  <c r="F2178" i="16"/>
  <c r="N2182" i="16"/>
  <c r="O2182" i="16" s="1"/>
  <c r="L2182" i="16" s="1"/>
  <c r="A2182" i="16" s="1"/>
  <c r="F2182" i="16"/>
  <c r="I2179" i="16"/>
  <c r="I2178" i="16"/>
  <c r="I2177" i="16"/>
  <c r="N2176" i="16"/>
  <c r="F2176" i="16"/>
  <c r="H2177" i="16"/>
  <c r="I2176" i="16"/>
  <c r="N2177" i="16"/>
  <c r="F2177" i="16"/>
  <c r="H2176" i="16"/>
  <c r="F2175" i="16"/>
  <c r="I2175" i="16"/>
  <c r="H2175" i="16"/>
  <c r="N2175" i="16"/>
  <c r="H2173" i="16"/>
  <c r="I2172" i="16"/>
  <c r="N2171" i="16"/>
  <c r="F2171" i="16"/>
  <c r="N2174" i="16"/>
  <c r="F2174" i="16"/>
  <c r="H2172" i="16"/>
  <c r="I2171" i="16"/>
  <c r="H2174" i="16"/>
  <c r="I2173" i="16"/>
  <c r="N2172" i="16"/>
  <c r="O2172" i="16" s="1"/>
  <c r="L2172" i="16" s="1"/>
  <c r="A2172" i="16" s="1"/>
  <c r="F2172" i="16"/>
  <c r="I2174" i="16"/>
  <c r="N2173" i="16"/>
  <c r="F2173" i="16"/>
  <c r="H2171" i="16"/>
  <c r="I2170" i="16"/>
  <c r="F2170" i="16"/>
  <c r="H2170" i="16"/>
  <c r="N2170" i="16"/>
  <c r="H2168" i="16"/>
  <c r="I2167" i="16"/>
  <c r="N2166" i="16"/>
  <c r="O2166" i="16" s="1"/>
  <c r="L2166" i="16" s="1"/>
  <c r="A2166" i="16" s="1"/>
  <c r="F2166" i="16"/>
  <c r="F2169" i="16"/>
  <c r="H2167" i="16"/>
  <c r="N2167" i="16"/>
  <c r="O2167" i="16" s="1"/>
  <c r="L2167" i="16" s="1"/>
  <c r="A2167" i="16" s="1"/>
  <c r="N2169" i="16"/>
  <c r="I2166" i="16"/>
  <c r="I2168" i="16"/>
  <c r="F2167" i="16"/>
  <c r="I2169" i="16"/>
  <c r="N2168" i="16"/>
  <c r="F2168" i="16"/>
  <c r="H2166" i="16"/>
  <c r="H2169" i="16"/>
  <c r="H2164" i="16"/>
  <c r="I2163" i="16"/>
  <c r="I2165" i="16"/>
  <c r="F2164" i="16"/>
  <c r="N2165" i="16"/>
  <c r="F2165" i="16"/>
  <c r="H2163" i="16"/>
  <c r="N2164" i="16"/>
  <c r="H2165" i="16"/>
  <c r="I2164" i="16"/>
  <c r="N2163" i="16"/>
  <c r="F2163" i="16"/>
  <c r="N2159" i="16"/>
  <c r="F2159" i="16"/>
  <c r="I2157" i="16"/>
  <c r="N2156" i="16"/>
  <c r="F2156" i="16"/>
  <c r="H2159" i="16"/>
  <c r="N2157" i="16"/>
  <c r="F2157" i="16"/>
  <c r="I2159" i="16"/>
  <c r="N2158" i="16"/>
  <c r="F2158" i="16"/>
  <c r="H2157" i="16"/>
  <c r="I2156" i="16"/>
  <c r="I2158" i="16"/>
  <c r="H2156" i="16"/>
  <c r="H2158" i="16"/>
  <c r="N2155" i="16"/>
  <c r="F2155" i="16"/>
  <c r="H2154" i="16"/>
  <c r="H2153" i="16"/>
  <c r="I2152" i="16"/>
  <c r="F2152" i="16"/>
  <c r="I2155" i="16"/>
  <c r="H2152" i="16"/>
  <c r="N2151" i="16"/>
  <c r="F2151" i="16"/>
  <c r="N2154" i="16"/>
  <c r="F2154" i="16"/>
  <c r="N2153" i="16"/>
  <c r="F2153" i="16"/>
  <c r="I2151" i="16"/>
  <c r="I2154" i="16"/>
  <c r="I2153" i="16"/>
  <c r="N2152" i="16"/>
  <c r="H2151" i="16"/>
  <c r="H2155" i="16"/>
  <c r="H2149" i="16"/>
  <c r="I2148" i="16"/>
  <c r="N2147" i="16"/>
  <c r="O2147" i="16" s="1"/>
  <c r="L2147" i="16" s="1"/>
  <c r="A2147" i="16" s="1"/>
  <c r="F2147" i="16"/>
  <c r="F2150" i="16"/>
  <c r="H2148" i="16"/>
  <c r="I2147" i="16"/>
  <c r="I2149" i="16"/>
  <c r="N2150" i="16"/>
  <c r="N2148" i="16"/>
  <c r="I2150" i="16"/>
  <c r="N2149" i="16"/>
  <c r="F2149" i="16"/>
  <c r="H2147" i="16"/>
  <c r="H2150" i="16"/>
  <c r="F2148" i="16"/>
  <c r="F2136" i="16"/>
  <c r="N2136" i="16"/>
  <c r="H2136" i="16"/>
  <c r="I2136" i="16"/>
  <c r="N2146" i="16"/>
  <c r="F2146" i="16"/>
  <c r="H2146" i="16"/>
  <c r="I2146" i="16"/>
  <c r="H2145" i="16"/>
  <c r="I2145" i="16"/>
  <c r="N2145" i="16"/>
  <c r="F2145" i="16"/>
  <c r="N2144" i="16"/>
  <c r="O2144" i="16" s="1"/>
  <c r="L2144" i="16" s="1"/>
  <c r="A2144" i="16" s="1"/>
  <c r="F2144" i="16"/>
  <c r="I2142" i="16"/>
  <c r="N2141" i="16"/>
  <c r="F2141" i="16"/>
  <c r="I2139" i="16"/>
  <c r="N2138" i="16"/>
  <c r="F2138" i="16"/>
  <c r="N2143" i="16"/>
  <c r="H2139" i="16"/>
  <c r="N2137" i="16"/>
  <c r="H2141" i="16"/>
  <c r="H2138" i="16"/>
  <c r="H2144" i="16"/>
  <c r="H2143" i="16"/>
  <c r="N2142" i="16"/>
  <c r="F2142" i="16"/>
  <c r="I2140" i="16"/>
  <c r="N2139" i="16"/>
  <c r="F2139" i="16"/>
  <c r="H2137" i="16"/>
  <c r="H2140" i="16"/>
  <c r="I2144" i="16"/>
  <c r="F2143" i="16"/>
  <c r="H2142" i="16"/>
  <c r="I2141" i="16"/>
  <c r="I2138" i="16"/>
  <c r="F2137" i="16"/>
  <c r="I2143" i="16"/>
  <c r="N2140" i="16"/>
  <c r="F2140" i="16"/>
  <c r="I2137" i="16"/>
  <c r="I2131" i="16"/>
  <c r="F2131" i="16"/>
  <c r="H2131" i="16"/>
  <c r="N2131" i="16"/>
  <c r="I2135" i="16"/>
  <c r="N2133" i="16"/>
  <c r="F2133" i="16"/>
  <c r="H2130" i="16"/>
  <c r="H2135" i="16"/>
  <c r="N2134" i="16"/>
  <c r="F2134" i="16"/>
  <c r="I2133" i="16"/>
  <c r="N2132" i="16"/>
  <c r="F2132" i="16"/>
  <c r="N2135" i="16"/>
  <c r="H2132" i="16"/>
  <c r="H2134" i="16"/>
  <c r="I2130" i="16"/>
  <c r="I2134" i="16"/>
  <c r="H2133" i="16"/>
  <c r="I2132" i="16"/>
  <c r="N2130" i="16"/>
  <c r="F2130" i="16"/>
  <c r="F2135" i="16"/>
  <c r="I2129" i="16"/>
  <c r="F2129" i="16"/>
  <c r="H2129" i="16"/>
  <c r="N2129" i="16"/>
  <c r="O2129" i="16" s="1"/>
  <c r="L2129" i="16" s="1"/>
  <c r="A2129" i="16" s="1"/>
  <c r="F2128" i="16"/>
  <c r="N2128" i="16"/>
  <c r="O2128" i="16" s="1"/>
  <c r="L2128" i="16" s="1"/>
  <c r="A2128" i="16" s="1"/>
  <c r="I2128" i="16"/>
  <c r="H2128" i="16"/>
  <c r="N2127" i="16"/>
  <c r="O2127" i="16" s="1"/>
  <c r="L2127" i="16" s="1"/>
  <c r="A2127" i="16" s="1"/>
  <c r="F2127" i="16"/>
  <c r="H2125" i="16"/>
  <c r="I2124" i="16"/>
  <c r="N2123" i="16"/>
  <c r="O2123" i="16" s="1"/>
  <c r="L2123" i="16" s="1"/>
  <c r="A2123" i="16" s="1"/>
  <c r="F2123" i="16"/>
  <c r="I2127" i="16"/>
  <c r="N2126" i="16"/>
  <c r="O2126" i="16" s="1"/>
  <c r="L2126" i="16" s="1"/>
  <c r="A2126" i="16" s="1"/>
  <c r="F2126" i="16"/>
  <c r="H2124" i="16"/>
  <c r="I2123" i="16"/>
  <c r="N2122" i="16"/>
  <c r="O2122" i="16" s="1"/>
  <c r="L2122" i="16" s="1"/>
  <c r="A2122" i="16" s="1"/>
  <c r="F2122" i="16"/>
  <c r="H2127" i="16"/>
  <c r="I2126" i="16"/>
  <c r="N2125" i="16"/>
  <c r="O2125" i="16" s="1"/>
  <c r="L2125" i="16" s="1"/>
  <c r="A2125" i="16" s="1"/>
  <c r="F2125" i="16"/>
  <c r="H2123" i="16"/>
  <c r="I2122" i="16"/>
  <c r="H2126" i="16"/>
  <c r="I2125" i="16"/>
  <c r="N2124" i="16"/>
  <c r="O2124" i="16" s="1"/>
  <c r="L2124" i="16" s="1"/>
  <c r="A2124" i="16" s="1"/>
  <c r="F2124" i="16"/>
  <c r="H2122" i="16"/>
  <c r="F2112" i="16"/>
  <c r="H2112" i="16"/>
  <c r="N2112" i="16"/>
  <c r="I2112" i="16"/>
  <c r="N2121" i="16"/>
  <c r="O2121" i="16" s="1"/>
  <c r="L2121" i="16" s="1"/>
  <c r="A2121" i="16" s="1"/>
  <c r="F2121" i="16"/>
  <c r="I2121" i="16"/>
  <c r="H2121" i="16"/>
  <c r="N2116" i="16"/>
  <c r="F2116" i="16"/>
  <c r="I2116" i="16"/>
  <c r="H2116" i="16"/>
  <c r="N2120" i="16"/>
  <c r="I2117" i="16"/>
  <c r="N2119" i="16"/>
  <c r="F2119" i="16"/>
  <c r="H2117" i="16"/>
  <c r="H2120" i="16"/>
  <c r="I2119" i="16"/>
  <c r="N2118" i="16"/>
  <c r="F2118" i="16"/>
  <c r="H2119" i="16"/>
  <c r="I2118" i="16"/>
  <c r="N2117" i="16"/>
  <c r="F2117" i="16"/>
  <c r="F2120" i="16"/>
  <c r="H2118" i="16"/>
  <c r="I2120" i="16"/>
  <c r="F2115" i="16"/>
  <c r="H2114" i="16"/>
  <c r="N2115" i="16"/>
  <c r="I2114" i="16"/>
  <c r="I2115" i="16"/>
  <c r="N2114" i="16"/>
  <c r="F2114" i="16"/>
  <c r="H2115" i="16"/>
  <c r="N2113" i="16"/>
  <c r="F2113" i="16"/>
  <c r="I2113" i="16"/>
  <c r="H2113" i="16"/>
  <c r="I2111" i="16"/>
  <c r="H2111" i="16"/>
  <c r="N2111" i="16"/>
  <c r="O2111" i="16" s="1"/>
  <c r="L2111" i="16" s="1"/>
  <c r="A2111" i="16" s="1"/>
  <c r="F2111" i="16"/>
  <c r="H2110" i="16"/>
  <c r="I2110" i="16"/>
  <c r="N2110" i="16"/>
  <c r="O2110" i="16" s="1"/>
  <c r="L2110" i="16" s="1"/>
  <c r="A2110" i="16" s="1"/>
  <c r="F2110" i="16"/>
  <c r="N2109" i="16"/>
  <c r="F2109" i="16"/>
  <c r="H2108" i="16"/>
  <c r="I2109" i="16"/>
  <c r="I2108" i="16"/>
  <c r="H2109" i="16"/>
  <c r="N2108" i="16"/>
  <c r="F2108" i="16"/>
  <c r="H2107" i="16"/>
  <c r="N2106" i="16"/>
  <c r="O2106" i="16" s="1"/>
  <c r="L2106" i="16" s="1"/>
  <c r="A2106" i="16" s="1"/>
  <c r="F2106" i="16"/>
  <c r="I2106" i="16"/>
  <c r="N2107" i="16"/>
  <c r="O2107" i="16" s="1"/>
  <c r="L2107" i="16" s="1"/>
  <c r="A2107" i="16" s="1"/>
  <c r="F2107" i="16"/>
  <c r="H2106" i="16"/>
  <c r="I2107" i="16"/>
  <c r="I2105" i="16"/>
  <c r="H2105" i="16"/>
  <c r="N2105" i="16"/>
  <c r="F2105" i="16"/>
  <c r="H2103" i="16"/>
  <c r="H2104" i="16"/>
  <c r="N2104" i="16"/>
  <c r="F2104" i="16"/>
  <c r="I2103" i="16"/>
  <c r="I2104" i="16"/>
  <c r="N2103" i="16"/>
  <c r="F2103" i="16"/>
  <c r="N2102" i="16"/>
  <c r="F2102" i="16"/>
  <c r="I2102" i="16"/>
  <c r="H2102" i="16"/>
  <c r="I2086" i="16"/>
  <c r="N2101" i="16"/>
  <c r="F2101" i="16"/>
  <c r="H2100" i="16"/>
  <c r="I2099" i="16"/>
  <c r="H2097" i="16"/>
  <c r="I2096" i="16"/>
  <c r="N2095" i="16"/>
  <c r="O2095" i="16" s="1"/>
  <c r="L2095" i="16" s="1"/>
  <c r="A2095" i="16" s="1"/>
  <c r="F2095" i="16"/>
  <c r="H2093" i="16"/>
  <c r="I2092" i="16"/>
  <c r="N2091" i="16"/>
  <c r="O2091" i="16" s="1"/>
  <c r="L2091" i="16" s="1"/>
  <c r="A2091" i="16" s="1"/>
  <c r="F2091" i="16"/>
  <c r="H2089" i="16"/>
  <c r="I2088" i="16"/>
  <c r="N2087" i="16"/>
  <c r="O2087" i="16" s="1"/>
  <c r="L2087" i="16" s="1"/>
  <c r="A2087" i="16" s="1"/>
  <c r="F2087" i="16"/>
  <c r="H2085" i="16"/>
  <c r="H2086" i="16"/>
  <c r="I2101" i="16"/>
  <c r="H2099" i="16"/>
  <c r="N2098" i="16"/>
  <c r="O2098" i="16" s="1"/>
  <c r="L2098" i="16" s="1"/>
  <c r="A2098" i="16" s="1"/>
  <c r="F2098" i="16"/>
  <c r="H2096" i="16"/>
  <c r="I2095" i="16"/>
  <c r="N2094" i="16"/>
  <c r="O2094" i="16" s="1"/>
  <c r="L2094" i="16" s="1"/>
  <c r="A2094" i="16" s="1"/>
  <c r="F2094" i="16"/>
  <c r="H2092" i="16"/>
  <c r="I2091" i="16"/>
  <c r="N2090" i="16"/>
  <c r="O2090" i="16" s="1"/>
  <c r="L2090" i="16" s="1"/>
  <c r="A2090" i="16" s="1"/>
  <c r="F2090" i="16"/>
  <c r="H2088" i="16"/>
  <c r="I2087" i="16"/>
  <c r="N2086" i="16"/>
  <c r="O2086" i="16" s="1"/>
  <c r="L2086" i="16" s="1"/>
  <c r="A2086" i="16" s="1"/>
  <c r="H2101" i="16"/>
  <c r="N2100" i="16"/>
  <c r="F2100" i="16"/>
  <c r="I2098" i="16"/>
  <c r="N2097" i="16"/>
  <c r="O2097" i="16" s="1"/>
  <c r="L2097" i="16" s="1"/>
  <c r="A2097" i="16" s="1"/>
  <c r="F2097" i="16"/>
  <c r="H2095" i="16"/>
  <c r="I2094" i="16"/>
  <c r="N2093" i="16"/>
  <c r="O2093" i="16" s="1"/>
  <c r="L2093" i="16" s="1"/>
  <c r="A2093" i="16" s="1"/>
  <c r="F2093" i="16"/>
  <c r="H2091" i="16"/>
  <c r="I2090" i="16"/>
  <c r="N2089" i="16"/>
  <c r="O2089" i="16" s="1"/>
  <c r="L2089" i="16" s="1"/>
  <c r="A2089" i="16" s="1"/>
  <c r="F2089" i="16"/>
  <c r="H2087" i="16"/>
  <c r="N2085" i="16"/>
  <c r="O2085" i="16" s="1"/>
  <c r="L2085" i="16" s="1"/>
  <c r="A2085" i="16" s="1"/>
  <c r="F2085" i="16"/>
  <c r="F2086" i="16"/>
  <c r="I2100" i="16"/>
  <c r="N2099" i="16"/>
  <c r="F2099" i="16"/>
  <c r="H2098" i="16"/>
  <c r="I2097" i="16"/>
  <c r="N2096" i="16"/>
  <c r="O2096" i="16" s="1"/>
  <c r="L2096" i="16" s="1"/>
  <c r="A2096" i="16" s="1"/>
  <c r="F2096" i="16"/>
  <c r="H2094" i="16"/>
  <c r="I2093" i="16"/>
  <c r="N2092" i="16"/>
  <c r="O2092" i="16" s="1"/>
  <c r="L2092" i="16" s="1"/>
  <c r="A2092" i="16" s="1"/>
  <c r="F2092" i="16"/>
  <c r="H2090" i="16"/>
  <c r="I2089" i="16"/>
  <c r="N2088" i="16"/>
  <c r="O2088" i="16" s="1"/>
  <c r="L2088" i="16" s="1"/>
  <c r="A2088" i="16" s="1"/>
  <c r="F2088" i="16"/>
  <c r="I2085" i="16"/>
  <c r="N2084" i="16"/>
  <c r="F2084" i="16"/>
  <c r="H2082" i="16"/>
  <c r="I2081" i="16"/>
  <c r="N2080" i="16"/>
  <c r="F2080" i="16"/>
  <c r="I2084" i="16"/>
  <c r="N2083" i="16"/>
  <c r="F2083" i="16"/>
  <c r="H2081" i="16"/>
  <c r="I2080" i="16"/>
  <c r="H2084" i="16"/>
  <c r="N2082" i="16"/>
  <c r="F2082" i="16"/>
  <c r="H2083" i="16"/>
  <c r="N2081" i="16"/>
  <c r="I2083" i="16"/>
  <c r="H2080" i="16"/>
  <c r="I2082" i="16"/>
  <c r="F2081" i="16"/>
  <c r="F2050" i="16"/>
  <c r="N2050" i="16"/>
  <c r="I2051" i="16"/>
  <c r="H2052" i="16"/>
  <c r="F2054" i="16"/>
  <c r="N2054" i="16"/>
  <c r="I2055" i="16"/>
  <c r="H2056" i="16"/>
  <c r="F2058" i="16"/>
  <c r="N2058" i="16"/>
  <c r="I2059" i="16"/>
  <c r="H2060" i="16"/>
  <c r="F2062" i="16"/>
  <c r="N2062" i="16"/>
  <c r="I2063" i="16"/>
  <c r="H2064" i="16"/>
  <c r="F2066" i="16"/>
  <c r="N2066" i="16"/>
  <c r="O2066" i="16" s="1"/>
  <c r="L2066" i="16" s="1"/>
  <c r="A2066" i="16" s="1"/>
  <c r="I2067" i="16"/>
  <c r="H2068" i="16"/>
  <c r="F2070" i="16"/>
  <c r="N2070" i="16"/>
  <c r="I2071" i="16"/>
  <c r="H2072" i="16"/>
  <c r="F2074" i="16"/>
  <c r="N2074" i="16"/>
  <c r="I2075" i="16"/>
  <c r="H2076" i="16"/>
  <c r="F2078" i="16"/>
  <c r="N2078" i="16"/>
  <c r="I2079" i="16"/>
  <c r="H2049" i="16"/>
  <c r="F2051" i="16"/>
  <c r="N2051" i="16"/>
  <c r="I2052" i="16"/>
  <c r="H2053" i="16"/>
  <c r="F2055" i="16"/>
  <c r="N2055" i="16"/>
  <c r="I2056" i="16"/>
  <c r="H2057" i="16"/>
  <c r="F2059" i="16"/>
  <c r="N2059" i="16"/>
  <c r="I2060" i="16"/>
  <c r="H2061" i="16"/>
  <c r="F2063" i="16"/>
  <c r="N2063" i="16"/>
  <c r="I2064" i="16"/>
  <c r="H2065" i="16"/>
  <c r="F2067" i="16"/>
  <c r="N2067" i="16"/>
  <c r="I2068" i="16"/>
  <c r="H2069" i="16"/>
  <c r="F2071" i="16"/>
  <c r="N2071" i="16"/>
  <c r="I2072" i="16"/>
  <c r="H2073" i="16"/>
  <c r="F2075" i="16"/>
  <c r="N2075" i="16"/>
  <c r="I2076" i="16"/>
  <c r="H2077" i="16"/>
  <c r="F2079" i="16"/>
  <c r="N2079" i="16"/>
  <c r="I2049" i="16"/>
  <c r="H2050" i="16"/>
  <c r="F2052" i="16"/>
  <c r="N2052" i="16"/>
  <c r="I2053" i="16"/>
  <c r="H2054" i="16"/>
  <c r="N2049" i="16"/>
  <c r="F2053" i="16"/>
  <c r="H2055" i="16"/>
  <c r="F2057" i="16"/>
  <c r="I2058" i="16"/>
  <c r="N2061" i="16"/>
  <c r="H2063" i="16"/>
  <c r="F2065" i="16"/>
  <c r="I2066" i="16"/>
  <c r="N2069" i="16"/>
  <c r="H2071" i="16"/>
  <c r="F2073" i="16"/>
  <c r="I2074" i="16"/>
  <c r="N2077" i="16"/>
  <c r="H2079" i="16"/>
  <c r="I2050" i="16"/>
  <c r="N2053" i="16"/>
  <c r="F2056" i="16"/>
  <c r="I2057" i="16"/>
  <c r="N2060" i="16"/>
  <c r="H2062" i="16"/>
  <c r="F2064" i="16"/>
  <c r="I2065" i="16"/>
  <c r="N2068" i="16"/>
  <c r="H2070" i="16"/>
  <c r="F2072" i="16"/>
  <c r="I2073" i="16"/>
  <c r="N2076" i="16"/>
  <c r="H2078" i="16"/>
  <c r="H2051" i="16"/>
  <c r="I2054" i="16"/>
  <c r="N2057" i="16"/>
  <c r="H2059" i="16"/>
  <c r="F2061" i="16"/>
  <c r="I2062" i="16"/>
  <c r="N2065" i="16"/>
  <c r="H2067" i="16"/>
  <c r="F2069" i="16"/>
  <c r="I2070" i="16"/>
  <c r="N2073" i="16"/>
  <c r="H2075" i="16"/>
  <c r="F2077" i="16"/>
  <c r="I2078" i="16"/>
  <c r="F2049" i="16"/>
  <c r="N2056" i="16"/>
  <c r="H2058" i="16"/>
  <c r="F2060" i="16"/>
  <c r="I2061" i="16"/>
  <c r="N2064" i="16"/>
  <c r="O2064" i="16" s="1"/>
  <c r="L2064" i="16" s="1"/>
  <c r="A2064" i="16" s="1"/>
  <c r="H2066" i="16"/>
  <c r="F2068" i="16"/>
  <c r="I2069" i="16"/>
  <c r="N2072" i="16"/>
  <c r="H2074" i="16"/>
  <c r="F2076" i="16"/>
  <c r="I2077" i="16"/>
  <c r="F2041" i="16"/>
  <c r="N2041" i="16"/>
  <c r="O2041" i="16" s="1"/>
  <c r="L2041" i="16" s="1"/>
  <c r="A2041" i="16" s="1"/>
  <c r="I2042" i="16"/>
  <c r="H2043" i="16"/>
  <c r="F2045" i="16"/>
  <c r="N2045" i="16"/>
  <c r="I2046" i="16"/>
  <c r="H2047" i="16"/>
  <c r="F2043" i="16"/>
  <c r="N2043" i="16"/>
  <c r="I2044" i="16"/>
  <c r="H2045" i="16"/>
  <c r="F2047" i="16"/>
  <c r="N2047" i="16"/>
  <c r="F2042" i="16"/>
  <c r="N2042" i="16"/>
  <c r="I2043" i="16"/>
  <c r="H2044" i="16"/>
  <c r="F2046" i="16"/>
  <c r="N2046" i="16"/>
  <c r="I2047" i="16"/>
  <c r="H2048" i="16"/>
  <c r="H2041" i="16"/>
  <c r="I2048" i="16"/>
  <c r="I2041" i="16"/>
  <c r="H2042" i="16"/>
  <c r="F2044" i="16"/>
  <c r="N2044" i="16"/>
  <c r="I2045" i="16"/>
  <c r="H2046" i="16"/>
  <c r="F2048" i="16"/>
  <c r="N2048" i="16"/>
  <c r="F2039" i="16"/>
  <c r="N2039" i="16"/>
  <c r="I2040" i="16"/>
  <c r="H2038" i="16"/>
  <c r="F2040" i="16"/>
  <c r="N2040" i="16"/>
  <c r="I2038" i="16"/>
  <c r="H2039" i="16"/>
  <c r="F2038" i="16"/>
  <c r="I2039" i="16"/>
  <c r="H2040" i="16"/>
  <c r="N2038" i="16"/>
  <c r="F2034" i="16"/>
  <c r="N2034" i="16"/>
  <c r="O2034" i="16" s="1"/>
  <c r="L2034" i="16" s="1"/>
  <c r="A2034" i="16" s="1"/>
  <c r="I2035" i="16"/>
  <c r="H2036" i="16"/>
  <c r="F2037" i="16"/>
  <c r="N2037" i="16"/>
  <c r="O2037" i="16" s="1"/>
  <c r="L2037" i="16" s="1"/>
  <c r="A2037" i="16" s="1"/>
  <c r="H2033" i="16"/>
  <c r="F2035" i="16"/>
  <c r="N2035" i="16"/>
  <c r="O2035" i="16" s="1"/>
  <c r="L2035" i="16" s="1"/>
  <c r="A2035" i="16" s="1"/>
  <c r="I2036" i="16"/>
  <c r="I2033" i="16"/>
  <c r="H2034" i="16"/>
  <c r="F2036" i="16"/>
  <c r="N2036" i="16"/>
  <c r="H2037" i="16"/>
  <c r="F2033" i="16"/>
  <c r="N2033" i="16"/>
  <c r="O2033" i="16" s="1"/>
  <c r="L2033" i="16" s="1"/>
  <c r="A2033" i="16" s="1"/>
  <c r="I2034" i="16"/>
  <c r="H2035" i="16"/>
  <c r="I2037" i="16"/>
  <c r="H2026" i="16"/>
  <c r="F2028" i="16"/>
  <c r="N2028" i="16"/>
  <c r="O2028" i="16" s="1"/>
  <c r="L2028" i="16" s="1"/>
  <c r="A2028" i="16" s="1"/>
  <c r="I2029" i="16"/>
  <c r="H2030" i="16"/>
  <c r="F1981" i="16"/>
  <c r="N1981" i="16"/>
  <c r="O1981" i="16" s="1"/>
  <c r="L1981" i="16" s="1"/>
  <c r="A1981" i="16" s="1"/>
  <c r="I2031" i="16"/>
  <c r="H2032" i="16"/>
  <c r="I2026" i="16"/>
  <c r="H2027" i="16"/>
  <c r="F2029" i="16"/>
  <c r="N2029" i="16"/>
  <c r="O2029" i="16" s="1"/>
  <c r="L2029" i="16" s="1"/>
  <c r="A2029" i="16" s="1"/>
  <c r="I2030" i="16"/>
  <c r="H1980" i="16"/>
  <c r="F2031" i="16"/>
  <c r="N2031" i="16"/>
  <c r="O2031" i="16" s="1"/>
  <c r="L2031" i="16" s="1"/>
  <c r="A2031" i="16" s="1"/>
  <c r="I2032" i="16"/>
  <c r="F2026" i="16"/>
  <c r="N2026" i="16"/>
  <c r="O2026" i="16" s="1"/>
  <c r="L2026" i="16" s="1"/>
  <c r="A2026" i="16" s="1"/>
  <c r="I2027" i="16"/>
  <c r="H2028" i="16"/>
  <c r="F2030" i="16"/>
  <c r="N2030" i="16"/>
  <c r="O2030" i="16" s="1"/>
  <c r="L2030" i="16" s="1"/>
  <c r="A2030" i="16" s="1"/>
  <c r="I1980" i="16"/>
  <c r="H1981" i="16"/>
  <c r="F2032" i="16"/>
  <c r="N2032" i="16"/>
  <c r="F2027" i="16"/>
  <c r="N2027" i="16"/>
  <c r="O2027" i="16" s="1"/>
  <c r="L2027" i="16" s="1"/>
  <c r="A2027" i="16" s="1"/>
  <c r="I2028" i="16"/>
  <c r="H2029" i="16"/>
  <c r="F1980" i="16"/>
  <c r="N1980" i="16"/>
  <c r="O1980" i="16" s="1"/>
  <c r="L1980" i="16" s="1"/>
  <c r="A1980" i="16" s="1"/>
  <c r="I1981" i="16"/>
  <c r="H2031" i="16"/>
  <c r="F1990" i="16"/>
  <c r="N1990" i="16"/>
  <c r="I1991" i="16"/>
  <c r="H1992" i="16"/>
  <c r="F1994" i="16"/>
  <c r="N1994" i="16"/>
  <c r="O1994" i="16" s="1"/>
  <c r="L1994" i="16" s="1"/>
  <c r="A1994" i="16" s="1"/>
  <c r="I1995" i="16"/>
  <c r="H1996" i="16"/>
  <c r="F1998" i="16"/>
  <c r="N1998" i="16"/>
  <c r="O1998" i="16" s="1"/>
  <c r="L1998" i="16" s="1"/>
  <c r="A1998" i="16" s="1"/>
  <c r="I1999" i="16"/>
  <c r="H2000" i="16"/>
  <c r="F2002" i="16"/>
  <c r="N2002" i="16"/>
  <c r="N2003" i="16"/>
  <c r="I2004" i="16"/>
  <c r="H2005" i="16"/>
  <c r="F2011" i="16"/>
  <c r="N2011" i="16"/>
  <c r="I2012" i="16"/>
  <c r="H2013" i="16"/>
  <c r="F2015" i="16"/>
  <c r="N2015" i="16"/>
  <c r="O2015" i="16" s="1"/>
  <c r="L2015" i="16" s="1"/>
  <c r="A2015" i="16" s="1"/>
  <c r="I2016" i="16"/>
  <c r="H2017" i="16"/>
  <c r="F2019" i="16"/>
  <c r="N2019" i="16"/>
  <c r="I2020" i="16"/>
  <c r="H2021" i="16"/>
  <c r="F2023" i="16"/>
  <c r="N2023" i="16"/>
  <c r="I2024" i="16"/>
  <c r="H2025" i="16"/>
  <c r="I1989" i="16"/>
  <c r="N1992" i="16"/>
  <c r="H1994" i="16"/>
  <c r="F1996" i="16"/>
  <c r="I1997" i="16"/>
  <c r="N2000" i="16"/>
  <c r="H2002" i="16"/>
  <c r="N2005" i="16"/>
  <c r="H2011" i="16"/>
  <c r="F2013" i="16"/>
  <c r="I2014" i="16"/>
  <c r="N2017" i="16"/>
  <c r="O2017" i="16" s="1"/>
  <c r="L2017" i="16" s="1"/>
  <c r="A2017" i="16" s="1"/>
  <c r="H2019" i="16"/>
  <c r="N2021" i="16"/>
  <c r="H2023" i="16"/>
  <c r="F2025" i="16"/>
  <c r="F1989" i="16"/>
  <c r="I1990" i="16"/>
  <c r="N1993" i="16"/>
  <c r="O1993" i="16" s="1"/>
  <c r="L1993" i="16" s="1"/>
  <c r="A1993" i="16" s="1"/>
  <c r="H1995" i="16"/>
  <c r="F1997" i="16"/>
  <c r="I1998" i="16"/>
  <c r="N2001" i="16"/>
  <c r="I2003" i="16"/>
  <c r="N2010" i="16"/>
  <c r="H2012" i="16"/>
  <c r="F2014" i="16"/>
  <c r="I2015" i="16"/>
  <c r="N2018" i="16"/>
  <c r="H2020" i="16"/>
  <c r="F2022" i="16"/>
  <c r="I2023" i="16"/>
  <c r="H1989" i="16"/>
  <c r="F1991" i="16"/>
  <c r="N1991" i="16"/>
  <c r="I1992" i="16"/>
  <c r="H1993" i="16"/>
  <c r="F1995" i="16"/>
  <c r="N1995" i="16"/>
  <c r="I1996" i="16"/>
  <c r="H1997" i="16"/>
  <c r="F1999" i="16"/>
  <c r="N1999" i="16"/>
  <c r="I2000" i="16"/>
  <c r="H2001" i="16"/>
  <c r="F2003" i="16"/>
  <c r="F2004" i="16"/>
  <c r="N2004" i="16"/>
  <c r="I2005" i="16"/>
  <c r="H2010" i="16"/>
  <c r="F2012" i="16"/>
  <c r="N2012" i="16"/>
  <c r="I2013" i="16"/>
  <c r="H2014" i="16"/>
  <c r="F2016" i="16"/>
  <c r="N2016" i="16"/>
  <c r="I2017" i="16"/>
  <c r="H2018" i="16"/>
  <c r="F2020" i="16"/>
  <c r="N2020" i="16"/>
  <c r="I2021" i="16"/>
  <c r="H2022" i="16"/>
  <c r="F2024" i="16"/>
  <c r="N2024" i="16"/>
  <c r="I2025" i="16"/>
  <c r="H1990" i="16"/>
  <c r="F1992" i="16"/>
  <c r="I1993" i="16"/>
  <c r="N1996" i="16"/>
  <c r="H1998" i="16"/>
  <c r="F2000" i="16"/>
  <c r="I2001" i="16"/>
  <c r="H2003" i="16"/>
  <c r="F2005" i="16"/>
  <c r="I2010" i="16"/>
  <c r="N2013" i="16"/>
  <c r="O2013" i="16" s="1"/>
  <c r="L2013" i="16" s="1"/>
  <c r="A2013" i="16" s="1"/>
  <c r="H2015" i="16"/>
  <c r="F2017" i="16"/>
  <c r="I2018" i="16"/>
  <c r="F2021" i="16"/>
  <c r="I2022" i="16"/>
  <c r="N2025" i="16"/>
  <c r="N1989" i="16"/>
  <c r="H1991" i="16"/>
  <c r="F1993" i="16"/>
  <c r="I1994" i="16"/>
  <c r="N1997" i="16"/>
  <c r="H1999" i="16"/>
  <c r="F2001" i="16"/>
  <c r="I2002" i="16"/>
  <c r="H2004" i="16"/>
  <c r="F2010" i="16"/>
  <c r="I2011" i="16"/>
  <c r="N2014" i="16"/>
  <c r="O2014" i="16" s="1"/>
  <c r="L2014" i="16" s="1"/>
  <c r="A2014" i="16" s="1"/>
  <c r="H2016" i="16"/>
  <c r="F2018" i="16"/>
  <c r="I2019" i="16"/>
  <c r="N2022" i="16"/>
  <c r="H2024" i="16"/>
  <c r="I1988" i="16"/>
  <c r="F1988" i="16"/>
  <c r="N1988" i="16"/>
  <c r="H1988" i="16"/>
  <c r="F1987" i="16"/>
  <c r="H1987" i="16"/>
  <c r="N1987" i="16"/>
  <c r="I1987" i="16"/>
  <c r="N1986" i="16"/>
  <c r="O1986" i="16" s="1"/>
  <c r="L1986" i="16" s="1"/>
  <c r="A1986" i="16" s="1"/>
  <c r="F1985" i="16"/>
  <c r="N1985" i="16"/>
  <c r="O1985" i="16" s="1"/>
  <c r="L1985" i="16" s="1"/>
  <c r="A1985" i="16" s="1"/>
  <c r="I1986" i="16"/>
  <c r="H1984" i="16"/>
  <c r="F1986" i="16"/>
  <c r="I1984" i="16"/>
  <c r="H1985" i="16"/>
  <c r="F1984" i="16"/>
  <c r="N1984" i="16"/>
  <c r="O1984" i="16" s="1"/>
  <c r="L1984" i="16" s="1"/>
  <c r="A1984" i="16" s="1"/>
  <c r="I1985" i="16"/>
  <c r="H1986" i="16"/>
  <c r="F1982" i="16"/>
  <c r="N1982" i="16"/>
  <c r="I1983" i="16"/>
  <c r="F1983" i="16"/>
  <c r="N1983" i="16"/>
  <c r="H1982" i="16"/>
  <c r="I1982" i="16"/>
  <c r="H1983" i="16"/>
  <c r="F1976" i="16"/>
  <c r="N1976" i="16"/>
  <c r="I1977" i="16"/>
  <c r="H1978" i="16"/>
  <c r="F1979" i="16"/>
  <c r="N1979" i="16"/>
  <c r="F1977" i="16"/>
  <c r="N1977" i="16"/>
  <c r="I1978" i="16"/>
  <c r="H1976" i="16"/>
  <c r="F1978" i="16"/>
  <c r="N1978" i="16"/>
  <c r="H1979" i="16"/>
  <c r="I1976" i="16"/>
  <c r="H1977" i="16"/>
  <c r="I1979" i="16"/>
  <c r="F1972" i="16"/>
  <c r="N1972" i="16"/>
  <c r="I1973" i="16"/>
  <c r="H1974" i="16"/>
  <c r="F1973" i="16"/>
  <c r="N1973" i="16"/>
  <c r="I1974" i="16"/>
  <c r="H1975" i="16"/>
  <c r="H1972" i="16"/>
  <c r="F1974" i="16"/>
  <c r="N1974" i="16"/>
  <c r="I1975" i="16"/>
  <c r="I1972" i="16"/>
  <c r="H1973" i="16"/>
  <c r="F1975" i="16"/>
  <c r="N1975" i="16"/>
  <c r="H1971" i="16"/>
  <c r="I1971" i="16"/>
  <c r="F1971" i="16"/>
  <c r="N1971" i="16"/>
  <c r="O1971" i="16" s="1"/>
  <c r="L1971" i="16" s="1"/>
  <c r="A1971" i="16" s="1"/>
  <c r="I1968" i="16"/>
  <c r="H1969" i="16"/>
  <c r="N1967" i="16"/>
  <c r="H1967" i="16"/>
  <c r="F1968" i="16"/>
  <c r="N1968" i="16"/>
  <c r="I1969" i="16"/>
  <c r="H1970" i="16"/>
  <c r="F1967" i="16"/>
  <c r="N1970" i="16"/>
  <c r="O1970" i="16" s="1"/>
  <c r="L1970" i="16" s="1"/>
  <c r="A1970" i="16" s="1"/>
  <c r="I1967" i="16"/>
  <c r="F1969" i="16"/>
  <c r="N1969" i="16"/>
  <c r="O1969" i="16" s="1"/>
  <c r="L1969" i="16" s="1"/>
  <c r="A1969" i="16" s="1"/>
  <c r="I1970" i="16"/>
  <c r="H1968" i="16"/>
  <c r="F1970" i="16"/>
  <c r="H1964" i="16"/>
  <c r="F1966" i="16"/>
  <c r="N1966" i="16"/>
  <c r="I1966" i="16"/>
  <c r="I1964" i="16"/>
  <c r="H1965" i="16"/>
  <c r="N1965" i="16"/>
  <c r="F1964" i="16"/>
  <c r="N1964" i="16"/>
  <c r="I1965" i="16"/>
  <c r="H1966" i="16"/>
  <c r="F1965" i="16"/>
  <c r="N1963" i="16"/>
  <c r="F1963" i="16"/>
  <c r="H1963" i="16"/>
  <c r="I1963" i="16"/>
  <c r="I1962" i="16"/>
  <c r="F1962" i="16"/>
  <c r="H1962" i="16"/>
  <c r="N1962" i="16"/>
  <c r="H1960" i="16"/>
  <c r="I1960" i="16"/>
  <c r="H1961" i="16"/>
  <c r="F1960" i="16"/>
  <c r="N1960" i="16"/>
  <c r="I1961" i="16"/>
  <c r="F1961" i="16"/>
  <c r="N1961" i="16"/>
  <c r="F1957" i="16"/>
  <c r="N1957" i="16"/>
  <c r="H1958" i="16"/>
  <c r="F1959" i="16"/>
  <c r="N1959" i="16"/>
  <c r="I1958" i="16"/>
  <c r="H1957" i="16"/>
  <c r="F1958" i="16"/>
  <c r="N1958" i="16"/>
  <c r="H1959" i="16"/>
  <c r="I1957" i="16"/>
  <c r="I1959" i="16"/>
  <c r="H1941" i="16"/>
  <c r="N1942" i="16"/>
  <c r="N1945" i="16"/>
  <c r="H1947" i="16"/>
  <c r="N1948" i="16"/>
  <c r="H1950" i="16"/>
  <c r="F1952" i="16"/>
  <c r="I1953" i="16"/>
  <c r="N1956" i="16"/>
  <c r="O1956" i="16" s="1"/>
  <c r="L1956" i="16" s="1"/>
  <c r="A1956" i="16" s="1"/>
  <c r="I1941" i="16"/>
  <c r="H1944" i="16"/>
  <c r="F1946" i="16"/>
  <c r="I1947" i="16"/>
  <c r="F1949" i="16"/>
  <c r="I1950" i="16"/>
  <c r="N1953" i="16"/>
  <c r="H1955" i="16"/>
  <c r="N1941" i="16"/>
  <c r="F1943" i="16"/>
  <c r="I1944" i="16"/>
  <c r="N1947" i="16"/>
  <c r="N1950" i="16"/>
  <c r="H1952" i="16"/>
  <c r="F1954" i="16"/>
  <c r="I1955" i="16"/>
  <c r="N1944" i="16"/>
  <c r="H1946" i="16"/>
  <c r="H1949" i="16"/>
  <c r="F1951" i="16"/>
  <c r="I1952" i="16"/>
  <c r="N1955" i="16"/>
  <c r="O1955" i="16" s="1"/>
  <c r="L1955" i="16" s="1"/>
  <c r="A1955" i="16" s="1"/>
  <c r="F1942" i="16"/>
  <c r="H1943" i="16"/>
  <c r="F1945" i="16"/>
  <c r="I1946" i="16"/>
  <c r="F1948" i="16"/>
  <c r="I1949" i="16"/>
  <c r="N1952" i="16"/>
  <c r="H1954" i="16"/>
  <c r="F1956" i="16"/>
  <c r="I1943" i="16"/>
  <c r="N1946" i="16"/>
  <c r="N1949" i="16"/>
  <c r="H1951" i="16"/>
  <c r="F1953" i="16"/>
  <c r="I1954" i="16"/>
  <c r="F1941" i="16"/>
  <c r="H1942" i="16"/>
  <c r="N1943" i="16"/>
  <c r="H1945" i="16"/>
  <c r="F1947" i="16"/>
  <c r="H1948" i="16"/>
  <c r="F1950" i="16"/>
  <c r="I1951" i="16"/>
  <c r="N1954" i="16"/>
  <c r="H1956" i="16"/>
  <c r="I1942" i="16"/>
  <c r="F1944" i="16"/>
  <c r="I1945" i="16"/>
  <c r="I1948" i="16"/>
  <c r="N1951" i="16"/>
  <c r="H1953" i="16"/>
  <c r="F1955" i="16"/>
  <c r="I1956" i="16"/>
  <c r="F1940" i="16"/>
  <c r="N1940" i="16"/>
  <c r="O1940" i="16" s="1"/>
  <c r="L1940" i="16" s="1"/>
  <c r="A1940" i="16" s="1"/>
  <c r="H1940" i="16"/>
  <c r="I1940" i="16"/>
  <c r="F1933" i="16"/>
  <c r="N1933" i="16"/>
  <c r="I1934" i="16"/>
  <c r="H1935" i="16"/>
  <c r="F1937" i="16"/>
  <c r="N1937" i="16"/>
  <c r="I1938" i="16"/>
  <c r="F1932" i="16"/>
  <c r="N1936" i="16"/>
  <c r="F1939" i="16"/>
  <c r="H1932" i="16"/>
  <c r="F1934" i="16"/>
  <c r="N1934" i="16"/>
  <c r="I1935" i="16"/>
  <c r="H1936" i="16"/>
  <c r="F1938" i="16"/>
  <c r="N1938" i="16"/>
  <c r="H1939" i="16"/>
  <c r="I1933" i="16"/>
  <c r="I1937" i="16"/>
  <c r="N1939" i="16"/>
  <c r="I1932" i="16"/>
  <c r="H1933" i="16"/>
  <c r="F1935" i="16"/>
  <c r="N1935" i="16"/>
  <c r="I1936" i="16"/>
  <c r="H1937" i="16"/>
  <c r="I1939" i="16"/>
  <c r="N1932" i="16"/>
  <c r="H1934" i="16"/>
  <c r="F1936" i="16"/>
  <c r="H1938" i="16"/>
  <c r="F1926" i="16"/>
  <c r="N1926" i="16"/>
  <c r="O1926" i="16" s="1"/>
  <c r="L1926" i="16" s="1"/>
  <c r="A1926" i="16" s="1"/>
  <c r="I1927" i="16"/>
  <c r="H1928" i="16"/>
  <c r="I1930" i="16"/>
  <c r="H1931" i="16"/>
  <c r="H1925" i="16"/>
  <c r="F1927" i="16"/>
  <c r="N1927" i="16"/>
  <c r="O1927" i="16" s="1"/>
  <c r="L1927" i="16" s="1"/>
  <c r="A1927" i="16" s="1"/>
  <c r="I1928" i="16"/>
  <c r="H1929" i="16"/>
  <c r="F1930" i="16"/>
  <c r="N1930" i="16"/>
  <c r="O1930" i="16" s="1"/>
  <c r="L1930" i="16" s="1"/>
  <c r="A1930" i="16" s="1"/>
  <c r="I1931" i="16"/>
  <c r="F1925" i="16"/>
  <c r="H1927" i="16"/>
  <c r="N1929" i="16"/>
  <c r="O1929" i="16" s="1"/>
  <c r="L1929" i="16" s="1"/>
  <c r="A1929" i="16" s="1"/>
  <c r="I1925" i="16"/>
  <c r="H1926" i="16"/>
  <c r="F1928" i="16"/>
  <c r="N1928" i="16"/>
  <c r="O1928" i="16" s="1"/>
  <c r="L1928" i="16" s="1"/>
  <c r="A1928" i="16" s="1"/>
  <c r="I1929" i="16"/>
  <c r="F1931" i="16"/>
  <c r="N1931" i="16"/>
  <c r="I1926" i="16"/>
  <c r="H1930" i="16"/>
  <c r="N1925" i="16"/>
  <c r="O1925" i="16" s="1"/>
  <c r="L1925" i="16" s="1"/>
  <c r="A1925" i="16" s="1"/>
  <c r="F1929" i="16"/>
  <c r="F1912" i="16"/>
  <c r="F1913" i="16"/>
  <c r="N1913" i="16"/>
  <c r="I1914" i="16"/>
  <c r="I1916" i="16"/>
  <c r="H1917" i="16"/>
  <c r="F1918" i="16"/>
  <c r="N1918" i="16"/>
  <c r="I1919" i="16"/>
  <c r="F1921" i="16"/>
  <c r="N1921" i="16"/>
  <c r="I1922" i="16"/>
  <c r="H1923" i="16"/>
  <c r="N1912" i="16"/>
  <c r="N1915" i="16"/>
  <c r="I1918" i="16"/>
  <c r="N1920" i="16"/>
  <c r="H1912" i="16"/>
  <c r="F1914" i="16"/>
  <c r="N1914" i="16"/>
  <c r="H1915" i="16"/>
  <c r="F1916" i="16"/>
  <c r="N1916" i="16"/>
  <c r="I1917" i="16"/>
  <c r="F1919" i="16"/>
  <c r="N1919" i="16"/>
  <c r="H1920" i="16"/>
  <c r="F1922" i="16"/>
  <c r="N1922" i="16"/>
  <c r="I1923" i="16"/>
  <c r="H1924" i="16"/>
  <c r="I1913" i="16"/>
  <c r="H1919" i="16"/>
  <c r="I1921" i="16"/>
  <c r="F1924" i="16"/>
  <c r="I1912" i="16"/>
  <c r="H1913" i="16"/>
  <c r="I1915" i="16"/>
  <c r="F1917" i="16"/>
  <c r="N1917" i="16"/>
  <c r="H1918" i="16"/>
  <c r="I1920" i="16"/>
  <c r="H1921" i="16"/>
  <c r="F1923" i="16"/>
  <c r="N1923" i="16"/>
  <c r="I1924" i="16"/>
  <c r="H1914" i="16"/>
  <c r="F1915" i="16"/>
  <c r="H1916" i="16"/>
  <c r="F1920" i="16"/>
  <c r="H1922" i="16"/>
  <c r="N1924" i="16"/>
  <c r="F1906" i="16"/>
  <c r="N1906" i="16"/>
  <c r="O1906" i="16" s="1"/>
  <c r="L1906" i="16" s="1"/>
  <c r="A1906" i="16" s="1"/>
  <c r="I1907" i="16"/>
  <c r="H1908" i="16"/>
  <c r="F1909" i="16"/>
  <c r="N1909" i="16"/>
  <c r="O1909" i="16" s="1"/>
  <c r="L1909" i="16" s="1"/>
  <c r="A1909" i="16" s="1"/>
  <c r="H1910" i="16"/>
  <c r="H1905" i="16"/>
  <c r="F1907" i="16"/>
  <c r="N1907" i="16"/>
  <c r="O1907" i="16" s="1"/>
  <c r="L1907" i="16" s="1"/>
  <c r="A1907" i="16" s="1"/>
  <c r="I1908" i="16"/>
  <c r="I1910" i="16"/>
  <c r="H1911" i="16"/>
  <c r="I1905" i="16"/>
  <c r="H1906" i="16"/>
  <c r="F1908" i="16"/>
  <c r="N1908" i="16"/>
  <c r="O1908" i="16" s="1"/>
  <c r="L1908" i="16" s="1"/>
  <c r="A1908" i="16" s="1"/>
  <c r="H1909" i="16"/>
  <c r="F1910" i="16"/>
  <c r="N1910" i="16"/>
  <c r="O1910" i="16" s="1"/>
  <c r="L1910" i="16" s="1"/>
  <c r="A1910" i="16" s="1"/>
  <c r="I1911" i="16"/>
  <c r="F1905" i="16"/>
  <c r="N1905" i="16"/>
  <c r="O1905" i="16" s="1"/>
  <c r="L1905" i="16" s="1"/>
  <c r="A1905" i="16" s="1"/>
  <c r="I1906" i="16"/>
  <c r="H1907" i="16"/>
  <c r="I1909" i="16"/>
  <c r="F1911" i="16"/>
  <c r="N1911" i="16"/>
  <c r="F1901" i="16"/>
  <c r="N1901" i="16"/>
  <c r="I1902" i="16"/>
  <c r="H1896" i="16"/>
  <c r="F1904" i="16"/>
  <c r="N1904" i="16"/>
  <c r="F1902" i="16"/>
  <c r="N1902" i="16"/>
  <c r="I1896" i="16"/>
  <c r="H1903" i="16"/>
  <c r="H1901" i="16"/>
  <c r="F1896" i="16"/>
  <c r="N1896" i="16"/>
  <c r="I1903" i="16"/>
  <c r="H1904" i="16"/>
  <c r="I1901" i="16"/>
  <c r="H1902" i="16"/>
  <c r="F1903" i="16"/>
  <c r="N1903" i="16"/>
  <c r="I1904" i="16"/>
  <c r="F1900" i="16"/>
  <c r="N1900" i="16"/>
  <c r="H1900" i="16"/>
  <c r="N1899" i="16"/>
  <c r="H1899" i="16"/>
  <c r="I1899" i="16"/>
  <c r="F1899" i="16"/>
  <c r="I1900" i="16"/>
  <c r="F1895" i="16"/>
  <c r="N1895" i="16"/>
  <c r="I1897" i="16"/>
  <c r="H1898" i="16"/>
  <c r="F1897" i="16"/>
  <c r="N1897" i="16"/>
  <c r="I1898" i="16"/>
  <c r="N1898" i="16"/>
  <c r="H1895" i="16"/>
  <c r="F1898" i="16"/>
  <c r="I1895" i="16"/>
  <c r="H1897" i="16"/>
  <c r="F1888" i="16"/>
  <c r="N1888" i="16"/>
  <c r="I1889" i="16"/>
  <c r="H1890" i="16"/>
  <c r="F1892" i="16"/>
  <c r="N1892" i="16"/>
  <c r="I1893" i="16"/>
  <c r="H1894" i="16"/>
  <c r="H1888" i="16"/>
  <c r="F1890" i="16"/>
  <c r="N1890" i="16"/>
  <c r="H1892" i="16"/>
  <c r="N1894" i="16"/>
  <c r="F1887" i="16"/>
  <c r="I1888" i="16"/>
  <c r="F1891" i="16"/>
  <c r="I1892" i="16"/>
  <c r="H1887" i="16"/>
  <c r="F1889" i="16"/>
  <c r="N1889" i="16"/>
  <c r="I1890" i="16"/>
  <c r="H1891" i="16"/>
  <c r="F1893" i="16"/>
  <c r="N1893" i="16"/>
  <c r="I1894" i="16"/>
  <c r="I1887" i="16"/>
  <c r="I1891" i="16"/>
  <c r="F1894" i="16"/>
  <c r="N1887" i="16"/>
  <c r="O1887" i="16" s="1"/>
  <c r="L1887" i="16" s="1"/>
  <c r="A1887" i="16" s="1"/>
  <c r="H1889" i="16"/>
  <c r="N1891" i="16"/>
  <c r="H1893" i="16"/>
  <c r="I1884" i="16"/>
  <c r="H1885" i="16"/>
  <c r="F1884" i="16"/>
  <c r="N1884" i="16"/>
  <c r="I1885" i="16"/>
  <c r="H1886" i="16"/>
  <c r="F1885" i="16"/>
  <c r="N1885" i="16"/>
  <c r="I1886" i="16"/>
  <c r="H1884" i="16"/>
  <c r="F1886" i="16"/>
  <c r="N1886" i="16"/>
  <c r="O1886" i="16" s="1"/>
  <c r="L1886" i="16" s="1"/>
  <c r="A1886" i="16" s="1"/>
  <c r="F1882" i="16"/>
  <c r="N1882" i="16"/>
  <c r="O1882" i="16" s="1"/>
  <c r="L1882" i="16" s="1"/>
  <c r="A1882" i="16" s="1"/>
  <c r="I1883" i="16"/>
  <c r="H1882" i="16"/>
  <c r="I1882" i="16"/>
  <c r="H1883" i="16"/>
  <c r="N1883" i="16"/>
  <c r="O1883" i="16" s="1"/>
  <c r="L1883" i="16" s="1"/>
  <c r="A1883" i="16" s="1"/>
  <c r="F1883" i="16"/>
  <c r="F1879" i="16"/>
  <c r="N1879" i="16"/>
  <c r="O1879" i="16" s="1"/>
  <c r="L1879" i="16" s="1"/>
  <c r="A1879" i="16" s="1"/>
  <c r="I1878" i="16"/>
  <c r="I1881" i="16"/>
  <c r="F1878" i="16"/>
  <c r="N1878" i="16"/>
  <c r="H1880" i="16"/>
  <c r="F1881" i="16"/>
  <c r="N1881" i="16"/>
  <c r="O1881" i="16" s="1"/>
  <c r="L1881" i="16" s="1"/>
  <c r="A1881" i="16" s="1"/>
  <c r="H1879" i="16"/>
  <c r="I1880" i="16"/>
  <c r="I1879" i="16"/>
  <c r="H1878" i="16"/>
  <c r="F1880" i="16"/>
  <c r="N1880" i="16"/>
  <c r="O1880" i="16" s="1"/>
  <c r="L1880" i="16" s="1"/>
  <c r="A1880" i="16" s="1"/>
  <c r="H1881" i="16"/>
  <c r="F1861" i="16"/>
  <c r="N1861" i="16"/>
  <c r="O1861" i="16" s="1"/>
  <c r="L1861" i="16" s="1"/>
  <c r="A1861" i="16" s="1"/>
  <c r="I1862" i="16"/>
  <c r="F1862" i="16"/>
  <c r="N1862" i="16"/>
  <c r="O1862" i="16" s="1"/>
  <c r="L1862" i="16" s="1"/>
  <c r="A1862" i="16" s="1"/>
  <c r="H1861" i="16"/>
  <c r="I1861" i="16"/>
  <c r="H1862" i="16"/>
  <c r="F1860" i="16"/>
  <c r="I1860" i="16"/>
  <c r="H1860" i="16"/>
  <c r="N1860" i="16"/>
  <c r="F1877" i="16"/>
  <c r="N1877" i="16"/>
  <c r="O1877" i="16" s="1"/>
  <c r="L1877" i="16" s="1"/>
  <c r="A1877" i="16" s="1"/>
  <c r="I1857" i="16"/>
  <c r="H1858" i="16"/>
  <c r="F1857" i="16"/>
  <c r="N1857" i="16"/>
  <c r="I1858" i="16"/>
  <c r="H1859" i="16"/>
  <c r="N1859" i="16"/>
  <c r="H1877" i="16"/>
  <c r="F1858" i="16"/>
  <c r="N1858" i="16"/>
  <c r="I1859" i="16"/>
  <c r="I1877" i="16"/>
  <c r="H1857" i="16"/>
  <c r="F1859" i="16"/>
  <c r="I1870" i="16"/>
  <c r="H1871" i="16"/>
  <c r="I1873" i="16"/>
  <c r="H1874" i="16"/>
  <c r="F1876" i="16"/>
  <c r="N1876" i="16"/>
  <c r="F1870" i="16"/>
  <c r="N1870" i="16"/>
  <c r="I1871" i="16"/>
  <c r="H1872" i="16"/>
  <c r="F1873" i="16"/>
  <c r="N1873" i="16"/>
  <c r="I1874" i="16"/>
  <c r="H1875" i="16"/>
  <c r="F1871" i="16"/>
  <c r="N1871" i="16"/>
  <c r="I1872" i="16"/>
  <c r="F1874" i="16"/>
  <c r="N1874" i="16"/>
  <c r="I1875" i="16"/>
  <c r="H1876" i="16"/>
  <c r="H1870" i="16"/>
  <c r="F1872" i="16"/>
  <c r="N1872" i="16"/>
  <c r="H1873" i="16"/>
  <c r="F1875" i="16"/>
  <c r="N1875" i="16"/>
  <c r="I1876" i="16"/>
  <c r="F1863" i="16"/>
  <c r="N1863" i="16"/>
  <c r="H1864" i="16"/>
  <c r="I1866" i="16"/>
  <c r="H1867" i="16"/>
  <c r="F1868" i="16"/>
  <c r="N1868" i="16"/>
  <c r="I1869" i="16"/>
  <c r="I1864" i="16"/>
  <c r="H1865" i="16"/>
  <c r="F1866" i="16"/>
  <c r="N1866" i="16"/>
  <c r="I1867" i="16"/>
  <c r="F1869" i="16"/>
  <c r="N1869" i="16"/>
  <c r="H1863" i="16"/>
  <c r="F1864" i="16"/>
  <c r="N1864" i="16"/>
  <c r="I1865" i="16"/>
  <c r="F1867" i="16"/>
  <c r="N1867" i="16"/>
  <c r="H1868" i="16"/>
  <c r="I1863" i="16"/>
  <c r="F1865" i="16"/>
  <c r="N1865" i="16"/>
  <c r="H1866" i="16"/>
  <c r="I1868" i="16"/>
  <c r="H1869" i="16"/>
  <c r="N1855" i="16"/>
  <c r="I1853" i="16"/>
  <c r="H1854" i="16"/>
  <c r="F1856" i="16"/>
  <c r="N1856" i="16"/>
  <c r="I1840" i="16"/>
  <c r="F1853" i="16"/>
  <c r="N1853" i="16"/>
  <c r="I1854" i="16"/>
  <c r="H1855" i="16"/>
  <c r="F1840" i="16"/>
  <c r="N1840" i="16"/>
  <c r="O1840" i="16" s="1"/>
  <c r="L1840" i="16" s="1"/>
  <c r="A1840" i="16" s="1"/>
  <c r="N1854" i="16"/>
  <c r="I1855" i="16"/>
  <c r="H1853" i="16"/>
  <c r="I1856" i="16"/>
  <c r="H1840" i="16"/>
  <c r="F1854" i="16"/>
  <c r="H1856" i="16"/>
  <c r="F1855" i="16"/>
  <c r="H1841" i="16"/>
  <c r="F1842" i="16"/>
  <c r="N1842" i="16"/>
  <c r="I1843" i="16"/>
  <c r="H1844" i="16"/>
  <c r="F1846" i="16"/>
  <c r="N1846" i="16"/>
  <c r="I1847" i="16"/>
  <c r="H1848" i="16"/>
  <c r="F1849" i="16"/>
  <c r="N1849" i="16"/>
  <c r="I1850" i="16"/>
  <c r="H1851" i="16"/>
  <c r="F1852" i="16"/>
  <c r="N1852" i="16"/>
  <c r="I1841" i="16"/>
  <c r="F1843" i="16"/>
  <c r="N1843" i="16"/>
  <c r="I1844" i="16"/>
  <c r="H1845" i="16"/>
  <c r="F1847" i="16"/>
  <c r="N1847" i="16"/>
  <c r="I1848" i="16"/>
  <c r="F1850" i="16"/>
  <c r="N1850" i="16"/>
  <c r="I1851" i="16"/>
  <c r="F1841" i="16"/>
  <c r="N1841" i="16"/>
  <c r="O1841" i="16" s="1"/>
  <c r="L1841" i="16" s="1"/>
  <c r="A1841" i="16" s="1"/>
  <c r="H1842" i="16"/>
  <c r="F1844" i="16"/>
  <c r="N1844" i="16"/>
  <c r="I1845" i="16"/>
  <c r="H1846" i="16"/>
  <c r="F1848" i="16"/>
  <c r="N1848" i="16"/>
  <c r="H1849" i="16"/>
  <c r="F1851" i="16"/>
  <c r="N1851" i="16"/>
  <c r="H1852" i="16"/>
  <c r="I1842" i="16"/>
  <c r="H1843" i="16"/>
  <c r="F1845" i="16"/>
  <c r="N1845" i="16"/>
  <c r="I1846" i="16"/>
  <c r="H1847" i="16"/>
  <c r="I1849" i="16"/>
  <c r="H1850" i="16"/>
  <c r="I1852" i="16"/>
  <c r="F1836" i="16"/>
  <c r="F1839" i="16"/>
  <c r="H1836" i="16"/>
  <c r="H1839" i="16"/>
  <c r="I1836" i="16"/>
  <c r="I1839" i="16"/>
  <c r="N1836" i="16"/>
  <c r="N1839" i="16"/>
  <c r="F1837" i="16"/>
  <c r="H1837" i="16"/>
  <c r="I1837" i="16"/>
  <c r="N1837" i="16"/>
  <c r="F1838" i="16"/>
  <c r="H1838" i="16"/>
  <c r="I1838" i="16"/>
  <c r="N1838" i="16"/>
  <c r="H1834" i="16"/>
  <c r="I1834" i="16"/>
  <c r="H1835" i="16"/>
  <c r="F1834" i="16"/>
  <c r="N1834" i="16"/>
  <c r="O1834" i="16" s="1"/>
  <c r="L1834" i="16" s="1"/>
  <c r="A1834" i="16" s="1"/>
  <c r="I1835" i="16"/>
  <c r="F1835" i="16"/>
  <c r="N1835" i="16"/>
  <c r="F1833" i="16"/>
  <c r="N1833" i="16"/>
  <c r="I1832" i="16"/>
  <c r="N1832" i="16"/>
  <c r="O1832" i="16" s="1"/>
  <c r="L1832" i="16" s="1"/>
  <c r="A1832" i="16" s="1"/>
  <c r="I1833" i="16"/>
  <c r="H1832" i="16"/>
  <c r="H1833" i="16"/>
  <c r="F1832" i="16"/>
  <c r="F1831" i="16"/>
  <c r="N1831" i="16"/>
  <c r="O1831" i="16" s="1"/>
  <c r="L1831" i="16" s="1"/>
  <c r="A1831" i="16" s="1"/>
  <c r="H1830" i="16"/>
  <c r="I1830" i="16"/>
  <c r="H1831" i="16"/>
  <c r="F1830" i="16"/>
  <c r="N1830" i="16"/>
  <c r="I1831" i="16"/>
  <c r="F1829" i="16"/>
  <c r="N1829" i="16"/>
  <c r="O1829" i="16" s="1"/>
  <c r="L1829" i="16" s="1"/>
  <c r="A1829" i="16" s="1"/>
  <c r="H1741" i="16"/>
  <c r="I1829" i="16"/>
  <c r="I1741" i="16"/>
  <c r="H1829" i="16"/>
  <c r="N1741" i="16"/>
  <c r="O1741" i="16" s="1"/>
  <c r="L1741" i="16" s="1"/>
  <c r="A1741" i="16" s="1"/>
  <c r="F1741" i="16"/>
  <c r="F1815" i="16"/>
  <c r="N1815" i="16"/>
  <c r="I1816" i="16"/>
  <c r="I1818" i="16"/>
  <c r="F1820" i="16"/>
  <c r="N1820" i="16"/>
  <c r="H1821" i="16"/>
  <c r="F1823" i="16"/>
  <c r="N1823" i="16"/>
  <c r="I1824" i="16"/>
  <c r="I1826" i="16"/>
  <c r="H1827" i="16"/>
  <c r="F1822" i="16"/>
  <c r="F1816" i="16"/>
  <c r="N1816" i="16"/>
  <c r="H1817" i="16"/>
  <c r="F1818" i="16"/>
  <c r="N1818" i="16"/>
  <c r="H1819" i="16"/>
  <c r="I1821" i="16"/>
  <c r="H1822" i="16"/>
  <c r="F1824" i="16"/>
  <c r="N1824" i="16"/>
  <c r="H1825" i="16"/>
  <c r="F1826" i="16"/>
  <c r="N1826" i="16"/>
  <c r="I1827" i="16"/>
  <c r="H1828" i="16"/>
  <c r="I1823" i="16"/>
  <c r="H1815" i="16"/>
  <c r="I1817" i="16"/>
  <c r="I1819" i="16"/>
  <c r="H1820" i="16"/>
  <c r="F1821" i="16"/>
  <c r="N1821" i="16"/>
  <c r="I1822" i="16"/>
  <c r="H1823" i="16"/>
  <c r="I1825" i="16"/>
  <c r="F1827" i="16"/>
  <c r="N1827" i="16"/>
  <c r="I1828" i="16"/>
  <c r="I1815" i="16"/>
  <c r="H1816" i="16"/>
  <c r="F1817" i="16"/>
  <c r="N1817" i="16"/>
  <c r="H1818" i="16"/>
  <c r="F1819" i="16"/>
  <c r="N1819" i="16"/>
  <c r="I1820" i="16"/>
  <c r="N1822" i="16"/>
  <c r="H1824" i="16"/>
  <c r="F1825" i="16"/>
  <c r="N1825" i="16"/>
  <c r="H1826" i="16"/>
  <c r="F1828" i="16"/>
  <c r="N1828" i="16"/>
  <c r="N1807" i="16"/>
  <c r="F1807" i="16"/>
  <c r="I1807" i="16"/>
  <c r="H1807" i="16"/>
  <c r="F1785" i="16"/>
  <c r="N1785" i="16"/>
  <c r="I1786" i="16"/>
  <c r="H1787" i="16"/>
  <c r="F1789" i="16"/>
  <c r="N1789" i="16"/>
  <c r="I1790" i="16"/>
  <c r="H1791" i="16"/>
  <c r="F1793" i="16"/>
  <c r="N1793" i="16"/>
  <c r="I1794" i="16"/>
  <c r="H1795" i="16"/>
  <c r="F1796" i="16"/>
  <c r="N1796" i="16"/>
  <c r="H1797" i="16"/>
  <c r="F1798" i="16"/>
  <c r="N1798" i="16"/>
  <c r="H1799" i="16"/>
  <c r="F1800" i="16"/>
  <c r="N1800" i="16"/>
  <c r="H1801" i="16"/>
  <c r="F1802" i="16"/>
  <c r="N1802" i="16"/>
  <c r="H1803" i="16"/>
  <c r="F1804" i="16"/>
  <c r="N1804" i="16"/>
  <c r="H1805" i="16"/>
  <c r="F1806" i="16"/>
  <c r="N1806" i="16"/>
  <c r="H1808" i="16"/>
  <c r="F1809" i="16"/>
  <c r="N1809" i="16"/>
  <c r="H1810" i="16"/>
  <c r="H1811" i="16"/>
  <c r="F1812" i="16"/>
  <c r="N1812" i="16"/>
  <c r="H1813" i="16"/>
  <c r="F1814" i="16"/>
  <c r="N1814" i="16"/>
  <c r="I1785" i="16"/>
  <c r="H1790" i="16"/>
  <c r="F1792" i="16"/>
  <c r="I1793" i="16"/>
  <c r="I1796" i="16"/>
  <c r="I1806" i="16"/>
  <c r="I1814" i="16"/>
  <c r="H1784" i="16"/>
  <c r="F1786" i="16"/>
  <c r="N1786" i="16"/>
  <c r="I1787" i="16"/>
  <c r="H1788" i="16"/>
  <c r="F1790" i="16"/>
  <c r="N1790" i="16"/>
  <c r="I1791" i="16"/>
  <c r="H1792" i="16"/>
  <c r="F1794" i="16"/>
  <c r="N1794" i="16"/>
  <c r="I1795" i="16"/>
  <c r="I1797" i="16"/>
  <c r="I1799" i="16"/>
  <c r="I1801" i="16"/>
  <c r="I1803" i="16"/>
  <c r="I1805" i="16"/>
  <c r="I1808" i="16"/>
  <c r="I1810" i="16"/>
  <c r="I1811" i="16"/>
  <c r="I1813" i="16"/>
  <c r="F1784" i="16"/>
  <c r="F1788" i="16"/>
  <c r="N1788" i="16"/>
  <c r="H1794" i="16"/>
  <c r="I1809" i="16"/>
  <c r="I1784" i="16"/>
  <c r="H1785" i="16"/>
  <c r="F1787" i="16"/>
  <c r="N1787" i="16"/>
  <c r="I1788" i="16"/>
  <c r="H1789" i="16"/>
  <c r="F1791" i="16"/>
  <c r="N1791" i="16"/>
  <c r="I1792" i="16"/>
  <c r="H1793" i="16"/>
  <c r="F1795" i="16"/>
  <c r="N1795" i="16"/>
  <c r="H1796" i="16"/>
  <c r="F1797" i="16"/>
  <c r="N1797" i="16"/>
  <c r="H1798" i="16"/>
  <c r="F1799" i="16"/>
  <c r="N1799" i="16"/>
  <c r="H1800" i="16"/>
  <c r="F1801" i="16"/>
  <c r="N1801" i="16"/>
  <c r="H1802" i="16"/>
  <c r="F1803" i="16"/>
  <c r="N1803" i="16"/>
  <c r="H1804" i="16"/>
  <c r="F1805" i="16"/>
  <c r="N1805" i="16"/>
  <c r="H1806" i="16"/>
  <c r="F1808" i="16"/>
  <c r="N1808" i="16"/>
  <c r="H1809" i="16"/>
  <c r="F1810" i="16"/>
  <c r="N1810" i="16"/>
  <c r="F1811" i="16"/>
  <c r="N1811" i="16"/>
  <c r="H1812" i="16"/>
  <c r="F1813" i="16"/>
  <c r="N1813" i="16"/>
  <c r="H1814" i="16"/>
  <c r="N1784" i="16"/>
  <c r="H1786" i="16"/>
  <c r="I1789" i="16"/>
  <c r="N1792" i="16"/>
  <c r="I1798" i="16"/>
  <c r="I1800" i="16"/>
  <c r="I1802" i="16"/>
  <c r="I1804" i="16"/>
  <c r="I1812" i="16"/>
  <c r="F1782" i="16"/>
  <c r="N1782" i="16"/>
  <c r="O1782" i="16" s="1"/>
  <c r="L1782" i="16" s="1"/>
  <c r="A1782" i="16" s="1"/>
  <c r="I1783" i="16"/>
  <c r="H1781" i="16"/>
  <c r="F1783" i="16"/>
  <c r="N1783" i="16"/>
  <c r="O1783" i="16" s="1"/>
  <c r="L1783" i="16" s="1"/>
  <c r="A1783" i="16" s="1"/>
  <c r="H1782" i="16"/>
  <c r="N1781" i="16"/>
  <c r="H1783" i="16"/>
  <c r="I1781" i="16"/>
  <c r="F1781" i="16"/>
  <c r="I1782" i="16"/>
  <c r="F1777" i="16"/>
  <c r="N1777" i="16"/>
  <c r="O1777" i="16" s="1"/>
  <c r="L1777" i="16" s="1"/>
  <c r="A1777" i="16" s="1"/>
  <c r="I1778" i="16"/>
  <c r="H1779" i="16"/>
  <c r="H1776" i="16"/>
  <c r="F1778" i="16"/>
  <c r="N1778" i="16"/>
  <c r="O1778" i="16" s="1"/>
  <c r="L1778" i="16" s="1"/>
  <c r="A1778" i="16" s="1"/>
  <c r="I1779" i="16"/>
  <c r="H1780" i="16"/>
  <c r="I1776" i="16"/>
  <c r="H1777" i="16"/>
  <c r="F1779" i="16"/>
  <c r="N1779" i="16"/>
  <c r="O1779" i="16" s="1"/>
  <c r="L1779" i="16" s="1"/>
  <c r="A1779" i="16" s="1"/>
  <c r="I1780" i="16"/>
  <c r="F1776" i="16"/>
  <c r="N1776" i="16"/>
  <c r="O1776" i="16" s="1"/>
  <c r="L1776" i="16" s="1"/>
  <c r="A1776" i="16" s="1"/>
  <c r="I1777" i="16"/>
  <c r="H1778" i="16"/>
  <c r="F1780" i="16"/>
  <c r="N1780" i="16"/>
  <c r="O1780" i="16" s="1"/>
  <c r="L1780" i="16" s="1"/>
  <c r="A1780" i="16" s="1"/>
  <c r="H1775" i="16"/>
  <c r="N1774" i="16"/>
  <c r="O1774" i="16" s="1"/>
  <c r="L1774" i="16" s="1"/>
  <c r="A1774" i="16" s="1"/>
  <c r="F1774" i="16"/>
  <c r="I1775" i="16"/>
  <c r="N1775" i="16"/>
  <c r="O1775" i="16" s="1"/>
  <c r="L1775" i="16" s="1"/>
  <c r="A1775" i="16" s="1"/>
  <c r="H1774" i="16"/>
  <c r="I1774" i="16"/>
  <c r="F1775" i="16"/>
  <c r="F1773" i="16"/>
  <c r="H1773" i="16"/>
  <c r="I1773" i="16"/>
  <c r="N1773" i="16"/>
  <c r="O1773" i="16" s="1"/>
  <c r="L1773" i="16" s="1"/>
  <c r="A1773" i="16" s="1"/>
  <c r="F1772" i="16"/>
  <c r="H1772" i="16"/>
  <c r="I1772" i="16"/>
  <c r="N1772" i="16"/>
  <c r="O1772" i="16" s="1"/>
  <c r="L1772" i="16" s="1"/>
  <c r="A1772" i="16" s="1"/>
  <c r="H1771" i="16"/>
  <c r="I1771" i="16"/>
  <c r="F1771" i="16"/>
  <c r="N1771" i="16"/>
  <c r="O1771" i="16" s="1"/>
  <c r="L1771" i="16" s="1"/>
  <c r="A1771" i="16" s="1"/>
  <c r="N1762" i="16"/>
  <c r="O1762" i="16" s="1"/>
  <c r="L1762" i="16" s="1"/>
  <c r="A1762" i="16" s="1"/>
  <c r="F1766" i="16"/>
  <c r="F1763" i="16"/>
  <c r="F1769" i="16"/>
  <c r="N1768" i="16"/>
  <c r="H1766" i="16"/>
  <c r="H1768" i="16"/>
  <c r="I1762" i="16"/>
  <c r="H1763" i="16"/>
  <c r="I1766" i="16"/>
  <c r="H1769" i="16"/>
  <c r="I1763" i="16"/>
  <c r="N1766" i="16"/>
  <c r="I1769" i="16"/>
  <c r="N1763" i="16"/>
  <c r="O1763" i="16" s="1"/>
  <c r="L1763" i="16" s="1"/>
  <c r="A1763" i="16" s="1"/>
  <c r="N1769" i="16"/>
  <c r="O1769" i="16" s="1"/>
  <c r="L1769" i="16" s="1"/>
  <c r="A1769" i="16" s="1"/>
  <c r="F1764" i="16"/>
  <c r="F1767" i="16"/>
  <c r="F1770" i="16"/>
  <c r="H1770" i="16"/>
  <c r="I1764" i="16"/>
  <c r="F1761" i="16"/>
  <c r="H1767" i="16"/>
  <c r="I1767" i="16"/>
  <c r="I1770" i="16"/>
  <c r="H1765" i="16"/>
  <c r="H1764" i="16"/>
  <c r="H1761" i="16"/>
  <c r="N1765" i="16"/>
  <c r="I1761" i="16"/>
  <c r="N1764" i="16"/>
  <c r="O1764" i="16" s="1"/>
  <c r="L1764" i="16" s="1"/>
  <c r="A1764" i="16" s="1"/>
  <c r="N1767" i="16"/>
  <c r="N1770" i="16"/>
  <c r="O1770" i="16" s="1"/>
  <c r="L1770" i="16" s="1"/>
  <c r="A1770" i="16" s="1"/>
  <c r="N1761" i="16"/>
  <c r="O1761" i="16" s="1"/>
  <c r="L1761" i="16" s="1"/>
  <c r="A1761" i="16" s="1"/>
  <c r="F1765" i="16"/>
  <c r="F1768" i="16"/>
  <c r="F1762" i="16"/>
  <c r="H1762" i="16"/>
  <c r="I1765" i="16"/>
  <c r="I1768" i="16"/>
  <c r="I1757" i="16"/>
  <c r="I1760" i="16"/>
  <c r="N1757" i="16"/>
  <c r="N1760" i="16"/>
  <c r="F1758" i="16"/>
  <c r="H1758" i="16"/>
  <c r="F1760" i="16"/>
  <c r="I1758" i="16"/>
  <c r="F1757" i="16"/>
  <c r="H1760" i="16"/>
  <c r="N1758" i="16"/>
  <c r="F1759" i="16"/>
  <c r="F1756" i="16"/>
  <c r="H1759" i="16"/>
  <c r="H1756" i="16"/>
  <c r="I1759" i="16"/>
  <c r="I1756" i="16"/>
  <c r="N1759" i="16"/>
  <c r="N1756" i="16"/>
  <c r="H1757" i="16"/>
  <c r="N1755" i="16"/>
  <c r="O1755" i="16" s="1"/>
  <c r="L1755" i="16" s="1"/>
  <c r="A1755" i="16" s="1"/>
  <c r="F1755" i="16"/>
  <c r="I1755" i="16"/>
  <c r="H1755" i="16"/>
  <c r="N1753" i="16"/>
  <c r="O1753" i="16" s="1"/>
  <c r="L1753" i="16" s="1"/>
  <c r="A1753" i="16" s="1"/>
  <c r="I1753" i="16"/>
  <c r="H1753" i="16"/>
  <c r="F1753" i="16"/>
  <c r="F1754" i="16"/>
  <c r="H1754" i="16"/>
  <c r="I1754" i="16"/>
  <c r="N1754" i="16"/>
  <c r="O1754" i="16" s="1"/>
  <c r="L1754" i="16" s="1"/>
  <c r="A1754" i="16" s="1"/>
  <c r="H1699" i="16"/>
  <c r="I1696" i="16"/>
  <c r="N1699" i="16"/>
  <c r="F1696" i="16"/>
  <c r="I1699" i="16"/>
  <c r="N1696" i="16"/>
  <c r="F1697" i="16"/>
  <c r="H1697" i="16"/>
  <c r="I1697" i="16"/>
  <c r="N1697" i="16"/>
  <c r="F1698" i="16"/>
  <c r="H1698" i="16"/>
  <c r="I1698" i="16"/>
  <c r="N1698" i="16"/>
  <c r="F1699" i="16"/>
  <c r="H1696" i="16"/>
  <c r="F1692" i="16"/>
  <c r="H1692" i="16"/>
  <c r="I1692" i="16"/>
  <c r="N1692" i="16"/>
  <c r="N1695" i="16"/>
  <c r="F1695" i="16"/>
  <c r="H1695" i="16"/>
  <c r="I1695" i="16"/>
  <c r="F1694" i="16"/>
  <c r="H1694" i="16"/>
  <c r="N1694" i="16"/>
  <c r="I1694" i="16"/>
  <c r="N1693" i="16"/>
  <c r="F1693" i="16"/>
  <c r="H1693" i="16"/>
  <c r="I1693" i="16"/>
  <c r="F1691" i="16"/>
  <c r="H1691" i="16"/>
  <c r="I1691" i="16"/>
  <c r="N1691" i="16"/>
  <c r="N1750" i="16"/>
  <c r="F1751" i="16"/>
  <c r="H1751" i="16"/>
  <c r="I1751" i="16"/>
  <c r="N1751" i="16"/>
  <c r="F1752" i="16"/>
  <c r="H1752" i="16"/>
  <c r="I1752" i="16"/>
  <c r="N1752" i="16"/>
  <c r="F1750" i="16"/>
  <c r="H1750" i="16"/>
  <c r="I1750" i="16"/>
  <c r="I1749" i="16"/>
  <c r="N1749" i="16"/>
  <c r="F1748" i="16"/>
  <c r="H1748" i="16"/>
  <c r="I1748" i="16"/>
  <c r="N1748" i="16"/>
  <c r="F1749" i="16"/>
  <c r="H1749" i="16"/>
  <c r="H1742" i="16"/>
  <c r="I1742" i="16"/>
  <c r="F1742" i="16"/>
  <c r="N1742" i="16"/>
  <c r="O1742" i="16" s="1"/>
  <c r="L1742" i="16" s="1"/>
  <c r="A1742" i="16" s="1"/>
  <c r="I1747" i="16"/>
  <c r="H1747" i="16"/>
  <c r="F1747" i="16"/>
  <c r="F1743" i="16"/>
  <c r="H1743" i="16"/>
  <c r="I1743" i="16"/>
  <c r="N1743" i="16"/>
  <c r="F1744" i="16"/>
  <c r="H1744" i="16"/>
  <c r="I1744" i="16"/>
  <c r="N1744" i="16"/>
  <c r="F1745" i="16"/>
  <c r="H1745" i="16"/>
  <c r="I1745" i="16"/>
  <c r="N1745" i="16"/>
  <c r="F1746" i="16"/>
  <c r="H1746" i="16"/>
  <c r="I1746" i="16"/>
  <c r="N1746" i="16"/>
  <c r="N1747" i="16"/>
  <c r="N1739" i="16"/>
  <c r="H1739" i="16"/>
  <c r="F1740" i="16"/>
  <c r="H1740" i="16"/>
  <c r="N1740" i="16"/>
  <c r="I1739" i="16"/>
  <c r="I1740" i="16"/>
  <c r="F1739" i="16"/>
  <c r="I1733" i="16"/>
  <c r="H1733" i="16"/>
  <c r="N1738" i="16"/>
  <c r="O1738" i="16" s="1"/>
  <c r="L1738" i="16" s="1"/>
  <c r="A1738" i="16" s="1"/>
  <c r="I1734" i="16"/>
  <c r="H1734" i="16"/>
  <c r="I1735" i="16"/>
  <c r="H1735" i="16"/>
  <c r="I1736" i="16"/>
  <c r="H1736" i="16"/>
  <c r="F1732" i="16"/>
  <c r="H1737" i="16"/>
  <c r="N1732" i="16"/>
  <c r="I1737" i="16"/>
  <c r="I1738" i="16"/>
  <c r="H1738" i="16"/>
  <c r="F1733" i="16"/>
  <c r="N1733" i="16"/>
  <c r="O1733" i="16" s="1"/>
  <c r="L1733" i="16" s="1"/>
  <c r="A1733" i="16" s="1"/>
  <c r="F1734" i="16"/>
  <c r="N1734" i="16"/>
  <c r="O1734" i="16" s="1"/>
  <c r="L1734" i="16" s="1"/>
  <c r="A1734" i="16" s="1"/>
  <c r="F1735" i="16"/>
  <c r="N1735" i="16"/>
  <c r="O1735" i="16" s="1"/>
  <c r="L1735" i="16" s="1"/>
  <c r="A1735" i="16" s="1"/>
  <c r="F1736" i="16"/>
  <c r="N1736" i="16"/>
  <c r="O1736" i="16" s="1"/>
  <c r="L1736" i="16" s="1"/>
  <c r="A1736" i="16" s="1"/>
  <c r="F1737" i="16"/>
  <c r="N1737" i="16"/>
  <c r="O1737" i="16" s="1"/>
  <c r="L1737" i="16" s="1"/>
  <c r="A1737" i="16" s="1"/>
  <c r="I1732" i="16"/>
  <c r="H1732" i="16"/>
  <c r="F1738" i="16"/>
  <c r="F1727" i="16"/>
  <c r="N1727" i="16"/>
  <c r="O1727" i="16" s="1"/>
  <c r="L1727" i="16" s="1"/>
  <c r="A1727" i="16" s="1"/>
  <c r="F1729" i="16"/>
  <c r="I1727" i="16"/>
  <c r="N1729" i="16"/>
  <c r="I1729" i="16"/>
  <c r="F1730" i="16"/>
  <c r="I1730" i="16"/>
  <c r="N1730" i="16"/>
  <c r="O1730" i="16" s="1"/>
  <c r="L1730" i="16" s="1"/>
  <c r="A1730" i="16" s="1"/>
  <c r="I1731" i="16"/>
  <c r="F1731" i="16"/>
  <c r="H1727" i="16"/>
  <c r="N1731" i="16"/>
  <c r="O1731" i="16" s="1"/>
  <c r="L1731" i="16" s="1"/>
  <c r="A1731" i="16" s="1"/>
  <c r="H1729" i="16"/>
  <c r="H1730" i="16"/>
  <c r="H1731" i="16"/>
  <c r="N1724" i="16"/>
  <c r="F1725" i="16"/>
  <c r="H1724" i="16"/>
  <c r="N1725" i="16"/>
  <c r="F1724" i="16"/>
  <c r="H1725" i="16"/>
  <c r="H1726" i="16"/>
  <c r="F1726" i="16"/>
  <c r="H1728" i="16"/>
  <c r="N1726" i="16"/>
  <c r="F1728" i="16"/>
  <c r="N1728" i="16"/>
  <c r="I1724" i="16"/>
  <c r="I1725" i="16"/>
  <c r="I1726" i="16"/>
  <c r="I1728" i="16"/>
  <c r="H1723" i="16"/>
  <c r="N1723" i="16"/>
  <c r="I1722" i="16"/>
  <c r="I1723" i="16"/>
  <c r="F1722" i="16"/>
  <c r="N1722" i="16"/>
  <c r="H1722" i="16"/>
  <c r="F1723" i="16"/>
  <c r="I1720" i="16"/>
  <c r="H1712" i="16"/>
  <c r="N1711" i="16"/>
  <c r="F1719" i="16"/>
  <c r="H1710" i="16"/>
  <c r="N1718" i="16"/>
  <c r="I1721" i="16"/>
  <c r="H1713" i="16"/>
  <c r="F1712" i="16"/>
  <c r="N1719" i="16"/>
  <c r="H1714" i="16"/>
  <c r="N1712" i="16"/>
  <c r="F1720" i="16"/>
  <c r="F1711" i="16"/>
  <c r="H1715" i="16"/>
  <c r="F1713" i="16"/>
  <c r="N1720" i="16"/>
  <c r="I1708" i="16"/>
  <c r="H1716" i="16"/>
  <c r="N1713" i="16"/>
  <c r="F1721" i="16"/>
  <c r="I1709" i="16"/>
  <c r="H1717" i="16"/>
  <c r="F1714" i="16"/>
  <c r="N1721" i="16"/>
  <c r="F1718" i="16"/>
  <c r="I1710" i="16"/>
  <c r="H1718" i="16"/>
  <c r="N1714" i="16"/>
  <c r="I1718" i="16"/>
  <c r="I1711" i="16"/>
  <c r="H1719" i="16"/>
  <c r="I1712" i="16"/>
  <c r="H1720" i="16"/>
  <c r="F1715" i="16"/>
  <c r="I1719" i="16"/>
  <c r="I1713" i="16"/>
  <c r="H1721" i="16"/>
  <c r="F1708" i="16"/>
  <c r="N1715" i="16"/>
  <c r="I1714" i="16"/>
  <c r="N1708" i="16"/>
  <c r="F1716" i="16"/>
  <c r="H1711" i="16"/>
  <c r="I1715" i="16"/>
  <c r="F1709" i="16"/>
  <c r="N1716" i="16"/>
  <c r="I1716" i="16"/>
  <c r="H1708" i="16"/>
  <c r="N1709" i="16"/>
  <c r="F1717" i="16"/>
  <c r="I1717" i="16"/>
  <c r="H1709" i="16"/>
  <c r="F1710" i="16"/>
  <c r="N1717" i="16"/>
  <c r="N1710" i="16"/>
  <c r="I1706" i="16"/>
  <c r="H1704" i="16"/>
  <c r="N1705" i="16"/>
  <c r="H1705" i="16"/>
  <c r="H1706" i="16"/>
  <c r="F1704" i="16"/>
  <c r="I1705" i="16"/>
  <c r="H1707" i="16"/>
  <c r="N1704" i="16"/>
  <c r="I1704" i="16"/>
  <c r="F1705" i="16"/>
  <c r="I1707" i="16"/>
  <c r="F1706" i="16"/>
  <c r="N1706" i="16"/>
  <c r="F1707" i="16"/>
  <c r="N1707" i="16"/>
  <c r="N1701" i="16"/>
  <c r="F1702" i="16"/>
  <c r="N1702" i="16"/>
  <c r="O1702" i="16" s="1"/>
  <c r="L1702" i="16" s="1"/>
  <c r="A1702" i="16" s="1"/>
  <c r="F1703" i="16"/>
  <c r="N1703" i="16"/>
  <c r="I1703" i="16"/>
  <c r="H1701" i="16"/>
  <c r="I1701" i="16"/>
  <c r="H1702" i="16"/>
  <c r="I1702" i="16"/>
  <c r="H1703" i="16"/>
  <c r="F1701" i="16"/>
  <c r="F1700" i="16"/>
  <c r="H1700" i="16"/>
  <c r="N1700" i="16"/>
  <c r="O1700" i="16" s="1"/>
  <c r="L1700" i="16" s="1"/>
  <c r="A1700" i="16" s="1"/>
  <c r="I1700" i="16"/>
  <c r="F1690" i="16"/>
  <c r="N1690" i="16"/>
  <c r="I1689" i="16"/>
  <c r="I1690" i="16"/>
  <c r="H1689" i="16"/>
  <c r="H1690" i="16"/>
  <c r="F1689" i="16"/>
  <c r="N1689" i="16"/>
  <c r="I1686" i="16"/>
  <c r="F1684" i="16"/>
  <c r="F1681" i="16"/>
  <c r="I1687" i="16"/>
  <c r="N1684" i="16"/>
  <c r="O1684" i="16" s="1"/>
  <c r="L1684" i="16" s="1"/>
  <c r="A1684" i="16" s="1"/>
  <c r="N1687" i="16"/>
  <c r="I1688" i="16"/>
  <c r="F1685" i="16"/>
  <c r="N1685" i="16"/>
  <c r="O1685" i="16" s="1"/>
  <c r="L1685" i="16" s="1"/>
  <c r="A1685" i="16" s="1"/>
  <c r="H1681" i="16"/>
  <c r="F1686" i="16"/>
  <c r="H1682" i="16"/>
  <c r="N1686" i="16"/>
  <c r="O1686" i="16" s="1"/>
  <c r="L1686" i="16" s="1"/>
  <c r="A1686" i="16" s="1"/>
  <c r="H1683" i="16"/>
  <c r="F1687" i="16"/>
  <c r="H1685" i="16"/>
  <c r="N1681" i="16"/>
  <c r="O1681" i="16" s="1"/>
  <c r="L1681" i="16" s="1"/>
  <c r="A1681" i="16" s="1"/>
  <c r="I1681" i="16"/>
  <c r="H1687" i="16"/>
  <c r="F1682" i="16"/>
  <c r="H1686" i="16"/>
  <c r="F1688" i="16"/>
  <c r="N1688" i="16"/>
  <c r="I1682" i="16"/>
  <c r="H1688" i="16"/>
  <c r="N1682" i="16"/>
  <c r="O1682" i="16" s="1"/>
  <c r="L1682" i="16" s="1"/>
  <c r="A1682" i="16" s="1"/>
  <c r="H1684" i="16"/>
  <c r="I1683" i="16"/>
  <c r="F1683" i="16"/>
  <c r="I1684" i="16"/>
  <c r="N1683" i="16"/>
  <c r="O1683" i="16" s="1"/>
  <c r="L1683" i="16" s="1"/>
  <c r="A1683" i="16" s="1"/>
  <c r="I1685" i="16"/>
  <c r="I1667" i="16"/>
  <c r="H1672" i="16"/>
  <c r="N1666" i="16"/>
  <c r="N1673" i="16"/>
  <c r="O1673" i="16" s="1"/>
  <c r="L1673" i="16" s="1"/>
  <c r="A1673" i="16" s="1"/>
  <c r="N1680" i="16"/>
  <c r="I1668" i="16"/>
  <c r="H1673" i="16"/>
  <c r="F1667" i="16"/>
  <c r="F1674" i="16"/>
  <c r="I1669" i="16"/>
  <c r="H1674" i="16"/>
  <c r="N1667" i="16"/>
  <c r="N1674" i="16"/>
  <c r="O1674" i="16" s="1"/>
  <c r="L1674" i="16" s="1"/>
  <c r="A1674" i="16" s="1"/>
  <c r="I1671" i="16"/>
  <c r="H1676" i="16"/>
  <c r="N1668" i="16"/>
  <c r="F1675" i="16"/>
  <c r="I1673" i="16"/>
  <c r="H1678" i="16"/>
  <c r="F1676" i="16"/>
  <c r="I1672" i="16"/>
  <c r="H1677" i="16"/>
  <c r="F1669" i="16"/>
  <c r="N1675" i="16"/>
  <c r="N1669" i="16"/>
  <c r="I1674" i="16"/>
  <c r="H1679" i="16"/>
  <c r="F1670" i="16"/>
  <c r="N1676" i="16"/>
  <c r="I1675" i="16"/>
  <c r="H1664" i="16"/>
  <c r="H1680" i="16"/>
  <c r="N1670" i="16"/>
  <c r="I1676" i="16"/>
  <c r="H1665" i="16"/>
  <c r="F1671" i="16"/>
  <c r="F1677" i="16"/>
  <c r="I1677" i="16"/>
  <c r="H1666" i="16"/>
  <c r="N1671" i="16"/>
  <c r="O1671" i="16" s="1"/>
  <c r="L1671" i="16" s="1"/>
  <c r="A1671" i="16" s="1"/>
  <c r="N1677" i="16"/>
  <c r="I1678" i="16"/>
  <c r="H1667" i="16"/>
  <c r="F1664" i="16"/>
  <c r="F1678" i="16"/>
  <c r="F1668" i="16"/>
  <c r="I1679" i="16"/>
  <c r="H1668" i="16"/>
  <c r="N1664" i="16"/>
  <c r="F1672" i="16"/>
  <c r="N1678" i="16"/>
  <c r="I1670" i="16"/>
  <c r="I1664" i="16"/>
  <c r="I1680" i="16"/>
  <c r="H1669" i="16"/>
  <c r="F1665" i="16"/>
  <c r="N1672" i="16"/>
  <c r="O1672" i="16" s="1"/>
  <c r="L1672" i="16" s="1"/>
  <c r="A1672" i="16" s="1"/>
  <c r="F1679" i="16"/>
  <c r="I1665" i="16"/>
  <c r="H1670" i="16"/>
  <c r="N1665" i="16"/>
  <c r="N1679" i="16"/>
  <c r="O1679" i="16" s="1"/>
  <c r="L1679" i="16" s="1"/>
  <c r="A1679" i="16" s="1"/>
  <c r="I1666" i="16"/>
  <c r="H1671" i="16"/>
  <c r="F1666" i="16"/>
  <c r="F1673" i="16"/>
  <c r="F1680" i="16"/>
  <c r="H1675" i="16"/>
  <c r="F1661" i="16"/>
  <c r="N1661" i="16"/>
  <c r="F1662" i="16"/>
  <c r="N1662" i="16"/>
  <c r="F1663" i="16"/>
  <c r="H1660" i="16"/>
  <c r="N1663" i="16"/>
  <c r="I1660" i="16"/>
  <c r="H1661" i="16"/>
  <c r="I1661" i="16"/>
  <c r="H1662" i="16"/>
  <c r="I1662" i="16"/>
  <c r="H1663" i="16"/>
  <c r="I1663" i="16"/>
  <c r="F1660" i="16"/>
  <c r="N1660" i="16"/>
  <c r="F1659" i="16"/>
  <c r="N1659" i="16"/>
  <c r="I1659" i="16"/>
  <c r="H1659" i="16"/>
  <c r="I576" i="16"/>
  <c r="I592" i="16"/>
  <c r="I608" i="16"/>
  <c r="I624" i="16"/>
  <c r="I638" i="16"/>
  <c r="I661" i="16"/>
  <c r="I672" i="16"/>
  <c r="I688" i="16"/>
  <c r="I704" i="16"/>
  <c r="I720" i="16"/>
  <c r="I736" i="16"/>
  <c r="I752" i="16"/>
  <c r="I769" i="16"/>
  <c r="I784" i="16"/>
  <c r="I800" i="16"/>
  <c r="I816" i="16"/>
  <c r="I832" i="16"/>
  <c r="I848" i="16"/>
  <c r="I865" i="16"/>
  <c r="I881" i="16"/>
  <c r="I897" i="16"/>
  <c r="I913" i="16"/>
  <c r="I929" i="16"/>
  <c r="I956" i="16"/>
  <c r="I946" i="16"/>
  <c r="I977" i="16"/>
  <c r="I992" i="16"/>
  <c r="I1008" i="16"/>
  <c r="I1024" i="16"/>
  <c r="I1041" i="16"/>
  <c r="I1056" i="16"/>
  <c r="I1072" i="16"/>
  <c r="I1088" i="16"/>
  <c r="I1104" i="16"/>
  <c r="I1120" i="16"/>
  <c r="I1138" i="16"/>
  <c r="I1152" i="16"/>
  <c r="I1168" i="16"/>
  <c r="I1184" i="16"/>
  <c r="I1200" i="16"/>
  <c r="I1216" i="16"/>
  <c r="I1232" i="16"/>
  <c r="I1249" i="16"/>
  <c r="I1264" i="16"/>
  <c r="I1280" i="16"/>
  <c r="I1296" i="16"/>
  <c r="I1312" i="16"/>
  <c r="I1328" i="16"/>
  <c r="I1344" i="16"/>
  <c r="I1360" i="16"/>
  <c r="I1376" i="16"/>
  <c r="I1392" i="16"/>
  <c r="I1408" i="16"/>
  <c r="I1424" i="16"/>
  <c r="I1440" i="16"/>
  <c r="I1456" i="16"/>
  <c r="I1472" i="16"/>
  <c r="I1488" i="16"/>
  <c r="I1504" i="16"/>
  <c r="I1520" i="16"/>
  <c r="I1536" i="16"/>
  <c r="I1552" i="16"/>
  <c r="I1568" i="16"/>
  <c r="I1585" i="16"/>
  <c r="I1600" i="16"/>
  <c r="I1612" i="16"/>
  <c r="I1628" i="16"/>
  <c r="I1646" i="16"/>
  <c r="I563" i="16"/>
  <c r="H14" i="16"/>
  <c r="H30" i="16"/>
  <c r="H47" i="16"/>
  <c r="I577" i="16"/>
  <c r="I593" i="16"/>
  <c r="I609" i="16"/>
  <c r="I625" i="16"/>
  <c r="I639" i="16"/>
  <c r="I662" i="16"/>
  <c r="I673" i="16"/>
  <c r="I689" i="16"/>
  <c r="I705" i="16"/>
  <c r="I721" i="16"/>
  <c r="I737" i="16"/>
  <c r="I753" i="16"/>
  <c r="I770" i="16"/>
  <c r="I785" i="16"/>
  <c r="I801" i="16"/>
  <c r="I817" i="16"/>
  <c r="I833" i="16"/>
  <c r="I849" i="16"/>
  <c r="I866" i="16"/>
  <c r="I882" i="16"/>
  <c r="I898" i="16"/>
  <c r="I914" i="16"/>
  <c r="I930" i="16"/>
  <c r="I957" i="16"/>
  <c r="I947" i="16"/>
  <c r="I978" i="16"/>
  <c r="I993" i="16"/>
  <c r="I1009" i="16"/>
  <c r="I1025" i="16"/>
  <c r="I1042" i="16"/>
  <c r="I1057" i="16"/>
  <c r="I1073" i="16"/>
  <c r="I1089" i="16"/>
  <c r="I1105" i="16"/>
  <c r="I1121" i="16"/>
  <c r="I1136" i="16"/>
  <c r="I1153" i="16"/>
  <c r="I1169" i="16"/>
  <c r="I1185" i="16"/>
  <c r="I1201" i="16"/>
  <c r="I1217" i="16"/>
  <c r="I1233" i="16"/>
  <c r="I1250" i="16"/>
  <c r="I1265" i="16"/>
  <c r="I1281" i="16"/>
  <c r="I1297" i="16"/>
  <c r="I1313" i="16"/>
  <c r="I1329" i="16"/>
  <c r="I1345" i="16"/>
  <c r="I1361" i="16"/>
  <c r="I1377" i="16"/>
  <c r="I1393" i="16"/>
  <c r="I1409" i="16"/>
  <c r="I1425" i="16"/>
  <c r="I1441" i="16"/>
  <c r="I1457" i="16"/>
  <c r="I1473" i="16"/>
  <c r="I1489" i="16"/>
  <c r="I1505" i="16"/>
  <c r="I1521" i="16"/>
  <c r="I1537" i="16"/>
  <c r="I1553" i="16"/>
  <c r="I1569" i="16"/>
  <c r="I1586" i="16"/>
  <c r="I1601" i="16"/>
  <c r="I1613" i="16"/>
  <c r="I1629" i="16"/>
  <c r="I1647" i="16"/>
  <c r="I562" i="16"/>
  <c r="H15" i="16"/>
  <c r="H31" i="16"/>
  <c r="H48" i="16"/>
  <c r="H64" i="16"/>
  <c r="I578" i="16"/>
  <c r="I594" i="16"/>
  <c r="I610" i="16"/>
  <c r="I626" i="16"/>
  <c r="I640" i="16"/>
  <c r="I663" i="16"/>
  <c r="I674" i="16"/>
  <c r="I690" i="16"/>
  <c r="I706" i="16"/>
  <c r="I722" i="16"/>
  <c r="I738" i="16"/>
  <c r="I754" i="16"/>
  <c r="I771" i="16"/>
  <c r="I786" i="16"/>
  <c r="I802" i="16"/>
  <c r="I818" i="16"/>
  <c r="I834" i="16"/>
  <c r="I850" i="16"/>
  <c r="I867" i="16"/>
  <c r="I883" i="16"/>
  <c r="I899" i="16"/>
  <c r="I915" i="16"/>
  <c r="I931" i="16"/>
  <c r="I958" i="16"/>
  <c r="I948" i="16"/>
  <c r="I979" i="16"/>
  <c r="I994" i="16"/>
  <c r="I1010" i="16"/>
  <c r="I1026" i="16"/>
  <c r="I1043" i="16"/>
  <c r="I1058" i="16"/>
  <c r="I1074" i="16"/>
  <c r="I1090" i="16"/>
  <c r="I1106" i="16"/>
  <c r="I1122" i="16"/>
  <c r="I1137" i="16"/>
  <c r="I1154" i="16"/>
  <c r="I1170" i="16"/>
  <c r="I1186" i="16"/>
  <c r="I1202" i="16"/>
  <c r="I1218" i="16"/>
  <c r="I1234" i="16"/>
  <c r="I1251" i="16"/>
  <c r="I1266" i="16"/>
  <c r="I1282" i="16"/>
  <c r="I1298" i="16"/>
  <c r="I1314" i="16"/>
  <c r="I1330" i="16"/>
  <c r="I1346" i="16"/>
  <c r="I1362" i="16"/>
  <c r="I1378" i="16"/>
  <c r="I1394" i="16"/>
  <c r="I1410" i="16"/>
  <c r="I1426" i="16"/>
  <c r="I1442" i="16"/>
  <c r="I1458" i="16"/>
  <c r="I1474" i="16"/>
  <c r="I1490" i="16"/>
  <c r="I1506" i="16"/>
  <c r="I1522" i="16"/>
  <c r="I1538" i="16"/>
  <c r="I1554" i="16"/>
  <c r="I1570" i="16"/>
  <c r="I1587" i="16"/>
  <c r="I1602" i="16"/>
  <c r="I1614" i="16"/>
  <c r="I1630" i="16"/>
  <c r="I1648" i="16"/>
  <c r="I561" i="16"/>
  <c r="H16" i="16"/>
  <c r="H32" i="16"/>
  <c r="H49" i="16"/>
  <c r="H65" i="16"/>
  <c r="H80" i="16"/>
  <c r="I579" i="16"/>
  <c r="I595" i="16"/>
  <c r="I611" i="16"/>
  <c r="I627" i="16"/>
  <c r="I644" i="16"/>
  <c r="I664" i="16"/>
  <c r="I675" i="16"/>
  <c r="I691" i="16"/>
  <c r="I707" i="16"/>
  <c r="I723" i="16"/>
  <c r="I739" i="16"/>
  <c r="I755" i="16"/>
  <c r="I772" i="16"/>
  <c r="I790" i="16"/>
  <c r="I803" i="16"/>
  <c r="I819" i="16"/>
  <c r="I835" i="16"/>
  <c r="I851" i="16"/>
  <c r="I868" i="16"/>
  <c r="I884" i="16"/>
  <c r="I900" i="16"/>
  <c r="I916" i="16"/>
  <c r="I932" i="16"/>
  <c r="I959" i="16"/>
  <c r="I949" i="16"/>
  <c r="I856" i="16"/>
  <c r="I995" i="16"/>
  <c r="I1011" i="16"/>
  <c r="I1027" i="16"/>
  <c r="I1044" i="16"/>
  <c r="I1059" i="16"/>
  <c r="I1075" i="16"/>
  <c r="I1091" i="16"/>
  <c r="I1107" i="16"/>
  <c r="I1123" i="16"/>
  <c r="I1139" i="16"/>
  <c r="I1155" i="16"/>
  <c r="I1171" i="16"/>
  <c r="I1187" i="16"/>
  <c r="I1203" i="16"/>
  <c r="I1219" i="16"/>
  <c r="I1235" i="16"/>
  <c r="I1252" i="16"/>
  <c r="I580" i="16"/>
  <c r="I596" i="16"/>
  <c r="I612" i="16"/>
  <c r="I628" i="16"/>
  <c r="I641" i="16"/>
  <c r="I653" i="16"/>
  <c r="I676" i="16"/>
  <c r="I692" i="16"/>
  <c r="I708" i="16"/>
  <c r="I724" i="16"/>
  <c r="I740" i="16"/>
  <c r="I756" i="16"/>
  <c r="I773" i="16"/>
  <c r="I791" i="16"/>
  <c r="I804" i="16"/>
  <c r="I820" i="16"/>
  <c r="I836" i="16"/>
  <c r="I852" i="16"/>
  <c r="I869" i="16"/>
  <c r="I885" i="16"/>
  <c r="I901" i="16"/>
  <c r="I917" i="16"/>
  <c r="I933" i="16"/>
  <c r="I960" i="16"/>
  <c r="I971" i="16"/>
  <c r="I980" i="16"/>
  <c r="I996" i="16"/>
  <c r="I1012" i="16"/>
  <c r="I1028" i="16"/>
  <c r="I1035" i="16"/>
  <c r="I1060" i="16"/>
  <c r="I1076" i="16"/>
  <c r="I1092" i="16"/>
  <c r="I1108" i="16"/>
  <c r="I1124" i="16"/>
  <c r="I1140" i="16"/>
  <c r="I1156" i="16"/>
  <c r="I1172" i="16"/>
  <c r="I1188" i="16"/>
  <c r="I1204" i="16"/>
  <c r="I1220" i="16"/>
  <c r="I1236" i="16"/>
  <c r="I1253" i="16"/>
  <c r="I1268" i="16"/>
  <c r="I1284" i="16"/>
  <c r="I1300" i="16"/>
  <c r="I1316" i="16"/>
  <c r="I1332" i="16"/>
  <c r="I1348" i="16"/>
  <c r="I1364" i="16"/>
  <c r="I1380" i="16"/>
  <c r="I1396" i="16"/>
  <c r="I1412" i="16"/>
  <c r="I1428" i="16"/>
  <c r="I1444" i="16"/>
  <c r="I1460" i="16"/>
  <c r="I1476" i="16"/>
  <c r="I1492" i="16"/>
  <c r="I1508" i="16"/>
  <c r="I1524" i="16"/>
  <c r="I1540" i="16"/>
  <c r="I1556" i="16"/>
  <c r="I1572" i="16"/>
  <c r="I1589" i="16"/>
  <c r="I2006" i="16"/>
  <c r="I1616" i="16"/>
  <c r="I1632" i="16"/>
  <c r="I1650" i="16"/>
  <c r="H2" i="16"/>
  <c r="H18" i="16"/>
  <c r="H34" i="16"/>
  <c r="H51" i="16"/>
  <c r="H67" i="16"/>
  <c r="H82" i="16"/>
  <c r="H99" i="16"/>
  <c r="H113" i="16"/>
  <c r="H129" i="16"/>
  <c r="H145" i="16"/>
  <c r="H161" i="16"/>
  <c r="H177" i="16"/>
  <c r="H193" i="16"/>
  <c r="H209" i="16"/>
  <c r="H227" i="16"/>
  <c r="I581" i="16"/>
  <c r="I597" i="16"/>
  <c r="I613" i="16"/>
  <c r="I629" i="16"/>
  <c r="I645" i="16"/>
  <c r="I654" i="16"/>
  <c r="I677" i="16"/>
  <c r="I693" i="16"/>
  <c r="I709" i="16"/>
  <c r="I725" i="16"/>
  <c r="I741" i="16"/>
  <c r="I757" i="16"/>
  <c r="I774" i="16"/>
  <c r="I792" i="16"/>
  <c r="I805" i="16"/>
  <c r="I821" i="16"/>
  <c r="I837" i="16"/>
  <c r="I853" i="16"/>
  <c r="I870" i="16"/>
  <c r="I886" i="16"/>
  <c r="I902" i="16"/>
  <c r="I918" i="16"/>
  <c r="I934" i="16"/>
  <c r="I961" i="16"/>
  <c r="I950" i="16"/>
  <c r="I981" i="16"/>
  <c r="I997" i="16"/>
  <c r="I1013" i="16"/>
  <c r="I1029" i="16"/>
  <c r="I1045" i="16"/>
  <c r="I1061" i="16"/>
  <c r="I1077" i="16"/>
  <c r="I1093" i="16"/>
  <c r="I1109" i="16"/>
  <c r="I1125" i="16"/>
  <c r="I1141" i="16"/>
  <c r="I1157" i="16"/>
  <c r="I1173" i="16"/>
  <c r="I1189" i="16"/>
  <c r="I1205" i="16"/>
  <c r="I1221" i="16"/>
  <c r="I1237" i="16"/>
  <c r="I1254" i="16"/>
  <c r="I1269" i="16"/>
  <c r="I1285" i="16"/>
  <c r="I1301" i="16"/>
  <c r="I1317" i="16"/>
  <c r="I1333" i="16"/>
  <c r="I1349" i="16"/>
  <c r="I1365" i="16"/>
  <c r="I1381" i="16"/>
  <c r="I1397" i="16"/>
  <c r="I1413" i="16"/>
  <c r="I1429" i="16"/>
  <c r="I1445" i="16"/>
  <c r="I1461" i="16"/>
  <c r="I1477" i="16"/>
  <c r="I1493" i="16"/>
  <c r="I1509" i="16"/>
  <c r="I1525" i="16"/>
  <c r="I1541" i="16"/>
  <c r="I1557" i="16"/>
  <c r="I1573" i="16"/>
  <c r="I1590" i="16"/>
  <c r="I2007" i="16"/>
  <c r="I1617" i="16"/>
  <c r="I1633" i="16"/>
  <c r="I1635" i="16"/>
  <c r="H3" i="16"/>
  <c r="I566" i="16"/>
  <c r="I582" i="16"/>
  <c r="I598" i="16"/>
  <c r="I614" i="16"/>
  <c r="I630" i="16"/>
  <c r="I646" i="16"/>
  <c r="I655" i="16"/>
  <c r="I678" i="16"/>
  <c r="I694" i="16"/>
  <c r="I710" i="16"/>
  <c r="I726" i="16"/>
  <c r="I742" i="16"/>
  <c r="I759" i="16"/>
  <c r="I775" i="16"/>
  <c r="I793" i="16"/>
  <c r="I806" i="16"/>
  <c r="I822" i="16"/>
  <c r="I838" i="16"/>
  <c r="I854" i="16"/>
  <c r="I871" i="16"/>
  <c r="I887" i="16"/>
  <c r="I903" i="16"/>
  <c r="I919" i="16"/>
  <c r="I935" i="16"/>
  <c r="I962" i="16"/>
  <c r="I951" i="16"/>
  <c r="I982" i="16"/>
  <c r="I998" i="16"/>
  <c r="I1014" i="16"/>
  <c r="I1030" i="16"/>
  <c r="I1046" i="16"/>
  <c r="I1062" i="16"/>
  <c r="I1078" i="16"/>
  <c r="I1094" i="16"/>
  <c r="I1110" i="16"/>
  <c r="I1126" i="16"/>
  <c r="I1142" i="16"/>
  <c r="I1158" i="16"/>
  <c r="I1174" i="16"/>
  <c r="I1190" i="16"/>
  <c r="I1206" i="16"/>
  <c r="I1222" i="16"/>
  <c r="I1238" i="16"/>
  <c r="I1255" i="16"/>
  <c r="I1270" i="16"/>
  <c r="I1286" i="16"/>
  <c r="I1302" i="16"/>
  <c r="I1318" i="16"/>
  <c r="I1334" i="16"/>
  <c r="I1350" i="16"/>
  <c r="I1366" i="16"/>
  <c r="I1382" i="16"/>
  <c r="I1398" i="16"/>
  <c r="I1414" i="16"/>
  <c r="I1430" i="16"/>
  <c r="I1446" i="16"/>
  <c r="I1462" i="16"/>
  <c r="I1478" i="16"/>
  <c r="I1494" i="16"/>
  <c r="I1510" i="16"/>
  <c r="I1526" i="16"/>
  <c r="I1542" i="16"/>
  <c r="I1558" i="16"/>
  <c r="I1574" i="16"/>
  <c r="I1591" i="16"/>
  <c r="I2008" i="16"/>
  <c r="I1618" i="16"/>
  <c r="I1634" i="16"/>
  <c r="I1636" i="16"/>
  <c r="H4" i="16"/>
  <c r="H20" i="16"/>
  <c r="H36" i="16"/>
  <c r="H53" i="16"/>
  <c r="H84" i="16"/>
  <c r="H101" i="16"/>
  <c r="H115" i="16"/>
  <c r="H132" i="16"/>
  <c r="H147" i="16"/>
  <c r="H163" i="16"/>
  <c r="H179" i="16"/>
  <c r="H195" i="16"/>
  <c r="H211" i="16"/>
  <c r="I567" i="16"/>
  <c r="I583" i="16"/>
  <c r="I599" i="16"/>
  <c r="I615" i="16"/>
  <c r="I631" i="16"/>
  <c r="I647" i="16"/>
  <c r="I656" i="16"/>
  <c r="I679" i="16"/>
  <c r="I695" i="16"/>
  <c r="I711" i="16"/>
  <c r="I727" i="16"/>
  <c r="I743" i="16"/>
  <c r="I760" i="16"/>
  <c r="I758" i="16"/>
  <c r="I794" i="16"/>
  <c r="I807" i="16"/>
  <c r="I823" i="16"/>
  <c r="I839" i="16"/>
  <c r="I855" i="16"/>
  <c r="I872" i="16"/>
  <c r="I888" i="16"/>
  <c r="I904" i="16"/>
  <c r="I920" i="16"/>
  <c r="I936" i="16"/>
  <c r="I963" i="16"/>
  <c r="I952" i="16"/>
  <c r="I983" i="16"/>
  <c r="I999" i="16"/>
  <c r="I1015" i="16"/>
  <c r="I1031" i="16"/>
  <c r="I1047" i="16"/>
  <c r="I1063" i="16"/>
  <c r="I1079" i="16"/>
  <c r="I1095" i="16"/>
  <c r="I1111" i="16"/>
  <c r="I1127" i="16"/>
  <c r="I1143" i="16"/>
  <c r="I1159" i="16"/>
  <c r="I1175" i="16"/>
  <c r="I1191" i="16"/>
  <c r="I1207" i="16"/>
  <c r="I1223" i="16"/>
  <c r="I1239" i="16"/>
  <c r="I1256" i="16"/>
  <c r="I1271" i="16"/>
  <c r="I1287" i="16"/>
  <c r="I1303" i="16"/>
  <c r="I1319" i="16"/>
  <c r="I1335" i="16"/>
  <c r="I1351" i="16"/>
  <c r="I1367" i="16"/>
  <c r="I1383" i="16"/>
  <c r="I1399" i="16"/>
  <c r="I1415" i="16"/>
  <c r="I1431" i="16"/>
  <c r="I1447" i="16"/>
  <c r="I1463" i="16"/>
  <c r="I1479" i="16"/>
  <c r="I1495" i="16"/>
  <c r="I1511" i="16"/>
  <c r="I1527" i="16"/>
  <c r="I1543" i="16"/>
  <c r="I1559" i="16"/>
  <c r="I1575" i="16"/>
  <c r="I1592" i="16"/>
  <c r="I2009" i="16"/>
  <c r="I1619" i="16"/>
  <c r="I1637" i="16"/>
  <c r="I1651" i="16"/>
  <c r="H5" i="16"/>
  <c r="H21" i="16"/>
  <c r="H37" i="16"/>
  <c r="H54" i="16"/>
  <c r="H69" i="16"/>
  <c r="H85" i="16"/>
  <c r="H102" i="16"/>
  <c r="H116" i="16"/>
  <c r="H133" i="16"/>
  <c r="H148" i="16"/>
  <c r="H164" i="16"/>
  <c r="H180" i="16"/>
  <c r="H196" i="16"/>
  <c r="H212" i="16"/>
  <c r="H228" i="16"/>
  <c r="H244" i="16"/>
  <c r="I568" i="16"/>
  <c r="I584" i="16"/>
  <c r="I600" i="16"/>
  <c r="I616" i="16"/>
  <c r="I632" i="16"/>
  <c r="I648" i="16"/>
  <c r="I657" i="16"/>
  <c r="I680" i="16"/>
  <c r="I696" i="16"/>
  <c r="I712" i="16"/>
  <c r="I728" i="16"/>
  <c r="I744" i="16"/>
  <c r="I761" i="16"/>
  <c r="I776" i="16"/>
  <c r="I787" i="16"/>
  <c r="I808" i="16"/>
  <c r="I824" i="16"/>
  <c r="I840" i="16"/>
  <c r="I857" i="16"/>
  <c r="I873" i="16"/>
  <c r="I889" i="16"/>
  <c r="I905" i="16"/>
  <c r="I921" i="16"/>
  <c r="I937" i="16"/>
  <c r="I964" i="16"/>
  <c r="I953" i="16"/>
  <c r="I984" i="16"/>
  <c r="I1000" i="16"/>
  <c r="I1016" i="16"/>
  <c r="I1032" i="16"/>
  <c r="I1048" i="16"/>
  <c r="I1064" i="16"/>
  <c r="I1080" i="16"/>
  <c r="I1096" i="16"/>
  <c r="I1112" i="16"/>
  <c r="I1128" i="16"/>
  <c r="I1144" i="16"/>
  <c r="I1160" i="16"/>
  <c r="I1176" i="16"/>
  <c r="I1192" i="16"/>
  <c r="I1208" i="16"/>
  <c r="I1224" i="16"/>
  <c r="I1240" i="16"/>
  <c r="I1257" i="16"/>
  <c r="I1272" i="16"/>
  <c r="I1288" i="16"/>
  <c r="I1304" i="16"/>
  <c r="I1320" i="16"/>
  <c r="I1336" i="16"/>
  <c r="I1352" i="16"/>
  <c r="I1368" i="16"/>
  <c r="I1384" i="16"/>
  <c r="I1400" i="16"/>
  <c r="I1416" i="16"/>
  <c r="I1432" i="16"/>
  <c r="I1448" i="16"/>
  <c r="I1464" i="16"/>
  <c r="I1480" i="16"/>
  <c r="I1496" i="16"/>
  <c r="I1512" i="16"/>
  <c r="I1528" i="16"/>
  <c r="I1544" i="16"/>
  <c r="I1560" i="16"/>
  <c r="I1576" i="16"/>
  <c r="I1593" i="16"/>
  <c r="I1604" i="16"/>
  <c r="I1620" i="16"/>
  <c r="I1638" i="16"/>
  <c r="I1652" i="16"/>
  <c r="H6" i="16"/>
  <c r="H22" i="16"/>
  <c r="H38" i="16"/>
  <c r="I569" i="16"/>
  <c r="I585" i="16"/>
  <c r="I601" i="16"/>
  <c r="I617" i="16"/>
  <c r="I633" i="16"/>
  <c r="I649" i="16"/>
  <c r="I665" i="16"/>
  <c r="I681" i="16"/>
  <c r="I697" i="16"/>
  <c r="I718" i="16"/>
  <c r="I729" i="16"/>
  <c r="I745" i="16"/>
  <c r="I762" i="16"/>
  <c r="I777" i="16"/>
  <c r="I788" i="16"/>
  <c r="I809" i="16"/>
  <c r="I825" i="16"/>
  <c r="I841" i="16"/>
  <c r="I570" i="16"/>
  <c r="I586" i="16"/>
  <c r="I602" i="16"/>
  <c r="I618" i="16"/>
  <c r="I634" i="16"/>
  <c r="I650" i="16"/>
  <c r="I666" i="16"/>
  <c r="I682" i="16"/>
  <c r="I698" i="16"/>
  <c r="I713" i="16"/>
  <c r="I730" i="16"/>
  <c r="I746" i="16"/>
  <c r="I763" i="16"/>
  <c r="I778" i="16"/>
  <c r="I789" i="16"/>
  <c r="I810" i="16"/>
  <c r="I826" i="16"/>
  <c r="I842" i="16"/>
  <c r="I859" i="16"/>
  <c r="I875" i="16"/>
  <c r="I891" i="16"/>
  <c r="I907" i="16"/>
  <c r="I923" i="16"/>
  <c r="I939" i="16"/>
  <c r="I966" i="16"/>
  <c r="I955" i="16"/>
  <c r="I986" i="16"/>
  <c r="I1002" i="16"/>
  <c r="I1018" i="16"/>
  <c r="I1034" i="16"/>
  <c r="I1050" i="16"/>
  <c r="I1066" i="16"/>
  <c r="I1082" i="16"/>
  <c r="I1098" i="16"/>
  <c r="I1114" i="16"/>
  <c r="I1130" i="16"/>
  <c r="I1146" i="16"/>
  <c r="I1162" i="16"/>
  <c r="I1178" i="16"/>
  <c r="I1194" i="16"/>
  <c r="I1210" i="16"/>
  <c r="I1226" i="16"/>
  <c r="I1242" i="16"/>
  <c r="I1247" i="16"/>
  <c r="I1274" i="16"/>
  <c r="I1290" i="16"/>
  <c r="I1306" i="16"/>
  <c r="I1322" i="16"/>
  <c r="I1338" i="16"/>
  <c r="I1354" i="16"/>
  <c r="I1370" i="16"/>
  <c r="I1386" i="16"/>
  <c r="I1402" i="16"/>
  <c r="I1418" i="16"/>
  <c r="I1434" i="16"/>
  <c r="I1450" i="16"/>
  <c r="I1466" i="16"/>
  <c r="I1482" i="16"/>
  <c r="I1498" i="16"/>
  <c r="I1514" i="16"/>
  <c r="I1530" i="16"/>
  <c r="I1546" i="16"/>
  <c r="I1562" i="16"/>
  <c r="I1579" i="16"/>
  <c r="I1595" i="16"/>
  <c r="I1606" i="16"/>
  <c r="I1622" i="16"/>
  <c r="I1640" i="16"/>
  <c r="I1654" i="16"/>
  <c r="H8" i="16"/>
  <c r="H24" i="16"/>
  <c r="H41" i="16"/>
  <c r="H57" i="16"/>
  <c r="H72" i="16"/>
  <c r="H88" i="16"/>
  <c r="I571" i="16"/>
  <c r="I587" i="16"/>
  <c r="I603" i="16"/>
  <c r="I619" i="16"/>
  <c r="I635" i="16"/>
  <c r="I651" i="16"/>
  <c r="I667" i="16"/>
  <c r="I683" i="16"/>
  <c r="I699" i="16"/>
  <c r="I714" i="16"/>
  <c r="I731" i="16"/>
  <c r="I747" i="16"/>
  <c r="I764" i="16"/>
  <c r="I779" i="16"/>
  <c r="I795" i="16"/>
  <c r="I811" i="16"/>
  <c r="I827" i="16"/>
  <c r="I843" i="16"/>
  <c r="I860" i="16"/>
  <c r="I876" i="16"/>
  <c r="I892" i="16"/>
  <c r="I908" i="16"/>
  <c r="I924" i="16"/>
  <c r="I940" i="16"/>
  <c r="I967" i="16"/>
  <c r="I972" i="16"/>
  <c r="I987" i="16"/>
  <c r="I1003" i="16"/>
  <c r="I1019" i="16"/>
  <c r="I1036" i="16"/>
  <c r="I1051" i="16"/>
  <c r="I1067" i="16"/>
  <c r="I1083" i="16"/>
  <c r="I1099" i="16"/>
  <c r="I1115" i="16"/>
  <c r="I1131" i="16"/>
  <c r="I1147" i="16"/>
  <c r="I1163" i="16"/>
  <c r="I1179" i="16"/>
  <c r="I1195" i="16"/>
  <c r="I1211" i="16"/>
  <c r="I1227" i="16"/>
  <c r="I1243" i="16"/>
  <c r="I1259" i="16"/>
  <c r="I1275" i="16"/>
  <c r="I1291" i="16"/>
  <c r="I1307" i="16"/>
  <c r="I1323" i="16"/>
  <c r="I1339" i="16"/>
  <c r="I1355" i="16"/>
  <c r="I1371" i="16"/>
  <c r="I1387" i="16"/>
  <c r="I1403" i="16"/>
  <c r="I1419" i="16"/>
  <c r="I1435" i="16"/>
  <c r="I1451" i="16"/>
  <c r="I1467" i="16"/>
  <c r="I1483" i="16"/>
  <c r="I1499" i="16"/>
  <c r="I1515" i="16"/>
  <c r="I1531" i="16"/>
  <c r="I1547" i="16"/>
  <c r="I1563" i="16"/>
  <c r="I1577" i="16"/>
  <c r="I1596" i="16"/>
  <c r="I1607" i="16"/>
  <c r="I1623" i="16"/>
  <c r="I1641" i="16"/>
  <c r="I1655" i="16"/>
  <c r="H9" i="16"/>
  <c r="H25" i="16"/>
  <c r="H42" i="16"/>
  <c r="H58" i="16"/>
  <c r="H73" i="16"/>
  <c r="H89" i="16"/>
  <c r="H105" i="16"/>
  <c r="H120" i="16"/>
  <c r="H137" i="16"/>
  <c r="H153" i="16"/>
  <c r="H168" i="16"/>
  <c r="H184" i="16"/>
  <c r="H200" i="16"/>
  <c r="H218" i="16"/>
  <c r="I572" i="16"/>
  <c r="I588" i="16"/>
  <c r="I604" i="16"/>
  <c r="I620" i="16"/>
  <c r="I636" i="16"/>
  <c r="I652" i="16"/>
  <c r="I668" i="16"/>
  <c r="I684" i="16"/>
  <c r="I700" i="16"/>
  <c r="I715" i="16"/>
  <c r="I732" i="16"/>
  <c r="I748" i="16"/>
  <c r="I765" i="16"/>
  <c r="I780" i="16"/>
  <c r="I796" i="16"/>
  <c r="I812" i="16"/>
  <c r="I828" i="16"/>
  <c r="I844" i="16"/>
  <c r="I861" i="16"/>
  <c r="I877" i="16"/>
  <c r="I893" i="16"/>
  <c r="I909" i="16"/>
  <c r="I925" i="16"/>
  <c r="I941" i="16"/>
  <c r="I968" i="16"/>
  <c r="I973" i="16"/>
  <c r="I988" i="16"/>
  <c r="I1004" i="16"/>
  <c r="I1020" i="16"/>
  <c r="I1037" i="16"/>
  <c r="I1052" i="16"/>
  <c r="I1068" i="16"/>
  <c r="I1084" i="16"/>
  <c r="I1100" i="16"/>
  <c r="I1116" i="16"/>
  <c r="I1132" i="16"/>
  <c r="I1148" i="16"/>
  <c r="I1164" i="16"/>
  <c r="I1180" i="16"/>
  <c r="I1196" i="16"/>
  <c r="I1212" i="16"/>
  <c r="I1228" i="16"/>
  <c r="I1244" i="16"/>
  <c r="I1260" i="16"/>
  <c r="I1276" i="16"/>
  <c r="I1292" i="16"/>
  <c r="I1308" i="16"/>
  <c r="I1324" i="16"/>
  <c r="I1340" i="16"/>
  <c r="I1356" i="16"/>
  <c r="I1372" i="16"/>
  <c r="I1388" i="16"/>
  <c r="I1404" i="16"/>
  <c r="I1420" i="16"/>
  <c r="I1436" i="16"/>
  <c r="I1452" i="16"/>
  <c r="I1468" i="16"/>
  <c r="I1484" i="16"/>
  <c r="I1500" i="16"/>
  <c r="I1516" i="16"/>
  <c r="I1532" i="16"/>
  <c r="I1548" i="16"/>
  <c r="I1564" i="16"/>
  <c r="I1580" i="16"/>
  <c r="I1597" i="16"/>
  <c r="I1608" i="16"/>
  <c r="I1624" i="16"/>
  <c r="I1642" i="16"/>
  <c r="I1656" i="16"/>
  <c r="H10" i="16"/>
  <c r="H26" i="16"/>
  <c r="H43" i="16"/>
  <c r="H59" i="16"/>
  <c r="H74" i="16"/>
  <c r="H90" i="16"/>
  <c r="H106" i="16"/>
  <c r="H121" i="16"/>
  <c r="H138" i="16"/>
  <c r="H152" i="16"/>
  <c r="H169" i="16"/>
  <c r="H185" i="16"/>
  <c r="H201" i="16"/>
  <c r="H219" i="16"/>
  <c r="I575" i="16"/>
  <c r="I591" i="16"/>
  <c r="I607" i="16"/>
  <c r="I623" i="16"/>
  <c r="I637" i="16"/>
  <c r="I660" i="16"/>
  <c r="I671" i="16"/>
  <c r="I687" i="16"/>
  <c r="I703" i="16"/>
  <c r="I719" i="16"/>
  <c r="I735" i="16"/>
  <c r="I751" i="16"/>
  <c r="I768" i="16"/>
  <c r="I783" i="16"/>
  <c r="I799" i="16"/>
  <c r="I815" i="16"/>
  <c r="I831" i="16"/>
  <c r="I847" i="16"/>
  <c r="I864" i="16"/>
  <c r="I880" i="16"/>
  <c r="I896" i="16"/>
  <c r="I912" i="16"/>
  <c r="I928" i="16"/>
  <c r="I944" i="16"/>
  <c r="I945" i="16"/>
  <c r="I976" i="16"/>
  <c r="I991" i="16"/>
  <c r="I1007" i="16"/>
  <c r="I1023" i="16"/>
  <c r="I1040" i="16"/>
  <c r="I1055" i="16"/>
  <c r="I1071" i="16"/>
  <c r="I1087" i="16"/>
  <c r="I1103" i="16"/>
  <c r="I1119" i="16"/>
  <c r="I1135" i="16"/>
  <c r="I1151" i="16"/>
  <c r="I1167" i="16"/>
  <c r="I1183" i="16"/>
  <c r="I1199" i="16"/>
  <c r="I1215" i="16"/>
  <c r="I1231" i="16"/>
  <c r="I1248" i="16"/>
  <c r="I1263" i="16"/>
  <c r="I1279" i="16"/>
  <c r="I1295" i="16"/>
  <c r="I1311" i="16"/>
  <c r="I1327" i="16"/>
  <c r="I1343" i="16"/>
  <c r="I1359" i="16"/>
  <c r="I1375" i="16"/>
  <c r="I1391" i="16"/>
  <c r="I1407" i="16"/>
  <c r="I1423" i="16"/>
  <c r="I1439" i="16"/>
  <c r="I1455" i="16"/>
  <c r="I1471" i="16"/>
  <c r="I658" i="16"/>
  <c r="I781" i="16"/>
  <c r="I890" i="16"/>
  <c r="I974" i="16"/>
  <c r="I1054" i="16"/>
  <c r="I1145" i="16"/>
  <c r="I1229" i="16"/>
  <c r="I1299" i="16"/>
  <c r="I1363" i="16"/>
  <c r="I1427" i="16"/>
  <c r="I1487" i="16"/>
  <c r="I1539" i="16"/>
  <c r="I1594" i="16"/>
  <c r="I1643" i="16"/>
  <c r="H27" i="16"/>
  <c r="H63" i="16"/>
  <c r="H93" i="16"/>
  <c r="H114" i="16"/>
  <c r="H131" i="16"/>
  <c r="H160" i="16"/>
  <c r="H186" i="16"/>
  <c r="H207" i="16"/>
  <c r="H230" i="16"/>
  <c r="H247" i="16"/>
  <c r="H263" i="16"/>
  <c r="H279" i="16"/>
  <c r="H284" i="16"/>
  <c r="H289" i="16"/>
  <c r="H327" i="16"/>
  <c r="H342" i="16"/>
  <c r="H359" i="16"/>
  <c r="H375" i="16"/>
  <c r="H391" i="16"/>
  <c r="H407" i="16"/>
  <c r="H423" i="16"/>
  <c r="H439" i="16"/>
  <c r="H455" i="16"/>
  <c r="H471" i="16"/>
  <c r="H487" i="16"/>
  <c r="H503" i="16"/>
  <c r="H519" i="16"/>
  <c r="H535" i="16"/>
  <c r="H551" i="16"/>
  <c r="H567" i="16"/>
  <c r="H583" i="16"/>
  <c r="H599" i="16"/>
  <c r="H615" i="16"/>
  <c r="H631" i="16"/>
  <c r="H647" i="16"/>
  <c r="H656" i="16"/>
  <c r="H679" i="16"/>
  <c r="H695" i="16"/>
  <c r="H711" i="16"/>
  <c r="H727" i="16"/>
  <c r="H743" i="16"/>
  <c r="H760" i="16"/>
  <c r="H758" i="16"/>
  <c r="H794" i="16"/>
  <c r="H807" i="16"/>
  <c r="H823" i="16"/>
  <c r="H839" i="16"/>
  <c r="H855" i="16"/>
  <c r="H872" i="16"/>
  <c r="H888" i="16"/>
  <c r="H904" i="16"/>
  <c r="H920" i="16"/>
  <c r="H936" i="16"/>
  <c r="H963" i="16"/>
  <c r="H952" i="16"/>
  <c r="H983" i="16"/>
  <c r="H999" i="16"/>
  <c r="H1015" i="16"/>
  <c r="H1031" i="16"/>
  <c r="H1047" i="16"/>
  <c r="H1063" i="16"/>
  <c r="H1079" i="16"/>
  <c r="H1095" i="16"/>
  <c r="H1111" i="16"/>
  <c r="I659" i="16"/>
  <c r="I782" i="16"/>
  <c r="I894" i="16"/>
  <c r="I975" i="16"/>
  <c r="I1065" i="16"/>
  <c r="I1149" i="16"/>
  <c r="I1230" i="16"/>
  <c r="I1305" i="16"/>
  <c r="I1369" i="16"/>
  <c r="I1433" i="16"/>
  <c r="I1491" i="16"/>
  <c r="I1545" i="16"/>
  <c r="I1598" i="16"/>
  <c r="I1644" i="16"/>
  <c r="H28" i="16"/>
  <c r="H66" i="16"/>
  <c r="H95" i="16"/>
  <c r="H117" i="16"/>
  <c r="H140" i="16"/>
  <c r="H162" i="16"/>
  <c r="H187" i="16"/>
  <c r="H208" i="16"/>
  <c r="H231" i="16"/>
  <c r="H248" i="16"/>
  <c r="H264" i="16"/>
  <c r="H280" i="16"/>
  <c r="H285" i="16"/>
  <c r="H290" i="16"/>
  <c r="H328" i="16"/>
  <c r="H343" i="16"/>
  <c r="H360" i="16"/>
  <c r="H376" i="16"/>
  <c r="H392" i="16"/>
  <c r="H408" i="16"/>
  <c r="H424" i="16"/>
  <c r="H440" i="16"/>
  <c r="H456" i="16"/>
  <c r="H472" i="16"/>
  <c r="H488" i="16"/>
  <c r="H504" i="16"/>
  <c r="H520" i="16"/>
  <c r="H536" i="16"/>
  <c r="H552" i="16"/>
  <c r="H568" i="16"/>
  <c r="H584" i="16"/>
  <c r="H600" i="16"/>
  <c r="H616" i="16"/>
  <c r="H632" i="16"/>
  <c r="H648" i="16"/>
  <c r="H657" i="16"/>
  <c r="H680" i="16"/>
  <c r="H696" i="16"/>
  <c r="H712" i="16"/>
  <c r="H728" i="16"/>
  <c r="H744" i="16"/>
  <c r="H761" i="16"/>
  <c r="H776" i="16"/>
  <c r="H787" i="16"/>
  <c r="H808" i="16"/>
  <c r="H824" i="16"/>
  <c r="H840" i="16"/>
  <c r="H857" i="16"/>
  <c r="H873" i="16"/>
  <c r="H889" i="16"/>
  <c r="H905" i="16"/>
  <c r="H921" i="16"/>
  <c r="H937" i="16"/>
  <c r="H964" i="16"/>
  <c r="I669" i="16"/>
  <c r="I797" i="16"/>
  <c r="I895" i="16"/>
  <c r="I985" i="16"/>
  <c r="I1069" i="16"/>
  <c r="I1150" i="16"/>
  <c r="I1241" i="16"/>
  <c r="I1309" i="16"/>
  <c r="I1373" i="16"/>
  <c r="I1437" i="16"/>
  <c r="I1497" i="16"/>
  <c r="I1549" i="16"/>
  <c r="I1583" i="16"/>
  <c r="I1645" i="16"/>
  <c r="H29" i="16"/>
  <c r="H68" i="16"/>
  <c r="H96" i="16"/>
  <c r="H118" i="16"/>
  <c r="H141" i="16"/>
  <c r="H165" i="16"/>
  <c r="H188" i="16"/>
  <c r="H210" i="16"/>
  <c r="H232" i="16"/>
  <c r="H249" i="16"/>
  <c r="H265" i="16"/>
  <c r="H281" i="16"/>
  <c r="H286" i="16"/>
  <c r="H291" i="16"/>
  <c r="H329" i="16"/>
  <c r="H345" i="16"/>
  <c r="H361" i="16"/>
  <c r="H377" i="16"/>
  <c r="H393" i="16"/>
  <c r="H409" i="16"/>
  <c r="H425" i="16"/>
  <c r="H441" i="16"/>
  <c r="H457" i="16"/>
  <c r="H473" i="16"/>
  <c r="H489" i="16"/>
  <c r="H505" i="16"/>
  <c r="H521" i="16"/>
  <c r="H537" i="16"/>
  <c r="H553" i="16"/>
  <c r="H569" i="16"/>
  <c r="H585" i="16"/>
  <c r="H601" i="16"/>
  <c r="I670" i="16"/>
  <c r="I798" i="16"/>
  <c r="I906" i="16"/>
  <c r="I989" i="16"/>
  <c r="I1070" i="16"/>
  <c r="I1161" i="16"/>
  <c r="I1245" i="16"/>
  <c r="I1310" i="16"/>
  <c r="I1374" i="16"/>
  <c r="I1438" i="16"/>
  <c r="I1501" i="16"/>
  <c r="I1550" i="16"/>
  <c r="I1599" i="16"/>
  <c r="I1649" i="16"/>
  <c r="H33" i="16"/>
  <c r="H70" i="16"/>
  <c r="H97" i="16"/>
  <c r="H119" i="16"/>
  <c r="H142" i="16"/>
  <c r="H166" i="16"/>
  <c r="H189" i="16"/>
  <c r="H213" i="16"/>
  <c r="H233" i="16"/>
  <c r="H250" i="16"/>
  <c r="H266" i="16"/>
  <c r="H282" i="16"/>
  <c r="H287" i="16"/>
  <c r="H314" i="16"/>
  <c r="H330" i="16"/>
  <c r="H346" i="16"/>
  <c r="H362" i="16"/>
  <c r="H378" i="16"/>
  <c r="H394" i="16"/>
  <c r="H410" i="16"/>
  <c r="H426" i="16"/>
  <c r="H442" i="16"/>
  <c r="H458" i="16"/>
  <c r="H474" i="16"/>
  <c r="H490" i="16"/>
  <c r="H506" i="16"/>
  <c r="H522" i="16"/>
  <c r="H538" i="16"/>
  <c r="H554" i="16"/>
  <c r="H570" i="16"/>
  <c r="H586" i="16"/>
  <c r="H602" i="16"/>
  <c r="H618" i="16"/>
  <c r="H634" i="16"/>
  <c r="H650" i="16"/>
  <c r="H666" i="16"/>
  <c r="H682" i="16"/>
  <c r="H698" i="16"/>
  <c r="H713" i="16"/>
  <c r="H730" i="16"/>
  <c r="H746" i="16"/>
  <c r="H763" i="16"/>
  <c r="H778" i="16"/>
  <c r="H789" i="16"/>
  <c r="H810" i="16"/>
  <c r="H826" i="16"/>
  <c r="H842" i="16"/>
  <c r="H859" i="16"/>
  <c r="H875" i="16"/>
  <c r="H891" i="16"/>
  <c r="H907" i="16"/>
  <c r="H923" i="16"/>
  <c r="H939" i="16"/>
  <c r="H966" i="16"/>
  <c r="H955" i="16"/>
  <c r="H986" i="16"/>
  <c r="I685" i="16"/>
  <c r="I813" i="16"/>
  <c r="I910" i="16"/>
  <c r="I990" i="16"/>
  <c r="I1081" i="16"/>
  <c r="I1165" i="16"/>
  <c r="I1246" i="16"/>
  <c r="I1315" i="16"/>
  <c r="I1379" i="16"/>
  <c r="I1443" i="16"/>
  <c r="I1502" i="16"/>
  <c r="I1551" i="16"/>
  <c r="I1603" i="16"/>
  <c r="I1653" i="16"/>
  <c r="H35" i="16"/>
  <c r="H71" i="16"/>
  <c r="H98" i="16"/>
  <c r="H122" i="16"/>
  <c r="H143" i="16"/>
  <c r="H167" i="16"/>
  <c r="H190" i="16"/>
  <c r="H216" i="16"/>
  <c r="H234" i="16"/>
  <c r="H251" i="16"/>
  <c r="H267" i="16"/>
  <c r="H283" i="16"/>
  <c r="H303" i="16"/>
  <c r="H315" i="16"/>
  <c r="H331" i="16"/>
  <c r="H347" i="16"/>
  <c r="H363" i="16"/>
  <c r="H379" i="16"/>
  <c r="H395" i="16"/>
  <c r="H411" i="16"/>
  <c r="H427" i="16"/>
  <c r="H443" i="16"/>
  <c r="H459" i="16"/>
  <c r="H475" i="16"/>
  <c r="H491" i="16"/>
  <c r="H507" i="16"/>
  <c r="H523" i="16"/>
  <c r="H539" i="16"/>
  <c r="H555" i="16"/>
  <c r="H571" i="16"/>
  <c r="H587" i="16"/>
  <c r="H603" i="16"/>
  <c r="H619" i="16"/>
  <c r="H635" i="16"/>
  <c r="H651" i="16"/>
  <c r="H667" i="16"/>
  <c r="H683" i="16"/>
  <c r="H699" i="16"/>
  <c r="H714" i="16"/>
  <c r="H731" i="16"/>
  <c r="H747" i="16"/>
  <c r="H764" i="16"/>
  <c r="H779" i="16"/>
  <c r="H795" i="16"/>
  <c r="H811" i="16"/>
  <c r="H827" i="16"/>
  <c r="H843" i="16"/>
  <c r="H860" i="16"/>
  <c r="H876" i="16"/>
  <c r="H892" i="16"/>
  <c r="H908" i="16"/>
  <c r="H924" i="16"/>
  <c r="H940" i="16"/>
  <c r="H967" i="16"/>
  <c r="H972" i="16"/>
  <c r="H987" i="16"/>
  <c r="H1003" i="16"/>
  <c r="H1019" i="16"/>
  <c r="H1036" i="16"/>
  <c r="H1051" i="16"/>
  <c r="H1067" i="16"/>
  <c r="H1083" i="16"/>
  <c r="H1099" i="16"/>
  <c r="H1115" i="16"/>
  <c r="H1131" i="16"/>
  <c r="H1147" i="16"/>
  <c r="H1163" i="16"/>
  <c r="H1179" i="16"/>
  <c r="H1195" i="16"/>
  <c r="H1211" i="16"/>
  <c r="I686" i="16"/>
  <c r="I814" i="16"/>
  <c r="I911" i="16"/>
  <c r="I1001" i="16"/>
  <c r="I1085" i="16"/>
  <c r="I1166" i="16"/>
  <c r="I1258" i="16"/>
  <c r="I1321" i="16"/>
  <c r="I1385" i="16"/>
  <c r="I1449" i="16"/>
  <c r="I1503" i="16"/>
  <c r="I1555" i="16"/>
  <c r="I1605" i="16"/>
  <c r="I1657" i="16"/>
  <c r="H39" i="16"/>
  <c r="H75" i="16"/>
  <c r="H100" i="16"/>
  <c r="H123" i="16"/>
  <c r="H144" i="16"/>
  <c r="H170" i="16"/>
  <c r="H191" i="16"/>
  <c r="H217" i="16"/>
  <c r="H235" i="16"/>
  <c r="H252" i="16"/>
  <c r="H268" i="16"/>
  <c r="H292" i="16"/>
  <c r="H304" i="16"/>
  <c r="H316" i="16"/>
  <c r="H332" i="16"/>
  <c r="H348" i="16"/>
  <c r="H364" i="16"/>
  <c r="H380" i="16"/>
  <c r="H396" i="16"/>
  <c r="H413" i="16"/>
  <c r="H428" i="16"/>
  <c r="H444" i="16"/>
  <c r="H460" i="16"/>
  <c r="H476" i="16"/>
  <c r="H492" i="16"/>
  <c r="H508" i="16"/>
  <c r="H524" i="16"/>
  <c r="H540" i="16"/>
  <c r="H556" i="16"/>
  <c r="H572" i="16"/>
  <c r="H588" i="16"/>
  <c r="H604" i="16"/>
  <c r="H620" i="16"/>
  <c r="H636" i="16"/>
  <c r="H652" i="16"/>
  <c r="H668" i="16"/>
  <c r="H684" i="16"/>
  <c r="H700" i="16"/>
  <c r="H715" i="16"/>
  <c r="H732" i="16"/>
  <c r="H748" i="16"/>
  <c r="H765" i="16"/>
  <c r="H780" i="16"/>
  <c r="H796" i="16"/>
  <c r="H812" i="16"/>
  <c r="H828" i="16"/>
  <c r="H844" i="16"/>
  <c r="H861" i="16"/>
  <c r="H877" i="16"/>
  <c r="H893" i="16"/>
  <c r="H909" i="16"/>
  <c r="I573" i="16"/>
  <c r="I701" i="16"/>
  <c r="I829" i="16"/>
  <c r="I922" i="16"/>
  <c r="I1005" i="16"/>
  <c r="I1086" i="16"/>
  <c r="I1177" i="16"/>
  <c r="I1261" i="16"/>
  <c r="I1325" i="16"/>
  <c r="I1389" i="16"/>
  <c r="I1453" i="16"/>
  <c r="I1507" i="16"/>
  <c r="I1561" i="16"/>
  <c r="I1609" i="16"/>
  <c r="I1658" i="16"/>
  <c r="H44" i="16"/>
  <c r="H76" i="16"/>
  <c r="H94" i="16"/>
  <c r="H124" i="16"/>
  <c r="H146" i="16"/>
  <c r="H171" i="16"/>
  <c r="H192" i="16"/>
  <c r="H220" i="16"/>
  <c r="H236" i="16"/>
  <c r="H253" i="16"/>
  <c r="H269" i="16"/>
  <c r="H293" i="16"/>
  <c r="H305" i="16"/>
  <c r="H317" i="16"/>
  <c r="H333" i="16"/>
  <c r="H349" i="16"/>
  <c r="H365" i="16"/>
  <c r="H381" i="16"/>
  <c r="H397" i="16"/>
  <c r="H414" i="16"/>
  <c r="H430" i="16"/>
  <c r="H445" i="16"/>
  <c r="H461" i="16"/>
  <c r="H477" i="16"/>
  <c r="H493" i="16"/>
  <c r="H509" i="16"/>
  <c r="H525" i="16"/>
  <c r="H541" i="16"/>
  <c r="H557" i="16"/>
  <c r="H573" i="16"/>
  <c r="H589" i="16"/>
  <c r="H605" i="16"/>
  <c r="H621" i="16"/>
  <c r="H642" i="16"/>
  <c r="H658" i="16"/>
  <c r="H669" i="16"/>
  <c r="H685" i="16"/>
  <c r="H701" i="16"/>
  <c r="H716" i="16"/>
  <c r="H733" i="16"/>
  <c r="H749" i="16"/>
  <c r="H766" i="16"/>
  <c r="H781" i="16"/>
  <c r="H797" i="16"/>
  <c r="H813" i="16"/>
  <c r="H829" i="16"/>
  <c r="H845" i="16"/>
  <c r="H862" i="16"/>
  <c r="H878" i="16"/>
  <c r="H894" i="16"/>
  <c r="H910" i="16"/>
  <c r="H926" i="16"/>
  <c r="H942" i="16"/>
  <c r="I574" i="16"/>
  <c r="I702" i="16"/>
  <c r="I830" i="16"/>
  <c r="I926" i="16"/>
  <c r="I1006" i="16"/>
  <c r="I1097" i="16"/>
  <c r="I1181" i="16"/>
  <c r="I1262" i="16"/>
  <c r="I1326" i="16"/>
  <c r="I1390" i="16"/>
  <c r="I1454" i="16"/>
  <c r="I1513" i="16"/>
  <c r="I1565" i="16"/>
  <c r="I1610" i="16"/>
  <c r="I564" i="16"/>
  <c r="H45" i="16"/>
  <c r="H77" i="16"/>
  <c r="H103" i="16"/>
  <c r="H125" i="16"/>
  <c r="H149" i="16"/>
  <c r="H172" i="16"/>
  <c r="H194" i="16"/>
  <c r="H221" i="16"/>
  <c r="H237" i="16"/>
  <c r="H254" i="16"/>
  <c r="H270" i="16"/>
  <c r="H294" i="16"/>
  <c r="H306" i="16"/>
  <c r="H318" i="16"/>
  <c r="H334" i="16"/>
  <c r="H350" i="16"/>
  <c r="H366" i="16"/>
  <c r="H382" i="16"/>
  <c r="H398" i="16"/>
  <c r="H415" i="16"/>
  <c r="H429" i="16"/>
  <c r="H446" i="16"/>
  <c r="H462" i="16"/>
  <c r="H478" i="16"/>
  <c r="H494" i="16"/>
  <c r="H510" i="16"/>
  <c r="H526" i="16"/>
  <c r="H542" i="16"/>
  <c r="H558" i="16"/>
  <c r="H574" i="16"/>
  <c r="H590" i="16"/>
  <c r="H606" i="16"/>
  <c r="H622" i="16"/>
  <c r="H643" i="16"/>
  <c r="H659" i="16"/>
  <c r="H670" i="16"/>
  <c r="H686" i="16"/>
  <c r="H702" i="16"/>
  <c r="H717" i="16"/>
  <c r="H734" i="16"/>
  <c r="H750" i="16"/>
  <c r="H767" i="16"/>
  <c r="H782" i="16"/>
  <c r="H798" i="16"/>
  <c r="H814" i="16"/>
  <c r="H830" i="16"/>
  <c r="H846" i="16"/>
  <c r="H863" i="16"/>
  <c r="H879" i="16"/>
  <c r="H895" i="16"/>
  <c r="H911" i="16"/>
  <c r="H927" i="16"/>
  <c r="H943" i="16"/>
  <c r="H970" i="16"/>
  <c r="H975" i="16"/>
  <c r="H990" i="16"/>
  <c r="H1006" i="16"/>
  <c r="H1022" i="16"/>
  <c r="H1039" i="16"/>
  <c r="H1054" i="16"/>
  <c r="H1070" i="16"/>
  <c r="H1086" i="16"/>
  <c r="H1102" i="16"/>
  <c r="H1118" i="16"/>
  <c r="H1134" i="16"/>
  <c r="H1150" i="16"/>
  <c r="H1166" i="16"/>
  <c r="H1182" i="16"/>
  <c r="H1198" i="16"/>
  <c r="H1214" i="16"/>
  <c r="H1230" i="16"/>
  <c r="I589" i="16"/>
  <c r="I716" i="16"/>
  <c r="I845" i="16"/>
  <c r="I927" i="16"/>
  <c r="I1017" i="16"/>
  <c r="I1101" i="16"/>
  <c r="I1182" i="16"/>
  <c r="I1267" i="16"/>
  <c r="I1331" i="16"/>
  <c r="I1395" i="16"/>
  <c r="I1459" i="16"/>
  <c r="I1517" i="16"/>
  <c r="I1566" i="16"/>
  <c r="I1611" i="16"/>
  <c r="I565" i="16"/>
  <c r="H46" i="16"/>
  <c r="H78" i="16"/>
  <c r="H104" i="16"/>
  <c r="H126" i="16"/>
  <c r="H150" i="16"/>
  <c r="H173" i="16"/>
  <c r="H197" i="16"/>
  <c r="H222" i="16"/>
  <c r="H238" i="16"/>
  <c r="H255" i="16"/>
  <c r="H271" i="16"/>
  <c r="H295" i="16"/>
  <c r="H307" i="16"/>
  <c r="H319" i="16"/>
  <c r="H335" i="16"/>
  <c r="H351" i="16"/>
  <c r="H367" i="16"/>
  <c r="H383" i="16"/>
  <c r="H399" i="16"/>
  <c r="H412" i="16"/>
  <c r="H431" i="16"/>
  <c r="H447" i="16"/>
  <c r="H463" i="16"/>
  <c r="H479" i="16"/>
  <c r="H495" i="16"/>
  <c r="H511" i="16"/>
  <c r="H527" i="16"/>
  <c r="H543" i="16"/>
  <c r="H559" i="16"/>
  <c r="H575" i="16"/>
  <c r="H591" i="16"/>
  <c r="H607" i="16"/>
  <c r="H623" i="16"/>
  <c r="H637" i="16"/>
  <c r="H660" i="16"/>
  <c r="H671" i="16"/>
  <c r="H687" i="16"/>
  <c r="H703" i="16"/>
  <c r="H719" i="16"/>
  <c r="H735" i="16"/>
  <c r="H751" i="16"/>
  <c r="H768" i="16"/>
  <c r="H783" i="16"/>
  <c r="H799" i="16"/>
  <c r="H815" i="16"/>
  <c r="H831" i="16"/>
  <c r="H847" i="16"/>
  <c r="H864" i="16"/>
  <c r="H880" i="16"/>
  <c r="H896" i="16"/>
  <c r="H912" i="16"/>
  <c r="H928" i="16"/>
  <c r="H944" i="16"/>
  <c r="H945" i="16"/>
  <c r="H976" i="16"/>
  <c r="H991" i="16"/>
  <c r="H1007" i="16"/>
  <c r="H1023" i="16"/>
  <c r="H1040" i="16"/>
  <c r="H1055" i="16"/>
  <c r="H1071" i="16"/>
  <c r="I590" i="16"/>
  <c r="I717" i="16"/>
  <c r="I846" i="16"/>
  <c r="I938" i="16"/>
  <c r="I1021" i="16"/>
  <c r="I1102" i="16"/>
  <c r="I1193" i="16"/>
  <c r="I1273" i="16"/>
  <c r="I1337" i="16"/>
  <c r="I1401" i="16"/>
  <c r="I1465" i="16"/>
  <c r="I1518" i="16"/>
  <c r="I1567" i="16"/>
  <c r="I1615" i="16"/>
  <c r="H7" i="16"/>
  <c r="H50" i="16"/>
  <c r="H79" i="16"/>
  <c r="H107" i="16"/>
  <c r="H127" i="16"/>
  <c r="H151" i="16"/>
  <c r="H174" i="16"/>
  <c r="H198" i="16"/>
  <c r="H223" i="16"/>
  <c r="H239" i="16"/>
  <c r="H256" i="16"/>
  <c r="H272" i="16"/>
  <c r="H296" i="16"/>
  <c r="H308" i="16"/>
  <c r="H320" i="16"/>
  <c r="H336" i="16"/>
  <c r="H352" i="16"/>
  <c r="H368" i="16"/>
  <c r="H384" i="16"/>
  <c r="H400" i="16"/>
  <c r="H416" i="16"/>
  <c r="H432" i="16"/>
  <c r="H448" i="16"/>
  <c r="H464" i="16"/>
  <c r="H480" i="16"/>
  <c r="H496" i="16"/>
  <c r="H512" i="16"/>
  <c r="H528" i="16"/>
  <c r="H544" i="16"/>
  <c r="H560" i="16"/>
  <c r="H576" i="16"/>
  <c r="H592" i="16"/>
  <c r="H608" i="16"/>
  <c r="H624" i="16"/>
  <c r="H638" i="16"/>
  <c r="H661" i="16"/>
  <c r="H672" i="16"/>
  <c r="H688" i="16"/>
  <c r="H704" i="16"/>
  <c r="H720" i="16"/>
  <c r="H736" i="16"/>
  <c r="H752" i="16"/>
  <c r="H769" i="16"/>
  <c r="H784" i="16"/>
  <c r="H800" i="16"/>
  <c r="H816" i="16"/>
  <c r="H832" i="16"/>
  <c r="H848" i="16"/>
  <c r="H865" i="16"/>
  <c r="H881" i="16"/>
  <c r="H897" i="16"/>
  <c r="H913" i="16"/>
  <c r="H929" i="16"/>
  <c r="H956" i="16"/>
  <c r="H946" i="16"/>
  <c r="H977" i="16"/>
  <c r="H992" i="16"/>
  <c r="H1008" i="16"/>
  <c r="H1024" i="16"/>
  <c r="H1041" i="16"/>
  <c r="H1056" i="16"/>
  <c r="H1072" i="16"/>
  <c r="H1088" i="16"/>
  <c r="H1104" i="16"/>
  <c r="H1120" i="16"/>
  <c r="H1138" i="16"/>
  <c r="H1152" i="16"/>
  <c r="H1168" i="16"/>
  <c r="H1184" i="16"/>
  <c r="H1200" i="16"/>
  <c r="H1216" i="16"/>
  <c r="I605" i="16"/>
  <c r="I733" i="16"/>
  <c r="I858" i="16"/>
  <c r="I942" i="16"/>
  <c r="I1022" i="16"/>
  <c r="I1113" i="16"/>
  <c r="I1197" i="16"/>
  <c r="I1277" i="16"/>
  <c r="I1341" i="16"/>
  <c r="I1405" i="16"/>
  <c r="I1469" i="16"/>
  <c r="I1519" i="16"/>
  <c r="I1571" i="16"/>
  <c r="I1621" i="16"/>
  <c r="H11" i="16"/>
  <c r="H52" i="16"/>
  <c r="H81" i="16"/>
  <c r="H108" i="16"/>
  <c r="H128" i="16"/>
  <c r="H154" i="16"/>
  <c r="H175" i="16"/>
  <c r="H199" i="16"/>
  <c r="H224" i="16"/>
  <c r="H240" i="16"/>
  <c r="H257" i="16"/>
  <c r="H273" i="16"/>
  <c r="H297" i="16"/>
  <c r="H309" i="16"/>
  <c r="H321" i="16"/>
  <c r="H337" i="16"/>
  <c r="H353" i="16"/>
  <c r="H369" i="16"/>
  <c r="H385" i="16"/>
  <c r="H401" i="16"/>
  <c r="H417" i="16"/>
  <c r="H433" i="16"/>
  <c r="H449" i="16"/>
  <c r="H465" i="16"/>
  <c r="H481" i="16"/>
  <c r="H497" i="16"/>
  <c r="H513" i="16"/>
  <c r="H529" i="16"/>
  <c r="H545" i="16"/>
  <c r="H561" i="16"/>
  <c r="H577" i="16"/>
  <c r="H593" i="16"/>
  <c r="H609" i="16"/>
  <c r="H625" i="16"/>
  <c r="H639" i="16"/>
  <c r="H662" i="16"/>
  <c r="H673" i="16"/>
  <c r="H689" i="16"/>
  <c r="H705" i="16"/>
  <c r="H721" i="16"/>
  <c r="H737" i="16"/>
  <c r="H753" i="16"/>
  <c r="H770" i="16"/>
  <c r="H785" i="16"/>
  <c r="H801" i="16"/>
  <c r="H817" i="16"/>
  <c r="H833" i="16"/>
  <c r="H849" i="16"/>
  <c r="H866" i="16"/>
  <c r="H882" i="16"/>
  <c r="H898" i="16"/>
  <c r="H914" i="16"/>
  <c r="H930" i="16"/>
  <c r="H957" i="16"/>
  <c r="H947" i="16"/>
  <c r="H978" i="16"/>
  <c r="H993" i="16"/>
  <c r="H1009" i="16"/>
  <c r="H1025" i="16"/>
  <c r="H1042" i="16"/>
  <c r="H1057" i="16"/>
  <c r="H1073" i="16"/>
  <c r="H1089" i="16"/>
  <c r="H1105" i="16"/>
  <c r="H1121" i="16"/>
  <c r="H1136" i="16"/>
  <c r="H1153" i="16"/>
  <c r="H1169" i="16"/>
  <c r="H1185" i="16"/>
  <c r="H1201" i="16"/>
  <c r="H1217" i="16"/>
  <c r="I606" i="16"/>
  <c r="I734" i="16"/>
  <c r="I862" i="16"/>
  <c r="I943" i="16"/>
  <c r="I1033" i="16"/>
  <c r="I1117" i="16"/>
  <c r="I1198" i="16"/>
  <c r="I1278" i="16"/>
  <c r="I1342" i="16"/>
  <c r="I1406" i="16"/>
  <c r="I1470" i="16"/>
  <c r="I1523" i="16"/>
  <c r="I1578" i="16"/>
  <c r="I1625" i="16"/>
  <c r="H12" i="16"/>
  <c r="H55" i="16"/>
  <c r="H83" i="16"/>
  <c r="H109" i="16"/>
  <c r="H130" i="16"/>
  <c r="H155" i="16"/>
  <c r="H176" i="16"/>
  <c r="H202" i="16"/>
  <c r="H225" i="16"/>
  <c r="H241" i="16"/>
  <c r="H258" i="16"/>
  <c r="H274" i="16"/>
  <c r="H298" i="16"/>
  <c r="H310" i="16"/>
  <c r="H322" i="16"/>
  <c r="H338" i="16"/>
  <c r="H355" i="16"/>
  <c r="H370" i="16"/>
  <c r="H386" i="16"/>
  <c r="H402" i="16"/>
  <c r="H418" i="16"/>
  <c r="H434" i="16"/>
  <c r="H450" i="16"/>
  <c r="H466" i="16"/>
  <c r="H485" i="16"/>
  <c r="H498" i="16"/>
  <c r="H514" i="16"/>
  <c r="H530" i="16"/>
  <c r="H546" i="16"/>
  <c r="H562" i="16"/>
  <c r="H578" i="16"/>
  <c r="H594" i="16"/>
  <c r="H610" i="16"/>
  <c r="H626" i="16"/>
  <c r="H640" i="16"/>
  <c r="H663" i="16"/>
  <c r="H674" i="16"/>
  <c r="H690" i="16"/>
  <c r="H706" i="16"/>
  <c r="H722" i="16"/>
  <c r="H738" i="16"/>
  <c r="H754" i="16"/>
  <c r="H771" i="16"/>
  <c r="H786" i="16"/>
  <c r="H802" i="16"/>
  <c r="H818" i="16"/>
  <c r="H834" i="16"/>
  <c r="H850" i="16"/>
  <c r="H867" i="16"/>
  <c r="H883" i="16"/>
  <c r="H899" i="16"/>
  <c r="H915" i="16"/>
  <c r="H931" i="16"/>
  <c r="H958" i="16"/>
  <c r="H948" i="16"/>
  <c r="I621" i="16"/>
  <c r="I749" i="16"/>
  <c r="I863" i="16"/>
  <c r="I965" i="16"/>
  <c r="I1038" i="16"/>
  <c r="I1118" i="16"/>
  <c r="I1209" i="16"/>
  <c r="I1283" i="16"/>
  <c r="I1347" i="16"/>
  <c r="I1411" i="16"/>
  <c r="I1475" i="16"/>
  <c r="I1529" i="16"/>
  <c r="I1581" i="16"/>
  <c r="I1626" i="16"/>
  <c r="H13" i="16"/>
  <c r="H56" i="16"/>
  <c r="H86" i="16"/>
  <c r="H110" i="16"/>
  <c r="H134" i="16"/>
  <c r="H156" i="16"/>
  <c r="H178" i="16"/>
  <c r="H203" i="16"/>
  <c r="H226" i="16"/>
  <c r="H242" i="16"/>
  <c r="H259" i="16"/>
  <c r="H275" i="16"/>
  <c r="H299" i="16"/>
  <c r="H311" i="16"/>
  <c r="H323" i="16"/>
  <c r="H339" i="16"/>
  <c r="H356" i="16"/>
  <c r="H371" i="16"/>
  <c r="H387" i="16"/>
  <c r="H403" i="16"/>
  <c r="H419" i="16"/>
  <c r="H435" i="16"/>
  <c r="H451" i="16"/>
  <c r="H467" i="16"/>
  <c r="H482" i="16"/>
  <c r="H499" i="16"/>
  <c r="H515" i="16"/>
  <c r="H531" i="16"/>
  <c r="H547" i="16"/>
  <c r="H563" i="16"/>
  <c r="H579" i="16"/>
  <c r="H595" i="16"/>
  <c r="H611" i="16"/>
  <c r="H627" i="16"/>
  <c r="H644" i="16"/>
  <c r="H664" i="16"/>
  <c r="H675" i="16"/>
  <c r="H691" i="16"/>
  <c r="H707" i="16"/>
  <c r="H723" i="16"/>
  <c r="H739" i="16"/>
  <c r="H755" i="16"/>
  <c r="H772" i="16"/>
  <c r="H790" i="16"/>
  <c r="H803" i="16"/>
  <c r="H819" i="16"/>
  <c r="H835" i="16"/>
  <c r="H851" i="16"/>
  <c r="H868" i="16"/>
  <c r="H884" i="16"/>
  <c r="H900" i="16"/>
  <c r="H916" i="16"/>
  <c r="H932" i="16"/>
  <c r="H959" i="16"/>
  <c r="H949" i="16"/>
  <c r="H856" i="16"/>
  <c r="H995" i="16"/>
  <c r="H1011" i="16"/>
  <c r="H1027" i="16"/>
  <c r="H1044" i="16"/>
  <c r="H1059" i="16"/>
  <c r="H1075" i="16"/>
  <c r="H1091" i="16"/>
  <c r="H1107" i="16"/>
  <c r="H1123" i="16"/>
  <c r="H1139" i="16"/>
  <c r="H1155" i="16"/>
  <c r="H1171" i="16"/>
  <c r="H1187" i="16"/>
  <c r="H1203" i="16"/>
  <c r="I622" i="16"/>
  <c r="I750" i="16"/>
  <c r="I874" i="16"/>
  <c r="I969" i="16"/>
  <c r="I1039" i="16"/>
  <c r="I1129" i="16"/>
  <c r="I1213" i="16"/>
  <c r="I1289" i="16"/>
  <c r="I1353" i="16"/>
  <c r="I1417" i="16"/>
  <c r="I1481" i="16"/>
  <c r="I1533" i="16"/>
  <c r="I1582" i="16"/>
  <c r="I1627" i="16"/>
  <c r="H17" i="16"/>
  <c r="H60" i="16"/>
  <c r="H87" i="16"/>
  <c r="H111" i="16"/>
  <c r="H135" i="16"/>
  <c r="H157" i="16"/>
  <c r="H181" i="16"/>
  <c r="H204" i="16"/>
  <c r="H214" i="16"/>
  <c r="H243" i="16"/>
  <c r="H260" i="16"/>
  <c r="H276" i="16"/>
  <c r="H300" i="16"/>
  <c r="H288" i="16"/>
  <c r="H324" i="16"/>
  <c r="H344" i="16"/>
  <c r="H357" i="16"/>
  <c r="H372" i="16"/>
  <c r="H388" i="16"/>
  <c r="H404" i="16"/>
  <c r="H420" i="16"/>
  <c r="H436" i="16"/>
  <c r="H452" i="16"/>
  <c r="H468" i="16"/>
  <c r="H483" i="16"/>
  <c r="H500" i="16"/>
  <c r="H516" i="16"/>
  <c r="H532" i="16"/>
  <c r="H548" i="16"/>
  <c r="H564" i="16"/>
  <c r="H580" i="16"/>
  <c r="H596" i="16"/>
  <c r="H612" i="16"/>
  <c r="H628" i="16"/>
  <c r="H641" i="16"/>
  <c r="H653" i="16"/>
  <c r="H676" i="16"/>
  <c r="H692" i="16"/>
  <c r="H708" i="16"/>
  <c r="H724" i="16"/>
  <c r="H740" i="16"/>
  <c r="H756" i="16"/>
  <c r="H773" i="16"/>
  <c r="H791" i="16"/>
  <c r="H804" i="16"/>
  <c r="H820" i="16"/>
  <c r="I643" i="16"/>
  <c r="I767" i="16"/>
  <c r="I879" i="16"/>
  <c r="I954" i="16"/>
  <c r="I1053" i="16"/>
  <c r="I1134" i="16"/>
  <c r="I1225" i="16"/>
  <c r="I1294" i="16"/>
  <c r="I1358" i="16"/>
  <c r="I1422" i="16"/>
  <c r="I1486" i="16"/>
  <c r="I1535" i="16"/>
  <c r="I1588" i="16"/>
  <c r="I1639" i="16"/>
  <c r="H23" i="16"/>
  <c r="H62" i="16"/>
  <c r="H92" i="16"/>
  <c r="H40" i="16"/>
  <c r="H139" i="16"/>
  <c r="H159" i="16"/>
  <c r="H183" i="16"/>
  <c r="H206" i="16"/>
  <c r="H229" i="16"/>
  <c r="H246" i="16"/>
  <c r="H262" i="16"/>
  <c r="H278" i="16"/>
  <c r="H302" i="16"/>
  <c r="H313" i="16"/>
  <c r="H326" i="16"/>
  <c r="H341" i="16"/>
  <c r="H358" i="16"/>
  <c r="H374" i="16"/>
  <c r="H390" i="16"/>
  <c r="H406" i="16"/>
  <c r="H422" i="16"/>
  <c r="H438" i="16"/>
  <c r="H454" i="16"/>
  <c r="H470" i="16"/>
  <c r="H486" i="16"/>
  <c r="H502" i="16"/>
  <c r="H518" i="16"/>
  <c r="H534" i="16"/>
  <c r="H550" i="16"/>
  <c r="H566" i="16"/>
  <c r="H582" i="16"/>
  <c r="H598" i="16"/>
  <c r="H614" i="16"/>
  <c r="H630" i="16"/>
  <c r="H646" i="16"/>
  <c r="H655" i="16"/>
  <c r="H678" i="16"/>
  <c r="H694" i="16"/>
  <c r="H710" i="16"/>
  <c r="H726" i="16"/>
  <c r="H742" i="16"/>
  <c r="H759" i="16"/>
  <c r="H775" i="16"/>
  <c r="H793" i="16"/>
  <c r="H806" i="16"/>
  <c r="H822" i="16"/>
  <c r="H838" i="16"/>
  <c r="H854" i="16"/>
  <c r="H871" i="16"/>
  <c r="H887" i="16"/>
  <c r="H903" i="16"/>
  <c r="H919" i="16"/>
  <c r="H935" i="16"/>
  <c r="H962" i="16"/>
  <c r="H951" i="16"/>
  <c r="I1485" i="16"/>
  <c r="H301" i="16"/>
  <c r="H549" i="16"/>
  <c r="H709" i="16"/>
  <c r="H836" i="16"/>
  <c r="H918" i="16"/>
  <c r="H973" i="16"/>
  <c r="H1002" i="16"/>
  <c r="H1032" i="16"/>
  <c r="H1061" i="16"/>
  <c r="H1087" i="16"/>
  <c r="H1113" i="16"/>
  <c r="H1137" i="16"/>
  <c r="H1160" i="16"/>
  <c r="H1183" i="16"/>
  <c r="H1207" i="16"/>
  <c r="H1227" i="16"/>
  <c r="H1244" i="16"/>
  <c r="H1260" i="16"/>
  <c r="H1276" i="16"/>
  <c r="H1292" i="16"/>
  <c r="H1308" i="16"/>
  <c r="H1324" i="16"/>
  <c r="H1340" i="16"/>
  <c r="H1356" i="16"/>
  <c r="H1372" i="16"/>
  <c r="H1388" i="16"/>
  <c r="H1404" i="16"/>
  <c r="H1420" i="16"/>
  <c r="H1436" i="16"/>
  <c r="H1452" i="16"/>
  <c r="H1468" i="16"/>
  <c r="H1484" i="16"/>
  <c r="H1500" i="16"/>
  <c r="H1516" i="16"/>
  <c r="H1532" i="16"/>
  <c r="H1548" i="16"/>
  <c r="H1564" i="16"/>
  <c r="H1580" i="16"/>
  <c r="H1597" i="16"/>
  <c r="H1608" i="16"/>
  <c r="H1624" i="16"/>
  <c r="H1642" i="16"/>
  <c r="H1656" i="16"/>
  <c r="F1655" i="16"/>
  <c r="H954" i="16"/>
  <c r="I1534" i="16"/>
  <c r="H312" i="16"/>
  <c r="H565" i="16"/>
  <c r="H718" i="16"/>
  <c r="H837" i="16"/>
  <c r="H922" i="16"/>
  <c r="H974" i="16"/>
  <c r="H1004" i="16"/>
  <c r="H1033" i="16"/>
  <c r="H1062" i="16"/>
  <c r="H1090" i="16"/>
  <c r="H1114" i="16"/>
  <c r="H1140" i="16"/>
  <c r="H1161" i="16"/>
  <c r="H1186" i="16"/>
  <c r="H1208" i="16"/>
  <c r="H1228" i="16"/>
  <c r="H1245" i="16"/>
  <c r="H1261" i="16"/>
  <c r="H1277" i="16"/>
  <c r="H1293" i="16"/>
  <c r="H1309" i="16"/>
  <c r="H1325" i="16"/>
  <c r="H1341" i="16"/>
  <c r="H1357" i="16"/>
  <c r="H1373" i="16"/>
  <c r="H1389" i="16"/>
  <c r="H1405" i="16"/>
  <c r="H1421" i="16"/>
  <c r="H1437" i="16"/>
  <c r="H1453" i="16"/>
  <c r="H1469" i="16"/>
  <c r="H1485" i="16"/>
  <c r="H1501" i="16"/>
  <c r="H1517" i="16"/>
  <c r="H1533" i="16"/>
  <c r="H1549" i="16"/>
  <c r="H1565" i="16"/>
  <c r="H1581" i="16"/>
  <c r="H1598" i="16"/>
  <c r="H1609" i="16"/>
  <c r="H1625" i="16"/>
  <c r="H1643" i="16"/>
  <c r="H1657" i="16"/>
  <c r="H1001" i="16"/>
  <c r="I1584" i="16"/>
  <c r="H325" i="16"/>
  <c r="H581" i="16"/>
  <c r="H725" i="16"/>
  <c r="H841" i="16"/>
  <c r="H925" i="16"/>
  <c r="H979" i="16"/>
  <c r="H1005" i="16"/>
  <c r="H1034" i="16"/>
  <c r="H1064" i="16"/>
  <c r="H1092" i="16"/>
  <c r="H1116" i="16"/>
  <c r="H1141" i="16"/>
  <c r="H1162" i="16"/>
  <c r="H1188" i="16"/>
  <c r="H1209" i="16"/>
  <c r="H1229" i="16"/>
  <c r="H1246" i="16"/>
  <c r="H1262" i="16"/>
  <c r="H1278" i="16"/>
  <c r="H1294" i="16"/>
  <c r="H1310" i="16"/>
  <c r="H1326" i="16"/>
  <c r="H1342" i="16"/>
  <c r="H1358" i="16"/>
  <c r="H1374" i="16"/>
  <c r="H1390" i="16"/>
  <c r="H1406" i="16"/>
  <c r="H1422" i="16"/>
  <c r="H1438" i="16"/>
  <c r="H1454" i="16"/>
  <c r="H1470" i="16"/>
  <c r="H1486" i="16"/>
  <c r="H1502" i="16"/>
  <c r="H1518" i="16"/>
  <c r="H1534" i="16"/>
  <c r="H1550" i="16"/>
  <c r="H1566" i="16"/>
  <c r="H1582" i="16"/>
  <c r="H1583" i="16"/>
  <c r="H1610" i="16"/>
  <c r="H1626" i="16"/>
  <c r="H1644" i="16"/>
  <c r="H1658" i="16"/>
  <c r="N1655" i="16"/>
  <c r="H1030" i="16"/>
  <c r="I1631" i="16"/>
  <c r="H340" i="16"/>
  <c r="H597" i="16"/>
  <c r="H729" i="16"/>
  <c r="H852" i="16"/>
  <c r="H933" i="16"/>
  <c r="H980" i="16"/>
  <c r="H1010" i="16"/>
  <c r="H1037" i="16"/>
  <c r="H1065" i="16"/>
  <c r="H1093" i="16"/>
  <c r="H1117" i="16"/>
  <c r="H1142" i="16"/>
  <c r="H1164" i="16"/>
  <c r="H1189" i="16"/>
  <c r="H1210" i="16"/>
  <c r="H1231" i="16"/>
  <c r="H1248" i="16"/>
  <c r="H1263" i="16"/>
  <c r="H1279" i="16"/>
  <c r="H1295" i="16"/>
  <c r="H1311" i="16"/>
  <c r="H1327" i="16"/>
  <c r="H1343" i="16"/>
  <c r="H1359" i="16"/>
  <c r="H1375" i="16"/>
  <c r="H1391" i="16"/>
  <c r="H1407" i="16"/>
  <c r="H1423" i="16"/>
  <c r="H1439" i="16"/>
  <c r="H1455" i="16"/>
  <c r="H1471" i="16"/>
  <c r="H1487" i="16"/>
  <c r="H1503" i="16"/>
  <c r="H1519" i="16"/>
  <c r="H1535" i="16"/>
  <c r="H1551" i="16"/>
  <c r="H1567" i="16"/>
  <c r="H1584" i="16"/>
  <c r="H1599" i="16"/>
  <c r="H1611" i="16"/>
  <c r="H1627" i="16"/>
  <c r="H1645" i="16"/>
  <c r="F1651" i="16"/>
  <c r="F1656" i="16"/>
  <c r="H1060" i="16"/>
  <c r="H1181" i="16"/>
  <c r="H1307" i="16"/>
  <c r="H1435" i="16"/>
  <c r="H1547" i="16"/>
  <c r="H19" i="16"/>
  <c r="H354" i="16"/>
  <c r="H613" i="16"/>
  <c r="H741" i="16"/>
  <c r="H853" i="16"/>
  <c r="H934" i="16"/>
  <c r="H981" i="16"/>
  <c r="H1012" i="16"/>
  <c r="H1038" i="16"/>
  <c r="H1066" i="16"/>
  <c r="H1094" i="16"/>
  <c r="H1119" i="16"/>
  <c r="H1143" i="16"/>
  <c r="H1165" i="16"/>
  <c r="H1190" i="16"/>
  <c r="H1212" i="16"/>
  <c r="H1232" i="16"/>
  <c r="H1249" i="16"/>
  <c r="H1264" i="16"/>
  <c r="H1280" i="16"/>
  <c r="H1296" i="16"/>
  <c r="H1312" i="16"/>
  <c r="H1328" i="16"/>
  <c r="H1344" i="16"/>
  <c r="H1360" i="16"/>
  <c r="H1376" i="16"/>
  <c r="H1392" i="16"/>
  <c r="H1408" i="16"/>
  <c r="H1424" i="16"/>
  <c r="H1440" i="16"/>
  <c r="H1456" i="16"/>
  <c r="H1472" i="16"/>
  <c r="H1488" i="16"/>
  <c r="H1504" i="16"/>
  <c r="H1520" i="16"/>
  <c r="H1536" i="16"/>
  <c r="H1552" i="16"/>
  <c r="H1568" i="16"/>
  <c r="H1585" i="16"/>
  <c r="H1600" i="16"/>
  <c r="H1612" i="16"/>
  <c r="H1628" i="16"/>
  <c r="H1646" i="16"/>
  <c r="H917" i="16"/>
  <c r="H61" i="16"/>
  <c r="H373" i="16"/>
  <c r="H617" i="16"/>
  <c r="H745" i="16"/>
  <c r="H858" i="16"/>
  <c r="H938" i="16"/>
  <c r="H982" i="16"/>
  <c r="H1013" i="16"/>
  <c r="H1043" i="16"/>
  <c r="H1068" i="16"/>
  <c r="H1096" i="16"/>
  <c r="H1122" i="16"/>
  <c r="H1144" i="16"/>
  <c r="H1167" i="16"/>
  <c r="H1191" i="16"/>
  <c r="H1213" i="16"/>
  <c r="H1233" i="16"/>
  <c r="H1250" i="16"/>
  <c r="H1265" i="16"/>
  <c r="H1281" i="16"/>
  <c r="H1297" i="16"/>
  <c r="H1313" i="16"/>
  <c r="H1329" i="16"/>
  <c r="H1345" i="16"/>
  <c r="H1361" i="16"/>
  <c r="H1377" i="16"/>
  <c r="H1393" i="16"/>
  <c r="H1409" i="16"/>
  <c r="H1425" i="16"/>
  <c r="H1441" i="16"/>
  <c r="H1457" i="16"/>
  <c r="H1473" i="16"/>
  <c r="H1489" i="16"/>
  <c r="H1505" i="16"/>
  <c r="H1521" i="16"/>
  <c r="H1537" i="16"/>
  <c r="H1553" i="16"/>
  <c r="H1569" i="16"/>
  <c r="H1586" i="16"/>
  <c r="H1601" i="16"/>
  <c r="H1613" i="16"/>
  <c r="H1629" i="16"/>
  <c r="H1647" i="16"/>
  <c r="N1651" i="16"/>
  <c r="O1651" i="16" s="1"/>
  <c r="L1651" i="16" s="1"/>
  <c r="A1651" i="16" s="1"/>
  <c r="N1656" i="16"/>
  <c r="H825" i="16"/>
  <c r="H1159" i="16"/>
  <c r="H1275" i="16"/>
  <c r="H1403" i="16"/>
  <c r="H1483" i="16"/>
  <c r="H1623" i="16"/>
  <c r="I642" i="16"/>
  <c r="H91" i="16"/>
  <c r="H389" i="16"/>
  <c r="H629" i="16"/>
  <c r="H757" i="16"/>
  <c r="H869" i="16"/>
  <c r="H941" i="16"/>
  <c r="H984" i="16"/>
  <c r="H1014" i="16"/>
  <c r="H1035" i="16"/>
  <c r="H1069" i="16"/>
  <c r="H1097" i="16"/>
  <c r="H1124" i="16"/>
  <c r="H1145" i="16"/>
  <c r="H1170" i="16"/>
  <c r="H1192" i="16"/>
  <c r="H1215" i="16"/>
  <c r="H1234" i="16"/>
  <c r="H1251" i="16"/>
  <c r="H1266" i="16"/>
  <c r="H1282" i="16"/>
  <c r="H1298" i="16"/>
  <c r="H1314" i="16"/>
  <c r="H1330" i="16"/>
  <c r="H1346" i="16"/>
  <c r="H1362" i="16"/>
  <c r="H1378" i="16"/>
  <c r="H1394" i="16"/>
  <c r="H1410" i="16"/>
  <c r="H1426" i="16"/>
  <c r="H1442" i="16"/>
  <c r="H1458" i="16"/>
  <c r="H1474" i="16"/>
  <c r="H1490" i="16"/>
  <c r="H1506" i="16"/>
  <c r="H1522" i="16"/>
  <c r="H1538" i="16"/>
  <c r="H1554" i="16"/>
  <c r="H1570" i="16"/>
  <c r="H1587" i="16"/>
  <c r="H1602" i="16"/>
  <c r="H1614" i="16"/>
  <c r="H1630" i="16"/>
  <c r="H1648" i="16"/>
  <c r="F1652" i="16"/>
  <c r="F1657" i="16"/>
  <c r="H533" i="16"/>
  <c r="H1206" i="16"/>
  <c r="H1323" i="16"/>
  <c r="H1419" i="16"/>
  <c r="H1563" i="16"/>
  <c r="H1655" i="16"/>
  <c r="I766" i="16"/>
  <c r="H112" i="16"/>
  <c r="H405" i="16"/>
  <c r="H633" i="16"/>
  <c r="H762" i="16"/>
  <c r="H870" i="16"/>
  <c r="H960" i="16"/>
  <c r="H985" i="16"/>
  <c r="H1016" i="16"/>
  <c r="H1045" i="16"/>
  <c r="H1074" i="16"/>
  <c r="H1098" i="16"/>
  <c r="H1125" i="16"/>
  <c r="H1146" i="16"/>
  <c r="H1172" i="16"/>
  <c r="H1193" i="16"/>
  <c r="H1218" i="16"/>
  <c r="H1235" i="16"/>
  <c r="H1252" i="16"/>
  <c r="H1267" i="16"/>
  <c r="H1283" i="16"/>
  <c r="H1299" i="16"/>
  <c r="H1315" i="16"/>
  <c r="H1331" i="16"/>
  <c r="H1347" i="16"/>
  <c r="H1363" i="16"/>
  <c r="H1379" i="16"/>
  <c r="H1395" i="16"/>
  <c r="H1411" i="16"/>
  <c r="H1427" i="16"/>
  <c r="H1443" i="16"/>
  <c r="H1459" i="16"/>
  <c r="H1475" i="16"/>
  <c r="H1491" i="16"/>
  <c r="H1507" i="16"/>
  <c r="H1523" i="16"/>
  <c r="H1539" i="16"/>
  <c r="H1555" i="16"/>
  <c r="H1571" i="16"/>
  <c r="H1588" i="16"/>
  <c r="H1603" i="16"/>
  <c r="H1615" i="16"/>
  <c r="H1631" i="16"/>
  <c r="H1649" i="16"/>
  <c r="H697" i="16"/>
  <c r="H1135" i="16"/>
  <c r="H1291" i="16"/>
  <c r="H1387" i="16"/>
  <c r="H1499" i="16"/>
  <c r="H1607" i="16"/>
  <c r="I878" i="16"/>
  <c r="H136" i="16"/>
  <c r="H421" i="16"/>
  <c r="H645" i="16"/>
  <c r="H774" i="16"/>
  <c r="H874" i="16"/>
  <c r="H961" i="16"/>
  <c r="H988" i="16"/>
  <c r="H1017" i="16"/>
  <c r="H1046" i="16"/>
  <c r="H1076" i="16"/>
  <c r="H1100" i="16"/>
  <c r="H1126" i="16"/>
  <c r="H1148" i="16"/>
  <c r="H1173" i="16"/>
  <c r="H1194" i="16"/>
  <c r="H1219" i="16"/>
  <c r="H1236" i="16"/>
  <c r="H1253" i="16"/>
  <c r="H1268" i="16"/>
  <c r="H1284" i="16"/>
  <c r="H1300" i="16"/>
  <c r="H1316" i="16"/>
  <c r="H1332" i="16"/>
  <c r="H1348" i="16"/>
  <c r="H1364" i="16"/>
  <c r="H1380" i="16"/>
  <c r="H1396" i="16"/>
  <c r="H1412" i="16"/>
  <c r="H1428" i="16"/>
  <c r="H1444" i="16"/>
  <c r="H1460" i="16"/>
  <c r="H1476" i="16"/>
  <c r="H1492" i="16"/>
  <c r="H1508" i="16"/>
  <c r="H1524" i="16"/>
  <c r="H1540" i="16"/>
  <c r="H1556" i="16"/>
  <c r="H1572" i="16"/>
  <c r="H1589" i="16"/>
  <c r="H2006" i="16"/>
  <c r="H1616" i="16"/>
  <c r="H1632" i="16"/>
  <c r="H1650" i="16"/>
  <c r="N1652" i="16"/>
  <c r="N1657" i="16"/>
  <c r="H277" i="16"/>
  <c r="I970" i="16"/>
  <c r="H158" i="16"/>
  <c r="H437" i="16"/>
  <c r="H649" i="16"/>
  <c r="H777" i="16"/>
  <c r="H885" i="16"/>
  <c r="H965" i="16"/>
  <c r="H989" i="16"/>
  <c r="H1018" i="16"/>
  <c r="H1048" i="16"/>
  <c r="H1077" i="16"/>
  <c r="H1101" i="16"/>
  <c r="H1127" i="16"/>
  <c r="H1149" i="16"/>
  <c r="H1174" i="16"/>
  <c r="H1196" i="16"/>
  <c r="H1220" i="16"/>
  <c r="H1237" i="16"/>
  <c r="H1254" i="16"/>
  <c r="H1269" i="16"/>
  <c r="H1285" i="16"/>
  <c r="H1301" i="16"/>
  <c r="H1317" i="16"/>
  <c r="H1333" i="16"/>
  <c r="H1349" i="16"/>
  <c r="H1365" i="16"/>
  <c r="H1381" i="16"/>
  <c r="H1397" i="16"/>
  <c r="H1413" i="16"/>
  <c r="H1429" i="16"/>
  <c r="H1445" i="16"/>
  <c r="H1461" i="16"/>
  <c r="H1477" i="16"/>
  <c r="H1493" i="16"/>
  <c r="H1509" i="16"/>
  <c r="H1525" i="16"/>
  <c r="H1541" i="16"/>
  <c r="H1557" i="16"/>
  <c r="H1573" i="16"/>
  <c r="H1590" i="16"/>
  <c r="H2007" i="16"/>
  <c r="H1617" i="16"/>
  <c r="H1633" i="16"/>
  <c r="H1635" i="16"/>
  <c r="F1653" i="16"/>
  <c r="I1049" i="16"/>
  <c r="H182" i="16"/>
  <c r="H453" i="16"/>
  <c r="H654" i="16"/>
  <c r="H792" i="16"/>
  <c r="H886" i="16"/>
  <c r="H968" i="16"/>
  <c r="H994" i="16"/>
  <c r="H1020" i="16"/>
  <c r="H1049" i="16"/>
  <c r="H1078" i="16"/>
  <c r="H1103" i="16"/>
  <c r="H1128" i="16"/>
  <c r="H1151" i="16"/>
  <c r="H1175" i="16"/>
  <c r="H1197" i="16"/>
  <c r="H1221" i="16"/>
  <c r="H1238" i="16"/>
  <c r="H1255" i="16"/>
  <c r="H1270" i="16"/>
  <c r="H1286" i="16"/>
  <c r="H1302" i="16"/>
  <c r="H1318" i="16"/>
  <c r="H1334" i="16"/>
  <c r="H1350" i="16"/>
  <c r="H1366" i="16"/>
  <c r="H1382" i="16"/>
  <c r="H1398" i="16"/>
  <c r="H1414" i="16"/>
  <c r="H1430" i="16"/>
  <c r="H1446" i="16"/>
  <c r="H1462" i="16"/>
  <c r="H1478" i="16"/>
  <c r="H1494" i="16"/>
  <c r="H1510" i="16"/>
  <c r="H1526" i="16"/>
  <c r="H1542" i="16"/>
  <c r="H1558" i="16"/>
  <c r="H1574" i="16"/>
  <c r="H1591" i="16"/>
  <c r="H2008" i="16"/>
  <c r="H1618" i="16"/>
  <c r="H1634" i="16"/>
  <c r="H1636" i="16"/>
  <c r="F1658" i="16"/>
  <c r="H1085" i="16"/>
  <c r="H1243" i="16"/>
  <c r="H1339" i="16"/>
  <c r="H1451" i="16"/>
  <c r="H1577" i="16"/>
  <c r="I1133" i="16"/>
  <c r="H205" i="16"/>
  <c r="H469" i="16"/>
  <c r="H665" i="16"/>
  <c r="H788" i="16"/>
  <c r="H890" i="16"/>
  <c r="H969" i="16"/>
  <c r="H996" i="16"/>
  <c r="H1021" i="16"/>
  <c r="H1050" i="16"/>
  <c r="H1080" i="16"/>
  <c r="H1106" i="16"/>
  <c r="H1129" i="16"/>
  <c r="H1154" i="16"/>
  <c r="H1176" i="16"/>
  <c r="H1199" i="16"/>
  <c r="H1222" i="16"/>
  <c r="H1239" i="16"/>
  <c r="H1256" i="16"/>
  <c r="H1271" i="16"/>
  <c r="H1287" i="16"/>
  <c r="H1303" i="16"/>
  <c r="H1319" i="16"/>
  <c r="H1335" i="16"/>
  <c r="H1351" i="16"/>
  <c r="H1367" i="16"/>
  <c r="H1383" i="16"/>
  <c r="H1399" i="16"/>
  <c r="H1415" i="16"/>
  <c r="H1431" i="16"/>
  <c r="H1447" i="16"/>
  <c r="H1463" i="16"/>
  <c r="H1479" i="16"/>
  <c r="H1495" i="16"/>
  <c r="H1511" i="16"/>
  <c r="H1527" i="16"/>
  <c r="H1543" i="16"/>
  <c r="H1559" i="16"/>
  <c r="H1575" i="16"/>
  <c r="H1592" i="16"/>
  <c r="H2009" i="16"/>
  <c r="H1619" i="16"/>
  <c r="H1637" i="16"/>
  <c r="H1651" i="16"/>
  <c r="N1653" i="16"/>
  <c r="O1653" i="16" s="1"/>
  <c r="L1653" i="16" s="1"/>
  <c r="A1653" i="16" s="1"/>
  <c r="H1112" i="16"/>
  <c r="H1259" i="16"/>
  <c r="H1371" i="16"/>
  <c r="H1515" i="16"/>
  <c r="H1641" i="16"/>
  <c r="I1214" i="16"/>
  <c r="H215" i="16"/>
  <c r="H484" i="16"/>
  <c r="H677" i="16"/>
  <c r="H805" i="16"/>
  <c r="H901" i="16"/>
  <c r="H971" i="16"/>
  <c r="H997" i="16"/>
  <c r="H1026" i="16"/>
  <c r="H1052" i="16"/>
  <c r="H1081" i="16"/>
  <c r="H1108" i="16"/>
  <c r="H1130" i="16"/>
  <c r="H1156" i="16"/>
  <c r="H1177" i="16"/>
  <c r="H1202" i="16"/>
  <c r="H1223" i="16"/>
  <c r="H1240" i="16"/>
  <c r="H1257" i="16"/>
  <c r="H1272" i="16"/>
  <c r="H1288" i="16"/>
  <c r="H1304" i="16"/>
  <c r="H1320" i="16"/>
  <c r="H1336" i="16"/>
  <c r="H1352" i="16"/>
  <c r="H1368" i="16"/>
  <c r="H1384" i="16"/>
  <c r="H1400" i="16"/>
  <c r="H1416" i="16"/>
  <c r="H1432" i="16"/>
  <c r="H1448" i="16"/>
  <c r="H1464" i="16"/>
  <c r="H1480" i="16"/>
  <c r="H1496" i="16"/>
  <c r="H1512" i="16"/>
  <c r="H1528" i="16"/>
  <c r="H1544" i="16"/>
  <c r="H1560" i="16"/>
  <c r="H1576" i="16"/>
  <c r="H1593" i="16"/>
  <c r="H1604" i="16"/>
  <c r="H1620" i="16"/>
  <c r="H1638" i="16"/>
  <c r="H1652" i="16"/>
  <c r="F1654" i="16"/>
  <c r="N1658" i="16"/>
  <c r="I1293" i="16"/>
  <c r="H245" i="16"/>
  <c r="H501" i="16"/>
  <c r="H681" i="16"/>
  <c r="H809" i="16"/>
  <c r="H902" i="16"/>
  <c r="H950" i="16"/>
  <c r="H998" i="16"/>
  <c r="H1028" i="16"/>
  <c r="H1053" i="16"/>
  <c r="H1082" i="16"/>
  <c r="H1109" i="16"/>
  <c r="H1132" i="16"/>
  <c r="H1157" i="16"/>
  <c r="H1178" i="16"/>
  <c r="H1204" i="16"/>
  <c r="H1224" i="16"/>
  <c r="H1241" i="16"/>
  <c r="H1258" i="16"/>
  <c r="H1273" i="16"/>
  <c r="H1289" i="16"/>
  <c r="H1305" i="16"/>
  <c r="H1321" i="16"/>
  <c r="H1337" i="16"/>
  <c r="H1353" i="16"/>
  <c r="H1369" i="16"/>
  <c r="H1385" i="16"/>
  <c r="H1401" i="16"/>
  <c r="H1417" i="16"/>
  <c r="H1433" i="16"/>
  <c r="H1449" i="16"/>
  <c r="H1465" i="16"/>
  <c r="H1481" i="16"/>
  <c r="H1497" i="16"/>
  <c r="H1513" i="16"/>
  <c r="H1529" i="16"/>
  <c r="H1545" i="16"/>
  <c r="H1561" i="16"/>
  <c r="H1578" i="16"/>
  <c r="H1594" i="16"/>
  <c r="H1605" i="16"/>
  <c r="H1621" i="16"/>
  <c r="H1639" i="16"/>
  <c r="H1653" i="16"/>
  <c r="H1531" i="16"/>
  <c r="I1357" i="16"/>
  <c r="H261" i="16"/>
  <c r="H517" i="16"/>
  <c r="H693" i="16"/>
  <c r="H821" i="16"/>
  <c r="H906" i="16"/>
  <c r="H953" i="16"/>
  <c r="H1000" i="16"/>
  <c r="H1029" i="16"/>
  <c r="H1058" i="16"/>
  <c r="H1084" i="16"/>
  <c r="H1110" i="16"/>
  <c r="H1133" i="16"/>
  <c r="H1158" i="16"/>
  <c r="H1180" i="16"/>
  <c r="H1205" i="16"/>
  <c r="H1225" i="16"/>
  <c r="H1242" i="16"/>
  <c r="H1247" i="16"/>
  <c r="H1274" i="16"/>
  <c r="H1290" i="16"/>
  <c r="H1306" i="16"/>
  <c r="H1322" i="16"/>
  <c r="H1338" i="16"/>
  <c r="H1354" i="16"/>
  <c r="H1370" i="16"/>
  <c r="H1386" i="16"/>
  <c r="H1402" i="16"/>
  <c r="H1418" i="16"/>
  <c r="H1434" i="16"/>
  <c r="H1450" i="16"/>
  <c r="H1466" i="16"/>
  <c r="H1482" i="16"/>
  <c r="H1498" i="16"/>
  <c r="H1514" i="16"/>
  <c r="H1530" i="16"/>
  <c r="H1546" i="16"/>
  <c r="H1562" i="16"/>
  <c r="H1579" i="16"/>
  <c r="H1595" i="16"/>
  <c r="H1606" i="16"/>
  <c r="H1622" i="16"/>
  <c r="H1640" i="16"/>
  <c r="H1654" i="16"/>
  <c r="N1654" i="16"/>
  <c r="I1421" i="16"/>
  <c r="H1226" i="16"/>
  <c r="H1355" i="16"/>
  <c r="H1467" i="16"/>
  <c r="H1596" i="16"/>
  <c r="N1639" i="16"/>
  <c r="F1643" i="16"/>
  <c r="N1645" i="16"/>
  <c r="F1649" i="16"/>
  <c r="F1636" i="16"/>
  <c r="F1640" i="16"/>
  <c r="F1646" i="16"/>
  <c r="N1643" i="16"/>
  <c r="N1649" i="16"/>
  <c r="N1636" i="16"/>
  <c r="N1640" i="16"/>
  <c r="N1646" i="16"/>
  <c r="F1650" i="16"/>
  <c r="F1641" i="16"/>
  <c r="F1644" i="16"/>
  <c r="F1647" i="16"/>
  <c r="N1650" i="16"/>
  <c r="N1641" i="16"/>
  <c r="N1647" i="16"/>
  <c r="F1642" i="16"/>
  <c r="N1644" i="16"/>
  <c r="F1648" i="16"/>
  <c r="F1635" i="16"/>
  <c r="N1638" i="16"/>
  <c r="O1638" i="16" s="1"/>
  <c r="L1638" i="16" s="1"/>
  <c r="A1638" i="16" s="1"/>
  <c r="F1639" i="16"/>
  <c r="F1645" i="16"/>
  <c r="N1642" i="16"/>
  <c r="N1648" i="16"/>
  <c r="N1635" i="16"/>
  <c r="F1638" i="16"/>
  <c r="F1637" i="16"/>
  <c r="N1637" i="16"/>
  <c r="N1586" i="16"/>
  <c r="F1591" i="16"/>
  <c r="N1595" i="16"/>
  <c r="F1586" i="16"/>
  <c r="N1589" i="16"/>
  <c r="N1592" i="16"/>
  <c r="F1587" i="16"/>
  <c r="F1590" i="16"/>
  <c r="F1593" i="16"/>
  <c r="F1596" i="16"/>
  <c r="N1591" i="16"/>
  <c r="F1595" i="16"/>
  <c r="N1588" i="16"/>
  <c r="N1594" i="16"/>
  <c r="F1589" i="16"/>
  <c r="F1592" i="16"/>
  <c r="F1594" i="16"/>
  <c r="N1587" i="16"/>
  <c r="N1590" i="16"/>
  <c r="N1593" i="16"/>
  <c r="F1588" i="16"/>
  <c r="F1583" i="16"/>
  <c r="F1597" i="16"/>
  <c r="N1598" i="16"/>
  <c r="N1583" i="16"/>
  <c r="N1599" i="16"/>
  <c r="F1598" i="16"/>
  <c r="F1600" i="16"/>
  <c r="N1597" i="16"/>
  <c r="F1599" i="16"/>
  <c r="N1596" i="16"/>
  <c r="N1600" i="16"/>
  <c r="N1585" i="16"/>
  <c r="O1585" i="16" s="1"/>
  <c r="L1585" i="16" s="1"/>
  <c r="A1585" i="16" s="1"/>
  <c r="F1585" i="16"/>
  <c r="N1584" i="16"/>
  <c r="O1584" i="16" s="1"/>
  <c r="L1584" i="16" s="1"/>
  <c r="A1584" i="16" s="1"/>
  <c r="F1584" i="16"/>
  <c r="N1582" i="16"/>
  <c r="O1582" i="16" s="1"/>
  <c r="L1582" i="16" s="1"/>
  <c r="A1582" i="16" s="1"/>
  <c r="F1582" i="16"/>
  <c r="N1569" i="16"/>
  <c r="N1572" i="16"/>
  <c r="F1576" i="16"/>
  <c r="F1577" i="16"/>
  <c r="N1566" i="16"/>
  <c r="F1573" i="16"/>
  <c r="N1563" i="16"/>
  <c r="F1567" i="16"/>
  <c r="F1570" i="16"/>
  <c r="F1564" i="16"/>
  <c r="N1560" i="16"/>
  <c r="F1561" i="16"/>
  <c r="N1576" i="16"/>
  <c r="N1577" i="16"/>
  <c r="F1558" i="16"/>
  <c r="N1573" i="16"/>
  <c r="F1578" i="16"/>
  <c r="F1580" i="16"/>
  <c r="N1567" i="16"/>
  <c r="N1570" i="16"/>
  <c r="F1574" i="16"/>
  <c r="N1564" i="16"/>
  <c r="F1568" i="16"/>
  <c r="F1571" i="16"/>
  <c r="N1561" i="16"/>
  <c r="F1565" i="16"/>
  <c r="N1558" i="16"/>
  <c r="F1562" i="16"/>
  <c r="N1578" i="16"/>
  <c r="N1580" i="16"/>
  <c r="F1559" i="16"/>
  <c r="N1574" i="16"/>
  <c r="F1579" i="16"/>
  <c r="F1581" i="16"/>
  <c r="N1568" i="16"/>
  <c r="N1571" i="16"/>
  <c r="F1575" i="16"/>
  <c r="N1565" i="16"/>
  <c r="F1569" i="16"/>
  <c r="F1572" i="16"/>
  <c r="N1562" i="16"/>
  <c r="F1566" i="16"/>
  <c r="N1559" i="16"/>
  <c r="F1563" i="16"/>
  <c r="N1579" i="16"/>
  <c r="N1581" i="16"/>
  <c r="F1560" i="16"/>
  <c r="N1575" i="16"/>
  <c r="N1549" i="16"/>
  <c r="O1549" i="16" s="1"/>
  <c r="L1549" i="16" s="1"/>
  <c r="A1549" i="16" s="1"/>
  <c r="N1552" i="16"/>
  <c r="N1555" i="16"/>
  <c r="F1553" i="16"/>
  <c r="F1547" i="16"/>
  <c r="F1550" i="16"/>
  <c r="F1556" i="16"/>
  <c r="N1553" i="16"/>
  <c r="N1547" i="16"/>
  <c r="O1547" i="16" s="1"/>
  <c r="L1547" i="16" s="1"/>
  <c r="A1547" i="16" s="1"/>
  <c r="N1550" i="16"/>
  <c r="N1556" i="16"/>
  <c r="F1548" i="16"/>
  <c r="F1551" i="16"/>
  <c r="F1554" i="16"/>
  <c r="F1557" i="16"/>
  <c r="N1548" i="16"/>
  <c r="N1551" i="16"/>
  <c r="N1554" i="16"/>
  <c r="F1549" i="16"/>
  <c r="F1552" i="16"/>
  <c r="F1555" i="16"/>
  <c r="N1557" i="16"/>
  <c r="F1546" i="16"/>
  <c r="N1546" i="16"/>
  <c r="F1544" i="16"/>
  <c r="N1544" i="16"/>
  <c r="O1544" i="16" s="1"/>
  <c r="L1544" i="16" s="1"/>
  <c r="A1544" i="16" s="1"/>
  <c r="F1545" i="16"/>
  <c r="N1545" i="16"/>
  <c r="N1543" i="16"/>
  <c r="N1540" i="16"/>
  <c r="O1540" i="16" s="1"/>
  <c r="L1540" i="16" s="1"/>
  <c r="A1540" i="16" s="1"/>
  <c r="F1541" i="16"/>
  <c r="F1538" i="16"/>
  <c r="F1540" i="16"/>
  <c r="N1541" i="16"/>
  <c r="N1538" i="16"/>
  <c r="O1538" i="16" s="1"/>
  <c r="L1538" i="16" s="1"/>
  <c r="A1538" i="16" s="1"/>
  <c r="F1542" i="16"/>
  <c r="F1539" i="16"/>
  <c r="N1542" i="16"/>
  <c r="N1539" i="16"/>
  <c r="O1539" i="16" s="1"/>
  <c r="L1539" i="16" s="1"/>
  <c r="A1539" i="16" s="1"/>
  <c r="F1543" i="16"/>
  <c r="N1535" i="16"/>
  <c r="F1536" i="16"/>
  <c r="F1533" i="16"/>
  <c r="F1535" i="16"/>
  <c r="N1536" i="16"/>
  <c r="N1533" i="16"/>
  <c r="F1537" i="16"/>
  <c r="F1534" i="16"/>
  <c r="N1534" i="16"/>
  <c r="N1537" i="16"/>
  <c r="F1532" i="16"/>
  <c r="N1532" i="16"/>
  <c r="O1532" i="16" s="1"/>
  <c r="L1532" i="16" s="1"/>
  <c r="A1532" i="16" s="1"/>
  <c r="F1531" i="16"/>
  <c r="N1531" i="16"/>
  <c r="O1531" i="16" s="1"/>
  <c r="L1531" i="16" s="1"/>
  <c r="A1531" i="16" s="1"/>
  <c r="N1525" i="16"/>
  <c r="N1522" i="16"/>
  <c r="O1522" i="16" s="1"/>
  <c r="L1522" i="16" s="1"/>
  <c r="A1522" i="16" s="1"/>
  <c r="F1526" i="16"/>
  <c r="F1529" i="16"/>
  <c r="N1519" i="16"/>
  <c r="F1523" i="16"/>
  <c r="F1520" i="16"/>
  <c r="F1517" i="16"/>
  <c r="N1526" i="16"/>
  <c r="N1529" i="16"/>
  <c r="N1523" i="16"/>
  <c r="O1523" i="16" s="1"/>
  <c r="L1523" i="16" s="1"/>
  <c r="A1523" i="16" s="1"/>
  <c r="F1527" i="16"/>
  <c r="F1530" i="16"/>
  <c r="N1520" i="16"/>
  <c r="F1524" i="16"/>
  <c r="F1521" i="16"/>
  <c r="N1517" i="16"/>
  <c r="F1518" i="16"/>
  <c r="N1527" i="16"/>
  <c r="N1530" i="16"/>
  <c r="N1524" i="16"/>
  <c r="F1528" i="16"/>
  <c r="N1521" i="16"/>
  <c r="O1521" i="16" s="1"/>
  <c r="L1521" i="16" s="1"/>
  <c r="A1521" i="16" s="1"/>
  <c r="F1525" i="16"/>
  <c r="F1519" i="16"/>
  <c r="N1518" i="16"/>
  <c r="F1522" i="16"/>
  <c r="N1528" i="16"/>
  <c r="N1516" i="16"/>
  <c r="N1513" i="16"/>
  <c r="N1510" i="16"/>
  <c r="F1514" i="16"/>
  <c r="F1511" i="16"/>
  <c r="F1508" i="16"/>
  <c r="F1516" i="16"/>
  <c r="N1514" i="16"/>
  <c r="N1511" i="16"/>
  <c r="F1515" i="16"/>
  <c r="N1508" i="16"/>
  <c r="F1512" i="16"/>
  <c r="F1509" i="16"/>
  <c r="N1512" i="16"/>
  <c r="N1515" i="16"/>
  <c r="N1509" i="16"/>
  <c r="F1513" i="16"/>
  <c r="F1510" i="16"/>
  <c r="N1507" i="16"/>
  <c r="F1505" i="16"/>
  <c r="N1505" i="16"/>
  <c r="F1506" i="16"/>
  <c r="N1506" i="16"/>
  <c r="F1507" i="16"/>
  <c r="N1504" i="16"/>
  <c r="O1504" i="16" s="1"/>
  <c r="L1504" i="16" s="1"/>
  <c r="A1504" i="16" s="1"/>
  <c r="F1502" i="16"/>
  <c r="N1502" i="16"/>
  <c r="O1502" i="16" s="1"/>
  <c r="L1502" i="16" s="1"/>
  <c r="A1502" i="16" s="1"/>
  <c r="F1503" i="16"/>
  <c r="N1503" i="16"/>
  <c r="O1503" i="16" s="1"/>
  <c r="L1503" i="16" s="1"/>
  <c r="A1503" i="16" s="1"/>
  <c r="F1504" i="16"/>
  <c r="F1500" i="16"/>
  <c r="N1501" i="16"/>
  <c r="N1500" i="16"/>
  <c r="F1501" i="16"/>
  <c r="F1498" i="16"/>
  <c r="N1498" i="16"/>
  <c r="F1499" i="16"/>
  <c r="N1499" i="16"/>
  <c r="N1497" i="16"/>
  <c r="F1495" i="16"/>
  <c r="N1495" i="16"/>
  <c r="F1496" i="16"/>
  <c r="N1496" i="16"/>
  <c r="F1497" i="16"/>
  <c r="N1492" i="16"/>
  <c r="O1492" i="16" s="1"/>
  <c r="L1492" i="16" s="1"/>
  <c r="A1492" i="16" s="1"/>
  <c r="F1493" i="16"/>
  <c r="F1490" i="16"/>
  <c r="N1493" i="16"/>
  <c r="O1493" i="16" s="1"/>
  <c r="L1493" i="16" s="1"/>
  <c r="A1493" i="16" s="1"/>
  <c r="N1490" i="16"/>
  <c r="O1490" i="16" s="1"/>
  <c r="L1490" i="16" s="1"/>
  <c r="A1490" i="16" s="1"/>
  <c r="F1494" i="16"/>
  <c r="F1491" i="16"/>
  <c r="N1494" i="16"/>
  <c r="O1494" i="16" s="1"/>
  <c r="L1494" i="16" s="1"/>
  <c r="A1494" i="16" s="1"/>
  <c r="N1491" i="16"/>
  <c r="O1491" i="16" s="1"/>
  <c r="L1491" i="16" s="1"/>
  <c r="A1491" i="16" s="1"/>
  <c r="F1492" i="16"/>
  <c r="F1489" i="16"/>
  <c r="N1489" i="16"/>
  <c r="O1489" i="16" s="1"/>
  <c r="L1489" i="16" s="1"/>
  <c r="A1489" i="16" s="1"/>
  <c r="F1487" i="16"/>
  <c r="N1487" i="16"/>
  <c r="O1487" i="16" s="1"/>
  <c r="L1487" i="16" s="1"/>
  <c r="A1487" i="16" s="1"/>
  <c r="F1488" i="16"/>
  <c r="N1488" i="16"/>
  <c r="O1488" i="16" s="1"/>
  <c r="L1488" i="16" s="1"/>
  <c r="A1488" i="16" s="1"/>
  <c r="F1486" i="16"/>
  <c r="N1486" i="16"/>
  <c r="O1486" i="16" s="1"/>
  <c r="L1486" i="16" s="1"/>
  <c r="A1486" i="16" s="1"/>
  <c r="N1484" i="16"/>
  <c r="O1484" i="16" s="1"/>
  <c r="L1484" i="16" s="1"/>
  <c r="A1484" i="16" s="1"/>
  <c r="N1481" i="16"/>
  <c r="F1485" i="16"/>
  <c r="F1482" i="16"/>
  <c r="F1479" i="16"/>
  <c r="N1485" i="16"/>
  <c r="O1485" i="16" s="1"/>
  <c r="L1485" i="16" s="1"/>
  <c r="A1485" i="16" s="1"/>
  <c r="N1482" i="16"/>
  <c r="N1479" i="16"/>
  <c r="F1483" i="16"/>
  <c r="F1480" i="16"/>
  <c r="N1483" i="16"/>
  <c r="N1480" i="16"/>
  <c r="F1484" i="16"/>
  <c r="F1481" i="16"/>
  <c r="N1474" i="16"/>
  <c r="O1474" i="16" s="1"/>
  <c r="L1474" i="16" s="1"/>
  <c r="A1474" i="16" s="1"/>
  <c r="N1477" i="16"/>
  <c r="O1477" i="16" s="1"/>
  <c r="L1477" i="16" s="1"/>
  <c r="A1477" i="16" s="1"/>
  <c r="F1472" i="16"/>
  <c r="F1475" i="16"/>
  <c r="F1478" i="16"/>
  <c r="N1472" i="16"/>
  <c r="O1472" i="16" s="1"/>
  <c r="L1472" i="16" s="1"/>
  <c r="A1472" i="16" s="1"/>
  <c r="N1475" i="16"/>
  <c r="O1475" i="16" s="1"/>
  <c r="L1475" i="16" s="1"/>
  <c r="A1475" i="16" s="1"/>
  <c r="F1473" i="16"/>
  <c r="F1476" i="16"/>
  <c r="N1478" i="16"/>
  <c r="O1478" i="16" s="1"/>
  <c r="L1478" i="16" s="1"/>
  <c r="A1478" i="16" s="1"/>
  <c r="N1473" i="16"/>
  <c r="O1473" i="16" s="1"/>
  <c r="L1473" i="16" s="1"/>
  <c r="A1473" i="16" s="1"/>
  <c r="N1476" i="16"/>
  <c r="O1476" i="16" s="1"/>
  <c r="L1476" i="16" s="1"/>
  <c r="A1476" i="16" s="1"/>
  <c r="F1474" i="16"/>
  <c r="F1477" i="16"/>
  <c r="F1471" i="16"/>
  <c r="N1471" i="16"/>
  <c r="O1471" i="16" s="1"/>
  <c r="L1471" i="16" s="1"/>
  <c r="A1471" i="16" s="1"/>
  <c r="F1469" i="16"/>
  <c r="N1469" i="16"/>
  <c r="O1469" i="16" s="1"/>
  <c r="L1469" i="16" s="1"/>
  <c r="A1469" i="16" s="1"/>
  <c r="F1470" i="16"/>
  <c r="N1470" i="16"/>
  <c r="O1470" i="16" s="1"/>
  <c r="L1470" i="16" s="1"/>
  <c r="A1470" i="16" s="1"/>
  <c r="N1468" i="16"/>
  <c r="N1465" i="16"/>
  <c r="F1463" i="16"/>
  <c r="F1466" i="16"/>
  <c r="N1463" i="16"/>
  <c r="O1463" i="16" s="1"/>
  <c r="L1463" i="16" s="1"/>
  <c r="A1463" i="16" s="1"/>
  <c r="N1466" i="16"/>
  <c r="F1464" i="16"/>
  <c r="F1467" i="16"/>
  <c r="N1464" i="16"/>
  <c r="N1467" i="16"/>
  <c r="F1468" i="16"/>
  <c r="F1465" i="16"/>
  <c r="F1457" i="16"/>
  <c r="N1459" i="16"/>
  <c r="N1462" i="16"/>
  <c r="O1462" i="16" s="1"/>
  <c r="L1462" i="16" s="1"/>
  <c r="A1462" i="16" s="1"/>
  <c r="F1460" i="16"/>
  <c r="N1457" i="16"/>
  <c r="N1460" i="16"/>
  <c r="F1458" i="16"/>
  <c r="F1461" i="16"/>
  <c r="N1458" i="16"/>
  <c r="N1461" i="16"/>
  <c r="F1459" i="16"/>
  <c r="F1462" i="16"/>
  <c r="F1455" i="16"/>
  <c r="F1453" i="16"/>
  <c r="N1455" i="16"/>
  <c r="F1456" i="16"/>
  <c r="N1453" i="16"/>
  <c r="F1454" i="16"/>
  <c r="N1456" i="16"/>
  <c r="N1454" i="16"/>
  <c r="N1449" i="16"/>
  <c r="O1449" i="16" s="1"/>
  <c r="L1449" i="16" s="1"/>
  <c r="A1449" i="16" s="1"/>
  <c r="N1452" i="16"/>
  <c r="N1446" i="16"/>
  <c r="O1446" i="16" s="1"/>
  <c r="L1446" i="16" s="1"/>
  <c r="A1446" i="16" s="1"/>
  <c r="F1450" i="16"/>
  <c r="N1443" i="16"/>
  <c r="F1447" i="16"/>
  <c r="F1444" i="16"/>
  <c r="F1441" i="16"/>
  <c r="N1450" i="16"/>
  <c r="O1450" i="16" s="1"/>
  <c r="L1450" i="16" s="1"/>
  <c r="A1450" i="16" s="1"/>
  <c r="N1447" i="16"/>
  <c r="O1447" i="16" s="1"/>
  <c r="L1447" i="16" s="1"/>
  <c r="A1447" i="16" s="1"/>
  <c r="N1444" i="16"/>
  <c r="F1448" i="16"/>
  <c r="F1451" i="16"/>
  <c r="N1441" i="16"/>
  <c r="F1445" i="16"/>
  <c r="F1442" i="16"/>
  <c r="N1448" i="16"/>
  <c r="O1448" i="16" s="1"/>
  <c r="L1448" i="16" s="1"/>
  <c r="A1448" i="16" s="1"/>
  <c r="N1451" i="16"/>
  <c r="O1451" i="16" s="1"/>
  <c r="L1451" i="16" s="1"/>
  <c r="A1451" i="16" s="1"/>
  <c r="N1445" i="16"/>
  <c r="O1445" i="16" s="1"/>
  <c r="L1445" i="16" s="1"/>
  <c r="A1445" i="16" s="1"/>
  <c r="F1449" i="16"/>
  <c r="F1452" i="16"/>
  <c r="F1443" i="16"/>
  <c r="N1442" i="16"/>
  <c r="O1442" i="16" s="1"/>
  <c r="L1442" i="16" s="1"/>
  <c r="A1442" i="16" s="1"/>
  <c r="F1446" i="16"/>
  <c r="N1440" i="16"/>
  <c r="F1438" i="16"/>
  <c r="N1438" i="16"/>
  <c r="F1439" i="16"/>
  <c r="N1439" i="16"/>
  <c r="F1440" i="16"/>
  <c r="N1432" i="16"/>
  <c r="N1429" i="16"/>
  <c r="O1429" i="16" s="1"/>
  <c r="L1429" i="16" s="1"/>
  <c r="A1429" i="16" s="1"/>
  <c r="N1435" i="16"/>
  <c r="F1435" i="16"/>
  <c r="F1427" i="16"/>
  <c r="F1430" i="16"/>
  <c r="F1433" i="16"/>
  <c r="F1436" i="16"/>
  <c r="F1429" i="16"/>
  <c r="N1427" i="16"/>
  <c r="O1427" i="16" s="1"/>
  <c r="L1427" i="16" s="1"/>
  <c r="A1427" i="16" s="1"/>
  <c r="N1430" i="16"/>
  <c r="N1433" i="16"/>
  <c r="N1436" i="16"/>
  <c r="F1428" i="16"/>
  <c r="F1431" i="16"/>
  <c r="F1434" i="16"/>
  <c r="F1437" i="16"/>
  <c r="N1428" i="16"/>
  <c r="O1428" i="16" s="1"/>
  <c r="L1428" i="16" s="1"/>
  <c r="A1428" i="16" s="1"/>
  <c r="N1431" i="16"/>
  <c r="N1434" i="16"/>
  <c r="N1437" i="16"/>
  <c r="F1432" i="16"/>
  <c r="N1425" i="16"/>
  <c r="F1426" i="16"/>
  <c r="F1425" i="16"/>
  <c r="N1426" i="16"/>
  <c r="N1422" i="16"/>
  <c r="O1422" i="16" s="1"/>
  <c r="L1422" i="16" s="1"/>
  <c r="A1422" i="16" s="1"/>
  <c r="F1420" i="16"/>
  <c r="F1423" i="16"/>
  <c r="N1420" i="16"/>
  <c r="N1423" i="16"/>
  <c r="O1423" i="16" s="1"/>
  <c r="L1423" i="16" s="1"/>
  <c r="A1423" i="16" s="1"/>
  <c r="F1421" i="16"/>
  <c r="F1424" i="16"/>
  <c r="N1421" i="16"/>
  <c r="O1421" i="16" s="1"/>
  <c r="L1421" i="16" s="1"/>
  <c r="A1421" i="16" s="1"/>
  <c r="N1424" i="16"/>
  <c r="O1424" i="16" s="1"/>
  <c r="L1424" i="16" s="1"/>
  <c r="A1424" i="16" s="1"/>
  <c r="F1422" i="16"/>
  <c r="F1418" i="16"/>
  <c r="N1418" i="16"/>
  <c r="O1418" i="16" s="1"/>
  <c r="L1418" i="16" s="1"/>
  <c r="A1418" i="16" s="1"/>
  <c r="F1419" i="16"/>
  <c r="N1419" i="16"/>
  <c r="O1419" i="16" s="1"/>
  <c r="L1419" i="16" s="1"/>
  <c r="A1419" i="16" s="1"/>
  <c r="F1416" i="16"/>
  <c r="N1416" i="16"/>
  <c r="F1417" i="16"/>
  <c r="N1417" i="16"/>
  <c r="O1417" i="16" s="1"/>
  <c r="L1417" i="16" s="1"/>
  <c r="A1417" i="16" s="1"/>
  <c r="N1415" i="16"/>
  <c r="O1415" i="16" s="1"/>
  <c r="L1415" i="16" s="1"/>
  <c r="A1415" i="16" s="1"/>
  <c r="F1413" i="16"/>
  <c r="N1413" i="16"/>
  <c r="O1413" i="16" s="1"/>
  <c r="L1413" i="16" s="1"/>
  <c r="A1413" i="16" s="1"/>
  <c r="F1414" i="16"/>
  <c r="N1414" i="16"/>
  <c r="O1414" i="16" s="1"/>
  <c r="L1414" i="16" s="1"/>
  <c r="A1414" i="16" s="1"/>
  <c r="F1415" i="16"/>
  <c r="F1412" i="16"/>
  <c r="N1412" i="16"/>
  <c r="O1412" i="16" s="1"/>
  <c r="L1412" i="16" s="1"/>
  <c r="A1412" i="16" s="1"/>
  <c r="F1411" i="16"/>
  <c r="N1411" i="16"/>
  <c r="O1411" i="16" s="1"/>
  <c r="L1411" i="16" s="1"/>
  <c r="A1411" i="16" s="1"/>
  <c r="F1410" i="16"/>
  <c r="N1410" i="16"/>
  <c r="O1410" i="16" s="1"/>
  <c r="L1410" i="16" s="1"/>
  <c r="A1410" i="16" s="1"/>
  <c r="N1409" i="16"/>
  <c r="O1409" i="16" s="1"/>
  <c r="L1409" i="16" s="1"/>
  <c r="A1409" i="16" s="1"/>
  <c r="F1407" i="16"/>
  <c r="N1407" i="16"/>
  <c r="O1407" i="16" s="1"/>
  <c r="L1407" i="16" s="1"/>
  <c r="A1407" i="16" s="1"/>
  <c r="F1408" i="16"/>
  <c r="N1408" i="16"/>
  <c r="O1408" i="16" s="1"/>
  <c r="L1408" i="16" s="1"/>
  <c r="A1408" i="16" s="1"/>
  <c r="F1409" i="16"/>
  <c r="F1406" i="16"/>
  <c r="N1406" i="16"/>
  <c r="F1396" i="16"/>
  <c r="F1399" i="16"/>
  <c r="N1401" i="16"/>
  <c r="F1402" i="16"/>
  <c r="N1404" i="16"/>
  <c r="N1396" i="16"/>
  <c r="O1396" i="16" s="1"/>
  <c r="L1396" i="16" s="1"/>
  <c r="A1396" i="16" s="1"/>
  <c r="N1399" i="16"/>
  <c r="F1405" i="16"/>
  <c r="F1394" i="16"/>
  <c r="F1397" i="16"/>
  <c r="F1400" i="16"/>
  <c r="N1402" i="16"/>
  <c r="F1403" i="16"/>
  <c r="N1405" i="16"/>
  <c r="N1394" i="16"/>
  <c r="N1397" i="16"/>
  <c r="F1395" i="16"/>
  <c r="F1398" i="16"/>
  <c r="N1400" i="16"/>
  <c r="F1401" i="16"/>
  <c r="N1403" i="16"/>
  <c r="N1395" i="16"/>
  <c r="N1398" i="16"/>
  <c r="F1404" i="16"/>
  <c r="F1392" i="16"/>
  <c r="N1392" i="16"/>
  <c r="O1392" i="16" s="1"/>
  <c r="L1392" i="16" s="1"/>
  <c r="A1392" i="16" s="1"/>
  <c r="F1393" i="16"/>
  <c r="N1393" i="16"/>
  <c r="N1382" i="16"/>
  <c r="O1382" i="16" s="1"/>
  <c r="L1382" i="16" s="1"/>
  <c r="A1382" i="16" s="1"/>
  <c r="N1385" i="16"/>
  <c r="O1385" i="16" s="1"/>
  <c r="L1385" i="16" s="1"/>
  <c r="A1385" i="16" s="1"/>
  <c r="N1388" i="16"/>
  <c r="O1388" i="16" s="1"/>
  <c r="L1388" i="16" s="1"/>
  <c r="A1388" i="16" s="1"/>
  <c r="N1391" i="16"/>
  <c r="O1391" i="16" s="1"/>
  <c r="L1391" i="16" s="1"/>
  <c r="A1391" i="16" s="1"/>
  <c r="F1363" i="16"/>
  <c r="N1376" i="16"/>
  <c r="O1376" i="16" s="1"/>
  <c r="L1376" i="16" s="1"/>
  <c r="A1376" i="16" s="1"/>
  <c r="N1379" i="16"/>
  <c r="O1379" i="16" s="1"/>
  <c r="L1379" i="16" s="1"/>
  <c r="A1379" i="16" s="1"/>
  <c r="F1383" i="16"/>
  <c r="F1386" i="16"/>
  <c r="N1367" i="16"/>
  <c r="O1367" i="16" s="1"/>
  <c r="L1367" i="16" s="1"/>
  <c r="A1367" i="16" s="1"/>
  <c r="N1370" i="16"/>
  <c r="O1370" i="16" s="1"/>
  <c r="L1370" i="16" s="1"/>
  <c r="A1370" i="16" s="1"/>
  <c r="N1373" i="16"/>
  <c r="O1373" i="16" s="1"/>
  <c r="L1373" i="16" s="1"/>
  <c r="A1373" i="16" s="1"/>
  <c r="F1377" i="16"/>
  <c r="F1380" i="16"/>
  <c r="F1389" i="16"/>
  <c r="N1364" i="16"/>
  <c r="F1368" i="16"/>
  <c r="F1371" i="16"/>
  <c r="F1374" i="16"/>
  <c r="F1365" i="16"/>
  <c r="F1362" i="16"/>
  <c r="N1383" i="16"/>
  <c r="O1383" i="16" s="1"/>
  <c r="L1383" i="16" s="1"/>
  <c r="A1383" i="16" s="1"/>
  <c r="N1386" i="16"/>
  <c r="O1386" i="16" s="1"/>
  <c r="L1386" i="16" s="1"/>
  <c r="A1386" i="16" s="1"/>
  <c r="N1377" i="16"/>
  <c r="O1377" i="16" s="1"/>
  <c r="L1377" i="16" s="1"/>
  <c r="A1377" i="16" s="1"/>
  <c r="N1380" i="16"/>
  <c r="O1380" i="16" s="1"/>
  <c r="L1380" i="16" s="1"/>
  <c r="A1380" i="16" s="1"/>
  <c r="F1384" i="16"/>
  <c r="N1389" i="16"/>
  <c r="O1389" i="16" s="1"/>
  <c r="L1389" i="16" s="1"/>
  <c r="A1389" i="16" s="1"/>
  <c r="N1368" i="16"/>
  <c r="O1368" i="16" s="1"/>
  <c r="L1368" i="16" s="1"/>
  <c r="A1368" i="16" s="1"/>
  <c r="N1371" i="16"/>
  <c r="O1371" i="16" s="1"/>
  <c r="L1371" i="16" s="1"/>
  <c r="A1371" i="16" s="1"/>
  <c r="N1374" i="16"/>
  <c r="O1374" i="16" s="1"/>
  <c r="L1374" i="16" s="1"/>
  <c r="A1374" i="16" s="1"/>
  <c r="F1381" i="16"/>
  <c r="F1387" i="16"/>
  <c r="F1390" i="16"/>
  <c r="N1365" i="16"/>
  <c r="F1372" i="16"/>
  <c r="F1375" i="16"/>
  <c r="F1378" i="16"/>
  <c r="N1384" i="16"/>
  <c r="O1384" i="16" s="1"/>
  <c r="L1384" i="16" s="1"/>
  <c r="A1384" i="16" s="1"/>
  <c r="N1362" i="16"/>
  <c r="F1366" i="16"/>
  <c r="F1369" i="16"/>
  <c r="N1381" i="16"/>
  <c r="O1381" i="16" s="1"/>
  <c r="L1381" i="16" s="1"/>
  <c r="A1381" i="16" s="1"/>
  <c r="N1387" i="16"/>
  <c r="O1387" i="16" s="1"/>
  <c r="L1387" i="16" s="1"/>
  <c r="A1387" i="16" s="1"/>
  <c r="N1390" i="16"/>
  <c r="O1390" i="16" s="1"/>
  <c r="L1390" i="16" s="1"/>
  <c r="A1390" i="16" s="1"/>
  <c r="N1372" i="16"/>
  <c r="O1372" i="16" s="1"/>
  <c r="L1372" i="16" s="1"/>
  <c r="A1372" i="16" s="1"/>
  <c r="N1375" i="16"/>
  <c r="O1375" i="16" s="1"/>
  <c r="L1375" i="16" s="1"/>
  <c r="A1375" i="16" s="1"/>
  <c r="N1378" i="16"/>
  <c r="O1378" i="16" s="1"/>
  <c r="L1378" i="16" s="1"/>
  <c r="A1378" i="16" s="1"/>
  <c r="F1382" i="16"/>
  <c r="F1385" i="16"/>
  <c r="F1388" i="16"/>
  <c r="F1391" i="16"/>
  <c r="N1366" i="16"/>
  <c r="O1366" i="16" s="1"/>
  <c r="L1366" i="16" s="1"/>
  <c r="A1366" i="16" s="1"/>
  <c r="N1369" i="16"/>
  <c r="O1369" i="16" s="1"/>
  <c r="L1369" i="16" s="1"/>
  <c r="A1369" i="16" s="1"/>
  <c r="F1376" i="16"/>
  <c r="F1379" i="16"/>
  <c r="N1363" i="16"/>
  <c r="F1367" i="16"/>
  <c r="F1370" i="16"/>
  <c r="F1373" i="16"/>
  <c r="F1364" i="16"/>
  <c r="N1361" i="16"/>
  <c r="F1359" i="16"/>
  <c r="N1359" i="16"/>
  <c r="F1360" i="16"/>
  <c r="N1360" i="16"/>
  <c r="F1361" i="16"/>
  <c r="N1345" i="16"/>
  <c r="N1351" i="16"/>
  <c r="N1354" i="16"/>
  <c r="N1357" i="16"/>
  <c r="N1342" i="16"/>
  <c r="N1348" i="16"/>
  <c r="O1348" i="16" s="1"/>
  <c r="L1348" i="16" s="1"/>
  <c r="A1348" i="16" s="1"/>
  <c r="F1352" i="16"/>
  <c r="F1355" i="16"/>
  <c r="F1358" i="16"/>
  <c r="F1343" i="16"/>
  <c r="F1346" i="16"/>
  <c r="F1349" i="16"/>
  <c r="F1340" i="16"/>
  <c r="N1352" i="16"/>
  <c r="O1352" i="16" s="1"/>
  <c r="L1352" i="16" s="1"/>
  <c r="A1352" i="16" s="1"/>
  <c r="N1355" i="16"/>
  <c r="N1358" i="16"/>
  <c r="N1343" i="16"/>
  <c r="N1346" i="16"/>
  <c r="N1349" i="16"/>
  <c r="F1353" i="16"/>
  <c r="F1356" i="16"/>
  <c r="N1340" i="16"/>
  <c r="O1340" i="16" s="1"/>
  <c r="L1340" i="16" s="1"/>
  <c r="A1340" i="16" s="1"/>
  <c r="F1344" i="16"/>
  <c r="F1347" i="16"/>
  <c r="F1350" i="16"/>
  <c r="F1341" i="16"/>
  <c r="N1353" i="16"/>
  <c r="N1356" i="16"/>
  <c r="N1344" i="16"/>
  <c r="N1347" i="16"/>
  <c r="O1347" i="16" s="1"/>
  <c r="L1347" i="16" s="1"/>
  <c r="A1347" i="16" s="1"/>
  <c r="N1350" i="16"/>
  <c r="N1341" i="16"/>
  <c r="O1341" i="16" s="1"/>
  <c r="L1341" i="16" s="1"/>
  <c r="A1341" i="16" s="1"/>
  <c r="F1345" i="16"/>
  <c r="F1351" i="16"/>
  <c r="F1354" i="16"/>
  <c r="F1357" i="16"/>
  <c r="F1342" i="16"/>
  <c r="F1348" i="16"/>
  <c r="N1339" i="16"/>
  <c r="F1339" i="16"/>
  <c r="F1338" i="16"/>
  <c r="N1338" i="16"/>
  <c r="N1337" i="16"/>
  <c r="F1337" i="16"/>
  <c r="N1334" i="16"/>
  <c r="N1335" i="16"/>
  <c r="F1336" i="16"/>
  <c r="F1335" i="16"/>
  <c r="N1336" i="16"/>
  <c r="F1334" i="16"/>
  <c r="N1331" i="16"/>
  <c r="N1328" i="16"/>
  <c r="F1325" i="16"/>
  <c r="N1318" i="16"/>
  <c r="O1318" i="16" s="1"/>
  <c r="L1318" i="16" s="1"/>
  <c r="A1318" i="16" s="1"/>
  <c r="F1322" i="16"/>
  <c r="N1325" i="16"/>
  <c r="O1325" i="16" s="1"/>
  <c r="L1325" i="16" s="1"/>
  <c r="A1325" i="16" s="1"/>
  <c r="F1329" i="16"/>
  <c r="N1322" i="16"/>
  <c r="O1322" i="16" s="1"/>
  <c r="L1322" i="16" s="1"/>
  <c r="A1322" i="16" s="1"/>
  <c r="F1326" i="16"/>
  <c r="N1319" i="16"/>
  <c r="F1323" i="16"/>
  <c r="F1320" i="16"/>
  <c r="N1332" i="16"/>
  <c r="F1332" i="16"/>
  <c r="N1329" i="16"/>
  <c r="F1333" i="16"/>
  <c r="N1326" i="16"/>
  <c r="O1326" i="16" s="1"/>
  <c r="L1326" i="16" s="1"/>
  <c r="A1326" i="16" s="1"/>
  <c r="F1330" i="16"/>
  <c r="N1323" i="16"/>
  <c r="F1327" i="16"/>
  <c r="N1320" i="16"/>
  <c r="O1320" i="16" s="1"/>
  <c r="L1320" i="16" s="1"/>
  <c r="A1320" i="16" s="1"/>
  <c r="F1324" i="16"/>
  <c r="F1321" i="16"/>
  <c r="N1333" i="16"/>
  <c r="F1318" i="16"/>
  <c r="N1330" i="16"/>
  <c r="N1324" i="16"/>
  <c r="F1328" i="16"/>
  <c r="F1319" i="16"/>
  <c r="N1327" i="16"/>
  <c r="F1331" i="16"/>
  <c r="N1321" i="16"/>
  <c r="O1321" i="16" s="1"/>
  <c r="L1321" i="16" s="1"/>
  <c r="A1321" i="16" s="1"/>
  <c r="N1315" i="16"/>
  <c r="N1316" i="16"/>
  <c r="F1317" i="16"/>
  <c r="F1316" i="16"/>
  <c r="N1317" i="16"/>
  <c r="F1315" i="16"/>
  <c r="N1314" i="16"/>
  <c r="O1314" i="16" s="1"/>
  <c r="L1314" i="16" s="1"/>
  <c r="A1314" i="16" s="1"/>
  <c r="F1314" i="16"/>
  <c r="N1311" i="16"/>
  <c r="F1312" i="16"/>
  <c r="N1308" i="16"/>
  <c r="F1309" i="16"/>
  <c r="N1312" i="16"/>
  <c r="N1309" i="16"/>
  <c r="F1313" i="16"/>
  <c r="F1310" i="16"/>
  <c r="N1313" i="16"/>
  <c r="N1310" i="16"/>
  <c r="O1310" i="16" s="1"/>
  <c r="L1310" i="16" s="1"/>
  <c r="A1310" i="16" s="1"/>
  <c r="F1311" i="16"/>
  <c r="F1308" i="16"/>
  <c r="F1306" i="16"/>
  <c r="N1306" i="16"/>
  <c r="F1307" i="16"/>
  <c r="N1307" i="16"/>
  <c r="F1304" i="16"/>
  <c r="N1304" i="16"/>
  <c r="F1305" i="16"/>
  <c r="N1305" i="16"/>
  <c r="N1303" i="16"/>
  <c r="F1303" i="16"/>
  <c r="N1299" i="16"/>
  <c r="N1296" i="16"/>
  <c r="F1297" i="16"/>
  <c r="N1297" i="16"/>
  <c r="F1301" i="16"/>
  <c r="F1298" i="16"/>
  <c r="F1302" i="16"/>
  <c r="N1301" i="16"/>
  <c r="N1298" i="16"/>
  <c r="F1299" i="16"/>
  <c r="F1296" i="16"/>
  <c r="N1300" i="16"/>
  <c r="N1302" i="16"/>
  <c r="F1300" i="16"/>
  <c r="F1283" i="16"/>
  <c r="N1295" i="16"/>
  <c r="N1292" i="16"/>
  <c r="F1287" i="16"/>
  <c r="N1289" i="16"/>
  <c r="F1293" i="16"/>
  <c r="N1286" i="16"/>
  <c r="F1290" i="16"/>
  <c r="F1284" i="16"/>
  <c r="N1293" i="16"/>
  <c r="N1288" i="16"/>
  <c r="N1290" i="16"/>
  <c r="F1294" i="16"/>
  <c r="F1292" i="16"/>
  <c r="F1289" i="16"/>
  <c r="F1286" i="16"/>
  <c r="N1287" i="16"/>
  <c r="F1291" i="16"/>
  <c r="N1283" i="16"/>
  <c r="N1284" i="16"/>
  <c r="F1288" i="16"/>
  <c r="F1285" i="16"/>
  <c r="N1294" i="16"/>
  <c r="N1285" i="16"/>
  <c r="N1291" i="16"/>
  <c r="F1295" i="16"/>
  <c r="F1277" i="16"/>
  <c r="N1280" i="16"/>
  <c r="N1278" i="16"/>
  <c r="N1277" i="16"/>
  <c r="F1281" i="16"/>
  <c r="F1282" i="16"/>
  <c r="F1279" i="16"/>
  <c r="F1278" i="16"/>
  <c r="N1282" i="16"/>
  <c r="F1280" i="16"/>
  <c r="N1281" i="16"/>
  <c r="N1279" i="16"/>
  <c r="F1276" i="16"/>
  <c r="N1276" i="16"/>
  <c r="O1276" i="16" s="1"/>
  <c r="L1276" i="16" s="1"/>
  <c r="A1276" i="16" s="1"/>
  <c r="L1187" i="16"/>
  <c r="A1187" i="16" s="1"/>
  <c r="N1271" i="16"/>
  <c r="F1271" i="16"/>
  <c r="F1266" i="16"/>
  <c r="N1266" i="16"/>
  <c r="F1270" i="16"/>
  <c r="N1270" i="16"/>
  <c r="F1275" i="16"/>
  <c r="N1275" i="16"/>
  <c r="F1267" i="16"/>
  <c r="N1267" i="16"/>
  <c r="F1273" i="16"/>
  <c r="N1273" i="16"/>
  <c r="F1268" i="16"/>
  <c r="N1268" i="16"/>
  <c r="F1272" i="16"/>
  <c r="N1272" i="16"/>
  <c r="F1269" i="16"/>
  <c r="N1269" i="16"/>
  <c r="F1274" i="16"/>
  <c r="N1274" i="16"/>
  <c r="N1256" i="16"/>
  <c r="F1259" i="16"/>
  <c r="N1253" i="16"/>
  <c r="F1257" i="16"/>
  <c r="F1263" i="16"/>
  <c r="N1250" i="16"/>
  <c r="F1254" i="16"/>
  <c r="N1265" i="16"/>
  <c r="F1251" i="16"/>
  <c r="N1262" i="16"/>
  <c r="N1259" i="16"/>
  <c r="N1257" i="16"/>
  <c r="F1260" i="16"/>
  <c r="N1254" i="16"/>
  <c r="F1258" i="16"/>
  <c r="N1251" i="16"/>
  <c r="F1255" i="16"/>
  <c r="N1264" i="16"/>
  <c r="F1252" i="16"/>
  <c r="N1263" i="16"/>
  <c r="F1249" i="16"/>
  <c r="N1260" i="16"/>
  <c r="F1264" i="16"/>
  <c r="N1258" i="16"/>
  <c r="F1261" i="16"/>
  <c r="N1255" i="16"/>
  <c r="F1247" i="16"/>
  <c r="N1252" i="16"/>
  <c r="F1256" i="16"/>
  <c r="N1249" i="16"/>
  <c r="F1253" i="16"/>
  <c r="F1250" i="16"/>
  <c r="N1261" i="16"/>
  <c r="F1265" i="16"/>
  <c r="N1247" i="16"/>
  <c r="F1262" i="16"/>
  <c r="N1248" i="16"/>
  <c r="O1248" i="16" s="1"/>
  <c r="L1248" i="16" s="1"/>
  <c r="A1248" i="16" s="1"/>
  <c r="F1248" i="16"/>
  <c r="K822" i="16"/>
  <c r="F1243" i="16"/>
  <c r="N1241" i="16"/>
  <c r="N1246" i="16"/>
  <c r="N1243" i="16"/>
  <c r="F1244" i="16"/>
  <c r="F1241" i="16"/>
  <c r="N1244" i="16"/>
  <c r="F1245" i="16"/>
  <c r="F1242" i="16"/>
  <c r="N1242" i="16"/>
  <c r="N1245" i="16"/>
  <c r="F1246" i="16"/>
  <c r="K754" i="16"/>
  <c r="L1099" i="16"/>
  <c r="A1099" i="16" s="1"/>
  <c r="L756" i="16"/>
  <c r="A756" i="16" s="1"/>
  <c r="K576" i="16"/>
  <c r="A576" i="16" s="1"/>
  <c r="K582" i="16"/>
  <c r="A582" i="16" s="1"/>
  <c r="K581" i="16"/>
  <c r="A581" i="16" s="1"/>
  <c r="K779" i="16"/>
  <c r="L1103" i="16"/>
  <c r="A1103" i="16" s="1"/>
  <c r="O673" i="16"/>
  <c r="L673" i="16" s="1"/>
  <c r="A673" i="16" s="1"/>
  <c r="K1065" i="16"/>
  <c r="N1240" i="16"/>
  <c r="O1240" i="16" s="1"/>
  <c r="L1240" i="16" s="1"/>
  <c r="A1240" i="16" s="1"/>
  <c r="F1240" i="16"/>
  <c r="L698" i="16"/>
  <c r="A698" i="16" s="1"/>
  <c r="L1156" i="16"/>
  <c r="A1156" i="16" s="1"/>
  <c r="L714" i="16"/>
  <c r="A714" i="16" s="1"/>
  <c r="K1068" i="16"/>
  <c r="K605" i="16"/>
  <c r="A605" i="16" s="1"/>
  <c r="K568" i="16"/>
  <c r="A568" i="16" s="1"/>
  <c r="K718" i="16"/>
  <c r="L801" i="16"/>
  <c r="A801" i="16" s="1"/>
  <c r="L1066" i="16"/>
  <c r="A1066" i="16" s="1"/>
  <c r="L836" i="16"/>
  <c r="A836" i="16" s="1"/>
  <c r="L872" i="16"/>
  <c r="A872" i="16" s="1"/>
  <c r="L894" i="16"/>
  <c r="A894" i="16" s="1"/>
  <c r="K1135" i="16"/>
  <c r="K1137" i="16"/>
  <c r="K563" i="16"/>
  <c r="A563" i="16" s="1"/>
  <c r="K952" i="16"/>
  <c r="K955" i="16"/>
  <c r="K716" i="16"/>
  <c r="K620" i="16"/>
  <c r="A620" i="16" s="1"/>
  <c r="O663" i="16"/>
  <c r="L663" i="16" s="1"/>
  <c r="A663" i="16" s="1"/>
  <c r="K897" i="16"/>
  <c r="K903" i="16"/>
  <c r="L940" i="16"/>
  <c r="A940" i="16" s="1"/>
  <c r="K883" i="16"/>
  <c r="K892" i="16"/>
  <c r="K916" i="16"/>
  <c r="O587" i="16"/>
  <c r="L587" i="16" s="1"/>
  <c r="A587" i="16" s="1"/>
  <c r="K910" i="16"/>
  <c r="L752" i="16"/>
  <c r="A752" i="16" s="1"/>
  <c r="K1112" i="16"/>
  <c r="K1121" i="16"/>
  <c r="L1158" i="16"/>
  <c r="A1158" i="16" s="1"/>
  <c r="K612" i="16"/>
  <c r="A612" i="16" s="1"/>
  <c r="K717" i="16"/>
  <c r="K941" i="16"/>
  <c r="K1027" i="16"/>
  <c r="K1180" i="16"/>
  <c r="L996" i="16"/>
  <c r="A996" i="16" s="1"/>
  <c r="K604" i="16"/>
  <c r="A604" i="16" s="1"/>
  <c r="K656" i="16"/>
  <c r="A656" i="16" s="1"/>
  <c r="O672" i="16"/>
  <c r="L672" i="16" s="1"/>
  <c r="A672" i="16" s="1"/>
  <c r="L737" i="16"/>
  <c r="A737" i="16" s="1"/>
  <c r="L893" i="16"/>
  <c r="A893" i="16" s="1"/>
  <c r="K896" i="16"/>
  <c r="K951" i="16"/>
  <c r="K1012" i="16"/>
  <c r="K1098" i="16"/>
  <c r="L753" i="16"/>
  <c r="A753" i="16" s="1"/>
  <c r="L799" i="16"/>
  <c r="A799" i="16" s="1"/>
  <c r="L805" i="16"/>
  <c r="A805" i="16" s="1"/>
  <c r="K1104" i="16"/>
  <c r="L1212" i="16"/>
  <c r="A1212" i="16" s="1"/>
  <c r="L704" i="16"/>
  <c r="A704" i="16" s="1"/>
  <c r="K818" i="16"/>
  <c r="K888" i="16"/>
  <c r="K924" i="16"/>
  <c r="N86" i="15"/>
  <c r="Q86" i="15" s="1"/>
  <c r="O575" i="16"/>
  <c r="L575" i="16" s="1"/>
  <c r="A575" i="16" s="1"/>
  <c r="O625" i="16"/>
  <c r="L625" i="16" s="1"/>
  <c r="A625" i="16" s="1"/>
  <c r="O631" i="16"/>
  <c r="L631" i="16" s="1"/>
  <c r="A631" i="16" s="1"/>
  <c r="O638" i="16"/>
  <c r="L638" i="16" s="1"/>
  <c r="A638" i="16" s="1"/>
  <c r="K660" i="16"/>
  <c r="A660" i="16" s="1"/>
  <c r="K697" i="16"/>
  <c r="L723" i="16"/>
  <c r="A723" i="16" s="1"/>
  <c r="K735" i="16"/>
  <c r="L775" i="16"/>
  <c r="A775" i="16" s="1"/>
  <c r="L789" i="16"/>
  <c r="A789" i="16" s="1"/>
  <c r="K1215" i="16"/>
  <c r="K570" i="16"/>
  <c r="A570" i="16" s="1"/>
  <c r="K738" i="16"/>
  <c r="K803" i="16"/>
  <c r="K1094" i="16"/>
  <c r="K1097" i="16"/>
  <c r="K596" i="16"/>
  <c r="A596" i="16" s="1"/>
  <c r="L812" i="16"/>
  <c r="A812" i="16" s="1"/>
  <c r="K833" i="16"/>
  <c r="L885" i="16"/>
  <c r="A885" i="16" s="1"/>
  <c r="L914" i="16"/>
  <c r="A914" i="16" s="1"/>
  <c r="K984" i="16"/>
  <c r="L1020" i="16"/>
  <c r="A1020" i="16" s="1"/>
  <c r="K1122" i="16"/>
  <c r="K1138" i="16"/>
  <c r="K647" i="16"/>
  <c r="A647" i="16" s="1"/>
  <c r="K650" i="16"/>
  <c r="A650" i="16" s="1"/>
  <c r="K727" i="16"/>
  <c r="K730" i="16"/>
  <c r="K999" i="16"/>
  <c r="K1036" i="16"/>
  <c r="O632" i="16"/>
  <c r="L632" i="16" s="1"/>
  <c r="A632" i="16" s="1"/>
  <c r="K715" i="16"/>
  <c r="L751" i="16"/>
  <c r="A751" i="16" s="1"/>
  <c r="L758" i="16"/>
  <c r="A758" i="16" s="1"/>
  <c r="L935" i="16"/>
  <c r="A935" i="16" s="1"/>
  <c r="L1100" i="16"/>
  <c r="A1100" i="16" s="1"/>
  <c r="K1164" i="16"/>
  <c r="K597" i="16"/>
  <c r="A597" i="16" s="1"/>
  <c r="K600" i="16"/>
  <c r="A600" i="16" s="1"/>
  <c r="K603" i="16"/>
  <c r="A603" i="16" s="1"/>
  <c r="K671" i="16"/>
  <c r="A671" i="16" s="1"/>
  <c r="K722" i="16"/>
  <c r="K825" i="16"/>
  <c r="K933" i="16"/>
  <c r="K1129" i="16"/>
  <c r="K802" i="16"/>
  <c r="L1223" i="16"/>
  <c r="A1223" i="16" s="1"/>
  <c r="K569" i="16"/>
  <c r="A569" i="16" s="1"/>
  <c r="K743" i="16"/>
  <c r="L834" i="16"/>
  <c r="A834" i="16" s="1"/>
  <c r="K840" i="16"/>
  <c r="K875" i="16"/>
  <c r="K901" i="16"/>
  <c r="K936" i="16"/>
  <c r="K1084" i="16"/>
  <c r="K1189" i="16"/>
  <c r="L913" i="16"/>
  <c r="A913" i="16" s="1"/>
  <c r="K646" i="16"/>
  <c r="A646" i="16" s="1"/>
  <c r="K823" i="16"/>
  <c r="K1051" i="16"/>
  <c r="O577" i="16"/>
  <c r="L577" i="16" s="1"/>
  <c r="A577" i="16" s="1"/>
  <c r="O601" i="16"/>
  <c r="L601" i="16" s="1"/>
  <c r="A601" i="16" s="1"/>
  <c r="O621" i="16"/>
  <c r="L621" i="16" s="1"/>
  <c r="A621" i="16" s="1"/>
  <c r="O661" i="16"/>
  <c r="L661" i="16" s="1"/>
  <c r="A661" i="16" s="1"/>
  <c r="K657" i="16"/>
  <c r="A657" i="16" s="1"/>
  <c r="K693" i="16"/>
  <c r="K701" i="16"/>
  <c r="K709" i="16"/>
  <c r="L713" i="16"/>
  <c r="A713" i="16" s="1"/>
  <c r="L736" i="16"/>
  <c r="A736" i="16" s="1"/>
  <c r="K782" i="16"/>
  <c r="L824" i="16"/>
  <c r="A824" i="16" s="1"/>
  <c r="K832" i="16"/>
  <c r="K842" i="16"/>
  <c r="L877" i="16"/>
  <c r="A877" i="16" s="1"/>
  <c r="K898" i="16"/>
  <c r="K919" i="16"/>
  <c r="L921" i="16"/>
  <c r="A921" i="16" s="1"/>
  <c r="K934" i="16"/>
  <c r="L949" i="16"/>
  <c r="A949" i="16" s="1"/>
  <c r="L1013" i="16"/>
  <c r="A1013" i="16" s="1"/>
  <c r="L1044" i="16"/>
  <c r="A1044" i="16" s="1"/>
  <c r="L1095" i="16"/>
  <c r="A1095" i="16" s="1"/>
  <c r="L1141" i="16"/>
  <c r="A1141" i="16" s="1"/>
  <c r="K1144" i="16"/>
  <c r="K1182" i="16"/>
  <c r="K1190" i="16"/>
  <c r="L1216" i="16"/>
  <c r="A1216" i="16" s="1"/>
  <c r="K1196" i="16"/>
  <c r="O567" i="16"/>
  <c r="L567" i="16" s="1"/>
  <c r="A567" i="16" s="1"/>
  <c r="K643" i="16"/>
  <c r="A643" i="16" s="1"/>
  <c r="K659" i="16"/>
  <c r="A659" i="16" s="1"/>
  <c r="A664" i="16"/>
  <c r="K674" i="16"/>
  <c r="A674" i="16" s="1"/>
  <c r="K680" i="16"/>
  <c r="K742" i="16"/>
  <c r="L814" i="16"/>
  <c r="A814" i="16" s="1"/>
  <c r="K837" i="16"/>
  <c r="K891" i="16"/>
  <c r="K909" i="16"/>
  <c r="L929" i="16"/>
  <c r="A929" i="16" s="1"/>
  <c r="L991" i="16"/>
  <c r="A991" i="16" s="1"/>
  <c r="L994" i="16"/>
  <c r="A994" i="16" s="1"/>
  <c r="K1085" i="16"/>
  <c r="L1087" i="16"/>
  <c r="A1087" i="16" s="1"/>
  <c r="K1093" i="16"/>
  <c r="L1126" i="16"/>
  <c r="A1126" i="16" s="1"/>
  <c r="K586" i="16"/>
  <c r="A586" i="16" s="1"/>
  <c r="K607" i="16"/>
  <c r="A607" i="16" s="1"/>
  <c r="K649" i="16"/>
  <c r="A649" i="16" s="1"/>
  <c r="L718" i="16"/>
  <c r="K565" i="16"/>
  <c r="A565" i="16" s="1"/>
  <c r="K617" i="16"/>
  <c r="A617" i="16" s="1"/>
  <c r="O630" i="16"/>
  <c r="L630" i="16" s="1"/>
  <c r="A630" i="16" s="1"/>
  <c r="L851" i="16"/>
  <c r="A851" i="16" s="1"/>
  <c r="K937" i="16"/>
  <c r="K997" i="16"/>
  <c r="L1033" i="16"/>
  <c r="A1033" i="16" s="1"/>
  <c r="K636" i="16"/>
  <c r="A636" i="16" s="1"/>
  <c r="K820" i="16"/>
  <c r="L1220" i="16"/>
  <c r="A1220" i="16" s="1"/>
  <c r="O578" i="16"/>
  <c r="L578" i="16" s="1"/>
  <c r="A578" i="16" s="1"/>
  <c r="O602" i="16"/>
  <c r="L602" i="16" s="1"/>
  <c r="A602" i="16" s="1"/>
  <c r="K639" i="16"/>
  <c r="A639" i="16" s="1"/>
  <c r="K686" i="16"/>
  <c r="K694" i="16"/>
  <c r="K702" i="16"/>
  <c r="K710" i="16"/>
  <c r="K740" i="16"/>
  <c r="K786" i="16"/>
  <c r="K854" i="16"/>
  <c r="L866" i="16"/>
  <c r="A866" i="16" s="1"/>
  <c r="K869" i="16"/>
  <c r="K899" i="16"/>
  <c r="K989" i="16"/>
  <c r="K1037" i="16"/>
  <c r="K1064" i="16"/>
  <c r="K1096" i="16"/>
  <c r="K1183" i="16"/>
  <c r="K1186" i="16"/>
  <c r="K843" i="16"/>
  <c r="K864" i="16"/>
  <c r="K907" i="16"/>
  <c r="K920" i="16"/>
  <c r="K930" i="16"/>
  <c r="K948" i="16"/>
  <c r="K1006" i="16"/>
  <c r="K887" i="16"/>
  <c r="K1078" i="16"/>
  <c r="L1140" i="16"/>
  <c r="A1140" i="16" s="1"/>
  <c r="L1145" i="16"/>
  <c r="A1145" i="16" s="1"/>
  <c r="K618" i="16"/>
  <c r="A618" i="16" s="1"/>
  <c r="K700" i="16"/>
  <c r="K705" i="16"/>
  <c r="K797" i="16"/>
  <c r="K852" i="16"/>
  <c r="K882" i="16"/>
  <c r="K918" i="16"/>
  <c r="K923" i="16"/>
  <c r="K987" i="16"/>
  <c r="K1001" i="16"/>
  <c r="K1018" i="16"/>
  <c r="K1210" i="16"/>
  <c r="K1195" i="16"/>
  <c r="K1224" i="16"/>
  <c r="K1236" i="16"/>
  <c r="O566" i="16"/>
  <c r="L566" i="16" s="1"/>
  <c r="A566" i="16" s="1"/>
  <c r="K626" i="16"/>
  <c r="A626" i="16" s="1"/>
  <c r="K679" i="16"/>
  <c r="K800" i="16"/>
  <c r="K829" i="16"/>
  <c r="L867" i="16"/>
  <c r="A867" i="16" s="1"/>
  <c r="L902" i="16"/>
  <c r="A902" i="16" s="1"/>
  <c r="K969" i="16"/>
  <c r="K946" i="16"/>
  <c r="K1004" i="16"/>
  <c r="K1010" i="16"/>
  <c r="A1010" i="16" s="1"/>
  <c r="K1092" i="16"/>
  <c r="L1162" i="16"/>
  <c r="A1162" i="16" s="1"/>
  <c r="K1213" i="16"/>
  <c r="K616" i="16"/>
  <c r="A616" i="16" s="1"/>
  <c r="O666" i="16"/>
  <c r="L666" i="16" s="1"/>
  <c r="A666" i="16" s="1"/>
  <c r="K747" i="16"/>
  <c r="K811" i="16"/>
  <c r="K839" i="16"/>
  <c r="K865" i="16"/>
  <c r="K931" i="16"/>
  <c r="K1076" i="16"/>
  <c r="K1123" i="16"/>
  <c r="K953" i="16"/>
  <c r="L863" i="16"/>
  <c r="K863" i="16"/>
  <c r="K573" i="16"/>
  <c r="A573" i="16" s="1"/>
  <c r="O580" i="16"/>
  <c r="L580" i="16" s="1"/>
  <c r="A580" i="16" s="1"/>
  <c r="O595" i="16"/>
  <c r="L595" i="16" s="1"/>
  <c r="A595" i="16" s="1"/>
  <c r="K606" i="16"/>
  <c r="A606" i="16" s="1"/>
  <c r="K619" i="16"/>
  <c r="A619" i="16" s="1"/>
  <c r="O624" i="16"/>
  <c r="L624" i="16" s="1"/>
  <c r="A624" i="16" s="1"/>
  <c r="O635" i="16"/>
  <c r="L635" i="16" s="1"/>
  <c r="A635" i="16" s="1"/>
  <c r="K637" i="16"/>
  <c r="A637" i="16" s="1"/>
  <c r="O641" i="16"/>
  <c r="L641" i="16" s="1"/>
  <c r="A641" i="16" s="1"/>
  <c r="K648" i="16"/>
  <c r="A648" i="16" s="1"/>
  <c r="K662" i="16"/>
  <c r="A662" i="16" s="1"/>
  <c r="O655" i="16"/>
  <c r="L655" i="16" s="1"/>
  <c r="A655" i="16" s="1"/>
  <c r="K685" i="16"/>
  <c r="L692" i="16"/>
  <c r="A692" i="16" s="1"/>
  <c r="K703" i="16"/>
  <c r="L708" i="16"/>
  <c r="A708" i="16" s="1"/>
  <c r="K721" i="16"/>
  <c r="L726" i="16"/>
  <c r="A726" i="16" s="1"/>
  <c r="K741" i="16"/>
  <c r="L746" i="16"/>
  <c r="A746" i="16" s="1"/>
  <c r="K757" i="16"/>
  <c r="L776" i="16"/>
  <c r="A776" i="16" s="1"/>
  <c r="K780" i="16"/>
  <c r="L785" i="16"/>
  <c r="A785" i="16" s="1"/>
  <c r="K788" i="16"/>
  <c r="K813" i="16"/>
  <c r="L813" i="16"/>
  <c r="L815" i="16"/>
  <c r="A815" i="16" s="1"/>
  <c r="K911" i="16"/>
  <c r="L911" i="16"/>
  <c r="K599" i="16"/>
  <c r="A599" i="16" s="1"/>
  <c r="K696" i="16"/>
  <c r="K734" i="16"/>
  <c r="K750" i="16"/>
  <c r="L755" i="16"/>
  <c r="A755" i="16" s="1"/>
  <c r="K772" i="16"/>
  <c r="K795" i="16"/>
  <c r="L807" i="16"/>
  <c r="K807" i="16"/>
  <c r="L841" i="16"/>
  <c r="K841" i="16"/>
  <c r="K985" i="16"/>
  <c r="K594" i="16"/>
  <c r="A594" i="16" s="1"/>
  <c r="K614" i="16"/>
  <c r="A614" i="16" s="1"/>
  <c r="K623" i="16"/>
  <c r="A623" i="16" s="1"/>
  <c r="K634" i="16"/>
  <c r="A634" i="16" s="1"/>
  <c r="K644" i="16"/>
  <c r="A644" i="16" s="1"/>
  <c r="K652" i="16"/>
  <c r="A652" i="16" s="1"/>
  <c r="K654" i="16"/>
  <c r="A654" i="16" s="1"/>
  <c r="K691" i="16"/>
  <c r="K707" i="16"/>
  <c r="K725" i="16"/>
  <c r="K745" i="16"/>
  <c r="K784" i="16"/>
  <c r="K873" i="16"/>
  <c r="L873" i="16"/>
  <c r="L881" i="16"/>
  <c r="K881" i="16"/>
  <c r="L1021" i="16"/>
  <c r="K1021" i="16"/>
  <c r="K932" i="16"/>
  <c r="L821" i="16"/>
  <c r="K821" i="16"/>
  <c r="K922" i="16"/>
  <c r="L922" i="16"/>
  <c r="L1032" i="16"/>
  <c r="K1032" i="16"/>
  <c r="L1101" i="16"/>
  <c r="K1101" i="16"/>
  <c r="L876" i="16"/>
  <c r="K876" i="16"/>
  <c r="L1019" i="16"/>
  <c r="K1019" i="16"/>
  <c r="K583" i="16"/>
  <c r="A583" i="16" s="1"/>
  <c r="K598" i="16"/>
  <c r="A598" i="16" s="1"/>
  <c r="K627" i="16"/>
  <c r="A627" i="16" s="1"/>
  <c r="K665" i="16"/>
  <c r="A665" i="16" s="1"/>
  <c r="K695" i="16"/>
  <c r="K711" i="16"/>
  <c r="K733" i="16"/>
  <c r="K749" i="16"/>
  <c r="K808" i="16"/>
  <c r="K810" i="16"/>
  <c r="K855" i="16"/>
  <c r="K781" i="16"/>
  <c r="K806" i="16"/>
  <c r="K835" i="16"/>
  <c r="L954" i="16"/>
  <c r="K954" i="16"/>
  <c r="K826" i="16"/>
  <c r="L853" i="16"/>
  <c r="K853" i="16"/>
  <c r="L1125" i="16"/>
  <c r="K1125" i="16"/>
  <c r="K593" i="16"/>
  <c r="A593" i="16" s="1"/>
  <c r="K613" i="16"/>
  <c r="A613" i="16" s="1"/>
  <c r="K622" i="16"/>
  <c r="A622" i="16" s="1"/>
  <c r="K640" i="16"/>
  <c r="A640" i="16" s="1"/>
  <c r="K651" i="16"/>
  <c r="A651" i="16" s="1"/>
  <c r="K653" i="16"/>
  <c r="A653" i="16" s="1"/>
  <c r="K690" i="16"/>
  <c r="K706" i="16"/>
  <c r="K724" i="16"/>
  <c r="K744" i="16"/>
  <c r="K783" i="16"/>
  <c r="K804" i="16"/>
  <c r="L804" i="16"/>
  <c r="L1000" i="16"/>
  <c r="K1000" i="16"/>
  <c r="L817" i="16"/>
  <c r="K817" i="16"/>
  <c r="L890" i="16"/>
  <c r="K890" i="16"/>
  <c r="L838" i="16"/>
  <c r="K838" i="16"/>
  <c r="K900" i="16"/>
  <c r="L900" i="16"/>
  <c r="K908" i="16"/>
  <c r="L1005" i="16"/>
  <c r="K1005" i="16"/>
  <c r="K868" i="16"/>
  <c r="K886" i="16"/>
  <c r="A886" i="16" s="1"/>
  <c r="K895" i="16"/>
  <c r="K904" i="16"/>
  <c r="K915" i="16"/>
  <c r="L947" i="16"/>
  <c r="A947" i="16" s="1"/>
  <c r="K950" i="16"/>
  <c r="A950" i="16" s="1"/>
  <c r="K856" i="16"/>
  <c r="L988" i="16"/>
  <c r="A988" i="16" s="1"/>
  <c r="K992" i="16"/>
  <c r="L1007" i="16"/>
  <c r="A1007" i="16" s="1"/>
  <c r="L1009" i="16"/>
  <c r="A1009" i="16" s="1"/>
  <c r="L1038" i="16"/>
  <c r="A1038" i="16" s="1"/>
  <c r="L1040" i="16"/>
  <c r="A1040" i="16" s="1"/>
  <c r="L1059" i="16"/>
  <c r="A1059" i="16" s="1"/>
  <c r="L1063" i="16"/>
  <c r="A1063" i="16" s="1"/>
  <c r="L1077" i="16"/>
  <c r="A1077" i="16" s="1"/>
  <c r="L1118" i="16"/>
  <c r="A1118" i="16" s="1"/>
  <c r="L1143" i="16"/>
  <c r="A1143" i="16" s="1"/>
  <c r="K906" i="16"/>
  <c r="K928" i="16"/>
  <c r="K983" i="16"/>
  <c r="L1011" i="16"/>
  <c r="A1011" i="16" s="1"/>
  <c r="K1017" i="16"/>
  <c r="L1079" i="16"/>
  <c r="A1079" i="16" s="1"/>
  <c r="L1083" i="16"/>
  <c r="A1083" i="16" s="1"/>
  <c r="L1139" i="16"/>
  <c r="K1139" i="16"/>
  <c r="L939" i="16"/>
  <c r="A939" i="16" s="1"/>
  <c r="K970" i="16"/>
  <c r="K1034" i="16"/>
  <c r="K1074" i="16"/>
  <c r="K1127" i="16"/>
  <c r="L1160" i="16"/>
  <c r="A1160" i="16" s="1"/>
  <c r="K912" i="16"/>
  <c r="L1041" i="16"/>
  <c r="A1041" i="16" s="1"/>
  <c r="L1060" i="16"/>
  <c r="A1060" i="16" s="1"/>
  <c r="L1062" i="16"/>
  <c r="A1062" i="16" s="1"/>
  <c r="K927" i="16"/>
  <c r="K938" i="16"/>
  <c r="K993" i="16"/>
  <c r="K995" i="16"/>
  <c r="L1082" i="16"/>
  <c r="A1082" i="16" s="1"/>
  <c r="K1088" i="16"/>
  <c r="K1090" i="16"/>
  <c r="K1016" i="16"/>
  <c r="L1165" i="16"/>
  <c r="K1165" i="16"/>
  <c r="L1014" i="16"/>
  <c r="K1014" i="16"/>
  <c r="K1157" i="16"/>
  <c r="K1159" i="16"/>
  <c r="K1192" i="16"/>
  <c r="L1175" i="16"/>
  <c r="K1175" i="16"/>
  <c r="K945" i="16"/>
  <c r="K1050" i="16"/>
  <c r="K1052" i="16"/>
  <c r="K1120" i="16"/>
  <c r="K1234" i="16"/>
  <c r="K1221" i="16"/>
  <c r="L1217" i="16"/>
  <c r="A1217" i="16" s="1"/>
  <c r="K1039" i="16"/>
  <c r="K1058" i="16"/>
  <c r="K1067" i="16"/>
  <c r="K1080" i="16"/>
  <c r="K1089" i="16"/>
  <c r="K1105" i="16"/>
  <c r="K1136" i="16"/>
  <c r="K1163" i="16"/>
  <c r="K1214" i="16"/>
  <c r="K1227" i="16"/>
  <c r="K1188" i="16"/>
  <c r="K1197" i="16"/>
  <c r="K1233" i="16"/>
  <c r="K1211" i="16"/>
  <c r="K1235" i="16"/>
  <c r="A1235" i="16" s="1"/>
  <c r="K1237" i="16"/>
  <c r="K1194" i="16"/>
  <c r="O2463" i="16" l="1"/>
  <c r="L2463" i="16" s="1"/>
  <c r="K2463" i="16"/>
  <c r="A918" i="16"/>
  <c r="A702" i="16"/>
  <c r="A865" i="16"/>
  <c r="A772" i="16"/>
  <c r="A1018" i="16"/>
  <c r="A934" i="16"/>
  <c r="A694" i="16"/>
  <c r="A747" i="16"/>
  <c r="K2457" i="16"/>
  <c r="O2457" i="16"/>
  <c r="L2457" i="16" s="1"/>
  <c r="O2454" i="16"/>
  <c r="L2454" i="16" s="1"/>
  <c r="K2454" i="16"/>
  <c r="K2452" i="16"/>
  <c r="O2452" i="16"/>
  <c r="L2452" i="16" s="1"/>
  <c r="K2461" i="16"/>
  <c r="O2461" i="16"/>
  <c r="L2461" i="16" s="1"/>
  <c r="O2451" i="16"/>
  <c r="L2451" i="16" s="1"/>
  <c r="K2451" i="16"/>
  <c r="K2456" i="16"/>
  <c r="O2456" i="16"/>
  <c r="L2456" i="16" s="1"/>
  <c r="K2453" i="16"/>
  <c r="O2453" i="16"/>
  <c r="L2453" i="16" s="1"/>
  <c r="K2458" i="16"/>
  <c r="O2458" i="16"/>
  <c r="L2458" i="16" s="1"/>
  <c r="K2460" i="16"/>
  <c r="O2460" i="16"/>
  <c r="L2460" i="16" s="1"/>
  <c r="O2455" i="16"/>
  <c r="L2455" i="16" s="1"/>
  <c r="K2455" i="16"/>
  <c r="A800" i="16"/>
  <c r="L2462" i="16"/>
  <c r="A2462" i="16" s="1"/>
  <c r="O2459" i="16"/>
  <c r="L2459" i="16" s="1"/>
  <c r="K2459" i="16"/>
  <c r="A910" i="16"/>
  <c r="A686" i="16"/>
  <c r="A840" i="16"/>
  <c r="A989" i="16"/>
  <c r="A832" i="16"/>
  <c r="O2450" i="16"/>
  <c r="L2450" i="16" s="1"/>
  <c r="K2450" i="16"/>
  <c r="A1234" i="16"/>
  <c r="A808" i="16"/>
  <c r="A931" i="16"/>
  <c r="A1058" i="16"/>
  <c r="A695" i="16"/>
  <c r="A1186" i="16"/>
  <c r="A997" i="16"/>
  <c r="A1051" i="16"/>
  <c r="A906" i="16"/>
  <c r="A969" i="16"/>
  <c r="A882" i="16"/>
  <c r="A855" i="16"/>
  <c r="A1211" i="16"/>
  <c r="A1105" i="16"/>
  <c r="A1074" i="16"/>
  <c r="A707" i="16"/>
  <c r="A685" i="16"/>
  <c r="A953" i="16"/>
  <c r="A1037" i="16"/>
  <c r="A693" i="16"/>
  <c r="A875" i="16"/>
  <c r="A1215" i="16"/>
  <c r="A888" i="16"/>
  <c r="A717" i="16"/>
  <c r="A1233" i="16"/>
  <c r="A1089" i="16"/>
  <c r="A927" i="16"/>
  <c r="A1034" i="16"/>
  <c r="A915" i="16"/>
  <c r="A724" i="16"/>
  <c r="A749" i="16"/>
  <c r="A691" i="16"/>
  <c r="A1123" i="16"/>
  <c r="A1236" i="16"/>
  <c r="A907" i="16"/>
  <c r="A820" i="16"/>
  <c r="A1085" i="16"/>
  <c r="A742" i="16"/>
  <c r="A933" i="16"/>
  <c r="A715" i="16"/>
  <c r="A818" i="16"/>
  <c r="A1098" i="16"/>
  <c r="A916" i="16"/>
  <c r="A716" i="16"/>
  <c r="A754" i="16"/>
  <c r="A680" i="16"/>
  <c r="A733" i="16"/>
  <c r="A1164" i="16"/>
  <c r="A892" i="16"/>
  <c r="A1052" i="16"/>
  <c r="A1090" i="16"/>
  <c r="A690" i="16"/>
  <c r="A711" i="16"/>
  <c r="A887" i="16"/>
  <c r="A1182" i="16"/>
  <c r="A782" i="16"/>
  <c r="A743" i="16"/>
  <c r="A1122" i="16"/>
  <c r="A779" i="16"/>
  <c r="A1080" i="16"/>
  <c r="A1213" i="16"/>
  <c r="A825" i="16"/>
  <c r="A1188" i="16"/>
  <c r="A1159" i="16"/>
  <c r="A970" i="16"/>
  <c r="A852" i="16"/>
  <c r="A869" i="16"/>
  <c r="A722" i="16"/>
  <c r="A1097" i="16"/>
  <c r="A952" i="16"/>
  <c r="A1227" i="16"/>
  <c r="A1050" i="16"/>
  <c r="A1088" i="16"/>
  <c r="A806" i="16"/>
  <c r="A788" i="16"/>
  <c r="A829" i="16"/>
  <c r="A1036" i="16"/>
  <c r="A1094" i="16"/>
  <c r="A1224" i="16"/>
  <c r="A1138" i="16"/>
  <c r="A1067" i="16"/>
  <c r="A1017" i="16"/>
  <c r="A895" i="16"/>
  <c r="A1195" i="16"/>
  <c r="A843" i="16"/>
  <c r="A951" i="16"/>
  <c r="A883" i="16"/>
  <c r="A1157" i="16"/>
  <c r="A992" i="16"/>
  <c r="A734" i="16"/>
  <c r="A721" i="16"/>
  <c r="A1092" i="16"/>
  <c r="A1210" i="16"/>
  <c r="A797" i="16"/>
  <c r="A1144" i="16"/>
  <c r="A919" i="16"/>
  <c r="A1189" i="16"/>
  <c r="A1121" i="16"/>
  <c r="A822" i="16"/>
  <c r="A1194" i="16"/>
  <c r="A1214" i="16"/>
  <c r="A1039" i="16"/>
  <c r="A945" i="16"/>
  <c r="A912" i="16"/>
  <c r="A868" i="16"/>
  <c r="A781" i="16"/>
  <c r="A784" i="16"/>
  <c r="A696" i="16"/>
  <c r="A839" i="16"/>
  <c r="A705" i="16"/>
  <c r="A1006" i="16"/>
  <c r="A1183" i="16"/>
  <c r="A854" i="16"/>
  <c r="A937" i="16"/>
  <c r="A909" i="16"/>
  <c r="A898" i="16"/>
  <c r="A1084" i="16"/>
  <c r="A999" i="16"/>
  <c r="A984" i="16"/>
  <c r="A803" i="16"/>
  <c r="A735" i="16"/>
  <c r="A1104" i="16"/>
  <c r="A896" i="16"/>
  <c r="A1180" i="16"/>
  <c r="A1112" i="16"/>
  <c r="A903" i="16"/>
  <c r="A1137" i="16"/>
  <c r="A1197" i="16"/>
  <c r="A1016" i="16"/>
  <c r="A1076" i="16"/>
  <c r="A864" i="16"/>
  <c r="A1190" i="16"/>
  <c r="A955" i="16"/>
  <c r="A1163" i="16"/>
  <c r="A983" i="16"/>
  <c r="A703" i="16"/>
  <c r="A1004" i="16"/>
  <c r="A700" i="16"/>
  <c r="A1096" i="16"/>
  <c r="A891" i="16"/>
  <c r="A730" i="16"/>
  <c r="A738" i="16"/>
  <c r="A897" i="16"/>
  <c r="A1135" i="16"/>
  <c r="A1120" i="16"/>
  <c r="A706" i="16"/>
  <c r="A741" i="16"/>
  <c r="A899" i="16"/>
  <c r="A1012" i="16"/>
  <c r="A995" i="16"/>
  <c r="A780" i="16"/>
  <c r="A811" i="16"/>
  <c r="A1001" i="16"/>
  <c r="A948" i="16"/>
  <c r="A786" i="16"/>
  <c r="A709" i="16"/>
  <c r="A936" i="16"/>
  <c r="A802" i="16"/>
  <c r="A1027" i="16"/>
  <c r="A1136" i="16"/>
  <c r="A1221" i="16"/>
  <c r="A993" i="16"/>
  <c r="A1127" i="16"/>
  <c r="A928" i="16"/>
  <c r="A783" i="16"/>
  <c r="A810" i="16"/>
  <c r="A725" i="16"/>
  <c r="A795" i="16"/>
  <c r="A946" i="16"/>
  <c r="A987" i="16"/>
  <c r="A930" i="16"/>
  <c r="A1064" i="16"/>
  <c r="A740" i="16"/>
  <c r="A1093" i="16"/>
  <c r="A837" i="16"/>
  <c r="A701" i="16"/>
  <c r="A901" i="16"/>
  <c r="A1129" i="16"/>
  <c r="A727" i="16"/>
  <c r="A697" i="16"/>
  <c r="A924" i="16"/>
  <c r="A941" i="16"/>
  <c r="A1068" i="16"/>
  <c r="A1065" i="16"/>
  <c r="A904" i="16"/>
  <c r="A750" i="16"/>
  <c r="A1078" i="16"/>
  <c r="A1237" i="16"/>
  <c r="A856" i="16"/>
  <c r="A745" i="16"/>
  <c r="A679" i="16"/>
  <c r="A938" i="16"/>
  <c r="A744" i="16"/>
  <c r="A757" i="16"/>
  <c r="A923" i="16"/>
  <c r="A920" i="16"/>
  <c r="A710" i="16"/>
  <c r="A1196" i="16"/>
  <c r="A842" i="16"/>
  <c r="A823" i="16"/>
  <c r="A833" i="16"/>
  <c r="O2444" i="16"/>
  <c r="L2444" i="16" s="1"/>
  <c r="K2444" i="16"/>
  <c r="O2441" i="16"/>
  <c r="L2441" i="16" s="1"/>
  <c r="K2441" i="16"/>
  <c r="K2442" i="16"/>
  <c r="O2442" i="16"/>
  <c r="L2442" i="16" s="1"/>
  <c r="K2443" i="16"/>
  <c r="O2443" i="16"/>
  <c r="L2443" i="16" s="1"/>
  <c r="O2440" i="16"/>
  <c r="L2440" i="16" s="1"/>
  <c r="K2440" i="16"/>
  <c r="K2439" i="16"/>
  <c r="O2439" i="16"/>
  <c r="L2439" i="16" s="1"/>
  <c r="K2423" i="16"/>
  <c r="O2423" i="16"/>
  <c r="L2423" i="16" s="1"/>
  <c r="O2429" i="16"/>
  <c r="L2429" i="16" s="1"/>
  <c r="K2429" i="16"/>
  <c r="K2434" i="16"/>
  <c r="O2434" i="16"/>
  <c r="L2434" i="16" s="1"/>
  <c r="O2424" i="16"/>
  <c r="L2424" i="16" s="1"/>
  <c r="K2424" i="16"/>
  <c r="O2433" i="16"/>
  <c r="L2433" i="16" s="1"/>
  <c r="K2433" i="16"/>
  <c r="K2431" i="16"/>
  <c r="O2431" i="16"/>
  <c r="L2431" i="16" s="1"/>
  <c r="O2428" i="16"/>
  <c r="L2428" i="16" s="1"/>
  <c r="K2428" i="16"/>
  <c r="K2430" i="16"/>
  <c r="O2430" i="16"/>
  <c r="L2430" i="16" s="1"/>
  <c r="K2432" i="16"/>
  <c r="O2432" i="16"/>
  <c r="L2432" i="16" s="1"/>
  <c r="K2419" i="16"/>
  <c r="O2419" i="16"/>
  <c r="L2419" i="16" s="1"/>
  <c r="O2420" i="16"/>
  <c r="L2420" i="16" s="1"/>
  <c r="K2420" i="16"/>
  <c r="K2418" i="16"/>
  <c r="O2418" i="16"/>
  <c r="L2418" i="16" s="1"/>
  <c r="O2417" i="16"/>
  <c r="L2417" i="16" s="1"/>
  <c r="K2417" i="16"/>
  <c r="K2416" i="16"/>
  <c r="O2416" i="16"/>
  <c r="L2416" i="16" s="1"/>
  <c r="K2415" i="16"/>
  <c r="O2415" i="16"/>
  <c r="L2415" i="16" s="1"/>
  <c r="K2414" i="16"/>
  <c r="O2414" i="16"/>
  <c r="L2414" i="16" s="1"/>
  <c r="O2413" i="16"/>
  <c r="L2413" i="16" s="1"/>
  <c r="K2413" i="16"/>
  <c r="K2411" i="16"/>
  <c r="O2411" i="16"/>
  <c r="L2411" i="16" s="1"/>
  <c r="O2409" i="16"/>
  <c r="L2409" i="16" s="1"/>
  <c r="K2409" i="16"/>
  <c r="K2410" i="16"/>
  <c r="O2410" i="16"/>
  <c r="L2410" i="16" s="1"/>
  <c r="K2412" i="16"/>
  <c r="O2412" i="16"/>
  <c r="L2412" i="16" s="1"/>
  <c r="K2407" i="16"/>
  <c r="O2407" i="16"/>
  <c r="L2407" i="16" s="1"/>
  <c r="K2406" i="16"/>
  <c r="O2406" i="16"/>
  <c r="L2406" i="16" s="1"/>
  <c r="O2405" i="16"/>
  <c r="L2405" i="16" s="1"/>
  <c r="K2405" i="16"/>
  <c r="K2399" i="16"/>
  <c r="O2399" i="16"/>
  <c r="L2399" i="16" s="1"/>
  <c r="K2400" i="16"/>
  <c r="O2400" i="16"/>
  <c r="L2400" i="16" s="1"/>
  <c r="K2402" i="16"/>
  <c r="O2402" i="16"/>
  <c r="L2402" i="16" s="1"/>
  <c r="K2403" i="16"/>
  <c r="O2403" i="16"/>
  <c r="L2403" i="16" s="1"/>
  <c r="O2401" i="16"/>
  <c r="L2401" i="16" s="1"/>
  <c r="K2401" i="16"/>
  <c r="K2404" i="16"/>
  <c r="O2404" i="16"/>
  <c r="L2404" i="16" s="1"/>
  <c r="K2398" i="16"/>
  <c r="O2398" i="16"/>
  <c r="L2398" i="16" s="1"/>
  <c r="O2393" i="16"/>
  <c r="L2393" i="16" s="1"/>
  <c r="K2393" i="16"/>
  <c r="O2395" i="16"/>
  <c r="L2395" i="16" s="1"/>
  <c r="K2395" i="16"/>
  <c r="O2397" i="16"/>
  <c r="L2397" i="16" s="1"/>
  <c r="K2397" i="16"/>
  <c r="K2394" i="16"/>
  <c r="O2394" i="16"/>
  <c r="L2394" i="16" s="1"/>
  <c r="O2396" i="16"/>
  <c r="L2396" i="16" s="1"/>
  <c r="K2396" i="16"/>
  <c r="K2392" i="16"/>
  <c r="O2392" i="16"/>
  <c r="L2392" i="16" s="1"/>
  <c r="O2384" i="16"/>
  <c r="L2384" i="16" s="1"/>
  <c r="K2384" i="16"/>
  <c r="O2386" i="16"/>
  <c r="L2386" i="16" s="1"/>
  <c r="K2386" i="16"/>
  <c r="O2383" i="16"/>
  <c r="L2383" i="16" s="1"/>
  <c r="K2383" i="16"/>
  <c r="O2382" i="16"/>
  <c r="L2382" i="16" s="1"/>
  <c r="K2382" i="16"/>
  <c r="O2381" i="16"/>
  <c r="L2381" i="16" s="1"/>
  <c r="K2381" i="16"/>
  <c r="O2385" i="16"/>
  <c r="L2385" i="16" s="1"/>
  <c r="K2385" i="16"/>
  <c r="O2376" i="16"/>
  <c r="L2376" i="16" s="1"/>
  <c r="K2376" i="16"/>
  <c r="O2377" i="16"/>
  <c r="L2377" i="16" s="1"/>
  <c r="K2377" i="16"/>
  <c r="K2375" i="16"/>
  <c r="O2375" i="16"/>
  <c r="L2375" i="16" s="1"/>
  <c r="K2378" i="16"/>
  <c r="O2378" i="16"/>
  <c r="L2378" i="16" s="1"/>
  <c r="O2373" i="16"/>
  <c r="L2373" i="16" s="1"/>
  <c r="K2373" i="16"/>
  <c r="K2374" i="16"/>
  <c r="O2374" i="16"/>
  <c r="L2374" i="16" s="1"/>
  <c r="K2372" i="16"/>
  <c r="O2372" i="16"/>
  <c r="L2372" i="16" s="1"/>
  <c r="O2371" i="16"/>
  <c r="L2371" i="16" s="1"/>
  <c r="K2371" i="16"/>
  <c r="O2370" i="16"/>
  <c r="L2370" i="16" s="1"/>
  <c r="K2370" i="16"/>
  <c r="O2369" i="16"/>
  <c r="L2369" i="16" s="1"/>
  <c r="K2369" i="16"/>
  <c r="O2360" i="16"/>
  <c r="L2360" i="16" s="1"/>
  <c r="K2360" i="16"/>
  <c r="O2366" i="16"/>
  <c r="L2366" i="16" s="1"/>
  <c r="K2366" i="16"/>
  <c r="O2365" i="16"/>
  <c r="L2365" i="16" s="1"/>
  <c r="K2365" i="16"/>
  <c r="O2368" i="16"/>
  <c r="L2368" i="16" s="1"/>
  <c r="K2368" i="16"/>
  <c r="O2367" i="16"/>
  <c r="L2367" i="16" s="1"/>
  <c r="K2367" i="16"/>
  <c r="O2357" i="16"/>
  <c r="L2357" i="16" s="1"/>
  <c r="K2357" i="16"/>
  <c r="O2356" i="16"/>
  <c r="L2356" i="16" s="1"/>
  <c r="K2356" i="16"/>
  <c r="O2355" i="16"/>
  <c r="L2355" i="16" s="1"/>
  <c r="K2355" i="16"/>
  <c r="K2354" i="16"/>
  <c r="O2354" i="16"/>
  <c r="L2354" i="16" s="1"/>
  <c r="O2353" i="16"/>
  <c r="L2353" i="16" s="1"/>
  <c r="K2353" i="16"/>
  <c r="O2351" i="16"/>
  <c r="L2351" i="16" s="1"/>
  <c r="K2351" i="16"/>
  <c r="K2350" i="16"/>
  <c r="O2350" i="16"/>
  <c r="L2350" i="16" s="1"/>
  <c r="O2349" i="16"/>
  <c r="L2349" i="16" s="1"/>
  <c r="K2349" i="16"/>
  <c r="O2348" i="16"/>
  <c r="L2348" i="16" s="1"/>
  <c r="K2348" i="16"/>
  <c r="K2346" i="16"/>
  <c r="O2346" i="16"/>
  <c r="L2346" i="16" s="1"/>
  <c r="O2347" i="16"/>
  <c r="L2347" i="16" s="1"/>
  <c r="K2347" i="16"/>
  <c r="K2344" i="16"/>
  <c r="O2344" i="16"/>
  <c r="L2344" i="16" s="1"/>
  <c r="K2345" i="16"/>
  <c r="O2345" i="16"/>
  <c r="L2345" i="16" s="1"/>
  <c r="O2343" i="16"/>
  <c r="L2343" i="16" s="1"/>
  <c r="K2343" i="16"/>
  <c r="K2342" i="16"/>
  <c r="O2342" i="16"/>
  <c r="L2342" i="16" s="1"/>
  <c r="K2337" i="16"/>
  <c r="O2337" i="16"/>
  <c r="L2337" i="16" s="1"/>
  <c r="O2336" i="16"/>
  <c r="L2336" i="16" s="1"/>
  <c r="K2336" i="16"/>
  <c r="O2339" i="16"/>
  <c r="L2339" i="16" s="1"/>
  <c r="K2339" i="16"/>
  <c r="K2335" i="16"/>
  <c r="O2335" i="16"/>
  <c r="L2335" i="16" s="1"/>
  <c r="O2334" i="16"/>
  <c r="L2334" i="16" s="1"/>
  <c r="K2334" i="16"/>
  <c r="O2333" i="16"/>
  <c r="L2333" i="16" s="1"/>
  <c r="K2333" i="16"/>
  <c r="K2331" i="16"/>
  <c r="O2331" i="16"/>
  <c r="L2331" i="16" s="1"/>
  <c r="O2332" i="16"/>
  <c r="L2332" i="16" s="1"/>
  <c r="K2332" i="16"/>
  <c r="K2330" i="16"/>
  <c r="O2330" i="16"/>
  <c r="L2330" i="16" s="1"/>
  <c r="O2329" i="16"/>
  <c r="L2329" i="16" s="1"/>
  <c r="K2329" i="16"/>
  <c r="O2327" i="16"/>
  <c r="L2327" i="16" s="1"/>
  <c r="K2327" i="16"/>
  <c r="O2326" i="16"/>
  <c r="L2326" i="16" s="1"/>
  <c r="K2326" i="16"/>
  <c r="O2325" i="16"/>
  <c r="L2325" i="16" s="1"/>
  <c r="K2325" i="16"/>
  <c r="K2323" i="16"/>
  <c r="O2323" i="16"/>
  <c r="L2323" i="16" s="1"/>
  <c r="K2322" i="16"/>
  <c r="O2322" i="16"/>
  <c r="L2322" i="16" s="1"/>
  <c r="O2319" i="16"/>
  <c r="L2319" i="16" s="1"/>
  <c r="K2319" i="16"/>
  <c r="K2317" i="16"/>
  <c r="O2317" i="16"/>
  <c r="L2317" i="16" s="1"/>
  <c r="K2316" i="16"/>
  <c r="O2316" i="16"/>
  <c r="L2316" i="16" s="1"/>
  <c r="O2318" i="16"/>
  <c r="L2318" i="16" s="1"/>
  <c r="K2318" i="16"/>
  <c r="O2313" i="16"/>
  <c r="L2313" i="16" s="1"/>
  <c r="K2313" i="16"/>
  <c r="K2311" i="16"/>
  <c r="O2311" i="16"/>
  <c r="L2311" i="16" s="1"/>
  <c r="K2314" i="16"/>
  <c r="O2314" i="16"/>
  <c r="L2314" i="16" s="1"/>
  <c r="O2312" i="16"/>
  <c r="L2312" i="16" s="1"/>
  <c r="K2312" i="16"/>
  <c r="O2304" i="16"/>
  <c r="L2304" i="16" s="1"/>
  <c r="K2304" i="16"/>
  <c r="O2305" i="16"/>
  <c r="L2305" i="16" s="1"/>
  <c r="K2305" i="16"/>
  <c r="O2307" i="16"/>
  <c r="L2307" i="16" s="1"/>
  <c r="O2306" i="16"/>
  <c r="L2306" i="16" s="1"/>
  <c r="K2306" i="16"/>
  <c r="K2303" i="16"/>
  <c r="O2303" i="16"/>
  <c r="L2303" i="16" s="1"/>
  <c r="K2300" i="16"/>
  <c r="O2300" i="16"/>
  <c r="L2300" i="16" s="1"/>
  <c r="O2298" i="16"/>
  <c r="L2298" i="16" s="1"/>
  <c r="K2298" i="16"/>
  <c r="K2296" i="16"/>
  <c r="O2296" i="16"/>
  <c r="L2296" i="16" s="1"/>
  <c r="O2301" i="16"/>
  <c r="L2301" i="16" s="1"/>
  <c r="K2301" i="16"/>
  <c r="O2299" i="16"/>
  <c r="L2299" i="16" s="1"/>
  <c r="K2299" i="16"/>
  <c r="O2297" i="16"/>
  <c r="L2297" i="16" s="1"/>
  <c r="K2297" i="16"/>
  <c r="K2302" i="16"/>
  <c r="O2302" i="16"/>
  <c r="L2302" i="16" s="1"/>
  <c r="O2283" i="16"/>
  <c r="L2283" i="16" s="1"/>
  <c r="K2283" i="16"/>
  <c r="O2293" i="16"/>
  <c r="L2293" i="16" s="1"/>
  <c r="K2293" i="16"/>
  <c r="O2281" i="16"/>
  <c r="L2281" i="16" s="1"/>
  <c r="K2281" i="16"/>
  <c r="K2295" i="16"/>
  <c r="O2295" i="16"/>
  <c r="L2295" i="16" s="1"/>
  <c r="K2279" i="16"/>
  <c r="O2279" i="16"/>
  <c r="L2279" i="16" s="1"/>
  <c r="O2289" i="16"/>
  <c r="L2289" i="16" s="1"/>
  <c r="K2289" i="16"/>
  <c r="O2286" i="16"/>
  <c r="L2286" i="16" s="1"/>
  <c r="K2286" i="16"/>
  <c r="O2277" i="16"/>
  <c r="L2277" i="16" s="1"/>
  <c r="K2277" i="16"/>
  <c r="K2288" i="16"/>
  <c r="O2288" i="16"/>
  <c r="L2288" i="16" s="1"/>
  <c r="K2294" i="16"/>
  <c r="O2294" i="16"/>
  <c r="L2294" i="16" s="1"/>
  <c r="O2282" i="16"/>
  <c r="L2282" i="16" s="1"/>
  <c r="K2282" i="16"/>
  <c r="K2284" i="16"/>
  <c r="O2284" i="16"/>
  <c r="L2284" i="16" s="1"/>
  <c r="O2290" i="16"/>
  <c r="L2290" i="16" s="1"/>
  <c r="K2290" i="16"/>
  <c r="K2287" i="16"/>
  <c r="O2287" i="16"/>
  <c r="L2287" i="16" s="1"/>
  <c r="O2278" i="16"/>
  <c r="L2278" i="16" s="1"/>
  <c r="K2278" i="16"/>
  <c r="O2276" i="16"/>
  <c r="L2276" i="16" s="1"/>
  <c r="K2276" i="16"/>
  <c r="O2285" i="16"/>
  <c r="L2285" i="16" s="1"/>
  <c r="K2285" i="16"/>
  <c r="K2280" i="16"/>
  <c r="O2280" i="16"/>
  <c r="L2280" i="16" s="1"/>
  <c r="K2275" i="16"/>
  <c r="O2275" i="16"/>
  <c r="L2275" i="16" s="1"/>
  <c r="K2273" i="16"/>
  <c r="O2273" i="16"/>
  <c r="L2273" i="16" s="1"/>
  <c r="O2274" i="16"/>
  <c r="L2274" i="16" s="1"/>
  <c r="K2274" i="16"/>
  <c r="O2270" i="16"/>
  <c r="L2270" i="16" s="1"/>
  <c r="K2270" i="16"/>
  <c r="K2272" i="16"/>
  <c r="O2272" i="16"/>
  <c r="L2272" i="16" s="1"/>
  <c r="O2271" i="16"/>
  <c r="L2271" i="16" s="1"/>
  <c r="K2271" i="16"/>
  <c r="O2268" i="16"/>
  <c r="L2268" i="16" s="1"/>
  <c r="K2268" i="16"/>
  <c r="K2266" i="16"/>
  <c r="O2266" i="16"/>
  <c r="L2266" i="16" s="1"/>
  <c r="K2265" i="16"/>
  <c r="O2265" i="16"/>
  <c r="L2265" i="16" s="1"/>
  <c r="O2263" i="16"/>
  <c r="L2263" i="16" s="1"/>
  <c r="K2263" i="16"/>
  <c r="K2264" i="16"/>
  <c r="O2264" i="16"/>
  <c r="L2264" i="16" s="1"/>
  <c r="K2262" i="16"/>
  <c r="O2262" i="16"/>
  <c r="L2262" i="16" s="1"/>
  <c r="K2258" i="16"/>
  <c r="O2258" i="16"/>
  <c r="L2258" i="16" s="1"/>
  <c r="O2255" i="16"/>
  <c r="L2255" i="16" s="1"/>
  <c r="K2255" i="16"/>
  <c r="O2259" i="16"/>
  <c r="L2259" i="16" s="1"/>
  <c r="K2259" i="16"/>
  <c r="K2261" i="16"/>
  <c r="O2261" i="16"/>
  <c r="L2261" i="16" s="1"/>
  <c r="O2256" i="16"/>
  <c r="L2256" i="16" s="1"/>
  <c r="K2256" i="16"/>
  <c r="O2260" i="16"/>
  <c r="L2260" i="16" s="1"/>
  <c r="K2260" i="16"/>
  <c r="K2254" i="16"/>
  <c r="O2254" i="16"/>
  <c r="L2254" i="16" s="1"/>
  <c r="O2257" i="16"/>
  <c r="L2257" i="16" s="1"/>
  <c r="K2257" i="16"/>
  <c r="K2246" i="16"/>
  <c r="O2246" i="16"/>
  <c r="L2246" i="16" s="1"/>
  <c r="O2247" i="16"/>
  <c r="L2247" i="16" s="1"/>
  <c r="K2247" i="16"/>
  <c r="O2243" i="16"/>
  <c r="L2243" i="16" s="1"/>
  <c r="K2243" i="16"/>
  <c r="O2241" i="16"/>
  <c r="L2241" i="16" s="1"/>
  <c r="K2241" i="16"/>
  <c r="K2244" i="16"/>
  <c r="O2244" i="16"/>
  <c r="L2244" i="16" s="1"/>
  <c r="K2245" i="16"/>
  <c r="O2245" i="16"/>
  <c r="L2245" i="16" s="1"/>
  <c r="K2242" i="16"/>
  <c r="O2242" i="16"/>
  <c r="L2242" i="16" s="1"/>
  <c r="K2240" i="16"/>
  <c r="O2240" i="16"/>
  <c r="L2240" i="16" s="1"/>
  <c r="K2236" i="16"/>
  <c r="O2236" i="16"/>
  <c r="L2236" i="16" s="1"/>
  <c r="K2238" i="16"/>
  <c r="O2238" i="16"/>
  <c r="L2238" i="16" s="1"/>
  <c r="O2235" i="16"/>
  <c r="L2235" i="16" s="1"/>
  <c r="K2235" i="16"/>
  <c r="K2237" i="16"/>
  <c r="O2237" i="16"/>
  <c r="L2237" i="16" s="1"/>
  <c r="K2239" i="16"/>
  <c r="O2239" i="16"/>
  <c r="L2239" i="16" s="1"/>
  <c r="O2234" i="16"/>
  <c r="L2234" i="16" s="1"/>
  <c r="K2234" i="16"/>
  <c r="K2233" i="16"/>
  <c r="O2233" i="16"/>
  <c r="L2233" i="16" s="1"/>
  <c r="K2231" i="16"/>
  <c r="O2231" i="16"/>
  <c r="L2231" i="16" s="1"/>
  <c r="O2226" i="16"/>
  <c r="L2226" i="16" s="1"/>
  <c r="A2226" i="16" s="1"/>
  <c r="O2230" i="16"/>
  <c r="L2230" i="16" s="1"/>
  <c r="K2230" i="16"/>
  <c r="O2227" i="16"/>
  <c r="L2227" i="16" s="1"/>
  <c r="A2227" i="16" s="1"/>
  <c r="K2224" i="16"/>
  <c r="O2224" i="16"/>
  <c r="L2224" i="16" s="1"/>
  <c r="L2225" i="16"/>
  <c r="K2225" i="16"/>
  <c r="K2213" i="16"/>
  <c r="O2213" i="16"/>
  <c r="L2213" i="16" s="1"/>
  <c r="K2214" i="16"/>
  <c r="O2214" i="16"/>
  <c r="L2214" i="16" s="1"/>
  <c r="K2216" i="16"/>
  <c r="O2216" i="16"/>
  <c r="L2216" i="16" s="1"/>
  <c r="O2219" i="16"/>
  <c r="L2219" i="16" s="1"/>
  <c r="K2219" i="16"/>
  <c r="K2217" i="16"/>
  <c r="O2217" i="16"/>
  <c r="L2217" i="16" s="1"/>
  <c r="O2222" i="16"/>
  <c r="L2222" i="16" s="1"/>
  <c r="K2222" i="16"/>
  <c r="K2221" i="16"/>
  <c r="O2221" i="16"/>
  <c r="L2221" i="16" s="1"/>
  <c r="K2209" i="16"/>
  <c r="O2209" i="16"/>
  <c r="L2209" i="16" s="1"/>
  <c r="K2218" i="16"/>
  <c r="O2218" i="16"/>
  <c r="L2218" i="16" s="1"/>
  <c r="K2215" i="16"/>
  <c r="O2215" i="16"/>
  <c r="L2215" i="16" s="1"/>
  <c r="K2210" i="16"/>
  <c r="O2210" i="16"/>
  <c r="L2210" i="16" s="1"/>
  <c r="K2206" i="16"/>
  <c r="O2206" i="16"/>
  <c r="L2206" i="16" s="1"/>
  <c r="O2223" i="16"/>
  <c r="L2223" i="16" s="1"/>
  <c r="K2223" i="16"/>
  <c r="O2208" i="16"/>
  <c r="L2208" i="16" s="1"/>
  <c r="K2208" i="16"/>
  <c r="K2207" i="16"/>
  <c r="O2207" i="16"/>
  <c r="L2207" i="16" s="1"/>
  <c r="K2183" i="16"/>
  <c r="O2183" i="16"/>
  <c r="L2183" i="16" s="1"/>
  <c r="K2195" i="16"/>
  <c r="O2195" i="16"/>
  <c r="L2195" i="16" s="1"/>
  <c r="O2180" i="16"/>
  <c r="L2180" i="16" s="1"/>
  <c r="K2180" i="16"/>
  <c r="K2160" i="16"/>
  <c r="O2160" i="16"/>
  <c r="L2160" i="16" s="1"/>
  <c r="K2185" i="16"/>
  <c r="O2185" i="16"/>
  <c r="L2185" i="16" s="1"/>
  <c r="K2193" i="16"/>
  <c r="O2193" i="16"/>
  <c r="L2193" i="16" s="1"/>
  <c r="K2197" i="16"/>
  <c r="O2197" i="16"/>
  <c r="L2197" i="16" s="1"/>
  <c r="K2200" i="16"/>
  <c r="O2200" i="16"/>
  <c r="L2200" i="16" s="1"/>
  <c r="K2204" i="16"/>
  <c r="O2204" i="16"/>
  <c r="L2204" i="16" s="1"/>
  <c r="O2162" i="16"/>
  <c r="L2162" i="16" s="1"/>
  <c r="K2162" i="16"/>
  <c r="O2184" i="16"/>
  <c r="L2184" i="16" s="1"/>
  <c r="K2184" i="16"/>
  <c r="K2196" i="16"/>
  <c r="O2196" i="16"/>
  <c r="L2196" i="16" s="1"/>
  <c r="K2199" i="16"/>
  <c r="O2199" i="16"/>
  <c r="L2199" i="16" s="1"/>
  <c r="K2203" i="16"/>
  <c r="O2203" i="16"/>
  <c r="L2203" i="16" s="1"/>
  <c r="K2161" i="16"/>
  <c r="O2161" i="16"/>
  <c r="L2161" i="16" s="1"/>
  <c r="O2186" i="16"/>
  <c r="L2186" i="16" s="1"/>
  <c r="K2186" i="16"/>
  <c r="K2194" i="16"/>
  <c r="O2194" i="16"/>
  <c r="L2194" i="16" s="1"/>
  <c r="O2198" i="16"/>
  <c r="L2198" i="16" s="1"/>
  <c r="K2198" i="16"/>
  <c r="K2201" i="16"/>
  <c r="O2201" i="16"/>
  <c r="L2201" i="16" s="1"/>
  <c r="K2205" i="16"/>
  <c r="O2205" i="16"/>
  <c r="L2205" i="16" s="1"/>
  <c r="K2178" i="16"/>
  <c r="O2178" i="16"/>
  <c r="L2178" i="16" s="1"/>
  <c r="O2179" i="16"/>
  <c r="L2179" i="16" s="1"/>
  <c r="K2179" i="16"/>
  <c r="K2177" i="16"/>
  <c r="O2177" i="16"/>
  <c r="L2177" i="16" s="1"/>
  <c r="K2176" i="16"/>
  <c r="O2176" i="16"/>
  <c r="L2176" i="16" s="1"/>
  <c r="O2175" i="16"/>
  <c r="L2175" i="16" s="1"/>
  <c r="K2175" i="16"/>
  <c r="O2173" i="16"/>
  <c r="L2173" i="16" s="1"/>
  <c r="K2173" i="16"/>
  <c r="K2174" i="16"/>
  <c r="O2174" i="16"/>
  <c r="L2174" i="16" s="1"/>
  <c r="K2171" i="16"/>
  <c r="O2171" i="16"/>
  <c r="L2171" i="16" s="1"/>
  <c r="O2170" i="16"/>
  <c r="L2170" i="16" s="1"/>
  <c r="K2170" i="16"/>
  <c r="O2168" i="16"/>
  <c r="L2168" i="16" s="1"/>
  <c r="K2168" i="16"/>
  <c r="O2169" i="16"/>
  <c r="L2169" i="16" s="1"/>
  <c r="K2169" i="16"/>
  <c r="K2163" i="16"/>
  <c r="O2163" i="16"/>
  <c r="L2163" i="16" s="1"/>
  <c r="K2164" i="16"/>
  <c r="O2164" i="16"/>
  <c r="L2164" i="16" s="1"/>
  <c r="O2165" i="16"/>
  <c r="L2165" i="16" s="1"/>
  <c r="K2165" i="16"/>
  <c r="O2158" i="16"/>
  <c r="L2158" i="16" s="1"/>
  <c r="K2158" i="16"/>
  <c r="K2157" i="16"/>
  <c r="O2157" i="16"/>
  <c r="L2157" i="16" s="1"/>
  <c r="O2156" i="16"/>
  <c r="L2156" i="16" s="1"/>
  <c r="K2156" i="16"/>
  <c r="K2159" i="16"/>
  <c r="O2159" i="16"/>
  <c r="L2159" i="16" s="1"/>
  <c r="O2152" i="16"/>
  <c r="L2152" i="16" s="1"/>
  <c r="K2152" i="16"/>
  <c r="O2153" i="16"/>
  <c r="L2153" i="16" s="1"/>
  <c r="K2153" i="16"/>
  <c r="O2154" i="16"/>
  <c r="L2154" i="16" s="1"/>
  <c r="K2154" i="16"/>
  <c r="O2151" i="16"/>
  <c r="L2151" i="16" s="1"/>
  <c r="K2151" i="16"/>
  <c r="K2155" i="16"/>
  <c r="O2155" i="16"/>
  <c r="L2155" i="16" s="1"/>
  <c r="K2150" i="16"/>
  <c r="O2150" i="16"/>
  <c r="L2150" i="16" s="1"/>
  <c r="K2149" i="16"/>
  <c r="O2149" i="16"/>
  <c r="L2149" i="16" s="1"/>
  <c r="K2148" i="16"/>
  <c r="O2148" i="16"/>
  <c r="L2148" i="16" s="1"/>
  <c r="O2136" i="16"/>
  <c r="L2136" i="16" s="1"/>
  <c r="K2136" i="16"/>
  <c r="K2146" i="16"/>
  <c r="O2146" i="16"/>
  <c r="L2146" i="16" s="1"/>
  <c r="O2145" i="16"/>
  <c r="L2145" i="16" s="1"/>
  <c r="K2145" i="16"/>
  <c r="O2137" i="16"/>
  <c r="L2137" i="16" s="1"/>
  <c r="K2137" i="16"/>
  <c r="K2138" i="16"/>
  <c r="O2138" i="16"/>
  <c r="L2138" i="16" s="1"/>
  <c r="O2139" i="16"/>
  <c r="L2139" i="16" s="1"/>
  <c r="K2139" i="16"/>
  <c r="K2142" i="16"/>
  <c r="O2142" i="16"/>
  <c r="L2142" i="16" s="1"/>
  <c r="O2143" i="16"/>
  <c r="L2143" i="16" s="1"/>
  <c r="K2143" i="16"/>
  <c r="K2140" i="16"/>
  <c r="O2140" i="16"/>
  <c r="L2140" i="16" s="1"/>
  <c r="O2141" i="16"/>
  <c r="L2141" i="16" s="1"/>
  <c r="K2141" i="16"/>
  <c r="K2130" i="16"/>
  <c r="O2130" i="16"/>
  <c r="L2130" i="16" s="1"/>
  <c r="K2135" i="16"/>
  <c r="O2135" i="16"/>
  <c r="L2135" i="16" s="1"/>
  <c r="K2132" i="16"/>
  <c r="O2132" i="16"/>
  <c r="L2132" i="16" s="1"/>
  <c r="K2134" i="16"/>
  <c r="O2134" i="16"/>
  <c r="L2134" i="16" s="1"/>
  <c r="K2133" i="16"/>
  <c r="O2133" i="16"/>
  <c r="L2133" i="16" s="1"/>
  <c r="O2131" i="16"/>
  <c r="L2131" i="16" s="1"/>
  <c r="K2131" i="16"/>
  <c r="K2112" i="16"/>
  <c r="O2112" i="16"/>
  <c r="L2112" i="16" s="1"/>
  <c r="O2116" i="16"/>
  <c r="L2116" i="16" s="1"/>
  <c r="K2116" i="16"/>
  <c r="K2117" i="16"/>
  <c r="O2117" i="16"/>
  <c r="L2117" i="16" s="1"/>
  <c r="K2119" i="16"/>
  <c r="O2119" i="16"/>
  <c r="L2119" i="16" s="1"/>
  <c r="K2118" i="16"/>
  <c r="O2118" i="16"/>
  <c r="L2118" i="16" s="1"/>
  <c r="O2120" i="16"/>
  <c r="L2120" i="16" s="1"/>
  <c r="K2120" i="16"/>
  <c r="K2114" i="16"/>
  <c r="O2114" i="16"/>
  <c r="L2114" i="16" s="1"/>
  <c r="O2115" i="16"/>
  <c r="L2115" i="16" s="1"/>
  <c r="K2115" i="16"/>
  <c r="O2113" i="16"/>
  <c r="L2113" i="16" s="1"/>
  <c r="K2113" i="16"/>
  <c r="O2108" i="16"/>
  <c r="L2108" i="16" s="1"/>
  <c r="K2108" i="16"/>
  <c r="O2109" i="16"/>
  <c r="L2109" i="16" s="1"/>
  <c r="K2109" i="16"/>
  <c r="K2105" i="16"/>
  <c r="O2105" i="16"/>
  <c r="L2105" i="16" s="1"/>
  <c r="K2104" i="16"/>
  <c r="O2104" i="16"/>
  <c r="L2104" i="16" s="1"/>
  <c r="O2103" i="16"/>
  <c r="L2103" i="16" s="1"/>
  <c r="K2103" i="16"/>
  <c r="K2102" i="16"/>
  <c r="O2102" i="16"/>
  <c r="L2102" i="16" s="1"/>
  <c r="O2099" i="16"/>
  <c r="L2099" i="16" s="1"/>
  <c r="K2099" i="16"/>
  <c r="O2101" i="16"/>
  <c r="L2101" i="16" s="1"/>
  <c r="K2101" i="16"/>
  <c r="K2100" i="16"/>
  <c r="O2100" i="16"/>
  <c r="L2100" i="16" s="1"/>
  <c r="O2072" i="16"/>
  <c r="L2072" i="16" s="1"/>
  <c r="K2072" i="16"/>
  <c r="K2076" i="16"/>
  <c r="O2076" i="16"/>
  <c r="L2076" i="16" s="1"/>
  <c r="K2052" i="16"/>
  <c r="O2052" i="16"/>
  <c r="L2052" i="16" s="1"/>
  <c r="K2067" i="16"/>
  <c r="O2067" i="16"/>
  <c r="L2067" i="16" s="1"/>
  <c r="O2051" i="16"/>
  <c r="L2051" i="16" s="1"/>
  <c r="K2051" i="16"/>
  <c r="O2050" i="16"/>
  <c r="L2050" i="16" s="1"/>
  <c r="K2050" i="16"/>
  <c r="K2081" i="16"/>
  <c r="O2081" i="16"/>
  <c r="L2081" i="16" s="1"/>
  <c r="K2082" i="16"/>
  <c r="O2082" i="16"/>
  <c r="L2082" i="16" s="1"/>
  <c r="O2073" i="16"/>
  <c r="L2073" i="16" s="1"/>
  <c r="K2073" i="16"/>
  <c r="O2068" i="16"/>
  <c r="L2068" i="16" s="1"/>
  <c r="K2068" i="16"/>
  <c r="K2077" i="16"/>
  <c r="O2077" i="16"/>
  <c r="L2077" i="16" s="1"/>
  <c r="K2049" i="16"/>
  <c r="O2049" i="16"/>
  <c r="L2049" i="16" s="1"/>
  <c r="K2079" i="16"/>
  <c r="O2079" i="16"/>
  <c r="L2079" i="16" s="1"/>
  <c r="K2063" i="16"/>
  <c r="O2063" i="16"/>
  <c r="L2063" i="16" s="1"/>
  <c r="O2078" i="16"/>
  <c r="L2078" i="16" s="1"/>
  <c r="K2078" i="16"/>
  <c r="O2062" i="16"/>
  <c r="L2062" i="16" s="1"/>
  <c r="K2062" i="16"/>
  <c r="O2080" i="16"/>
  <c r="L2080" i="16" s="1"/>
  <c r="K2080" i="16"/>
  <c r="O2056" i="16"/>
  <c r="L2056" i="16" s="1"/>
  <c r="K2056" i="16"/>
  <c r="O2065" i="16"/>
  <c r="L2065" i="16" s="1"/>
  <c r="K2065" i="16"/>
  <c r="O2060" i="16"/>
  <c r="L2060" i="16" s="1"/>
  <c r="K2060" i="16"/>
  <c r="O2053" i="16"/>
  <c r="L2053" i="16" s="1"/>
  <c r="K2053" i="16"/>
  <c r="O2069" i="16"/>
  <c r="L2069" i="16" s="1"/>
  <c r="K2069" i="16"/>
  <c r="K2075" i="16"/>
  <c r="O2075" i="16"/>
  <c r="L2075" i="16" s="1"/>
  <c r="O2059" i="16"/>
  <c r="L2059" i="16" s="1"/>
  <c r="K2059" i="16"/>
  <c r="K2074" i="16"/>
  <c r="O2074" i="16"/>
  <c r="L2074" i="16" s="1"/>
  <c r="O2058" i="16"/>
  <c r="L2058" i="16" s="1"/>
  <c r="K2058" i="16"/>
  <c r="K2083" i="16"/>
  <c r="O2083" i="16"/>
  <c r="L2083" i="16" s="1"/>
  <c r="O2084" i="16"/>
  <c r="L2084" i="16" s="1"/>
  <c r="K2084" i="16"/>
  <c r="K2057" i="16"/>
  <c r="O2057" i="16"/>
  <c r="L2057" i="16" s="1"/>
  <c r="K2061" i="16"/>
  <c r="O2061" i="16"/>
  <c r="L2061" i="16" s="1"/>
  <c r="K2071" i="16"/>
  <c r="O2071" i="16"/>
  <c r="L2071" i="16" s="1"/>
  <c r="K2055" i="16"/>
  <c r="O2055" i="16"/>
  <c r="L2055" i="16" s="1"/>
  <c r="K2070" i="16"/>
  <c r="O2070" i="16"/>
  <c r="L2070" i="16" s="1"/>
  <c r="K2054" i="16"/>
  <c r="O2054" i="16"/>
  <c r="L2054" i="16" s="1"/>
  <c r="O2042" i="16"/>
  <c r="L2042" i="16" s="1"/>
  <c r="K2042" i="16"/>
  <c r="O2048" i="16"/>
  <c r="L2048" i="16" s="1"/>
  <c r="K2048" i="16"/>
  <c r="K2045" i="16"/>
  <c r="O2045" i="16"/>
  <c r="L2045" i="16" s="1"/>
  <c r="O2044" i="16"/>
  <c r="L2044" i="16" s="1"/>
  <c r="K2044" i="16"/>
  <c r="O2046" i="16"/>
  <c r="L2046" i="16" s="1"/>
  <c r="K2046" i="16"/>
  <c r="K2047" i="16"/>
  <c r="O2047" i="16"/>
  <c r="L2047" i="16" s="1"/>
  <c r="K2043" i="16"/>
  <c r="O2043" i="16"/>
  <c r="L2043" i="16" s="1"/>
  <c r="K2040" i="16"/>
  <c r="O2040" i="16"/>
  <c r="L2040" i="16" s="1"/>
  <c r="K2038" i="16"/>
  <c r="O2038" i="16"/>
  <c r="L2038" i="16" s="1"/>
  <c r="K2039" i="16"/>
  <c r="O2039" i="16"/>
  <c r="L2039" i="16" s="1"/>
  <c r="O2036" i="16"/>
  <c r="L2036" i="16" s="1"/>
  <c r="K2036" i="16"/>
  <c r="K2032" i="16"/>
  <c r="O2032" i="16"/>
  <c r="L2032" i="16" s="1"/>
  <c r="O2022" i="16"/>
  <c r="L2022" i="16" s="1"/>
  <c r="K2022" i="16"/>
  <c r="O2024" i="16"/>
  <c r="L2024" i="16" s="1"/>
  <c r="K2024" i="16"/>
  <c r="K2004" i="16"/>
  <c r="O2004" i="16"/>
  <c r="L2004" i="16" s="1"/>
  <c r="O1991" i="16"/>
  <c r="L1991" i="16" s="1"/>
  <c r="K1991" i="16"/>
  <c r="K2018" i="16"/>
  <c r="O2018" i="16"/>
  <c r="L2018" i="16" s="1"/>
  <c r="K2001" i="16"/>
  <c r="O2001" i="16"/>
  <c r="L2001" i="16" s="1"/>
  <c r="O2023" i="16"/>
  <c r="L2023" i="16" s="1"/>
  <c r="K2023" i="16"/>
  <c r="O2003" i="16"/>
  <c r="L2003" i="16" s="1"/>
  <c r="K2003" i="16"/>
  <c r="O1990" i="16"/>
  <c r="L1990" i="16" s="1"/>
  <c r="K1990" i="16"/>
  <c r="K1997" i="16"/>
  <c r="O1997" i="16"/>
  <c r="L1997" i="16" s="1"/>
  <c r="K2020" i="16"/>
  <c r="O2020" i="16"/>
  <c r="L2020" i="16" s="1"/>
  <c r="O2010" i="16"/>
  <c r="L2010" i="16" s="1"/>
  <c r="K2010" i="16"/>
  <c r="K2019" i="16"/>
  <c r="O2019" i="16"/>
  <c r="L2019" i="16" s="1"/>
  <c r="K2002" i="16"/>
  <c r="O2002" i="16"/>
  <c r="L2002" i="16" s="1"/>
  <c r="O1989" i="16"/>
  <c r="L1989" i="16" s="1"/>
  <c r="K1989" i="16"/>
  <c r="K1996" i="16"/>
  <c r="O1996" i="16"/>
  <c r="L1996" i="16" s="1"/>
  <c r="O2016" i="16"/>
  <c r="L2016" i="16" s="1"/>
  <c r="K2016" i="16"/>
  <c r="K1999" i="16"/>
  <c r="O1999" i="16"/>
  <c r="L1999" i="16" s="1"/>
  <c r="O2000" i="16"/>
  <c r="L2000" i="16" s="1"/>
  <c r="K2000" i="16"/>
  <c r="K2025" i="16"/>
  <c r="O2025" i="16"/>
  <c r="L2025" i="16" s="1"/>
  <c r="O2012" i="16"/>
  <c r="L2012" i="16" s="1"/>
  <c r="K2012" i="16"/>
  <c r="K1995" i="16"/>
  <c r="O1995" i="16"/>
  <c r="L1995" i="16" s="1"/>
  <c r="O2021" i="16"/>
  <c r="L2021" i="16" s="1"/>
  <c r="K2021" i="16"/>
  <c r="K2005" i="16"/>
  <c r="O2005" i="16"/>
  <c r="L2005" i="16" s="1"/>
  <c r="O1992" i="16"/>
  <c r="L1992" i="16" s="1"/>
  <c r="K1992" i="16"/>
  <c r="O2011" i="16"/>
  <c r="L2011" i="16" s="1"/>
  <c r="K2011" i="16"/>
  <c r="O1988" i="16"/>
  <c r="L1988" i="16" s="1"/>
  <c r="K1988" i="16"/>
  <c r="K1987" i="16"/>
  <c r="O1987" i="16"/>
  <c r="L1987" i="16" s="1"/>
  <c r="K1983" i="16"/>
  <c r="O1983" i="16"/>
  <c r="L1983" i="16" s="1"/>
  <c r="O1982" i="16"/>
  <c r="L1982" i="16" s="1"/>
  <c r="K1982" i="16"/>
  <c r="K1978" i="16"/>
  <c r="O1978" i="16"/>
  <c r="L1978" i="16" s="1"/>
  <c r="O1979" i="16"/>
  <c r="L1979" i="16" s="1"/>
  <c r="K1979" i="16"/>
  <c r="O1976" i="16"/>
  <c r="L1976" i="16" s="1"/>
  <c r="K1976" i="16"/>
  <c r="O1977" i="16"/>
  <c r="L1977" i="16" s="1"/>
  <c r="K1977" i="16"/>
  <c r="K1975" i="16"/>
  <c r="O1975" i="16"/>
  <c r="L1975" i="16" s="1"/>
  <c r="O1974" i="16"/>
  <c r="L1974" i="16" s="1"/>
  <c r="K1974" i="16"/>
  <c r="K1973" i="16"/>
  <c r="O1973" i="16"/>
  <c r="L1973" i="16" s="1"/>
  <c r="O1972" i="16"/>
  <c r="L1972" i="16" s="1"/>
  <c r="K1972" i="16"/>
  <c r="O1968" i="16"/>
  <c r="L1968" i="16" s="1"/>
  <c r="K1968" i="16"/>
  <c r="K1967" i="16"/>
  <c r="O1967" i="16"/>
  <c r="L1967" i="16" s="1"/>
  <c r="K1964" i="16"/>
  <c r="O1964" i="16"/>
  <c r="L1964" i="16" s="1"/>
  <c r="K1965" i="16"/>
  <c r="O1965" i="16"/>
  <c r="L1965" i="16" s="1"/>
  <c r="K1966" i="16"/>
  <c r="O1966" i="16"/>
  <c r="L1966" i="16" s="1"/>
  <c r="O1963" i="16"/>
  <c r="L1963" i="16" s="1"/>
  <c r="K1963" i="16"/>
  <c r="O1962" i="16"/>
  <c r="L1962" i="16" s="1"/>
  <c r="K1962" i="16"/>
  <c r="K1961" i="16"/>
  <c r="O1961" i="16"/>
  <c r="L1961" i="16" s="1"/>
  <c r="K1960" i="16"/>
  <c r="O1960" i="16"/>
  <c r="L1960" i="16" s="1"/>
  <c r="O1958" i="16"/>
  <c r="L1958" i="16" s="1"/>
  <c r="K1958" i="16"/>
  <c r="O1957" i="16"/>
  <c r="L1957" i="16" s="1"/>
  <c r="K1957" i="16"/>
  <c r="O1959" i="16"/>
  <c r="L1959" i="16" s="1"/>
  <c r="K1959" i="16"/>
  <c r="O1944" i="16"/>
  <c r="L1944" i="16" s="1"/>
  <c r="K1944" i="16"/>
  <c r="K1949" i="16"/>
  <c r="O1949" i="16"/>
  <c r="L1949" i="16" s="1"/>
  <c r="O1952" i="16"/>
  <c r="L1952" i="16" s="1"/>
  <c r="K1952" i="16"/>
  <c r="O1948" i="16"/>
  <c r="L1948" i="16" s="1"/>
  <c r="K1948" i="16"/>
  <c r="O1951" i="16"/>
  <c r="L1951" i="16" s="1"/>
  <c r="K1951" i="16"/>
  <c r="O1943" i="16"/>
  <c r="L1943" i="16" s="1"/>
  <c r="K1943" i="16"/>
  <c r="K1941" i="16"/>
  <c r="O1941" i="16"/>
  <c r="L1941" i="16" s="1"/>
  <c r="O1954" i="16"/>
  <c r="L1954" i="16" s="1"/>
  <c r="K1954" i="16"/>
  <c r="K1946" i="16"/>
  <c r="O1946" i="16"/>
  <c r="L1946" i="16" s="1"/>
  <c r="K1945" i="16"/>
  <c r="O1945" i="16"/>
  <c r="L1945" i="16" s="1"/>
  <c r="K1950" i="16"/>
  <c r="O1950" i="16"/>
  <c r="L1950" i="16" s="1"/>
  <c r="K1953" i="16"/>
  <c r="O1953" i="16"/>
  <c r="L1953" i="16" s="1"/>
  <c r="O1942" i="16"/>
  <c r="L1942" i="16" s="1"/>
  <c r="K1942" i="16"/>
  <c r="K1947" i="16"/>
  <c r="O1947" i="16"/>
  <c r="L1947" i="16" s="1"/>
  <c r="O1935" i="16"/>
  <c r="L1935" i="16" s="1"/>
  <c r="K1935" i="16"/>
  <c r="O1937" i="16"/>
  <c r="L1937" i="16" s="1"/>
  <c r="K1937" i="16"/>
  <c r="O1939" i="16"/>
  <c r="L1939" i="16" s="1"/>
  <c r="K1939" i="16"/>
  <c r="O1938" i="16"/>
  <c r="L1938" i="16" s="1"/>
  <c r="K1938" i="16"/>
  <c r="K1933" i="16"/>
  <c r="O1933" i="16"/>
  <c r="L1933" i="16" s="1"/>
  <c r="K1934" i="16"/>
  <c r="O1934" i="16"/>
  <c r="L1934" i="16" s="1"/>
  <c r="K1932" i="16"/>
  <c r="O1932" i="16"/>
  <c r="L1932" i="16" s="1"/>
  <c r="K1936" i="16"/>
  <c r="O1936" i="16"/>
  <c r="L1936" i="16" s="1"/>
  <c r="O1931" i="16"/>
  <c r="L1931" i="16" s="1"/>
  <c r="K1931" i="16"/>
  <c r="K1924" i="16"/>
  <c r="O1924" i="16"/>
  <c r="L1924" i="16" s="1"/>
  <c r="K1923" i="16"/>
  <c r="O1923" i="16"/>
  <c r="L1923" i="16" s="1"/>
  <c r="K1917" i="16"/>
  <c r="O1917" i="16"/>
  <c r="L1917" i="16" s="1"/>
  <c r="O1922" i="16"/>
  <c r="L1922" i="16" s="1"/>
  <c r="K1922" i="16"/>
  <c r="O1919" i="16"/>
  <c r="L1919" i="16" s="1"/>
  <c r="K1919" i="16"/>
  <c r="O1916" i="16"/>
  <c r="L1916" i="16" s="1"/>
  <c r="K1916" i="16"/>
  <c r="K1914" i="16"/>
  <c r="O1914" i="16"/>
  <c r="L1914" i="16" s="1"/>
  <c r="O1920" i="16"/>
  <c r="L1920" i="16" s="1"/>
  <c r="K1920" i="16"/>
  <c r="O1915" i="16"/>
  <c r="L1915" i="16" s="1"/>
  <c r="K1915" i="16"/>
  <c r="O1912" i="16"/>
  <c r="L1912" i="16" s="1"/>
  <c r="K1912" i="16"/>
  <c r="K1921" i="16"/>
  <c r="O1921" i="16"/>
  <c r="L1921" i="16" s="1"/>
  <c r="O1918" i="16"/>
  <c r="L1918" i="16" s="1"/>
  <c r="K1918" i="16"/>
  <c r="O1913" i="16"/>
  <c r="L1913" i="16" s="1"/>
  <c r="K1913" i="16"/>
  <c r="K1911" i="16"/>
  <c r="O1911" i="16"/>
  <c r="L1911" i="16" s="1"/>
  <c r="K1903" i="16"/>
  <c r="O1903" i="16"/>
  <c r="L1903" i="16" s="1"/>
  <c r="K1896" i="16"/>
  <c r="O1896" i="16"/>
  <c r="L1896" i="16" s="1"/>
  <c r="O1902" i="16"/>
  <c r="L1902" i="16" s="1"/>
  <c r="K1902" i="16"/>
  <c r="O1904" i="16"/>
  <c r="L1904" i="16" s="1"/>
  <c r="K1904" i="16"/>
  <c r="O1901" i="16"/>
  <c r="L1901" i="16" s="1"/>
  <c r="K1901" i="16"/>
  <c r="K1900" i="16"/>
  <c r="O1900" i="16"/>
  <c r="L1900" i="16" s="1"/>
  <c r="K1899" i="16"/>
  <c r="O1899" i="16"/>
  <c r="L1899" i="16" s="1"/>
  <c r="O1897" i="16"/>
  <c r="L1897" i="16" s="1"/>
  <c r="K1897" i="16"/>
  <c r="O1898" i="16"/>
  <c r="L1898" i="16" s="1"/>
  <c r="K1898" i="16"/>
  <c r="O1895" i="16"/>
  <c r="L1895" i="16" s="1"/>
  <c r="K1895" i="16"/>
  <c r="K1889" i="16"/>
  <c r="O1889" i="16"/>
  <c r="L1889" i="16" s="1"/>
  <c r="O1892" i="16"/>
  <c r="L1892" i="16" s="1"/>
  <c r="K1892" i="16"/>
  <c r="O1891" i="16"/>
  <c r="L1891" i="16" s="1"/>
  <c r="K1891" i="16"/>
  <c r="K1894" i="16"/>
  <c r="O1894" i="16"/>
  <c r="L1894" i="16" s="1"/>
  <c r="K1888" i="16"/>
  <c r="O1888" i="16"/>
  <c r="L1888" i="16" s="1"/>
  <c r="O1893" i="16"/>
  <c r="L1893" i="16" s="1"/>
  <c r="K1893" i="16"/>
  <c r="K1890" i="16"/>
  <c r="O1890" i="16"/>
  <c r="L1890" i="16" s="1"/>
  <c r="K1885" i="16"/>
  <c r="O1885" i="16"/>
  <c r="L1885" i="16" s="1"/>
  <c r="K1884" i="16"/>
  <c r="O1884" i="16"/>
  <c r="L1884" i="16" s="1"/>
  <c r="K1878" i="16"/>
  <c r="O1878" i="16"/>
  <c r="L1878" i="16" s="1"/>
  <c r="O1860" i="16"/>
  <c r="L1860" i="16" s="1"/>
  <c r="A1860" i="16" s="1"/>
  <c r="O1858" i="16"/>
  <c r="L1858" i="16" s="1"/>
  <c r="K1858" i="16"/>
  <c r="K1859" i="16"/>
  <c r="O1859" i="16"/>
  <c r="L1859" i="16" s="1"/>
  <c r="K1857" i="16"/>
  <c r="O1857" i="16"/>
  <c r="L1857" i="16" s="1"/>
  <c r="O1874" i="16"/>
  <c r="L1874" i="16" s="1"/>
  <c r="K1874" i="16"/>
  <c r="K1871" i="16"/>
  <c r="O1871" i="16"/>
  <c r="L1871" i="16" s="1"/>
  <c r="K1876" i="16"/>
  <c r="O1876" i="16"/>
  <c r="L1876" i="16" s="1"/>
  <c r="O1875" i="16"/>
  <c r="L1875" i="16" s="1"/>
  <c r="K1875" i="16"/>
  <c r="O1872" i="16"/>
  <c r="L1872" i="16" s="1"/>
  <c r="K1872" i="16"/>
  <c r="O1873" i="16"/>
  <c r="L1873" i="16" s="1"/>
  <c r="K1873" i="16"/>
  <c r="K1870" i="16"/>
  <c r="O1870" i="16"/>
  <c r="L1870" i="16" s="1"/>
  <c r="K1865" i="16"/>
  <c r="O1865" i="16"/>
  <c r="L1865" i="16" s="1"/>
  <c r="K1867" i="16"/>
  <c r="O1867" i="16"/>
  <c r="L1867" i="16" s="1"/>
  <c r="O1864" i="16"/>
  <c r="L1864" i="16" s="1"/>
  <c r="K1864" i="16"/>
  <c r="K1869" i="16"/>
  <c r="O1869" i="16"/>
  <c r="L1869" i="16" s="1"/>
  <c r="O1866" i="16"/>
  <c r="L1866" i="16" s="1"/>
  <c r="K1866" i="16"/>
  <c r="O1868" i="16"/>
  <c r="L1868" i="16" s="1"/>
  <c r="K1868" i="16"/>
  <c r="K1863" i="16"/>
  <c r="O1863" i="16"/>
  <c r="L1863" i="16" s="1"/>
  <c r="O1854" i="16"/>
  <c r="L1854" i="16" s="1"/>
  <c r="K1854" i="16"/>
  <c r="K1856" i="16"/>
  <c r="O1856" i="16"/>
  <c r="L1856" i="16" s="1"/>
  <c r="O1853" i="16"/>
  <c r="L1853" i="16" s="1"/>
  <c r="K1853" i="16"/>
  <c r="K1855" i="16"/>
  <c r="O1855" i="16"/>
  <c r="L1855" i="16" s="1"/>
  <c r="K1843" i="16"/>
  <c r="O1843" i="16"/>
  <c r="L1843" i="16" s="1"/>
  <c r="O1852" i="16"/>
  <c r="L1852" i="16" s="1"/>
  <c r="K1852" i="16"/>
  <c r="O1849" i="16"/>
  <c r="L1849" i="16" s="1"/>
  <c r="K1849" i="16"/>
  <c r="K1846" i="16"/>
  <c r="O1846" i="16"/>
  <c r="L1846" i="16" s="1"/>
  <c r="O1842" i="16"/>
  <c r="L1842" i="16" s="1"/>
  <c r="K1842" i="16"/>
  <c r="O1851" i="16"/>
  <c r="L1851" i="16" s="1"/>
  <c r="K1851" i="16"/>
  <c r="O1848" i="16"/>
  <c r="L1848" i="16" s="1"/>
  <c r="K1848" i="16"/>
  <c r="K1845" i="16"/>
  <c r="O1845" i="16"/>
  <c r="L1845" i="16" s="1"/>
  <c r="K1844" i="16"/>
  <c r="O1844" i="16"/>
  <c r="L1844" i="16" s="1"/>
  <c r="O1850" i="16"/>
  <c r="L1850" i="16" s="1"/>
  <c r="K1850" i="16"/>
  <c r="O1847" i="16"/>
  <c r="L1847" i="16" s="1"/>
  <c r="K1847" i="16"/>
  <c r="O1837" i="16"/>
  <c r="L1837" i="16" s="1"/>
  <c r="K1837" i="16"/>
  <c r="K1839" i="16"/>
  <c r="O1839" i="16"/>
  <c r="L1839" i="16" s="1"/>
  <c r="O1836" i="16"/>
  <c r="L1836" i="16" s="1"/>
  <c r="K1836" i="16"/>
  <c r="K1838" i="16"/>
  <c r="O1838" i="16"/>
  <c r="L1838" i="16" s="1"/>
  <c r="O1835" i="16"/>
  <c r="L1835" i="16" s="1"/>
  <c r="K1835" i="16"/>
  <c r="K1833" i="16"/>
  <c r="O1833" i="16"/>
  <c r="L1833" i="16" s="1"/>
  <c r="O1830" i="16"/>
  <c r="L1830" i="16" s="1"/>
  <c r="K1830" i="16"/>
  <c r="O1828" i="16"/>
  <c r="L1828" i="16" s="1"/>
  <c r="K1828" i="16"/>
  <c r="O1825" i="16"/>
  <c r="L1825" i="16" s="1"/>
  <c r="K1825" i="16"/>
  <c r="K1822" i="16"/>
  <c r="O1822" i="16"/>
  <c r="L1822" i="16" s="1"/>
  <c r="O1819" i="16"/>
  <c r="L1819" i="16" s="1"/>
  <c r="K1819" i="16"/>
  <c r="O1817" i="16"/>
  <c r="L1817" i="16" s="1"/>
  <c r="K1817" i="16"/>
  <c r="K1827" i="16"/>
  <c r="O1827" i="16"/>
  <c r="L1827" i="16" s="1"/>
  <c r="O1821" i="16"/>
  <c r="L1821" i="16" s="1"/>
  <c r="K1821" i="16"/>
  <c r="O1826" i="16"/>
  <c r="L1826" i="16" s="1"/>
  <c r="K1826" i="16"/>
  <c r="K1824" i="16"/>
  <c r="O1824" i="16"/>
  <c r="L1824" i="16" s="1"/>
  <c r="O1818" i="16"/>
  <c r="L1818" i="16" s="1"/>
  <c r="K1818" i="16"/>
  <c r="K1816" i="16"/>
  <c r="O1816" i="16"/>
  <c r="L1816" i="16" s="1"/>
  <c r="K1823" i="16"/>
  <c r="O1823" i="16"/>
  <c r="L1823" i="16" s="1"/>
  <c r="K1820" i="16"/>
  <c r="O1820" i="16"/>
  <c r="L1820" i="16" s="1"/>
  <c r="O1815" i="16"/>
  <c r="L1815" i="16" s="1"/>
  <c r="K1815" i="16"/>
  <c r="O1807" i="16"/>
  <c r="L1807" i="16" s="1"/>
  <c r="K1807" i="16"/>
  <c r="K1792" i="16"/>
  <c r="O1792" i="16"/>
  <c r="L1792" i="16" s="1"/>
  <c r="K1811" i="16"/>
  <c r="O1811" i="16"/>
  <c r="L1811" i="16" s="1"/>
  <c r="O1803" i="16"/>
  <c r="L1803" i="16" s="1"/>
  <c r="K1803" i="16"/>
  <c r="K1795" i="16"/>
  <c r="O1795" i="16"/>
  <c r="L1795" i="16" s="1"/>
  <c r="K1786" i="16"/>
  <c r="O1786" i="16"/>
  <c r="L1786" i="16" s="1"/>
  <c r="K1814" i="16"/>
  <c r="O1814" i="16"/>
  <c r="L1814" i="16" s="1"/>
  <c r="K1806" i="16"/>
  <c r="O1806" i="16"/>
  <c r="L1806" i="16" s="1"/>
  <c r="K1798" i="16"/>
  <c r="O1798" i="16"/>
  <c r="L1798" i="16" s="1"/>
  <c r="O1789" i="16"/>
  <c r="L1789" i="16" s="1"/>
  <c r="K1789" i="16"/>
  <c r="O1813" i="16"/>
  <c r="L1813" i="16" s="1"/>
  <c r="K1813" i="16"/>
  <c r="O1805" i="16"/>
  <c r="L1805" i="16" s="1"/>
  <c r="K1805" i="16"/>
  <c r="K1797" i="16"/>
  <c r="O1797" i="16"/>
  <c r="L1797" i="16" s="1"/>
  <c r="K1791" i="16"/>
  <c r="O1791" i="16"/>
  <c r="L1791" i="16" s="1"/>
  <c r="O1809" i="16"/>
  <c r="L1809" i="16" s="1"/>
  <c r="K1809" i="16"/>
  <c r="O1800" i="16"/>
  <c r="L1800" i="16" s="1"/>
  <c r="K1800" i="16"/>
  <c r="K1785" i="16"/>
  <c r="O1785" i="16"/>
  <c r="L1785" i="16" s="1"/>
  <c r="K1808" i="16"/>
  <c r="O1808" i="16"/>
  <c r="L1808" i="16" s="1"/>
  <c r="K1799" i="16"/>
  <c r="O1799" i="16"/>
  <c r="L1799" i="16" s="1"/>
  <c r="O1787" i="16"/>
  <c r="L1787" i="16" s="1"/>
  <c r="K1787" i="16"/>
  <c r="K1794" i="16"/>
  <c r="O1794" i="16"/>
  <c r="L1794" i="16" s="1"/>
  <c r="O1802" i="16"/>
  <c r="L1802" i="16" s="1"/>
  <c r="K1802" i="16"/>
  <c r="K1784" i="16"/>
  <c r="O1784" i="16"/>
  <c r="L1784" i="16" s="1"/>
  <c r="K1810" i="16"/>
  <c r="O1810" i="16"/>
  <c r="L1810" i="16" s="1"/>
  <c r="O1801" i="16"/>
  <c r="L1801" i="16" s="1"/>
  <c r="K1801" i="16"/>
  <c r="K1788" i="16"/>
  <c r="O1788" i="16"/>
  <c r="L1788" i="16" s="1"/>
  <c r="O1790" i="16"/>
  <c r="L1790" i="16" s="1"/>
  <c r="K1790" i="16"/>
  <c r="O1812" i="16"/>
  <c r="L1812" i="16" s="1"/>
  <c r="K1812" i="16"/>
  <c r="O1804" i="16"/>
  <c r="L1804" i="16" s="1"/>
  <c r="K1804" i="16"/>
  <c r="O1796" i="16"/>
  <c r="L1796" i="16" s="1"/>
  <c r="K1796" i="16"/>
  <c r="O1793" i="16"/>
  <c r="L1793" i="16" s="1"/>
  <c r="K1793" i="16"/>
  <c r="K1781" i="16"/>
  <c r="O1781" i="16"/>
  <c r="L1781" i="16" s="1"/>
  <c r="O1767" i="16"/>
  <c r="L1767" i="16" s="1"/>
  <c r="K1767" i="16"/>
  <c r="K1765" i="16"/>
  <c r="O1765" i="16"/>
  <c r="L1765" i="16" s="1"/>
  <c r="K1766" i="16"/>
  <c r="O1766" i="16"/>
  <c r="L1766" i="16" s="1"/>
  <c r="K1768" i="16"/>
  <c r="O1768" i="16"/>
  <c r="L1768" i="16" s="1"/>
  <c r="O1758" i="16"/>
  <c r="L1758" i="16" s="1"/>
  <c r="K1758" i="16"/>
  <c r="O1756" i="16"/>
  <c r="L1756" i="16" s="1"/>
  <c r="K1756" i="16"/>
  <c r="O1759" i="16"/>
  <c r="L1759" i="16" s="1"/>
  <c r="K1759" i="16"/>
  <c r="O1760" i="16"/>
  <c r="L1760" i="16" s="1"/>
  <c r="K1760" i="16"/>
  <c r="O1757" i="16"/>
  <c r="L1757" i="16" s="1"/>
  <c r="K1757" i="16"/>
  <c r="K1697" i="16"/>
  <c r="O1697" i="16"/>
  <c r="L1697" i="16" s="1"/>
  <c r="K1696" i="16"/>
  <c r="O1696" i="16"/>
  <c r="L1696" i="16" s="1"/>
  <c r="K1699" i="16"/>
  <c r="O1699" i="16"/>
  <c r="L1699" i="16" s="1"/>
  <c r="K1698" i="16"/>
  <c r="O1698" i="16"/>
  <c r="L1698" i="16" s="1"/>
  <c r="K1692" i="16"/>
  <c r="O1692" i="16"/>
  <c r="L1692" i="16" s="1"/>
  <c r="O1695" i="16"/>
  <c r="L1695" i="16" s="1"/>
  <c r="K1695" i="16"/>
  <c r="K1694" i="16"/>
  <c r="O1694" i="16"/>
  <c r="L1694" i="16" s="1"/>
  <c r="K1693" i="16"/>
  <c r="O1693" i="16"/>
  <c r="L1693" i="16" s="1"/>
  <c r="O1691" i="16"/>
  <c r="L1691" i="16" s="1"/>
  <c r="K1691" i="16"/>
  <c r="K1752" i="16"/>
  <c r="O1752" i="16"/>
  <c r="L1752" i="16" s="1"/>
  <c r="O1751" i="16"/>
  <c r="L1751" i="16" s="1"/>
  <c r="K1751" i="16"/>
  <c r="K1750" i="16"/>
  <c r="O1750" i="16"/>
  <c r="L1750" i="16" s="1"/>
  <c r="K1748" i="16"/>
  <c r="O1748" i="16"/>
  <c r="L1748" i="16" s="1"/>
  <c r="K1749" i="16"/>
  <c r="O1749" i="16"/>
  <c r="L1749" i="16" s="1"/>
  <c r="K1747" i="16"/>
  <c r="O1747" i="16"/>
  <c r="L1747" i="16" s="1"/>
  <c r="K1746" i="16"/>
  <c r="O1746" i="16"/>
  <c r="L1746" i="16" s="1"/>
  <c r="O1745" i="16"/>
  <c r="L1745" i="16" s="1"/>
  <c r="K1745" i="16"/>
  <c r="K1744" i="16"/>
  <c r="O1744" i="16"/>
  <c r="L1744" i="16" s="1"/>
  <c r="K1743" i="16"/>
  <c r="O1743" i="16"/>
  <c r="L1743" i="16" s="1"/>
  <c r="K1740" i="16"/>
  <c r="O1740" i="16"/>
  <c r="L1740" i="16" s="1"/>
  <c r="O1739" i="16"/>
  <c r="L1739" i="16" s="1"/>
  <c r="K1739" i="16"/>
  <c r="K1732" i="16"/>
  <c r="O1732" i="16"/>
  <c r="L1732" i="16" s="1"/>
  <c r="O1729" i="16"/>
  <c r="L1729" i="16" s="1"/>
  <c r="K1729" i="16"/>
  <c r="K1728" i="16"/>
  <c r="O1728" i="16"/>
  <c r="L1728" i="16" s="1"/>
  <c r="O1726" i="16"/>
  <c r="L1726" i="16" s="1"/>
  <c r="K1726" i="16"/>
  <c r="K1725" i="16"/>
  <c r="O1725" i="16"/>
  <c r="L1725" i="16" s="1"/>
  <c r="O1724" i="16"/>
  <c r="L1724" i="16" s="1"/>
  <c r="K1724" i="16"/>
  <c r="O1722" i="16"/>
  <c r="L1722" i="16" s="1"/>
  <c r="K1722" i="16"/>
  <c r="K1723" i="16"/>
  <c r="O1723" i="16"/>
  <c r="L1723" i="16" s="1"/>
  <c r="K1709" i="16"/>
  <c r="O1709" i="16"/>
  <c r="L1709" i="16" s="1"/>
  <c r="K1721" i="16"/>
  <c r="O1721" i="16"/>
  <c r="L1721" i="16" s="1"/>
  <c r="K1712" i="16"/>
  <c r="O1712" i="16"/>
  <c r="L1712" i="16" s="1"/>
  <c r="K1719" i="16"/>
  <c r="O1719" i="16"/>
  <c r="L1719" i="16" s="1"/>
  <c r="K1716" i="16"/>
  <c r="O1716" i="16"/>
  <c r="L1716" i="16" s="1"/>
  <c r="O1713" i="16"/>
  <c r="L1713" i="16" s="1"/>
  <c r="K1713" i="16"/>
  <c r="K1710" i="16"/>
  <c r="O1710" i="16"/>
  <c r="L1710" i="16" s="1"/>
  <c r="K1718" i="16"/>
  <c r="O1718" i="16"/>
  <c r="L1718" i="16" s="1"/>
  <c r="K1717" i="16"/>
  <c r="O1717" i="16"/>
  <c r="L1717" i="16" s="1"/>
  <c r="K1708" i="16"/>
  <c r="O1708" i="16"/>
  <c r="L1708" i="16" s="1"/>
  <c r="K1720" i="16"/>
  <c r="O1720" i="16"/>
  <c r="L1720" i="16" s="1"/>
  <c r="O1714" i="16"/>
  <c r="L1714" i="16" s="1"/>
  <c r="K1714" i="16"/>
  <c r="K1711" i="16"/>
  <c r="O1711" i="16"/>
  <c r="L1711" i="16" s="1"/>
  <c r="O1715" i="16"/>
  <c r="L1715" i="16" s="1"/>
  <c r="K1715" i="16"/>
  <c r="O1706" i="16"/>
  <c r="L1706" i="16" s="1"/>
  <c r="K1706" i="16"/>
  <c r="O1704" i="16"/>
  <c r="L1704" i="16" s="1"/>
  <c r="K1704" i="16"/>
  <c r="K1705" i="16"/>
  <c r="O1705" i="16"/>
  <c r="L1705" i="16" s="1"/>
  <c r="K1707" i="16"/>
  <c r="O1707" i="16"/>
  <c r="L1707" i="16" s="1"/>
  <c r="K1703" i="16"/>
  <c r="O1703" i="16"/>
  <c r="L1703" i="16" s="1"/>
  <c r="K1701" i="16"/>
  <c r="O1701" i="16"/>
  <c r="L1701" i="16" s="1"/>
  <c r="K1690" i="16"/>
  <c r="O1690" i="16"/>
  <c r="L1690" i="16" s="1"/>
  <c r="K1689" i="16"/>
  <c r="O1689" i="16"/>
  <c r="L1689" i="16" s="1"/>
  <c r="O1688" i="16"/>
  <c r="L1688" i="16" s="1"/>
  <c r="K1688" i="16"/>
  <c r="K1687" i="16"/>
  <c r="O1687" i="16"/>
  <c r="L1687" i="16" s="1"/>
  <c r="K1665" i="16"/>
  <c r="O1665" i="16"/>
  <c r="L1665" i="16" s="1"/>
  <c r="K1678" i="16"/>
  <c r="O1678" i="16"/>
  <c r="L1678" i="16" s="1"/>
  <c r="K1664" i="16"/>
  <c r="O1664" i="16"/>
  <c r="L1664" i="16" s="1"/>
  <c r="O1677" i="16"/>
  <c r="L1677" i="16" s="1"/>
  <c r="K1677" i="16"/>
  <c r="K1670" i="16"/>
  <c r="O1670" i="16"/>
  <c r="L1670" i="16" s="1"/>
  <c r="K1676" i="16"/>
  <c r="O1676" i="16"/>
  <c r="L1676" i="16" s="1"/>
  <c r="K1669" i="16"/>
  <c r="O1669" i="16"/>
  <c r="L1669" i="16" s="1"/>
  <c r="O1675" i="16"/>
  <c r="L1675" i="16" s="1"/>
  <c r="K1675" i="16"/>
  <c r="O1668" i="16"/>
  <c r="L1668" i="16" s="1"/>
  <c r="K1668" i="16"/>
  <c r="K1667" i="16"/>
  <c r="O1667" i="16"/>
  <c r="L1667" i="16" s="1"/>
  <c r="K1680" i="16"/>
  <c r="O1680" i="16"/>
  <c r="L1680" i="16" s="1"/>
  <c r="O1666" i="16"/>
  <c r="L1666" i="16" s="1"/>
  <c r="K1666" i="16"/>
  <c r="K1663" i="16"/>
  <c r="O1663" i="16"/>
  <c r="L1663" i="16" s="1"/>
  <c r="K1660" i="16"/>
  <c r="O1660" i="16"/>
  <c r="L1660" i="16" s="1"/>
  <c r="O1662" i="16"/>
  <c r="L1662" i="16" s="1"/>
  <c r="K1662" i="16"/>
  <c r="O1661" i="16"/>
  <c r="L1661" i="16" s="1"/>
  <c r="K1661" i="16"/>
  <c r="K1659" i="16"/>
  <c r="O1659" i="16"/>
  <c r="L1659" i="16" s="1"/>
  <c r="K1658" i="16"/>
  <c r="O1658" i="16"/>
  <c r="L1658" i="16" s="1"/>
  <c r="K1657" i="16"/>
  <c r="O1657" i="16"/>
  <c r="L1657" i="16" s="1"/>
  <c r="K1652" i="16"/>
  <c r="O1652" i="16"/>
  <c r="L1652" i="16" s="1"/>
  <c r="K1654" i="16"/>
  <c r="O1654" i="16"/>
  <c r="L1654" i="16" s="1"/>
  <c r="O1655" i="16"/>
  <c r="L1655" i="16" s="1"/>
  <c r="K1655" i="16"/>
  <c r="K1656" i="16"/>
  <c r="O1656" i="16"/>
  <c r="L1656" i="16" s="1"/>
  <c r="O1635" i="16"/>
  <c r="L1635" i="16" s="1"/>
  <c r="K1635" i="16"/>
  <c r="K1648" i="16"/>
  <c r="O1648" i="16"/>
  <c r="L1648" i="16" s="1"/>
  <c r="K1642" i="16"/>
  <c r="O1642" i="16"/>
  <c r="L1642" i="16" s="1"/>
  <c r="O1644" i="16"/>
  <c r="L1644" i="16" s="1"/>
  <c r="K1644" i="16"/>
  <c r="K1647" i="16"/>
  <c r="O1647" i="16"/>
  <c r="L1647" i="16" s="1"/>
  <c r="K1641" i="16"/>
  <c r="O1641" i="16"/>
  <c r="L1641" i="16" s="1"/>
  <c r="O1650" i="16"/>
  <c r="L1650" i="16" s="1"/>
  <c r="K1650" i="16"/>
  <c r="O1646" i="16"/>
  <c r="L1646" i="16" s="1"/>
  <c r="K1646" i="16"/>
  <c r="K1640" i="16"/>
  <c r="O1640" i="16"/>
  <c r="L1640" i="16" s="1"/>
  <c r="K1636" i="16"/>
  <c r="O1636" i="16"/>
  <c r="L1636" i="16" s="1"/>
  <c r="K1649" i="16"/>
  <c r="O1649" i="16"/>
  <c r="L1649" i="16" s="1"/>
  <c r="K1643" i="16"/>
  <c r="O1643" i="16"/>
  <c r="L1643" i="16" s="1"/>
  <c r="K1645" i="16"/>
  <c r="O1645" i="16"/>
  <c r="L1645" i="16" s="1"/>
  <c r="K1639" i="16"/>
  <c r="O1639" i="16"/>
  <c r="L1639" i="16" s="1"/>
  <c r="O1637" i="16"/>
  <c r="L1637" i="16" s="1"/>
  <c r="A1637" i="16" s="1"/>
  <c r="K1593" i="16"/>
  <c r="O1593" i="16"/>
  <c r="L1593" i="16" s="1"/>
  <c r="O1594" i="16"/>
  <c r="L1594" i="16" s="1"/>
  <c r="K1594" i="16"/>
  <c r="K1595" i="16"/>
  <c r="O1595" i="16"/>
  <c r="L1595" i="16" s="1"/>
  <c r="K1590" i="16"/>
  <c r="O1590" i="16"/>
  <c r="L1590" i="16" s="1"/>
  <c r="O1587" i="16"/>
  <c r="L1587" i="16" s="1"/>
  <c r="K1587" i="16"/>
  <c r="K1588" i="16"/>
  <c r="O1588" i="16"/>
  <c r="L1588" i="16" s="1"/>
  <c r="K1592" i="16"/>
  <c r="O1592" i="16"/>
  <c r="L1592" i="16" s="1"/>
  <c r="O1589" i="16"/>
  <c r="L1589" i="16" s="1"/>
  <c r="K1589" i="16"/>
  <c r="O1591" i="16"/>
  <c r="L1591" i="16" s="1"/>
  <c r="K1591" i="16"/>
  <c r="K1586" i="16"/>
  <c r="O1586" i="16"/>
  <c r="L1586" i="16" s="1"/>
  <c r="O1600" i="16"/>
  <c r="L1600" i="16" s="1"/>
  <c r="K1600" i="16"/>
  <c r="K1596" i="16"/>
  <c r="O1596" i="16"/>
  <c r="L1596" i="16" s="1"/>
  <c r="K1597" i="16"/>
  <c r="O1597" i="16"/>
  <c r="L1597" i="16" s="1"/>
  <c r="O1599" i="16"/>
  <c r="L1599" i="16" s="1"/>
  <c r="K1599" i="16"/>
  <c r="O1583" i="16"/>
  <c r="L1583" i="16" s="1"/>
  <c r="K1583" i="16"/>
  <c r="O1598" i="16"/>
  <c r="L1598" i="16" s="1"/>
  <c r="K1598" i="16"/>
  <c r="K1575" i="16"/>
  <c r="O1575" i="16"/>
  <c r="L1575" i="16" s="1"/>
  <c r="K1581" i="16"/>
  <c r="O1581" i="16"/>
  <c r="L1581" i="16" s="1"/>
  <c r="K1579" i="16"/>
  <c r="O1579" i="16"/>
  <c r="L1579" i="16" s="1"/>
  <c r="K1559" i="16"/>
  <c r="O1559" i="16"/>
  <c r="L1559" i="16" s="1"/>
  <c r="K1562" i="16"/>
  <c r="O1562" i="16"/>
  <c r="L1562" i="16" s="1"/>
  <c r="K1565" i="16"/>
  <c r="O1565" i="16"/>
  <c r="L1565" i="16" s="1"/>
  <c r="K1571" i="16"/>
  <c r="O1571" i="16"/>
  <c r="L1571" i="16" s="1"/>
  <c r="K1568" i="16"/>
  <c r="O1568" i="16"/>
  <c r="L1568" i="16" s="1"/>
  <c r="O1574" i="16"/>
  <c r="L1574" i="16" s="1"/>
  <c r="K1574" i="16"/>
  <c r="K1580" i="16"/>
  <c r="O1580" i="16"/>
  <c r="L1580" i="16" s="1"/>
  <c r="K1578" i="16"/>
  <c r="O1578" i="16"/>
  <c r="L1578" i="16" s="1"/>
  <c r="O1558" i="16"/>
  <c r="L1558" i="16" s="1"/>
  <c r="K1558" i="16"/>
  <c r="K1561" i="16"/>
  <c r="O1561" i="16"/>
  <c r="L1561" i="16" s="1"/>
  <c r="K1564" i="16"/>
  <c r="O1564" i="16"/>
  <c r="L1564" i="16" s="1"/>
  <c r="O1570" i="16"/>
  <c r="L1570" i="16" s="1"/>
  <c r="K1570" i="16"/>
  <c r="O1567" i="16"/>
  <c r="L1567" i="16" s="1"/>
  <c r="K1567" i="16"/>
  <c r="K1573" i="16"/>
  <c r="O1573" i="16"/>
  <c r="L1573" i="16" s="1"/>
  <c r="O1577" i="16"/>
  <c r="L1577" i="16" s="1"/>
  <c r="K1577" i="16"/>
  <c r="K1576" i="16"/>
  <c r="O1576" i="16"/>
  <c r="L1576" i="16" s="1"/>
  <c r="K1560" i="16"/>
  <c r="O1560" i="16"/>
  <c r="L1560" i="16" s="1"/>
  <c r="O1563" i="16"/>
  <c r="L1563" i="16" s="1"/>
  <c r="K1563" i="16"/>
  <c r="K1566" i="16"/>
  <c r="O1566" i="16"/>
  <c r="L1566" i="16" s="1"/>
  <c r="O1572" i="16"/>
  <c r="L1572" i="16" s="1"/>
  <c r="K1572" i="16"/>
  <c r="K1569" i="16"/>
  <c r="O1569" i="16"/>
  <c r="L1569" i="16" s="1"/>
  <c r="O1556" i="16"/>
  <c r="L1556" i="16" s="1"/>
  <c r="K1556" i="16"/>
  <c r="K1548" i="16"/>
  <c r="O1548" i="16"/>
  <c r="L1548" i="16" s="1"/>
  <c r="O1550" i="16"/>
  <c r="L1550" i="16" s="1"/>
  <c r="K1550" i="16"/>
  <c r="K1553" i="16"/>
  <c r="O1553" i="16"/>
  <c r="L1553" i="16" s="1"/>
  <c r="K1555" i="16"/>
  <c r="O1555" i="16"/>
  <c r="L1555" i="16" s="1"/>
  <c r="K1552" i="16"/>
  <c r="O1552" i="16"/>
  <c r="L1552" i="16" s="1"/>
  <c r="O1557" i="16"/>
  <c r="L1557" i="16" s="1"/>
  <c r="K1557" i="16"/>
  <c r="O1554" i="16"/>
  <c r="L1554" i="16" s="1"/>
  <c r="K1554" i="16"/>
  <c r="K1551" i="16"/>
  <c r="O1551" i="16"/>
  <c r="L1551" i="16" s="1"/>
  <c r="K1546" i="16"/>
  <c r="O1546" i="16"/>
  <c r="L1546" i="16" s="1"/>
  <c r="K1545" i="16"/>
  <c r="O1545" i="16"/>
  <c r="L1545" i="16" s="1"/>
  <c r="K1541" i="16"/>
  <c r="O1541" i="16"/>
  <c r="L1541" i="16" s="1"/>
  <c r="K1542" i="16"/>
  <c r="O1542" i="16"/>
  <c r="L1542" i="16" s="1"/>
  <c r="K1543" i="16"/>
  <c r="O1543" i="16"/>
  <c r="L1543" i="16" s="1"/>
  <c r="K1533" i="16"/>
  <c r="O1533" i="16"/>
  <c r="L1533" i="16" s="1"/>
  <c r="K1536" i="16"/>
  <c r="O1536" i="16"/>
  <c r="L1536" i="16" s="1"/>
  <c r="K1537" i="16"/>
  <c r="O1537" i="16"/>
  <c r="L1537" i="16" s="1"/>
  <c r="K1535" i="16"/>
  <c r="O1535" i="16"/>
  <c r="L1535" i="16" s="1"/>
  <c r="K1534" i="16"/>
  <c r="O1534" i="16"/>
  <c r="L1534" i="16" s="1"/>
  <c r="O1518" i="16"/>
  <c r="L1518" i="16" s="1"/>
  <c r="K1518" i="16"/>
  <c r="O1529" i="16"/>
  <c r="L1529" i="16" s="1"/>
  <c r="K1529" i="16"/>
  <c r="K1526" i="16"/>
  <c r="O1526" i="16"/>
  <c r="L1526" i="16" s="1"/>
  <c r="K1519" i="16"/>
  <c r="O1519" i="16"/>
  <c r="L1519" i="16" s="1"/>
  <c r="K1517" i="16"/>
  <c r="O1517" i="16"/>
  <c r="L1517" i="16" s="1"/>
  <c r="K1528" i="16"/>
  <c r="O1528" i="16"/>
  <c r="L1528" i="16" s="1"/>
  <c r="K1524" i="16"/>
  <c r="O1524" i="16"/>
  <c r="L1524" i="16" s="1"/>
  <c r="K1525" i="16"/>
  <c r="O1525" i="16"/>
  <c r="L1525" i="16" s="1"/>
  <c r="K1530" i="16"/>
  <c r="O1530" i="16"/>
  <c r="L1530" i="16" s="1"/>
  <c r="K1520" i="16"/>
  <c r="O1520" i="16"/>
  <c r="L1520" i="16" s="1"/>
  <c r="K1527" i="16"/>
  <c r="O1527" i="16"/>
  <c r="L1527" i="16" s="1"/>
  <c r="K1509" i="16"/>
  <c r="O1509" i="16"/>
  <c r="L1509" i="16" s="1"/>
  <c r="O1515" i="16"/>
  <c r="L1515" i="16" s="1"/>
  <c r="K1515" i="16"/>
  <c r="K1512" i="16"/>
  <c r="O1512" i="16"/>
  <c r="L1512" i="16" s="1"/>
  <c r="K1508" i="16"/>
  <c r="O1508" i="16"/>
  <c r="L1508" i="16" s="1"/>
  <c r="K1511" i="16"/>
  <c r="O1511" i="16"/>
  <c r="L1511" i="16" s="1"/>
  <c r="K1514" i="16"/>
  <c r="O1514" i="16"/>
  <c r="L1514" i="16" s="1"/>
  <c r="O1510" i="16"/>
  <c r="L1510" i="16" s="1"/>
  <c r="K1510" i="16"/>
  <c r="K1513" i="16"/>
  <c r="O1513" i="16"/>
  <c r="L1513" i="16" s="1"/>
  <c r="K1516" i="16"/>
  <c r="O1516" i="16"/>
  <c r="L1516" i="16" s="1"/>
  <c r="O1506" i="16"/>
  <c r="L1506" i="16" s="1"/>
  <c r="K1506" i="16"/>
  <c r="K1505" i="16"/>
  <c r="O1505" i="16"/>
  <c r="L1505" i="16" s="1"/>
  <c r="K1507" i="16"/>
  <c r="O1507" i="16"/>
  <c r="L1507" i="16" s="1"/>
  <c r="K1500" i="16"/>
  <c r="O1500" i="16"/>
  <c r="L1500" i="16" s="1"/>
  <c r="K1501" i="16"/>
  <c r="O1501" i="16"/>
  <c r="L1501" i="16" s="1"/>
  <c r="O1499" i="16"/>
  <c r="L1499" i="16" s="1"/>
  <c r="K1499" i="16"/>
  <c r="O1498" i="16"/>
  <c r="L1498" i="16" s="1"/>
  <c r="K1498" i="16"/>
  <c r="K1496" i="16"/>
  <c r="O1496" i="16"/>
  <c r="L1496" i="16" s="1"/>
  <c r="K1495" i="16"/>
  <c r="O1495" i="16"/>
  <c r="L1495" i="16" s="1"/>
  <c r="K1497" i="16"/>
  <c r="O1497" i="16"/>
  <c r="L1497" i="16" s="1"/>
  <c r="K1480" i="16"/>
  <c r="O1480" i="16"/>
  <c r="L1480" i="16" s="1"/>
  <c r="O1483" i="16"/>
  <c r="L1483" i="16" s="1"/>
  <c r="K1483" i="16"/>
  <c r="K1481" i="16"/>
  <c r="O1481" i="16"/>
  <c r="L1481" i="16" s="1"/>
  <c r="K1479" i="16"/>
  <c r="O1479" i="16"/>
  <c r="L1479" i="16" s="1"/>
  <c r="O1482" i="16"/>
  <c r="L1482" i="16" s="1"/>
  <c r="K1482" i="16"/>
  <c r="O1467" i="16"/>
  <c r="L1467" i="16" s="1"/>
  <c r="K1467" i="16"/>
  <c r="K1464" i="16"/>
  <c r="O1464" i="16"/>
  <c r="L1464" i="16" s="1"/>
  <c r="O1465" i="16"/>
  <c r="L1465" i="16" s="1"/>
  <c r="K1465" i="16"/>
  <c r="K1468" i="16"/>
  <c r="O1468" i="16"/>
  <c r="L1468" i="16" s="1"/>
  <c r="K1466" i="16"/>
  <c r="O1466" i="16"/>
  <c r="L1466" i="16" s="1"/>
  <c r="O1460" i="16"/>
  <c r="L1460" i="16" s="1"/>
  <c r="K1460" i="16"/>
  <c r="K1457" i="16"/>
  <c r="O1457" i="16"/>
  <c r="L1457" i="16" s="1"/>
  <c r="K1461" i="16"/>
  <c r="O1461" i="16"/>
  <c r="L1461" i="16" s="1"/>
  <c r="O1458" i="16"/>
  <c r="L1458" i="16" s="1"/>
  <c r="K1458" i="16"/>
  <c r="K1459" i="16"/>
  <c r="O1459" i="16"/>
  <c r="L1459" i="16" s="1"/>
  <c r="K1456" i="16"/>
  <c r="O1456" i="16"/>
  <c r="L1456" i="16" s="1"/>
  <c r="O1453" i="16"/>
  <c r="L1453" i="16" s="1"/>
  <c r="K1453" i="16"/>
  <c r="K1455" i="16"/>
  <c r="O1455" i="16"/>
  <c r="L1455" i="16" s="1"/>
  <c r="K1454" i="16"/>
  <c r="O1454" i="16"/>
  <c r="L1454" i="16" s="1"/>
  <c r="O1441" i="16"/>
  <c r="L1441" i="16" s="1"/>
  <c r="K1441" i="16"/>
  <c r="O1444" i="16"/>
  <c r="L1444" i="16" s="1"/>
  <c r="K1444" i="16"/>
  <c r="K1443" i="16"/>
  <c r="O1443" i="16"/>
  <c r="L1443" i="16" s="1"/>
  <c r="K1452" i="16"/>
  <c r="O1452" i="16"/>
  <c r="L1452" i="16" s="1"/>
  <c r="K1439" i="16"/>
  <c r="O1439" i="16"/>
  <c r="L1439" i="16" s="1"/>
  <c r="K1438" i="16"/>
  <c r="O1438" i="16"/>
  <c r="L1438" i="16" s="1"/>
  <c r="K1440" i="16"/>
  <c r="O1440" i="16"/>
  <c r="L1440" i="16" s="1"/>
  <c r="O1435" i="16"/>
  <c r="L1435" i="16" s="1"/>
  <c r="K1435" i="16"/>
  <c r="K1432" i="16"/>
  <c r="O1432" i="16"/>
  <c r="L1432" i="16" s="1"/>
  <c r="O1437" i="16"/>
  <c r="L1437" i="16" s="1"/>
  <c r="K1437" i="16"/>
  <c r="O1434" i="16"/>
  <c r="L1434" i="16" s="1"/>
  <c r="K1434" i="16"/>
  <c r="K1431" i="16"/>
  <c r="O1431" i="16"/>
  <c r="L1431" i="16" s="1"/>
  <c r="K1436" i="16"/>
  <c r="O1436" i="16"/>
  <c r="L1436" i="16" s="1"/>
  <c r="K1430" i="16"/>
  <c r="O1430" i="16"/>
  <c r="L1430" i="16" s="1"/>
  <c r="O1433" i="16"/>
  <c r="L1433" i="16" s="1"/>
  <c r="K1433" i="16"/>
  <c r="O1426" i="16"/>
  <c r="L1426" i="16" s="1"/>
  <c r="K1426" i="16"/>
  <c r="O1425" i="16"/>
  <c r="L1425" i="16" s="1"/>
  <c r="K1425" i="16"/>
  <c r="K1420" i="16"/>
  <c r="O1420" i="16"/>
  <c r="L1420" i="16" s="1"/>
  <c r="K1416" i="16"/>
  <c r="O1416" i="16"/>
  <c r="L1416" i="16" s="1"/>
  <c r="K1406" i="16"/>
  <c r="O1406" i="16"/>
  <c r="L1406" i="16" s="1"/>
  <c r="K1398" i="16"/>
  <c r="O1398" i="16"/>
  <c r="L1398" i="16" s="1"/>
  <c r="K1395" i="16"/>
  <c r="O1395" i="16"/>
  <c r="L1395" i="16" s="1"/>
  <c r="O1403" i="16"/>
  <c r="L1403" i="16" s="1"/>
  <c r="K1403" i="16"/>
  <c r="K1400" i="16"/>
  <c r="O1400" i="16"/>
  <c r="L1400" i="16" s="1"/>
  <c r="O1397" i="16"/>
  <c r="L1397" i="16" s="1"/>
  <c r="K1397" i="16"/>
  <c r="O1394" i="16"/>
  <c r="L1394" i="16" s="1"/>
  <c r="K1394" i="16"/>
  <c r="O1405" i="16"/>
  <c r="L1405" i="16" s="1"/>
  <c r="K1405" i="16"/>
  <c r="O1402" i="16"/>
  <c r="L1402" i="16" s="1"/>
  <c r="K1402" i="16"/>
  <c r="K1399" i="16"/>
  <c r="O1399" i="16"/>
  <c r="L1399" i="16" s="1"/>
  <c r="K1404" i="16"/>
  <c r="O1404" i="16"/>
  <c r="L1404" i="16" s="1"/>
  <c r="K1401" i="16"/>
  <c r="O1401" i="16"/>
  <c r="L1401" i="16" s="1"/>
  <c r="K1393" i="16"/>
  <c r="O1393" i="16"/>
  <c r="L1393" i="16" s="1"/>
  <c r="K1363" i="16"/>
  <c r="O1363" i="16"/>
  <c r="L1363" i="16" s="1"/>
  <c r="O1362" i="16"/>
  <c r="L1362" i="16" s="1"/>
  <c r="K1362" i="16"/>
  <c r="O1365" i="16"/>
  <c r="L1365" i="16" s="1"/>
  <c r="K1365" i="16"/>
  <c r="K1364" i="16"/>
  <c r="O1364" i="16"/>
  <c r="L1364" i="16" s="1"/>
  <c r="K1360" i="16"/>
  <c r="O1360" i="16"/>
  <c r="L1360" i="16" s="1"/>
  <c r="K1359" i="16"/>
  <c r="O1359" i="16"/>
  <c r="L1359" i="16" s="1"/>
  <c r="K1361" i="16"/>
  <c r="O1361" i="16"/>
  <c r="L1361" i="16" s="1"/>
  <c r="O1349" i="16"/>
  <c r="L1349" i="16" s="1"/>
  <c r="K1349" i="16"/>
  <c r="O1346" i="16"/>
  <c r="L1346" i="16" s="1"/>
  <c r="K1346" i="16"/>
  <c r="K1350" i="16"/>
  <c r="O1350" i="16"/>
  <c r="L1350" i="16" s="1"/>
  <c r="O1343" i="16"/>
  <c r="L1343" i="16" s="1"/>
  <c r="K1343" i="16"/>
  <c r="K1342" i="16"/>
  <c r="O1342" i="16"/>
  <c r="L1342" i="16" s="1"/>
  <c r="K1344" i="16"/>
  <c r="O1344" i="16"/>
  <c r="L1344" i="16" s="1"/>
  <c r="K1358" i="16"/>
  <c r="O1358" i="16"/>
  <c r="L1358" i="16" s="1"/>
  <c r="O1357" i="16"/>
  <c r="L1357" i="16" s="1"/>
  <c r="K1357" i="16"/>
  <c r="O1355" i="16"/>
  <c r="L1355" i="16" s="1"/>
  <c r="K1355" i="16"/>
  <c r="O1354" i="16"/>
  <c r="L1354" i="16" s="1"/>
  <c r="K1354" i="16"/>
  <c r="K1356" i="16"/>
  <c r="O1356" i="16"/>
  <c r="L1356" i="16" s="1"/>
  <c r="K1351" i="16"/>
  <c r="O1351" i="16"/>
  <c r="L1351" i="16" s="1"/>
  <c r="K1353" i="16"/>
  <c r="O1353" i="16"/>
  <c r="L1353" i="16" s="1"/>
  <c r="K1345" i="16"/>
  <c r="O1345" i="16"/>
  <c r="L1345" i="16" s="1"/>
  <c r="O1339" i="16"/>
  <c r="L1339" i="16" s="1"/>
  <c r="K1339" i="16"/>
  <c r="K1337" i="16"/>
  <c r="O1337" i="16"/>
  <c r="L1337" i="16" s="1"/>
  <c r="O1338" i="16"/>
  <c r="L1338" i="16" s="1"/>
  <c r="K1338" i="16"/>
  <c r="K1336" i="16"/>
  <c r="O1336" i="16"/>
  <c r="L1336" i="16" s="1"/>
  <c r="K1335" i="16"/>
  <c r="O1335" i="16"/>
  <c r="L1335" i="16" s="1"/>
  <c r="K1334" i="16"/>
  <c r="O1334" i="16"/>
  <c r="L1334" i="16" s="1"/>
  <c r="K1323" i="16"/>
  <c r="O1323" i="16"/>
  <c r="L1323" i="16" s="1"/>
  <c r="K1333" i="16"/>
  <c r="O1333" i="16"/>
  <c r="L1333" i="16" s="1"/>
  <c r="K1327" i="16"/>
  <c r="O1327" i="16"/>
  <c r="L1327" i="16" s="1"/>
  <c r="K1329" i="16"/>
  <c r="O1329" i="16"/>
  <c r="L1329" i="16" s="1"/>
  <c r="K1319" i="16"/>
  <c r="O1319" i="16"/>
  <c r="L1319" i="16" s="1"/>
  <c r="K1324" i="16"/>
  <c r="O1324" i="16"/>
  <c r="L1324" i="16" s="1"/>
  <c r="K1328" i="16"/>
  <c r="O1328" i="16"/>
  <c r="L1328" i="16" s="1"/>
  <c r="K1330" i="16"/>
  <c r="O1330" i="16"/>
  <c r="L1330" i="16" s="1"/>
  <c r="K1332" i="16"/>
  <c r="O1332" i="16"/>
  <c r="L1332" i="16" s="1"/>
  <c r="K1331" i="16"/>
  <c r="O1331" i="16"/>
  <c r="L1331" i="16" s="1"/>
  <c r="K1317" i="16"/>
  <c r="O1317" i="16"/>
  <c r="L1317" i="16" s="1"/>
  <c r="K1316" i="16"/>
  <c r="O1316" i="16"/>
  <c r="L1316" i="16" s="1"/>
  <c r="K1315" i="16"/>
  <c r="O1315" i="16"/>
  <c r="L1315" i="16" s="1"/>
  <c r="K1309" i="16"/>
  <c r="O1309" i="16"/>
  <c r="L1309" i="16" s="1"/>
  <c r="K1312" i="16"/>
  <c r="O1312" i="16"/>
  <c r="L1312" i="16" s="1"/>
  <c r="O1313" i="16"/>
  <c r="L1313" i="16" s="1"/>
  <c r="A1313" i="16" s="1"/>
  <c r="K1308" i="16"/>
  <c r="O1308" i="16"/>
  <c r="L1308" i="16" s="1"/>
  <c r="K1311" i="16"/>
  <c r="O1311" i="16"/>
  <c r="L1311" i="16" s="1"/>
  <c r="K1304" i="16"/>
  <c r="O1304" i="16"/>
  <c r="L1304" i="16" s="1"/>
  <c r="K1306" i="16"/>
  <c r="O1306" i="16"/>
  <c r="L1306" i="16" s="1"/>
  <c r="K1305" i="16"/>
  <c r="O1305" i="16"/>
  <c r="L1305" i="16" s="1"/>
  <c r="K1307" i="16"/>
  <c r="O1307" i="16"/>
  <c r="L1307" i="16" s="1"/>
  <c r="K1303" i="16"/>
  <c r="O1303" i="16"/>
  <c r="L1303" i="16" s="1"/>
  <c r="K1302" i="16"/>
  <c r="O1302" i="16"/>
  <c r="L1302" i="16" s="1"/>
  <c r="K1300" i="16"/>
  <c r="O1300" i="16"/>
  <c r="L1300" i="16" s="1"/>
  <c r="K1297" i="16"/>
  <c r="O1297" i="16"/>
  <c r="L1297" i="16" s="1"/>
  <c r="K1298" i="16"/>
  <c r="O1298" i="16"/>
  <c r="L1298" i="16" s="1"/>
  <c r="K1301" i="16"/>
  <c r="O1301" i="16"/>
  <c r="L1301" i="16" s="1"/>
  <c r="K1296" i="16"/>
  <c r="O1296" i="16"/>
  <c r="L1296" i="16" s="1"/>
  <c r="K1299" i="16"/>
  <c r="O1299" i="16"/>
  <c r="L1299" i="16" s="1"/>
  <c r="K1286" i="16"/>
  <c r="O1286" i="16"/>
  <c r="L1286" i="16" s="1"/>
  <c r="K1290" i="16"/>
  <c r="O1290" i="16"/>
  <c r="L1290" i="16" s="1"/>
  <c r="K1291" i="16"/>
  <c r="O1291" i="16"/>
  <c r="L1291" i="16" s="1"/>
  <c r="K1289" i="16"/>
  <c r="O1289" i="16"/>
  <c r="L1289" i="16" s="1"/>
  <c r="K1288" i="16"/>
  <c r="O1288" i="16"/>
  <c r="L1288" i="16" s="1"/>
  <c r="K1293" i="16"/>
  <c r="O1293" i="16"/>
  <c r="L1293" i="16" s="1"/>
  <c r="K1285" i="16"/>
  <c r="O1285" i="16"/>
  <c r="L1285" i="16" s="1"/>
  <c r="K1284" i="16"/>
  <c r="O1284" i="16"/>
  <c r="L1284" i="16" s="1"/>
  <c r="K1294" i="16"/>
  <c r="O1294" i="16"/>
  <c r="L1294" i="16" s="1"/>
  <c r="K1283" i="16"/>
  <c r="O1283" i="16"/>
  <c r="L1283" i="16" s="1"/>
  <c r="K1292" i="16"/>
  <c r="O1292" i="16"/>
  <c r="L1292" i="16" s="1"/>
  <c r="K1287" i="16"/>
  <c r="O1287" i="16"/>
  <c r="L1287" i="16" s="1"/>
  <c r="K1295" i="16"/>
  <c r="O1295" i="16"/>
  <c r="L1295" i="16" s="1"/>
  <c r="K1282" i="16"/>
  <c r="O1282" i="16"/>
  <c r="L1282" i="16" s="1"/>
  <c r="K1279" i="16"/>
  <c r="O1279" i="16"/>
  <c r="L1279" i="16" s="1"/>
  <c r="A718" i="16"/>
  <c r="K1277" i="16"/>
  <c r="O1277" i="16"/>
  <c r="L1277" i="16" s="1"/>
  <c r="K1278" i="16"/>
  <c r="O1278" i="16"/>
  <c r="L1278" i="16" s="1"/>
  <c r="K1280" i="16"/>
  <c r="O1280" i="16"/>
  <c r="L1280" i="16" s="1"/>
  <c r="K1281" i="16"/>
  <c r="O1281" i="16"/>
  <c r="L1281" i="16" s="1"/>
  <c r="K1266" i="16"/>
  <c r="O1266" i="16"/>
  <c r="L1266" i="16" s="1"/>
  <c r="O1271" i="16"/>
  <c r="L1271" i="16" s="1"/>
  <c r="K1271" i="16"/>
  <c r="K1274" i="16"/>
  <c r="O1274" i="16"/>
  <c r="L1274" i="16" s="1"/>
  <c r="K1272" i="16"/>
  <c r="O1272" i="16"/>
  <c r="L1272" i="16" s="1"/>
  <c r="K1273" i="16"/>
  <c r="O1273" i="16"/>
  <c r="L1273" i="16" s="1"/>
  <c r="K1275" i="16"/>
  <c r="O1275" i="16"/>
  <c r="L1275" i="16" s="1"/>
  <c r="K1269" i="16"/>
  <c r="O1269" i="16"/>
  <c r="L1269" i="16" s="1"/>
  <c r="K1268" i="16"/>
  <c r="O1268" i="16"/>
  <c r="L1268" i="16" s="1"/>
  <c r="K1267" i="16"/>
  <c r="O1267" i="16"/>
  <c r="L1267" i="16" s="1"/>
  <c r="K1270" i="16"/>
  <c r="O1270" i="16"/>
  <c r="L1270" i="16" s="1"/>
  <c r="K1258" i="16"/>
  <c r="O1258" i="16"/>
  <c r="L1258" i="16" s="1"/>
  <c r="K1257" i="16"/>
  <c r="O1257" i="16"/>
  <c r="L1257" i="16" s="1"/>
  <c r="K1250" i="16"/>
  <c r="O1250" i="16"/>
  <c r="L1250" i="16" s="1"/>
  <c r="K1249" i="16"/>
  <c r="O1249" i="16"/>
  <c r="L1249" i="16" s="1"/>
  <c r="K1264" i="16"/>
  <c r="O1264" i="16"/>
  <c r="L1264" i="16" s="1"/>
  <c r="K1259" i="16"/>
  <c r="O1259" i="16"/>
  <c r="L1259" i="16" s="1"/>
  <c r="K1262" i="16"/>
  <c r="O1262" i="16"/>
  <c r="L1262" i="16" s="1"/>
  <c r="K1252" i="16"/>
  <c r="O1252" i="16"/>
  <c r="L1252" i="16" s="1"/>
  <c r="K1260" i="16"/>
  <c r="O1260" i="16"/>
  <c r="L1260" i="16" s="1"/>
  <c r="K1251" i="16"/>
  <c r="O1251" i="16"/>
  <c r="L1251" i="16" s="1"/>
  <c r="K1253" i="16"/>
  <c r="O1253" i="16"/>
  <c r="L1253" i="16" s="1"/>
  <c r="K1247" i="16"/>
  <c r="O1247" i="16"/>
  <c r="L1247" i="16" s="1"/>
  <c r="K1261" i="16"/>
  <c r="O1261" i="16"/>
  <c r="L1261" i="16" s="1"/>
  <c r="K1255" i="16"/>
  <c r="O1255" i="16"/>
  <c r="L1255" i="16" s="1"/>
  <c r="K1254" i="16"/>
  <c r="O1254" i="16"/>
  <c r="L1254" i="16" s="1"/>
  <c r="K1265" i="16"/>
  <c r="O1265" i="16"/>
  <c r="L1265" i="16" s="1"/>
  <c r="K1263" i="16"/>
  <c r="O1263" i="16"/>
  <c r="L1263" i="16" s="1"/>
  <c r="K1256" i="16"/>
  <c r="O1256" i="16"/>
  <c r="L1256" i="16" s="1"/>
  <c r="K1245" i="16"/>
  <c r="O1245" i="16"/>
  <c r="L1245" i="16" s="1"/>
  <c r="K1242" i="16"/>
  <c r="O1242" i="16"/>
  <c r="L1242" i="16" s="1"/>
  <c r="K1243" i="16"/>
  <c r="O1243" i="16"/>
  <c r="L1243" i="16" s="1"/>
  <c r="K1246" i="16"/>
  <c r="O1246" i="16"/>
  <c r="L1246" i="16" s="1"/>
  <c r="K1241" i="16"/>
  <c r="O1241" i="16"/>
  <c r="L1241" i="16" s="1"/>
  <c r="K1244" i="16"/>
  <c r="O1244" i="16"/>
  <c r="L1244" i="16" s="1"/>
  <c r="A873" i="16"/>
  <c r="A900" i="16"/>
  <c r="A853" i="16"/>
  <c r="A826" i="16"/>
  <c r="A911" i="16"/>
  <c r="A863" i="16"/>
  <c r="A1139" i="16"/>
  <c r="A1019" i="16"/>
  <c r="A1175" i="16"/>
  <c r="A1165" i="16"/>
  <c r="A1101" i="16"/>
  <c r="A1125" i="16"/>
  <c r="A804" i="16"/>
  <c r="A807" i="16"/>
  <c r="A922" i="16"/>
  <c r="A1005" i="16"/>
  <c r="A821" i="16"/>
  <c r="A881" i="16"/>
  <c r="A908" i="16"/>
  <c r="A890" i="16"/>
  <c r="A1192" i="16"/>
  <c r="A838" i="16"/>
  <c r="A817" i="16"/>
  <c r="A954" i="16"/>
  <c r="A813" i="16"/>
  <c r="A985" i="16"/>
  <c r="A876" i="16"/>
  <c r="A1000" i="16"/>
  <c r="A932" i="16"/>
  <c r="A841" i="16"/>
  <c r="A1014" i="16"/>
  <c r="A835" i="16"/>
  <c r="A1032" i="16"/>
  <c r="A1021" i="16"/>
  <c r="A2454" i="16" l="1"/>
  <c r="A2463" i="16"/>
  <c r="A2450" i="16"/>
  <c r="A2458" i="16"/>
  <c r="A2456" i="16"/>
  <c r="A2453" i="16"/>
  <c r="A2455" i="16"/>
  <c r="A2459" i="16"/>
  <c r="A2460" i="16"/>
  <c r="A2451" i="16"/>
  <c r="A2452" i="16"/>
  <c r="A2457" i="16"/>
  <c r="A2461" i="16"/>
  <c r="A2439" i="16"/>
  <c r="A2442" i="16"/>
  <c r="A2444" i="16"/>
  <c r="A2443" i="16"/>
  <c r="A2441" i="16"/>
  <c r="A2440" i="16"/>
  <c r="A2418" i="16"/>
  <c r="A2419" i="16"/>
  <c r="A2432" i="16"/>
  <c r="A2433" i="16"/>
  <c r="A2434" i="16"/>
  <c r="A2423" i="16"/>
  <c r="A2430" i="16"/>
  <c r="A2431" i="16"/>
  <c r="A2428" i="16"/>
  <c r="A2424" i="16"/>
  <c r="A2429" i="16"/>
  <c r="A2420" i="16"/>
  <c r="A2416" i="16"/>
  <c r="A2417" i="16"/>
  <c r="A2411" i="16"/>
  <c r="A2414" i="16"/>
  <c r="A2413" i="16"/>
  <c r="A2415" i="16"/>
  <c r="A2412" i="16"/>
  <c r="A2409" i="16"/>
  <c r="A2410" i="16"/>
  <c r="A2407" i="16"/>
  <c r="A2404" i="16"/>
  <c r="A2402" i="16"/>
  <c r="A2399" i="16"/>
  <c r="A2406" i="16"/>
  <c r="A2400" i="16"/>
  <c r="A2405" i="16"/>
  <c r="A2403" i="16"/>
  <c r="A2398" i="16"/>
  <c r="A2401" i="16"/>
  <c r="A2394" i="16"/>
  <c r="A2395" i="16"/>
  <c r="A2396" i="16"/>
  <c r="A2397" i="16"/>
  <c r="A2393" i="16"/>
  <c r="A2392" i="16"/>
  <c r="A2381" i="16"/>
  <c r="A2383" i="16"/>
  <c r="A2386" i="16"/>
  <c r="A2382" i="16"/>
  <c r="A2385" i="16"/>
  <c r="A2384" i="16"/>
  <c r="A2377" i="16"/>
  <c r="A2375" i="16"/>
  <c r="A2378" i="16"/>
  <c r="A2376" i="16"/>
  <c r="A2374" i="16"/>
  <c r="A2372" i="16"/>
  <c r="A2373" i="16"/>
  <c r="A2371" i="16"/>
  <c r="A2370" i="16"/>
  <c r="A2369" i="16"/>
  <c r="A2368" i="16"/>
  <c r="A2366" i="16"/>
  <c r="A2367" i="16"/>
  <c r="A2365" i="16"/>
  <c r="A2360" i="16"/>
  <c r="A2357" i="16"/>
  <c r="A2356" i="16"/>
  <c r="A2355" i="16"/>
  <c r="A2354" i="16"/>
  <c r="A2351" i="16"/>
  <c r="A2350" i="16"/>
  <c r="A2353" i="16"/>
  <c r="A2349" i="16"/>
  <c r="A2348" i="16"/>
  <c r="A2344" i="16"/>
  <c r="A2346" i="16"/>
  <c r="A2345" i="16"/>
  <c r="A2347" i="16"/>
  <c r="A2343" i="16"/>
  <c r="A2337" i="16"/>
  <c r="A2342" i="16"/>
  <c r="A2336" i="16"/>
  <c r="A2339" i="16"/>
  <c r="A2331" i="16"/>
  <c r="A2333" i="16"/>
  <c r="A2335" i="16"/>
  <c r="A2334" i="16"/>
  <c r="A2329" i="16"/>
  <c r="A2330" i="16"/>
  <c r="A2332" i="16"/>
  <c r="A2326" i="16"/>
  <c r="A2325" i="16"/>
  <c r="A2327" i="16"/>
  <c r="A2318" i="16"/>
  <c r="A2322" i="16"/>
  <c r="A2323" i="16"/>
  <c r="A2317" i="16"/>
  <c r="A2319" i="16"/>
  <c r="A2314" i="16"/>
  <c r="A2316" i="16"/>
  <c r="A2313" i="16"/>
  <c r="A2305" i="16"/>
  <c r="A2312" i="16"/>
  <c r="A2311" i="16"/>
  <c r="A2306" i="16"/>
  <c r="A2303" i="16"/>
  <c r="A2307" i="16"/>
  <c r="A2304" i="16"/>
  <c r="A2297" i="16"/>
  <c r="A2301" i="16"/>
  <c r="A2298" i="16"/>
  <c r="A2302" i="16"/>
  <c r="A2296" i="16"/>
  <c r="A2300" i="16"/>
  <c r="A2299" i="16"/>
  <c r="A2280" i="16"/>
  <c r="A2276" i="16"/>
  <c r="A2287" i="16"/>
  <c r="A2284" i="16"/>
  <c r="A2295" i="16"/>
  <c r="A2282" i="16"/>
  <c r="A2286" i="16"/>
  <c r="A2279" i="16"/>
  <c r="A2294" i="16"/>
  <c r="A2277" i="16"/>
  <c r="A2289" i="16"/>
  <c r="A2293" i="16"/>
  <c r="A2285" i="16"/>
  <c r="A2278" i="16"/>
  <c r="A2290" i="16"/>
  <c r="A2281" i="16"/>
  <c r="A2283" i="16"/>
  <c r="A2288" i="16"/>
  <c r="A2275" i="16"/>
  <c r="A2272" i="16"/>
  <c r="A2271" i="16"/>
  <c r="A2270" i="16"/>
  <c r="A2236" i="16"/>
  <c r="A2256" i="16"/>
  <c r="A2259" i="16"/>
  <c r="A2258" i="16"/>
  <c r="A2264" i="16"/>
  <c r="A2265" i="16"/>
  <c r="A2237" i="16"/>
  <c r="A2261" i="16"/>
  <c r="A2262" i="16"/>
  <c r="A2266" i="16"/>
  <c r="A2230" i="16"/>
  <c r="A2231" i="16"/>
  <c r="A2268" i="16"/>
  <c r="A2233" i="16"/>
  <c r="A2238" i="16"/>
  <c r="A2263" i="16"/>
  <c r="A2260" i="16"/>
  <c r="A2257" i="16"/>
  <c r="A2255" i="16"/>
  <c r="A2254" i="16"/>
  <c r="A2240" i="16"/>
  <c r="A2239" i="16"/>
  <c r="A2235" i="16"/>
  <c r="A2242" i="16"/>
  <c r="A2244" i="16"/>
  <c r="A2246" i="16"/>
  <c r="A2247" i="16"/>
  <c r="A2245" i="16"/>
  <c r="A2241" i="16"/>
  <c r="A2243" i="16"/>
  <c r="A2234" i="16"/>
  <c r="A2224" i="16"/>
  <c r="A2225" i="16"/>
  <c r="A2174" i="16"/>
  <c r="A2177" i="16"/>
  <c r="A2178" i="16"/>
  <c r="A2201" i="16"/>
  <c r="A2194" i="16"/>
  <c r="A2161" i="16"/>
  <c r="A2199" i="16"/>
  <c r="A2204" i="16"/>
  <c r="A2206" i="16"/>
  <c r="A2215" i="16"/>
  <c r="A2209" i="16"/>
  <c r="A2214" i="16"/>
  <c r="A2176" i="16"/>
  <c r="A2205" i="16"/>
  <c r="A2186" i="16"/>
  <c r="A2203" i="16"/>
  <c r="A2196" i="16"/>
  <c r="A2200" i="16"/>
  <c r="A2193" i="16"/>
  <c r="A2160" i="16"/>
  <c r="A2195" i="16"/>
  <c r="A2207" i="16"/>
  <c r="A2223" i="16"/>
  <c r="A2218" i="16"/>
  <c r="A2221" i="16"/>
  <c r="A2217" i="16"/>
  <c r="A2216" i="16"/>
  <c r="A2213" i="16"/>
  <c r="A2219" i="16"/>
  <c r="A2210" i="16"/>
  <c r="A2222" i="16"/>
  <c r="A2197" i="16"/>
  <c r="A2184" i="16"/>
  <c r="A2185" i="16"/>
  <c r="A2180" i="16"/>
  <c r="A2183" i="16"/>
  <c r="A2208" i="16"/>
  <c r="A2198" i="16"/>
  <c r="A2162" i="16"/>
  <c r="A2179" i="16"/>
  <c r="A2175" i="16"/>
  <c r="A2171" i="16"/>
  <c r="A2173" i="16"/>
  <c r="A2170" i="16"/>
  <c r="A2169" i="16"/>
  <c r="A2168" i="16"/>
  <c r="A2154" i="16"/>
  <c r="A2163" i="16"/>
  <c r="A2151" i="16"/>
  <c r="A2153" i="16"/>
  <c r="A2155" i="16"/>
  <c r="A2159" i="16"/>
  <c r="A2157" i="16"/>
  <c r="A2156" i="16"/>
  <c r="A2158" i="16"/>
  <c r="A2149" i="16"/>
  <c r="A2152" i="16"/>
  <c r="A2146" i="16"/>
  <c r="A2148" i="16"/>
  <c r="A2150" i="16"/>
  <c r="A2136" i="16"/>
  <c r="A2134" i="16"/>
  <c r="A2130" i="16"/>
  <c r="A2140" i="16"/>
  <c r="A2142" i="16"/>
  <c r="A2138" i="16"/>
  <c r="A2145" i="16"/>
  <c r="A2133" i="16"/>
  <c r="A2141" i="16"/>
  <c r="A2143" i="16"/>
  <c r="A2139" i="16"/>
  <c r="A2137" i="16"/>
  <c r="A2132" i="16"/>
  <c r="A2131" i="16"/>
  <c r="A2135" i="16"/>
  <c r="A2112" i="16"/>
  <c r="A2116" i="16"/>
  <c r="A2120" i="16"/>
  <c r="A2119" i="16"/>
  <c r="A2114" i="16"/>
  <c r="A2118" i="16"/>
  <c r="A2117" i="16"/>
  <c r="A2115" i="16"/>
  <c r="A2113" i="16"/>
  <c r="A2109" i="16"/>
  <c r="A2108" i="16"/>
  <c r="A2105" i="16"/>
  <c r="A2102" i="16"/>
  <c r="A2100" i="16"/>
  <c r="A2101" i="16"/>
  <c r="A2099" i="16"/>
  <c r="A2056" i="16"/>
  <c r="A2062" i="16"/>
  <c r="A2063" i="16"/>
  <c r="A2049" i="16"/>
  <c r="A2082" i="16"/>
  <c r="A2067" i="16"/>
  <c r="A2070" i="16"/>
  <c r="A2071" i="16"/>
  <c r="A2054" i="16"/>
  <c r="A2060" i="16"/>
  <c r="A2068" i="16"/>
  <c r="A2050" i="16"/>
  <c r="A2076" i="16"/>
  <c r="A2057" i="16"/>
  <c r="A2083" i="16"/>
  <c r="A2074" i="16"/>
  <c r="A2080" i="16"/>
  <c r="A2078" i="16"/>
  <c r="A2079" i="16"/>
  <c r="A2077" i="16"/>
  <c r="A2081" i="16"/>
  <c r="A2075" i="16"/>
  <c r="A2065" i="16"/>
  <c r="A2073" i="16"/>
  <c r="A2053" i="16"/>
  <c r="A2055" i="16"/>
  <c r="A2069" i="16"/>
  <c r="A2052" i="16"/>
  <c r="A2061" i="16"/>
  <c r="A2084" i="16"/>
  <c r="A2058" i="16"/>
  <c r="A2059" i="16"/>
  <c r="A2051" i="16"/>
  <c r="A2072" i="16"/>
  <c r="A2042" i="16"/>
  <c r="A2032" i="16"/>
  <c r="A2039" i="16"/>
  <c r="A2040" i="16"/>
  <c r="A2047" i="16"/>
  <c r="A2046" i="16"/>
  <c r="A2038" i="16"/>
  <c r="A2044" i="16"/>
  <c r="A2048" i="16"/>
  <c r="A2043" i="16"/>
  <c r="A2045" i="16"/>
  <c r="A2036" i="16"/>
  <c r="A2005" i="16"/>
  <c r="A1995" i="16"/>
  <c r="A2025" i="16"/>
  <c r="A1992" i="16"/>
  <c r="A2021" i="16"/>
  <c r="A2012" i="16"/>
  <c r="A2000" i="16"/>
  <c r="A2016" i="16"/>
  <c r="A1989" i="16"/>
  <c r="A2019" i="16"/>
  <c r="A2020" i="16"/>
  <c r="A1990" i="16"/>
  <c r="A2023" i="16"/>
  <c r="A2018" i="16"/>
  <c r="A2004" i="16"/>
  <c r="A1999" i="16"/>
  <c r="A1996" i="16"/>
  <c r="A2002" i="16"/>
  <c r="A2022" i="16"/>
  <c r="A2010" i="16"/>
  <c r="A1997" i="16"/>
  <c r="A2003" i="16"/>
  <c r="A2001" i="16"/>
  <c r="A1991" i="16"/>
  <c r="A2024" i="16"/>
  <c r="A2011" i="16"/>
  <c r="A1988" i="16"/>
  <c r="A1987" i="16"/>
  <c r="A1973" i="16"/>
  <c r="A1975" i="16"/>
  <c r="A1978" i="16"/>
  <c r="A1983" i="16"/>
  <c r="A1982" i="16"/>
  <c r="A1977" i="16"/>
  <c r="A1976" i="16"/>
  <c r="A1972" i="16"/>
  <c r="A1979" i="16"/>
  <c r="A1974" i="16"/>
  <c r="A1961" i="16"/>
  <c r="A1965" i="16"/>
  <c r="A1967" i="16"/>
  <c r="A1966" i="16"/>
  <c r="A1964" i="16"/>
  <c r="A1954" i="16"/>
  <c r="A1968" i="16"/>
  <c r="A1963" i="16"/>
  <c r="A1962" i="16"/>
  <c r="A1950" i="16"/>
  <c r="A1957" i="16"/>
  <c r="A1960" i="16"/>
  <c r="A1941" i="16"/>
  <c r="A1951" i="16"/>
  <c r="A1944" i="16"/>
  <c r="A1947" i="16"/>
  <c r="A1945" i="16"/>
  <c r="A1943" i="16"/>
  <c r="A1949" i="16"/>
  <c r="A1959" i="16"/>
  <c r="A1958" i="16"/>
  <c r="A1953" i="16"/>
  <c r="A1948" i="16"/>
  <c r="A1935" i="16"/>
  <c r="A1952" i="16"/>
  <c r="A1942" i="16"/>
  <c r="A1946" i="16"/>
  <c r="A1938" i="16"/>
  <c r="A1937" i="16"/>
  <c r="A1932" i="16"/>
  <c r="A1936" i="16"/>
  <c r="A1934" i="16"/>
  <c r="A1933" i="16"/>
  <c r="A1939" i="16"/>
  <c r="A1931" i="16"/>
  <c r="A1923" i="16"/>
  <c r="A1921" i="16"/>
  <c r="A1915" i="16"/>
  <c r="A1914" i="16"/>
  <c r="A1917" i="16"/>
  <c r="A1924" i="16"/>
  <c r="A1911" i="16"/>
  <c r="A1918" i="16"/>
  <c r="A1912" i="16"/>
  <c r="A1920" i="16"/>
  <c r="A1916" i="16"/>
  <c r="A1922" i="16"/>
  <c r="A1913" i="16"/>
  <c r="A1919" i="16"/>
  <c r="A1900" i="16"/>
  <c r="A1899" i="16"/>
  <c r="A1903" i="16"/>
  <c r="A1896" i="16"/>
  <c r="A1893" i="16"/>
  <c r="A1892" i="16"/>
  <c r="A1904" i="16"/>
  <c r="A1901" i="16"/>
  <c r="A1902" i="16"/>
  <c r="A1898" i="16"/>
  <c r="A1884" i="16"/>
  <c r="A1890" i="16"/>
  <c r="A1888" i="16"/>
  <c r="A1891" i="16"/>
  <c r="A1889" i="16"/>
  <c r="A1885" i="16"/>
  <c r="A1895" i="16"/>
  <c r="A1897" i="16"/>
  <c r="A1894" i="16"/>
  <c r="A1878" i="16"/>
  <c r="A1845" i="16"/>
  <c r="A1846" i="16"/>
  <c r="A1855" i="16"/>
  <c r="A1871" i="16"/>
  <c r="A1868" i="16"/>
  <c r="A1869" i="16"/>
  <c r="A1867" i="16"/>
  <c r="A1870" i="16"/>
  <c r="A1876" i="16"/>
  <c r="A1859" i="16"/>
  <c r="A1858" i="16"/>
  <c r="A1865" i="16"/>
  <c r="A1852" i="16"/>
  <c r="A1856" i="16"/>
  <c r="A1863" i="16"/>
  <c r="A1864" i="16"/>
  <c r="A1873" i="16"/>
  <c r="A1857" i="16"/>
  <c r="A1875" i="16"/>
  <c r="A1872" i="16"/>
  <c r="A1874" i="16"/>
  <c r="A1866" i="16"/>
  <c r="A1843" i="16"/>
  <c r="A1853" i="16"/>
  <c r="A1854" i="16"/>
  <c r="A1844" i="16"/>
  <c r="A1842" i="16"/>
  <c r="A1849" i="16"/>
  <c r="A1850" i="16"/>
  <c r="A1851" i="16"/>
  <c r="A1847" i="16"/>
  <c r="A1848" i="16"/>
  <c r="A1836" i="16"/>
  <c r="A1838" i="16"/>
  <c r="A1839" i="16"/>
  <c r="A1837" i="16"/>
  <c r="A1835" i="16"/>
  <c r="A1833" i="16"/>
  <c r="A1830" i="16"/>
  <c r="A1828" i="16"/>
  <c r="A1806" i="16"/>
  <c r="A1799" i="16"/>
  <c r="A1797" i="16"/>
  <c r="A1798" i="16"/>
  <c r="A1814" i="16"/>
  <c r="A1820" i="16"/>
  <c r="A1810" i="16"/>
  <c r="A1823" i="16"/>
  <c r="A1827" i="16"/>
  <c r="A1815" i="16"/>
  <c r="A1818" i="16"/>
  <c r="A1826" i="16"/>
  <c r="A1819" i="16"/>
  <c r="A1825" i="16"/>
  <c r="A1816" i="16"/>
  <c r="A1824" i="16"/>
  <c r="A1821" i="16"/>
  <c r="A1817" i="16"/>
  <c r="A1822" i="16"/>
  <c r="A1800" i="16"/>
  <c r="A1805" i="16"/>
  <c r="A1803" i="16"/>
  <c r="A1811" i="16"/>
  <c r="A1804" i="16"/>
  <c r="A1801" i="16"/>
  <c r="A1808" i="16"/>
  <c r="A1807" i="16"/>
  <c r="A1796" i="16"/>
  <c r="A1812" i="16"/>
  <c r="A1802" i="16"/>
  <c r="A1809" i="16"/>
  <c r="A1813" i="16"/>
  <c r="A1794" i="16"/>
  <c r="A1790" i="16"/>
  <c r="A1784" i="16"/>
  <c r="A1787" i="16"/>
  <c r="A1791" i="16"/>
  <c r="A1789" i="16"/>
  <c r="A1786" i="16"/>
  <c r="A1792" i="16"/>
  <c r="A1793" i="16"/>
  <c r="A1781" i="16"/>
  <c r="A1788" i="16"/>
  <c r="A1785" i="16"/>
  <c r="A1795" i="16"/>
  <c r="A1760" i="16"/>
  <c r="A1766" i="16"/>
  <c r="A1768" i="16"/>
  <c r="A1765" i="16"/>
  <c r="A1767" i="16"/>
  <c r="A1759" i="16"/>
  <c r="A1757" i="16"/>
  <c r="A1756" i="16"/>
  <c r="A1758" i="16"/>
  <c r="A1698" i="16"/>
  <c r="A1699" i="16"/>
  <c r="A1697" i="16"/>
  <c r="A1696" i="16"/>
  <c r="A1695" i="16"/>
  <c r="A1748" i="16"/>
  <c r="A1692" i="16"/>
  <c r="A1693" i="16"/>
  <c r="A1694" i="16"/>
  <c r="A1752" i="16"/>
  <c r="A1691" i="16"/>
  <c r="A1749" i="16"/>
  <c r="A1750" i="16"/>
  <c r="A1751" i="16"/>
  <c r="A1746" i="16"/>
  <c r="A1747" i="16"/>
  <c r="A1743" i="16"/>
  <c r="A1744" i="16"/>
  <c r="A1745" i="16"/>
  <c r="A1740" i="16"/>
  <c r="A1739" i="16"/>
  <c r="A1728" i="16"/>
  <c r="A1732" i="16"/>
  <c r="A1729" i="16"/>
  <c r="A1724" i="16"/>
  <c r="A1725" i="16"/>
  <c r="A1726" i="16"/>
  <c r="A1723" i="16"/>
  <c r="A1722" i="16"/>
  <c r="A1719" i="16"/>
  <c r="A1707" i="16"/>
  <c r="A1708" i="16"/>
  <c r="A1721" i="16"/>
  <c r="A1711" i="16"/>
  <c r="A1716" i="16"/>
  <c r="A1705" i="16"/>
  <c r="A1717" i="16"/>
  <c r="A1709" i="16"/>
  <c r="A1720" i="16"/>
  <c r="A1712" i="16"/>
  <c r="A1718" i="16"/>
  <c r="A1710" i="16"/>
  <c r="A1715" i="16"/>
  <c r="A1713" i="16"/>
  <c r="A1714" i="16"/>
  <c r="A1704" i="16"/>
  <c r="A1706" i="16"/>
  <c r="A1690" i="16"/>
  <c r="A1701" i="16"/>
  <c r="A1703" i="16"/>
  <c r="A1689" i="16"/>
  <c r="A1687" i="16"/>
  <c r="A1688" i="16"/>
  <c r="A1658" i="16"/>
  <c r="A1663" i="16"/>
  <c r="A1666" i="16"/>
  <c r="A1669" i="16"/>
  <c r="A1667" i="16"/>
  <c r="A1670" i="16"/>
  <c r="A1680" i="16"/>
  <c r="A1678" i="16"/>
  <c r="A1660" i="16"/>
  <c r="A1676" i="16"/>
  <c r="A1664" i="16"/>
  <c r="A1668" i="16"/>
  <c r="A1675" i="16"/>
  <c r="A1677" i="16"/>
  <c r="A1665" i="16"/>
  <c r="A1661" i="16"/>
  <c r="A1662" i="16"/>
  <c r="A1650" i="16"/>
  <c r="A1659" i="16"/>
  <c r="A1643" i="16"/>
  <c r="A1657" i="16"/>
  <c r="A1639" i="16"/>
  <c r="A1645" i="16"/>
  <c r="A1647" i="16"/>
  <c r="A1652" i="16"/>
  <c r="A1641" i="16"/>
  <c r="A1654" i="16"/>
  <c r="A1636" i="16"/>
  <c r="A1640" i="16"/>
  <c r="A1656" i="16"/>
  <c r="A1655" i="16"/>
  <c r="A1644" i="16"/>
  <c r="A1648" i="16"/>
  <c r="A1635" i="16"/>
  <c r="A1646" i="16"/>
  <c r="A1649" i="16"/>
  <c r="A1642" i="16"/>
  <c r="A1590" i="16"/>
  <c r="A1589" i="16"/>
  <c r="A1592" i="16"/>
  <c r="A1595" i="16"/>
  <c r="A1594" i="16"/>
  <c r="A1600" i="16"/>
  <c r="A1591" i="16"/>
  <c r="A1587" i="16"/>
  <c r="A1593" i="16"/>
  <c r="A1598" i="16"/>
  <c r="A1586" i="16"/>
  <c r="A1596" i="16"/>
  <c r="A1583" i="16"/>
  <c r="A1599" i="16"/>
  <c r="A1588" i="16"/>
  <c r="A1597" i="16"/>
  <c r="A1571" i="16"/>
  <c r="A1563" i="16"/>
  <c r="A1548" i="16"/>
  <c r="A1577" i="16"/>
  <c r="A1580" i="16"/>
  <c r="A1581" i="16"/>
  <c r="A1570" i="16"/>
  <c r="A1576" i="16"/>
  <c r="A1578" i="16"/>
  <c r="A1579" i="16"/>
  <c r="A1567" i="16"/>
  <c r="A1557" i="16"/>
  <c r="A1552" i="16"/>
  <c r="A1566" i="16"/>
  <c r="A1564" i="16"/>
  <c r="A1565" i="16"/>
  <c r="A1573" i="16"/>
  <c r="A1575" i="16"/>
  <c r="A1569" i="16"/>
  <c r="A1568" i="16"/>
  <c r="A1572" i="16"/>
  <c r="A1561" i="16"/>
  <c r="A1562" i="16"/>
  <c r="A1560" i="16"/>
  <c r="A1558" i="16"/>
  <c r="A1559" i="16"/>
  <c r="A1574" i="16"/>
  <c r="A1554" i="16"/>
  <c r="A1555" i="16"/>
  <c r="A1553" i="16"/>
  <c r="A1550" i="16"/>
  <c r="A1551" i="16"/>
  <c r="A1556" i="16"/>
  <c r="A1546" i="16"/>
  <c r="A1545" i="16"/>
  <c r="A1536" i="16"/>
  <c r="A1542" i="16"/>
  <c r="A1543" i="16"/>
  <c r="A1541" i="16"/>
  <c r="A1535" i="16"/>
  <c r="A1537" i="16"/>
  <c r="A1534" i="16"/>
  <c r="A1533" i="16"/>
  <c r="A1520" i="16"/>
  <c r="A1507" i="16"/>
  <c r="A1508" i="16"/>
  <c r="A1524" i="16"/>
  <c r="A1506" i="16"/>
  <c r="A1505" i="16"/>
  <c r="A1513" i="16"/>
  <c r="A1527" i="16"/>
  <c r="A1526" i="16"/>
  <c r="A1518" i="16"/>
  <c r="A1511" i="16"/>
  <c r="A1525" i="16"/>
  <c r="A1516" i="16"/>
  <c r="A1529" i="16"/>
  <c r="A1515" i="16"/>
  <c r="A1512" i="16"/>
  <c r="A1528" i="16"/>
  <c r="A1517" i="16"/>
  <c r="A1509" i="16"/>
  <c r="A1519" i="16"/>
  <c r="A1510" i="16"/>
  <c r="A1530" i="16"/>
  <c r="A1514" i="16"/>
  <c r="A1500" i="16"/>
  <c r="A1501" i="16"/>
  <c r="A1495" i="16"/>
  <c r="A1499" i="16"/>
  <c r="A1496" i="16"/>
  <c r="A1498" i="16"/>
  <c r="A1497" i="16"/>
  <c r="A1481" i="16"/>
  <c r="A1480" i="16"/>
  <c r="A1479" i="16"/>
  <c r="A1482" i="16"/>
  <c r="A1483" i="16"/>
  <c r="A1466" i="16"/>
  <c r="A1467" i="16"/>
  <c r="A1468" i="16"/>
  <c r="A1436" i="16"/>
  <c r="A1439" i="16"/>
  <c r="A1456" i="16"/>
  <c r="A1465" i="16"/>
  <c r="A1464" i="16"/>
  <c r="A1443" i="16"/>
  <c r="A1457" i="16"/>
  <c r="A1461" i="16"/>
  <c r="A1455" i="16"/>
  <c r="A1459" i="16"/>
  <c r="A1458" i="16"/>
  <c r="A1454" i="16"/>
  <c r="A1460" i="16"/>
  <c r="A1430" i="16"/>
  <c r="A1438" i="16"/>
  <c r="A1453" i="16"/>
  <c r="A1452" i="16"/>
  <c r="A1441" i="16"/>
  <c r="A1444" i="16"/>
  <c r="A1432" i="16"/>
  <c r="A1440" i="16"/>
  <c r="A1431" i="16"/>
  <c r="A1434" i="16"/>
  <c r="A1433" i="16"/>
  <c r="A1437" i="16"/>
  <c r="A1435" i="16"/>
  <c r="A1426" i="16"/>
  <c r="A1425" i="16"/>
  <c r="A1420" i="16"/>
  <c r="A1416" i="16"/>
  <c r="A1359" i="16"/>
  <c r="A1404" i="16"/>
  <c r="A1395" i="16"/>
  <c r="A1397" i="16"/>
  <c r="A1399" i="16"/>
  <c r="A1398" i="16"/>
  <c r="A1401" i="16"/>
  <c r="A1406" i="16"/>
  <c r="A1405" i="16"/>
  <c r="A1394" i="16"/>
  <c r="A1400" i="16"/>
  <c r="A1403" i="16"/>
  <c r="A1402" i="16"/>
  <c r="A1364" i="16"/>
  <c r="A1363" i="16"/>
  <c r="A1393" i="16"/>
  <c r="A1365" i="16"/>
  <c r="A1345" i="16"/>
  <c r="A1344" i="16"/>
  <c r="A1360" i="16"/>
  <c r="A1343" i="16"/>
  <c r="A1362" i="16"/>
  <c r="A1353" i="16"/>
  <c r="A1342" i="16"/>
  <c r="A1361" i="16"/>
  <c r="A1356" i="16"/>
  <c r="A1350" i="16"/>
  <c r="A1358" i="16"/>
  <c r="A1355" i="16"/>
  <c r="A1349" i="16"/>
  <c r="A1357" i="16"/>
  <c r="A1351" i="16"/>
  <c r="A1354" i="16"/>
  <c r="A1346" i="16"/>
  <c r="A1329" i="16"/>
  <c r="A1339" i="16"/>
  <c r="A1328" i="16"/>
  <c r="A1335" i="16"/>
  <c r="A1332" i="16"/>
  <c r="A1323" i="16"/>
  <c r="A1338" i="16"/>
  <c r="A1337" i="16"/>
  <c r="A1327" i="16"/>
  <c r="A1334" i="16"/>
  <c r="A1336" i="16"/>
  <c r="A1330" i="16"/>
  <c r="A1324" i="16"/>
  <c r="A1319" i="16"/>
  <c r="A1317" i="16"/>
  <c r="A1331" i="16"/>
  <c r="A1333" i="16"/>
  <c r="A1315" i="16"/>
  <c r="A1316" i="16"/>
  <c r="A1300" i="16"/>
  <c r="A1283" i="16"/>
  <c r="A1302" i="16"/>
  <c r="A1309" i="16"/>
  <c r="A1282" i="16"/>
  <c r="A1308" i="16"/>
  <c r="A1311" i="16"/>
  <c r="A1312" i="16"/>
  <c r="A1279" i="16"/>
  <c r="A1285" i="16"/>
  <c r="A1296" i="16"/>
  <c r="A1303" i="16"/>
  <c r="A1307" i="16"/>
  <c r="A1306" i="16"/>
  <c r="A1305" i="16"/>
  <c r="A1304" i="16"/>
  <c r="A1301" i="16"/>
  <c r="A1299" i="16"/>
  <c r="A1286" i="16"/>
  <c r="A1288" i="16"/>
  <c r="A1298" i="16"/>
  <c r="A1297" i="16"/>
  <c r="A1287" i="16"/>
  <c r="A1275" i="16"/>
  <c r="A1258" i="16"/>
  <c r="A1241" i="16"/>
  <c r="A1284" i="16"/>
  <c r="A1293" i="16"/>
  <c r="A1295" i="16"/>
  <c r="A1289" i="16"/>
  <c r="A1292" i="16"/>
  <c r="A1291" i="16"/>
  <c r="A1278" i="16"/>
  <c r="A1290" i="16"/>
  <c r="A1294" i="16"/>
  <c r="A1281" i="16"/>
  <c r="A1280" i="16"/>
  <c r="A1277" i="16"/>
  <c r="A1244" i="16"/>
  <c r="A1256" i="16"/>
  <c r="A1251" i="16"/>
  <c r="A1257" i="16"/>
  <c r="A1243" i="16"/>
  <c r="A1270" i="16"/>
  <c r="A1246" i="16"/>
  <c r="A1255" i="16"/>
  <c r="A1259" i="16"/>
  <c r="A1268" i="16"/>
  <c r="A1261" i="16"/>
  <c r="A1269" i="16"/>
  <c r="A1245" i="16"/>
  <c r="A1253" i="16"/>
  <c r="A1250" i="16"/>
  <c r="A1273" i="16"/>
  <c r="A1267" i="16"/>
  <c r="A1266" i="16"/>
  <c r="A1272" i="16"/>
  <c r="A1271" i="16"/>
  <c r="A1274" i="16"/>
  <c r="A1252" i="16"/>
  <c r="A1242" i="16"/>
  <c r="A1247" i="16"/>
  <c r="A1249" i="16"/>
  <c r="A1262" i="16"/>
  <c r="A1265" i="16"/>
  <c r="A1254" i="16"/>
  <c r="A1264" i="16"/>
  <c r="A1263" i="16"/>
  <c r="A1260" i="16"/>
  <c r="D16" i="10" l="1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K245" i="20" l="1"/>
  <c r="AH2099" i="19" s="1"/>
  <c r="AJ2099" i="19" s="1"/>
  <c r="AK2099" i="19" s="1" a="1"/>
  <c r="AK2099" i="19" s="1"/>
  <c r="AH1832" i="19" l="1"/>
  <c r="AJ1832" i="19" s="1"/>
  <c r="AK1832" i="19" s="1" a="1"/>
  <c r="AK1832" i="19" s="1"/>
  <c r="AH1831" i="19"/>
  <c r="AJ1831" i="19" s="1"/>
  <c r="AK1831" i="19" s="1" a="1"/>
  <c r="AK1831" i="19" s="1"/>
  <c r="AH1730" i="19"/>
  <c r="AJ1730" i="19" s="1"/>
  <c r="AK1730" i="19" s="1" a="1"/>
  <c r="AK1730" i="19" s="1"/>
  <c r="AH1729" i="19"/>
  <c r="AJ1729" i="19" s="1"/>
  <c r="AK1729" i="19" s="1" a="1"/>
  <c r="AK1729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Parash Loya</author>
  </authors>
  <commentList>
    <comment ref="BE4" authorId="0" shapeId="0" xr:uid="{6DDDF773-9DFB-4B36-81B8-AAAE22AE1E68}">
      <text>
        <r>
          <rPr>
            <b/>
            <sz val="9"/>
            <color indexed="81"/>
            <rFont val="Tahoma"/>
            <family val="2"/>
          </rPr>
          <t>Parash Loya:</t>
        </r>
        <r>
          <rPr>
            <sz val="9"/>
            <color indexed="81"/>
            <rFont val="Tahoma"/>
            <family val="2"/>
          </rPr>
          <t xml:space="preserve">
Only released product will be shipped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zhongyang zhang</author>
  </authors>
  <commentList>
    <comment ref="D1" authorId="0" shapeId="0" xr:uid="{1A95FA7B-389A-4607-A1BF-3DB64395AC28}">
      <text>
        <r>
          <rPr>
            <b/>
            <sz val="9"/>
            <color indexed="81"/>
            <rFont val="Tahoma"/>
            <family val="2"/>
          </rPr>
          <t>zhongyang zhang:</t>
        </r>
        <r>
          <rPr>
            <sz val="9"/>
            <color indexed="81"/>
            <rFont val="Tahoma"/>
            <family val="2"/>
          </rPr>
          <t xml:space="preserve">
Manual switch:
Closed - no longer existing </t>
        </r>
      </text>
    </comment>
    <comment ref="S1" authorId="0" shapeId="0" xr:uid="{2EB614DA-BD5D-40A7-8B74-4BA9F66082B8}">
      <text>
        <r>
          <rPr>
            <b/>
            <sz val="9"/>
            <color indexed="81"/>
            <rFont val="Tahoma"/>
            <family val="2"/>
          </rPr>
          <t>zhongyang zhang:</t>
        </r>
        <r>
          <rPr>
            <sz val="9"/>
            <color indexed="81"/>
            <rFont val="Tahoma"/>
            <family val="2"/>
          </rPr>
          <t xml:space="preserve">
by comparing cl.time vs dc.time to sum up the most recent inventory changes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zhongyang zhang</author>
  </authors>
  <commentList>
    <comment ref="A1" authorId="0" shapeId="0" xr:uid="{972776DE-7BEB-4AC0-9C87-A5779861210E}">
      <text>
        <r>
          <rPr>
            <b/>
            <sz val="9"/>
            <color indexed="81"/>
            <rFont val="Tahoma"/>
            <family val="2"/>
          </rPr>
          <t>zhongyang zhang:</t>
        </r>
        <r>
          <rPr>
            <sz val="9"/>
            <color indexed="81"/>
            <rFont val="Tahoma"/>
            <family val="2"/>
          </rPr>
          <t xml:space="preserve">
movement is determined by GW/NW*unit&lt;0, only the inbound is editable for status_change</t>
        </r>
      </text>
    </comment>
    <comment ref="C1" authorId="0" shapeId="0" xr:uid="{990D8510-E7BF-49AD-B2BD-127C72F1938B}">
      <text>
        <r>
          <rPr>
            <b/>
            <sz val="9"/>
            <color indexed="81"/>
            <rFont val="Tahoma"/>
            <family val="2"/>
          </rPr>
          <t>zhongyang zhang:</t>
        </r>
        <r>
          <rPr>
            <sz val="9"/>
            <color indexed="81"/>
            <rFont val="Tahoma"/>
            <family val="2"/>
          </rPr>
          <t xml:space="preserve">
Sampling: sales asking for samples;
storage: inbound of cannabis products;
shipment: outbound for Pos;
production: outbound for production, often associated with status change when inbound
receive: receive from other LP, e.g. RTV and transfers.
Inventory check, e.g. transfer between box, and closing inventory_id, should not appear on this page; rather the inventory check page should be directly edited for these purposes.
</t>
        </r>
      </text>
    </comment>
    <comment ref="L1" authorId="0" shapeId="0" xr:uid="{F44BD465-F6EF-41FD-8CB8-A15D4BC4AEF0}">
      <text>
        <r>
          <rPr>
            <b/>
            <sz val="9"/>
            <color indexed="81"/>
            <rFont val="Tahoma"/>
            <family val="2"/>
          </rPr>
          <t>zhongyang zhang:</t>
        </r>
        <r>
          <rPr>
            <sz val="9"/>
            <color indexed="81"/>
            <rFont val="Tahoma"/>
            <family val="2"/>
          </rPr>
          <t xml:space="preserve">
automatic calculation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Parash Loya</author>
  </authors>
  <commentList>
    <comment ref="H1" authorId="0" shapeId="0" xr:uid="{C1037788-C54C-419F-8F5F-746227AFDFA1}">
      <text>
        <r>
          <rPr>
            <b/>
            <sz val="9"/>
            <color indexed="81"/>
            <rFont val="Tahoma"/>
            <family val="2"/>
          </rPr>
          <t>Parash Loya:</t>
        </r>
        <r>
          <rPr>
            <sz val="9"/>
            <color indexed="81"/>
            <rFont val="Tahoma"/>
            <family val="2"/>
          </rPr>
          <t xml:space="preserve">
Only released product will be shipped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<sst xmlns="http://schemas.openxmlformats.org/spreadsheetml/2006/main" count="35483" uniqueCount="4339">
  <si>
    <t xml:space="preserve">Client ID </t>
  </si>
  <si>
    <t xml:space="preserve">Business Type </t>
  </si>
  <si>
    <t xml:space="preserve">Name </t>
  </si>
  <si>
    <t xml:space="preserve">Address </t>
  </si>
  <si>
    <t xml:space="preserve">City </t>
  </si>
  <si>
    <t xml:space="preserve">Province </t>
  </si>
  <si>
    <t>PostalCode</t>
  </si>
  <si>
    <t xml:space="preserve">B2B - LPs </t>
  </si>
  <si>
    <t>Atlas Growers</t>
  </si>
  <si>
    <t>CannMart Inc</t>
  </si>
  <si>
    <t>18, Canso rd</t>
  </si>
  <si>
    <t>Etobicoke</t>
  </si>
  <si>
    <t>ON</t>
  </si>
  <si>
    <t>BC</t>
  </si>
  <si>
    <t>SK</t>
  </si>
  <si>
    <t xml:space="preserve">BC </t>
  </si>
  <si>
    <t>Whistler Therapeutics Corp</t>
  </si>
  <si>
    <t>NS</t>
  </si>
  <si>
    <t>AB</t>
  </si>
  <si>
    <t>Medicibis</t>
  </si>
  <si>
    <t>QC</t>
  </si>
  <si>
    <t>MB</t>
  </si>
  <si>
    <t>AGLC</t>
  </si>
  <si>
    <t>Edmonton</t>
  </si>
  <si>
    <t>BCLDB</t>
  </si>
  <si>
    <t>NSLC</t>
  </si>
  <si>
    <t>Provincial Distributor</t>
  </si>
  <si>
    <t>MBLL</t>
  </si>
  <si>
    <t>PO Box 1023</t>
  </si>
  <si>
    <t>Winnipeg</t>
  </si>
  <si>
    <t>R3C2X1</t>
  </si>
  <si>
    <t>Weedpool Cannabis Cooperative</t>
  </si>
  <si>
    <t>NT</t>
  </si>
  <si>
    <t>Cannabis Yukon</t>
  </si>
  <si>
    <t>YT</t>
  </si>
  <si>
    <t>Vancouver</t>
  </si>
  <si>
    <t>Renan / THC Canada</t>
  </si>
  <si>
    <t>Ontario Cannabis Store</t>
  </si>
  <si>
    <t>Cheeky's Cannabis Merchants- Mission</t>
  </si>
  <si>
    <t>BURB CANNABIS-Broadway</t>
  </si>
  <si>
    <t>THE VAULT CANNABIS LTD - ARBORG</t>
    <phoneticPr fontId="0" type="noConversion"/>
  </si>
  <si>
    <t>TOKYO SMOKE - 309 SASKATCHEWAN AVENUE</t>
    <phoneticPr fontId="19" type="noConversion"/>
  </si>
  <si>
    <t>KOOTENAY CANNABIS CASTLEGAR</t>
  </si>
  <si>
    <t>CANNTINA CANNABIS</t>
  </si>
  <si>
    <t>THE VAULT CANNABIS LTD</t>
    <phoneticPr fontId="0" type="noConversion"/>
  </si>
  <si>
    <t>HAPPY VALLEYS CANNABIS INC-ILE DES CHENES</t>
    <phoneticPr fontId="0" type="noConversion"/>
  </si>
  <si>
    <t>THE BUDSTOP CANNABIS INC</t>
  </si>
  <si>
    <t>MORDEN VAPESUPERSTORE INC</t>
  </si>
  <si>
    <t>#670, 22709 Lougheed Hwy</t>
  </si>
  <si>
    <t>Maple Ridge</t>
  </si>
  <si>
    <t>Original Farm Hillside</t>
  </si>
  <si>
    <t>UP IN SMOKE - LEILA AVE</t>
  </si>
  <si>
    <t>Island Cannabis Co.</t>
    <phoneticPr fontId="19" type="noConversion"/>
  </si>
  <si>
    <t>THE HAZE COMPANY</t>
  </si>
  <si>
    <t>INTERLAKE REEF</t>
    <phoneticPr fontId="0" type="noConversion"/>
  </si>
  <si>
    <t>NA</t>
  </si>
  <si>
    <t>BC</t>
    <phoneticPr fontId="0" type="noConversion"/>
  </si>
  <si>
    <t>MB</t>
    <phoneticPr fontId="0" type="noConversion"/>
  </si>
  <si>
    <t>Canna Cabana - Brandon</t>
  </si>
  <si>
    <t>Local Cannabis</t>
  </si>
  <si>
    <t>THE OLD CANNABIS MARKET LTD</t>
    <phoneticPr fontId="0" type="noConversion"/>
  </si>
  <si>
    <t>FIRE&amp;FLOWER CANNABIS CO-SWAN RIVER</t>
  </si>
  <si>
    <t>FIRE&amp;FLOWER CANNABIS CO-PLP</t>
  </si>
  <si>
    <t>FIRE&amp;FLOWER CANNABIS CO-PLESSIS</t>
  </si>
  <si>
    <t>MORDEN VAPESUPERSTORE&amp;CANNABIS</t>
  </si>
  <si>
    <t>Jayson Charnow</t>
  </si>
  <si>
    <t>Aviator Cannabis Co.</t>
  </si>
  <si>
    <t>City Cannabis CO-Cambie ST</t>
  </si>
  <si>
    <t>Brunette Cannabis Co.</t>
  </si>
  <si>
    <t>Orbis Express-Ontario</t>
  </si>
  <si>
    <t>ON</t>
    <phoneticPr fontId="0" type="noConversion"/>
  </si>
  <si>
    <t>KOOTENAY CANNABIS KINGSWAY</t>
    <phoneticPr fontId="0" type="noConversion"/>
  </si>
  <si>
    <t>Star Buds Cannabis Co-Pembina</t>
  </si>
  <si>
    <t>CANAD CANNNABIS CORNER-MCPHILLIPS</t>
    <phoneticPr fontId="0" type="noConversion"/>
  </si>
  <si>
    <t>CRESCENT CANNABIS-SOURIS</t>
    <phoneticPr fontId="0" type="noConversion"/>
  </si>
  <si>
    <t>THE BUDSTOP CANNABIS INC - ST MARYS ROAD</t>
    <phoneticPr fontId="0" type="noConversion"/>
  </si>
  <si>
    <t>HAPPY VALLEYS CANNABIS INC-GATEWAY</t>
    <phoneticPr fontId="0" type="noConversion"/>
  </si>
  <si>
    <t>CANNA CABANA-RIVER AVE</t>
    <phoneticPr fontId="0" type="noConversion"/>
  </si>
  <si>
    <t>SK</t>
    <phoneticPr fontId="0" type="noConversion"/>
  </si>
  <si>
    <t>OPEN FIELD DISTRIBUTION-MB_old</t>
  </si>
  <si>
    <t>HAPPY ROCK CANNABIS</t>
  </si>
  <si>
    <t>LIFT CANNABIS CO</t>
  </si>
  <si>
    <t xml:space="preserve">VANCITY WEED </t>
  </si>
  <si>
    <t>BIG TOWN BUD</t>
  </si>
  <si>
    <t>BUDDY GUY CANNABIS INC</t>
    <phoneticPr fontId="0" type="noConversion"/>
  </si>
  <si>
    <t>BORDER TOWN BUDS CANNABIS INC</t>
  </si>
  <si>
    <t>RURAL BUDS CANNABIS SHOP-ST.ADOLPHE</t>
  </si>
  <si>
    <t>CJS CANNABIS&amp;WELLNESS - MINNEDOSA</t>
  </si>
  <si>
    <t>PRAIRIE TRICHOMES-ROBLIN</t>
  </si>
  <si>
    <t>OUTDOOR ELEMENTS LA RONGE-LYONS ROAR</t>
  </si>
  <si>
    <t>High5 Cannabis</t>
    <phoneticPr fontId="19" type="noConversion"/>
  </si>
  <si>
    <t>Violet Wild Cannabis Co.</t>
  </si>
  <si>
    <t>THE KURE CANNABIS SOCIETY</t>
    <phoneticPr fontId="19" type="noConversion"/>
  </si>
  <si>
    <t>Coast Range Cannabis</t>
  </si>
  <si>
    <t>Alaska Highway Cannabis Distributors</t>
  </si>
  <si>
    <t>High5 Cannabis</t>
  </si>
  <si>
    <t>Quartz Creek Cannabis</t>
  </si>
  <si>
    <t>Cheeky's Cannabis Merchants</t>
  </si>
  <si>
    <t>Mood Cannabis Co-Victoria Ave</t>
    <phoneticPr fontId="19" type="noConversion"/>
  </si>
  <si>
    <t>Queensborough Cannabis Co.</t>
  </si>
  <si>
    <t>Greenstar Cannabis Company-NORTH VANCOUVER</t>
    <phoneticPr fontId="19" type="noConversion"/>
  </si>
  <si>
    <t>North Shore Cannabis</t>
  </si>
  <si>
    <t>Muse Cannabis Store</t>
  </si>
  <si>
    <t>1st Cannabis</t>
  </si>
  <si>
    <t>Local Cannabis Co.</t>
  </si>
  <si>
    <t>Cannabis Cottage</t>
  </si>
  <si>
    <t>KELO CANNABIS PITT MEADOWS</t>
    <phoneticPr fontId="19" type="noConversion"/>
  </si>
  <si>
    <t>Pitt Meadows</t>
  </si>
  <si>
    <t>Chronic HUB Cannabis</t>
  </si>
  <si>
    <t>Team Cannabis</t>
  </si>
  <si>
    <t>City Cannabis - Cambie ST</t>
    <phoneticPr fontId="19" type="noConversion"/>
  </si>
  <si>
    <t>Craft Greenery Cannabis</t>
  </si>
  <si>
    <t>Canntina (Nelson)</t>
  </si>
  <si>
    <t>Sunrise Cannabis</t>
  </si>
  <si>
    <t>BC</t>
    <phoneticPr fontId="19" type="noConversion"/>
  </si>
  <si>
    <t>CottonMouth</t>
  </si>
  <si>
    <t>Up in Smoke-Vancover</t>
    <phoneticPr fontId="19" type="noConversion"/>
  </si>
  <si>
    <t>UEM CANNABIS VANCOUVER</t>
    <phoneticPr fontId="19" type="noConversion"/>
  </si>
  <si>
    <t>Songhees Cannabis Store</t>
  </si>
  <si>
    <t>Avenue Cannabis</t>
  </si>
  <si>
    <t>Fire &amp; Flower Cannabis Co - PORTAGE AVE</t>
  </si>
  <si>
    <t>META CANNABIS SUPPLY CO-OTINEKA MALL</t>
  </si>
  <si>
    <t>META CANNABIS SUPPLY CO-CREE ROAD</t>
  </si>
  <si>
    <t>CANNA CABANA-NORTH RAILWAY</t>
  </si>
  <si>
    <t>CANNA CABANA-GRANT AVE</t>
  </si>
  <si>
    <t>CANNA CABANA-PORTAGE AVE</t>
  </si>
  <si>
    <t>CANNA CABANA-ST. MARY'S ROAD</t>
  </si>
  <si>
    <t>CANNA CABANA-SELKIRK</t>
  </si>
  <si>
    <t>CANNA CABANA-PEMBINA SOUTH</t>
  </si>
  <si>
    <t>CANNA CABANA-PEMBINA NORTH</t>
  </si>
  <si>
    <t>PRAIRIE TRICHOMES-KILLARNEY</t>
  </si>
  <si>
    <t>TOKYO SMOKE-VERENDRYE BLVD</t>
  </si>
  <si>
    <t>MB</t>
    <phoneticPr fontId="19" type="noConversion"/>
  </si>
  <si>
    <t>OPEN FIELD DISTRIBUTION-SK</t>
    <phoneticPr fontId="19" type="noConversion"/>
  </si>
  <si>
    <t>SK</t>
    <phoneticPr fontId="19" type="noConversion"/>
  </si>
  <si>
    <t>AB</t>
    <phoneticPr fontId="19" type="noConversion"/>
  </si>
  <si>
    <t>ELEVATE WELLNESS INC</t>
    <phoneticPr fontId="1" type="noConversion"/>
  </si>
  <si>
    <t>LEGACY SUPPLY CHAIN</t>
  </si>
  <si>
    <t>20 GRANITE RIDGE RD</t>
  </si>
  <si>
    <t>CONCORD</t>
  </si>
  <si>
    <t>Cheekys Cannabis Merchants Kitsilano</t>
  </si>
  <si>
    <t>INTERLAKE SMOKE-TEULON</t>
    <phoneticPr fontId="19" type="noConversion"/>
  </si>
  <si>
    <t>THE 59ER</t>
    <phoneticPr fontId="19" type="noConversion"/>
  </si>
  <si>
    <t>Squamish Cannabis Ltd</t>
  </si>
  <si>
    <t>NTLCC c/o Buffalo</t>
  </si>
  <si>
    <t>THC Whistler</t>
    <phoneticPr fontId="19" type="noConversion"/>
  </si>
  <si>
    <t>prairie cannabis 22nd street ltd</t>
    <phoneticPr fontId="19" type="noConversion"/>
  </si>
  <si>
    <t>CANNA CABANA - PEMBINA NORTH</t>
  </si>
  <si>
    <t>RURAL BUDS CANNABIS SHOP - ST. PIERRE</t>
    <phoneticPr fontId="19" type="noConversion"/>
  </si>
  <si>
    <t>KILDARE STOP &amp; SHOP</t>
  </si>
  <si>
    <t>DELTA 9 CANNABIS STORE - BRANDON MALL</t>
  </si>
  <si>
    <t>DELTA 9 CANNABIS STORE - THOMPSON</t>
  </si>
  <si>
    <t>DELTA 9 CANNABIS STORE - KENASTON</t>
  </si>
  <si>
    <t>DELTA 9 CANNABIS STORE - REGENT</t>
  </si>
  <si>
    <t>DELTA 9 CANNABIS STORE - HENDERSON HWY</t>
  </si>
  <si>
    <t>DELTA 9 CANNABIS STORE - MCPHILLIPS</t>
  </si>
  <si>
    <t>DELTA 9 CANNABIS STORE - SELKIRK</t>
  </si>
  <si>
    <t>DELTA 9 CANNABIS STORE - PEMBINA</t>
  </si>
  <si>
    <t>DELTA 9 CANNABIS STORE -1719 PORTAGE AVE</t>
  </si>
  <si>
    <t>VIKING INN</t>
  </si>
  <si>
    <t>DELTA 9 CANNABIS STORE -3421 PORTAGE AVE</t>
  </si>
  <si>
    <t>DELTA 9 CANNABIS STORE - DAUPHIN</t>
  </si>
  <si>
    <t>DELTA 9 CANNABIS STORE - MARION</t>
  </si>
  <si>
    <t>DELTA 9 CANNABIS STORE - SARGENT</t>
  </si>
  <si>
    <t>PRAIRIE TRICHOMES - ONANOLE</t>
    <phoneticPr fontId="19" type="noConversion"/>
  </si>
  <si>
    <t>OPEN FIELD DISTRIBUTION-MB</t>
  </si>
  <si>
    <t>LOCAL LEAF CANNABIS TERRACE</t>
    <phoneticPr fontId="19" type="noConversion"/>
  </si>
  <si>
    <t>LOCAL CANNABIS CO.-726 KINGSWAY</t>
    <phoneticPr fontId="19" type="noConversion"/>
  </si>
  <si>
    <t>INTERLAKE C STORE</t>
    <phoneticPr fontId="19" type="noConversion"/>
  </si>
  <si>
    <t>DELTA 9 CANNABIS STORE-REGENT</t>
    <phoneticPr fontId="19" type="noConversion"/>
  </si>
  <si>
    <t>ON</t>
    <phoneticPr fontId="19" type="noConversion"/>
  </si>
  <si>
    <t>CANNTINA</t>
    <phoneticPr fontId="19" type="noConversion"/>
  </si>
  <si>
    <t>THE OLD CANNABIS MARKET LTD.</t>
    <phoneticPr fontId="19" type="noConversion"/>
  </si>
  <si>
    <t>Original Farm Langford LTD</t>
    <phoneticPr fontId="19" type="noConversion"/>
  </si>
  <si>
    <t>WestCannaBC</t>
    <phoneticPr fontId="19" type="noConversion"/>
  </si>
  <si>
    <t>MOOD CANNABIS CO</t>
    <phoneticPr fontId="19" type="noConversion"/>
  </si>
  <si>
    <t>Spiritleaf Cannabis-Vernon</t>
    <phoneticPr fontId="19" type="noConversion"/>
  </si>
  <si>
    <t>THE ESSENTIAL CANNABIS CO-OAKBANK</t>
    <phoneticPr fontId="19" type="noConversion"/>
  </si>
  <si>
    <t>CANAD CANNABIS CORNER - MCPHILLIPS</t>
    <phoneticPr fontId="19" type="noConversion"/>
  </si>
  <si>
    <t>THE BUDSTOP CANNABIS INC-MAIN STREET</t>
    <phoneticPr fontId="19" type="noConversion"/>
  </si>
  <si>
    <t>PRAIRIE TRICHOMES - ROBLIN</t>
  </si>
  <si>
    <t>MISTIK CANNABIS NCN</t>
  </si>
  <si>
    <t>THE ESSENTIAL CANNABIS CO - SELKIRK</t>
  </si>
  <si>
    <t>BIG TOWN BUDS CANNABIS - DELORAINE</t>
  </si>
  <si>
    <t>URBAN FLAVOURS</t>
  </si>
  <si>
    <t>FAT PANDA LTD-SELKIRK</t>
  </si>
  <si>
    <t>DELTA 9 CANNABIS STORE</t>
  </si>
  <si>
    <t>STAR BUDS CANNABIS CO-ROTHESAY</t>
  </si>
  <si>
    <t>Cheeky's Cannabis Merchants Kitsilano</t>
  </si>
  <si>
    <t>High 5 Cannabis</t>
  </si>
  <si>
    <t>BLUEWATER CANNABIS-PENTICTON</t>
  </si>
  <si>
    <t>BRANDON VAPESUPERSTORE &amp; CANNABIS INC</t>
  </si>
  <si>
    <t>PRAIRIE TRICHOMES - KILLARNEY</t>
  </si>
  <si>
    <t>BUDVILLE CANNABIS - SARGENT AVE</t>
  </si>
  <si>
    <t>PRIME CANNABIS PANDOSY VILLAGE</t>
  </si>
  <si>
    <t>19038 Old Dewdney road</t>
  </si>
  <si>
    <t>Status</t>
  </si>
  <si>
    <t>Tracking number</t>
  </si>
  <si>
    <t>distributor_stream</t>
  </si>
  <si>
    <t>unit_name</t>
  </si>
  <si>
    <t>Received</t>
  </si>
  <si>
    <t>Intra Industry</t>
  </si>
  <si>
    <t>Weeds International Inc.</t>
  </si>
  <si>
    <t>Shipped</t>
  </si>
  <si>
    <t>NA</t>
    <phoneticPr fontId="19" type="noConversion"/>
  </si>
  <si>
    <t>unit</t>
    <phoneticPr fontId="19" type="noConversion"/>
  </si>
  <si>
    <t>Apothecary Botanicals</t>
  </si>
  <si>
    <t>tote</t>
    <phoneticPr fontId="19" type="noConversion"/>
  </si>
  <si>
    <t>pail</t>
    <phoneticPr fontId="19" type="noConversion"/>
  </si>
  <si>
    <t xml:space="preserve">Apothecary Botanicals </t>
  </si>
  <si>
    <t/>
  </si>
  <si>
    <t>Lillooet Gold Bubble Hash 1g</t>
  </si>
  <si>
    <t>Super M Bubble Hash 1g</t>
  </si>
  <si>
    <t>Romulan Grape God Bubble Hash 1g</t>
  </si>
  <si>
    <t>Live Rosin</t>
  </si>
  <si>
    <t>Spa Bath Salts 180 g</t>
  </si>
  <si>
    <t>00877579001116</t>
  </si>
  <si>
    <t>Gelato Prerolls 1g</t>
  </si>
  <si>
    <t>Neem Cream 120 g</t>
  </si>
  <si>
    <t>00877579002465</t>
  </si>
  <si>
    <t>null</t>
  </si>
  <si>
    <t>yes</t>
  </si>
  <si>
    <t>00877579002304</t>
  </si>
  <si>
    <t>Chronic mint 3x0.5g preroll</t>
  </si>
  <si>
    <t>Gorilla bomb 3x0.5g  preroll</t>
  </si>
  <si>
    <t>Galactic cake 3x0.5g  preroll</t>
  </si>
  <si>
    <t>Grease monkey 3x0.5 g</t>
  </si>
  <si>
    <t>00877579002847</t>
  </si>
  <si>
    <t>Grease monkey 1 g</t>
  </si>
  <si>
    <t>00877579003158</t>
  </si>
  <si>
    <t>Galactic cake 1 g preroll</t>
  </si>
  <si>
    <t>00877579003219</t>
  </si>
  <si>
    <t>Gorilla bomb 1 g preroll</t>
  </si>
  <si>
    <t>Gelato 14 g</t>
  </si>
  <si>
    <t xml:space="preserve">Extra Strength Roll-on Topical Cream </t>
  </si>
  <si>
    <t>00877579001550</t>
  </si>
  <si>
    <t>CBD Bacon Oil 10 mg 27.3g</t>
  </si>
  <si>
    <t>00877579002601</t>
  </si>
  <si>
    <t>God's Space Needle Oil 27.6g</t>
  </si>
  <si>
    <t>Blue Bandita Live Rosin</t>
  </si>
  <si>
    <t>Chronic Mint 1g</t>
  </si>
  <si>
    <t>Gelato Prerolls 3x0.5g</t>
  </si>
  <si>
    <t>Super Sativa Oil 27.6 g</t>
  </si>
  <si>
    <t>THC oil 30 ml</t>
  </si>
  <si>
    <t>00877579003578</t>
  </si>
  <si>
    <t>Pot Shot- Tropical Fruit</t>
  </si>
  <si>
    <t>00877579003714</t>
  </si>
  <si>
    <t xml:space="preserve">Maximum Strength CBD Roll-on Topical Cream </t>
  </si>
  <si>
    <t>00877579003752</t>
  </si>
  <si>
    <t>November Rain Blast Pre-Roll - Watermelon-3 x 0.5g Pre-Roll</t>
  </si>
  <si>
    <t>00877579003844</t>
  </si>
  <si>
    <t>November Rain Blast Pre-Roll - Blueberry-3 x 0.5g Pre-Roll</t>
  </si>
  <si>
    <t>00877579003851</t>
  </si>
  <si>
    <t>November Rain Pre-Roll - Rose-3 x 0.5g Pre-Roll</t>
  </si>
  <si>
    <t>00877579003868</t>
  </si>
  <si>
    <t>00877579003998</t>
  </si>
  <si>
    <t>November Rain Infused Pre-Roll - Rose-3 x 0.5g Pre-Roll</t>
  </si>
  <si>
    <t>00877579004018</t>
  </si>
  <si>
    <t>November Rain Blast Pre-Roll - Lemon ice tea-3 x 0.5g Pre-Roll</t>
  </si>
  <si>
    <t xml:space="preserve">November Rain Pre-Roll - Monkey King Pre-Roll- 2 x 0.5g </t>
  </si>
  <si>
    <t>00877579004100</t>
  </si>
  <si>
    <t>November Rain Pre-Roll - Trident Pre-Roll -3 x 0.5g</t>
  </si>
  <si>
    <t>00877579004162</t>
  </si>
  <si>
    <t>00877579004032</t>
  </si>
  <si>
    <t>November Rain Vape Tropical Meteor Shower 0.5g Sativa</t>
  </si>
  <si>
    <t>November Rain Vape Platinum Sunrise 0.5G Sativa</t>
  </si>
  <si>
    <t>November Rain Vape Strawberry Drizzle 0.5g Hybrid</t>
  </si>
  <si>
    <t>November Rain Vape Canadian Thunder 0.5g Sativa</t>
  </si>
  <si>
    <t>November Rain Vape Caribbean Breeze Hybrid 0.5g Live Rosin Disposable Bar</t>
  </si>
  <si>
    <t>BOOK CLUB-LICORICE GUMBALL-14G</t>
  </si>
  <si>
    <t>BOOK CLUB-UNICORN POOP-14G</t>
  </si>
  <si>
    <t>Apothecary Botanicals Topical CBD Mini Roll-on 45 g</t>
  </si>
  <si>
    <t>November Rain White Widow Hybrid Full Spectrum vape 1g</t>
  </si>
  <si>
    <t>Grapefruit Cake MAC Live Rosin</t>
  </si>
  <si>
    <t>BURB</t>
  </si>
  <si>
    <t>Book Club-Blue Gumdrop 28g</t>
  </si>
  <si>
    <t>Book Club-Blue Gumdrop 14g</t>
  </si>
  <si>
    <t>CannMart Inc</t>
    <phoneticPr fontId="19" type="noConversion"/>
  </si>
  <si>
    <t>Blaster Multi Pack Prerolls 12x0.5g</t>
  </si>
  <si>
    <t>ROGWORLD-RUNTZ MUFFIN CRUMBLE-1G</t>
  </si>
  <si>
    <t>November Rain Vape Concord Grape 1g</t>
  </si>
  <si>
    <t>November Rain-Midnight Kruntz 2x1g pre-rolls</t>
  </si>
  <si>
    <t>ROGWORLD-BONG GURU ROCKSTAR-5X0.5g pre-rolls</t>
  </si>
  <si>
    <t>EARTHWOLF-WHITE GOLD LIVE ROSIN LTO-1G</t>
  </si>
  <si>
    <t>product_name</t>
  </si>
  <si>
    <t>case_size</t>
  </si>
  <si>
    <t>case_dimension</t>
  </si>
  <si>
    <t>10877579001564</t>
  </si>
  <si>
    <t>10877579003759</t>
  </si>
  <si>
    <t>10877579004107</t>
  </si>
  <si>
    <t>Pot Shot- Citrus</t>
  </si>
  <si>
    <t>Midnight Kruntz 7g dried flower</t>
  </si>
  <si>
    <t>00877579003196</t>
  </si>
  <si>
    <t>00877579003165</t>
  </si>
  <si>
    <t>QA_product_name</t>
  </si>
  <si>
    <t>cannabislog_product_description</t>
  </si>
  <si>
    <t>cannabislog_stage</t>
  </si>
  <si>
    <t>product_description_stage</t>
  </si>
  <si>
    <t>canSKU_labelled</t>
  </si>
  <si>
    <t>canSKU_packaged</t>
  </si>
  <si>
    <t>canSKU_bulk_preroll</t>
    <phoneticPr fontId="19" type="noConversion"/>
  </si>
  <si>
    <t>canSKU_bulk</t>
  </si>
  <si>
    <t>bath salt SPA 180 gram</t>
  </si>
  <si>
    <t>topical_labelled</t>
  </si>
  <si>
    <t>extract_ingested_labelled</t>
  </si>
  <si>
    <t>CBD Neem Cream 120g</t>
  </si>
  <si>
    <t>extract_topical_labelled_RTV</t>
  </si>
  <si>
    <t>Chronic Mint preroll 1 x 1g</t>
  </si>
  <si>
    <t>preroll_labelled</t>
  </si>
  <si>
    <t>Chronic Mint preroll 3 x 0.5g</t>
  </si>
  <si>
    <t>Extra Strength Roll-on 88g</t>
  </si>
  <si>
    <t>Galactic Cake preroll 1 x 1g</t>
  </si>
  <si>
    <t>Galactic Cake preroll 3 x 0.5g</t>
  </si>
  <si>
    <t>Gelato dried flower 14g</t>
  </si>
  <si>
    <t>driedflower_labelled</t>
  </si>
  <si>
    <t>Gelato preroll 1 x 1g</t>
  </si>
  <si>
    <t>Gelato preroll 3 x 0.5g</t>
  </si>
  <si>
    <t>Gorilla Bomb preroll 0.5g</t>
  </si>
  <si>
    <t>Gorilla Bomb preroll 1 x 1g</t>
  </si>
  <si>
    <t>Grease Monkey preroll 1 x 1g</t>
  </si>
  <si>
    <t>Grease Monkey preroll 3 x 0.5g</t>
  </si>
  <si>
    <t>Maximum Strength Roll-on 88g</t>
  </si>
  <si>
    <t>Monkey King preroll 2 x 0.5g</t>
  </si>
  <si>
    <t>November Rain Blueberry preroll 3 x 0.5g</t>
  </si>
  <si>
    <t>November Rain Lemon Ice Tea preroll 3 x 0.5g</t>
  </si>
  <si>
    <t>November Rain Rose preroll 3 x 0.5g</t>
  </si>
  <si>
    <t>November Rain Trident preroll 3 x 0.5g</t>
  </si>
  <si>
    <t>November Rain Vape Canadian OG Vape 0.5g</t>
  </si>
  <si>
    <t>extract_inhaled_labelled</t>
  </si>
  <si>
    <t>November Rain Watermelon preroll 3 x 0.5g</t>
  </si>
  <si>
    <t>NUDH bath salt 450 gram</t>
  </si>
  <si>
    <t>Pot Shot Citrus 151mg</t>
  </si>
  <si>
    <t>Pot Shot Tropical Fruits 151mg</t>
  </si>
  <si>
    <t>THC CBD balanced 1:1 oil</t>
  </si>
  <si>
    <t>Gelato dried flower 28g</t>
  </si>
  <si>
    <t>product_description</t>
  </si>
  <si>
    <t>stage</t>
  </si>
  <si>
    <t>canSKU</t>
  </si>
  <si>
    <t>unknown dried flower</t>
  </si>
  <si>
    <t>driedflower_unknown</t>
  </si>
  <si>
    <t>20:1 Mango CBD:THC extract 29.5g</t>
  </si>
  <si>
    <t>4:1 Black Cherry CBD:THC extract 29.5g</t>
  </si>
  <si>
    <t>Abby Leaf Inc Licorish Gumball dried flower</t>
  </si>
  <si>
    <t>driedflower_bulk_BURB</t>
  </si>
  <si>
    <t xml:space="preserve">Abby Leaf Inc Unicorn Poop Grade </t>
  </si>
  <si>
    <t>Animal Cookies dried flower 3.5 g</t>
  </si>
  <si>
    <t>driedflower_packaged</t>
  </si>
  <si>
    <t>Aum CBD oil 27.4g</t>
  </si>
  <si>
    <t>Backforty Blends Glacial Gold Clay Face Mask</t>
  </si>
  <si>
    <t>topical_labelled_RTV</t>
  </si>
  <si>
    <t>Bacon CBD Extract</t>
  </si>
  <si>
    <t>extract_ingested_bulk</t>
  </si>
  <si>
    <t>Bacon CBD Extract 27.6g</t>
  </si>
  <si>
    <t>Bacon CBD extract 29.5g</t>
  </si>
  <si>
    <t>Bacon CBD extract 54.8g</t>
  </si>
  <si>
    <t>Berri Blunt milled flower</t>
  </si>
  <si>
    <t>driedflower_milled_bulk</t>
  </si>
  <si>
    <t>Canadian Thunder Rosin Vape</t>
  </si>
  <si>
    <t>extract_inhaled_bulk</t>
  </si>
  <si>
    <t>Cashew Breadth dried flower 3.5g</t>
  </si>
  <si>
    <t>CBD isolate</t>
  </si>
  <si>
    <t>extract_distillate_bulk</t>
  </si>
  <si>
    <t>CBD MCT Oil</t>
  </si>
  <si>
    <t>Choc lava cake trim</t>
  </si>
  <si>
    <t>Chronic Mint dried flower</t>
  </si>
  <si>
    <t>driedflower_bulk</t>
  </si>
  <si>
    <t>Chronic Mint milled flower</t>
  </si>
  <si>
    <t>Chronic Mint preroll 1g</t>
  </si>
  <si>
    <t>preroll_bulk</t>
  </si>
  <si>
    <t>Citrique milled flower</t>
  </si>
  <si>
    <t>Critique dried flower</t>
  </si>
  <si>
    <t>Diamond infused preroll 0.35g</t>
  </si>
  <si>
    <t>Diamond infused preroll 0.5g</t>
  </si>
  <si>
    <t>Galactic Cake dried flower</t>
  </si>
  <si>
    <t>Galactic Cake milled flower</t>
  </si>
  <si>
    <t>preroll_packaged</t>
  </si>
  <si>
    <t>Galactic Cake preroll 1g</t>
  </si>
  <si>
    <t>Gelato dried flower</t>
  </si>
  <si>
    <t>Gelato dried flower 3.5g</t>
  </si>
  <si>
    <t>Gelato dried flower 7g</t>
  </si>
  <si>
    <t>Gelato milled flower</t>
  </si>
  <si>
    <t>Gelato Preroll 0.35g</t>
  </si>
  <si>
    <t>Gelato preroll 0.5g</t>
  </si>
  <si>
    <t>Gelato preroll 1g</t>
  </si>
  <si>
    <t>Glactic Cake milled flower</t>
  </si>
  <si>
    <t>Gorilla Bomb dried flower</t>
  </si>
  <si>
    <t>Gorilla Bomb preroll 1g</t>
  </si>
  <si>
    <t>Gorilla Bomb preroll 3 x 0.5g</t>
  </si>
  <si>
    <t>Grandpa Stash preroll 1g</t>
  </si>
  <si>
    <t>Grandpa's Stash dried flower 3.5g</t>
  </si>
  <si>
    <t>Grandpa's Stash milled flower</t>
  </si>
  <si>
    <t>Grease Monkey preroll 0.5g</t>
  </si>
  <si>
    <t>Grease Monkey preroll 1g</t>
  </si>
  <si>
    <t>Hara milled flower 14g</t>
  </si>
  <si>
    <t>Hara milled flower 7g</t>
  </si>
  <si>
    <t>November Rain Lemon Ice Tea preroll 0.5g</t>
  </si>
  <si>
    <t>Infused milled flower</t>
  </si>
  <si>
    <t>Infused preroll</t>
  </si>
  <si>
    <t>Infused preroll 1 x 1g</t>
  </si>
  <si>
    <t>Infused preroll 1g</t>
  </si>
  <si>
    <t>Infused preroll 3 x 0.5g</t>
  </si>
  <si>
    <t>Island Pink milled flower</t>
  </si>
  <si>
    <t>Lollipop milled flower</t>
  </si>
  <si>
    <t>Maximum Strength Roll-on</t>
  </si>
  <si>
    <t>topical_bulk</t>
  </si>
  <si>
    <t>milled flower</t>
  </si>
  <si>
    <t>November Rain Blueberry preroll 0.5g</t>
  </si>
  <si>
    <t>November Rain Rose preroll 0.5g</t>
  </si>
  <si>
    <t>November Rain Vape Canadian OG</t>
  </si>
  <si>
    <t>extract_inhaled_packaged</t>
  </si>
  <si>
    <t>Pemberton Craft Orr's Layer Cake dried flower 3.5g</t>
  </si>
  <si>
    <t>Phant THCA diamonds 1g</t>
  </si>
  <si>
    <t>Platinum Cookies dried flower 3.5g</t>
  </si>
  <si>
    <t>extract_ingested_packaged</t>
  </si>
  <si>
    <t>Pot Shot Tropical Fruits</t>
  </si>
  <si>
    <t>Pot Shot Citrus</t>
  </si>
  <si>
    <t>Rogue milled flower</t>
  </si>
  <si>
    <t>Super Sliver Haze dried flower 3.5g</t>
  </si>
  <si>
    <t>THC Distillate</t>
  </si>
  <si>
    <t>THC oil</t>
  </si>
  <si>
    <t>Tropical Meteor Shower Sativa Vape</t>
  </si>
  <si>
    <t>Tropicana Cookies dried flower 14g</t>
  </si>
  <si>
    <t>Tropicana Cookies milled flower</t>
  </si>
  <si>
    <t xml:space="preserve">Tropicana cookies preroll </t>
  </si>
  <si>
    <t>Tropicana Cookies preroll 0.5g</t>
  </si>
  <si>
    <t>Tropicana cookies preroll 3 x 0.5g</t>
  </si>
  <si>
    <t>Watermelon preroll 0.5g</t>
  </si>
  <si>
    <t>White widow</t>
  </si>
  <si>
    <t>driedflower_labelled_BC_BURB</t>
  </si>
  <si>
    <t xml:space="preserve">Gelato preroll </t>
  </si>
  <si>
    <t>Bacon CBD extract 27.3g</t>
  </si>
  <si>
    <t>Abby Leaf Inc Licorish Gumball dried flower Grade A</t>
  </si>
  <si>
    <t>Abby Leaf Inc Licorish Gumball dried flower Grade B</t>
  </si>
  <si>
    <t>Abby Leaf Inc Unicorn Poop Grade B</t>
  </si>
  <si>
    <t>Abby Leaf Inc Unicorn Poop Grade A</t>
  </si>
  <si>
    <t>THC oil 27.6g</t>
  </si>
  <si>
    <t>THC CBD balanced 1:1 oil 27.6g</t>
  </si>
  <si>
    <t>KRUNTZ B003 GRADE A</t>
  </si>
  <si>
    <t>extract_ingested_cased_MB_RTV</t>
  </si>
  <si>
    <t>extract_inhaled_cased_MB_RTV</t>
  </si>
  <si>
    <t>Pot Shot Coconut Lime 151mg</t>
  </si>
  <si>
    <t>Rose Diamond Infused preroll 3x0.5g</t>
  </si>
  <si>
    <t>extract_ingested_cased_ON</t>
  </si>
  <si>
    <t>topical_cased_MB</t>
  </si>
  <si>
    <t>topical_cased_ON</t>
  </si>
  <si>
    <t>extract_ingested_cased_ON_RTV</t>
  </si>
  <si>
    <t>Maximum Strength Mini Roll-on 45g</t>
  </si>
  <si>
    <t>extract_ingested_cased_MB</t>
  </si>
  <si>
    <t>extract_inhaled_cased_MB</t>
  </si>
  <si>
    <t>Midnight Kruntz pre-roll 10x0.5g</t>
  </si>
  <si>
    <t>Kruntz dried flower (Burb)</t>
  </si>
  <si>
    <t>driedflower_milled_bulk_BURB</t>
  </si>
  <si>
    <t>extract_ingested_labelled_WT</t>
  </si>
  <si>
    <t>extract_inhaled_packaged_WT</t>
  </si>
  <si>
    <t>Desert Haze Pressed Hash 1g</t>
  </si>
  <si>
    <t xml:space="preserve">Blue Gum Dried Flower </t>
  </si>
  <si>
    <t>Zen Oil 27.6g</t>
  </si>
  <si>
    <t>extract_inhaled_labelled_WT</t>
  </si>
  <si>
    <t>Animal Mint pre-roll 2 x 1g</t>
  </si>
  <si>
    <t>Rockstar milled flower</t>
  </si>
  <si>
    <t>extract_inhaled_cased_SK_RTV</t>
    <phoneticPr fontId="19" type="noConversion"/>
  </si>
  <si>
    <t>November Rain Preroll Rose Mintz 3x0.5g</t>
  </si>
  <si>
    <t>topical_cased_ON_RTV</t>
  </si>
  <si>
    <t>Pineapple Sour dired flower 28g</t>
  </si>
  <si>
    <t>diredflower_labelled_JEN</t>
  </si>
  <si>
    <t>Dream Catcher Kush dired flower</t>
  </si>
  <si>
    <t>White Runtz dried flower</t>
  </si>
  <si>
    <t>Pineapple blaster preroll 0.5g</t>
  </si>
  <si>
    <t>Midnight Kruntz pre-roll 2x1g</t>
  </si>
  <si>
    <t>Rogworld-Bong Guru Rockstar-5X0.5g pre-rolls</t>
  </si>
  <si>
    <t>Rogworld-Bong Guru Rockstar-14g</t>
  </si>
  <si>
    <t>Apothecary Botanicals Gelato 14g dried flower</t>
  </si>
  <si>
    <t>Rogworld-Bong Guru Rockstar-1g pre-roll</t>
  </si>
  <si>
    <t>Hara milled flower - Gelato</t>
  </si>
  <si>
    <t>sales_stream</t>
  </si>
  <si>
    <t>Shipping date</t>
  </si>
  <si>
    <t>po_number</t>
  </si>
  <si>
    <t>level</t>
    <phoneticPr fontId="19" type="noConversion"/>
  </si>
  <si>
    <t>PO_date</t>
  </si>
  <si>
    <t>Partner</t>
    <phoneticPr fontId="19" type="noConversion"/>
  </si>
  <si>
    <t>Product Price</t>
    <phoneticPr fontId="19" type="noConversion"/>
  </si>
  <si>
    <t>PO_price</t>
    <phoneticPr fontId="19" type="noConversion"/>
  </si>
  <si>
    <t>收到订单日期</t>
    <phoneticPr fontId="19" type="noConversion"/>
  </si>
  <si>
    <t>销售渠道</t>
    <phoneticPr fontId="19" type="noConversion"/>
  </si>
  <si>
    <t>发货日期</t>
    <phoneticPr fontId="19" type="noConversion"/>
  </si>
  <si>
    <t>销售途径</t>
    <phoneticPr fontId="19" type="noConversion"/>
  </si>
  <si>
    <t>订单号</t>
    <phoneticPr fontId="19" type="noConversion"/>
  </si>
  <si>
    <t>品牌</t>
    <phoneticPr fontId="19" type="noConversion"/>
  </si>
  <si>
    <t>订单价格</t>
    <phoneticPr fontId="19" type="noConversion"/>
  </si>
  <si>
    <t>BCLDB_WT</t>
  </si>
  <si>
    <t>Provincial Distribution</t>
  </si>
  <si>
    <t>PO_50044423</t>
    <phoneticPr fontId="19" type="noConversion"/>
  </si>
  <si>
    <t>level 1</t>
    <phoneticPr fontId="19" type="noConversion"/>
  </si>
  <si>
    <t>ProductLot#</t>
  </si>
  <si>
    <t>Excised(Yes/No)</t>
  </si>
  <si>
    <t>Excisedfor</t>
  </si>
  <si>
    <t>packondate_labelled</t>
  </si>
  <si>
    <t>OCS_redistribution</t>
  </si>
  <si>
    <t>PO_0082726_legacy250403-1</t>
  </si>
  <si>
    <t>YLC</t>
  </si>
  <si>
    <t>PO_00023226</t>
    <phoneticPr fontId="19" type="noConversion"/>
  </si>
  <si>
    <t>level 2</t>
  </si>
  <si>
    <t>PO_494609_OFDMB</t>
  </si>
  <si>
    <t>BCDD</t>
  </si>
  <si>
    <t>Retail</t>
  </si>
  <si>
    <t>PO_1113</t>
  </si>
  <si>
    <t>level 3</t>
  </si>
  <si>
    <t>PO_1111</t>
  </si>
  <si>
    <t>PO_1071</t>
  </si>
  <si>
    <t>po_shipdate</t>
  </si>
  <si>
    <t>Appointment date</t>
  </si>
  <si>
    <t>Appointment #</t>
  </si>
  <si>
    <t>Released (Y/N)</t>
  </si>
  <si>
    <t>PO_date</t>
    <phoneticPr fontId="19" type="noConversion"/>
  </si>
  <si>
    <t>quantity_unit</t>
  </si>
  <si>
    <t>unitpercase</t>
  </si>
  <si>
    <t>cases</t>
  </si>
  <si>
    <t>God's Space Needle Bubble Hash </t>
  </si>
  <si>
    <t>WX2021050701A</t>
  </si>
  <si>
    <t>PO_1114</t>
  </si>
  <si>
    <t>level 4</t>
  </si>
  <si>
    <t>PO_495906_OFDMB</t>
  </si>
  <si>
    <t>PO_1070</t>
  </si>
  <si>
    <t>NEED BOOKING</t>
  </si>
  <si>
    <t>PO_74167</t>
    <phoneticPr fontId="19" type="noConversion"/>
  </si>
  <si>
    <t>EX24101802V30</t>
  </si>
  <si>
    <t>Tundra Bubble Bubble Hash</t>
  </si>
  <si>
    <t>CW22011701</t>
  </si>
  <si>
    <t>BCDD_ROGWORLD</t>
  </si>
  <si>
    <t>level 5</t>
  </si>
  <si>
    <t>PO_1112</t>
  </si>
  <si>
    <t>PR2303IN02F5P3</t>
  </si>
  <si>
    <t>YES</t>
  </si>
  <si>
    <t>MBLL_redistribution</t>
  </si>
  <si>
    <t>PO_475927_OFDMB</t>
  </si>
  <si>
    <t>PR241104F5P3</t>
  </si>
  <si>
    <t>preroll_cased_ON</t>
  </si>
  <si>
    <t>Romulan Grape God Bubble Hash</t>
  </si>
  <si>
    <t>CW2103051</t>
  </si>
  <si>
    <t>PO_1115</t>
  </si>
  <si>
    <t>level 6</t>
  </si>
  <si>
    <t>PO_DD_Weeds2025051401</t>
  </si>
  <si>
    <t>November Rain- White Widow Live Resin Extract 1G LTO!</t>
  </si>
  <si>
    <t>LR23032101</t>
  </si>
  <si>
    <t>PO_1072</t>
  </si>
  <si>
    <t>PR2401F5P2</t>
  </si>
  <si>
    <t>Venom OG Live Rosin</t>
  </si>
  <si>
    <t>25-FP001</t>
  </si>
  <si>
    <t>PO_1116</t>
  </si>
  <si>
    <t>level 7</t>
  </si>
  <si>
    <t>PO_02279</t>
  </si>
  <si>
    <t>PR21071201G5</t>
  </si>
  <si>
    <t>PO_476527</t>
  </si>
  <si>
    <t>Northern Apple Jaxx Live Rosin</t>
  </si>
  <si>
    <t>RP24001</t>
  </si>
  <si>
    <t>PO_1117</t>
  </si>
  <si>
    <t>level 8</t>
  </si>
  <si>
    <t>PO_498186_OFDMB</t>
  </si>
  <si>
    <t>ROGWORLD-Lemonade Octane Live Resin Biodegradable Hemp Vape Pen 1g</t>
  </si>
  <si>
    <t>ROGEX001G1</t>
  </si>
  <si>
    <t>PO_1073</t>
  </si>
  <si>
    <t>Live Duo </t>
  </si>
  <si>
    <t>FP23004</t>
  </si>
  <si>
    <t>PO_499949_OFDMB</t>
  </si>
  <si>
    <t>Midnight Kruntz 10x0.5g preroll</t>
  </si>
  <si>
    <t>PR2501F5P10</t>
  </si>
  <si>
    <t>PO_74167</t>
  </si>
  <si>
    <t>PO_74327</t>
    <phoneticPr fontId="19" type="noConversion"/>
  </si>
  <si>
    <t>PR251105F5P3</t>
    <phoneticPr fontId="19" type="noConversion"/>
  </si>
  <si>
    <t>YES</t>
    <phoneticPr fontId="19" type="noConversion"/>
  </si>
  <si>
    <t>Synergy Oil</t>
  </si>
  <si>
    <t>EX24092701V30</t>
  </si>
  <si>
    <t>PO_1118</t>
  </si>
  <si>
    <t xml:space="preserve">November Rain Pre-roll - Animal Mintz 2x1g </t>
  </si>
  <si>
    <t>PR2507F1P2</t>
  </si>
  <si>
    <t>DD_BURB</t>
  </si>
  <si>
    <t>PO_Burb2025040201</t>
  </si>
  <si>
    <t>PO_1095</t>
    <phoneticPr fontId="19" type="noConversion"/>
  </si>
  <si>
    <t>EX25012101V50</t>
  </si>
  <si>
    <t>PO_1119</t>
  </si>
  <si>
    <t>PO_1075</t>
  </si>
  <si>
    <t>Gastro-pop Diamond Infused 3x0.5g pre-rolls</t>
  </si>
  <si>
    <t>PR2501INF5P3</t>
  </si>
  <si>
    <t>PO_500367_OFDMB</t>
  </si>
  <si>
    <t>PO_1076</t>
  </si>
  <si>
    <t>PR251108F5P12</t>
  </si>
  <si>
    <t>PO_500120</t>
  </si>
  <si>
    <t>PR2301F5P3</t>
  </si>
  <si>
    <t>PO_1120</t>
  </si>
  <si>
    <t>PR241105F5P3</t>
  </si>
  <si>
    <t>PO_50043536</t>
    <phoneticPr fontId="19" type="noConversion"/>
  </si>
  <si>
    <t>PR2516F5P10</t>
  </si>
  <si>
    <t>BCLDB_ROGWORLD</t>
  </si>
  <si>
    <t>PO_50043425</t>
    <phoneticPr fontId="19" type="noConversion"/>
  </si>
  <si>
    <t>WEEDS-PINEAPPLE SOUR-28G</t>
  </si>
  <si>
    <t>2025030701G28</t>
  </si>
  <si>
    <t>PO_50043351</t>
    <phoneticPr fontId="19" type="noConversion"/>
  </si>
  <si>
    <t xml:space="preserve">Rilaxe The One Night Stand Blunt 1x1g </t>
  </si>
  <si>
    <t>PR2515F1P1</t>
  </si>
  <si>
    <t>Cannmart</t>
  </si>
  <si>
    <t>PO_02276</t>
    <phoneticPr fontId="19" type="noConversion"/>
  </si>
  <si>
    <t>DD_WT</t>
  </si>
  <si>
    <t>PO_sumtDDwt250317</t>
    <phoneticPr fontId="19" type="noConversion"/>
  </si>
  <si>
    <t>OCS</t>
  </si>
  <si>
    <t>PO_0082982</t>
    <phoneticPr fontId="19" type="noConversion"/>
  </si>
  <si>
    <t>Pot Shot- Coconut Lime</t>
  </si>
  <si>
    <t>PO_50041983</t>
    <phoneticPr fontId="19" type="noConversion"/>
  </si>
  <si>
    <t>PO_0083270</t>
    <phoneticPr fontId="19" type="noConversion"/>
  </si>
  <si>
    <t>PO_00001786</t>
    <phoneticPr fontId="19" type="noConversion"/>
  </si>
  <si>
    <t>PO_0083524</t>
    <phoneticPr fontId="19" type="noConversion"/>
  </si>
  <si>
    <t>EX25012101V50</t>
    <phoneticPr fontId="19" type="noConversion"/>
  </si>
  <si>
    <t>PO_0080542_legacy250327</t>
    <phoneticPr fontId="19" type="noConversion"/>
  </si>
  <si>
    <t>PR241105F5P3</t>
    <phoneticPr fontId="19" type="noConversion"/>
  </si>
  <si>
    <t>PO_50042503</t>
    <phoneticPr fontId="19" type="noConversion"/>
  </si>
  <si>
    <t>EX24111301G05</t>
    <phoneticPr fontId="19" type="noConversion"/>
  </si>
  <si>
    <t>PO_50042517</t>
    <phoneticPr fontId="19" type="noConversion"/>
  </si>
  <si>
    <t>SLGA_redistribution</t>
  </si>
  <si>
    <t>PO_04-040725</t>
    <phoneticPr fontId="19" type="noConversion"/>
  </si>
  <si>
    <t>Sample</t>
    <phoneticPr fontId="19" type="noConversion"/>
  </si>
  <si>
    <t>steve250327</t>
    <phoneticPr fontId="19" type="noConversion"/>
  </si>
  <si>
    <t>PO_472627_OFDMB</t>
    <phoneticPr fontId="19" type="noConversion"/>
  </si>
  <si>
    <t>PO_1096</t>
    <phoneticPr fontId="19" type="noConversion"/>
  </si>
  <si>
    <t>EX24101703G05</t>
  </si>
  <si>
    <t>NTLCC</t>
  </si>
  <si>
    <t>PO_10013414</t>
    <phoneticPr fontId="19" type="noConversion"/>
  </si>
  <si>
    <t>EX25020601G1</t>
  </si>
  <si>
    <t>November Rain Concord Grape vape 1g</t>
  </si>
  <si>
    <t>PO_1069</t>
    <phoneticPr fontId="19" type="noConversion"/>
  </si>
  <si>
    <t>PO_1071</t>
    <phoneticPr fontId="19" type="noConversion"/>
  </si>
  <si>
    <t>PO_1070</t>
    <phoneticPr fontId="19" type="noConversion"/>
  </si>
  <si>
    <t>PR241101F5P3</t>
  </si>
  <si>
    <t>PO_476527</t>
    <phoneticPr fontId="19" type="noConversion"/>
  </si>
  <si>
    <t>PO_1097</t>
    <phoneticPr fontId="19" type="noConversion"/>
  </si>
  <si>
    <t>PO_10013</t>
    <phoneticPr fontId="19" type="noConversion"/>
  </si>
  <si>
    <t>inventory_id_head</t>
    <phoneticPr fontId="37" type="noConversion"/>
  </si>
  <si>
    <t>inventory_id_tail</t>
    <phoneticPr fontId="37" type="noConversion"/>
  </si>
  <si>
    <t>inventory_id</t>
    <phoneticPr fontId="37" type="noConversion"/>
  </si>
  <si>
    <t>status</t>
  </si>
  <si>
    <t>tote_number</t>
  </si>
  <si>
    <t>bag_number</t>
  </si>
  <si>
    <t>location</t>
    <phoneticPr fontId="37" type="noConversion"/>
  </si>
  <si>
    <t>lot_number</t>
  </si>
  <si>
    <t>pack_on_date</t>
  </si>
  <si>
    <t>number_of_unit</t>
  </si>
  <si>
    <t>unit</t>
  </si>
  <si>
    <t>net_weight_per_unit</t>
  </si>
  <si>
    <t>gross_weight</t>
  </si>
  <si>
    <t>tare_weight</t>
  </si>
  <si>
    <t>quantity_gram</t>
  </si>
  <si>
    <t>note</t>
  </si>
  <si>
    <t>time</t>
  </si>
  <si>
    <t>calculation_method</t>
  </si>
  <si>
    <t>internal_cansku</t>
    <phoneticPr fontId="19" type="noConversion"/>
  </si>
  <si>
    <t>Active</t>
  </si>
  <si>
    <t>T118EX</t>
  </si>
  <si>
    <t>NA</t>
    <phoneticPr fontId="37" type="noConversion"/>
  </si>
  <si>
    <t>EX24111301G05</t>
  </si>
  <si>
    <t>net</t>
    <phoneticPr fontId="37" type="noConversion"/>
  </si>
  <si>
    <t>T013TP</t>
  </si>
  <si>
    <t>TP24120401G45</t>
  </si>
  <si>
    <t>T014TP</t>
  </si>
  <si>
    <t>P012TP</t>
  </si>
  <si>
    <t>TP24120401</t>
  </si>
  <si>
    <t>pail</t>
  </si>
  <si>
    <t>gross</t>
  </si>
  <si>
    <t>P013TP</t>
  </si>
  <si>
    <t>P014TP</t>
  </si>
  <si>
    <t>P015TP</t>
  </si>
  <si>
    <t>P016TP</t>
  </si>
  <si>
    <t>T015TP</t>
  </si>
  <si>
    <t>net</t>
  </si>
  <si>
    <t>T016TP</t>
  </si>
  <si>
    <t>B001DF</t>
  </si>
  <si>
    <t>bag</t>
  </si>
  <si>
    <t>high potency_14g central</t>
    <phoneticPr fontId="37" type="noConversion"/>
  </si>
  <si>
    <t>B002DF</t>
  </si>
  <si>
    <t>B003DF</t>
  </si>
  <si>
    <t>B004DF</t>
  </si>
  <si>
    <t>B005DF</t>
  </si>
  <si>
    <t>high potency_14g central_small flower</t>
    <phoneticPr fontId="37" type="noConversion"/>
  </si>
  <si>
    <t>Closed</t>
  </si>
  <si>
    <t>OFDMB</t>
    <phoneticPr fontId="37" type="noConversion"/>
  </si>
  <si>
    <t>EX24022302V30</t>
  </si>
  <si>
    <t>case</t>
    <phoneticPr fontId="37" type="noConversion"/>
  </si>
  <si>
    <t>T001ED</t>
  </si>
  <si>
    <t>extract_inhaled_packaged</t>
    <phoneticPr fontId="37" type="noConversion"/>
  </si>
  <si>
    <t>PE2205CP085D</t>
  </si>
  <si>
    <t>jar</t>
  </si>
  <si>
    <t>Unlabelled</t>
  </si>
  <si>
    <t>T001DF</t>
  </si>
  <si>
    <t>driedflower_packaged</t>
    <phoneticPr fontId="37" type="noConversion"/>
  </si>
  <si>
    <t>T002DF</t>
  </si>
  <si>
    <t>T003DF</t>
  </si>
  <si>
    <t>T004DF</t>
  </si>
  <si>
    <t>2022012401R1</t>
  </si>
  <si>
    <t>pouch</t>
  </si>
  <si>
    <t>T001MF</t>
  </si>
  <si>
    <t>driedflower_milled_labelled</t>
    <phoneticPr fontId="37" type="noConversion"/>
  </si>
  <si>
    <t>CPR22112801G14</t>
  </si>
  <si>
    <t>AB stamped</t>
  </si>
  <si>
    <t>T002MF</t>
  </si>
  <si>
    <t>CPR22112801G7</t>
  </si>
  <si>
    <t>T003MF</t>
  </si>
  <si>
    <t>B001MF</t>
  </si>
  <si>
    <t>driedflower_milled_bulk</t>
    <phoneticPr fontId="37" type="noConversion"/>
  </si>
  <si>
    <t>PR2303IN</t>
  </si>
  <si>
    <t>B002MF</t>
  </si>
  <si>
    <t>CPR22102101</t>
  </si>
  <si>
    <t>B003MF</t>
  </si>
  <si>
    <t>PR2304F7</t>
  </si>
  <si>
    <t>B004MF</t>
  </si>
  <si>
    <t>unknown lot</t>
  </si>
  <si>
    <t>B005MF</t>
  </si>
  <si>
    <t>T005DF</t>
  </si>
  <si>
    <t>SS201002CP-006</t>
  </si>
  <si>
    <t>GS200219</t>
  </si>
  <si>
    <t>T006DF</t>
  </si>
  <si>
    <t>T007DF</t>
  </si>
  <si>
    <t>several MB stamped pouches</t>
  </si>
  <si>
    <t>T009DF</t>
  </si>
  <si>
    <t>driedflower_bulk</t>
    <phoneticPr fontId="37" type="noConversion"/>
  </si>
  <si>
    <t>T008DF</t>
  </si>
  <si>
    <t>B007DF</t>
  </si>
  <si>
    <t>2022012401R1</t>
    <phoneticPr fontId="37" type="noConversion"/>
  </si>
  <si>
    <t>B008DF</t>
  </si>
  <si>
    <t>small buds</t>
  </si>
  <si>
    <t>B009DF</t>
  </si>
  <si>
    <t>B013DF</t>
  </si>
  <si>
    <t>B010DF</t>
  </si>
  <si>
    <t>B012DF</t>
  </si>
  <si>
    <t>B011DF</t>
  </si>
  <si>
    <t>B016DF</t>
  </si>
  <si>
    <t>B015DF</t>
  </si>
  <si>
    <t>B014DF</t>
  </si>
  <si>
    <t>B018DF</t>
  </si>
  <si>
    <t>B017DF</t>
  </si>
  <si>
    <t>B019DF</t>
  </si>
  <si>
    <t>B020DF</t>
  </si>
  <si>
    <t>B021DF</t>
  </si>
  <si>
    <t>B022DF</t>
  </si>
  <si>
    <t>B023DF</t>
  </si>
  <si>
    <t>B025DF</t>
  </si>
  <si>
    <t>B026DF</t>
  </si>
  <si>
    <t>B027DF</t>
  </si>
  <si>
    <t>T010DF</t>
  </si>
  <si>
    <t>B028DF</t>
  </si>
  <si>
    <t>B029DF</t>
  </si>
  <si>
    <t>B030DF</t>
  </si>
  <si>
    <t>B031DF</t>
  </si>
  <si>
    <t>B032DF</t>
  </si>
  <si>
    <t>T011DF</t>
  </si>
  <si>
    <t>B033DF</t>
  </si>
  <si>
    <t>B034DF</t>
  </si>
  <si>
    <t>B035DF</t>
  </si>
  <si>
    <t>B036DF</t>
  </si>
  <si>
    <t>B037DF</t>
  </si>
  <si>
    <t>B038DF</t>
  </si>
  <si>
    <t>B039DF</t>
  </si>
  <si>
    <t>B040DF</t>
  </si>
  <si>
    <t>B041DF</t>
  </si>
  <si>
    <t>B042DF</t>
  </si>
  <si>
    <t>B043DF</t>
  </si>
  <si>
    <t>T012DF</t>
  </si>
  <si>
    <t>B044DF</t>
  </si>
  <si>
    <t>B045DF</t>
  </si>
  <si>
    <t>B046DF</t>
  </si>
  <si>
    <t>B047DF</t>
  </si>
  <si>
    <t>B048DF</t>
  </si>
  <si>
    <t>B049DF</t>
  </si>
  <si>
    <t>B050DF</t>
  </si>
  <si>
    <t>B051DF</t>
  </si>
  <si>
    <t>B052DF</t>
  </si>
  <si>
    <t>B053DF</t>
  </si>
  <si>
    <t>B055DF</t>
  </si>
  <si>
    <t>T003BS</t>
  </si>
  <si>
    <t>BS23041701G180</t>
  </si>
  <si>
    <t>P002MF</t>
  </si>
  <si>
    <t>PR2410</t>
  </si>
  <si>
    <t>Tare weight is inaccurate</t>
  </si>
  <si>
    <t>P003MF</t>
  </si>
  <si>
    <t>PR21102801</t>
  </si>
  <si>
    <t>P001EX</t>
  </si>
  <si>
    <t>extract_ingested_bulk</t>
    <phoneticPr fontId="37" type="noConversion"/>
  </si>
  <si>
    <t>P002EX</t>
  </si>
  <si>
    <t>EX22040601</t>
  </si>
  <si>
    <t>P004MF</t>
  </si>
  <si>
    <t>PR22022801</t>
  </si>
  <si>
    <t>P005MF</t>
  </si>
  <si>
    <t>PR22030301</t>
  </si>
  <si>
    <t>P007EX</t>
  </si>
  <si>
    <t>EX24022301</t>
  </si>
  <si>
    <t>P008EX</t>
  </si>
  <si>
    <t>EX24022302</t>
  </si>
  <si>
    <t>P008MF</t>
  </si>
  <si>
    <t>PR21062101</t>
  </si>
  <si>
    <t>P009MF</t>
  </si>
  <si>
    <t>P001TP</t>
  </si>
  <si>
    <t>TP24041201</t>
  </si>
  <si>
    <t>P007MF</t>
  </si>
  <si>
    <t>PR2301</t>
  </si>
  <si>
    <t>P011MF</t>
  </si>
  <si>
    <t>CPR22102001</t>
  </si>
  <si>
    <t>P013MF</t>
  </si>
  <si>
    <t>CPR22102102</t>
  </si>
  <si>
    <t>P014MF</t>
  </si>
  <si>
    <t>P015MF</t>
  </si>
  <si>
    <t>PR22030701</t>
  </si>
  <si>
    <t>P016MF</t>
  </si>
  <si>
    <t>T005PR</t>
  </si>
  <si>
    <t>preroll_packaged</t>
    <phoneticPr fontId="37" type="noConversion"/>
  </si>
  <si>
    <t>PR2410F5P3</t>
  </si>
  <si>
    <t>T006PR</t>
  </si>
  <si>
    <t>T006PRNA</t>
  </si>
  <si>
    <t>preroll_labelled</t>
    <phoneticPr fontId="37" type="noConversion"/>
  </si>
  <si>
    <t>CPR22102102G1</t>
  </si>
  <si>
    <t>T003PR</t>
  </si>
  <si>
    <t>B001PR</t>
  </si>
  <si>
    <t>T003PRB001PR</t>
  </si>
  <si>
    <t>CPR22102102G5</t>
  </si>
  <si>
    <t>T007PR</t>
  </si>
  <si>
    <t>T007PRNA</t>
  </si>
  <si>
    <t>CPR22102001G5</t>
  </si>
  <si>
    <t>T011PR</t>
  </si>
  <si>
    <t>preroll_bulk</t>
    <phoneticPr fontId="37" type="noConversion"/>
  </si>
  <si>
    <t>PR22051901G1</t>
  </si>
  <si>
    <t>T012PR</t>
  </si>
  <si>
    <t>T015PR</t>
  </si>
  <si>
    <t>T016PR</t>
  </si>
  <si>
    <t>PR21071201G1</t>
  </si>
  <si>
    <t>T018PR</t>
  </si>
  <si>
    <t>T019PR</t>
  </si>
  <si>
    <t>PR21091301</t>
  </si>
  <si>
    <t>67 damaged; unknown individual weight</t>
  </si>
  <si>
    <t>2021042701G5</t>
  </si>
  <si>
    <t>PR21071201</t>
  </si>
  <si>
    <t>unknown individual weight</t>
  </si>
  <si>
    <t>T020PR</t>
  </si>
  <si>
    <t>PR23040301F5P3</t>
  </si>
  <si>
    <t>T021PR</t>
  </si>
  <si>
    <t>PR22031601ING5</t>
  </si>
  <si>
    <t>PR22031601IN</t>
  </si>
  <si>
    <t>PR2301INF1P1</t>
  </si>
  <si>
    <t>T022PR</t>
  </si>
  <si>
    <t>PR2302INF1</t>
  </si>
  <si>
    <t>T023PR</t>
  </si>
  <si>
    <t>T024PR</t>
  </si>
  <si>
    <t>CPR22102101G1</t>
  </si>
  <si>
    <t>T025PR</t>
  </si>
  <si>
    <t>B024DF</t>
  </si>
  <si>
    <t>B054DF</t>
  </si>
  <si>
    <t>T001TP</t>
  </si>
  <si>
    <t>topical_labelled</t>
    <phoneticPr fontId="37" type="noConversion"/>
  </si>
  <si>
    <t>P006EX</t>
  </si>
  <si>
    <t>T026PR</t>
  </si>
  <si>
    <t>PR2301F35</t>
  </si>
  <si>
    <t>T027PR</t>
  </si>
  <si>
    <t>T029PR</t>
    <phoneticPr fontId="37" type="noConversion"/>
  </si>
  <si>
    <t>PR2407F5P3</t>
    <phoneticPr fontId="37" type="noConversion"/>
  </si>
  <si>
    <t>unit</t>
    <phoneticPr fontId="37" type="noConversion"/>
  </si>
  <si>
    <t>white tube</t>
    <phoneticPr fontId="37" type="noConversion"/>
  </si>
  <si>
    <t>T001EX</t>
  </si>
  <si>
    <t>extract_ingested_labelled</t>
    <phoneticPr fontId="37" type="noConversion"/>
  </si>
  <si>
    <t>EX23100401V30</t>
  </si>
  <si>
    <t>T002PR</t>
  </si>
  <si>
    <t>PR2410F1P3</t>
  </si>
  <si>
    <t>T030PR</t>
  </si>
  <si>
    <t>PR241002F5P3</t>
  </si>
  <si>
    <t>RACK_B</t>
  </si>
  <si>
    <t>GRID_2</t>
  </si>
  <si>
    <t>PR2407F5P3</t>
  </si>
  <si>
    <t>T035PR</t>
  </si>
  <si>
    <t>B003PR</t>
  </si>
  <si>
    <t>PR241001F5</t>
  </si>
  <si>
    <t>T003EX</t>
  </si>
  <si>
    <t>EX24010301V30</t>
  </si>
  <si>
    <t>bottles</t>
  </si>
  <si>
    <t>T004EX</t>
  </si>
  <si>
    <t>DI22092601V60</t>
  </si>
  <si>
    <t>B004PR</t>
  </si>
  <si>
    <t>PR241002F5</t>
  </si>
  <si>
    <t>B005PR</t>
  </si>
  <si>
    <t>B006PR</t>
  </si>
  <si>
    <t>T002EX</t>
  </si>
  <si>
    <t>DI22110301V30</t>
  </si>
  <si>
    <t>T003TP</t>
  </si>
  <si>
    <t>TP24041202</t>
  </si>
  <si>
    <t>P001MF</t>
  </si>
  <si>
    <t>P005EX</t>
  </si>
  <si>
    <t>finished on 2024-08-21</t>
  </si>
  <si>
    <t>P009EX</t>
    <phoneticPr fontId="37" type="noConversion"/>
  </si>
  <si>
    <t>B003EX</t>
    <phoneticPr fontId="37" type="noConversion"/>
  </si>
  <si>
    <t>extract_ingested_cased_BC</t>
  </si>
  <si>
    <t>EX24092601V50</t>
    <phoneticPr fontId="37" type="noConversion"/>
  </si>
  <si>
    <t>B004EX</t>
  </si>
  <si>
    <t>EX24070901V50</t>
    <phoneticPr fontId="37" type="noConversion"/>
  </si>
  <si>
    <t>T037PR</t>
    <phoneticPr fontId="37" type="noConversion"/>
  </si>
  <si>
    <t>PR21062101</t>
    <phoneticPr fontId="37" type="noConversion"/>
  </si>
  <si>
    <t>PR210621</t>
    <phoneticPr fontId="37" type="noConversion"/>
  </si>
  <si>
    <t>T038PR</t>
    <phoneticPr fontId="37" type="noConversion"/>
  </si>
  <si>
    <t>PR21062101G5</t>
    <phoneticPr fontId="37" type="noConversion"/>
  </si>
  <si>
    <t>T031PR</t>
  </si>
  <si>
    <t>PR240603F5P3</t>
  </si>
  <si>
    <t>P002DF</t>
    <phoneticPr fontId="37" type="noConversion"/>
  </si>
  <si>
    <t>T031PR</t>
    <phoneticPr fontId="37" type="noConversion"/>
  </si>
  <si>
    <t>PR241003F5P3</t>
    <phoneticPr fontId="37" type="noConversion"/>
  </si>
  <si>
    <t>PR241003F5P3</t>
  </si>
  <si>
    <t>P017MF</t>
  </si>
  <si>
    <t>PR2411</t>
  </si>
  <si>
    <t>B007PR</t>
    <phoneticPr fontId="37" type="noConversion"/>
  </si>
  <si>
    <t>B009PR</t>
    <phoneticPr fontId="37" type="noConversion"/>
  </si>
  <si>
    <t>B010PR</t>
    <phoneticPr fontId="37" type="noConversion"/>
  </si>
  <si>
    <t>T036PR</t>
    <phoneticPr fontId="37" type="noConversion"/>
  </si>
  <si>
    <t>B011PR</t>
  </si>
  <si>
    <t>PR241005F5</t>
    <phoneticPr fontId="37" type="noConversion"/>
  </si>
  <si>
    <t>B012PR</t>
  </si>
  <si>
    <t>B013PR</t>
  </si>
  <si>
    <t>B014PR</t>
  </si>
  <si>
    <t>B015PR</t>
    <phoneticPr fontId="37" type="noConversion"/>
  </si>
  <si>
    <t>B017PR</t>
  </si>
  <si>
    <t>B019PR</t>
    <phoneticPr fontId="37" type="noConversion"/>
  </si>
  <si>
    <t>B020PR</t>
    <phoneticPr fontId="37" type="noConversion"/>
  </si>
  <si>
    <t>T006EX</t>
    <phoneticPr fontId="37" type="noConversion"/>
  </si>
  <si>
    <t>TP21121701</t>
    <phoneticPr fontId="37" type="noConversion"/>
  </si>
  <si>
    <t>AB</t>
    <phoneticPr fontId="37" type="noConversion"/>
  </si>
  <si>
    <t>T007EX</t>
    <phoneticPr fontId="37" type="noConversion"/>
  </si>
  <si>
    <t>T008EX</t>
    <phoneticPr fontId="37" type="noConversion"/>
  </si>
  <si>
    <t>T009EX</t>
    <phoneticPr fontId="37" type="noConversion"/>
  </si>
  <si>
    <t>EX24061401V30</t>
    <phoneticPr fontId="37" type="noConversion"/>
  </si>
  <si>
    <t>T010EX</t>
    <phoneticPr fontId="37" type="noConversion"/>
  </si>
  <si>
    <t>EX22102601</t>
    <phoneticPr fontId="37" type="noConversion"/>
  </si>
  <si>
    <t>T011EX</t>
  </si>
  <si>
    <t>EX20190TCM</t>
  </si>
  <si>
    <t>EX20190TCBC</t>
  </si>
  <si>
    <t>T014EX</t>
  </si>
  <si>
    <t>EX23060701V30</t>
  </si>
  <si>
    <t>T016EX</t>
  </si>
  <si>
    <t>T019EX</t>
    <phoneticPr fontId="37" type="noConversion"/>
  </si>
  <si>
    <t>EX24051301V50</t>
    <phoneticPr fontId="37" type="noConversion"/>
  </si>
  <si>
    <t>B001EX</t>
    <phoneticPr fontId="37" type="noConversion"/>
  </si>
  <si>
    <t>EX24060501V50</t>
    <phoneticPr fontId="37" type="noConversion"/>
  </si>
  <si>
    <t>T015DF</t>
    <phoneticPr fontId="37" type="noConversion"/>
  </si>
  <si>
    <t>driedflower_bulk_unknown</t>
    <phoneticPr fontId="37" type="noConversion"/>
  </si>
  <si>
    <t>CIT001-B</t>
    <phoneticPr fontId="37" type="noConversion"/>
  </si>
  <si>
    <t>PVK-001-8</t>
    <phoneticPr fontId="37" type="noConversion"/>
  </si>
  <si>
    <t>driedflower_trim_unknown_inferior</t>
    <phoneticPr fontId="37" type="noConversion"/>
  </si>
  <si>
    <t>GS200219</t>
    <phoneticPr fontId="37" type="noConversion"/>
  </si>
  <si>
    <t>Batch 111</t>
    <phoneticPr fontId="37" type="noConversion"/>
  </si>
  <si>
    <t>T016DF</t>
    <phoneticPr fontId="37" type="noConversion"/>
  </si>
  <si>
    <t>OB191028</t>
    <phoneticPr fontId="37" type="noConversion"/>
  </si>
  <si>
    <t>GS200109</t>
    <phoneticPr fontId="37" type="noConversion"/>
  </si>
  <si>
    <t>T017DF</t>
    <phoneticPr fontId="37" type="noConversion"/>
  </si>
  <si>
    <t>T018DF</t>
    <phoneticPr fontId="37" type="noConversion"/>
  </si>
  <si>
    <t>T019DF</t>
    <phoneticPr fontId="37" type="noConversion"/>
  </si>
  <si>
    <t>PNK001-B</t>
    <phoneticPr fontId="37" type="noConversion"/>
  </si>
  <si>
    <t>T020DF</t>
    <phoneticPr fontId="37" type="noConversion"/>
  </si>
  <si>
    <t>T021DF</t>
    <phoneticPr fontId="37" type="noConversion"/>
  </si>
  <si>
    <t>driedflower_labelled_RTV</t>
    <phoneticPr fontId="37" type="noConversion"/>
  </si>
  <si>
    <t>2021082601R1</t>
    <phoneticPr fontId="37" type="noConversion"/>
  </si>
  <si>
    <t>T022DF</t>
    <phoneticPr fontId="37" type="noConversion"/>
  </si>
  <si>
    <t>T023DF</t>
    <phoneticPr fontId="37" type="noConversion"/>
  </si>
  <si>
    <t>J003EX</t>
  </si>
  <si>
    <t>container</t>
  </si>
  <si>
    <t>J005EX</t>
  </si>
  <si>
    <t>extract_distillate_bulk</t>
    <phoneticPr fontId="37" type="noConversion"/>
  </si>
  <si>
    <t>PR240602F5P3</t>
  </si>
  <si>
    <t>T001BS</t>
  </si>
  <si>
    <t>J009EX</t>
    <phoneticPr fontId="37" type="noConversion"/>
  </si>
  <si>
    <t>jar</t>
    <phoneticPr fontId="37" type="noConversion"/>
  </si>
  <si>
    <t>J010EX</t>
    <phoneticPr fontId="37" type="noConversion"/>
  </si>
  <si>
    <t>same as #75</t>
    <phoneticPr fontId="37" type="noConversion"/>
  </si>
  <si>
    <t>Orbis ON warehouse</t>
    <phoneticPr fontId="37" type="noConversion"/>
  </si>
  <si>
    <t>EX24061401V30</t>
  </si>
  <si>
    <t>T001PR</t>
  </si>
  <si>
    <t>144AB</t>
    <phoneticPr fontId="37" type="noConversion"/>
  </si>
  <si>
    <t>T020EX</t>
    <phoneticPr fontId="37" type="noConversion"/>
  </si>
  <si>
    <t>EX24080601V50</t>
    <phoneticPr fontId="37" type="noConversion"/>
  </si>
  <si>
    <t>T008DF</t>
    <phoneticPr fontId="37" type="noConversion"/>
  </si>
  <si>
    <t>B067DF</t>
    <phoneticPr fontId="37" type="noConversion"/>
  </si>
  <si>
    <t>gross</t>
    <phoneticPr fontId="37" type="noConversion"/>
  </si>
  <si>
    <t>T004TP</t>
    <phoneticPr fontId="37" type="noConversion"/>
  </si>
  <si>
    <t>driedflower_labelled</t>
    <phoneticPr fontId="37" type="noConversion"/>
  </si>
  <si>
    <t>2022012401R1G7</t>
  </si>
  <si>
    <t>T013PR</t>
    <phoneticPr fontId="37" type="noConversion"/>
  </si>
  <si>
    <t>preroll_bulk_inferior</t>
    <phoneticPr fontId="37" type="noConversion"/>
  </si>
  <si>
    <t>PR2407F5</t>
    <phoneticPr fontId="37" type="noConversion"/>
  </si>
  <si>
    <t>T040PR</t>
    <phoneticPr fontId="37" type="noConversion"/>
  </si>
  <si>
    <t>PR241003F5</t>
    <phoneticPr fontId="37" type="noConversion"/>
  </si>
  <si>
    <t>T024PR</t>
    <phoneticPr fontId="37" type="noConversion"/>
  </si>
  <si>
    <t>CPR22102101G1</t>
    <phoneticPr fontId="37" type="noConversion"/>
  </si>
  <si>
    <t>T043PR</t>
    <phoneticPr fontId="37" type="noConversion"/>
  </si>
  <si>
    <t>T024DF</t>
    <phoneticPr fontId="37" type="noConversion"/>
  </si>
  <si>
    <t>T025DF</t>
  </si>
  <si>
    <t>J013EX</t>
    <phoneticPr fontId="37" type="noConversion"/>
  </si>
  <si>
    <t>EX24090501</t>
    <phoneticPr fontId="37" type="noConversion"/>
  </si>
  <si>
    <t>pail</t>
    <phoneticPr fontId="37" type="noConversion"/>
  </si>
  <si>
    <t>J014EX</t>
    <phoneticPr fontId="37" type="noConversion"/>
  </si>
  <si>
    <t>T042PR</t>
    <phoneticPr fontId="37" type="noConversion"/>
  </si>
  <si>
    <t>PR241005F5P3</t>
    <phoneticPr fontId="37" type="noConversion"/>
  </si>
  <si>
    <t>T043PR</t>
  </si>
  <si>
    <t>PR241105F5P3</t>
    <phoneticPr fontId="37" type="noConversion"/>
  </si>
  <si>
    <t>B018PR</t>
  </si>
  <si>
    <t>B008PR</t>
    <phoneticPr fontId="37" type="noConversion"/>
  </si>
  <si>
    <t>T027DF</t>
    <phoneticPr fontId="37" type="noConversion"/>
  </si>
  <si>
    <t>T028DF</t>
  </si>
  <si>
    <t>T029DF</t>
  </si>
  <si>
    <t>T030DF</t>
  </si>
  <si>
    <t>T031DF</t>
  </si>
  <si>
    <t>T032DF</t>
    <phoneticPr fontId="37" type="noConversion"/>
  </si>
  <si>
    <t>BC</t>
    <phoneticPr fontId="37" type="noConversion"/>
  </si>
  <si>
    <t>T029EX</t>
    <phoneticPr fontId="37" type="noConversion"/>
  </si>
  <si>
    <t>EX24082903</t>
  </si>
  <si>
    <t>T033DF</t>
    <phoneticPr fontId="37" type="noConversion"/>
  </si>
  <si>
    <t>bag</t>
    <phoneticPr fontId="37" type="noConversion"/>
  </si>
  <si>
    <t>CHHT</t>
    <phoneticPr fontId="37" type="noConversion"/>
  </si>
  <si>
    <t>501L2B1</t>
    <phoneticPr fontId="37" type="noConversion"/>
  </si>
  <si>
    <t>MK01151902</t>
    <phoneticPr fontId="37" type="noConversion"/>
  </si>
  <si>
    <t>T006TP</t>
    <phoneticPr fontId="37" type="noConversion"/>
  </si>
  <si>
    <t>topical_labelled_RTV</t>
    <phoneticPr fontId="37" type="noConversion"/>
  </si>
  <si>
    <t>TO21101301</t>
    <phoneticPr fontId="37" type="noConversion"/>
  </si>
  <si>
    <t>EX24080601V50</t>
  </si>
  <si>
    <t>T017PR</t>
    <phoneticPr fontId="37" type="noConversion"/>
  </si>
  <si>
    <t>PR21071201G1</t>
    <phoneticPr fontId="37" type="noConversion"/>
  </si>
  <si>
    <t>PR241101F5P3</t>
    <phoneticPr fontId="37" type="noConversion"/>
  </si>
  <si>
    <t>T036PR</t>
  </si>
  <si>
    <t>T036EX</t>
    <phoneticPr fontId="37" type="noConversion"/>
  </si>
  <si>
    <t>EX24082905G05</t>
    <phoneticPr fontId="37" type="noConversion"/>
  </si>
  <si>
    <t>EX24070902V50</t>
    <phoneticPr fontId="37" type="noConversion"/>
  </si>
  <si>
    <t>T028EX</t>
    <phoneticPr fontId="37" type="noConversion"/>
  </si>
  <si>
    <t>extract_inhaled_labelled</t>
    <phoneticPr fontId="37" type="noConversion"/>
  </si>
  <si>
    <t>EX24082903G05</t>
    <phoneticPr fontId="37" type="noConversion"/>
  </si>
  <si>
    <t>T034EX</t>
  </si>
  <si>
    <t>EX24082904G05</t>
    <phoneticPr fontId="37" type="noConversion"/>
  </si>
  <si>
    <t>T039EX</t>
    <phoneticPr fontId="37" type="noConversion"/>
  </si>
  <si>
    <t>J016EX</t>
  </si>
  <si>
    <t>T040EX</t>
  </si>
  <si>
    <t>EX24082906</t>
    <phoneticPr fontId="37" type="noConversion"/>
  </si>
  <si>
    <t>T002TP</t>
  </si>
  <si>
    <t>T035EX</t>
  </si>
  <si>
    <t>T022EX</t>
    <phoneticPr fontId="37" type="noConversion"/>
  </si>
  <si>
    <t>EX24090501V50</t>
    <phoneticPr fontId="37" type="noConversion"/>
  </si>
  <si>
    <t>T024EX</t>
  </si>
  <si>
    <t>T037EX</t>
  </si>
  <si>
    <t>T042EX</t>
    <phoneticPr fontId="37" type="noConversion"/>
  </si>
  <si>
    <t>T043EX</t>
    <phoneticPr fontId="37" type="noConversion"/>
  </si>
  <si>
    <t>T038EX</t>
  </si>
  <si>
    <t>T030EX</t>
  </si>
  <si>
    <t>T031EX</t>
  </si>
  <si>
    <t>EX24082902G05</t>
    <phoneticPr fontId="37" type="noConversion"/>
  </si>
  <si>
    <t>T032EX</t>
  </si>
  <si>
    <t>EX24082901G05</t>
    <phoneticPr fontId="37" type="noConversion"/>
  </si>
  <si>
    <t>T034DF</t>
    <phoneticPr fontId="37" type="noConversion"/>
  </si>
  <si>
    <t>C-01041</t>
    <phoneticPr fontId="37" type="noConversion"/>
  </si>
  <si>
    <t>LG A001</t>
    <phoneticPr fontId="37" type="noConversion"/>
  </si>
  <si>
    <t>C-01042</t>
    <phoneticPr fontId="37" type="noConversion"/>
  </si>
  <si>
    <t>C-00962</t>
    <phoneticPr fontId="37" type="noConversion"/>
  </si>
  <si>
    <t>H001</t>
    <phoneticPr fontId="37" type="noConversion"/>
  </si>
  <si>
    <t>T035DF</t>
    <phoneticPr fontId="37" type="noConversion"/>
  </si>
  <si>
    <t>C-00955</t>
    <phoneticPr fontId="37" type="noConversion"/>
  </si>
  <si>
    <t>C-00977</t>
    <phoneticPr fontId="37" type="noConversion"/>
  </si>
  <si>
    <t>C-00956</t>
    <phoneticPr fontId="37" type="noConversion"/>
  </si>
  <si>
    <t>C-00965</t>
    <phoneticPr fontId="37" type="noConversion"/>
  </si>
  <si>
    <t>T036DF</t>
    <phoneticPr fontId="37" type="noConversion"/>
  </si>
  <si>
    <t>C-01036</t>
    <phoneticPr fontId="37" type="noConversion"/>
  </si>
  <si>
    <t>F002</t>
    <phoneticPr fontId="37" type="noConversion"/>
  </si>
  <si>
    <t>C-01033</t>
    <phoneticPr fontId="37" type="noConversion"/>
  </si>
  <si>
    <t>C-01032</t>
    <phoneticPr fontId="37" type="noConversion"/>
  </si>
  <si>
    <t>C-01034</t>
    <phoneticPr fontId="37" type="noConversion"/>
  </si>
  <si>
    <t>T037DF</t>
    <phoneticPr fontId="37" type="noConversion"/>
  </si>
  <si>
    <t>C-00959</t>
    <phoneticPr fontId="37" type="noConversion"/>
  </si>
  <si>
    <t>C-00958</t>
    <phoneticPr fontId="37" type="noConversion"/>
  </si>
  <si>
    <t>C-00976</t>
    <phoneticPr fontId="37" type="noConversion"/>
  </si>
  <si>
    <t>T044EX</t>
    <phoneticPr fontId="37" type="noConversion"/>
  </si>
  <si>
    <t>T045EX</t>
  </si>
  <si>
    <t>T046EX</t>
  </si>
  <si>
    <t>T047EX</t>
  </si>
  <si>
    <t>T048EX</t>
  </si>
  <si>
    <t>T049EX</t>
  </si>
  <si>
    <t>T050EX</t>
  </si>
  <si>
    <t>T051EX</t>
  </si>
  <si>
    <t>T052EX</t>
  </si>
  <si>
    <t>T055EX</t>
  </si>
  <si>
    <t>T057EX</t>
  </si>
  <si>
    <t>T058EX</t>
  </si>
  <si>
    <t>T059EX</t>
    <phoneticPr fontId="37" type="noConversion"/>
  </si>
  <si>
    <t>T061EX</t>
  </si>
  <si>
    <t>T062EX</t>
  </si>
  <si>
    <t>T063EX</t>
  </si>
  <si>
    <t>T064EX</t>
  </si>
  <si>
    <t>T065EX</t>
  </si>
  <si>
    <t>T066EX</t>
  </si>
  <si>
    <t>T068EX</t>
  </si>
  <si>
    <t>EX24082906G05</t>
    <phoneticPr fontId="37" type="noConversion"/>
  </si>
  <si>
    <t>J012EX</t>
    <phoneticPr fontId="37" type="noConversion"/>
  </si>
  <si>
    <t>J001EX</t>
  </si>
  <si>
    <t>J015EX</t>
  </si>
  <si>
    <t>EX24082901</t>
  </si>
  <si>
    <t>J004EX</t>
  </si>
  <si>
    <t>T021EX</t>
    <phoneticPr fontId="37" type="noConversion"/>
  </si>
  <si>
    <t>extract_ingested_labelled_damaged</t>
    <phoneticPr fontId="37" type="noConversion"/>
  </si>
  <si>
    <t>damaged</t>
    <phoneticPr fontId="37" type="noConversion"/>
  </si>
  <si>
    <t>T044PR</t>
    <phoneticPr fontId="37" type="noConversion"/>
  </si>
  <si>
    <t>T053EX</t>
  </si>
  <si>
    <t>T060EX</t>
  </si>
  <si>
    <t>T070EX</t>
  </si>
  <si>
    <t>T056EX</t>
  </si>
  <si>
    <t>T071EX</t>
    <phoneticPr fontId="37" type="noConversion"/>
  </si>
  <si>
    <t>T067EX</t>
  </si>
  <si>
    <t>T072EX</t>
    <phoneticPr fontId="37" type="noConversion"/>
  </si>
  <si>
    <t>T039PR</t>
    <phoneticPr fontId="37" type="noConversion"/>
  </si>
  <si>
    <t>PR241002F5P3</t>
    <phoneticPr fontId="37" type="noConversion"/>
  </si>
  <si>
    <t>T013DF</t>
    <phoneticPr fontId="37" type="noConversion"/>
  </si>
  <si>
    <t>B058DF</t>
  </si>
  <si>
    <t>B059DF</t>
  </si>
  <si>
    <t>B060DF</t>
  </si>
  <si>
    <t>B061DF</t>
  </si>
  <si>
    <t>B062DF</t>
  </si>
  <si>
    <t>B063DF</t>
  </si>
  <si>
    <t>T014DF</t>
    <phoneticPr fontId="37" type="noConversion"/>
  </si>
  <si>
    <t>B064DF</t>
  </si>
  <si>
    <t>B065DF</t>
    <phoneticPr fontId="37" type="noConversion"/>
  </si>
  <si>
    <t>B066DF</t>
    <phoneticPr fontId="37" type="noConversion"/>
  </si>
  <si>
    <t>T032PR</t>
  </si>
  <si>
    <t>PR241104F5P3</t>
    <phoneticPr fontId="37" type="noConversion"/>
  </si>
  <si>
    <t>T073EX</t>
    <phoneticPr fontId="37" type="noConversion"/>
  </si>
  <si>
    <t>extract_ingested_labelled_ON</t>
    <phoneticPr fontId="37" type="noConversion"/>
  </si>
  <si>
    <t>T074EX</t>
    <phoneticPr fontId="37" type="noConversion"/>
  </si>
  <si>
    <t>extract_ingested_packaged</t>
    <phoneticPr fontId="37" type="noConversion"/>
  </si>
  <si>
    <t>T077EX</t>
    <phoneticPr fontId="37" type="noConversion"/>
  </si>
  <si>
    <t>B057DF</t>
  </si>
  <si>
    <t>PR2411</t>
    <phoneticPr fontId="37" type="noConversion"/>
  </si>
  <si>
    <t>T007TP</t>
    <phoneticPr fontId="37" type="noConversion"/>
  </si>
  <si>
    <t>TP24082901</t>
    <phoneticPr fontId="37" type="noConversion"/>
  </si>
  <si>
    <t>T069EX</t>
    <phoneticPr fontId="37" type="noConversion"/>
  </si>
  <si>
    <t>T079EX</t>
  </si>
  <si>
    <t>EX24082906G05</t>
  </si>
  <si>
    <t>T080EX</t>
  </si>
  <si>
    <t>Closed</t>
    <phoneticPr fontId="37" type="noConversion"/>
  </si>
  <si>
    <t>T032PR</t>
    <phoneticPr fontId="37" type="noConversion"/>
  </si>
  <si>
    <t>T081EX</t>
    <phoneticPr fontId="37" type="noConversion"/>
  </si>
  <si>
    <t>PR241102F5P3</t>
    <phoneticPr fontId="37" type="noConversion"/>
  </si>
  <si>
    <t>Active</t>
    <phoneticPr fontId="37" type="noConversion"/>
  </si>
  <si>
    <t>T047PR</t>
    <phoneticPr fontId="37" type="noConversion"/>
  </si>
  <si>
    <t>T048PR</t>
    <phoneticPr fontId="37" type="noConversion"/>
  </si>
  <si>
    <t>PR2407F5P2</t>
    <phoneticPr fontId="37" type="noConversion"/>
  </si>
  <si>
    <t>T054EX</t>
    <phoneticPr fontId="37" type="noConversion"/>
  </si>
  <si>
    <t>KZ F006 GRADE A</t>
  </si>
  <si>
    <t>C-01179</t>
    <phoneticPr fontId="37" type="noConversion"/>
  </si>
  <si>
    <t>C-01175</t>
    <phoneticPr fontId="37" type="noConversion"/>
  </si>
  <si>
    <t>T049PR</t>
    <phoneticPr fontId="37" type="noConversion"/>
  </si>
  <si>
    <t>T038DF</t>
    <phoneticPr fontId="37" type="noConversion"/>
  </si>
  <si>
    <t>KEY LIME PIE (MINI)</t>
  </si>
  <si>
    <t>LOT 1420240408</t>
    <phoneticPr fontId="37" type="noConversion"/>
  </si>
  <si>
    <t>T039DF</t>
    <phoneticPr fontId="37" type="noConversion"/>
  </si>
  <si>
    <t>Unicorn Poop dried flower 14g</t>
  </si>
  <si>
    <t>T040DF</t>
  </si>
  <si>
    <t>T041DF</t>
  </si>
  <si>
    <t>T042DF</t>
  </si>
  <si>
    <t>Licorice Gumball dried flower 14g</t>
  </si>
  <si>
    <t>T043DF</t>
  </si>
  <si>
    <t>T044DF</t>
  </si>
  <si>
    <t>T045DF</t>
  </si>
  <si>
    <t>T008TP</t>
    <phoneticPr fontId="37" type="noConversion"/>
  </si>
  <si>
    <t>EX24022302130</t>
  </si>
  <si>
    <t>C-01177</t>
    <phoneticPr fontId="37" type="noConversion"/>
  </si>
  <si>
    <t>J014EX</t>
  </si>
  <si>
    <t xml:space="preserve">Strawberry Drizzle Vape </t>
  </si>
  <si>
    <t>EX24102105</t>
    <phoneticPr fontId="37" type="noConversion"/>
  </si>
  <si>
    <t>T050PR</t>
    <phoneticPr fontId="37" type="noConversion"/>
  </si>
  <si>
    <t>P010EX</t>
    <phoneticPr fontId="37" type="noConversion"/>
  </si>
  <si>
    <t>T082EX</t>
    <phoneticPr fontId="37" type="noConversion"/>
  </si>
  <si>
    <t>T033EX</t>
  </si>
  <si>
    <t>T010TP</t>
  </si>
  <si>
    <t>TP24101701</t>
  </si>
  <si>
    <t>B006DF</t>
  </si>
  <si>
    <t>T003DF</t>
    <phoneticPr fontId="37" type="noConversion"/>
  </si>
  <si>
    <t>B056DF</t>
    <phoneticPr fontId="37" type="noConversion"/>
  </si>
  <si>
    <t>J017EX</t>
    <phoneticPr fontId="37" type="noConversion"/>
  </si>
  <si>
    <t>EX24101703</t>
    <phoneticPr fontId="37" type="noConversion"/>
  </si>
  <si>
    <t>T048DF</t>
    <phoneticPr fontId="37" type="noConversion"/>
  </si>
  <si>
    <t>PR2301F35P12</t>
    <phoneticPr fontId="37" type="noConversion"/>
  </si>
  <si>
    <t>T084EX</t>
    <phoneticPr fontId="37" type="noConversion"/>
  </si>
  <si>
    <t>EX24101802V30</t>
    <phoneticPr fontId="37" type="noConversion"/>
  </si>
  <si>
    <t>T085EX</t>
    <phoneticPr fontId="37" type="noConversion"/>
  </si>
  <si>
    <t>EX24100801V30</t>
    <phoneticPr fontId="37" type="noConversion"/>
  </si>
  <si>
    <t>T088EX</t>
    <phoneticPr fontId="37" type="noConversion"/>
  </si>
  <si>
    <t>PR2301F35</t>
    <phoneticPr fontId="37" type="noConversion"/>
  </si>
  <si>
    <t>T089EX</t>
    <phoneticPr fontId="37" type="noConversion"/>
  </si>
  <si>
    <t>EX24101705G05</t>
    <phoneticPr fontId="37" type="noConversion"/>
  </si>
  <si>
    <t>T090EX</t>
  </si>
  <si>
    <t>T091EX</t>
  </si>
  <si>
    <t>T092EX</t>
    <phoneticPr fontId="37" type="noConversion"/>
  </si>
  <si>
    <t>T093EX</t>
    <phoneticPr fontId="37" type="noConversion"/>
  </si>
  <si>
    <t>EX24022302V30</t>
    <phoneticPr fontId="37" type="noConversion"/>
  </si>
  <si>
    <t>T094EX</t>
    <phoneticPr fontId="37" type="noConversion"/>
  </si>
  <si>
    <t>T095EX</t>
  </si>
  <si>
    <t>EX24102201V50</t>
  </si>
  <si>
    <t>PR241103F5</t>
  </si>
  <si>
    <t>J022EX</t>
  </si>
  <si>
    <t>EX24101705</t>
  </si>
  <si>
    <t>J024EX</t>
  </si>
  <si>
    <t>Platinum Sunrise Vape</t>
  </si>
  <si>
    <t>EX24101704</t>
    <phoneticPr fontId="37" type="noConversion"/>
  </si>
  <si>
    <t>EX24101701</t>
  </si>
  <si>
    <t>T046PR</t>
    <phoneticPr fontId="37" type="noConversion"/>
  </si>
  <si>
    <t>J025EX</t>
  </si>
  <si>
    <t>T097EX</t>
    <phoneticPr fontId="37" type="noConversion"/>
  </si>
  <si>
    <t>EX24101703G05</t>
    <phoneticPr fontId="37" type="noConversion"/>
  </si>
  <si>
    <t>T099EX</t>
  </si>
  <si>
    <t>EX24101701G05</t>
    <phoneticPr fontId="37" type="noConversion"/>
  </si>
  <si>
    <t>T013EX</t>
  </si>
  <si>
    <t>T015EX</t>
  </si>
  <si>
    <t>T018EX</t>
  </si>
  <si>
    <t>P011EX</t>
  </si>
  <si>
    <t>EX24102201V50</t>
    <phoneticPr fontId="37" type="noConversion"/>
  </si>
  <si>
    <t>PR241105F5</t>
    <phoneticPr fontId="37" type="noConversion"/>
  </si>
  <si>
    <t>PR241101F5</t>
    <phoneticPr fontId="37" type="noConversion"/>
  </si>
  <si>
    <t>PR241102F5</t>
    <phoneticPr fontId="37" type="noConversion"/>
  </si>
  <si>
    <t>P001DF</t>
    <phoneticPr fontId="37" type="noConversion"/>
  </si>
  <si>
    <t>T101EX</t>
    <phoneticPr fontId="37" type="noConversion"/>
  </si>
  <si>
    <t>T102EX</t>
  </si>
  <si>
    <t>T013PR</t>
  </si>
  <si>
    <t>PR2407F5</t>
  </si>
  <si>
    <t>T017EX</t>
  </si>
  <si>
    <t>T104EX</t>
    <phoneticPr fontId="37" type="noConversion"/>
  </si>
  <si>
    <t>Pressure Pie dried flower</t>
  </si>
  <si>
    <t>C-01209</t>
    <phoneticPr fontId="37" type="noConversion"/>
  </si>
  <si>
    <t>C-01211</t>
    <phoneticPr fontId="37" type="noConversion"/>
  </si>
  <si>
    <t>C-01210</t>
    <phoneticPr fontId="37" type="noConversion"/>
  </si>
  <si>
    <t>C-01212</t>
    <phoneticPr fontId="37" type="noConversion"/>
  </si>
  <si>
    <t>C-01208</t>
    <phoneticPr fontId="37" type="noConversion"/>
  </si>
  <si>
    <t>C-01216</t>
    <phoneticPr fontId="37" type="noConversion"/>
  </si>
  <si>
    <t>C-01474</t>
    <phoneticPr fontId="37" type="noConversion"/>
  </si>
  <si>
    <t>C-01473</t>
    <phoneticPr fontId="37" type="noConversion"/>
  </si>
  <si>
    <t>J029EX</t>
    <phoneticPr fontId="37" type="noConversion"/>
  </si>
  <si>
    <t>T098EX</t>
  </si>
  <si>
    <t>T017PR</t>
  </si>
  <si>
    <t>T052PR</t>
    <phoneticPr fontId="37" type="noConversion"/>
  </si>
  <si>
    <t>T026DF</t>
  </si>
  <si>
    <t>J032EX</t>
    <phoneticPr fontId="37" type="noConversion"/>
  </si>
  <si>
    <t>Caribbean Breeze Vape</t>
  </si>
  <si>
    <t>EX24111302</t>
    <phoneticPr fontId="37" type="noConversion"/>
  </si>
  <si>
    <t>J028EX</t>
    <phoneticPr fontId="37" type="noConversion"/>
  </si>
  <si>
    <t>C-01181</t>
    <phoneticPr fontId="37" type="noConversion"/>
  </si>
  <si>
    <t>C-01180</t>
    <phoneticPr fontId="37" type="noConversion"/>
  </si>
  <si>
    <t>C-01178</t>
    <phoneticPr fontId="37" type="noConversion"/>
  </si>
  <si>
    <t>C-01176</t>
    <phoneticPr fontId="37" type="noConversion"/>
  </si>
  <si>
    <t>C-01084</t>
    <phoneticPr fontId="37" type="noConversion"/>
  </si>
  <si>
    <t>C-01082</t>
    <phoneticPr fontId="37" type="noConversion"/>
  </si>
  <si>
    <t>C-01083</t>
    <phoneticPr fontId="37" type="noConversion"/>
  </si>
  <si>
    <t>C-01087</t>
    <phoneticPr fontId="37" type="noConversion"/>
  </si>
  <si>
    <t>C-01088</t>
    <phoneticPr fontId="37" type="noConversion"/>
  </si>
  <si>
    <t>KZ D005 GRADE A</t>
  </si>
  <si>
    <t>C-01128</t>
    <phoneticPr fontId="37" type="noConversion"/>
  </si>
  <si>
    <t>C-01127</t>
    <phoneticPr fontId="37" type="noConversion"/>
  </si>
  <si>
    <t>J023EX</t>
  </si>
  <si>
    <t>RTV SECTION</t>
    <phoneticPr fontId="37" type="noConversion"/>
  </si>
  <si>
    <t>BS23090701G450</t>
    <phoneticPr fontId="37" type="noConversion"/>
  </si>
  <si>
    <t>P002TP</t>
    <phoneticPr fontId="37" type="noConversion"/>
  </si>
  <si>
    <t>BS23041701</t>
    <phoneticPr fontId="37" type="noConversion"/>
  </si>
  <si>
    <t>gross weight inculudes rim's weight</t>
    <phoneticPr fontId="37" type="noConversion"/>
  </si>
  <si>
    <t>T087EX</t>
    <phoneticPr fontId="37" type="noConversion"/>
  </si>
  <si>
    <t>T106EX</t>
    <phoneticPr fontId="37" type="noConversion"/>
  </si>
  <si>
    <t>EX24111302G05</t>
    <phoneticPr fontId="37" type="noConversion"/>
  </si>
  <si>
    <t>T105EX</t>
    <phoneticPr fontId="37" type="noConversion"/>
  </si>
  <si>
    <t>T054PR</t>
    <phoneticPr fontId="37" type="noConversion"/>
  </si>
  <si>
    <t>T050DF</t>
    <phoneticPr fontId="37" type="noConversion"/>
  </si>
  <si>
    <t>T010PR</t>
  </si>
  <si>
    <t>T083EX</t>
    <phoneticPr fontId="37" type="noConversion"/>
  </si>
  <si>
    <t>T052DF</t>
    <phoneticPr fontId="37" type="noConversion"/>
  </si>
  <si>
    <t>preroll_cased_AB</t>
  </si>
  <si>
    <t>Sweet Fuel OG preroll 3x0.5g</t>
  </si>
  <si>
    <t>PR2401F5P3</t>
    <phoneticPr fontId="37" type="noConversion"/>
  </si>
  <si>
    <t>T051DF</t>
    <phoneticPr fontId="37" type="noConversion"/>
  </si>
  <si>
    <t>infusedpreroll_cased_AB_RTV</t>
  </si>
  <si>
    <t>PR2303IN02F5P3</t>
    <phoneticPr fontId="37" type="noConversion"/>
  </si>
  <si>
    <t>T053DF</t>
    <phoneticPr fontId="37" type="noConversion"/>
  </si>
  <si>
    <t>Blue Gum Dried Flower Grade A</t>
  </si>
  <si>
    <t>BGD 001</t>
    <phoneticPr fontId="37" type="noConversion"/>
  </si>
  <si>
    <t>P013EX</t>
    <phoneticPr fontId="37" type="noConversion"/>
  </si>
  <si>
    <t>Lemonade live resin</t>
  </si>
  <si>
    <t>2023-LRS-0018</t>
    <phoneticPr fontId="37" type="noConversion"/>
  </si>
  <si>
    <t>J019EX</t>
    <phoneticPr fontId="37" type="noConversion"/>
  </si>
  <si>
    <t>J020EX</t>
    <phoneticPr fontId="37" type="noConversion"/>
  </si>
  <si>
    <t>J027EX</t>
    <phoneticPr fontId="37" type="noConversion"/>
  </si>
  <si>
    <t>P012EX</t>
    <phoneticPr fontId="37" type="noConversion"/>
  </si>
  <si>
    <t>J006EX</t>
  </si>
  <si>
    <t>J007EX</t>
  </si>
  <si>
    <t>J008EX</t>
  </si>
  <si>
    <t>J011EX</t>
    <phoneticPr fontId="37" type="noConversion"/>
  </si>
  <si>
    <t>J031EX</t>
    <phoneticPr fontId="37" type="noConversion"/>
  </si>
  <si>
    <t>white gold</t>
  </si>
  <si>
    <t>J021EX</t>
  </si>
  <si>
    <t>J033EX</t>
  </si>
  <si>
    <t>EX24111301</t>
    <phoneticPr fontId="37" type="noConversion"/>
  </si>
  <si>
    <t>J034EX</t>
  </si>
  <si>
    <t>T112EX</t>
    <phoneticPr fontId="37" type="noConversion"/>
  </si>
  <si>
    <t>EX24111304G05</t>
    <phoneticPr fontId="37" type="noConversion"/>
  </si>
  <si>
    <t>T113EX</t>
    <phoneticPr fontId="37" type="noConversion"/>
  </si>
  <si>
    <t>case</t>
  </si>
  <si>
    <t>extract_ingested_cased_AB</t>
  </si>
  <si>
    <t>T078EX</t>
    <phoneticPr fontId="37" type="noConversion"/>
  </si>
  <si>
    <t>T115EX</t>
    <phoneticPr fontId="37" type="noConversion"/>
  </si>
  <si>
    <t>EX24111801V50</t>
    <phoneticPr fontId="37" type="noConversion"/>
  </si>
  <si>
    <t>T096EX</t>
  </si>
  <si>
    <t>T054DF</t>
    <phoneticPr fontId="37" type="noConversion"/>
  </si>
  <si>
    <t>T075EX</t>
    <phoneticPr fontId="37" type="noConversion"/>
  </si>
  <si>
    <t>EX24092601V50</t>
  </si>
  <si>
    <t>preroll_cased_MB</t>
  </si>
  <si>
    <t>OFDMB</t>
  </si>
  <si>
    <t>EX24111302G05</t>
  </si>
  <si>
    <t>EX24111306G05</t>
    <phoneticPr fontId="19" type="noConversion"/>
  </si>
  <si>
    <t>PR2407F5P2</t>
  </si>
  <si>
    <t>PR241102F5P3</t>
  </si>
  <si>
    <t>PR241005F5P3</t>
  </si>
  <si>
    <t>EX24070901V50</t>
  </si>
  <si>
    <t>EX24082904G05</t>
  </si>
  <si>
    <t>PR240601F5P3</t>
  </si>
  <si>
    <t>T076EX</t>
    <phoneticPr fontId="37" type="noConversion"/>
  </si>
  <si>
    <t>T116EX</t>
    <phoneticPr fontId="37" type="noConversion"/>
  </si>
  <si>
    <t>T055DF</t>
    <phoneticPr fontId="37" type="noConversion"/>
  </si>
  <si>
    <t>Midnight Kruntz Dried Flower 7g</t>
  </si>
  <si>
    <t>2024111801G7</t>
    <phoneticPr fontId="37" type="noConversion"/>
  </si>
  <si>
    <t>T005TP</t>
    <phoneticPr fontId="37" type="noConversion"/>
  </si>
  <si>
    <t>T004BS</t>
  </si>
  <si>
    <t>BS23101901G450</t>
  </si>
  <si>
    <t>T002BS</t>
  </si>
  <si>
    <t>T117EX</t>
    <phoneticPr fontId="37" type="noConversion"/>
  </si>
  <si>
    <t>T057DF</t>
    <phoneticPr fontId="37" type="noConversion"/>
  </si>
  <si>
    <t>Midnight Kruntz milled flower</t>
  </si>
  <si>
    <t>PR2416</t>
    <phoneticPr fontId="37" type="noConversion"/>
  </si>
  <si>
    <t>T058DF</t>
    <phoneticPr fontId="37" type="noConversion"/>
  </si>
  <si>
    <t>B01</t>
    <phoneticPr fontId="37" type="noConversion"/>
  </si>
  <si>
    <t>T059DF</t>
  </si>
  <si>
    <t>driedflower_bulk_small</t>
  </si>
  <si>
    <t>KZV001</t>
  </si>
  <si>
    <t>T060DF</t>
    <phoneticPr fontId="19" type="noConversion"/>
  </si>
  <si>
    <t>T061DF</t>
    <phoneticPr fontId="19" type="noConversion"/>
  </si>
  <si>
    <t>driedflower_bulk_big</t>
  </si>
  <si>
    <t>T062DF</t>
    <phoneticPr fontId="19" type="noConversion"/>
  </si>
  <si>
    <t>B068DF</t>
  </si>
  <si>
    <t>B069DF</t>
  </si>
  <si>
    <t>B070DF</t>
  </si>
  <si>
    <t>B071DF</t>
  </si>
  <si>
    <t>B072DF</t>
  </si>
  <si>
    <t>B073DF</t>
  </si>
  <si>
    <t>B074DF</t>
  </si>
  <si>
    <t>B075DF</t>
  </si>
  <si>
    <t>B076DF</t>
  </si>
  <si>
    <t>B077DF</t>
  </si>
  <si>
    <t>T060DF</t>
  </si>
  <si>
    <t>B078DF</t>
  </si>
  <si>
    <t>B079DF</t>
  </si>
  <si>
    <t>B080DF</t>
  </si>
  <si>
    <t>B081DF</t>
  </si>
  <si>
    <t>B082DF</t>
  </si>
  <si>
    <t>B083DF</t>
  </si>
  <si>
    <t>B084DF</t>
  </si>
  <si>
    <t>B085DF</t>
  </si>
  <si>
    <t>B086DF</t>
  </si>
  <si>
    <t>B087DF</t>
  </si>
  <si>
    <t>B088DF</t>
  </si>
  <si>
    <t>T061DF</t>
  </si>
  <si>
    <t>B089DF</t>
  </si>
  <si>
    <t>B090DF</t>
  </si>
  <si>
    <t>B091DF</t>
  </si>
  <si>
    <t>B092DF</t>
  </si>
  <si>
    <t>T062DF</t>
  </si>
  <si>
    <t>B094DF</t>
  </si>
  <si>
    <t>B095DF</t>
  </si>
  <si>
    <t>B096DF</t>
  </si>
  <si>
    <t>B097DF</t>
  </si>
  <si>
    <t>B098DF</t>
  </si>
  <si>
    <t>B099DF</t>
  </si>
  <si>
    <t>B100DF</t>
  </si>
  <si>
    <t>B081DF</t>
    <phoneticPr fontId="37" type="noConversion"/>
  </si>
  <si>
    <t>EX24101705G05</t>
  </si>
  <si>
    <t>TP24101701</t>
    <phoneticPr fontId="19" type="noConversion"/>
  </si>
  <si>
    <t>TP24082901</t>
  </si>
  <si>
    <t>T004DF</t>
    <phoneticPr fontId="37" type="noConversion"/>
  </si>
  <si>
    <t>EX24090501V50</t>
    <phoneticPr fontId="19" type="noConversion"/>
  </si>
  <si>
    <t>EX24092601V50</t>
    <phoneticPr fontId="19" type="noConversion"/>
  </si>
  <si>
    <t>T047DF</t>
  </si>
  <si>
    <t>2022012401G28</t>
  </si>
  <si>
    <t>T049DF</t>
    <phoneticPr fontId="37" type="noConversion"/>
  </si>
  <si>
    <t>2024101703G7</t>
    <phoneticPr fontId="37" type="noConversion"/>
  </si>
  <si>
    <t>T008PR</t>
  </si>
  <si>
    <t>CPR22102001G1</t>
  </si>
  <si>
    <t>T008PRNA</t>
  </si>
  <si>
    <t>T009PR</t>
  </si>
  <si>
    <t>CPR22012001G5</t>
  </si>
  <si>
    <t>T005EX</t>
    <phoneticPr fontId="37" type="noConversion"/>
  </si>
  <si>
    <t>T012TP</t>
    <phoneticPr fontId="37" type="noConversion"/>
  </si>
  <si>
    <t>T004MF</t>
    <phoneticPr fontId="37" type="noConversion"/>
  </si>
  <si>
    <t>PR2501</t>
    <phoneticPr fontId="37" type="noConversion"/>
  </si>
  <si>
    <t>T005MF</t>
    <phoneticPr fontId="37" type="noConversion"/>
  </si>
  <si>
    <t>T121EX</t>
    <phoneticPr fontId="37" type="noConversion"/>
  </si>
  <si>
    <t>EX25010601V30</t>
    <phoneticPr fontId="37" type="noConversion"/>
  </si>
  <si>
    <t>T058PR</t>
    <phoneticPr fontId="37" type="noConversion"/>
  </si>
  <si>
    <t>P006MF</t>
  </si>
  <si>
    <t>CPR22112801</t>
  </si>
  <si>
    <t>T122EX</t>
    <phoneticPr fontId="37" type="noConversion"/>
  </si>
  <si>
    <t>EX25011501V50</t>
    <phoneticPr fontId="37" type="noConversion"/>
  </si>
  <si>
    <t>T124EX</t>
    <phoneticPr fontId="37" type="noConversion"/>
  </si>
  <si>
    <t>T114EX</t>
    <phoneticPr fontId="37" type="noConversion"/>
  </si>
  <si>
    <t>T023EX</t>
  </si>
  <si>
    <t>P018MF</t>
    <phoneticPr fontId="37" type="noConversion"/>
  </si>
  <si>
    <t>Licorice Gumball milled flower</t>
  </si>
  <si>
    <t>PR2505</t>
    <phoneticPr fontId="37" type="noConversion"/>
  </si>
  <si>
    <t>P019MF</t>
    <phoneticPr fontId="37" type="noConversion"/>
  </si>
  <si>
    <t>P020MF</t>
    <phoneticPr fontId="37" type="noConversion"/>
  </si>
  <si>
    <t>P021MF</t>
    <phoneticPr fontId="37" type="noConversion"/>
  </si>
  <si>
    <t>Unicorn Poop milled flower</t>
  </si>
  <si>
    <t>PR2506</t>
    <phoneticPr fontId="37" type="noConversion"/>
  </si>
  <si>
    <t>J035EX</t>
    <phoneticPr fontId="37" type="noConversion"/>
  </si>
  <si>
    <t>Concord Grape Vape</t>
  </si>
  <si>
    <t>EX25020601</t>
    <phoneticPr fontId="37" type="noConversion"/>
  </si>
  <si>
    <t>J036EX</t>
    <phoneticPr fontId="37" type="noConversion"/>
  </si>
  <si>
    <t>extract_inhaled_bulk_Kalista</t>
  </si>
  <si>
    <t>Spotlight Vape</t>
  </si>
  <si>
    <t>KALEX25001</t>
    <phoneticPr fontId="37" type="noConversion"/>
  </si>
  <si>
    <t>J037EX</t>
  </si>
  <si>
    <t>J038EX</t>
  </si>
  <si>
    <t>EX25022105</t>
    <phoneticPr fontId="37" type="noConversion"/>
  </si>
  <si>
    <t>T059PR</t>
    <phoneticPr fontId="37" type="noConversion"/>
  </si>
  <si>
    <t>PR2501F5P10</t>
    <phoneticPr fontId="37" type="noConversion"/>
  </si>
  <si>
    <t>T125EX</t>
    <phoneticPr fontId="37" type="noConversion"/>
  </si>
  <si>
    <t>EX25012101V50</t>
    <phoneticPr fontId="37" type="noConversion"/>
  </si>
  <si>
    <t>T126EX</t>
    <phoneticPr fontId="37" type="noConversion"/>
  </si>
  <si>
    <t>T060PR</t>
    <phoneticPr fontId="37" type="noConversion"/>
  </si>
  <si>
    <t>B005EX</t>
    <phoneticPr fontId="37" type="noConversion"/>
  </si>
  <si>
    <t>T128EX</t>
  </si>
  <si>
    <t>T129EX</t>
    <phoneticPr fontId="37" type="noConversion"/>
  </si>
  <si>
    <t>T130EX</t>
  </si>
  <si>
    <t>P023MF</t>
  </si>
  <si>
    <t>Animal Mint milled flower</t>
  </si>
  <si>
    <t>PR2507</t>
    <phoneticPr fontId="37" type="noConversion"/>
  </si>
  <si>
    <t>P003DF</t>
    <phoneticPr fontId="37" type="noConversion"/>
  </si>
  <si>
    <t>Animal Mint dried flower</t>
  </si>
  <si>
    <t>T144EX</t>
    <phoneticPr fontId="37" type="noConversion"/>
  </si>
  <si>
    <t>B002EX</t>
    <phoneticPr fontId="37" type="noConversion"/>
  </si>
  <si>
    <t>T123EX</t>
    <phoneticPr fontId="37" type="noConversion"/>
  </si>
  <si>
    <t>P014EX</t>
    <phoneticPr fontId="37" type="noConversion"/>
  </si>
  <si>
    <t>extract_distillate_bulk_Kalista</t>
  </si>
  <si>
    <t>T063DF</t>
    <phoneticPr fontId="37" type="noConversion"/>
  </si>
  <si>
    <t>2022012401G28</t>
    <phoneticPr fontId="37" type="noConversion"/>
  </si>
  <si>
    <t>Midnight Kruntz pre-roll 0.5g</t>
  </si>
  <si>
    <t>PR2501F5</t>
    <phoneticPr fontId="37" type="noConversion"/>
  </si>
  <si>
    <t>T133EX</t>
    <phoneticPr fontId="37" type="noConversion"/>
  </si>
  <si>
    <t>EarthWolf Farms CBDa Oil 27.6g</t>
  </si>
  <si>
    <t>DI22120501V30</t>
    <phoneticPr fontId="37" type="noConversion"/>
  </si>
  <si>
    <t>T134EX</t>
  </si>
  <si>
    <t>November Rain Concord Grape vape 0.5g</t>
  </si>
  <si>
    <t>EX25020601G05</t>
    <phoneticPr fontId="37" type="noConversion"/>
  </si>
  <si>
    <t>T135EX</t>
  </si>
  <si>
    <t>Afghan Hash 1g</t>
  </si>
  <si>
    <t>PH23051101</t>
    <phoneticPr fontId="37" type="noConversion"/>
  </si>
  <si>
    <t>T136EX</t>
    <phoneticPr fontId="37" type="noConversion"/>
  </si>
  <si>
    <t>BH231221</t>
    <phoneticPr fontId="37" type="noConversion"/>
  </si>
  <si>
    <t>T137EX</t>
  </si>
  <si>
    <t>CW2103051</t>
    <phoneticPr fontId="37" type="noConversion"/>
  </si>
  <si>
    <t>T138EX</t>
  </si>
  <si>
    <t>Tundra Bubble Hash 1g</t>
  </si>
  <si>
    <t>CW22011701</t>
    <phoneticPr fontId="37" type="noConversion"/>
  </si>
  <si>
    <t>T139EX</t>
  </si>
  <si>
    <t>God's Space Needle Live Rosin 1g</t>
  </si>
  <si>
    <t>RP2021072101</t>
    <phoneticPr fontId="37" type="noConversion"/>
  </si>
  <si>
    <t>T140EX</t>
  </si>
  <si>
    <t>God's Space Needle Bubble Hash 1g</t>
  </si>
  <si>
    <t>CW20210507-01A</t>
    <phoneticPr fontId="37" type="noConversion"/>
  </si>
  <si>
    <t>T141EX</t>
  </si>
  <si>
    <t>Northern Apple Jaxx Live Rosin 1g</t>
  </si>
  <si>
    <t>RP24001</t>
    <phoneticPr fontId="37" type="noConversion"/>
  </si>
  <si>
    <t>T142EX</t>
  </si>
  <si>
    <t>DI22110901V30</t>
    <phoneticPr fontId="37" type="noConversion"/>
  </si>
  <si>
    <t>T143EX</t>
  </si>
  <si>
    <t>The live duo Mamba No.5/4sum Live Rosin 1g</t>
  </si>
  <si>
    <t>FP23006</t>
    <phoneticPr fontId="37" type="noConversion"/>
  </si>
  <si>
    <t>T064DF</t>
    <phoneticPr fontId="37" type="noConversion"/>
  </si>
  <si>
    <t>B002IF</t>
  </si>
  <si>
    <t>infusedflower_bulk</t>
  </si>
  <si>
    <t>B003IF</t>
  </si>
  <si>
    <t>T065DF</t>
    <phoneticPr fontId="37" type="noConversion"/>
  </si>
  <si>
    <t>B101DF</t>
    <phoneticPr fontId="37" type="noConversion"/>
  </si>
  <si>
    <t>Gastro Pop dried flower</t>
  </si>
  <si>
    <t>B102DF</t>
  </si>
  <si>
    <t>B103DF</t>
  </si>
  <si>
    <t>B105DF</t>
  </si>
  <si>
    <t>SMALL FLOWER</t>
    <phoneticPr fontId="37" type="noConversion"/>
  </si>
  <si>
    <t>B106DF</t>
  </si>
  <si>
    <t>B107DF</t>
  </si>
  <si>
    <t>B108DF</t>
  </si>
  <si>
    <t>B109DF</t>
  </si>
  <si>
    <t>B110DF</t>
  </si>
  <si>
    <t>B111DF</t>
  </si>
  <si>
    <t>B112DF</t>
  </si>
  <si>
    <t>B113DF</t>
  </si>
  <si>
    <t>B114DF</t>
  </si>
  <si>
    <t>T035PR</t>
    <phoneticPr fontId="37" type="noConversion"/>
  </si>
  <si>
    <t>infusedpreroll_labelled</t>
  </si>
  <si>
    <t>November Rain Infused blueberry preroll 3*0.5g</t>
  </si>
  <si>
    <t>PR2303IN01F5P3</t>
    <phoneticPr fontId="37" type="noConversion"/>
  </si>
  <si>
    <t>T056DF</t>
  </si>
  <si>
    <t>P004DF</t>
    <phoneticPr fontId="37" type="noConversion"/>
  </si>
  <si>
    <t>T017TP</t>
    <phoneticPr fontId="37" type="noConversion"/>
  </si>
  <si>
    <t>TP23092501</t>
    <phoneticPr fontId="37" type="noConversion"/>
  </si>
  <si>
    <t>T145EX</t>
    <phoneticPr fontId="37" type="noConversion"/>
  </si>
  <si>
    <t>extract_ingested_packaged_WT</t>
  </si>
  <si>
    <t>Synergy Oil 27.6g</t>
  </si>
  <si>
    <t>EX24092701V30</t>
    <phoneticPr fontId="37" type="noConversion"/>
  </si>
  <si>
    <t>T146EX</t>
    <phoneticPr fontId="37" type="noConversion"/>
  </si>
  <si>
    <t>T147EX</t>
    <phoneticPr fontId="37" type="noConversion"/>
  </si>
  <si>
    <t>Blueberry Punch Bubble Hash 1g</t>
  </si>
  <si>
    <t>CW21032701</t>
    <phoneticPr fontId="37" type="noConversion"/>
  </si>
  <si>
    <t>God's Green Trip Bubble Hash 1g</t>
  </si>
  <si>
    <t>WX20210224-01A</t>
    <phoneticPr fontId="37" type="noConversion"/>
  </si>
  <si>
    <t>WX2021021102A</t>
    <phoneticPr fontId="37" type="noConversion"/>
  </si>
  <si>
    <t>CW21042501</t>
    <phoneticPr fontId="37" type="noConversion"/>
  </si>
  <si>
    <t>BH201214</t>
    <phoneticPr fontId="37" type="noConversion"/>
  </si>
  <si>
    <t>driedflower_labelled_BC</t>
  </si>
  <si>
    <t>Black Triangle 3.5g</t>
  </si>
  <si>
    <t>T148EX</t>
    <phoneticPr fontId="37" type="noConversion"/>
  </si>
  <si>
    <t>extract_ingested_labelled_BC_WT</t>
  </si>
  <si>
    <t>DI23020601V30</t>
    <phoneticPr fontId="37" type="noConversion"/>
  </si>
  <si>
    <t>Super Sativa Oil 27.6g</t>
  </si>
  <si>
    <t>DI23042601V30</t>
    <phoneticPr fontId="37" type="noConversion"/>
  </si>
  <si>
    <t>T152EX</t>
    <phoneticPr fontId="37" type="noConversion"/>
  </si>
  <si>
    <t>Island KTL Live Resin 1g</t>
  </si>
  <si>
    <t>LR22060701</t>
    <phoneticPr fontId="37" type="noConversion"/>
  </si>
  <si>
    <t>extract_inhaled_bulk_WT</t>
  </si>
  <si>
    <t>RP23070701</t>
    <phoneticPr fontId="37" type="noConversion"/>
  </si>
  <si>
    <t>RP24-001</t>
    <phoneticPr fontId="37" type="noConversion"/>
  </si>
  <si>
    <t>RP23070701D</t>
    <phoneticPr fontId="37" type="noConversion"/>
  </si>
  <si>
    <t>extract_ingested_bulk_WT</t>
  </si>
  <si>
    <t>Zen Oil</t>
  </si>
  <si>
    <t>EX24101601</t>
    <phoneticPr fontId="37" type="noConversion"/>
  </si>
  <si>
    <t>Super Sativa Oil</t>
  </si>
  <si>
    <t>DI24001</t>
    <phoneticPr fontId="37" type="noConversion"/>
  </si>
  <si>
    <t>EX24101601V30</t>
    <phoneticPr fontId="37" type="noConversion"/>
  </si>
  <si>
    <t>23-C002</t>
    <phoneticPr fontId="37" type="noConversion"/>
  </si>
  <si>
    <t>bottle</t>
    <phoneticPr fontId="37" type="noConversion"/>
  </si>
  <si>
    <t>extract_inhaled_cased_AB_RTV_WT</t>
  </si>
  <si>
    <t>LIVE DUO 1g</t>
  </si>
  <si>
    <t>extract_inhaled_cased_ON_RTV_WT</t>
  </si>
  <si>
    <t>The Fire Pack 1.5g</t>
  </si>
  <si>
    <t>FP23003</t>
    <phoneticPr fontId="37" type="noConversion"/>
  </si>
  <si>
    <t>extract_ingested_cased_ON_RTV_WT</t>
  </si>
  <si>
    <t>topical_cased_MB_RTV</t>
  </si>
  <si>
    <t>TP24041202</t>
    <phoneticPr fontId="37" type="noConversion"/>
  </si>
  <si>
    <t>topical_cased_SK_RTV</t>
  </si>
  <si>
    <t>TP23071001</t>
    <phoneticPr fontId="37" type="noConversion"/>
  </si>
  <si>
    <t>B001MFI</t>
  </si>
  <si>
    <t>PR2303</t>
  </si>
  <si>
    <t xml:space="preserve">Blood orange terpene </t>
  </si>
  <si>
    <t>P012MF</t>
  </si>
  <si>
    <t>CPR22102101G5</t>
    <phoneticPr fontId="37" type="noConversion"/>
  </si>
  <si>
    <t>T086EX</t>
    <phoneticPr fontId="37" type="noConversion"/>
  </si>
  <si>
    <t>T061PR</t>
    <phoneticPr fontId="37" type="noConversion"/>
  </si>
  <si>
    <t>PR2507F1P2</t>
    <phoneticPr fontId="37" type="noConversion"/>
  </si>
  <si>
    <t>T119EX</t>
    <phoneticPr fontId="37" type="noConversion"/>
  </si>
  <si>
    <t>EX25010907G1</t>
    <phoneticPr fontId="37" type="noConversion"/>
  </si>
  <si>
    <t>T067DF</t>
    <phoneticPr fontId="19" type="noConversion"/>
  </si>
  <si>
    <t>driedflower_bulk_JEN</t>
  </si>
  <si>
    <t>Pineapple Sour dried flower</t>
  </si>
  <si>
    <t>bag</t>
    <phoneticPr fontId="19" type="noConversion"/>
  </si>
  <si>
    <t>B02</t>
  </si>
  <si>
    <t>B03</t>
  </si>
  <si>
    <t>B04</t>
  </si>
  <si>
    <t>B05</t>
  </si>
  <si>
    <t>B06</t>
  </si>
  <si>
    <t>B07</t>
  </si>
  <si>
    <t xml:space="preserve">NUDH bath salt </t>
  </si>
  <si>
    <t>BS23090701</t>
    <phoneticPr fontId="19" type="noConversion"/>
  </si>
  <si>
    <t>net</t>
    <phoneticPr fontId="19" type="noConversion"/>
  </si>
  <si>
    <t>T073PR</t>
    <phoneticPr fontId="19" type="noConversion"/>
  </si>
  <si>
    <t>PR2301F5P3</t>
    <phoneticPr fontId="37" type="noConversion"/>
  </si>
  <si>
    <t>PR2406F5P3</t>
  </si>
  <si>
    <t>T068DF</t>
    <phoneticPr fontId="19" type="noConversion"/>
  </si>
  <si>
    <t>NANA</t>
    <phoneticPr fontId="19" type="noConversion"/>
  </si>
  <si>
    <t>driedflower_bulk_Rohan</t>
  </si>
  <si>
    <t>Rockstar dried flower</t>
  </si>
  <si>
    <t>20250212-B32-RS</t>
    <phoneticPr fontId="19" type="noConversion"/>
  </si>
  <si>
    <t>T069DF</t>
  </si>
  <si>
    <t>T066DF</t>
    <phoneticPr fontId="37" type="noConversion"/>
  </si>
  <si>
    <t>2024111803G7</t>
    <phoneticPr fontId="37" type="noConversion"/>
  </si>
  <si>
    <t>T149EX</t>
    <phoneticPr fontId="19" type="noConversion"/>
  </si>
  <si>
    <t>T151EX</t>
    <phoneticPr fontId="19" type="noConversion"/>
  </si>
  <si>
    <t>extract_inhaled_bulk_Rohan</t>
  </si>
  <si>
    <t>Runtz Muffin Crumble (Rohan)</t>
  </si>
  <si>
    <t>ROGEX002</t>
    <phoneticPr fontId="19" type="noConversion"/>
  </si>
  <si>
    <t>T063PR</t>
    <phoneticPr fontId="19" type="noConversion"/>
  </si>
  <si>
    <t>T070DF</t>
    <phoneticPr fontId="19" type="noConversion"/>
  </si>
  <si>
    <t>2024121801G7</t>
    <phoneticPr fontId="19" type="noConversion"/>
  </si>
  <si>
    <t>T107EX</t>
  </si>
  <si>
    <t>EX24111306G05</t>
    <phoneticPr fontId="37" type="noConversion"/>
  </si>
  <si>
    <t>T007MF</t>
    <phoneticPr fontId="37" type="noConversion"/>
  </si>
  <si>
    <t>B01</t>
    <phoneticPr fontId="19" type="noConversion"/>
  </si>
  <si>
    <t>preroll_bulk_JEN</t>
  </si>
  <si>
    <t>Pineapple Sour preroll 1g</t>
  </si>
  <si>
    <t>PR2513F1</t>
    <phoneticPr fontId="19" type="noConversion"/>
  </si>
  <si>
    <t>PR2513F5</t>
    <phoneticPr fontId="19" type="noConversion"/>
  </si>
  <si>
    <t>T120EX</t>
    <phoneticPr fontId="37" type="noConversion"/>
  </si>
  <si>
    <t>EX24111301G05</t>
    <phoneticPr fontId="37" type="noConversion"/>
  </si>
  <si>
    <t>P006DF</t>
    <phoneticPr fontId="19" type="noConversion"/>
  </si>
  <si>
    <t>PR2514</t>
    <phoneticPr fontId="19" type="noConversion"/>
  </si>
  <si>
    <t>Mango preroll 0.5g</t>
  </si>
  <si>
    <t>PR2301F5</t>
    <phoneticPr fontId="37" type="noConversion"/>
  </si>
  <si>
    <t>PR2511F5</t>
    <phoneticPr fontId="37" type="noConversion"/>
  </si>
  <si>
    <t>Strawberry preroll 0.5g</t>
  </si>
  <si>
    <t>T014PR</t>
  </si>
  <si>
    <t>PR2406F1P1</t>
  </si>
  <si>
    <t>B002PR</t>
  </si>
  <si>
    <t>PR2406</t>
  </si>
  <si>
    <t>black tube</t>
    <phoneticPr fontId="37" type="noConversion"/>
  </si>
  <si>
    <t>T073DF</t>
    <phoneticPr fontId="19" type="noConversion"/>
  </si>
  <si>
    <t>Pressure Pie dried flower 28g</t>
  </si>
  <si>
    <t>2024110601G28</t>
    <phoneticPr fontId="19" type="noConversion"/>
  </si>
  <si>
    <t>T005BS</t>
    <phoneticPr fontId="19" type="noConversion"/>
  </si>
  <si>
    <t>T071DF</t>
    <phoneticPr fontId="19" type="noConversion"/>
  </si>
  <si>
    <t>Blue Gum Dried Flower 28g</t>
  </si>
  <si>
    <t>2024120501G28</t>
    <phoneticPr fontId="19" type="noConversion"/>
  </si>
  <si>
    <t>T072DF</t>
    <phoneticPr fontId="19" type="noConversion"/>
  </si>
  <si>
    <t>T019TP</t>
  </si>
  <si>
    <t>TP25021901</t>
    <phoneticPr fontId="19" type="noConversion"/>
  </si>
  <si>
    <t>T154EX</t>
    <phoneticPr fontId="19" type="noConversion"/>
  </si>
  <si>
    <t>T055PR</t>
  </si>
  <si>
    <t>PR2416F5P10</t>
  </si>
  <si>
    <t>T008MF</t>
    <phoneticPr fontId="19" type="noConversion"/>
  </si>
  <si>
    <t>driedflower_milled_bulk_JEN</t>
  </si>
  <si>
    <t>Pineapple Sour milled flower</t>
  </si>
  <si>
    <t>PR2513</t>
    <phoneticPr fontId="19" type="noConversion"/>
  </si>
  <si>
    <t>T155EX</t>
    <phoneticPr fontId="19" type="noConversion"/>
  </si>
  <si>
    <t>November Rain Gastro-pop Diamond Infused 3x0.5g Pre-Rolls</t>
  </si>
  <si>
    <t>PR2501INF5P3</t>
    <phoneticPr fontId="19" type="noConversion"/>
  </si>
  <si>
    <t>NET</t>
    <phoneticPr fontId="19" type="noConversion"/>
  </si>
  <si>
    <t>Gastro-pop Diamond infused dried flower</t>
  </si>
  <si>
    <t>PR2501IN</t>
    <phoneticPr fontId="19" type="noConversion"/>
  </si>
  <si>
    <t>T065PR</t>
    <phoneticPr fontId="37" type="noConversion"/>
  </si>
  <si>
    <t>PR2507F1P2</t>
    <phoneticPr fontId="19" type="noConversion"/>
  </si>
  <si>
    <t>T156EX</t>
    <phoneticPr fontId="19" type="noConversion"/>
  </si>
  <si>
    <t>T157EX</t>
    <phoneticPr fontId="19" type="noConversion"/>
  </si>
  <si>
    <t>EX24082906G05</t>
    <phoneticPr fontId="19" type="noConversion"/>
  </si>
  <si>
    <t>T009MF</t>
    <phoneticPr fontId="19" type="noConversion"/>
  </si>
  <si>
    <t>PR2516</t>
    <phoneticPr fontId="19" type="noConversion"/>
  </si>
  <si>
    <t>P016EX</t>
    <phoneticPr fontId="19" type="noConversion"/>
  </si>
  <si>
    <t>EX25041401</t>
    <phoneticPr fontId="19" type="noConversion"/>
  </si>
  <si>
    <t>T004PR</t>
  </si>
  <si>
    <t>T014PR</t>
    <phoneticPr fontId="19" type="noConversion"/>
  </si>
  <si>
    <t>PR2406F1P1</t>
    <phoneticPr fontId="19" type="noConversion"/>
  </si>
  <si>
    <t>T028PR</t>
    <phoneticPr fontId="37" type="noConversion"/>
  </si>
  <si>
    <t>12 BC stamped</t>
    <phoneticPr fontId="37" type="noConversion"/>
  </si>
  <si>
    <t>T041EX</t>
    <phoneticPr fontId="37" type="noConversion"/>
  </si>
  <si>
    <t>T072PR</t>
  </si>
  <si>
    <t>T062PR</t>
    <phoneticPr fontId="19" type="noConversion"/>
  </si>
  <si>
    <t>T109EX</t>
    <phoneticPr fontId="37" type="noConversion"/>
  </si>
  <si>
    <t>EX24101704G05</t>
    <phoneticPr fontId="37" type="noConversion"/>
  </si>
  <si>
    <t>T110EX</t>
    <phoneticPr fontId="37" type="noConversion"/>
  </si>
  <si>
    <t>T111EX</t>
    <phoneticPr fontId="37" type="noConversion"/>
  </si>
  <si>
    <t>GRID_1</t>
  </si>
  <si>
    <t>PR2401F5P2</t>
    <phoneticPr fontId="37" type="noConversion"/>
  </si>
  <si>
    <t>T067PR</t>
    <phoneticPr fontId="19" type="noConversion"/>
  </si>
  <si>
    <t>PR2501F5P10</t>
    <phoneticPr fontId="19" type="noConversion"/>
  </si>
  <si>
    <t>T127EX</t>
    <phoneticPr fontId="37" type="noConversion"/>
  </si>
  <si>
    <t>EX25020601G1</t>
    <phoneticPr fontId="37" type="noConversion"/>
  </si>
  <si>
    <t>T131EX</t>
    <phoneticPr fontId="37" type="noConversion"/>
  </si>
  <si>
    <t>T132EX</t>
  </si>
  <si>
    <t>T064PR</t>
    <phoneticPr fontId="19" type="noConversion"/>
  </si>
  <si>
    <t>November Rain Blaster Multipack 0.5g*12</t>
  </si>
  <si>
    <t>PR251108F5P12</t>
    <phoneticPr fontId="19" type="noConversion"/>
  </si>
  <si>
    <t>T065PR</t>
    <phoneticPr fontId="19" type="noConversion"/>
  </si>
  <si>
    <t>T158EX</t>
    <phoneticPr fontId="19" type="noConversion"/>
  </si>
  <si>
    <t>EX25040806G05</t>
    <phoneticPr fontId="19" type="noConversion"/>
  </si>
  <si>
    <t>T159EX</t>
    <phoneticPr fontId="19" type="noConversion"/>
  </si>
  <si>
    <t>T100EX</t>
    <phoneticPr fontId="37" type="noConversion"/>
  </si>
  <si>
    <t>T150EX</t>
    <phoneticPr fontId="19" type="noConversion"/>
  </si>
  <si>
    <t>extract_inhaled_labelled_Rohan</t>
  </si>
  <si>
    <t>Rogworld Lemonade Octane vape 1g</t>
  </si>
  <si>
    <t>ROGEX001G1</t>
    <phoneticPr fontId="19" type="noConversion"/>
  </si>
  <si>
    <t>T007MF</t>
    <phoneticPr fontId="19" type="noConversion"/>
  </si>
  <si>
    <t>PR2511</t>
    <phoneticPr fontId="37" type="noConversion"/>
  </si>
  <si>
    <t>J002EX</t>
  </si>
  <si>
    <t>PR21071201G5</t>
    <phoneticPr fontId="19" type="noConversion"/>
  </si>
  <si>
    <t>T074PR</t>
    <phoneticPr fontId="19" type="noConversion"/>
  </si>
  <si>
    <t>PR2302INF1P1</t>
    <phoneticPr fontId="19" type="noConversion"/>
  </si>
  <si>
    <t>T011TP</t>
  </si>
  <si>
    <t>T103EX</t>
  </si>
  <si>
    <t>T056PR</t>
    <phoneticPr fontId="37" type="noConversion"/>
  </si>
  <si>
    <t xml:space="preserve">Gelato preroll 12 x 0.35g </t>
  </si>
  <si>
    <t>T006MF</t>
    <phoneticPr fontId="37" type="noConversion"/>
  </si>
  <si>
    <t>Pressure Pie milled flower</t>
  </si>
  <si>
    <t>PR2502</t>
    <phoneticPr fontId="37" type="noConversion"/>
  </si>
  <si>
    <t>T058PR</t>
    <phoneticPr fontId="19" type="noConversion"/>
  </si>
  <si>
    <t>PR21071201G1</t>
    <phoneticPr fontId="19" type="noConversion"/>
  </si>
  <si>
    <t>T066PR</t>
    <phoneticPr fontId="19" type="noConversion"/>
  </si>
  <si>
    <t>T010MF</t>
    <phoneticPr fontId="19" type="noConversion"/>
  </si>
  <si>
    <t>B001IF</t>
    <phoneticPr fontId="37" type="noConversion"/>
  </si>
  <si>
    <t>B104DF</t>
  </si>
  <si>
    <t>THCA Diamond</t>
  </si>
  <si>
    <t>P005DF</t>
    <phoneticPr fontId="19" type="noConversion"/>
  </si>
  <si>
    <t>diredflower_milled_bulk_Rohan</t>
  </si>
  <si>
    <t>PR2512</t>
    <phoneticPr fontId="19" type="noConversion"/>
  </si>
  <si>
    <t>T161EX</t>
    <phoneticPr fontId="19" type="noConversion"/>
  </si>
  <si>
    <t>T043PR</t>
    <phoneticPr fontId="19" type="noConversion"/>
  </si>
  <si>
    <t>PR251106F5</t>
    <phoneticPr fontId="19" type="noConversion"/>
  </si>
  <si>
    <t>P015EX</t>
    <phoneticPr fontId="19" type="noConversion"/>
  </si>
  <si>
    <t>T162EX</t>
    <phoneticPr fontId="19" type="noConversion"/>
  </si>
  <si>
    <t>T068PR</t>
    <phoneticPr fontId="19" type="noConversion"/>
  </si>
  <si>
    <t>PR251101F5P3</t>
    <phoneticPr fontId="19" type="noConversion"/>
  </si>
  <si>
    <t>PR2511</t>
    <phoneticPr fontId="19" type="noConversion"/>
  </si>
  <si>
    <t>T070PR</t>
    <phoneticPr fontId="19" type="noConversion"/>
  </si>
  <si>
    <t>PR2516F5P10</t>
    <phoneticPr fontId="19" type="noConversion"/>
  </si>
  <si>
    <t>T071PR</t>
    <phoneticPr fontId="19" type="noConversion"/>
  </si>
  <si>
    <t>T072PR</t>
    <phoneticPr fontId="19" type="noConversion"/>
  </si>
  <si>
    <t>PR241103F5P3</t>
    <phoneticPr fontId="19" type="noConversion"/>
  </si>
  <si>
    <t>T160EX</t>
    <phoneticPr fontId="19" type="noConversion"/>
  </si>
  <si>
    <t>EX25041401V30</t>
    <phoneticPr fontId="19" type="noConversion"/>
  </si>
  <si>
    <t>T009TP</t>
    <phoneticPr fontId="37" type="noConversion"/>
  </si>
  <si>
    <t>T018TP</t>
    <phoneticPr fontId="19" type="noConversion"/>
  </si>
  <si>
    <t>P017EX</t>
    <phoneticPr fontId="19" type="noConversion"/>
  </si>
  <si>
    <t>250009LF</t>
    <phoneticPr fontId="19" type="noConversion"/>
  </si>
  <si>
    <t>T074DF</t>
    <phoneticPr fontId="19" type="noConversion"/>
  </si>
  <si>
    <t>MEDIUM FLOWER</t>
    <phoneticPr fontId="19" type="noConversion"/>
  </si>
  <si>
    <t>T075DF</t>
    <phoneticPr fontId="19" type="noConversion"/>
  </si>
  <si>
    <t>BIG FLOWER</t>
    <phoneticPr fontId="19" type="noConversion"/>
  </si>
  <si>
    <t>P018EX</t>
    <phoneticPr fontId="37" type="noConversion"/>
  </si>
  <si>
    <t>T076DF</t>
    <phoneticPr fontId="19" type="noConversion"/>
  </si>
  <si>
    <t>J030EX</t>
    <phoneticPr fontId="37" type="noConversion"/>
  </si>
  <si>
    <t>T077DF</t>
    <phoneticPr fontId="19" type="noConversion"/>
  </si>
  <si>
    <t>preroll_cased_SK_RTV</t>
  </si>
  <si>
    <t>case</t>
    <phoneticPr fontId="19" type="noConversion"/>
  </si>
  <si>
    <t>PR2407F5P2</t>
    <phoneticPr fontId="19" type="noConversion"/>
  </si>
  <si>
    <t>T163EX</t>
    <phoneticPr fontId="19" type="noConversion"/>
  </si>
  <si>
    <t>extract_inhaled_cased_SK_RTV</t>
  </si>
  <si>
    <t>EX24082904G05</t>
    <phoneticPr fontId="19" type="noConversion"/>
  </si>
  <si>
    <t>EX24102905G05</t>
    <phoneticPr fontId="19" type="noConversion"/>
  </si>
  <si>
    <t>EX24101701G05</t>
    <phoneticPr fontId="19" type="noConversion"/>
  </si>
  <si>
    <t>EX24111302G05</t>
    <phoneticPr fontId="19" type="noConversion"/>
  </si>
  <si>
    <t>EX24101703G05</t>
    <phoneticPr fontId="19" type="noConversion"/>
  </si>
  <si>
    <t>T078DF</t>
    <phoneticPr fontId="19" type="noConversion"/>
  </si>
  <si>
    <t>PR241102F5P3</t>
    <phoneticPr fontId="19" type="noConversion"/>
  </si>
  <si>
    <t>PR241003F5P3</t>
    <phoneticPr fontId="19" type="noConversion"/>
  </si>
  <si>
    <t>BS23101901G450</t>
    <phoneticPr fontId="19" type="noConversion"/>
  </si>
  <si>
    <t>T020TP</t>
    <phoneticPr fontId="19" type="noConversion"/>
  </si>
  <si>
    <t>topical_cased_AB_RTV</t>
  </si>
  <si>
    <t>T021TP</t>
    <phoneticPr fontId="19" type="noConversion"/>
  </si>
  <si>
    <t>RACK_D</t>
  </si>
  <si>
    <t>White widow Live Resin 1g</t>
  </si>
  <si>
    <t>LR23032101</t>
    <phoneticPr fontId="19" type="noConversion"/>
  </si>
  <si>
    <t>B05</t>
    <phoneticPr fontId="19" type="noConversion"/>
  </si>
  <si>
    <t>PR251706F5</t>
    <phoneticPr fontId="19" type="noConversion"/>
  </si>
  <si>
    <t>B04</t>
    <phoneticPr fontId="19" type="noConversion"/>
  </si>
  <si>
    <t>PR251709F5</t>
    <phoneticPr fontId="19" type="noConversion"/>
  </si>
  <si>
    <t>B08</t>
    <phoneticPr fontId="19" type="noConversion"/>
  </si>
  <si>
    <t>PR251107F5</t>
    <phoneticPr fontId="19" type="noConversion"/>
  </si>
  <si>
    <t>PR251105F5</t>
    <phoneticPr fontId="19" type="noConversion"/>
  </si>
  <si>
    <t>P0123MF</t>
    <phoneticPr fontId="19" type="noConversion"/>
  </si>
  <si>
    <t>PR2517</t>
    <phoneticPr fontId="19" type="noConversion"/>
  </si>
  <si>
    <t>gross</t>
    <phoneticPr fontId="19" type="noConversion"/>
  </si>
  <si>
    <t>P030MF</t>
    <phoneticPr fontId="19" type="noConversion"/>
  </si>
  <si>
    <t>driedflower_milled_bulk_Rohan</t>
  </si>
  <si>
    <t>PR2518</t>
    <phoneticPr fontId="19" type="noConversion"/>
  </si>
  <si>
    <t>P019EX</t>
  </si>
  <si>
    <t>T069PR</t>
    <phoneticPr fontId="19" type="noConversion"/>
  </si>
  <si>
    <t>P010MF</t>
  </si>
  <si>
    <t>P022MF</t>
    <phoneticPr fontId="37" type="noConversion"/>
  </si>
  <si>
    <t>P032MF</t>
  </si>
  <si>
    <t>PR2512</t>
  </si>
  <si>
    <t>J029EX</t>
  </si>
  <si>
    <t>EX25051505</t>
  </si>
  <si>
    <t>P031MF</t>
  </si>
  <si>
    <t>T077PR</t>
  </si>
  <si>
    <t>PR250703F5P3</t>
  </si>
  <si>
    <t>T054PR</t>
  </si>
  <si>
    <t>T050PR</t>
  </si>
  <si>
    <t>12 per case</t>
  </si>
  <si>
    <t>EX25050501V50</t>
  </si>
  <si>
    <t>P020EX</t>
  </si>
  <si>
    <t>T165EX</t>
  </si>
  <si>
    <t>T166EX</t>
  </si>
  <si>
    <t>T012EX</t>
  </si>
  <si>
    <t>P021EX</t>
  </si>
  <si>
    <t>EX25051506</t>
  </si>
  <si>
    <t>P022EX</t>
  </si>
  <si>
    <t>T078PR</t>
  </si>
  <si>
    <t>PR251701F5P3</t>
  </si>
  <si>
    <t>T079PR</t>
  </si>
  <si>
    <t>T080PR</t>
  </si>
  <si>
    <t>T079DF</t>
  </si>
  <si>
    <t>T081PR</t>
  </si>
  <si>
    <t>T083PR</t>
  </si>
  <si>
    <t>T108EX</t>
  </si>
  <si>
    <t>T080DF</t>
  </si>
  <si>
    <t>B1</t>
  </si>
  <si>
    <t>B2</t>
  </si>
  <si>
    <t>B3</t>
  </si>
  <si>
    <t>B4</t>
  </si>
  <si>
    <t>B5</t>
  </si>
  <si>
    <t>B6</t>
  </si>
  <si>
    <t>B7</t>
  </si>
  <si>
    <t>B8</t>
  </si>
  <si>
    <t>T081DF</t>
  </si>
  <si>
    <t>T082DF</t>
  </si>
  <si>
    <t>T083DF</t>
  </si>
  <si>
    <t>T084DF</t>
  </si>
  <si>
    <t>T086DF</t>
  </si>
  <si>
    <t>T087DF</t>
  </si>
  <si>
    <t>T088DF</t>
  </si>
  <si>
    <t>PR2502INF5P3</t>
  </si>
  <si>
    <t>PR251705F5P3</t>
  </si>
  <si>
    <t>P023EX</t>
  </si>
  <si>
    <t>ROGEX003</t>
  </si>
  <si>
    <t>T022TP</t>
  </si>
  <si>
    <t>TP25051501</t>
  </si>
  <si>
    <t>T023TP</t>
  </si>
  <si>
    <t>T024TP</t>
  </si>
  <si>
    <t>T025TP</t>
  </si>
  <si>
    <t>T026TP</t>
  </si>
  <si>
    <t>T089DF</t>
  </si>
  <si>
    <t>SMALL FLOWER</t>
  </si>
  <si>
    <t>T090DF</t>
  </si>
  <si>
    <t>B01</t>
  </si>
  <si>
    <t>MEDIUM FLOWER</t>
  </si>
  <si>
    <t>P024EX</t>
  </si>
  <si>
    <t>T084PR</t>
  </si>
  <si>
    <t>PR2516F1P2</t>
  </si>
  <si>
    <t>T085PR</t>
  </si>
  <si>
    <t>PR2512F5P5</t>
  </si>
  <si>
    <t>T086PR</t>
  </si>
  <si>
    <t>PR251708F5P12</t>
  </si>
  <si>
    <t>T091DF</t>
  </si>
  <si>
    <t>2024111803G7</t>
  </si>
  <si>
    <t>T087PR</t>
  </si>
  <si>
    <t>T092DF</t>
  </si>
  <si>
    <t>2025050501G14</t>
  </si>
  <si>
    <t>T167EX</t>
  </si>
  <si>
    <t>T153EX</t>
    <phoneticPr fontId="19" type="noConversion"/>
  </si>
  <si>
    <t>P025EX</t>
  </si>
  <si>
    <t>LR25071001</t>
  </si>
  <si>
    <t>T011MF</t>
  </si>
  <si>
    <t>PR2516</t>
  </si>
  <si>
    <t>T012MF</t>
  </si>
  <si>
    <t>PR2519</t>
  </si>
  <si>
    <t>T088PR</t>
  </si>
  <si>
    <t>PR251908F5P12</t>
  </si>
  <si>
    <t>T089PR</t>
  </si>
  <si>
    <t>T090PR</t>
  </si>
  <si>
    <t>PR251905F5P3</t>
  </si>
  <si>
    <t>T093DF</t>
  </si>
  <si>
    <t>2021082601G14</t>
  </si>
  <si>
    <t>T094DF</t>
  </si>
  <si>
    <t>2021082601R1</t>
  </si>
  <si>
    <t>tote</t>
  </si>
  <si>
    <t>large flower</t>
  </si>
  <si>
    <t>GRID_0</t>
  </si>
  <si>
    <t>ROGEX003G1</t>
  </si>
  <si>
    <t>PR2512F1P1</t>
  </si>
  <si>
    <t>GRID_3</t>
  </si>
  <si>
    <t>PR2519F35P12</t>
  </si>
  <si>
    <t>T001RTV</t>
  </si>
  <si>
    <t>T002RTV</t>
  </si>
  <si>
    <t>T005RTV</t>
  </si>
  <si>
    <t>EX24082901G05</t>
  </si>
  <si>
    <t>EX2411302G05</t>
  </si>
  <si>
    <t>EX24101701G05</t>
  </si>
  <si>
    <t>RACK_A</t>
  </si>
  <si>
    <t>EX25073101V50</t>
  </si>
  <si>
    <t>RACK_C</t>
  </si>
  <si>
    <t>_BACK</t>
  </si>
  <si>
    <t>LR25071001G1</t>
  </si>
  <si>
    <t>RACK_E</t>
  </si>
  <si>
    <t>_PAILS</t>
  </si>
  <si>
    <t>PR2520</t>
  </si>
  <si>
    <t>PR251903F5P3</t>
  </si>
  <si>
    <t>PO</t>
  </si>
  <si>
    <t>weight</t>
  </si>
  <si>
    <t xml:space="preserve">length </t>
  </si>
  <si>
    <t>width</t>
  </si>
  <si>
    <t>height</t>
  </si>
  <si>
    <t>tracking</t>
  </si>
  <si>
    <t>cost</t>
  </si>
  <si>
    <t>PO_503021</t>
  </si>
  <si>
    <t>PO_502181_APOTHECARY</t>
  </si>
  <si>
    <t>PO_503918</t>
  </si>
  <si>
    <t>PO_00001976</t>
  </si>
  <si>
    <t>PO_504787</t>
  </si>
  <si>
    <t>PO_505918</t>
  </si>
  <si>
    <t>PO_507848</t>
  </si>
  <si>
    <t>PO_507266</t>
  </si>
  <si>
    <t>PO_507860</t>
  </si>
  <si>
    <t>PO_00023299</t>
  </si>
  <si>
    <t>PO_508181</t>
  </si>
  <si>
    <t>OFDMB250609</t>
  </si>
  <si>
    <t>PO_1131</t>
  </si>
  <si>
    <t>PO_05-05225</t>
  </si>
  <si>
    <t>233.93/3</t>
  </si>
  <si>
    <t>PO_512279</t>
  </si>
  <si>
    <t>PO_1133</t>
  </si>
  <si>
    <t>PO_1138</t>
  </si>
  <si>
    <t>PO_1137</t>
  </si>
  <si>
    <t>PO_515049</t>
  </si>
  <si>
    <t>highway250624</t>
  </si>
  <si>
    <t>PO_1143</t>
  </si>
  <si>
    <t>PO_06-062625</t>
  </si>
  <si>
    <t>PO_520696</t>
  </si>
  <si>
    <t>PO_519039</t>
  </si>
  <si>
    <t>PO_524578</t>
  </si>
  <si>
    <t>legacy250710</t>
  </si>
  <si>
    <t>PO_00002111</t>
  </si>
  <si>
    <t>PO_00023385</t>
  </si>
  <si>
    <t>https://www.purolator.com/en/shipping/tracker?pin=335584232813&amp;sdate=2025-07-18</t>
  </si>
  <si>
    <t>PO_4500882766</t>
  </si>
  <si>
    <t>PO_526428</t>
  </si>
  <si>
    <t>PO_529839</t>
  </si>
  <si>
    <t>movement</t>
  </si>
  <si>
    <t>purpose</t>
  </si>
  <si>
    <t>purpose_description</t>
  </si>
  <si>
    <t>inventory_id</t>
  </si>
  <si>
    <t>stage</t>
    <phoneticPr fontId="19" type="noConversion"/>
  </si>
  <si>
    <t>quantity_change_unit</t>
  </si>
  <si>
    <t>quantity_change_gross_weight</t>
  </si>
  <si>
    <t>quantity_change_net_weight</t>
  </si>
  <si>
    <t>netweight_for_netmethod</t>
  </si>
  <si>
    <t>production</t>
  </si>
  <si>
    <t>relabel POD</t>
  </si>
  <si>
    <t>1-0</t>
  </si>
  <si>
    <t>sampling</t>
  </si>
  <si>
    <t>making 31 rosebud preroll for AB sales + AGLC order</t>
  </si>
  <si>
    <t>4-0</t>
  </si>
  <si>
    <t>storage</t>
  </si>
  <si>
    <t>PO_DD2024071702</t>
  </si>
  <si>
    <t>shipment</t>
  </si>
  <si>
    <t>Sampling for Torre BBQ</t>
  </si>
  <si>
    <t>73-0</t>
  </si>
  <si>
    <t>77-0</t>
  </si>
  <si>
    <t>79-0</t>
  </si>
  <si>
    <t>80-0</t>
  </si>
  <si>
    <t>samples return from Torre BBQ</t>
  </si>
  <si>
    <t>sample for Steve</t>
  </si>
  <si>
    <t>84-0</t>
  </si>
  <si>
    <t>85-0</t>
  </si>
  <si>
    <t>sample for Jay</t>
  </si>
  <si>
    <t>PO_DD2024072302</t>
  </si>
  <si>
    <t>74-0</t>
  </si>
  <si>
    <t>78-0</t>
  </si>
  <si>
    <t>91-0</t>
  </si>
  <si>
    <t>92-0</t>
  </si>
  <si>
    <t>106-0</t>
  </si>
  <si>
    <t>Packaging and labelling</t>
  </si>
  <si>
    <t>86-0</t>
  </si>
  <si>
    <t>87-0</t>
  </si>
  <si>
    <t>PO_02127</t>
    <phoneticPr fontId="37" type="noConversion"/>
  </si>
  <si>
    <t>PO_DD2024072901</t>
    <phoneticPr fontId="37" type="noConversion"/>
  </si>
  <si>
    <t>104-0</t>
  </si>
  <si>
    <t>121-0</t>
  </si>
  <si>
    <t>154-0</t>
  </si>
  <si>
    <t>reconciliation</t>
  </si>
  <si>
    <t>missing outbound record</t>
  </si>
  <si>
    <t>repackaging and labeling for PO_22485</t>
    <phoneticPr fontId="37" type="noConversion"/>
  </si>
  <si>
    <t>8-0</t>
  </si>
  <si>
    <t>need 1 more pouch to replenish 72</t>
  </si>
  <si>
    <t>sampling for Steve 80*5=400g</t>
    <phoneticPr fontId="37" type="noConversion"/>
  </si>
  <si>
    <t>95-0</t>
  </si>
  <si>
    <t>71-0</t>
  </si>
  <si>
    <t>PO_DD2024080901</t>
  </si>
  <si>
    <t>155-0</t>
  </si>
  <si>
    <t>149-0</t>
  </si>
  <si>
    <t>152-0</t>
  </si>
  <si>
    <t xml:space="preserve">relabel </t>
  </si>
  <si>
    <t>148-0</t>
  </si>
  <si>
    <t>170-0</t>
  </si>
  <si>
    <t>relabel</t>
  </si>
  <si>
    <t>milling</t>
  </si>
  <si>
    <t>179-0</t>
  </si>
  <si>
    <t>180-0</t>
  </si>
  <si>
    <t>181-0</t>
  </si>
  <si>
    <t>178-0</t>
  </si>
  <si>
    <t>PO_02127_Revised</t>
  </si>
  <si>
    <t>plus 12 ON stamped rollons (RTV not counted yet)</t>
  </si>
  <si>
    <t>Packaging 14 gelato</t>
    <phoneticPr fontId="37" type="noConversion"/>
  </si>
  <si>
    <t>36-0</t>
  </si>
  <si>
    <t>34-0</t>
  </si>
  <si>
    <t xml:space="preserve">Too much trims </t>
    <phoneticPr fontId="37" type="noConversion"/>
  </si>
  <si>
    <t>blueberry preroll</t>
  </si>
  <si>
    <t>211-0</t>
  </si>
  <si>
    <t>packaging</t>
  </si>
  <si>
    <t>AGLC_PO_71087</t>
    <phoneticPr fontId="37" type="noConversion"/>
  </si>
  <si>
    <t>198-0</t>
  </si>
  <si>
    <t>PR241005F5</t>
  </si>
  <si>
    <t>190-0</t>
  </si>
  <si>
    <t>119-0</t>
  </si>
  <si>
    <t>MBLL_PO_370928</t>
  </si>
  <si>
    <t>105-0</t>
  </si>
  <si>
    <t>return from sampling</t>
  </si>
  <si>
    <t>PO_369117</t>
  </si>
  <si>
    <t>184-0</t>
  </si>
  <si>
    <t>labelling</t>
  </si>
  <si>
    <t>75-0</t>
  </si>
  <si>
    <t>186-0</t>
  </si>
  <si>
    <t>188-0</t>
  </si>
  <si>
    <t>245-0</t>
  </si>
  <si>
    <t>159-0</t>
  </si>
  <si>
    <t>put into tube</t>
    <phoneticPr fontId="37" type="noConversion"/>
  </si>
  <si>
    <t>193-0</t>
  </si>
  <si>
    <t>194-0</t>
  </si>
  <si>
    <t>195-0</t>
  </si>
  <si>
    <t>196-0</t>
  </si>
  <si>
    <t>197-0</t>
  </si>
  <si>
    <t>199-0</t>
  </si>
  <si>
    <t>put into tube, PO_373529</t>
    <phoneticPr fontId="37" type="noConversion"/>
  </si>
  <si>
    <t>160-0</t>
  </si>
  <si>
    <t>161-0</t>
  </si>
  <si>
    <t>put into tube, PO_373464</t>
    <phoneticPr fontId="37" type="noConversion"/>
  </si>
  <si>
    <t>189-0</t>
  </si>
  <si>
    <t>187-0</t>
  </si>
  <si>
    <t>relabeling</t>
  </si>
  <si>
    <t>146-0</t>
  </si>
  <si>
    <t>PO_372038</t>
    <phoneticPr fontId="37" type="noConversion"/>
  </si>
  <si>
    <t>150-0</t>
  </si>
  <si>
    <t>PO_372049</t>
    <phoneticPr fontId="37" type="noConversion"/>
  </si>
  <si>
    <t>PO_DD2024081601</t>
    <phoneticPr fontId="37" type="noConversion"/>
  </si>
  <si>
    <t>157-0</t>
  </si>
  <si>
    <t>147-0</t>
  </si>
  <si>
    <t>vaple samples</t>
    <phoneticPr fontId="37" type="noConversion"/>
  </si>
  <si>
    <t>251-0</t>
  </si>
  <si>
    <t>252-0</t>
  </si>
  <si>
    <t>216-0</t>
  </si>
  <si>
    <t>EX24051301V50</t>
  </si>
  <si>
    <t>Aviator_orbis transfer</t>
  </si>
  <si>
    <t>162-0</t>
  </si>
  <si>
    <t>163-0</t>
  </si>
  <si>
    <t>EX24070902V50</t>
  </si>
  <si>
    <t xml:space="preserve">receiving </t>
    <phoneticPr fontId="37" type="noConversion"/>
  </si>
  <si>
    <t>253-0</t>
  </si>
  <si>
    <t>PO_373464</t>
    <phoneticPr fontId="37" type="noConversion"/>
  </si>
  <si>
    <t>PO_373942</t>
    <phoneticPr fontId="37" type="noConversion"/>
  </si>
  <si>
    <t>filling</t>
    <phoneticPr fontId="37" type="noConversion"/>
  </si>
  <si>
    <t>gross weight not right</t>
    <phoneticPr fontId="37" type="noConversion"/>
  </si>
  <si>
    <t>PO_00022557</t>
    <phoneticPr fontId="37" type="noConversion"/>
  </si>
  <si>
    <t>labelling and PO_00022557</t>
    <phoneticPr fontId="37" type="noConversion"/>
  </si>
  <si>
    <t>137-0</t>
  </si>
  <si>
    <t>labelling</t>
    <phoneticPr fontId="37" type="noConversion"/>
  </si>
  <si>
    <t>138-0</t>
  </si>
  <si>
    <t>118-0</t>
  </si>
  <si>
    <t>10-0</t>
  </si>
  <si>
    <t>11-0</t>
  </si>
  <si>
    <t>243-0</t>
  </si>
  <si>
    <t>packaging</t>
    <phoneticPr fontId="37" type="noConversion"/>
  </si>
  <si>
    <t>192-0</t>
  </si>
  <si>
    <t>191-0</t>
  </si>
  <si>
    <t>37-0</t>
  </si>
  <si>
    <t>packaging 7-g flower</t>
    <phoneticPr fontId="37" type="noConversion"/>
  </si>
  <si>
    <t>35-0</t>
  </si>
  <si>
    <t>PO_376465</t>
  </si>
  <si>
    <t>PO_DD24082201, PO_DD24082101</t>
    <phoneticPr fontId="37" type="noConversion"/>
  </si>
  <si>
    <t>217-0</t>
  </si>
  <si>
    <t>EX24060501V50</t>
  </si>
  <si>
    <t>164-0</t>
  </si>
  <si>
    <t>256-0</t>
  </si>
  <si>
    <t xml:space="preserve">vape </t>
    <phoneticPr fontId="37" type="noConversion"/>
  </si>
  <si>
    <t>246-0</t>
  </si>
  <si>
    <t xml:space="preserve">vape and rollon </t>
    <phoneticPr fontId="37" type="noConversion"/>
  </si>
  <si>
    <t>257-0</t>
  </si>
  <si>
    <t>rollon</t>
    <phoneticPr fontId="37" type="noConversion"/>
  </si>
  <si>
    <t>247-0</t>
  </si>
  <si>
    <t>PO_2024082901-1</t>
  </si>
  <si>
    <t>124-0</t>
  </si>
  <si>
    <t>143-0</t>
  </si>
  <si>
    <t>108-0</t>
  </si>
  <si>
    <t>185-0</t>
  </si>
  <si>
    <t>255-0</t>
  </si>
  <si>
    <t>166-0</t>
  </si>
  <si>
    <t>165-0</t>
  </si>
  <si>
    <t>PO_378232</t>
  </si>
  <si>
    <t>259-0</t>
  </si>
  <si>
    <t>262-0</t>
  </si>
  <si>
    <t>264-0</t>
  </si>
  <si>
    <t>PR241003F5</t>
  </si>
  <si>
    <t>Vape production</t>
    <phoneticPr fontId="37" type="noConversion"/>
  </si>
  <si>
    <t>260-0</t>
  </si>
  <si>
    <t>276-0</t>
  </si>
  <si>
    <t>EX24090501</t>
  </si>
  <si>
    <t>275-0</t>
  </si>
  <si>
    <t>PO_381851</t>
    <phoneticPr fontId="37" type="noConversion"/>
  </si>
  <si>
    <t>PO_382463, PO_282639, PO_382735</t>
  </si>
  <si>
    <t>PO_0070467</t>
  </si>
  <si>
    <t>280-0</t>
  </si>
  <si>
    <t>284-0</t>
  </si>
  <si>
    <t>282-0</t>
  </si>
  <si>
    <t>283-0</t>
  </si>
  <si>
    <t>281-0</t>
  </si>
  <si>
    <t>PO_383188</t>
  </si>
  <si>
    <t>Boomtown Bloom Cannabis_sk</t>
  </si>
  <si>
    <t>JAY240916</t>
    <phoneticPr fontId="37" type="noConversion"/>
  </si>
  <si>
    <t>263-0</t>
  </si>
  <si>
    <t>294-0</t>
  </si>
  <si>
    <t>EX24082903G05</t>
  </si>
  <si>
    <t>297-0</t>
  </si>
  <si>
    <t>EX24082902G05</t>
  </si>
  <si>
    <t>298-0</t>
  </si>
  <si>
    <t>300-0</t>
  </si>
  <si>
    <t>325-0</t>
  </si>
  <si>
    <t>EX24082905G05</t>
  </si>
  <si>
    <t>PO_DD2024081601, PO_DD2024091001</t>
    <phoneticPr fontId="37" type="noConversion"/>
  </si>
  <si>
    <t>321-0</t>
  </si>
  <si>
    <t>PO_DD2024091001</t>
    <phoneticPr fontId="37" type="noConversion"/>
  </si>
  <si>
    <t>PO_DD2024091001, PO_DD2024091002</t>
    <phoneticPr fontId="37" type="noConversion"/>
  </si>
  <si>
    <t>156-0</t>
  </si>
  <si>
    <t>PO_DD2024091002</t>
    <phoneticPr fontId="37" type="noConversion"/>
  </si>
  <si>
    <t>323-0</t>
  </si>
  <si>
    <t>OFD240916</t>
    <phoneticPr fontId="37" type="noConversion"/>
  </si>
  <si>
    <t>PO_383692</t>
  </si>
  <si>
    <t>205-0</t>
  </si>
  <si>
    <t>286-0</t>
  </si>
  <si>
    <t>EX24090501V50</t>
  </si>
  <si>
    <t>287-0</t>
  </si>
  <si>
    <t>285-0</t>
  </si>
  <si>
    <t>PO_385035</t>
    <phoneticPr fontId="37" type="noConversion"/>
  </si>
  <si>
    <t>PO_383346</t>
    <phoneticPr fontId="37" type="noConversion"/>
  </si>
  <si>
    <t>328-0</t>
  </si>
  <si>
    <t>return OFD240916</t>
    <phoneticPr fontId="37" type="noConversion"/>
  </si>
  <si>
    <t>PO_383315, PO_383399, PO_383692, PO_383907</t>
    <phoneticPr fontId="37" type="noConversion"/>
  </si>
  <si>
    <t>PO_4500838969</t>
  </si>
  <si>
    <t>296-0</t>
  </si>
  <si>
    <t>295-0</t>
  </si>
  <si>
    <t>299-0</t>
  </si>
  <si>
    <t>301-0</t>
  </si>
  <si>
    <t>327-0</t>
  </si>
  <si>
    <t>326-0</t>
  </si>
  <si>
    <t>PO_OFD240924</t>
  </si>
  <si>
    <t>PO_00022626</t>
  </si>
  <si>
    <t>111-0</t>
  </si>
  <si>
    <t>266-0</t>
  </si>
  <si>
    <t>265-0</t>
  </si>
  <si>
    <t>278-0</t>
  </si>
  <si>
    <t>331-0</t>
  </si>
  <si>
    <t>EX24082906</t>
  </si>
  <si>
    <t>Rohan240923</t>
  </si>
  <si>
    <t>329-0</t>
  </si>
  <si>
    <t>PO_OFD240924</t>
    <phoneticPr fontId="37" type="noConversion"/>
  </si>
  <si>
    <t>330-0</t>
  </si>
  <si>
    <t>JAY240924</t>
    <phoneticPr fontId="37" type="noConversion"/>
  </si>
  <si>
    <t>268-0</t>
  </si>
  <si>
    <t>shipment</t>
    <phoneticPr fontId="37" type="noConversion"/>
  </si>
  <si>
    <t>365-0</t>
  </si>
  <si>
    <t>366-0</t>
  </si>
  <si>
    <t>367-0</t>
  </si>
  <si>
    <t>368-0</t>
  </si>
  <si>
    <t>369-0</t>
  </si>
  <si>
    <t>370-0</t>
  </si>
  <si>
    <t>371-0</t>
  </si>
  <si>
    <t>372-0</t>
  </si>
  <si>
    <t>373-0</t>
  </si>
  <si>
    <t>PO_71469</t>
    <phoneticPr fontId="37" type="noConversion"/>
  </si>
  <si>
    <t>360-0</t>
  </si>
  <si>
    <t>358-0</t>
  </si>
  <si>
    <t>350-0</t>
  </si>
  <si>
    <t>355-0</t>
  </si>
  <si>
    <t>349-0</t>
  </si>
  <si>
    <t>356-0</t>
  </si>
  <si>
    <t>354-0</t>
  </si>
  <si>
    <t>353-0</t>
  </si>
  <si>
    <t>352-0</t>
  </si>
  <si>
    <t>357-0</t>
  </si>
  <si>
    <t>PO_2024091002-2, PO_2024091601</t>
    <phoneticPr fontId="37" type="noConversion"/>
  </si>
  <si>
    <t>333-0</t>
  </si>
  <si>
    <t>334-0</t>
  </si>
  <si>
    <t>364-0</t>
  </si>
  <si>
    <t>PO_24091701, PO_DD24080101</t>
    <phoneticPr fontId="37" type="noConversion"/>
  </si>
  <si>
    <t>PO_24091701, PO_DD24080101, PO_DD2024092401</t>
    <phoneticPr fontId="37" type="noConversion"/>
  </si>
  <si>
    <t>jay240926_trinityphoto</t>
  </si>
  <si>
    <t>277-0</t>
  </si>
  <si>
    <t>361-0</t>
  </si>
  <si>
    <t>PO_DD2024092401</t>
    <phoneticPr fontId="37" type="noConversion"/>
  </si>
  <si>
    <t>261-0</t>
  </si>
  <si>
    <t>PO_2024091601, PO_DD2024092401</t>
    <phoneticPr fontId="37" type="noConversion"/>
  </si>
  <si>
    <t>Steve240927</t>
    <phoneticPr fontId="37" type="noConversion"/>
  </si>
  <si>
    <t>324-0</t>
  </si>
  <si>
    <t>PO_2024091601</t>
    <phoneticPr fontId="37" type="noConversion"/>
  </si>
  <si>
    <t>351-0</t>
  </si>
  <si>
    <t>PO_DD2024092401, replacing 1 dmged POD AUG-19</t>
    <phoneticPr fontId="37" type="noConversion"/>
  </si>
  <si>
    <t>1 dmg</t>
    <phoneticPr fontId="37" type="noConversion"/>
  </si>
  <si>
    <t>PO_71700</t>
    <phoneticPr fontId="37" type="noConversion"/>
  </si>
  <si>
    <t>PO_0072261</t>
    <phoneticPr fontId="19" type="noConversion"/>
  </si>
  <si>
    <t>171-0</t>
  </si>
  <si>
    <t>172-0</t>
  </si>
  <si>
    <t>173-0</t>
  </si>
  <si>
    <t>174-0</t>
  </si>
  <si>
    <t>175-0</t>
  </si>
  <si>
    <t>176-0</t>
  </si>
  <si>
    <t>177-0</t>
  </si>
  <si>
    <t>JAY241003</t>
    <phoneticPr fontId="37" type="noConversion"/>
  </si>
  <si>
    <t>385-0</t>
  </si>
  <si>
    <t>362-0</t>
  </si>
  <si>
    <t>363-0</t>
  </si>
  <si>
    <t>PO_0072261_transfer20240828_ORBIS241003, PO_0071880_transfer20240828</t>
  </si>
  <si>
    <t>318-0</t>
  </si>
  <si>
    <t>JAY20241007-3</t>
    <phoneticPr fontId="37" type="noConversion"/>
  </si>
  <si>
    <t>PO_1003</t>
    <phoneticPr fontId="37" type="noConversion"/>
  </si>
  <si>
    <t>BACON OIL</t>
    <phoneticPr fontId="37" type="noConversion"/>
  </si>
  <si>
    <t>83-0</t>
  </si>
  <si>
    <t>PO_1005</t>
    <phoneticPr fontId="37" type="noConversion"/>
  </si>
  <si>
    <t>PO_1004, PO_1003</t>
    <phoneticPr fontId="37" type="noConversion"/>
  </si>
  <si>
    <t>82-0</t>
  </si>
  <si>
    <t>4 BAD ONES</t>
    <phoneticPr fontId="19" type="noConversion"/>
  </si>
  <si>
    <t>375-0</t>
  </si>
  <si>
    <t>374-0</t>
  </si>
  <si>
    <t>384-0</t>
  </si>
  <si>
    <t>PO_1004,</t>
    <phoneticPr fontId="37" type="noConversion"/>
  </si>
  <si>
    <t>332-0</t>
  </si>
  <si>
    <t>383-0</t>
  </si>
  <si>
    <t>274-0</t>
  </si>
  <si>
    <t>386-0</t>
  </si>
  <si>
    <t>po_1004</t>
    <phoneticPr fontId="37" type="noConversion"/>
  </si>
  <si>
    <t>393-0</t>
  </si>
  <si>
    <t>359-0</t>
  </si>
  <si>
    <t>PO_01-100124</t>
  </si>
  <si>
    <t>269-0</t>
  </si>
  <si>
    <t>267-0</t>
  </si>
  <si>
    <t>270-0</t>
  </si>
  <si>
    <t>279-0</t>
  </si>
  <si>
    <t>380-0</t>
  </si>
  <si>
    <t>PO_392679</t>
  </si>
  <si>
    <t>PO_1006</t>
  </si>
  <si>
    <t>PO_71915</t>
  </si>
  <si>
    <t>LABELLING</t>
  </si>
  <si>
    <t>PO_1007</t>
    <phoneticPr fontId="37" type="noConversion"/>
  </si>
  <si>
    <t>PACKAGING</t>
    <phoneticPr fontId="37" type="noConversion"/>
  </si>
  <si>
    <t>394-0</t>
  </si>
  <si>
    <t>FILLING</t>
  </si>
  <si>
    <t>PO_1008</t>
    <phoneticPr fontId="37" type="noConversion"/>
  </si>
  <si>
    <t>396-0</t>
  </si>
  <si>
    <t>vape production</t>
  </si>
  <si>
    <t>Packaging</t>
  </si>
  <si>
    <t>345-0</t>
  </si>
  <si>
    <t>342-0</t>
  </si>
  <si>
    <t>vape production</t>
    <phoneticPr fontId="37" type="noConversion"/>
  </si>
  <si>
    <t>388-0</t>
  </si>
  <si>
    <t>344-0</t>
  </si>
  <si>
    <t>343-0</t>
  </si>
  <si>
    <t>346-0</t>
  </si>
  <si>
    <t>347-0</t>
  </si>
  <si>
    <t>348-0</t>
  </si>
  <si>
    <t>340-0</t>
  </si>
  <si>
    <t>341-0</t>
  </si>
  <si>
    <t>339-0</t>
  </si>
  <si>
    <t>338-0</t>
  </si>
  <si>
    <t>337-0</t>
  </si>
  <si>
    <t>336-0</t>
  </si>
  <si>
    <t>335-0</t>
  </si>
  <si>
    <t>OCS po</t>
  </si>
  <si>
    <t>400-0</t>
  </si>
  <si>
    <t>milling</t>
    <phoneticPr fontId="37" type="noConversion"/>
  </si>
  <si>
    <t>408-0</t>
  </si>
  <si>
    <t>409-0</t>
  </si>
  <si>
    <t>410-0</t>
  </si>
  <si>
    <t>419-0</t>
  </si>
  <si>
    <t>141-0</t>
  </si>
  <si>
    <t>PO_1009</t>
    <phoneticPr fontId="37" type="noConversion"/>
  </si>
  <si>
    <t xml:space="preserve">PO_1009, </t>
    <phoneticPr fontId="37" type="noConversion"/>
  </si>
  <si>
    <t>OFDMB241022</t>
    <phoneticPr fontId="19" type="noConversion"/>
  </si>
  <si>
    <t>397-0</t>
  </si>
  <si>
    <t>412-0</t>
  </si>
  <si>
    <t>414-0</t>
  </si>
  <si>
    <t>413-0</t>
  </si>
  <si>
    <t>418-0</t>
  </si>
  <si>
    <t>415-0</t>
  </si>
  <si>
    <t>416-0</t>
  </si>
  <si>
    <t>417-0</t>
  </si>
  <si>
    <t>sampling Steve</t>
    <phoneticPr fontId="37" type="noConversion"/>
  </si>
  <si>
    <t>411-0</t>
  </si>
  <si>
    <t>387-0</t>
  </si>
  <si>
    <t>402-0</t>
  </si>
  <si>
    <t>395-0</t>
  </si>
  <si>
    <t>sampling Shawn</t>
    <phoneticPr fontId="37" type="noConversion"/>
  </si>
  <si>
    <t>422-0</t>
  </si>
  <si>
    <t>421-0</t>
  </si>
  <si>
    <t>FILLING</t>
    <phoneticPr fontId="37" type="noConversion"/>
  </si>
  <si>
    <t>423-0</t>
  </si>
  <si>
    <t>EX24102101</t>
  </si>
  <si>
    <t>430-0</t>
  </si>
  <si>
    <t>PO_0072695</t>
  </si>
  <si>
    <t>389-0</t>
  </si>
  <si>
    <t>407-0</t>
  </si>
  <si>
    <t>405-0</t>
  </si>
  <si>
    <t>406-0</t>
  </si>
  <si>
    <t>PACKAGING 28G</t>
    <phoneticPr fontId="37" type="noConversion"/>
  </si>
  <si>
    <t>32-0</t>
  </si>
  <si>
    <t>258-0</t>
  </si>
  <si>
    <t>24-0</t>
  </si>
  <si>
    <t>33-0</t>
  </si>
  <si>
    <t>JAY</t>
  </si>
  <si>
    <t>72-0</t>
  </si>
  <si>
    <t>42-0</t>
  </si>
  <si>
    <t>429-0</t>
  </si>
  <si>
    <t>428-0</t>
  </si>
  <si>
    <t>PO_10013258</t>
  </si>
  <si>
    <t>403-0</t>
  </si>
  <si>
    <t>390-0</t>
  </si>
  <si>
    <t>212-0</t>
  </si>
  <si>
    <t>210-0</t>
  </si>
  <si>
    <t>213-0</t>
  </si>
  <si>
    <t>214-0</t>
  </si>
  <si>
    <t>215-0</t>
  </si>
  <si>
    <t>JAY241101</t>
  </si>
  <si>
    <t>PO_1010</t>
  </si>
  <si>
    <t>398-0</t>
  </si>
  <si>
    <t>PO_001729</t>
    <phoneticPr fontId="0" type="noConversion"/>
  </si>
  <si>
    <t>426-0</t>
  </si>
  <si>
    <t>431-0</t>
  </si>
  <si>
    <t>PO_401036</t>
  </si>
  <si>
    <t>399-0</t>
  </si>
  <si>
    <t>PO_0073956-1</t>
    <phoneticPr fontId="19" type="noConversion"/>
  </si>
  <si>
    <t>434-0</t>
  </si>
  <si>
    <t>PO_0073506</t>
    <phoneticPr fontId="1" type="noConversion"/>
  </si>
  <si>
    <t xml:space="preserve"> PO_0073956-1</t>
    <phoneticPr fontId="1" type="noConversion"/>
  </si>
  <si>
    <t>458-0</t>
  </si>
  <si>
    <t>PO_00022702</t>
    <phoneticPr fontId="1" type="noConversion"/>
  </si>
  <si>
    <t>448-0</t>
  </si>
  <si>
    <t>milling, watermelon</t>
    <phoneticPr fontId="19" type="noConversion"/>
  </si>
  <si>
    <t>183-0</t>
  </si>
  <si>
    <t>vape</t>
    <phoneticPr fontId="19" type="noConversion"/>
  </si>
  <si>
    <t>463-0</t>
  </si>
  <si>
    <t>459-0</t>
  </si>
  <si>
    <t>182-0</t>
  </si>
  <si>
    <t>469-0</t>
  </si>
  <si>
    <t>470-0</t>
  </si>
  <si>
    <t>PO_0074348</t>
    <phoneticPr fontId="19" type="noConversion"/>
  </si>
  <si>
    <t>PO_1012</t>
    <phoneticPr fontId="19" type="noConversion"/>
  </si>
  <si>
    <t>449-0</t>
  </si>
  <si>
    <t>JAYSON241113</t>
    <phoneticPr fontId="19" type="noConversion"/>
  </si>
  <si>
    <t>483-0</t>
  </si>
  <si>
    <t>making vape samples for steve</t>
    <phoneticPr fontId="19" type="noConversion"/>
  </si>
  <si>
    <t>JAY'S SAMPLES</t>
    <phoneticPr fontId="19" type="noConversion"/>
  </si>
  <si>
    <t>48-0</t>
  </si>
  <si>
    <t>313-0</t>
  </si>
  <si>
    <t>PO_00022782</t>
    <phoneticPr fontId="19" type="noConversion"/>
  </si>
  <si>
    <t>444-0</t>
  </si>
  <si>
    <t>435-0</t>
  </si>
  <si>
    <t>272-0</t>
  </si>
  <si>
    <t>502-0</t>
  </si>
  <si>
    <t>471-0</t>
  </si>
  <si>
    <t>139-0</t>
  </si>
  <si>
    <t>PO_410407 (MIXED POD 23-06-17)</t>
    <phoneticPr fontId="19" type="noConversion"/>
  </si>
  <si>
    <t>PO_410407 (replacing 1 mixed POD)</t>
    <phoneticPr fontId="19" type="noConversion"/>
  </si>
  <si>
    <t>PO_00022782 (REPLACEMENT 1 DMG)</t>
    <phoneticPr fontId="19" type="noConversion"/>
  </si>
  <si>
    <t>273-0</t>
  </si>
  <si>
    <t>PO_1013</t>
    <phoneticPr fontId="19" type="noConversion"/>
  </si>
  <si>
    <t>125-0</t>
  </si>
  <si>
    <t>PO_411578</t>
    <phoneticPr fontId="19" type="noConversion"/>
  </si>
  <si>
    <t>packaging</t>
    <phoneticPr fontId="19" type="noConversion"/>
  </si>
  <si>
    <t>487-0</t>
  </si>
  <si>
    <t>476-0</t>
  </si>
  <si>
    <t>489-0</t>
  </si>
  <si>
    <t>PO_DD24111301</t>
    <phoneticPr fontId="19" type="noConversion"/>
  </si>
  <si>
    <t>sampling Trinity</t>
    <phoneticPr fontId="19" type="noConversion"/>
  </si>
  <si>
    <t>sampling Men</t>
    <phoneticPr fontId="19" type="noConversion"/>
  </si>
  <si>
    <t>472-0</t>
  </si>
  <si>
    <t>462-0</t>
  </si>
  <si>
    <t>OFDMB241115</t>
    <phoneticPr fontId="19" type="noConversion"/>
  </si>
  <si>
    <t>482-0</t>
  </si>
  <si>
    <t>VAPE SAMPLE</t>
    <phoneticPr fontId="19" type="noConversion"/>
  </si>
  <si>
    <t>PO_1013 (PO NAME CHANGED)</t>
    <phoneticPr fontId="19" type="noConversion"/>
  </si>
  <si>
    <t>144-0</t>
  </si>
  <si>
    <t>AGLC</t>
    <phoneticPr fontId="19" type="noConversion"/>
  </si>
  <si>
    <t>445-0</t>
  </si>
  <si>
    <t>456-0</t>
  </si>
  <si>
    <t>490-0</t>
  </si>
  <si>
    <t>491-0</t>
  </si>
  <si>
    <t>labelling POD</t>
    <phoneticPr fontId="37" type="noConversion"/>
  </si>
  <si>
    <t>242-0</t>
  </si>
  <si>
    <t>fixing label</t>
    <phoneticPr fontId="19" type="noConversion"/>
  </si>
  <si>
    <t>209-0</t>
  </si>
  <si>
    <t>LEGACY241121</t>
    <phoneticPr fontId="19" type="noConversion"/>
  </si>
  <si>
    <t>STEVE</t>
    <phoneticPr fontId="19" type="noConversion"/>
  </si>
  <si>
    <t>506-0</t>
  </si>
  <si>
    <t>453-0</t>
  </si>
  <si>
    <t>PO_72455</t>
    <phoneticPr fontId="19" type="noConversion"/>
  </si>
  <si>
    <t>PO_50038735</t>
    <phoneticPr fontId="19" type="noConversion"/>
  </si>
  <si>
    <t>filling</t>
    <phoneticPr fontId="19" type="noConversion"/>
  </si>
  <si>
    <t>501-0</t>
  </si>
  <si>
    <t>sampling for Steve</t>
    <phoneticPr fontId="19" type="noConversion"/>
  </si>
  <si>
    <t>116-0</t>
  </si>
  <si>
    <t>465-0</t>
  </si>
  <si>
    <t>PO_1015</t>
    <phoneticPr fontId="19" type="noConversion"/>
  </si>
  <si>
    <t>468-0</t>
  </si>
  <si>
    <t>466-0</t>
  </si>
  <si>
    <t>500-0</t>
  </si>
  <si>
    <t xml:space="preserve">sampling </t>
    <phoneticPr fontId="19" type="noConversion"/>
  </si>
  <si>
    <t>PO_0075777</t>
    <phoneticPr fontId="19" type="noConversion"/>
  </si>
  <si>
    <t>PO_1017, PO_1016</t>
    <phoneticPr fontId="19" type="noConversion"/>
  </si>
  <si>
    <t>FILLING</t>
    <phoneticPr fontId="19" type="noConversion"/>
  </si>
  <si>
    <t>519-0</t>
  </si>
  <si>
    <t>PO_1016</t>
    <phoneticPr fontId="19" type="noConversion"/>
  </si>
  <si>
    <t>PO_1015, PO_1018</t>
    <phoneticPr fontId="19" type="noConversion"/>
  </si>
  <si>
    <t>PO_1008</t>
    <phoneticPr fontId="19" type="noConversion"/>
  </si>
  <si>
    <t>446-0</t>
  </si>
  <si>
    <t>JAY241127_URGENT- samples for Thursday and Next week.- Nov 27th, 2024</t>
    <phoneticPr fontId="19" type="noConversion"/>
  </si>
  <si>
    <t>PO_1019</t>
    <phoneticPr fontId="19" type="noConversion"/>
  </si>
  <si>
    <t>450-0</t>
  </si>
  <si>
    <t>PO_DD24112701</t>
    <phoneticPr fontId="19" type="noConversion"/>
  </si>
  <si>
    <t>PO_001818-1</t>
    <phoneticPr fontId="19" type="noConversion"/>
  </si>
  <si>
    <t>2-0</t>
  </si>
  <si>
    <t>NS PO_4500853276 (12 units from previous outbound case)</t>
    <phoneticPr fontId="19" type="noConversion"/>
  </si>
  <si>
    <t>420-0</t>
  </si>
  <si>
    <t>jay241203</t>
    <phoneticPr fontId="19" type="noConversion"/>
  </si>
  <si>
    <t>515-0</t>
  </si>
  <si>
    <t>461-0</t>
  </si>
  <si>
    <t>Packaging and labelling</t>
    <phoneticPr fontId="19" type="noConversion"/>
  </si>
  <si>
    <t>454-0</t>
  </si>
  <si>
    <t>452-0</t>
  </si>
  <si>
    <t>505-0</t>
  </si>
  <si>
    <t>labelling 5 cs of TF and Citrus each</t>
    <phoneticPr fontId="19" type="noConversion"/>
  </si>
  <si>
    <t>PO_1020</t>
    <phoneticPr fontId="19" type="noConversion"/>
  </si>
  <si>
    <t>525-0</t>
  </si>
  <si>
    <t>507-0</t>
  </si>
  <si>
    <t>PO_1021</t>
    <phoneticPr fontId="19" type="noConversion"/>
  </si>
  <si>
    <t>527-0</t>
  </si>
  <si>
    <t>PO_0075546, PO_0075946, PO_0075210</t>
    <phoneticPr fontId="19" type="noConversion"/>
  </si>
  <si>
    <t>TRIDENT</t>
    <phoneticPr fontId="19" type="noConversion"/>
  </si>
  <si>
    <t>479-0</t>
  </si>
  <si>
    <t>477-0</t>
  </si>
  <si>
    <t>478-0</t>
  </si>
  <si>
    <t>475-0</t>
  </si>
  <si>
    <t>PO_02-120424</t>
    <phoneticPr fontId="19" type="noConversion"/>
  </si>
  <si>
    <t>455-0</t>
  </si>
  <si>
    <t>PO_02-120424 (1 BOX OF 84 HAVING NO ID IS USED)</t>
    <phoneticPr fontId="19" type="noConversion"/>
  </si>
  <si>
    <t>457-0</t>
  </si>
  <si>
    <t>MINIROLLON AND EXTRA</t>
    <phoneticPr fontId="19" type="noConversion"/>
  </si>
  <si>
    <t>532-0</t>
  </si>
  <si>
    <t>seperation - 7g and 0.5g preroll</t>
    <phoneticPr fontId="19" type="noConversion"/>
  </si>
  <si>
    <t>513-0</t>
  </si>
  <si>
    <t>514-0</t>
  </si>
  <si>
    <t>512-0</t>
  </si>
  <si>
    <t>517-0</t>
  </si>
  <si>
    <t>518-0</t>
  </si>
  <si>
    <t>516-0</t>
  </si>
  <si>
    <t>511-0</t>
  </si>
  <si>
    <t>508-0</t>
  </si>
  <si>
    <t>510-0</t>
  </si>
  <si>
    <t>509-0</t>
  </si>
  <si>
    <t>filling EX24101704G05 POD 241205</t>
    <phoneticPr fontId="19" type="noConversion"/>
  </si>
  <si>
    <t>467-0</t>
  </si>
  <si>
    <t>524-0</t>
  </si>
  <si>
    <t>PO_0076596_LEGACY</t>
    <phoneticPr fontId="19" type="noConversion"/>
  </si>
  <si>
    <t>485-0</t>
  </si>
  <si>
    <t>labelling</t>
    <phoneticPr fontId="19" type="noConversion"/>
  </si>
  <si>
    <t>554-0</t>
  </si>
  <si>
    <t>553-0</t>
  </si>
  <si>
    <t>legacy241212</t>
    <phoneticPr fontId="19" type="noConversion"/>
  </si>
  <si>
    <t>549-0</t>
  </si>
  <si>
    <t>On_casing_caninvid_549</t>
    <phoneticPr fontId="19" type="noConversion"/>
  </si>
  <si>
    <t>570-0</t>
  </si>
  <si>
    <t>rohan241212</t>
    <phoneticPr fontId="19" type="noConversion"/>
  </si>
  <si>
    <t>PO_1022, PO_1023</t>
    <phoneticPr fontId="19" type="noConversion"/>
  </si>
  <si>
    <t>PO_1022</t>
    <phoneticPr fontId="19" type="noConversion"/>
  </si>
  <si>
    <t>PO_1022, PO_1023, PO_1024</t>
    <phoneticPr fontId="19" type="noConversion"/>
  </si>
  <si>
    <t>PO_1024</t>
    <phoneticPr fontId="19" type="noConversion"/>
  </si>
  <si>
    <t>473-0</t>
  </si>
  <si>
    <t>PO_1024, PO_00022859</t>
    <phoneticPr fontId="19" type="noConversion"/>
  </si>
  <si>
    <t>PO_00022859</t>
  </si>
  <si>
    <t>113-0</t>
  </si>
  <si>
    <t>114-0</t>
  </si>
  <si>
    <t>200-0</t>
  </si>
  <si>
    <t>PO_00022859</t>
    <phoneticPr fontId="19" type="noConversion"/>
  </si>
  <si>
    <t>520-0</t>
  </si>
  <si>
    <t>571-0</t>
  </si>
  <si>
    <t>451-0</t>
  </si>
  <si>
    <t>575-0</t>
  </si>
  <si>
    <t>96-0</t>
  </si>
  <si>
    <t>PO_0076988</t>
    <phoneticPr fontId="19" type="noConversion"/>
  </si>
  <si>
    <t xml:space="preserve">PO_0076838 </t>
    <phoneticPr fontId="19" type="noConversion"/>
  </si>
  <si>
    <t>PO_0076323</t>
    <phoneticPr fontId="19" type="noConversion"/>
  </si>
  <si>
    <t>PO_10013333</t>
  </si>
  <si>
    <t>32 short</t>
  </si>
  <si>
    <t>PO_10013333</t>
    <phoneticPr fontId="19" type="noConversion"/>
  </si>
  <si>
    <t>529-0</t>
  </si>
  <si>
    <t>men241220</t>
    <phoneticPr fontId="19" type="noConversion"/>
  </si>
  <si>
    <t>watermellon preroll packaging</t>
  </si>
  <si>
    <t>503-0</t>
  </si>
  <si>
    <t>504-0</t>
  </si>
  <si>
    <t>relabel POD 2024-12-23</t>
  </si>
  <si>
    <t>gelato 12*0.35</t>
  </si>
  <si>
    <t>115-0</t>
  </si>
  <si>
    <t>label POD 24-08</t>
  </si>
  <si>
    <t>PO_0077194</t>
    <phoneticPr fontId="0" type="noConversion"/>
  </si>
  <si>
    <t>PO_0077985 and PO_10013333 (32 SHORT)</t>
  </si>
  <si>
    <t>product development</t>
  </si>
  <si>
    <t>EX250110601</t>
  </si>
  <si>
    <t>EX25010601</t>
    <phoneticPr fontId="19" type="noConversion"/>
  </si>
  <si>
    <t>combining id 445</t>
  </si>
  <si>
    <t>labelling POD</t>
  </si>
  <si>
    <t>576-0</t>
  </si>
  <si>
    <t>PO_1025</t>
    <phoneticPr fontId="19" type="noConversion"/>
  </si>
  <si>
    <t>555-0</t>
  </si>
  <si>
    <t>PO_4500857152</t>
    <phoneticPr fontId="19" type="noConversion"/>
  </si>
  <si>
    <t>PO_1026</t>
  </si>
  <si>
    <t>586-0</t>
  </si>
  <si>
    <t>PO_1027</t>
    <phoneticPr fontId="19" type="noConversion"/>
  </si>
  <si>
    <t>526-0</t>
  </si>
  <si>
    <t>PO_73002</t>
    <phoneticPr fontId="19" type="noConversion"/>
  </si>
  <si>
    <t>528-0</t>
  </si>
  <si>
    <t>repackaging</t>
    <phoneticPr fontId="19" type="noConversion"/>
  </si>
  <si>
    <t>535-0</t>
  </si>
  <si>
    <t>533-0</t>
  </si>
  <si>
    <t>PO_brenda_Jan102025</t>
    <phoneticPr fontId="19" type="noConversion"/>
  </si>
  <si>
    <t>550-0</t>
  </si>
  <si>
    <t>PO_1028</t>
    <phoneticPr fontId="19" type="noConversion"/>
  </si>
  <si>
    <t>548-0</t>
  </si>
  <si>
    <t>PO_1029</t>
    <phoneticPr fontId="19" type="noConversion"/>
  </si>
  <si>
    <t>584-0</t>
  </si>
  <si>
    <t>replenish BC citrus inv_id_551</t>
    <phoneticPr fontId="19" type="noConversion"/>
  </si>
  <si>
    <t>steve250117</t>
    <phoneticPr fontId="19" type="noConversion"/>
  </si>
  <si>
    <t>PO_00022940</t>
  </si>
  <si>
    <t>202-0</t>
  </si>
  <si>
    <t>432-0</t>
  </si>
  <si>
    <t>625-0</t>
  </si>
  <si>
    <t>relabel POD for PO_440317</t>
  </si>
  <si>
    <t>PO_439660 AND PO_439454</t>
  </si>
  <si>
    <t>ON_casing_caninvid_549</t>
    <phoneticPr fontId="19" type="noConversion"/>
  </si>
  <si>
    <t>573-0</t>
  </si>
  <si>
    <t>PO_0077287_legacy250120</t>
  </si>
  <si>
    <t>relabel pod</t>
    <phoneticPr fontId="19" type="noConversion"/>
  </si>
  <si>
    <t>203-0</t>
  </si>
  <si>
    <t>PO_1030</t>
    <phoneticPr fontId="19" type="noConversion"/>
  </si>
  <si>
    <t>PO_4500858711</t>
  </si>
  <si>
    <t>gelato 28g</t>
    <phoneticPr fontId="19" type="noConversion"/>
  </si>
  <si>
    <t>27-0</t>
  </si>
  <si>
    <t>30-0</t>
  </si>
  <si>
    <t>PO_1031</t>
    <phoneticPr fontId="19" type="noConversion"/>
  </si>
  <si>
    <t>530-0</t>
  </si>
  <si>
    <t>626-0</t>
  </si>
  <si>
    <t>28-0</t>
  </si>
  <si>
    <t>31-0</t>
  </si>
  <si>
    <t>midnight kruntz 0.5g preroll</t>
    <phoneticPr fontId="19" type="noConversion"/>
  </si>
  <si>
    <t>574-0</t>
  </si>
  <si>
    <t>627-0</t>
  </si>
  <si>
    <t>628-0</t>
  </si>
  <si>
    <t>629-0</t>
  </si>
  <si>
    <t>630-0</t>
  </si>
  <si>
    <t>Gumdrop flower 7g</t>
    <phoneticPr fontId="19" type="noConversion"/>
  </si>
  <si>
    <t>540-0</t>
  </si>
  <si>
    <t>pressure pie flower 7g</t>
    <phoneticPr fontId="19" type="noConversion"/>
  </si>
  <si>
    <t>493-0</t>
  </si>
  <si>
    <t>495-0</t>
  </si>
  <si>
    <t>492-0</t>
  </si>
  <si>
    <t>milling PR2501</t>
    <phoneticPr fontId="19" type="noConversion"/>
  </si>
  <si>
    <t>542-0</t>
  </si>
  <si>
    <t>538-0</t>
  </si>
  <si>
    <t>539-0</t>
  </si>
  <si>
    <t>541-0</t>
  </si>
  <si>
    <t>milling PR2502</t>
    <phoneticPr fontId="19" type="noConversion"/>
  </si>
  <si>
    <t>498-0</t>
  </si>
  <si>
    <t>497-0</t>
  </si>
  <si>
    <t>543-0</t>
  </si>
  <si>
    <t>milling PR2503</t>
    <phoneticPr fontId="19" type="noConversion"/>
  </si>
  <si>
    <t>536-0</t>
  </si>
  <si>
    <t>PO_1032</t>
    <phoneticPr fontId="19" type="noConversion"/>
  </si>
  <si>
    <t>PO_1033</t>
    <phoneticPr fontId="19" type="noConversion"/>
  </si>
  <si>
    <t>572-0</t>
  </si>
  <si>
    <t>OFDMB250124</t>
    <phoneticPr fontId="19" type="noConversion"/>
  </si>
  <si>
    <t>PR2502F2</t>
  </si>
  <si>
    <t>634-0</t>
  </si>
  <si>
    <t>PO_1034</t>
  </si>
  <si>
    <t>99-0</t>
  </si>
  <si>
    <t>PO_1035</t>
  </si>
  <si>
    <t>123-0</t>
  </si>
  <si>
    <t>PO_0079171</t>
  </si>
  <si>
    <t>484-0</t>
  </si>
  <si>
    <t>322-0</t>
  </si>
  <si>
    <t>steve250130</t>
    <phoneticPr fontId="19" type="noConversion"/>
  </si>
  <si>
    <t>s1</t>
    <phoneticPr fontId="19" type="noConversion"/>
  </si>
  <si>
    <t>100-0</t>
  </si>
  <si>
    <t>s2</t>
    <phoneticPr fontId="19" type="noConversion"/>
  </si>
  <si>
    <t>PO_1036</t>
    <phoneticPr fontId="19" type="noConversion"/>
  </si>
  <si>
    <t>632-0</t>
  </si>
  <si>
    <t>PO_50040988</t>
    <phoneticPr fontId="19" type="noConversion"/>
  </si>
  <si>
    <t>591-0</t>
  </si>
  <si>
    <t>590-0</t>
  </si>
  <si>
    <t>589-0</t>
  </si>
  <si>
    <t>PO_444014</t>
    <phoneticPr fontId="19" type="noConversion"/>
  </si>
  <si>
    <t>PO_0079599</t>
    <phoneticPr fontId="19" type="noConversion"/>
  </si>
  <si>
    <t>486-0</t>
  </si>
  <si>
    <t>90-0</t>
  </si>
  <si>
    <t>PO_1037</t>
    <phoneticPr fontId="19" type="noConversion"/>
  </si>
  <si>
    <t>587-0</t>
  </si>
  <si>
    <t>588-0</t>
  </si>
  <si>
    <t>638-0</t>
  </si>
  <si>
    <t>639-0</t>
  </si>
  <si>
    <t>640-0</t>
  </si>
  <si>
    <t>concord grape vape</t>
    <phoneticPr fontId="19" type="noConversion"/>
  </si>
  <si>
    <t>636-0</t>
  </si>
  <si>
    <t>sample250207</t>
    <phoneticPr fontId="19" type="noConversion"/>
  </si>
  <si>
    <t xml:space="preserve">PO_Jan30-2025_Adar Vitis	</t>
    <phoneticPr fontId="19" type="noConversion"/>
  </si>
  <si>
    <t>PO_443748</t>
    <phoneticPr fontId="19" type="noConversion"/>
  </si>
  <si>
    <t>551-0</t>
  </si>
  <si>
    <t>PO_Jan30-2025_Adar Vitis (replace ON with BC stamps)</t>
    <phoneticPr fontId="19" type="noConversion"/>
  </si>
  <si>
    <t>chantelle250210</t>
    <phoneticPr fontId="19" type="noConversion"/>
  </si>
  <si>
    <t>rohan250211</t>
    <phoneticPr fontId="19" type="noConversion"/>
  </si>
  <si>
    <t>546-0</t>
  </si>
  <si>
    <t>PO_1038</t>
    <phoneticPr fontId="19" type="noConversion"/>
  </si>
  <si>
    <t>PO_1039</t>
    <phoneticPr fontId="19" type="noConversion"/>
  </si>
  <si>
    <t>preroll bulk</t>
    <phoneticPr fontId="19" type="noConversion"/>
  </si>
  <si>
    <t>633-0</t>
  </si>
  <si>
    <t>PO_1043-1</t>
    <phoneticPr fontId="19" type="noConversion"/>
  </si>
  <si>
    <t>PO_1040</t>
    <phoneticPr fontId="19" type="noConversion"/>
  </si>
  <si>
    <t>PO_1041</t>
    <phoneticPr fontId="19" type="noConversion"/>
  </si>
  <si>
    <t>145-0</t>
  </si>
  <si>
    <t>PO_1042</t>
    <phoneticPr fontId="19" type="noConversion"/>
  </si>
  <si>
    <t>PO_1044</t>
    <phoneticPr fontId="19" type="noConversion"/>
  </si>
  <si>
    <t>PO_448124</t>
    <phoneticPr fontId="19" type="noConversion"/>
  </si>
  <si>
    <t>645-0</t>
  </si>
  <si>
    <t>521-0</t>
  </si>
  <si>
    <t>545-0</t>
  </si>
  <si>
    <t xml:space="preserve">sample 12 units </t>
    <phoneticPr fontId="19" type="noConversion"/>
  </si>
  <si>
    <t>PO_446755</t>
    <phoneticPr fontId="19" type="noConversion"/>
  </si>
  <si>
    <t>mixing</t>
    <phoneticPr fontId="19" type="noConversion"/>
  </si>
  <si>
    <t>98-0</t>
  </si>
  <si>
    <t>rohan250214</t>
    <phoneticPr fontId="19" type="noConversion"/>
  </si>
  <si>
    <t>PO_00023005</t>
    <phoneticPr fontId="19" type="noConversion"/>
  </si>
  <si>
    <t>PO_03-021325</t>
    <phoneticPr fontId="19" type="noConversion"/>
  </si>
  <si>
    <t>labeling</t>
    <phoneticPr fontId="19" type="noConversion"/>
  </si>
  <si>
    <t>PO_1045</t>
    <phoneticPr fontId="19" type="noConversion"/>
  </si>
  <si>
    <t>max/extra strength rollon</t>
    <phoneticPr fontId="19" type="noConversion"/>
  </si>
  <si>
    <t>580-0</t>
  </si>
  <si>
    <t>579-0</t>
  </si>
  <si>
    <t>583-0</t>
  </si>
  <si>
    <t>581-0</t>
  </si>
  <si>
    <t>582-0</t>
  </si>
  <si>
    <t>jay250220</t>
    <phoneticPr fontId="19" type="noConversion"/>
  </si>
  <si>
    <t>619-0</t>
  </si>
  <si>
    <t>623-0</t>
  </si>
  <si>
    <t>620-0</t>
  </si>
  <si>
    <t>621-0</t>
  </si>
  <si>
    <t>622-0</t>
  </si>
  <si>
    <t>624-0</t>
  </si>
  <si>
    <t>617-0</t>
  </si>
  <si>
    <t>614-0</t>
  </si>
  <si>
    <t>612-0</t>
  </si>
  <si>
    <t>PO_73650, PO_10013382, PO_0080827</t>
    <phoneticPr fontId="19" type="noConversion"/>
  </si>
  <si>
    <t>PO_73650</t>
    <phoneticPr fontId="19" type="noConversion"/>
  </si>
  <si>
    <t>427-0</t>
  </si>
  <si>
    <t>522-0</t>
  </si>
  <si>
    <t>packaging gelato 28g</t>
    <phoneticPr fontId="19" type="noConversion"/>
  </si>
  <si>
    <t>25-0</t>
  </si>
  <si>
    <t>PO_1048</t>
    <phoneticPr fontId="19" type="noConversion"/>
  </si>
  <si>
    <t>29-0</t>
  </si>
  <si>
    <t>PO_1049</t>
    <phoneticPr fontId="19" type="noConversion"/>
  </si>
  <si>
    <t>26-0</t>
  </si>
  <si>
    <t>23-0</t>
  </si>
  <si>
    <t>PO_Terra_Jan15_2025</t>
    <phoneticPr fontId="19" type="noConversion"/>
  </si>
  <si>
    <t>KALEX25001</t>
    <phoneticPr fontId="19" type="noConversion"/>
  </si>
  <si>
    <t>556-0</t>
  </si>
  <si>
    <t>PO_0080827</t>
  </si>
  <si>
    <t>PO_73650</t>
  </si>
  <si>
    <t>637-0</t>
  </si>
  <si>
    <t>664-0</t>
  </si>
  <si>
    <t>S15</t>
    <phoneticPr fontId="19" type="noConversion"/>
  </si>
  <si>
    <t>658-0</t>
  </si>
  <si>
    <t>PO_1050</t>
    <phoneticPr fontId="19" type="noConversion"/>
  </si>
  <si>
    <t>655-0</t>
  </si>
  <si>
    <t>650-0</t>
  </si>
  <si>
    <t>680-0</t>
  </si>
  <si>
    <t>Danniel_testing</t>
    <phoneticPr fontId="19" type="noConversion"/>
  </si>
  <si>
    <t>675-0</t>
  </si>
  <si>
    <t>666-0</t>
  </si>
  <si>
    <t>PO_1051</t>
    <phoneticPr fontId="19" type="noConversion"/>
  </si>
  <si>
    <t>Burb repackaging</t>
    <phoneticPr fontId="19" type="noConversion"/>
  </si>
  <si>
    <t>644-0</t>
  </si>
  <si>
    <t>PO_0081218</t>
  </si>
  <si>
    <t>packaging Midnight Kruntz 7g</t>
    <phoneticPr fontId="19" type="noConversion"/>
  </si>
  <si>
    <t>rohan250305</t>
    <phoneticPr fontId="19" type="noConversion"/>
  </si>
  <si>
    <t>649-0</t>
  </si>
  <si>
    <t>PO_0080542</t>
    <phoneticPr fontId="19" type="noConversion"/>
  </si>
  <si>
    <t>657-0</t>
  </si>
  <si>
    <t>labelling for BCDD</t>
    <phoneticPr fontId="19" type="noConversion"/>
  </si>
  <si>
    <t>Steve250306</t>
    <phoneticPr fontId="19" type="noConversion"/>
  </si>
  <si>
    <t>PO_73650 (replacing 120 units of 426-0)</t>
    <phoneticPr fontId="19" type="noConversion"/>
  </si>
  <si>
    <t>630-0</t>
    <phoneticPr fontId="19" type="noConversion"/>
  </si>
  <si>
    <t>PO_4500862809</t>
    <phoneticPr fontId="19" type="noConversion"/>
  </si>
  <si>
    <t>728-0</t>
    <phoneticPr fontId="19" type="noConversion"/>
  </si>
  <si>
    <t>730-0</t>
    <phoneticPr fontId="19" type="noConversion"/>
  </si>
  <si>
    <t>729-0</t>
    <phoneticPr fontId="19" type="noConversion"/>
  </si>
  <si>
    <t>731-0</t>
    <phoneticPr fontId="19" type="noConversion"/>
  </si>
  <si>
    <t>732-0</t>
    <phoneticPr fontId="19" type="noConversion"/>
  </si>
  <si>
    <t>697-0</t>
    <phoneticPr fontId="19" type="noConversion"/>
  </si>
  <si>
    <t>641-0</t>
    <phoneticPr fontId="19" type="noConversion"/>
  </si>
  <si>
    <t>PO_1052</t>
    <phoneticPr fontId="19" type="noConversion"/>
  </si>
  <si>
    <t>656-0</t>
    <phoneticPr fontId="19" type="noConversion"/>
  </si>
  <si>
    <t>655-0</t>
    <phoneticPr fontId="19" type="noConversion"/>
  </si>
  <si>
    <t>625-0</t>
    <phoneticPr fontId="19" type="noConversion"/>
  </si>
  <si>
    <t>654-0</t>
    <phoneticPr fontId="19" type="noConversion"/>
  </si>
  <si>
    <t>164-0</t>
    <phoneticPr fontId="19" type="noConversion"/>
  </si>
  <si>
    <t>144-0</t>
    <phoneticPr fontId="19" type="noConversion"/>
  </si>
  <si>
    <t>143-0</t>
    <phoneticPr fontId="19" type="noConversion"/>
  </si>
  <si>
    <t>108-0</t>
    <phoneticPr fontId="19" type="noConversion"/>
  </si>
  <si>
    <t>637-0</t>
    <phoneticPr fontId="19" type="noConversion"/>
  </si>
  <si>
    <t>121-0</t>
    <phoneticPr fontId="19" type="noConversion"/>
  </si>
  <si>
    <t>572-0</t>
    <phoneticPr fontId="19" type="noConversion"/>
  </si>
  <si>
    <t>473-0</t>
    <phoneticPr fontId="19" type="noConversion"/>
  </si>
  <si>
    <t>665-0</t>
    <phoneticPr fontId="19" type="noConversion"/>
  </si>
  <si>
    <t>526-0</t>
    <phoneticPr fontId="19" type="noConversion"/>
  </si>
  <si>
    <t>626-0</t>
    <phoneticPr fontId="19" type="noConversion"/>
  </si>
  <si>
    <t>PO00001786</t>
    <phoneticPr fontId="19" type="noConversion"/>
  </si>
  <si>
    <t>2-0</t>
    <phoneticPr fontId="19" type="noConversion"/>
  </si>
  <si>
    <t>650-0</t>
    <phoneticPr fontId="19" type="noConversion"/>
  </si>
  <si>
    <t>663-0</t>
    <phoneticPr fontId="19" type="noConversion"/>
  </si>
  <si>
    <t>585-0</t>
    <phoneticPr fontId="19" type="noConversion"/>
  </si>
  <si>
    <t>664-0</t>
    <phoneticPr fontId="19" type="noConversion"/>
  </si>
  <si>
    <t>635-0</t>
    <phoneticPr fontId="19" type="noConversion"/>
  </si>
  <si>
    <t>446-0</t>
    <phoneticPr fontId="19" type="noConversion"/>
  </si>
  <si>
    <t>Animal Mint for PO00001786</t>
  </si>
  <si>
    <t>PO_1053</t>
    <phoneticPr fontId="19" type="noConversion"/>
  </si>
  <si>
    <t>502-0</t>
    <phoneticPr fontId="19" type="noConversion"/>
  </si>
  <si>
    <t>394-0</t>
    <phoneticPr fontId="19" type="noConversion"/>
  </si>
  <si>
    <t>PO_1056</t>
    <phoneticPr fontId="19" type="noConversion"/>
  </si>
  <si>
    <t>458-0</t>
    <phoneticPr fontId="19" type="noConversion"/>
  </si>
  <si>
    <t>662-0</t>
    <phoneticPr fontId="19" type="noConversion"/>
  </si>
  <si>
    <t>145-0</t>
    <phoneticPr fontId="19" type="noConversion"/>
  </si>
  <si>
    <t>734-0</t>
    <phoneticPr fontId="19" type="noConversion"/>
  </si>
  <si>
    <t>PO_1055</t>
    <phoneticPr fontId="19" type="noConversion"/>
  </si>
  <si>
    <t>555-0</t>
    <phoneticPr fontId="19" type="noConversion"/>
  </si>
  <si>
    <t>653-0</t>
    <phoneticPr fontId="19" type="noConversion"/>
  </si>
  <si>
    <t>322-0</t>
    <phoneticPr fontId="19" type="noConversion"/>
  </si>
  <si>
    <t>629-0</t>
    <phoneticPr fontId="19" type="noConversion"/>
  </si>
  <si>
    <t>PO_1057</t>
    <phoneticPr fontId="19" type="noConversion"/>
  </si>
  <si>
    <t>503-0</t>
    <phoneticPr fontId="19" type="noConversion"/>
  </si>
  <si>
    <t>relabelling POD</t>
    <phoneticPr fontId="19" type="noConversion"/>
  </si>
  <si>
    <t>523-0</t>
    <phoneticPr fontId="19" type="noConversion"/>
  </si>
  <si>
    <t>PO_1059</t>
    <phoneticPr fontId="19" type="noConversion"/>
  </si>
  <si>
    <t>PO_00023087</t>
    <phoneticPr fontId="19" type="noConversion"/>
  </si>
  <si>
    <t>PO_1060</t>
    <phoneticPr fontId="19" type="noConversion"/>
  </si>
  <si>
    <t>test run_Kanishk</t>
    <phoneticPr fontId="19" type="noConversion"/>
  </si>
  <si>
    <t>737-1</t>
    <phoneticPr fontId="19" type="noConversion"/>
  </si>
  <si>
    <t>735-0</t>
    <phoneticPr fontId="19" type="noConversion"/>
  </si>
  <si>
    <t>667-0</t>
    <phoneticPr fontId="19" type="noConversion"/>
  </si>
  <si>
    <t>644-0</t>
    <phoneticPr fontId="19" type="noConversion"/>
  </si>
  <si>
    <t>657-0</t>
    <phoneticPr fontId="19" type="noConversion"/>
  </si>
  <si>
    <t>640-0</t>
    <phoneticPr fontId="19" type="noConversion"/>
  </si>
  <si>
    <t>375-0</t>
    <phoneticPr fontId="19" type="noConversion"/>
  </si>
  <si>
    <t>late recording for sampling for steve</t>
    <phoneticPr fontId="19" type="noConversion"/>
  </si>
  <si>
    <t>722-0</t>
    <phoneticPr fontId="19" type="noConversion"/>
  </si>
  <si>
    <t>677-0</t>
    <phoneticPr fontId="19" type="noConversion"/>
  </si>
  <si>
    <t>680-0</t>
    <phoneticPr fontId="19" type="noConversion"/>
  </si>
  <si>
    <t>4-0</t>
    <phoneticPr fontId="19" type="noConversion"/>
  </si>
  <si>
    <t>658-0</t>
    <phoneticPr fontId="19" type="noConversion"/>
  </si>
  <si>
    <t>lot_rogex001g1</t>
    <phoneticPr fontId="19" type="noConversion"/>
  </si>
  <si>
    <t>545-0</t>
    <phoneticPr fontId="19" type="noConversion"/>
  </si>
  <si>
    <t>97-0</t>
    <phoneticPr fontId="19" type="noConversion"/>
  </si>
  <si>
    <t>PO_1062 and PO_1063</t>
    <phoneticPr fontId="19" type="noConversion"/>
  </si>
  <si>
    <t>486-0</t>
    <phoneticPr fontId="19" type="noConversion"/>
  </si>
  <si>
    <t>PO_1063</t>
    <phoneticPr fontId="19" type="noConversion"/>
  </si>
  <si>
    <t>458-1</t>
    <phoneticPr fontId="19" type="noConversion"/>
  </si>
  <si>
    <t>PO_1062</t>
    <phoneticPr fontId="19" type="noConversion"/>
  </si>
  <si>
    <t>PR2501F5</t>
    <phoneticPr fontId="19" type="noConversion"/>
  </si>
  <si>
    <t>633-0</t>
    <phoneticPr fontId="19" type="noConversion"/>
  </si>
  <si>
    <t>2024111803G7</t>
    <phoneticPr fontId="19" type="noConversion"/>
  </si>
  <si>
    <t>517-0</t>
    <phoneticPr fontId="19" type="noConversion"/>
  </si>
  <si>
    <t>Oksana showcase 1unit, will be returned</t>
    <phoneticPr fontId="19" type="noConversion"/>
  </si>
  <si>
    <t>sampling for Rollon</t>
    <phoneticPr fontId="19" type="noConversion"/>
  </si>
  <si>
    <t>646-0</t>
    <phoneticPr fontId="19" type="noConversion"/>
  </si>
  <si>
    <t>PO_1064</t>
    <phoneticPr fontId="19" type="noConversion"/>
  </si>
  <si>
    <t>78-0</t>
    <phoneticPr fontId="19" type="noConversion"/>
  </si>
  <si>
    <t>392-0</t>
    <phoneticPr fontId="19" type="noConversion"/>
  </si>
  <si>
    <t>145-1</t>
    <phoneticPr fontId="19" type="noConversion"/>
  </si>
  <si>
    <t>trinity250320</t>
    <phoneticPr fontId="19" type="noConversion"/>
  </si>
  <si>
    <t>448-0</t>
    <phoneticPr fontId="19" type="noConversion"/>
  </si>
  <si>
    <t>labeling 96 units of PR21071201G1</t>
    <phoneticPr fontId="19" type="noConversion"/>
  </si>
  <si>
    <t>123-0</t>
    <phoneticPr fontId="19" type="noConversion"/>
  </si>
  <si>
    <t>PO_1065</t>
    <phoneticPr fontId="19" type="noConversion"/>
  </si>
  <si>
    <t>sorting</t>
    <phoneticPr fontId="19" type="noConversion"/>
  </si>
  <si>
    <t>605-0</t>
    <phoneticPr fontId="19" type="noConversion"/>
  </si>
  <si>
    <t>616-0</t>
    <phoneticPr fontId="19" type="noConversion"/>
  </si>
  <si>
    <t>615-0</t>
    <phoneticPr fontId="19" type="noConversion"/>
  </si>
  <si>
    <t>606-0</t>
    <phoneticPr fontId="19" type="noConversion"/>
  </si>
  <si>
    <t>624-0</t>
    <phoneticPr fontId="19" type="noConversion"/>
  </si>
  <si>
    <t>613-0</t>
    <phoneticPr fontId="19" type="noConversion"/>
  </si>
  <si>
    <t>610-0</t>
    <phoneticPr fontId="19" type="noConversion"/>
  </si>
  <si>
    <t>736-0</t>
    <phoneticPr fontId="19" type="noConversion"/>
  </si>
  <si>
    <t>611-0</t>
    <phoneticPr fontId="19" type="noConversion"/>
  </si>
  <si>
    <t>607-0</t>
    <phoneticPr fontId="19" type="noConversion"/>
  </si>
  <si>
    <t>604-0</t>
    <phoneticPr fontId="19" type="noConversion"/>
  </si>
  <si>
    <t>608-0</t>
    <phoneticPr fontId="19" type="noConversion"/>
  </si>
  <si>
    <t>603-0</t>
    <phoneticPr fontId="19" type="noConversion"/>
  </si>
  <si>
    <t>600-0</t>
    <phoneticPr fontId="19" type="noConversion"/>
  </si>
  <si>
    <t>602-0</t>
    <phoneticPr fontId="19" type="noConversion"/>
  </si>
  <si>
    <t>601-0</t>
    <phoneticPr fontId="19" type="noConversion"/>
  </si>
  <si>
    <t>595-0</t>
    <phoneticPr fontId="19" type="noConversion"/>
  </si>
  <si>
    <t>594-0</t>
    <phoneticPr fontId="19" type="noConversion"/>
  </si>
  <si>
    <t>596-0</t>
    <phoneticPr fontId="19" type="noConversion"/>
  </si>
  <si>
    <t>599-0</t>
    <phoneticPr fontId="19" type="noConversion"/>
  </si>
  <si>
    <t>598-0</t>
    <phoneticPr fontId="19" type="noConversion"/>
  </si>
  <si>
    <t>597-0</t>
    <phoneticPr fontId="19" type="noConversion"/>
  </si>
  <si>
    <t>593-0</t>
    <phoneticPr fontId="19" type="noConversion"/>
  </si>
  <si>
    <t>592-0</t>
    <phoneticPr fontId="19" type="noConversion"/>
  </si>
  <si>
    <t>618-0</t>
    <phoneticPr fontId="19" type="noConversion"/>
  </si>
  <si>
    <t>609-0</t>
    <phoneticPr fontId="19" type="noConversion"/>
  </si>
  <si>
    <t>steve25320</t>
    <phoneticPr fontId="19" type="noConversion"/>
  </si>
  <si>
    <t>274-0</t>
    <phoneticPr fontId="19" type="noConversion"/>
  </si>
  <si>
    <t>273-0</t>
    <phoneticPr fontId="19" type="noConversion"/>
  </si>
  <si>
    <t>repackaging 14g flower</t>
    <phoneticPr fontId="19" type="noConversion"/>
  </si>
  <si>
    <t>292-0</t>
    <phoneticPr fontId="19" type="noConversion"/>
  </si>
  <si>
    <t>291-0</t>
    <phoneticPr fontId="19" type="noConversion"/>
  </si>
  <si>
    <t>PO_1066</t>
    <phoneticPr fontId="19" type="noConversion"/>
  </si>
  <si>
    <t>586-0</t>
    <phoneticPr fontId="19" type="noConversion"/>
  </si>
  <si>
    <t>491-0</t>
    <phoneticPr fontId="19" type="noConversion"/>
  </si>
  <si>
    <t>PO_0081913</t>
    <phoneticPr fontId="19" type="noConversion"/>
  </si>
  <si>
    <t>695-0</t>
    <phoneticPr fontId="19" type="noConversion"/>
  </si>
  <si>
    <t>sampling for Chantelle250321</t>
    <phoneticPr fontId="19" type="noConversion"/>
  </si>
  <si>
    <t>106-0</t>
    <phoneticPr fontId="19" type="noConversion"/>
  </si>
  <si>
    <t>659-0</t>
    <phoneticPr fontId="19" type="noConversion"/>
  </si>
  <si>
    <t>sampling for Chantelle250321_blaster</t>
    <phoneticPr fontId="19" type="noConversion"/>
  </si>
  <si>
    <t>465-0</t>
    <phoneticPr fontId="19" type="noConversion"/>
  </si>
  <si>
    <t>90-0</t>
    <phoneticPr fontId="19" type="noConversion"/>
  </si>
  <si>
    <t>36-0</t>
    <phoneticPr fontId="19" type="noConversion"/>
  </si>
  <si>
    <t>29-0</t>
    <phoneticPr fontId="19" type="noConversion"/>
  </si>
  <si>
    <t>26-0</t>
    <phoneticPr fontId="19" type="noConversion"/>
  </si>
  <si>
    <t>PO_1067</t>
    <phoneticPr fontId="19" type="noConversion"/>
  </si>
  <si>
    <t>sampling for Chantelle250321_concord grape</t>
    <phoneticPr fontId="19" type="noConversion"/>
  </si>
  <si>
    <t>636-0</t>
    <phoneticPr fontId="19" type="noConversion"/>
  </si>
  <si>
    <t>milling</t>
    <phoneticPr fontId="19" type="noConversion"/>
  </si>
  <si>
    <t>741-1</t>
    <phoneticPr fontId="19" type="noConversion"/>
  </si>
  <si>
    <t>639-0</t>
    <phoneticPr fontId="19" type="noConversion"/>
  </si>
  <si>
    <t>2025-03-25- INVMVT</t>
  </si>
  <si>
    <t>713-0</t>
    <phoneticPr fontId="19" type="noConversion"/>
  </si>
  <si>
    <t>715-0</t>
    <phoneticPr fontId="19" type="noConversion"/>
  </si>
  <si>
    <t>midnight kruntz 7g flower</t>
    <phoneticPr fontId="19" type="noConversion"/>
  </si>
  <si>
    <t>529-4</t>
    <phoneticPr fontId="19" type="noConversion"/>
  </si>
  <si>
    <t>PO_1068</t>
    <phoneticPr fontId="19" type="noConversion"/>
  </si>
  <si>
    <t>143-1</t>
    <phoneticPr fontId="19" type="noConversion"/>
  </si>
  <si>
    <t>472-0</t>
    <phoneticPr fontId="19" type="noConversion"/>
  </si>
  <si>
    <t>sampling Steve250327</t>
    <phoneticPr fontId="19" type="noConversion"/>
  </si>
  <si>
    <t>667-1</t>
    <phoneticPr fontId="19" type="noConversion"/>
  </si>
  <si>
    <t>PO-0080542</t>
    <phoneticPr fontId="19" type="noConversion"/>
  </si>
  <si>
    <t>640-1</t>
    <phoneticPr fontId="19" type="noConversion"/>
  </si>
  <si>
    <t>100-0</t>
    <phoneticPr fontId="19" type="noConversion"/>
  </si>
  <si>
    <t>PO_0082545</t>
    <phoneticPr fontId="19" type="noConversion"/>
  </si>
  <si>
    <t>121-1</t>
    <phoneticPr fontId="19" type="noConversion"/>
  </si>
  <si>
    <t>Rohan250328</t>
    <phoneticPr fontId="19" type="noConversion"/>
  </si>
  <si>
    <t>743-0</t>
    <phoneticPr fontId="19" type="noConversion"/>
  </si>
  <si>
    <t>591-0</t>
    <phoneticPr fontId="19" type="noConversion"/>
  </si>
  <si>
    <t>109-0</t>
    <phoneticPr fontId="19" type="noConversion"/>
  </si>
  <si>
    <t>741-2</t>
    <phoneticPr fontId="19" type="noConversion"/>
  </si>
  <si>
    <t>536-0</t>
    <phoneticPr fontId="19" type="noConversion"/>
  </si>
  <si>
    <t>543-0</t>
    <phoneticPr fontId="19" type="noConversion"/>
  </si>
  <si>
    <t>544-0</t>
    <phoneticPr fontId="19" type="noConversion"/>
  </si>
  <si>
    <t>537-0</t>
    <phoneticPr fontId="19" type="noConversion"/>
  </si>
  <si>
    <t>492-0</t>
    <phoneticPr fontId="19" type="noConversion"/>
  </si>
  <si>
    <t>496-0</t>
    <phoneticPr fontId="19" type="noConversion"/>
  </si>
  <si>
    <t>499-0</t>
    <phoneticPr fontId="19" type="noConversion"/>
  </si>
  <si>
    <t>650-1</t>
    <phoneticPr fontId="19" type="noConversion"/>
  </si>
  <si>
    <t>734-1</t>
    <phoneticPr fontId="19" type="noConversion"/>
  </si>
  <si>
    <t>NN25040101</t>
    <phoneticPr fontId="19" type="noConversion"/>
  </si>
  <si>
    <t>463-0</t>
    <phoneticPr fontId="19" type="noConversion"/>
  </si>
  <si>
    <t>vape filling</t>
    <phoneticPr fontId="19" type="noConversion"/>
  </si>
  <si>
    <t>520-0</t>
    <phoneticPr fontId="19" type="noConversion"/>
  </si>
  <si>
    <t>143-2</t>
    <phoneticPr fontId="19" type="noConversion"/>
  </si>
  <si>
    <t>CRA</t>
    <phoneticPr fontId="19" type="noConversion"/>
  </si>
  <si>
    <t>PO_476527_OFDMB</t>
    <phoneticPr fontId="19" type="noConversion"/>
  </si>
  <si>
    <t>683-0</t>
    <phoneticPr fontId="19" type="noConversion"/>
  </si>
  <si>
    <t>158-0</t>
    <phoneticPr fontId="19" type="noConversion"/>
  </si>
  <si>
    <t>744-2</t>
    <phoneticPr fontId="19" type="noConversion"/>
  </si>
  <si>
    <t>744-3</t>
    <phoneticPr fontId="19" type="noConversion"/>
  </si>
  <si>
    <t>121-2</t>
    <phoneticPr fontId="19" type="noConversion"/>
  </si>
  <si>
    <t>shao250403</t>
    <phoneticPr fontId="19" type="noConversion"/>
  </si>
  <si>
    <t>420-0</t>
    <phoneticPr fontId="19" type="noConversion"/>
  </si>
  <si>
    <t>745-1</t>
    <phoneticPr fontId="19" type="noConversion"/>
  </si>
  <si>
    <t>PO_1076</t>
    <phoneticPr fontId="19" type="noConversion"/>
  </si>
  <si>
    <t>637-1</t>
    <phoneticPr fontId="19" type="noConversion"/>
  </si>
  <si>
    <t>529-0</t>
    <phoneticPr fontId="19" type="noConversion"/>
  </si>
  <si>
    <t>PR2514F5P5</t>
    <phoneticPr fontId="19" type="noConversion"/>
  </si>
  <si>
    <t>591-1</t>
    <phoneticPr fontId="19" type="noConversion"/>
  </si>
  <si>
    <t>737-5</t>
  </si>
  <si>
    <t>737-2</t>
  </si>
  <si>
    <t>97-1</t>
  </si>
  <si>
    <t>PO_Burb2025040201</t>
    <phoneticPr fontId="19" type="noConversion"/>
  </si>
  <si>
    <t>536-1</t>
    <phoneticPr fontId="19" type="noConversion"/>
  </si>
  <si>
    <t>537-1</t>
    <phoneticPr fontId="19" type="noConversion"/>
  </si>
  <si>
    <t>492-1</t>
    <phoneticPr fontId="19" type="noConversion"/>
  </si>
  <si>
    <t>rohan250407</t>
    <phoneticPr fontId="19" type="noConversion"/>
  </si>
  <si>
    <t>PO_1077 replacement</t>
    <phoneticPr fontId="19" type="noConversion"/>
  </si>
  <si>
    <t>626-1</t>
    <phoneticPr fontId="19" type="noConversion"/>
  </si>
  <si>
    <t>rohan250408_rockstar 0.5g</t>
    <phoneticPr fontId="19" type="noConversion"/>
  </si>
  <si>
    <t>741-3</t>
    <phoneticPr fontId="19" type="noConversion"/>
  </si>
  <si>
    <t xml:space="preserve">PO_1077 </t>
    <phoneticPr fontId="19" type="noConversion"/>
  </si>
  <si>
    <t>584-0</t>
    <phoneticPr fontId="19" type="noConversion"/>
  </si>
  <si>
    <t>PO_1078</t>
    <phoneticPr fontId="19" type="noConversion"/>
  </si>
  <si>
    <t>742-0</t>
    <phoneticPr fontId="19" type="noConversion"/>
  </si>
  <si>
    <t>398-0</t>
    <phoneticPr fontId="19" type="noConversion"/>
  </si>
  <si>
    <t>735-1</t>
    <phoneticPr fontId="19" type="noConversion"/>
  </si>
  <si>
    <t>PO_1077</t>
    <phoneticPr fontId="19" type="noConversion"/>
  </si>
  <si>
    <t>PO_1079</t>
    <phoneticPr fontId="19" type="noConversion"/>
  </si>
  <si>
    <t>PO_1080</t>
    <phoneticPr fontId="19" type="noConversion"/>
  </si>
  <si>
    <t>PO_1081</t>
  </si>
  <si>
    <t>552-0</t>
    <phoneticPr fontId="19" type="noConversion"/>
  </si>
  <si>
    <t>709-0</t>
    <phoneticPr fontId="19" type="noConversion"/>
  </si>
  <si>
    <t>PO_479204</t>
    <phoneticPr fontId="19" type="noConversion"/>
  </si>
  <si>
    <t>153-0</t>
    <phoneticPr fontId="19" type="noConversion"/>
  </si>
  <si>
    <t>738-1</t>
    <phoneticPr fontId="19" type="noConversion"/>
  </si>
  <si>
    <t>739-1</t>
    <phoneticPr fontId="19" type="noConversion"/>
  </si>
  <si>
    <t>PR2513F5 AND PR2513F5</t>
    <phoneticPr fontId="19" type="noConversion"/>
  </si>
  <si>
    <t>738-0</t>
    <phoneticPr fontId="19" type="noConversion"/>
  </si>
  <si>
    <t>PO_1085</t>
    <phoneticPr fontId="19" type="noConversion"/>
  </si>
  <si>
    <t>Canadian OG</t>
    <phoneticPr fontId="19" type="noConversion"/>
  </si>
  <si>
    <t>506-0</t>
    <phoneticPr fontId="19" type="noConversion"/>
  </si>
  <si>
    <t>746-0</t>
    <phoneticPr fontId="19" type="noConversion"/>
  </si>
  <si>
    <t>PO_1084</t>
    <phoneticPr fontId="19" type="noConversion"/>
  </si>
  <si>
    <t>PO_1086</t>
    <phoneticPr fontId="19" type="noConversion"/>
  </si>
  <si>
    <t>747-1</t>
    <phoneticPr fontId="19" type="noConversion"/>
  </si>
  <si>
    <t>PO_1083</t>
    <phoneticPr fontId="19" type="noConversion"/>
  </si>
  <si>
    <t>432-0</t>
    <phoneticPr fontId="19" type="noConversion"/>
  </si>
  <si>
    <t>PO_1082</t>
    <phoneticPr fontId="19" type="noConversion"/>
  </si>
  <si>
    <t>PO_1087</t>
    <phoneticPr fontId="19" type="noConversion"/>
  </si>
  <si>
    <t>LABELLING</t>
    <phoneticPr fontId="19" type="noConversion"/>
  </si>
  <si>
    <t>2025-04-08-INVMVT</t>
    <phoneticPr fontId="19" type="noConversion"/>
  </si>
  <si>
    <t>719-0</t>
    <phoneticPr fontId="19" type="noConversion"/>
  </si>
  <si>
    <t>720-0</t>
    <phoneticPr fontId="19" type="noConversion"/>
  </si>
  <si>
    <t>PO_1088</t>
    <phoneticPr fontId="19" type="noConversion"/>
  </si>
  <si>
    <t>PR241105F5, POD250416</t>
    <phoneticPr fontId="19" type="noConversion"/>
  </si>
  <si>
    <t>474-0</t>
    <phoneticPr fontId="19" type="noConversion"/>
  </si>
  <si>
    <t>488-0</t>
    <phoneticPr fontId="19" type="noConversion"/>
  </si>
  <si>
    <t>475-0</t>
    <phoneticPr fontId="19" type="noConversion"/>
  </si>
  <si>
    <t>145-2</t>
    <phoneticPr fontId="19" type="noConversion"/>
  </si>
  <si>
    <t>205-0</t>
    <phoneticPr fontId="19" type="noConversion"/>
  </si>
  <si>
    <t>434-0</t>
    <phoneticPr fontId="19" type="noConversion"/>
  </si>
  <si>
    <t>529-1</t>
    <phoneticPr fontId="19" type="noConversion"/>
  </si>
  <si>
    <t>PR241103F3P3, POD 250414</t>
    <phoneticPr fontId="19" type="noConversion"/>
  </si>
  <si>
    <t>460-0</t>
    <phoneticPr fontId="19" type="noConversion"/>
  </si>
  <si>
    <t>PR21071201G1, POD 250319</t>
    <phoneticPr fontId="19" type="noConversion"/>
  </si>
  <si>
    <t>PO_00023156</t>
    <phoneticPr fontId="19" type="noConversion"/>
  </si>
  <si>
    <t>134-0</t>
    <phoneticPr fontId="19" type="noConversion"/>
  </si>
  <si>
    <t>11-0</t>
    <phoneticPr fontId="19" type="noConversion"/>
  </si>
  <si>
    <t>PO_1094</t>
    <phoneticPr fontId="19" type="noConversion"/>
  </si>
  <si>
    <t>529-2</t>
    <phoneticPr fontId="19" type="noConversion"/>
  </si>
  <si>
    <t>PO_1091</t>
    <phoneticPr fontId="19" type="noConversion"/>
  </si>
  <si>
    <t>PO_1092</t>
    <phoneticPr fontId="19" type="noConversion"/>
  </si>
  <si>
    <t>PO_1093</t>
    <phoneticPr fontId="19" type="noConversion"/>
  </si>
  <si>
    <t>PR2502F5P5</t>
    <phoneticPr fontId="19" type="noConversion"/>
  </si>
  <si>
    <t>634-0</t>
    <phoneticPr fontId="19" type="noConversion"/>
  </si>
  <si>
    <t>PO_483395</t>
    <phoneticPr fontId="19" type="noConversion"/>
  </si>
  <si>
    <t>748-1</t>
    <phoneticPr fontId="19" type="noConversion"/>
  </si>
  <si>
    <t>531-0</t>
    <phoneticPr fontId="19" type="noConversion"/>
  </si>
  <si>
    <t>748-4</t>
    <phoneticPr fontId="19" type="noConversion"/>
  </si>
  <si>
    <t>652-0</t>
    <phoneticPr fontId="19" type="noConversion"/>
  </si>
  <si>
    <t>28-0</t>
    <phoneticPr fontId="19" type="noConversion"/>
  </si>
  <si>
    <t>96-0</t>
    <phoneticPr fontId="19" type="noConversion"/>
  </si>
  <si>
    <t>PO_484344</t>
    <phoneticPr fontId="19" type="noConversion"/>
  </si>
  <si>
    <t>PO_PrairieDDwt20250416</t>
  </si>
  <si>
    <t>673-0</t>
    <phoneticPr fontId="19" type="noConversion"/>
  </si>
  <si>
    <t>733-0</t>
    <phoneticPr fontId="19" type="noConversion"/>
  </si>
  <si>
    <t>670-0</t>
    <phoneticPr fontId="19" type="noConversion"/>
  </si>
  <si>
    <t>674-0</t>
    <phoneticPr fontId="19" type="noConversion"/>
  </si>
  <si>
    <t>676-0</t>
    <phoneticPr fontId="19" type="noConversion"/>
  </si>
  <si>
    <t>698-0</t>
    <phoneticPr fontId="19" type="noConversion"/>
  </si>
  <si>
    <t>699-0</t>
    <phoneticPr fontId="19" type="noConversion"/>
  </si>
  <si>
    <t>707-0</t>
    <phoneticPr fontId="19" type="noConversion"/>
  </si>
  <si>
    <t>711-0</t>
    <phoneticPr fontId="19" type="noConversion"/>
  </si>
  <si>
    <t>PO_489905</t>
    <phoneticPr fontId="19" type="noConversion"/>
  </si>
  <si>
    <t>Rohan250501</t>
    <phoneticPr fontId="19" type="noConversion"/>
  </si>
  <si>
    <t>PO_1106</t>
    <phoneticPr fontId="19" type="noConversion"/>
  </si>
  <si>
    <t>PO_1105</t>
    <phoneticPr fontId="19" type="noConversion"/>
  </si>
  <si>
    <t>650-6</t>
    <phoneticPr fontId="19" type="noConversion"/>
  </si>
  <si>
    <t>PO_486521</t>
    <phoneticPr fontId="19" type="noConversion"/>
  </si>
  <si>
    <t>gelato 3x0.5g</t>
    <phoneticPr fontId="19" type="noConversion"/>
  </si>
  <si>
    <t>125-0</t>
    <phoneticPr fontId="19" type="noConversion"/>
  </si>
  <si>
    <t>126-0</t>
    <phoneticPr fontId="19" type="noConversion"/>
  </si>
  <si>
    <t>128-0</t>
    <phoneticPr fontId="19" type="noConversion"/>
  </si>
  <si>
    <t>129-0</t>
    <phoneticPr fontId="19" type="noConversion"/>
  </si>
  <si>
    <t>PO_1108</t>
    <phoneticPr fontId="19" type="noConversion"/>
  </si>
  <si>
    <t>750-1</t>
    <phoneticPr fontId="19" type="noConversion"/>
  </si>
  <si>
    <t>PO_1107</t>
    <phoneticPr fontId="19" type="noConversion"/>
  </si>
  <si>
    <t>PO_1109</t>
    <phoneticPr fontId="19" type="noConversion"/>
  </si>
  <si>
    <t>650-2</t>
    <phoneticPr fontId="19" type="noConversion"/>
  </si>
  <si>
    <t>747-2</t>
    <phoneticPr fontId="19" type="noConversion"/>
  </si>
  <si>
    <t>756-1</t>
    <phoneticPr fontId="19" type="noConversion"/>
  </si>
  <si>
    <t>650-5</t>
    <phoneticPr fontId="19" type="noConversion"/>
  </si>
  <si>
    <t>aviator_sampling250505</t>
    <phoneticPr fontId="19" type="noConversion"/>
  </si>
  <si>
    <t>PO_490740</t>
    <phoneticPr fontId="19" type="noConversion"/>
  </si>
  <si>
    <t>multipack</t>
    <phoneticPr fontId="19" type="noConversion"/>
  </si>
  <si>
    <t>97-1</t>
    <phoneticPr fontId="19" type="noConversion"/>
  </si>
  <si>
    <t>755-0</t>
    <phoneticPr fontId="19" type="noConversion"/>
  </si>
  <si>
    <t>PO_492696</t>
    <phoneticPr fontId="19" type="noConversion"/>
  </si>
  <si>
    <t>71-0</t>
    <phoneticPr fontId="19" type="noConversion"/>
  </si>
  <si>
    <t>23-0</t>
    <phoneticPr fontId="19" type="noConversion"/>
  </si>
  <si>
    <t>529-3</t>
    <phoneticPr fontId="19" type="noConversion"/>
  </si>
  <si>
    <t>743-1</t>
  </si>
  <si>
    <t>291-1</t>
    <phoneticPr fontId="19" type="noConversion"/>
  </si>
  <si>
    <t>272-0</t>
    <phoneticPr fontId="19" type="noConversion"/>
  </si>
  <si>
    <t>288-0</t>
    <phoneticPr fontId="19" type="noConversion"/>
  </si>
  <si>
    <t>289-0</t>
    <phoneticPr fontId="19" type="noConversion"/>
  </si>
  <si>
    <t>290-0</t>
    <phoneticPr fontId="19" type="noConversion"/>
  </si>
  <si>
    <t>744-4</t>
    <phoneticPr fontId="19" type="noConversion"/>
  </si>
  <si>
    <t>PO_1110</t>
    <phoneticPr fontId="19" type="noConversion"/>
  </si>
  <si>
    <t>757-0</t>
    <phoneticPr fontId="19" type="noConversion"/>
  </si>
  <si>
    <t>752-1</t>
    <phoneticPr fontId="19" type="noConversion"/>
  </si>
  <si>
    <t>759-0</t>
    <phoneticPr fontId="19" type="noConversion"/>
  </si>
  <si>
    <t>129-1</t>
    <phoneticPr fontId="19" type="noConversion"/>
  </si>
  <si>
    <t>534-0</t>
    <phoneticPr fontId="19" type="noConversion"/>
  </si>
  <si>
    <t>737-6</t>
    <phoneticPr fontId="19" type="noConversion"/>
  </si>
  <si>
    <t>737-4</t>
    <phoneticPr fontId="19" type="noConversion"/>
  </si>
  <si>
    <t>PO_1112</t>
    <phoneticPr fontId="19" type="noConversion"/>
  </si>
  <si>
    <t>746-1</t>
    <phoneticPr fontId="19" type="noConversion"/>
  </si>
  <si>
    <t>761-1</t>
    <phoneticPr fontId="19" type="noConversion"/>
  </si>
  <si>
    <t>646-0</t>
  </si>
  <si>
    <t>646-1</t>
  </si>
  <si>
    <t>585-0</t>
  </si>
  <si>
    <t>145-2</t>
  </si>
  <si>
    <t>134-1</t>
    <phoneticPr fontId="19" type="noConversion"/>
  </si>
  <si>
    <t>139-0</t>
    <phoneticPr fontId="19" type="noConversion"/>
  </si>
  <si>
    <t>118-0</t>
    <phoneticPr fontId="19" type="noConversion"/>
  </si>
  <si>
    <t>115-0</t>
    <phoneticPr fontId="19" type="noConversion"/>
  </si>
  <si>
    <t>754-0</t>
    <phoneticPr fontId="19" type="noConversion"/>
  </si>
  <si>
    <t>758-0</t>
    <phoneticPr fontId="19" type="noConversion"/>
  </si>
  <si>
    <t>734-2</t>
    <phoneticPr fontId="19" type="noConversion"/>
  </si>
  <si>
    <t>762-0</t>
  </si>
  <si>
    <t>534-0</t>
  </si>
  <si>
    <t>748-2</t>
  </si>
  <si>
    <t>129-1</t>
  </si>
  <si>
    <t>761-7</t>
  </si>
  <si>
    <t>637-2</t>
  </si>
  <si>
    <t>747-2</t>
  </si>
  <si>
    <t>747-3</t>
  </si>
  <si>
    <t>742-0</t>
  </si>
  <si>
    <t>746-1</t>
  </si>
  <si>
    <t>756-1</t>
  </si>
  <si>
    <t>761-5</t>
  </si>
  <si>
    <t>757-0</t>
  </si>
  <si>
    <t>PO_1117</t>
    <phoneticPr fontId="19" type="noConversion"/>
  </si>
  <si>
    <t>637-2</t>
    <phoneticPr fontId="19" type="noConversion"/>
  </si>
  <si>
    <t>109-1</t>
    <phoneticPr fontId="19" type="noConversion"/>
  </si>
  <si>
    <t>761-6</t>
    <phoneticPr fontId="19" type="noConversion"/>
  </si>
  <si>
    <t>761-5</t>
    <phoneticPr fontId="19" type="noConversion"/>
  </si>
  <si>
    <t>761-7</t>
    <phoneticPr fontId="19" type="noConversion"/>
  </si>
  <si>
    <t>761-8</t>
    <phoneticPr fontId="19" type="noConversion"/>
  </si>
  <si>
    <t>762-0</t>
    <phoneticPr fontId="19" type="noConversion"/>
  </si>
  <si>
    <t>747-3</t>
    <phoneticPr fontId="19" type="noConversion"/>
  </si>
  <si>
    <t>737-3</t>
  </si>
  <si>
    <t>659-0</t>
  </si>
  <si>
    <t>765-1</t>
  </si>
  <si>
    <t>768-1</t>
  </si>
  <si>
    <t>768-2</t>
  </si>
  <si>
    <t>PO_500367</t>
  </si>
  <si>
    <t>745-1</t>
  </si>
  <si>
    <t>591-1</t>
  </si>
  <si>
    <t>764-1</t>
  </si>
  <si>
    <t>PO_10013478</t>
  </si>
  <si>
    <t>734-0</t>
  </si>
  <si>
    <t>752-1</t>
  </si>
  <si>
    <t>761-9</t>
  </si>
  <si>
    <t>761-1</t>
  </si>
  <si>
    <t>761-10</t>
  </si>
  <si>
    <t>653-0</t>
  </si>
  <si>
    <t>753-0</t>
  </si>
  <si>
    <t>752-2</t>
  </si>
  <si>
    <t>748-3</t>
  </si>
  <si>
    <t>PO_1022</t>
  </si>
  <si>
    <t>742-1</t>
  </si>
  <si>
    <t>737-4</t>
  </si>
  <si>
    <t>PO_1121</t>
  </si>
  <si>
    <t>108-1</t>
  </si>
  <si>
    <t>PO_1121 AND PO_502181</t>
  </si>
  <si>
    <t>PO_05-052225</t>
  </si>
  <si>
    <t>746-0</t>
  </si>
  <si>
    <t>766-1</t>
  </si>
  <si>
    <t>761-6</t>
  </si>
  <si>
    <t>578-0</t>
  </si>
  <si>
    <t>641-0</t>
  </si>
  <si>
    <t>HUI250528</t>
  </si>
  <si>
    <t>PR2502IN</t>
  </si>
  <si>
    <t>769-0</t>
  </si>
  <si>
    <t>685-0</t>
  </si>
  <si>
    <t>683-0</t>
  </si>
  <si>
    <t>684-0</t>
  </si>
  <si>
    <t>677-0</t>
  </si>
  <si>
    <t>rohan250529</t>
  </si>
  <si>
    <t>763-0</t>
  </si>
  <si>
    <t>667-1</t>
  </si>
  <si>
    <t>PO_503981</t>
  </si>
  <si>
    <t>586-1</t>
  </si>
  <si>
    <t>586-2</t>
  </si>
  <si>
    <t>swap with Craft Greenery PO for new POD</t>
  </si>
  <si>
    <t>734-2</t>
  </si>
  <si>
    <t>PO_1125</t>
  </si>
  <si>
    <t>PO_1123</t>
  </si>
  <si>
    <t>PO_1124</t>
  </si>
  <si>
    <t>RTV_PO_1120</t>
  </si>
  <si>
    <t>blueberry blaster</t>
  </si>
  <si>
    <t>764-0</t>
  </si>
  <si>
    <t>143-2</t>
  </si>
  <si>
    <t>756-2</t>
  </si>
  <si>
    <t>757-1</t>
  </si>
  <si>
    <t>665-0</t>
  </si>
  <si>
    <t>750-1</t>
  </si>
  <si>
    <t>760-1</t>
  </si>
  <si>
    <t>760-2</t>
  </si>
  <si>
    <t>760-0</t>
  </si>
  <si>
    <t>760-4</t>
  </si>
  <si>
    <t>760-3</t>
  </si>
  <si>
    <t>ROHAN250605_20 prerolls</t>
  </si>
  <si>
    <t>770-1</t>
  </si>
  <si>
    <t>758-0</t>
  </si>
  <si>
    <t>751-1</t>
  </si>
  <si>
    <t>751-2</t>
  </si>
  <si>
    <t>746-2</t>
  </si>
  <si>
    <t>741-2</t>
  </si>
  <si>
    <t>PO_1128</t>
  </si>
  <si>
    <t>PO_1129</t>
  </si>
  <si>
    <t>650-4</t>
  </si>
  <si>
    <t>PO_1130</t>
  </si>
  <si>
    <t>734-3</t>
  </si>
  <si>
    <t>OKSANA250610</t>
  </si>
  <si>
    <t>654-0</t>
  </si>
  <si>
    <t>739-2</t>
  </si>
  <si>
    <t>BIAO250612</t>
  </si>
  <si>
    <t>650-5</t>
  </si>
  <si>
    <t>PO_1133 AND PO_1134</t>
  </si>
  <si>
    <t>744-6</t>
  </si>
  <si>
    <t>744-5</t>
  </si>
  <si>
    <t>767-2</t>
  </si>
  <si>
    <t>PO_1136</t>
  </si>
  <si>
    <t>624-1</t>
  </si>
  <si>
    <t>529-4</t>
  </si>
  <si>
    <t>rohan20250613</t>
  </si>
  <si>
    <t>773-1</t>
  </si>
  <si>
    <t>741-1</t>
  </si>
  <si>
    <t>741-4</t>
  </si>
  <si>
    <t>775-0</t>
  </si>
  <si>
    <t>PO_1139</t>
  </si>
  <si>
    <t>151-0</t>
  </si>
  <si>
    <t>PO_75310</t>
  </si>
  <si>
    <t>756-3</t>
  </si>
  <si>
    <t>SKDD</t>
  </si>
  <si>
    <t>676-0</t>
  </si>
  <si>
    <t>670-0</t>
  </si>
  <si>
    <t>destru</t>
  </si>
  <si>
    <t>718-0</t>
  </si>
  <si>
    <t>717-0</t>
  </si>
  <si>
    <t>716-0</t>
  </si>
  <si>
    <t>700-0</t>
  </si>
  <si>
    <t>714-0</t>
  </si>
  <si>
    <t>674-0</t>
  </si>
  <si>
    <t>702-0</t>
  </si>
  <si>
    <t>704-0</t>
  </si>
  <si>
    <t>705-0</t>
  </si>
  <si>
    <t>733-0</t>
  </si>
  <si>
    <t>703-0</t>
  </si>
  <si>
    <t>59-0</t>
  </si>
  <si>
    <t>60-0</t>
  </si>
  <si>
    <t>58-0</t>
  </si>
  <si>
    <t>52-0</t>
  </si>
  <si>
    <t>57-0</t>
  </si>
  <si>
    <t>PO_1140</t>
  </si>
  <si>
    <t>738-0</t>
  </si>
  <si>
    <t>737-8</t>
  </si>
  <si>
    <t>737-7</t>
  </si>
  <si>
    <t>rohan250526</t>
  </si>
  <si>
    <t>774-1</t>
  </si>
  <si>
    <t>PO_1142</t>
  </si>
  <si>
    <t>PO_10013513</t>
  </si>
  <si>
    <t>761-8</t>
  </si>
  <si>
    <t>761-4</t>
  </si>
  <si>
    <t>761-3</t>
  </si>
  <si>
    <t>665-1</t>
  </si>
  <si>
    <t>53-0</t>
  </si>
  <si>
    <t>529-1</t>
  </si>
  <si>
    <t>PO_1146</t>
  </si>
  <si>
    <t>PO_517602</t>
  </si>
  <si>
    <t>652-0</t>
  </si>
  <si>
    <t>109-1</t>
  </si>
  <si>
    <t>637-3</t>
  </si>
  <si>
    <t>PO_1147</t>
  </si>
  <si>
    <t>PO_50046309</t>
  </si>
  <si>
    <t>777-1</t>
  </si>
  <si>
    <t>777-2</t>
  </si>
  <si>
    <t>777-3</t>
  </si>
  <si>
    <t>777-4</t>
  </si>
  <si>
    <t>777-5</t>
  </si>
  <si>
    <t>777-6</t>
  </si>
  <si>
    <t>777-7</t>
  </si>
  <si>
    <t>759-2</t>
  </si>
  <si>
    <t>759-3</t>
  </si>
  <si>
    <t>759-4</t>
  </si>
  <si>
    <t>759-5</t>
  </si>
  <si>
    <t>759-1</t>
  </si>
  <si>
    <t>BCDD inv replenishment</t>
  </si>
  <si>
    <t>outbound</t>
  </si>
  <si>
    <t>PO_1149</t>
  </si>
  <si>
    <t>392-0</t>
  </si>
  <si>
    <t>PO_1150</t>
  </si>
  <si>
    <t>293-0</t>
  </si>
  <si>
    <t>244-0</t>
  </si>
  <si>
    <t>271-0</t>
  </si>
  <si>
    <t>PO_1151</t>
  </si>
  <si>
    <t>779-0</t>
  </si>
  <si>
    <t>783-1</t>
  </si>
  <si>
    <t>746-3</t>
  </si>
  <si>
    <t>PO_75407</t>
  </si>
  <si>
    <t>PO_10011</t>
  </si>
  <si>
    <t>783-0</t>
  </si>
  <si>
    <t>458-1</t>
  </si>
  <si>
    <t>PO_1152</t>
  </si>
  <si>
    <t>783-2</t>
  </si>
  <si>
    <t>780-0</t>
  </si>
  <si>
    <t>529-3</t>
  </si>
  <si>
    <t>PO_0087858, PO_0088438</t>
  </si>
  <si>
    <t>776-1</t>
  </si>
  <si>
    <t>734-4</t>
  </si>
  <si>
    <t>523-1</t>
  </si>
  <si>
    <t>761-11</t>
  </si>
  <si>
    <t>761-12</t>
  </si>
  <si>
    <t>577-0</t>
  </si>
  <si>
    <t>PO_1153</t>
  </si>
  <si>
    <t>781-0</t>
  </si>
  <si>
    <t>PO_1154</t>
  </si>
  <si>
    <t>784-0</t>
  </si>
  <si>
    <t>755-0</t>
  </si>
  <si>
    <t>787-0</t>
  </si>
  <si>
    <t>480-0</t>
  </si>
  <si>
    <t>481-0</t>
  </si>
  <si>
    <t>651-0</t>
  </si>
  <si>
    <t>60-1</t>
  </si>
  <si>
    <t>786-1</t>
  </si>
  <si>
    <t>756-4</t>
  </si>
  <si>
    <t>782-0</t>
  </si>
  <si>
    <t>OFDMB250716</t>
  </si>
  <si>
    <t>547-0</t>
  </si>
  <si>
    <t>650-7</t>
  </si>
  <si>
    <t>776-5</t>
  </si>
  <si>
    <t>PO_75602</t>
  </si>
  <si>
    <t>757-2</t>
  </si>
  <si>
    <t>776-2</t>
  </si>
  <si>
    <t>788-1</t>
  </si>
  <si>
    <t>788-2</t>
  </si>
  <si>
    <t>776-3</t>
  </si>
  <si>
    <t>PO_1157</t>
  </si>
  <si>
    <t>785-0</t>
  </si>
  <si>
    <t>9-0</t>
  </si>
  <si>
    <t>712-0</t>
  </si>
  <si>
    <t>761-13</t>
  </si>
  <si>
    <t>780-1</t>
  </si>
  <si>
    <t>55-0</t>
  </si>
  <si>
    <t>51-0</t>
  </si>
  <si>
    <t>54-0</t>
  </si>
  <si>
    <t>39-0</t>
  </si>
  <si>
    <t>56-0</t>
  </si>
  <si>
    <t>38-0</t>
  </si>
  <si>
    <t>775-2</t>
  </si>
  <si>
    <t>785-1</t>
  </si>
  <si>
    <t>756-5</t>
  </si>
  <si>
    <t>126-0</t>
  </si>
  <si>
    <t>734-5</t>
  </si>
  <si>
    <t>PO_0089172</t>
  </si>
  <si>
    <t>776-4</t>
  </si>
  <si>
    <t>791-1</t>
  </si>
  <si>
    <t>791-2</t>
  </si>
  <si>
    <t>791-3</t>
  </si>
  <si>
    <t>791-4</t>
  </si>
  <si>
    <t>791-5</t>
  </si>
  <si>
    <t>791-6</t>
  </si>
  <si>
    <t>791-7</t>
  </si>
  <si>
    <t>791-8</t>
  </si>
  <si>
    <t>791-9</t>
  </si>
  <si>
    <t>791-10</t>
  </si>
  <si>
    <t>791-11</t>
  </si>
  <si>
    <t>792-1</t>
  </si>
  <si>
    <t>792-2</t>
  </si>
  <si>
    <t>792-3</t>
  </si>
  <si>
    <t>PO_1162</t>
  </si>
  <si>
    <t>650-8</t>
  </si>
  <si>
    <t>PO_1163</t>
  </si>
  <si>
    <t>PO_535049</t>
  </si>
  <si>
    <t>777-0</t>
  </si>
  <si>
    <t>PO_1164</t>
  </si>
  <si>
    <t>752-3</t>
  </si>
  <si>
    <t>741-5</t>
  </si>
  <si>
    <t>772-0</t>
  </si>
  <si>
    <t>PO_1165</t>
  </si>
  <si>
    <t>789-0</t>
  </si>
  <si>
    <t>772-6</t>
  </si>
  <si>
    <t>PO-0089995-1</t>
  </si>
  <si>
    <t>PO_1166</t>
  </si>
  <si>
    <t>656-0</t>
  </si>
  <si>
    <t>775-1</t>
  </si>
  <si>
    <t>PO_07-072825</t>
  </si>
  <si>
    <t>CNB-10511461</t>
  </si>
  <si>
    <t>CNB-10509934</t>
  </si>
  <si>
    <t>2024121801G7</t>
  </si>
  <si>
    <t>CNB-10510353</t>
  </si>
  <si>
    <t>CNB-10512161</t>
  </si>
  <si>
    <t>cannabis_netweight_gram</t>
  </si>
  <si>
    <t>PO_DD_Burb2025020401</t>
    <phoneticPr fontId="19" type="noConversion"/>
  </si>
  <si>
    <t>Blue Gumdrop 5 x 0.5g Pre Roll</t>
  </si>
  <si>
    <t>PR2503F5P5</t>
    <phoneticPr fontId="19" type="noConversion"/>
  </si>
  <si>
    <t>PO_DD_Burb2025041701</t>
    <phoneticPr fontId="19" type="noConversion"/>
  </si>
  <si>
    <t>PO_Burb2025060501</t>
  </si>
  <si>
    <t>PR2514F5P5</t>
  </si>
  <si>
    <t>2025010201G14</t>
    <phoneticPr fontId="19" type="noConversion"/>
  </si>
  <si>
    <t>PO_50041554</t>
    <phoneticPr fontId="19" type="noConversion"/>
  </si>
  <si>
    <t>PO_DD_Burb_2025012801</t>
    <phoneticPr fontId="19" type="noConversion"/>
  </si>
  <si>
    <t>2024120501G28</t>
  </si>
  <si>
    <t>2025042201G28</t>
  </si>
  <si>
    <t>DD_burb_2025022001</t>
    <phoneticPr fontId="19" type="noConversion"/>
  </si>
  <si>
    <t>Book Club-Kruntz 28g</t>
  </si>
  <si>
    <t>2024121801G28</t>
    <phoneticPr fontId="19" type="noConversion"/>
  </si>
  <si>
    <t>yes</t>
    <phoneticPr fontId="19" type="noConversion"/>
  </si>
  <si>
    <t>DD_Burb2025031401</t>
    <phoneticPr fontId="19" type="noConversion"/>
  </si>
  <si>
    <t>BOOK CLUB-LICORICE GUMBALL Preroll 5x0.5g</t>
  </si>
  <si>
    <t>PR2505F5P5</t>
    <phoneticPr fontId="19" type="noConversion"/>
  </si>
  <si>
    <t>PR2505F5P5</t>
  </si>
  <si>
    <t>PO_DD2024102301</t>
    <phoneticPr fontId="19" type="noConversion"/>
  </si>
  <si>
    <t>Book Club-Pressure Pie 28g</t>
  </si>
  <si>
    <t>2024110601G28</t>
  </si>
  <si>
    <t>BOOK CLUB-Unicorn Poop Preroll 5x0.5g</t>
  </si>
  <si>
    <t>PR2506F5P5</t>
    <phoneticPr fontId="19" type="noConversion"/>
  </si>
  <si>
    <t>PR2506F5P5</t>
  </si>
  <si>
    <t>PO_DD_Burb2025020401</t>
  </si>
  <si>
    <t>Pressure Pie 5 x 0.5g Pre Roll</t>
  </si>
  <si>
    <t>PR2502F5P5</t>
  </si>
  <si>
    <t>shipment (S)</t>
  </si>
  <si>
    <t xml:space="preserve">name </t>
  </si>
  <si>
    <t>receiving net (R)</t>
  </si>
  <si>
    <t>expected inventory (S-R)</t>
  </si>
  <si>
    <t>actual inventory (A)</t>
  </si>
  <si>
    <t>A-E</t>
  </si>
  <si>
    <t>allowed difference (gram)=5% *R</t>
  </si>
  <si>
    <t>(A-E)/R</t>
  </si>
  <si>
    <t>OUTBOUND GROSS (O)</t>
  </si>
  <si>
    <t># BAGV(B)</t>
  </si>
  <si>
    <t>(O-R)/R/B</t>
  </si>
  <si>
    <t>O-S</t>
  </si>
  <si>
    <t>(O-S)/B/R</t>
  </si>
  <si>
    <t>blue gumdrop</t>
  </si>
  <si>
    <t>kruntz</t>
  </si>
  <si>
    <t>licorice gumball</t>
  </si>
  <si>
    <t>***</t>
  </si>
  <si>
    <t>pressure pie</t>
  </si>
  <si>
    <t>unicorn poop</t>
  </si>
  <si>
    <t>*</t>
  </si>
  <si>
    <t>TOTAL</t>
  </si>
  <si>
    <t>R-S</t>
  </si>
  <si>
    <t>(R-S)/R</t>
  </si>
  <si>
    <t>actual inventory</t>
  </si>
  <si>
    <t>net_weight</t>
  </si>
  <si>
    <t>check_time</t>
  </si>
  <si>
    <t>PR2505</t>
  </si>
  <si>
    <t>PR2506</t>
  </si>
  <si>
    <t>NULL</t>
  </si>
  <si>
    <t>Payment status</t>
  </si>
  <si>
    <t>po_line</t>
  </si>
  <si>
    <t xml:space="preserve"> productGTIN</t>
  </si>
  <si>
    <t>customerSKU</t>
  </si>
  <si>
    <t>ProductWeightIdentifier</t>
  </si>
  <si>
    <t>Pre-excisedorDutyPaidProduct?</t>
  </si>
  <si>
    <t>shipto</t>
  </si>
  <si>
    <t>address</t>
  </si>
  <si>
    <t>city</t>
  </si>
  <si>
    <t>province</t>
  </si>
  <si>
    <t>billto</t>
  </si>
  <si>
    <t>unitprice</t>
  </si>
  <si>
    <t>Not Applicable</t>
    <phoneticPr fontId="19" type="noConversion"/>
  </si>
  <si>
    <t>1068061</t>
    <phoneticPr fontId="19" type="noConversion"/>
  </si>
  <si>
    <t>1068062</t>
    <phoneticPr fontId="19" type="noConversion"/>
  </si>
  <si>
    <t>Shipped_redistribution</t>
  </si>
  <si>
    <t>OCS_redistribution</t>
    <phoneticPr fontId="19" type="noConversion"/>
  </si>
  <si>
    <t>EX24111801V50</t>
  </si>
  <si>
    <t>110422</t>
    <phoneticPr fontId="19" type="noConversion"/>
  </si>
  <si>
    <t>1054790</t>
    <phoneticPr fontId="19" type="noConversion"/>
  </si>
  <si>
    <t>Craft Greenery Cannabis</t>
    <phoneticPr fontId="19" type="noConversion"/>
  </si>
  <si>
    <t>1068349</t>
    <phoneticPr fontId="19" type="noConversion"/>
  </si>
  <si>
    <t>1066314</t>
    <phoneticPr fontId="19" type="noConversion"/>
  </si>
  <si>
    <t>EX24100801V30</t>
  </si>
  <si>
    <t>no</t>
    <phoneticPr fontId="19" type="noConversion"/>
  </si>
  <si>
    <t>1054196</t>
    <phoneticPr fontId="19" type="noConversion"/>
  </si>
  <si>
    <t>CANNABIS COTTAGE</t>
    <phoneticPr fontId="19" type="noConversion"/>
  </si>
  <si>
    <t>1067961</t>
    <phoneticPr fontId="19" type="noConversion"/>
  </si>
  <si>
    <t>1067905</t>
    <phoneticPr fontId="19" type="noConversion"/>
  </si>
  <si>
    <t>1064402</t>
    <phoneticPr fontId="19" type="noConversion"/>
  </si>
  <si>
    <t>UEM CANNABIS</t>
    <phoneticPr fontId="19" type="noConversion"/>
  </si>
  <si>
    <t>1054931</t>
    <phoneticPr fontId="19" type="noConversion"/>
  </si>
  <si>
    <t>1066327</t>
    <phoneticPr fontId="19" type="noConversion"/>
  </si>
  <si>
    <t>EX25010907G1</t>
  </si>
  <si>
    <t>1067903</t>
    <phoneticPr fontId="1" type="noConversion"/>
  </si>
  <si>
    <t>60894</t>
  </si>
  <si>
    <t>60895</t>
    <phoneticPr fontId="19" type="noConversion"/>
  </si>
  <si>
    <t>CNB-10510353</t>
    <phoneticPr fontId="19" type="noConversion"/>
  </si>
  <si>
    <t>Not Started</t>
  </si>
  <si>
    <t>1049378</t>
    <phoneticPr fontId="19" type="noConversion"/>
  </si>
  <si>
    <t>SUMMIT CANNABIS CO-109 CONNAUGHT AVE</t>
    <phoneticPr fontId="19" type="noConversion"/>
  </si>
  <si>
    <t>1066326</t>
    <phoneticPr fontId="19" type="noConversion"/>
  </si>
  <si>
    <t>1066325</t>
    <phoneticPr fontId="19" type="noConversion"/>
  </si>
  <si>
    <t>EX25011501V50</t>
  </si>
  <si>
    <t>1068106</t>
  </si>
  <si>
    <t>60892</t>
    <phoneticPr fontId="19" type="noConversion"/>
  </si>
  <si>
    <t>1067904</t>
    <phoneticPr fontId="19" type="noConversion"/>
  </si>
  <si>
    <t>1066898</t>
    <phoneticPr fontId="19" type="noConversion"/>
  </si>
  <si>
    <t>Duty Paid-AB</t>
    <phoneticPr fontId="19" type="noConversion"/>
  </si>
  <si>
    <t>MBLL</t>
    <phoneticPr fontId="19" type="noConversion"/>
  </si>
  <si>
    <t>60896</t>
  </si>
  <si>
    <t>PR2405F7P3-6</t>
    <phoneticPr fontId="19" type="noConversion"/>
  </si>
  <si>
    <t>A02860</t>
    <phoneticPr fontId="19" type="noConversion"/>
  </si>
  <si>
    <t>PR2413F7P3-2</t>
    <phoneticPr fontId="19" type="noConversion"/>
  </si>
  <si>
    <t>A04456</t>
    <phoneticPr fontId="19" type="noConversion"/>
  </si>
  <si>
    <t>Cannabis Yukon</t>
    <phoneticPr fontId="0" type="noConversion"/>
  </si>
  <si>
    <t>PR2413F7P3-3</t>
    <phoneticPr fontId="19" type="noConversion"/>
  </si>
  <si>
    <t>60888</t>
    <phoneticPr fontId="19" type="noConversion"/>
  </si>
  <si>
    <t>1032085</t>
    <phoneticPr fontId="1" type="noConversion"/>
  </si>
  <si>
    <t xml:space="preserve">VANCITY WEED </t>
    <phoneticPr fontId="19" type="noConversion"/>
  </si>
  <si>
    <t>EX24111306G05</t>
  </si>
  <si>
    <t>1066896</t>
    <phoneticPr fontId="19" type="noConversion"/>
  </si>
  <si>
    <t>1068019</t>
    <phoneticPr fontId="19" type="noConversion"/>
  </si>
  <si>
    <t>60890</t>
    <phoneticPr fontId="19" type="noConversion"/>
  </si>
  <si>
    <t>347022</t>
    <phoneticPr fontId="19" type="noConversion"/>
  </si>
  <si>
    <t>EFF2501H2-1</t>
    <phoneticPr fontId="19" type="noConversion"/>
  </si>
  <si>
    <t>A02443</t>
    <phoneticPr fontId="19" type="noConversion"/>
  </si>
  <si>
    <t>EFSF2501H2-1</t>
    <phoneticPr fontId="19" type="noConversion"/>
  </si>
  <si>
    <t>A03778</t>
    <phoneticPr fontId="19" type="noConversion"/>
  </si>
  <si>
    <t>7900385</t>
  </si>
  <si>
    <t>EX25010601V30</t>
  </si>
  <si>
    <t>1054816</t>
    <phoneticPr fontId="19" type="noConversion"/>
  </si>
  <si>
    <t>Sample</t>
  </si>
  <si>
    <t>EX25020601G05</t>
  </si>
  <si>
    <t>NO</t>
    <phoneticPr fontId="19" type="noConversion"/>
  </si>
  <si>
    <t>NULL</t>
    <phoneticPr fontId="19" type="noConversion"/>
  </si>
  <si>
    <t>110854</t>
    <phoneticPr fontId="19" type="noConversion"/>
  </si>
  <si>
    <t>307131</t>
    <phoneticPr fontId="19" type="noConversion"/>
  </si>
  <si>
    <t>EX24111801V50</t>
    <phoneticPr fontId="19" type="noConversion"/>
  </si>
  <si>
    <t>Cheeky's Cannabis Merchants-Kitsilano</t>
    <phoneticPr fontId="1" type="noConversion"/>
  </si>
  <si>
    <t>Avenue Cannabis</t>
    <phoneticPr fontId="19" type="noConversion"/>
  </si>
  <si>
    <t>VIKING INN</t>
    <phoneticPr fontId="19" type="noConversion"/>
  </si>
  <si>
    <t>shipped</t>
  </si>
  <si>
    <t>Yes</t>
  </si>
  <si>
    <t>CNB-10510953</t>
  </si>
  <si>
    <t>CNB-10510952</t>
  </si>
  <si>
    <t>CNB-10508892</t>
    <phoneticPr fontId="19" type="noConversion"/>
  </si>
  <si>
    <t>1066324</t>
    <phoneticPr fontId="19" type="noConversion"/>
  </si>
  <si>
    <t>1066323</t>
    <phoneticPr fontId="19" type="noConversion"/>
  </si>
  <si>
    <t>1066316</t>
    <phoneticPr fontId="19" type="noConversion"/>
  </si>
  <si>
    <t>1068060</t>
  </si>
  <si>
    <t>A04447</t>
    <phoneticPr fontId="19" type="noConversion"/>
  </si>
  <si>
    <t>PR2412F7P3-2</t>
    <phoneticPr fontId="19" type="noConversion"/>
  </si>
  <si>
    <t>A02852</t>
    <phoneticPr fontId="19" type="noConversion"/>
  </si>
  <si>
    <t>A03063</t>
    <phoneticPr fontId="19" type="noConversion"/>
  </si>
  <si>
    <t>PR2504F5P3</t>
    <phoneticPr fontId="19" type="noConversion"/>
  </si>
  <si>
    <t>A04960</t>
    <phoneticPr fontId="19" type="noConversion"/>
  </si>
  <si>
    <t>WP13</t>
    <phoneticPr fontId="19" type="noConversion"/>
  </si>
  <si>
    <t>WP14</t>
    <phoneticPr fontId="19" type="noConversion"/>
  </si>
  <si>
    <t>BCDD</t>
    <phoneticPr fontId="19" type="noConversion"/>
  </si>
  <si>
    <t>1068548</t>
    <phoneticPr fontId="19" type="noConversion"/>
  </si>
  <si>
    <t>Brunette Cannabis Co.</t>
    <phoneticPr fontId="0" type="noConversion"/>
  </si>
  <si>
    <t>1066315</t>
    <phoneticPr fontId="19" type="noConversion"/>
  </si>
  <si>
    <t>1064400</t>
    <phoneticPr fontId="19" type="noConversion"/>
  </si>
  <si>
    <t>Cheeky's Cannabis Merchants</t>
    <phoneticPr fontId="1" type="noConversion"/>
  </si>
  <si>
    <t>1068632</t>
    <phoneticPr fontId="19" type="noConversion"/>
  </si>
  <si>
    <t>60915</t>
  </si>
  <si>
    <t>60914</t>
    <phoneticPr fontId="19" type="noConversion"/>
  </si>
  <si>
    <t>46854</t>
    <phoneticPr fontId="19" type="noConversion"/>
  </si>
  <si>
    <t>TP25021901</t>
  </si>
  <si>
    <t>61209</t>
    <phoneticPr fontId="19" type="noConversion"/>
  </si>
  <si>
    <t>EX24091201V30</t>
  </si>
  <si>
    <t>01062973</t>
    <phoneticPr fontId="19" type="noConversion"/>
  </si>
  <si>
    <t>PR2509F1P1</t>
    <phoneticPr fontId="19" type="noConversion"/>
  </si>
  <si>
    <t>A04713</t>
    <phoneticPr fontId="19" type="noConversion"/>
  </si>
  <si>
    <t>Canntina</t>
    <phoneticPr fontId="19" type="noConversion"/>
  </si>
  <si>
    <t>EX24022302V30</t>
    <phoneticPr fontId="19" type="noConversion"/>
  </si>
  <si>
    <t>1066897</t>
    <phoneticPr fontId="19" type="noConversion"/>
  </si>
  <si>
    <t>A02854</t>
    <phoneticPr fontId="19" type="noConversion"/>
  </si>
  <si>
    <t>1066899</t>
    <phoneticPr fontId="19" type="noConversion"/>
  </si>
  <si>
    <t xml:space="preserve">	
PR251108F5P12</t>
    <phoneticPr fontId="19" type="noConversion"/>
  </si>
  <si>
    <t>1068549</t>
    <phoneticPr fontId="19" type="noConversion"/>
  </si>
  <si>
    <t>Squamish Cannabis Ltd</t>
    <phoneticPr fontId="19" type="noConversion"/>
  </si>
  <si>
    <t>347032</t>
    <phoneticPr fontId="19" type="noConversion"/>
  </si>
  <si>
    <t>1032085</t>
    <phoneticPr fontId="19" type="noConversion"/>
  </si>
  <si>
    <t>NORTH SHORE CANNABIS</t>
    <phoneticPr fontId="19" type="noConversion"/>
  </si>
  <si>
    <t>01068600</t>
    <phoneticPr fontId="19" type="noConversion"/>
  </si>
  <si>
    <t>CNB-10509934</t>
    <phoneticPr fontId="19" type="noConversion"/>
  </si>
  <si>
    <t>PR2513F5P10</t>
    <phoneticPr fontId="19" type="noConversion"/>
  </si>
  <si>
    <t>1068634</t>
    <phoneticPr fontId="19" type="noConversion"/>
  </si>
  <si>
    <t>PR2513F1P2</t>
    <phoneticPr fontId="19" type="noConversion"/>
  </si>
  <si>
    <t>1068633</t>
    <phoneticPr fontId="19" type="noConversion"/>
  </si>
  <si>
    <t>991653</t>
    <phoneticPr fontId="19" type="noConversion"/>
  </si>
  <si>
    <t>991970</t>
    <phoneticPr fontId="19" type="noConversion"/>
  </si>
  <si>
    <t>992355</t>
    <phoneticPr fontId="19" type="noConversion"/>
  </si>
  <si>
    <t>995293</t>
    <phoneticPr fontId="19" type="noConversion"/>
  </si>
  <si>
    <t>995294</t>
  </si>
  <si>
    <t>994667</t>
    <phoneticPr fontId="19" type="noConversion"/>
  </si>
  <si>
    <t>994668</t>
    <phoneticPr fontId="19" type="noConversion"/>
  </si>
  <si>
    <t>994666</t>
    <phoneticPr fontId="19" type="noConversion"/>
  </si>
  <si>
    <t>994669</t>
  </si>
  <si>
    <t>Shipped</t>
    <phoneticPr fontId="19" type="noConversion"/>
  </si>
  <si>
    <t>01066899</t>
    <phoneticPr fontId="19" type="noConversion"/>
  </si>
  <si>
    <t>SHIPPED</t>
  </si>
  <si>
    <t>A04959</t>
    <phoneticPr fontId="19" type="noConversion"/>
  </si>
  <si>
    <t>Kootenay Cannabis Kingsway</t>
    <phoneticPr fontId="19" type="noConversion"/>
  </si>
  <si>
    <t>1068707</t>
    <phoneticPr fontId="19" type="noConversion"/>
  </si>
  <si>
    <t>1068710</t>
    <phoneticPr fontId="19" type="noConversion"/>
  </si>
  <si>
    <t>1068706</t>
    <phoneticPr fontId="19" type="noConversion"/>
  </si>
  <si>
    <t>shipped</t>
    <phoneticPr fontId="19" type="noConversion"/>
  </si>
  <si>
    <t>60887</t>
    <phoneticPr fontId="19" type="noConversion"/>
  </si>
  <si>
    <t>Cheeky's Cannabis Merchants</t>
    <phoneticPr fontId="0" type="noConversion"/>
  </si>
  <si>
    <t>61617</t>
    <phoneticPr fontId="19" type="noConversion"/>
  </si>
  <si>
    <t>FIRE &amp; FLOWER CANNABIS CO-SWAN RIVER</t>
    <phoneticPr fontId="19" type="noConversion"/>
  </si>
  <si>
    <t>Generation Cannabis</t>
    <phoneticPr fontId="19" type="noConversion"/>
  </si>
  <si>
    <t>PR251105F5P3</t>
  </si>
  <si>
    <t>1068709</t>
    <phoneticPr fontId="19" type="noConversion"/>
  </si>
  <si>
    <t>PR251101F5P3</t>
  </si>
  <si>
    <t>Chronic Hub Cannabis</t>
    <phoneticPr fontId="19" type="noConversion"/>
  </si>
  <si>
    <t>CANNA CABANA-RIVER AVE</t>
    <phoneticPr fontId="19" type="noConversion"/>
  </si>
  <si>
    <t>1068064</t>
    <phoneticPr fontId="19" type="noConversion"/>
  </si>
  <si>
    <t>1068063</t>
    <phoneticPr fontId="19" type="noConversion"/>
  </si>
  <si>
    <t>SLGA_WT</t>
    <phoneticPr fontId="19" type="noConversion"/>
  </si>
  <si>
    <t>WTSK7</t>
  </si>
  <si>
    <t>Whistler Therapeutics Corp</t>
    <phoneticPr fontId="0" type="noConversion"/>
  </si>
  <si>
    <t>Prairie Cannabis-8th st</t>
    <phoneticPr fontId="19" type="noConversion"/>
  </si>
  <si>
    <t>CW20210507-01A</t>
  </si>
  <si>
    <t>WTSK1</t>
    <phoneticPr fontId="19" type="noConversion"/>
  </si>
  <si>
    <t>WTSK2</t>
  </si>
  <si>
    <t>WTSK3</t>
  </si>
  <si>
    <t>FP23006</t>
  </si>
  <si>
    <t>WTSK4</t>
  </si>
  <si>
    <t>WTSK6</t>
  </si>
  <si>
    <t>WTSK5</t>
  </si>
  <si>
    <t>1068548</t>
  </si>
  <si>
    <t>Not Applicable</t>
  </si>
  <si>
    <t>2025121801G7</t>
  </si>
  <si>
    <t>1067961</t>
  </si>
  <si>
    <t>1066898</t>
  </si>
  <si>
    <t>CANNASSEURS CANNABIS</t>
  </si>
  <si>
    <t>1067905</t>
  </si>
  <si>
    <t>1066314</t>
  </si>
  <si>
    <t>1068632</t>
  </si>
  <si>
    <t>60893</t>
  </si>
  <si>
    <t>61209</t>
  </si>
  <si>
    <t>1068349</t>
  </si>
  <si>
    <t>LOCAL CANNABIS CO.-726 KINGSWAY</t>
  </si>
  <si>
    <t>WestCanna-Robson</t>
  </si>
  <si>
    <t>PR241103F5P3</t>
  </si>
  <si>
    <t>1068710</t>
  </si>
  <si>
    <t>1066896</t>
  </si>
  <si>
    <t>1066315</t>
  </si>
  <si>
    <t>ROGEX002G1</t>
  </si>
  <si>
    <t>51247</t>
    <phoneticPr fontId="19" type="noConversion"/>
  </si>
  <si>
    <t>cancelled_PO</t>
  </si>
  <si>
    <t>2025-05-13</t>
  </si>
  <si>
    <t>EX25050501V50</t>
    <phoneticPr fontId="19" type="noConversion"/>
  </si>
  <si>
    <t>110982</t>
  </si>
  <si>
    <t>61618</t>
  </si>
  <si>
    <t>347032</t>
  </si>
  <si>
    <t>EX23060701V30</t>
    <phoneticPr fontId="19" type="noConversion"/>
  </si>
  <si>
    <t>60914</t>
  </si>
  <si>
    <t>1062913</t>
  </si>
  <si>
    <t>EX25041401V30</t>
  </si>
  <si>
    <t>1054196</t>
  </si>
  <si>
    <t>1032085</t>
  </si>
  <si>
    <t>EX25040806G05</t>
  </si>
  <si>
    <t>no</t>
  </si>
  <si>
    <t>60895</t>
  </si>
  <si>
    <t>PR2407F5P3</t>
    <phoneticPr fontId="19" type="noConversion"/>
  </si>
  <si>
    <t>sample</t>
    <phoneticPr fontId="19" type="noConversion"/>
  </si>
  <si>
    <t>AVIATOR TEAM</t>
    <phoneticPr fontId="19" type="noConversion"/>
  </si>
  <si>
    <t>01038678</t>
    <phoneticPr fontId="19" type="noConversion"/>
  </si>
  <si>
    <t>BCLDB</t>
    <phoneticPr fontId="19" type="noConversion"/>
  </si>
  <si>
    <t>NO</t>
  </si>
  <si>
    <t>104046</t>
  </si>
  <si>
    <t>104042</t>
  </si>
  <si>
    <t>104044</t>
  </si>
  <si>
    <t>104037</t>
  </si>
  <si>
    <t>104043</t>
  </si>
  <si>
    <t>PR2302INF1P1</t>
  </si>
  <si>
    <t>PR2301F35P12</t>
  </si>
  <si>
    <t>995701</t>
    <phoneticPr fontId="19" type="noConversion"/>
  </si>
  <si>
    <t>991975</t>
    <phoneticPr fontId="19" type="noConversion"/>
  </si>
  <si>
    <t>CPR22102101G5</t>
  </si>
  <si>
    <t>991973</t>
    <phoneticPr fontId="19" type="noConversion"/>
  </si>
  <si>
    <t>991974</t>
  </si>
  <si>
    <t>991652</t>
    <phoneticPr fontId="19" type="noConversion"/>
  </si>
  <si>
    <t>995294</t>
    <phoneticPr fontId="19" type="noConversion"/>
  </si>
  <si>
    <t>994667</t>
  </si>
  <si>
    <t>994668</t>
  </si>
  <si>
    <t>110982</t>
    <phoneticPr fontId="19" type="noConversion"/>
  </si>
  <si>
    <t>Shipped_redistribution</t>
    <phoneticPr fontId="19" type="noConversion"/>
  </si>
  <si>
    <t>PR2512F1P1</t>
    <phoneticPr fontId="19" type="noConversion"/>
  </si>
  <si>
    <t>01068871</t>
    <phoneticPr fontId="19" type="noConversion"/>
  </si>
  <si>
    <t>PR2518F1P1</t>
  </si>
  <si>
    <t>EX25051505G1</t>
  </si>
  <si>
    <t>01068872</t>
    <phoneticPr fontId="19" type="noConversion"/>
  </si>
  <si>
    <t>ROGEX002G1</t>
    <phoneticPr fontId="19" type="noConversion"/>
  </si>
  <si>
    <t>CNB-10512162</t>
    <phoneticPr fontId="19" type="noConversion"/>
  </si>
  <si>
    <t>CNB-10512161</t>
    <phoneticPr fontId="19" type="noConversion"/>
  </si>
  <si>
    <t>EX25051506G1</t>
  </si>
  <si>
    <t>CNB-10512202</t>
    <phoneticPr fontId="19" type="noConversion"/>
  </si>
  <si>
    <t>Cheekys Cannabis</t>
    <phoneticPr fontId="1" type="noConversion"/>
  </si>
  <si>
    <t>1068885</t>
    <phoneticPr fontId="19" type="noConversion"/>
  </si>
  <si>
    <t>1068884</t>
    <phoneticPr fontId="19" type="noConversion"/>
  </si>
  <si>
    <t>PR2515F1P1</t>
    <phoneticPr fontId="19" type="noConversion"/>
  </si>
  <si>
    <t>A04990</t>
    <phoneticPr fontId="19" type="noConversion"/>
  </si>
  <si>
    <t>01068019</t>
    <phoneticPr fontId="19" type="noConversion"/>
  </si>
  <si>
    <t>2025030701G28</t>
    <phoneticPr fontId="19" type="noConversion"/>
  </si>
  <si>
    <t>1068952</t>
    <phoneticPr fontId="19" type="noConversion"/>
  </si>
  <si>
    <t>CNB-10510954</t>
    <phoneticPr fontId="19" type="noConversion"/>
  </si>
  <si>
    <t>1068885</t>
  </si>
  <si>
    <t>UEM CANNABIS VANCOUVER</t>
  </si>
  <si>
    <t>1068884</t>
  </si>
  <si>
    <t>1067904</t>
  </si>
  <si>
    <t>HOPE CANNABIS CO</t>
  </si>
  <si>
    <t>1054790</t>
  </si>
  <si>
    <t>1068549</t>
  </si>
  <si>
    <t>UEM CANNABIS</t>
  </si>
  <si>
    <t>1068708</t>
  </si>
  <si>
    <t>2024101703G7</t>
  </si>
  <si>
    <t>1054816</t>
  </si>
  <si>
    <t>Brunette Cannabis Co.</t>
    <phoneticPr fontId="1" type="noConversion"/>
  </si>
  <si>
    <t>1054824</t>
  </si>
  <si>
    <t>1054931</t>
  </si>
  <si>
    <t>1068019</t>
  </si>
  <si>
    <t>1066316</t>
  </si>
  <si>
    <t>347022</t>
  </si>
  <si>
    <t>CNB-10511461</t>
    <phoneticPr fontId="19" type="noConversion"/>
  </si>
  <si>
    <t>PR2509F1P1</t>
  </si>
  <si>
    <t>EFSF2502H2</t>
  </si>
  <si>
    <t>A03778</t>
  </si>
  <si>
    <t>WP15</t>
  </si>
  <si>
    <t>WP9</t>
  </si>
  <si>
    <t>WP13</t>
  </si>
  <si>
    <t>WP8</t>
  </si>
  <si>
    <t>WP5</t>
  </si>
  <si>
    <t>WP7</t>
  </si>
  <si>
    <t>60883</t>
  </si>
  <si>
    <t>60886</t>
  </si>
  <si>
    <t>60890</t>
  </si>
  <si>
    <t>25-PH001</t>
  </si>
  <si>
    <t>01067250</t>
  </si>
  <si>
    <t>25-DI001</t>
  </si>
  <si>
    <t>01049378</t>
  </si>
  <si>
    <t>CNB-10512160</t>
  </si>
  <si>
    <t>1062973</t>
  </si>
  <si>
    <t>prairie cannabis 22nd street ltd</t>
  </si>
  <si>
    <t>1049378</t>
  </si>
  <si>
    <t>M.T.T SERVICE</t>
  </si>
  <si>
    <t>EFF2502H2</t>
  </si>
  <si>
    <t>A02443</t>
  </si>
  <si>
    <t>CANNA CABANA-RIVER AVE</t>
  </si>
  <si>
    <t>1068064</t>
  </si>
  <si>
    <t>1068061</t>
  </si>
  <si>
    <t>1068062</t>
  </si>
  <si>
    <t>1068063</t>
  </si>
  <si>
    <t>995701</t>
  </si>
  <si>
    <t>995293</t>
  </si>
  <si>
    <t>994666</t>
  </si>
  <si>
    <t>994672</t>
  </si>
  <si>
    <t>THE OLD CANNABIS MARKET LTD.</t>
  </si>
  <si>
    <t>TP21121701</t>
  </si>
  <si>
    <t>44378</t>
  </si>
  <si>
    <t>1068707</t>
  </si>
  <si>
    <t>1068709</t>
  </si>
  <si>
    <t>1068706</t>
  </si>
  <si>
    <t>CHEEKYS CANNABIS</t>
  </si>
  <si>
    <t>60887</t>
  </si>
  <si>
    <t>PR2413F7P3-3</t>
  </si>
  <si>
    <t>A04447</t>
  </si>
  <si>
    <t>KAYA CONNECTION</t>
  </si>
  <si>
    <t>01068871</t>
  </si>
  <si>
    <t>01069104</t>
  </si>
  <si>
    <t>SAMPLE</t>
  </si>
  <si>
    <t>2536 35ST NW, EDMONTON, AB</t>
  </si>
  <si>
    <t>2536 35ST NW</t>
  </si>
  <si>
    <t>CNB-10510954</t>
  </si>
  <si>
    <t>Apothecary botanicals</t>
  </si>
  <si>
    <t>EFSF2503H2</t>
  </si>
  <si>
    <t>51247</t>
  </si>
  <si>
    <t>High 5 cannabis</t>
  </si>
  <si>
    <t>RIVER DRIFT CANNABIS</t>
  </si>
  <si>
    <t>60888</t>
  </si>
  <si>
    <t>60892</t>
  </si>
  <si>
    <t>CW21042501</t>
  </si>
  <si>
    <t>TRANSFER</t>
  </si>
  <si>
    <t>WX20210224-01A</t>
  </si>
  <si>
    <t>BH201214</t>
  </si>
  <si>
    <t>1067250</t>
  </si>
  <si>
    <t>1065402</t>
  </si>
  <si>
    <t>DI22110901V30</t>
  </si>
  <si>
    <t>1062271</t>
  </si>
  <si>
    <t>1041268</t>
  </si>
  <si>
    <t>DI22120501V30</t>
  </si>
  <si>
    <t>1062270</t>
  </si>
  <si>
    <t>1067869</t>
  </si>
  <si>
    <t>1049360</t>
  </si>
  <si>
    <t>1044080</t>
  </si>
  <si>
    <t>1038678</t>
  </si>
  <si>
    <t>PR2515F1P1-1</t>
  </si>
  <si>
    <t>A04990</t>
  </si>
  <si>
    <t>ALLOCATED</t>
  </si>
  <si>
    <t>A02852</t>
  </si>
  <si>
    <t>1069193</t>
  </si>
  <si>
    <t>1068952</t>
  </si>
  <si>
    <t>TEAM CANNABIS</t>
  </si>
  <si>
    <t>1069184</t>
  </si>
  <si>
    <t>66670</t>
  </si>
  <si>
    <t>104041</t>
  </si>
  <si>
    <t>104039</t>
  </si>
  <si>
    <t>104045</t>
  </si>
  <si>
    <t>104047</t>
  </si>
  <si>
    <t>104048</t>
  </si>
  <si>
    <t>104040</t>
  </si>
  <si>
    <t>BS23090701G450</t>
  </si>
  <si>
    <t>104038</t>
  </si>
  <si>
    <t>7900428</t>
  </si>
  <si>
    <t>7900478</t>
  </si>
  <si>
    <t>7900477</t>
  </si>
  <si>
    <t>7900446</t>
  </si>
  <si>
    <t>7900041</t>
  </si>
  <si>
    <t>7900417</t>
  </si>
  <si>
    <t>7900384</t>
  </si>
  <si>
    <t>7900386</t>
  </si>
  <si>
    <t>7900405</t>
  </si>
  <si>
    <t>7900412</t>
  </si>
  <si>
    <t>7900462</t>
  </si>
  <si>
    <t>7900415</t>
  </si>
  <si>
    <t>EX24102905G05</t>
  </si>
  <si>
    <t>7900408</t>
  </si>
  <si>
    <t>7900406</t>
  </si>
  <si>
    <t>7900438</t>
  </si>
  <si>
    <t>1066317</t>
  </si>
  <si>
    <t>66446</t>
  </si>
  <si>
    <t>61619</t>
  </si>
  <si>
    <t>PR2513F5P10</t>
  </si>
  <si>
    <t>1068634</t>
  </si>
  <si>
    <t>PR2513F1P2</t>
  </si>
  <si>
    <t>1068633</t>
  </si>
  <si>
    <t>EFF2502H2-1</t>
  </si>
  <si>
    <t>1064402</t>
  </si>
  <si>
    <t>1064400</t>
  </si>
  <si>
    <t>992356</t>
  </si>
  <si>
    <t>991971</t>
  </si>
  <si>
    <t>995292</t>
  </si>
  <si>
    <t>A04713</t>
  </si>
  <si>
    <t>PR2414F1P1-2</t>
  </si>
  <si>
    <t>A04959</t>
  </si>
  <si>
    <t>SUNRISE CANNABIS</t>
  </si>
  <si>
    <t>CNB-10512162</t>
  </si>
  <si>
    <t>2025072101G14</t>
  </si>
  <si>
    <t>EX24101704G05</t>
  </si>
  <si>
    <t>EFSF2504H2</t>
  </si>
  <si>
    <t>66447</t>
  </si>
  <si>
    <t>THE VAULT CANNABIS LTD-ARBORG</t>
  </si>
  <si>
    <t>MOOD CANNABIS CO</t>
  </si>
  <si>
    <t>PO_50047913</t>
  </si>
  <si>
    <t>25-FP002</t>
  </si>
  <si>
    <t>01069434</t>
  </si>
  <si>
    <t>PR251901F5P3</t>
  </si>
  <si>
    <t>PO_1159</t>
  </si>
  <si>
    <t>prairie cannabis-1002 8TH E</t>
  </si>
  <si>
    <t>PR251904F5P3</t>
  </si>
  <si>
    <t>PR2504F7P3</t>
  </si>
  <si>
    <t>PO_1160</t>
  </si>
  <si>
    <t>Allocated</t>
  </si>
  <si>
    <t>PO_1161</t>
  </si>
  <si>
    <t>EWBH23100016</t>
  </si>
  <si>
    <t>00877579003882</t>
  </si>
  <si>
    <t>3596 Kingsway</t>
  </si>
  <si>
    <t>PO_20250729-WD-GVA</t>
  </si>
  <si>
    <t>00877579005015</t>
  </si>
  <si>
    <t>00877579004452</t>
  </si>
  <si>
    <t>Cancelled</t>
  </si>
  <si>
    <t>347022</t>
    <phoneticPr fontId="1" type="noConversion"/>
  </si>
  <si>
    <t>PO_50048194</t>
  </si>
  <si>
    <t>01066899</t>
  </si>
  <si>
    <t xml:space="preserve">PR251901F5P3 </t>
  </si>
  <si>
    <t>PO_0090799</t>
  </si>
  <si>
    <t>PO_23451</t>
  </si>
  <si>
    <t>991970</t>
  </si>
  <si>
    <t>Transfer</t>
    <phoneticPr fontId="19" type="noConversion"/>
  </si>
  <si>
    <t>25-PH001</t>
    <phoneticPr fontId="19" type="noConversion"/>
  </si>
  <si>
    <t>null</t>
    <phoneticPr fontId="19" type="noConversion"/>
  </si>
  <si>
    <t>Apothecary Botanicals</t>
    <phoneticPr fontId="0" type="noConversion"/>
  </si>
  <si>
    <t>NULL</t>
    <phoneticPr fontId="0" type="noConversion"/>
  </si>
  <si>
    <t>25-FP001</t>
    <phoneticPr fontId="19" type="noConversion"/>
  </si>
  <si>
    <t>25-DI001</t>
    <phoneticPr fontId="19" type="noConversion"/>
  </si>
  <si>
    <t>Not applicable</t>
  </si>
  <si>
    <t>Intra-company</t>
    <phoneticPr fontId="0" type="noConversion"/>
  </si>
  <si>
    <t>PH23051101</t>
    <phoneticPr fontId="0" type="noConversion"/>
  </si>
  <si>
    <t>CR21083101</t>
    <phoneticPr fontId="0" type="noConversion"/>
  </si>
  <si>
    <t>RP22092101</t>
    <phoneticPr fontId="0" type="noConversion"/>
  </si>
  <si>
    <t>CR21043001</t>
    <phoneticPr fontId="0" type="noConversion"/>
  </si>
  <si>
    <t>FP21111001</t>
    <phoneticPr fontId="0" type="noConversion"/>
  </si>
  <si>
    <t>FP23003</t>
    <phoneticPr fontId="0" type="noConversion"/>
  </si>
  <si>
    <t>WX2021022401A</t>
    <phoneticPr fontId="0" type="noConversion"/>
  </si>
  <si>
    <t>DI22110901V30</t>
    <phoneticPr fontId="0" type="noConversion"/>
  </si>
  <si>
    <t>BH201221</t>
    <phoneticPr fontId="0" type="noConversion"/>
  </si>
  <si>
    <t>WX2021021102A</t>
    <phoneticPr fontId="0" type="noConversion"/>
  </si>
  <si>
    <t>DI23042601V30</t>
    <phoneticPr fontId="0" type="noConversion"/>
  </si>
  <si>
    <t>CW21041101</t>
    <phoneticPr fontId="0" type="noConversion"/>
  </si>
  <si>
    <t>CR21060801</t>
    <phoneticPr fontId="0" type="noConversion"/>
  </si>
  <si>
    <t>RP2021072301</t>
    <phoneticPr fontId="0" type="noConversion"/>
  </si>
  <si>
    <t>CDI22033001</t>
    <phoneticPr fontId="0" type="noConversion"/>
  </si>
  <si>
    <t>DI23020601V30</t>
    <phoneticPr fontId="0" type="noConversion"/>
  </si>
  <si>
    <t>EX23101601V30</t>
    <phoneticPr fontId="1" type="noConversion"/>
  </si>
  <si>
    <t>No</t>
  </si>
  <si>
    <t>Whistler Therapeutics Corp</t>
    <phoneticPr fontId="1" type="noConversion"/>
  </si>
  <si>
    <t>EX24101601V30</t>
    <phoneticPr fontId="19" type="noConversion"/>
  </si>
  <si>
    <t>Sampling</t>
  </si>
  <si>
    <t>Jay James</t>
  </si>
  <si>
    <t>EX24061401V30</t>
    <phoneticPr fontId="0" type="noConversion"/>
  </si>
  <si>
    <t>Transfer</t>
  </si>
  <si>
    <t>Sample Transfer</t>
  </si>
  <si>
    <t>Jayson Charnow</t>
    <phoneticPr fontId="0" type="noConversion"/>
  </si>
  <si>
    <t>N</t>
  </si>
  <si>
    <t>EX22021401</t>
    <phoneticPr fontId="0" type="noConversion"/>
  </si>
  <si>
    <t>NO</t>
    <phoneticPr fontId="0" type="noConversion"/>
  </si>
  <si>
    <t xml:space="preserve">Name </t>
    <phoneticPr fontId="0" type="noConversion"/>
  </si>
  <si>
    <t>EX22012601</t>
    <phoneticPr fontId="0" type="noConversion"/>
  </si>
  <si>
    <t>EX2022040601</t>
    <phoneticPr fontId="0" type="noConversion"/>
  </si>
  <si>
    <t>TP23071001</t>
    <phoneticPr fontId="0" type="noConversion"/>
  </si>
  <si>
    <t>TP23092501</t>
    <phoneticPr fontId="0" type="noConversion"/>
  </si>
  <si>
    <t>MBLL_redistribution</t>
    <phoneticPr fontId="19" type="noConversion"/>
  </si>
  <si>
    <t>EX24101802V30</t>
    <phoneticPr fontId="19" type="noConversion"/>
  </si>
  <si>
    <t>RP23070701D</t>
    <phoneticPr fontId="1" type="noConversion"/>
  </si>
  <si>
    <t>RTV</t>
  </si>
  <si>
    <t>TP24041201</t>
    <phoneticPr fontId="0" type="noConversion"/>
  </si>
  <si>
    <t>PR241003F5</t>
    <phoneticPr fontId="0" type="noConversion"/>
  </si>
  <si>
    <t>PR241001F5</t>
    <phoneticPr fontId="0" type="noConversion"/>
  </si>
  <si>
    <t>Not sent</t>
  </si>
  <si>
    <t>LEGACY SUPPLY CHAIN</t>
    <phoneticPr fontId="19" type="noConversion"/>
  </si>
  <si>
    <t>EX24102201V50</t>
    <phoneticPr fontId="19" type="noConversion"/>
  </si>
  <si>
    <t>BS23101901G450</t>
    <phoneticPr fontId="37" type="noConversion"/>
  </si>
  <si>
    <t>5M73F6AB</t>
    <phoneticPr fontId="1" type="noConversion"/>
  </si>
  <si>
    <t>5M73F6AB</t>
    <phoneticPr fontId="0" type="noConversion"/>
  </si>
  <si>
    <t>HHARAEG5</t>
    <phoneticPr fontId="0" type="noConversion"/>
  </si>
  <si>
    <t>Nov 18, 2024 at 12:00 pm EST</t>
    <phoneticPr fontId="19" type="noConversion"/>
  </si>
  <si>
    <t>Y</t>
  </si>
  <si>
    <t>Nov 19, 2024 at 12:00 pm EST</t>
    <phoneticPr fontId="19" type="noConversion"/>
  </si>
  <si>
    <t>Dec 16, 2024 at 12:30 pm EST</t>
    <phoneticPr fontId="19" type="noConversion"/>
  </si>
  <si>
    <t>WP10</t>
  </si>
  <si>
    <t>YES</t>
    <phoneticPr fontId="0" type="noConversion"/>
  </si>
  <si>
    <t>WP6</t>
  </si>
  <si>
    <t>WP4</t>
  </si>
  <si>
    <t>EX24082901G05</t>
    <phoneticPr fontId="19" type="noConversion"/>
  </si>
  <si>
    <t>WP3</t>
  </si>
  <si>
    <t>WP2</t>
  </si>
  <si>
    <t>WP1</t>
  </si>
  <si>
    <t>Paid</t>
  </si>
  <si>
    <t>CANNMART</t>
  </si>
  <si>
    <t>PR2412F7P3-1</t>
    <phoneticPr fontId="19" type="noConversion"/>
  </si>
  <si>
    <t>PR2415F7P3</t>
    <phoneticPr fontId="19" type="noConversion"/>
  </si>
  <si>
    <t>A04714</t>
    <phoneticPr fontId="19" type="noConversion"/>
  </si>
  <si>
    <t>PR2414F1P1</t>
    <phoneticPr fontId="19" type="noConversion"/>
  </si>
  <si>
    <t>THE KURE CANNABIS SOCIETY</t>
  </si>
  <si>
    <t>BCDD</t>
    <phoneticPr fontId="0" type="noConversion"/>
  </si>
  <si>
    <t>EX24082906G05</t>
    <phoneticPr fontId="0" type="noConversion"/>
  </si>
  <si>
    <t>Greenstar Cannabis Company-North Vancouver</t>
    <phoneticPr fontId="19" type="noConversion"/>
  </si>
  <si>
    <t>TP24082901</t>
    <phoneticPr fontId="19" type="noConversion"/>
  </si>
  <si>
    <t>BUD-EES DISPENSARY</t>
  </si>
  <si>
    <t>10877579001564</t>
    <phoneticPr fontId="19" type="noConversion"/>
  </si>
  <si>
    <t>VRZC081</t>
  </si>
  <si>
    <t>10628451396137</t>
    <phoneticPr fontId="19" type="noConversion"/>
  </si>
  <si>
    <t>Return</t>
  </si>
  <si>
    <t>229594</t>
    <phoneticPr fontId="0" type="noConversion"/>
  </si>
  <si>
    <t>CNB-10509935</t>
    <phoneticPr fontId="0" type="noConversion"/>
  </si>
  <si>
    <t>CNB-10508892</t>
    <phoneticPr fontId="0" type="noConversion"/>
  </si>
  <si>
    <t>2024101703G7</t>
    <phoneticPr fontId="19" type="noConversion"/>
  </si>
  <si>
    <t>CNB-10510353</t>
    <phoneticPr fontId="0" type="noConversion"/>
  </si>
  <si>
    <t>CNB-10510953</t>
    <phoneticPr fontId="0" type="noConversion"/>
  </si>
  <si>
    <t>PR241104F5P3</t>
    <phoneticPr fontId="19" type="noConversion"/>
  </si>
  <si>
    <t>CNB-10510952</t>
    <phoneticPr fontId="0" type="noConversion"/>
  </si>
  <si>
    <t>Violet Wild Cannabis Co.</t>
    <phoneticPr fontId="0" type="noConversion"/>
  </si>
  <si>
    <t>Sent</t>
  </si>
  <si>
    <t>Date: Dec 02, 2024 at 12:00 pm</t>
  </si>
  <si>
    <t>OPEN FIELD DISTRIBUTION-MB</t>
    <phoneticPr fontId="19" type="noConversion"/>
  </si>
  <si>
    <t>PR241004F5P3</t>
  </si>
  <si>
    <t>43844</t>
  </si>
  <si>
    <t>Ontario Cannabis Store</t>
    <phoneticPr fontId="0" type="noConversion"/>
  </si>
  <si>
    <t>0877579002601</t>
  </si>
  <si>
    <t>0877579000638</t>
  </si>
  <si>
    <t>PR2406F1P3</t>
  </si>
  <si>
    <t>0877579003219</t>
  </si>
  <si>
    <t>0877579003165</t>
  </si>
  <si>
    <t>0877579003158</t>
  </si>
  <si>
    <t>0877579003752</t>
  </si>
  <si>
    <t>0877579003851</t>
  </si>
  <si>
    <t>PR241001F5P3</t>
  </si>
  <si>
    <t>0877579004179</t>
  </si>
  <si>
    <t>0877579003844</t>
  </si>
  <si>
    <t>YLC</t>
    <phoneticPr fontId="19" type="noConversion"/>
  </si>
  <si>
    <t>0877579003868</t>
  </si>
  <si>
    <t>PR240601F5P5</t>
  </si>
  <si>
    <t>Provincial Distribution</t>
    <phoneticPr fontId="0" type="noConversion"/>
  </si>
  <si>
    <t>YT</t>
    <phoneticPr fontId="0" type="noConversion"/>
  </si>
  <si>
    <t>TP21121701</t>
    <phoneticPr fontId="0" type="noConversion"/>
  </si>
  <si>
    <t>EX24082902G05</t>
    <phoneticPr fontId="0" type="noConversion"/>
  </si>
  <si>
    <t>EX24082903G05</t>
    <phoneticPr fontId="0" type="noConversion"/>
  </si>
  <si>
    <t>PR2301F35P12</t>
    <phoneticPr fontId="19" type="noConversion"/>
  </si>
  <si>
    <t>995036</t>
    <phoneticPr fontId="19" type="noConversion"/>
  </si>
  <si>
    <t>CPR22102101G5</t>
    <phoneticPr fontId="19" type="noConversion"/>
  </si>
  <si>
    <t>GXA5CZGE</t>
  </si>
  <si>
    <t>EX24100801V30</t>
    <phoneticPr fontId="19" type="noConversion"/>
  </si>
  <si>
    <t>6WDFP726</t>
  </si>
  <si>
    <t>76DECNDL</t>
  </si>
  <si>
    <t>TP23092501</t>
  </si>
  <si>
    <t>EA6G1U23</t>
  </si>
  <si>
    <t>UJ62B6KC</t>
  </si>
  <si>
    <t>TF8H8UG8</t>
  </si>
  <si>
    <t>GDCHTKGX</t>
  </si>
  <si>
    <t>2L7T1LMF</t>
  </si>
  <si>
    <t>EFE3DWDD</t>
  </si>
  <si>
    <t>4JK3HBH7</t>
  </si>
  <si>
    <t>EX24101705G05</t>
    <phoneticPr fontId="19" type="noConversion"/>
  </si>
  <si>
    <t>NQ4EQD2C</t>
  </si>
  <si>
    <t>Z1EQ8HUH</t>
  </si>
  <si>
    <t>GXB412CX</t>
  </si>
  <si>
    <t>R1H8AP5V</t>
  </si>
  <si>
    <t xml:space="preserve">00877579002601 </t>
  </si>
  <si>
    <t>Aug 15, 2024 at 1:00 pm</t>
  </si>
  <si>
    <t xml:space="preserve">	Aug 20, 2024 at 1:00 pm EDT</t>
  </si>
  <si>
    <t>24-06-05</t>
  </si>
  <si>
    <t>Aug 27, 2024 at 1:00 pm</t>
  </si>
  <si>
    <t>Sep 09, 2024 at 1:00pm</t>
    <phoneticPr fontId="0" type="noConversion"/>
  </si>
  <si>
    <t>EX24070902V50</t>
    <phoneticPr fontId="0" type="noConversion"/>
  </si>
  <si>
    <t>00877579003714</t>
    <phoneticPr fontId="0" type="noConversion"/>
  </si>
  <si>
    <t>EX24080601V50</t>
    <phoneticPr fontId="0" type="noConversion"/>
  </si>
  <si>
    <t>Oct 23, 2024 at 1:00 pm EDT</t>
  </si>
  <si>
    <t>Oct 11, 2024 at 12:00 pm EDT</t>
  </si>
  <si>
    <t>52819</t>
  </si>
  <si>
    <t>EX24090501V50</t>
    <phoneticPr fontId="0" type="noConversion"/>
  </si>
  <si>
    <t>Oct 18, 2024 at 1:00 pm EDT</t>
  </si>
  <si>
    <t>52818</t>
  </si>
  <si>
    <t>Oct 23, 2024 at 1:00 pm</t>
    <phoneticPr fontId="0" type="noConversion"/>
  </si>
  <si>
    <t>53241</t>
    <phoneticPr fontId="0" type="noConversion"/>
  </si>
  <si>
    <t>Nov 04, 2024 at 12:30 pm EST</t>
  </si>
  <si>
    <t>53995</t>
    <phoneticPr fontId="19" type="noConversion"/>
  </si>
  <si>
    <t>Nov 11, 2024 at 12:00 pm EST</t>
    <phoneticPr fontId="19" type="noConversion"/>
  </si>
  <si>
    <t>Nov 11, 2024 at 12:00 pm EST</t>
  </si>
  <si>
    <t>Dec 02, 2024 at 12:00 pm EST</t>
  </si>
  <si>
    <t>Dec 02, 2024 at 12:00 pm EST</t>
    <phoneticPr fontId="19" type="noConversion"/>
  </si>
  <si>
    <t>Dec 09, 2024 at 1:00 pm</t>
    <phoneticPr fontId="19" type="noConversion"/>
  </si>
  <si>
    <t>PR2405F7P3-2</t>
  </si>
  <si>
    <t>00842572002453</t>
  </si>
  <si>
    <t>AGLC</t>
    <phoneticPr fontId="0" type="noConversion"/>
  </si>
  <si>
    <t>EFF2403H2</t>
  </si>
  <si>
    <t>CannMart Inc</t>
    <phoneticPr fontId="0" type="noConversion"/>
  </si>
  <si>
    <t>EFF2403H2-1</t>
  </si>
  <si>
    <t>EF5F2402H2</t>
  </si>
  <si>
    <t>PR2408F7P3</t>
  </si>
  <si>
    <t>PR2405F7P3-5</t>
    <phoneticPr fontId="0" type="noConversion"/>
  </si>
  <si>
    <t>PR2405F7P3-4</t>
    <phoneticPr fontId="0" type="noConversion"/>
  </si>
  <si>
    <t>PR2405F7P3-4</t>
  </si>
  <si>
    <t>EFM2302H2</t>
    <phoneticPr fontId="0" type="noConversion"/>
  </si>
  <si>
    <t xml:space="preserve"> </t>
  </si>
  <si>
    <t>PR2405F7P3-2</t>
    <phoneticPr fontId="0" type="noConversion"/>
  </si>
  <si>
    <t>Not Paid</t>
  </si>
  <si>
    <t>EFSF2402H2-1</t>
  </si>
  <si>
    <t>Yes</t>
    <phoneticPr fontId="0" type="noConversion"/>
  </si>
  <si>
    <t>QC</t>
    <phoneticPr fontId="0" type="noConversion"/>
  </si>
  <si>
    <t>PR2408F7P3-1</t>
  </si>
  <si>
    <t>AB</t>
    <phoneticPr fontId="0" type="noConversion"/>
  </si>
  <si>
    <t>TP24082901</t>
    <phoneticPr fontId="0" type="noConversion"/>
  </si>
  <si>
    <t>PR2408F7P3</t>
    <phoneticPr fontId="0" type="noConversion"/>
  </si>
  <si>
    <t>PR2413F7P3</t>
    <phoneticPr fontId="19" type="noConversion"/>
  </si>
  <si>
    <t>CNB-04809951</t>
    <phoneticPr fontId="19" type="noConversion"/>
  </si>
  <si>
    <t>EFSF2403H2</t>
  </si>
  <si>
    <t>EFF2404H2</t>
    <phoneticPr fontId="0" type="noConversion"/>
  </si>
  <si>
    <t>A02443</t>
    <phoneticPr fontId="0" type="noConversion"/>
  </si>
  <si>
    <t>EFSF2403H2-1</t>
    <phoneticPr fontId="0" type="noConversion"/>
  </si>
  <si>
    <t>EFSF2403H2</t>
    <phoneticPr fontId="0" type="noConversion"/>
  </si>
  <si>
    <t>PR2412F7</t>
    <phoneticPr fontId="19" type="noConversion"/>
  </si>
  <si>
    <t>A04508</t>
    <phoneticPr fontId="19" type="noConversion"/>
  </si>
  <si>
    <t>PR2408F7P3</t>
    <phoneticPr fontId="19" type="noConversion"/>
  </si>
  <si>
    <t>A02856</t>
    <phoneticPr fontId="19" type="noConversion"/>
  </si>
  <si>
    <t>Cannmart</t>
    <phoneticPr fontId="19" type="noConversion"/>
  </si>
  <si>
    <t>A04445</t>
    <phoneticPr fontId="19" type="noConversion"/>
  </si>
  <si>
    <t>PR2413F7P3-1</t>
    <phoneticPr fontId="19" type="noConversion"/>
  </si>
  <si>
    <t>EX24082903G05</t>
    <phoneticPr fontId="19" type="noConversion"/>
  </si>
  <si>
    <t>EX24082902G05</t>
    <phoneticPr fontId="19" type="noConversion"/>
  </si>
  <si>
    <t>PR241005F5P3</t>
    <phoneticPr fontId="19" type="noConversion"/>
  </si>
  <si>
    <t>7900385</t>
    <phoneticPr fontId="19" type="noConversion"/>
  </si>
  <si>
    <t>PR241101F5P3</t>
    <phoneticPr fontId="0" type="noConversion"/>
  </si>
  <si>
    <t>yes</t>
    <phoneticPr fontId="0" type="noConversion"/>
  </si>
  <si>
    <t>YES</t>
    <phoneticPr fontId="1" type="noConversion"/>
  </si>
  <si>
    <t>Chronic HUB Cannabis</t>
    <phoneticPr fontId="1" type="noConversion"/>
  </si>
  <si>
    <t>Chronic HUB Cannabis</t>
    <phoneticPr fontId="0" type="noConversion"/>
  </si>
  <si>
    <t>KAYA CONNECTION</t>
    <phoneticPr fontId="19" type="noConversion"/>
  </si>
  <si>
    <t>TEAM CANNABIS</t>
    <phoneticPr fontId="19" type="noConversion"/>
  </si>
  <si>
    <t>THC CANADA</t>
    <phoneticPr fontId="19" type="noConversion"/>
  </si>
  <si>
    <t>Intra-company</t>
  </si>
  <si>
    <t>PH23051101</t>
  </si>
  <si>
    <t>ROT23004</t>
  </si>
  <si>
    <t>RP23003</t>
  </si>
  <si>
    <t>CITY CANNABIS CO</t>
  </si>
  <si>
    <t>CITY CANNABIS CO</t>
    <phoneticPr fontId="0" type="noConversion"/>
  </si>
  <si>
    <t>1st Cannabis</t>
    <phoneticPr fontId="0" type="noConversion"/>
  </si>
  <si>
    <t>PR241005F5P3</t>
    <phoneticPr fontId="0" type="noConversion"/>
  </si>
  <si>
    <t>PR241002F5P3</t>
    <phoneticPr fontId="0" type="noConversion"/>
  </si>
  <si>
    <t>LOCAL CANNABIS CO.</t>
  </si>
  <si>
    <t>THE ORIGINAL FARM-SCOTT ST</t>
  </si>
  <si>
    <t>WATER STREET CANNABIS</t>
  </si>
  <si>
    <t>Praire Trichomes Ltd</t>
    <phoneticPr fontId="0" type="noConversion"/>
  </si>
  <si>
    <t xml:space="preserve">MBLL </t>
  </si>
  <si>
    <t>Flamingo VAPE SHOP LTD - ST. James</t>
    <phoneticPr fontId="0" type="noConversion"/>
  </si>
  <si>
    <t>PR241003F5P3</t>
    <phoneticPr fontId="0" type="noConversion"/>
  </si>
  <si>
    <t>Star Buds Cannabis Co-Pembina</t>
    <phoneticPr fontId="0" type="noConversion"/>
  </si>
  <si>
    <t>THE ESSENTIAL CANNABIS COMPANY LTD- SELKIRK</t>
    <phoneticPr fontId="0" type="noConversion"/>
  </si>
  <si>
    <t>SPIRITLEAF - ST.MARY'S ROAD</t>
    <phoneticPr fontId="0" type="noConversion"/>
  </si>
  <si>
    <t>FIRE&amp;FLOWER CANNABIS CO-PLP</t>
    <phoneticPr fontId="0" type="noConversion"/>
  </si>
  <si>
    <t>10006215 MANITOBA LTD - TOKYO SMOKE</t>
    <phoneticPr fontId="0" type="noConversion"/>
  </si>
  <si>
    <t>FUSION BUD LTD</t>
  </si>
  <si>
    <t>SMOKE N FISH</t>
  </si>
  <si>
    <t>DELTA 9 CANNABIS STORE-DAKOTA ST</t>
  </si>
  <si>
    <t>DELTA 9 CANNABIS STORE-RIVER AVE</t>
  </si>
  <si>
    <t>DELTA 9 CANNABIS STORE-18TH ST</t>
  </si>
  <si>
    <t>DELTA9 CANNABIS STORE-MYSTERY LAKE RD</t>
  </si>
  <si>
    <t>DELTA9 CANNABIS STORE-KENASTON BLVD</t>
  </si>
  <si>
    <t>DELTA9 CANNABIS STORE-REGENT</t>
  </si>
  <si>
    <t>DELTA 9 CANNABIS STORE-MCPHILLIPS</t>
  </si>
  <si>
    <t>DELTA 9 CANNABIS STORE-HENDERSON HWY</t>
  </si>
  <si>
    <t>DELTA 9 CANNABIS STORE-SELKIRK</t>
  </si>
  <si>
    <t>DELTA 9 CANNABIS STORE-PEMBINA</t>
  </si>
  <si>
    <t>DELTA 9 CANNABIS STORE-1719 PORTAGE AVE</t>
  </si>
  <si>
    <t>DELTA 9 CANNABIS STORE-3421 PORTAGE AVE</t>
  </si>
  <si>
    <t>DELTA 9 CANNABIS STORE-DAUPHIN</t>
  </si>
  <si>
    <t>DELTA 9 CANNABIS STORE-MARION</t>
  </si>
  <si>
    <t>DELTA 9 CANNABIS STORE-SARGENT</t>
  </si>
  <si>
    <t>HAPPY VALLEYS CANNABIS INC-ILE DES CHENES</t>
  </si>
  <si>
    <t>INTERLAKE REEF</t>
  </si>
  <si>
    <t>TOKYO SMOKE-MORDEN</t>
  </si>
  <si>
    <t>FIRE &amp; FLOWER CANNABIS CO-ST.ANNES</t>
  </si>
  <si>
    <t>FIRE &amp; FLOWER CANNABIS CO-SELKIRK</t>
  </si>
  <si>
    <t>THE VAULT CANNABIS LTD - ARBORG</t>
  </si>
  <si>
    <t>BUDDY GUY CANNABIS INC</t>
  </si>
  <si>
    <t>00877579001564</t>
  </si>
  <si>
    <t>NSLC</t>
    <phoneticPr fontId="0" type="noConversion"/>
  </si>
  <si>
    <t>NS</t>
    <phoneticPr fontId="0" type="noConversion"/>
  </si>
  <si>
    <t>20877579003244</t>
  </si>
  <si>
    <t>BCLDB</t>
    <phoneticPr fontId="0" type="noConversion"/>
  </si>
  <si>
    <t>01066344</t>
  </si>
  <si>
    <t>01065402</t>
  </si>
  <si>
    <t>EX24091201V30</t>
    <phoneticPr fontId="0" type="noConversion"/>
  </si>
  <si>
    <t>01062973</t>
  </si>
  <si>
    <t>EX23101601V30</t>
  </si>
  <si>
    <t>RP24002</t>
  </si>
  <si>
    <t>01038678</t>
  </si>
  <si>
    <t>EX23101601V30</t>
    <phoneticPr fontId="0" type="noConversion"/>
  </si>
  <si>
    <t>01049378</t>
    <phoneticPr fontId="0" type="noConversion"/>
  </si>
  <si>
    <t>RP24001</t>
    <phoneticPr fontId="19" type="noConversion"/>
  </si>
  <si>
    <t>01065402</t>
    <phoneticPr fontId="19" type="noConversion"/>
  </si>
  <si>
    <t>RP24002</t>
    <phoneticPr fontId="19" type="noConversion"/>
  </si>
  <si>
    <t>PH23090601G2</t>
    <phoneticPr fontId="19" type="noConversion"/>
  </si>
  <si>
    <t>01067250</t>
    <phoneticPr fontId="19" type="noConversion"/>
  </si>
  <si>
    <t>EX24101704G05</t>
    <phoneticPr fontId="19" type="noConversion"/>
  </si>
  <si>
    <t>01066317</t>
    <phoneticPr fontId="19" type="noConversion"/>
  </si>
  <si>
    <t>EX24111304G05</t>
    <phoneticPr fontId="19" type="noConversion"/>
  </si>
  <si>
    <t>01066359</t>
    <phoneticPr fontId="19" type="noConversion"/>
  </si>
  <si>
    <t>EX24111305G05</t>
    <phoneticPr fontId="19" type="noConversion"/>
  </si>
  <si>
    <t>01066344</t>
    <phoneticPr fontId="19" type="noConversion"/>
  </si>
  <si>
    <t>EX24091201V30</t>
    <phoneticPr fontId="19" type="noConversion"/>
  </si>
  <si>
    <t>01049378</t>
    <phoneticPr fontId="19" type="noConversion"/>
  </si>
  <si>
    <t>CNB-10505190</t>
  </si>
  <si>
    <t>PR2303IN01F5P3</t>
  </si>
  <si>
    <t>CNB-10510203</t>
  </si>
  <si>
    <t>CNB-10510204</t>
  </si>
  <si>
    <t>CNB-10509933</t>
  </si>
  <si>
    <t>CNB-10509935</t>
  </si>
  <si>
    <t>EX24022301V30</t>
  </si>
  <si>
    <t>CNB-10508892</t>
  </si>
  <si>
    <t>228948</t>
  </si>
  <si>
    <t>CNB-10510742</t>
    <phoneticPr fontId="0" type="noConversion"/>
  </si>
  <si>
    <t>CNB-10510744</t>
    <phoneticPr fontId="0" type="noConversion"/>
  </si>
  <si>
    <t>CNB-10510743</t>
    <phoneticPr fontId="0" type="noConversion"/>
  </si>
  <si>
    <t>City Cannabis</t>
    <phoneticPr fontId="0" type="noConversion"/>
  </si>
  <si>
    <t>City Cannabis</t>
  </si>
  <si>
    <t>KOOTENAY CANNABIS CASTLEGAR</t>
    <phoneticPr fontId="0" type="noConversion"/>
  </si>
  <si>
    <t>City Cannabis CO-Cambie ST</t>
    <phoneticPr fontId="0" type="noConversion"/>
  </si>
  <si>
    <t>PR2406F5P5</t>
  </si>
  <si>
    <t>Sunrise Cannabis</t>
    <phoneticPr fontId="0" type="noConversion"/>
  </si>
  <si>
    <t>Renan / THC Canada</t>
    <phoneticPr fontId="0" type="noConversion"/>
  </si>
  <si>
    <t>BURB CANNABIS-Broadway</t>
    <phoneticPr fontId="0" type="noConversion"/>
  </si>
  <si>
    <t>241003F5P3</t>
  </si>
  <si>
    <t>KOOTENAY CANNABIS KINGSWAY</t>
  </si>
  <si>
    <t>Retail</t>
    <phoneticPr fontId="0" type="noConversion"/>
  </si>
  <si>
    <t>BS23041701G180</t>
    <phoneticPr fontId="0" type="noConversion"/>
  </si>
  <si>
    <t>1054188</t>
    <phoneticPr fontId="1" type="noConversion"/>
  </si>
  <si>
    <t>LOCAL CANNABIS CO.</t>
    <phoneticPr fontId="0" type="noConversion"/>
  </si>
  <si>
    <t>SKDD</t>
    <phoneticPr fontId="19" type="noConversion"/>
  </si>
  <si>
    <t>Boomtown Bloom Cannabis</t>
  </si>
  <si>
    <t>Orbis Express-Ontario</t>
    <phoneticPr fontId="0" type="noConversion"/>
  </si>
  <si>
    <t>ROT23004</t>
    <phoneticPr fontId="19" type="noConversion"/>
  </si>
  <si>
    <t>Duty paid-AB</t>
  </si>
  <si>
    <t>EX24092701V30</t>
    <phoneticPr fontId="19" type="noConversion"/>
  </si>
  <si>
    <t>Sampling</t>
    <phoneticPr fontId="19" type="noConversion"/>
  </si>
  <si>
    <t>BURB CANNABIS-Broadway</t>
    <phoneticPr fontId="19" type="noConversion"/>
  </si>
  <si>
    <t>sampling</t>
    <phoneticPr fontId="19" type="noConversion"/>
  </si>
  <si>
    <t>2024111801G7</t>
  </si>
  <si>
    <t>PR250703F5P3</t>
    <phoneticPr fontId="19" type="noConversion"/>
  </si>
  <si>
    <t>104037</t>
    <phoneticPr fontId="19" type="noConversion"/>
  </si>
  <si>
    <t>EX25020601G05</t>
    <phoneticPr fontId="19" type="noConversion"/>
  </si>
  <si>
    <t>104049</t>
  </si>
  <si>
    <t>YT</t>
    <phoneticPr fontId="19" type="noConversion"/>
  </si>
  <si>
    <t xml:space="preserve">NO </t>
    <phoneticPr fontId="19" type="noConversion"/>
  </si>
  <si>
    <t>CPR22102001G5</t>
    <phoneticPr fontId="19" type="noConversion"/>
  </si>
  <si>
    <t>2022012401R1G28</t>
    <phoneticPr fontId="19" type="noConversion"/>
  </si>
  <si>
    <t>995036</t>
  </si>
  <si>
    <t>2022012401G28</t>
    <phoneticPr fontId="19" type="noConversion"/>
  </si>
  <si>
    <t>2021082601G14</t>
    <phoneticPr fontId="19" type="noConversion"/>
  </si>
  <si>
    <t>991971</t>
    <phoneticPr fontId="19" type="noConversion"/>
  </si>
  <si>
    <t xml:space="preserve">	Mar 03, 2025 at 6:30 pm EST</t>
    <phoneticPr fontId="19" type="noConversion"/>
  </si>
  <si>
    <t>Apr 16, 2025 at 2:00 pm EDT</t>
    <phoneticPr fontId="19" type="noConversion"/>
  </si>
  <si>
    <t>PR2416F5P10</t>
    <phoneticPr fontId="19" type="noConversion"/>
  </si>
  <si>
    <t>2024111801G7</t>
    <phoneticPr fontId="19" type="noConversion"/>
  </si>
  <si>
    <t>WP12</t>
    <phoneticPr fontId="19" type="noConversion"/>
  </si>
  <si>
    <t>WP11</t>
    <phoneticPr fontId="19" type="noConversion"/>
  </si>
  <si>
    <t>WP1</t>
    <phoneticPr fontId="19" type="noConversion"/>
  </si>
  <si>
    <t>PR2413F7P3-2</t>
  </si>
  <si>
    <t>A04445</t>
  </si>
  <si>
    <t>Cannabis Yukon</t>
    <phoneticPr fontId="19" type="noConversion"/>
  </si>
  <si>
    <t>PR2405F7P3-4</t>
    <phoneticPr fontId="19" type="noConversion"/>
  </si>
  <si>
    <t>00842572000954</t>
  </si>
  <si>
    <t>EFSF2404H2</t>
    <phoneticPr fontId="19" type="noConversion"/>
  </si>
  <si>
    <t>QC</t>
    <phoneticPr fontId="19" type="noConversion"/>
  </si>
  <si>
    <t>Original Farm Hillside</t>
    <phoneticPr fontId="19" type="noConversion"/>
  </si>
  <si>
    <t>EFF2405H2</t>
    <phoneticPr fontId="19" type="noConversion"/>
  </si>
  <si>
    <t>PR2415F7P3-1</t>
  </si>
  <si>
    <t>PR2414F1P1-1</t>
  </si>
  <si>
    <t>PR2504F7P3</t>
    <phoneticPr fontId="19" type="noConversion"/>
  </si>
  <si>
    <t>EFF2405H2-1</t>
    <phoneticPr fontId="19" type="noConversion"/>
  </si>
  <si>
    <t>EFSF2404H2-1</t>
    <phoneticPr fontId="19" type="noConversion"/>
  </si>
  <si>
    <t>A03575</t>
    <phoneticPr fontId="19" type="noConversion"/>
  </si>
  <si>
    <t>EFR2401H2</t>
    <phoneticPr fontId="19" type="noConversion"/>
  </si>
  <si>
    <t>A04903</t>
    <phoneticPr fontId="19" type="noConversion"/>
  </si>
  <si>
    <t>A04904</t>
    <phoneticPr fontId="19" type="noConversion"/>
  </si>
  <si>
    <t>EFSF2501H2</t>
    <phoneticPr fontId="19" type="noConversion"/>
  </si>
  <si>
    <t>EFF2501H2</t>
  </si>
  <si>
    <t>Brunette Cannabis Co.</t>
    <phoneticPr fontId="19" type="noConversion"/>
  </si>
  <si>
    <t>EX25010907G1</t>
    <phoneticPr fontId="19" type="noConversion"/>
  </si>
  <si>
    <t>SPIRITLEAF-MAPLE RIDGE</t>
  </si>
  <si>
    <t>CANNASSEURS CANNABIS</t>
    <phoneticPr fontId="19" type="noConversion"/>
  </si>
  <si>
    <t>EX24111304G05</t>
  </si>
  <si>
    <t>Kushklub</t>
    <phoneticPr fontId="19" type="noConversion"/>
  </si>
  <si>
    <t>Local Cannabis Co.</t>
    <phoneticPr fontId="19" type="noConversion"/>
  </si>
  <si>
    <t>Weeds Glass &amp; gifts</t>
  </si>
  <si>
    <t>CANNTINA CANNABIS</t>
    <phoneticPr fontId="19" type="noConversion"/>
  </si>
  <si>
    <t>EX25020601G1</t>
    <phoneticPr fontId="19" type="noConversion"/>
  </si>
  <si>
    <t>Queensborough Cannabis Co.</t>
    <phoneticPr fontId="19" type="noConversion"/>
  </si>
  <si>
    <t>FP23003</t>
    <phoneticPr fontId="19" type="noConversion"/>
  </si>
  <si>
    <t>1052851</t>
    <phoneticPr fontId="19" type="noConversion"/>
  </si>
  <si>
    <t>FP23006</t>
    <phoneticPr fontId="19" type="noConversion"/>
  </si>
  <si>
    <t>WT1</t>
    <phoneticPr fontId="19" type="noConversion"/>
  </si>
  <si>
    <t>LOCAL CANNABIS CO.</t>
    <phoneticPr fontId="19" type="noConversion"/>
  </si>
  <si>
    <t>Local Cannabis</t>
    <phoneticPr fontId="19" type="noConversion"/>
  </si>
  <si>
    <t>EX25011501V50</t>
    <phoneticPr fontId="19" type="noConversion"/>
  </si>
  <si>
    <t>Weeds Glass and Gifts</t>
    <phoneticPr fontId="19" type="noConversion"/>
  </si>
  <si>
    <t>Oceanside c weed</t>
    <phoneticPr fontId="19" type="noConversion"/>
  </si>
  <si>
    <t>BUDDY'S PLACE</t>
  </si>
  <si>
    <t>CANNA CABANA-BRANDON</t>
  </si>
  <si>
    <t>THE OLD CANNABIS MARKET LTD</t>
  </si>
  <si>
    <t>KILDARE STOP &amp; SHOP</t>
    <phoneticPr fontId="19" type="noConversion"/>
  </si>
  <si>
    <t>NS</t>
    <phoneticPr fontId="19" type="noConversion"/>
  </si>
  <si>
    <t>Duty Paid-MB</t>
  </si>
  <si>
    <t>Duty Paid-ON</t>
  </si>
  <si>
    <t>Duty Paid-SK</t>
  </si>
  <si>
    <t>TP23071001</t>
  </si>
  <si>
    <t>DELTA 9 CANNABIS STORE-DAKOTA ST</t>
    <phoneticPr fontId="19" type="noConversion"/>
  </si>
  <si>
    <t>DELTA 9 CANNABIS STORE-18TH ST</t>
    <phoneticPr fontId="19" type="noConversion"/>
  </si>
  <si>
    <t>01067896</t>
    <phoneticPr fontId="19" type="noConversion"/>
  </si>
  <si>
    <t>01068007</t>
    <phoneticPr fontId="19" type="noConversion"/>
  </si>
  <si>
    <t>PR2303IN01F5P3</t>
    <phoneticPr fontId="19" type="noConversion"/>
  </si>
  <si>
    <t>CNB-10510203</t>
    <phoneticPr fontId="19" type="noConversion"/>
  </si>
  <si>
    <t>CNB-10510953</t>
    <phoneticPr fontId="19" type="noConversion"/>
  </si>
  <si>
    <t>CNB-10510952</t>
    <phoneticPr fontId="19" type="noConversion"/>
  </si>
  <si>
    <t>CNB-10510742</t>
    <phoneticPr fontId="19" type="noConversion"/>
  </si>
  <si>
    <t>CNB-10510744</t>
    <phoneticPr fontId="19" type="noConversion"/>
  </si>
  <si>
    <t>EX25022105G05</t>
    <phoneticPr fontId="19" type="noConversion"/>
  </si>
  <si>
    <t>CNB-10510743</t>
    <phoneticPr fontId="19" type="noConversion"/>
  </si>
  <si>
    <t>CNB-10512203</t>
  </si>
  <si>
    <t>EWBH23100016</t>
    <phoneticPr fontId="19" type="noConversion"/>
  </si>
  <si>
    <t>1062973</t>
    <phoneticPr fontId="19" type="noConversion"/>
  </si>
  <si>
    <t>24-FP002</t>
    <phoneticPr fontId="19" type="noConversion"/>
  </si>
  <si>
    <t>BUDDY'S PLACE</t>
    <phoneticPr fontId="19" type="noConversion"/>
  </si>
  <si>
    <t>Canntina Cannabis</t>
    <phoneticPr fontId="19" type="noConversion"/>
  </si>
  <si>
    <t>Cheeba Cheebas</t>
    <phoneticPr fontId="19" type="noConversion"/>
  </si>
  <si>
    <t>Quantum 1-North Vancouver</t>
    <phoneticPr fontId="19" type="noConversion"/>
  </si>
  <si>
    <t>Violet Wild Cannabis Co.</t>
    <phoneticPr fontId="19" type="noConversion"/>
  </si>
  <si>
    <t>Up in Smoke</t>
    <phoneticPr fontId="19" type="noConversion"/>
  </si>
  <si>
    <t>PR2405F3P7-4</t>
    <phoneticPr fontId="19" type="noConversion"/>
  </si>
  <si>
    <t>Duty Paid- AB</t>
  </si>
  <si>
    <t>1st cannabis</t>
    <phoneticPr fontId="19" type="noConversion"/>
  </si>
  <si>
    <t>sample</t>
  </si>
  <si>
    <t>Rohan Gardinier</t>
  </si>
  <si>
    <t>2024-10-10</t>
  </si>
  <si>
    <t>4</t>
  </si>
  <si>
    <t>sample for event- Stratcann</t>
  </si>
  <si>
    <t>transfer</t>
  </si>
  <si>
    <t>case_price</t>
  </si>
  <si>
    <t>unit_price</t>
  </si>
  <si>
    <t>ship_weight</t>
  </si>
  <si>
    <t>CRA</t>
  </si>
  <si>
    <t>brand</t>
  </si>
  <si>
    <t>Cannmart</t>
    <phoneticPr fontId="0" type="noConversion"/>
  </si>
  <si>
    <t>BCLDB_WT</t>
    <phoneticPr fontId="19" type="noConversion"/>
  </si>
  <si>
    <t>OCS</t>
    <phoneticPr fontId="19" type="noConversion"/>
  </si>
  <si>
    <t>Provincial Distribution</t>
    <phoneticPr fontId="19" type="noConversion"/>
  </si>
  <si>
    <t>see po</t>
  </si>
  <si>
    <t>NTLCC</t>
    <phoneticPr fontId="19" type="noConversion"/>
  </si>
  <si>
    <t>SLGA_redistribution</t>
    <phoneticPr fontId="19" type="noConversion"/>
  </si>
  <si>
    <t>NT</t>
    <phoneticPr fontId="19" type="noConversion"/>
  </si>
  <si>
    <t>BCDD</t>
    <phoneticPr fontId="1" type="noConversion"/>
  </si>
  <si>
    <t>Retail</t>
    <phoneticPr fontId="19" type="noConversion"/>
  </si>
  <si>
    <t>BC</t>
    <phoneticPr fontId="1" type="noConversion"/>
  </si>
  <si>
    <t>DD_BURB</t>
    <phoneticPr fontId="19" type="noConversion"/>
  </si>
  <si>
    <t>BCLDB_BURB</t>
  </si>
  <si>
    <t>Retail</t>
    <phoneticPr fontId="1" type="noConversion"/>
  </si>
  <si>
    <t>9*6*6</t>
    <phoneticPr fontId="0" type="noConversion"/>
  </si>
  <si>
    <t>9*6*6</t>
    <phoneticPr fontId="1" type="noConversion"/>
  </si>
  <si>
    <t>6*6*6</t>
  </si>
  <si>
    <t>7*5*2</t>
    <phoneticPr fontId="19" type="noConversion"/>
  </si>
  <si>
    <t>14*9*5</t>
  </si>
  <si>
    <t>DD_WT</t>
    <phoneticPr fontId="0" type="noConversion"/>
  </si>
  <si>
    <t>Cannmart</t>
    <phoneticPr fontId="1" type="noConversion"/>
  </si>
  <si>
    <t>NT</t>
    <phoneticPr fontId="1" type="noConversion"/>
  </si>
  <si>
    <t>AGLC</t>
    <phoneticPr fontId="1" type="noConversion"/>
  </si>
  <si>
    <t>Ontario Cannabis Store</t>
    <phoneticPr fontId="19" type="noConversion"/>
  </si>
  <si>
    <t>8*6*4</t>
    <phoneticPr fontId="1" type="noConversion"/>
  </si>
  <si>
    <t>8*6*5</t>
  </si>
  <si>
    <t>Cannmart_AGLC</t>
    <phoneticPr fontId="19" type="noConversion"/>
  </si>
  <si>
    <t>QC</t>
    <phoneticPr fontId="1" type="noConversion"/>
  </si>
  <si>
    <t>BCDD_ROGWORLD</t>
    <phoneticPr fontId="0" type="noConversion"/>
  </si>
  <si>
    <t>BCLDB_ROGWORLD</t>
    <phoneticPr fontId="0" type="noConversion"/>
  </si>
  <si>
    <t>BCLDB</t>
    <phoneticPr fontId="1" type="noConversion"/>
  </si>
  <si>
    <t>ROGWORLD</t>
  </si>
  <si>
    <t>DD_WEEDS</t>
    <phoneticPr fontId="1" type="noConversion"/>
  </si>
  <si>
    <t>Weeds International Inc.</t>
    <phoneticPr fontId="1" type="noConversion"/>
  </si>
  <si>
    <t>SLGA_WT</t>
  </si>
  <si>
    <t>see PO</t>
    <phoneticPr fontId="0" type="noConversion"/>
  </si>
  <si>
    <t>DD_WEEDS</t>
    <phoneticPr fontId="0" type="noConversion"/>
  </si>
  <si>
    <t>CANNMART</t>
    <phoneticPr fontId="0" type="noConversion"/>
  </si>
  <si>
    <t>Intra Industry</t>
    <phoneticPr fontId="0" type="noConversion"/>
  </si>
  <si>
    <t>SKDD_WT</t>
  </si>
  <si>
    <t>cancelled</t>
  </si>
  <si>
    <t>PO_1168</t>
  </si>
  <si>
    <t>PR251902F5P3</t>
  </si>
  <si>
    <t>po_and_line</t>
  </si>
  <si>
    <t>W16</t>
  </si>
  <si>
    <t>W17</t>
  </si>
  <si>
    <t>W18</t>
  </si>
  <si>
    <t>W19</t>
  </si>
  <si>
    <t>787-1</t>
  </si>
  <si>
    <t>GRID_7</t>
  </si>
  <si>
    <t>Row Labels</t>
  </si>
  <si>
    <t>#1</t>
  </si>
  <si>
    <t>Atlas trims</t>
  </si>
  <si>
    <t>gelato preroll 12 x 0.35g</t>
  </si>
  <si>
    <t>Gelato trim</t>
  </si>
  <si>
    <t xml:space="preserve">HHH </t>
  </si>
  <si>
    <t>Island Pink dried flower</t>
  </si>
  <si>
    <t>Lotus Venture Kalifornia dried flower</t>
  </si>
  <si>
    <t>Orr's layer cake trim</t>
  </si>
  <si>
    <t xml:space="preserve">sample trim </t>
  </si>
  <si>
    <t xml:space="preserve">shake </t>
  </si>
  <si>
    <t xml:space="preserve">Sour Chen trim </t>
  </si>
  <si>
    <t>Tropicanna Cookies dried flower</t>
  </si>
  <si>
    <t>unknown trim</t>
  </si>
  <si>
    <t>Grand Total</t>
  </si>
  <si>
    <t>Sum of number_of_unit</t>
  </si>
  <si>
    <t>Sum of quantity_change_unit</t>
  </si>
  <si>
    <t>494-0</t>
  </si>
  <si>
    <t>499-0</t>
  </si>
  <si>
    <t>795-0</t>
  </si>
  <si>
    <t>PR2521F5P10</t>
  </si>
  <si>
    <t>796-6</t>
  </si>
  <si>
    <t>796-7</t>
  </si>
  <si>
    <t>796-5</t>
  </si>
  <si>
    <t>797-0</t>
  </si>
  <si>
    <t>PO_1169</t>
  </si>
  <si>
    <t>WEEDS INTERNATIONAL INC.</t>
  </si>
  <si>
    <t>Waiting for Shawn</t>
  </si>
  <si>
    <t>PO_1170</t>
  </si>
  <si>
    <t>PO_75957</t>
  </si>
  <si>
    <t>CNB-10512588</t>
  </si>
  <si>
    <t>CNB-10512635</t>
  </si>
  <si>
    <t>CNB-10512587</t>
  </si>
  <si>
    <t>CNB-10512634</t>
  </si>
  <si>
    <t>1068059</t>
  </si>
  <si>
    <t>(Multiple Items)</t>
  </si>
  <si>
    <t>Sum of gross_weight</t>
  </si>
  <si>
    <t>Sum of quantity_change_gross_weight</t>
  </si>
  <si>
    <t>796-3</t>
  </si>
  <si>
    <t>797-2</t>
  </si>
  <si>
    <t>Sum of quantity_unit</t>
  </si>
  <si>
    <t>WAITING INBOUND</t>
  </si>
  <si>
    <t>PO_0091087</t>
  </si>
  <si>
    <t>Licorice Gumball pre-roll 5 x 0.5g</t>
  </si>
  <si>
    <t>PR2521</t>
  </si>
  <si>
    <t>797-1</t>
  </si>
  <si>
    <t>796-2</t>
  </si>
  <si>
    <t>PO_1171</t>
  </si>
  <si>
    <t>Sequence</t>
  </si>
  <si>
    <t>PO_1172</t>
  </si>
  <si>
    <t>PO_1173</t>
  </si>
  <si>
    <t>797-5</t>
  </si>
  <si>
    <t>PO_1174</t>
  </si>
  <si>
    <t>Nova Scotia Liquor Corporation</t>
  </si>
  <si>
    <t>check the box there's no -300 outbound</t>
  </si>
  <si>
    <t>25-07-14 Outbound</t>
  </si>
  <si>
    <t>83 units Inbound on the Log</t>
  </si>
  <si>
    <t>121-2</t>
  </si>
  <si>
    <t>754-0</t>
  </si>
  <si>
    <t>796-1</t>
  </si>
  <si>
    <t>797-4</t>
  </si>
  <si>
    <t>PO_1175</t>
  </si>
  <si>
    <t>S&amp;S Bay Center LP</t>
  </si>
  <si>
    <t>EFSF2504H2-1</t>
  </si>
  <si>
    <t>EFF2503H2</t>
  </si>
  <si>
    <t>696-0</t>
  </si>
  <si>
    <t>772-3</t>
  </si>
  <si>
    <t>PO_1176</t>
  </si>
  <si>
    <t>North Van expo</t>
  </si>
  <si>
    <t>642 CANNABIS</t>
  </si>
  <si>
    <t>EX2401703G05</t>
  </si>
  <si>
    <t>PR2503IN02F5P3</t>
  </si>
  <si>
    <t>PR2412F7P3-3</t>
  </si>
  <si>
    <t>A02860</t>
  </si>
  <si>
    <t>EX24101701G5</t>
  </si>
  <si>
    <t xml:space="preserve">EXPO </t>
  </si>
  <si>
    <t>794-0</t>
  </si>
  <si>
    <t>722-0</t>
  </si>
  <si>
    <t>PO_1179</t>
  </si>
  <si>
    <t>PO_1180</t>
  </si>
  <si>
    <t>Bluewater Cannabis</t>
  </si>
  <si>
    <t>1069704</t>
  </si>
  <si>
    <t>PR2503INF1P2</t>
  </si>
  <si>
    <t>PR2519F1P2</t>
  </si>
  <si>
    <t>PO-1178</t>
  </si>
  <si>
    <t>796-4</t>
  </si>
  <si>
    <t>798-1</t>
  </si>
  <si>
    <t>2025060401G7</t>
  </si>
  <si>
    <t>TP25081801</t>
  </si>
  <si>
    <t>avenue Cannabis</t>
  </si>
  <si>
    <t>product_name</t>
    <phoneticPr fontId="19" type="noConversion"/>
  </si>
  <si>
    <t>product_name</t>
    <phoneticPr fontId="0" type="noConversion"/>
  </si>
  <si>
    <t>product_GTIN</t>
    <phoneticPr fontId="0" type="noConversion"/>
  </si>
  <si>
    <t>customer_SKU</t>
    <phoneticPr fontId="0" type="noConversion"/>
  </si>
  <si>
    <t>case_GTIN</t>
    <phoneticPr fontId="0" type="noConversion"/>
  </si>
  <si>
    <t>po_number</t>
    <phoneticPr fontId="19" type="noConversion"/>
  </si>
  <si>
    <t>Tracking_number</t>
    <phoneticPr fontId="19" type="noConversion"/>
  </si>
  <si>
    <t>Product_name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</si>
</sst>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$&quot;* #,##0.00_-;\-&quot;$&quot;* #,##0.00_-;_-&quot;$&quot;* &quot;-&quot;??_-;_-@_-"/>
    <numFmt numFmtId="26" formatCode="\$#,##0.00_);[Red]\(\$#,##0.00\)"/>
    <numFmt numFmtId="176" formatCode="yyyy\-mm\-dd;@"/>
    <numFmt numFmtId="177" formatCode="0.0_ "/>
    <numFmt numFmtId="178" formatCode="0.00_ "/>
    <numFmt numFmtId="179" formatCode="yyyy/m/d\ h:mm;@"/>
    <numFmt numFmtId="180" formatCode="0.0"/>
    <numFmt numFmtId="181" formatCode="0.0_);[Red]\(0.0\)"/>
    <numFmt numFmtId="182" formatCode="0.0%"/>
  </numFmts>
  <fonts count="7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等线"/>
      <family val="2"/>
      <scheme val="minor"/>
    </font>
    <font>
      <sz val="12"/>
      <color rgb="FF444444"/>
      <name val="Calibri"/>
      <family val="2"/>
    </font>
    <font>
      <b/>
      <sz val="11"/>
      <color rgb="FF000000"/>
      <name val="等线"/>
      <family val="2"/>
      <scheme val="minor"/>
    </font>
    <font>
      <sz val="9"/>
      <color rgb="FF242424"/>
      <name val="Aptos"/>
      <family val="2"/>
    </font>
    <font>
      <sz val="11"/>
      <color theme="1"/>
      <name val="等线"/>
      <family val="1"/>
      <scheme val="minor"/>
    </font>
    <font>
      <sz val="11"/>
      <name val="等线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等线"/>
      <family val="3"/>
      <charset val="134"/>
      <scheme val="minor"/>
    </font>
    <font>
      <b/>
      <sz val="11"/>
      <name val="等线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等线"/>
      <family val="2"/>
      <scheme val="minor"/>
    </font>
    <font>
      <sz val="12"/>
      <color theme="0" tint="-0.249977111117893"/>
      <name val="等线"/>
      <family val="2"/>
      <scheme val="minor"/>
    </font>
    <font>
      <sz val="12"/>
      <color rgb="FF242424"/>
      <name val="Aptos"/>
      <family val="2"/>
    </font>
    <font>
      <sz val="12"/>
      <color theme="1"/>
      <name val="等线"/>
      <family val="1"/>
      <scheme val="minor"/>
    </font>
    <font>
      <sz val="12"/>
      <color rgb="FF000000"/>
      <name val="等线"/>
      <family val="2"/>
      <scheme val="minor"/>
    </font>
    <font>
      <sz val="12"/>
      <name val="等线"/>
      <family val="2"/>
      <scheme val="minor"/>
    </font>
    <font>
      <sz val="12"/>
      <color rgb="FF212529"/>
      <name val="Segoe UI"/>
      <family val="2"/>
    </font>
    <font>
      <sz val="12"/>
      <color rgb="FF242424"/>
      <name val="Segoe UI"/>
      <family val="2"/>
    </font>
    <font>
      <sz val="12"/>
      <color rgb="FF000000"/>
      <name val="Arial"/>
      <family val="2"/>
    </font>
    <font>
      <b/>
      <sz val="12"/>
      <color theme="1"/>
      <name val="等线"/>
      <family val="2"/>
      <scheme val="minor"/>
    </font>
    <font>
      <sz val="12"/>
      <color rgb="FF000000"/>
      <name val="等线"/>
      <family val="1"/>
      <scheme val="minor"/>
    </font>
    <font>
      <u/>
      <sz val="12"/>
      <color theme="10"/>
      <name val="等线"/>
      <family val="2"/>
      <scheme val="minor"/>
    </font>
    <font>
      <sz val="10"/>
      <color rgb="FF000000"/>
      <name val="Aptos"/>
      <family val="2"/>
    </font>
    <font>
      <sz val="11"/>
      <color rgb="FF202223"/>
      <name val="等线"/>
      <family val="2"/>
      <scheme val="minor"/>
    </font>
    <font>
      <sz val="8"/>
      <name val="等线"/>
      <family val="2"/>
      <scheme val="minor"/>
    </font>
    <font>
      <sz val="10"/>
      <color rgb="FF212529"/>
      <name val="Segoe UI"/>
      <family val="2"/>
    </font>
    <font>
      <sz val="11"/>
      <color rgb="FFFF00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theme="0"/>
      <name val="等线"/>
      <family val="2"/>
      <scheme val="minor"/>
    </font>
    <font>
      <sz val="7"/>
      <color rgb="FF666666"/>
      <name val="Arial"/>
      <family val="2"/>
    </font>
    <font>
      <sz val="12"/>
      <color rgb="FF242424"/>
      <name val="等线"/>
      <family val="1"/>
      <scheme val="minor"/>
    </font>
    <font>
      <sz val="12"/>
      <color rgb="FF444444"/>
      <name val="等线"/>
      <family val="1"/>
      <scheme val="minor"/>
    </font>
    <font>
      <sz val="12"/>
      <name val="等线"/>
      <family val="1"/>
      <scheme val="minor"/>
    </font>
    <font>
      <sz val="12"/>
      <color rgb="FF242424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sz val="10"/>
      <color rgb="FFFF0000"/>
      <name val="等线"/>
      <family val="2"/>
      <scheme val="minor"/>
    </font>
    <font>
      <sz val="10"/>
      <color rgb="FF000000"/>
      <name val="Calibri"/>
      <family val="2"/>
    </font>
    <font>
      <sz val="10"/>
      <name val="等线"/>
      <family val="2"/>
      <scheme val="minor"/>
    </font>
    <font>
      <sz val="11"/>
      <color rgb="FF000000"/>
      <name val="等线"/>
    </font>
    <font>
      <sz val="10"/>
      <color theme="1"/>
      <name val="等线"/>
      <family val="1"/>
      <scheme val="minor"/>
    </font>
    <font>
      <sz val="11"/>
      <name val="等线"/>
      <family val="1"/>
      <scheme val="minor"/>
    </font>
    <font>
      <sz val="9"/>
      <color rgb="FF616161"/>
      <name val="Inter"/>
      <charset val="1"/>
    </font>
    <font>
      <sz val="11"/>
      <color rgb="FF000000"/>
      <name val="Aptos Narrow"/>
      <family val="2"/>
    </font>
    <font>
      <sz val="18"/>
      <color rgb="FF000000"/>
      <name val="Arial"/>
      <family val="2"/>
    </font>
    <font>
      <sz val="6"/>
      <color rgb="FF666666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 tint="-0.14999847407452621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4" fillId="0" borderId="17" applyNumberFormat="0" applyFill="0" applyAlignment="0" applyProtection="0"/>
    <xf numFmtId="0" fontId="44" fillId="0" borderId="0" applyNumberFormat="0" applyFill="0" applyBorder="0" applyAlignment="0" applyProtection="0"/>
    <xf numFmtId="0" fontId="45" fillId="14" borderId="0" applyNumberFormat="0" applyBorder="0" applyAlignment="0" applyProtection="0"/>
    <xf numFmtId="0" fontId="46" fillId="15" borderId="0" applyNumberFormat="0" applyBorder="0" applyAlignment="0" applyProtection="0"/>
    <xf numFmtId="0" fontId="47" fillId="16" borderId="0" applyNumberFormat="0" applyBorder="0" applyAlignment="0" applyProtection="0"/>
    <xf numFmtId="0" fontId="48" fillId="17" borderId="18" applyNumberFormat="0" applyAlignment="0" applyProtection="0"/>
    <xf numFmtId="0" fontId="49" fillId="18" borderId="19" applyNumberFormat="0" applyAlignment="0" applyProtection="0"/>
    <xf numFmtId="0" fontId="50" fillId="18" borderId="18" applyNumberFormat="0" applyAlignment="0" applyProtection="0"/>
    <xf numFmtId="0" fontId="51" fillId="0" borderId="20" applyNumberFormat="0" applyFill="0" applyAlignment="0" applyProtection="0"/>
    <xf numFmtId="0" fontId="40" fillId="19" borderId="21" applyNumberFormat="0" applyAlignment="0" applyProtection="0"/>
    <xf numFmtId="0" fontId="39" fillId="0" borderId="0" applyNumberFormat="0" applyFill="0" applyBorder="0" applyAlignment="0" applyProtection="0"/>
    <xf numFmtId="0" fontId="1" fillId="20" borderId="22" applyNumberFormat="0" applyFont="0" applyAlignment="0" applyProtection="0"/>
    <xf numFmtId="0" fontId="52" fillId="0" borderId="0" applyNumberFormat="0" applyFill="0" applyBorder="0" applyAlignment="0" applyProtection="0"/>
    <xf numFmtId="0" fontId="4" fillId="0" borderId="23" applyNumberFormat="0" applyFill="0" applyAlignment="0" applyProtection="0"/>
    <xf numFmtId="0" fontId="5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5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5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5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5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5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</cellStyleXfs>
  <cellXfs count="415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1" xfId="0" applyBorder="1" applyAlignment="1" applyProtection="1">
      <alignment horizontal="left"/>
      <protection locked="0"/>
    </xf>
    <xf numFmtId="0" fontId="6" fillId="3" borderId="0" xfId="0" applyFont="1" applyFill="1"/>
    <xf numFmtId="49" fontId="0" fillId="0" borderId="0" xfId="0" applyNumberFormat="1"/>
    <xf numFmtId="0" fontId="0" fillId="0" borderId="3" xfId="0" applyBorder="1"/>
    <xf numFmtId="0" fontId="0" fillId="0" borderId="5" xfId="0" applyBorder="1" applyAlignment="1">
      <alignment horizontal="left"/>
    </xf>
    <xf numFmtId="0" fontId="13" fillId="8" borderId="10" xfId="0" applyFont="1" applyFill="1" applyBorder="1" applyAlignment="1">
      <alignment horizontal="left" vertical="center" wrapText="1"/>
    </xf>
    <xf numFmtId="49" fontId="14" fillId="0" borderId="2" xfId="0" applyNumberFormat="1" applyFont="1" applyBorder="1"/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/>
    </xf>
    <xf numFmtId="0" fontId="0" fillId="9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5" fillId="0" borderId="5" xfId="0" applyFont="1" applyBorder="1" applyAlignment="1">
      <alignment horizontal="left"/>
    </xf>
    <xf numFmtId="0" fontId="0" fillId="0" borderId="2" xfId="0" applyBorder="1"/>
    <xf numFmtId="49" fontId="0" fillId="0" borderId="2" xfId="0" applyNumberFormat="1" applyBorder="1" applyAlignment="1">
      <alignment horizontal="left"/>
    </xf>
    <xf numFmtId="0" fontId="0" fillId="4" borderId="8" xfId="2" applyNumberFormat="1" applyFont="1" applyFill="1" applyBorder="1" applyAlignment="1" applyProtection="1">
      <alignment horizontal="left"/>
      <protection locked="0"/>
    </xf>
    <xf numFmtId="0" fontId="0" fillId="0" borderId="11" xfId="0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5" borderId="5" xfId="0" applyFill="1" applyBorder="1" applyAlignment="1">
      <alignment horizontal="left" vertical="center"/>
    </xf>
    <xf numFmtId="0" fontId="4" fillId="0" borderId="2" xfId="0" applyFont="1" applyBorder="1"/>
    <xf numFmtId="0" fontId="0" fillId="9" borderId="3" xfId="0" applyFill="1" applyBorder="1" applyAlignment="1" applyProtection="1">
      <alignment horizontal="left" vertical="center"/>
      <protection locked="0"/>
    </xf>
    <xf numFmtId="0" fontId="15" fillId="0" borderId="0" xfId="0" applyFont="1" applyAlignment="1">
      <alignment horizontal="left"/>
    </xf>
    <xf numFmtId="26" fontId="0" fillId="0" borderId="0" xfId="0" applyNumberFormat="1"/>
    <xf numFmtId="0" fontId="16" fillId="0" borderId="2" xfId="0" applyFont="1" applyBorder="1"/>
    <xf numFmtId="0" fontId="20" fillId="11" borderId="2" xfId="0" applyFont="1" applyFill="1" applyBorder="1"/>
    <xf numFmtId="0" fontId="16" fillId="11" borderId="2" xfId="0" applyFont="1" applyFill="1" applyBorder="1"/>
    <xf numFmtId="0" fontId="0" fillId="11" borderId="2" xfId="0" applyFill="1" applyBorder="1"/>
    <xf numFmtId="26" fontId="0" fillId="0" borderId="0" xfId="0" applyNumberFormat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49" fontId="21" fillId="0" borderId="2" xfId="0" applyNumberFormat="1" applyFont="1" applyBorder="1" applyAlignment="1">
      <alignment horizontal="left"/>
    </xf>
    <xf numFmtId="0" fontId="23" fillId="0" borderId="11" xfId="0" applyFont="1" applyBorder="1" applyAlignment="1" applyProtection="1">
      <alignment horizontal="left" vertical="center"/>
      <protection locked="0"/>
    </xf>
    <xf numFmtId="0" fontId="23" fillId="0" borderId="2" xfId="0" applyFont="1" applyBorder="1" applyAlignment="1" applyProtection="1">
      <alignment horizontal="left" vertical="center"/>
      <protection locked="0"/>
    </xf>
    <xf numFmtId="176" fontId="24" fillId="0" borderId="2" xfId="0" applyNumberFormat="1" applyFont="1" applyBorder="1" applyAlignment="1" applyProtection="1">
      <alignment horizontal="left" vertical="center"/>
      <protection locked="0"/>
    </xf>
    <xf numFmtId="176" fontId="23" fillId="0" borderId="2" xfId="0" applyNumberFormat="1" applyFont="1" applyBorder="1" applyAlignment="1" applyProtection="1">
      <alignment horizontal="left" vertical="center"/>
      <protection locked="0"/>
    </xf>
    <xf numFmtId="49" fontId="25" fillId="0" borderId="2" xfId="0" applyNumberFormat="1" applyFont="1" applyBorder="1"/>
    <xf numFmtId="0" fontId="23" fillId="0" borderId="2" xfId="0" applyFont="1" applyBorder="1" applyAlignment="1">
      <alignment horizontal="left" vertical="center"/>
    </xf>
    <xf numFmtId="176" fontId="23" fillId="0" borderId="2" xfId="0" applyNumberFormat="1" applyFont="1" applyBorder="1" applyAlignment="1">
      <alignment horizontal="left" vertical="center"/>
    </xf>
    <xf numFmtId="0" fontId="23" fillId="9" borderId="3" xfId="0" applyFont="1" applyFill="1" applyBorder="1" applyAlignment="1" applyProtection="1">
      <alignment horizontal="left" vertical="center"/>
      <protection locked="0"/>
    </xf>
    <xf numFmtId="0" fontId="23" fillId="5" borderId="5" xfId="0" applyFont="1" applyFill="1" applyBorder="1" applyAlignment="1">
      <alignment horizontal="left" vertical="center"/>
    </xf>
    <xf numFmtId="176" fontId="23" fillId="0" borderId="2" xfId="0" applyNumberFormat="1" applyFont="1" applyBorder="1" applyAlignment="1">
      <alignment horizontal="left"/>
    </xf>
    <xf numFmtId="0" fontId="23" fillId="9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/>
    </xf>
    <xf numFmtId="49" fontId="23" fillId="0" borderId="2" xfId="0" applyNumberFormat="1" applyFont="1" applyBorder="1" applyAlignment="1">
      <alignment horizontal="left" vertical="center"/>
    </xf>
    <xf numFmtId="0" fontId="26" fillId="0" borderId="5" xfId="0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23" fillId="4" borderId="8" xfId="2" applyNumberFormat="1" applyFont="1" applyFill="1" applyBorder="1" applyAlignment="1">
      <alignment horizontal="left" vertical="center"/>
    </xf>
    <xf numFmtId="0" fontId="23" fillId="0" borderId="11" xfId="0" applyFont="1" applyBorder="1" applyAlignment="1">
      <alignment horizontal="left"/>
    </xf>
    <xf numFmtId="0" fontId="23" fillId="0" borderId="2" xfId="0" applyFont="1" applyBorder="1"/>
    <xf numFmtId="49" fontId="23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23" fillId="4" borderId="8" xfId="2" applyNumberFormat="1" applyFont="1" applyFill="1" applyBorder="1" applyAlignment="1" applyProtection="1">
      <alignment horizontal="left"/>
      <protection locked="0"/>
    </xf>
    <xf numFmtId="49" fontId="23" fillId="0" borderId="2" xfId="0" quotePrefix="1" applyNumberFormat="1" applyFont="1" applyBorder="1" applyAlignment="1">
      <alignment horizontal="left" vertical="center"/>
    </xf>
    <xf numFmtId="0" fontId="23" fillId="0" borderId="11" xfId="0" applyFont="1" applyBorder="1"/>
    <xf numFmtId="176" fontId="23" fillId="0" borderId="2" xfId="0" applyNumberFormat="1" applyFont="1" applyBorder="1"/>
    <xf numFmtId="0" fontId="23" fillId="0" borderId="2" xfId="0" quotePrefix="1" applyFont="1" applyBorder="1" applyAlignment="1">
      <alignment horizontal="left"/>
    </xf>
    <xf numFmtId="0" fontId="23" fillId="9" borderId="2" xfId="0" applyFont="1" applyFill="1" applyBorder="1" applyAlignment="1" applyProtection="1">
      <alignment horizontal="left" vertical="center"/>
      <protection locked="0"/>
    </xf>
    <xf numFmtId="0" fontId="23" fillId="0" borderId="2" xfId="0" quotePrefix="1" applyFont="1" applyBorder="1" applyAlignment="1">
      <alignment horizontal="left" vertical="center"/>
    </xf>
    <xf numFmtId="49" fontId="25" fillId="0" borderId="2" xfId="0" applyNumberFormat="1" applyFont="1" applyBorder="1" applyAlignment="1">
      <alignment horizontal="left"/>
    </xf>
    <xf numFmtId="0" fontId="23" fillId="0" borderId="2" xfId="0" applyFont="1" applyBorder="1" applyAlignment="1">
      <alignment vertical="center"/>
    </xf>
    <xf numFmtId="176" fontId="23" fillId="0" borderId="2" xfId="0" applyNumberFormat="1" applyFont="1" applyBorder="1" applyAlignment="1" applyProtection="1">
      <alignment horizontal="left"/>
      <protection locked="0"/>
    </xf>
    <xf numFmtId="0" fontId="23" fillId="0" borderId="2" xfId="0" applyFont="1" applyBorder="1" applyAlignment="1" applyProtection="1">
      <alignment horizontal="left"/>
      <protection locked="0"/>
    </xf>
    <xf numFmtId="49" fontId="23" fillId="0" borderId="2" xfId="0" applyNumberFormat="1" applyFont="1" applyBorder="1"/>
    <xf numFmtId="0" fontId="28" fillId="0" borderId="2" xfId="0" applyFont="1" applyBorder="1" applyAlignment="1">
      <alignment horizontal="left" vertical="center"/>
    </xf>
    <xf numFmtId="49" fontId="23" fillId="0" borderId="2" xfId="0" applyNumberFormat="1" applyFont="1" applyBorder="1" applyAlignment="1" applyProtection="1">
      <alignment horizontal="left"/>
      <protection locked="0"/>
    </xf>
    <xf numFmtId="0" fontId="23" fillId="0" borderId="2" xfId="0" quotePrefix="1" applyFont="1" applyBorder="1" applyAlignment="1" applyProtection="1">
      <alignment horizontal="left"/>
      <protection locked="0"/>
    </xf>
    <xf numFmtId="0" fontId="23" fillId="0" borderId="5" xfId="0" applyFont="1" applyBorder="1" applyAlignment="1">
      <alignment horizontal="left"/>
    </xf>
    <xf numFmtId="0" fontId="29" fillId="0" borderId="2" xfId="0" applyFont="1" applyBorder="1"/>
    <xf numFmtId="0" fontId="28" fillId="0" borderId="2" xfId="0" applyFont="1" applyBorder="1" applyAlignment="1" applyProtection="1">
      <alignment horizontal="left" vertical="center"/>
      <protection locked="0"/>
    </xf>
    <xf numFmtId="176" fontId="23" fillId="0" borderId="2" xfId="0" applyNumberFormat="1" applyFont="1" applyBorder="1" applyAlignment="1">
      <alignment vertical="center"/>
    </xf>
    <xf numFmtId="0" fontId="27" fillId="0" borderId="2" xfId="0" applyFont="1" applyBorder="1"/>
    <xf numFmtId="0" fontId="23" fillId="0" borderId="2" xfId="0" applyFont="1" applyBorder="1" applyAlignment="1">
      <alignment horizontal="right"/>
    </xf>
    <xf numFmtId="0" fontId="5" fillId="0" borderId="2" xfId="0" applyFont="1" applyBorder="1"/>
    <xf numFmtId="0" fontId="28" fillId="0" borderId="2" xfId="0" applyFont="1" applyBorder="1" applyAlignment="1" applyProtection="1">
      <alignment horizontal="left"/>
      <protection locked="0"/>
    </xf>
    <xf numFmtId="176" fontId="30" fillId="0" borderId="2" xfId="0" applyNumberFormat="1" applyFont="1" applyBorder="1"/>
    <xf numFmtId="0" fontId="30" fillId="0" borderId="2" xfId="0" applyFont="1" applyBorder="1"/>
    <xf numFmtId="0" fontId="31" fillId="0" borderId="2" xfId="0" applyFont="1" applyBorder="1" applyAlignment="1">
      <alignment horizontal="left"/>
    </xf>
    <xf numFmtId="0" fontId="33" fillId="0" borderId="2" xfId="0" applyFont="1" applyBorder="1"/>
    <xf numFmtId="0" fontId="23" fillId="0" borderId="5" xfId="0" applyFont="1" applyBorder="1" applyAlignment="1">
      <alignment horizontal="left" vertical="center"/>
    </xf>
    <xf numFmtId="0" fontId="26" fillId="0" borderId="2" xfId="0" applyFont="1" applyBorder="1" applyAlignment="1">
      <alignment horizontal="left"/>
    </xf>
    <xf numFmtId="0" fontId="32" fillId="0" borderId="5" xfId="0" applyFont="1" applyBorder="1"/>
    <xf numFmtId="0" fontId="36" fillId="0" borderId="0" xfId="0" applyFont="1"/>
    <xf numFmtId="49" fontId="14" fillId="0" borderId="2" xfId="0" applyNumberFormat="1" applyFont="1" applyBorder="1" applyAlignment="1">
      <alignment horizontal="left"/>
    </xf>
    <xf numFmtId="0" fontId="0" fillId="9" borderId="2" xfId="0" applyFill="1" applyBorder="1" applyAlignment="1" applyProtection="1">
      <alignment horizontal="left" vertical="center"/>
      <protection locked="0"/>
    </xf>
    <xf numFmtId="49" fontId="0" fillId="0" borderId="5" xfId="0" applyNumberFormat="1" applyBorder="1" applyAlignment="1">
      <alignment horizontal="left"/>
    </xf>
    <xf numFmtId="49" fontId="14" fillId="0" borderId="5" xfId="0" applyNumberFormat="1" applyFont="1" applyBorder="1" applyAlignment="1">
      <alignment horizontal="left"/>
    </xf>
    <xf numFmtId="0" fontId="0" fillId="9" borderId="5" xfId="0" applyFill="1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176" fontId="0" fillId="0" borderId="5" xfId="0" applyNumberFormat="1" applyBorder="1" applyAlignment="1">
      <alignment horizontal="left" vertical="center"/>
    </xf>
    <xf numFmtId="0" fontId="35" fillId="0" borderId="2" xfId="0" applyFont="1" applyBorder="1"/>
    <xf numFmtId="0" fontId="34" fillId="0" borderId="2" xfId="1" applyFont="1" applyBorder="1"/>
    <xf numFmtId="0" fontId="22" fillId="0" borderId="2" xfId="0" applyFont="1" applyBorder="1"/>
    <xf numFmtId="0" fontId="23" fillId="9" borderId="5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76" fontId="23" fillId="0" borderId="5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49" fontId="25" fillId="0" borderId="0" xfId="0" applyNumberFormat="1" applyFont="1"/>
    <xf numFmtId="0" fontId="23" fillId="0" borderId="5" xfId="0" applyFont="1" applyBorder="1"/>
    <xf numFmtId="0" fontId="26" fillId="0" borderId="0" xfId="0" applyFont="1" applyAlignment="1">
      <alignment horizontal="left"/>
    </xf>
    <xf numFmtId="0" fontId="23" fillId="12" borderId="2" xfId="0" applyFont="1" applyFill="1" applyBorder="1" applyAlignment="1">
      <alignment horizontal="left"/>
    </xf>
    <xf numFmtId="0" fontId="0" fillId="0" borderId="14" xfId="0" applyBorder="1"/>
    <xf numFmtId="176" fontId="0" fillId="0" borderId="2" xfId="0" applyNumberFormat="1" applyBorder="1" applyAlignment="1">
      <alignment horizontal="right"/>
    </xf>
    <xf numFmtId="0" fontId="23" fillId="10" borderId="2" xfId="0" applyFont="1" applyFill="1" applyBorder="1" applyAlignment="1">
      <alignment horizontal="left"/>
    </xf>
    <xf numFmtId="0" fontId="23" fillId="13" borderId="5" xfId="0" applyFont="1" applyFill="1" applyBorder="1" applyAlignment="1">
      <alignment horizontal="left" vertical="center"/>
    </xf>
    <xf numFmtId="177" fontId="23" fillId="0" borderId="2" xfId="0" applyNumberFormat="1" applyFont="1" applyBorder="1" applyAlignment="1">
      <alignment horizontal="left"/>
    </xf>
    <xf numFmtId="177" fontId="0" fillId="0" borderId="2" xfId="0" applyNumberFormat="1" applyBorder="1" applyAlignment="1">
      <alignment horizontal="left"/>
    </xf>
    <xf numFmtId="0" fontId="54" fillId="0" borderId="0" xfId="0" applyFont="1"/>
    <xf numFmtId="49" fontId="55" fillId="0" borderId="2" xfId="0" applyNumberFormat="1" applyFont="1" applyBorder="1"/>
    <xf numFmtId="0" fontId="56" fillId="0" borderId="2" xfId="0" applyFont="1" applyBorder="1" applyAlignment="1">
      <alignment horizontal="left" vertical="center"/>
    </xf>
    <xf numFmtId="0" fontId="56" fillId="0" borderId="2" xfId="0" applyFont="1" applyBorder="1" applyAlignment="1">
      <alignment vertical="center"/>
    </xf>
    <xf numFmtId="0" fontId="57" fillId="9" borderId="2" xfId="0" applyFont="1" applyFill="1" applyBorder="1" applyAlignment="1">
      <alignment horizontal="left" vertical="center"/>
    </xf>
    <xf numFmtId="0" fontId="39" fillId="0" borderId="2" xfId="0" applyFont="1" applyBorder="1" applyAlignment="1">
      <alignment horizontal="left"/>
    </xf>
    <xf numFmtId="49" fontId="58" fillId="0" borderId="2" xfId="0" applyNumberFormat="1" applyFont="1" applyBorder="1"/>
    <xf numFmtId="176" fontId="28" fillId="45" borderId="2" xfId="0" applyNumberFormat="1" applyFont="1" applyFill="1" applyBorder="1" applyAlignment="1">
      <alignment horizontal="left" vertical="center"/>
    </xf>
    <xf numFmtId="0" fontId="28" fillId="45" borderId="3" xfId="0" applyFont="1" applyFill="1" applyBorder="1" applyAlignment="1" applyProtection="1">
      <alignment horizontal="left" vertical="center"/>
      <protection locked="0"/>
    </xf>
    <xf numFmtId="0" fontId="28" fillId="45" borderId="2" xfId="0" applyFont="1" applyFill="1" applyBorder="1" applyAlignment="1">
      <alignment horizontal="left"/>
    </xf>
    <xf numFmtId="0" fontId="28" fillId="46" borderId="5" xfId="0" applyFont="1" applyFill="1" applyBorder="1" applyAlignment="1">
      <alignment horizontal="left" vertical="center"/>
    </xf>
    <xf numFmtId="0" fontId="59" fillId="49" borderId="26" xfId="0" applyFont="1" applyFill="1" applyBorder="1" applyAlignment="1">
      <alignment horizontal="left" vertical="center"/>
    </xf>
    <xf numFmtId="0" fontId="60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59" fillId="49" borderId="11" xfId="0" applyFont="1" applyFill="1" applyBorder="1" applyAlignment="1">
      <alignment horizontal="left" vertical="center"/>
    </xf>
    <xf numFmtId="0" fontId="59" fillId="0" borderId="2" xfId="0" applyFont="1" applyBorder="1" applyAlignment="1">
      <alignment horizontal="left" vertical="center"/>
    </xf>
    <xf numFmtId="176" fontId="59" fillId="0" borderId="2" xfId="0" applyNumberFormat="1" applyFont="1" applyBorder="1" applyAlignment="1">
      <alignment horizontal="left" vertical="center"/>
    </xf>
    <xf numFmtId="177" fontId="59" fillId="50" borderId="2" xfId="0" applyNumberFormat="1" applyFont="1" applyFill="1" applyBorder="1" applyAlignment="1">
      <alignment horizontal="left" vertical="center"/>
    </xf>
    <xf numFmtId="178" fontId="59" fillId="0" borderId="2" xfId="0" applyNumberFormat="1" applyFont="1" applyBorder="1" applyAlignment="1">
      <alignment horizontal="left" vertical="center"/>
    </xf>
    <xf numFmtId="178" fontId="59" fillId="50" borderId="2" xfId="0" applyNumberFormat="1" applyFont="1" applyFill="1" applyBorder="1" applyAlignment="1">
      <alignment horizontal="left" vertical="center"/>
    </xf>
    <xf numFmtId="179" fontId="59" fillId="0" borderId="2" xfId="0" applyNumberFormat="1" applyFont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9" fillId="6" borderId="8" xfId="0" applyFont="1" applyFill="1" applyBorder="1" applyAlignment="1">
      <alignment horizontal="left" vertical="center"/>
    </xf>
    <xf numFmtId="177" fontId="61" fillId="50" borderId="2" xfId="0" applyNumberFormat="1" applyFont="1" applyFill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7" fontId="62" fillId="51" borderId="2" xfId="0" applyNumberFormat="1" applyFont="1" applyFill="1" applyBorder="1" applyAlignment="1">
      <alignment horizontal="left" vertical="center"/>
    </xf>
    <xf numFmtId="178" fontId="62" fillId="0" borderId="2" xfId="0" applyNumberFormat="1" applyFont="1" applyBorder="1" applyAlignment="1">
      <alignment horizontal="left" vertical="center"/>
    </xf>
    <xf numFmtId="178" fontId="61" fillId="0" borderId="2" xfId="0" applyNumberFormat="1" applyFont="1" applyBorder="1" applyAlignment="1">
      <alignment horizontal="left" vertical="center"/>
    </xf>
    <xf numFmtId="0" fontId="39" fillId="0" borderId="0" xfId="0" applyFont="1"/>
    <xf numFmtId="0" fontId="63" fillId="0" borderId="2" xfId="0" applyFont="1" applyBorder="1" applyAlignment="1">
      <alignment horizontal="left" vertical="center"/>
    </xf>
    <xf numFmtId="177" fontId="63" fillId="50" borderId="2" xfId="0" applyNumberFormat="1" applyFont="1" applyFill="1" applyBorder="1" applyAlignment="1">
      <alignment horizontal="left" vertical="center"/>
    </xf>
    <xf numFmtId="178" fontId="63" fillId="0" borderId="2" xfId="0" applyNumberFormat="1" applyFont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179" fontId="63" fillId="0" borderId="2" xfId="0" applyNumberFormat="1" applyFont="1" applyBorder="1" applyAlignment="1">
      <alignment horizontal="left" vertical="center"/>
    </xf>
    <xf numFmtId="0" fontId="59" fillId="0" borderId="10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0" fontId="59" fillId="49" borderId="12" xfId="0" applyFont="1" applyFill="1" applyBorder="1" applyAlignment="1">
      <alignment horizontal="left" vertical="center"/>
    </xf>
    <xf numFmtId="176" fontId="59" fillId="0" borderId="5" xfId="0" applyNumberFormat="1" applyFont="1" applyBorder="1" applyAlignment="1">
      <alignment horizontal="left" vertical="center"/>
    </xf>
    <xf numFmtId="177" fontId="59" fillId="50" borderId="5" xfId="0" applyNumberFormat="1" applyFont="1" applyFill="1" applyBorder="1" applyAlignment="1">
      <alignment horizontal="left" vertical="center"/>
    </xf>
    <xf numFmtId="178" fontId="59" fillId="0" borderId="5" xfId="0" applyNumberFormat="1" applyFont="1" applyBorder="1" applyAlignment="1">
      <alignment horizontal="left" vertical="center"/>
    </xf>
    <xf numFmtId="179" fontId="59" fillId="0" borderId="5" xfId="0" applyNumberFormat="1" applyFont="1" applyBorder="1" applyAlignment="1">
      <alignment horizontal="left" vertical="center"/>
    </xf>
    <xf numFmtId="0" fontId="0" fillId="49" borderId="2" xfId="0" applyFill="1" applyBorder="1" applyAlignment="1">
      <alignment horizontal="left" vertical="center"/>
    </xf>
    <xf numFmtId="177" fontId="0" fillId="50" borderId="2" xfId="0" applyNumberFormat="1" applyFill="1" applyBorder="1"/>
    <xf numFmtId="178" fontId="0" fillId="0" borderId="2" xfId="0" applyNumberFormat="1" applyBorder="1"/>
    <xf numFmtId="178" fontId="0" fillId="50" borderId="2" xfId="0" applyNumberFormat="1" applyFill="1" applyBorder="1"/>
    <xf numFmtId="179" fontId="0" fillId="0" borderId="2" xfId="0" applyNumberFormat="1" applyBorder="1"/>
    <xf numFmtId="0" fontId="0" fillId="6" borderId="2" xfId="0" applyFill="1" applyBorder="1" applyAlignment="1">
      <alignment horizontal="left" vertical="center"/>
    </xf>
    <xf numFmtId="0" fontId="40" fillId="47" borderId="28" xfId="0" applyFont="1" applyFill="1" applyBorder="1"/>
    <xf numFmtId="179" fontId="40" fillId="52" borderId="29" xfId="0" applyNumberFormat="1" applyFont="1" applyFill="1" applyBorder="1"/>
    <xf numFmtId="0" fontId="40" fillId="6" borderId="29" xfId="0" applyFont="1" applyFill="1" applyBorder="1"/>
    <xf numFmtId="0" fontId="40" fillId="47" borderId="29" xfId="0" applyFont="1" applyFill="1" applyBorder="1"/>
    <xf numFmtId="176" fontId="40" fillId="47" borderId="29" xfId="0" applyNumberFormat="1" applyFont="1" applyFill="1" applyBorder="1" applyAlignment="1">
      <alignment horizontal="left"/>
    </xf>
    <xf numFmtId="180" fontId="40" fillId="54" borderId="29" xfId="0" applyNumberFormat="1" applyFont="1" applyFill="1" applyBorder="1" applyAlignment="1">
      <alignment horizontal="right"/>
    </xf>
    <xf numFmtId="2" fontId="40" fillId="54" borderId="29" xfId="0" applyNumberFormat="1" applyFont="1" applyFill="1" applyBorder="1" applyAlignment="1">
      <alignment horizontal="right"/>
    </xf>
    <xf numFmtId="180" fontId="40" fillId="47" borderId="30" xfId="0" applyNumberFormat="1" applyFont="1" applyFill="1" applyBorder="1"/>
    <xf numFmtId="0" fontId="0" fillId="48" borderId="27" xfId="0" applyFill="1" applyBorder="1"/>
    <xf numFmtId="179" fontId="0" fillId="52" borderId="14" xfId="0" applyNumberFormat="1" applyFill="1" applyBorder="1"/>
    <xf numFmtId="0" fontId="0" fillId="6" borderId="14" xfId="0" applyFill="1" applyBorder="1"/>
    <xf numFmtId="0" fontId="0" fillId="48" borderId="14" xfId="0" applyFill="1" applyBorder="1"/>
    <xf numFmtId="176" fontId="0" fillId="48" borderId="14" xfId="0" applyNumberFormat="1" applyFill="1" applyBorder="1" applyAlignment="1">
      <alignment horizontal="right"/>
    </xf>
    <xf numFmtId="180" fontId="0" fillId="54" borderId="14" xfId="0" applyNumberFormat="1" applyFill="1" applyBorder="1"/>
    <xf numFmtId="2" fontId="0" fillId="54" borderId="14" xfId="0" applyNumberFormat="1" applyFill="1" applyBorder="1"/>
    <xf numFmtId="180" fontId="0" fillId="48" borderId="31" xfId="0" applyNumberFormat="1" applyFill="1" applyBorder="1"/>
    <xf numFmtId="0" fontId="0" fillId="0" borderId="27" xfId="0" applyBorder="1"/>
    <xf numFmtId="179" fontId="0" fillId="52" borderId="2" xfId="0" applyNumberFormat="1" applyFill="1" applyBorder="1"/>
    <xf numFmtId="0" fontId="0" fillId="6" borderId="2" xfId="0" applyFill="1" applyBorder="1"/>
    <xf numFmtId="176" fontId="0" fillId="0" borderId="14" xfId="0" applyNumberFormat="1" applyBorder="1" applyAlignment="1">
      <alignment horizontal="right"/>
    </xf>
    <xf numFmtId="180" fontId="0" fillId="54" borderId="2" xfId="0" applyNumberFormat="1" applyFill="1" applyBorder="1"/>
    <xf numFmtId="2" fontId="0" fillId="54" borderId="2" xfId="0" applyNumberFormat="1" applyFill="1" applyBorder="1"/>
    <xf numFmtId="180" fontId="0" fillId="0" borderId="31" xfId="0" applyNumberFormat="1" applyBorder="1"/>
    <xf numFmtId="0" fontId="0" fillId="48" borderId="2" xfId="0" applyFill="1" applyBorder="1"/>
    <xf numFmtId="176" fontId="0" fillId="48" borderId="2" xfId="0" applyNumberFormat="1" applyFill="1" applyBorder="1" applyAlignment="1">
      <alignment horizontal="right"/>
    </xf>
    <xf numFmtId="2" fontId="16" fillId="54" borderId="2" xfId="0" applyNumberFormat="1" applyFont="1" applyFill="1" applyBorder="1"/>
    <xf numFmtId="0" fontId="64" fillId="0" borderId="2" xfId="0" applyFont="1" applyBorder="1"/>
    <xf numFmtId="0" fontId="0" fillId="48" borderId="2" xfId="0" applyFill="1" applyBorder="1" applyAlignment="1">
      <alignment horizontal="left"/>
    </xf>
    <xf numFmtId="0" fontId="64" fillId="48" borderId="2" xfId="0" applyFont="1" applyFill="1" applyBorder="1"/>
    <xf numFmtId="0" fontId="64" fillId="0" borderId="25" xfId="0" applyFont="1" applyBorder="1"/>
    <xf numFmtId="0" fontId="0" fillId="0" borderId="32" xfId="0" applyBorder="1"/>
    <xf numFmtId="179" fontId="0" fillId="52" borderId="5" xfId="0" applyNumberFormat="1" applyFill="1" applyBorder="1"/>
    <xf numFmtId="0" fontId="0" fillId="6" borderId="5" xfId="0" applyFill="1" applyBorder="1"/>
    <xf numFmtId="0" fontId="39" fillId="0" borderId="2" xfId="0" applyFont="1" applyBorder="1"/>
    <xf numFmtId="0" fontId="59" fillId="48" borderId="2" xfId="0" applyFont="1" applyFill="1" applyBorder="1" applyAlignment="1">
      <alignment horizontal="left" vertical="center"/>
    </xf>
    <xf numFmtId="0" fontId="59" fillId="0" borderId="25" xfId="0" applyFont="1" applyBorder="1" applyAlignment="1">
      <alignment horizontal="left" vertical="center"/>
    </xf>
    <xf numFmtId="0" fontId="0" fillId="0" borderId="10" xfId="0" applyBorder="1"/>
    <xf numFmtId="0" fontId="13" fillId="8" borderId="2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/>
    </xf>
    <xf numFmtId="14" fontId="0" fillId="0" borderId="0" xfId="0" applyNumberFormat="1"/>
    <xf numFmtId="178" fontId="59" fillId="50" borderId="5" xfId="0" applyNumberFormat="1" applyFont="1" applyFill="1" applyBorder="1" applyAlignment="1">
      <alignment horizontal="left" vertical="center"/>
    </xf>
    <xf numFmtId="0" fontId="59" fillId="6" borderId="34" xfId="0" applyFont="1" applyFill="1" applyBorder="1" applyAlignment="1">
      <alignment horizontal="left" vertical="center"/>
    </xf>
    <xf numFmtId="0" fontId="59" fillId="48" borderId="25" xfId="0" applyFont="1" applyFill="1" applyBorder="1" applyAlignment="1">
      <alignment horizontal="left" vertical="center"/>
    </xf>
    <xf numFmtId="49" fontId="0" fillId="0" borderId="13" xfId="0" applyNumberFormat="1" applyBorder="1" applyAlignment="1">
      <alignment horizontal="left"/>
    </xf>
    <xf numFmtId="0" fontId="59" fillId="49" borderId="5" xfId="0" applyFont="1" applyFill="1" applyBorder="1" applyAlignment="1">
      <alignment horizontal="left" vertical="center"/>
    </xf>
    <xf numFmtId="177" fontId="13" fillId="8" borderId="2" xfId="0" applyNumberFormat="1" applyFont="1" applyFill="1" applyBorder="1" applyAlignment="1">
      <alignment horizontal="left" vertical="center" wrapText="1"/>
    </xf>
    <xf numFmtId="177" fontId="0" fillId="0" borderId="2" xfId="0" applyNumberFormat="1" applyBorder="1"/>
    <xf numFmtId="177" fontId="0" fillId="0" borderId="0" xfId="0" applyNumberFormat="1"/>
    <xf numFmtId="0" fontId="0" fillId="10" borderId="0" xfId="0" applyFill="1"/>
    <xf numFmtId="49" fontId="40" fillId="53" borderId="29" xfId="0" applyNumberFormat="1" applyFont="1" applyFill="1" applyBorder="1"/>
    <xf numFmtId="49" fontId="0" fillId="53" borderId="14" xfId="0" applyNumberFormat="1" applyFill="1" applyBorder="1" applyAlignment="1">
      <alignment horizontal="left"/>
    </xf>
    <xf numFmtId="49" fontId="0" fillId="53" borderId="24" xfId="0" applyNumberFormat="1" applyFill="1" applyBorder="1" applyAlignment="1">
      <alignment horizontal="left"/>
    </xf>
    <xf numFmtId="49" fontId="0" fillId="53" borderId="33" xfId="0" applyNumberFormat="1" applyFill="1" applyBorder="1" applyAlignment="1">
      <alignment horizontal="left"/>
    </xf>
    <xf numFmtId="177" fontId="0" fillId="55" borderId="2" xfId="0" applyNumberFormat="1" applyFill="1" applyBorder="1"/>
    <xf numFmtId="177" fontId="0" fillId="0" borderId="10" xfId="0" applyNumberFormat="1" applyBorder="1"/>
    <xf numFmtId="14" fontId="0" fillId="55" borderId="2" xfId="0" applyNumberFormat="1" applyFill="1" applyBorder="1"/>
    <xf numFmtId="0" fontId="0" fillId="55" borderId="2" xfId="0" applyFill="1" applyBorder="1"/>
    <xf numFmtId="0" fontId="13" fillId="8" borderId="10" xfId="0" applyFont="1" applyFill="1" applyBorder="1" applyAlignment="1">
      <alignment horizontal="right" vertical="center" wrapText="1"/>
    </xf>
    <xf numFmtId="181" fontId="13" fillId="8" borderId="10" xfId="0" applyNumberFormat="1" applyFont="1" applyFill="1" applyBorder="1" applyAlignment="1">
      <alignment horizontal="right" vertical="center" wrapText="1"/>
    </xf>
    <xf numFmtId="0" fontId="0" fillId="4" borderId="8" xfId="2" applyNumberFormat="1" applyFont="1" applyFill="1" applyBorder="1" applyAlignment="1" applyProtection="1">
      <alignment horizontal="right"/>
      <protection locked="0"/>
    </xf>
    <xf numFmtId="0" fontId="23" fillId="0" borderId="2" xfId="0" applyFont="1" applyBorder="1" applyAlignment="1" applyProtection="1">
      <alignment horizontal="right" vertical="center"/>
      <protection locked="0"/>
    </xf>
    <xf numFmtId="0" fontId="0" fillId="0" borderId="2" xfId="0" applyBorder="1" applyAlignment="1">
      <alignment horizontal="right"/>
    </xf>
    <xf numFmtId="181" fontId="0" fillId="0" borderId="2" xfId="0" applyNumberFormat="1" applyBorder="1" applyAlignment="1">
      <alignment horizontal="right"/>
    </xf>
    <xf numFmtId="0" fontId="26" fillId="0" borderId="11" xfId="0" applyFont="1" applyBorder="1" applyAlignment="1" applyProtection="1">
      <alignment horizontal="left" vertical="center"/>
      <protection locked="0"/>
    </xf>
    <xf numFmtId="0" fontId="26" fillId="0" borderId="2" xfId="0" applyFont="1" applyBorder="1" applyAlignment="1" applyProtection="1">
      <alignment horizontal="left" vertical="center"/>
      <protection locked="0"/>
    </xf>
    <xf numFmtId="176" fontId="26" fillId="0" borderId="2" xfId="0" applyNumberFormat="1" applyFont="1" applyBorder="1" applyAlignment="1" applyProtection="1">
      <alignment horizontal="left" vertical="center"/>
      <protection locked="0"/>
    </xf>
    <xf numFmtId="0" fontId="26" fillId="0" borderId="2" xfId="0" applyFont="1" applyBorder="1" applyAlignment="1">
      <alignment horizontal="left" vertical="center"/>
    </xf>
    <xf numFmtId="176" fontId="26" fillId="0" borderId="2" xfId="0" applyNumberFormat="1" applyFont="1" applyBorder="1" applyAlignment="1">
      <alignment horizontal="left" vertical="center"/>
    </xf>
    <xf numFmtId="0" fontId="26" fillId="9" borderId="3" xfId="0" applyFont="1" applyFill="1" applyBorder="1" applyAlignment="1" applyProtection="1">
      <alignment horizontal="left" vertical="center"/>
      <protection locked="0"/>
    </xf>
    <xf numFmtId="0" fontId="26" fillId="5" borderId="5" xfId="0" applyFont="1" applyFill="1" applyBorder="1" applyAlignment="1">
      <alignment horizontal="left" vertical="center"/>
    </xf>
    <xf numFmtId="176" fontId="26" fillId="0" borderId="2" xfId="0" applyNumberFormat="1" applyFont="1" applyBorder="1" applyAlignment="1">
      <alignment horizontal="left"/>
    </xf>
    <xf numFmtId="0" fontId="26" fillId="9" borderId="2" xfId="0" applyFont="1" applyFill="1" applyBorder="1" applyAlignment="1">
      <alignment horizontal="left" vertical="center"/>
    </xf>
    <xf numFmtId="177" fontId="26" fillId="0" borderId="2" xfId="0" applyNumberFormat="1" applyFont="1" applyBorder="1" applyAlignment="1">
      <alignment horizontal="left"/>
    </xf>
    <xf numFmtId="0" fontId="26" fillId="4" borderId="8" xfId="2" applyNumberFormat="1" applyFont="1" applyFill="1" applyBorder="1" applyAlignment="1">
      <alignment horizontal="left" vertical="center"/>
    </xf>
    <xf numFmtId="0" fontId="26" fillId="0" borderId="2" xfId="0" quotePrefix="1" applyFont="1" applyBorder="1" applyAlignment="1">
      <alignment horizontal="left" vertical="center"/>
    </xf>
    <xf numFmtId="176" fontId="26" fillId="0" borderId="2" xfId="0" applyNumberFormat="1" applyFont="1" applyBorder="1" applyAlignment="1" applyProtection="1">
      <alignment horizontal="left"/>
      <protection locked="0"/>
    </xf>
    <xf numFmtId="0" fontId="26" fillId="0" borderId="2" xfId="0" applyFont="1" applyBorder="1" applyAlignment="1" applyProtection="1">
      <alignment horizontal="left"/>
      <protection locked="0"/>
    </xf>
    <xf numFmtId="0" fontId="26" fillId="0" borderId="2" xfId="0" applyFont="1" applyBorder="1"/>
    <xf numFmtId="0" fontId="33" fillId="0" borderId="2" xfId="0" applyFont="1" applyBorder="1" applyAlignment="1">
      <alignment horizontal="left" vertical="center"/>
    </xf>
    <xf numFmtId="0" fontId="26" fillId="0" borderId="11" xfId="0" applyFont="1" applyBorder="1"/>
    <xf numFmtId="0" fontId="26" fillId="4" borderId="8" xfId="2" applyNumberFormat="1" applyFont="1" applyFill="1" applyBorder="1" applyAlignment="1" applyProtection="1">
      <alignment horizontal="left"/>
      <protection locked="0"/>
    </xf>
    <xf numFmtId="49" fontId="26" fillId="0" borderId="2" xfId="0" applyNumberFormat="1" applyFont="1" applyBorder="1" applyAlignment="1">
      <alignment horizontal="left" vertical="center"/>
    </xf>
    <xf numFmtId="176" fontId="26" fillId="0" borderId="2" xfId="0" applyNumberFormat="1" applyFont="1" applyBorder="1"/>
    <xf numFmtId="0" fontId="26" fillId="0" borderId="2" xfId="0" applyFont="1" applyBorder="1" applyAlignment="1">
      <alignment horizontal="right"/>
    </xf>
    <xf numFmtId="0" fontId="26" fillId="0" borderId="11" xfId="0" applyFont="1" applyBorder="1" applyAlignment="1">
      <alignment horizontal="left"/>
    </xf>
    <xf numFmtId="49" fontId="26" fillId="0" borderId="2" xfId="0" applyNumberFormat="1" applyFont="1" applyBorder="1" applyAlignment="1">
      <alignment horizontal="left"/>
    </xf>
    <xf numFmtId="49" fontId="26" fillId="0" borderId="2" xfId="0" quotePrefix="1" applyNumberFormat="1" applyFont="1" applyBorder="1" applyAlignment="1">
      <alignment horizontal="left"/>
    </xf>
    <xf numFmtId="0" fontId="26" fillId="0" borderId="5" xfId="0" applyFont="1" applyBorder="1" applyAlignment="1">
      <alignment horizontal="left" vertical="center"/>
    </xf>
    <xf numFmtId="0" fontId="26" fillId="0" borderId="8" xfId="0" applyFont="1" applyBorder="1" applyAlignment="1">
      <alignment horizontal="left"/>
    </xf>
    <xf numFmtId="0" fontId="26" fillId="0" borderId="5" xfId="0" applyFont="1" applyBorder="1"/>
    <xf numFmtId="0" fontId="26" fillId="9" borderId="2" xfId="0" applyFont="1" applyFill="1" applyBorder="1" applyAlignment="1" applyProtection="1">
      <alignment horizontal="left" vertical="center"/>
      <protection locked="0"/>
    </xf>
    <xf numFmtId="0" fontId="2" fillId="0" borderId="2" xfId="1" applyBorder="1"/>
    <xf numFmtId="14" fontId="26" fillId="0" borderId="2" xfId="0" applyNumberFormat="1" applyFont="1" applyBorder="1" applyAlignment="1">
      <alignment horizontal="left"/>
    </xf>
    <xf numFmtId="0" fontId="54" fillId="0" borderId="2" xfId="0" applyFont="1" applyBorder="1"/>
    <xf numFmtId="0" fontId="15" fillId="0" borderId="2" xfId="0" applyFont="1" applyBorder="1" applyAlignment="1">
      <alignment horizontal="left"/>
    </xf>
    <xf numFmtId="0" fontId="54" fillId="0" borderId="2" xfId="0" applyFont="1" applyBorder="1" applyAlignment="1">
      <alignment vertical="center" wrapText="1"/>
    </xf>
    <xf numFmtId="0" fontId="23" fillId="9" borderId="4" xfId="0" applyFont="1" applyFill="1" applyBorder="1" applyAlignment="1" applyProtection="1">
      <alignment horizontal="left" vertical="center"/>
      <protection locked="0"/>
    </xf>
    <xf numFmtId="0" fontId="66" fillId="0" borderId="2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38" fillId="0" borderId="2" xfId="0" applyFont="1" applyBorder="1"/>
    <xf numFmtId="176" fontId="26" fillId="0" borderId="5" xfId="0" applyNumberFormat="1" applyFont="1" applyBorder="1" applyAlignment="1">
      <alignment horizontal="left" vertical="center"/>
    </xf>
    <xf numFmtId="0" fontId="26" fillId="0" borderId="14" xfId="0" applyFont="1" applyBorder="1"/>
    <xf numFmtId="0" fontId="26" fillId="0" borderId="5" xfId="0" applyFont="1" applyBorder="1" applyAlignment="1" applyProtection="1">
      <alignment horizontal="left"/>
      <protection locked="0"/>
    </xf>
    <xf numFmtId="0" fontId="26" fillId="9" borderId="4" xfId="0" applyFont="1" applyFill="1" applyBorder="1" applyAlignment="1" applyProtection="1">
      <alignment horizontal="left" vertical="center"/>
      <protection locked="0"/>
    </xf>
    <xf numFmtId="0" fontId="26" fillId="0" borderId="10" xfId="0" applyFont="1" applyBorder="1" applyAlignment="1">
      <alignment horizontal="left" vertical="center"/>
    </xf>
    <xf numFmtId="0" fontId="59" fillId="0" borderId="14" xfId="0" applyFont="1" applyBorder="1" applyAlignment="1">
      <alignment horizontal="left" vertical="center"/>
    </xf>
    <xf numFmtId="177" fontId="63" fillId="50" borderId="5" xfId="0" applyNumberFormat="1" applyFont="1" applyFill="1" applyBorder="1" applyAlignment="1">
      <alignment horizontal="left" vertical="center"/>
    </xf>
    <xf numFmtId="49" fontId="23" fillId="8" borderId="2" xfId="0" applyNumberFormat="1" applyFont="1" applyFill="1" applyBorder="1" applyAlignment="1">
      <alignment horizontal="left"/>
    </xf>
    <xf numFmtId="49" fontId="0" fillId="8" borderId="2" xfId="0" applyNumberFormat="1" applyFill="1" applyBorder="1" applyAlignment="1">
      <alignment horizontal="left"/>
    </xf>
    <xf numFmtId="0" fontId="26" fillId="8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0" fillId="7" borderId="0" xfId="0" applyFill="1"/>
    <xf numFmtId="0" fontId="6" fillId="7" borderId="35" xfId="0" applyFont="1" applyFill="1" applyBorder="1"/>
    <xf numFmtId="0" fontId="6" fillId="7" borderId="36" xfId="0" applyFont="1" applyFill="1" applyBorder="1" applyAlignment="1">
      <alignment horizontal="left"/>
    </xf>
    <xf numFmtId="14" fontId="6" fillId="7" borderId="36" xfId="0" applyNumberFormat="1" applyFont="1" applyFill="1" applyBorder="1" applyAlignment="1">
      <alignment horizontal="left"/>
    </xf>
    <xf numFmtId="0" fontId="6" fillId="7" borderId="37" xfId="0" applyFont="1" applyFill="1" applyBorder="1" applyAlignment="1">
      <alignment horizontal="center"/>
    </xf>
    <xf numFmtId="0" fontId="6" fillId="7" borderId="38" xfId="0" applyFont="1" applyFill="1" applyBorder="1"/>
    <xf numFmtId="0" fontId="6" fillId="7" borderId="39" xfId="0" applyFont="1" applyFill="1" applyBorder="1" applyAlignment="1">
      <alignment horizontal="left"/>
    </xf>
    <xf numFmtId="14" fontId="68" fillId="7" borderId="39" xfId="0" applyNumberFormat="1" applyFont="1" applyFill="1" applyBorder="1" applyAlignment="1">
      <alignment horizontal="left"/>
    </xf>
    <xf numFmtId="14" fontId="13" fillId="8" borderId="2" xfId="0" applyNumberFormat="1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0" fillId="0" borderId="2" xfId="0" applyNumberFormat="1" applyBorder="1"/>
    <xf numFmtId="2" fontId="40" fillId="0" borderId="29" xfId="0" applyNumberFormat="1" applyFont="1" applyBorder="1" applyAlignment="1">
      <alignment horizontal="right"/>
    </xf>
    <xf numFmtId="2" fontId="0" fillId="0" borderId="14" xfId="0" applyNumberFormat="1" applyBorder="1"/>
    <xf numFmtId="0" fontId="6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9" fillId="0" borderId="0" xfId="0" applyFont="1" applyAlignment="1">
      <alignment horizontal="left" vertical="center" wrapText="1"/>
    </xf>
    <xf numFmtId="49" fontId="67" fillId="0" borderId="2" xfId="0" applyNumberFormat="1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23" fillId="0" borderId="12" xfId="0" applyFont="1" applyBorder="1" applyAlignment="1" applyProtection="1">
      <alignment horizontal="left" vertical="center"/>
      <protection locked="0"/>
    </xf>
    <xf numFmtId="176" fontId="0" fillId="0" borderId="5" xfId="0" applyNumberFormat="1" applyBorder="1" applyAlignment="1">
      <alignment horizontal="left"/>
    </xf>
    <xf numFmtId="177" fontId="0" fillId="0" borderId="5" xfId="0" applyNumberFormat="1" applyBorder="1" applyAlignment="1">
      <alignment horizontal="left"/>
    </xf>
    <xf numFmtId="0" fontId="0" fillId="0" borderId="34" xfId="0" applyBorder="1" applyAlignment="1">
      <alignment horizontal="left"/>
    </xf>
    <xf numFmtId="14" fontId="23" fillId="0" borderId="2" xfId="0" applyNumberFormat="1" applyFont="1" applyBorder="1" applyAlignment="1">
      <alignment horizontal="left"/>
    </xf>
    <xf numFmtId="0" fontId="0" fillId="0" borderId="33" xfId="0" applyBorder="1"/>
    <xf numFmtId="176" fontId="0" fillId="0" borderId="5" xfId="0" applyNumberFormat="1" applyBorder="1" applyAlignment="1">
      <alignment horizontal="right"/>
    </xf>
    <xf numFmtId="180" fontId="0" fillId="54" borderId="5" xfId="0" applyNumberFormat="1" applyFill="1" applyBorder="1"/>
    <xf numFmtId="2" fontId="0" fillId="54" borderId="5" xfId="0" applyNumberFormat="1" applyFill="1" applyBorder="1"/>
    <xf numFmtId="0" fontId="0" fillId="0" borderId="5" xfId="0" applyBorder="1"/>
    <xf numFmtId="0" fontId="70" fillId="0" borderId="0" xfId="0" applyFont="1"/>
    <xf numFmtId="0" fontId="23" fillId="5" borderId="2" xfId="0" applyFont="1" applyFill="1" applyBorder="1" applyAlignment="1">
      <alignment horizontal="left" vertical="center"/>
    </xf>
    <xf numFmtId="22" fontId="0" fillId="0" borderId="0" xfId="0" applyNumberFormat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9" xfId="0" applyBorder="1"/>
    <xf numFmtId="0" fontId="0" fillId="0" borderId="45" xfId="0" applyBorder="1"/>
    <xf numFmtId="0" fontId="13" fillId="8" borderId="0" xfId="0" applyFont="1" applyFill="1" applyAlignment="1">
      <alignment horizontal="left" vertical="center" wrapText="1"/>
    </xf>
    <xf numFmtId="0" fontId="0" fillId="0" borderId="11" xfId="0" applyBorder="1"/>
    <xf numFmtId="0" fontId="0" fillId="0" borderId="42" xfId="0" applyBorder="1" applyAlignment="1">
      <alignment horizontal="left"/>
    </xf>
    <xf numFmtId="0" fontId="0" fillId="0" borderId="46" xfId="0" applyBorder="1"/>
    <xf numFmtId="0" fontId="0" fillId="0" borderId="6" xfId="0" applyBorder="1"/>
    <xf numFmtId="0" fontId="2" fillId="0" borderId="0" xfId="1"/>
    <xf numFmtId="182" fontId="0" fillId="0" borderId="0" xfId="0" applyNumberFormat="1"/>
    <xf numFmtId="182" fontId="0" fillId="0" borderId="43" xfId="0" applyNumberFormat="1" applyBorder="1"/>
    <xf numFmtId="182" fontId="39" fillId="0" borderId="43" xfId="0" applyNumberFormat="1" applyFont="1" applyBorder="1"/>
    <xf numFmtId="0" fontId="0" fillId="0" borderId="48" xfId="0" applyBorder="1"/>
    <xf numFmtId="0" fontId="0" fillId="0" borderId="49" xfId="0" applyBorder="1"/>
    <xf numFmtId="182" fontId="39" fillId="0" borderId="50" xfId="0" applyNumberFormat="1" applyFont="1" applyBorder="1"/>
    <xf numFmtId="0" fontId="0" fillId="0" borderId="51" xfId="0" applyBorder="1"/>
    <xf numFmtId="0" fontId="0" fillId="0" borderId="29" xfId="0" applyBorder="1"/>
    <xf numFmtId="0" fontId="0" fillId="0" borderId="7" xfId="0" applyBorder="1"/>
    <xf numFmtId="0" fontId="39" fillId="0" borderId="10" xfId="0" applyFont="1" applyBorder="1"/>
    <xf numFmtId="0" fontId="0" fillId="0" borderId="52" xfId="0" applyBorder="1"/>
    <xf numFmtId="0" fontId="0" fillId="0" borderId="53" xfId="0" applyBorder="1"/>
    <xf numFmtId="0" fontId="0" fillId="0" borderId="50" xfId="0" applyBorder="1"/>
    <xf numFmtId="182" fontId="0" fillId="0" borderId="50" xfId="0" applyNumberFormat="1" applyBorder="1"/>
    <xf numFmtId="0" fontId="0" fillId="0" borderId="54" xfId="0" applyBorder="1"/>
    <xf numFmtId="0" fontId="4" fillId="0" borderId="47" xfId="0" applyFont="1" applyBorder="1"/>
    <xf numFmtId="0" fontId="0" fillId="0" borderId="55" xfId="0" applyBorder="1"/>
    <xf numFmtId="0" fontId="0" fillId="0" borderId="56" xfId="0" applyBorder="1"/>
    <xf numFmtId="182" fontId="0" fillId="0" borderId="45" xfId="0" applyNumberFormat="1" applyBorder="1"/>
    <xf numFmtId="0" fontId="11" fillId="3" borderId="0" xfId="0" applyFont="1" applyFill="1"/>
    <xf numFmtId="0" fontId="62" fillId="0" borderId="5" xfId="0" applyFont="1" applyBorder="1" applyAlignment="1">
      <alignment horizontal="left" vertical="center"/>
    </xf>
    <xf numFmtId="0" fontId="65" fillId="0" borderId="2" xfId="0" applyFont="1" applyBorder="1" applyAlignment="1">
      <alignment horizontal="left" vertical="center"/>
    </xf>
    <xf numFmtId="0" fontId="11" fillId="3" borderId="5" xfId="0" applyFont="1" applyFill="1" applyBorder="1"/>
    <xf numFmtId="0" fontId="0" fillId="6" borderId="0" xfId="0" applyFill="1"/>
    <xf numFmtId="180" fontId="0" fillId="48" borderId="41" xfId="0" applyNumberFormat="1" applyFill="1" applyBorder="1"/>
    <xf numFmtId="176" fontId="59" fillId="11" borderId="5" xfId="0" applyNumberFormat="1" applyFont="1" applyFill="1" applyBorder="1" applyAlignment="1">
      <alignment horizontal="left" vertical="center"/>
    </xf>
    <xf numFmtId="176" fontId="59" fillId="11" borderId="2" xfId="0" applyNumberFormat="1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26" fillId="0" borderId="14" xfId="0" applyFont="1" applyBorder="1" applyAlignment="1">
      <alignment horizontal="left"/>
    </xf>
    <xf numFmtId="0" fontId="6" fillId="0" borderId="2" xfId="0" applyFont="1" applyBorder="1"/>
    <xf numFmtId="0" fontId="11" fillId="0" borderId="2" xfId="0" applyFont="1" applyBorder="1"/>
    <xf numFmtId="0" fontId="36" fillId="0" borderId="5" xfId="0" applyFont="1" applyBorder="1"/>
    <xf numFmtId="0" fontId="23" fillId="0" borderId="5" xfId="0" applyFont="1" applyBorder="1" applyAlignment="1" applyProtection="1">
      <alignment horizontal="left"/>
      <protection locked="0"/>
    </xf>
    <xf numFmtId="0" fontId="6" fillId="7" borderId="2" xfId="0" applyFont="1" applyFill="1" applyBorder="1" applyAlignment="1">
      <alignment wrapText="1"/>
    </xf>
    <xf numFmtId="2" fontId="0" fillId="0" borderId="33" xfId="0" applyNumberFormat="1" applyBorder="1"/>
    <xf numFmtId="0" fontId="23" fillId="56" borderId="11" xfId="0" applyFont="1" applyFill="1" applyBorder="1" applyAlignment="1" applyProtection="1">
      <alignment horizontal="left" vertical="center"/>
      <protection locked="0"/>
    </xf>
    <xf numFmtId="0" fontId="0" fillId="56" borderId="2" xfId="0" applyFill="1" applyBorder="1" applyAlignment="1">
      <alignment horizontal="left"/>
    </xf>
    <xf numFmtId="14" fontId="0" fillId="56" borderId="2" xfId="0" applyNumberFormat="1" applyFill="1" applyBorder="1" applyAlignment="1">
      <alignment horizontal="left"/>
    </xf>
    <xf numFmtId="0" fontId="26" fillId="56" borderId="2" xfId="0" applyFont="1" applyFill="1" applyBorder="1" applyAlignment="1">
      <alignment horizontal="left"/>
    </xf>
    <xf numFmtId="0" fontId="23" fillId="56" borderId="3" xfId="0" applyFont="1" applyFill="1" applyBorder="1" applyAlignment="1" applyProtection="1">
      <alignment horizontal="left" vertical="center"/>
      <protection locked="0"/>
    </xf>
    <xf numFmtId="0" fontId="23" fillId="57" borderId="5" xfId="0" applyFont="1" applyFill="1" applyBorder="1" applyAlignment="1">
      <alignment horizontal="left" vertical="center"/>
    </xf>
    <xf numFmtId="14" fontId="0" fillId="0" borderId="5" xfId="0" applyNumberFormat="1" applyBorder="1" applyAlignment="1">
      <alignment horizontal="left"/>
    </xf>
    <xf numFmtId="0" fontId="13" fillId="58" borderId="5" xfId="0" applyFont="1" applyFill="1" applyBorder="1"/>
    <xf numFmtId="0" fontId="23" fillId="12" borderId="5" xfId="0" applyFont="1" applyFill="1" applyBorder="1" applyAlignment="1">
      <alignment horizontal="left"/>
    </xf>
    <xf numFmtId="0" fontId="23" fillId="10" borderId="5" xfId="0" applyFont="1" applyFill="1" applyBorder="1" applyAlignment="1">
      <alignment horizontal="left"/>
    </xf>
    <xf numFmtId="0" fontId="0" fillId="56" borderId="5" xfId="0" applyFill="1" applyBorder="1" applyAlignment="1">
      <alignment horizontal="left"/>
    </xf>
    <xf numFmtId="0" fontId="66" fillId="0" borderId="5" xfId="0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0" fontId="28" fillId="45" borderId="5" xfId="0" applyFont="1" applyFill="1" applyBorder="1" applyAlignment="1">
      <alignment horizontal="left"/>
    </xf>
    <xf numFmtId="0" fontId="23" fillId="0" borderId="3" xfId="0" applyFont="1" applyBorder="1" applyAlignment="1" applyProtection="1">
      <alignment horizontal="left" vertical="center"/>
      <protection locked="0"/>
    </xf>
    <xf numFmtId="0" fontId="0" fillId="0" borderId="58" xfId="0" applyBorder="1"/>
    <xf numFmtId="0" fontId="0" fillId="0" borderId="26" xfId="0" applyBorder="1"/>
    <xf numFmtId="0" fontId="0" fillId="0" borderId="24" xfId="0" applyBorder="1"/>
    <xf numFmtId="0" fontId="0" fillId="0" borderId="0" xfId="0" pivotButton="1"/>
    <xf numFmtId="180" fontId="0" fillId="0" borderId="0" xfId="0" applyNumberFormat="1"/>
    <xf numFmtId="0" fontId="0" fillId="45" borderId="2" xfId="0" applyFill="1" applyBorder="1" applyAlignment="1">
      <alignment horizontal="left"/>
    </xf>
    <xf numFmtId="49" fontId="0" fillId="0" borderId="2" xfId="0" quotePrefix="1" applyNumberFormat="1" applyBorder="1" applyAlignment="1">
      <alignment horizontal="left"/>
    </xf>
    <xf numFmtId="0" fontId="23" fillId="0" borderId="14" xfId="0" applyFont="1" applyBorder="1" applyAlignment="1">
      <alignment horizontal="left"/>
    </xf>
    <xf numFmtId="0" fontId="0" fillId="0" borderId="0" xfId="0" quotePrefix="1" applyAlignment="1">
      <alignment vertical="center"/>
    </xf>
    <xf numFmtId="178" fontId="0" fillId="0" borderId="0" xfId="0" applyNumberFormat="1"/>
    <xf numFmtId="14" fontId="0" fillId="0" borderId="0" xfId="0" applyNumberFormat="1" applyAlignment="1">
      <alignment horizontal="left" indent="1"/>
    </xf>
    <xf numFmtId="0" fontId="23" fillId="60" borderId="5" xfId="0" applyFont="1" applyFill="1" applyBorder="1" applyAlignment="1">
      <alignment horizontal="left" vertical="center"/>
    </xf>
    <xf numFmtId="0" fontId="0" fillId="59" borderId="2" xfId="0" applyFill="1" applyBorder="1" applyAlignment="1">
      <alignment horizontal="left"/>
    </xf>
    <xf numFmtId="0" fontId="23" fillId="0" borderId="26" xfId="0" applyFont="1" applyBorder="1" applyAlignment="1" applyProtection="1">
      <alignment horizontal="left" vertical="center"/>
      <protection locked="0"/>
    </xf>
    <xf numFmtId="176" fontId="0" fillId="45" borderId="2" xfId="0" applyNumberFormat="1" applyFill="1" applyBorder="1" applyAlignment="1">
      <alignment horizontal="left"/>
    </xf>
    <xf numFmtId="0" fontId="0" fillId="0" borderId="2" xfId="0" applyBorder="1" applyAlignment="1" applyProtection="1">
      <alignment horizontal="left" vertical="center"/>
      <protection locked="0"/>
    </xf>
    <xf numFmtId="176" fontId="0" fillId="11" borderId="2" xfId="0" applyNumberFormat="1" applyFill="1" applyBorder="1" applyAlignment="1">
      <alignment horizontal="left"/>
    </xf>
    <xf numFmtId="176" fontId="23" fillId="0" borderId="5" xfId="0" applyNumberFormat="1" applyFont="1" applyBorder="1" applyAlignment="1">
      <alignment horizontal="left"/>
    </xf>
    <xf numFmtId="49" fontId="25" fillId="0" borderId="5" xfId="0" applyNumberFormat="1" applyFont="1" applyBorder="1"/>
    <xf numFmtId="0" fontId="0" fillId="0" borderId="40" xfId="0" applyBorder="1" applyAlignment="1">
      <alignment horizontal="left"/>
    </xf>
    <xf numFmtId="177" fontId="23" fillId="0" borderId="5" xfId="0" applyNumberFormat="1" applyFont="1" applyBorder="1" applyAlignment="1">
      <alignment horizontal="left"/>
    </xf>
    <xf numFmtId="181" fontId="0" fillId="0" borderId="5" xfId="0" applyNumberFormat="1" applyBorder="1" applyAlignment="1">
      <alignment horizontal="right"/>
    </xf>
    <xf numFmtId="49" fontId="14" fillId="56" borderId="2" xfId="0" applyNumberFormat="1" applyFont="1" applyFill="1" applyBorder="1" applyAlignment="1">
      <alignment horizontal="left"/>
    </xf>
    <xf numFmtId="49" fontId="14" fillId="0" borderId="0" xfId="0" applyNumberFormat="1" applyFont="1" applyAlignment="1">
      <alignment horizontal="left"/>
    </xf>
    <xf numFmtId="49" fontId="55" fillId="0" borderId="0" xfId="0" applyNumberFormat="1" applyFont="1"/>
    <xf numFmtId="176" fontId="26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23" fillId="0" borderId="5" xfId="0" applyFont="1" applyBorder="1" applyAlignment="1" applyProtection="1">
      <alignment horizontal="left" vertical="center"/>
      <protection locked="0"/>
    </xf>
    <xf numFmtId="176" fontId="23" fillId="0" borderId="5" xfId="0" applyNumberFormat="1" applyFont="1" applyBorder="1" applyAlignment="1" applyProtection="1">
      <alignment horizontal="left" vertical="center"/>
      <protection locked="0"/>
    </xf>
    <xf numFmtId="176" fontId="26" fillId="0" borderId="5" xfId="0" applyNumberFormat="1" applyFont="1" applyBorder="1" applyAlignment="1" applyProtection="1">
      <alignment horizontal="left"/>
      <protection locked="0"/>
    </xf>
    <xf numFmtId="176" fontId="23" fillId="0" borderId="5" xfId="0" applyNumberFormat="1" applyFont="1" applyBorder="1" applyAlignment="1" applyProtection="1">
      <alignment horizontal="left"/>
      <protection locked="0"/>
    </xf>
    <xf numFmtId="176" fontId="26" fillId="0" borderId="0" xfId="0" applyNumberFormat="1" applyFont="1" applyAlignment="1" applyProtection="1">
      <alignment horizontal="left" vertical="center"/>
      <protection locked="0"/>
    </xf>
    <xf numFmtId="176" fontId="23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3" fillId="0" borderId="14" xfId="0" applyFont="1" applyBorder="1" applyAlignment="1">
      <alignment horizontal="left" vertical="center"/>
    </xf>
    <xf numFmtId="0" fontId="26" fillId="9" borderId="5" xfId="0" applyFont="1" applyFill="1" applyBorder="1" applyAlignment="1">
      <alignment horizontal="left" vertical="center"/>
    </xf>
    <xf numFmtId="177" fontId="26" fillId="0" borderId="5" xfId="0" applyNumberFormat="1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15" fillId="0" borderId="57" xfId="0" applyFont="1" applyBorder="1" applyAlignment="1">
      <alignment horizontal="left"/>
    </xf>
    <xf numFmtId="0" fontId="13" fillId="58" borderId="57" xfId="0" applyFont="1" applyFill="1" applyBorder="1"/>
    <xf numFmtId="0" fontId="26" fillId="0" borderId="0" xfId="0" applyFont="1" applyAlignment="1">
      <alignment horizontal="left" vertical="center"/>
    </xf>
    <xf numFmtId="180" fontId="16" fillId="54" borderId="5" xfId="0" applyNumberFormat="1" applyFont="1" applyFill="1" applyBorder="1"/>
  </cellXfs>
  <cellStyles count="44">
    <cellStyle name="20% - Accent1 2" xfId="21" xr:uid="{A1898779-2AE0-4CB0-B3A8-6D63D6E3B516}"/>
    <cellStyle name="20% - Accent2 2" xfId="25" xr:uid="{70DF7F76-A1F7-40C1-AFBE-7D97D0867909}"/>
    <cellStyle name="20% - Accent3 2" xfId="29" xr:uid="{8F649BF0-1E76-4E91-99EC-AECB32EB001C}"/>
    <cellStyle name="20% - Accent4 2" xfId="33" xr:uid="{C94706D9-0E04-4494-9CAE-C5FE204DA3C7}"/>
    <cellStyle name="20% - Accent5 2" xfId="37" xr:uid="{0960DA0A-7A3E-42E9-B4C3-CD53CBC01BE8}"/>
    <cellStyle name="20% - Accent6 2" xfId="41" xr:uid="{A791A35A-11A6-4868-B979-171140A5C37D}"/>
    <cellStyle name="40% - Accent1 2" xfId="22" xr:uid="{6D6ED5E8-FEF9-43AB-9CCB-0B4FD7184BD0}"/>
    <cellStyle name="40% - Accent2 2" xfId="26" xr:uid="{19A8AA21-7133-4E27-86FE-CE1460FE2D4F}"/>
    <cellStyle name="40% - Accent3 2" xfId="30" xr:uid="{B953EE0B-9649-4E67-A38C-57DBFB8EB0BD}"/>
    <cellStyle name="40% - Accent4 2" xfId="34" xr:uid="{945857C8-D009-4A9A-A1F4-882EEA177F3B}"/>
    <cellStyle name="40% - Accent5 2" xfId="38" xr:uid="{D6A11083-7EC2-4775-8987-68E827FAC4CB}"/>
    <cellStyle name="40% - Accent6 2" xfId="42" xr:uid="{23B06E73-6A59-42C4-8C76-8416F3B3E70E}"/>
    <cellStyle name="60% - Accent1 2" xfId="23" xr:uid="{EA3867A2-7093-4A50-B0EC-04E31EACBF55}"/>
    <cellStyle name="60% - Accent2 2" xfId="27" xr:uid="{EB90B246-A30B-4A72-8B41-2B7A479B58F7}"/>
    <cellStyle name="60% - Accent3 2" xfId="31" xr:uid="{A1794A43-B714-4F02-BC3C-F171CB295F7B}"/>
    <cellStyle name="60% - Accent4 2" xfId="35" xr:uid="{3213A55B-7131-4C4E-A2FD-BEDE8930BA6F}"/>
    <cellStyle name="60% - Accent5 2" xfId="39" xr:uid="{2F323198-01B3-4A0E-97CE-F66EA3DE4AAE}"/>
    <cellStyle name="60% - Accent6 2" xfId="43" xr:uid="{788E8BEC-158A-41C2-9E94-8D3342B7D1AE}"/>
    <cellStyle name="Accent1 2" xfId="20" xr:uid="{DA5062FB-8079-4221-A093-8C72F3D66F96}"/>
    <cellStyle name="Accent2 2" xfId="24" xr:uid="{62C820CB-8D25-4780-AEDD-5209FD9A76B0}"/>
    <cellStyle name="Accent3 2" xfId="28" xr:uid="{47E1541E-6DD0-4FAC-9A4D-DB4A101005AD}"/>
    <cellStyle name="Accent4 2" xfId="32" xr:uid="{89C9977E-DF53-4D99-B122-43EF11397015}"/>
    <cellStyle name="Accent5 2" xfId="36" xr:uid="{7FDB0B16-9F06-4B43-AFC0-DA6AF95D1801}"/>
    <cellStyle name="Accent6 2" xfId="40" xr:uid="{8A2E3E98-C885-44E6-BA33-7D11532B7099}"/>
    <cellStyle name="Bad 2" xfId="9" xr:uid="{26B3DEA9-C325-4903-AF5C-2D18BCF4CC07}"/>
    <cellStyle name="Calculation 2" xfId="13" xr:uid="{2F890BD5-4781-42C1-A098-35125332C6C8}"/>
    <cellStyle name="Check Cell 2" xfId="15" xr:uid="{3D7B50E6-F6BD-4BF7-AFED-E5EA1D9FC8FE}"/>
    <cellStyle name="Currency 2" xfId="2" xr:uid="{2703B8C9-00B7-4C55-903B-8B472FEFCE71}"/>
    <cellStyle name="Explanatory Text 2" xfId="18" xr:uid="{5E5A7486-20F3-4C01-BA90-DA71A418B1B1}"/>
    <cellStyle name="Good 2" xfId="8" xr:uid="{A92FF39C-D2E0-4843-BC19-C0B1BFB0ADDC}"/>
    <cellStyle name="Heading 1 2" xfId="4" xr:uid="{23217B82-30F6-42D6-8F06-C82A7DCF5EBA}"/>
    <cellStyle name="Heading 2 2" xfId="5" xr:uid="{9D0F7CFF-2942-42F4-BFAC-F95DBB2E32A0}"/>
    <cellStyle name="Heading 3 2" xfId="6" xr:uid="{3D737065-FFFB-4623-8ECB-0E939B73A061}"/>
    <cellStyle name="Heading 4 2" xfId="7" xr:uid="{89F6F58F-6A11-406F-A544-EB81B6974885}"/>
    <cellStyle name="Hyperlink" xfId="1" builtinId="8"/>
    <cellStyle name="Input 2" xfId="11" xr:uid="{108F5AB5-1000-41AC-B14C-364C4C1B7FB8}"/>
    <cellStyle name="Linked Cell 2" xfId="14" xr:uid="{89A8A8B4-C547-4E89-8E15-B61F80A11815}"/>
    <cellStyle name="Neutral 2" xfId="10" xr:uid="{FEDB5719-3B42-4419-84B9-06D2DEF75AEF}"/>
    <cellStyle name="Normal" xfId="0" builtinId="0"/>
    <cellStyle name="Note 2" xfId="17" xr:uid="{79732A67-F174-49F0-AB81-6655176647B2}"/>
    <cellStyle name="Output 2" xfId="12" xr:uid="{465AC394-4B4A-42A8-A6F1-E3F22885AA1D}"/>
    <cellStyle name="Title 2" xfId="3" xr:uid="{8862E73E-90C6-4218-8549-911C4FC8FDC0}"/>
    <cellStyle name="Total 2" xfId="19" xr:uid="{73335A7B-81B7-4B74-A4E7-233317E7A5B3}"/>
    <cellStyle name="Warning Text 2" xfId="16" xr:uid="{178D36E6-8342-4455-9C00-996BE20982DF}"/>
  </cellStyles>
  <dxfs count="426"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3F3F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00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b/>
        <i val="0"/>
      </font>
      <fill>
        <patternFill>
          <bgColor rgb="FF00C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/>
        <strike val="0"/>
        <u val="double"/>
        <color auto="1"/>
      </font>
      <fill>
        <patternFill>
          <bgColor rgb="FFFF0000"/>
        </patternFill>
      </fill>
    </dxf>
    <dxf>
      <font>
        <b/>
        <i val="0"/>
        <u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theme="7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>
          <bgColor theme="7"/>
        </patternFill>
      </fill>
    </dxf>
    <dxf>
      <fill>
        <patternFill>
          <bgColor rgb="FFFF6699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ill>
        <patternFill>
          <fgColor rgb="FFC0C0C0"/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fgColor rgb="FFC0C0C0"/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numFmt numFmtId="30" formatCode="@"/>
      <fill>
        <patternFill>
          <bgColor rgb="FFFFC000"/>
        </patternFill>
      </fill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39" formatCode="\$#,##0.00_);[Red]\(\$#,##0.00\)"/>
      <alignment horizontal="left" textRotation="0" wrapText="0" indent="0" justifyLastLine="0" shrinkToFit="0" readingOrder="0"/>
    </dxf>
    <dxf>
      <numFmt numFmtId="39" formatCode="\$#,##0.00_);[Red]\(\$#,##0.00\)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1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1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rgb="FF616161"/>
        <name val="Inter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7" formatCode="0.0_ 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7" formatCode="0.0_ 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76" formatCode="yyyy\-mm\-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1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solid">
          <fgColor theme="0" tint="-0.14999847407452621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numFmt numFmtId="176" formatCode="yyyy\-mm\-dd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yyyy\-mm\-dd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42424"/>
        <name val="Aptos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9"/>
        <color rgb="FF242424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\-mm\-dd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\-mm\-dd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sz val="12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80" formatCode="0.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numFmt numFmtId="180" formatCode="0.0"/>
      <border diagonalUp="0" diagonalDown="0">
        <left style="thin">
          <color indexed="64"/>
        </left>
        <right/>
        <top style="thin">
          <color theme="4" tint="0.39997558519241921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80" formatCode="0.0"/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8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6" formatCode="yyyy\-mm\-dd;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6" formatCode="yyyy\-mm\-dd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/>
      </border>
    </dxf>
    <dxf>
      <numFmt numFmtId="30" formatCode="@"/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numFmt numFmtId="179" formatCode="yyyy/m/d\ h:mm;@"/>
      <fill>
        <patternFill patternType="solid">
          <fgColor indexed="64"/>
          <bgColor rgb="FF80808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79" formatCode="yyyy/m/d\ h:mm;@"/>
      <fill>
        <patternFill patternType="solid">
          <fgColor indexed="64"/>
          <bgColor rgb="FF80808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theme="4" tint="0.39997558519241921"/>
        </top>
        <bottom/>
      </border>
    </dxf>
    <dxf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9" formatCode="yyyy/m/d\ h:mm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9" formatCode="yyyy/m/d\ h:mm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8" formatCode="0.00_ 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7" formatCode="0.0_ "/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7" formatCode="0.0_ "/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6" formatCode="yyyy\-mm\-dd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176" formatCode="yyyy\-mm\-dd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99"/>
        </patternFill>
      </fill>
    </dxf>
  </dxfs>
  <tableStyles count="1" defaultTableStyle="TableStyleMedium2" defaultPivotStyle="PivotStyleLight16">
    <tableStyle name="Table Style 1" pivot="0" count="0" xr9:uid="{E4460C19-D333-457F-9B64-5D024ED89F56}"/>
  </tableStyles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yserbrandscom.sharepoint.com/sites/QualityAndCompliance/Shared%20Documents/11%20Inventory%20and%20Shipment%20Control/inventory_data/Cannabis%20Inventory.xlsx" TargetMode="External"/><Relationship Id="rId1" Type="http://schemas.openxmlformats.org/officeDocument/2006/relationships/externalLinkPath" Target="https://geyserbrandscom.sharepoint.com/sites/QualityAndCompliance/Shared%20Documents/11%20Inventory%20and%20Shipment%20Control/inventory_data/Cannabis%20Invento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ong\OneDrive\&#26700;&#38754;\shipment%20planning250409.xlsx" TargetMode="External"/><Relationship Id="rId1" Type="http://schemas.openxmlformats.org/officeDocument/2006/relationships/externalLinkPath" Target="shipment%20planning2504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system32\inventory_data\Cannabis%20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nnabis_log"/>
      <sheetName val="dailychange"/>
      <sheetName val="bulk_transfer"/>
      <sheetName val="Paper sheet"/>
      <sheetName val="internal_cansku_inventory"/>
    </sheetNames>
    <sheetDataSet>
      <sheetData sheetId="0">
        <row r="1">
          <cell r="A1" t="str">
            <v>inventory_id_head</v>
          </cell>
          <cell r="C1" t="str">
            <v>inventory_id</v>
          </cell>
          <cell r="J1" t="str">
            <v>lot_number</v>
          </cell>
          <cell r="N1" t="str">
            <v>net_weight_per_unit</v>
          </cell>
          <cell r="T1" t="str">
            <v>calculation_method</v>
          </cell>
        </row>
        <row r="2">
          <cell r="A2">
            <v>1</v>
          </cell>
          <cell r="C2" t="str">
            <v>1-0</v>
          </cell>
          <cell r="J2" t="str">
            <v>BS23041701G180</v>
          </cell>
          <cell r="N2">
            <v>180</v>
          </cell>
          <cell r="T2" t="str">
            <v>net</v>
          </cell>
        </row>
        <row r="3">
          <cell r="A3">
            <v>2</v>
          </cell>
          <cell r="C3" t="str">
            <v>2-0</v>
          </cell>
          <cell r="J3" t="str">
            <v>BS23101901G450</v>
          </cell>
          <cell r="N3">
            <v>450</v>
          </cell>
          <cell r="T3" t="str">
            <v>net</v>
          </cell>
        </row>
        <row r="4">
          <cell r="A4">
            <v>3</v>
          </cell>
          <cell r="C4" t="str">
            <v>3-0</v>
          </cell>
          <cell r="J4" t="str">
            <v>PE2205CP085D</v>
          </cell>
          <cell r="N4">
            <v>1</v>
          </cell>
          <cell r="T4" t="str">
            <v>net</v>
          </cell>
        </row>
        <row r="5">
          <cell r="A5">
            <v>4</v>
          </cell>
          <cell r="C5" t="str">
            <v>4-0</v>
          </cell>
          <cell r="J5" t="str">
            <v>PR2303</v>
          </cell>
          <cell r="N5">
            <v>475</v>
          </cell>
          <cell r="T5" t="str">
            <v>gross</v>
          </cell>
        </row>
        <row r="6">
          <cell r="A6">
            <v>5</v>
          </cell>
          <cell r="C6" t="str">
            <v>5-0</v>
          </cell>
          <cell r="J6">
            <v>211007</v>
          </cell>
          <cell r="N6">
            <v>3.5</v>
          </cell>
          <cell r="T6" t="str">
            <v>net</v>
          </cell>
        </row>
        <row r="7">
          <cell r="A7">
            <v>6</v>
          </cell>
          <cell r="C7" t="str">
            <v>6-0</v>
          </cell>
          <cell r="J7">
            <v>2022042902</v>
          </cell>
          <cell r="N7">
            <v>3.5</v>
          </cell>
          <cell r="T7" t="str">
            <v>net</v>
          </cell>
        </row>
        <row r="8">
          <cell r="A8">
            <v>7</v>
          </cell>
          <cell r="C8" t="str">
            <v>7-0</v>
          </cell>
          <cell r="J8">
            <v>2022042902</v>
          </cell>
          <cell r="N8">
            <v>3.5</v>
          </cell>
          <cell r="T8" t="str">
            <v>net</v>
          </cell>
        </row>
        <row r="9">
          <cell r="A9">
            <v>8</v>
          </cell>
          <cell r="C9" t="str">
            <v>8-0</v>
          </cell>
          <cell r="J9" t="str">
            <v>2022012401R1</v>
          </cell>
          <cell r="N9">
            <v>14</v>
          </cell>
          <cell r="T9" t="str">
            <v>net</v>
          </cell>
        </row>
        <row r="10">
          <cell r="A10">
            <v>9</v>
          </cell>
          <cell r="C10" t="str">
            <v>9-0</v>
          </cell>
          <cell r="J10" t="str">
            <v>CPR22112801G14</v>
          </cell>
          <cell r="N10">
            <v>14</v>
          </cell>
          <cell r="T10" t="str">
            <v>net</v>
          </cell>
        </row>
        <row r="11">
          <cell r="A11">
            <v>10</v>
          </cell>
          <cell r="C11" t="str">
            <v>10-0</v>
          </cell>
          <cell r="J11" t="str">
            <v>CPR22112801G7</v>
          </cell>
          <cell r="N11">
            <v>7</v>
          </cell>
          <cell r="T11" t="str">
            <v>net</v>
          </cell>
        </row>
        <row r="12">
          <cell r="A12">
            <v>11</v>
          </cell>
          <cell r="C12" t="str">
            <v>11-0</v>
          </cell>
          <cell r="J12" t="str">
            <v>2022012401R1G7</v>
          </cell>
          <cell r="N12">
            <v>7</v>
          </cell>
          <cell r="T12" t="str">
            <v>net</v>
          </cell>
        </row>
        <row r="13">
          <cell r="A13">
            <v>12</v>
          </cell>
          <cell r="C13" t="str">
            <v>12-0</v>
          </cell>
          <cell r="J13" t="str">
            <v>PR2303IN</v>
          </cell>
          <cell r="N13">
            <v>41.02</v>
          </cell>
          <cell r="T13" t="str">
            <v>gross</v>
          </cell>
        </row>
        <row r="14">
          <cell r="A14">
            <v>13</v>
          </cell>
          <cell r="C14" t="str">
            <v>13-0</v>
          </cell>
          <cell r="J14" t="str">
            <v>CPR22102101</v>
          </cell>
          <cell r="N14">
            <v>169.94</v>
          </cell>
          <cell r="T14" t="str">
            <v>gross</v>
          </cell>
        </row>
        <row r="15">
          <cell r="A15">
            <v>14</v>
          </cell>
          <cell r="C15" t="str">
            <v>14-0</v>
          </cell>
          <cell r="J15" t="str">
            <v>PR2304F7</v>
          </cell>
          <cell r="N15">
            <v>72.83</v>
          </cell>
          <cell r="T15" t="str">
            <v>gross</v>
          </cell>
        </row>
        <row r="16">
          <cell r="A16">
            <v>15</v>
          </cell>
          <cell r="C16" t="str">
            <v>15-0</v>
          </cell>
          <cell r="J16" t="str">
            <v>NA</v>
          </cell>
          <cell r="N16">
            <v>904.95</v>
          </cell>
          <cell r="T16" t="str">
            <v>gross</v>
          </cell>
        </row>
        <row r="17">
          <cell r="A17">
            <v>16</v>
          </cell>
          <cell r="C17" t="str">
            <v>16-0</v>
          </cell>
          <cell r="J17" t="str">
            <v>NA</v>
          </cell>
          <cell r="N17">
            <v>132.01999999999998</v>
          </cell>
          <cell r="T17" t="str">
            <v>gross</v>
          </cell>
        </row>
        <row r="18">
          <cell r="A18">
            <v>17</v>
          </cell>
          <cell r="C18" t="str">
            <v>17-0</v>
          </cell>
          <cell r="J18">
            <v>2021022501</v>
          </cell>
          <cell r="N18">
            <v>3.5</v>
          </cell>
          <cell r="T18" t="str">
            <v>net</v>
          </cell>
        </row>
        <row r="19">
          <cell r="A19">
            <v>18</v>
          </cell>
          <cell r="C19" t="str">
            <v>18-0</v>
          </cell>
          <cell r="J19" t="str">
            <v>SS201002CP-006</v>
          </cell>
          <cell r="N19">
            <v>3.5</v>
          </cell>
          <cell r="T19" t="str">
            <v>net</v>
          </cell>
        </row>
        <row r="20">
          <cell r="A20">
            <v>19</v>
          </cell>
          <cell r="C20" t="str">
            <v>19-0</v>
          </cell>
          <cell r="J20" t="str">
            <v>GS200219</v>
          </cell>
          <cell r="N20">
            <v>3.5</v>
          </cell>
          <cell r="T20" t="str">
            <v>net</v>
          </cell>
        </row>
        <row r="21">
          <cell r="A21">
            <v>20</v>
          </cell>
          <cell r="C21" t="str">
            <v>20-0</v>
          </cell>
          <cell r="J21">
            <v>2022091603</v>
          </cell>
          <cell r="N21">
            <v>3.5</v>
          </cell>
          <cell r="T21" t="str">
            <v>net</v>
          </cell>
        </row>
        <row r="22">
          <cell r="A22">
            <v>21</v>
          </cell>
          <cell r="C22" t="str">
            <v>21-0</v>
          </cell>
          <cell r="J22">
            <v>2021031001</v>
          </cell>
          <cell r="N22">
            <v>14</v>
          </cell>
          <cell r="T22" t="str">
            <v>net</v>
          </cell>
        </row>
        <row r="23">
          <cell r="A23">
            <v>22</v>
          </cell>
          <cell r="C23" t="str">
            <v>22-0</v>
          </cell>
          <cell r="J23">
            <v>2022051601</v>
          </cell>
          <cell r="N23">
            <v>477.4</v>
          </cell>
          <cell r="T23" t="str">
            <v>gross</v>
          </cell>
        </row>
        <row r="24">
          <cell r="A24">
            <v>23</v>
          </cell>
          <cell r="C24" t="str">
            <v>23-0</v>
          </cell>
          <cell r="J24" t="str">
            <v>2022012401R1</v>
          </cell>
          <cell r="N24">
            <v>255</v>
          </cell>
          <cell r="T24" t="str">
            <v>gross</v>
          </cell>
        </row>
        <row r="25">
          <cell r="A25">
            <v>24</v>
          </cell>
          <cell r="C25" t="str">
            <v>24-0</v>
          </cell>
          <cell r="J25" t="str">
            <v>2022012401R1</v>
          </cell>
          <cell r="N25">
            <v>446.6</v>
          </cell>
          <cell r="T25" t="str">
            <v>gross</v>
          </cell>
        </row>
        <row r="26">
          <cell r="A26">
            <v>25</v>
          </cell>
          <cell r="C26" t="str">
            <v>25-0</v>
          </cell>
          <cell r="J26" t="str">
            <v>2022012401R1</v>
          </cell>
          <cell r="N26">
            <v>916</v>
          </cell>
          <cell r="T26" t="str">
            <v>gross</v>
          </cell>
        </row>
        <row r="27">
          <cell r="A27">
            <v>26</v>
          </cell>
          <cell r="C27" t="str">
            <v>26-0</v>
          </cell>
          <cell r="J27" t="str">
            <v>2022012401R1</v>
          </cell>
          <cell r="N27">
            <v>1000</v>
          </cell>
          <cell r="T27" t="str">
            <v>gross</v>
          </cell>
        </row>
        <row r="28">
          <cell r="A28">
            <v>27</v>
          </cell>
          <cell r="C28" t="str">
            <v>27-0</v>
          </cell>
          <cell r="J28" t="str">
            <v>2022012401R1</v>
          </cell>
          <cell r="N28">
            <v>1000</v>
          </cell>
          <cell r="T28" t="str">
            <v>gross</v>
          </cell>
        </row>
        <row r="29">
          <cell r="A29">
            <v>28</v>
          </cell>
          <cell r="C29" t="str">
            <v>28-0</v>
          </cell>
          <cell r="J29" t="str">
            <v>2022012401R1</v>
          </cell>
          <cell r="N29">
            <v>1000</v>
          </cell>
          <cell r="T29" t="str">
            <v>gross</v>
          </cell>
        </row>
        <row r="30">
          <cell r="A30">
            <v>29</v>
          </cell>
          <cell r="C30" t="str">
            <v>29-0</v>
          </cell>
          <cell r="J30" t="str">
            <v>2022012401R1</v>
          </cell>
          <cell r="N30">
            <v>1000</v>
          </cell>
          <cell r="T30" t="str">
            <v>gross</v>
          </cell>
        </row>
        <row r="31">
          <cell r="A31">
            <v>30</v>
          </cell>
          <cell r="C31" t="str">
            <v>30-0</v>
          </cell>
          <cell r="J31" t="str">
            <v>2022012401R1</v>
          </cell>
          <cell r="N31">
            <v>1000</v>
          </cell>
          <cell r="T31" t="str">
            <v>gross</v>
          </cell>
        </row>
        <row r="32">
          <cell r="A32">
            <v>31</v>
          </cell>
          <cell r="C32" t="str">
            <v>31-0</v>
          </cell>
          <cell r="J32" t="str">
            <v>2022012401R1</v>
          </cell>
          <cell r="N32">
            <v>1000</v>
          </cell>
          <cell r="T32" t="str">
            <v>gross</v>
          </cell>
        </row>
        <row r="33">
          <cell r="A33">
            <v>32</v>
          </cell>
          <cell r="C33" t="str">
            <v>32-0</v>
          </cell>
          <cell r="J33" t="str">
            <v>2022012401R1</v>
          </cell>
          <cell r="N33">
            <v>1000</v>
          </cell>
          <cell r="T33" t="str">
            <v>gross</v>
          </cell>
        </row>
        <row r="34">
          <cell r="A34">
            <v>33</v>
          </cell>
          <cell r="C34" t="str">
            <v>33-0</v>
          </cell>
          <cell r="J34" t="str">
            <v>2022012401R1</v>
          </cell>
          <cell r="N34">
            <v>1000</v>
          </cell>
          <cell r="T34" t="str">
            <v>gross</v>
          </cell>
        </row>
        <row r="35">
          <cell r="A35">
            <v>34</v>
          </cell>
          <cell r="C35" t="str">
            <v>34-0</v>
          </cell>
          <cell r="J35" t="str">
            <v>2022012401R1</v>
          </cell>
          <cell r="N35">
            <v>1000</v>
          </cell>
          <cell r="T35" t="str">
            <v>gross</v>
          </cell>
        </row>
        <row r="36">
          <cell r="A36">
            <v>35</v>
          </cell>
          <cell r="C36" t="str">
            <v>35-0</v>
          </cell>
          <cell r="J36" t="str">
            <v>2022012401R1</v>
          </cell>
          <cell r="N36">
            <v>1000</v>
          </cell>
          <cell r="T36" t="str">
            <v>gross</v>
          </cell>
        </row>
        <row r="37">
          <cell r="A37">
            <v>36</v>
          </cell>
          <cell r="C37" t="str">
            <v>36-0</v>
          </cell>
          <cell r="J37" t="str">
            <v>2022012401R1</v>
          </cell>
          <cell r="N37">
            <v>982.3</v>
          </cell>
          <cell r="T37" t="str">
            <v>gross</v>
          </cell>
        </row>
        <row r="38">
          <cell r="A38">
            <v>37</v>
          </cell>
          <cell r="C38" t="str">
            <v>37-0</v>
          </cell>
          <cell r="J38" t="str">
            <v>2022012401R1</v>
          </cell>
          <cell r="N38">
            <v>426.8</v>
          </cell>
          <cell r="T38" t="str">
            <v>gross</v>
          </cell>
        </row>
        <row r="39">
          <cell r="A39">
            <v>38</v>
          </cell>
          <cell r="C39" t="str">
            <v>38-0</v>
          </cell>
          <cell r="J39">
            <v>2022051601</v>
          </cell>
          <cell r="N39">
            <v>1000</v>
          </cell>
          <cell r="T39" t="str">
            <v>gross</v>
          </cell>
        </row>
        <row r="40">
          <cell r="A40">
            <v>39</v>
          </cell>
          <cell r="C40" t="str">
            <v>39-0</v>
          </cell>
          <cell r="J40">
            <v>2022051601</v>
          </cell>
          <cell r="N40">
            <v>1000</v>
          </cell>
          <cell r="T40" t="str">
            <v>gross</v>
          </cell>
        </row>
        <row r="41">
          <cell r="A41">
            <v>40</v>
          </cell>
          <cell r="C41" t="str">
            <v>40-0</v>
          </cell>
          <cell r="J41">
            <v>2022051601</v>
          </cell>
          <cell r="N41">
            <v>1000</v>
          </cell>
          <cell r="T41" t="str">
            <v>gross</v>
          </cell>
        </row>
        <row r="42">
          <cell r="A42">
            <v>41</v>
          </cell>
          <cell r="C42" t="str">
            <v>41-0</v>
          </cell>
          <cell r="J42">
            <v>2022051601</v>
          </cell>
          <cell r="N42">
            <v>678</v>
          </cell>
          <cell r="T42" t="str">
            <v>gross</v>
          </cell>
        </row>
        <row r="43">
          <cell r="A43">
            <v>42</v>
          </cell>
          <cell r="C43" t="str">
            <v>42-0</v>
          </cell>
          <cell r="J43">
            <v>2022051601</v>
          </cell>
          <cell r="N43">
            <v>1000</v>
          </cell>
          <cell r="T43" t="str">
            <v>gross</v>
          </cell>
        </row>
        <row r="44">
          <cell r="A44">
            <v>43</v>
          </cell>
          <cell r="C44" t="str">
            <v>43-0</v>
          </cell>
          <cell r="J44">
            <v>2022051601</v>
          </cell>
          <cell r="N44">
            <v>1000</v>
          </cell>
          <cell r="T44" t="str">
            <v>gross</v>
          </cell>
        </row>
        <row r="45">
          <cell r="A45">
            <v>44</v>
          </cell>
          <cell r="C45" t="str">
            <v>44-0</v>
          </cell>
          <cell r="J45">
            <v>2022051601</v>
          </cell>
          <cell r="N45">
            <v>1000</v>
          </cell>
          <cell r="T45" t="str">
            <v>gross</v>
          </cell>
        </row>
        <row r="46">
          <cell r="A46">
            <v>45</v>
          </cell>
          <cell r="C46" t="str">
            <v>45-0</v>
          </cell>
          <cell r="J46">
            <v>2022051603</v>
          </cell>
          <cell r="N46">
            <v>1000</v>
          </cell>
          <cell r="T46" t="str">
            <v>gross</v>
          </cell>
        </row>
        <row r="47">
          <cell r="A47">
            <v>46</v>
          </cell>
          <cell r="C47" t="str">
            <v>46-0</v>
          </cell>
          <cell r="J47">
            <v>2022051603</v>
          </cell>
          <cell r="N47">
            <v>1000</v>
          </cell>
          <cell r="T47" t="str">
            <v>gross</v>
          </cell>
        </row>
        <row r="48">
          <cell r="A48">
            <v>47</v>
          </cell>
          <cell r="C48" t="str">
            <v>47-0</v>
          </cell>
          <cell r="J48">
            <v>2022051603</v>
          </cell>
          <cell r="N48">
            <v>500</v>
          </cell>
          <cell r="T48" t="str">
            <v>gross</v>
          </cell>
        </row>
        <row r="49">
          <cell r="A49">
            <v>48</v>
          </cell>
          <cell r="C49" t="str">
            <v>48-0</v>
          </cell>
          <cell r="J49">
            <v>2022051603</v>
          </cell>
          <cell r="N49">
            <v>1000</v>
          </cell>
          <cell r="T49" t="str">
            <v>gross</v>
          </cell>
        </row>
        <row r="50">
          <cell r="A50">
            <v>49</v>
          </cell>
          <cell r="C50" t="str">
            <v>49-0</v>
          </cell>
          <cell r="J50">
            <v>2022051603</v>
          </cell>
          <cell r="N50">
            <v>1000</v>
          </cell>
          <cell r="T50" t="str">
            <v>gross</v>
          </cell>
        </row>
        <row r="51">
          <cell r="A51">
            <v>50</v>
          </cell>
          <cell r="C51" t="str">
            <v>50-0</v>
          </cell>
          <cell r="J51">
            <v>2022051601</v>
          </cell>
          <cell r="N51">
            <v>1000</v>
          </cell>
          <cell r="T51" t="str">
            <v>gross</v>
          </cell>
        </row>
        <row r="52">
          <cell r="A52">
            <v>51</v>
          </cell>
          <cell r="C52" t="str">
            <v>51-0</v>
          </cell>
          <cell r="J52">
            <v>2022051601</v>
          </cell>
          <cell r="N52">
            <v>1000</v>
          </cell>
          <cell r="T52" t="str">
            <v>gross</v>
          </cell>
        </row>
        <row r="53">
          <cell r="A53">
            <v>52</v>
          </cell>
          <cell r="C53" t="str">
            <v>52-0</v>
          </cell>
          <cell r="J53">
            <v>2022051601</v>
          </cell>
          <cell r="N53">
            <v>1000</v>
          </cell>
          <cell r="T53" t="str">
            <v>gross</v>
          </cell>
        </row>
        <row r="54">
          <cell r="A54">
            <v>53</v>
          </cell>
          <cell r="C54" t="str">
            <v>53-0</v>
          </cell>
          <cell r="J54">
            <v>2022051601</v>
          </cell>
          <cell r="N54">
            <v>1000</v>
          </cell>
          <cell r="T54" t="str">
            <v>gross</v>
          </cell>
        </row>
        <row r="55">
          <cell r="A55">
            <v>54</v>
          </cell>
          <cell r="C55" t="str">
            <v>54-0</v>
          </cell>
          <cell r="J55">
            <v>2022051601</v>
          </cell>
          <cell r="N55">
            <v>1000</v>
          </cell>
          <cell r="T55" t="str">
            <v>gross</v>
          </cell>
        </row>
        <row r="56">
          <cell r="A56">
            <v>55</v>
          </cell>
          <cell r="C56" t="str">
            <v>55-0</v>
          </cell>
          <cell r="J56">
            <v>2022051601</v>
          </cell>
          <cell r="N56">
            <v>1000</v>
          </cell>
          <cell r="T56" t="str">
            <v>gross</v>
          </cell>
        </row>
        <row r="57">
          <cell r="A57">
            <v>56</v>
          </cell>
          <cell r="C57" t="str">
            <v>56-0</v>
          </cell>
          <cell r="J57">
            <v>2022051601</v>
          </cell>
          <cell r="N57">
            <v>1000</v>
          </cell>
          <cell r="T57" t="str">
            <v>gross</v>
          </cell>
        </row>
        <row r="58">
          <cell r="A58">
            <v>57</v>
          </cell>
          <cell r="C58" t="str">
            <v>57-0</v>
          </cell>
          <cell r="J58">
            <v>2022051601</v>
          </cell>
          <cell r="N58">
            <v>1000</v>
          </cell>
          <cell r="T58" t="str">
            <v>gross</v>
          </cell>
        </row>
        <row r="59">
          <cell r="A59">
            <v>58</v>
          </cell>
          <cell r="C59" t="str">
            <v>58-0</v>
          </cell>
          <cell r="J59">
            <v>2022051601</v>
          </cell>
          <cell r="N59">
            <v>1000</v>
          </cell>
          <cell r="T59" t="str">
            <v>gross</v>
          </cell>
        </row>
        <row r="60">
          <cell r="A60">
            <v>59</v>
          </cell>
          <cell r="C60" t="str">
            <v>59-0</v>
          </cell>
          <cell r="J60">
            <v>2022051601</v>
          </cell>
          <cell r="N60">
            <v>1000</v>
          </cell>
          <cell r="T60" t="str">
            <v>gross</v>
          </cell>
        </row>
        <row r="61">
          <cell r="A61">
            <v>60</v>
          </cell>
          <cell r="C61" t="str">
            <v>60-0</v>
          </cell>
          <cell r="J61">
            <v>2022051601</v>
          </cell>
          <cell r="N61">
            <v>1000</v>
          </cell>
          <cell r="T61" t="str">
            <v>gross</v>
          </cell>
        </row>
        <row r="62">
          <cell r="A62">
            <v>61</v>
          </cell>
          <cell r="C62" t="str">
            <v>61-0</v>
          </cell>
          <cell r="J62">
            <v>2022051602</v>
          </cell>
          <cell r="N62">
            <v>1000</v>
          </cell>
          <cell r="T62" t="str">
            <v>gross</v>
          </cell>
        </row>
        <row r="63">
          <cell r="A63">
            <v>62</v>
          </cell>
          <cell r="C63" t="str">
            <v>62-0</v>
          </cell>
          <cell r="J63">
            <v>2022051602</v>
          </cell>
          <cell r="N63">
            <v>1000</v>
          </cell>
          <cell r="T63" t="str">
            <v>gross</v>
          </cell>
        </row>
        <row r="64">
          <cell r="A64">
            <v>63</v>
          </cell>
          <cell r="C64" t="str">
            <v>63-0</v>
          </cell>
          <cell r="J64">
            <v>2022051602</v>
          </cell>
          <cell r="N64">
            <v>1000</v>
          </cell>
          <cell r="T64" t="str">
            <v>gross</v>
          </cell>
        </row>
        <row r="65">
          <cell r="A65">
            <v>64</v>
          </cell>
          <cell r="C65" t="str">
            <v>64-0</v>
          </cell>
          <cell r="J65">
            <v>2022051602</v>
          </cell>
          <cell r="N65">
            <v>1000</v>
          </cell>
          <cell r="T65" t="str">
            <v>gross</v>
          </cell>
        </row>
        <row r="66">
          <cell r="A66">
            <v>65</v>
          </cell>
          <cell r="C66" t="str">
            <v>65-0</v>
          </cell>
          <cell r="J66">
            <v>2022051602</v>
          </cell>
          <cell r="N66">
            <v>1000</v>
          </cell>
          <cell r="T66" t="str">
            <v>gross</v>
          </cell>
        </row>
        <row r="67">
          <cell r="A67">
            <v>66</v>
          </cell>
          <cell r="C67" t="str">
            <v>66-0</v>
          </cell>
          <cell r="J67">
            <v>2022051602</v>
          </cell>
          <cell r="N67">
            <v>1000</v>
          </cell>
          <cell r="T67" t="str">
            <v>gross</v>
          </cell>
        </row>
        <row r="68">
          <cell r="A68">
            <v>67</v>
          </cell>
          <cell r="C68" t="str">
            <v>67-0</v>
          </cell>
          <cell r="J68">
            <v>2022051602</v>
          </cell>
          <cell r="N68">
            <v>480</v>
          </cell>
          <cell r="T68" t="str">
            <v>gross</v>
          </cell>
        </row>
        <row r="69">
          <cell r="A69">
            <v>68</v>
          </cell>
          <cell r="C69" t="str">
            <v>68-0</v>
          </cell>
          <cell r="J69">
            <v>2022051602</v>
          </cell>
          <cell r="N69">
            <v>366</v>
          </cell>
          <cell r="T69" t="str">
            <v>gross</v>
          </cell>
        </row>
        <row r="70">
          <cell r="A70">
            <v>69</v>
          </cell>
          <cell r="C70" t="str">
            <v>69-0</v>
          </cell>
          <cell r="J70">
            <v>2022051602</v>
          </cell>
          <cell r="N70">
            <v>1000</v>
          </cell>
          <cell r="T70" t="str">
            <v>gross</v>
          </cell>
        </row>
        <row r="71">
          <cell r="A71">
            <v>70</v>
          </cell>
          <cell r="C71" t="str">
            <v>70-0</v>
          </cell>
          <cell r="J71">
            <v>2022051602</v>
          </cell>
          <cell r="N71">
            <v>1000</v>
          </cell>
          <cell r="T71" t="str">
            <v>gross</v>
          </cell>
        </row>
        <row r="72">
          <cell r="A72">
            <v>71</v>
          </cell>
          <cell r="C72" t="str">
            <v>71-0</v>
          </cell>
          <cell r="J72" t="str">
            <v>2022012401R1</v>
          </cell>
          <cell r="N72">
            <v>565.6</v>
          </cell>
          <cell r="T72" t="str">
            <v>gross</v>
          </cell>
        </row>
        <row r="73">
          <cell r="A73">
            <v>72</v>
          </cell>
          <cell r="C73" t="str">
            <v>72-0</v>
          </cell>
          <cell r="J73">
            <v>2022051603</v>
          </cell>
          <cell r="N73">
            <v>994</v>
          </cell>
          <cell r="T73" t="str">
            <v>gross</v>
          </cell>
        </row>
        <row r="74">
          <cell r="A74">
            <v>73</v>
          </cell>
          <cell r="C74" t="str">
            <v>73-0</v>
          </cell>
          <cell r="J74" t="str">
            <v>BS23041701G180</v>
          </cell>
          <cell r="N74">
            <v>180</v>
          </cell>
          <cell r="T74" t="str">
            <v>net</v>
          </cell>
        </row>
        <row r="75">
          <cell r="A75">
            <v>74</v>
          </cell>
          <cell r="C75" t="str">
            <v>74-0</v>
          </cell>
          <cell r="J75" t="str">
            <v>BS23101901G450</v>
          </cell>
          <cell r="N75">
            <v>450</v>
          </cell>
          <cell r="T75" t="str">
            <v>net</v>
          </cell>
        </row>
        <row r="76">
          <cell r="A76">
            <v>75</v>
          </cell>
          <cell r="C76" t="str">
            <v>75-0</v>
          </cell>
          <cell r="J76">
            <v>2024022201</v>
          </cell>
          <cell r="N76">
            <v>72.599999999999966</v>
          </cell>
          <cell r="T76" t="str">
            <v>gross</v>
          </cell>
        </row>
        <row r="77">
          <cell r="A77">
            <v>76</v>
          </cell>
          <cell r="C77" t="str">
            <v>76-0</v>
          </cell>
          <cell r="J77" t="str">
            <v>TP24041201</v>
          </cell>
          <cell r="N77">
            <v>88</v>
          </cell>
          <cell r="T77" t="str">
            <v>net</v>
          </cell>
        </row>
        <row r="78">
          <cell r="A78">
            <v>77</v>
          </cell>
          <cell r="C78" t="str">
            <v>77-0</v>
          </cell>
          <cell r="J78" t="str">
            <v>TP24041201</v>
          </cell>
          <cell r="N78">
            <v>88</v>
          </cell>
          <cell r="T78" t="str">
            <v>net</v>
          </cell>
        </row>
        <row r="79">
          <cell r="A79">
            <v>78</v>
          </cell>
          <cell r="C79" t="str">
            <v>78-0</v>
          </cell>
          <cell r="J79" t="str">
            <v>TP24041202</v>
          </cell>
          <cell r="N79">
            <v>88</v>
          </cell>
          <cell r="T79" t="str">
            <v>net</v>
          </cell>
        </row>
        <row r="80">
          <cell r="A80">
            <v>79</v>
          </cell>
          <cell r="C80" t="str">
            <v>79-0</v>
          </cell>
          <cell r="J80" t="str">
            <v>PR2410</v>
          </cell>
          <cell r="N80">
            <v>1600</v>
          </cell>
          <cell r="T80" t="str">
            <v>gross</v>
          </cell>
        </row>
        <row r="81">
          <cell r="A81">
            <v>80</v>
          </cell>
          <cell r="C81" t="str">
            <v>80-0</v>
          </cell>
          <cell r="J81" t="str">
            <v>PR2410</v>
          </cell>
          <cell r="N81">
            <v>0</v>
          </cell>
          <cell r="T81" t="str">
            <v>gross</v>
          </cell>
        </row>
        <row r="82">
          <cell r="A82">
            <v>81</v>
          </cell>
          <cell r="C82" t="str">
            <v>81-0</v>
          </cell>
          <cell r="J82" t="str">
            <v>PR21102801</v>
          </cell>
          <cell r="N82">
            <v>2705</v>
          </cell>
          <cell r="T82" t="str">
            <v>gross</v>
          </cell>
        </row>
        <row r="83">
          <cell r="A83">
            <v>82</v>
          </cell>
          <cell r="C83" t="str">
            <v>82-0</v>
          </cell>
          <cell r="J83" t="str">
            <v>NA</v>
          </cell>
          <cell r="N83">
            <v>11705</v>
          </cell>
          <cell r="T83" t="str">
            <v>gross</v>
          </cell>
        </row>
        <row r="84">
          <cell r="A84">
            <v>83</v>
          </cell>
          <cell r="C84" t="str">
            <v>83-0</v>
          </cell>
          <cell r="J84" t="str">
            <v>EX22040601</v>
          </cell>
          <cell r="N84">
            <v>19130</v>
          </cell>
          <cell r="T84" t="str">
            <v>gross</v>
          </cell>
        </row>
        <row r="85">
          <cell r="A85">
            <v>84</v>
          </cell>
          <cell r="C85" t="str">
            <v>84-0</v>
          </cell>
          <cell r="J85" t="str">
            <v>EX24070901V50</v>
          </cell>
          <cell r="N85">
            <v>50</v>
          </cell>
          <cell r="T85" t="str">
            <v>net</v>
          </cell>
        </row>
        <row r="86">
          <cell r="A86">
            <v>85</v>
          </cell>
          <cell r="C86" t="str">
            <v>85-0</v>
          </cell>
          <cell r="J86" t="str">
            <v>EX24092601V50</v>
          </cell>
          <cell r="N86">
            <v>50</v>
          </cell>
          <cell r="T86" t="str">
            <v>net</v>
          </cell>
        </row>
        <row r="87">
          <cell r="A87">
            <v>86</v>
          </cell>
          <cell r="C87" t="str">
            <v>86-0</v>
          </cell>
          <cell r="J87" t="str">
            <v>NA</v>
          </cell>
          <cell r="N87">
            <v>14380</v>
          </cell>
          <cell r="T87" t="str">
            <v>gross</v>
          </cell>
        </row>
        <row r="88">
          <cell r="A88">
            <v>87</v>
          </cell>
          <cell r="C88" t="str">
            <v>87-0</v>
          </cell>
          <cell r="J88" t="str">
            <v>NA</v>
          </cell>
          <cell r="N88">
            <v>15770</v>
          </cell>
          <cell r="T88" t="str">
            <v>gross</v>
          </cell>
        </row>
        <row r="89">
          <cell r="A89">
            <v>88</v>
          </cell>
          <cell r="C89" t="str">
            <v>88-0</v>
          </cell>
          <cell r="J89" t="str">
            <v>PR22022801</v>
          </cell>
          <cell r="N89">
            <v>1025</v>
          </cell>
          <cell r="T89" t="str">
            <v>gross</v>
          </cell>
        </row>
        <row r="90">
          <cell r="A90">
            <v>89</v>
          </cell>
          <cell r="C90" t="str">
            <v>89-0</v>
          </cell>
          <cell r="J90" t="str">
            <v>PR22030301</v>
          </cell>
          <cell r="N90">
            <v>1860</v>
          </cell>
          <cell r="T90" t="str">
            <v>gross</v>
          </cell>
        </row>
        <row r="91">
          <cell r="A91">
            <v>90</v>
          </cell>
          <cell r="C91" t="str">
            <v>90-0</v>
          </cell>
          <cell r="J91" t="str">
            <v>CPR22112801</v>
          </cell>
          <cell r="N91">
            <v>1155</v>
          </cell>
          <cell r="T91" t="str">
            <v>gross</v>
          </cell>
        </row>
        <row r="92">
          <cell r="A92">
            <v>91</v>
          </cell>
          <cell r="C92" t="str">
            <v>91-0</v>
          </cell>
          <cell r="J92" t="str">
            <v>EX24022301</v>
          </cell>
          <cell r="N92">
            <v>2385</v>
          </cell>
          <cell r="T92" t="str">
            <v>gross</v>
          </cell>
        </row>
        <row r="93">
          <cell r="A93">
            <v>92</v>
          </cell>
          <cell r="C93" t="str">
            <v>92-0</v>
          </cell>
          <cell r="J93" t="str">
            <v>EX24022302</v>
          </cell>
          <cell r="N93">
            <v>2230</v>
          </cell>
          <cell r="T93" t="str">
            <v>gross</v>
          </cell>
        </row>
        <row r="94">
          <cell r="A94">
            <v>93</v>
          </cell>
          <cell r="C94" t="str">
            <v>93-0</v>
          </cell>
          <cell r="J94" t="str">
            <v>PR21062101</v>
          </cell>
          <cell r="N94">
            <v>3770</v>
          </cell>
          <cell r="T94" t="str">
            <v>gross</v>
          </cell>
        </row>
        <row r="95">
          <cell r="A95">
            <v>94</v>
          </cell>
          <cell r="C95" t="str">
            <v>94-0</v>
          </cell>
          <cell r="J95" t="str">
            <v>PR21102801</v>
          </cell>
          <cell r="N95">
            <v>1540</v>
          </cell>
          <cell r="T95" t="str">
            <v>gross</v>
          </cell>
        </row>
        <row r="96">
          <cell r="A96">
            <v>95</v>
          </cell>
          <cell r="C96" t="str">
            <v>95-0</v>
          </cell>
          <cell r="J96" t="str">
            <v>TP24041201</v>
          </cell>
          <cell r="N96">
            <v>16820</v>
          </cell>
          <cell r="T96" t="str">
            <v>gross</v>
          </cell>
        </row>
        <row r="97">
          <cell r="A97">
            <v>96</v>
          </cell>
          <cell r="C97" t="str">
            <v>96-0</v>
          </cell>
          <cell r="J97" t="str">
            <v>PR2301</v>
          </cell>
          <cell r="N97">
            <v>3360</v>
          </cell>
          <cell r="T97" t="str">
            <v>gross</v>
          </cell>
        </row>
        <row r="98">
          <cell r="A98">
            <v>97</v>
          </cell>
          <cell r="C98" t="str">
            <v>97-0</v>
          </cell>
          <cell r="J98" t="str">
            <v>PR2301</v>
          </cell>
          <cell r="N98">
            <v>3980</v>
          </cell>
          <cell r="T98" t="str">
            <v>gross</v>
          </cell>
        </row>
        <row r="99">
          <cell r="A99">
            <v>98</v>
          </cell>
          <cell r="C99" t="str">
            <v>98-0</v>
          </cell>
          <cell r="J99" t="str">
            <v>CPR22102001</v>
          </cell>
          <cell r="N99">
            <v>1665</v>
          </cell>
          <cell r="T99" t="str">
            <v>gross</v>
          </cell>
        </row>
        <row r="100">
          <cell r="A100">
            <v>99</v>
          </cell>
          <cell r="C100" t="str">
            <v>99-0</v>
          </cell>
          <cell r="J100" t="str">
            <v>CPR22102001</v>
          </cell>
          <cell r="N100">
            <v>1563</v>
          </cell>
          <cell r="T100" t="str">
            <v>gross</v>
          </cell>
        </row>
        <row r="101">
          <cell r="A101">
            <v>100</v>
          </cell>
          <cell r="C101" t="str">
            <v>100-0</v>
          </cell>
          <cell r="J101" t="str">
            <v>CPR22102102</v>
          </cell>
          <cell r="N101">
            <v>815</v>
          </cell>
          <cell r="T101" t="str">
            <v>gross</v>
          </cell>
        </row>
        <row r="102">
          <cell r="A102">
            <v>101</v>
          </cell>
          <cell r="C102" t="str">
            <v>101-0</v>
          </cell>
          <cell r="J102" t="str">
            <v>PR21102801</v>
          </cell>
          <cell r="N102">
            <v>2595</v>
          </cell>
          <cell r="T102" t="str">
            <v>gross</v>
          </cell>
        </row>
        <row r="103">
          <cell r="A103">
            <v>102</v>
          </cell>
          <cell r="C103" t="str">
            <v>102-0</v>
          </cell>
          <cell r="J103" t="str">
            <v>PR22030701</v>
          </cell>
          <cell r="N103">
            <v>2935</v>
          </cell>
          <cell r="T103" t="str">
            <v>gross</v>
          </cell>
        </row>
        <row r="104">
          <cell r="A104">
            <v>103</v>
          </cell>
          <cell r="C104" t="str">
            <v>103-0</v>
          </cell>
          <cell r="J104" t="str">
            <v>PR21062101</v>
          </cell>
          <cell r="N104">
            <v>685</v>
          </cell>
          <cell r="T104" t="str">
            <v>gross</v>
          </cell>
        </row>
        <row r="105">
          <cell r="A105">
            <v>104</v>
          </cell>
          <cell r="C105" t="str">
            <v>104-0</v>
          </cell>
          <cell r="J105" t="str">
            <v>PR21071201G1</v>
          </cell>
          <cell r="N105">
            <v>1</v>
          </cell>
          <cell r="T105" t="str">
            <v>net</v>
          </cell>
        </row>
        <row r="106">
          <cell r="A106">
            <v>105</v>
          </cell>
          <cell r="C106" t="str">
            <v>105-0</v>
          </cell>
          <cell r="J106" t="str">
            <v>EX23100401V30</v>
          </cell>
          <cell r="N106">
            <v>27.6</v>
          </cell>
          <cell r="T106" t="str">
            <v>net</v>
          </cell>
        </row>
        <row r="107">
          <cell r="A107">
            <v>106</v>
          </cell>
          <cell r="C107" t="str">
            <v>106-0</v>
          </cell>
          <cell r="J107" t="str">
            <v>LR23032101</v>
          </cell>
          <cell r="N107">
            <v>1305.5</v>
          </cell>
          <cell r="T107" t="str">
            <v>gross</v>
          </cell>
        </row>
        <row r="108">
          <cell r="A108">
            <v>107</v>
          </cell>
          <cell r="C108" t="str">
            <v>107-0</v>
          </cell>
          <cell r="J108" t="str">
            <v>PR2410F1P3</v>
          </cell>
          <cell r="N108">
            <v>1</v>
          </cell>
          <cell r="T108" t="str">
            <v>net</v>
          </cell>
        </row>
        <row r="109">
          <cell r="A109">
            <v>108</v>
          </cell>
          <cell r="C109" t="str">
            <v>108-0</v>
          </cell>
          <cell r="J109" t="str">
            <v>PR2406F5P3</v>
          </cell>
          <cell r="N109">
            <v>1.5</v>
          </cell>
          <cell r="T109" t="str">
            <v>net</v>
          </cell>
        </row>
        <row r="110">
          <cell r="A110">
            <v>109</v>
          </cell>
          <cell r="C110" t="str">
            <v>109-0</v>
          </cell>
          <cell r="J110" t="str">
            <v>PR2406F5P3</v>
          </cell>
          <cell r="N110">
            <v>1.5</v>
          </cell>
          <cell r="T110" t="str">
            <v>net</v>
          </cell>
        </row>
        <row r="111">
          <cell r="A111">
            <v>110</v>
          </cell>
          <cell r="C111" t="str">
            <v>110-0</v>
          </cell>
          <cell r="J111" t="str">
            <v>PR2410F5P3</v>
          </cell>
          <cell r="N111">
            <v>1.5</v>
          </cell>
          <cell r="T111" t="str">
            <v>net</v>
          </cell>
        </row>
        <row r="112">
          <cell r="A112">
            <v>111</v>
          </cell>
          <cell r="C112" t="str">
            <v>111-0</v>
          </cell>
          <cell r="J112" t="str">
            <v>CPR22102102G1</v>
          </cell>
          <cell r="N112">
            <v>1</v>
          </cell>
          <cell r="T112" t="str">
            <v>net</v>
          </cell>
        </row>
        <row r="113">
          <cell r="A113">
            <v>112</v>
          </cell>
          <cell r="C113" t="str">
            <v>112-0</v>
          </cell>
          <cell r="J113" t="str">
            <v>CPR22102102G5</v>
          </cell>
          <cell r="N113">
            <v>1.5</v>
          </cell>
          <cell r="T113" t="str">
            <v>net</v>
          </cell>
        </row>
        <row r="114">
          <cell r="A114">
            <v>113</v>
          </cell>
          <cell r="C114" t="str">
            <v>113-0</v>
          </cell>
          <cell r="J114" t="str">
            <v>CPR22102001G5</v>
          </cell>
          <cell r="N114">
            <v>1.5</v>
          </cell>
          <cell r="T114" t="str">
            <v>net</v>
          </cell>
        </row>
        <row r="115">
          <cell r="A115">
            <v>114</v>
          </cell>
          <cell r="C115" t="str">
            <v>114-0</v>
          </cell>
          <cell r="J115" t="str">
            <v>CPR22102001G1</v>
          </cell>
          <cell r="N115">
            <v>1</v>
          </cell>
          <cell r="T115" t="str">
            <v>net</v>
          </cell>
        </row>
        <row r="116">
          <cell r="A116">
            <v>115</v>
          </cell>
          <cell r="C116" t="str">
            <v>115-0</v>
          </cell>
          <cell r="J116" t="str">
            <v>CPR22012001G5</v>
          </cell>
          <cell r="N116">
            <v>1.5</v>
          </cell>
          <cell r="T116" t="str">
            <v>net</v>
          </cell>
        </row>
        <row r="117">
          <cell r="A117">
            <v>116</v>
          </cell>
          <cell r="C117" t="str">
            <v>116-0</v>
          </cell>
          <cell r="J117" t="str">
            <v>CPR22102001</v>
          </cell>
          <cell r="N117">
            <v>1</v>
          </cell>
          <cell r="T117" t="str">
            <v>net</v>
          </cell>
        </row>
        <row r="118">
          <cell r="A118">
            <v>117</v>
          </cell>
          <cell r="C118" t="str">
            <v>117-0</v>
          </cell>
          <cell r="J118" t="str">
            <v>PR22051901G1</v>
          </cell>
          <cell r="N118">
            <v>1</v>
          </cell>
          <cell r="T118" t="str">
            <v>net</v>
          </cell>
        </row>
        <row r="119">
          <cell r="A119">
            <v>118</v>
          </cell>
          <cell r="C119" t="str">
            <v>118-0</v>
          </cell>
          <cell r="J119" t="str">
            <v>PR22051901G1</v>
          </cell>
          <cell r="N119">
            <v>1</v>
          </cell>
          <cell r="T119" t="str">
            <v>net</v>
          </cell>
        </row>
        <row r="120">
          <cell r="A120">
            <v>119</v>
          </cell>
          <cell r="C120" t="str">
            <v>119-0</v>
          </cell>
          <cell r="J120" t="str">
            <v>PR2407F5</v>
          </cell>
          <cell r="N120">
            <v>0.5</v>
          </cell>
          <cell r="T120" t="str">
            <v>net</v>
          </cell>
        </row>
        <row r="121">
          <cell r="A121">
            <v>120</v>
          </cell>
          <cell r="C121" t="str">
            <v>120-0</v>
          </cell>
          <cell r="J121" t="str">
            <v>CPR22102102G1</v>
          </cell>
          <cell r="N121">
            <v>1</v>
          </cell>
          <cell r="T121" t="str">
            <v>net</v>
          </cell>
        </row>
        <row r="122">
          <cell r="A122">
            <v>121</v>
          </cell>
          <cell r="C122" t="str">
            <v>121-0</v>
          </cell>
          <cell r="J122" t="str">
            <v>PR2406F1P1</v>
          </cell>
          <cell r="N122">
            <v>1</v>
          </cell>
          <cell r="T122" t="str">
            <v>net</v>
          </cell>
        </row>
        <row r="123">
          <cell r="A123">
            <v>122</v>
          </cell>
          <cell r="C123" t="str">
            <v>122-0</v>
          </cell>
          <cell r="J123" t="str">
            <v>PR2406</v>
          </cell>
          <cell r="N123">
            <v>1</v>
          </cell>
          <cell r="T123" t="str">
            <v>net</v>
          </cell>
        </row>
        <row r="124">
          <cell r="A124">
            <v>123</v>
          </cell>
          <cell r="C124" t="str">
            <v>123-0</v>
          </cell>
          <cell r="J124" t="str">
            <v>PR21071201G1</v>
          </cell>
          <cell r="N124">
            <v>1</v>
          </cell>
          <cell r="T124" t="str">
            <v>net</v>
          </cell>
        </row>
        <row r="125">
          <cell r="A125">
            <v>124</v>
          </cell>
          <cell r="C125" t="str">
            <v>124-0</v>
          </cell>
          <cell r="J125" t="str">
            <v>PR21071201G1</v>
          </cell>
          <cell r="N125">
            <v>1</v>
          </cell>
          <cell r="T125" t="str">
            <v>net</v>
          </cell>
        </row>
        <row r="126">
          <cell r="A126">
            <v>125</v>
          </cell>
          <cell r="C126" t="str">
            <v>125-0</v>
          </cell>
          <cell r="J126" t="str">
            <v>PR21071201G5</v>
          </cell>
          <cell r="N126">
            <v>1</v>
          </cell>
          <cell r="T126" t="str">
            <v>net</v>
          </cell>
        </row>
        <row r="127">
          <cell r="A127">
            <v>126</v>
          </cell>
          <cell r="C127" t="str">
            <v>126-0</v>
          </cell>
          <cell r="J127">
            <v>2021042701</v>
          </cell>
          <cell r="N127">
            <v>1</v>
          </cell>
          <cell r="T127" t="str">
            <v>net</v>
          </cell>
        </row>
        <row r="128">
          <cell r="A128">
            <v>127</v>
          </cell>
          <cell r="C128" t="str">
            <v>127-0</v>
          </cell>
          <cell r="J128" t="str">
            <v>PR21091301</v>
          </cell>
          <cell r="N128">
            <v>0.01</v>
          </cell>
          <cell r="T128" t="str">
            <v>net</v>
          </cell>
        </row>
        <row r="129">
          <cell r="A129">
            <v>128</v>
          </cell>
          <cell r="C129" t="str">
            <v>128-0</v>
          </cell>
          <cell r="J129" t="str">
            <v>2021042701G5</v>
          </cell>
          <cell r="N129">
            <v>0.5</v>
          </cell>
          <cell r="T129" t="str">
            <v>net</v>
          </cell>
        </row>
        <row r="130">
          <cell r="A130">
            <v>129</v>
          </cell>
          <cell r="C130" t="str">
            <v>129-0</v>
          </cell>
          <cell r="J130" t="str">
            <v>PR21071201</v>
          </cell>
          <cell r="N130">
            <v>0.01</v>
          </cell>
          <cell r="T130" t="str">
            <v>net</v>
          </cell>
        </row>
        <row r="131">
          <cell r="A131">
            <v>130</v>
          </cell>
          <cell r="C131" t="str">
            <v>130-0</v>
          </cell>
          <cell r="J131" t="str">
            <v>PR23040301F5P3</v>
          </cell>
          <cell r="N131">
            <v>0.35</v>
          </cell>
          <cell r="T131" t="str">
            <v>net</v>
          </cell>
        </row>
        <row r="132">
          <cell r="A132">
            <v>131</v>
          </cell>
          <cell r="C132" t="str">
            <v>131-0</v>
          </cell>
          <cell r="J132" t="str">
            <v>PR22031601ING5</v>
          </cell>
          <cell r="N132">
            <v>1.5</v>
          </cell>
          <cell r="T132" t="str">
            <v>net</v>
          </cell>
        </row>
        <row r="133">
          <cell r="A133">
            <v>132</v>
          </cell>
          <cell r="C133" t="str">
            <v>132-0</v>
          </cell>
          <cell r="J133" t="str">
            <v>PR22031601IN</v>
          </cell>
          <cell r="N133">
            <v>0.5</v>
          </cell>
          <cell r="T133" t="str">
            <v>net</v>
          </cell>
        </row>
        <row r="134">
          <cell r="A134">
            <v>133</v>
          </cell>
          <cell r="C134" t="str">
            <v>133-0</v>
          </cell>
          <cell r="J134" t="str">
            <v>PR2301INF1P1</v>
          </cell>
          <cell r="N134">
            <v>1</v>
          </cell>
          <cell r="T134" t="str">
            <v>net</v>
          </cell>
        </row>
        <row r="135">
          <cell r="A135">
            <v>134</v>
          </cell>
          <cell r="C135" t="str">
            <v>134-0</v>
          </cell>
          <cell r="J135" t="str">
            <v>PR2302INF1</v>
          </cell>
          <cell r="N135">
            <v>1</v>
          </cell>
          <cell r="T135" t="str">
            <v>net</v>
          </cell>
        </row>
        <row r="136">
          <cell r="A136">
            <v>135</v>
          </cell>
          <cell r="C136" t="str">
            <v>135-0</v>
          </cell>
          <cell r="J136" t="str">
            <v>PR22031601IN</v>
          </cell>
          <cell r="N136">
            <v>0.01</v>
          </cell>
          <cell r="T136" t="str">
            <v>net</v>
          </cell>
        </row>
        <row r="137">
          <cell r="A137">
            <v>136</v>
          </cell>
          <cell r="C137" t="str">
            <v>136-0</v>
          </cell>
          <cell r="J137" t="str">
            <v>PR21102801</v>
          </cell>
          <cell r="N137">
            <v>1</v>
          </cell>
          <cell r="T137" t="str">
            <v>net</v>
          </cell>
        </row>
        <row r="138">
          <cell r="A138">
            <v>137</v>
          </cell>
          <cell r="C138" t="str">
            <v>137-0</v>
          </cell>
          <cell r="J138" t="str">
            <v>CPR22102101G1</v>
          </cell>
          <cell r="N138">
            <v>1</v>
          </cell>
          <cell r="T138" t="str">
            <v>net</v>
          </cell>
        </row>
        <row r="139">
          <cell r="A139">
            <v>138</v>
          </cell>
          <cell r="C139" t="str">
            <v>138-0</v>
          </cell>
          <cell r="J139" t="str">
            <v>CPR22102101G1</v>
          </cell>
          <cell r="N139">
            <v>1</v>
          </cell>
          <cell r="T139" t="str">
            <v>net</v>
          </cell>
        </row>
        <row r="140">
          <cell r="A140">
            <v>139</v>
          </cell>
          <cell r="C140" t="str">
            <v>139-0</v>
          </cell>
          <cell r="J140" t="str">
            <v>CPR22102101G5</v>
          </cell>
          <cell r="N140">
            <v>1</v>
          </cell>
          <cell r="T140" t="str">
            <v>net</v>
          </cell>
        </row>
        <row r="141">
          <cell r="A141">
            <v>140</v>
          </cell>
          <cell r="C141" t="str">
            <v>140-0</v>
          </cell>
          <cell r="J141" t="str">
            <v>CPR22102101</v>
          </cell>
          <cell r="N141">
            <v>1</v>
          </cell>
          <cell r="T141" t="str">
            <v>net</v>
          </cell>
        </row>
        <row r="142">
          <cell r="A142">
            <v>141</v>
          </cell>
          <cell r="C142" t="str">
            <v>141-0</v>
          </cell>
          <cell r="J142" t="str">
            <v>PR2301F35</v>
          </cell>
          <cell r="N142">
            <v>0.35</v>
          </cell>
          <cell r="T142" t="str">
            <v>net</v>
          </cell>
        </row>
        <row r="143">
          <cell r="A143">
            <v>142</v>
          </cell>
          <cell r="C143" t="str">
            <v>142-0</v>
          </cell>
          <cell r="J143" t="str">
            <v>PR21062101</v>
          </cell>
          <cell r="N143">
            <v>0.5</v>
          </cell>
          <cell r="T143" t="str">
            <v>net</v>
          </cell>
        </row>
        <row r="144">
          <cell r="A144">
            <v>143</v>
          </cell>
          <cell r="C144" t="str">
            <v>143-0</v>
          </cell>
          <cell r="J144" t="str">
            <v>PR2301F5P3</v>
          </cell>
          <cell r="N144">
            <v>1.5</v>
          </cell>
          <cell r="T144" t="str">
            <v>net</v>
          </cell>
        </row>
        <row r="145">
          <cell r="A145">
            <v>144</v>
          </cell>
          <cell r="C145" t="str">
            <v>144-0</v>
          </cell>
          <cell r="J145" t="str">
            <v>PR2407F5P3</v>
          </cell>
          <cell r="N145">
            <v>1.5</v>
          </cell>
          <cell r="T145" t="str">
            <v>net</v>
          </cell>
        </row>
        <row r="146">
          <cell r="A146">
            <v>145</v>
          </cell>
          <cell r="C146" t="str">
            <v>145-0</v>
          </cell>
          <cell r="J146" t="str">
            <v>PR2407F5P3</v>
          </cell>
          <cell r="N146">
            <v>1.5</v>
          </cell>
          <cell r="T146" t="str">
            <v>net</v>
          </cell>
        </row>
        <row r="147">
          <cell r="A147">
            <v>146</v>
          </cell>
          <cell r="C147" t="str">
            <v>146-0</v>
          </cell>
          <cell r="J147" t="str">
            <v>PR241002F5P3</v>
          </cell>
          <cell r="N147">
            <v>1.5</v>
          </cell>
          <cell r="T147" t="str">
            <v>net</v>
          </cell>
        </row>
        <row r="148">
          <cell r="A148">
            <v>147</v>
          </cell>
          <cell r="C148" t="str">
            <v>147-0</v>
          </cell>
          <cell r="J148" t="str">
            <v>PR240602F5P3</v>
          </cell>
          <cell r="N148">
            <v>1.5</v>
          </cell>
          <cell r="T148" t="str">
            <v>net</v>
          </cell>
        </row>
        <row r="149">
          <cell r="A149">
            <v>148</v>
          </cell>
          <cell r="C149" t="str">
            <v>148-0</v>
          </cell>
          <cell r="J149" t="str">
            <v>PR240603F5P3</v>
          </cell>
          <cell r="N149">
            <v>1.5</v>
          </cell>
          <cell r="T149" t="str">
            <v>net</v>
          </cell>
        </row>
        <row r="150">
          <cell r="A150">
            <v>149</v>
          </cell>
          <cell r="C150" t="str">
            <v>149-0</v>
          </cell>
          <cell r="J150" t="str">
            <v>PR241104F5P3</v>
          </cell>
          <cell r="N150">
            <v>1.5</v>
          </cell>
          <cell r="T150" t="str">
            <v>net</v>
          </cell>
        </row>
        <row r="151">
          <cell r="A151">
            <v>150</v>
          </cell>
          <cell r="C151" t="str">
            <v>150-0</v>
          </cell>
          <cell r="J151" t="str">
            <v>PR2407F5P3</v>
          </cell>
          <cell r="N151">
            <v>1.5</v>
          </cell>
          <cell r="T151" t="str">
            <v>net</v>
          </cell>
        </row>
        <row r="152">
          <cell r="A152">
            <v>151</v>
          </cell>
          <cell r="C152" t="str">
            <v>151-0</v>
          </cell>
          <cell r="J152" t="str">
            <v>PR2407F5P3</v>
          </cell>
          <cell r="N152">
            <v>1.5</v>
          </cell>
          <cell r="T152" t="str">
            <v>net</v>
          </cell>
        </row>
        <row r="153">
          <cell r="A153">
            <v>152</v>
          </cell>
          <cell r="C153" t="str">
            <v>152-0</v>
          </cell>
          <cell r="J153" t="str">
            <v>PR241101F5P3</v>
          </cell>
          <cell r="N153">
            <v>1.5</v>
          </cell>
          <cell r="T153" t="str">
            <v>net</v>
          </cell>
        </row>
        <row r="154">
          <cell r="A154">
            <v>153</v>
          </cell>
          <cell r="C154" t="str">
            <v>153-0</v>
          </cell>
          <cell r="J154" t="str">
            <v>DI22110301V30</v>
          </cell>
          <cell r="N154">
            <v>27.3</v>
          </cell>
          <cell r="T154" t="str">
            <v>net</v>
          </cell>
        </row>
        <row r="155">
          <cell r="A155">
            <v>154</v>
          </cell>
          <cell r="C155" t="str">
            <v>154-0</v>
          </cell>
          <cell r="J155" t="str">
            <v>PR241001F5</v>
          </cell>
          <cell r="N155">
            <v>0.5</v>
          </cell>
          <cell r="T155" t="str">
            <v>net</v>
          </cell>
        </row>
        <row r="156">
          <cell r="A156">
            <v>155</v>
          </cell>
          <cell r="C156" t="str">
            <v>155-0</v>
          </cell>
          <cell r="J156" t="str">
            <v>PR241005F5P3</v>
          </cell>
          <cell r="N156">
            <v>1.5</v>
          </cell>
          <cell r="T156" t="str">
            <v>net</v>
          </cell>
        </row>
        <row r="157">
          <cell r="A157">
            <v>156</v>
          </cell>
          <cell r="C157" t="str">
            <v>156-0</v>
          </cell>
          <cell r="J157" t="str">
            <v>PR241005F5P3</v>
          </cell>
          <cell r="N157">
            <v>1.5</v>
          </cell>
          <cell r="T157" t="str">
            <v>net</v>
          </cell>
        </row>
        <row r="158">
          <cell r="A158">
            <v>157</v>
          </cell>
          <cell r="C158" t="str">
            <v>157-0</v>
          </cell>
          <cell r="J158" t="str">
            <v>EX24010301V30</v>
          </cell>
          <cell r="N158">
            <v>27.3</v>
          </cell>
          <cell r="T158" t="str">
            <v>net</v>
          </cell>
        </row>
        <row r="159">
          <cell r="A159">
            <v>158</v>
          </cell>
          <cell r="C159" t="str">
            <v>158-0</v>
          </cell>
          <cell r="J159" t="str">
            <v>DI22092601V60</v>
          </cell>
          <cell r="N159">
            <v>54.8</v>
          </cell>
          <cell r="T159" t="str">
            <v>net</v>
          </cell>
        </row>
        <row r="160">
          <cell r="A160">
            <v>159</v>
          </cell>
          <cell r="C160" t="str">
            <v>159-0</v>
          </cell>
          <cell r="J160" t="str">
            <v>PR241002F5</v>
          </cell>
          <cell r="N160">
            <v>0.5</v>
          </cell>
          <cell r="T160" t="str">
            <v>net</v>
          </cell>
        </row>
        <row r="161">
          <cell r="A161">
            <v>160</v>
          </cell>
          <cell r="C161" t="str">
            <v>160-0</v>
          </cell>
          <cell r="J161" t="str">
            <v>PR241002F5</v>
          </cell>
          <cell r="N161">
            <v>0.5</v>
          </cell>
          <cell r="T161" t="str">
            <v>net</v>
          </cell>
        </row>
        <row r="162">
          <cell r="A162">
            <v>161</v>
          </cell>
          <cell r="C162" t="str">
            <v>161-0</v>
          </cell>
          <cell r="J162" t="str">
            <v>PR241002F5</v>
          </cell>
          <cell r="N162">
            <v>0.5</v>
          </cell>
          <cell r="T162" t="str">
            <v>net</v>
          </cell>
        </row>
        <row r="163">
          <cell r="A163">
            <v>162</v>
          </cell>
          <cell r="C163" t="str">
            <v>162-0</v>
          </cell>
          <cell r="J163" t="str">
            <v>NA</v>
          </cell>
          <cell r="N163">
            <v>16805</v>
          </cell>
          <cell r="T163" t="str">
            <v>gross</v>
          </cell>
        </row>
        <row r="164">
          <cell r="A164">
            <v>163</v>
          </cell>
          <cell r="C164" t="str">
            <v>163-0</v>
          </cell>
          <cell r="J164" t="str">
            <v>EX24070902V50</v>
          </cell>
          <cell r="N164">
            <v>50</v>
          </cell>
          <cell r="T164" t="str">
            <v>net</v>
          </cell>
        </row>
        <row r="165">
          <cell r="A165">
            <v>164</v>
          </cell>
          <cell r="C165" t="str">
            <v>164-0</v>
          </cell>
          <cell r="J165" t="str">
            <v>EX24092601V50</v>
          </cell>
          <cell r="N165">
            <v>50</v>
          </cell>
          <cell r="T165" t="str">
            <v>net</v>
          </cell>
        </row>
        <row r="166">
          <cell r="A166">
            <v>165</v>
          </cell>
          <cell r="C166" t="str">
            <v>165-0</v>
          </cell>
          <cell r="J166" t="str">
            <v>EX24092601V50</v>
          </cell>
          <cell r="N166">
            <v>50</v>
          </cell>
          <cell r="T166" t="str">
            <v>net</v>
          </cell>
        </row>
        <row r="167">
          <cell r="A167">
            <v>166</v>
          </cell>
          <cell r="C167" t="str">
            <v>166-0</v>
          </cell>
          <cell r="J167" t="str">
            <v>EX24070901V50</v>
          </cell>
          <cell r="N167">
            <v>50</v>
          </cell>
          <cell r="T167" t="str">
            <v>net</v>
          </cell>
        </row>
        <row r="168">
          <cell r="A168">
            <v>167</v>
          </cell>
          <cell r="C168" t="str">
            <v>167-0</v>
          </cell>
          <cell r="J168" t="str">
            <v>PR21062101</v>
          </cell>
          <cell r="N168">
            <v>0.01</v>
          </cell>
          <cell r="T168" t="str">
            <v>net</v>
          </cell>
        </row>
        <row r="169">
          <cell r="A169">
            <v>168</v>
          </cell>
          <cell r="C169" t="str">
            <v>168-0</v>
          </cell>
          <cell r="J169" t="str">
            <v>PR210621</v>
          </cell>
          <cell r="N169">
            <v>0.01</v>
          </cell>
          <cell r="T169" t="str">
            <v>net</v>
          </cell>
        </row>
        <row r="170">
          <cell r="A170">
            <v>169</v>
          </cell>
          <cell r="C170" t="str">
            <v>169-0</v>
          </cell>
          <cell r="J170" t="str">
            <v>PR21062101G5</v>
          </cell>
          <cell r="N170">
            <v>1.5</v>
          </cell>
          <cell r="T170" t="str">
            <v>net</v>
          </cell>
        </row>
        <row r="171">
          <cell r="A171">
            <v>170</v>
          </cell>
          <cell r="C171" t="str">
            <v>170-0</v>
          </cell>
          <cell r="J171" t="str">
            <v>PR241003F5P3</v>
          </cell>
          <cell r="N171">
            <v>1.5</v>
          </cell>
          <cell r="T171" t="str">
            <v>net</v>
          </cell>
        </row>
        <row r="172">
          <cell r="A172">
            <v>171</v>
          </cell>
          <cell r="C172" t="str">
            <v>171-0</v>
          </cell>
          <cell r="J172" t="str">
            <v>PR2411</v>
          </cell>
          <cell r="N172">
            <v>1574</v>
          </cell>
          <cell r="T172" t="str">
            <v>gross</v>
          </cell>
        </row>
        <row r="173">
          <cell r="A173">
            <v>172</v>
          </cell>
          <cell r="C173" t="str">
            <v>172-0</v>
          </cell>
          <cell r="J173" t="str">
            <v>PR2411</v>
          </cell>
          <cell r="N173">
            <v>2712</v>
          </cell>
          <cell r="T173" t="str">
            <v>gross</v>
          </cell>
        </row>
        <row r="174">
          <cell r="A174">
            <v>173</v>
          </cell>
          <cell r="C174" t="str">
            <v>173-0</v>
          </cell>
          <cell r="J174">
            <v>2024080701</v>
          </cell>
          <cell r="N174">
            <v>1000.3000000000001</v>
          </cell>
          <cell r="T174" t="str">
            <v>gross</v>
          </cell>
        </row>
        <row r="175">
          <cell r="A175">
            <v>174</v>
          </cell>
          <cell r="C175" t="str">
            <v>174-0</v>
          </cell>
          <cell r="J175">
            <v>2024080701</v>
          </cell>
          <cell r="N175">
            <v>994.19999999999993</v>
          </cell>
          <cell r="T175" t="str">
            <v>gross</v>
          </cell>
        </row>
        <row r="176">
          <cell r="A176">
            <v>175</v>
          </cell>
          <cell r="C176" t="str">
            <v>175-0</v>
          </cell>
          <cell r="J176">
            <v>2024080701</v>
          </cell>
          <cell r="N176">
            <v>998.40000000000009</v>
          </cell>
          <cell r="T176" t="str">
            <v>gross</v>
          </cell>
        </row>
        <row r="177">
          <cell r="A177">
            <v>176</v>
          </cell>
          <cell r="C177" t="str">
            <v>176-0</v>
          </cell>
          <cell r="J177">
            <v>2024080701</v>
          </cell>
          <cell r="N177">
            <v>998.9</v>
          </cell>
          <cell r="T177" t="str">
            <v>gross</v>
          </cell>
        </row>
        <row r="178">
          <cell r="A178">
            <v>177</v>
          </cell>
          <cell r="C178" t="str">
            <v>177-0</v>
          </cell>
          <cell r="J178">
            <v>2024080701</v>
          </cell>
          <cell r="N178">
            <v>992.00000000000011</v>
          </cell>
          <cell r="T178" t="str">
            <v>gross</v>
          </cell>
        </row>
        <row r="179">
          <cell r="A179">
            <v>178</v>
          </cell>
          <cell r="C179" t="str">
            <v>178-0</v>
          </cell>
          <cell r="J179">
            <v>2024080701</v>
          </cell>
          <cell r="N179">
            <v>999.2</v>
          </cell>
          <cell r="T179" t="str">
            <v>gross</v>
          </cell>
        </row>
        <row r="180">
          <cell r="A180">
            <v>179</v>
          </cell>
          <cell r="C180" t="str">
            <v>179-0</v>
          </cell>
          <cell r="J180">
            <v>2024080701</v>
          </cell>
          <cell r="N180">
            <v>486.80000000000007</v>
          </cell>
          <cell r="T180" t="str">
            <v>gross</v>
          </cell>
        </row>
        <row r="181">
          <cell r="A181">
            <v>180</v>
          </cell>
          <cell r="C181" t="str">
            <v>180-0</v>
          </cell>
          <cell r="J181">
            <v>2024080701</v>
          </cell>
          <cell r="N181">
            <v>997.90000000000009</v>
          </cell>
          <cell r="T181" t="str">
            <v>gross</v>
          </cell>
        </row>
        <row r="182">
          <cell r="A182">
            <v>181</v>
          </cell>
          <cell r="C182" t="str">
            <v>181-0</v>
          </cell>
          <cell r="J182">
            <v>2024080701</v>
          </cell>
          <cell r="N182">
            <v>991.59999999999991</v>
          </cell>
          <cell r="T182" t="str">
            <v>gross</v>
          </cell>
        </row>
        <row r="183">
          <cell r="A183">
            <v>182</v>
          </cell>
          <cell r="C183" t="str">
            <v>182-0</v>
          </cell>
          <cell r="J183" t="str">
            <v>PR2411</v>
          </cell>
          <cell r="N183">
            <v>2004.7</v>
          </cell>
          <cell r="T183" t="str">
            <v>gross</v>
          </cell>
        </row>
        <row r="184">
          <cell r="A184">
            <v>183</v>
          </cell>
          <cell r="C184" t="str">
            <v>183-0</v>
          </cell>
          <cell r="J184">
            <v>2024080702</v>
          </cell>
          <cell r="N184">
            <v>1498</v>
          </cell>
          <cell r="T184" t="str">
            <v>gross</v>
          </cell>
        </row>
        <row r="185">
          <cell r="A185">
            <v>184</v>
          </cell>
          <cell r="C185" t="str">
            <v>184-0</v>
          </cell>
          <cell r="J185" t="str">
            <v>PR241003F5P3</v>
          </cell>
          <cell r="N185">
            <v>1.5</v>
          </cell>
          <cell r="T185" t="str">
            <v>net</v>
          </cell>
        </row>
        <row r="186">
          <cell r="A186">
            <v>185</v>
          </cell>
          <cell r="C186" t="str">
            <v>185-0</v>
          </cell>
          <cell r="J186" t="str">
            <v>PR2411</v>
          </cell>
          <cell r="N186">
            <v>3472</v>
          </cell>
          <cell r="T186" t="str">
            <v>gross</v>
          </cell>
        </row>
        <row r="187">
          <cell r="A187">
            <v>186</v>
          </cell>
          <cell r="C187" t="str">
            <v>186-0</v>
          </cell>
          <cell r="J187" t="str">
            <v>PR241003F5P3</v>
          </cell>
          <cell r="N187">
            <v>0.5</v>
          </cell>
          <cell r="T187" t="str">
            <v>net</v>
          </cell>
        </row>
        <row r="188">
          <cell r="A188">
            <v>187</v>
          </cell>
          <cell r="C188" t="str">
            <v>187-0</v>
          </cell>
          <cell r="J188" t="str">
            <v>PR241003F5P3</v>
          </cell>
          <cell r="N188">
            <v>0.5</v>
          </cell>
          <cell r="T188" t="str">
            <v>net</v>
          </cell>
        </row>
        <row r="189">
          <cell r="A189">
            <v>188</v>
          </cell>
          <cell r="C189" t="str">
            <v>188-0</v>
          </cell>
          <cell r="J189" t="str">
            <v>PR241003F5P3</v>
          </cell>
          <cell r="N189">
            <v>0.5</v>
          </cell>
          <cell r="T189" t="str">
            <v>net</v>
          </cell>
        </row>
        <row r="190">
          <cell r="A190">
            <v>189</v>
          </cell>
          <cell r="C190" t="str">
            <v>189-0</v>
          </cell>
          <cell r="J190" t="str">
            <v>PR241003F5P3</v>
          </cell>
          <cell r="N190">
            <v>0.5</v>
          </cell>
          <cell r="T190" t="str">
            <v>net</v>
          </cell>
        </row>
        <row r="191">
          <cell r="A191">
            <v>190</v>
          </cell>
          <cell r="C191" t="str">
            <v>190-0</v>
          </cell>
          <cell r="J191" t="str">
            <v>PR241005F5</v>
          </cell>
          <cell r="N191">
            <v>0.5</v>
          </cell>
          <cell r="T191" t="str">
            <v>net</v>
          </cell>
        </row>
        <row r="192">
          <cell r="A192">
            <v>191</v>
          </cell>
          <cell r="C192" t="str">
            <v>191-0</v>
          </cell>
          <cell r="J192" t="str">
            <v>PR241005F5</v>
          </cell>
          <cell r="N192">
            <v>0.5</v>
          </cell>
          <cell r="T192" t="str">
            <v>net</v>
          </cell>
        </row>
        <row r="193">
          <cell r="A193">
            <v>192</v>
          </cell>
          <cell r="C193" t="str">
            <v>192-0</v>
          </cell>
          <cell r="J193" t="str">
            <v>PR241005F5</v>
          </cell>
          <cell r="N193">
            <v>0.5</v>
          </cell>
          <cell r="T193" t="str">
            <v>net</v>
          </cell>
        </row>
        <row r="194">
          <cell r="A194">
            <v>193</v>
          </cell>
          <cell r="C194" t="str">
            <v>193-0</v>
          </cell>
          <cell r="J194" t="str">
            <v>PR241005F5</v>
          </cell>
          <cell r="N194">
            <v>0.5</v>
          </cell>
          <cell r="T194" t="str">
            <v>net</v>
          </cell>
        </row>
        <row r="195">
          <cell r="A195">
            <v>194</v>
          </cell>
          <cell r="C195" t="str">
            <v>194-0</v>
          </cell>
          <cell r="J195" t="str">
            <v>PR241005F5</v>
          </cell>
          <cell r="N195">
            <v>0.5</v>
          </cell>
          <cell r="T195" t="str">
            <v>net</v>
          </cell>
        </row>
        <row r="196">
          <cell r="A196">
            <v>195</v>
          </cell>
          <cell r="C196" t="str">
            <v>195-0</v>
          </cell>
          <cell r="J196" t="str">
            <v>PR241005F5</v>
          </cell>
          <cell r="N196">
            <v>0.5</v>
          </cell>
          <cell r="T196" t="str">
            <v>net</v>
          </cell>
        </row>
        <row r="197">
          <cell r="A197">
            <v>196</v>
          </cell>
          <cell r="C197" t="str">
            <v>196-0</v>
          </cell>
          <cell r="J197" t="str">
            <v>PR241005F5</v>
          </cell>
          <cell r="N197">
            <v>0.5</v>
          </cell>
          <cell r="T197" t="str">
            <v>net</v>
          </cell>
        </row>
        <row r="198">
          <cell r="A198">
            <v>197</v>
          </cell>
          <cell r="C198" t="str">
            <v>197-0</v>
          </cell>
          <cell r="J198" t="str">
            <v>PR241005F5</v>
          </cell>
          <cell r="N198">
            <v>0.5</v>
          </cell>
          <cell r="T198" t="str">
            <v>net</v>
          </cell>
        </row>
        <row r="199">
          <cell r="A199">
            <v>198</v>
          </cell>
          <cell r="C199" t="str">
            <v>198-0</v>
          </cell>
          <cell r="J199" t="str">
            <v>PR241005F5</v>
          </cell>
          <cell r="N199">
            <v>0.5</v>
          </cell>
          <cell r="T199" t="str">
            <v>net</v>
          </cell>
        </row>
        <row r="200">
          <cell r="A200">
            <v>199</v>
          </cell>
          <cell r="C200" t="str">
            <v>199-0</v>
          </cell>
          <cell r="J200" t="str">
            <v>PR241005F5</v>
          </cell>
          <cell r="N200">
            <v>0.5</v>
          </cell>
          <cell r="T200" t="str">
            <v>net</v>
          </cell>
        </row>
        <row r="201">
          <cell r="A201">
            <v>200</v>
          </cell>
          <cell r="C201" t="str">
            <v>200-0</v>
          </cell>
          <cell r="J201" t="str">
            <v>TP21121701</v>
          </cell>
          <cell r="N201">
            <v>120</v>
          </cell>
          <cell r="T201" t="str">
            <v>net</v>
          </cell>
        </row>
        <row r="202">
          <cell r="A202">
            <v>201</v>
          </cell>
          <cell r="C202" t="str">
            <v>201-0</v>
          </cell>
          <cell r="J202" t="str">
            <v>TP21121701</v>
          </cell>
          <cell r="N202">
            <v>120</v>
          </cell>
          <cell r="T202" t="str">
            <v>net</v>
          </cell>
        </row>
        <row r="203">
          <cell r="A203">
            <v>202</v>
          </cell>
          <cell r="C203" t="str">
            <v>202-0</v>
          </cell>
          <cell r="J203" t="str">
            <v>2022012401R1</v>
          </cell>
          <cell r="N203">
            <v>14</v>
          </cell>
          <cell r="T203" t="str">
            <v>net</v>
          </cell>
        </row>
        <row r="204">
          <cell r="A204">
            <v>203</v>
          </cell>
          <cell r="C204" t="str">
            <v>203-0</v>
          </cell>
          <cell r="J204" t="str">
            <v>TP21121701</v>
          </cell>
          <cell r="N204">
            <v>14</v>
          </cell>
          <cell r="T204" t="str">
            <v>net</v>
          </cell>
        </row>
        <row r="205">
          <cell r="A205">
            <v>204</v>
          </cell>
          <cell r="C205" t="str">
            <v>204-0</v>
          </cell>
          <cell r="J205" t="str">
            <v>TP21121701</v>
          </cell>
          <cell r="N205">
            <v>14</v>
          </cell>
          <cell r="T205" t="str">
            <v>net</v>
          </cell>
        </row>
        <row r="206">
          <cell r="A206">
            <v>205</v>
          </cell>
          <cell r="C206" t="str">
            <v>205-0</v>
          </cell>
          <cell r="J206" t="str">
            <v>EX24061401V30</v>
          </cell>
          <cell r="N206">
            <v>27.3</v>
          </cell>
          <cell r="T206" t="str">
            <v>net</v>
          </cell>
        </row>
        <row r="207">
          <cell r="A207">
            <v>206</v>
          </cell>
          <cell r="C207" t="str">
            <v>206-0</v>
          </cell>
          <cell r="J207" t="str">
            <v>EX22102601</v>
          </cell>
          <cell r="N207">
            <v>29.5</v>
          </cell>
          <cell r="T207" t="str">
            <v>net</v>
          </cell>
        </row>
        <row r="208">
          <cell r="A208">
            <v>207</v>
          </cell>
          <cell r="C208" t="str">
            <v>207-0</v>
          </cell>
          <cell r="J208" t="str">
            <v>EX20190TCM</v>
          </cell>
          <cell r="N208">
            <v>29.5</v>
          </cell>
          <cell r="T208" t="str">
            <v>net</v>
          </cell>
        </row>
        <row r="209">
          <cell r="A209">
            <v>208</v>
          </cell>
          <cell r="C209" t="str">
            <v>208-0</v>
          </cell>
          <cell r="J209" t="str">
            <v>EX20190TCBC</v>
          </cell>
          <cell r="N209">
            <v>29.5</v>
          </cell>
          <cell r="T209" t="str">
            <v>net</v>
          </cell>
        </row>
        <row r="210">
          <cell r="A210">
            <v>209</v>
          </cell>
          <cell r="C210" t="str">
            <v>209-0</v>
          </cell>
          <cell r="J210" t="str">
            <v>EX23060701V30</v>
          </cell>
          <cell r="N210">
            <v>27.4</v>
          </cell>
          <cell r="T210" t="str">
            <v>net</v>
          </cell>
        </row>
        <row r="211">
          <cell r="A211">
            <v>210</v>
          </cell>
          <cell r="C211" t="str">
            <v>210-0</v>
          </cell>
          <cell r="J211" t="str">
            <v>EX23060701V30</v>
          </cell>
          <cell r="N211">
            <v>27.4</v>
          </cell>
          <cell r="T211" t="str">
            <v>net</v>
          </cell>
        </row>
        <row r="212">
          <cell r="A212">
            <v>211</v>
          </cell>
          <cell r="C212" t="str">
            <v>211-0</v>
          </cell>
          <cell r="J212" t="str">
            <v>EX23060701V30</v>
          </cell>
          <cell r="N212">
            <v>27.4</v>
          </cell>
          <cell r="T212" t="str">
            <v>net</v>
          </cell>
        </row>
        <row r="213">
          <cell r="A213">
            <v>212</v>
          </cell>
          <cell r="C213" t="str">
            <v>212-0</v>
          </cell>
          <cell r="J213" t="str">
            <v>EX23060701V30</v>
          </cell>
          <cell r="N213">
            <v>27.4</v>
          </cell>
          <cell r="T213" t="str">
            <v>net</v>
          </cell>
        </row>
        <row r="214">
          <cell r="A214">
            <v>213</v>
          </cell>
          <cell r="C214" t="str">
            <v>213-0</v>
          </cell>
          <cell r="J214" t="str">
            <v>EX23060701V30</v>
          </cell>
          <cell r="N214">
            <v>27.4</v>
          </cell>
          <cell r="T214" t="str">
            <v>net</v>
          </cell>
        </row>
        <row r="215">
          <cell r="A215">
            <v>214</v>
          </cell>
          <cell r="C215" t="str">
            <v>214-0</v>
          </cell>
          <cell r="J215" t="str">
            <v>EX23060701V30</v>
          </cell>
          <cell r="N215">
            <v>27.4</v>
          </cell>
          <cell r="T215" t="str">
            <v>net</v>
          </cell>
        </row>
        <row r="216">
          <cell r="A216">
            <v>215</v>
          </cell>
          <cell r="C216" t="str">
            <v>215-0</v>
          </cell>
          <cell r="J216" t="str">
            <v>EX23060701V30</v>
          </cell>
          <cell r="N216">
            <v>27.4</v>
          </cell>
          <cell r="T216" t="str">
            <v>net</v>
          </cell>
        </row>
        <row r="217">
          <cell r="A217">
            <v>216</v>
          </cell>
          <cell r="C217" t="str">
            <v>216-0</v>
          </cell>
          <cell r="J217" t="str">
            <v>EX24051301V50</v>
          </cell>
          <cell r="N217">
            <v>50</v>
          </cell>
          <cell r="T217" t="str">
            <v>net</v>
          </cell>
        </row>
        <row r="218">
          <cell r="A218">
            <v>217</v>
          </cell>
          <cell r="C218" t="str">
            <v>217-0</v>
          </cell>
          <cell r="J218" t="str">
            <v>EX24060501V50</v>
          </cell>
          <cell r="N218">
            <v>50</v>
          </cell>
          <cell r="T218" t="str">
            <v>net</v>
          </cell>
        </row>
        <row r="219">
          <cell r="A219">
            <v>218</v>
          </cell>
          <cell r="C219" t="str">
            <v>218-0</v>
          </cell>
          <cell r="J219" t="str">
            <v>CIT001-B</v>
          </cell>
          <cell r="N219">
            <v>0</v>
          </cell>
          <cell r="T219" t="str">
            <v>net</v>
          </cell>
        </row>
        <row r="220">
          <cell r="A220">
            <v>219</v>
          </cell>
          <cell r="C220" t="str">
            <v>219-0</v>
          </cell>
          <cell r="J220">
            <v>96</v>
          </cell>
          <cell r="N220">
            <v>0</v>
          </cell>
          <cell r="T220" t="str">
            <v>net</v>
          </cell>
        </row>
        <row r="221">
          <cell r="A221">
            <v>220</v>
          </cell>
          <cell r="C221" t="str">
            <v>220-0</v>
          </cell>
          <cell r="J221" t="str">
            <v>PVK-001-8</v>
          </cell>
          <cell r="N221">
            <v>0</v>
          </cell>
          <cell r="T221" t="str">
            <v>net</v>
          </cell>
        </row>
        <row r="222">
          <cell r="A222">
            <v>221</v>
          </cell>
          <cell r="C222" t="str">
            <v>221-0</v>
          </cell>
          <cell r="J222">
            <v>2021050301</v>
          </cell>
          <cell r="N222">
            <v>0</v>
          </cell>
          <cell r="T222" t="str">
            <v>net</v>
          </cell>
        </row>
        <row r="223">
          <cell r="A223">
            <v>222</v>
          </cell>
          <cell r="C223" t="str">
            <v>222-0</v>
          </cell>
          <cell r="J223">
            <v>20210505301</v>
          </cell>
          <cell r="N223">
            <v>0</v>
          </cell>
          <cell r="T223" t="str">
            <v>net</v>
          </cell>
        </row>
        <row r="224">
          <cell r="A224">
            <v>223</v>
          </cell>
          <cell r="C224" t="str">
            <v>223-0</v>
          </cell>
          <cell r="J224" t="str">
            <v>GS200219</v>
          </cell>
          <cell r="N224">
            <v>0</v>
          </cell>
          <cell r="T224" t="str">
            <v>net</v>
          </cell>
        </row>
        <row r="225">
          <cell r="A225">
            <v>224</v>
          </cell>
          <cell r="C225" t="str">
            <v>224-0</v>
          </cell>
          <cell r="J225" t="str">
            <v>NA</v>
          </cell>
          <cell r="N225">
            <v>0</v>
          </cell>
          <cell r="T225" t="str">
            <v>net</v>
          </cell>
        </row>
        <row r="226">
          <cell r="A226">
            <v>225</v>
          </cell>
          <cell r="C226" t="str">
            <v>225-0</v>
          </cell>
          <cell r="J226" t="str">
            <v>NA</v>
          </cell>
          <cell r="N226">
            <v>0</v>
          </cell>
          <cell r="T226" t="str">
            <v>net</v>
          </cell>
        </row>
        <row r="227">
          <cell r="A227">
            <v>226</v>
          </cell>
          <cell r="C227" t="str">
            <v>226-0</v>
          </cell>
          <cell r="J227" t="str">
            <v>Batch 111</v>
          </cell>
          <cell r="N227">
            <v>0</v>
          </cell>
          <cell r="T227" t="str">
            <v>net</v>
          </cell>
        </row>
        <row r="228">
          <cell r="A228">
            <v>227</v>
          </cell>
          <cell r="C228" t="str">
            <v>227-0</v>
          </cell>
          <cell r="J228">
            <v>2021030401</v>
          </cell>
          <cell r="N228">
            <v>0</v>
          </cell>
          <cell r="T228" t="str">
            <v>net</v>
          </cell>
        </row>
        <row r="229">
          <cell r="A229">
            <v>228</v>
          </cell>
          <cell r="C229" t="str">
            <v>228-0</v>
          </cell>
          <cell r="J229" t="str">
            <v>OB191028</v>
          </cell>
          <cell r="N229">
            <v>0</v>
          </cell>
          <cell r="T229" t="str">
            <v>net</v>
          </cell>
        </row>
        <row r="230">
          <cell r="A230">
            <v>229</v>
          </cell>
          <cell r="C230" t="str">
            <v>229-0</v>
          </cell>
          <cell r="J230" t="str">
            <v>NA</v>
          </cell>
          <cell r="N230">
            <v>0</v>
          </cell>
          <cell r="T230" t="str">
            <v>net</v>
          </cell>
        </row>
        <row r="231">
          <cell r="A231">
            <v>230</v>
          </cell>
          <cell r="C231" t="str">
            <v>230-0</v>
          </cell>
          <cell r="J231" t="str">
            <v>GS200109</v>
          </cell>
          <cell r="N231">
            <v>0</v>
          </cell>
          <cell r="T231" t="str">
            <v>net</v>
          </cell>
        </row>
        <row r="232">
          <cell r="A232">
            <v>231</v>
          </cell>
          <cell r="C232" t="str">
            <v>231-0</v>
          </cell>
          <cell r="J232" t="str">
            <v>NA</v>
          </cell>
          <cell r="N232">
            <v>0</v>
          </cell>
          <cell r="T232" t="str">
            <v>net</v>
          </cell>
        </row>
        <row r="233">
          <cell r="A233">
            <v>232</v>
          </cell>
          <cell r="C233" t="str">
            <v>232-0</v>
          </cell>
          <cell r="J233">
            <v>2021022502</v>
          </cell>
          <cell r="N233">
            <v>0</v>
          </cell>
          <cell r="T233" t="str">
            <v>net</v>
          </cell>
        </row>
        <row r="234">
          <cell r="A234">
            <v>233</v>
          </cell>
          <cell r="C234" t="str">
            <v>233-0</v>
          </cell>
          <cell r="J234" t="str">
            <v>NA</v>
          </cell>
          <cell r="N234">
            <v>0</v>
          </cell>
          <cell r="T234" t="str">
            <v>net</v>
          </cell>
        </row>
        <row r="235">
          <cell r="A235">
            <v>234</v>
          </cell>
          <cell r="C235" t="str">
            <v>234-0</v>
          </cell>
          <cell r="J235" t="str">
            <v>NA</v>
          </cell>
          <cell r="N235">
            <v>0</v>
          </cell>
          <cell r="T235" t="str">
            <v>net</v>
          </cell>
        </row>
        <row r="236">
          <cell r="A236">
            <v>235</v>
          </cell>
          <cell r="C236" t="str">
            <v>235-0</v>
          </cell>
          <cell r="J236" t="str">
            <v>GS200109</v>
          </cell>
          <cell r="N236">
            <v>0</v>
          </cell>
          <cell r="T236" t="str">
            <v>net</v>
          </cell>
        </row>
        <row r="237">
          <cell r="A237">
            <v>236</v>
          </cell>
          <cell r="C237" t="str">
            <v>236-0</v>
          </cell>
          <cell r="J237" t="str">
            <v>PNK001-B</v>
          </cell>
          <cell r="N237">
            <v>0</v>
          </cell>
          <cell r="T237" t="str">
            <v>net</v>
          </cell>
        </row>
        <row r="238">
          <cell r="A238">
            <v>237</v>
          </cell>
          <cell r="C238" t="str">
            <v>237-0</v>
          </cell>
          <cell r="J238" t="str">
            <v>CIT001-B</v>
          </cell>
          <cell r="N238">
            <v>0</v>
          </cell>
          <cell r="T238" t="str">
            <v>net</v>
          </cell>
        </row>
        <row r="239">
          <cell r="A239">
            <v>238</v>
          </cell>
          <cell r="C239" t="str">
            <v>238-0</v>
          </cell>
          <cell r="J239" t="str">
            <v>NA</v>
          </cell>
          <cell r="N239">
            <v>0</v>
          </cell>
          <cell r="T239" t="str">
            <v>net</v>
          </cell>
        </row>
        <row r="240">
          <cell r="A240">
            <v>239</v>
          </cell>
          <cell r="C240" t="str">
            <v>239-0</v>
          </cell>
          <cell r="J240" t="str">
            <v>OB191028</v>
          </cell>
          <cell r="N240">
            <v>0</v>
          </cell>
          <cell r="T240" t="str">
            <v>net</v>
          </cell>
        </row>
        <row r="241">
          <cell r="A241">
            <v>240</v>
          </cell>
          <cell r="C241" t="str">
            <v>240-0</v>
          </cell>
          <cell r="J241" t="str">
            <v>NA</v>
          </cell>
          <cell r="N241">
            <v>0</v>
          </cell>
          <cell r="T241" t="str">
            <v>net</v>
          </cell>
        </row>
        <row r="242">
          <cell r="A242">
            <v>241</v>
          </cell>
          <cell r="C242" t="str">
            <v>241-0</v>
          </cell>
          <cell r="J242">
            <v>96</v>
          </cell>
          <cell r="N242">
            <v>0</v>
          </cell>
          <cell r="T242" t="str">
            <v>net</v>
          </cell>
        </row>
        <row r="243">
          <cell r="A243">
            <v>242</v>
          </cell>
          <cell r="C243" t="str">
            <v>242-0</v>
          </cell>
          <cell r="J243" t="str">
            <v>2021082601R1</v>
          </cell>
          <cell r="N243">
            <v>3.5</v>
          </cell>
          <cell r="T243" t="str">
            <v>net</v>
          </cell>
        </row>
        <row r="244">
          <cell r="A244">
            <v>243</v>
          </cell>
          <cell r="C244" t="str">
            <v>243-0</v>
          </cell>
          <cell r="J244" t="str">
            <v>2021082601R1</v>
          </cell>
          <cell r="N244">
            <v>3.5</v>
          </cell>
          <cell r="T244" t="str">
            <v>net</v>
          </cell>
        </row>
        <row r="245">
          <cell r="A245">
            <v>244</v>
          </cell>
          <cell r="C245" t="str">
            <v>244-0</v>
          </cell>
          <cell r="J245" t="str">
            <v>2021082601R1</v>
          </cell>
          <cell r="N245">
            <v>3.5</v>
          </cell>
          <cell r="T245" t="str">
            <v>net</v>
          </cell>
        </row>
        <row r="246">
          <cell r="A246">
            <v>245</v>
          </cell>
          <cell r="C246" t="str">
            <v>245-0</v>
          </cell>
          <cell r="J246">
            <v>2024030601</v>
          </cell>
          <cell r="N246">
            <v>77.8</v>
          </cell>
          <cell r="T246" t="str">
            <v>gross</v>
          </cell>
        </row>
        <row r="247">
          <cell r="A247">
            <v>246</v>
          </cell>
          <cell r="C247" t="str">
            <v>246-0</v>
          </cell>
          <cell r="J247">
            <v>2024030601</v>
          </cell>
          <cell r="N247">
            <v>649.90000000000009</v>
          </cell>
          <cell r="T247" t="str">
            <v>gross</v>
          </cell>
        </row>
        <row r="248">
          <cell r="A248">
            <v>247</v>
          </cell>
          <cell r="C248" t="str">
            <v>247-0</v>
          </cell>
          <cell r="J248">
            <v>2022082401</v>
          </cell>
          <cell r="N248">
            <v>156</v>
          </cell>
          <cell r="T248" t="str">
            <v>gross</v>
          </cell>
        </row>
        <row r="249">
          <cell r="A249">
            <v>248</v>
          </cell>
          <cell r="C249" t="str">
            <v>248-0</v>
          </cell>
          <cell r="J249">
            <v>2024041901</v>
          </cell>
          <cell r="N249">
            <v>22</v>
          </cell>
          <cell r="T249" t="str">
            <v>gross</v>
          </cell>
        </row>
        <row r="250">
          <cell r="A250">
            <v>249</v>
          </cell>
          <cell r="C250" t="str">
            <v>249-0</v>
          </cell>
          <cell r="J250">
            <v>2022053101</v>
          </cell>
          <cell r="N250">
            <v>144.70000000000005</v>
          </cell>
          <cell r="T250" t="str">
            <v>gross</v>
          </cell>
        </row>
        <row r="251">
          <cell r="A251">
            <v>250</v>
          </cell>
          <cell r="C251" t="str">
            <v>250-0</v>
          </cell>
          <cell r="J251">
            <v>2021110501</v>
          </cell>
          <cell r="N251">
            <v>45.200000000000045</v>
          </cell>
          <cell r="T251" t="str">
            <v>gross</v>
          </cell>
        </row>
        <row r="252">
          <cell r="A252">
            <v>251</v>
          </cell>
          <cell r="C252" t="str">
            <v>251-0</v>
          </cell>
          <cell r="J252">
            <v>2024050601</v>
          </cell>
          <cell r="N252">
            <v>28.599999999999994</v>
          </cell>
          <cell r="T252" t="str">
            <v>gross</v>
          </cell>
        </row>
        <row r="253">
          <cell r="A253">
            <v>252</v>
          </cell>
          <cell r="C253" t="str">
            <v>252-0</v>
          </cell>
          <cell r="J253">
            <v>2024022201</v>
          </cell>
          <cell r="N253">
            <v>38.320000000000007</v>
          </cell>
          <cell r="T253" t="str">
            <v>gross</v>
          </cell>
        </row>
        <row r="254">
          <cell r="A254">
            <v>253</v>
          </cell>
          <cell r="C254" t="str">
            <v>253-0</v>
          </cell>
          <cell r="J254">
            <v>2024101701</v>
          </cell>
          <cell r="N254">
            <v>248</v>
          </cell>
          <cell r="T254" t="str">
            <v>gross</v>
          </cell>
        </row>
        <row r="255">
          <cell r="A255">
            <v>254</v>
          </cell>
          <cell r="C255" t="str">
            <v>254-0</v>
          </cell>
          <cell r="J255" t="str">
            <v>EX24061401V30</v>
          </cell>
          <cell r="N255">
            <v>27.3</v>
          </cell>
          <cell r="T255" t="str">
            <v>net</v>
          </cell>
        </row>
        <row r="256">
          <cell r="A256">
            <v>255</v>
          </cell>
          <cell r="C256" t="str">
            <v>255-0</v>
          </cell>
          <cell r="J256" t="str">
            <v>EX24080601V50</v>
          </cell>
          <cell r="N256">
            <v>151</v>
          </cell>
          <cell r="T256" t="str">
            <v>net</v>
          </cell>
        </row>
        <row r="257">
          <cell r="A257">
            <v>256</v>
          </cell>
          <cell r="C257" t="str">
            <v>256-0</v>
          </cell>
          <cell r="J257" t="str">
            <v>EX24080601V50</v>
          </cell>
          <cell r="N257">
            <v>50</v>
          </cell>
          <cell r="T257" t="str">
            <v>net</v>
          </cell>
        </row>
        <row r="258">
          <cell r="A258">
            <v>257</v>
          </cell>
          <cell r="C258" t="str">
            <v>257-0</v>
          </cell>
          <cell r="J258">
            <v>2024082701</v>
          </cell>
          <cell r="N258">
            <v>142.50000000000003</v>
          </cell>
          <cell r="T258" t="str">
            <v>gross</v>
          </cell>
        </row>
        <row r="259">
          <cell r="A259">
            <v>258</v>
          </cell>
          <cell r="C259" t="str">
            <v>258-0</v>
          </cell>
          <cell r="J259" t="str">
            <v>2022012401R1</v>
          </cell>
          <cell r="N259">
            <v>63.49</v>
          </cell>
          <cell r="T259" t="str">
            <v>gross</v>
          </cell>
        </row>
        <row r="260">
          <cell r="A260">
            <v>259</v>
          </cell>
          <cell r="C260" t="str">
            <v>259-0</v>
          </cell>
          <cell r="J260" t="str">
            <v>TP24041201</v>
          </cell>
          <cell r="N260">
            <v>88</v>
          </cell>
          <cell r="T260" t="str">
            <v>net</v>
          </cell>
        </row>
        <row r="261">
          <cell r="A261">
            <v>260</v>
          </cell>
          <cell r="C261" t="str">
            <v>260-0</v>
          </cell>
          <cell r="J261" t="str">
            <v>PR241002F5P3</v>
          </cell>
          <cell r="N261">
            <v>1.5</v>
          </cell>
          <cell r="T261" t="str">
            <v>net</v>
          </cell>
        </row>
        <row r="262">
          <cell r="A262">
            <v>261</v>
          </cell>
          <cell r="C262" t="str">
            <v>261-0</v>
          </cell>
          <cell r="J262" t="str">
            <v>PR241102F5P3</v>
          </cell>
          <cell r="N262">
            <v>1.5</v>
          </cell>
          <cell r="T262" t="str">
            <v>net</v>
          </cell>
        </row>
        <row r="263">
          <cell r="A263">
            <v>262</v>
          </cell>
          <cell r="C263" t="str">
            <v>262-0</v>
          </cell>
          <cell r="J263" t="str">
            <v>PR2407F5</v>
          </cell>
          <cell r="N263">
            <v>0.5</v>
          </cell>
          <cell r="T263" t="str">
            <v>net</v>
          </cell>
        </row>
        <row r="264">
          <cell r="A264">
            <v>263</v>
          </cell>
          <cell r="C264" t="str">
            <v>263-0</v>
          </cell>
          <cell r="J264" t="str">
            <v>PR241003F5</v>
          </cell>
          <cell r="N264">
            <v>0.5</v>
          </cell>
          <cell r="T264" t="str">
            <v>net</v>
          </cell>
        </row>
        <row r="265">
          <cell r="A265">
            <v>264</v>
          </cell>
          <cell r="C265" t="str">
            <v>264-0</v>
          </cell>
          <cell r="J265" t="str">
            <v>PR241003F5</v>
          </cell>
          <cell r="N265">
            <v>0.5</v>
          </cell>
          <cell r="T265" t="str">
            <v>net</v>
          </cell>
        </row>
        <row r="266">
          <cell r="A266">
            <v>265</v>
          </cell>
          <cell r="C266" t="str">
            <v>265-0</v>
          </cell>
          <cell r="J266" t="str">
            <v>CPR22102101G1</v>
          </cell>
          <cell r="N266">
            <v>1</v>
          </cell>
          <cell r="T266" t="str">
            <v>net</v>
          </cell>
        </row>
        <row r="267">
          <cell r="A267">
            <v>266</v>
          </cell>
          <cell r="C267" t="str">
            <v>266-0</v>
          </cell>
          <cell r="J267" t="str">
            <v>CPR22102101G1</v>
          </cell>
          <cell r="N267">
            <v>1</v>
          </cell>
          <cell r="T267" t="str">
            <v>net</v>
          </cell>
        </row>
        <row r="268">
          <cell r="A268">
            <v>267</v>
          </cell>
          <cell r="C268" t="str">
            <v>267-0</v>
          </cell>
          <cell r="J268" t="str">
            <v>PR241003F5</v>
          </cell>
          <cell r="N268">
            <v>0.5</v>
          </cell>
          <cell r="T268" t="str">
            <v>net</v>
          </cell>
        </row>
        <row r="269">
          <cell r="A269">
            <v>268</v>
          </cell>
          <cell r="C269" t="str">
            <v>268-0</v>
          </cell>
          <cell r="J269" t="str">
            <v>PR241003F5</v>
          </cell>
          <cell r="N269">
            <v>0.5</v>
          </cell>
          <cell r="T269" t="str">
            <v>net</v>
          </cell>
        </row>
        <row r="270">
          <cell r="A270">
            <v>269</v>
          </cell>
          <cell r="C270" t="str">
            <v>269-0</v>
          </cell>
          <cell r="J270" t="str">
            <v>PR241003F5</v>
          </cell>
          <cell r="N270">
            <v>0.5</v>
          </cell>
          <cell r="T270" t="str">
            <v>net</v>
          </cell>
        </row>
        <row r="271">
          <cell r="A271">
            <v>270</v>
          </cell>
          <cell r="C271" t="str">
            <v>270-0</v>
          </cell>
          <cell r="J271" t="str">
            <v>PR241003F5</v>
          </cell>
          <cell r="N271">
            <v>0.5</v>
          </cell>
          <cell r="T271" t="str">
            <v>net</v>
          </cell>
        </row>
        <row r="272">
          <cell r="A272">
            <v>271</v>
          </cell>
          <cell r="C272" t="str">
            <v>271-0</v>
          </cell>
          <cell r="J272" t="str">
            <v>2021082601R1</v>
          </cell>
          <cell r="N272">
            <v>3.5</v>
          </cell>
          <cell r="T272" t="str">
            <v>net</v>
          </cell>
        </row>
        <row r="273">
          <cell r="A273">
            <v>272</v>
          </cell>
          <cell r="C273" t="str">
            <v>272-0</v>
          </cell>
          <cell r="J273" t="str">
            <v>2021082601R1</v>
          </cell>
          <cell r="N273">
            <v>3.5</v>
          </cell>
          <cell r="T273" t="str">
            <v>net</v>
          </cell>
        </row>
        <row r="274">
          <cell r="A274">
            <v>273</v>
          </cell>
          <cell r="C274" t="str">
            <v>273-0</v>
          </cell>
          <cell r="J274" t="str">
            <v>2021082601R1</v>
          </cell>
          <cell r="N274">
            <v>3.5</v>
          </cell>
          <cell r="T274" t="str">
            <v>net</v>
          </cell>
        </row>
        <row r="275">
          <cell r="A275">
            <v>274</v>
          </cell>
          <cell r="C275" t="str">
            <v>274-0</v>
          </cell>
          <cell r="J275" t="str">
            <v>BS23041701G180</v>
          </cell>
          <cell r="N275">
            <v>180</v>
          </cell>
          <cell r="T275" t="str">
            <v>net</v>
          </cell>
        </row>
        <row r="276">
          <cell r="A276">
            <v>275</v>
          </cell>
          <cell r="C276" t="str">
            <v>275-0</v>
          </cell>
          <cell r="J276" t="str">
            <v>EX24090501</v>
          </cell>
          <cell r="N276">
            <v>17470</v>
          </cell>
          <cell r="T276" t="str">
            <v>gross</v>
          </cell>
        </row>
        <row r="277">
          <cell r="A277">
            <v>276</v>
          </cell>
          <cell r="C277" t="str">
            <v>276-0</v>
          </cell>
          <cell r="J277" t="str">
            <v>EX24090501</v>
          </cell>
          <cell r="N277">
            <v>17475</v>
          </cell>
          <cell r="T277" t="str">
            <v>gross</v>
          </cell>
        </row>
        <row r="278">
          <cell r="A278">
            <v>277</v>
          </cell>
          <cell r="C278" t="str">
            <v>277-0</v>
          </cell>
          <cell r="J278" t="str">
            <v>PR2407F5P2</v>
          </cell>
          <cell r="N278">
            <v>1</v>
          </cell>
          <cell r="T278" t="str">
            <v>net</v>
          </cell>
        </row>
        <row r="279">
          <cell r="A279">
            <v>278</v>
          </cell>
          <cell r="C279" t="str">
            <v>278-0</v>
          </cell>
          <cell r="J279" t="str">
            <v>PR241005F5P3</v>
          </cell>
          <cell r="N279">
            <v>1.5</v>
          </cell>
          <cell r="T279" t="str">
            <v>net</v>
          </cell>
        </row>
        <row r="280">
          <cell r="A280">
            <v>279</v>
          </cell>
          <cell r="C280" t="str">
            <v>279-0</v>
          </cell>
          <cell r="J280" t="str">
            <v>PR241005F5P3</v>
          </cell>
          <cell r="N280">
            <v>1.5</v>
          </cell>
          <cell r="T280" t="str">
            <v>net</v>
          </cell>
        </row>
        <row r="281">
          <cell r="A281">
            <v>280</v>
          </cell>
          <cell r="C281" t="str">
            <v>280-0</v>
          </cell>
          <cell r="J281" t="str">
            <v>PR241105F5P3</v>
          </cell>
          <cell r="N281">
            <v>1.5</v>
          </cell>
          <cell r="T281" t="str">
            <v>net</v>
          </cell>
        </row>
        <row r="282">
          <cell r="A282">
            <v>281</v>
          </cell>
          <cell r="C282" t="str">
            <v>281-0</v>
          </cell>
          <cell r="J282" t="str">
            <v>PR241105F5P3</v>
          </cell>
          <cell r="N282">
            <v>1.5</v>
          </cell>
          <cell r="T282" t="str">
            <v>net</v>
          </cell>
        </row>
        <row r="283">
          <cell r="A283">
            <v>282</v>
          </cell>
          <cell r="C283" t="str">
            <v>282-0</v>
          </cell>
          <cell r="J283" t="str">
            <v>PR241105F5P3</v>
          </cell>
          <cell r="N283">
            <v>1.5</v>
          </cell>
          <cell r="T283" t="str">
            <v>net</v>
          </cell>
        </row>
        <row r="284">
          <cell r="A284">
            <v>283</v>
          </cell>
          <cell r="C284" t="str">
            <v>283-0</v>
          </cell>
          <cell r="J284" t="str">
            <v>PR241105F5P3</v>
          </cell>
          <cell r="N284">
            <v>1.5</v>
          </cell>
          <cell r="T284" t="str">
            <v>net</v>
          </cell>
        </row>
        <row r="285">
          <cell r="A285">
            <v>284</v>
          </cell>
          <cell r="C285" t="str">
            <v>284-0</v>
          </cell>
          <cell r="J285" t="str">
            <v>PR241105F5P3</v>
          </cell>
          <cell r="N285">
            <v>1.5</v>
          </cell>
          <cell r="T285" t="str">
            <v>net</v>
          </cell>
        </row>
        <row r="286">
          <cell r="A286">
            <v>285</v>
          </cell>
          <cell r="C286" t="str">
            <v>285-0</v>
          </cell>
          <cell r="J286" t="str">
            <v>EX24090501V50</v>
          </cell>
          <cell r="N286">
            <v>50</v>
          </cell>
          <cell r="T286" t="str">
            <v>net</v>
          </cell>
        </row>
        <row r="287">
          <cell r="A287">
            <v>286</v>
          </cell>
          <cell r="C287" t="str">
            <v>286-0</v>
          </cell>
          <cell r="J287" t="str">
            <v>EX24090501V50</v>
          </cell>
          <cell r="N287">
            <v>50</v>
          </cell>
          <cell r="T287" t="str">
            <v>net</v>
          </cell>
        </row>
        <row r="288">
          <cell r="A288">
            <v>287</v>
          </cell>
          <cell r="C288" t="str">
            <v>287-0</v>
          </cell>
          <cell r="J288" t="str">
            <v>EX24090501V50</v>
          </cell>
          <cell r="N288">
            <v>50</v>
          </cell>
          <cell r="T288" t="str">
            <v>net</v>
          </cell>
        </row>
        <row r="289">
          <cell r="A289">
            <v>288</v>
          </cell>
          <cell r="C289" t="str">
            <v>288-0</v>
          </cell>
          <cell r="J289" t="str">
            <v>2021082601R1</v>
          </cell>
          <cell r="N289">
            <v>3.5</v>
          </cell>
          <cell r="T289" t="str">
            <v>net</v>
          </cell>
        </row>
        <row r="290">
          <cell r="A290">
            <v>289</v>
          </cell>
          <cell r="C290" t="str">
            <v>289-0</v>
          </cell>
          <cell r="J290" t="str">
            <v>2021082601R1</v>
          </cell>
          <cell r="N290">
            <v>3.5</v>
          </cell>
          <cell r="T290" t="str">
            <v>net</v>
          </cell>
        </row>
        <row r="291">
          <cell r="A291">
            <v>290</v>
          </cell>
          <cell r="C291" t="str">
            <v>290-0</v>
          </cell>
          <cell r="J291" t="str">
            <v>2021082601R1</v>
          </cell>
          <cell r="N291">
            <v>3.5</v>
          </cell>
          <cell r="T291" t="str">
            <v>net</v>
          </cell>
        </row>
        <row r="292">
          <cell r="A292">
            <v>291</v>
          </cell>
          <cell r="C292" t="str">
            <v>291-0</v>
          </cell>
          <cell r="J292" t="str">
            <v>2021082601R1</v>
          </cell>
          <cell r="N292">
            <v>3.5</v>
          </cell>
          <cell r="T292" t="str">
            <v>net</v>
          </cell>
        </row>
        <row r="293">
          <cell r="A293">
            <v>292</v>
          </cell>
          <cell r="C293" t="str">
            <v>292-0</v>
          </cell>
          <cell r="J293" t="str">
            <v>2021082601R1</v>
          </cell>
          <cell r="N293">
            <v>3.5</v>
          </cell>
          <cell r="T293" t="str">
            <v>net</v>
          </cell>
        </row>
        <row r="294">
          <cell r="A294">
            <v>293</v>
          </cell>
          <cell r="C294" t="str">
            <v>293-0</v>
          </cell>
          <cell r="J294" t="str">
            <v>2021082601R1</v>
          </cell>
          <cell r="N294">
            <v>3.5</v>
          </cell>
          <cell r="T294" t="str">
            <v>net</v>
          </cell>
        </row>
        <row r="295">
          <cell r="A295">
            <v>294</v>
          </cell>
          <cell r="C295" t="str">
            <v>294-0</v>
          </cell>
          <cell r="J295" t="str">
            <v>EX24082903G05</v>
          </cell>
          <cell r="N295">
            <v>0.5</v>
          </cell>
          <cell r="T295" t="str">
            <v>net</v>
          </cell>
        </row>
        <row r="296">
          <cell r="A296">
            <v>295</v>
          </cell>
          <cell r="C296" t="str">
            <v>295-0</v>
          </cell>
          <cell r="J296" t="str">
            <v>EX24082903</v>
          </cell>
          <cell r="N296">
            <v>0.5</v>
          </cell>
          <cell r="T296" t="str">
            <v>net</v>
          </cell>
        </row>
        <row r="297">
          <cell r="A297">
            <v>296</v>
          </cell>
          <cell r="C297" t="str">
            <v>296-0</v>
          </cell>
          <cell r="J297" t="str">
            <v>EX24082903G05</v>
          </cell>
          <cell r="N297">
            <v>0.5</v>
          </cell>
          <cell r="T297" t="str">
            <v>net</v>
          </cell>
        </row>
        <row r="298">
          <cell r="A298">
            <v>297</v>
          </cell>
          <cell r="C298" t="str">
            <v>297-0</v>
          </cell>
          <cell r="J298" t="str">
            <v>EX24082902G05</v>
          </cell>
          <cell r="N298">
            <v>0.5</v>
          </cell>
          <cell r="T298" t="str">
            <v>net</v>
          </cell>
        </row>
        <row r="299">
          <cell r="A299">
            <v>298</v>
          </cell>
          <cell r="C299" t="str">
            <v>298-0</v>
          </cell>
          <cell r="J299" t="str">
            <v>EX24082901G05</v>
          </cell>
          <cell r="N299">
            <v>0.5</v>
          </cell>
          <cell r="T299" t="str">
            <v>net</v>
          </cell>
        </row>
        <row r="300">
          <cell r="A300">
            <v>299</v>
          </cell>
          <cell r="C300" t="str">
            <v>299-0</v>
          </cell>
          <cell r="J300" t="str">
            <v>EX24082904G05</v>
          </cell>
          <cell r="N300">
            <v>0.5</v>
          </cell>
          <cell r="T300" t="str">
            <v>net</v>
          </cell>
        </row>
        <row r="301">
          <cell r="A301">
            <v>300</v>
          </cell>
          <cell r="C301" t="str">
            <v>300-0</v>
          </cell>
          <cell r="J301" t="str">
            <v>EX24082904G05</v>
          </cell>
          <cell r="N301">
            <v>0.5</v>
          </cell>
          <cell r="T301" t="str">
            <v>net</v>
          </cell>
        </row>
        <row r="302">
          <cell r="A302">
            <v>301</v>
          </cell>
          <cell r="C302" t="str">
            <v>301-0</v>
          </cell>
          <cell r="J302" t="str">
            <v>EX24082904G05</v>
          </cell>
          <cell r="N302">
            <v>0.5</v>
          </cell>
          <cell r="T302" t="str">
            <v>net</v>
          </cell>
        </row>
        <row r="303">
          <cell r="A303">
            <v>302</v>
          </cell>
          <cell r="C303" t="str">
            <v>302-0</v>
          </cell>
          <cell r="J303">
            <v>96</v>
          </cell>
          <cell r="N303">
            <v>2369</v>
          </cell>
          <cell r="T303" t="str">
            <v>gross</v>
          </cell>
        </row>
        <row r="304">
          <cell r="A304">
            <v>303</v>
          </cell>
          <cell r="C304" t="str">
            <v>303-0</v>
          </cell>
          <cell r="J304" t="str">
            <v>CHHT</v>
          </cell>
          <cell r="N304">
            <v>436</v>
          </cell>
          <cell r="T304" t="str">
            <v>gross</v>
          </cell>
        </row>
        <row r="305">
          <cell r="A305">
            <v>304</v>
          </cell>
          <cell r="C305" t="str">
            <v>304-0</v>
          </cell>
          <cell r="J305" t="str">
            <v>501L2B1</v>
          </cell>
          <cell r="N305">
            <v>1005</v>
          </cell>
          <cell r="T305" t="str">
            <v>gross</v>
          </cell>
        </row>
        <row r="306">
          <cell r="A306">
            <v>305</v>
          </cell>
          <cell r="C306" t="str">
            <v>305-0</v>
          </cell>
          <cell r="J306">
            <v>2203010</v>
          </cell>
          <cell r="N306">
            <v>234.4</v>
          </cell>
          <cell r="T306" t="str">
            <v>gross</v>
          </cell>
        </row>
        <row r="307">
          <cell r="A307">
            <v>306</v>
          </cell>
          <cell r="C307" t="str">
            <v>306-0</v>
          </cell>
          <cell r="J307" t="str">
            <v>501L2B1</v>
          </cell>
          <cell r="N307">
            <v>620</v>
          </cell>
          <cell r="T307" t="str">
            <v>gross</v>
          </cell>
        </row>
        <row r="308">
          <cell r="A308">
            <v>307</v>
          </cell>
          <cell r="C308" t="str">
            <v>307-0</v>
          </cell>
          <cell r="J308" t="str">
            <v>501L2B1</v>
          </cell>
          <cell r="N308">
            <v>1005</v>
          </cell>
          <cell r="T308" t="str">
            <v>gross</v>
          </cell>
        </row>
        <row r="309">
          <cell r="A309">
            <v>308</v>
          </cell>
          <cell r="C309" t="str">
            <v>308-0</v>
          </cell>
          <cell r="J309" t="str">
            <v>501L2B1</v>
          </cell>
          <cell r="N309">
            <v>1003</v>
          </cell>
          <cell r="T309" t="str">
            <v>gross</v>
          </cell>
        </row>
        <row r="310">
          <cell r="A310">
            <v>309</v>
          </cell>
          <cell r="C310" t="str">
            <v>309-0</v>
          </cell>
          <cell r="J310" t="str">
            <v>MK01151902</v>
          </cell>
          <cell r="N310">
            <v>1828</v>
          </cell>
          <cell r="T310" t="str">
            <v>gross</v>
          </cell>
        </row>
        <row r="311">
          <cell r="A311">
            <v>310</v>
          </cell>
          <cell r="C311" t="str">
            <v>310-0</v>
          </cell>
          <cell r="J311" t="str">
            <v>501L2B1</v>
          </cell>
          <cell r="N311">
            <v>1007</v>
          </cell>
          <cell r="T311" t="str">
            <v>gross</v>
          </cell>
        </row>
        <row r="312">
          <cell r="A312">
            <v>311</v>
          </cell>
          <cell r="C312" t="str">
            <v>311-0</v>
          </cell>
          <cell r="J312">
            <v>2203010</v>
          </cell>
          <cell r="N312">
            <v>300</v>
          </cell>
          <cell r="T312" t="str">
            <v>gross</v>
          </cell>
        </row>
        <row r="313">
          <cell r="A313">
            <v>312</v>
          </cell>
          <cell r="C313" t="str">
            <v>312-0</v>
          </cell>
          <cell r="J313" t="str">
            <v>GS200109</v>
          </cell>
          <cell r="N313">
            <v>7451</v>
          </cell>
          <cell r="T313" t="str">
            <v>gross</v>
          </cell>
        </row>
        <row r="314">
          <cell r="A314">
            <v>313</v>
          </cell>
          <cell r="C314" t="str">
            <v>313-0</v>
          </cell>
          <cell r="J314">
            <v>2021120901</v>
          </cell>
          <cell r="N314">
            <v>500</v>
          </cell>
          <cell r="T314" t="str">
            <v>gross</v>
          </cell>
        </row>
        <row r="315">
          <cell r="A315">
            <v>314</v>
          </cell>
          <cell r="C315" t="str">
            <v>314-0</v>
          </cell>
          <cell r="J315" t="str">
            <v>2022012401R1</v>
          </cell>
          <cell r="N315">
            <v>758</v>
          </cell>
          <cell r="T315" t="str">
            <v>gross</v>
          </cell>
        </row>
        <row r="316">
          <cell r="A316">
            <v>315</v>
          </cell>
          <cell r="C316" t="str">
            <v>315-0</v>
          </cell>
          <cell r="J316">
            <v>2022080201</v>
          </cell>
          <cell r="N316">
            <v>68</v>
          </cell>
          <cell r="T316" t="str">
            <v>gross</v>
          </cell>
        </row>
        <row r="317">
          <cell r="A317">
            <v>316</v>
          </cell>
          <cell r="C317" t="str">
            <v>316-0</v>
          </cell>
          <cell r="J317">
            <v>2022091603</v>
          </cell>
          <cell r="N317">
            <v>36.03</v>
          </cell>
          <cell r="T317" t="str">
            <v>gross</v>
          </cell>
        </row>
        <row r="318">
          <cell r="A318">
            <v>317</v>
          </cell>
          <cell r="C318" t="str">
            <v>317-0</v>
          </cell>
          <cell r="J318" t="str">
            <v>TO21101301</v>
          </cell>
          <cell r="N318">
            <v>75</v>
          </cell>
          <cell r="T318" t="str">
            <v>net</v>
          </cell>
        </row>
        <row r="319">
          <cell r="A319">
            <v>318</v>
          </cell>
          <cell r="C319" t="str">
            <v>318-0</v>
          </cell>
          <cell r="J319" t="str">
            <v>EX24080601V50</v>
          </cell>
          <cell r="N319">
            <v>50</v>
          </cell>
          <cell r="T319" t="str">
            <v>net</v>
          </cell>
        </row>
        <row r="320">
          <cell r="A320">
            <v>319</v>
          </cell>
          <cell r="C320" t="str">
            <v>319-0</v>
          </cell>
          <cell r="J320" t="str">
            <v>EX24080601V50</v>
          </cell>
          <cell r="N320">
            <v>600</v>
          </cell>
          <cell r="T320" t="str">
            <v>net</v>
          </cell>
        </row>
        <row r="321">
          <cell r="A321">
            <v>320</v>
          </cell>
          <cell r="C321" t="str">
            <v>320-0</v>
          </cell>
          <cell r="J321" t="str">
            <v>EX24070901V50</v>
          </cell>
          <cell r="N321">
            <v>600</v>
          </cell>
          <cell r="T321" t="str">
            <v>net</v>
          </cell>
        </row>
        <row r="322">
          <cell r="A322">
            <v>321</v>
          </cell>
          <cell r="C322" t="str">
            <v>321-0</v>
          </cell>
          <cell r="J322" t="str">
            <v>PR21071201G1</v>
          </cell>
          <cell r="N322">
            <v>1</v>
          </cell>
          <cell r="T322" t="str">
            <v>net</v>
          </cell>
        </row>
        <row r="323">
          <cell r="A323">
            <v>322</v>
          </cell>
          <cell r="C323" t="str">
            <v>322-0</v>
          </cell>
          <cell r="J323" t="str">
            <v>PR241101F5P3</v>
          </cell>
          <cell r="N323">
            <v>1.5</v>
          </cell>
          <cell r="T323" t="str">
            <v>net</v>
          </cell>
        </row>
        <row r="324">
          <cell r="A324">
            <v>323</v>
          </cell>
          <cell r="C324" t="str">
            <v>323-0</v>
          </cell>
          <cell r="J324" t="str">
            <v>PR241003F5P3</v>
          </cell>
          <cell r="N324">
            <v>1.5</v>
          </cell>
          <cell r="T324" t="str">
            <v>net</v>
          </cell>
        </row>
        <row r="325">
          <cell r="A325">
            <v>324</v>
          </cell>
          <cell r="C325" t="str">
            <v>324-0</v>
          </cell>
          <cell r="J325" t="str">
            <v>PR241003F5P3</v>
          </cell>
          <cell r="N325">
            <v>1.5</v>
          </cell>
          <cell r="T325" t="str">
            <v>net</v>
          </cell>
        </row>
        <row r="326">
          <cell r="A326">
            <v>325</v>
          </cell>
          <cell r="C326" t="str">
            <v>325-0</v>
          </cell>
          <cell r="J326" t="str">
            <v>EX24082905G05</v>
          </cell>
          <cell r="N326">
            <v>0.5</v>
          </cell>
          <cell r="T326" t="str">
            <v>net</v>
          </cell>
        </row>
        <row r="327">
          <cell r="A327">
            <v>326</v>
          </cell>
          <cell r="C327" t="str">
            <v>326-0</v>
          </cell>
          <cell r="J327" t="str">
            <v>EX24082905G05</v>
          </cell>
          <cell r="N327">
            <v>0.5</v>
          </cell>
          <cell r="T327" t="str">
            <v>net</v>
          </cell>
        </row>
        <row r="328">
          <cell r="A328">
            <v>327</v>
          </cell>
          <cell r="C328" t="str">
            <v>327-0</v>
          </cell>
          <cell r="J328" t="str">
            <v>EX24082905G05</v>
          </cell>
          <cell r="N328">
            <v>0.5</v>
          </cell>
          <cell r="T328" t="str">
            <v>net</v>
          </cell>
        </row>
        <row r="329">
          <cell r="A329">
            <v>328</v>
          </cell>
          <cell r="C329" t="str">
            <v>328-0</v>
          </cell>
          <cell r="J329" t="str">
            <v>EX24082904G05</v>
          </cell>
          <cell r="N329">
            <v>0.5</v>
          </cell>
          <cell r="T329" t="str">
            <v>net</v>
          </cell>
        </row>
        <row r="330">
          <cell r="A330">
            <v>329</v>
          </cell>
          <cell r="C330" t="str">
            <v>329-0</v>
          </cell>
          <cell r="J330" t="str">
            <v>EX24082901</v>
          </cell>
          <cell r="N330">
            <v>3.1000000000000227</v>
          </cell>
          <cell r="T330" t="str">
            <v>gross</v>
          </cell>
        </row>
        <row r="331">
          <cell r="A331">
            <v>330</v>
          </cell>
          <cell r="C331" t="str">
            <v>330-0</v>
          </cell>
          <cell r="J331" t="str">
            <v>EX24082903</v>
          </cell>
          <cell r="N331">
            <v>336.29999999999995</v>
          </cell>
          <cell r="T331" t="str">
            <v>gross</v>
          </cell>
        </row>
        <row r="332">
          <cell r="A332">
            <v>331</v>
          </cell>
          <cell r="C332" t="str">
            <v>331-0</v>
          </cell>
          <cell r="J332" t="str">
            <v>EX24082906</v>
          </cell>
          <cell r="N332">
            <v>0.5</v>
          </cell>
          <cell r="T332" t="str">
            <v>net</v>
          </cell>
        </row>
        <row r="333">
          <cell r="A333">
            <v>332</v>
          </cell>
          <cell r="C333" t="str">
            <v>332-0</v>
          </cell>
          <cell r="J333" t="str">
            <v>EX24082904G05</v>
          </cell>
          <cell r="N333">
            <v>0.5</v>
          </cell>
          <cell r="T333" t="str">
            <v>net</v>
          </cell>
        </row>
        <row r="334">
          <cell r="A334">
            <v>333</v>
          </cell>
          <cell r="C334" t="str">
            <v>333-0</v>
          </cell>
          <cell r="J334" t="str">
            <v>EX24082905G05</v>
          </cell>
          <cell r="N334">
            <v>0.5</v>
          </cell>
          <cell r="T334" t="str">
            <v>net</v>
          </cell>
        </row>
        <row r="335">
          <cell r="A335">
            <v>334</v>
          </cell>
          <cell r="C335" t="str">
            <v>334-0</v>
          </cell>
          <cell r="J335" t="str">
            <v>EX24082903G05</v>
          </cell>
          <cell r="N335">
            <v>0.5</v>
          </cell>
          <cell r="T335" t="str">
            <v>net</v>
          </cell>
        </row>
        <row r="336">
          <cell r="A336">
            <v>335</v>
          </cell>
          <cell r="C336" t="str">
            <v>335-0</v>
          </cell>
          <cell r="J336">
            <v>2024092003</v>
          </cell>
          <cell r="N336">
            <v>3000</v>
          </cell>
          <cell r="T336" t="str">
            <v>gross</v>
          </cell>
        </row>
        <row r="337">
          <cell r="A337">
            <v>336</v>
          </cell>
          <cell r="C337" t="str">
            <v>336-0</v>
          </cell>
          <cell r="J337">
            <v>2024092003</v>
          </cell>
          <cell r="N337">
            <v>2900</v>
          </cell>
          <cell r="T337" t="str">
            <v>gross</v>
          </cell>
        </row>
        <row r="338">
          <cell r="A338">
            <v>337</v>
          </cell>
          <cell r="C338" t="str">
            <v>337-0</v>
          </cell>
          <cell r="J338">
            <v>2024092002</v>
          </cell>
          <cell r="N338">
            <v>360</v>
          </cell>
          <cell r="T338" t="str">
            <v>gross</v>
          </cell>
        </row>
        <row r="339">
          <cell r="A339">
            <v>338</v>
          </cell>
          <cell r="C339" t="str">
            <v>338-0</v>
          </cell>
          <cell r="J339">
            <v>2024092002</v>
          </cell>
          <cell r="N339">
            <v>1500</v>
          </cell>
          <cell r="T339" t="str">
            <v>gross</v>
          </cell>
        </row>
        <row r="340">
          <cell r="A340">
            <v>339</v>
          </cell>
          <cell r="C340" t="str">
            <v>339-0</v>
          </cell>
          <cell r="J340">
            <v>2024092002</v>
          </cell>
          <cell r="N340">
            <v>2000</v>
          </cell>
          <cell r="T340" t="str">
            <v>gross</v>
          </cell>
        </row>
        <row r="341">
          <cell r="A341">
            <v>340</v>
          </cell>
          <cell r="C341" t="str">
            <v>340-0</v>
          </cell>
          <cell r="J341">
            <v>2024092002</v>
          </cell>
          <cell r="N341">
            <v>1500</v>
          </cell>
          <cell r="T341" t="str">
            <v>gross</v>
          </cell>
        </row>
        <row r="342">
          <cell r="A342">
            <v>341</v>
          </cell>
          <cell r="C342" t="str">
            <v>341-0</v>
          </cell>
          <cell r="J342">
            <v>2024092002</v>
          </cell>
          <cell r="N342">
            <v>3500</v>
          </cell>
          <cell r="T342" t="str">
            <v>gross</v>
          </cell>
        </row>
        <row r="343">
          <cell r="A343">
            <v>342</v>
          </cell>
          <cell r="C343" t="str">
            <v>342-0</v>
          </cell>
          <cell r="J343">
            <v>2024092001</v>
          </cell>
          <cell r="N343">
            <v>3800</v>
          </cell>
          <cell r="T343" t="str">
            <v>gross</v>
          </cell>
        </row>
        <row r="344">
          <cell r="A344">
            <v>343</v>
          </cell>
          <cell r="C344" t="str">
            <v>343-0</v>
          </cell>
          <cell r="J344">
            <v>2024092001</v>
          </cell>
          <cell r="N344">
            <v>3000</v>
          </cell>
          <cell r="T344" t="str">
            <v>gross</v>
          </cell>
        </row>
        <row r="345">
          <cell r="A345">
            <v>344</v>
          </cell>
          <cell r="C345" t="str">
            <v>344-0</v>
          </cell>
          <cell r="J345">
            <v>2024092001</v>
          </cell>
          <cell r="N345">
            <v>3000</v>
          </cell>
          <cell r="T345" t="str">
            <v>gross</v>
          </cell>
        </row>
        <row r="346">
          <cell r="A346">
            <v>345</v>
          </cell>
          <cell r="C346" t="str">
            <v>345-0</v>
          </cell>
          <cell r="J346">
            <v>2024092001</v>
          </cell>
          <cell r="N346">
            <v>2700</v>
          </cell>
          <cell r="T346" t="str">
            <v>gross</v>
          </cell>
        </row>
        <row r="347">
          <cell r="A347">
            <v>346</v>
          </cell>
          <cell r="C347" t="str">
            <v>346-0</v>
          </cell>
          <cell r="J347">
            <v>2024092002</v>
          </cell>
          <cell r="N347">
            <v>1500</v>
          </cell>
          <cell r="T347" t="str">
            <v>gross</v>
          </cell>
        </row>
        <row r="348">
          <cell r="A348">
            <v>347</v>
          </cell>
          <cell r="C348" t="str">
            <v>347-0</v>
          </cell>
          <cell r="J348">
            <v>2024092002</v>
          </cell>
          <cell r="N348">
            <v>2500</v>
          </cell>
          <cell r="T348" t="str">
            <v>gross</v>
          </cell>
        </row>
        <row r="349">
          <cell r="A349">
            <v>348</v>
          </cell>
          <cell r="C349" t="str">
            <v>348-0</v>
          </cell>
          <cell r="J349">
            <v>2024092002</v>
          </cell>
          <cell r="N349">
            <v>3500</v>
          </cell>
          <cell r="T349" t="str">
            <v>gross</v>
          </cell>
        </row>
        <row r="350">
          <cell r="A350">
            <v>349</v>
          </cell>
          <cell r="C350" t="str">
            <v>349-0</v>
          </cell>
          <cell r="J350" t="str">
            <v>EX24082901G05</v>
          </cell>
          <cell r="N350">
            <v>0.5</v>
          </cell>
          <cell r="T350" t="str">
            <v>net</v>
          </cell>
        </row>
        <row r="351">
          <cell r="A351">
            <v>350</v>
          </cell>
          <cell r="C351" t="str">
            <v>350-0</v>
          </cell>
          <cell r="J351" t="str">
            <v>EX24082901G05</v>
          </cell>
          <cell r="N351">
            <v>0.5</v>
          </cell>
          <cell r="T351" t="str">
            <v>net</v>
          </cell>
        </row>
        <row r="352">
          <cell r="A352">
            <v>351</v>
          </cell>
          <cell r="C352" t="str">
            <v>351-0</v>
          </cell>
          <cell r="J352" t="str">
            <v>EX24082901G05</v>
          </cell>
          <cell r="N352">
            <v>0.5</v>
          </cell>
          <cell r="T352" t="str">
            <v>net</v>
          </cell>
        </row>
        <row r="353">
          <cell r="A353">
            <v>352</v>
          </cell>
          <cell r="C353" t="str">
            <v>352-0</v>
          </cell>
          <cell r="J353" t="str">
            <v>EX24082901G05</v>
          </cell>
          <cell r="N353">
            <v>0.5</v>
          </cell>
          <cell r="T353" t="str">
            <v>net</v>
          </cell>
        </row>
        <row r="354">
          <cell r="A354">
            <v>353</v>
          </cell>
          <cell r="C354" t="str">
            <v>353-0</v>
          </cell>
          <cell r="J354" t="str">
            <v>EX24082901G05</v>
          </cell>
          <cell r="N354">
            <v>0.5</v>
          </cell>
          <cell r="T354" t="str">
            <v>net</v>
          </cell>
        </row>
        <row r="355">
          <cell r="A355">
            <v>354</v>
          </cell>
          <cell r="C355" t="str">
            <v>354-0</v>
          </cell>
          <cell r="J355" t="str">
            <v>EX24082901G05</v>
          </cell>
          <cell r="N355">
            <v>0.5</v>
          </cell>
          <cell r="T355" t="str">
            <v>net</v>
          </cell>
        </row>
        <row r="356">
          <cell r="A356">
            <v>355</v>
          </cell>
          <cell r="C356" t="str">
            <v>355-0</v>
          </cell>
          <cell r="J356" t="str">
            <v>EX24082901G05</v>
          </cell>
          <cell r="N356">
            <v>0.5</v>
          </cell>
          <cell r="T356" t="str">
            <v>net</v>
          </cell>
        </row>
        <row r="357">
          <cell r="A357">
            <v>356</v>
          </cell>
          <cell r="C357" t="str">
            <v>356-0</v>
          </cell>
          <cell r="J357" t="str">
            <v>EX24082901G05</v>
          </cell>
          <cell r="N357">
            <v>0.5</v>
          </cell>
          <cell r="T357" t="str">
            <v>net</v>
          </cell>
        </row>
        <row r="358">
          <cell r="A358">
            <v>357</v>
          </cell>
          <cell r="C358" t="str">
            <v>357-0</v>
          </cell>
          <cell r="J358" t="str">
            <v>EX24082901G05</v>
          </cell>
          <cell r="N358">
            <v>0.5</v>
          </cell>
          <cell r="T358" t="str">
            <v>net</v>
          </cell>
        </row>
        <row r="359">
          <cell r="A359">
            <v>358</v>
          </cell>
          <cell r="C359" t="str">
            <v>358-0</v>
          </cell>
          <cell r="J359" t="str">
            <v>EX24082903G05</v>
          </cell>
          <cell r="N359">
            <v>0.5</v>
          </cell>
          <cell r="T359" t="str">
            <v>net</v>
          </cell>
        </row>
        <row r="360">
          <cell r="A360">
            <v>359</v>
          </cell>
          <cell r="C360" t="str">
            <v>359-0</v>
          </cell>
          <cell r="J360" t="str">
            <v>EX24082901G05</v>
          </cell>
          <cell r="N360">
            <v>0.5</v>
          </cell>
          <cell r="T360" t="str">
            <v>net</v>
          </cell>
        </row>
        <row r="361">
          <cell r="A361">
            <v>360</v>
          </cell>
          <cell r="C361" t="str">
            <v>360-0</v>
          </cell>
          <cell r="J361" t="str">
            <v>EX24082901G05</v>
          </cell>
          <cell r="N361">
            <v>0.5</v>
          </cell>
          <cell r="T361" t="str">
            <v>net</v>
          </cell>
        </row>
        <row r="362">
          <cell r="A362">
            <v>361</v>
          </cell>
          <cell r="C362" t="str">
            <v>361-0</v>
          </cell>
          <cell r="J362" t="str">
            <v>EX24082902G05</v>
          </cell>
          <cell r="N362">
            <v>0.5</v>
          </cell>
          <cell r="T362" t="str">
            <v>net</v>
          </cell>
        </row>
        <row r="363">
          <cell r="A363">
            <v>362</v>
          </cell>
          <cell r="C363" t="str">
            <v>362-0</v>
          </cell>
          <cell r="J363" t="str">
            <v>EX24082902G05</v>
          </cell>
          <cell r="N363">
            <v>0.5</v>
          </cell>
          <cell r="T363" t="str">
            <v>net</v>
          </cell>
        </row>
        <row r="364">
          <cell r="A364">
            <v>363</v>
          </cell>
          <cell r="C364" t="str">
            <v>363-0</v>
          </cell>
          <cell r="J364" t="str">
            <v>EX24082902G05</v>
          </cell>
          <cell r="N364">
            <v>0.5</v>
          </cell>
          <cell r="T364" t="str">
            <v>net</v>
          </cell>
        </row>
        <row r="365">
          <cell r="A365">
            <v>364</v>
          </cell>
          <cell r="C365" t="str">
            <v>364-0</v>
          </cell>
          <cell r="J365" t="str">
            <v>EX24082903G05</v>
          </cell>
          <cell r="N365">
            <v>0.5</v>
          </cell>
          <cell r="T365" t="str">
            <v>net</v>
          </cell>
        </row>
        <row r="366">
          <cell r="A366">
            <v>365</v>
          </cell>
          <cell r="C366" t="str">
            <v>365-0</v>
          </cell>
          <cell r="J366" t="str">
            <v>EX24082903G05</v>
          </cell>
          <cell r="N366">
            <v>0.5</v>
          </cell>
          <cell r="T366" t="str">
            <v>net</v>
          </cell>
        </row>
        <row r="367">
          <cell r="A367">
            <v>366</v>
          </cell>
          <cell r="C367" t="str">
            <v>366-0</v>
          </cell>
          <cell r="J367" t="str">
            <v>EX24082903G05</v>
          </cell>
          <cell r="N367">
            <v>0.5</v>
          </cell>
          <cell r="T367" t="str">
            <v>net</v>
          </cell>
        </row>
        <row r="368">
          <cell r="A368">
            <v>367</v>
          </cell>
          <cell r="C368" t="str">
            <v>367-0</v>
          </cell>
          <cell r="J368" t="str">
            <v>EX24082903G05</v>
          </cell>
          <cell r="N368">
            <v>0.5</v>
          </cell>
          <cell r="T368" t="str">
            <v>net</v>
          </cell>
        </row>
        <row r="369">
          <cell r="A369">
            <v>368</v>
          </cell>
          <cell r="C369" t="str">
            <v>368-0</v>
          </cell>
          <cell r="J369" t="str">
            <v>EX24082903G05</v>
          </cell>
          <cell r="N369">
            <v>0.5</v>
          </cell>
          <cell r="T369" t="str">
            <v>net</v>
          </cell>
        </row>
        <row r="370">
          <cell r="A370">
            <v>369</v>
          </cell>
          <cell r="C370" t="str">
            <v>369-0</v>
          </cell>
          <cell r="J370" t="str">
            <v>EX24082905G05</v>
          </cell>
          <cell r="N370">
            <v>0.5</v>
          </cell>
          <cell r="T370" t="str">
            <v>net</v>
          </cell>
        </row>
        <row r="371">
          <cell r="A371">
            <v>370</v>
          </cell>
          <cell r="C371" t="str">
            <v>370-0</v>
          </cell>
          <cell r="J371" t="str">
            <v>EX24082905G05</v>
          </cell>
          <cell r="N371">
            <v>0.5</v>
          </cell>
          <cell r="T371" t="str">
            <v>net</v>
          </cell>
        </row>
        <row r="372">
          <cell r="A372">
            <v>371</v>
          </cell>
          <cell r="C372" t="str">
            <v>371-0</v>
          </cell>
          <cell r="J372" t="str">
            <v>EX24082905G05</v>
          </cell>
          <cell r="N372">
            <v>0.5</v>
          </cell>
          <cell r="T372" t="str">
            <v>net</v>
          </cell>
        </row>
        <row r="373">
          <cell r="A373">
            <v>372</v>
          </cell>
          <cell r="C373" t="str">
            <v>372-0</v>
          </cell>
          <cell r="J373" t="str">
            <v>EX24082905G05</v>
          </cell>
          <cell r="N373">
            <v>0.5</v>
          </cell>
          <cell r="T373" t="str">
            <v>net</v>
          </cell>
        </row>
        <row r="374">
          <cell r="A374">
            <v>373</v>
          </cell>
          <cell r="C374" t="str">
            <v>373-0</v>
          </cell>
          <cell r="J374" t="str">
            <v>EX24082906G05</v>
          </cell>
          <cell r="N374">
            <v>0.5</v>
          </cell>
          <cell r="T374" t="str">
            <v>net</v>
          </cell>
        </row>
        <row r="375">
          <cell r="A375">
            <v>374</v>
          </cell>
          <cell r="C375" t="str">
            <v>374-0</v>
          </cell>
          <cell r="J375" t="str">
            <v>NA</v>
          </cell>
          <cell r="N375">
            <v>50</v>
          </cell>
          <cell r="T375" t="str">
            <v>net</v>
          </cell>
        </row>
        <row r="376">
          <cell r="A376">
            <v>375</v>
          </cell>
          <cell r="C376" t="str">
            <v>375-0</v>
          </cell>
          <cell r="J376" t="str">
            <v>EX24092601V50</v>
          </cell>
          <cell r="N376">
            <v>50</v>
          </cell>
          <cell r="T376" t="str">
            <v>net</v>
          </cell>
        </row>
        <row r="377">
          <cell r="A377">
            <v>376</v>
          </cell>
          <cell r="C377" t="str">
            <v>376-0</v>
          </cell>
          <cell r="J377" t="str">
            <v>TP24101701</v>
          </cell>
          <cell r="N377">
            <v>1056</v>
          </cell>
          <cell r="T377" t="str">
            <v>net</v>
          </cell>
        </row>
        <row r="378">
          <cell r="A378">
            <v>377</v>
          </cell>
          <cell r="C378" t="str">
            <v>377-0</v>
          </cell>
          <cell r="J378" t="str">
            <v>PR241101F5P3</v>
          </cell>
          <cell r="N378">
            <v>18</v>
          </cell>
          <cell r="T378" t="str">
            <v>net</v>
          </cell>
        </row>
        <row r="379">
          <cell r="A379">
            <v>378</v>
          </cell>
          <cell r="C379" t="str">
            <v>378-0</v>
          </cell>
          <cell r="J379" t="str">
            <v>PR240601F5P3</v>
          </cell>
          <cell r="N379">
            <v>18</v>
          </cell>
          <cell r="T379" t="str">
            <v>net</v>
          </cell>
        </row>
        <row r="380">
          <cell r="A380">
            <v>379</v>
          </cell>
          <cell r="C380" t="str">
            <v>379-0</v>
          </cell>
          <cell r="J380" t="str">
            <v>PR241003F5P3</v>
          </cell>
          <cell r="N380">
            <v>18</v>
          </cell>
          <cell r="T380" t="str">
            <v>net</v>
          </cell>
        </row>
        <row r="381">
          <cell r="A381">
            <v>380</v>
          </cell>
          <cell r="C381" t="str">
            <v>380-0</v>
          </cell>
          <cell r="J381" t="str">
            <v>PR2407F5P2</v>
          </cell>
          <cell r="N381">
            <v>18</v>
          </cell>
          <cell r="T381" t="str">
            <v>net</v>
          </cell>
        </row>
        <row r="382">
          <cell r="A382">
            <v>381</v>
          </cell>
          <cell r="C382" t="str">
            <v>381-0</v>
          </cell>
          <cell r="J382" t="str">
            <v>PR241002F5P3</v>
          </cell>
          <cell r="N382">
            <v>18</v>
          </cell>
          <cell r="T382" t="str">
            <v>net</v>
          </cell>
        </row>
        <row r="383">
          <cell r="A383">
            <v>382</v>
          </cell>
          <cell r="C383" t="str">
            <v>382-0</v>
          </cell>
          <cell r="J383" t="str">
            <v>PR2407F5P2</v>
          </cell>
          <cell r="N383">
            <v>12</v>
          </cell>
          <cell r="T383" t="str">
            <v>net</v>
          </cell>
        </row>
        <row r="384">
          <cell r="A384">
            <v>383</v>
          </cell>
          <cell r="C384" t="str">
            <v>383-0</v>
          </cell>
          <cell r="J384" t="str">
            <v>EX24082903G05</v>
          </cell>
          <cell r="N384">
            <v>0.5</v>
          </cell>
          <cell r="T384" t="str">
            <v>net</v>
          </cell>
        </row>
        <row r="385">
          <cell r="A385">
            <v>384</v>
          </cell>
          <cell r="C385" t="str">
            <v>384-0</v>
          </cell>
          <cell r="J385" t="str">
            <v>EX24082901G05</v>
          </cell>
          <cell r="N385">
            <v>0.5</v>
          </cell>
          <cell r="T385" t="str">
            <v>net</v>
          </cell>
        </row>
        <row r="386">
          <cell r="A386">
            <v>385</v>
          </cell>
          <cell r="C386" t="str">
            <v>385-0</v>
          </cell>
          <cell r="J386" t="str">
            <v>EX24082905G05</v>
          </cell>
          <cell r="N386">
            <v>0.5</v>
          </cell>
          <cell r="T386" t="str">
            <v>net</v>
          </cell>
        </row>
        <row r="387">
          <cell r="A387">
            <v>386</v>
          </cell>
          <cell r="C387" t="str">
            <v>386-0</v>
          </cell>
          <cell r="J387" t="str">
            <v>EX24082905G05</v>
          </cell>
          <cell r="N387">
            <v>0.5</v>
          </cell>
          <cell r="T387" t="str">
            <v>net</v>
          </cell>
        </row>
        <row r="388">
          <cell r="A388">
            <v>387</v>
          </cell>
          <cell r="C388" t="str">
            <v>387-0</v>
          </cell>
          <cell r="J388" t="str">
            <v>PR241002F5P3</v>
          </cell>
          <cell r="N388">
            <v>1.5</v>
          </cell>
          <cell r="T388" t="str">
            <v>net</v>
          </cell>
        </row>
        <row r="389">
          <cell r="A389">
            <v>388</v>
          </cell>
          <cell r="C389" t="str">
            <v>388-0</v>
          </cell>
          <cell r="J389">
            <v>2024100401</v>
          </cell>
          <cell r="N389">
            <v>509.99999999999989</v>
          </cell>
          <cell r="T389" t="str">
            <v>gross</v>
          </cell>
        </row>
        <row r="390">
          <cell r="A390">
            <v>389</v>
          </cell>
          <cell r="C390" t="str">
            <v>389-0</v>
          </cell>
          <cell r="J390" t="str">
            <v>EX24090501V50</v>
          </cell>
          <cell r="N390">
            <v>50</v>
          </cell>
          <cell r="T390" t="str">
            <v>net</v>
          </cell>
        </row>
        <row r="391">
          <cell r="A391">
            <v>390</v>
          </cell>
          <cell r="C391" t="str">
            <v>390-0</v>
          </cell>
          <cell r="J391" t="str">
            <v>EX24092601V50</v>
          </cell>
          <cell r="N391">
            <v>50</v>
          </cell>
          <cell r="T391" t="str">
            <v>net</v>
          </cell>
        </row>
        <row r="392">
          <cell r="A392">
            <v>391</v>
          </cell>
          <cell r="C392" t="str">
            <v>391-0</v>
          </cell>
          <cell r="J392" t="str">
            <v>EX24082902G05</v>
          </cell>
          <cell r="N392">
            <v>0.5</v>
          </cell>
          <cell r="T392" t="str">
            <v>net</v>
          </cell>
        </row>
        <row r="393">
          <cell r="A393">
            <v>392</v>
          </cell>
          <cell r="C393" t="str">
            <v>392-0</v>
          </cell>
          <cell r="J393" t="str">
            <v>TP24082901</v>
          </cell>
          <cell r="N393">
            <v>88</v>
          </cell>
          <cell r="T393" t="str">
            <v>net</v>
          </cell>
        </row>
        <row r="394">
          <cell r="A394">
            <v>393</v>
          </cell>
          <cell r="C394" t="str">
            <v>393-0</v>
          </cell>
          <cell r="J394" t="str">
            <v>EX24082902G05</v>
          </cell>
          <cell r="N394">
            <v>0.5</v>
          </cell>
          <cell r="T394" t="str">
            <v>net</v>
          </cell>
        </row>
        <row r="395">
          <cell r="A395">
            <v>394</v>
          </cell>
          <cell r="C395" t="str">
            <v>394-0</v>
          </cell>
          <cell r="J395" t="str">
            <v>PR241003F5P3</v>
          </cell>
          <cell r="N395">
            <v>1.5</v>
          </cell>
          <cell r="T395" t="str">
            <v>net</v>
          </cell>
        </row>
        <row r="396">
          <cell r="A396">
            <v>395</v>
          </cell>
          <cell r="C396" t="str">
            <v>395-0</v>
          </cell>
          <cell r="J396" t="str">
            <v>PR241101F5P3</v>
          </cell>
          <cell r="N396">
            <v>1.5</v>
          </cell>
          <cell r="T396" t="str">
            <v>net</v>
          </cell>
        </row>
        <row r="397">
          <cell r="A397">
            <v>396</v>
          </cell>
          <cell r="C397" t="str">
            <v>396-0</v>
          </cell>
          <cell r="J397" t="str">
            <v>EX24082906G05</v>
          </cell>
          <cell r="N397">
            <v>0.5</v>
          </cell>
          <cell r="T397" t="str">
            <v>net</v>
          </cell>
        </row>
        <row r="398">
          <cell r="A398">
            <v>397</v>
          </cell>
          <cell r="C398" t="str">
            <v>397-0</v>
          </cell>
          <cell r="J398" t="str">
            <v>EX24082906G05</v>
          </cell>
          <cell r="N398">
            <v>0.5</v>
          </cell>
          <cell r="T398" t="str">
            <v>net</v>
          </cell>
        </row>
        <row r="399">
          <cell r="A399">
            <v>398</v>
          </cell>
          <cell r="C399" t="str">
            <v>398-0</v>
          </cell>
          <cell r="J399" t="str">
            <v>PR241105F5P3</v>
          </cell>
          <cell r="N399">
            <v>1.5</v>
          </cell>
          <cell r="T399" t="str">
            <v>net</v>
          </cell>
        </row>
        <row r="400">
          <cell r="A400">
            <v>399</v>
          </cell>
          <cell r="C400" t="str">
            <v>399-0</v>
          </cell>
          <cell r="J400" t="str">
            <v>PR241105F5P3</v>
          </cell>
          <cell r="N400">
            <v>1.5</v>
          </cell>
          <cell r="T400" t="str">
            <v>net</v>
          </cell>
        </row>
        <row r="401">
          <cell r="A401">
            <v>400</v>
          </cell>
          <cell r="C401" t="str">
            <v>400-0</v>
          </cell>
          <cell r="J401" t="str">
            <v>PR241104F5P3</v>
          </cell>
          <cell r="N401">
            <v>1.5</v>
          </cell>
          <cell r="T401" t="str">
            <v>net</v>
          </cell>
        </row>
        <row r="402">
          <cell r="A402">
            <v>401</v>
          </cell>
          <cell r="C402" t="str">
            <v>401-0</v>
          </cell>
          <cell r="J402">
            <v>2024101701</v>
          </cell>
          <cell r="N402">
            <v>248</v>
          </cell>
          <cell r="T402" t="str">
            <v>gross</v>
          </cell>
        </row>
        <row r="403">
          <cell r="A403">
            <v>402</v>
          </cell>
          <cell r="C403" t="str">
            <v>402-0</v>
          </cell>
          <cell r="J403" t="str">
            <v>PR241002F5P3</v>
          </cell>
          <cell r="N403">
            <v>1.5</v>
          </cell>
          <cell r="T403" t="str">
            <v>net</v>
          </cell>
        </row>
        <row r="404">
          <cell r="A404">
            <v>403</v>
          </cell>
          <cell r="C404" t="str">
            <v>403-0</v>
          </cell>
          <cell r="J404" t="str">
            <v>PR241101F5P3</v>
          </cell>
          <cell r="N404">
            <v>1.5</v>
          </cell>
          <cell r="T404" t="str">
            <v>net</v>
          </cell>
        </row>
        <row r="405">
          <cell r="A405">
            <v>404</v>
          </cell>
          <cell r="C405" t="str">
            <v>404-0</v>
          </cell>
          <cell r="J405" t="str">
            <v>PR2407F5P2</v>
          </cell>
          <cell r="N405">
            <v>1</v>
          </cell>
          <cell r="T405" t="str">
            <v>net</v>
          </cell>
        </row>
        <row r="406">
          <cell r="A406">
            <v>405</v>
          </cell>
          <cell r="C406" t="str">
            <v>405-0</v>
          </cell>
          <cell r="J406">
            <v>2024101703</v>
          </cell>
          <cell r="N406">
            <v>2000</v>
          </cell>
          <cell r="T406" t="str">
            <v>gross</v>
          </cell>
        </row>
        <row r="407">
          <cell r="A407">
            <v>406</v>
          </cell>
          <cell r="C407" t="str">
            <v>406-0</v>
          </cell>
          <cell r="J407">
            <v>2024101703</v>
          </cell>
          <cell r="N407">
            <v>3000</v>
          </cell>
          <cell r="T407" t="str">
            <v>gross</v>
          </cell>
        </row>
        <row r="408">
          <cell r="A408">
            <v>407</v>
          </cell>
          <cell r="C408" t="str">
            <v>407-0</v>
          </cell>
          <cell r="J408">
            <v>2024101703</v>
          </cell>
          <cell r="N408">
            <v>2988</v>
          </cell>
          <cell r="T408" t="str">
            <v>gross</v>
          </cell>
        </row>
        <row r="409">
          <cell r="A409">
            <v>408</v>
          </cell>
          <cell r="C409" t="str">
            <v>408-0</v>
          </cell>
          <cell r="J409">
            <v>2024101702</v>
          </cell>
          <cell r="N409">
            <v>899.1</v>
          </cell>
          <cell r="T409" t="str">
            <v>gross</v>
          </cell>
        </row>
        <row r="410">
          <cell r="A410">
            <v>409</v>
          </cell>
          <cell r="C410" t="str">
            <v>409-0</v>
          </cell>
          <cell r="J410">
            <v>2024101702</v>
          </cell>
          <cell r="N410">
            <v>1000</v>
          </cell>
          <cell r="T410" t="str">
            <v>gross</v>
          </cell>
        </row>
        <row r="411">
          <cell r="A411">
            <v>410</v>
          </cell>
          <cell r="C411" t="str">
            <v>410-0</v>
          </cell>
          <cell r="J411">
            <v>2024101702</v>
          </cell>
          <cell r="N411">
            <v>1000</v>
          </cell>
          <cell r="T411" t="str">
            <v>gross</v>
          </cell>
        </row>
        <row r="412">
          <cell r="A412">
            <v>411</v>
          </cell>
          <cell r="C412" t="str">
            <v>411-0</v>
          </cell>
          <cell r="J412" t="str">
            <v>PR241104F5P3</v>
          </cell>
          <cell r="N412">
            <v>1.5</v>
          </cell>
          <cell r="T412" t="str">
            <v>net</v>
          </cell>
        </row>
        <row r="413">
          <cell r="A413">
            <v>412</v>
          </cell>
          <cell r="C413" t="str">
            <v>412-0</v>
          </cell>
          <cell r="J413">
            <v>2024092001</v>
          </cell>
          <cell r="N413">
            <v>14</v>
          </cell>
          <cell r="T413" t="str">
            <v>net</v>
          </cell>
        </row>
        <row r="414">
          <cell r="A414">
            <v>413</v>
          </cell>
          <cell r="C414" t="str">
            <v>413-0</v>
          </cell>
          <cell r="J414">
            <v>2024092001</v>
          </cell>
          <cell r="N414">
            <v>14</v>
          </cell>
          <cell r="T414" t="str">
            <v>net</v>
          </cell>
        </row>
        <row r="415">
          <cell r="A415">
            <v>414</v>
          </cell>
          <cell r="C415" t="str">
            <v>414-0</v>
          </cell>
          <cell r="J415">
            <v>2024092001</v>
          </cell>
          <cell r="N415">
            <v>14</v>
          </cell>
          <cell r="T415" t="str">
            <v>net</v>
          </cell>
        </row>
        <row r="416">
          <cell r="A416">
            <v>415</v>
          </cell>
          <cell r="C416" t="str">
            <v>415-0</v>
          </cell>
          <cell r="J416">
            <v>2024092002</v>
          </cell>
          <cell r="N416">
            <v>14</v>
          </cell>
          <cell r="T416" t="str">
            <v>net</v>
          </cell>
        </row>
        <row r="417">
          <cell r="A417">
            <v>416</v>
          </cell>
          <cell r="C417" t="str">
            <v>416-0</v>
          </cell>
          <cell r="J417">
            <v>2024092002</v>
          </cell>
          <cell r="N417">
            <v>14</v>
          </cell>
          <cell r="T417" t="str">
            <v>net</v>
          </cell>
        </row>
        <row r="418">
          <cell r="A418">
            <v>417</v>
          </cell>
          <cell r="C418" t="str">
            <v>417-0</v>
          </cell>
          <cell r="J418">
            <v>2024092002</v>
          </cell>
          <cell r="N418">
            <v>14</v>
          </cell>
          <cell r="T418" t="str">
            <v>net</v>
          </cell>
        </row>
        <row r="419">
          <cell r="A419">
            <v>418</v>
          </cell>
          <cell r="C419" t="str">
            <v>418-0</v>
          </cell>
          <cell r="J419">
            <v>2024092003</v>
          </cell>
          <cell r="N419">
            <v>14</v>
          </cell>
          <cell r="T419" t="str">
            <v>net</v>
          </cell>
        </row>
        <row r="420">
          <cell r="A420">
            <v>419</v>
          </cell>
          <cell r="C420" t="str">
            <v>419-0</v>
          </cell>
          <cell r="J420" t="str">
            <v>TP24082901</v>
          </cell>
          <cell r="N420">
            <v>88</v>
          </cell>
          <cell r="T420" t="str">
            <v>net</v>
          </cell>
        </row>
        <row r="421">
          <cell r="A421">
            <v>420</v>
          </cell>
          <cell r="C421" t="str">
            <v>420-0</v>
          </cell>
          <cell r="J421" t="str">
            <v>TP24082901</v>
          </cell>
          <cell r="N421">
            <v>88</v>
          </cell>
          <cell r="T421" t="str">
            <v>net</v>
          </cell>
        </row>
        <row r="422">
          <cell r="A422">
            <v>421</v>
          </cell>
          <cell r="C422" t="str">
            <v>421-0</v>
          </cell>
          <cell r="J422" t="str">
            <v>EX24022302130</v>
          </cell>
          <cell r="N422">
            <v>27.5</v>
          </cell>
          <cell r="T422" t="str">
            <v>net</v>
          </cell>
        </row>
        <row r="423">
          <cell r="A423">
            <v>422</v>
          </cell>
          <cell r="C423" t="str">
            <v>422-0</v>
          </cell>
          <cell r="J423" t="str">
            <v>EX24022302130</v>
          </cell>
          <cell r="N423">
            <v>27.5</v>
          </cell>
          <cell r="T423" t="str">
            <v>net</v>
          </cell>
        </row>
        <row r="424">
          <cell r="A424">
            <v>423</v>
          </cell>
          <cell r="C424" t="str">
            <v>423-0</v>
          </cell>
          <cell r="J424" t="str">
            <v>EX24101701</v>
          </cell>
          <cell r="N424">
            <v>150.36000000000001</v>
          </cell>
          <cell r="T424" t="str">
            <v>gross</v>
          </cell>
        </row>
        <row r="425">
          <cell r="A425">
            <v>424</v>
          </cell>
          <cell r="C425" t="str">
            <v>424-0</v>
          </cell>
          <cell r="J425" t="str">
            <v>EX24102105</v>
          </cell>
          <cell r="N425">
            <v>234.49999999999994</v>
          </cell>
          <cell r="T425" t="str">
            <v>gross</v>
          </cell>
        </row>
        <row r="426">
          <cell r="A426">
            <v>425</v>
          </cell>
          <cell r="C426" t="str">
            <v>425-0</v>
          </cell>
          <cell r="J426" t="str">
            <v>EX24102105</v>
          </cell>
          <cell r="N426">
            <v>214.70000000000005</v>
          </cell>
          <cell r="T426" t="str">
            <v>gross</v>
          </cell>
        </row>
        <row r="427">
          <cell r="A427">
            <v>426</v>
          </cell>
          <cell r="C427" t="str">
            <v>426-0</v>
          </cell>
          <cell r="J427" t="str">
            <v>PR2407F5P2</v>
          </cell>
          <cell r="N427">
            <v>1</v>
          </cell>
          <cell r="T427" t="str">
            <v>net</v>
          </cell>
        </row>
        <row r="428">
          <cell r="A428">
            <v>427</v>
          </cell>
          <cell r="C428" t="str">
            <v>427-0</v>
          </cell>
          <cell r="J428" t="str">
            <v>PR2407F5P2</v>
          </cell>
          <cell r="N428">
            <v>1</v>
          </cell>
          <cell r="T428" t="str">
            <v>net</v>
          </cell>
        </row>
        <row r="429">
          <cell r="A429">
            <v>428</v>
          </cell>
          <cell r="C429" t="str">
            <v>428-0</v>
          </cell>
          <cell r="J429" t="str">
            <v>NA</v>
          </cell>
          <cell r="N429">
            <v>15013</v>
          </cell>
          <cell r="T429" t="str">
            <v>gross</v>
          </cell>
        </row>
        <row r="430">
          <cell r="A430">
            <v>429</v>
          </cell>
          <cell r="C430" t="str">
            <v>429-0</v>
          </cell>
          <cell r="J430" t="str">
            <v>EX24102201V50</v>
          </cell>
          <cell r="N430">
            <v>14953</v>
          </cell>
          <cell r="T430" t="str">
            <v>net</v>
          </cell>
        </row>
        <row r="431">
          <cell r="A431">
            <v>430</v>
          </cell>
          <cell r="C431" t="str">
            <v>430-0</v>
          </cell>
          <cell r="J431" t="str">
            <v>EX24082906G05</v>
          </cell>
          <cell r="N431">
            <v>0.5</v>
          </cell>
          <cell r="T431" t="str">
            <v>net</v>
          </cell>
        </row>
        <row r="432">
          <cell r="A432">
            <v>431</v>
          </cell>
          <cell r="C432" t="str">
            <v>431-0</v>
          </cell>
          <cell r="J432" t="str">
            <v>TP24101701</v>
          </cell>
          <cell r="N432">
            <v>88</v>
          </cell>
          <cell r="T432" t="str">
            <v>net</v>
          </cell>
        </row>
        <row r="433">
          <cell r="A433">
            <v>432</v>
          </cell>
          <cell r="C433" t="str">
            <v>432-0</v>
          </cell>
          <cell r="J433" t="str">
            <v>TP24101701</v>
          </cell>
          <cell r="N433">
            <v>88</v>
          </cell>
          <cell r="T433" t="str">
            <v>net</v>
          </cell>
        </row>
        <row r="434">
          <cell r="A434">
            <v>433</v>
          </cell>
          <cell r="C434" t="str">
            <v>433-0</v>
          </cell>
          <cell r="J434" t="str">
            <v>EX24101703</v>
          </cell>
          <cell r="N434">
            <v>279.69</v>
          </cell>
          <cell r="T434" t="str">
            <v>gross</v>
          </cell>
        </row>
        <row r="435">
          <cell r="A435">
            <v>434</v>
          </cell>
          <cell r="C435" t="str">
            <v>434-0</v>
          </cell>
          <cell r="J435" t="str">
            <v>PR241104F5P3</v>
          </cell>
          <cell r="N435">
            <v>1.5</v>
          </cell>
          <cell r="T435" t="str">
            <v>net</v>
          </cell>
        </row>
        <row r="436">
          <cell r="A436">
            <v>435</v>
          </cell>
          <cell r="C436" t="str">
            <v>435-0</v>
          </cell>
          <cell r="J436" t="str">
            <v>2022012401G28</v>
          </cell>
          <cell r="N436">
            <v>28</v>
          </cell>
          <cell r="T436" t="str">
            <v>net</v>
          </cell>
        </row>
        <row r="437">
          <cell r="A437">
            <v>436</v>
          </cell>
          <cell r="C437" t="str">
            <v>436-0</v>
          </cell>
          <cell r="J437" t="str">
            <v>PR21071201G1</v>
          </cell>
          <cell r="N437">
            <v>24</v>
          </cell>
          <cell r="T437" t="str">
            <v>net</v>
          </cell>
        </row>
        <row r="438">
          <cell r="A438">
            <v>437</v>
          </cell>
          <cell r="C438" t="str">
            <v>437-0</v>
          </cell>
          <cell r="J438" t="str">
            <v>PR2407F5P3</v>
          </cell>
          <cell r="N438">
            <v>18</v>
          </cell>
          <cell r="T438" t="str">
            <v>net</v>
          </cell>
        </row>
        <row r="439">
          <cell r="A439">
            <v>438</v>
          </cell>
          <cell r="C439" t="str">
            <v>438-0</v>
          </cell>
          <cell r="J439" t="str">
            <v>TP24082901</v>
          </cell>
          <cell r="N439">
            <v>1056</v>
          </cell>
          <cell r="T439" t="str">
            <v>net</v>
          </cell>
        </row>
        <row r="440">
          <cell r="A440">
            <v>439</v>
          </cell>
          <cell r="C440" t="str">
            <v>439-0</v>
          </cell>
          <cell r="J440" t="str">
            <v>EX24101802V30</v>
          </cell>
          <cell r="N440">
            <v>351.6</v>
          </cell>
          <cell r="T440" t="str">
            <v>net</v>
          </cell>
        </row>
        <row r="441">
          <cell r="A441">
            <v>440</v>
          </cell>
          <cell r="C441" t="str">
            <v>440-0</v>
          </cell>
          <cell r="J441" t="str">
            <v>EX24022302V30</v>
          </cell>
          <cell r="N441">
            <v>351.6</v>
          </cell>
          <cell r="T441" t="str">
            <v>net</v>
          </cell>
        </row>
        <row r="442">
          <cell r="A442">
            <v>441</v>
          </cell>
          <cell r="C442" t="str">
            <v>441-0</v>
          </cell>
          <cell r="J442" t="str">
            <v>EX24082904G05</v>
          </cell>
          <cell r="N442">
            <v>6</v>
          </cell>
          <cell r="T442" t="str">
            <v>net</v>
          </cell>
        </row>
        <row r="443">
          <cell r="A443">
            <v>442</v>
          </cell>
          <cell r="C443" t="str">
            <v>442-0</v>
          </cell>
          <cell r="J443" t="str">
            <v>EX24082906G05</v>
          </cell>
          <cell r="N443">
            <v>6</v>
          </cell>
          <cell r="T443" t="str">
            <v>net</v>
          </cell>
        </row>
        <row r="444">
          <cell r="A444">
            <v>443</v>
          </cell>
          <cell r="C444" t="str">
            <v>443-0</v>
          </cell>
          <cell r="J444" t="str">
            <v>EX23060701V30</v>
          </cell>
          <cell r="N444">
            <v>351.6</v>
          </cell>
          <cell r="T444" t="str">
            <v>net</v>
          </cell>
        </row>
        <row r="445">
          <cell r="A445">
            <v>444</v>
          </cell>
          <cell r="C445" t="str">
            <v>444-0</v>
          </cell>
          <cell r="J445" t="str">
            <v>PR2301F35P12</v>
          </cell>
          <cell r="N445">
            <v>4.1999999999999993</v>
          </cell>
          <cell r="T445" t="str">
            <v>net</v>
          </cell>
        </row>
        <row r="446">
          <cell r="A446">
            <v>445</v>
          </cell>
          <cell r="C446" t="str">
            <v>445-0</v>
          </cell>
          <cell r="J446" t="str">
            <v>EX24101802V30</v>
          </cell>
          <cell r="N446">
            <v>27.6</v>
          </cell>
          <cell r="T446" t="str">
            <v>net</v>
          </cell>
        </row>
        <row r="447">
          <cell r="A447">
            <v>446</v>
          </cell>
          <cell r="C447" t="str">
            <v>446-0</v>
          </cell>
          <cell r="J447" t="str">
            <v>EX24101802V30</v>
          </cell>
          <cell r="N447">
            <v>27.6</v>
          </cell>
          <cell r="T447" t="str">
            <v>net</v>
          </cell>
        </row>
        <row r="448">
          <cell r="A448">
            <v>447</v>
          </cell>
          <cell r="C448" t="str">
            <v>447-0</v>
          </cell>
          <cell r="J448" t="str">
            <v>EX24100801V30</v>
          </cell>
          <cell r="N448">
            <v>27.3</v>
          </cell>
          <cell r="T448" t="str">
            <v>net</v>
          </cell>
        </row>
        <row r="449">
          <cell r="A449">
            <v>448</v>
          </cell>
          <cell r="C449" t="str">
            <v>448-0</v>
          </cell>
          <cell r="J449" t="str">
            <v>EX24101705G05</v>
          </cell>
          <cell r="N449">
            <v>0.5</v>
          </cell>
          <cell r="T449" t="str">
            <v>net</v>
          </cell>
        </row>
        <row r="450">
          <cell r="A450">
            <v>449</v>
          </cell>
          <cell r="C450" t="str">
            <v>449-0</v>
          </cell>
          <cell r="J450" t="str">
            <v>EX24082906G05</v>
          </cell>
          <cell r="N450">
            <v>0.5</v>
          </cell>
          <cell r="T450" t="str">
            <v>net</v>
          </cell>
        </row>
        <row r="451">
          <cell r="A451">
            <v>450</v>
          </cell>
          <cell r="C451" t="str">
            <v>450-0</v>
          </cell>
          <cell r="J451" t="str">
            <v>EX24082906G05</v>
          </cell>
          <cell r="N451">
            <v>0.5</v>
          </cell>
          <cell r="T451" t="str">
            <v>net</v>
          </cell>
        </row>
        <row r="452">
          <cell r="A452">
            <v>451</v>
          </cell>
          <cell r="C452" t="str">
            <v>451-0</v>
          </cell>
          <cell r="J452" t="str">
            <v>PR2301F35</v>
          </cell>
          <cell r="N452">
            <v>0.35</v>
          </cell>
          <cell r="T452" t="str">
            <v>net</v>
          </cell>
        </row>
        <row r="453">
          <cell r="A453">
            <v>452</v>
          </cell>
          <cell r="C453" t="str">
            <v>452-0</v>
          </cell>
          <cell r="J453" t="str">
            <v>EX24101705G05</v>
          </cell>
          <cell r="N453">
            <v>0.5</v>
          </cell>
          <cell r="T453" t="str">
            <v>net</v>
          </cell>
        </row>
        <row r="454">
          <cell r="A454">
            <v>453</v>
          </cell>
          <cell r="C454" t="str">
            <v>453-0</v>
          </cell>
          <cell r="J454" t="str">
            <v>EX24101705G05</v>
          </cell>
          <cell r="N454">
            <v>0.5</v>
          </cell>
          <cell r="T454" t="str">
            <v>net</v>
          </cell>
        </row>
        <row r="455">
          <cell r="A455">
            <v>454</v>
          </cell>
          <cell r="C455" t="str">
            <v>454-0</v>
          </cell>
          <cell r="J455" t="str">
            <v>EX24101705G05</v>
          </cell>
          <cell r="N455">
            <v>0.5</v>
          </cell>
          <cell r="T455" t="str">
            <v>net</v>
          </cell>
        </row>
        <row r="456">
          <cell r="A456">
            <v>455</v>
          </cell>
          <cell r="C456" t="str">
            <v>455-0</v>
          </cell>
          <cell r="J456" t="str">
            <v>EX24100801V30</v>
          </cell>
          <cell r="N456">
            <v>27.3</v>
          </cell>
          <cell r="T456" t="str">
            <v>net</v>
          </cell>
        </row>
        <row r="457">
          <cell r="A457">
            <v>456</v>
          </cell>
          <cell r="C457" t="str">
            <v>456-0</v>
          </cell>
          <cell r="J457" t="str">
            <v>EX24022302V30</v>
          </cell>
          <cell r="N457">
            <v>27.6</v>
          </cell>
          <cell r="T457" t="str">
            <v>net</v>
          </cell>
        </row>
        <row r="458">
          <cell r="A458">
            <v>457</v>
          </cell>
          <cell r="C458" t="str">
            <v>457-0</v>
          </cell>
          <cell r="J458" t="str">
            <v>EX24100801V30</v>
          </cell>
          <cell r="N458">
            <v>27.3</v>
          </cell>
          <cell r="T458" t="str">
            <v>net</v>
          </cell>
        </row>
        <row r="459">
          <cell r="A459">
            <v>458</v>
          </cell>
          <cell r="C459" t="str">
            <v>458-0</v>
          </cell>
          <cell r="J459" t="str">
            <v>EX24070901V50</v>
          </cell>
          <cell r="N459">
            <v>600</v>
          </cell>
          <cell r="T459" t="str">
            <v>net</v>
          </cell>
        </row>
        <row r="460">
          <cell r="A460">
            <v>459</v>
          </cell>
          <cell r="C460" t="str">
            <v>459-0</v>
          </cell>
          <cell r="J460" t="str">
            <v>EX24102201V50</v>
          </cell>
          <cell r="N460">
            <v>600</v>
          </cell>
          <cell r="T460" t="str">
            <v>net</v>
          </cell>
        </row>
        <row r="461">
          <cell r="A461">
            <v>460</v>
          </cell>
          <cell r="C461" t="str">
            <v>460-0</v>
          </cell>
          <cell r="J461" t="str">
            <v>PR241103F5</v>
          </cell>
          <cell r="N461">
            <v>0.5</v>
          </cell>
          <cell r="T461" t="str">
            <v>net</v>
          </cell>
        </row>
        <row r="462">
          <cell r="A462">
            <v>461</v>
          </cell>
          <cell r="C462" t="str">
            <v>461-0</v>
          </cell>
          <cell r="J462" t="str">
            <v>PR241103F5</v>
          </cell>
          <cell r="N462">
            <v>0.5</v>
          </cell>
          <cell r="T462" t="str">
            <v>net</v>
          </cell>
        </row>
        <row r="463">
          <cell r="A463">
            <v>462</v>
          </cell>
          <cell r="C463" t="str">
            <v>462-0</v>
          </cell>
          <cell r="J463" t="str">
            <v>EX24102201V50</v>
          </cell>
          <cell r="N463">
            <v>50</v>
          </cell>
          <cell r="T463" t="str">
            <v>net</v>
          </cell>
        </row>
        <row r="464">
          <cell r="A464">
            <v>463</v>
          </cell>
          <cell r="C464" t="str">
            <v>463-0</v>
          </cell>
          <cell r="J464">
            <v>2024100401</v>
          </cell>
          <cell r="N464">
            <v>368</v>
          </cell>
          <cell r="T464" t="str">
            <v>gross</v>
          </cell>
        </row>
        <row r="465">
          <cell r="A465">
            <v>464</v>
          </cell>
          <cell r="C465" t="str">
            <v>464-0</v>
          </cell>
          <cell r="J465" t="str">
            <v>EX24101703</v>
          </cell>
          <cell r="N465">
            <v>299.93</v>
          </cell>
          <cell r="T465" t="str">
            <v>gross</v>
          </cell>
        </row>
        <row r="466">
          <cell r="A466">
            <v>465</v>
          </cell>
          <cell r="C466" t="str">
            <v>465-0</v>
          </cell>
          <cell r="J466" t="str">
            <v>EX24101705</v>
          </cell>
          <cell r="N466">
            <v>399.71000000000004</v>
          </cell>
          <cell r="T466" t="str">
            <v>gross</v>
          </cell>
        </row>
        <row r="467">
          <cell r="A467">
            <v>466</v>
          </cell>
          <cell r="C467" t="str">
            <v>466-0</v>
          </cell>
          <cell r="J467" t="str">
            <v>EX24101704</v>
          </cell>
          <cell r="N467">
            <v>65.899999999999977</v>
          </cell>
          <cell r="T467" t="str">
            <v>gross</v>
          </cell>
        </row>
        <row r="468">
          <cell r="A468">
            <v>467</v>
          </cell>
          <cell r="C468" t="str">
            <v>467-0</v>
          </cell>
          <cell r="J468" t="str">
            <v>EX24101704</v>
          </cell>
          <cell r="N468">
            <v>299.96000000000004</v>
          </cell>
          <cell r="T468" t="str">
            <v>gross</v>
          </cell>
        </row>
        <row r="469">
          <cell r="A469">
            <v>468</v>
          </cell>
          <cell r="C469" t="str">
            <v>468-0</v>
          </cell>
          <cell r="J469" t="str">
            <v>EX24101704</v>
          </cell>
          <cell r="N469">
            <v>279.62000000000006</v>
          </cell>
          <cell r="T469" t="str">
            <v>gross</v>
          </cell>
        </row>
        <row r="470">
          <cell r="A470">
            <v>469</v>
          </cell>
          <cell r="C470" t="str">
            <v>469-0</v>
          </cell>
          <cell r="J470" t="str">
            <v>EX24101703G05</v>
          </cell>
          <cell r="N470">
            <v>0.5</v>
          </cell>
          <cell r="T470" t="str">
            <v>net</v>
          </cell>
        </row>
        <row r="471">
          <cell r="A471">
            <v>470</v>
          </cell>
          <cell r="C471" t="str">
            <v>470-0</v>
          </cell>
          <cell r="J471" t="str">
            <v>EX24101703G05</v>
          </cell>
          <cell r="N471">
            <v>0.5</v>
          </cell>
          <cell r="T471" t="str">
            <v>net</v>
          </cell>
        </row>
        <row r="472">
          <cell r="A472">
            <v>471</v>
          </cell>
          <cell r="C472" t="str">
            <v>471-0</v>
          </cell>
          <cell r="J472" t="str">
            <v>EX24101701G05</v>
          </cell>
          <cell r="N472">
            <v>0.5</v>
          </cell>
          <cell r="T472" t="str">
            <v>net</v>
          </cell>
        </row>
        <row r="473">
          <cell r="A473">
            <v>472</v>
          </cell>
          <cell r="C473" t="str">
            <v>472-0</v>
          </cell>
          <cell r="J473" t="str">
            <v>PR241105F5</v>
          </cell>
          <cell r="N473">
            <v>0.5</v>
          </cell>
          <cell r="T473" t="str">
            <v>net</v>
          </cell>
        </row>
        <row r="474">
          <cell r="A474">
            <v>473</v>
          </cell>
          <cell r="C474" t="str">
            <v>473-0</v>
          </cell>
          <cell r="J474" t="str">
            <v>EX24101703G05</v>
          </cell>
          <cell r="N474">
            <v>0.5</v>
          </cell>
          <cell r="T474" t="str">
            <v>net</v>
          </cell>
        </row>
        <row r="475">
          <cell r="A475">
            <v>474</v>
          </cell>
          <cell r="C475" t="str">
            <v>474-0</v>
          </cell>
          <cell r="J475" t="str">
            <v>PR241105F5</v>
          </cell>
          <cell r="N475">
            <v>0.5</v>
          </cell>
          <cell r="T475" t="str">
            <v>net</v>
          </cell>
        </row>
        <row r="476">
          <cell r="A476">
            <v>475</v>
          </cell>
          <cell r="C476" t="str">
            <v>475-0</v>
          </cell>
          <cell r="J476" t="str">
            <v>PR241105F5</v>
          </cell>
          <cell r="N476">
            <v>0.5</v>
          </cell>
          <cell r="T476" t="str">
            <v>net</v>
          </cell>
        </row>
        <row r="477">
          <cell r="A477">
            <v>476</v>
          </cell>
          <cell r="C477" t="str">
            <v>476-0</v>
          </cell>
          <cell r="J477" t="str">
            <v>PR241105F5</v>
          </cell>
          <cell r="N477">
            <v>0.5</v>
          </cell>
          <cell r="T477" t="str">
            <v>net</v>
          </cell>
        </row>
        <row r="478">
          <cell r="A478">
            <v>477</v>
          </cell>
          <cell r="C478" t="str">
            <v>477-0</v>
          </cell>
          <cell r="J478" t="str">
            <v>PR241101F5</v>
          </cell>
          <cell r="N478">
            <v>0.5</v>
          </cell>
          <cell r="T478" t="str">
            <v>net</v>
          </cell>
        </row>
        <row r="479">
          <cell r="A479">
            <v>478</v>
          </cell>
          <cell r="C479" t="str">
            <v>478-0</v>
          </cell>
          <cell r="J479" t="str">
            <v>PR241102F5</v>
          </cell>
          <cell r="N479">
            <v>0.5</v>
          </cell>
          <cell r="T479" t="str">
            <v>net</v>
          </cell>
        </row>
        <row r="480">
          <cell r="A480">
            <v>479</v>
          </cell>
          <cell r="C480" t="str">
            <v>479-0</v>
          </cell>
          <cell r="J480" t="str">
            <v>PR241102F5</v>
          </cell>
          <cell r="N480">
            <v>0.5</v>
          </cell>
          <cell r="T480" t="str">
            <v>net</v>
          </cell>
        </row>
        <row r="481">
          <cell r="A481">
            <v>480</v>
          </cell>
          <cell r="C481" t="str">
            <v>480-0</v>
          </cell>
          <cell r="J481" t="str">
            <v>PR241102F5</v>
          </cell>
          <cell r="N481">
            <v>0.5</v>
          </cell>
          <cell r="T481" t="str">
            <v>net</v>
          </cell>
        </row>
        <row r="482">
          <cell r="A482">
            <v>481</v>
          </cell>
          <cell r="C482" t="str">
            <v>481-0</v>
          </cell>
          <cell r="J482" t="str">
            <v>PR241102F5</v>
          </cell>
          <cell r="N482">
            <v>0.5</v>
          </cell>
          <cell r="T482" t="str">
            <v>net</v>
          </cell>
        </row>
        <row r="483">
          <cell r="A483">
            <v>482</v>
          </cell>
          <cell r="C483" t="str">
            <v>482-0</v>
          </cell>
          <cell r="J483" t="str">
            <v>PR241102F5P3</v>
          </cell>
          <cell r="N483">
            <v>0.5</v>
          </cell>
          <cell r="T483" t="str">
            <v>net</v>
          </cell>
        </row>
        <row r="484">
          <cell r="A484">
            <v>483</v>
          </cell>
          <cell r="C484" t="str">
            <v>483-0</v>
          </cell>
          <cell r="J484">
            <v>2024111201</v>
          </cell>
          <cell r="N484">
            <v>372.09999999999991</v>
          </cell>
          <cell r="T484" t="str">
            <v>gross</v>
          </cell>
        </row>
        <row r="485">
          <cell r="A485">
            <v>484</v>
          </cell>
          <cell r="C485" t="str">
            <v>484-0</v>
          </cell>
          <cell r="J485" t="str">
            <v>EX24100801V30</v>
          </cell>
          <cell r="N485">
            <v>27.3</v>
          </cell>
          <cell r="T485" t="str">
            <v>net</v>
          </cell>
        </row>
        <row r="486">
          <cell r="A486">
            <v>485</v>
          </cell>
          <cell r="C486" t="str">
            <v>485-0</v>
          </cell>
          <cell r="J486" t="str">
            <v>EX24100801V30</v>
          </cell>
          <cell r="N486">
            <v>27.3</v>
          </cell>
          <cell r="T486" t="str">
            <v>net</v>
          </cell>
        </row>
        <row r="487">
          <cell r="A487">
            <v>486</v>
          </cell>
          <cell r="C487" t="str">
            <v>486-0</v>
          </cell>
          <cell r="J487" t="str">
            <v>EX24100801V30</v>
          </cell>
          <cell r="N487">
            <v>27.3</v>
          </cell>
          <cell r="T487" t="str">
            <v>net</v>
          </cell>
        </row>
        <row r="488">
          <cell r="A488">
            <v>487</v>
          </cell>
          <cell r="C488" t="str">
            <v>487-0</v>
          </cell>
          <cell r="J488" t="str">
            <v>PR241105F5</v>
          </cell>
          <cell r="N488">
            <v>0.5</v>
          </cell>
          <cell r="T488" t="str">
            <v>net</v>
          </cell>
        </row>
        <row r="489">
          <cell r="A489">
            <v>488</v>
          </cell>
          <cell r="C489" t="str">
            <v>488-0</v>
          </cell>
          <cell r="J489" t="str">
            <v>PR241105F5</v>
          </cell>
          <cell r="N489">
            <v>0.5</v>
          </cell>
          <cell r="T489" t="str">
            <v>net</v>
          </cell>
        </row>
        <row r="490">
          <cell r="A490">
            <v>489</v>
          </cell>
          <cell r="C490" t="str">
            <v>489-0</v>
          </cell>
          <cell r="J490" t="str">
            <v>PR241105F5</v>
          </cell>
          <cell r="N490">
            <v>0.5</v>
          </cell>
          <cell r="T490" t="str">
            <v>net</v>
          </cell>
        </row>
        <row r="491">
          <cell r="A491">
            <v>490</v>
          </cell>
          <cell r="C491" t="str">
            <v>490-0</v>
          </cell>
          <cell r="J491" t="str">
            <v>EX24022302V30</v>
          </cell>
          <cell r="N491">
            <v>27.6</v>
          </cell>
          <cell r="T491" t="str">
            <v>net</v>
          </cell>
        </row>
        <row r="492">
          <cell r="A492">
            <v>491</v>
          </cell>
          <cell r="C492" t="str">
            <v>491-0</v>
          </cell>
          <cell r="J492" t="str">
            <v>EX24022302V30</v>
          </cell>
          <cell r="N492">
            <v>27.6</v>
          </cell>
          <cell r="T492" t="str">
            <v>net</v>
          </cell>
        </row>
        <row r="493">
          <cell r="A493">
            <v>492</v>
          </cell>
          <cell r="C493" t="str">
            <v>492-0</v>
          </cell>
          <cell r="J493">
            <v>2024110601</v>
          </cell>
          <cell r="N493">
            <v>3000</v>
          </cell>
          <cell r="T493" t="str">
            <v>gross</v>
          </cell>
        </row>
        <row r="494">
          <cell r="A494">
            <v>493</v>
          </cell>
          <cell r="C494" t="str">
            <v>493-0</v>
          </cell>
          <cell r="J494">
            <v>2024110601</v>
          </cell>
          <cell r="N494">
            <v>3000</v>
          </cell>
          <cell r="T494" t="str">
            <v>gross</v>
          </cell>
        </row>
        <row r="495">
          <cell r="A495">
            <v>494</v>
          </cell>
          <cell r="C495" t="str">
            <v>494-0</v>
          </cell>
          <cell r="J495">
            <v>2024110601</v>
          </cell>
          <cell r="N495">
            <v>3000</v>
          </cell>
          <cell r="T495" t="str">
            <v>gross</v>
          </cell>
        </row>
        <row r="496">
          <cell r="A496">
            <v>495</v>
          </cell>
          <cell r="C496" t="str">
            <v>495-0</v>
          </cell>
          <cell r="J496">
            <v>2024110601</v>
          </cell>
          <cell r="N496">
            <v>395</v>
          </cell>
          <cell r="T496" t="str">
            <v>gross</v>
          </cell>
        </row>
        <row r="497">
          <cell r="A497">
            <v>496</v>
          </cell>
          <cell r="C497" t="str">
            <v>496-0</v>
          </cell>
          <cell r="J497">
            <v>2024110601</v>
          </cell>
          <cell r="N497">
            <v>3000</v>
          </cell>
          <cell r="T497" t="str">
            <v>gross</v>
          </cell>
        </row>
        <row r="498">
          <cell r="A498">
            <v>497</v>
          </cell>
          <cell r="C498" t="str">
            <v>497-0</v>
          </cell>
          <cell r="J498">
            <v>2024110601</v>
          </cell>
          <cell r="N498">
            <v>1741</v>
          </cell>
          <cell r="T498" t="str">
            <v>gross</v>
          </cell>
        </row>
        <row r="499">
          <cell r="A499">
            <v>498</v>
          </cell>
          <cell r="C499" t="str">
            <v>498-0</v>
          </cell>
          <cell r="J499">
            <v>2024110601</v>
          </cell>
          <cell r="N499">
            <v>174</v>
          </cell>
          <cell r="T499" t="str">
            <v>gross</v>
          </cell>
        </row>
        <row r="500">
          <cell r="A500">
            <v>499</v>
          </cell>
          <cell r="C500" t="str">
            <v>499-0</v>
          </cell>
          <cell r="J500">
            <v>2024110601</v>
          </cell>
          <cell r="N500">
            <v>1553</v>
          </cell>
          <cell r="T500" t="str">
            <v>gross</v>
          </cell>
        </row>
        <row r="501">
          <cell r="A501">
            <v>500</v>
          </cell>
          <cell r="C501" t="str">
            <v>500-0</v>
          </cell>
          <cell r="J501">
            <v>24111304</v>
          </cell>
          <cell r="N501">
            <v>1472.8000000000002</v>
          </cell>
          <cell r="T501" t="str">
            <v>gross</v>
          </cell>
        </row>
        <row r="502">
          <cell r="A502">
            <v>501</v>
          </cell>
          <cell r="C502" t="str">
            <v>501-0</v>
          </cell>
          <cell r="J502">
            <v>24111305</v>
          </cell>
          <cell r="N502">
            <v>1479</v>
          </cell>
          <cell r="T502" t="str">
            <v>gross</v>
          </cell>
        </row>
        <row r="503">
          <cell r="A503">
            <v>502</v>
          </cell>
          <cell r="C503" t="str">
            <v>502-0</v>
          </cell>
          <cell r="J503" t="str">
            <v>PR241005F5P3</v>
          </cell>
          <cell r="N503">
            <v>1.5</v>
          </cell>
          <cell r="T503" t="str">
            <v>net</v>
          </cell>
        </row>
        <row r="504">
          <cell r="A504">
            <v>503</v>
          </cell>
          <cell r="C504" t="str">
            <v>503-0</v>
          </cell>
          <cell r="J504" t="str">
            <v>PR241102F5P3</v>
          </cell>
          <cell r="N504">
            <v>1.5</v>
          </cell>
          <cell r="T504" t="str">
            <v>net</v>
          </cell>
        </row>
        <row r="505">
          <cell r="A505">
            <v>504</v>
          </cell>
          <cell r="C505" t="str">
            <v>504-0</v>
          </cell>
          <cell r="J505" t="str">
            <v>PR241102F5</v>
          </cell>
          <cell r="N505">
            <v>0.5</v>
          </cell>
          <cell r="T505" t="str">
            <v>net</v>
          </cell>
        </row>
        <row r="506">
          <cell r="A506">
            <v>505</v>
          </cell>
          <cell r="C506" t="str">
            <v>505-0</v>
          </cell>
          <cell r="J506">
            <v>2024111201</v>
          </cell>
          <cell r="N506">
            <v>86.5</v>
          </cell>
          <cell r="T506" t="str">
            <v>gross</v>
          </cell>
        </row>
        <row r="507">
          <cell r="A507">
            <v>506</v>
          </cell>
          <cell r="C507" t="str">
            <v>506-0</v>
          </cell>
          <cell r="J507">
            <v>2024111901</v>
          </cell>
          <cell r="N507">
            <v>937</v>
          </cell>
          <cell r="T507" t="str">
            <v>gross</v>
          </cell>
        </row>
        <row r="508">
          <cell r="A508">
            <v>507</v>
          </cell>
          <cell r="C508" t="str">
            <v>507-0</v>
          </cell>
          <cell r="J508" t="str">
            <v>TP24101701</v>
          </cell>
          <cell r="N508">
            <v>88</v>
          </cell>
          <cell r="T508" t="str">
            <v>net</v>
          </cell>
        </row>
        <row r="509">
          <cell r="A509">
            <v>508</v>
          </cell>
          <cell r="C509" t="str">
            <v>508-0</v>
          </cell>
          <cell r="J509">
            <v>2024111802</v>
          </cell>
          <cell r="N509">
            <v>1945</v>
          </cell>
          <cell r="T509" t="str">
            <v>gross</v>
          </cell>
        </row>
        <row r="510">
          <cell r="A510">
            <v>509</v>
          </cell>
          <cell r="C510" t="str">
            <v>509-0</v>
          </cell>
          <cell r="J510">
            <v>2024111802</v>
          </cell>
          <cell r="N510">
            <v>3000</v>
          </cell>
          <cell r="T510" t="str">
            <v>gross</v>
          </cell>
        </row>
        <row r="511">
          <cell r="A511">
            <v>510</v>
          </cell>
          <cell r="C511" t="str">
            <v>510-0</v>
          </cell>
          <cell r="J511">
            <v>2024111802</v>
          </cell>
          <cell r="N511">
            <v>3000</v>
          </cell>
          <cell r="T511" t="str">
            <v>gross</v>
          </cell>
        </row>
        <row r="512">
          <cell r="A512">
            <v>511</v>
          </cell>
          <cell r="C512" t="str">
            <v>511-0</v>
          </cell>
          <cell r="J512">
            <v>2024111802</v>
          </cell>
          <cell r="N512">
            <v>3000</v>
          </cell>
          <cell r="T512" t="str">
            <v>gross</v>
          </cell>
        </row>
        <row r="513">
          <cell r="A513">
            <v>512</v>
          </cell>
          <cell r="C513" t="str">
            <v>512-0</v>
          </cell>
          <cell r="J513">
            <v>2024111801</v>
          </cell>
          <cell r="N513">
            <v>3000</v>
          </cell>
          <cell r="T513" t="str">
            <v>gross</v>
          </cell>
        </row>
        <row r="514">
          <cell r="A514">
            <v>513</v>
          </cell>
          <cell r="C514" t="str">
            <v>513-0</v>
          </cell>
          <cell r="J514">
            <v>2024111801</v>
          </cell>
          <cell r="N514">
            <v>3000</v>
          </cell>
          <cell r="T514" t="str">
            <v>gross</v>
          </cell>
        </row>
        <row r="515">
          <cell r="A515">
            <v>514</v>
          </cell>
          <cell r="C515" t="str">
            <v>514-0</v>
          </cell>
          <cell r="J515">
            <v>2024111801</v>
          </cell>
          <cell r="N515">
            <v>3000</v>
          </cell>
          <cell r="T515" t="str">
            <v>gross</v>
          </cell>
        </row>
        <row r="516">
          <cell r="A516">
            <v>515</v>
          </cell>
          <cell r="C516" t="str">
            <v>515-0</v>
          </cell>
          <cell r="J516">
            <v>2024111801</v>
          </cell>
          <cell r="N516">
            <v>3000</v>
          </cell>
          <cell r="T516" t="str">
            <v>gross</v>
          </cell>
        </row>
        <row r="517">
          <cell r="A517">
            <v>516</v>
          </cell>
          <cell r="C517" t="str">
            <v>516-0</v>
          </cell>
          <cell r="J517">
            <v>2024111801</v>
          </cell>
          <cell r="N517">
            <v>3159</v>
          </cell>
          <cell r="T517" t="str">
            <v>gross</v>
          </cell>
        </row>
        <row r="518">
          <cell r="A518">
            <v>517</v>
          </cell>
          <cell r="C518" t="str">
            <v>517-0</v>
          </cell>
          <cell r="J518">
            <v>2024111803</v>
          </cell>
          <cell r="N518">
            <v>938</v>
          </cell>
          <cell r="T518" t="str">
            <v>gross</v>
          </cell>
        </row>
        <row r="519">
          <cell r="A519">
            <v>518</v>
          </cell>
          <cell r="C519" t="str">
            <v>518-0</v>
          </cell>
          <cell r="J519">
            <v>2024111803</v>
          </cell>
          <cell r="N519">
            <v>3000</v>
          </cell>
          <cell r="T519" t="str">
            <v>gross</v>
          </cell>
        </row>
        <row r="520">
          <cell r="A520">
            <v>519</v>
          </cell>
          <cell r="C520" t="str">
            <v>519-0</v>
          </cell>
          <cell r="J520" t="str">
            <v>EX24111302</v>
          </cell>
          <cell r="N520">
            <v>300.63</v>
          </cell>
          <cell r="T520" t="str">
            <v>gross</v>
          </cell>
        </row>
        <row r="521">
          <cell r="A521">
            <v>520</v>
          </cell>
          <cell r="C521" t="str">
            <v>520-0</v>
          </cell>
          <cell r="J521" t="str">
            <v>EX24111301</v>
          </cell>
          <cell r="N521">
            <v>569.29999999999995</v>
          </cell>
          <cell r="T521" t="str">
            <v>gross</v>
          </cell>
        </row>
        <row r="522">
          <cell r="A522">
            <v>521</v>
          </cell>
          <cell r="C522" t="str">
            <v>521-0</v>
          </cell>
          <cell r="J522" t="str">
            <v>EX24111302</v>
          </cell>
          <cell r="N522">
            <v>280.59000000000003</v>
          </cell>
          <cell r="T522" t="str">
            <v>gross</v>
          </cell>
        </row>
        <row r="523">
          <cell r="A523">
            <v>522</v>
          </cell>
          <cell r="C523" t="str">
            <v>522-0</v>
          </cell>
          <cell r="J523" t="str">
            <v>PR2407F5P2</v>
          </cell>
          <cell r="N523">
            <v>1</v>
          </cell>
          <cell r="T523" t="str">
            <v>net</v>
          </cell>
        </row>
        <row r="524">
          <cell r="A524">
            <v>523</v>
          </cell>
          <cell r="C524" t="str">
            <v>523-0</v>
          </cell>
          <cell r="J524" t="str">
            <v>BS23090701G450</v>
          </cell>
          <cell r="N524">
            <v>450</v>
          </cell>
          <cell r="T524" t="str">
            <v>net</v>
          </cell>
        </row>
        <row r="525">
          <cell r="A525">
            <v>524</v>
          </cell>
          <cell r="C525" t="str">
            <v>524-0</v>
          </cell>
          <cell r="J525" t="str">
            <v>BS23041701</v>
          </cell>
          <cell r="N525">
            <v>26500</v>
          </cell>
          <cell r="T525" t="str">
            <v>gross</v>
          </cell>
        </row>
        <row r="526">
          <cell r="A526">
            <v>525</v>
          </cell>
          <cell r="C526" t="str">
            <v>525-0</v>
          </cell>
          <cell r="J526" t="str">
            <v>EX24111302G05</v>
          </cell>
          <cell r="N526">
            <v>0.5</v>
          </cell>
          <cell r="T526" t="str">
            <v>net</v>
          </cell>
        </row>
        <row r="527">
          <cell r="A527">
            <v>526</v>
          </cell>
          <cell r="C527" t="str">
            <v>526-0</v>
          </cell>
          <cell r="J527" t="str">
            <v>EX24111306G05</v>
          </cell>
          <cell r="N527">
            <v>0.5</v>
          </cell>
          <cell r="T527" t="str">
            <v>net</v>
          </cell>
        </row>
        <row r="528">
          <cell r="A528">
            <v>527</v>
          </cell>
          <cell r="C528" t="str">
            <v>527-0</v>
          </cell>
          <cell r="J528" t="str">
            <v>EX24101701G05</v>
          </cell>
          <cell r="N528">
            <v>0.5</v>
          </cell>
          <cell r="T528" t="str">
            <v>net</v>
          </cell>
        </row>
        <row r="529">
          <cell r="A529">
            <v>528</v>
          </cell>
          <cell r="C529" t="str">
            <v>528-0</v>
          </cell>
          <cell r="J529" t="str">
            <v>2024101703G7</v>
          </cell>
          <cell r="N529">
            <v>7</v>
          </cell>
          <cell r="T529" t="str">
            <v>net</v>
          </cell>
        </row>
        <row r="530">
          <cell r="A530">
            <v>529</v>
          </cell>
          <cell r="C530" t="str">
            <v>529-0</v>
          </cell>
          <cell r="J530" t="str">
            <v>PR241105F5P3</v>
          </cell>
          <cell r="N530">
            <v>1.5</v>
          </cell>
          <cell r="T530" t="str">
            <v>net</v>
          </cell>
        </row>
        <row r="531">
          <cell r="A531">
            <v>530</v>
          </cell>
          <cell r="C531" t="str">
            <v>530-0</v>
          </cell>
          <cell r="J531" t="str">
            <v>EX24101704G05</v>
          </cell>
          <cell r="N531">
            <v>0.5</v>
          </cell>
          <cell r="T531" t="str">
            <v>net</v>
          </cell>
        </row>
        <row r="532">
          <cell r="A532">
            <v>531</v>
          </cell>
          <cell r="C532" t="str">
            <v>531-0</v>
          </cell>
          <cell r="J532" t="str">
            <v>PR241104F5P3</v>
          </cell>
          <cell r="N532">
            <v>18</v>
          </cell>
          <cell r="T532" t="str">
            <v>net</v>
          </cell>
        </row>
        <row r="533">
          <cell r="A533">
            <v>532</v>
          </cell>
          <cell r="C533" t="str">
            <v>532-0</v>
          </cell>
          <cell r="J533">
            <v>2024120401</v>
          </cell>
          <cell r="N533">
            <v>688.5</v>
          </cell>
          <cell r="T533" t="str">
            <v>gross</v>
          </cell>
        </row>
        <row r="534">
          <cell r="A534">
            <v>533</v>
          </cell>
          <cell r="C534" t="str">
            <v>533-0</v>
          </cell>
          <cell r="J534" t="str">
            <v>PR2401F5P3</v>
          </cell>
          <cell r="N534">
            <v>18</v>
          </cell>
          <cell r="T534" t="str">
            <v>net</v>
          </cell>
        </row>
        <row r="535">
          <cell r="A535">
            <v>534</v>
          </cell>
          <cell r="C535" t="str">
            <v>534-0</v>
          </cell>
          <cell r="J535" t="str">
            <v>PR2303IN02F5P3</v>
          </cell>
          <cell r="N535">
            <v>9</v>
          </cell>
          <cell r="T535" t="str">
            <v>net</v>
          </cell>
        </row>
        <row r="536">
          <cell r="A536">
            <v>535</v>
          </cell>
          <cell r="C536" t="str">
            <v>535-0</v>
          </cell>
          <cell r="J536" t="str">
            <v>PR2401F5P3</v>
          </cell>
          <cell r="N536">
            <v>18</v>
          </cell>
          <cell r="T536" t="str">
            <v>net</v>
          </cell>
        </row>
        <row r="537">
          <cell r="A537">
            <v>536</v>
          </cell>
          <cell r="C537" t="str">
            <v>536-0</v>
          </cell>
          <cell r="J537">
            <v>2024120501</v>
          </cell>
          <cell r="N537">
            <v>830.5</v>
          </cell>
          <cell r="T537" t="str">
            <v>gross</v>
          </cell>
        </row>
        <row r="538">
          <cell r="A538">
            <v>537</v>
          </cell>
          <cell r="C538" t="str">
            <v>537-0</v>
          </cell>
          <cell r="J538">
            <v>2024120501</v>
          </cell>
          <cell r="N538">
            <v>930</v>
          </cell>
          <cell r="T538" t="str">
            <v>gross</v>
          </cell>
        </row>
        <row r="539">
          <cell r="A539">
            <v>538</v>
          </cell>
          <cell r="C539" t="str">
            <v>538-0</v>
          </cell>
          <cell r="J539">
            <v>2024120501</v>
          </cell>
          <cell r="N539">
            <v>560</v>
          </cell>
          <cell r="T539" t="str">
            <v>gross</v>
          </cell>
        </row>
        <row r="540">
          <cell r="A540">
            <v>539</v>
          </cell>
          <cell r="C540" t="str">
            <v>539-0</v>
          </cell>
          <cell r="J540">
            <v>2024120501</v>
          </cell>
          <cell r="N540">
            <v>1000</v>
          </cell>
          <cell r="T540" t="str">
            <v>gross</v>
          </cell>
        </row>
        <row r="541">
          <cell r="A541">
            <v>540</v>
          </cell>
          <cell r="C541" t="str">
            <v>540-0</v>
          </cell>
          <cell r="J541">
            <v>2024120501</v>
          </cell>
          <cell r="N541">
            <v>1000</v>
          </cell>
          <cell r="T541" t="str">
            <v>gross</v>
          </cell>
        </row>
        <row r="542">
          <cell r="A542">
            <v>541</v>
          </cell>
          <cell r="C542" t="str">
            <v>541-0</v>
          </cell>
          <cell r="J542">
            <v>2024120501</v>
          </cell>
          <cell r="N542">
            <v>1000</v>
          </cell>
          <cell r="T542" t="str">
            <v>gross</v>
          </cell>
        </row>
        <row r="543">
          <cell r="A543">
            <v>542</v>
          </cell>
          <cell r="C543" t="str">
            <v>542-0</v>
          </cell>
          <cell r="J543">
            <v>2024120501</v>
          </cell>
          <cell r="N543">
            <v>1000</v>
          </cell>
          <cell r="T543" t="str">
            <v>gross</v>
          </cell>
        </row>
        <row r="544">
          <cell r="A544">
            <v>543</v>
          </cell>
          <cell r="C544" t="str">
            <v>543-0</v>
          </cell>
          <cell r="J544">
            <v>2024120501</v>
          </cell>
          <cell r="N544">
            <v>555</v>
          </cell>
          <cell r="T544" t="str">
            <v>gross</v>
          </cell>
        </row>
        <row r="545">
          <cell r="A545">
            <v>544</v>
          </cell>
          <cell r="C545" t="str">
            <v>544-0</v>
          </cell>
          <cell r="J545">
            <v>2024120501</v>
          </cell>
          <cell r="N545">
            <v>940</v>
          </cell>
          <cell r="T545" t="str">
            <v>gross</v>
          </cell>
        </row>
        <row r="546">
          <cell r="A546">
            <v>545</v>
          </cell>
          <cell r="C546" t="str">
            <v>545-0</v>
          </cell>
          <cell r="J546">
            <v>2024120601</v>
          </cell>
          <cell r="N546">
            <v>1000</v>
          </cell>
          <cell r="T546" t="str">
            <v>gross</v>
          </cell>
        </row>
        <row r="547">
          <cell r="A547">
            <v>546</v>
          </cell>
          <cell r="C547" t="str">
            <v>546-0</v>
          </cell>
          <cell r="J547" t="str">
            <v>EX24101705G05</v>
          </cell>
          <cell r="N547">
            <v>0.5</v>
          </cell>
          <cell r="T547" t="str">
            <v>net</v>
          </cell>
        </row>
        <row r="548">
          <cell r="A548">
            <v>547</v>
          </cell>
          <cell r="C548" t="str">
            <v>547-0</v>
          </cell>
          <cell r="J548" t="str">
            <v>EX24101704G05</v>
          </cell>
          <cell r="N548">
            <v>0.5</v>
          </cell>
          <cell r="T548" t="str">
            <v>net</v>
          </cell>
        </row>
        <row r="549">
          <cell r="A549">
            <v>548</v>
          </cell>
          <cell r="C549" t="str">
            <v>548-0</v>
          </cell>
          <cell r="J549" t="str">
            <v>EX24111304G05</v>
          </cell>
          <cell r="N549">
            <v>0.5</v>
          </cell>
          <cell r="T549" t="str">
            <v>net</v>
          </cell>
        </row>
        <row r="550">
          <cell r="A550">
            <v>549</v>
          </cell>
          <cell r="C550" t="str">
            <v>549-0</v>
          </cell>
          <cell r="J550" t="str">
            <v>EX24111801V50</v>
          </cell>
          <cell r="N550">
            <v>600</v>
          </cell>
          <cell r="T550" t="str">
            <v>net</v>
          </cell>
        </row>
        <row r="551">
          <cell r="A551">
            <v>550</v>
          </cell>
          <cell r="C551" t="str">
            <v>550-0</v>
          </cell>
          <cell r="J551" t="str">
            <v>EX24111801V50</v>
          </cell>
          <cell r="N551">
            <v>600</v>
          </cell>
          <cell r="T551" t="str">
            <v>net</v>
          </cell>
        </row>
        <row r="552">
          <cell r="A552">
            <v>551</v>
          </cell>
          <cell r="C552" t="str">
            <v>551-0</v>
          </cell>
          <cell r="J552" t="str">
            <v>EX24092601V50</v>
          </cell>
          <cell r="N552">
            <v>600</v>
          </cell>
          <cell r="T552" t="str">
            <v>net</v>
          </cell>
        </row>
        <row r="553">
          <cell r="A553">
            <v>552</v>
          </cell>
          <cell r="C553" t="str">
            <v>552-0</v>
          </cell>
          <cell r="J553" t="str">
            <v>EX2402302V30</v>
          </cell>
          <cell r="N553">
            <v>165.60000000000002</v>
          </cell>
          <cell r="T553" t="str">
            <v>net</v>
          </cell>
        </row>
        <row r="554">
          <cell r="A554">
            <v>553</v>
          </cell>
          <cell r="C554" t="str">
            <v>553-0</v>
          </cell>
          <cell r="J554" t="str">
            <v>EX24111801V50</v>
          </cell>
          <cell r="N554">
            <v>50</v>
          </cell>
          <cell r="T554" t="str">
            <v>net</v>
          </cell>
        </row>
        <row r="555">
          <cell r="A555">
            <v>554</v>
          </cell>
          <cell r="C555" t="str">
            <v>554-0</v>
          </cell>
          <cell r="J555" t="str">
            <v>EX24111801V50</v>
          </cell>
          <cell r="N555">
            <v>50</v>
          </cell>
          <cell r="T555" t="str">
            <v>net</v>
          </cell>
        </row>
        <row r="556">
          <cell r="A556">
            <v>555</v>
          </cell>
          <cell r="C556" t="str">
            <v>555-0</v>
          </cell>
          <cell r="J556" t="str">
            <v>PR241104F5P3</v>
          </cell>
          <cell r="N556">
            <v>1.5</v>
          </cell>
          <cell r="T556" t="str">
            <v>net</v>
          </cell>
        </row>
        <row r="557">
          <cell r="A557">
            <v>556</v>
          </cell>
          <cell r="C557" t="str">
            <v>556-0</v>
          </cell>
          <cell r="J557">
            <v>2024120901</v>
          </cell>
          <cell r="N557">
            <v>722.40000000000009</v>
          </cell>
          <cell r="T557" t="str">
            <v>gross</v>
          </cell>
        </row>
        <row r="558">
          <cell r="A558">
            <v>557</v>
          </cell>
          <cell r="C558" t="str">
            <v>557-0</v>
          </cell>
          <cell r="J558" t="str">
            <v>EX24090501V50</v>
          </cell>
          <cell r="N558">
            <v>600</v>
          </cell>
          <cell r="T558" t="str">
            <v>net</v>
          </cell>
        </row>
        <row r="559">
          <cell r="A559">
            <v>558</v>
          </cell>
          <cell r="C559" t="str">
            <v>558-0</v>
          </cell>
          <cell r="J559" t="str">
            <v>EX24092601V50</v>
          </cell>
          <cell r="N559">
            <v>600</v>
          </cell>
          <cell r="T559" t="str">
            <v>net</v>
          </cell>
        </row>
        <row r="560">
          <cell r="A560">
            <v>559</v>
          </cell>
          <cell r="C560" t="str">
            <v>559-0</v>
          </cell>
          <cell r="J560" t="str">
            <v>EX24101703G05</v>
          </cell>
          <cell r="N560">
            <v>6</v>
          </cell>
          <cell r="T560" t="str">
            <v>net</v>
          </cell>
        </row>
        <row r="561">
          <cell r="A561">
            <v>560</v>
          </cell>
          <cell r="C561" t="str">
            <v>560-0</v>
          </cell>
          <cell r="J561" t="str">
            <v>EX24101705G05</v>
          </cell>
          <cell r="N561">
            <v>6</v>
          </cell>
          <cell r="T561" t="str">
            <v>net</v>
          </cell>
        </row>
        <row r="562">
          <cell r="A562">
            <v>561</v>
          </cell>
          <cell r="C562" t="str">
            <v>561-0</v>
          </cell>
          <cell r="J562" t="str">
            <v>EX24111302G05</v>
          </cell>
          <cell r="N562">
            <v>6</v>
          </cell>
          <cell r="T562" t="str">
            <v>net</v>
          </cell>
        </row>
        <row r="563">
          <cell r="A563">
            <v>562</v>
          </cell>
          <cell r="C563" t="str">
            <v>562-0</v>
          </cell>
          <cell r="J563" t="str">
            <v>EX24111306G05</v>
          </cell>
          <cell r="N563">
            <v>6</v>
          </cell>
          <cell r="T563" t="str">
            <v>net</v>
          </cell>
        </row>
        <row r="564">
          <cell r="A564">
            <v>563</v>
          </cell>
          <cell r="C564" t="str">
            <v>563-0</v>
          </cell>
          <cell r="J564" t="str">
            <v>PR241104F5P3</v>
          </cell>
          <cell r="N564">
            <v>18</v>
          </cell>
          <cell r="T564" t="str">
            <v>net</v>
          </cell>
        </row>
        <row r="565">
          <cell r="A565">
            <v>564</v>
          </cell>
          <cell r="C565" t="str">
            <v>564-0</v>
          </cell>
          <cell r="J565" t="str">
            <v>PR2407F5P2</v>
          </cell>
          <cell r="N565">
            <v>12</v>
          </cell>
          <cell r="T565" t="str">
            <v>net</v>
          </cell>
        </row>
        <row r="566">
          <cell r="A566">
            <v>565</v>
          </cell>
          <cell r="C566" t="str">
            <v>565-0</v>
          </cell>
          <cell r="J566" t="str">
            <v>PR241102F5P3</v>
          </cell>
          <cell r="N566">
            <v>18</v>
          </cell>
          <cell r="T566" t="str">
            <v>net</v>
          </cell>
        </row>
        <row r="567">
          <cell r="A567">
            <v>566</v>
          </cell>
          <cell r="C567" t="str">
            <v>566-0</v>
          </cell>
          <cell r="J567" t="str">
            <v>PR241102F5P3</v>
          </cell>
          <cell r="N567">
            <v>18</v>
          </cell>
          <cell r="T567" t="str">
            <v>net</v>
          </cell>
        </row>
        <row r="568">
          <cell r="A568">
            <v>567</v>
          </cell>
          <cell r="C568" t="str">
            <v>567-0</v>
          </cell>
          <cell r="J568" t="str">
            <v>PR241101F5P3</v>
          </cell>
          <cell r="N568">
            <v>18</v>
          </cell>
          <cell r="T568" t="str">
            <v>net</v>
          </cell>
        </row>
        <row r="569">
          <cell r="A569">
            <v>568</v>
          </cell>
          <cell r="C569" t="str">
            <v>568-0</v>
          </cell>
          <cell r="J569" t="str">
            <v>PR241005F5P3</v>
          </cell>
          <cell r="N569">
            <v>18</v>
          </cell>
          <cell r="T569" t="str">
            <v>net</v>
          </cell>
        </row>
        <row r="570">
          <cell r="A570">
            <v>569</v>
          </cell>
          <cell r="C570" t="str">
            <v>569-0</v>
          </cell>
          <cell r="J570" t="str">
            <v>PR2407F5P3</v>
          </cell>
          <cell r="N570">
            <v>18</v>
          </cell>
          <cell r="T570" t="str">
            <v>net</v>
          </cell>
        </row>
        <row r="571">
          <cell r="A571">
            <v>570</v>
          </cell>
          <cell r="C571" t="str">
            <v>570-0</v>
          </cell>
          <cell r="J571" t="str">
            <v>EX24111801V50</v>
          </cell>
          <cell r="N571">
            <v>50</v>
          </cell>
          <cell r="T571" t="str">
            <v>net</v>
          </cell>
        </row>
        <row r="572">
          <cell r="A572">
            <v>571</v>
          </cell>
          <cell r="C572" t="str">
            <v>571-0</v>
          </cell>
          <cell r="J572" t="str">
            <v>2024111801G7</v>
          </cell>
          <cell r="N572">
            <v>7</v>
          </cell>
          <cell r="T572" t="str">
            <v>net</v>
          </cell>
        </row>
        <row r="573">
          <cell r="A573">
            <v>572</v>
          </cell>
          <cell r="C573" t="str">
            <v>572-0</v>
          </cell>
          <cell r="J573" t="str">
            <v>2024111801G7</v>
          </cell>
          <cell r="N573">
            <v>7</v>
          </cell>
          <cell r="T573" t="str">
            <v>net</v>
          </cell>
        </row>
        <row r="574">
          <cell r="A574">
            <v>573</v>
          </cell>
          <cell r="C574" t="str">
            <v>573-0</v>
          </cell>
          <cell r="J574" t="str">
            <v>EX24111801V50</v>
          </cell>
          <cell r="N574">
            <v>50</v>
          </cell>
          <cell r="T574" t="str">
            <v>net</v>
          </cell>
        </row>
        <row r="575">
          <cell r="A575">
            <v>574</v>
          </cell>
          <cell r="C575" t="str">
            <v>574-0</v>
          </cell>
          <cell r="J575" t="str">
            <v>PR2416</v>
          </cell>
          <cell r="N575">
            <v>1930</v>
          </cell>
          <cell r="T575" t="str">
            <v>gross</v>
          </cell>
        </row>
        <row r="576">
          <cell r="A576">
            <v>575</v>
          </cell>
          <cell r="C576" t="str">
            <v>575-0</v>
          </cell>
          <cell r="J576" t="str">
            <v>PR2416</v>
          </cell>
          <cell r="N576">
            <v>2735</v>
          </cell>
          <cell r="T576" t="str">
            <v>gross</v>
          </cell>
        </row>
        <row r="577">
          <cell r="A577">
            <v>576</v>
          </cell>
          <cell r="C577" t="str">
            <v>576-0</v>
          </cell>
          <cell r="J577" t="str">
            <v>EX24111301G05</v>
          </cell>
          <cell r="N577">
            <v>0.5</v>
          </cell>
          <cell r="T577" t="str">
            <v>net</v>
          </cell>
        </row>
        <row r="578">
          <cell r="A578">
            <v>577</v>
          </cell>
          <cell r="C578" t="str">
            <v>577-0</v>
          </cell>
          <cell r="J578" t="str">
            <v>TP24120401G45</v>
          </cell>
          <cell r="N578">
            <v>45</v>
          </cell>
          <cell r="T578" t="str">
            <v>net</v>
          </cell>
        </row>
        <row r="579">
          <cell r="A579">
            <v>578</v>
          </cell>
          <cell r="C579" t="str">
            <v>578-0</v>
          </cell>
          <cell r="J579" t="str">
            <v>TP24120401G45</v>
          </cell>
          <cell r="N579">
            <v>45</v>
          </cell>
          <cell r="T579" t="str">
            <v>net</v>
          </cell>
        </row>
        <row r="580">
          <cell r="A580">
            <v>579</v>
          </cell>
          <cell r="C580" t="str">
            <v>579-0</v>
          </cell>
          <cell r="J580" t="str">
            <v>TP24120401</v>
          </cell>
          <cell r="N580">
            <v>23062</v>
          </cell>
          <cell r="T580" t="str">
            <v>gross</v>
          </cell>
        </row>
        <row r="581">
          <cell r="A581">
            <v>580</v>
          </cell>
          <cell r="C581" t="str">
            <v>580-0</v>
          </cell>
          <cell r="J581" t="str">
            <v>TP24120401</v>
          </cell>
          <cell r="N581">
            <v>5192</v>
          </cell>
          <cell r="T581" t="str">
            <v>gross</v>
          </cell>
        </row>
        <row r="582">
          <cell r="A582">
            <v>581</v>
          </cell>
          <cell r="C582" t="str">
            <v>581-0</v>
          </cell>
          <cell r="J582" t="str">
            <v>TP24120401</v>
          </cell>
          <cell r="N582">
            <v>22994</v>
          </cell>
          <cell r="T582" t="str">
            <v>gross</v>
          </cell>
        </row>
        <row r="583">
          <cell r="A583">
            <v>582</v>
          </cell>
          <cell r="C583" t="str">
            <v>582-0</v>
          </cell>
          <cell r="J583" t="str">
            <v>TP24120401</v>
          </cell>
          <cell r="N583">
            <v>1756</v>
          </cell>
          <cell r="T583" t="str">
            <v>gross</v>
          </cell>
        </row>
        <row r="584">
          <cell r="A584">
            <v>583</v>
          </cell>
          <cell r="C584" t="str">
            <v>583-0</v>
          </cell>
          <cell r="J584" t="str">
            <v>TP24120401</v>
          </cell>
          <cell r="N584">
            <v>1754</v>
          </cell>
          <cell r="T584" t="str">
            <v>gross</v>
          </cell>
        </row>
        <row r="585">
          <cell r="A585">
            <v>584</v>
          </cell>
          <cell r="C585" t="str">
            <v>584-0</v>
          </cell>
          <cell r="J585" t="str">
            <v>PR2416F5P10</v>
          </cell>
          <cell r="N585">
            <v>5</v>
          </cell>
          <cell r="T585" t="str">
            <v>net</v>
          </cell>
        </row>
        <row r="586">
          <cell r="A586">
            <v>585</v>
          </cell>
          <cell r="C586" t="str">
            <v>585-0</v>
          </cell>
          <cell r="J586" t="str">
            <v>TP24120401G45</v>
          </cell>
          <cell r="N586">
            <v>45</v>
          </cell>
          <cell r="T586" t="str">
            <v>net</v>
          </cell>
        </row>
        <row r="587">
          <cell r="A587">
            <v>586</v>
          </cell>
          <cell r="C587" t="str">
            <v>586-0</v>
          </cell>
          <cell r="J587" t="str">
            <v>TP24120401G45</v>
          </cell>
          <cell r="N587">
            <v>45</v>
          </cell>
          <cell r="T587" t="str">
            <v>net</v>
          </cell>
        </row>
        <row r="588">
          <cell r="A588">
            <v>587</v>
          </cell>
          <cell r="C588" t="str">
            <v>587-0</v>
          </cell>
          <cell r="J588">
            <v>2025010201</v>
          </cell>
          <cell r="N588">
            <v>4360</v>
          </cell>
          <cell r="T588" t="str">
            <v>gross</v>
          </cell>
        </row>
        <row r="589">
          <cell r="A589">
            <v>588</v>
          </cell>
          <cell r="C589" t="str">
            <v>588-0</v>
          </cell>
          <cell r="J589">
            <v>2025010201</v>
          </cell>
          <cell r="N589">
            <v>4360</v>
          </cell>
          <cell r="T589" t="str">
            <v>gross</v>
          </cell>
        </row>
        <row r="590">
          <cell r="A590">
            <v>589</v>
          </cell>
          <cell r="C590" t="str">
            <v>589-0</v>
          </cell>
          <cell r="J590">
            <v>2025010201</v>
          </cell>
          <cell r="N590">
            <v>4360</v>
          </cell>
          <cell r="T590" t="str">
            <v>gross</v>
          </cell>
        </row>
        <row r="591">
          <cell r="A591">
            <v>590</v>
          </cell>
          <cell r="C591" t="str">
            <v>590-0</v>
          </cell>
          <cell r="J591">
            <v>2025010201</v>
          </cell>
          <cell r="N591">
            <v>4360</v>
          </cell>
          <cell r="T591" t="str">
            <v>gross</v>
          </cell>
        </row>
        <row r="592">
          <cell r="A592">
            <v>591</v>
          </cell>
          <cell r="C592" t="str">
            <v>591-0</v>
          </cell>
          <cell r="J592">
            <v>2025010201</v>
          </cell>
          <cell r="N592">
            <v>4360</v>
          </cell>
          <cell r="T592" t="str">
            <v>gross</v>
          </cell>
        </row>
        <row r="593">
          <cell r="A593">
            <v>592</v>
          </cell>
          <cell r="C593" t="str">
            <v>592-0</v>
          </cell>
          <cell r="J593">
            <v>2024121801</v>
          </cell>
          <cell r="N593">
            <v>1000</v>
          </cell>
          <cell r="T593" t="str">
            <v>gross</v>
          </cell>
        </row>
        <row r="594">
          <cell r="A594">
            <v>593</v>
          </cell>
          <cell r="C594" t="str">
            <v>593-0</v>
          </cell>
          <cell r="J594">
            <v>2024121801</v>
          </cell>
          <cell r="N594">
            <v>1000</v>
          </cell>
          <cell r="T594" t="str">
            <v>gross</v>
          </cell>
        </row>
        <row r="595">
          <cell r="A595">
            <v>594</v>
          </cell>
          <cell r="C595" t="str">
            <v>594-0</v>
          </cell>
          <cell r="J595">
            <v>2024121801</v>
          </cell>
          <cell r="N595">
            <v>1000</v>
          </cell>
          <cell r="T595" t="str">
            <v>gross</v>
          </cell>
        </row>
        <row r="596">
          <cell r="A596">
            <v>595</v>
          </cell>
          <cell r="C596" t="str">
            <v>595-0</v>
          </cell>
          <cell r="J596">
            <v>2024121801</v>
          </cell>
          <cell r="N596">
            <v>1000</v>
          </cell>
          <cell r="T596" t="str">
            <v>gross</v>
          </cell>
        </row>
        <row r="597">
          <cell r="A597">
            <v>596</v>
          </cell>
          <cell r="C597" t="str">
            <v>596-0</v>
          </cell>
          <cell r="J597">
            <v>2024121801</v>
          </cell>
          <cell r="N597">
            <v>1000</v>
          </cell>
          <cell r="T597" t="str">
            <v>gross</v>
          </cell>
        </row>
        <row r="598">
          <cell r="A598">
            <v>597</v>
          </cell>
          <cell r="C598" t="str">
            <v>597-0</v>
          </cell>
          <cell r="J598">
            <v>2024121801</v>
          </cell>
          <cell r="N598">
            <v>1000</v>
          </cell>
          <cell r="T598" t="str">
            <v>gross</v>
          </cell>
        </row>
        <row r="599">
          <cell r="A599">
            <v>598</v>
          </cell>
          <cell r="C599" t="str">
            <v>598-0</v>
          </cell>
          <cell r="J599">
            <v>2024121801</v>
          </cell>
          <cell r="N599">
            <v>1000</v>
          </cell>
          <cell r="T599" t="str">
            <v>gross</v>
          </cell>
        </row>
        <row r="600">
          <cell r="A600">
            <v>599</v>
          </cell>
          <cell r="C600" t="str">
            <v>599-0</v>
          </cell>
          <cell r="J600">
            <v>2024121801</v>
          </cell>
          <cell r="N600">
            <v>1000</v>
          </cell>
          <cell r="T600" t="str">
            <v>gross</v>
          </cell>
        </row>
        <row r="601">
          <cell r="A601">
            <v>600</v>
          </cell>
          <cell r="C601" t="str">
            <v>600-0</v>
          </cell>
          <cell r="J601">
            <v>2024121801</v>
          </cell>
          <cell r="N601">
            <v>1133</v>
          </cell>
          <cell r="T601" t="str">
            <v>gross</v>
          </cell>
        </row>
        <row r="602">
          <cell r="A602">
            <v>601</v>
          </cell>
          <cell r="C602" t="str">
            <v>601-0</v>
          </cell>
          <cell r="J602">
            <v>2024121801</v>
          </cell>
          <cell r="N602">
            <v>1000</v>
          </cell>
          <cell r="T602" t="str">
            <v>gross</v>
          </cell>
        </row>
        <row r="603">
          <cell r="A603">
            <v>602</v>
          </cell>
          <cell r="C603" t="str">
            <v>602-0</v>
          </cell>
          <cell r="J603">
            <v>2024121801</v>
          </cell>
          <cell r="N603">
            <v>1000</v>
          </cell>
          <cell r="T603" t="str">
            <v>gross</v>
          </cell>
        </row>
        <row r="604">
          <cell r="A604">
            <v>603</v>
          </cell>
          <cell r="C604" t="str">
            <v>603-0</v>
          </cell>
          <cell r="J604">
            <v>2024121801</v>
          </cell>
          <cell r="N604">
            <v>1000</v>
          </cell>
          <cell r="T604" t="str">
            <v>gross</v>
          </cell>
        </row>
        <row r="605">
          <cell r="A605">
            <v>604</v>
          </cell>
          <cell r="C605" t="str">
            <v>604-0</v>
          </cell>
          <cell r="J605">
            <v>2024121801</v>
          </cell>
          <cell r="N605">
            <v>1000</v>
          </cell>
          <cell r="T605" t="str">
            <v>gross</v>
          </cell>
        </row>
        <row r="606">
          <cell r="A606">
            <v>605</v>
          </cell>
          <cell r="C606" t="str">
            <v>605-0</v>
          </cell>
          <cell r="J606">
            <v>2024121801</v>
          </cell>
          <cell r="N606">
            <v>995</v>
          </cell>
          <cell r="T606" t="str">
            <v>gross</v>
          </cell>
        </row>
        <row r="607">
          <cell r="A607">
            <v>606</v>
          </cell>
          <cell r="C607" t="str">
            <v>606-0</v>
          </cell>
          <cell r="J607">
            <v>2024121801</v>
          </cell>
          <cell r="N607">
            <v>1000</v>
          </cell>
          <cell r="T607" t="str">
            <v>gross</v>
          </cell>
        </row>
        <row r="608">
          <cell r="A608">
            <v>607</v>
          </cell>
          <cell r="C608" t="str">
            <v>607-0</v>
          </cell>
          <cell r="J608">
            <v>2024121801</v>
          </cell>
          <cell r="N608">
            <v>1000</v>
          </cell>
          <cell r="T608" t="str">
            <v>gross</v>
          </cell>
        </row>
        <row r="609">
          <cell r="A609">
            <v>608</v>
          </cell>
          <cell r="C609" t="str">
            <v>608-0</v>
          </cell>
          <cell r="J609">
            <v>2024121801</v>
          </cell>
          <cell r="N609">
            <v>1000</v>
          </cell>
          <cell r="T609" t="str">
            <v>gross</v>
          </cell>
        </row>
        <row r="610">
          <cell r="A610">
            <v>609</v>
          </cell>
          <cell r="C610" t="str">
            <v>609-0</v>
          </cell>
          <cell r="J610">
            <v>2024121801</v>
          </cell>
          <cell r="N610">
            <v>1000</v>
          </cell>
          <cell r="T610" t="str">
            <v>gross</v>
          </cell>
        </row>
        <row r="611">
          <cell r="A611">
            <v>610</v>
          </cell>
          <cell r="C611" t="str">
            <v>610-0</v>
          </cell>
          <cell r="J611">
            <v>2024121801</v>
          </cell>
          <cell r="N611">
            <v>1000</v>
          </cell>
          <cell r="T611" t="str">
            <v>gross</v>
          </cell>
        </row>
        <row r="612">
          <cell r="A612">
            <v>611</v>
          </cell>
          <cell r="C612" t="str">
            <v>611-0</v>
          </cell>
          <cell r="J612">
            <v>2024121801</v>
          </cell>
          <cell r="N612">
            <v>1000</v>
          </cell>
          <cell r="T612" t="str">
            <v>gross</v>
          </cell>
        </row>
        <row r="613">
          <cell r="A613">
            <v>612</v>
          </cell>
          <cell r="C613" t="str">
            <v>612-0</v>
          </cell>
          <cell r="J613">
            <v>2024121801</v>
          </cell>
          <cell r="N613">
            <v>1000</v>
          </cell>
          <cell r="T613" t="str">
            <v>gross</v>
          </cell>
        </row>
        <row r="614">
          <cell r="A614">
            <v>613</v>
          </cell>
          <cell r="C614" t="str">
            <v>613-0</v>
          </cell>
          <cell r="J614">
            <v>2024121801</v>
          </cell>
          <cell r="N614">
            <v>1000</v>
          </cell>
          <cell r="T614" t="str">
            <v>gross</v>
          </cell>
        </row>
        <row r="615">
          <cell r="A615">
            <v>614</v>
          </cell>
          <cell r="C615" t="str">
            <v>614-0</v>
          </cell>
          <cell r="J615">
            <v>2024121801</v>
          </cell>
          <cell r="N615">
            <v>1000</v>
          </cell>
          <cell r="T615" t="str">
            <v>gross</v>
          </cell>
        </row>
        <row r="616">
          <cell r="A616">
            <v>615</v>
          </cell>
          <cell r="C616" t="str">
            <v>615-0</v>
          </cell>
          <cell r="J616">
            <v>2024121801</v>
          </cell>
          <cell r="N616">
            <v>1000</v>
          </cell>
          <cell r="T616" t="str">
            <v>gross</v>
          </cell>
        </row>
        <row r="617">
          <cell r="A617">
            <v>616</v>
          </cell>
          <cell r="C617" t="str">
            <v>616-0</v>
          </cell>
          <cell r="J617">
            <v>2024121801</v>
          </cell>
          <cell r="N617">
            <v>1000</v>
          </cell>
          <cell r="T617" t="str">
            <v>gross</v>
          </cell>
        </row>
        <row r="618">
          <cell r="A618">
            <v>617</v>
          </cell>
          <cell r="C618" t="str">
            <v>617-0</v>
          </cell>
          <cell r="J618">
            <v>2024121801</v>
          </cell>
          <cell r="N618">
            <v>1000</v>
          </cell>
          <cell r="T618" t="str">
            <v>gross</v>
          </cell>
        </row>
        <row r="619">
          <cell r="A619">
            <v>618</v>
          </cell>
          <cell r="C619" t="str">
            <v>618-0</v>
          </cell>
          <cell r="J619">
            <v>2024121801</v>
          </cell>
          <cell r="N619">
            <v>1000</v>
          </cell>
          <cell r="T619" t="str">
            <v>gross</v>
          </cell>
        </row>
        <row r="620">
          <cell r="A620">
            <v>619</v>
          </cell>
          <cell r="C620" t="str">
            <v>619-0</v>
          </cell>
          <cell r="J620">
            <v>2024121801</v>
          </cell>
          <cell r="N620">
            <v>1000</v>
          </cell>
          <cell r="T620" t="str">
            <v>gross</v>
          </cell>
        </row>
        <row r="621">
          <cell r="A621">
            <v>620</v>
          </cell>
          <cell r="C621" t="str">
            <v>620-0</v>
          </cell>
          <cell r="J621">
            <v>2024121801</v>
          </cell>
          <cell r="N621">
            <v>1000</v>
          </cell>
          <cell r="T621" t="str">
            <v>gross</v>
          </cell>
        </row>
        <row r="622">
          <cell r="A622">
            <v>621</v>
          </cell>
          <cell r="C622" t="str">
            <v>621-0</v>
          </cell>
          <cell r="J622">
            <v>2024121801</v>
          </cell>
          <cell r="N622">
            <v>1000</v>
          </cell>
          <cell r="T622" t="str">
            <v>gross</v>
          </cell>
        </row>
        <row r="623">
          <cell r="A623">
            <v>622</v>
          </cell>
          <cell r="C623" t="str">
            <v>622-0</v>
          </cell>
          <cell r="J623">
            <v>2024121801</v>
          </cell>
          <cell r="N623">
            <v>1000</v>
          </cell>
          <cell r="T623" t="str">
            <v>gross</v>
          </cell>
        </row>
        <row r="624">
          <cell r="A624">
            <v>623</v>
          </cell>
          <cell r="C624" t="str">
            <v>623-0</v>
          </cell>
          <cell r="J624">
            <v>2024121801</v>
          </cell>
          <cell r="N624">
            <v>1000</v>
          </cell>
          <cell r="T624" t="str">
            <v>gross</v>
          </cell>
        </row>
        <row r="625">
          <cell r="A625">
            <v>624</v>
          </cell>
          <cell r="C625" t="str">
            <v>624-0</v>
          </cell>
          <cell r="J625">
            <v>2024121801</v>
          </cell>
          <cell r="N625">
            <v>1000</v>
          </cell>
          <cell r="T625" t="str">
            <v>gross</v>
          </cell>
        </row>
        <row r="626">
          <cell r="A626">
            <v>736</v>
          </cell>
          <cell r="C626" t="str">
            <v>736-0</v>
          </cell>
          <cell r="J626">
            <v>2024121801</v>
          </cell>
          <cell r="N626">
            <v>1000</v>
          </cell>
          <cell r="T626" t="str">
            <v>gross</v>
          </cell>
        </row>
        <row r="627">
          <cell r="A627">
            <v>625</v>
          </cell>
          <cell r="C627" t="str">
            <v>625-0</v>
          </cell>
          <cell r="J627" t="str">
            <v>EX25010907G1</v>
          </cell>
          <cell r="N627">
            <v>1</v>
          </cell>
          <cell r="T627" t="str">
            <v>net</v>
          </cell>
        </row>
        <row r="628">
          <cell r="A628">
            <v>626</v>
          </cell>
          <cell r="C628" t="str">
            <v>626-0</v>
          </cell>
          <cell r="J628" t="str">
            <v>EX24111301G05</v>
          </cell>
          <cell r="N628">
            <v>0.5</v>
          </cell>
          <cell r="T628" t="str">
            <v>net</v>
          </cell>
        </row>
        <row r="629">
          <cell r="A629">
            <v>627</v>
          </cell>
          <cell r="C629" t="str">
            <v>627-0</v>
          </cell>
          <cell r="J629" t="str">
            <v>2022012401G28</v>
          </cell>
          <cell r="N629">
            <v>28</v>
          </cell>
          <cell r="T629" t="str">
            <v>net</v>
          </cell>
        </row>
        <row r="630">
          <cell r="A630">
            <v>628</v>
          </cell>
          <cell r="C630" t="str">
            <v>628-0</v>
          </cell>
          <cell r="J630" t="str">
            <v>CPR22102001G1</v>
          </cell>
          <cell r="N630">
            <v>1</v>
          </cell>
          <cell r="T630" t="str">
            <v>net</v>
          </cell>
        </row>
        <row r="631">
          <cell r="A631">
            <v>629</v>
          </cell>
          <cell r="C631" t="str">
            <v>629-0</v>
          </cell>
          <cell r="J631" t="str">
            <v>PR2301F35P12</v>
          </cell>
          <cell r="N631">
            <v>4.1999999999999993</v>
          </cell>
          <cell r="T631" t="str">
            <v>net</v>
          </cell>
        </row>
        <row r="632">
          <cell r="A632">
            <v>630</v>
          </cell>
          <cell r="C632" t="str">
            <v>630-0</v>
          </cell>
          <cell r="J632" t="str">
            <v>PR2401F5P2</v>
          </cell>
          <cell r="N632">
            <v>1</v>
          </cell>
          <cell r="T632" t="str">
            <v>net</v>
          </cell>
        </row>
        <row r="633">
          <cell r="A633">
            <v>631</v>
          </cell>
          <cell r="C633" t="str">
            <v>631-0</v>
          </cell>
          <cell r="J633" t="str">
            <v>PR2501</v>
          </cell>
          <cell r="N633">
            <v>2769</v>
          </cell>
          <cell r="T633" t="str">
            <v>gross</v>
          </cell>
        </row>
        <row r="634">
          <cell r="A634">
            <v>632</v>
          </cell>
          <cell r="C634" t="str">
            <v>632-0</v>
          </cell>
          <cell r="J634" t="str">
            <v>PR2501</v>
          </cell>
          <cell r="N634">
            <v>3093</v>
          </cell>
          <cell r="T634" t="str">
            <v>gross</v>
          </cell>
        </row>
        <row r="635">
          <cell r="A635">
            <v>633</v>
          </cell>
          <cell r="C635" t="str">
            <v>633-0</v>
          </cell>
          <cell r="J635" t="str">
            <v>PR2501</v>
          </cell>
          <cell r="N635">
            <v>3491</v>
          </cell>
          <cell r="T635" t="str">
            <v>gross</v>
          </cell>
        </row>
        <row r="636">
          <cell r="A636">
            <v>634</v>
          </cell>
          <cell r="C636" t="str">
            <v>634-0</v>
          </cell>
          <cell r="J636" t="str">
            <v>PR2502</v>
          </cell>
          <cell r="N636">
            <v>1857</v>
          </cell>
          <cell r="T636" t="str">
            <v>gross</v>
          </cell>
        </row>
        <row r="637">
          <cell r="A637">
            <v>635</v>
          </cell>
          <cell r="C637" t="str">
            <v>635-0</v>
          </cell>
          <cell r="J637" t="str">
            <v>EX25010601V30</v>
          </cell>
          <cell r="N637">
            <v>2401.2000000000003</v>
          </cell>
          <cell r="T637" t="str">
            <v>net</v>
          </cell>
        </row>
        <row r="638">
          <cell r="A638">
            <v>636</v>
          </cell>
          <cell r="C638" t="str">
            <v>636-0</v>
          </cell>
          <cell r="J638">
            <v>2025012801</v>
          </cell>
          <cell r="N638">
            <v>2005</v>
          </cell>
          <cell r="T638" t="str">
            <v>gross</v>
          </cell>
        </row>
        <row r="639">
          <cell r="A639">
            <v>637</v>
          </cell>
          <cell r="C639" t="str">
            <v>637-0</v>
          </cell>
          <cell r="J639" t="str">
            <v>PR21071201G1</v>
          </cell>
          <cell r="N639">
            <v>1</v>
          </cell>
          <cell r="T639" t="str">
            <v>net</v>
          </cell>
        </row>
        <row r="640">
          <cell r="A640">
            <v>638</v>
          </cell>
          <cell r="C640" t="str">
            <v>638-0</v>
          </cell>
          <cell r="J640" t="str">
            <v>EX25011501V50</v>
          </cell>
          <cell r="N640">
            <v>50</v>
          </cell>
          <cell r="T640" t="str">
            <v>net</v>
          </cell>
        </row>
        <row r="641">
          <cell r="A641">
            <v>639</v>
          </cell>
          <cell r="C641" t="str">
            <v>639-0</v>
          </cell>
          <cell r="J641" t="str">
            <v>EX25011501V50</v>
          </cell>
          <cell r="N641">
            <v>50</v>
          </cell>
          <cell r="T641" t="str">
            <v>net</v>
          </cell>
        </row>
        <row r="642">
          <cell r="A642">
            <v>640</v>
          </cell>
          <cell r="C642" t="str">
            <v>640-0</v>
          </cell>
          <cell r="J642" t="str">
            <v>EX25011501V50</v>
          </cell>
          <cell r="N642">
            <v>50</v>
          </cell>
          <cell r="T642" t="str">
            <v>net</v>
          </cell>
        </row>
        <row r="643">
          <cell r="A643">
            <v>641</v>
          </cell>
          <cell r="C643" t="str">
            <v>641-0</v>
          </cell>
          <cell r="J643" t="str">
            <v>PR2505</v>
          </cell>
          <cell r="N643">
            <v>4188</v>
          </cell>
          <cell r="T643" t="str">
            <v>gross</v>
          </cell>
        </row>
        <row r="644">
          <cell r="A644">
            <v>642</v>
          </cell>
          <cell r="C644" t="str">
            <v>642-0</v>
          </cell>
          <cell r="J644" t="str">
            <v>PR2505</v>
          </cell>
          <cell r="N644">
            <v>2676</v>
          </cell>
          <cell r="T644" t="str">
            <v>gross</v>
          </cell>
        </row>
        <row r="645">
          <cell r="A645">
            <v>643</v>
          </cell>
          <cell r="C645" t="str">
            <v>643-0</v>
          </cell>
          <cell r="J645" t="str">
            <v>PR2505</v>
          </cell>
          <cell r="N645">
            <v>4153</v>
          </cell>
          <cell r="T645" t="str">
            <v>gross</v>
          </cell>
        </row>
        <row r="646">
          <cell r="A646">
            <v>644</v>
          </cell>
          <cell r="C646" t="str">
            <v>644-0</v>
          </cell>
          <cell r="J646" t="str">
            <v>PR2506</v>
          </cell>
          <cell r="N646">
            <v>2643</v>
          </cell>
          <cell r="T646" t="str">
            <v>gross</v>
          </cell>
        </row>
        <row r="647">
          <cell r="A647">
            <v>645</v>
          </cell>
          <cell r="C647" t="str">
            <v>645-0</v>
          </cell>
          <cell r="J647" t="str">
            <v>EX25020601</v>
          </cell>
          <cell r="N647">
            <v>278.02000000000004</v>
          </cell>
          <cell r="T647" t="str">
            <v>gross</v>
          </cell>
        </row>
        <row r="648">
          <cell r="A648">
            <v>646</v>
          </cell>
          <cell r="C648" t="str">
            <v>646-0</v>
          </cell>
          <cell r="J648">
            <v>2025021901</v>
          </cell>
          <cell r="N648">
            <v>591.6</v>
          </cell>
          <cell r="T648" t="str">
            <v>gross</v>
          </cell>
        </row>
        <row r="649">
          <cell r="A649">
            <v>647</v>
          </cell>
          <cell r="C649" t="str">
            <v>647-0</v>
          </cell>
          <cell r="J649" t="str">
            <v>KALEX25001</v>
          </cell>
          <cell r="N649">
            <v>225.32</v>
          </cell>
          <cell r="T649" t="str">
            <v>gross</v>
          </cell>
        </row>
        <row r="650">
          <cell r="A650">
            <v>648</v>
          </cell>
          <cell r="C650" t="str">
            <v>648-0</v>
          </cell>
          <cell r="J650" t="str">
            <v>KALEX25001</v>
          </cell>
          <cell r="N650">
            <v>250.45999999999998</v>
          </cell>
          <cell r="T650" t="str">
            <v>gross</v>
          </cell>
        </row>
        <row r="651">
          <cell r="A651">
            <v>649</v>
          </cell>
          <cell r="C651" t="str">
            <v>649-0</v>
          </cell>
          <cell r="J651" t="str">
            <v>EX25022105</v>
          </cell>
          <cell r="N651">
            <v>276.12000000000006</v>
          </cell>
          <cell r="T651" t="str">
            <v>gross</v>
          </cell>
        </row>
        <row r="652">
          <cell r="A652">
            <v>650</v>
          </cell>
          <cell r="C652" t="str">
            <v>650-0</v>
          </cell>
          <cell r="J652" t="str">
            <v>PR2501F5P10</v>
          </cell>
          <cell r="N652">
            <v>5</v>
          </cell>
          <cell r="T652" t="str">
            <v>net</v>
          </cell>
        </row>
        <row r="653">
          <cell r="A653">
            <v>651</v>
          </cell>
          <cell r="C653" t="str">
            <v>651-0</v>
          </cell>
          <cell r="J653" t="str">
            <v>EX25012101V50</v>
          </cell>
          <cell r="N653">
            <v>50</v>
          </cell>
          <cell r="T653" t="str">
            <v>net</v>
          </cell>
        </row>
        <row r="654">
          <cell r="A654">
            <v>652</v>
          </cell>
          <cell r="C654" t="str">
            <v>652-0</v>
          </cell>
          <cell r="J654" t="str">
            <v>EX25012101V50</v>
          </cell>
          <cell r="N654">
            <v>50</v>
          </cell>
          <cell r="T654" t="str">
            <v>net</v>
          </cell>
        </row>
        <row r="655">
          <cell r="A655">
            <v>653</v>
          </cell>
          <cell r="C655" t="str">
            <v>653-0</v>
          </cell>
          <cell r="J655" t="str">
            <v>PR241101F5P3</v>
          </cell>
          <cell r="N655">
            <v>1.5</v>
          </cell>
          <cell r="T655" t="str">
            <v>net</v>
          </cell>
        </row>
        <row r="656">
          <cell r="A656">
            <v>654</v>
          </cell>
          <cell r="C656" t="str">
            <v>654-0</v>
          </cell>
          <cell r="J656" t="str">
            <v>EX25020601G1</v>
          </cell>
          <cell r="N656">
            <v>1</v>
          </cell>
          <cell r="T656" t="str">
            <v>net</v>
          </cell>
        </row>
        <row r="657">
          <cell r="A657">
            <v>655</v>
          </cell>
          <cell r="C657" t="str">
            <v>655-0</v>
          </cell>
          <cell r="J657" t="str">
            <v>EX25011501V50</v>
          </cell>
          <cell r="N657">
            <v>600</v>
          </cell>
          <cell r="T657" t="str">
            <v>net</v>
          </cell>
        </row>
        <row r="658">
          <cell r="A658">
            <v>656</v>
          </cell>
          <cell r="C658" t="str">
            <v>656-0</v>
          </cell>
          <cell r="J658" t="str">
            <v>EX25012101V50</v>
          </cell>
          <cell r="N658">
            <v>600</v>
          </cell>
          <cell r="T658" t="str">
            <v>net</v>
          </cell>
        </row>
        <row r="659">
          <cell r="A659">
            <v>657</v>
          </cell>
          <cell r="C659" t="str">
            <v>657-0</v>
          </cell>
          <cell r="J659" t="str">
            <v>EX25011201V50</v>
          </cell>
          <cell r="N659">
            <v>50</v>
          </cell>
          <cell r="T659" t="str">
            <v>net</v>
          </cell>
        </row>
        <row r="660">
          <cell r="A660">
            <v>658</v>
          </cell>
          <cell r="C660" t="str">
            <v>658-0</v>
          </cell>
          <cell r="J660" t="str">
            <v>PR2507</v>
          </cell>
          <cell r="N660">
            <v>4045</v>
          </cell>
          <cell r="T660" t="str">
            <v>gross</v>
          </cell>
        </row>
        <row r="661">
          <cell r="A661">
            <v>659</v>
          </cell>
          <cell r="C661" t="str">
            <v>659-0</v>
          </cell>
          <cell r="J661" t="str">
            <v>PR2507</v>
          </cell>
          <cell r="N661">
            <v>4692</v>
          </cell>
          <cell r="T661" t="str">
            <v>gross</v>
          </cell>
        </row>
        <row r="662">
          <cell r="A662">
            <v>660</v>
          </cell>
          <cell r="C662" t="str">
            <v>660-0</v>
          </cell>
          <cell r="J662">
            <v>2025021301</v>
          </cell>
          <cell r="N662">
            <v>725</v>
          </cell>
          <cell r="T662" t="str">
            <v>gross</v>
          </cell>
        </row>
        <row r="663">
          <cell r="A663">
            <v>661</v>
          </cell>
          <cell r="C663" t="str">
            <v>661-0</v>
          </cell>
          <cell r="J663" t="str">
            <v>2022012401G28</v>
          </cell>
          <cell r="N663">
            <v>28</v>
          </cell>
          <cell r="T663" t="str">
            <v>net</v>
          </cell>
        </row>
        <row r="664">
          <cell r="A664">
            <v>662</v>
          </cell>
          <cell r="C664" t="str">
            <v>662-0</v>
          </cell>
          <cell r="J664" t="str">
            <v>PR21071201G1</v>
          </cell>
          <cell r="N664">
            <v>24</v>
          </cell>
          <cell r="T664" t="str">
            <v>net</v>
          </cell>
        </row>
        <row r="665">
          <cell r="A665">
            <v>663</v>
          </cell>
          <cell r="C665" t="str">
            <v>663-0</v>
          </cell>
          <cell r="J665" t="str">
            <v>PR2501F5</v>
          </cell>
          <cell r="N665">
            <v>0.5</v>
          </cell>
          <cell r="T665" t="str">
            <v>net</v>
          </cell>
        </row>
        <row r="666">
          <cell r="A666">
            <v>664</v>
          </cell>
          <cell r="C666" t="str">
            <v>664-0</v>
          </cell>
          <cell r="J666" t="str">
            <v>EX25010907G1</v>
          </cell>
          <cell r="N666">
            <v>1</v>
          </cell>
          <cell r="T666" t="str">
            <v>net</v>
          </cell>
        </row>
        <row r="667">
          <cell r="A667">
            <v>665</v>
          </cell>
          <cell r="C667" t="str">
            <v>665-0</v>
          </cell>
          <cell r="J667" t="str">
            <v>EX24111302G05</v>
          </cell>
          <cell r="N667">
            <v>0.5</v>
          </cell>
          <cell r="T667" t="str">
            <v>net</v>
          </cell>
        </row>
        <row r="668">
          <cell r="A668">
            <v>666</v>
          </cell>
          <cell r="C668" t="str">
            <v>666-0</v>
          </cell>
          <cell r="J668" t="str">
            <v>DI22120501V30</v>
          </cell>
          <cell r="N668">
            <v>27.8</v>
          </cell>
          <cell r="T668" t="str">
            <v>net</v>
          </cell>
        </row>
        <row r="669">
          <cell r="A669">
            <v>667</v>
          </cell>
          <cell r="C669" t="str">
            <v>667-0</v>
          </cell>
          <cell r="J669" t="str">
            <v>EX25020601G05</v>
          </cell>
          <cell r="N669">
            <v>0.5</v>
          </cell>
          <cell r="T669" t="str">
            <v>net</v>
          </cell>
        </row>
        <row r="670">
          <cell r="A670">
            <v>668</v>
          </cell>
          <cell r="C670" t="str">
            <v>668-0</v>
          </cell>
          <cell r="J670" t="str">
            <v>PH23051101</v>
          </cell>
          <cell r="N670">
            <v>1</v>
          </cell>
          <cell r="T670" t="str">
            <v>net</v>
          </cell>
        </row>
        <row r="671">
          <cell r="A671">
            <v>669</v>
          </cell>
          <cell r="C671" t="str">
            <v>669-0</v>
          </cell>
          <cell r="J671" t="str">
            <v>BH231221</v>
          </cell>
          <cell r="N671">
            <v>1</v>
          </cell>
          <cell r="T671" t="str">
            <v>net</v>
          </cell>
        </row>
        <row r="672">
          <cell r="A672">
            <v>670</v>
          </cell>
          <cell r="C672" t="str">
            <v>670-0</v>
          </cell>
          <cell r="J672" t="str">
            <v>CW2103051</v>
          </cell>
          <cell r="N672">
            <v>1</v>
          </cell>
          <cell r="T672" t="str">
            <v>net</v>
          </cell>
        </row>
        <row r="673">
          <cell r="A673">
            <v>671</v>
          </cell>
          <cell r="C673" t="str">
            <v>671-0</v>
          </cell>
          <cell r="J673" t="str">
            <v>CW22011701</v>
          </cell>
          <cell r="N673">
            <v>1</v>
          </cell>
          <cell r="T673" t="str">
            <v>net</v>
          </cell>
        </row>
        <row r="674">
          <cell r="A674">
            <v>672</v>
          </cell>
          <cell r="C674" t="str">
            <v>672-0</v>
          </cell>
          <cell r="J674" t="str">
            <v>RP2021072101</v>
          </cell>
          <cell r="N674">
            <v>1</v>
          </cell>
          <cell r="T674" t="str">
            <v>net</v>
          </cell>
        </row>
        <row r="675">
          <cell r="A675">
            <v>673</v>
          </cell>
          <cell r="C675" t="str">
            <v>673-0</v>
          </cell>
          <cell r="J675" t="str">
            <v>CW20210507-01A</v>
          </cell>
          <cell r="N675">
            <v>1</v>
          </cell>
          <cell r="T675" t="str">
            <v>net</v>
          </cell>
        </row>
        <row r="676">
          <cell r="A676">
            <v>674</v>
          </cell>
          <cell r="C676" t="str">
            <v>674-0</v>
          </cell>
          <cell r="J676" t="str">
            <v>RP24001</v>
          </cell>
          <cell r="N676">
            <v>1</v>
          </cell>
          <cell r="T676" t="str">
            <v>net</v>
          </cell>
        </row>
        <row r="677">
          <cell r="A677">
            <v>675</v>
          </cell>
          <cell r="C677" t="str">
            <v>675-0</v>
          </cell>
          <cell r="J677" t="str">
            <v>DI22110901V30</v>
          </cell>
          <cell r="N677">
            <v>1</v>
          </cell>
          <cell r="T677" t="str">
            <v>net</v>
          </cell>
        </row>
        <row r="678">
          <cell r="A678">
            <v>676</v>
          </cell>
          <cell r="C678" t="str">
            <v>676-0</v>
          </cell>
          <cell r="J678" t="str">
            <v>FP23006</v>
          </cell>
          <cell r="N678">
            <v>1</v>
          </cell>
          <cell r="T678" t="str">
            <v>net</v>
          </cell>
        </row>
        <row r="679">
          <cell r="A679">
            <v>677</v>
          </cell>
          <cell r="C679" t="str">
            <v>677-0</v>
          </cell>
          <cell r="J679">
            <v>2025021303</v>
          </cell>
          <cell r="N679">
            <v>782</v>
          </cell>
          <cell r="T679" t="str">
            <v>gross</v>
          </cell>
        </row>
        <row r="680">
          <cell r="A680">
            <v>678</v>
          </cell>
          <cell r="C680" t="str">
            <v>678-0</v>
          </cell>
          <cell r="J680">
            <v>2025021303</v>
          </cell>
          <cell r="N680">
            <v>835</v>
          </cell>
          <cell r="T680" t="str">
            <v>gross</v>
          </cell>
        </row>
        <row r="681">
          <cell r="A681">
            <v>679</v>
          </cell>
          <cell r="C681" t="str">
            <v>679-0</v>
          </cell>
          <cell r="J681">
            <v>2025021303</v>
          </cell>
          <cell r="N681">
            <v>899</v>
          </cell>
          <cell r="T681" t="str">
            <v>gross</v>
          </cell>
        </row>
        <row r="682">
          <cell r="A682">
            <v>680</v>
          </cell>
          <cell r="C682" t="str">
            <v>680-0</v>
          </cell>
          <cell r="J682">
            <v>2025021301</v>
          </cell>
          <cell r="N682">
            <v>587.5</v>
          </cell>
          <cell r="T682" t="str">
            <v>gross</v>
          </cell>
        </row>
        <row r="683">
          <cell r="A683">
            <v>681</v>
          </cell>
          <cell r="C683" t="str">
            <v>681-0</v>
          </cell>
          <cell r="J683">
            <v>2025021301</v>
          </cell>
          <cell r="N683">
            <v>592.29999999999995</v>
          </cell>
          <cell r="T683" t="str">
            <v>gross</v>
          </cell>
        </row>
        <row r="684">
          <cell r="A684">
            <v>682</v>
          </cell>
          <cell r="C684" t="str">
            <v>682-0</v>
          </cell>
          <cell r="J684">
            <v>2025021301</v>
          </cell>
          <cell r="N684">
            <v>592.5</v>
          </cell>
          <cell r="T684" t="str">
            <v>gross</v>
          </cell>
        </row>
        <row r="685">
          <cell r="A685">
            <v>683</v>
          </cell>
          <cell r="C685" t="str">
            <v>683-0</v>
          </cell>
          <cell r="J685">
            <v>2025021301</v>
          </cell>
          <cell r="N685">
            <v>597.5</v>
          </cell>
          <cell r="T685" t="str">
            <v>gross</v>
          </cell>
        </row>
        <row r="686">
          <cell r="A686">
            <v>684</v>
          </cell>
          <cell r="C686" t="str">
            <v>684-0</v>
          </cell>
          <cell r="J686">
            <v>2025021301</v>
          </cell>
          <cell r="N686">
            <v>627.5</v>
          </cell>
          <cell r="T686" t="str">
            <v>gross</v>
          </cell>
        </row>
        <row r="687">
          <cell r="A687">
            <v>685</v>
          </cell>
          <cell r="C687" t="str">
            <v>685-0</v>
          </cell>
          <cell r="J687">
            <v>2025021301</v>
          </cell>
          <cell r="N687">
            <v>607.5</v>
          </cell>
          <cell r="T687" t="str">
            <v>gross</v>
          </cell>
        </row>
        <row r="688">
          <cell r="A688">
            <v>686</v>
          </cell>
          <cell r="C688" t="str">
            <v>686-0</v>
          </cell>
          <cell r="J688">
            <v>2025021301</v>
          </cell>
          <cell r="N688">
            <v>497.5</v>
          </cell>
          <cell r="T688" t="str">
            <v>gross</v>
          </cell>
        </row>
        <row r="689">
          <cell r="A689">
            <v>687</v>
          </cell>
          <cell r="C689" t="str">
            <v>687-0</v>
          </cell>
          <cell r="J689">
            <v>2025021301</v>
          </cell>
          <cell r="N689">
            <v>697.5</v>
          </cell>
          <cell r="T689" t="str">
            <v>gross</v>
          </cell>
        </row>
        <row r="690">
          <cell r="A690">
            <v>688</v>
          </cell>
          <cell r="C690" t="str">
            <v>688-0</v>
          </cell>
          <cell r="J690">
            <v>2025021301</v>
          </cell>
          <cell r="N690">
            <v>612.5</v>
          </cell>
          <cell r="T690" t="str">
            <v>gross</v>
          </cell>
        </row>
        <row r="691">
          <cell r="A691">
            <v>689</v>
          </cell>
          <cell r="C691" t="str">
            <v>689-0</v>
          </cell>
          <cell r="J691">
            <v>2025021301</v>
          </cell>
          <cell r="N691">
            <v>253.25</v>
          </cell>
          <cell r="T691" t="str">
            <v>gross</v>
          </cell>
        </row>
        <row r="692">
          <cell r="A692">
            <v>690</v>
          </cell>
          <cell r="C692" t="str">
            <v>690-0</v>
          </cell>
          <cell r="J692">
            <v>2025021301</v>
          </cell>
          <cell r="N692">
            <v>597.5</v>
          </cell>
          <cell r="T692" t="str">
            <v>gross</v>
          </cell>
        </row>
        <row r="693">
          <cell r="A693">
            <v>691</v>
          </cell>
          <cell r="C693" t="str">
            <v>691-0</v>
          </cell>
          <cell r="J693">
            <v>2025021301</v>
          </cell>
          <cell r="N693">
            <v>497.5</v>
          </cell>
          <cell r="T693" t="str">
            <v>gross</v>
          </cell>
        </row>
        <row r="694">
          <cell r="A694">
            <v>692</v>
          </cell>
          <cell r="C694" t="str">
            <v>692-0</v>
          </cell>
          <cell r="J694">
            <v>2025021301</v>
          </cell>
          <cell r="N694">
            <v>202.5</v>
          </cell>
          <cell r="T694" t="str">
            <v>gross</v>
          </cell>
        </row>
        <row r="695">
          <cell r="A695">
            <v>693</v>
          </cell>
          <cell r="C695" t="str">
            <v>693-0</v>
          </cell>
          <cell r="J695">
            <v>2025021301</v>
          </cell>
          <cell r="N695">
            <v>497.5</v>
          </cell>
          <cell r="T695" t="str">
            <v>gross</v>
          </cell>
        </row>
        <row r="696">
          <cell r="A696">
            <v>694</v>
          </cell>
          <cell r="C696" t="str">
            <v>694-0</v>
          </cell>
          <cell r="J696" t="str">
            <v>PR2303IN01F5P3</v>
          </cell>
          <cell r="N696">
            <v>1.5</v>
          </cell>
          <cell r="T696" t="str">
            <v>net</v>
          </cell>
        </row>
        <row r="697">
          <cell r="A697">
            <v>695</v>
          </cell>
          <cell r="C697" t="str">
            <v>695-0</v>
          </cell>
          <cell r="J697" t="str">
            <v>EX24111801V50</v>
          </cell>
          <cell r="N697">
            <v>600</v>
          </cell>
          <cell r="T697" t="str">
            <v>net</v>
          </cell>
        </row>
        <row r="698">
          <cell r="A698">
            <v>696</v>
          </cell>
          <cell r="C698" t="str">
            <v>696-0</v>
          </cell>
          <cell r="J698">
            <v>2025021303</v>
          </cell>
          <cell r="N698">
            <v>800</v>
          </cell>
          <cell r="T698" t="str">
            <v>gross</v>
          </cell>
        </row>
        <row r="699">
          <cell r="A699">
            <v>697</v>
          </cell>
          <cell r="C699" t="str">
            <v>697-0</v>
          </cell>
          <cell r="J699" t="str">
            <v>TP23092501</v>
          </cell>
          <cell r="N699">
            <v>88</v>
          </cell>
          <cell r="T699" t="str">
            <v>net</v>
          </cell>
        </row>
        <row r="700">
          <cell r="A700">
            <v>698</v>
          </cell>
          <cell r="C700" t="str">
            <v>698-0</v>
          </cell>
          <cell r="J700" t="str">
            <v>EX24092701V30</v>
          </cell>
          <cell r="N700">
            <v>27.6</v>
          </cell>
          <cell r="T700" t="str">
            <v>net</v>
          </cell>
        </row>
        <row r="701">
          <cell r="A701">
            <v>699</v>
          </cell>
          <cell r="C701" t="str">
            <v>699-0</v>
          </cell>
          <cell r="J701" t="str">
            <v>EX24092701V30</v>
          </cell>
          <cell r="N701">
            <v>27.6</v>
          </cell>
          <cell r="T701" t="str">
            <v>net</v>
          </cell>
        </row>
        <row r="702">
          <cell r="A702">
            <v>700</v>
          </cell>
          <cell r="C702" t="str">
            <v>700-0</v>
          </cell>
          <cell r="J702" t="str">
            <v>CW21032701</v>
          </cell>
          <cell r="N702">
            <v>1</v>
          </cell>
          <cell r="T702" t="str">
            <v>net</v>
          </cell>
        </row>
        <row r="703">
          <cell r="A703">
            <v>701</v>
          </cell>
          <cell r="C703" t="str">
            <v>701-0</v>
          </cell>
          <cell r="J703" t="str">
            <v>CW21032701</v>
          </cell>
          <cell r="N703">
            <v>1</v>
          </cell>
          <cell r="T703" t="str">
            <v>net</v>
          </cell>
        </row>
        <row r="704">
          <cell r="A704">
            <v>702</v>
          </cell>
          <cell r="C704" t="str">
            <v>702-0</v>
          </cell>
          <cell r="J704" t="str">
            <v>WX20210224-01A</v>
          </cell>
          <cell r="N704">
            <v>1</v>
          </cell>
          <cell r="T704" t="str">
            <v>net</v>
          </cell>
        </row>
        <row r="705">
          <cell r="A705">
            <v>703</v>
          </cell>
          <cell r="C705" t="str">
            <v>703-0</v>
          </cell>
          <cell r="J705" t="str">
            <v>WX2021021102A</v>
          </cell>
          <cell r="N705">
            <v>1</v>
          </cell>
          <cell r="T705" t="str">
            <v>net</v>
          </cell>
        </row>
        <row r="706">
          <cell r="A706">
            <v>704</v>
          </cell>
          <cell r="C706" t="str">
            <v>704-0</v>
          </cell>
          <cell r="J706" t="str">
            <v>CW21042501</v>
          </cell>
          <cell r="N706">
            <v>1</v>
          </cell>
          <cell r="T706" t="str">
            <v>net</v>
          </cell>
        </row>
        <row r="707">
          <cell r="A707">
            <v>705</v>
          </cell>
          <cell r="C707" t="str">
            <v>705-0</v>
          </cell>
          <cell r="J707" t="str">
            <v>BH201214</v>
          </cell>
          <cell r="N707">
            <v>1</v>
          </cell>
          <cell r="T707" t="str">
            <v>net</v>
          </cell>
        </row>
        <row r="708">
          <cell r="A708">
            <v>706</v>
          </cell>
          <cell r="C708" t="str">
            <v>706-0</v>
          </cell>
          <cell r="J708">
            <v>2022022206</v>
          </cell>
          <cell r="N708">
            <v>3.5</v>
          </cell>
          <cell r="T708" t="str">
            <v>net</v>
          </cell>
        </row>
        <row r="709">
          <cell r="A709">
            <v>707</v>
          </cell>
          <cell r="C709" t="str">
            <v>707-0</v>
          </cell>
          <cell r="J709" t="str">
            <v>EX24092701V30</v>
          </cell>
          <cell r="N709">
            <v>27.6</v>
          </cell>
          <cell r="T709" t="str">
            <v>net</v>
          </cell>
        </row>
        <row r="710">
          <cell r="A710">
            <v>708</v>
          </cell>
          <cell r="C710" t="str">
            <v>708-0</v>
          </cell>
          <cell r="J710" t="str">
            <v>DI23020601V30</v>
          </cell>
          <cell r="N710">
            <v>27.6</v>
          </cell>
          <cell r="T710" t="str">
            <v>net</v>
          </cell>
        </row>
        <row r="711">
          <cell r="A711">
            <v>709</v>
          </cell>
          <cell r="C711" t="str">
            <v>709-0</v>
          </cell>
          <cell r="J711" t="str">
            <v>EX24061401V30</v>
          </cell>
          <cell r="N711">
            <v>27.3</v>
          </cell>
          <cell r="T711" t="str">
            <v>net</v>
          </cell>
        </row>
        <row r="712">
          <cell r="A712">
            <v>710</v>
          </cell>
          <cell r="C712" t="str">
            <v>710-0</v>
          </cell>
          <cell r="J712" t="str">
            <v>DI23042601V30</v>
          </cell>
          <cell r="N712">
            <v>27.3</v>
          </cell>
          <cell r="T712" t="str">
            <v>net</v>
          </cell>
        </row>
        <row r="713">
          <cell r="A713">
            <v>711</v>
          </cell>
          <cell r="C713" t="str">
            <v>711-0</v>
          </cell>
          <cell r="J713" t="str">
            <v>EX24092701V30</v>
          </cell>
          <cell r="N713">
            <v>27.6</v>
          </cell>
          <cell r="T713" t="str">
            <v>net</v>
          </cell>
        </row>
        <row r="714">
          <cell r="A714">
            <v>712</v>
          </cell>
          <cell r="C714" t="str">
            <v>712-0</v>
          </cell>
          <cell r="J714" t="str">
            <v>LR22060701</v>
          </cell>
          <cell r="N714">
            <v>1</v>
          </cell>
          <cell r="T714" t="str">
            <v>net</v>
          </cell>
        </row>
        <row r="715">
          <cell r="A715">
            <v>713</v>
          </cell>
          <cell r="C715" t="str">
            <v>713-0</v>
          </cell>
          <cell r="J715" t="str">
            <v>PR23070701</v>
          </cell>
          <cell r="N715">
            <v>215</v>
          </cell>
          <cell r="T715" t="str">
            <v>gross</v>
          </cell>
        </row>
        <row r="716">
          <cell r="A716">
            <v>714</v>
          </cell>
          <cell r="C716" t="str">
            <v>714-0</v>
          </cell>
          <cell r="J716" t="str">
            <v>RP24-001</v>
          </cell>
          <cell r="N716">
            <v>217</v>
          </cell>
          <cell r="T716" t="str">
            <v>gross</v>
          </cell>
        </row>
        <row r="717">
          <cell r="A717">
            <v>715</v>
          </cell>
          <cell r="C717" t="str">
            <v>715-0</v>
          </cell>
          <cell r="J717" t="str">
            <v>RP230707010</v>
          </cell>
          <cell r="N717">
            <v>1782.1</v>
          </cell>
          <cell r="T717" t="str">
            <v>gross</v>
          </cell>
        </row>
        <row r="718">
          <cell r="A718">
            <v>716</v>
          </cell>
          <cell r="C718" t="str">
            <v>716-0</v>
          </cell>
          <cell r="J718" t="str">
            <v>EX24101601</v>
          </cell>
          <cell r="N718">
            <v>5754</v>
          </cell>
          <cell r="T718" t="str">
            <v>gross</v>
          </cell>
        </row>
        <row r="719">
          <cell r="A719">
            <v>717</v>
          </cell>
          <cell r="C719" t="str">
            <v>717-0</v>
          </cell>
          <cell r="J719" t="str">
            <v>EX24101601</v>
          </cell>
          <cell r="N719">
            <v>15014</v>
          </cell>
          <cell r="T719" t="str">
            <v>gross</v>
          </cell>
        </row>
        <row r="720">
          <cell r="A720">
            <v>718</v>
          </cell>
          <cell r="C720" t="str">
            <v>718-0</v>
          </cell>
          <cell r="J720" t="str">
            <v>EX24101601</v>
          </cell>
          <cell r="N720">
            <v>3696</v>
          </cell>
          <cell r="T720" t="str">
            <v>gross</v>
          </cell>
        </row>
        <row r="721">
          <cell r="A721">
            <v>719</v>
          </cell>
          <cell r="C721" t="str">
            <v>719-0</v>
          </cell>
          <cell r="J721" t="str">
            <v>DI24001</v>
          </cell>
          <cell r="N721">
            <v>10875</v>
          </cell>
          <cell r="T721" t="str">
            <v>gross</v>
          </cell>
        </row>
        <row r="722">
          <cell r="A722">
            <v>720</v>
          </cell>
          <cell r="C722" t="str">
            <v>720-0</v>
          </cell>
          <cell r="J722" t="str">
            <v>DI24001</v>
          </cell>
          <cell r="N722">
            <v>18890</v>
          </cell>
          <cell r="T722" t="str">
            <v>gross</v>
          </cell>
        </row>
        <row r="723">
          <cell r="A723">
            <v>721</v>
          </cell>
          <cell r="C723" t="str">
            <v>721-0</v>
          </cell>
          <cell r="J723" t="str">
            <v>EX24101601V30</v>
          </cell>
          <cell r="N723">
            <v>27.6</v>
          </cell>
          <cell r="T723" t="str">
            <v>gross</v>
          </cell>
        </row>
        <row r="724">
          <cell r="A724">
            <v>722</v>
          </cell>
          <cell r="C724" t="str">
            <v>722-0</v>
          </cell>
          <cell r="J724">
            <v>2023110201</v>
          </cell>
          <cell r="N724">
            <v>340</v>
          </cell>
          <cell r="T724" t="str">
            <v>gross</v>
          </cell>
        </row>
        <row r="725">
          <cell r="A725">
            <v>723</v>
          </cell>
          <cell r="C725" t="str">
            <v>723-0</v>
          </cell>
          <cell r="J725" t="str">
            <v>23-C002</v>
          </cell>
          <cell r="N725">
            <v>323.8</v>
          </cell>
          <cell r="T725" t="str">
            <v>gross</v>
          </cell>
        </row>
        <row r="726">
          <cell r="A726">
            <v>724</v>
          </cell>
          <cell r="C726" t="str">
            <v>724-0</v>
          </cell>
          <cell r="J726" t="str">
            <v>EX24101601V30</v>
          </cell>
          <cell r="N726">
            <v>27.6</v>
          </cell>
          <cell r="T726" t="str">
            <v>net</v>
          </cell>
        </row>
        <row r="727">
          <cell r="A727">
            <v>725</v>
          </cell>
          <cell r="C727" t="str">
            <v>725-0</v>
          </cell>
          <cell r="J727" t="str">
            <v>FP23006</v>
          </cell>
          <cell r="N727">
            <v>6</v>
          </cell>
          <cell r="T727" t="str">
            <v>net</v>
          </cell>
        </row>
        <row r="728">
          <cell r="A728">
            <v>726</v>
          </cell>
          <cell r="C728" t="str">
            <v>726-0</v>
          </cell>
          <cell r="J728" t="str">
            <v>FP23003</v>
          </cell>
          <cell r="N728">
            <v>18</v>
          </cell>
          <cell r="T728" t="str">
            <v>net</v>
          </cell>
        </row>
        <row r="729">
          <cell r="A729">
            <v>727</v>
          </cell>
          <cell r="C729" t="str">
            <v>727-0</v>
          </cell>
          <cell r="J729" t="str">
            <v>DI22110901V30</v>
          </cell>
          <cell r="N729">
            <v>331.20000000000005</v>
          </cell>
          <cell r="T729" t="str">
            <v>net</v>
          </cell>
        </row>
        <row r="730">
          <cell r="A730">
            <v>728</v>
          </cell>
          <cell r="C730" t="str">
            <v>728-0</v>
          </cell>
          <cell r="J730" t="str">
            <v>TP24041202</v>
          </cell>
          <cell r="N730">
            <v>1056</v>
          </cell>
          <cell r="T730" t="str">
            <v>net</v>
          </cell>
        </row>
        <row r="731">
          <cell r="A731">
            <v>729</v>
          </cell>
          <cell r="C731" t="str">
            <v>729-0</v>
          </cell>
          <cell r="J731" t="str">
            <v>TP23092501</v>
          </cell>
          <cell r="N731">
            <v>1056</v>
          </cell>
          <cell r="T731" t="str">
            <v>net</v>
          </cell>
        </row>
        <row r="732">
          <cell r="A732">
            <v>730</v>
          </cell>
          <cell r="C732" t="str">
            <v>730-0</v>
          </cell>
          <cell r="J732" t="str">
            <v>TP23092501</v>
          </cell>
          <cell r="N732">
            <v>1056</v>
          </cell>
          <cell r="T732" t="str">
            <v>net</v>
          </cell>
        </row>
        <row r="733">
          <cell r="A733">
            <v>731</v>
          </cell>
          <cell r="C733" t="str">
            <v>731-0</v>
          </cell>
          <cell r="J733" t="str">
            <v>TP24041202</v>
          </cell>
          <cell r="N733">
            <v>1056</v>
          </cell>
          <cell r="T733" t="str">
            <v>net</v>
          </cell>
        </row>
        <row r="734">
          <cell r="A734">
            <v>732</v>
          </cell>
          <cell r="C734" t="str">
            <v>732-0</v>
          </cell>
          <cell r="J734" t="str">
            <v>TP23071001</v>
          </cell>
          <cell r="N734">
            <v>1056</v>
          </cell>
          <cell r="T734" t="str">
            <v>net</v>
          </cell>
        </row>
        <row r="735">
          <cell r="A735">
            <v>733</v>
          </cell>
          <cell r="C735" t="str">
            <v>733-0</v>
          </cell>
          <cell r="J735" t="str">
            <v>CW22011701</v>
          </cell>
          <cell r="N735">
            <v>1</v>
          </cell>
          <cell r="T735" t="str">
            <v>net</v>
          </cell>
        </row>
        <row r="736">
          <cell r="A736">
            <v>734</v>
          </cell>
          <cell r="C736" t="str">
            <v>734-0</v>
          </cell>
          <cell r="J736" t="str">
            <v>2024111803G7</v>
          </cell>
          <cell r="N736">
            <v>7</v>
          </cell>
          <cell r="T736" t="str">
            <v>net</v>
          </cell>
        </row>
        <row r="737">
          <cell r="A737">
            <v>735</v>
          </cell>
          <cell r="C737" t="str">
            <v>735-0</v>
          </cell>
          <cell r="J737" t="str">
            <v>PR2507F1P2</v>
          </cell>
          <cell r="N737">
            <v>2</v>
          </cell>
          <cell r="T737" t="str">
            <v>net</v>
          </cell>
        </row>
        <row r="738">
          <cell r="A738">
            <v>737</v>
          </cell>
          <cell r="C738" t="str">
            <v>737-0</v>
          </cell>
        </row>
        <row r="739">
          <cell r="A739">
            <v>738</v>
          </cell>
          <cell r="C739" t="str">
            <v>738-0</v>
          </cell>
        </row>
        <row r="740">
          <cell r="A740">
            <v>739</v>
          </cell>
          <cell r="C740" t="str">
            <v>739-0</v>
          </cell>
        </row>
        <row r="741">
          <cell r="A741">
            <v>740</v>
          </cell>
          <cell r="C741" t="str">
            <v>740-0</v>
          </cell>
        </row>
        <row r="742">
          <cell r="A742">
            <v>741</v>
          </cell>
          <cell r="C742" t="str">
            <v>741-0</v>
          </cell>
        </row>
        <row r="743">
          <cell r="A743">
            <v>742</v>
          </cell>
          <cell r="C743" t="str">
            <v>742-0</v>
          </cell>
        </row>
        <row r="744">
          <cell r="A744">
            <v>743</v>
          </cell>
          <cell r="C744" t="str">
            <v>743-0</v>
          </cell>
        </row>
        <row r="745">
          <cell r="A745">
            <v>744</v>
          </cell>
          <cell r="C745" t="str">
            <v>744-0</v>
          </cell>
        </row>
        <row r="746">
          <cell r="A746">
            <v>745</v>
          </cell>
          <cell r="C746" t="str">
            <v>745-0</v>
          </cell>
        </row>
        <row r="747">
          <cell r="A747">
            <v>746</v>
          </cell>
          <cell r="C747" t="str">
            <v>746-0</v>
          </cell>
        </row>
        <row r="748">
          <cell r="A748">
            <v>747</v>
          </cell>
          <cell r="C748" t="str">
            <v>747-0</v>
          </cell>
        </row>
        <row r="749">
          <cell r="A749">
            <v>748</v>
          </cell>
          <cell r="C749" t="str">
            <v>748-0</v>
          </cell>
        </row>
        <row r="750">
          <cell r="A750">
            <v>749</v>
          </cell>
          <cell r="C750" t="str">
            <v>749-0</v>
          </cell>
        </row>
        <row r="751">
          <cell r="A751">
            <v>750</v>
          </cell>
          <cell r="C751" t="str">
            <v>750-0</v>
          </cell>
        </row>
        <row r="752">
          <cell r="A752">
            <v>751</v>
          </cell>
          <cell r="C752" t="str">
            <v>751-0</v>
          </cell>
        </row>
        <row r="753">
          <cell r="A753">
            <v>752</v>
          </cell>
          <cell r="C753" t="str">
            <v>752-0</v>
          </cell>
        </row>
        <row r="754">
          <cell r="A754">
            <v>753</v>
          </cell>
          <cell r="C754" t="str">
            <v>753-0</v>
          </cell>
        </row>
        <row r="755">
          <cell r="A755">
            <v>754</v>
          </cell>
          <cell r="C755" t="str">
            <v>754-0</v>
          </cell>
        </row>
        <row r="756">
          <cell r="A756">
            <v>755</v>
          </cell>
          <cell r="C756" t="str">
            <v>755-0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 Info"/>
      <sheetName val="bulk_transfer"/>
      <sheetName val="Products Details"/>
      <sheetName val="cannabis_log"/>
      <sheetName val="barcode_list"/>
      <sheetName val="productGTIN_internalSKU"/>
      <sheetName val="internal_cansku_inventory"/>
      <sheetName val="Shipping Manifest Packaged"/>
      <sheetName val="production_forecast"/>
      <sheetName val="customerSKU"/>
      <sheetName val="dailychange"/>
      <sheetName val="Sheet1"/>
      <sheetName val="planned_shipment"/>
    </sheetNames>
    <sheetDataSet>
      <sheetData sheetId="0" refreshError="1">
        <row r="2">
          <cell r="C2" t="str">
            <v>Atlas Growers</v>
          </cell>
        </row>
        <row r="3">
          <cell r="C3" t="str">
            <v>GreenSeal Cannabis Company</v>
          </cell>
        </row>
        <row r="4">
          <cell r="C4" t="str">
            <v>CannMart Inc</v>
          </cell>
          <cell r="D4" t="str">
            <v>18, Canso rd</v>
          </cell>
          <cell r="E4" t="str">
            <v>Etobicoke</v>
          </cell>
          <cell r="F4" t="str">
            <v>ON</v>
          </cell>
        </row>
        <row r="5">
          <cell r="C5" t="str">
            <v>Sunfarms Corp</v>
          </cell>
        </row>
        <row r="6">
          <cell r="C6" t="str">
            <v>GlassHouse Botanics</v>
          </cell>
          <cell r="D6" t="str">
            <v>118 Industrial Park Road</v>
          </cell>
          <cell r="E6" t="str">
            <v>Pembroke</v>
          </cell>
          <cell r="F6" t="str">
            <v>ON</v>
          </cell>
        </row>
        <row r="7">
          <cell r="C7" t="str">
            <v>Medisun Inc</v>
          </cell>
          <cell r="E7"/>
          <cell r="F7"/>
        </row>
        <row r="8">
          <cell r="C8" t="str">
            <v>Coast Mountain Cannabis</v>
          </cell>
        </row>
        <row r="9">
          <cell r="C9" t="str">
            <v>Canngroup Development Corp</v>
          </cell>
        </row>
        <row r="10">
          <cell r="C10" t="str">
            <v>Miracle Valley Medicinal Alternatives</v>
          </cell>
          <cell r="D10" t="str">
            <v xml:space="preserve">14209 Stace Lake Road </v>
          </cell>
          <cell r="E10" t="str">
            <v>Mission</v>
          </cell>
          <cell r="F10" t="str">
            <v>BC</v>
          </cell>
        </row>
        <row r="11">
          <cell r="C11" t="str">
            <v>Agmedica</v>
          </cell>
          <cell r="D11"/>
          <cell r="E11"/>
          <cell r="F11"/>
        </row>
        <row r="12">
          <cell r="C12" t="str">
            <v>Back Country Harvest</v>
          </cell>
          <cell r="D12" t="str">
            <v>D.L. 3001 Pavilion Rd. W., PID: 011-200-495</v>
          </cell>
          <cell r="E12" t="str">
            <v>Lillooet</v>
          </cell>
          <cell r="F12" t="str">
            <v>BC</v>
          </cell>
        </row>
        <row r="13">
          <cell r="C13" t="str">
            <v>T8 Cannabis</v>
          </cell>
          <cell r="D13" t="str">
            <v>Southern Prairie Plant Growers Ltd. d.b.a. T8 Cannabis, NE 21-2-13 W2</v>
          </cell>
          <cell r="E13" t="str">
            <v>BROMHEAD</v>
          </cell>
          <cell r="F13" t="str">
            <v>SK</v>
          </cell>
        </row>
        <row r="14">
          <cell r="C14" t="str">
            <v>We Grow BC</v>
          </cell>
          <cell r="D14" t="str">
            <v>896 Reclaimation Road</v>
          </cell>
          <cell r="E14" t="str">
            <v xml:space="preserve">Creston </v>
          </cell>
          <cell r="F14" t="str">
            <v xml:space="preserve">BC </v>
          </cell>
        </row>
        <row r="15">
          <cell r="C15" t="str">
            <v>Whistler Therapeutics Corp</v>
          </cell>
          <cell r="D15" t="str">
            <v>#201 – 1420 Alpha Lake Road</v>
          </cell>
          <cell r="E15" t="str">
            <v>Whistler</v>
          </cell>
          <cell r="F15" t="str">
            <v>BC</v>
          </cell>
        </row>
        <row r="16">
          <cell r="C16" t="str">
            <v>Western Cannabis</v>
          </cell>
          <cell r="F16"/>
        </row>
        <row r="17">
          <cell r="C17" t="str">
            <v>Lotus Ventures Inc</v>
          </cell>
          <cell r="E17" t="str">
            <v xml:space="preserve">Kelowna </v>
          </cell>
          <cell r="F17" t="str">
            <v xml:space="preserve">BC </v>
          </cell>
        </row>
        <row r="18">
          <cell r="C18" t="str">
            <v xml:space="preserve">Adastra Lab </v>
          </cell>
          <cell r="D18" t="str">
            <v>5451 275th street</v>
          </cell>
          <cell r="E18" t="str">
            <v>Langley</v>
          </cell>
          <cell r="F18" t="str">
            <v>BC</v>
          </cell>
        </row>
        <row r="19">
          <cell r="C19" t="str">
            <v xml:space="preserve">Covert Valley </v>
          </cell>
          <cell r="D19" t="str">
            <v>21995 Marwell Cres</v>
          </cell>
          <cell r="E19" t="str">
            <v>Langley</v>
          </cell>
          <cell r="F19" t="str">
            <v xml:space="preserve">BC </v>
          </cell>
        </row>
        <row r="20">
          <cell r="C20" t="str">
            <v xml:space="preserve">Fleur De Leaf Cannabis Corporation </v>
          </cell>
          <cell r="D20" t="str">
            <v>Unit B, 27 Macdonald Ave</v>
          </cell>
          <cell r="E20" t="str">
            <v>Dartmouth</v>
          </cell>
          <cell r="F20" t="str">
            <v>NS</v>
          </cell>
        </row>
        <row r="21">
          <cell r="C21" t="str">
            <v xml:space="preserve">314 Pure Cannabis </v>
          </cell>
          <cell r="D21" t="str">
            <v xml:space="preserve">1321 Laut Ave. </v>
          </cell>
          <cell r="E21" t="str">
            <v>Crossfield</v>
          </cell>
          <cell r="F21" t="str">
            <v>AB</v>
          </cell>
        </row>
        <row r="22">
          <cell r="C22" t="str">
            <v>Rilaxe Inc</v>
          </cell>
          <cell r="F22"/>
        </row>
        <row r="23">
          <cell r="C23" t="str">
            <v xml:space="preserve">Westleaf Labs </v>
          </cell>
          <cell r="D23" t="str">
            <v>3223 10th Street SE</v>
          </cell>
          <cell r="E23" t="str">
            <v>Calgary</v>
          </cell>
          <cell r="F23" t="str">
            <v>AB</v>
          </cell>
        </row>
        <row r="24">
          <cell r="C24" t="str">
            <v xml:space="preserve">Taima Extarcts Inc </v>
          </cell>
          <cell r="D24" t="str">
            <v>2225 Winston Park Drive</v>
          </cell>
          <cell r="E24" t="str">
            <v>Oakville</v>
          </cell>
          <cell r="F24" t="str">
            <v>ON</v>
          </cell>
        </row>
        <row r="25">
          <cell r="C25" t="str">
            <v>Nymera Holdings Ltd.</v>
          </cell>
          <cell r="D25" t="str">
            <v>5627 Kamloops Vernon hwy</v>
          </cell>
          <cell r="E25" t="str">
            <v>Westwold</v>
          </cell>
          <cell r="F25" t="str">
            <v xml:space="preserve">BC </v>
          </cell>
        </row>
        <row r="26">
          <cell r="C26" t="str">
            <v xml:space="preserve">Experion </v>
          </cell>
          <cell r="F26"/>
        </row>
        <row r="27">
          <cell r="C27" t="str">
            <v>BC Hops</v>
          </cell>
          <cell r="F27"/>
        </row>
        <row r="28">
          <cell r="C28" t="str">
            <v xml:space="preserve">Flowr Group </v>
          </cell>
          <cell r="F28"/>
        </row>
        <row r="29">
          <cell r="C29" t="str">
            <v>Canopy Growth -Tweeds Inc</v>
          </cell>
          <cell r="D29" t="str">
            <v>1 Hershey Drive</v>
          </cell>
          <cell r="E29" t="str">
            <v>Smiths Fall</v>
          </cell>
          <cell r="F29" t="str">
            <v>ON</v>
          </cell>
        </row>
        <row r="30">
          <cell r="C30" t="str">
            <v>Agripharm Corp.</v>
          </cell>
          <cell r="D30" t="str">
            <v>2741 COUNTY ROAD 42, LOT 10 CONCESSION 2</v>
          </cell>
          <cell r="E30" t="str">
            <v>CLEARVIEW</v>
          </cell>
          <cell r="F30" t="str">
            <v>ON</v>
          </cell>
        </row>
        <row r="31">
          <cell r="C31" t="str">
            <v xml:space="preserve">Pemberton Craft Cannabis </v>
          </cell>
          <cell r="D31" t="str">
            <v xml:space="preserve">#2 1947 Stonecutter Place </v>
          </cell>
          <cell r="E31" t="str">
            <v>Pemberton</v>
          </cell>
          <cell r="F31" t="str">
            <v xml:space="preserve">BC </v>
          </cell>
        </row>
        <row r="32">
          <cell r="C32" t="str">
            <v>Nibbler Labs</v>
          </cell>
          <cell r="D32" t="str">
            <v xml:space="preserve">3275 McCallum Rd, </v>
          </cell>
          <cell r="E32" t="str">
            <v>Abbotsford</v>
          </cell>
          <cell r="F32" t="str">
            <v xml:space="preserve">BC </v>
          </cell>
        </row>
        <row r="33">
          <cell r="C33" t="str">
            <v>CannaGroup Development Corp</v>
          </cell>
          <cell r="D33" t="str">
            <v xml:space="preserve">56 Hadow Road </v>
          </cell>
          <cell r="E33" t="str">
            <v>Enderby</v>
          </cell>
          <cell r="F33" t="str">
            <v xml:space="preserve">BC </v>
          </cell>
        </row>
        <row r="34">
          <cell r="C34" t="str">
            <v>Stigma Grow</v>
          </cell>
          <cell r="D34" t="str">
            <v>255C, Clearview Drive</v>
          </cell>
          <cell r="E34" t="str">
            <v>Red Deer County</v>
          </cell>
          <cell r="F34" t="str">
            <v>AB</v>
          </cell>
        </row>
        <row r="35">
          <cell r="C35" t="str">
            <v>Tricanna Industries Inc.</v>
          </cell>
          <cell r="D35" t="str">
            <v>#202 - 31510 Gill Ave</v>
          </cell>
          <cell r="E35" t="str">
            <v>Mission</v>
          </cell>
          <cell r="F35" t="str">
            <v xml:space="preserve">BC </v>
          </cell>
        </row>
        <row r="36">
          <cell r="C36" t="str">
            <v>Agro-Greens Natural Products Ltd.</v>
          </cell>
          <cell r="D36" t="str">
            <v>5508 48 Street,</v>
          </cell>
          <cell r="E36" t="str">
            <v>MACKLIN</v>
          </cell>
          <cell r="F36" t="str">
            <v>SK</v>
          </cell>
        </row>
        <row r="37">
          <cell r="C37" t="str">
            <v>Canadian National Pharma Group</v>
          </cell>
          <cell r="D37" t="str">
            <v>31270 Wheel Avenue</v>
          </cell>
          <cell r="E37" t="str">
            <v>Abbotsford</v>
          </cell>
          <cell r="F37" t="str">
            <v xml:space="preserve">BC </v>
          </cell>
        </row>
        <row r="38">
          <cell r="C38" t="str">
            <v>Medicibis</v>
          </cell>
          <cell r="D38" t="str">
            <v>58, rue de la Pépinière,</v>
          </cell>
          <cell r="E38" t="str">
            <v>Saint-Jean-sur-Richelieu</v>
          </cell>
          <cell r="F38" t="str">
            <v>QC</v>
          </cell>
        </row>
        <row r="39">
          <cell r="C39" t="str">
            <v>PBG BioPharma Inc</v>
          </cell>
          <cell r="D39" t="str">
            <v>4101 65A Avenue</v>
          </cell>
          <cell r="E39" t="str">
            <v>Leduc</v>
          </cell>
          <cell r="F39" t="str">
            <v>AB</v>
          </cell>
        </row>
        <row r="40">
          <cell r="C40" t="str">
            <v>Grown here farms</v>
          </cell>
          <cell r="D40" t="str">
            <v xml:space="preserve">186 Chopaka Rd, </v>
          </cell>
          <cell r="E40" t="str">
            <v>Cawston</v>
          </cell>
          <cell r="F40" t="str">
            <v xml:space="preserve">BC </v>
          </cell>
        </row>
        <row r="41">
          <cell r="C41" t="str">
            <v>Starrpac Industries</v>
          </cell>
          <cell r="D41" t="str">
            <v>4-38921 Progres Way,</v>
          </cell>
          <cell r="E41" t="str">
            <v>Squamish</v>
          </cell>
          <cell r="F41" t="str">
            <v xml:space="preserve">BC </v>
          </cell>
        </row>
        <row r="42">
          <cell r="C42" t="str">
            <v xml:space="preserve">Nighthawk Cannabis </v>
          </cell>
          <cell r="D42" t="str">
            <v xml:space="preserve">290 Nighthawk Rd </v>
          </cell>
          <cell r="E42" t="str">
            <v>Cawston</v>
          </cell>
          <cell r="F42" t="str">
            <v xml:space="preserve">BC </v>
          </cell>
        </row>
        <row r="43">
          <cell r="C43" t="str">
            <v>Abba Medix Corp</v>
          </cell>
          <cell r="D43" t="str">
            <v>1773 Bayly Street</v>
          </cell>
          <cell r="E43" t="str">
            <v>Pickering</v>
          </cell>
          <cell r="F43" t="str">
            <v>ON</v>
          </cell>
        </row>
        <row r="44">
          <cell r="C44" t="str">
            <v>BC Bud Co</v>
          </cell>
          <cell r="F44"/>
        </row>
        <row r="45">
          <cell r="C45" t="str">
            <v>Habitat Craft Cannabis</v>
          </cell>
          <cell r="D45" t="str">
            <v>724 Squilax Turtle Valley Rd</v>
          </cell>
          <cell r="E45" t="str">
            <v>Chase</v>
          </cell>
          <cell r="F45" t="str">
            <v xml:space="preserve">BC </v>
          </cell>
        </row>
        <row r="46">
          <cell r="C46" t="str">
            <v>ANC Inc</v>
          </cell>
          <cell r="D46" t="str">
            <v xml:space="preserve">6914-34st </v>
          </cell>
          <cell r="E46" t="str">
            <v xml:space="preserve">Edmonton </v>
          </cell>
          <cell r="F46" t="str">
            <v>AB</v>
          </cell>
        </row>
        <row r="47">
          <cell r="C47" t="str">
            <v>Life Cycle Botanics Ltd</v>
          </cell>
          <cell r="D47" t="str">
            <v>1636 Island Hwy E</v>
          </cell>
          <cell r="E47" t="str">
            <v>Nanoose Bay</v>
          </cell>
          <cell r="F47" t="str">
            <v xml:space="preserve">BC </v>
          </cell>
        </row>
        <row r="48">
          <cell r="C48" t="str">
            <v>Pantheon Cannabis Group</v>
          </cell>
          <cell r="D48" t="str">
            <v xml:space="preserve">5851 Auto Road </v>
          </cell>
          <cell r="E48" t="str">
            <v>Salmon Arm</v>
          </cell>
          <cell r="F48" t="str">
            <v xml:space="preserve">BC </v>
          </cell>
        </row>
        <row r="49">
          <cell r="C49" t="str">
            <v>Cedar Organics Ltd</v>
          </cell>
          <cell r="D49" t="str">
            <v>2550 Quennell Road</v>
          </cell>
          <cell r="E49" t="str">
            <v>Nanaimo</v>
          </cell>
          <cell r="F49" t="str">
            <v xml:space="preserve">BC </v>
          </cell>
        </row>
        <row r="50">
          <cell r="C50" t="str">
            <v>Apollogreen</v>
          </cell>
          <cell r="D50" t="str">
            <v>400 Commerce street</v>
          </cell>
          <cell r="E50" t="str">
            <v>VARS</v>
          </cell>
          <cell r="F50" t="str">
            <v>ON</v>
          </cell>
        </row>
        <row r="51">
          <cell r="C51" t="str">
            <v>Blue Sky Hemp Ventures</v>
          </cell>
          <cell r="D51" t="str">
            <v>219 Apex St</v>
          </cell>
          <cell r="E51" t="str">
            <v>Saskatoon</v>
          </cell>
          <cell r="F51" t="str">
            <v>SK</v>
          </cell>
        </row>
        <row r="52">
          <cell r="C52" t="str">
            <v>8688958 Canada Inc.</v>
          </cell>
          <cell r="E52"/>
          <cell r="F52"/>
        </row>
        <row r="53">
          <cell r="C53" t="str">
            <v xml:space="preserve">Andrew burnell-jones </v>
          </cell>
          <cell r="D53" t="str">
            <v>1160 Eastlawn Drive</v>
          </cell>
          <cell r="E53" t="str">
            <v>Burnaby</v>
          </cell>
          <cell r="F53" t="str">
            <v>BC</v>
          </cell>
        </row>
        <row r="54">
          <cell r="C54" t="str">
            <v>1264864 bc Ltd (Utndr)</v>
          </cell>
          <cell r="D54" t="str">
            <v xml:space="preserve">550-2959 Douglas street </v>
          </cell>
          <cell r="E54" t="str">
            <v>Victoria</v>
          </cell>
          <cell r="F54" t="str">
            <v>BC</v>
          </cell>
        </row>
        <row r="55">
          <cell r="C55" t="str">
            <v>FLAMINGO VAPE SHOP LTD</v>
          </cell>
          <cell r="D55" t="str">
            <v>FLAMINGO + CANNABIS - PORTAGE AVE
2565 PORTAGE AVE, UNIT 103</v>
          </cell>
          <cell r="E55" t="str">
            <v>WINNIPEG</v>
          </cell>
          <cell r="F55" t="str">
            <v>MB</v>
          </cell>
        </row>
        <row r="56">
          <cell r="C56" t="str">
            <v>AGLC</v>
          </cell>
          <cell r="D56" t="str">
            <v>12622-184 Street NW</v>
          </cell>
          <cell r="E56" t="str">
            <v>Edmonton</v>
          </cell>
          <cell r="F56" t="str">
            <v>AB</v>
          </cell>
        </row>
        <row r="57">
          <cell r="C57" t="str">
            <v>BCLDB</v>
          </cell>
          <cell r="D57" t="str">
            <v>3389 No. 6 Road</v>
          </cell>
          <cell r="E57" t="str">
            <v>Richmond</v>
          </cell>
          <cell r="F57" t="str">
            <v>BC</v>
          </cell>
        </row>
        <row r="58">
          <cell r="C58" t="str">
            <v>NSLC</v>
          </cell>
          <cell r="D58" t="str">
            <v>80 Guilford Ave</v>
          </cell>
          <cell r="E58" t="str">
            <v>Dartmouth</v>
          </cell>
          <cell r="F58" t="str">
            <v>NS</v>
          </cell>
        </row>
        <row r="59">
          <cell r="C59" t="str">
            <v>SQDC</v>
          </cell>
          <cell r="F59" t="str">
            <v>QUE</v>
          </cell>
        </row>
        <row r="60">
          <cell r="C60" t="str">
            <v>National Cannabis Distribution Inc.</v>
          </cell>
          <cell r="D60" t="str">
            <v>502 North Railway Street West</v>
          </cell>
          <cell r="E60" t="str">
            <v>Warman</v>
          </cell>
          <cell r="F60" t="str">
            <v>SK</v>
          </cell>
        </row>
        <row r="61">
          <cell r="C61" t="str">
            <v>CNB</v>
          </cell>
          <cell r="F61" t="str">
            <v>NB</v>
          </cell>
        </row>
        <row r="62">
          <cell r="C62" t="str">
            <v xml:space="preserve">MBLL </v>
          </cell>
          <cell r="D62" t="str">
            <v>PO Box 1023</v>
          </cell>
          <cell r="E62" t="str">
            <v>Winnipeg</v>
          </cell>
          <cell r="F62" t="str">
            <v>MB</v>
          </cell>
        </row>
        <row r="63">
          <cell r="C63" t="str">
            <v>Weedpool Cannabis Cooperative</v>
          </cell>
          <cell r="D63" t="str">
            <v>Unit C 409 McDonald Street</v>
          </cell>
          <cell r="E63" t="str">
            <v>Regina</v>
          </cell>
          <cell r="F63" t="str">
            <v>SK</v>
          </cell>
        </row>
        <row r="64">
          <cell r="C64" t="str">
            <v>Hay River Liquor Store</v>
          </cell>
          <cell r="D64" t="str">
            <v>101 - 76 Capital Drive</v>
          </cell>
          <cell r="E64" t="str">
            <v xml:space="preserve">Hay River </v>
          </cell>
          <cell r="F64" t="str">
            <v>NT</v>
          </cell>
        </row>
        <row r="65">
          <cell r="C65" t="str">
            <v>Cannabis New Brunswick</v>
          </cell>
          <cell r="D65" t="str">
            <v>120 English Street</v>
          </cell>
          <cell r="E65" t="str">
            <v>Moncton</v>
          </cell>
          <cell r="F65" t="str">
            <v>NB</v>
          </cell>
        </row>
        <row r="66">
          <cell r="C66" t="str">
            <v>Cannabis Yukon</v>
          </cell>
          <cell r="D66" t="str">
            <v>9031 Quartz Road</v>
          </cell>
          <cell r="E66" t="str">
            <v>White Horse</v>
          </cell>
          <cell r="F66" t="str">
            <v>YT</v>
          </cell>
        </row>
        <row r="67">
          <cell r="C67" t="str">
            <v xml:space="preserve">West Blvd Cannabis  </v>
          </cell>
          <cell r="D67" t="str">
            <v xml:space="preserve">Unit 101 7 W 7th Ave, Loading Bay </v>
          </cell>
          <cell r="E67" t="str">
            <v>Vancouver</v>
          </cell>
          <cell r="F67" t="str">
            <v>BC</v>
          </cell>
        </row>
        <row r="68">
          <cell r="C68" t="str">
            <v>Renan / THC Canada</v>
          </cell>
          <cell r="D68" t="str">
            <v>6416 Main St.</v>
          </cell>
          <cell r="E68" t="str">
            <v>Vancouver</v>
          </cell>
          <cell r="F68" t="str">
            <v xml:space="preserve">BC </v>
          </cell>
        </row>
        <row r="69">
          <cell r="C69" t="str">
            <v>Ontario Cannabis Store</v>
          </cell>
          <cell r="D69" t="str">
            <v>55 Quarterman Road</v>
          </cell>
          <cell r="E69" t="str">
            <v>Guelph</v>
          </cell>
          <cell r="F69" t="str">
            <v>ON</v>
          </cell>
        </row>
        <row r="70">
          <cell r="C70" t="str">
            <v>Hay River Liquor Store-AB</v>
          </cell>
          <cell r="D70" t="str">
            <v>25535 111 AVE</v>
          </cell>
          <cell r="E70" t="str">
            <v>ACHESON</v>
          </cell>
          <cell r="F70" t="str">
            <v>AB</v>
          </cell>
        </row>
        <row r="71">
          <cell r="C71" t="str">
            <v>6480285 MANITOBA LTD</v>
          </cell>
          <cell r="D71" t="str">
            <v xml:space="preserve">847 DUNNING ROAD EAST </v>
          </cell>
          <cell r="E71" t="str">
            <v>WEST PINE RIDGE</v>
          </cell>
          <cell r="F71" t="str">
            <v>MB</v>
          </cell>
        </row>
        <row r="72">
          <cell r="C72" t="str">
            <v>META GROWTH CORP (PEMBINA HWY)</v>
          </cell>
          <cell r="D72" t="str">
            <v>23-584 PEMBINA HIGHWAY</v>
          </cell>
          <cell r="E72" t="str">
            <v>WINNIPEG</v>
          </cell>
          <cell r="F72" t="str">
            <v>MB</v>
          </cell>
        </row>
        <row r="73">
          <cell r="C73"/>
          <cell r="E73"/>
        </row>
        <row r="74">
          <cell r="C74" t="str">
            <v>10006215 MANITOBA LTD - TOKYO SMOKE</v>
          </cell>
          <cell r="D74" t="str">
            <v>195 LA VERENDRYE BLVD</v>
          </cell>
          <cell r="E74" t="str">
            <v>MORDEN</v>
          </cell>
          <cell r="F74" t="str">
            <v>MB</v>
          </cell>
        </row>
        <row r="75">
          <cell r="C75" t="str">
            <v>HIKU BRANDS COMPANY -TOKYO SMOKE</v>
          </cell>
          <cell r="D75" t="str">
            <v>2- 437 STRADBROOK AVE</v>
          </cell>
          <cell r="E75" t="str">
            <v>WINNIPEG</v>
          </cell>
          <cell r="F75" t="str">
            <v>MB</v>
          </cell>
        </row>
        <row r="76">
          <cell r="C76" t="str">
            <v>HIKU BRANDS COMPANY LTD-TOKYO SMOKE</v>
          </cell>
          <cell r="D76" t="str">
            <v>55B GOULET STREET</v>
          </cell>
          <cell r="E76" t="str">
            <v>WINNIPEG</v>
          </cell>
          <cell r="F76" t="str">
            <v>MB</v>
          </cell>
        </row>
        <row r="77">
          <cell r="C77" t="str">
            <v>HIKU BRANDS COMPANY LTD - TOKYO SMOKE ECOM</v>
          </cell>
          <cell r="D77" t="str">
            <v>101-264 MCDERMOT AVE</v>
          </cell>
          <cell r="E77" t="str">
            <v>WINNIPEG</v>
          </cell>
          <cell r="F77" t="str">
            <v>MB</v>
          </cell>
        </row>
        <row r="78">
          <cell r="C78" t="str">
            <v>HIKU BRANDS COMPANY LTD TS</v>
          </cell>
          <cell r="D78" t="str">
            <v>UNIT 150,3393 PORTAGE AVE</v>
          </cell>
          <cell r="E78" t="str">
            <v>WINNIPEG</v>
          </cell>
          <cell r="F78" t="str">
            <v>MB</v>
          </cell>
        </row>
        <row r="79">
          <cell r="C79" t="str">
            <v>HIKU BRANDS COMPANY LTD TOKYO SMOKE</v>
          </cell>
          <cell r="D79" t="str">
            <v>628-18TH STREET</v>
          </cell>
          <cell r="E79" t="str">
            <v>BRANDON</v>
          </cell>
          <cell r="F79" t="str">
            <v>MB</v>
          </cell>
        </row>
        <row r="80">
          <cell r="C80" t="str">
            <v>HIKU BRANDS COMPANY LTD - TOKYO SMOKE</v>
          </cell>
          <cell r="D80" t="str">
            <v>UNIT 3, 915 -18TH STREET N</v>
          </cell>
          <cell r="E80" t="str">
            <v>BRANDON</v>
          </cell>
          <cell r="F80" t="str">
            <v>MB</v>
          </cell>
        </row>
        <row r="81">
          <cell r="C81" t="str">
            <v>HIKU BRANDS COMPANY LTD</v>
          </cell>
          <cell r="D81" t="str">
            <v>101-54 70 ARTHUR STREET</v>
          </cell>
          <cell r="E81" t="str">
            <v>WINNIPEG</v>
          </cell>
          <cell r="F81" t="str">
            <v>MB</v>
          </cell>
        </row>
        <row r="84">
          <cell r="C84"/>
          <cell r="E84"/>
        </row>
        <row r="85">
          <cell r="C85"/>
          <cell r="E85"/>
        </row>
        <row r="86">
          <cell r="C86" t="str">
            <v>OVERLAND WEST CO NTLCC</v>
          </cell>
          <cell r="D86" t="str">
            <v>25535- 111 AVE</v>
          </cell>
          <cell r="E86" t="str">
            <v>ACHESON</v>
          </cell>
          <cell r="F86" t="str">
            <v>AB</v>
          </cell>
        </row>
        <row r="87">
          <cell r="C87" t="str">
            <v>2582682 ONTARIO CORPORATION</v>
          </cell>
          <cell r="D87" t="str">
            <v>150 MAIN STREET</v>
          </cell>
          <cell r="E87" t="str">
            <v>MORRIS</v>
          </cell>
          <cell r="F87" t="str">
            <v>MB</v>
          </cell>
        </row>
        <row r="88">
          <cell r="C88" t="str">
            <v>NAC OCN LIMITED PARTNERSHIP</v>
          </cell>
          <cell r="D88" t="str">
            <v>UNIT 128, OTINEKA MALL HIGHWAY 10 NORTH</v>
          </cell>
          <cell r="E88" t="str">
            <v>OPASKWAYAK</v>
          </cell>
          <cell r="F88" t="str">
            <v>MB</v>
          </cell>
        </row>
        <row r="89">
          <cell r="C89"/>
          <cell r="E89"/>
        </row>
        <row r="90">
          <cell r="C90" t="str">
            <v>WOWKPOW RETAIL DONALD INC</v>
          </cell>
          <cell r="D90" t="str">
            <v>68 DONALD STREET</v>
          </cell>
          <cell r="E90" t="str">
            <v>WINNIPEG</v>
          </cell>
          <cell r="F90" t="str">
            <v>MB</v>
          </cell>
        </row>
        <row r="91">
          <cell r="C91" t="str">
            <v>BURB CANNABIS-Broadway</v>
          </cell>
          <cell r="D91" t="str">
            <v>1502 BROADWAY ST #3120</v>
          </cell>
          <cell r="E91" t="str">
            <v>PORT COQUITLAM</v>
          </cell>
          <cell r="F91" t="str">
            <v xml:space="preserve">BC </v>
          </cell>
        </row>
        <row r="92">
          <cell r="C92" t="str">
            <v>ROSEBUD PRODUCTIONS INC</v>
          </cell>
          <cell r="D92" t="str">
            <v>115-23000 FREASERWOOD WAY</v>
          </cell>
          <cell r="E92" t="str">
            <v>RICHMOND</v>
          </cell>
          <cell r="F92" t="str">
            <v xml:space="preserve">BC </v>
          </cell>
        </row>
        <row r="93">
          <cell r="C93" t="str">
            <v>Seed and Stone INC</v>
          </cell>
          <cell r="D93" t="str">
            <v>300- 1688 152nd street</v>
          </cell>
          <cell r="E93" t="str">
            <v>Surrey</v>
          </cell>
          <cell r="F93" t="str">
            <v xml:space="preserve">BC </v>
          </cell>
        </row>
        <row r="94">
          <cell r="C94" t="str">
            <v>Canadian North Cargo Ottawa</v>
          </cell>
          <cell r="D94" t="str">
            <v>100 Thad Johnson Private</v>
          </cell>
          <cell r="E94" t="str">
            <v>Ottawa</v>
          </cell>
          <cell r="F94" t="str">
            <v>ON</v>
          </cell>
        </row>
        <row r="95">
          <cell r="C95" t="str">
            <v>FARMER JANE CANNABIS CO..</v>
          </cell>
          <cell r="D95" t="str">
            <v xml:space="preserve">2401 PRESTONE AVE </v>
          </cell>
          <cell r="E95" t="str">
            <v>SOUTH SASKATOON</v>
          </cell>
          <cell r="F95" t="str">
            <v>SK</v>
          </cell>
        </row>
        <row r="96">
          <cell r="C96" t="str">
            <v>FARMER JANE CANNABIS CO.</v>
          </cell>
          <cell r="D96" t="str">
            <v>D 3881 ROCHDALE BLVD</v>
          </cell>
          <cell r="E96" t="str">
            <v>Regina</v>
          </cell>
          <cell r="F96" t="str">
            <v>SK</v>
          </cell>
        </row>
        <row r="97">
          <cell r="C97" t="str">
            <v>CRG PHARMA INC.</v>
          </cell>
          <cell r="D97" t="str">
            <v>50318 CAMP RIVER RD.</v>
          </cell>
          <cell r="E97" t="str">
            <v xml:space="preserve">CHILLIWACK </v>
          </cell>
          <cell r="F97" t="str">
            <v xml:space="preserve">BC </v>
          </cell>
        </row>
        <row r="98">
          <cell r="C98" t="str">
            <v>10066957 MANITOBA LTD - FARMER JANECANNABIS CO - TAYLOR</v>
          </cell>
          <cell r="D98" t="str">
            <v>1-1194 TAYLOR AVE</v>
          </cell>
          <cell r="E98" t="str">
            <v>Winnipeg</v>
          </cell>
          <cell r="F98" t="str">
            <v>MB</v>
          </cell>
        </row>
        <row r="99">
          <cell r="C99"/>
        </row>
        <row r="100">
          <cell r="C100" t="str">
            <v>MUSE CANNABIS-lougheed</v>
          </cell>
          <cell r="D100" t="str">
            <v>#510-20395 Lougheed Hwy</v>
          </cell>
          <cell r="E100" t="str">
            <v>Vancouver</v>
          </cell>
          <cell r="F100" t="str">
            <v xml:space="preserve">BC </v>
          </cell>
        </row>
        <row r="101">
          <cell r="C101" t="str">
            <v>MUSE CANNABIS-denmen</v>
          </cell>
          <cell r="D101" t="str">
            <v>999 Denmen Street</v>
          </cell>
          <cell r="E101" t="str">
            <v>Vancouver</v>
          </cell>
          <cell r="F101" t="str">
            <v xml:space="preserve">BC </v>
          </cell>
        </row>
        <row r="102">
          <cell r="C102" t="str">
            <v>MUSE CANNABIS-granvile</v>
          </cell>
          <cell r="D102" t="str">
            <v>3039 Granvile Street</v>
          </cell>
          <cell r="E102" t="str">
            <v>Vancouver</v>
          </cell>
          <cell r="F102" t="str">
            <v xml:space="preserve">BC </v>
          </cell>
        </row>
        <row r="103">
          <cell r="C103" t="str">
            <v>AR cannabis Etrprises</v>
          </cell>
          <cell r="D103" t="str">
            <v>6528 Victoria Drive</v>
          </cell>
          <cell r="E103" t="str">
            <v>Vancouver</v>
          </cell>
          <cell r="F103" t="str">
            <v xml:space="preserve">BC </v>
          </cell>
        </row>
        <row r="104">
          <cell r="C104" t="str">
            <v>THE ESSENTIAL CANNABIS COMPANY LTD- SELKIRK</v>
          </cell>
          <cell r="D104" t="str">
            <v>229 MANITOBA AVE</v>
          </cell>
          <cell r="E104" t="str">
            <v>SELKIRK</v>
          </cell>
          <cell r="F104" t="str">
            <v xml:space="preserve">MB </v>
          </cell>
        </row>
        <row r="105">
          <cell r="C105" t="str">
            <v>META GROWTH CORP- CANNA CABANA</v>
          </cell>
          <cell r="D105" t="str">
            <v>UNIT 2-2145 PORTAGE AVENUE</v>
          </cell>
          <cell r="E105" t="str">
            <v>WINNIPEG</v>
          </cell>
          <cell r="F105" t="str">
            <v xml:space="preserve">MB </v>
          </cell>
        </row>
        <row r="106">
          <cell r="C106" t="str">
            <v xml:space="preserve">Cantina Cannabis </v>
          </cell>
          <cell r="D106" t="str">
            <v>725 NELSON STREET</v>
          </cell>
          <cell r="E106" t="str">
            <v>VANCOUVER</v>
          </cell>
          <cell r="F106" t="str">
            <v>BC</v>
          </cell>
        </row>
        <row r="107">
          <cell r="C107" t="str">
            <v>Galaxie Greens</v>
          </cell>
          <cell r="D107" t="str">
            <v>132 1st ST. WEYBURN</v>
          </cell>
          <cell r="E107" t="str">
            <v>Saskatchewan</v>
          </cell>
          <cell r="F107" t="str">
            <v>SK</v>
          </cell>
        </row>
        <row r="108">
          <cell r="C108" t="str">
            <v>THE VAULT CANNABIS LTD - ARBORG</v>
          </cell>
          <cell r="D108" t="str">
            <v>UNIT 12A, 145 SUNSET BLVD</v>
          </cell>
          <cell r="E108" t="str">
            <v>ARBORG</v>
          </cell>
          <cell r="F108" t="str">
            <v xml:space="preserve">MB </v>
          </cell>
        </row>
        <row r="109">
          <cell r="C109" t="str">
            <v>TYRONE ABASBUD-EES DISPENSARY</v>
          </cell>
          <cell r="D109" t="str">
            <v>LOT 8 &amp; 9 ( LOT40/42) MAIN ST.</v>
          </cell>
          <cell r="E109" t="str">
            <v>HODGSON</v>
          </cell>
          <cell r="F109" t="str">
            <v xml:space="preserve">MB </v>
          </cell>
        </row>
        <row r="110">
          <cell r="C110" t="str">
            <v>10006215 MANITOBA LTD-------TOKYO SMOKE</v>
          </cell>
          <cell r="D110" t="str">
            <v>UNIT 2 - 437 STRADBROOK AVENUE</v>
          </cell>
          <cell r="E110" t="str">
            <v>WINNIPEG</v>
          </cell>
          <cell r="F110" t="str">
            <v>MB</v>
          </cell>
        </row>
        <row r="111">
          <cell r="C111" t="str">
            <v>10006215 MANITOBA LTD------TOKYO SMOKE</v>
          </cell>
          <cell r="D111" t="str">
            <v>55B GOULET STREET</v>
          </cell>
          <cell r="E111" t="str">
            <v>WINNIPEG</v>
          </cell>
          <cell r="F111" t="str">
            <v>MB</v>
          </cell>
        </row>
        <row r="112">
          <cell r="C112" t="str">
            <v>10006215 MANITOBA LTD-----TOKYO SMOKE</v>
          </cell>
          <cell r="D112" t="str">
            <v>101-54 70 ARTHUR STREET</v>
          </cell>
          <cell r="E112" t="str">
            <v>NOTIFY VIA 264 MCDERMOT</v>
          </cell>
          <cell r="F112" t="str">
            <v>MB</v>
          </cell>
        </row>
        <row r="113">
          <cell r="C113" t="str">
            <v>10006215 MANITOBA LTD----TOKYO SMOKE</v>
          </cell>
          <cell r="D113" t="str">
            <v>UNIT 3 - 915 18TH STREET NORTH</v>
          </cell>
          <cell r="E113" t="str">
            <v>BRANDON</v>
          </cell>
          <cell r="F113" t="str">
            <v>MB</v>
          </cell>
        </row>
        <row r="114">
          <cell r="C114" t="str">
            <v>10006215 MANITOBA LTD--TOKYO SMOKE</v>
          </cell>
          <cell r="D114" t="str">
            <v>628 - 18TH STREET</v>
          </cell>
          <cell r="E114" t="str">
            <v>BRANDON</v>
          </cell>
          <cell r="F114" t="str">
            <v>MB</v>
          </cell>
        </row>
        <row r="115">
          <cell r="C115" t="str">
            <v>10006215 MANITOBA LTD---TWEED</v>
          </cell>
          <cell r="D115" t="str">
            <v>2-1592 REGENT AVENUE WES</v>
          </cell>
          <cell r="E115" t="str">
            <v>WINNIPEG</v>
          </cell>
          <cell r="F115" t="str">
            <v>MB</v>
          </cell>
        </row>
        <row r="116">
          <cell r="C116" t="str">
            <v>TOKYO SMOKE - 309 SASKATCHEWAN AVENUE</v>
          </cell>
          <cell r="D116" t="str">
            <v>309 SASKATCHEWAN AVENUE EAST</v>
          </cell>
          <cell r="E116" t="str">
            <v>PORTAGE LA PRAIRIE</v>
          </cell>
          <cell r="F116" t="str">
            <v>MB</v>
          </cell>
        </row>
        <row r="117">
          <cell r="C117" t="str">
            <v>10006215 MANITOBA LTD-TWEED</v>
          </cell>
          <cell r="D117" t="str">
            <v>120 OSBORNE STREET</v>
          </cell>
          <cell r="E117" t="str">
            <v>WINNIPEG</v>
          </cell>
          <cell r="F117" t="str">
            <v>MB</v>
          </cell>
        </row>
        <row r="118">
          <cell r="C118" t="str">
            <v>10006215 MANITOBA LTD-TOKYO SMOKE</v>
          </cell>
          <cell r="D118" t="str">
            <v>UNIT 150 - 3393 PORTAGE AVENUE</v>
          </cell>
          <cell r="E118" t="str">
            <v>Winnipeg</v>
          </cell>
          <cell r="F118" t="str">
            <v>MB</v>
          </cell>
        </row>
        <row r="119">
          <cell r="C119" t="str">
            <v>GREEN HILLS CANNABIS LTD - NOTRE DAME</v>
          </cell>
          <cell r="D119" t="str">
            <v>126 NOTRE DAME AVE WEST</v>
          </cell>
          <cell r="E119" t="str">
            <v>NOTRE DAME DE LOURDES</v>
          </cell>
          <cell r="F119" t="str">
            <v>MB</v>
          </cell>
        </row>
        <row r="120">
          <cell r="C120" t="str">
            <v>UP IN SMOKE-HENDERSON HWY</v>
          </cell>
          <cell r="E120" t="str">
            <v>WINNIPEG</v>
          </cell>
          <cell r="F120" t="str">
            <v>MB</v>
          </cell>
        </row>
        <row r="121">
          <cell r="C121" t="str">
            <v>Up In The Sky-MCPHILLIPS</v>
          </cell>
          <cell r="D121" t="str">
            <v>1400A-305 MCPHILLIPS STREET</v>
          </cell>
          <cell r="E121" t="str">
            <v>WINNIPEG</v>
          </cell>
          <cell r="F121" t="str">
            <v>MB</v>
          </cell>
        </row>
        <row r="122">
          <cell r="C122" t="str">
            <v>SWEET WEEDZ - PLESSIS</v>
          </cell>
          <cell r="D122" t="str">
            <v>UNIT 4, 1783 PLESSIS ROAD</v>
          </cell>
          <cell r="E122" t="str">
            <v>WINNIPEG</v>
          </cell>
          <cell r="F122" t="str">
            <v>MB</v>
          </cell>
        </row>
        <row r="123">
          <cell r="C123" t="str">
            <v>DAWSON CREEK CANNABIS</v>
          </cell>
          <cell r="D123" t="str">
            <v>DAWSON MALL 11000, 8TH ST UNIT#19</v>
          </cell>
          <cell r="E123" t="str">
            <v>DAWSON CREEK</v>
          </cell>
          <cell r="F123" t="str">
            <v xml:space="preserve">BC </v>
          </cell>
        </row>
        <row r="124">
          <cell r="C124"/>
        </row>
        <row r="125">
          <cell r="C125"/>
        </row>
        <row r="126">
          <cell r="C126"/>
        </row>
        <row r="127">
          <cell r="C127"/>
        </row>
        <row r="128">
          <cell r="C128" t="str">
            <v>KOOTENAY CANNABIS CASTLEGAR</v>
          </cell>
          <cell r="D128" t="str">
            <v>1306 COLUMBIA AVE</v>
          </cell>
          <cell r="E128" t="str">
            <v>CASTLEGAR</v>
          </cell>
          <cell r="F128" t="str">
            <v xml:space="preserve">BC </v>
          </cell>
        </row>
        <row r="129">
          <cell r="C129" t="str">
            <v>CANNTINA CANNABIS</v>
          </cell>
          <cell r="D129" t="str">
            <v>725 NELSON STREET</v>
          </cell>
          <cell r="E129" t="str">
            <v>VANCOUVER</v>
          </cell>
          <cell r="F129" t="str">
            <v xml:space="preserve">BC </v>
          </cell>
        </row>
        <row r="130">
          <cell r="C130" t="str">
            <v>SEED &amp; STONE (Victoria) RETAIL LTD.</v>
          </cell>
          <cell r="D130" t="str">
            <v>901 GORDON ST.</v>
          </cell>
          <cell r="E130" t="str">
            <v>VICTORIA</v>
          </cell>
          <cell r="F130" t="str">
            <v xml:space="preserve">BC </v>
          </cell>
        </row>
        <row r="131">
          <cell r="C131" t="str">
            <v>SEED &amp; STONE (HOPE) RETAIL LTD.</v>
          </cell>
          <cell r="D131" t="str">
            <v>300-590 OLD HOPE PRINCETON WAY</v>
          </cell>
          <cell r="E131" t="str">
            <v>HOPE</v>
          </cell>
          <cell r="F131" t="str">
            <v xml:space="preserve">BC </v>
          </cell>
        </row>
        <row r="132">
          <cell r="C132" t="str">
            <v>SEED &amp; STONE (CHILLIWACK) RETAIL LTD.</v>
          </cell>
          <cell r="D132" t="str">
            <v>103-8050 LICKMAN RD</v>
          </cell>
          <cell r="E132" t="str">
            <v xml:space="preserve">CHILLIWACK </v>
          </cell>
          <cell r="F132" t="str">
            <v xml:space="preserve">BC </v>
          </cell>
        </row>
        <row r="133">
          <cell r="C133" t="str">
            <v>SEED &amp; STONE (DELTA) RETAIL LTD.</v>
          </cell>
          <cell r="D133" t="str">
            <v>616 CHESTER RD.</v>
          </cell>
          <cell r="E133" t="str">
            <v>DELTA</v>
          </cell>
          <cell r="F133" t="str">
            <v xml:space="preserve">BC </v>
          </cell>
        </row>
        <row r="134">
          <cell r="C134" t="str">
            <v>THE VAULT CANNABIS LTD</v>
          </cell>
          <cell r="D134" t="str">
            <v>20 MAIN STREET</v>
          </cell>
          <cell r="E134" t="str">
            <v>ASHERN</v>
          </cell>
          <cell r="F134" t="str">
            <v>MB</v>
          </cell>
        </row>
        <row r="135">
          <cell r="C135" t="str">
            <v>CANORA CANNABIS</v>
          </cell>
          <cell r="D135" t="str">
            <v>117 MAIN ST. P.O. BOX 178</v>
          </cell>
          <cell r="E135" t="str">
            <v>CANORA</v>
          </cell>
          <cell r="F135" t="str">
            <v>SK</v>
          </cell>
        </row>
        <row r="136">
          <cell r="C136" t="str">
            <v>10066957 Manitoba LTD - Farmer Jane Cannabis CO - Henderson HWY</v>
          </cell>
          <cell r="D136" t="str">
            <v>Unit B-1046 Henderson HWY</v>
          </cell>
          <cell r="E136" t="str">
            <v>Winnipeg</v>
          </cell>
          <cell r="F136" t="str">
            <v>MB</v>
          </cell>
        </row>
        <row r="137">
          <cell r="C137" t="str">
            <v>10066957 Manitoba LTD - Farmer Jane Cannabis CO - Roblin</v>
          </cell>
          <cell r="D137" t="str">
            <v>106-6640 Roblin BLVD</v>
          </cell>
          <cell r="E137" t="str">
            <v>Winnipeg</v>
          </cell>
          <cell r="F137" t="str">
            <v>MB</v>
          </cell>
        </row>
        <row r="138">
          <cell r="C138" t="str">
            <v>10066957Manitoba LTD - Farmer Jane Cannabis CO - Plessis RD</v>
          </cell>
          <cell r="D138" t="str">
            <v>205-1750 Plessis RD</v>
          </cell>
          <cell r="E138" t="str">
            <v>Winnipeg</v>
          </cell>
          <cell r="F138" t="str">
            <v>MB</v>
          </cell>
        </row>
        <row r="139">
          <cell r="C139" t="str">
            <v xml:space="preserve">10066957 Manitoba LTD - Farmer Jane Cannabis CO - Vermillion </v>
          </cell>
          <cell r="D139" t="str">
            <v>160-235 Vermillion RD</v>
          </cell>
          <cell r="E139" t="str">
            <v>Winnipeg</v>
          </cell>
          <cell r="F139" t="str">
            <v>MB</v>
          </cell>
        </row>
        <row r="140">
          <cell r="C140" t="str">
            <v>Flamingo VAPE SHOP LTD - ST. James</v>
          </cell>
          <cell r="D140" t="str">
            <v>1750 ST. James Street</v>
          </cell>
          <cell r="E140" t="str">
            <v>Winnipeg</v>
          </cell>
          <cell r="F140" t="str">
            <v>MB</v>
          </cell>
        </row>
        <row r="141">
          <cell r="C141" t="str">
            <v>Up In The Sky</v>
          </cell>
          <cell r="D141" t="str">
            <v>102-1615 ST . Mary's road</v>
          </cell>
          <cell r="E141" t="str">
            <v>Winnipeg</v>
          </cell>
          <cell r="F141" t="str">
            <v>MB</v>
          </cell>
        </row>
        <row r="142">
          <cell r="C142" t="str">
            <v>CANOPY GROWTH - TWEED</v>
          </cell>
          <cell r="D142" t="str">
            <v>2 - 1592 REGENT AVE</v>
          </cell>
          <cell r="E142" t="str">
            <v>WINNIPEG</v>
          </cell>
          <cell r="F142" t="str">
            <v>MB</v>
          </cell>
        </row>
        <row r="143">
          <cell r="C143" t="str">
            <v>META CANNABIS SUPPLY CO..</v>
          </cell>
          <cell r="D143" t="str">
            <v>58 Cree Road</v>
          </cell>
          <cell r="E143" t="str">
            <v>THOMPSON</v>
          </cell>
          <cell r="F143" t="str">
            <v>MB</v>
          </cell>
        </row>
        <row r="144">
          <cell r="C144" t="str">
            <v>META GROWTH CORP-CANNA CABANA</v>
          </cell>
          <cell r="D144" t="str">
            <v>300A NORTH RAILWAY</v>
          </cell>
          <cell r="E144" t="str">
            <v>MORDEN</v>
          </cell>
          <cell r="F144" t="str">
            <v>MB</v>
          </cell>
        </row>
        <row r="145">
          <cell r="C145" t="str">
            <v xml:space="preserve">Summit Cannabis </v>
          </cell>
          <cell r="D145" t="str">
            <v>PO Box 2271</v>
          </cell>
          <cell r="E145" t="str">
            <v>Fernie</v>
          </cell>
          <cell r="F145" t="str">
            <v xml:space="preserve">BC </v>
          </cell>
        </row>
        <row r="146">
          <cell r="C146" t="str">
            <v>The Bakery</v>
          </cell>
          <cell r="D146" t="str">
            <v>1306 Broad Street</v>
          </cell>
          <cell r="E146" t="str">
            <v>Regina</v>
          </cell>
          <cell r="F146" t="str">
            <v>SK</v>
          </cell>
        </row>
        <row r="147">
          <cell r="C147" t="str">
            <v>Praire Trichomes Ltd- Neepawa</v>
          </cell>
          <cell r="D147" t="str">
            <v xml:space="preserve">361 Mountain Ave </v>
          </cell>
          <cell r="E147" t="str">
            <v xml:space="preserve">Neepawa </v>
          </cell>
          <cell r="F147" t="str">
            <v>MB</v>
          </cell>
        </row>
        <row r="148">
          <cell r="C148" t="str">
            <v>Praire Trichomes Ltd- Gimli</v>
          </cell>
          <cell r="D148" t="str">
            <v>66-A First Ave</v>
          </cell>
          <cell r="E148" t="str">
            <v>Gimli</v>
          </cell>
          <cell r="F148" t="str">
            <v>MB</v>
          </cell>
        </row>
        <row r="149">
          <cell r="C149" t="str">
            <v xml:space="preserve">Cottage Country Cannabis </v>
          </cell>
          <cell r="D149" t="str">
            <v xml:space="preserve">2-100 First Street </v>
          </cell>
          <cell r="E149" t="str">
            <v>Lac Du Bonnet</v>
          </cell>
          <cell r="F149" t="str">
            <v>MB</v>
          </cell>
        </row>
        <row r="150">
          <cell r="C150" t="str">
            <v>Cannabis 204 Retail Store</v>
          </cell>
          <cell r="D150" t="str">
            <v>163 Nelson Street W</v>
          </cell>
          <cell r="E150" t="str">
            <v xml:space="preserve">Virden </v>
          </cell>
          <cell r="F150" t="str">
            <v>MB</v>
          </cell>
        </row>
        <row r="151">
          <cell r="C151" t="str">
            <v>Payson's Joint</v>
          </cell>
          <cell r="D151" t="str">
            <v>46 Main Street</v>
          </cell>
          <cell r="E151" t="str">
            <v xml:space="preserve">Flin Flon </v>
          </cell>
          <cell r="F151" t="str">
            <v>MB</v>
          </cell>
        </row>
        <row r="152">
          <cell r="C152" t="str">
            <v>Cottontail Cannabis Company-Corydon</v>
          </cell>
          <cell r="D152" t="str">
            <v>671 Corydon Ave</v>
          </cell>
          <cell r="E152" t="str">
            <v>Winnipeg</v>
          </cell>
          <cell r="F152" t="str">
            <v>MB</v>
          </cell>
        </row>
        <row r="153">
          <cell r="C153" t="str">
            <v xml:space="preserve">Farmer Jane Cannabis Co </v>
          </cell>
          <cell r="D153" t="str">
            <v>1-1194 Taylor Ave</v>
          </cell>
          <cell r="E153" t="str">
            <v>Winnipeg</v>
          </cell>
          <cell r="F153" t="str">
            <v>MB</v>
          </cell>
        </row>
        <row r="154">
          <cell r="C154" t="str">
            <v>Cannabis At the Green Brier</v>
          </cell>
          <cell r="D154" t="str">
            <v xml:space="preserve">1611 Main Street </v>
          </cell>
          <cell r="E154" t="str">
            <v>Winnipeg</v>
          </cell>
          <cell r="F154" t="str">
            <v>MB</v>
          </cell>
        </row>
        <row r="155">
          <cell r="C155" t="str">
            <v>Praire Trichomes Ltd</v>
          </cell>
          <cell r="D155" t="str">
            <v>543 Broadway Ave</v>
          </cell>
          <cell r="E155" t="str">
            <v xml:space="preserve">Killarney </v>
          </cell>
          <cell r="F155" t="str">
            <v>MB</v>
          </cell>
        </row>
        <row r="156">
          <cell r="C156" t="str">
            <v xml:space="preserve">MTT Service </v>
          </cell>
          <cell r="D156" t="str">
            <v>Highway 6 &amp; Twin Lakes beach road, PO Box 300</v>
          </cell>
          <cell r="E156" t="str">
            <v>St. Laurent</v>
          </cell>
          <cell r="F156" t="str">
            <v>MB</v>
          </cell>
        </row>
        <row r="157">
          <cell r="C157" t="str">
            <v>Meta Cannabis Supply Co.</v>
          </cell>
          <cell r="D157" t="str">
            <v>1881 Grant Ave</v>
          </cell>
          <cell r="E157" t="str">
            <v>Winnipeg</v>
          </cell>
          <cell r="F157" t="str">
            <v>MB</v>
          </cell>
        </row>
        <row r="159">
          <cell r="C159" t="str">
            <v xml:space="preserve">Abe Farmer Jane </v>
          </cell>
          <cell r="D159" t="str">
            <v>1526 8th Street East</v>
          </cell>
          <cell r="E159" t="str">
            <v>Saskatoon</v>
          </cell>
          <cell r="F159" t="str">
            <v>SK</v>
          </cell>
        </row>
        <row r="160">
          <cell r="C160" t="str">
            <v>Kelsey Farmer Jane</v>
          </cell>
          <cell r="D160" t="str">
            <v>3881 D Rochdale blvd</v>
          </cell>
          <cell r="E160" t="str">
            <v>Regina</v>
          </cell>
          <cell r="F160" t="str">
            <v>SK</v>
          </cell>
        </row>
        <row r="161">
          <cell r="C161" t="str">
            <v>Prairie Cannabis</v>
          </cell>
          <cell r="D161" t="str">
            <v>180-17th St W</v>
          </cell>
          <cell r="E161" t="str">
            <v>Prince Albert</v>
          </cell>
          <cell r="F161" t="str">
            <v>SK</v>
          </cell>
        </row>
        <row r="162">
          <cell r="C162" t="str">
            <v>LYSITHEA INC</v>
          </cell>
          <cell r="D162" t="str">
            <v>JUPITER CANNABIS UNIT C, 580 ACADEMY ROAD</v>
          </cell>
          <cell r="E162" t="str">
            <v>WINNIPEG</v>
          </cell>
          <cell r="F162" t="str">
            <v>MB</v>
          </cell>
        </row>
        <row r="164">
          <cell r="C164" t="str">
            <v>HAPPY VALLEYS CANNABIS INC-ILE DES CHENES</v>
          </cell>
          <cell r="D164" t="str">
            <v>4-597 MEADOWLARK BLVD</v>
          </cell>
          <cell r="E164" t="str">
            <v>ILE DES CHENES</v>
          </cell>
          <cell r="F164" t="str">
            <v>MB</v>
          </cell>
        </row>
        <row r="165">
          <cell r="C165" t="str">
            <v>CANNABUDZ INC</v>
          </cell>
          <cell r="D165" t="str">
            <v>ATOMIC FLOWER, 8-741 ST. MARY'S ROAD</v>
          </cell>
          <cell r="E165" t="str">
            <v>WINNIPEG</v>
          </cell>
          <cell r="F165" t="str">
            <v>MB</v>
          </cell>
        </row>
        <row r="167">
          <cell r="C167" t="str">
            <v>10062771 MANITOBA LTD</v>
          </cell>
          <cell r="D167" t="str">
            <v>STAR BUDS CANNABIS CO - ROTHESAY, 1210 ROTHESAY STREET</v>
          </cell>
          <cell r="E167" t="str">
            <v>WINNIPEG</v>
          </cell>
          <cell r="F167" t="str">
            <v>MB</v>
          </cell>
        </row>
        <row r="168">
          <cell r="C168" t="str">
            <v>NAC THOMPSON NORTH GP LTD</v>
          </cell>
          <cell r="D168" t="str">
            <v>META CANNABIS SUPPLY CO. , 58 CREE ROAD</v>
          </cell>
          <cell r="E168" t="str">
            <v>THOMPSON</v>
          </cell>
          <cell r="F168" t="str">
            <v>MB</v>
          </cell>
        </row>
        <row r="170">
          <cell r="C170" t="str">
            <v>DELTA 9 LIFESTYLE CANNABIS CLINIC (MCPHILLIPS ST)</v>
          </cell>
          <cell r="D170" t="str">
            <v>DELTA 9 CANNABIS STORE - MCPHILLIPS, 15-1399 MCPHILLIPS STREET</v>
          </cell>
          <cell r="E170" t="str">
            <v>WINNIPEG</v>
          </cell>
          <cell r="F170" t="str">
            <v>MB</v>
          </cell>
        </row>
        <row r="171">
          <cell r="C171" t="str">
            <v>10050999 MANITOBA LTD</v>
          </cell>
          <cell r="D171" t="str">
            <v>BZAM - UNIT 3, 875 CORYDON AVE</v>
          </cell>
          <cell r="E171" t="str">
            <v>WINNIPEG</v>
          </cell>
          <cell r="F171" t="str">
            <v>MB</v>
          </cell>
        </row>
        <row r="172">
          <cell r="C172" t="str">
            <v>5818959 MANITOBA LTD</v>
          </cell>
          <cell r="D172" t="str">
            <v>LASALLE CANNABIS AND VAPE, 67 RUE PRINCIPALE</v>
          </cell>
          <cell r="E172" t="str">
            <v>LASALLE</v>
          </cell>
          <cell r="F172" t="str">
            <v>MB</v>
          </cell>
        </row>
        <row r="173">
          <cell r="C173" t="str">
            <v>10074810 MANITOBA LTD</v>
          </cell>
          <cell r="D173" t="str">
            <v>SMOKE N FISH, 405 MAIN STREET</v>
          </cell>
          <cell r="E173" t="str">
            <v>SELKIRK</v>
          </cell>
          <cell r="F173" t="str">
            <v>MB</v>
          </cell>
        </row>
        <row r="175">
          <cell r="C175" t="str">
            <v>10114520 MANITOBA INC</v>
          </cell>
          <cell r="D175" t="str">
            <v xml:space="preserve">UNIT C, 612 PARK AVE </v>
          </cell>
          <cell r="E175" t="str">
            <v>BEAUSEJOUR</v>
          </cell>
          <cell r="F175" t="str">
            <v>MB</v>
          </cell>
        </row>
        <row r="176">
          <cell r="C176" t="str">
            <v>MY TWO SONS INC</v>
          </cell>
          <cell r="D176" t="str">
            <v>UNIT 2-2055 MCPHILLIPS ST</v>
          </cell>
          <cell r="E176" t="str">
            <v>WINNIPEG</v>
          </cell>
          <cell r="F176" t="str">
            <v>MB</v>
          </cell>
        </row>
        <row r="177">
          <cell r="C177" t="str">
            <v>HEMP HAVEN LTD</v>
          </cell>
          <cell r="D177" t="str">
            <v>496 LARSEN AVE</v>
          </cell>
          <cell r="E177" t="str">
            <v>WINNIPEG</v>
          </cell>
          <cell r="F177" t="str">
            <v>MB</v>
          </cell>
        </row>
        <row r="179">
          <cell r="C179" t="str">
            <v>The Vault Cannabis INC</v>
          </cell>
          <cell r="D179" t="str">
            <v>20 MAIN STREET</v>
          </cell>
          <cell r="E179" t="str">
            <v>ASHERN</v>
          </cell>
          <cell r="F179" t="str">
            <v>MB</v>
          </cell>
        </row>
        <row r="180">
          <cell r="C180"/>
        </row>
        <row r="181">
          <cell r="C181" t="str">
            <v>NIMBUS CANNABIS CORP</v>
          </cell>
          <cell r="D181" t="str">
            <v>UNIT 17-200 MEADOWOOD DRIVE</v>
          </cell>
          <cell r="E181" t="str">
            <v>WINNIPEG</v>
          </cell>
          <cell r="F181" t="str">
            <v>MB</v>
          </cell>
        </row>
        <row r="182">
          <cell r="C182" t="str">
            <v>THE BUDSTOP CANNABIS INC</v>
          </cell>
          <cell r="D182" t="str">
            <v>UNIT E, 1155 MAIN STREET</v>
          </cell>
          <cell r="E182" t="str">
            <v>WINNIPEG</v>
          </cell>
          <cell r="F182" t="str">
            <v>MB</v>
          </cell>
        </row>
        <row r="183">
          <cell r="C183" t="str">
            <v>LUX LEAF MB LIMITED</v>
          </cell>
          <cell r="D183" t="str">
            <v xml:space="preserve">UNIT 150, 1570 KENASTON BLVD </v>
          </cell>
          <cell r="E183" t="str">
            <v>WINNIPEG</v>
          </cell>
          <cell r="F183" t="str">
            <v>MB</v>
          </cell>
        </row>
        <row r="184">
          <cell r="C184" t="str">
            <v>MORDEN VAPESUPERSTORE INC</v>
          </cell>
          <cell r="D184" t="str">
            <v>Unit H, 886 Thornhill street</v>
          </cell>
          <cell r="E184" t="str">
            <v>Morden</v>
          </cell>
          <cell r="F184" t="str">
            <v>MB</v>
          </cell>
        </row>
        <row r="185">
          <cell r="C185" t="str">
            <v>Truextracts Inc</v>
          </cell>
          <cell r="D185" t="str">
            <v>197 N LEONARD STREET</v>
          </cell>
          <cell r="E185" t="str">
            <v>Regina</v>
          </cell>
          <cell r="F185" t="str">
            <v>SK</v>
          </cell>
        </row>
        <row r="186">
          <cell r="C186" t="str">
            <v>Glenmore Cannabis</v>
          </cell>
          <cell r="D186" t="str">
            <v>1928 Summit Dr</v>
          </cell>
          <cell r="E186" t="str">
            <v>Kelowna</v>
          </cell>
          <cell r="F186" t="str">
            <v xml:space="preserve">BC </v>
          </cell>
        </row>
        <row r="187">
          <cell r="C187" t="str">
            <v>Spiritleaf-Maple Ridge</v>
          </cell>
          <cell r="D187" t="str">
            <v>#670, 22709 Lougheed Hwy</v>
          </cell>
          <cell r="E187" t="str">
            <v>Maple Ridge</v>
          </cell>
          <cell r="F187" t="str">
            <v xml:space="preserve">BC </v>
          </cell>
        </row>
        <row r="188">
          <cell r="C188" t="str">
            <v>Quantum 1-Vancouver</v>
          </cell>
          <cell r="D188" t="str">
            <v>5528 Cambie St</v>
          </cell>
          <cell r="E188" t="str">
            <v>Vancouver</v>
          </cell>
          <cell r="F188" t="str">
            <v xml:space="preserve">BC </v>
          </cell>
        </row>
        <row r="191">
          <cell r="C191" t="str">
            <v>Michael Simon</v>
          </cell>
          <cell r="D191" t="str">
            <v>748 Swailes Ave</v>
          </cell>
          <cell r="E191" t="str">
            <v>Winnipeg</v>
          </cell>
          <cell r="F191" t="str">
            <v>MB</v>
          </cell>
        </row>
        <row r="192">
          <cell r="C192" t="str">
            <v>Jolene Lebar</v>
          </cell>
          <cell r="D192" t="str">
            <v>37 Hercules Crt</v>
          </cell>
          <cell r="E192" t="str">
            <v>Brampton</v>
          </cell>
          <cell r="F192" t="str">
            <v>ON</v>
          </cell>
        </row>
        <row r="193">
          <cell r="C193" t="str">
            <v>Gratian D'Souza</v>
          </cell>
          <cell r="D193" t="str">
            <v>#1201- 50 Stephanie St</v>
          </cell>
          <cell r="E193" t="str">
            <v>Toronto</v>
          </cell>
          <cell r="F193" t="str">
            <v>ON</v>
          </cell>
        </row>
        <row r="194">
          <cell r="C194" t="str">
            <v>Original Farm Hillside</v>
          </cell>
          <cell r="D194" t="str">
            <v xml:space="preserve">3055a Scott street </v>
          </cell>
          <cell r="E194" t="str">
            <v>Victoria</v>
          </cell>
          <cell r="F194" t="str">
            <v xml:space="preserve">BC </v>
          </cell>
        </row>
        <row r="195">
          <cell r="C195" t="str">
            <v>Encann Solutions INC</v>
          </cell>
          <cell r="D195" t="str">
            <v>375 Potterton Road, Unit D1</v>
          </cell>
          <cell r="E195" t="str">
            <v>Kelowna</v>
          </cell>
          <cell r="F195" t="str">
            <v xml:space="preserve">BC </v>
          </cell>
        </row>
        <row r="196">
          <cell r="C196" t="str">
            <v>Avenue Cannabis Retail</v>
          </cell>
          <cell r="D196" t="str">
            <v>1453 Bellevue Avenue</v>
          </cell>
          <cell r="E196" t="str">
            <v>West Vancouver</v>
          </cell>
          <cell r="F196" t="str">
            <v xml:space="preserve">BC </v>
          </cell>
        </row>
        <row r="197">
          <cell r="C197" t="str">
            <v>Maple Leaf Greenery</v>
          </cell>
          <cell r="D197" t="str">
            <v>71 6th St</v>
          </cell>
          <cell r="E197" t="str">
            <v>New Westminster</v>
          </cell>
          <cell r="F197" t="str">
            <v xml:space="preserve">BC </v>
          </cell>
        </row>
        <row r="198">
          <cell r="C198" t="str">
            <v>META GROWTH CORP, Brandon</v>
          </cell>
          <cell r="D198" t="str">
            <v>4-930 18TH STREET</v>
          </cell>
          <cell r="E198" t="str">
            <v>BRANDON</v>
          </cell>
          <cell r="F198" t="str">
            <v>MB</v>
          </cell>
        </row>
        <row r="199">
          <cell r="C199" t="str">
            <v>Weeds Glass &amp; Gifts</v>
          </cell>
          <cell r="D199" t="str">
            <v>2580 Kingsway</v>
          </cell>
          <cell r="E199" t="str">
            <v>Vancouver</v>
          </cell>
          <cell r="F199" t="str">
            <v xml:space="preserve">BC </v>
          </cell>
        </row>
        <row r="200">
          <cell r="C200" t="str">
            <v>Valiant Distribution Cannabis</v>
          </cell>
          <cell r="D200" t="str">
            <v>647 Park St.</v>
          </cell>
          <cell r="E200" t="str">
            <v>Regina</v>
          </cell>
          <cell r="F200" t="str">
            <v>SK</v>
          </cell>
        </row>
        <row r="201">
          <cell r="C201" t="str">
            <v>META GROWTH CORP, SELKIRK</v>
          </cell>
          <cell r="D201" t="str">
            <v>102 - 366 MAIN STREET</v>
          </cell>
          <cell r="E201" t="str">
            <v>SELKIRK</v>
          </cell>
          <cell r="F201" t="str">
            <v>MB</v>
          </cell>
        </row>
        <row r="202">
          <cell r="C202" t="str">
            <v>1253486 B.C. LTD.</v>
          </cell>
          <cell r="D202" t="str">
            <v>733 Finns Rd</v>
          </cell>
          <cell r="E202" t="str">
            <v xml:space="preserve">Kelowna </v>
          </cell>
          <cell r="F202" t="str">
            <v xml:space="preserve">BC </v>
          </cell>
        </row>
        <row r="203">
          <cell r="C203" t="str">
            <v>UP IN SMOKE - LEILA AVE</v>
          </cell>
          <cell r="D203" t="str">
            <v>656 LEILA AVE</v>
          </cell>
          <cell r="E203" t="str">
            <v>WINNIPEG</v>
          </cell>
          <cell r="F203" t="str">
            <v>MB</v>
          </cell>
        </row>
        <row r="204">
          <cell r="C204" t="str">
            <v>La Canapa Botique inc</v>
          </cell>
          <cell r="D204" t="str">
            <v>8002 Granville St</v>
          </cell>
          <cell r="E204" t="str">
            <v>Vancouver</v>
          </cell>
          <cell r="F204" t="str">
            <v xml:space="preserve">BC </v>
          </cell>
        </row>
        <row r="205">
          <cell r="C205" t="str">
            <v>FOUR20 GIGGLES LTD</v>
          </cell>
          <cell r="D205" t="str">
            <v>713 MCPHILLIPS STREET</v>
          </cell>
          <cell r="E205" t="str">
            <v>WINNIPEG</v>
          </cell>
          <cell r="F205" t="str">
            <v>MB</v>
          </cell>
        </row>
        <row r="206">
          <cell r="C206" t="str">
            <v>AR Cannabis</v>
          </cell>
          <cell r="D206" t="str">
            <v>1353 East 41st Avenue</v>
          </cell>
          <cell r="E206" t="str">
            <v>Vancouver</v>
          </cell>
          <cell r="F206" t="str">
            <v xml:space="preserve">BC </v>
          </cell>
        </row>
        <row r="207">
          <cell r="C207" t="str">
            <v>CANNA CABANA - SELKIRK</v>
          </cell>
          <cell r="D207" t="str">
            <v>102 - 366 MAIN STREET</v>
          </cell>
          <cell r="E207" t="str">
            <v>SELKIRK</v>
          </cell>
          <cell r="F207" t="str">
            <v>MB</v>
          </cell>
        </row>
        <row r="208">
          <cell r="C208" t="str">
            <v>PEI Cannabis</v>
          </cell>
          <cell r="D208" t="str">
            <v>3 Garfield Street</v>
          </cell>
          <cell r="E208" t="str">
            <v>Charlottetown,</v>
          </cell>
          <cell r="F208" t="str">
            <v>PEI</v>
          </cell>
        </row>
        <row r="209">
          <cell r="C209" t="str">
            <v>Fat Panda Ltd</v>
          </cell>
          <cell r="D209" t="str">
            <v>2-233 Regent Ave</v>
          </cell>
          <cell r="E209" t="str">
            <v>Winnipeg</v>
          </cell>
          <cell r="F209" t="str">
            <v>MB</v>
          </cell>
        </row>
        <row r="210">
          <cell r="C210" t="str">
            <v>Island Cannabis Co.</v>
          </cell>
          <cell r="D210" t="str">
            <v>Unit 9, 2220 Bowen RD</v>
          </cell>
          <cell r="E210" t="str">
            <v>Nanaimo</v>
          </cell>
          <cell r="F210" t="str">
            <v>BC</v>
          </cell>
        </row>
        <row r="211">
          <cell r="C211" t="str">
            <v>THE HAZE COMPANY</v>
          </cell>
          <cell r="D211" t="str">
            <v>89-1st street south</v>
          </cell>
          <cell r="E211" t="str">
            <v>Souris</v>
          </cell>
          <cell r="F211" t="str">
            <v>MB</v>
          </cell>
        </row>
        <row r="212">
          <cell r="C212" t="str">
            <v>DELTA 9 LIFESTYLE CANNABIS CLINIC (KENASTON BLVD)</v>
          </cell>
          <cell r="D212" t="str">
            <v>DELTA 9 CANNABIS STORE - 2-1589 KENASTON BLVD</v>
          </cell>
          <cell r="E212" t="str">
            <v>WINNIPEG</v>
          </cell>
          <cell r="F212" t="str">
            <v>MB</v>
          </cell>
        </row>
        <row r="213">
          <cell r="C213" t="str">
            <v>INTERLAKE REEF</v>
          </cell>
          <cell r="D213" t="str">
            <v>78 MAIN ST, Unit C</v>
          </cell>
          <cell r="E213" t="str">
            <v>RIVERTON</v>
          </cell>
          <cell r="F213" t="str">
            <v>MB</v>
          </cell>
        </row>
        <row r="214">
          <cell r="C214" t="str">
            <v>99 North Cannabis</v>
          </cell>
          <cell r="D214" t="str">
            <v>1200 Hunter PI# 130</v>
          </cell>
          <cell r="E214" t="str">
            <v>SQUAMISH</v>
          </cell>
          <cell r="F214" t="str">
            <v>BC</v>
          </cell>
        </row>
        <row r="219">
          <cell r="C219" t="str">
            <v>The Flowershop</v>
          </cell>
          <cell r="D219" t="str">
            <v>5021 49th Ave NW #9</v>
          </cell>
          <cell r="E219" t="str">
            <v>Chetwynd</v>
          </cell>
          <cell r="F219" t="str">
            <v>BC</v>
          </cell>
        </row>
        <row r="222">
          <cell r="C222" t="str">
            <v>Michelle Bulechowsky</v>
          </cell>
          <cell r="D222" t="str">
            <v>3105 12535 17th street sw</v>
          </cell>
          <cell r="E222" t="str">
            <v>Calgary</v>
          </cell>
          <cell r="F222" t="str">
            <v>AB</v>
          </cell>
        </row>
        <row r="223">
          <cell r="C223" t="str">
            <v>Burb Cannabis(Loughheed)</v>
          </cell>
          <cell r="D223" t="str">
            <v>24-2755 Loughheed Highway</v>
          </cell>
          <cell r="E223" t="str">
            <v>Port Coquitlam</v>
          </cell>
          <cell r="F223" t="str">
            <v>BC</v>
          </cell>
        </row>
        <row r="224">
          <cell r="C224" t="str">
            <v>Daniel Lantela</v>
          </cell>
          <cell r="D224" t="str">
            <v>NA</v>
          </cell>
          <cell r="E224" t="str">
            <v>NA</v>
          </cell>
          <cell r="F224" t="str">
            <v>NA</v>
          </cell>
        </row>
        <row r="225">
          <cell r="C225" t="str">
            <v>Kimberly Waterhouse</v>
          </cell>
          <cell r="D225" t="str">
            <v>NA</v>
          </cell>
          <cell r="E225" t="str">
            <v>NA</v>
          </cell>
          <cell r="F225" t="str">
            <v>NA</v>
          </cell>
        </row>
        <row r="227">
          <cell r="C227" t="str">
            <v>Gary Birch</v>
          </cell>
          <cell r="D227" t="str">
            <v>NA</v>
          </cell>
          <cell r="E227" t="str">
            <v>NA</v>
          </cell>
          <cell r="F227" t="str">
            <v>NA</v>
          </cell>
        </row>
        <row r="228">
          <cell r="C228" t="str">
            <v>Quantum 1-North Vancouver</v>
          </cell>
          <cell r="D228" t="str">
            <v>#1-820 Marine Drive</v>
          </cell>
          <cell r="E228" t="str">
            <v>North Vancouver</v>
          </cell>
          <cell r="F228" t="str">
            <v>BC</v>
          </cell>
        </row>
        <row r="229">
          <cell r="C229" t="str">
            <v>Leaf Infusions</v>
          </cell>
        </row>
        <row r="230">
          <cell r="C230" t="str">
            <v>The Trinity Tree</v>
          </cell>
          <cell r="D230" t="str">
            <v>4529 W 10th Ave</v>
          </cell>
          <cell r="E230" t="str">
            <v>VANCOUVER</v>
          </cell>
          <cell r="F230" t="str">
            <v>BC</v>
          </cell>
        </row>
        <row r="231">
          <cell r="C231"/>
          <cell r="E231"/>
        </row>
        <row r="233">
          <cell r="C233" t="str">
            <v>DELTA 9 LIFESTYLE CANNABIS CLINIC (GARDEN VARIETY)</v>
          </cell>
          <cell r="D233" t="str">
            <v>1424 ELLICE AVE, UNIT 620</v>
          </cell>
          <cell r="E233" t="str">
            <v>Winnipeg</v>
          </cell>
          <cell r="F233" t="str">
            <v>MB</v>
          </cell>
        </row>
        <row r="236">
          <cell r="C236" t="str">
            <v>Canna Cabana-Hillside Dr</v>
          </cell>
          <cell r="D236" t="str">
            <v xml:space="preserve">1055 Hillside Dr #520			</v>
          </cell>
          <cell r="E236" t="str">
            <v xml:space="preserve">Kamloops	</v>
          </cell>
          <cell r="F236" t="str">
            <v>BC</v>
          </cell>
        </row>
        <row r="237">
          <cell r="C237" t="str">
            <v>Canna Cabana-100 ST</v>
          </cell>
          <cell r="D237" t="str">
            <v>10027 100 St</v>
          </cell>
          <cell r="E237" t="str">
            <v>Fort St John</v>
          </cell>
          <cell r="F237" t="str">
            <v>BC</v>
          </cell>
        </row>
        <row r="238">
          <cell r="C238" t="str">
            <v>Canna Cabana-2nd Ave</v>
          </cell>
          <cell r="D238" t="str">
            <v>191 W 2nd Ave</v>
          </cell>
          <cell r="E238" t="str">
            <v>Vancouver</v>
          </cell>
          <cell r="F238" t="str">
            <v>BC</v>
          </cell>
        </row>
        <row r="239">
          <cell r="C239" t="str">
            <v>Canna Cabana-Cranbrook ST</v>
          </cell>
          <cell r="D239" t="str">
            <v>1225 Cranbrook St N</v>
          </cell>
          <cell r="E239" t="str">
            <v>Cranbrook</v>
          </cell>
          <cell r="F239" t="str">
            <v>BC</v>
          </cell>
        </row>
        <row r="240">
          <cell r="C240" t="str">
            <v>Canna Cabana-Victoria ST</v>
          </cell>
          <cell r="D240" t="str">
            <v>1543 Victoria Street</v>
          </cell>
          <cell r="E240" t="str">
            <v>Prince George</v>
          </cell>
          <cell r="F240" t="str">
            <v>BC</v>
          </cell>
        </row>
        <row r="241">
          <cell r="C241" t="str">
            <v>Canna Cabana-Dunbar ST</v>
          </cell>
          <cell r="D241" t="str">
            <v>5628 Dunbar St</v>
          </cell>
          <cell r="E241" t="str">
            <v>Vancouver</v>
          </cell>
          <cell r="F241" t="str">
            <v>BC</v>
          </cell>
        </row>
        <row r="242">
          <cell r="C242" t="str">
            <v>Canna Cabana-Richard ST</v>
          </cell>
          <cell r="D242" t="str">
            <v>1391 Richards St</v>
          </cell>
          <cell r="E242" t="str">
            <v>Vancouver</v>
          </cell>
          <cell r="F242" t="str">
            <v>BC</v>
          </cell>
        </row>
        <row r="243">
          <cell r="C243" t="str">
            <v>Cronos Growing Corp</v>
          </cell>
          <cell r="D243" t="str">
            <v>609 Rd 3 East Kingsville</v>
          </cell>
          <cell r="E243" t="str">
            <v>Kingsville</v>
          </cell>
          <cell r="F243" t="str">
            <v>ON</v>
          </cell>
        </row>
        <row r="244">
          <cell r="C244" t="str">
            <v>1253486 BC LTD</v>
          </cell>
          <cell r="D244" t="str">
            <v xml:space="preserve">733 Finns Rd </v>
          </cell>
          <cell r="E244" t="str">
            <v xml:space="preserve">Kelowna </v>
          </cell>
          <cell r="F244" t="str">
            <v xml:space="preserve">BC </v>
          </cell>
        </row>
        <row r="246">
          <cell r="C246" t="str">
            <v>PEICMC</v>
          </cell>
          <cell r="D246" t="str">
            <v>3 Garfield st</v>
          </cell>
          <cell r="E246" t="str">
            <v>Charlottetown</v>
          </cell>
          <cell r="F246" t="str">
            <v>PE</v>
          </cell>
        </row>
        <row r="247">
          <cell r="C247" t="str">
            <v>NTLCC_Overland West</v>
          </cell>
          <cell r="D247" t="str">
            <v>Hay River Liquor Store</v>
          </cell>
          <cell r="E247" t="str">
            <v>Hay River</v>
          </cell>
          <cell r="F247" t="str">
            <v>NT</v>
          </cell>
        </row>
        <row r="248">
          <cell r="C248" t="str">
            <v>MORRIS SUPER VARIETY</v>
          </cell>
          <cell r="D248" t="str">
            <v>150 MAIN ST</v>
          </cell>
          <cell r="E248" t="str">
            <v>Morris</v>
          </cell>
          <cell r="F248" t="str">
            <v>MB</v>
          </cell>
        </row>
        <row r="249">
          <cell r="C249" t="str">
            <v>FARMER JANE CANNABIS CO - VERMILLION</v>
          </cell>
          <cell r="D249" t="str">
            <v>160-235 VERMILLION RD</v>
          </cell>
          <cell r="E249" t="str">
            <v>Winnipeg</v>
          </cell>
          <cell r="F249" t="str">
            <v>MB</v>
          </cell>
        </row>
        <row r="250">
          <cell r="C250" t="str">
            <v>Canna Cabana - Brandon</v>
          </cell>
          <cell r="D250" t="str">
            <v>4-930 18th ST</v>
          </cell>
          <cell r="E250" t="str">
            <v>Brandon</v>
          </cell>
          <cell r="F250" t="str">
            <v>MB</v>
          </cell>
        </row>
        <row r="251">
          <cell r="C251" t="str">
            <v>SPIRITLEAF - ST.MARY'S ROAD</v>
          </cell>
          <cell r="D251" t="str">
            <v>Unit E, 1510 ST. MARY'S ROAD</v>
          </cell>
          <cell r="E251" t="str">
            <v>Winnipeg</v>
          </cell>
          <cell r="F251" t="str">
            <v>MB</v>
          </cell>
        </row>
        <row r="252">
          <cell r="C252" t="str">
            <v>TATVA CANNABIS LTD - PORTAGE AVE</v>
          </cell>
          <cell r="D252" t="str">
            <v>1821 PORTAGE AVE</v>
          </cell>
          <cell r="E252" t="str">
            <v>WINNIPEG</v>
          </cell>
          <cell r="F252" t="str">
            <v>MB</v>
          </cell>
        </row>
        <row r="253">
          <cell r="C253" t="str">
            <v>HOLLANDER MOTOR HOTEL</v>
          </cell>
          <cell r="D253" t="str">
            <v>101 BROADWAY ST</v>
          </cell>
          <cell r="E253" t="str">
            <v>HOLLAND</v>
          </cell>
          <cell r="F253" t="str">
            <v>MB</v>
          </cell>
        </row>
        <row r="254">
          <cell r="C254" t="str">
            <v>Oceanside Parksville</v>
          </cell>
          <cell r="D254" t="str">
            <v>PO 577, 3-154 Middleton Ave</v>
          </cell>
          <cell r="E254" t="str">
            <v>Parksville</v>
          </cell>
          <cell r="F254" t="str">
            <v xml:space="preserve">BC </v>
          </cell>
        </row>
        <row r="255">
          <cell r="C255" t="str">
            <v>Local Cannabis</v>
          </cell>
          <cell r="D255" t="str">
            <v>726 Kingsway</v>
          </cell>
          <cell r="E255" t="str">
            <v>Vancouver</v>
          </cell>
          <cell r="F255" t="str">
            <v xml:space="preserve">BC </v>
          </cell>
        </row>
        <row r="256">
          <cell r="C256" t="str">
            <v>THE OLD CANNABIS MARKET LTD</v>
          </cell>
          <cell r="D256" t="str">
            <v>6600 ROBLIN BOULEVARD</v>
          </cell>
          <cell r="E256" t="str">
            <v>WINNIPEG</v>
          </cell>
          <cell r="F256" t="str">
            <v>MB</v>
          </cell>
        </row>
        <row r="257">
          <cell r="C257" t="str">
            <v>FIRE&amp;FLOWER CANNABIS CO-SWAN RIVER</v>
          </cell>
          <cell r="D257" t="str">
            <v>526 Main ST</v>
          </cell>
          <cell r="E257" t="str">
            <v>SWAN RIVER</v>
          </cell>
          <cell r="F257" t="str">
            <v>MB</v>
          </cell>
        </row>
        <row r="258">
          <cell r="C258" t="str">
            <v>FIDDLER'S GREEN CANNABIS CO LTD</v>
          </cell>
          <cell r="D258" t="str">
            <v>124 KING ST</v>
          </cell>
          <cell r="E258" t="str">
            <v>WINNIPEG</v>
          </cell>
          <cell r="F258" t="str">
            <v>MB</v>
          </cell>
        </row>
        <row r="259">
          <cell r="C259" t="str">
            <v>FIRE&amp;FLOWER CANNABIS CO-PLP</v>
          </cell>
          <cell r="D259" t="str">
            <v>5B, 2352 SISSONS DR</v>
          </cell>
          <cell r="E259" t="str">
            <v>PORTAGE LA PRAIRIE</v>
          </cell>
          <cell r="F259" t="str">
            <v>MB</v>
          </cell>
        </row>
        <row r="260">
          <cell r="C260" t="str">
            <v>FIRE&amp;FLOWER CANNABIS CO-PLESSIS</v>
          </cell>
          <cell r="D260" t="str">
            <v>UNIT 3, 1460 PLESSIS ROAD</v>
          </cell>
          <cell r="E260" t="str">
            <v>WINNIPEG</v>
          </cell>
          <cell r="F260" t="str">
            <v>MB</v>
          </cell>
        </row>
        <row r="261">
          <cell r="C261" t="str">
            <v>MORDEN VAPESUPERSTORE&amp;CANNABIS</v>
          </cell>
          <cell r="D261" t="str">
            <v>UNIT H, 886 THORNHILL ST</v>
          </cell>
          <cell r="E261" t="str">
            <v xml:space="preserve">MORDEN </v>
          </cell>
          <cell r="F261" t="str">
            <v>MB</v>
          </cell>
        </row>
        <row r="262">
          <cell r="C262" t="str">
            <v>Embark Delta</v>
          </cell>
          <cell r="D262" t="str">
            <v xml:space="preserve">1629 Fosters Way </v>
          </cell>
          <cell r="E262" t="str">
            <v>Delta</v>
          </cell>
          <cell r="F262" t="str">
            <v xml:space="preserve">BC </v>
          </cell>
        </row>
        <row r="263">
          <cell r="C263" t="str">
            <v>10043439 Manitoba Inc</v>
          </cell>
          <cell r="D263" t="str">
            <v>1510 E st Mary's Rd</v>
          </cell>
          <cell r="E263" t="str">
            <v>Winnipeg</v>
          </cell>
          <cell r="F263" t="str">
            <v>MB</v>
          </cell>
        </row>
        <row r="264">
          <cell r="C264" t="str">
            <v>Chongke Inc-Cottontail Cannabis</v>
          </cell>
          <cell r="D264" t="str">
            <v>16 Britannica Rd</v>
          </cell>
          <cell r="E264" t="str">
            <v>Winnipeg</v>
          </cell>
          <cell r="F264" t="str">
            <v>MB</v>
          </cell>
        </row>
        <row r="265">
          <cell r="C265" t="str">
            <v>PJS Adventures Inc</v>
          </cell>
          <cell r="D265" t="str">
            <v>1-530 Sabourin St</v>
          </cell>
          <cell r="E265" t="str">
            <v>St. Pierre-Jolys</v>
          </cell>
          <cell r="F265" t="str">
            <v>MB</v>
          </cell>
        </row>
        <row r="266">
          <cell r="C266" t="str">
            <v>George Anstey</v>
          </cell>
          <cell r="D266" t="str">
            <v xml:space="preserve">2557 cooke </v>
          </cell>
          <cell r="E266" t="str">
            <v>Victoria</v>
          </cell>
          <cell r="F266" t="str">
            <v>BC</v>
          </cell>
        </row>
        <row r="267">
          <cell r="C267" t="str">
            <v>Tricity smoke</v>
          </cell>
          <cell r="D267" t="str">
            <v xml:space="preserve">115 1776 Broadway st </v>
          </cell>
          <cell r="E267" t="str">
            <v>Port Coquitlam</v>
          </cell>
          <cell r="F267" t="str">
            <v>BC</v>
          </cell>
        </row>
        <row r="268">
          <cell r="C268" t="str">
            <v>Black Kettle Farms</v>
          </cell>
          <cell r="D268" t="str">
            <v>22051 56th Ave</v>
          </cell>
          <cell r="E268" t="str">
            <v>Langely</v>
          </cell>
          <cell r="F268" t="str">
            <v>BC</v>
          </cell>
        </row>
        <row r="269">
          <cell r="C269" t="str">
            <v>Jayson Charnow</v>
          </cell>
          <cell r="D269" t="str">
            <v xml:space="preserve">2 Dromore Cres </v>
          </cell>
          <cell r="E269" t="str">
            <v>North York</v>
          </cell>
          <cell r="F269" t="str">
            <v>ON</v>
          </cell>
        </row>
        <row r="270">
          <cell r="C270" t="str">
            <v>Joel Kneller</v>
          </cell>
          <cell r="D270" t="str">
            <v>9477 66 Ave NW</v>
          </cell>
          <cell r="E270" t="str">
            <v>Edmonton</v>
          </cell>
          <cell r="F270" t="str">
            <v>AB</v>
          </cell>
        </row>
        <row r="271">
          <cell r="C271" t="str">
            <v>Elevate Wellness</v>
          </cell>
          <cell r="D271" t="str">
            <v xml:space="preserve">106-1772 Broadway St </v>
          </cell>
          <cell r="E271" t="str">
            <v>Port Coquitlam</v>
          </cell>
          <cell r="F271" t="str">
            <v xml:space="preserve">BC </v>
          </cell>
        </row>
        <row r="272">
          <cell r="C272" t="str">
            <v>Aviator Cannabis Co.</v>
          </cell>
        </row>
        <row r="273">
          <cell r="C273" t="str">
            <v>Local Leaf</v>
          </cell>
        </row>
        <row r="275">
          <cell r="C275" t="str">
            <v>The Original Farm Hillside LTD.</v>
          </cell>
          <cell r="D275" t="str">
            <v>3055A Scott St</v>
          </cell>
          <cell r="E275" t="str">
            <v>Victoria</v>
          </cell>
          <cell r="F275" t="str">
            <v xml:space="preserve">BC </v>
          </cell>
        </row>
        <row r="277">
          <cell r="C277" t="str">
            <v>City Cannabis CO-Cambie ST</v>
          </cell>
          <cell r="D277" t="str">
            <v>4055 Cambie St</v>
          </cell>
          <cell r="E277" t="str">
            <v>Vancouver</v>
          </cell>
          <cell r="F277" t="str">
            <v>BC</v>
          </cell>
        </row>
        <row r="278">
          <cell r="C278" t="str">
            <v>Brunette Cannabis Co.</v>
          </cell>
          <cell r="D278" t="str">
            <v>#102-935 Brunette Ave</v>
          </cell>
          <cell r="E278" t="str">
            <v>Coquitlam</v>
          </cell>
          <cell r="F278" t="str">
            <v>BC</v>
          </cell>
        </row>
        <row r="280">
          <cell r="C280" t="str">
            <v>Orbis Express-Ontario</v>
          </cell>
          <cell r="D280" t="str">
            <v>Unit 4-6150 Kennedy Road</v>
          </cell>
          <cell r="E280" t="str">
            <v>Missisauga</v>
          </cell>
          <cell r="F280" t="str">
            <v>ON</v>
          </cell>
        </row>
        <row r="281">
          <cell r="C281" t="str">
            <v>KOOTENAY CANNABIS KINGSWAY</v>
          </cell>
          <cell r="D281" t="str">
            <v>2076 Kingsway</v>
          </cell>
          <cell r="E281" t="str">
            <v>Vancouver</v>
          </cell>
          <cell r="F281" t="str">
            <v>BC</v>
          </cell>
        </row>
        <row r="283">
          <cell r="C283" t="str">
            <v>Star Buds Cannabis Co-Pembina</v>
          </cell>
          <cell r="D283" t="str">
            <v>Unit C-1566 Pembina Hwy</v>
          </cell>
          <cell r="E283" t="str">
            <v>WINNIPEG</v>
          </cell>
          <cell r="F283" t="str">
            <v>MB</v>
          </cell>
        </row>
        <row r="284">
          <cell r="C284" t="str">
            <v>CANAD CANNNABIS CORNER-MCPHILLIPS</v>
          </cell>
          <cell r="D284" t="str">
            <v>2100 MCPHILLIPS ST</v>
          </cell>
          <cell r="E284" t="str">
            <v>WINNIPEG</v>
          </cell>
          <cell r="F284" t="str">
            <v>MB</v>
          </cell>
        </row>
        <row r="285">
          <cell r="C285" t="str">
            <v>CRESCENT CANNABIS-SOURIS</v>
          </cell>
          <cell r="D285" t="str">
            <v>UNIT A-150 MAPLE AVE E</v>
          </cell>
          <cell r="E285" t="str">
            <v>SOURIS</v>
          </cell>
          <cell r="F285" t="str">
            <v>MB</v>
          </cell>
        </row>
        <row r="286">
          <cell r="C286" t="str">
            <v>THE BUDSTOP CANNABIS INC - ST MARYS ROAD</v>
          </cell>
          <cell r="D286" t="str">
            <v>UNIT B - 1026 ST. MARY ROAD</v>
          </cell>
          <cell r="E286" t="str">
            <v>Winnipeg</v>
          </cell>
          <cell r="F286" t="str">
            <v>MB</v>
          </cell>
        </row>
        <row r="287">
          <cell r="C287" t="str">
            <v>HAPPY VALLEYS CANNABIS INC-GATEWAY</v>
          </cell>
          <cell r="D287" t="str">
            <v>2-1115 GATEWAY RD</v>
          </cell>
          <cell r="E287" t="str">
            <v>Winnipeg</v>
          </cell>
          <cell r="F287" t="str">
            <v>MB</v>
          </cell>
        </row>
        <row r="288">
          <cell r="C288" t="str">
            <v>TOKYO SMOKE-MORDEN</v>
          </cell>
          <cell r="D288" t="str">
            <v>UNIT A-195 LA VERENDRYE BLVD</v>
          </cell>
          <cell r="E288" t="str">
            <v>MORDEN</v>
          </cell>
          <cell r="F288" t="str">
            <v>MB</v>
          </cell>
        </row>
        <row r="289">
          <cell r="C289" t="str">
            <v>CANNA CABANA-RIVER AVE</v>
          </cell>
          <cell r="D289" t="str">
            <v>UNIT 2-481 RIVER AVE</v>
          </cell>
          <cell r="E289" t="str">
            <v>Winnipeg</v>
          </cell>
          <cell r="F289" t="str">
            <v>MB</v>
          </cell>
        </row>
        <row r="290">
          <cell r="C290" t="str">
            <v>SMOKE N FISH</v>
          </cell>
          <cell r="D290" t="str">
            <v>405 MAIN ST</v>
          </cell>
          <cell r="E290" t="str">
            <v>SELKIRK</v>
          </cell>
          <cell r="F290" t="str">
            <v>MB</v>
          </cell>
        </row>
        <row r="291">
          <cell r="C291" t="str">
            <v>FUSION BUD LTD</v>
          </cell>
          <cell r="D291" t="str">
            <v>371 MAIN ST</v>
          </cell>
          <cell r="E291" t="str">
            <v xml:space="preserve">STONEWALL </v>
          </cell>
          <cell r="F291" t="str">
            <v>MB</v>
          </cell>
        </row>
        <row r="292">
          <cell r="C292" t="str">
            <v>M.T.T SERVICE</v>
          </cell>
          <cell r="D292" t="str">
            <v>PO BOX 300, HIGHWAY 6 &amp; TWIN LAKES BEACH ROAD</v>
          </cell>
          <cell r="E292" t="str">
            <v>ST. LAURENT</v>
          </cell>
          <cell r="F292" t="str">
            <v xml:space="preserve">MB </v>
          </cell>
        </row>
        <row r="293">
          <cell r="C293" t="str">
            <v>Boomtown Bloom Cannabis</v>
          </cell>
          <cell r="D293" t="str">
            <v>379 CENTRE ST</v>
          </cell>
          <cell r="E293" t="str">
            <v>SHAUNAVON</v>
          </cell>
          <cell r="F293" t="str">
            <v>SK</v>
          </cell>
        </row>
        <row r="294">
          <cell r="C294" t="str">
            <v>OPEN FIELD DISTRIBUTION-MB_old</v>
          </cell>
          <cell r="D294" t="str">
            <v>4-1832 King Edward St.</v>
          </cell>
          <cell r="E294" t="str">
            <v>WINNIPEG</v>
          </cell>
          <cell r="F294" t="str">
            <v>MB</v>
          </cell>
        </row>
        <row r="295">
          <cell r="C295" t="str">
            <v>HAPPY ROCK CANNABIS</v>
          </cell>
          <cell r="D295" t="str">
            <v>13 A DENNIS ST</v>
          </cell>
          <cell r="E295" t="str">
            <v xml:space="preserve">GLADSTONE </v>
          </cell>
          <cell r="F295" t="str">
            <v>MB</v>
          </cell>
        </row>
        <row r="296">
          <cell r="C296" t="str">
            <v>LIFT CANNABIS CO</v>
          </cell>
          <cell r="D296" t="str">
            <v>2983 RUPERT ST</v>
          </cell>
          <cell r="E296" t="str">
            <v>Vancouver</v>
          </cell>
          <cell r="F296" t="str">
            <v>BC</v>
          </cell>
        </row>
        <row r="297">
          <cell r="C297" t="str">
            <v xml:space="preserve">VANCITY WEED </v>
          </cell>
          <cell r="D297" t="str">
            <v>2223 COMMERCIAL DR</v>
          </cell>
          <cell r="E297" t="str">
            <v>VANCOUVER</v>
          </cell>
          <cell r="F297" t="str">
            <v>BC</v>
          </cell>
        </row>
        <row r="298">
          <cell r="C298" t="str">
            <v>Dycar Pharmaceuticals</v>
          </cell>
          <cell r="D298" t="str">
            <v>900 Industrial Road</v>
          </cell>
          <cell r="E298" t="str">
            <v>Cranbrook</v>
          </cell>
          <cell r="F298" t="str">
            <v>BC</v>
          </cell>
        </row>
        <row r="299">
          <cell r="C299" t="str">
            <v>Growtown (Ze Feng Int Group)</v>
          </cell>
          <cell r="D299" t="str">
            <v>2725 County Rd 20</v>
          </cell>
          <cell r="E299" t="str">
            <v xml:space="preserve">Kemptville </v>
          </cell>
          <cell r="F299" t="str">
            <v>ON</v>
          </cell>
        </row>
        <row r="300">
          <cell r="C300" t="str">
            <v>BIG TOWN BUD</v>
          </cell>
          <cell r="D300" t="str">
            <v>69 MAIN ST</v>
          </cell>
          <cell r="E300" t="str">
            <v>MELITA</v>
          </cell>
          <cell r="F300" t="str">
            <v>MB</v>
          </cell>
        </row>
        <row r="301">
          <cell r="C301" t="str">
            <v>DELTA 9 CANNABIS STORE-DAKOTA ST</v>
          </cell>
          <cell r="D301" t="str">
            <v>1-827 DAKOTA ST</v>
          </cell>
          <cell r="E301" t="str">
            <v>Winnipeg</v>
          </cell>
          <cell r="F301" t="str">
            <v>MB</v>
          </cell>
        </row>
        <row r="302">
          <cell r="C302" t="str">
            <v>DELTA 9 CANNABIS STORE-RIVER AVE</v>
          </cell>
          <cell r="D302" t="str">
            <v>478 RIVER AVE</v>
          </cell>
          <cell r="E302" t="str">
            <v>Winnipeg</v>
          </cell>
          <cell r="F302" t="str">
            <v>MB</v>
          </cell>
        </row>
        <row r="303">
          <cell r="C303" t="str">
            <v>DELTA 9 CANNABIS STORE-18TH ST</v>
          </cell>
          <cell r="D303" t="str">
            <v>48-1570 18TH ST</v>
          </cell>
          <cell r="E303" t="str">
            <v>Brandon</v>
          </cell>
          <cell r="F303" t="str">
            <v>MB</v>
          </cell>
        </row>
        <row r="304">
          <cell r="C304" t="str">
            <v>DELTA9 CANNABIS STORE-MYSTERY LAKE RD</v>
          </cell>
          <cell r="D304" t="str">
            <v>300 MYSTERY LAKE ROAD</v>
          </cell>
          <cell r="E304" t="str">
            <v>THOMPSON</v>
          </cell>
          <cell r="F304" t="str">
            <v>MB</v>
          </cell>
        </row>
        <row r="305">
          <cell r="C305" t="str">
            <v>DELTA9 CANNABIS STORE-KENASTON BLVD</v>
          </cell>
          <cell r="D305" t="str">
            <v>2-1589 KENASTON BLVD</v>
          </cell>
          <cell r="E305" t="str">
            <v>Winnipeg</v>
          </cell>
          <cell r="F305" t="str">
            <v>MB</v>
          </cell>
        </row>
        <row r="306">
          <cell r="C306" t="str">
            <v>DELTA9 CANNABIS STORE-REGENT</v>
          </cell>
          <cell r="D306" t="str">
            <v>UNIT 655-1615 REGENT AVE WEST</v>
          </cell>
          <cell r="E306" t="str">
            <v>Winnipeg</v>
          </cell>
          <cell r="F306" t="str">
            <v>MB</v>
          </cell>
        </row>
        <row r="307">
          <cell r="C307" t="str">
            <v>DELTA 9 CANNABIS STORE-HENDERSON HWY</v>
          </cell>
          <cell r="D307" t="str">
            <v>2001 HENDERSON HWY</v>
          </cell>
          <cell r="E307" t="str">
            <v>Winnipeg</v>
          </cell>
          <cell r="F307" t="str">
            <v>MB</v>
          </cell>
        </row>
        <row r="308">
          <cell r="C308" t="str">
            <v>DELTA 9 CANNABIS STORE-MCPHILLIPS</v>
          </cell>
          <cell r="D308" t="str">
            <v>15-1399 MCPHILLIPS ST</v>
          </cell>
          <cell r="E308" t="str">
            <v>Winnipeg</v>
          </cell>
          <cell r="F308" t="str">
            <v>MB</v>
          </cell>
        </row>
        <row r="309">
          <cell r="C309" t="str">
            <v>DELTA 9 CANNABIS STORE-SELKIRK</v>
          </cell>
          <cell r="D309" t="str">
            <v>379 MAIN ST</v>
          </cell>
          <cell r="E309" t="str">
            <v>SELKIRK</v>
          </cell>
          <cell r="F309" t="str">
            <v>MB</v>
          </cell>
        </row>
        <row r="310">
          <cell r="C310" t="str">
            <v>DELTA 9 CANNABIS STORE-PEMBINA</v>
          </cell>
          <cell r="D310" t="str">
            <v>2081 PEMBINA HWY</v>
          </cell>
          <cell r="E310" t="str">
            <v>Winnipeg</v>
          </cell>
          <cell r="F310" t="str">
            <v>MB</v>
          </cell>
        </row>
        <row r="311">
          <cell r="C311" t="str">
            <v>DELTA 9 CANNABIS STORE-1719 PORTAGE AVE</v>
          </cell>
          <cell r="D311" t="str">
            <v>1719 PORTAGE AVE</v>
          </cell>
          <cell r="E311" t="str">
            <v>WINNIPEG</v>
          </cell>
          <cell r="F311" t="str">
            <v>MB</v>
          </cell>
        </row>
        <row r="312">
          <cell r="C312" t="str">
            <v>DELTA 9 CANNABIS STORE-DAUPHIN</v>
          </cell>
          <cell r="D312" t="str">
            <v>UNIT 2-1351 MAIN ST</v>
          </cell>
          <cell r="E312" t="str">
            <v>DAUPHIN</v>
          </cell>
          <cell r="F312" t="str">
            <v>MB</v>
          </cell>
        </row>
        <row r="313">
          <cell r="C313" t="str">
            <v>DELTA 9 CANNABIS STORE-SARGENT</v>
          </cell>
          <cell r="D313" t="str">
            <v>625 SARGENT AVE</v>
          </cell>
          <cell r="E313" t="str">
            <v>WINNIPEG</v>
          </cell>
          <cell r="F313" t="str">
            <v>MB</v>
          </cell>
        </row>
        <row r="314">
          <cell r="C314" t="str">
            <v>DELTA 9 CANNABIS STORE-3421 PORTAGE AVE</v>
          </cell>
          <cell r="D314" t="str">
            <v>UNIT 10&amp;11-3421 PORTAGE AVE</v>
          </cell>
          <cell r="E314" t="str">
            <v>Winnipeg</v>
          </cell>
          <cell r="F314" t="str">
            <v>MB</v>
          </cell>
        </row>
        <row r="315">
          <cell r="C315" t="str">
            <v>DELTA 9 CANNABIS STORE-MARION</v>
          </cell>
          <cell r="D315" t="str">
            <v>UNIT A-78 MARION ST</v>
          </cell>
          <cell r="E315" t="str">
            <v>Winnipeg</v>
          </cell>
          <cell r="F315" t="str">
            <v>MB</v>
          </cell>
        </row>
        <row r="316">
          <cell r="C316" t="str">
            <v>BUDDY GUY CANNABIS INC</v>
          </cell>
          <cell r="D316" t="str">
            <v>UNIT 1-45, 4TH AVE NE</v>
          </cell>
          <cell r="E316" t="str">
            <v>ALTONA</v>
          </cell>
          <cell r="F316" t="str">
            <v>MB</v>
          </cell>
        </row>
        <row r="318">
          <cell r="C318" t="str">
            <v>THE ORIGINAL FARM-SCOTT ST</v>
          </cell>
          <cell r="D318" t="str">
            <v>3055A SCOTT ST</v>
          </cell>
          <cell r="E318" t="str">
            <v>Victoria</v>
          </cell>
          <cell r="F318" t="str">
            <v>BC</v>
          </cell>
        </row>
        <row r="319">
          <cell r="C319" t="str">
            <v>BORDER TOWN BUDS CANNABIS INC</v>
          </cell>
          <cell r="D319" t="str">
            <v>UNIT 1-550 MILL ROAD</v>
          </cell>
          <cell r="E319" t="str">
            <v>BOISSEVAIN</v>
          </cell>
          <cell r="F319" t="str">
            <v>MB</v>
          </cell>
        </row>
        <row r="320">
          <cell r="C320" t="str">
            <v>RURAL BUDS CANNABIS SHOP-ST.ADOLPHE</v>
          </cell>
          <cell r="D320" t="str">
            <v>UNIT B-511 MAIN ST</v>
          </cell>
          <cell r="E320" t="str">
            <v>ST.ADOLPHE</v>
          </cell>
          <cell r="F320" t="str">
            <v>MB</v>
          </cell>
        </row>
        <row r="321">
          <cell r="C321" t="str">
            <v>CJS CANNABIS&amp;WELLNESS - MINNEDOSA</v>
          </cell>
          <cell r="D321" t="str">
            <v>65 MAIN ST SOUTH</v>
          </cell>
          <cell r="E321" t="str">
            <v>Minnedosa</v>
          </cell>
          <cell r="F321" t="str">
            <v>MB</v>
          </cell>
        </row>
        <row r="322">
          <cell r="C322" t="str">
            <v>PRAIRIE TRICHOMES-ROBLIN</v>
          </cell>
          <cell r="D322" t="str">
            <v>128-2ND AVE NW</v>
          </cell>
          <cell r="E322" t="str">
            <v xml:space="preserve">ROBLIN </v>
          </cell>
          <cell r="F322" t="str">
            <v>MB</v>
          </cell>
        </row>
        <row r="323">
          <cell r="C323" t="str">
            <v>OUTDOOR ELEMENTS LA RONGE-LYONS ROAR</v>
          </cell>
          <cell r="D323" t="str">
            <v xml:space="preserve">110 RAILWAY AVE E </v>
          </cell>
          <cell r="E323" t="str">
            <v xml:space="preserve">SANDY LAKE </v>
          </cell>
          <cell r="F323" t="str">
            <v>MB</v>
          </cell>
        </row>
        <row r="324">
          <cell r="C324" t="str">
            <v>Cariboo Buds Cannabis</v>
          </cell>
          <cell r="D324" t="str">
            <v>245 Birch Ave</v>
          </cell>
          <cell r="E324" t="str">
            <v>100 Mile House</v>
          </cell>
          <cell r="F324" t="str">
            <v xml:space="preserve">BC </v>
          </cell>
        </row>
        <row r="325">
          <cell r="C325" t="str">
            <v>Club Cannabis</v>
          </cell>
          <cell r="D325" t="str">
            <v>355 Birch Avenue</v>
          </cell>
          <cell r="E325" t="str">
            <v>100 Mile House</v>
          </cell>
          <cell r="F325" t="str">
            <v xml:space="preserve">BC </v>
          </cell>
        </row>
        <row r="326">
          <cell r="C326" t="str">
            <v>Inspired Cannabis Co</v>
          </cell>
          <cell r="D326" t="str">
            <v>180 - 32500 South Fraser Way</v>
          </cell>
          <cell r="E326" t="str">
            <v>Abbotsford</v>
          </cell>
          <cell r="F326" t="str">
            <v xml:space="preserve">BC </v>
          </cell>
        </row>
        <row r="327">
          <cell r="C327" t="str">
            <v>Hive Cannabis</v>
          </cell>
          <cell r="D327" t="str">
            <v>116-1920 North Parallel Road</v>
          </cell>
          <cell r="E327" t="str">
            <v>Abbotsford</v>
          </cell>
          <cell r="F327" t="str">
            <v xml:space="preserve">BC </v>
          </cell>
        </row>
        <row r="328">
          <cell r="C328" t="str">
            <v>This Is Cannabis</v>
          </cell>
          <cell r="D328" t="str">
            <v>102-2070 Sumas Way</v>
          </cell>
          <cell r="E328" t="str">
            <v>Abbotsford</v>
          </cell>
          <cell r="F328" t="str">
            <v xml:space="preserve">BC </v>
          </cell>
        </row>
        <row r="329">
          <cell r="C329" t="str">
            <v>BC Cannabis Store 7061</v>
          </cell>
          <cell r="D329" t="str">
            <v>Unit J165 - 3122 Mount Lehman Road</v>
          </cell>
          <cell r="E329" t="str">
            <v>ABBOTSFORD</v>
          </cell>
        </row>
        <row r="330">
          <cell r="C330" t="str">
            <v>High5 Cannabis</v>
          </cell>
          <cell r="D330" t="str">
            <v>5 - 3227 264th Street</v>
          </cell>
          <cell r="E330" t="str">
            <v>Aldergrove</v>
          </cell>
          <cell r="F330" t="str">
            <v xml:space="preserve">BC </v>
          </cell>
        </row>
        <row r="331">
          <cell r="C331" t="str">
            <v xml:space="preserve">Cost Cannabis </v>
          </cell>
          <cell r="D331" t="str">
            <v xml:space="preserve">Unit 201 - 2101 Harding Rd </v>
          </cell>
          <cell r="E331" t="str">
            <v>Armstrong</v>
          </cell>
        </row>
        <row r="332">
          <cell r="C332" t="str">
            <v>The Higher Path</v>
          </cell>
          <cell r="D332" t="str">
            <v>2580 Pleasant Valley Blvd.</v>
          </cell>
          <cell r="E332" t="str">
            <v>Armstrong</v>
          </cell>
          <cell r="F332" t="str">
            <v xml:space="preserve">BC </v>
          </cell>
        </row>
        <row r="333">
          <cell r="C333" t="str">
            <v>Barriere Budz Cannabis Store</v>
          </cell>
          <cell r="D333" t="str">
            <v>4347 Yellowhead Hwy S</v>
          </cell>
          <cell r="E333" t="str">
            <v>Barriere</v>
          </cell>
        </row>
        <row r="334">
          <cell r="C334" t="str">
            <v>Copper Island Cannabis Company</v>
          </cell>
          <cell r="D334" t="str">
            <v>1-2798 Balmoral Road</v>
          </cell>
          <cell r="E334" t="str">
            <v>Blind Bay</v>
          </cell>
          <cell r="F334" t="str">
            <v xml:space="preserve">BC </v>
          </cell>
        </row>
        <row r="335">
          <cell r="C335" t="str">
            <v>Happy Isle Cannabis Company</v>
          </cell>
          <cell r="D335" t="str">
            <v>203 - 992 Dorman Road</v>
          </cell>
          <cell r="E335" t="str">
            <v>Bowen Island</v>
          </cell>
        </row>
        <row r="336">
          <cell r="C336" t="str">
            <v>Seaside Cannabis</v>
          </cell>
          <cell r="D336" t="str">
            <v>1189 Verdier Ave</v>
          </cell>
          <cell r="E336" t="str">
            <v>Brentwood Bay</v>
          </cell>
          <cell r="F336" t="str">
            <v xml:space="preserve">BC </v>
          </cell>
        </row>
        <row r="337">
          <cell r="C337" t="str">
            <v>BC Cannabis Store 7049</v>
          </cell>
          <cell r="D337" t="str">
            <v>Unit 1- 4429 Kingsway Ave</v>
          </cell>
          <cell r="E337" t="str">
            <v>BURNABY</v>
          </cell>
        </row>
        <row r="338">
          <cell r="C338" t="str">
            <v>BC Cannabis Store 7057</v>
          </cell>
          <cell r="D338" t="str">
            <v>2 - 4615 Lougheed Highway</v>
          </cell>
          <cell r="E338" t="str">
            <v>BURNABY</v>
          </cell>
        </row>
        <row r="339">
          <cell r="C339" t="str">
            <v>BC Cannabis Store 7063</v>
          </cell>
          <cell r="D339" t="str">
            <v>7300 Market Crossing</v>
          </cell>
          <cell r="E339" t="str">
            <v>BURNABY</v>
          </cell>
        </row>
        <row r="340">
          <cell r="C340" t="str">
            <v>Crossroads Cannabis</v>
          </cell>
          <cell r="D340" t="str">
            <v>Unit A - 166 Hwy 16</v>
          </cell>
          <cell r="E340" t="str">
            <v>Burns Lake</v>
          </cell>
        </row>
        <row r="341">
          <cell r="C341" t="str">
            <v>Mojo Cannabis</v>
          </cell>
          <cell r="D341" t="str">
            <v>5-117 Highway 35</v>
          </cell>
          <cell r="E341" t="str">
            <v>Burns Lake</v>
          </cell>
        </row>
        <row r="342">
          <cell r="C342" t="str">
            <v>Marlee's Den</v>
          </cell>
          <cell r="D342" t="str">
            <v>1408 Cariboo Highway 97</v>
          </cell>
          <cell r="E342" t="str">
            <v>Cache Creek</v>
          </cell>
          <cell r="F342" t="str">
            <v xml:space="preserve">BC </v>
          </cell>
        </row>
        <row r="343">
          <cell r="C343" t="str">
            <v>Club Cannabis</v>
          </cell>
          <cell r="D343" t="str">
            <v>5 - 1064 Trans Canada Highway</v>
          </cell>
          <cell r="E343" t="str">
            <v>Cache Creek</v>
          </cell>
          <cell r="F343" t="str">
            <v xml:space="preserve">BC </v>
          </cell>
        </row>
        <row r="344">
          <cell r="C344" t="str">
            <v>Plenty of Time</v>
          </cell>
          <cell r="D344" t="str">
            <v>1861 Island Highway</v>
          </cell>
          <cell r="E344" t="str">
            <v>Campbell River</v>
          </cell>
        </row>
        <row r="345">
          <cell r="C345" t="str">
            <v>Greenstar Cannabis Company-CAMPBELL RIVER</v>
          </cell>
          <cell r="D345" t="str">
            <v>4-2253 South Island Highway</v>
          </cell>
          <cell r="E345" t="str">
            <v>Campbell River</v>
          </cell>
          <cell r="F345" t="str">
            <v xml:space="preserve">BC </v>
          </cell>
        </row>
        <row r="346">
          <cell r="C346" t="str">
            <v>BC Cannabis Store 7023</v>
          </cell>
          <cell r="D346" t="str">
            <v>130 – 1416 Island Hwy</v>
          </cell>
          <cell r="E346" t="str">
            <v>CAMPBELL RIVER</v>
          </cell>
        </row>
        <row r="347">
          <cell r="C347" t="str">
            <v>Kootenay Cannabis</v>
          </cell>
          <cell r="D347" t="str">
            <v>1306 Columbia Ave</v>
          </cell>
          <cell r="E347" t="str">
            <v>Castlegar</v>
          </cell>
          <cell r="F347" t="str">
            <v xml:space="preserve">BC </v>
          </cell>
        </row>
        <row r="348">
          <cell r="C348" t="str">
            <v>Jeffrey's Cannabis Shop</v>
          </cell>
          <cell r="D348" t="str">
            <v>107-1983 Columbia Ave</v>
          </cell>
          <cell r="E348" t="str">
            <v>Castlegar</v>
          </cell>
          <cell r="F348" t="str">
            <v xml:space="preserve">BC </v>
          </cell>
        </row>
        <row r="349">
          <cell r="C349" t="str">
            <v>High Arrow Cannabis</v>
          </cell>
          <cell r="D349" t="str">
            <v>114-1502 Columbia Ave</v>
          </cell>
          <cell r="E349" t="str">
            <v>Castlegar</v>
          </cell>
        </row>
        <row r="350">
          <cell r="C350" t="str">
            <v>CannaLand Cannabis Ltd.</v>
          </cell>
          <cell r="D350" t="str">
            <v>595 18 St</v>
          </cell>
          <cell r="E350" t="str">
            <v>Castlegar</v>
          </cell>
        </row>
        <row r="351">
          <cell r="C351" t="str">
            <v>The Higher Path</v>
          </cell>
          <cell r="D351" t="str">
            <v>102-2032 Columbia Avenue</v>
          </cell>
          <cell r="E351" t="str">
            <v>Castlegar</v>
          </cell>
          <cell r="F351" t="str">
            <v xml:space="preserve">BC </v>
          </cell>
        </row>
        <row r="352">
          <cell r="C352" t="str">
            <v>Coast Salish Canna</v>
          </cell>
          <cell r="D352" t="str">
            <v>1449 B Macmillan Road</v>
          </cell>
          <cell r="E352" t="str">
            <v>Cedar</v>
          </cell>
          <cell r="F352" t="str">
            <v xml:space="preserve">BC </v>
          </cell>
        </row>
        <row r="353">
          <cell r="C353" t="str">
            <v>BB Cannabis</v>
          </cell>
          <cell r="D353" t="str">
            <v>UNIT A 560 SHUSWAP AVE</v>
          </cell>
          <cell r="E353" t="str">
            <v>Chase</v>
          </cell>
          <cell r="F353" t="str">
            <v xml:space="preserve">BC </v>
          </cell>
        </row>
        <row r="354">
          <cell r="C354" t="str">
            <v>Violet Wild Cannabis Co.</v>
          </cell>
          <cell r="D354" t="str">
            <v>9750 Chemainus Road</v>
          </cell>
          <cell r="E354" t="str">
            <v>Chemainus</v>
          </cell>
          <cell r="F354" t="str">
            <v xml:space="preserve">BC </v>
          </cell>
        </row>
        <row r="355">
          <cell r="C355" t="str">
            <v>Flowershop Cannabis</v>
          </cell>
          <cell r="D355" t="str">
            <v>Unit 9 5021 49th Ave</v>
          </cell>
          <cell r="E355" t="str">
            <v>Chetwynd</v>
          </cell>
          <cell r="F355" t="str">
            <v xml:space="preserve">BC </v>
          </cell>
        </row>
        <row r="356">
          <cell r="C356" t="str">
            <v>Daima Cannabis</v>
          </cell>
          <cell r="D356" t="str">
            <v>4728 52nd Street NW</v>
          </cell>
          <cell r="E356" t="str">
            <v>Chetwynd</v>
          </cell>
          <cell r="F356" t="str">
            <v xml:space="preserve">BC </v>
          </cell>
        </row>
        <row r="357">
          <cell r="C357" t="str">
            <v>Dutch Brothers Buds</v>
          </cell>
          <cell r="D357" t="str">
            <v>51296 Yale Rd</v>
          </cell>
          <cell r="E357" t="str">
            <v>Chilliwack</v>
          </cell>
          <cell r="F357" t="str">
            <v xml:space="preserve">BC </v>
          </cell>
        </row>
        <row r="358">
          <cell r="C358" t="str">
            <v>All Nations</v>
          </cell>
          <cell r="D358" t="str">
            <v>9433 Schweyey Rd</v>
          </cell>
          <cell r="E358" t="str">
            <v>Chilliwack</v>
          </cell>
        </row>
        <row r="359">
          <cell r="C359" t="str">
            <v>River Drift Cannabis</v>
          </cell>
          <cell r="D359" t="str">
            <v>708 - 8249 Eagle Landing Pky</v>
          </cell>
          <cell r="E359" t="str">
            <v>Chilliwack</v>
          </cell>
        </row>
        <row r="360">
          <cell r="C360" t="str">
            <v>Dutch Brothers Buds</v>
          </cell>
          <cell r="D360" t="str">
            <v>5754 Vedder Road</v>
          </cell>
          <cell r="E360" t="str">
            <v>Chilliwack</v>
          </cell>
          <cell r="F360" t="str">
            <v xml:space="preserve">BC </v>
          </cell>
        </row>
        <row r="361">
          <cell r="C361" t="str">
            <v>This Is Cannabis</v>
          </cell>
          <cell r="D361" t="str">
            <v>107 7670 Vedder Rd</v>
          </cell>
          <cell r="E361" t="str">
            <v>Chilliwack</v>
          </cell>
          <cell r="F361" t="str">
            <v xml:space="preserve">BC </v>
          </cell>
        </row>
        <row r="362">
          <cell r="C362" t="str">
            <v>Seed and Stone</v>
          </cell>
          <cell r="D362" t="str">
            <v>103-8050 Lickman Rd</v>
          </cell>
          <cell r="E362" t="str">
            <v>Chilliwack</v>
          </cell>
          <cell r="F362" t="str">
            <v xml:space="preserve">BC </v>
          </cell>
        </row>
        <row r="363">
          <cell r="C363" t="str">
            <v>Cannabis Connection</v>
          </cell>
          <cell r="D363" t="str">
            <v>43971 Industrial Way</v>
          </cell>
          <cell r="E363" t="str">
            <v>Chilliwack</v>
          </cell>
        </row>
        <row r="364">
          <cell r="C364" t="str">
            <v>THE KURE CANNABIS SOCIETY</v>
          </cell>
          <cell r="D364" t="str">
            <v>137F Dyke Rd</v>
          </cell>
          <cell r="E364" t="str">
            <v>Chilliwack</v>
          </cell>
          <cell r="F364" t="str">
            <v xml:space="preserve">BC </v>
          </cell>
        </row>
        <row r="365">
          <cell r="C365" t="str">
            <v>BC Cannabis Store 7038</v>
          </cell>
          <cell r="D365" t="str">
            <v>Unit B - 45460 Luckakuck Way</v>
          </cell>
          <cell r="E365" t="str">
            <v>CHILLIWACK</v>
          </cell>
        </row>
        <row r="366">
          <cell r="C366" t="str">
            <v>Baggy's Cannabis Store</v>
          </cell>
          <cell r="D366" t="str">
            <v>1885 Bakery Frontage Road</v>
          </cell>
          <cell r="E366" t="str">
            <v>Christina Lake</v>
          </cell>
          <cell r="F366" t="str">
            <v xml:space="preserve">BC </v>
          </cell>
        </row>
        <row r="367">
          <cell r="C367" t="str">
            <v>Raft Peak Cannabis</v>
          </cell>
          <cell r="D367" t="str">
            <v>3-74 Young Road</v>
          </cell>
          <cell r="E367" t="str">
            <v>Clearwater</v>
          </cell>
        </row>
        <row r="368">
          <cell r="C368" t="str">
            <v>Cynders</v>
          </cell>
          <cell r="D368" t="str">
            <v>1300 Cariboo Highway</v>
          </cell>
          <cell r="E368" t="str">
            <v>Clinton</v>
          </cell>
        </row>
        <row r="369">
          <cell r="C369" t="str">
            <v>Warmland Cannabis Centre</v>
          </cell>
          <cell r="D369" t="str">
            <v>3541 Cobble Hill Road</v>
          </cell>
          <cell r="E369" t="str">
            <v>Cobble Hill</v>
          </cell>
          <cell r="F369" t="str">
            <v xml:space="preserve">BC </v>
          </cell>
        </row>
        <row r="370">
          <cell r="C370" t="str">
            <v>ALB Cannabis Comox</v>
          </cell>
          <cell r="D370" t="str">
            <v>Unit A - 278 Anderton Rd</v>
          </cell>
          <cell r="E370" t="str">
            <v>COMOX</v>
          </cell>
        </row>
        <row r="371">
          <cell r="C371" t="str">
            <v xml:space="preserve">Coast Range Cannabis </v>
          </cell>
          <cell r="D371" t="str">
            <v>221C Church Street</v>
          </cell>
          <cell r="E371" t="str">
            <v>Comox</v>
          </cell>
        </row>
        <row r="372">
          <cell r="C372" t="str">
            <v>City Cannabis Co</v>
          </cell>
          <cell r="D372" t="str">
            <v>16A-215 Port Augusta St</v>
          </cell>
          <cell r="E372" t="str">
            <v>Comox</v>
          </cell>
          <cell r="F372" t="str">
            <v xml:space="preserve">BC </v>
          </cell>
        </row>
        <row r="373">
          <cell r="C373" t="str">
            <v>Brunette Cannabis Company</v>
          </cell>
          <cell r="D373" t="str">
            <v>Unit 102 - 935 Brunette Avenue</v>
          </cell>
          <cell r="E373" t="str">
            <v>Coquitlam</v>
          </cell>
        </row>
        <row r="374">
          <cell r="C374" t="str">
            <v>The Local Leaf Cannabis</v>
          </cell>
          <cell r="D374" t="str">
            <v>109 - 2957 Glen Drive</v>
          </cell>
          <cell r="E374" t="str">
            <v>Coquitlam</v>
          </cell>
          <cell r="F374" t="str">
            <v xml:space="preserve">BC </v>
          </cell>
        </row>
        <row r="375">
          <cell r="C375" t="str">
            <v>Northern Lights Cannabis</v>
          </cell>
          <cell r="D375" t="str">
            <v>1052-B Austin Avenue</v>
          </cell>
          <cell r="E375" t="str">
            <v>Coquitlam</v>
          </cell>
        </row>
        <row r="376">
          <cell r="C376" t="str">
            <v>KJ'S BEST CANNABIS</v>
          </cell>
          <cell r="D376" t="str">
            <v>UNIT #103 - 2700 BARNET HWY.</v>
          </cell>
          <cell r="E376" t="str">
            <v>COQUITLAM</v>
          </cell>
        </row>
        <row r="377">
          <cell r="C377" t="str">
            <v>Imagine Cannabis Co</v>
          </cell>
          <cell r="D377" t="str">
            <v>552 Clarke Road Unit 105</v>
          </cell>
          <cell r="E377" t="str">
            <v>Coquitlam</v>
          </cell>
          <cell r="F377" t="str">
            <v xml:space="preserve">BC </v>
          </cell>
        </row>
        <row r="378">
          <cell r="C378" t="str">
            <v>Coast Range Cannabis</v>
          </cell>
          <cell r="D378" t="str">
            <v>#302 - 444 Lerwick Rd</v>
          </cell>
          <cell r="E378" t="str">
            <v>Courtenay</v>
          </cell>
        </row>
        <row r="379">
          <cell r="C379" t="str">
            <v>Comox Valley Cannabis Co.</v>
          </cell>
          <cell r="D379" t="str">
            <v>576 England Ave</v>
          </cell>
          <cell r="E379" t="str">
            <v>Courtenay</v>
          </cell>
        </row>
        <row r="380">
          <cell r="C380" t="str">
            <v>Imagine Cannabis Co</v>
          </cell>
          <cell r="D380" t="str">
            <v>625 Cliffe Avenue, Units 8 &amp; 11</v>
          </cell>
          <cell r="E380" t="str">
            <v>Courtenay</v>
          </cell>
          <cell r="F380" t="str">
            <v xml:space="preserve">BC </v>
          </cell>
        </row>
        <row r="381">
          <cell r="C381" t="str">
            <v>Herb and Smoke Shop Inc.</v>
          </cell>
          <cell r="D381" t="str">
            <v>143 5th Street</v>
          </cell>
          <cell r="E381" t="str">
            <v>Courtenay</v>
          </cell>
        </row>
        <row r="382">
          <cell r="C382" t="str">
            <v>Green Star Cannabis Company</v>
          </cell>
          <cell r="D382" t="str">
            <v>1400-2701 Cliffe Ave</v>
          </cell>
          <cell r="E382" t="str">
            <v>Courtenay</v>
          </cell>
          <cell r="F382" t="str">
            <v xml:space="preserve">BC </v>
          </cell>
        </row>
        <row r="383">
          <cell r="C383" t="str">
            <v>BC Cannabis Store 7028</v>
          </cell>
          <cell r="D383" t="str">
            <v>2A - 795 Ryan Road</v>
          </cell>
          <cell r="E383" t="str">
            <v>Courtenay</v>
          </cell>
        </row>
        <row r="384">
          <cell r="C384" t="str">
            <v>Green Gear Cannabis</v>
          </cell>
          <cell r="D384" t="str">
            <v>412 Cranbrook Street North</v>
          </cell>
          <cell r="E384" t="str">
            <v>Cranbrook</v>
          </cell>
        </row>
        <row r="385">
          <cell r="C385" t="str">
            <v>EK Cannabis</v>
          </cell>
          <cell r="D385" t="str">
            <v>12 9th Ave S</v>
          </cell>
          <cell r="E385" t="str">
            <v>Cranbrook</v>
          </cell>
        </row>
        <row r="386">
          <cell r="C386" t="str">
            <v>Clarity Cannabis</v>
          </cell>
          <cell r="D386" t="str">
            <v>1325B Cranbrook St</v>
          </cell>
          <cell r="E386" t="str">
            <v>Cranbrook</v>
          </cell>
          <cell r="F386" t="str">
            <v xml:space="preserve">BC </v>
          </cell>
        </row>
        <row r="387">
          <cell r="C387" t="str">
            <v>Canna Cabana</v>
          </cell>
          <cell r="D387" t="str">
            <v>1225 Cranbrook Street N</v>
          </cell>
          <cell r="E387" t="str">
            <v>Cranbrook</v>
          </cell>
          <cell r="F387" t="str">
            <v xml:space="preserve">BC </v>
          </cell>
        </row>
        <row r="388">
          <cell r="C388" t="str">
            <v>Prime Cannabis</v>
          </cell>
          <cell r="D388" t="str">
            <v>Unit A-20 7th Avenue South</v>
          </cell>
          <cell r="E388" t="str">
            <v>Cranbrook</v>
          </cell>
          <cell r="F388" t="str">
            <v xml:space="preserve">BC </v>
          </cell>
        </row>
        <row r="389">
          <cell r="C389" t="str">
            <v>BC Cannabis Store 7027</v>
          </cell>
          <cell r="D389" t="str">
            <v>102 - 425 Victoria Avenue North</v>
          </cell>
          <cell r="E389" t="str">
            <v>Cranbrook</v>
          </cell>
        </row>
        <row r="390">
          <cell r="C390" t="str">
            <v>Abraxas Cannabis Co.</v>
          </cell>
          <cell r="D390" t="str">
            <v>1290 Highway 6</v>
          </cell>
          <cell r="E390" t="str">
            <v>Crescent Valley</v>
          </cell>
        </row>
        <row r="391">
          <cell r="C391" t="str">
            <v>Jimmy's Cannabis Shop - Kootenays</v>
          </cell>
          <cell r="D391" t="str">
            <v>5-1000 Northwest Boulevard</v>
          </cell>
          <cell r="E391" t="str">
            <v>Creston</v>
          </cell>
        </row>
        <row r="392">
          <cell r="C392" t="str">
            <v>Creston Valley Cannabis Company</v>
          </cell>
          <cell r="D392" t="str">
            <v>1418B Canyon st</v>
          </cell>
          <cell r="E392" t="str">
            <v>Creston</v>
          </cell>
        </row>
        <row r="393">
          <cell r="C393" t="str">
            <v>Stick &amp; Stone Cannabis Co.</v>
          </cell>
          <cell r="D393" t="str">
            <v>2701 Dunsmuir Avenue</v>
          </cell>
          <cell r="E393" t="str">
            <v>Cumberland</v>
          </cell>
        </row>
        <row r="394">
          <cell r="C394" t="str">
            <v>Trugreen Solutions Inc.</v>
          </cell>
          <cell r="D394" t="str">
            <v>3276 Third Street</v>
          </cell>
          <cell r="E394" t="str">
            <v>Cumberland</v>
          </cell>
        </row>
        <row r="395">
          <cell r="C395" t="str">
            <v>Alaska Highway Cannabis Distributors</v>
          </cell>
          <cell r="D395" t="str">
            <v>10300  8 St</v>
          </cell>
          <cell r="E395" t="str">
            <v>Dawson Creek</v>
          </cell>
        </row>
        <row r="396">
          <cell r="C396" t="str">
            <v>Northern Cannabis</v>
          </cell>
          <cell r="D396" t="str">
            <v>10112 10th Street</v>
          </cell>
          <cell r="E396" t="str">
            <v>Dawson Creek</v>
          </cell>
        </row>
        <row r="397">
          <cell r="C397" t="str">
            <v>Clarity Cannabis</v>
          </cell>
          <cell r="D397" t="str">
            <v>3-1040 Alaska Avenue</v>
          </cell>
          <cell r="E397" t="str">
            <v>Dawson Creek</v>
          </cell>
          <cell r="F397" t="str">
            <v xml:space="preserve">BC </v>
          </cell>
        </row>
        <row r="398">
          <cell r="C398" t="str">
            <v>Dawson Creek Cannabis Company</v>
          </cell>
          <cell r="D398" t="str">
            <v>Unit 19 - 11000 8 St</v>
          </cell>
          <cell r="E398" t="str">
            <v>Dawson Creek</v>
          </cell>
        </row>
        <row r="399">
          <cell r="C399" t="str">
            <v>Queens Cannabis Co.</v>
          </cell>
          <cell r="D399" t="str">
            <v>7225-7227 120th Street</v>
          </cell>
          <cell r="E399" t="str">
            <v>Delta</v>
          </cell>
          <cell r="F399" t="str">
            <v xml:space="preserve">BC </v>
          </cell>
        </row>
        <row r="400">
          <cell r="C400" t="str">
            <v>Kushi Cannabis Co.</v>
          </cell>
          <cell r="D400" t="str">
            <v>10190 River Road</v>
          </cell>
          <cell r="E400" t="str">
            <v>Delta</v>
          </cell>
          <cell r="F400" t="str">
            <v xml:space="preserve">BC </v>
          </cell>
        </row>
        <row r="401">
          <cell r="C401" t="str">
            <v>Imagine Cannabis Co</v>
          </cell>
          <cell r="D401" t="str">
            <v>5150 Ladner Trunk Road</v>
          </cell>
          <cell r="E401" t="str">
            <v>Delta</v>
          </cell>
          <cell r="F401" t="str">
            <v xml:space="preserve">BC </v>
          </cell>
        </row>
        <row r="402">
          <cell r="C402" t="str">
            <v>Queens Cannabis Co.</v>
          </cell>
          <cell r="D402" t="str">
            <v>1274 56th Street</v>
          </cell>
          <cell r="E402" t="str">
            <v>Delta</v>
          </cell>
          <cell r="F402" t="str">
            <v xml:space="preserve">BC </v>
          </cell>
        </row>
        <row r="403">
          <cell r="C403" t="str">
            <v>Inspired Cannabis Co.</v>
          </cell>
          <cell r="D403" t="str">
            <v>Unit 120 - 8077 120th Street</v>
          </cell>
          <cell r="E403" t="str">
            <v>Delta</v>
          </cell>
        </row>
        <row r="404">
          <cell r="C404" t="str">
            <v>Seed and Stone</v>
          </cell>
          <cell r="D404" t="str">
            <v>616 Chester Road</v>
          </cell>
          <cell r="E404" t="str">
            <v>Delta</v>
          </cell>
          <cell r="F404" t="str">
            <v xml:space="preserve">BC </v>
          </cell>
        </row>
        <row r="405">
          <cell r="C405" t="str">
            <v>BC Cannabis Store 7053</v>
          </cell>
          <cell r="D405" t="str">
            <v>Unit 7019 – 120th Street, Scottsdale Centre Mall</v>
          </cell>
          <cell r="E405" t="str">
            <v>DELTA</v>
          </cell>
        </row>
        <row r="406">
          <cell r="C406" t="str">
            <v>The Kure Cannabis Society</v>
          </cell>
          <cell r="D406" t="str">
            <v>101- B4- 41290 Lougheed Highway</v>
          </cell>
          <cell r="E406" t="str">
            <v>Deroche</v>
          </cell>
          <cell r="F406" t="str">
            <v xml:space="preserve">BC </v>
          </cell>
        </row>
        <row r="407">
          <cell r="C407" t="str">
            <v>Plane Jane Cannabis Co.</v>
          </cell>
          <cell r="D407" t="str">
            <v>106-3292A Cowichan Lake Road</v>
          </cell>
          <cell r="E407" t="str">
            <v>Duncan</v>
          </cell>
        </row>
        <row r="408">
          <cell r="C408" t="str">
            <v>Warmland Cannabis Centre</v>
          </cell>
          <cell r="D408" t="str">
            <v>6-4715 Trans Canada Highway</v>
          </cell>
          <cell r="E408" t="str">
            <v>Duncan</v>
          </cell>
          <cell r="F408" t="str">
            <v xml:space="preserve">BC </v>
          </cell>
        </row>
        <row r="409">
          <cell r="C409" t="str">
            <v>A Little Bud Cannabis Duncan</v>
          </cell>
          <cell r="D409" t="str">
            <v>6-3050 Allenby Rd</v>
          </cell>
          <cell r="E409" t="str">
            <v>Duncan</v>
          </cell>
        </row>
        <row r="410">
          <cell r="C410" t="str">
            <v>The Original FARM</v>
          </cell>
          <cell r="D410" t="str">
            <v>130 Trans Canada Highway</v>
          </cell>
          <cell r="E410" t="str">
            <v>Duncan</v>
          </cell>
          <cell r="F410" t="str">
            <v xml:space="preserve">BC </v>
          </cell>
        </row>
        <row r="411">
          <cell r="C411" t="str">
            <v>Costa Canna</v>
          </cell>
          <cell r="D411" t="str">
            <v>Unit 110-2951 Green Road</v>
          </cell>
          <cell r="E411" t="str">
            <v>Duncan</v>
          </cell>
          <cell r="F411" t="str">
            <v xml:space="preserve">BC </v>
          </cell>
        </row>
        <row r="412">
          <cell r="C412" t="str">
            <v>Costa Canna</v>
          </cell>
          <cell r="D412" t="str">
            <v>1A - 180 Central Rd</v>
          </cell>
          <cell r="E412" t="str">
            <v>Duncan</v>
          </cell>
          <cell r="F412" t="str">
            <v xml:space="preserve">BC </v>
          </cell>
        </row>
        <row r="413">
          <cell r="C413" t="str">
            <v>High5 Cannabis</v>
          </cell>
          <cell r="D413" t="str">
            <v>521 Canada Avenue</v>
          </cell>
          <cell r="E413" t="str">
            <v>Duncan</v>
          </cell>
          <cell r="F413" t="str">
            <v xml:space="preserve">BC </v>
          </cell>
        </row>
        <row r="414">
          <cell r="C414" t="str">
            <v>Elk Valley Cannabis</v>
          </cell>
          <cell r="D414" t="str">
            <v>814 Michel Road CRU7</v>
          </cell>
          <cell r="E414" t="str">
            <v>Elkford</v>
          </cell>
          <cell r="F414" t="str">
            <v xml:space="preserve">BC </v>
          </cell>
        </row>
        <row r="415">
          <cell r="C415" t="str">
            <v>MARY JANE RIGS &amp; CANNABIS</v>
          </cell>
          <cell r="D415" t="str">
            <v>4-802 George St</v>
          </cell>
          <cell r="E415" t="str">
            <v>Enderby</v>
          </cell>
        </row>
        <row r="416">
          <cell r="C416" t="str">
            <v>B D CANNABIS STORE</v>
          </cell>
          <cell r="D416" t="str">
            <v>522 Admirals Road</v>
          </cell>
          <cell r="E416" t="str">
            <v>Esquimalt</v>
          </cell>
          <cell r="F416" t="str">
            <v xml:space="preserve">BC </v>
          </cell>
        </row>
        <row r="417">
          <cell r="C417" t="str">
            <v>Misty Mountain Cannabis</v>
          </cell>
          <cell r="D417" t="str">
            <v>1318A Esquimalt Road</v>
          </cell>
          <cell r="E417" t="str">
            <v>Esquimalt</v>
          </cell>
        </row>
        <row r="418">
          <cell r="C418" t="str">
            <v xml:space="preserve">The Cabin Cannabis </v>
          </cell>
          <cell r="D418" t="str">
            <v>Unit 3 4992 Fairmont Frontage Road</v>
          </cell>
          <cell r="E418" t="str">
            <v>Fairmont Hot Springs</v>
          </cell>
        </row>
        <row r="419">
          <cell r="C419" t="str">
            <v>Highway Cannabis Co.</v>
          </cell>
          <cell r="D419" t="str">
            <v>5661 Highway 97</v>
          </cell>
          <cell r="E419" t="str">
            <v>Falkland</v>
          </cell>
        </row>
        <row r="420">
          <cell r="C420" t="str">
            <v>Earth's Own Naturals Ltd.</v>
          </cell>
          <cell r="D420" t="str">
            <v>502 8th Avenue</v>
          </cell>
          <cell r="E420" t="str">
            <v>Fernie</v>
          </cell>
          <cell r="F420" t="str">
            <v xml:space="preserve">BC </v>
          </cell>
        </row>
        <row r="421">
          <cell r="C421" t="str">
            <v>Stick &amp; Stone Cannabis Co</v>
          </cell>
          <cell r="D421" t="str">
            <v>891  7th Avenue</v>
          </cell>
          <cell r="E421" t="str">
            <v>Fernie</v>
          </cell>
        </row>
        <row r="422">
          <cell r="C422" t="str">
            <v>Summit Cannabis Co</v>
          </cell>
          <cell r="D422" t="str">
            <v>Unit # 3 -1791 9th Ave</v>
          </cell>
          <cell r="E422" t="str">
            <v>Fernie</v>
          </cell>
        </row>
        <row r="423">
          <cell r="C423" t="str">
            <v>Northern Rockies Cannabis</v>
          </cell>
          <cell r="D423" t="str">
            <v>4802 49 Ave</v>
          </cell>
          <cell r="E423" t="str">
            <v>Fort Nelson</v>
          </cell>
        </row>
        <row r="424">
          <cell r="C424" t="str">
            <v>Portage Mountain Cannabis Gateway</v>
          </cell>
          <cell r="D424" t="str">
            <v>101 - 9536 111 St</v>
          </cell>
          <cell r="E424" t="str">
            <v>Fort St John</v>
          </cell>
        </row>
        <row r="425">
          <cell r="C425" t="str">
            <v>BC Cannabis Store 7024</v>
          </cell>
          <cell r="D425" t="str">
            <v>10211 100 Street</v>
          </cell>
          <cell r="E425" t="str">
            <v>Fort St John</v>
          </cell>
        </row>
        <row r="426">
          <cell r="C426" t="str">
            <v>Rural Leaf Cannabis</v>
          </cell>
          <cell r="D426" t="str">
            <v>Unit 2, 470 Stuart Dr W</v>
          </cell>
          <cell r="E426" t="str">
            <v>Fort St. James</v>
          </cell>
          <cell r="F426" t="str">
            <v xml:space="preserve">BC </v>
          </cell>
        </row>
        <row r="427">
          <cell r="C427" t="str">
            <v>Canna Cabana</v>
          </cell>
          <cell r="D427" t="str">
            <v>10027 100 Street</v>
          </cell>
          <cell r="E427" t="str">
            <v>Fort St. John</v>
          </cell>
          <cell r="F427" t="str">
            <v xml:space="preserve">BC </v>
          </cell>
        </row>
        <row r="428">
          <cell r="C428" t="str">
            <v>FSJ Cannabis Corner</v>
          </cell>
          <cell r="D428" t="str">
            <v>2-10108 100 Street</v>
          </cell>
          <cell r="E428" t="str">
            <v>Fort St. John</v>
          </cell>
        </row>
        <row r="429">
          <cell r="C429" t="str">
            <v>HIVE Cannabis</v>
          </cell>
          <cell r="D429" t="str">
            <v>9909 100 Avenue</v>
          </cell>
          <cell r="E429" t="str">
            <v>Fort St. John</v>
          </cell>
          <cell r="F429" t="str">
            <v xml:space="preserve">BC </v>
          </cell>
        </row>
        <row r="430">
          <cell r="C430" t="str">
            <v>Cannabis Hut</v>
          </cell>
          <cell r="D430" t="str">
            <v>Unit 2 -111 Chowsunket St.</v>
          </cell>
          <cell r="E430" t="str">
            <v>Fraser Lake</v>
          </cell>
        </row>
        <row r="431">
          <cell r="C431" t="str">
            <v>Valley Pineapple</v>
          </cell>
          <cell r="D431" t="str">
            <v>1939 Main St</v>
          </cell>
          <cell r="E431" t="str">
            <v>Fruitvale</v>
          </cell>
        </row>
        <row r="432">
          <cell r="C432" t="str">
            <v>Gabriola Cannabis</v>
          </cell>
          <cell r="D432" t="str">
            <v>11 - 590 North Road</v>
          </cell>
          <cell r="E432" t="str">
            <v>Gabriola Island</v>
          </cell>
        </row>
        <row r="433">
          <cell r="C433" t="str">
            <v>Coastal Bay Cannabis</v>
          </cell>
          <cell r="D433" t="str">
            <v>1095 Sunshine Coast Highway</v>
          </cell>
          <cell r="E433" t="str">
            <v>Gibsons</v>
          </cell>
          <cell r="F433" t="str">
            <v xml:space="preserve">BC </v>
          </cell>
        </row>
        <row r="434">
          <cell r="C434" t="str">
            <v>Coastal Bay Cannabis</v>
          </cell>
          <cell r="D434" t="str">
            <v>203-442 Marine Dr</v>
          </cell>
          <cell r="E434" t="str">
            <v>Gibsons</v>
          </cell>
          <cell r="F434" t="str">
            <v xml:space="preserve">BC </v>
          </cell>
        </row>
        <row r="435">
          <cell r="C435" t="str">
            <v xml:space="preserve">Gitksannabis </v>
          </cell>
          <cell r="D435" t="str">
            <v>2009 Willow Drive</v>
          </cell>
          <cell r="E435" t="str">
            <v>Gitanmaax</v>
          </cell>
        </row>
        <row r="436">
          <cell r="C436" t="str">
            <v>Green Gold Cannabis</v>
          </cell>
          <cell r="D436" t="str">
            <v>1b - 390 Muchalat Drive</v>
          </cell>
          <cell r="E436" t="str">
            <v>Gold River</v>
          </cell>
        </row>
        <row r="437">
          <cell r="C437" t="str">
            <v>Quartz Creek Cannabis</v>
          </cell>
          <cell r="D437" t="str">
            <v>102 -616 8th Ave N</v>
          </cell>
          <cell r="E437" t="str">
            <v>Golden</v>
          </cell>
        </row>
        <row r="438">
          <cell r="C438" t="str">
            <v>Canyon Creek Cannabis</v>
          </cell>
          <cell r="D438" t="str">
            <v>828 10th Avenue South</v>
          </cell>
          <cell r="E438" t="str">
            <v>Golden</v>
          </cell>
        </row>
        <row r="439">
          <cell r="C439" t="str">
            <v>Grand Forks Cannabis Ltd.</v>
          </cell>
          <cell r="D439" t="str">
            <v>7439 3rd Street</v>
          </cell>
          <cell r="E439" t="str">
            <v>Grand Forks</v>
          </cell>
        </row>
        <row r="440">
          <cell r="C440" t="str">
            <v>Baggy's Cannabis Store</v>
          </cell>
          <cell r="D440" t="str">
            <v>4-7480 4th St</v>
          </cell>
          <cell r="E440" t="str">
            <v>Grand Forks</v>
          </cell>
          <cell r="F440" t="str">
            <v xml:space="preserve">BC </v>
          </cell>
        </row>
        <row r="441">
          <cell r="C441" t="str">
            <v>Baggy's Cannabis Store</v>
          </cell>
          <cell r="D441" t="str">
            <v>302 S Copper Ave</v>
          </cell>
          <cell r="E441" t="str">
            <v xml:space="preserve">Greenwood </v>
          </cell>
          <cell r="F441" t="str">
            <v xml:space="preserve">BC </v>
          </cell>
        </row>
        <row r="442">
          <cell r="C442" t="str">
            <v>Hope Cannabis Co.</v>
          </cell>
          <cell r="D442" t="str">
            <v>Unit C 821 Sixth Ave</v>
          </cell>
          <cell r="E442" t="str">
            <v>Hope</v>
          </cell>
        </row>
        <row r="443">
          <cell r="C443" t="str">
            <v>Seed and Stone</v>
          </cell>
          <cell r="D443" t="str">
            <v>C3 - 590 Old Hope Princeton Way</v>
          </cell>
          <cell r="E443" t="str">
            <v>Hope</v>
          </cell>
          <cell r="F443" t="str">
            <v xml:space="preserve">BC </v>
          </cell>
        </row>
        <row r="444">
          <cell r="C444" t="str">
            <v>Marlee's Den</v>
          </cell>
          <cell r="D444" t="str">
            <v>740A Fraser Avenue</v>
          </cell>
          <cell r="E444" t="str">
            <v>Hope</v>
          </cell>
          <cell r="F444" t="str">
            <v xml:space="preserve">BC </v>
          </cell>
        </row>
        <row r="445">
          <cell r="C445" t="str">
            <v>Rural Leaf Cannabis</v>
          </cell>
          <cell r="D445" t="str">
            <v>3232 Highway 16 West, Unit # 11</v>
          </cell>
          <cell r="E445" t="str">
            <v>Houston</v>
          </cell>
          <cell r="F445" t="str">
            <v xml:space="preserve">BC </v>
          </cell>
        </row>
        <row r="446">
          <cell r="C446" t="str">
            <v>Portage Mountain Cannabis Inc.</v>
          </cell>
          <cell r="D446" t="str">
            <v>9813 Fredette Avenue</v>
          </cell>
          <cell r="E446" t="str">
            <v>Hudson's Hope</v>
          </cell>
        </row>
        <row r="447">
          <cell r="C447" t="str">
            <v>Invermere Cannabis Store</v>
          </cell>
          <cell r="D447" t="str">
            <v>4884 Athalmer Rd</v>
          </cell>
          <cell r="E447" t="str">
            <v>Invermere</v>
          </cell>
        </row>
        <row r="448">
          <cell r="C448" t="str">
            <v>BLOOMING WORLD CANNABIS</v>
          </cell>
          <cell r="D448" t="str">
            <v>103-905 7th avenue</v>
          </cell>
          <cell r="E448" t="str">
            <v>Invermere</v>
          </cell>
          <cell r="F448" t="str">
            <v xml:space="preserve">BC </v>
          </cell>
        </row>
        <row r="449">
          <cell r="C449" t="str">
            <v>Just 4U Cannabis</v>
          </cell>
          <cell r="D449" t="str">
            <v>2A - 726 Sydney Ave</v>
          </cell>
          <cell r="E449" t="str">
            <v>Kamloops</v>
          </cell>
        </row>
        <row r="450">
          <cell r="C450" t="str">
            <v>Canna Cabana (450505)</v>
          </cell>
          <cell r="D450" t="str">
            <v>520-1055 Hillside Drive</v>
          </cell>
          <cell r="E450" t="str">
            <v>Kamloops</v>
          </cell>
        </row>
        <row r="451">
          <cell r="C451" t="str">
            <v>Cannabis Plus</v>
          </cell>
          <cell r="D451" t="str">
            <v>17-1800 Tranquille Road</v>
          </cell>
          <cell r="E451" t="str">
            <v>Kamloops</v>
          </cell>
        </row>
        <row r="452">
          <cell r="C452" t="str">
            <v>Bean Cannabis Shop</v>
          </cell>
          <cell r="D452" t="str">
            <v>104 - 5170 Dallas Drive</v>
          </cell>
          <cell r="E452" t="str">
            <v>Kamloops</v>
          </cell>
          <cell r="F452" t="str">
            <v xml:space="preserve">BC </v>
          </cell>
        </row>
        <row r="453">
          <cell r="C453" t="str">
            <v>Sun Cannabis</v>
          </cell>
          <cell r="D453" t="str">
            <v>1023B McGill Rd</v>
          </cell>
          <cell r="E453" t="str">
            <v>Kamloops</v>
          </cell>
        </row>
        <row r="454">
          <cell r="C454" t="str">
            <v>Dazed Cannabis Kamloops</v>
          </cell>
          <cell r="D454" t="str">
            <v>320 Victoria Street</v>
          </cell>
          <cell r="E454" t="str">
            <v>Kamloops</v>
          </cell>
        </row>
        <row r="455">
          <cell r="C455" t="str">
            <v>Fiore Fresco</v>
          </cell>
          <cell r="D455" t="str">
            <v>6-750 Fortune Drive</v>
          </cell>
          <cell r="E455" t="str">
            <v>Kamloops</v>
          </cell>
        </row>
        <row r="456">
          <cell r="C456" t="str">
            <v>Yellowhead Cannabis</v>
          </cell>
          <cell r="D456" t="str">
            <v>490 Paul Lake Rd</v>
          </cell>
          <cell r="E456" t="str">
            <v>Kamloops</v>
          </cell>
        </row>
        <row r="457">
          <cell r="C457" t="str">
            <v>The Greenloops Shop</v>
          </cell>
          <cell r="D457" t="str">
            <v>231 4th Avenue</v>
          </cell>
          <cell r="E457" t="str">
            <v>Kamloops</v>
          </cell>
        </row>
        <row r="458">
          <cell r="C458" t="str">
            <v>Clarity Cannabis</v>
          </cell>
          <cell r="D458" t="str">
            <v>5-111 Oriole Road</v>
          </cell>
          <cell r="E458" t="str">
            <v>Kamloops</v>
          </cell>
          <cell r="F458" t="str">
            <v xml:space="preserve">BC </v>
          </cell>
        </row>
        <row r="459">
          <cell r="C459" t="str">
            <v>Shades of Green Cannabis</v>
          </cell>
          <cell r="D459" t="str">
            <v>519 Victoria St</v>
          </cell>
          <cell r="E459" t="str">
            <v>Kamloops</v>
          </cell>
        </row>
        <row r="460">
          <cell r="C460" t="str">
            <v>Taste Cannabis</v>
          </cell>
          <cell r="D460" t="str">
            <v>279  Tranquille Road</v>
          </cell>
          <cell r="E460" t="str">
            <v>Kamloops</v>
          </cell>
        </row>
        <row r="461">
          <cell r="C461" t="str">
            <v>The Shore Cannabiz Shop</v>
          </cell>
          <cell r="D461" t="str">
            <v>399 Tranquille Rd</v>
          </cell>
          <cell r="E461" t="str">
            <v>Kamloops</v>
          </cell>
        </row>
        <row r="462">
          <cell r="C462" t="str">
            <v>BC Cannabis Store 7020</v>
          </cell>
          <cell r="D462" t="str">
            <v>200 - 1210 Summit Drive</v>
          </cell>
          <cell r="E462" t="str">
            <v>Kamloops</v>
          </cell>
        </row>
        <row r="463">
          <cell r="C463" t="str">
            <v>BC Cannabis Store 7021</v>
          </cell>
          <cell r="D463" t="str">
            <v>40 - 700 Tranquille Road</v>
          </cell>
          <cell r="E463" t="str">
            <v>Kamloops</v>
          </cell>
        </row>
        <row r="464">
          <cell r="C464" t="str">
            <v>BC Cannabis Store 7022</v>
          </cell>
          <cell r="D464" t="str">
            <v>350 - 450 Lansdowne St</v>
          </cell>
          <cell r="E464" t="str">
            <v>Kamloops</v>
          </cell>
        </row>
        <row r="465">
          <cell r="C465" t="str">
            <v>Cannabis Corner</v>
          </cell>
          <cell r="D465" t="str">
            <v>2791 Highway 97N</v>
          </cell>
          <cell r="E465" t="str">
            <v>Kelowna</v>
          </cell>
        </row>
        <row r="466">
          <cell r="C466" t="str">
            <v>High Score</v>
          </cell>
          <cell r="D466" t="str">
            <v>#1 - 526 Bernard Ave</v>
          </cell>
          <cell r="E466" t="str">
            <v>Kelowna</v>
          </cell>
        </row>
        <row r="467">
          <cell r="C467" t="str">
            <v>Kiaro Cannabis</v>
          </cell>
          <cell r="D467" t="str">
            <v>1650 Pandosy Street</v>
          </cell>
          <cell r="E467" t="str">
            <v>Kelowna</v>
          </cell>
          <cell r="F467" t="str">
            <v xml:space="preserve">BC </v>
          </cell>
        </row>
        <row r="468">
          <cell r="C468" t="str">
            <v>Prime Cannabis</v>
          </cell>
          <cell r="D468" t="str">
            <v>2680 Pandosy Street</v>
          </cell>
          <cell r="E468" t="str">
            <v>Kelowna</v>
          </cell>
          <cell r="F468" t="str">
            <v xml:space="preserve">BC </v>
          </cell>
        </row>
        <row r="469">
          <cell r="C469" t="str">
            <v>Cannasseurs Cannabis</v>
          </cell>
          <cell r="D469" t="str">
            <v>1928 Summit Drive</v>
          </cell>
          <cell r="E469" t="str">
            <v>Kelowna</v>
          </cell>
          <cell r="F469" t="str">
            <v xml:space="preserve">BC </v>
          </cell>
        </row>
        <row r="470">
          <cell r="C470" t="str">
            <v>Flora Cannabis</v>
          </cell>
          <cell r="D470" t="str">
            <v>101-401 Glenmore Road</v>
          </cell>
          <cell r="E470" t="str">
            <v>Kelowna</v>
          </cell>
          <cell r="F470" t="str">
            <v xml:space="preserve">BC </v>
          </cell>
        </row>
        <row r="471">
          <cell r="C471" t="str">
            <v>Flora Cannabis</v>
          </cell>
          <cell r="D471" t="str">
            <v>105 3140 Lakeshore Road</v>
          </cell>
          <cell r="E471" t="str">
            <v>Kelowna</v>
          </cell>
          <cell r="F471" t="str">
            <v xml:space="preserve">BC </v>
          </cell>
        </row>
        <row r="472">
          <cell r="C472" t="str">
            <v>Hi Cannabis</v>
          </cell>
          <cell r="D472" t="str">
            <v>1-538 Yates Road</v>
          </cell>
          <cell r="E472" t="str">
            <v>Kelowna</v>
          </cell>
          <cell r="F472" t="str">
            <v xml:space="preserve">BC </v>
          </cell>
        </row>
        <row r="473">
          <cell r="C473" t="str">
            <v>Eggs Canna</v>
          </cell>
          <cell r="D473" t="str">
            <v>13 150 Hollywood Road S</v>
          </cell>
          <cell r="E473" t="str">
            <v>Kelowna</v>
          </cell>
          <cell r="F473" t="str">
            <v xml:space="preserve">BC </v>
          </cell>
        </row>
        <row r="474">
          <cell r="C474" t="str">
            <v>Greenery Cannabis Boutique</v>
          </cell>
          <cell r="D474" t="str">
            <v>113 - 1677 Commerce Ave</v>
          </cell>
          <cell r="E474" t="str">
            <v>Kelowna</v>
          </cell>
          <cell r="F474" t="str">
            <v xml:space="preserve">BC </v>
          </cell>
        </row>
        <row r="475">
          <cell r="C475" t="str">
            <v>Cannabission</v>
          </cell>
          <cell r="D475" t="str">
            <v>9-3818 Gordon Drive</v>
          </cell>
          <cell r="E475" t="str">
            <v>Kelowna</v>
          </cell>
          <cell r="F475" t="str">
            <v xml:space="preserve">BC </v>
          </cell>
        </row>
        <row r="476">
          <cell r="C476" t="str">
            <v>Spiritleaf</v>
          </cell>
          <cell r="D476" t="str">
            <v>1455 Harvey Avenue Unit 1B</v>
          </cell>
          <cell r="E476" t="str">
            <v>Kelowna</v>
          </cell>
          <cell r="F476" t="str">
            <v xml:space="preserve">BC </v>
          </cell>
        </row>
        <row r="477">
          <cell r="C477" t="str">
            <v>BEAN CANNABIS SHOP</v>
          </cell>
          <cell r="D477" t="str">
            <v>120-5507 Airport Way</v>
          </cell>
          <cell r="E477" t="str">
            <v>Kelowna</v>
          </cell>
          <cell r="F477" t="str">
            <v xml:space="preserve">BC </v>
          </cell>
        </row>
        <row r="478">
          <cell r="C478" t="str">
            <v>Kēlo Cannabis</v>
          </cell>
          <cell r="D478" t="str">
            <v>305-890 Clement Avenue</v>
          </cell>
          <cell r="E478" t="str">
            <v>Kelowna</v>
          </cell>
          <cell r="F478" t="str">
            <v xml:space="preserve">BC </v>
          </cell>
        </row>
        <row r="479">
          <cell r="C479" t="str">
            <v>Flora Cannabis</v>
          </cell>
          <cell r="D479" t="str">
            <v>102-1100 Lawrence Avenue</v>
          </cell>
          <cell r="E479" t="str">
            <v>Kelowna</v>
          </cell>
          <cell r="F479" t="str">
            <v xml:space="preserve">BC </v>
          </cell>
        </row>
        <row r="480">
          <cell r="C480" t="str">
            <v>Cheeba Cheebas</v>
          </cell>
          <cell r="D480" t="str">
            <v>140 Rutland Rd S</v>
          </cell>
          <cell r="E480" t="str">
            <v>Kelowna</v>
          </cell>
          <cell r="F480" t="str">
            <v xml:space="preserve">BC </v>
          </cell>
        </row>
        <row r="481">
          <cell r="C481" t="str">
            <v>The Green Pineapple</v>
          </cell>
          <cell r="D481" t="str">
            <v>266 Bernard Ave</v>
          </cell>
          <cell r="E481" t="str">
            <v>Kelowna</v>
          </cell>
          <cell r="F481" t="str">
            <v xml:space="preserve">BC </v>
          </cell>
        </row>
        <row r="482">
          <cell r="C482" t="str">
            <v>Dutch Love Cannabis</v>
          </cell>
          <cell r="D482" t="str">
            <v>2121 Springfield Road</v>
          </cell>
          <cell r="E482" t="str">
            <v>Kelowna</v>
          </cell>
          <cell r="F482" t="str">
            <v xml:space="preserve">BC </v>
          </cell>
        </row>
        <row r="483">
          <cell r="C483" t="str">
            <v>BC Cannabis Store 7037</v>
          </cell>
          <cell r="D483" t="str">
            <v>2385 Highway 97 N</v>
          </cell>
          <cell r="E483" t="str">
            <v>Kelowna</v>
          </cell>
          <cell r="F483" t="str">
            <v xml:space="preserve">BC </v>
          </cell>
        </row>
        <row r="484">
          <cell r="C484" t="str">
            <v>Quantum 1 Cannabis</v>
          </cell>
          <cell r="D484" t="str">
            <v>615 7th Ave</v>
          </cell>
          <cell r="E484" t="str">
            <v>Keremeos</v>
          </cell>
          <cell r="F484" t="str">
            <v xml:space="preserve">BC </v>
          </cell>
        </row>
        <row r="485">
          <cell r="C485" t="str">
            <v>Earth's Own Naturals Ltd.</v>
          </cell>
          <cell r="D485" t="str">
            <v>148 Howard Street</v>
          </cell>
          <cell r="E485" t="str">
            <v>Kimberley</v>
          </cell>
          <cell r="F485" t="str">
            <v xml:space="preserve">BC </v>
          </cell>
        </row>
        <row r="486">
          <cell r="C486" t="str">
            <v>Tamarack Cannabis Boutique</v>
          </cell>
          <cell r="D486" t="str">
            <v>2-518 304 St</v>
          </cell>
          <cell r="E486" t="str">
            <v>Kimberley</v>
          </cell>
          <cell r="F486" t="str">
            <v xml:space="preserve">BC </v>
          </cell>
        </row>
        <row r="487">
          <cell r="C487" t="str">
            <v>Joint Venture Cannabis</v>
          </cell>
          <cell r="D487" t="str">
            <v>432 Enterprise Ave</v>
          </cell>
          <cell r="E487" t="str">
            <v>Kitimat</v>
          </cell>
          <cell r="F487" t="str">
            <v xml:space="preserve">BC </v>
          </cell>
        </row>
        <row r="488">
          <cell r="C488" t="str">
            <v>B D CANNABIS STORE</v>
          </cell>
          <cell r="D488" t="str">
            <v>213 City Centre Mall</v>
          </cell>
          <cell r="E488" t="str">
            <v>Kitimat</v>
          </cell>
          <cell r="F488" t="str">
            <v xml:space="preserve">BC </v>
          </cell>
        </row>
        <row r="489">
          <cell r="C489" t="str">
            <v>Unity Cannabis Store</v>
          </cell>
          <cell r="D489" t="str">
            <v>Unit #2 - 4842 Hamilton Road</v>
          </cell>
          <cell r="E489" t="str">
            <v>Lac La Hache</v>
          </cell>
          <cell r="F489" t="str">
            <v xml:space="preserve">BC </v>
          </cell>
        </row>
        <row r="490">
          <cell r="C490" t="str">
            <v>Flight Cannabis Co</v>
          </cell>
          <cell r="D490" t="str">
            <v>Unit 16 – 370 Davis Road</v>
          </cell>
          <cell r="E490" t="str">
            <v>Ladysmith</v>
          </cell>
          <cell r="F490" t="str">
            <v xml:space="preserve">BC </v>
          </cell>
        </row>
        <row r="491">
          <cell r="C491" t="str">
            <v>1904 Cannabis Company</v>
          </cell>
          <cell r="D491" t="str">
            <v>Unit B - 720 First Ave</v>
          </cell>
          <cell r="E491" t="str">
            <v>Ladysmith</v>
          </cell>
          <cell r="F491" t="str">
            <v xml:space="preserve">BC </v>
          </cell>
        </row>
        <row r="492">
          <cell r="C492" t="str">
            <v>Jerry's Cannabis Co.</v>
          </cell>
          <cell r="D492" t="str">
            <v xml:space="preserve">510 - C Esplanade Ave </v>
          </cell>
          <cell r="E492" t="str">
            <v>Ladysmith</v>
          </cell>
          <cell r="F492" t="str">
            <v xml:space="preserve">BC </v>
          </cell>
        </row>
        <row r="493">
          <cell r="C493" t="str">
            <v>Lake Country Cannabis</v>
          </cell>
          <cell r="D493" t="str">
            <v>625-11850 Oceola Road</v>
          </cell>
          <cell r="E493" t="str">
            <v>Lake Country</v>
          </cell>
          <cell r="F493" t="str">
            <v xml:space="preserve">BC </v>
          </cell>
        </row>
        <row r="494">
          <cell r="C494" t="str">
            <v>Jerry's Cannabis Co.</v>
          </cell>
          <cell r="D494" t="str">
            <v>170 Lake Cowichan Rd</v>
          </cell>
          <cell r="E494" t="str">
            <v>Lake Cowichan</v>
          </cell>
          <cell r="F494" t="str">
            <v xml:space="preserve">BC </v>
          </cell>
        </row>
        <row r="495">
          <cell r="C495" t="str">
            <v>The Original FARM</v>
          </cell>
          <cell r="D495" t="str">
            <v>111 945 Reunion Ave</v>
          </cell>
          <cell r="E495" t="str">
            <v>Langford</v>
          </cell>
          <cell r="F495" t="str">
            <v xml:space="preserve">BC </v>
          </cell>
        </row>
        <row r="496">
          <cell r="C496" t="str">
            <v>Clarity Cannabis</v>
          </cell>
          <cell r="D496" t="str">
            <v>105-693 Hoffman Avenue</v>
          </cell>
          <cell r="E496" t="str">
            <v>Langford</v>
          </cell>
          <cell r="F496" t="str">
            <v xml:space="preserve">BC </v>
          </cell>
        </row>
        <row r="497">
          <cell r="C497" t="str">
            <v>420 Cannabis</v>
          </cell>
          <cell r="D497" t="str">
            <v>Unit B - 2426 200 St</v>
          </cell>
          <cell r="E497" t="str">
            <v>Langley</v>
          </cell>
        </row>
        <row r="498">
          <cell r="C498" t="str">
            <v>UEM Cannabis</v>
          </cell>
          <cell r="D498" t="str">
            <v>102-8860 201 Street</v>
          </cell>
          <cell r="E498" t="str">
            <v>Langley</v>
          </cell>
          <cell r="F498" t="str">
            <v xml:space="preserve">BC </v>
          </cell>
        </row>
        <row r="499">
          <cell r="C499" t="str">
            <v>BC Cannabis Store 7062</v>
          </cell>
          <cell r="D499" t="str">
            <v>150-20202 66 Ave</v>
          </cell>
          <cell r="E499" t="str">
            <v>LANGLEY</v>
          </cell>
        </row>
        <row r="500">
          <cell r="C500" t="str">
            <v>LITTLE GREEN NUGGETS LTD.</v>
          </cell>
          <cell r="D500" t="str">
            <v>108 Main Street</v>
          </cell>
          <cell r="E500" t="str">
            <v>Lillooet</v>
          </cell>
        </row>
        <row r="501">
          <cell r="C501" t="str">
            <v>CARIBOO BUDS CANNABIS</v>
          </cell>
          <cell r="D501" t="str">
            <v>7109 LAKES BLVD</v>
          </cell>
          <cell r="E501" t="str">
            <v>LONE BUTTE</v>
          </cell>
          <cell r="F501" t="str">
            <v xml:space="preserve">BC </v>
          </cell>
        </row>
        <row r="502">
          <cell r="C502" t="str">
            <v>The Higher Path</v>
          </cell>
          <cell r="D502" t="str">
            <v>1998 Vernon Street</v>
          </cell>
          <cell r="E502" t="str">
            <v>Lumby</v>
          </cell>
          <cell r="F502" t="str">
            <v xml:space="preserve">BC </v>
          </cell>
        </row>
        <row r="503">
          <cell r="C503" t="str">
            <v>Tony's Headshop and Cannabis Retail</v>
          </cell>
          <cell r="D503" t="str">
            <v>120 Mackenzie Blvd</v>
          </cell>
          <cell r="E503" t="str">
            <v>Mackenzie</v>
          </cell>
        </row>
        <row r="504">
          <cell r="C504" t="str">
            <v>Burb Cannabis</v>
          </cell>
          <cell r="D504" t="str">
            <v>110 - 20110 Lougheed Highway</v>
          </cell>
          <cell r="E504" t="str">
            <v>Maple Ridge</v>
          </cell>
          <cell r="F504" t="str">
            <v xml:space="preserve">BC </v>
          </cell>
        </row>
        <row r="505">
          <cell r="C505" t="str">
            <v>Muse Cannabis</v>
          </cell>
          <cell r="D505" t="str">
            <v>510-20395 Lougheed Highway</v>
          </cell>
          <cell r="E505" t="str">
            <v>Maple Ridge</v>
          </cell>
          <cell r="F505" t="str">
            <v xml:space="preserve">BC </v>
          </cell>
        </row>
        <row r="506">
          <cell r="C506" t="str">
            <v>Green Star Cannabis Company</v>
          </cell>
          <cell r="D506" t="str">
            <v>106 - 22222 Lougheed Hwy</v>
          </cell>
          <cell r="E506" t="str">
            <v>Maple Ridge</v>
          </cell>
          <cell r="F506" t="str">
            <v xml:space="preserve">BC </v>
          </cell>
        </row>
        <row r="507">
          <cell r="C507" t="str">
            <v>Cheeky's Cannabis Merchants</v>
          </cell>
          <cell r="D507" t="str">
            <v>11939 240th Street</v>
          </cell>
          <cell r="E507" t="str">
            <v>Maple Ridge</v>
          </cell>
          <cell r="F507" t="str">
            <v xml:space="preserve">BC </v>
          </cell>
        </row>
        <row r="508">
          <cell r="C508" t="str">
            <v>Spiritleaf</v>
          </cell>
          <cell r="D508" t="str">
            <v>670-22709 Lougheed Hwy</v>
          </cell>
          <cell r="E508" t="str">
            <v>Maple Ridge</v>
          </cell>
          <cell r="F508" t="str">
            <v xml:space="preserve">BC </v>
          </cell>
        </row>
        <row r="509">
          <cell r="C509" t="str">
            <v>Frontier Cannabis</v>
          </cell>
          <cell r="D509" t="str">
            <v>1627 Main St</v>
          </cell>
          <cell r="E509" t="str">
            <v>Masset</v>
          </cell>
          <cell r="F509" t="str">
            <v xml:space="preserve">BC </v>
          </cell>
        </row>
        <row r="510">
          <cell r="C510" t="str">
            <v>McLure Station Cannabis Location</v>
          </cell>
          <cell r="D510" t="str">
            <v>1540 Canyon Road</v>
          </cell>
          <cell r="E510" t="str">
            <v>McLure</v>
          </cell>
        </row>
        <row r="511">
          <cell r="C511" t="str">
            <v>Quilchena Cannabis</v>
          </cell>
          <cell r="D511" t="str">
            <v>1937 Quilchena Avenue</v>
          </cell>
          <cell r="E511" t="str">
            <v>Merritt</v>
          </cell>
        </row>
        <row r="512">
          <cell r="C512" t="str">
            <v xml:space="preserve">Unity </v>
          </cell>
          <cell r="D512" t="str">
            <v>104 - 2101 Quilchena Ave</v>
          </cell>
          <cell r="E512" t="str">
            <v xml:space="preserve">Merritt </v>
          </cell>
        </row>
        <row r="513">
          <cell r="C513" t="str">
            <v>Rise Cannabis Mill Bay</v>
          </cell>
          <cell r="D513" t="str">
            <v>Unit 104 2734 Barry Road</v>
          </cell>
          <cell r="E513" t="str">
            <v>Mill Bay</v>
          </cell>
        </row>
        <row r="514">
          <cell r="C514" t="str">
            <v>Boss Cannabis</v>
          </cell>
          <cell r="D514" t="str">
            <v>Unit C 102 - 29560 Lougheed Highway</v>
          </cell>
          <cell r="E514" t="str">
            <v>Mission</v>
          </cell>
          <cell r="F514" t="str">
            <v xml:space="preserve">BC </v>
          </cell>
        </row>
        <row r="515">
          <cell r="C515" t="str">
            <v>Mission Cannabis</v>
          </cell>
          <cell r="D515" t="str">
            <v>101 8778 Cedar Street</v>
          </cell>
          <cell r="E515" t="str">
            <v>Mission</v>
          </cell>
          <cell r="F515" t="str">
            <v xml:space="preserve">BC </v>
          </cell>
        </row>
        <row r="516">
          <cell r="C516" t="str">
            <v>K.J.'s Best Cannabis</v>
          </cell>
          <cell r="D516" t="str">
            <v>Unit 212- 32530 Lougheed Hwy</v>
          </cell>
          <cell r="E516" t="str">
            <v>Mission</v>
          </cell>
          <cell r="F516" t="str">
            <v xml:space="preserve">BC </v>
          </cell>
        </row>
        <row r="517">
          <cell r="C517" t="str">
            <v>Mission Cannabis</v>
          </cell>
          <cell r="D517" t="str">
            <v>111 - 32423 Lougheed Hwy</v>
          </cell>
          <cell r="E517" t="str">
            <v>Mission</v>
          </cell>
          <cell r="F517" t="str">
            <v xml:space="preserve">BC </v>
          </cell>
        </row>
        <row r="518">
          <cell r="C518" t="str">
            <v>BC Cannabis Store 7040</v>
          </cell>
          <cell r="D518" t="str">
            <v>Unit D130 - 31956 Lougheed Highway</v>
          </cell>
          <cell r="E518" t="str">
            <v>MISSION</v>
          </cell>
        </row>
        <row r="519">
          <cell r="C519" t="str">
            <v>5 Point 9</v>
          </cell>
          <cell r="D519" t="str">
            <v>Unit A - 1106 Highway 3B</v>
          </cell>
          <cell r="E519" t="str">
            <v>Montrose</v>
          </cell>
        </row>
        <row r="520">
          <cell r="C520" t="str">
            <v>Mount Odin Cannabis</v>
          </cell>
          <cell r="D520" t="str">
            <v>312 Broadway St. W</v>
          </cell>
          <cell r="E520" t="str">
            <v>Nakusp</v>
          </cell>
        </row>
        <row r="521">
          <cell r="C521" t="str">
            <v>Inspired Cannabis Co</v>
          </cell>
          <cell r="D521" t="str">
            <v>114-50 Tenth St</v>
          </cell>
          <cell r="E521" t="str">
            <v>Nanaimo</v>
          </cell>
          <cell r="F521" t="str">
            <v xml:space="preserve">BC </v>
          </cell>
        </row>
        <row r="522">
          <cell r="C522" t="str">
            <v>Jerry's Cannabis Co.</v>
          </cell>
          <cell r="D522" t="str">
            <v>1824 Cedar Road</v>
          </cell>
          <cell r="E522" t="str">
            <v>Nanaimo</v>
          </cell>
          <cell r="F522" t="str">
            <v xml:space="preserve">BC </v>
          </cell>
        </row>
        <row r="523">
          <cell r="C523" t="str">
            <v>Criss Cannabis</v>
          </cell>
          <cell r="D523" t="str">
            <v>102-115 Chapel Street</v>
          </cell>
          <cell r="E523" t="str">
            <v>Nanaimo</v>
          </cell>
        </row>
        <row r="524">
          <cell r="C524" t="str">
            <v>Trees Cannabis</v>
          </cell>
          <cell r="D524" t="str">
            <v>#105-510 5th Street</v>
          </cell>
          <cell r="E524" t="str">
            <v>Nanaimo</v>
          </cell>
          <cell r="F524" t="str">
            <v xml:space="preserve">BC </v>
          </cell>
        </row>
        <row r="525">
          <cell r="C525" t="str">
            <v>Trees Cannabis</v>
          </cell>
          <cell r="D525" t="str">
            <v>1483A Bowen Road</v>
          </cell>
          <cell r="E525" t="str">
            <v>Nanaimo</v>
          </cell>
          <cell r="F525" t="str">
            <v xml:space="preserve">BC </v>
          </cell>
        </row>
        <row r="526">
          <cell r="C526" t="str">
            <v>Coast Salish Canna</v>
          </cell>
          <cell r="D526" t="str">
            <v>103-1840 Stewart Ave</v>
          </cell>
          <cell r="E526" t="str">
            <v>Nanaimo</v>
          </cell>
          <cell r="F526" t="str">
            <v xml:space="preserve">BC </v>
          </cell>
        </row>
        <row r="527">
          <cell r="C527" t="str">
            <v>Inspired Cannabis Co</v>
          </cell>
          <cell r="D527" t="str">
            <v>Unit 1 - 5765 Turner Road</v>
          </cell>
          <cell r="E527" t="str">
            <v>Nanaimo</v>
          </cell>
          <cell r="F527" t="str">
            <v xml:space="preserve">BC </v>
          </cell>
        </row>
        <row r="528">
          <cell r="C528" t="str">
            <v>Island Cannabis Company Ltd.</v>
          </cell>
          <cell r="D528" t="str">
            <v>9-2220 Bowen Road</v>
          </cell>
          <cell r="E528" t="str">
            <v>Nanaimo</v>
          </cell>
        </row>
        <row r="529">
          <cell r="C529" t="str">
            <v>Flight Cannabis Co.</v>
          </cell>
          <cell r="D529" t="str">
            <v>101-847 Bruce Ave.</v>
          </cell>
          <cell r="E529" t="str">
            <v>Nanaimo</v>
          </cell>
          <cell r="F529" t="str">
            <v xml:space="preserve">BC </v>
          </cell>
        </row>
        <row r="530">
          <cell r="C530" t="str">
            <v>The Daily Bud</v>
          </cell>
          <cell r="D530" t="str">
            <v>580A, 2980 Island Highway</v>
          </cell>
          <cell r="E530" t="str">
            <v>Nanaimo</v>
          </cell>
        </row>
        <row r="531">
          <cell r="C531" t="str">
            <v>Pacific Coastal Cannabis</v>
          </cell>
          <cell r="D531" t="str">
            <v>401 - 5800 Turner Rd</v>
          </cell>
          <cell r="E531" t="str">
            <v>Nanaimo</v>
          </cell>
          <cell r="F531" t="str">
            <v xml:space="preserve">BC </v>
          </cell>
        </row>
        <row r="532">
          <cell r="C532" t="str">
            <v>The Bud Barn</v>
          </cell>
          <cell r="D532" t="str">
            <v>115-111 Nicol Street</v>
          </cell>
          <cell r="E532" t="str">
            <v>Nanaimo</v>
          </cell>
        </row>
        <row r="533">
          <cell r="C533" t="str">
            <v>Mood Cannabis Co-Metal Drive</v>
          </cell>
          <cell r="D533" t="str">
            <v>5-6404 Metral Drive</v>
          </cell>
          <cell r="E533" t="str">
            <v>Nanaimo</v>
          </cell>
          <cell r="F533" t="str">
            <v xml:space="preserve">BC </v>
          </cell>
        </row>
        <row r="534">
          <cell r="C534" t="str">
            <v>Mood Cannabis Co-Victoria Ave</v>
          </cell>
          <cell r="D534" t="str">
            <v>3923 Victoria Ave</v>
          </cell>
          <cell r="E534" t="str">
            <v>Nanaimo</v>
          </cell>
          <cell r="F534" t="str">
            <v xml:space="preserve">BC </v>
          </cell>
        </row>
        <row r="535">
          <cell r="C535" t="str">
            <v>BC Cannabis Store 7041</v>
          </cell>
          <cell r="D535" t="str">
            <v>Unit B - 6683 Mary Ellen Drive</v>
          </cell>
          <cell r="E535" t="str">
            <v>NANAIMO</v>
          </cell>
        </row>
        <row r="536">
          <cell r="C536" t="str">
            <v>BC Cannabis Store 7050</v>
          </cell>
          <cell r="D536" t="str">
            <v>104-3250 Island Hwy N</v>
          </cell>
          <cell r="E536" t="str">
            <v>NANAIMO</v>
          </cell>
        </row>
        <row r="537">
          <cell r="C537" t="str">
            <v>Father Natures 2</v>
          </cell>
          <cell r="D537" t="str">
            <v>2414 B Island Highway East</v>
          </cell>
          <cell r="E537" t="str">
            <v>Nanoose Bay</v>
          </cell>
        </row>
        <row r="538">
          <cell r="C538" t="str">
            <v>The POTORIUM</v>
          </cell>
          <cell r="D538" t="str">
            <v>441 BAKER ST.</v>
          </cell>
          <cell r="E538" t="str">
            <v>NELSON</v>
          </cell>
        </row>
        <row r="539">
          <cell r="C539" t="str">
            <v>Buddy's Place</v>
          </cell>
          <cell r="D539" t="str">
            <v>358 Baker St</v>
          </cell>
          <cell r="E539" t="str">
            <v>Nelson</v>
          </cell>
          <cell r="F539" t="str">
            <v xml:space="preserve">BC </v>
          </cell>
        </row>
        <row r="540">
          <cell r="C540" t="str">
            <v>4:19 Cannabis</v>
          </cell>
          <cell r="D540" t="str">
            <v>Suite F, 513 Front Street</v>
          </cell>
          <cell r="E540" t="str">
            <v>Nelson</v>
          </cell>
        </row>
        <row r="541">
          <cell r="C541" t="str">
            <v>Fireweed Cannabis</v>
          </cell>
          <cell r="D541" t="str">
            <v>4645 -10 Avenue, Highway 16</v>
          </cell>
          <cell r="E541" t="str">
            <v>New Hazelton</v>
          </cell>
        </row>
        <row r="542">
          <cell r="C542" t="str">
            <v>Botany Cannabis</v>
          </cell>
          <cell r="D542" t="str">
            <v>320 Sixth Street</v>
          </cell>
          <cell r="E542" t="str">
            <v>New Westminster</v>
          </cell>
        </row>
        <row r="543">
          <cell r="C543" t="str">
            <v>Maple Leaf Greenery Ltd.</v>
          </cell>
          <cell r="D543" t="str">
            <v>71 Sixth street</v>
          </cell>
          <cell r="E543" t="str">
            <v>New Westminster</v>
          </cell>
        </row>
        <row r="544">
          <cell r="C544" t="str">
            <v>Queensborough Cannabis Co.</v>
          </cell>
          <cell r="D544" t="str">
            <v>540 Ewen Avenue</v>
          </cell>
          <cell r="E544" t="str">
            <v>New Westminster</v>
          </cell>
          <cell r="F544" t="str">
            <v xml:space="preserve">BC </v>
          </cell>
        </row>
        <row r="545">
          <cell r="C545" t="str">
            <v>Bohemian Cannabis Co.</v>
          </cell>
          <cell r="D545" t="str">
            <v>710 Twelfth Street</v>
          </cell>
          <cell r="E545" t="str">
            <v>New Westminster</v>
          </cell>
        </row>
        <row r="546">
          <cell r="C546" t="str">
            <v>BC Cannabis Store 7042</v>
          </cell>
          <cell r="D546" t="str">
            <v>Unit L110 - 805 Boyd Street</v>
          </cell>
          <cell r="E546" t="str">
            <v>New Westminster</v>
          </cell>
        </row>
        <row r="547">
          <cell r="C547" t="str">
            <v>It's 420 Somewhere Cannabis Co.</v>
          </cell>
          <cell r="D547" t="str">
            <v>21140 B Hwy 20</v>
          </cell>
          <cell r="E547" t="str">
            <v>Nimpo Lake</v>
          </cell>
        </row>
        <row r="548">
          <cell r="C548" t="str">
            <v>Affinity Cannabis Store Inc</v>
          </cell>
          <cell r="D548" t="str">
            <v>1825 Lonsdale</v>
          </cell>
          <cell r="E548" t="str">
            <v>North Vancouver</v>
          </cell>
          <cell r="F548" t="str">
            <v xml:space="preserve">BC </v>
          </cell>
        </row>
        <row r="549">
          <cell r="C549" t="str">
            <v>Greenstar Cannabis Company-NORTH VANCOUVER</v>
          </cell>
          <cell r="D549" t="str">
            <v>115 1st St. E</v>
          </cell>
          <cell r="E549" t="str">
            <v>North Vancouver</v>
          </cell>
          <cell r="F549" t="str">
            <v xml:space="preserve">BC </v>
          </cell>
        </row>
        <row r="550">
          <cell r="C550" t="str">
            <v>Goodfellas Cannabis Club</v>
          </cell>
          <cell r="D550" t="str">
            <v>1199 Marine Drive</v>
          </cell>
          <cell r="E550" t="str">
            <v>North Vancouver</v>
          </cell>
          <cell r="F550" t="str">
            <v xml:space="preserve">BC </v>
          </cell>
        </row>
        <row r="551">
          <cell r="C551" t="str">
            <v>Blunt</v>
          </cell>
          <cell r="D551" t="str">
            <v>119-1433 Lonsdale Ave</v>
          </cell>
          <cell r="E551" t="str">
            <v>North Vancouver</v>
          </cell>
          <cell r="F551" t="str">
            <v xml:space="preserve">BC </v>
          </cell>
        </row>
        <row r="552">
          <cell r="C552" t="str">
            <v>North Shore Cannabis</v>
          </cell>
          <cell r="D552" t="str">
            <v>103-1520 Barrow Street</v>
          </cell>
          <cell r="E552" t="str">
            <v>North Vancouver</v>
          </cell>
          <cell r="F552" t="str">
            <v xml:space="preserve">BC </v>
          </cell>
        </row>
        <row r="553">
          <cell r="C553" t="str">
            <v>Muse Cannabis Store</v>
          </cell>
          <cell r="D553" t="str">
            <v>385-415 Dollarton Highway</v>
          </cell>
          <cell r="E553" t="str">
            <v>North Vancouver</v>
          </cell>
          <cell r="F553" t="str">
            <v xml:space="preserve">BC </v>
          </cell>
        </row>
        <row r="554">
          <cell r="C554" t="str">
            <v>Quantum 1 Cannabis - North Vancouver</v>
          </cell>
          <cell r="D554" t="str">
            <v>1-820 Marine Dr.</v>
          </cell>
          <cell r="E554" t="str">
            <v>North Vancouver</v>
          </cell>
          <cell r="F554" t="str">
            <v xml:space="preserve">BC </v>
          </cell>
        </row>
        <row r="555">
          <cell r="C555" t="str">
            <v>Imagine Cannabis</v>
          </cell>
          <cell r="D555" t="str">
            <v>Unit 124-1199 Lynn Valley Road</v>
          </cell>
          <cell r="E555" t="str">
            <v>North Vancouver</v>
          </cell>
          <cell r="F555" t="str">
            <v xml:space="preserve">BC </v>
          </cell>
        </row>
        <row r="556">
          <cell r="C556" t="str">
            <v>1st Cannabis</v>
          </cell>
          <cell r="D556" t="str">
            <v>223 1st St W</v>
          </cell>
          <cell r="E556" t="str">
            <v>North Vancouver</v>
          </cell>
          <cell r="F556" t="str">
            <v xml:space="preserve">BC </v>
          </cell>
        </row>
        <row r="557">
          <cell r="C557" t="str">
            <v>BC Cannabis Store 7026</v>
          </cell>
          <cell r="D557" t="str">
            <v>1461 Marine Drive</v>
          </cell>
          <cell r="E557" t="str">
            <v>North Vancouver</v>
          </cell>
          <cell r="F557" t="str">
            <v xml:space="preserve">BC </v>
          </cell>
        </row>
        <row r="558">
          <cell r="C558" t="str">
            <v>BC Cannabis Store 7036</v>
          </cell>
          <cell r="D558" t="str">
            <v>800 - 333 Brooksbank Ave</v>
          </cell>
          <cell r="E558" t="str">
            <v>North Vancouver</v>
          </cell>
          <cell r="F558" t="str">
            <v xml:space="preserve">BC </v>
          </cell>
        </row>
        <row r="559">
          <cell r="C559" t="str">
            <v>Green Light Cannabis</v>
          </cell>
          <cell r="D559" t="str">
            <v>5-5350 HWY 97</v>
          </cell>
          <cell r="E559" t="str">
            <v>OKANAGAN FALLS</v>
          </cell>
          <cell r="F559" t="str">
            <v xml:space="preserve">BC </v>
          </cell>
        </row>
        <row r="560">
          <cell r="C560" t="str">
            <v>BLUEWATER CANNABIS</v>
          </cell>
          <cell r="D560" t="str">
            <v>6341 Main Street</v>
          </cell>
          <cell r="E560" t="str">
            <v>Oliver</v>
          </cell>
        </row>
        <row r="561">
          <cell r="C561" t="str">
            <v>BC Cannabis Store 7047</v>
          </cell>
          <cell r="D561" t="str">
            <v>Unit 225 - 5717 Main Street</v>
          </cell>
          <cell r="E561" t="str">
            <v>Oliver</v>
          </cell>
        </row>
        <row r="562">
          <cell r="C562" t="str">
            <v>Maple Leaf Greenery</v>
          </cell>
          <cell r="D562" t="str">
            <v>8322 Main St</v>
          </cell>
          <cell r="E562" t="str">
            <v>Osoyoos</v>
          </cell>
          <cell r="F562" t="str">
            <v xml:space="preserve">BC </v>
          </cell>
        </row>
        <row r="563">
          <cell r="C563" t="str">
            <v>Pacific Sea Weed Cannabis Co</v>
          </cell>
          <cell r="D563" t="str">
            <v>2207 C Glenmore Road</v>
          </cell>
          <cell r="E563" t="str">
            <v>Oyster River</v>
          </cell>
        </row>
        <row r="564">
          <cell r="C564" t="str">
            <v>Kaya Connection</v>
          </cell>
          <cell r="D564" t="str">
            <v>101-124 Craig St, PO Box 207</v>
          </cell>
          <cell r="E564" t="str">
            <v>Parksville</v>
          </cell>
          <cell r="F564" t="str">
            <v xml:space="preserve">BC </v>
          </cell>
        </row>
        <row r="565">
          <cell r="C565" t="str">
            <v>Local Cannabis Co.</v>
          </cell>
          <cell r="D565" t="str">
            <v>491B Island Hwy E</v>
          </cell>
          <cell r="E565" t="str">
            <v>Parksville</v>
          </cell>
          <cell r="F565" t="str">
            <v xml:space="preserve">BC </v>
          </cell>
        </row>
        <row r="566">
          <cell r="C566" t="str">
            <v>Oceanside C Weed</v>
          </cell>
          <cell r="D566" t="str">
            <v>3-154 Middleton Ave</v>
          </cell>
          <cell r="E566" t="str">
            <v>Parksville</v>
          </cell>
          <cell r="F566" t="str">
            <v xml:space="preserve">BC </v>
          </cell>
        </row>
        <row r="567">
          <cell r="C567" t="str">
            <v>BC Cannabis Store 7043</v>
          </cell>
          <cell r="D567" t="str">
            <v>7 - 826 Island Hwy W</v>
          </cell>
          <cell r="E567" t="str">
            <v>PARKSVILLE</v>
          </cell>
          <cell r="F567" t="str">
            <v xml:space="preserve">BC </v>
          </cell>
        </row>
        <row r="568">
          <cell r="C568" t="str">
            <v>Budding Creations Cannabis Corp.</v>
          </cell>
          <cell r="D568" t="str">
            <v>#12-5500 Clements Crescent</v>
          </cell>
          <cell r="E568" t="str">
            <v>Peachland</v>
          </cell>
          <cell r="F568" t="str">
            <v xml:space="preserve">BC </v>
          </cell>
        </row>
        <row r="569">
          <cell r="C569" t="str">
            <v>Budding Creations Cannabis Store</v>
          </cell>
          <cell r="D569" t="str">
            <v>4402 2nd St.</v>
          </cell>
          <cell r="E569" t="str">
            <v>Peachland</v>
          </cell>
          <cell r="F569" t="str">
            <v xml:space="preserve">BC </v>
          </cell>
        </row>
        <row r="570">
          <cell r="C570" t="str">
            <v>Hemp Phase Cannabis</v>
          </cell>
          <cell r="D570" t="str">
            <v>109 - 7433 Frontier Street</v>
          </cell>
          <cell r="E570" t="str">
            <v>Pemberton</v>
          </cell>
          <cell r="F570" t="str">
            <v xml:space="preserve">BC </v>
          </cell>
        </row>
        <row r="571">
          <cell r="C571" t="str">
            <v>GP Cannabis Store</v>
          </cell>
          <cell r="D571" t="str">
            <v>7423 Frontier St</v>
          </cell>
          <cell r="E571" t="str">
            <v>Pemberton</v>
          </cell>
          <cell r="F571" t="str">
            <v xml:space="preserve">BC </v>
          </cell>
        </row>
        <row r="572">
          <cell r="C572" t="str">
            <v>Pender Island Naturals</v>
          </cell>
          <cell r="D572" t="str">
            <v>4605 Bedwell Harbour Rd</v>
          </cell>
          <cell r="E572" t="str">
            <v>Pender Island</v>
          </cell>
          <cell r="F572" t="str">
            <v xml:space="preserve">BC </v>
          </cell>
        </row>
        <row r="573">
          <cell r="C573" t="str">
            <v>Unity (450320)</v>
          </cell>
          <cell r="D573" t="str">
            <v>101-351 Westminster Ave W</v>
          </cell>
          <cell r="E573" t="str">
            <v>Penticton</v>
          </cell>
          <cell r="F573" t="str">
            <v xml:space="preserve">BC </v>
          </cell>
        </row>
        <row r="574">
          <cell r="C574" t="str">
            <v>Bluewater Cannabis Inc.</v>
          </cell>
          <cell r="D574" t="str">
            <v>101-130 Nanaimo Ave W</v>
          </cell>
          <cell r="E574" t="str">
            <v>Penticton</v>
          </cell>
          <cell r="F574" t="str">
            <v xml:space="preserve">BC </v>
          </cell>
        </row>
        <row r="575">
          <cell r="C575" t="str">
            <v>Green Light Cannabis</v>
          </cell>
          <cell r="D575" t="str">
            <v>114-2436 Skaha Lake Road</v>
          </cell>
          <cell r="E575" t="str">
            <v>Penticton</v>
          </cell>
          <cell r="F575" t="str">
            <v xml:space="preserve">BC </v>
          </cell>
        </row>
        <row r="576">
          <cell r="C576" t="str">
            <v>The Green House Cannabis Boutique</v>
          </cell>
          <cell r="D576" t="str">
            <v>310 Comox St</v>
          </cell>
          <cell r="E576" t="str">
            <v>Penticton</v>
          </cell>
        </row>
        <row r="577">
          <cell r="C577" t="str">
            <v>Greenery Cannabis Boutique</v>
          </cell>
          <cell r="D577" t="str">
            <v>465 Main Street</v>
          </cell>
          <cell r="E577" t="str">
            <v>Penticton</v>
          </cell>
          <cell r="F577" t="str">
            <v xml:space="preserve">BC </v>
          </cell>
        </row>
        <row r="578">
          <cell r="C578" t="str">
            <v>elevated cannabis</v>
          </cell>
          <cell r="D578" t="str">
            <v>102-2695 Skaha Lake Road</v>
          </cell>
          <cell r="E578" t="str">
            <v>Penticton</v>
          </cell>
        </row>
        <row r="579">
          <cell r="C579" t="str">
            <v>Cannabis Cottage</v>
          </cell>
          <cell r="D579" t="str">
            <v>385 Martin St</v>
          </cell>
          <cell r="E579" t="str">
            <v>Penticton</v>
          </cell>
          <cell r="F579" t="str">
            <v xml:space="preserve">BC </v>
          </cell>
        </row>
        <row r="580">
          <cell r="C580" t="str">
            <v>BC Cannabis Store 7044</v>
          </cell>
          <cell r="D580" t="str">
            <v>106 - 2210 Main St</v>
          </cell>
          <cell r="E580" t="str">
            <v>PENTICTON</v>
          </cell>
        </row>
        <row r="581">
          <cell r="C581" t="str">
            <v>KELO CANNABIS PITT MEADOWS</v>
          </cell>
          <cell r="D581" t="str">
            <v>112-19150 Lougheed Hwy</v>
          </cell>
          <cell r="E581" t="str">
            <v>Pitt Meadows</v>
          </cell>
          <cell r="F581" t="str">
            <v xml:space="preserve">BC </v>
          </cell>
        </row>
        <row r="582">
          <cell r="C582" t="str">
            <v>Seed &amp; Stone</v>
          </cell>
          <cell r="D582" t="str">
            <v>Unit 725 - 19800  Lougheed Hwy</v>
          </cell>
          <cell r="E582" t="str">
            <v>Pitt Meadows</v>
          </cell>
        </row>
        <row r="583">
          <cell r="C583" t="str">
            <v>BEAN CANNABIS SHOP</v>
          </cell>
          <cell r="D583" t="str">
            <v>3755 10th Avenue, Unit 9C</v>
          </cell>
          <cell r="E583" t="str">
            <v>Port Alberni</v>
          </cell>
          <cell r="F583" t="str">
            <v xml:space="preserve">BC </v>
          </cell>
        </row>
        <row r="584">
          <cell r="C584" t="str">
            <v>Cloud 9 Cannabis</v>
          </cell>
          <cell r="D584" t="str">
            <v>Unit 3-3473 3rd Avenue</v>
          </cell>
          <cell r="E584" t="str">
            <v>Port Alberni</v>
          </cell>
        </row>
        <row r="585">
          <cell r="C585" t="str">
            <v>Cainan Cannabis Store</v>
          </cell>
          <cell r="D585" t="str">
            <v>3030A 3rd ave</v>
          </cell>
          <cell r="E585" t="str">
            <v>Port Alberni</v>
          </cell>
        </row>
        <row r="586">
          <cell r="C586" t="str">
            <v>Alberni Cannabis Store</v>
          </cell>
          <cell r="D586" t="str">
            <v>51-3805 Redford Street</v>
          </cell>
          <cell r="E586" t="str">
            <v>Port Alberni</v>
          </cell>
        </row>
        <row r="587">
          <cell r="C587" t="str">
            <v>Highway Cannabis</v>
          </cell>
          <cell r="D587" t="str">
            <v>2970 Alberni Highway</v>
          </cell>
          <cell r="E587" t="str">
            <v>Port Alberni</v>
          </cell>
        </row>
        <row r="588">
          <cell r="C588" t="str">
            <v>HIVE CANNABIS</v>
          </cell>
          <cell r="D588" t="str">
            <v>4152 Redford Street</v>
          </cell>
          <cell r="E588" t="str">
            <v>PORT ALBERNI</v>
          </cell>
          <cell r="F588" t="str">
            <v xml:space="preserve">BC </v>
          </cell>
        </row>
        <row r="589">
          <cell r="C589" t="str">
            <v>BC Cannabis Store 7031</v>
          </cell>
          <cell r="D589" t="str">
            <v>303 - 3555 Johnston Road</v>
          </cell>
          <cell r="E589" t="str">
            <v>Port Alberni</v>
          </cell>
        </row>
        <row r="590">
          <cell r="C590" t="str">
            <v>Boss Cannabis</v>
          </cell>
          <cell r="D590" t="str">
            <v>101-3377 Coast Meridian Road</v>
          </cell>
          <cell r="E590" t="str">
            <v>PORT COQUITLAM</v>
          </cell>
          <cell r="F590" t="str">
            <v xml:space="preserve">BC </v>
          </cell>
        </row>
        <row r="591">
          <cell r="C591" t="str">
            <v>Boss Cannabis</v>
          </cell>
          <cell r="D591" t="str">
            <v>1120-1760 Kingsway Avenue</v>
          </cell>
          <cell r="E591" t="str">
            <v>Port Coquitlam</v>
          </cell>
          <cell r="F591" t="str">
            <v xml:space="preserve">BC </v>
          </cell>
        </row>
        <row r="592">
          <cell r="C592" t="str">
            <v>Burb Cannabis</v>
          </cell>
          <cell r="D592" t="str">
            <v>24-2755 Lougheed Highway</v>
          </cell>
          <cell r="E592" t="str">
            <v>Port Coquitlam</v>
          </cell>
          <cell r="F592" t="str">
            <v xml:space="preserve">BC </v>
          </cell>
        </row>
        <row r="593">
          <cell r="C593" t="str">
            <v>Burb Cannabis</v>
          </cell>
          <cell r="D593" t="str">
            <v>1502 Broadway Street</v>
          </cell>
          <cell r="E593" t="str">
            <v>Port Coquitlam</v>
          </cell>
          <cell r="F593" t="str">
            <v xml:space="preserve">BC </v>
          </cell>
        </row>
        <row r="594">
          <cell r="C594" t="str">
            <v>BC Cannabis Store 7045</v>
          </cell>
          <cell r="D594" t="str">
            <v>Unit 109 - 985 Nicola Ave</v>
          </cell>
          <cell r="E594" t="str">
            <v>PORT COQUITLAM</v>
          </cell>
        </row>
        <row r="595">
          <cell r="C595" t="str">
            <v>BC Cannabis Store 7046</v>
          </cell>
          <cell r="D595" t="str">
            <v>4110-1971 Lougheed Highway</v>
          </cell>
          <cell r="E595" t="str">
            <v>PORT COQUITLAM</v>
          </cell>
        </row>
        <row r="596">
          <cell r="C596" t="str">
            <v>100 Percent Cannabis</v>
          </cell>
          <cell r="D596" t="str">
            <v>#4, 7210 Market Street</v>
          </cell>
          <cell r="E596" t="str">
            <v>Port Hardy</v>
          </cell>
        </row>
        <row r="597">
          <cell r="C597" t="str">
            <v>Pacificanna</v>
          </cell>
          <cell r="D597" t="str">
            <v>2 - 7035 Market Street</v>
          </cell>
          <cell r="E597" t="str">
            <v>Port Hardy</v>
          </cell>
          <cell r="F597" t="str">
            <v xml:space="preserve">BC </v>
          </cell>
        </row>
        <row r="598">
          <cell r="C598" t="str">
            <v>North Island Cannabis</v>
          </cell>
          <cell r="D598" t="str">
            <v>#5 - 9250 Trustee Road</v>
          </cell>
          <cell r="E598" t="str">
            <v>Port Hardy</v>
          </cell>
        </row>
        <row r="599">
          <cell r="C599" t="str">
            <v>100 Percent Cannabis Ltd.</v>
          </cell>
          <cell r="D599" t="str">
            <v>5 - 311 Hemlock Street</v>
          </cell>
          <cell r="E599" t="str">
            <v>Port McNeill</v>
          </cell>
        </row>
        <row r="600">
          <cell r="C600" t="str">
            <v>The Bohemian Cannabis Co</v>
          </cell>
          <cell r="D600" t="str">
            <v>3034 Saint Johns Street</v>
          </cell>
          <cell r="E600" t="str">
            <v>Port Moody</v>
          </cell>
        </row>
        <row r="601">
          <cell r="C601" t="str">
            <v>Burb Cannabis</v>
          </cell>
          <cell r="D601" t="str">
            <v>Unit 1 - 101 Morrisey Road</v>
          </cell>
          <cell r="E601" t="str">
            <v>Port Moody</v>
          </cell>
          <cell r="F601" t="str">
            <v xml:space="preserve">BC </v>
          </cell>
        </row>
        <row r="602">
          <cell r="C602" t="str">
            <v>Kiaro Cannabis</v>
          </cell>
          <cell r="D602" t="str">
            <v>2816 St Johns Street</v>
          </cell>
          <cell r="E602" t="str">
            <v>Port Moody</v>
          </cell>
          <cell r="F602" t="str">
            <v xml:space="preserve">BC </v>
          </cell>
        </row>
        <row r="603">
          <cell r="C603" t="str">
            <v>Weed Mart</v>
          </cell>
          <cell r="D603" t="str">
            <v>5104 50th Ave</v>
          </cell>
          <cell r="E603" t="str">
            <v>Pouce Coupe</v>
          </cell>
        </row>
        <row r="604">
          <cell r="C604" t="str">
            <v>Cranberry Cannabis</v>
          </cell>
          <cell r="D604" t="str">
            <v>5712 Manson Ave</v>
          </cell>
          <cell r="E604" t="str">
            <v>Powell River</v>
          </cell>
        </row>
        <row r="605">
          <cell r="C605" t="str">
            <v>BEAN CANNABIS SHOP</v>
          </cell>
          <cell r="D605" t="str">
            <v>7-7030 Alberni Street</v>
          </cell>
          <cell r="E605" t="str">
            <v>Powell River</v>
          </cell>
          <cell r="F605" t="str">
            <v xml:space="preserve">BC </v>
          </cell>
        </row>
        <row r="606">
          <cell r="C606" t="str">
            <v>Pacific Coastal Cannabis</v>
          </cell>
          <cell r="D606" t="str">
            <v>107 - 4871 Joyce Ave.</v>
          </cell>
          <cell r="E606" t="str">
            <v>Powell River</v>
          </cell>
          <cell r="F606" t="str">
            <v xml:space="preserve">BC </v>
          </cell>
        </row>
        <row r="607">
          <cell r="C607" t="str">
            <v>Sun Coast Cannabis Shoppe</v>
          </cell>
          <cell r="D607" t="str">
            <v>102-7010 Duncan St</v>
          </cell>
          <cell r="E607" t="str">
            <v>Powell River</v>
          </cell>
        </row>
        <row r="608">
          <cell r="C608" t="str">
            <v>Soho Cannabis Store</v>
          </cell>
          <cell r="D608" t="str">
            <v>4670 Marine Ave Unit B</v>
          </cell>
          <cell r="E608" t="str">
            <v>Powell River</v>
          </cell>
        </row>
        <row r="609">
          <cell r="C609" t="str">
            <v>BC Cannabis Store 7029</v>
          </cell>
          <cell r="D609" t="str">
            <v>115 - 7035 Barnet Street</v>
          </cell>
          <cell r="E609" t="str">
            <v>POWELL RIVER</v>
          </cell>
        </row>
        <row r="610">
          <cell r="C610" t="str">
            <v>Hart Cannabis</v>
          </cell>
          <cell r="D610" t="str">
            <v>2280 Hart Highway</v>
          </cell>
          <cell r="E610" t="str">
            <v>Prince George</v>
          </cell>
        </row>
        <row r="611">
          <cell r="C611" t="str">
            <v>Pineview Grass Station</v>
          </cell>
          <cell r="D611" t="str">
            <v>9820 Old Cariboo Hwy.</v>
          </cell>
          <cell r="E611" t="str">
            <v>Prince George</v>
          </cell>
        </row>
        <row r="612">
          <cell r="C612" t="str">
            <v>Cosmic Cannabis</v>
          </cell>
          <cell r="D612" t="str">
            <v>1724 Strathcona Ave</v>
          </cell>
          <cell r="E612" t="str">
            <v>Prince George</v>
          </cell>
        </row>
        <row r="613">
          <cell r="C613" t="str">
            <v xml:space="preserve">North Country Cannabis </v>
          </cell>
          <cell r="D613" t="str">
            <v>6065 Monterey Rd.</v>
          </cell>
          <cell r="E613" t="str">
            <v>Prince George</v>
          </cell>
        </row>
        <row r="614">
          <cell r="C614" t="str">
            <v>DRAGON'S PEAK CANNABIS</v>
          </cell>
          <cell r="D614" t="str">
            <v>2591B Vance Road</v>
          </cell>
          <cell r="E614" t="str">
            <v>Prince George</v>
          </cell>
          <cell r="F614" t="str">
            <v xml:space="preserve">BC </v>
          </cell>
        </row>
        <row r="615">
          <cell r="C615" t="str">
            <v>Grasshopper Retail Inc.</v>
          </cell>
          <cell r="D615" t="str">
            <v>6473 John Hart Highway</v>
          </cell>
          <cell r="E615" t="str">
            <v>Prince George</v>
          </cell>
          <cell r="F615" t="str">
            <v xml:space="preserve">BC </v>
          </cell>
        </row>
        <row r="616">
          <cell r="C616" t="str">
            <v>Epik Products Inc.</v>
          </cell>
          <cell r="D616" t="str">
            <v>356 George Street</v>
          </cell>
          <cell r="E616" t="str">
            <v>Prince George</v>
          </cell>
        </row>
        <row r="617">
          <cell r="C617" t="str">
            <v>Southside Marijuana</v>
          </cell>
          <cell r="D617" t="str">
            <v>Unit A 9912 Sintich Road</v>
          </cell>
          <cell r="E617" t="str">
            <v>Prince George</v>
          </cell>
        </row>
        <row r="618">
          <cell r="C618" t="str">
            <v>MJB Cannabis</v>
          </cell>
          <cell r="D618" t="str">
            <v>5777 Albert Place</v>
          </cell>
          <cell r="E618" t="str">
            <v>Prince George</v>
          </cell>
        </row>
        <row r="619">
          <cell r="C619" t="str">
            <v>Prince George Cannabis</v>
          </cell>
          <cell r="D619" t="str">
            <v>202 &amp; 204-100 Tabor Blvd S.</v>
          </cell>
          <cell r="E619" t="str">
            <v>Prince George</v>
          </cell>
        </row>
        <row r="620">
          <cell r="C620" t="str">
            <v>Shire Green Cannabis</v>
          </cell>
          <cell r="D620" t="str">
            <v>484 Douglas Street</v>
          </cell>
          <cell r="E620" t="str">
            <v>Prince George</v>
          </cell>
        </row>
        <row r="621">
          <cell r="C621" t="str">
            <v>Flora Cannabis</v>
          </cell>
          <cell r="D621" t="str">
            <v>101-3320 Massey Drive</v>
          </cell>
          <cell r="E621" t="str">
            <v>Prince George</v>
          </cell>
          <cell r="F621" t="str">
            <v xml:space="preserve">BC </v>
          </cell>
        </row>
        <row r="622">
          <cell r="C622" t="str">
            <v>Canna Cabana</v>
          </cell>
          <cell r="D622" t="str">
            <v>1543 Victoria Street</v>
          </cell>
          <cell r="E622" t="str">
            <v>Prince George</v>
          </cell>
          <cell r="F622" t="str">
            <v xml:space="preserve">BC </v>
          </cell>
        </row>
        <row r="623">
          <cell r="C623" t="str">
            <v>Grasshopper Retail Inc.</v>
          </cell>
          <cell r="D623" t="str">
            <v>421 George Street</v>
          </cell>
          <cell r="E623" t="str">
            <v>Prince George</v>
          </cell>
          <cell r="F623" t="str">
            <v xml:space="preserve">BC </v>
          </cell>
        </row>
        <row r="624">
          <cell r="C624" t="str">
            <v>BC Cannabis Store 7035</v>
          </cell>
          <cell r="D624" t="str">
            <v>6111 Southridge Avenue</v>
          </cell>
          <cell r="E624" t="str">
            <v>Prince George</v>
          </cell>
        </row>
        <row r="625">
          <cell r="C625" t="str">
            <v>BC Cannabis Store 7048</v>
          </cell>
          <cell r="D625" t="str">
            <v>3111 Massey Drive</v>
          </cell>
          <cell r="E625" t="str">
            <v>Prince George</v>
          </cell>
        </row>
        <row r="626">
          <cell r="C626" t="str">
            <v>BC Cannabis Store 7059</v>
          </cell>
          <cell r="D626" t="str">
            <v>737 Central Street West</v>
          </cell>
          <cell r="E626" t="str">
            <v>Prince George</v>
          </cell>
        </row>
        <row r="627">
          <cell r="C627" t="str">
            <v>Cow Bay Cannabis</v>
          </cell>
          <cell r="D627" t="str">
            <v>23 Cow Bay Road</v>
          </cell>
          <cell r="E627" t="str">
            <v>Prince Rupert</v>
          </cell>
        </row>
        <row r="628">
          <cell r="C628" t="str">
            <v>Five Corners Cannabis</v>
          </cell>
          <cell r="D628" t="str">
            <v>4-1100 Park Ave</v>
          </cell>
          <cell r="E628" t="str">
            <v>Prince Rupert</v>
          </cell>
        </row>
        <row r="629">
          <cell r="C629" t="str">
            <v>Clarity Cannabis</v>
          </cell>
          <cell r="D629" t="str">
            <v>528 3rd Ave W</v>
          </cell>
          <cell r="E629" t="str">
            <v>Prince Rupert</v>
          </cell>
          <cell r="F629" t="str">
            <v xml:space="preserve">BC </v>
          </cell>
        </row>
        <row r="630">
          <cell r="C630" t="str">
            <v>Atheneum Cannabis</v>
          </cell>
          <cell r="D630" t="str">
            <v>255 Vermilion Ave</v>
          </cell>
          <cell r="E630" t="str">
            <v>Princeton</v>
          </cell>
        </row>
        <row r="631">
          <cell r="C631" t="str">
            <v>Meadowood Cannabis</v>
          </cell>
          <cell r="D631" t="str">
            <v>#1-1211 Meadowood Way</v>
          </cell>
          <cell r="E631" t="str">
            <v>Qualicum Beach</v>
          </cell>
        </row>
        <row r="632">
          <cell r="C632" t="str">
            <v>QualiCanna</v>
          </cell>
          <cell r="D632" t="str">
            <v>2-124 Harlech Road</v>
          </cell>
          <cell r="E632" t="str">
            <v>Qualicum Beach</v>
          </cell>
        </row>
        <row r="633">
          <cell r="C633" t="str">
            <v>Frontier Cannabis</v>
          </cell>
          <cell r="D633" t="str">
            <v>3200 Oceanview Dr</v>
          </cell>
          <cell r="E633" t="str">
            <v>Queen Charlotte</v>
          </cell>
          <cell r="F633" t="str">
            <v xml:space="preserve">BC </v>
          </cell>
        </row>
        <row r="634">
          <cell r="C634" t="str">
            <v>Lhtako Grass</v>
          </cell>
          <cell r="D634" t="str">
            <v>1523 Arbutus Road</v>
          </cell>
          <cell r="E634" t="str">
            <v>Quesnel</v>
          </cell>
        </row>
        <row r="635">
          <cell r="C635" t="str">
            <v>Dragon's Peak Cannabis</v>
          </cell>
          <cell r="D635" t="str">
            <v>100 - 775 Rita Rd</v>
          </cell>
          <cell r="E635" t="str">
            <v>Quesnel</v>
          </cell>
          <cell r="F635" t="str">
            <v xml:space="preserve">BC </v>
          </cell>
        </row>
        <row r="636">
          <cell r="C636" t="str">
            <v>Cariboo Cannabis</v>
          </cell>
          <cell r="D636" t="str">
            <v>318 McLean St</v>
          </cell>
          <cell r="E636" t="str">
            <v>Quesnel</v>
          </cell>
        </row>
        <row r="637">
          <cell r="C637" t="str">
            <v>HIVE Cannabis</v>
          </cell>
          <cell r="D637" t="str">
            <v>213 St. Laurent Avenue</v>
          </cell>
          <cell r="E637" t="str">
            <v>Quesnel</v>
          </cell>
          <cell r="F637" t="str">
            <v xml:space="preserve">BC </v>
          </cell>
        </row>
        <row r="638">
          <cell r="C638" t="str">
            <v>BC Cannabis Store 7034</v>
          </cell>
          <cell r="D638" t="str">
            <v>25 - 155 Malcolm Drive</v>
          </cell>
          <cell r="E638" t="str">
            <v>QUESNEL</v>
          </cell>
        </row>
        <row r="639">
          <cell r="C639" t="str">
            <v>BLOOMING WORLD CANNABIS</v>
          </cell>
          <cell r="D639" t="str">
            <v>7535 Main Street W</v>
          </cell>
          <cell r="E639" t="str">
            <v>Radium Hot Springs</v>
          </cell>
          <cell r="F639" t="str">
            <v xml:space="preserve">BC </v>
          </cell>
        </row>
        <row r="640">
          <cell r="C640" t="str">
            <v>Revelsmoke</v>
          </cell>
          <cell r="D640" t="str">
            <v>204-C First Street W</v>
          </cell>
          <cell r="E640" t="str">
            <v>Revelstoke</v>
          </cell>
        </row>
        <row r="641">
          <cell r="C641" t="str">
            <v>Dream Lounge Cannabis</v>
          </cell>
          <cell r="D641" t="str">
            <v>113 Second Street East Unit B</v>
          </cell>
          <cell r="E641" t="str">
            <v>Revelstoke</v>
          </cell>
        </row>
        <row r="642">
          <cell r="C642" t="str">
            <v>COST CANNABIS</v>
          </cell>
          <cell r="D642" t="str">
            <v>427 2nd Street East</v>
          </cell>
          <cell r="E642" t="str">
            <v>Revelstoke</v>
          </cell>
        </row>
        <row r="643">
          <cell r="C643" t="str">
            <v>Summit Cannabis Company</v>
          </cell>
          <cell r="D643" t="str">
            <v>109 Connaught Ave</v>
          </cell>
          <cell r="E643" t="str">
            <v>Revelstoke</v>
          </cell>
        </row>
        <row r="644">
          <cell r="C644" t="str">
            <v>Infinity Cannabis Chill Out Joint</v>
          </cell>
          <cell r="D644" t="str">
            <v>Unit #8 - 1057 Roberts Creek Rd</v>
          </cell>
          <cell r="E644" t="str">
            <v>Roberts Creek</v>
          </cell>
        </row>
        <row r="645">
          <cell r="C645" t="str">
            <v>Cahoots Cannabis</v>
          </cell>
          <cell r="D645" t="str">
            <v>4120B Hwy #3</v>
          </cell>
          <cell r="E645" t="str">
            <v>Rock Creek</v>
          </cell>
        </row>
        <row r="646">
          <cell r="C646" t="str">
            <v>Jeffrey's Cannabis Shop</v>
          </cell>
          <cell r="D646" t="str">
            <v>2123 Columbia Ave.</v>
          </cell>
          <cell r="E646" t="str">
            <v>Rossland</v>
          </cell>
          <cell r="F646" t="str">
            <v xml:space="preserve">BC </v>
          </cell>
        </row>
        <row r="647">
          <cell r="C647" t="str">
            <v>Burb Cannabis</v>
          </cell>
          <cell r="D647" t="str">
            <v>1626 McKenzie Avenue</v>
          </cell>
          <cell r="E647" t="str">
            <v>Saanich</v>
          </cell>
          <cell r="F647" t="str">
            <v xml:space="preserve">BC </v>
          </cell>
        </row>
        <row r="648">
          <cell r="C648" t="str">
            <v>SEASIDE CANNABIS</v>
          </cell>
          <cell r="D648" t="str">
            <v>Unit 2 - 7855 East Saanich Rd</v>
          </cell>
          <cell r="E648" t="str">
            <v>Saanichton</v>
          </cell>
          <cell r="F648" t="str">
            <v xml:space="preserve">BC </v>
          </cell>
        </row>
        <row r="649">
          <cell r="C649" t="str">
            <v>Buds Cannabis</v>
          </cell>
          <cell r="D649" t="str">
            <v>100-6765 Veyaness Road</v>
          </cell>
          <cell r="E649" t="str">
            <v>Saanichton</v>
          </cell>
          <cell r="F649" t="str">
            <v xml:space="preserve">BC </v>
          </cell>
        </row>
        <row r="650">
          <cell r="C650" t="str">
            <v>Salmo Cannabis Corporation</v>
          </cell>
          <cell r="D650" t="str">
            <v>409A Railway Avenue</v>
          </cell>
          <cell r="E650" t="str">
            <v>Salmo</v>
          </cell>
        </row>
        <row r="651">
          <cell r="C651" t="str">
            <v>ShuCanna Growers Cannabis Sales</v>
          </cell>
          <cell r="D651" t="str">
            <v>2321 9 AVE SW</v>
          </cell>
          <cell r="E651" t="str">
            <v>SALMON ARM</v>
          </cell>
        </row>
        <row r="652">
          <cell r="C652" t="str">
            <v>Inspired Cannabis Co</v>
          </cell>
          <cell r="D652" t="str">
            <v>246-1151 10 Ave SW</v>
          </cell>
          <cell r="E652" t="str">
            <v>Salmon Arm</v>
          </cell>
          <cell r="F652" t="str">
            <v xml:space="preserve">BC </v>
          </cell>
        </row>
        <row r="653">
          <cell r="C653" t="str">
            <v>DOWNTOWN CANNABIS</v>
          </cell>
          <cell r="D653" t="str">
            <v>111 Lakeshore Drive NE</v>
          </cell>
          <cell r="E653" t="str">
            <v>Salmon Arm</v>
          </cell>
        </row>
        <row r="654">
          <cell r="C654" t="str">
            <v>Salmon Arm Cannabis</v>
          </cell>
          <cell r="D654" t="str">
            <v>81B Shuswap St NW</v>
          </cell>
          <cell r="E654" t="str">
            <v>Salmon Arm</v>
          </cell>
        </row>
        <row r="655">
          <cell r="C655" t="str">
            <v>The Greenery Cannabis Boutique</v>
          </cell>
          <cell r="D655" t="str">
            <v>2-190 Trans Canada Hwy NE</v>
          </cell>
          <cell r="E655" t="str">
            <v>Salmon Arm</v>
          </cell>
        </row>
        <row r="656">
          <cell r="C656" t="str">
            <v>Green Canoe Cannabis</v>
          </cell>
          <cell r="D656" t="str">
            <v>7390 50 St NE</v>
          </cell>
          <cell r="E656" t="str">
            <v>Salmon Arm</v>
          </cell>
        </row>
        <row r="657">
          <cell r="C657" t="str">
            <v>Harvest Moon Cannabis</v>
          </cell>
          <cell r="D657" t="str">
            <v>366 Lower Ganges</v>
          </cell>
          <cell r="E657" t="str">
            <v>Salt Spring Island</v>
          </cell>
        </row>
        <row r="658">
          <cell r="C658" t="str">
            <v>The Green Den Retail Cannabis LTD.</v>
          </cell>
          <cell r="D658" t="str">
            <v>3-3968 Squilax-Anglemont Road</v>
          </cell>
          <cell r="E658" t="str">
            <v>Scotch Creek</v>
          </cell>
        </row>
        <row r="659">
          <cell r="C659" t="str">
            <v>Coastal Green</v>
          </cell>
          <cell r="D659" t="str">
            <v>#12 4330 Sunshine Coast Highway</v>
          </cell>
          <cell r="E659" t="str">
            <v>Sechelt</v>
          </cell>
          <cell r="F659" t="str">
            <v xml:space="preserve">BC </v>
          </cell>
        </row>
        <row r="660">
          <cell r="C660" t="str">
            <v>WEEDS</v>
          </cell>
          <cell r="D660" t="str">
            <v>101-5536 Wharf Avenue</v>
          </cell>
          <cell r="E660" t="str">
            <v>SECHELT</v>
          </cell>
        </row>
        <row r="661">
          <cell r="C661" t="str">
            <v>420 Hemp Shop</v>
          </cell>
          <cell r="D661" t="str">
            <v>5670 Cowrie Street</v>
          </cell>
          <cell r="E661" t="str">
            <v>Sechelt</v>
          </cell>
        </row>
        <row r="662">
          <cell r="C662" t="str">
            <v>BC Cannabis Store 7055</v>
          </cell>
          <cell r="D662" t="str">
            <v>701 – 5500 Sunshine Coast Hwy</v>
          </cell>
          <cell r="E662" t="str">
            <v>Sechelt</v>
          </cell>
        </row>
        <row r="663">
          <cell r="C663" t="str">
            <v>1904 Cannabis Company Inc.</v>
          </cell>
          <cell r="D663" t="str">
            <v>Unit 4 - 1770 Shawnigan - Mill Bay Road</v>
          </cell>
          <cell r="E663" t="str">
            <v>Shawnigan Lake</v>
          </cell>
        </row>
        <row r="664">
          <cell r="C664" t="str">
            <v>Sicamous Trading Company Incorporated</v>
          </cell>
          <cell r="D664" t="str">
            <v>302 Main Street, Unit B</v>
          </cell>
          <cell r="E664" t="str">
            <v>Sicamous</v>
          </cell>
        </row>
        <row r="665">
          <cell r="C665" t="str">
            <v>High Mountain Cannabis Inc.</v>
          </cell>
          <cell r="D665" t="str">
            <v>12-433 Finlayson St</v>
          </cell>
          <cell r="E665" t="str">
            <v>Sicamous</v>
          </cell>
        </row>
        <row r="666">
          <cell r="C666" t="str">
            <v>Buds Cannabis</v>
          </cell>
          <cell r="D666" t="str">
            <v>9775 Second St</v>
          </cell>
          <cell r="E666" t="str">
            <v>Sidney</v>
          </cell>
          <cell r="F666" t="str">
            <v xml:space="preserve">BC </v>
          </cell>
        </row>
        <row r="667">
          <cell r="C667" t="str">
            <v>Truth + Alibi</v>
          </cell>
          <cell r="D667" t="str">
            <v>2410 Beacon Avenue</v>
          </cell>
          <cell r="E667" t="str">
            <v>Sidney</v>
          </cell>
        </row>
        <row r="668">
          <cell r="C668" t="str">
            <v>Weed Be Delighted</v>
          </cell>
          <cell r="D668" t="str">
            <v>519 Harold St Unit B</v>
          </cell>
          <cell r="E668" t="str">
            <v>Slocan</v>
          </cell>
        </row>
        <row r="669">
          <cell r="C669" t="str">
            <v>Rural Leaf</v>
          </cell>
          <cell r="D669" t="str">
            <v>1126 Main Street</v>
          </cell>
          <cell r="E669" t="str">
            <v>Smithers</v>
          </cell>
        </row>
        <row r="670">
          <cell r="C670" t="str">
            <v>High Tide Cannabis</v>
          </cell>
          <cell r="D670" t="str">
            <v>7875 West Coast Road</v>
          </cell>
          <cell r="E670" t="str">
            <v>Sooke</v>
          </cell>
        </row>
        <row r="671">
          <cell r="C671" t="str">
            <v>642 Cannabis</v>
          </cell>
          <cell r="D671" t="str">
            <v>3-6686 Sooke Rd</v>
          </cell>
          <cell r="E671" t="str">
            <v>Sooke</v>
          </cell>
        </row>
        <row r="672">
          <cell r="C672" t="str">
            <v>Earth to Sky Cannabis</v>
          </cell>
          <cell r="D672" t="str">
            <v>6691 Sooke Rd</v>
          </cell>
          <cell r="E672" t="str">
            <v>Sooke</v>
          </cell>
          <cell r="F672" t="str">
            <v xml:space="preserve">BC </v>
          </cell>
        </row>
        <row r="673">
          <cell r="C673" t="str">
            <v>Riverside Cannabis</v>
          </cell>
          <cell r="D673" t="str">
            <v>6309 Sooke Rd</v>
          </cell>
          <cell r="E673" t="str">
            <v>Sooke</v>
          </cell>
        </row>
        <row r="674">
          <cell r="C674" t="str">
            <v>Copper Island Cannabis Company</v>
          </cell>
          <cell r="D674" t="str">
            <v>1245 Trans-Canada Highway</v>
          </cell>
          <cell r="E674" t="str">
            <v>Sorrento</v>
          </cell>
          <cell r="F674" t="str">
            <v xml:space="preserve">BC </v>
          </cell>
        </row>
        <row r="675">
          <cell r="C675" t="str">
            <v>Elk Valley Cannabis</v>
          </cell>
          <cell r="D675" t="str">
            <v>127 Centennial Square #3</v>
          </cell>
          <cell r="E675" t="str">
            <v>Sparwood</v>
          </cell>
          <cell r="F675" t="str">
            <v xml:space="preserve">BC </v>
          </cell>
        </row>
        <row r="676">
          <cell r="C676" t="str">
            <v>The Local Leaf Cannabis</v>
          </cell>
          <cell r="D676" t="str">
            <v>11 - 40437 TANTALUS RD</v>
          </cell>
          <cell r="E676" t="str">
            <v>Squamish</v>
          </cell>
          <cell r="F676" t="str">
            <v xml:space="preserve">BC </v>
          </cell>
        </row>
        <row r="677">
          <cell r="C677" t="str">
            <v>99 North Cannabis Store</v>
          </cell>
          <cell r="D677" t="str">
            <v>130-1200 Hunter Place</v>
          </cell>
          <cell r="E677" t="str">
            <v>Squamish</v>
          </cell>
        </row>
        <row r="678">
          <cell r="C678" t="str">
            <v>Squamish Cannabis</v>
          </cell>
          <cell r="D678" t="str">
            <v>38243 Cleveland Ave</v>
          </cell>
          <cell r="E678" t="str">
            <v>Squamish</v>
          </cell>
        </row>
        <row r="679">
          <cell r="C679" t="str">
            <v>Sky High Cannabis Ltd.</v>
          </cell>
          <cell r="D679" t="str">
            <v>38054 Second Ave.</v>
          </cell>
          <cell r="E679" t="str">
            <v>Squamish</v>
          </cell>
        </row>
        <row r="680">
          <cell r="C680" t="str">
            <v>phcannabisco</v>
          </cell>
          <cell r="D680" t="str">
            <v>102-10105 Main St</v>
          </cell>
          <cell r="E680" t="str">
            <v>Summerland</v>
          </cell>
        </row>
        <row r="681">
          <cell r="C681" t="str">
            <v>A Little Bud Cannabis</v>
          </cell>
          <cell r="D681" t="str">
            <v>9-7519 Prairie Valley Road</v>
          </cell>
          <cell r="E681" t="str">
            <v>Summerland</v>
          </cell>
        </row>
        <row r="682">
          <cell r="C682" t="str">
            <v>Flight Deck Cannabis Co.</v>
          </cell>
          <cell r="D682" t="str">
            <v>1160 Sun Peaks Road</v>
          </cell>
          <cell r="E682" t="str">
            <v>Sun Peaks</v>
          </cell>
        </row>
        <row r="683">
          <cell r="C683" t="str">
            <v>B D CANNABIS STORE</v>
          </cell>
          <cell r="D683" t="str">
            <v>102-4746 Lakelse Avenue</v>
          </cell>
          <cell r="E683" t="str">
            <v>Terrace</v>
          </cell>
          <cell r="F683" t="str">
            <v xml:space="preserve">BC </v>
          </cell>
        </row>
        <row r="684">
          <cell r="C684" t="str">
            <v>The Local Leaf Cannabis</v>
          </cell>
          <cell r="D684" t="str">
            <v>4621 Lakelse Avenue</v>
          </cell>
          <cell r="E684" t="str">
            <v>Terrace</v>
          </cell>
          <cell r="F684" t="str">
            <v xml:space="preserve">BC </v>
          </cell>
        </row>
        <row r="685">
          <cell r="C685" t="str">
            <v>HIVE CANNABIS</v>
          </cell>
          <cell r="D685" t="str">
            <v>3227 Kalum Street</v>
          </cell>
          <cell r="E685" t="str">
            <v>Terrace</v>
          </cell>
          <cell r="F685" t="str">
            <v xml:space="preserve">BC </v>
          </cell>
        </row>
        <row r="686">
          <cell r="C686" t="str">
            <v>K.J.'s Best Cannabis</v>
          </cell>
          <cell r="D686" t="str">
            <v>118-4717 Lakelse Ave</v>
          </cell>
          <cell r="E686" t="str">
            <v>Terrace</v>
          </cell>
          <cell r="F686" t="str">
            <v xml:space="preserve">BC </v>
          </cell>
        </row>
        <row r="687">
          <cell r="C687" t="str">
            <v>BC Cannabis Store 7025</v>
          </cell>
          <cell r="D687" t="str">
            <v>103 - 4761 Lakelse Ave</v>
          </cell>
          <cell r="E687" t="str">
            <v>TERRACE</v>
          </cell>
        </row>
        <row r="688">
          <cell r="C688" t="str">
            <v>Frontier Cannabis</v>
          </cell>
          <cell r="D688" t="str">
            <v>Unit-A 3992 Old Lakelse Lake Drive</v>
          </cell>
          <cell r="E688" t="str">
            <v>Thornhill</v>
          </cell>
          <cell r="F688" t="str">
            <v xml:space="preserve">BC </v>
          </cell>
        </row>
        <row r="689">
          <cell r="C689" t="str">
            <v>Tofino Seaweed</v>
          </cell>
          <cell r="D689" t="str">
            <v>1182 Pacific rim hwy</v>
          </cell>
          <cell r="E689" t="str">
            <v>tofino</v>
          </cell>
        </row>
        <row r="690">
          <cell r="C690" t="str">
            <v>Daylight Cannabis Company</v>
          </cell>
          <cell r="D690" t="str">
            <v>1-671 Industrial Way</v>
          </cell>
          <cell r="E690" t="str">
            <v>Tofino</v>
          </cell>
        </row>
        <row r="691">
          <cell r="C691" t="str">
            <v>Green Pineapple</v>
          </cell>
          <cell r="D691" t="str">
            <v>100-890 Schofield Hwy</v>
          </cell>
          <cell r="E691" t="str">
            <v>Trail</v>
          </cell>
        </row>
        <row r="692">
          <cell r="C692" t="str">
            <v>Earth to Sky Cannabis</v>
          </cell>
          <cell r="D692" t="str">
            <v>1463 Bay Ave</v>
          </cell>
          <cell r="E692" t="str">
            <v>Trail</v>
          </cell>
          <cell r="F692" t="str">
            <v xml:space="preserve">BC </v>
          </cell>
        </row>
        <row r="693">
          <cell r="C693" t="str">
            <v>Buddy's Place</v>
          </cell>
          <cell r="D693" t="str">
            <v>1198 Pine Ave</v>
          </cell>
          <cell r="E693" t="str">
            <v>Trail</v>
          </cell>
          <cell r="F693" t="str">
            <v xml:space="preserve">BC </v>
          </cell>
        </row>
        <row r="694">
          <cell r="C694" t="str">
            <v>The Green Pineapple</v>
          </cell>
          <cell r="D694" t="str">
            <v>870 B Schofield Hwy</v>
          </cell>
          <cell r="E694" t="str">
            <v>Trail</v>
          </cell>
          <cell r="F694" t="str">
            <v xml:space="preserve">BC </v>
          </cell>
        </row>
        <row r="695">
          <cell r="C695" t="str">
            <v>The Higher Path</v>
          </cell>
          <cell r="D695" t="str">
            <v>1320 Cedar Avenue</v>
          </cell>
          <cell r="E695" t="str">
            <v>Trail</v>
          </cell>
          <cell r="F695" t="str">
            <v xml:space="preserve">BC </v>
          </cell>
        </row>
        <row r="696">
          <cell r="C696" t="str">
            <v>BC Cannabis Store 7032</v>
          </cell>
          <cell r="D696" t="str">
            <v>122 - 8100 3B Hwy</v>
          </cell>
          <cell r="E696" t="str">
            <v>Trail</v>
          </cell>
        </row>
        <row r="697">
          <cell r="C697" t="str">
            <v>Imagine Cannabis Co</v>
          </cell>
          <cell r="D697" t="str">
            <v>Unit 100 1179 56th Street</v>
          </cell>
          <cell r="E697" t="str">
            <v>Tsawwassen</v>
          </cell>
          <cell r="F697" t="str">
            <v xml:space="preserve">BC </v>
          </cell>
        </row>
        <row r="698">
          <cell r="C698" t="str">
            <v>Ridge Cannabis Products</v>
          </cell>
          <cell r="D698" t="str">
            <v>101-320 Iles Way</v>
          </cell>
          <cell r="E698" t="str">
            <v>Tumbler Ridge</v>
          </cell>
        </row>
        <row r="699">
          <cell r="C699" t="str">
            <v>Harbour Cannabis</v>
          </cell>
          <cell r="D699" t="str">
            <v>5 - 250 Main St</v>
          </cell>
          <cell r="E699" t="str">
            <v>Ucluelet</v>
          </cell>
        </row>
        <row r="700">
          <cell r="C700" t="str">
            <v>Robson Valley Cannabis Co.</v>
          </cell>
          <cell r="D700" t="str">
            <v>#20 - 1201 5th Ave</v>
          </cell>
          <cell r="E700" t="str">
            <v>Valemount</v>
          </cell>
        </row>
        <row r="701">
          <cell r="C701" t="str">
            <v>ARCANNABIS STORE</v>
          </cell>
          <cell r="D701" t="str">
            <v>438 Richards Street</v>
          </cell>
          <cell r="E701" t="str">
            <v>Vancouver</v>
          </cell>
          <cell r="F701" t="str">
            <v xml:space="preserve">BC </v>
          </cell>
        </row>
        <row r="702">
          <cell r="C702" t="str">
            <v>Chronic HUB Cannabis</v>
          </cell>
          <cell r="D702" t="str">
            <v>3277 West Broadway</v>
          </cell>
          <cell r="E702" t="str">
            <v>Vancouver</v>
          </cell>
          <cell r="F702" t="str">
            <v xml:space="preserve">BC </v>
          </cell>
        </row>
        <row r="703">
          <cell r="C703" t="str">
            <v>Burb Cannabis</v>
          </cell>
          <cell r="D703" t="str">
            <v>5784 University Blvd.</v>
          </cell>
          <cell r="E703" t="str">
            <v>Vancouver</v>
          </cell>
          <cell r="F703" t="str">
            <v xml:space="preserve">BC </v>
          </cell>
        </row>
        <row r="704">
          <cell r="C704" t="str">
            <v>Team Cannabis</v>
          </cell>
          <cell r="D704" t="str">
            <v>102-950 W. Broadway</v>
          </cell>
          <cell r="E704" t="str">
            <v>Vancouver</v>
          </cell>
          <cell r="F704" t="str">
            <v xml:space="preserve">BC </v>
          </cell>
        </row>
        <row r="705">
          <cell r="C705" t="str">
            <v>Eastside Cannabis</v>
          </cell>
          <cell r="D705" t="str">
            <v>369 Columbia St</v>
          </cell>
          <cell r="E705" t="str">
            <v>Vancouver</v>
          </cell>
        </row>
        <row r="706">
          <cell r="C706" t="str">
            <v>Canna Cabana</v>
          </cell>
          <cell r="D706" t="str">
            <v>1208 Davie Street</v>
          </cell>
          <cell r="E706" t="str">
            <v>Vancouver</v>
          </cell>
          <cell r="F706" t="str">
            <v xml:space="preserve">BC </v>
          </cell>
        </row>
        <row r="707">
          <cell r="C707" t="str">
            <v>Main &amp; 41 St. Cannabis</v>
          </cell>
          <cell r="D707" t="str">
            <v>5707 Main Street</v>
          </cell>
          <cell r="E707" t="str">
            <v>Vancouver</v>
          </cell>
        </row>
        <row r="708">
          <cell r="C708" t="str">
            <v>City Cannabis - Cambie ST</v>
          </cell>
          <cell r="D708" t="str">
            <v>4055 Cambie St</v>
          </cell>
          <cell r="E708" t="str">
            <v>Vancouver</v>
          </cell>
          <cell r="F708" t="str">
            <v xml:space="preserve">BC </v>
          </cell>
        </row>
        <row r="709">
          <cell r="C709" t="str">
            <v>Coastal Green</v>
          </cell>
          <cell r="D709" t="str">
            <v>565 Dunsmuir Street</v>
          </cell>
          <cell r="E709" t="str">
            <v>Vancouver</v>
          </cell>
          <cell r="F709" t="str">
            <v xml:space="preserve">BC </v>
          </cell>
        </row>
        <row r="710">
          <cell r="C710" t="str">
            <v>ARCANNABIS STORE</v>
          </cell>
          <cell r="D710" t="str">
            <v>2267 Kingsway</v>
          </cell>
          <cell r="E710" t="str">
            <v>Vancouver</v>
          </cell>
          <cell r="F710" t="str">
            <v xml:space="preserve">BC </v>
          </cell>
        </row>
        <row r="711">
          <cell r="C711" t="str">
            <v>Village Bloomery Quality Cannabis Quality People</v>
          </cell>
          <cell r="D711" t="str">
            <v>2139 E Hastings St</v>
          </cell>
          <cell r="E711" t="str">
            <v>Vancouver</v>
          </cell>
        </row>
        <row r="712">
          <cell r="C712" t="str">
            <v>Lift Cannabis</v>
          </cell>
          <cell r="D712" t="str">
            <v>2983 Rupert Street</v>
          </cell>
          <cell r="E712" t="str">
            <v>Vancouver</v>
          </cell>
        </row>
        <row r="713">
          <cell r="C713" t="str">
            <v>Kootenay Cannabis</v>
          </cell>
          <cell r="D713" t="str">
            <v>2076 Kingsway</v>
          </cell>
          <cell r="E713" t="str">
            <v>Vancouver</v>
          </cell>
          <cell r="F713" t="str">
            <v xml:space="preserve">BC </v>
          </cell>
        </row>
        <row r="714">
          <cell r="C714" t="str">
            <v>4Twenty Cannabis</v>
          </cell>
          <cell r="D714" t="str">
            <v>1747 Nanaimo Street</v>
          </cell>
          <cell r="E714" t="str">
            <v>Vancouver</v>
          </cell>
          <cell r="F714" t="str">
            <v xml:space="preserve">BC </v>
          </cell>
        </row>
        <row r="715">
          <cell r="C715" t="str">
            <v>Affinity Cannabis Store Inc</v>
          </cell>
          <cell r="D715" t="str">
            <v>5708 Knight Street</v>
          </cell>
          <cell r="E715" t="str">
            <v>Vancouver</v>
          </cell>
          <cell r="F715" t="str">
            <v xml:space="preserve">BC </v>
          </cell>
        </row>
        <row r="716">
          <cell r="C716" t="str">
            <v>Canna Cabana</v>
          </cell>
          <cell r="D716" t="str">
            <v>5628 Dunbar Street</v>
          </cell>
          <cell r="E716" t="str">
            <v>Vancouver</v>
          </cell>
          <cell r="F716" t="str">
            <v xml:space="preserve">BC </v>
          </cell>
        </row>
        <row r="717">
          <cell r="C717" t="str">
            <v>ARCANNABIS STORE</v>
          </cell>
          <cell r="D717" t="str">
            <v>3355 West 4th Avenue</v>
          </cell>
          <cell r="E717" t="str">
            <v>Vancouver</v>
          </cell>
          <cell r="F717" t="str">
            <v xml:space="preserve">BC </v>
          </cell>
        </row>
        <row r="718">
          <cell r="C718" t="str">
            <v>Craft Greenery Cannabis</v>
          </cell>
          <cell r="D718" t="str">
            <v>Unit 101, 3596 Kingsway</v>
          </cell>
          <cell r="E718" t="str">
            <v>Vancouver</v>
          </cell>
          <cell r="F718" t="str">
            <v xml:space="preserve">BC </v>
          </cell>
        </row>
        <row r="719">
          <cell r="C719" t="str">
            <v>Westcanna</v>
          </cell>
          <cell r="D719" t="str">
            <v>1286 Robson Street</v>
          </cell>
          <cell r="E719" t="str">
            <v>Vancouver</v>
          </cell>
          <cell r="F719" t="str">
            <v xml:space="preserve">BC </v>
          </cell>
        </row>
        <row r="720">
          <cell r="C720" t="str">
            <v>Generation Cannabis</v>
          </cell>
          <cell r="D720" t="str">
            <v>609 E Broadway</v>
          </cell>
          <cell r="E720" t="str">
            <v>Vancouver</v>
          </cell>
        </row>
        <row r="721">
          <cell r="C721" t="str">
            <v>Water Street Cannabis</v>
          </cell>
          <cell r="D721" t="str">
            <v>348 Water Street</v>
          </cell>
          <cell r="E721" t="str">
            <v>Vancouver</v>
          </cell>
        </row>
        <row r="722">
          <cell r="C722" t="str">
            <v>Original Farm Cannabis.</v>
          </cell>
          <cell r="D722" t="str">
            <v>1710-1712 W 4th Avenue</v>
          </cell>
          <cell r="E722" t="str">
            <v>Vancouver</v>
          </cell>
        </row>
        <row r="723">
          <cell r="C723" t="str">
            <v>La Canapa Boutique</v>
          </cell>
          <cell r="D723" t="str">
            <v>8002 Granville Street</v>
          </cell>
          <cell r="E723" t="str">
            <v>Vancouver</v>
          </cell>
        </row>
        <row r="724">
          <cell r="C724" t="str">
            <v>Cheeky's Cannabis Merchants</v>
          </cell>
          <cell r="D724" t="str">
            <v>3695 4th Avenue West</v>
          </cell>
          <cell r="E724" t="str">
            <v>Vancouver</v>
          </cell>
          <cell r="F724" t="str">
            <v xml:space="preserve">BC </v>
          </cell>
        </row>
        <row r="725">
          <cell r="C725" t="str">
            <v>Local Cannabis Co.</v>
          </cell>
          <cell r="D725" t="str">
            <v>726 Kingsway</v>
          </cell>
          <cell r="E725" t="str">
            <v>Vancouver</v>
          </cell>
          <cell r="F725" t="str">
            <v xml:space="preserve">BC </v>
          </cell>
        </row>
        <row r="726">
          <cell r="C726" t="str">
            <v>Sea to Sky Cannabis</v>
          </cell>
          <cell r="D726" t="str">
            <v>6636 Fraser Street</v>
          </cell>
          <cell r="E726" t="str">
            <v>Vancouver</v>
          </cell>
        </row>
        <row r="727">
          <cell r="C727" t="str">
            <v>Teddys Little Cannabis Co.</v>
          </cell>
          <cell r="D727" t="str">
            <v>6945 Victoria Drive</v>
          </cell>
          <cell r="E727" t="str">
            <v>Vancouver</v>
          </cell>
        </row>
        <row r="728">
          <cell r="C728" t="str">
            <v>Imagine Cannabis Co</v>
          </cell>
          <cell r="D728" t="str">
            <v>1766 Davie Street</v>
          </cell>
          <cell r="E728" t="str">
            <v>Vancouver</v>
          </cell>
          <cell r="F728" t="str">
            <v xml:space="preserve">BC </v>
          </cell>
        </row>
        <row r="729">
          <cell r="C729" t="str">
            <v>Dutch Love Cannabis</v>
          </cell>
          <cell r="D729" t="str">
            <v>106 - 1120 Hamilton Street</v>
          </cell>
          <cell r="E729" t="str">
            <v>Vancouver</v>
          </cell>
          <cell r="F729" t="str">
            <v xml:space="preserve">BC </v>
          </cell>
        </row>
        <row r="730">
          <cell r="C730" t="str">
            <v>WEEDS Glass &amp; Gifts</v>
          </cell>
          <cell r="D730" t="str">
            <v>2580 Kingsway</v>
          </cell>
          <cell r="E730" t="str">
            <v>Vancouver</v>
          </cell>
          <cell r="F730" t="str">
            <v xml:space="preserve">BC </v>
          </cell>
        </row>
        <row r="731">
          <cell r="C731" t="str">
            <v>Burb Cannabis</v>
          </cell>
          <cell r="D731" t="str">
            <v>1676 10TH AVE E</v>
          </cell>
          <cell r="E731" t="str">
            <v>VANCOUVER</v>
          </cell>
          <cell r="F731" t="str">
            <v xml:space="preserve">BC </v>
          </cell>
        </row>
        <row r="732">
          <cell r="C732" t="str">
            <v>Kingsway Cannabis</v>
          </cell>
          <cell r="D732" t="str">
            <v>2140 Kingsway</v>
          </cell>
          <cell r="E732" t="str">
            <v>Vancouver</v>
          </cell>
        </row>
        <row r="733">
          <cell r="C733" t="str">
            <v>Inspired Cannabis Co</v>
          </cell>
          <cell r="D733" t="str">
            <v>1032 Robson Street</v>
          </cell>
          <cell r="E733" t="str">
            <v>Vancouver</v>
          </cell>
          <cell r="F733" t="str">
            <v xml:space="preserve">BC </v>
          </cell>
        </row>
        <row r="734">
          <cell r="C734" t="str">
            <v>Muse Cannabis</v>
          </cell>
          <cell r="D734" t="str">
            <v>999 Denman Street</v>
          </cell>
          <cell r="E734" t="str">
            <v>Vancouver</v>
          </cell>
          <cell r="F734" t="str">
            <v xml:space="preserve">BC </v>
          </cell>
        </row>
        <row r="735">
          <cell r="C735" t="str">
            <v>Khatsahlano Kannabis</v>
          </cell>
          <cell r="D735" t="str">
            <v>1518 Yew Street</v>
          </cell>
          <cell r="E735" t="str">
            <v>Vancouver</v>
          </cell>
        </row>
        <row r="736">
          <cell r="C736" t="str">
            <v>Dabs on Davie</v>
          </cell>
          <cell r="D736" t="str">
            <v>1674 Davie Street</v>
          </cell>
          <cell r="E736" t="str">
            <v>Vancouver</v>
          </cell>
        </row>
        <row r="737">
          <cell r="C737" t="str">
            <v>ARCANNABIS STORE</v>
          </cell>
          <cell r="D737" t="str">
            <v>1353 East 41st Avenue</v>
          </cell>
          <cell r="E737" t="str">
            <v>Vancouver</v>
          </cell>
          <cell r="F737" t="str">
            <v xml:space="preserve">BC </v>
          </cell>
        </row>
        <row r="738">
          <cell r="C738" t="str">
            <v>Canntina (Nelson)</v>
          </cell>
          <cell r="D738" t="str">
            <v>725 Nelson Street</v>
          </cell>
          <cell r="E738" t="str">
            <v>Vancouver</v>
          </cell>
          <cell r="F738" t="str">
            <v xml:space="preserve">BC </v>
          </cell>
        </row>
        <row r="739">
          <cell r="C739" t="str">
            <v>A Bud Above Craft Boutique</v>
          </cell>
          <cell r="D739" t="str">
            <v>4914 Victoria Drive</v>
          </cell>
          <cell r="E739" t="str">
            <v>Vancouver</v>
          </cell>
        </row>
        <row r="740">
          <cell r="C740" t="str">
            <v>Leisure For Cannabis</v>
          </cell>
          <cell r="D740" t="str">
            <v>3121 W Broadway</v>
          </cell>
          <cell r="E740" t="str">
            <v>Vancouver</v>
          </cell>
        </row>
        <row r="741">
          <cell r="C741" t="str">
            <v>4Twenty Cannabis</v>
          </cell>
          <cell r="D741" t="str">
            <v>3441 Kingsway</v>
          </cell>
          <cell r="E741" t="str">
            <v>Vancouver</v>
          </cell>
          <cell r="F741" t="str">
            <v xml:space="preserve">BC </v>
          </cell>
        </row>
        <row r="742">
          <cell r="C742" t="str">
            <v>La Canapa Boutique Inc.</v>
          </cell>
          <cell r="D742" t="str">
            <v>2549 Main Street</v>
          </cell>
          <cell r="E742" t="str">
            <v>Vancouver</v>
          </cell>
        </row>
        <row r="743">
          <cell r="C743" t="str">
            <v>Inspired Cannabis Co</v>
          </cell>
          <cell r="D743" t="str">
            <v>2976 West Broadway</v>
          </cell>
          <cell r="E743" t="str">
            <v>Vancouver</v>
          </cell>
          <cell r="F743" t="str">
            <v xml:space="preserve">BC </v>
          </cell>
        </row>
        <row r="744">
          <cell r="C744" t="str">
            <v>Inspired Cannabis Co</v>
          </cell>
          <cell r="D744" t="str">
            <v>1710 Robson Street</v>
          </cell>
          <cell r="E744" t="str">
            <v>Vancouver</v>
          </cell>
          <cell r="F744" t="str">
            <v xml:space="preserve">BC </v>
          </cell>
        </row>
        <row r="745">
          <cell r="C745" t="str">
            <v>The Local Leaf Cannabis</v>
          </cell>
          <cell r="D745" t="str">
            <v>4317 Fraser Street</v>
          </cell>
          <cell r="E745" t="str">
            <v>Vancouver</v>
          </cell>
          <cell r="F745" t="str">
            <v xml:space="preserve">BC </v>
          </cell>
        </row>
        <row r="746">
          <cell r="C746" t="str">
            <v>elmwood CANNABIS STORE</v>
          </cell>
          <cell r="D746" t="str">
            <v>3178 Cambie St</v>
          </cell>
          <cell r="E746" t="str">
            <v>Vancouver</v>
          </cell>
        </row>
        <row r="747">
          <cell r="C747" t="str">
            <v>Sunrise Cannabis</v>
          </cell>
          <cell r="D747" t="str">
            <v>2943 Kingsway</v>
          </cell>
          <cell r="E747" t="str">
            <v>Vancouver</v>
          </cell>
          <cell r="F747" t="str">
            <v>BC</v>
          </cell>
        </row>
        <row r="748">
          <cell r="C748" t="str">
            <v>Canna Cabana</v>
          </cell>
          <cell r="D748" t="str">
            <v>1391 Richards Street</v>
          </cell>
          <cell r="E748" t="str">
            <v>Vancouver</v>
          </cell>
          <cell r="F748" t="str">
            <v xml:space="preserve">BC </v>
          </cell>
        </row>
        <row r="749">
          <cell r="C749" t="str">
            <v>Fire &amp; Flower Cannabis Co.</v>
          </cell>
          <cell r="D749" t="str">
            <v>2570 Granville Street</v>
          </cell>
          <cell r="E749" t="str">
            <v>Vancouver</v>
          </cell>
        </row>
        <row r="750">
          <cell r="C750" t="str">
            <v>Trinity Tree Cannabis Co.</v>
          </cell>
          <cell r="D750" t="str">
            <v>4529 10TH AVE W</v>
          </cell>
          <cell r="E750" t="str">
            <v>Vancouver</v>
          </cell>
        </row>
        <row r="751">
          <cell r="C751" t="str">
            <v>Marigolds Cannabis</v>
          </cell>
          <cell r="D751" t="str">
            <v>231 Abbott Street</v>
          </cell>
          <cell r="E751" t="str">
            <v>Vancouver</v>
          </cell>
        </row>
        <row r="752">
          <cell r="C752" t="str">
            <v>Affinity Cannabis Store</v>
          </cell>
          <cell r="D752" t="str">
            <v>5403 Victoria Drive</v>
          </cell>
          <cell r="E752" t="str">
            <v>Vancouver</v>
          </cell>
        </row>
        <row r="753">
          <cell r="C753" t="str">
            <v>ARCANNABIS STORE</v>
          </cell>
          <cell r="D753" t="str">
            <v>1812 W 4TH AVE</v>
          </cell>
          <cell r="E753" t="str">
            <v>Vancouver</v>
          </cell>
          <cell r="F753" t="str">
            <v xml:space="preserve">BC </v>
          </cell>
        </row>
        <row r="754">
          <cell r="C754" t="str">
            <v>Muse Cannabis Store</v>
          </cell>
          <cell r="D754" t="str">
            <v>460 Granville Street</v>
          </cell>
          <cell r="E754" t="str">
            <v>Vancouver</v>
          </cell>
          <cell r="F754" t="str">
            <v xml:space="preserve">BC </v>
          </cell>
        </row>
        <row r="755">
          <cell r="C755" t="str">
            <v>CottonMouth</v>
          </cell>
          <cell r="D755" t="str">
            <v>1120 Davie Street</v>
          </cell>
          <cell r="E755" t="str">
            <v>Vancouver</v>
          </cell>
        </row>
        <row r="756">
          <cell r="C756" t="str">
            <v>Canna Cabana</v>
          </cell>
          <cell r="D756" t="str">
            <v>191 2ND AVENUE W</v>
          </cell>
          <cell r="E756" t="str">
            <v>VANCOUVER</v>
          </cell>
          <cell r="F756" t="str">
            <v xml:space="preserve">BC </v>
          </cell>
        </row>
        <row r="757">
          <cell r="C757" t="str">
            <v>Up in Smoke-Vancover</v>
          </cell>
          <cell r="D757" t="str">
            <v>258 W Broadway</v>
          </cell>
          <cell r="E757" t="str">
            <v>Vancouver</v>
          </cell>
          <cell r="F757" t="str">
            <v xml:space="preserve">BC </v>
          </cell>
        </row>
        <row r="758">
          <cell r="C758" t="str">
            <v>Yaletown Cannabis Store</v>
          </cell>
          <cell r="D758" t="str">
            <v>1078 Mainland Street</v>
          </cell>
          <cell r="E758" t="str">
            <v>Vancouver</v>
          </cell>
        </row>
        <row r="759">
          <cell r="C759" t="str">
            <v>ARCANNABIS STORE</v>
          </cell>
          <cell r="D759" t="str">
            <v>6528 Victoria Dr</v>
          </cell>
          <cell r="E759" t="str">
            <v>Vancouver</v>
          </cell>
          <cell r="F759" t="str">
            <v xml:space="preserve">BC </v>
          </cell>
        </row>
        <row r="760">
          <cell r="C760" t="str">
            <v>VanCity Weed</v>
          </cell>
          <cell r="D760" t="str">
            <v>2223 Commercial Drive</v>
          </cell>
          <cell r="E760" t="str">
            <v>Vancouver</v>
          </cell>
        </row>
        <row r="761">
          <cell r="C761" t="str">
            <v>Kiaro Cannabis</v>
          </cell>
          <cell r="D761" t="str">
            <v>1666 Graveley Street</v>
          </cell>
          <cell r="E761" t="str">
            <v>Vancouver</v>
          </cell>
          <cell r="F761" t="str">
            <v xml:space="preserve">BC </v>
          </cell>
        </row>
        <row r="762">
          <cell r="C762" t="str">
            <v>ARCANNABIS STORE</v>
          </cell>
          <cell r="D762" t="str">
            <v>UNIT 205 - 225 SE Marine Dr</v>
          </cell>
          <cell r="E762" t="str">
            <v>Vancouver</v>
          </cell>
          <cell r="F762" t="str">
            <v xml:space="preserve">BC </v>
          </cell>
        </row>
        <row r="763">
          <cell r="C763" t="str">
            <v>Atheneum Cannabis Corp.</v>
          </cell>
          <cell r="D763" t="str">
            <v>2431 W. 41st Ave</v>
          </cell>
          <cell r="E763" t="str">
            <v>Vancouver</v>
          </cell>
        </row>
        <row r="764">
          <cell r="C764" t="str">
            <v>ARCANNABIS STORE</v>
          </cell>
          <cell r="D764" t="str">
            <v>1290 East 12th Avenue</v>
          </cell>
          <cell r="E764" t="str">
            <v>Vancouver</v>
          </cell>
          <cell r="F764" t="str">
            <v xml:space="preserve">BC </v>
          </cell>
        </row>
        <row r="765">
          <cell r="C765" t="str">
            <v>Value Buds</v>
          </cell>
          <cell r="D765" t="str">
            <v>1952 4th Avenue W</v>
          </cell>
          <cell r="E765" t="str">
            <v>Vancouver</v>
          </cell>
          <cell r="F765" t="str">
            <v xml:space="preserve">BC </v>
          </cell>
        </row>
        <row r="766">
          <cell r="C766" t="str">
            <v>Egg's Canna</v>
          </cell>
          <cell r="D766" t="str">
            <v>2406 East Hastings Street</v>
          </cell>
          <cell r="E766" t="str">
            <v>Vancouver</v>
          </cell>
          <cell r="F766" t="str">
            <v xml:space="preserve">BC </v>
          </cell>
        </row>
        <row r="767">
          <cell r="C767" t="str">
            <v>La Canapa Cannabis Retail</v>
          </cell>
          <cell r="D767" t="str">
            <v>3432 Dunbar St</v>
          </cell>
          <cell r="E767" t="str">
            <v>Vancouver</v>
          </cell>
          <cell r="F767" t="str">
            <v xml:space="preserve">BC </v>
          </cell>
        </row>
        <row r="768">
          <cell r="C768" t="str">
            <v>Quantum 1 Cannabis</v>
          </cell>
          <cell r="D768" t="str">
            <v>5528 Cambie Street</v>
          </cell>
          <cell r="E768" t="str">
            <v>Vancouver</v>
          </cell>
          <cell r="F768" t="str">
            <v xml:space="preserve">BC </v>
          </cell>
        </row>
        <row r="769">
          <cell r="C769" t="str">
            <v>Coastal Green</v>
          </cell>
          <cell r="D769" t="str">
            <v>208 16th Ave E</v>
          </cell>
          <cell r="E769" t="str">
            <v>Vancouver</v>
          </cell>
          <cell r="F769" t="str">
            <v xml:space="preserve">BC </v>
          </cell>
        </row>
        <row r="770">
          <cell r="C770" t="str">
            <v>KushKlub</v>
          </cell>
          <cell r="D770" t="str">
            <v>1735 Commercial Dr.</v>
          </cell>
          <cell r="E770" t="str">
            <v>Vancouver</v>
          </cell>
          <cell r="F770" t="str">
            <v xml:space="preserve">BC </v>
          </cell>
        </row>
        <row r="771">
          <cell r="C771" t="str">
            <v>Canapa Sky</v>
          </cell>
          <cell r="D771" t="str">
            <v>211 16th Ave E</v>
          </cell>
          <cell r="E771" t="str">
            <v>Vancouver</v>
          </cell>
          <cell r="F771" t="str">
            <v xml:space="preserve">BC </v>
          </cell>
        </row>
        <row r="772">
          <cell r="C772" t="str">
            <v>Value Buds</v>
          </cell>
          <cell r="D772" t="str">
            <v>1173 Robson Street</v>
          </cell>
          <cell r="E772" t="str">
            <v>Vancouver</v>
          </cell>
          <cell r="F772" t="str">
            <v xml:space="preserve">BC </v>
          </cell>
        </row>
        <row r="773">
          <cell r="C773" t="str">
            <v>UEM CANNABIS VANCOUVER</v>
          </cell>
          <cell r="D773" t="str">
            <v>1605 Renfrew St</v>
          </cell>
          <cell r="E773" t="str">
            <v>Vancouver</v>
          </cell>
          <cell r="F773" t="str">
            <v xml:space="preserve">BC </v>
          </cell>
        </row>
        <row r="774">
          <cell r="C774" t="str">
            <v>Village Bloomery</v>
          </cell>
          <cell r="D774" t="str">
            <v>1538 W 2nd Ave</v>
          </cell>
          <cell r="E774" t="str">
            <v>Vancouver</v>
          </cell>
          <cell r="F774" t="str">
            <v xml:space="preserve">BC </v>
          </cell>
        </row>
        <row r="775">
          <cell r="C775" t="str">
            <v>City Cannabis Co</v>
          </cell>
          <cell r="D775" t="str">
            <v>2317 Cambie Street</v>
          </cell>
          <cell r="E775" t="str">
            <v>Vancouver</v>
          </cell>
          <cell r="F775" t="str">
            <v xml:space="preserve">BC </v>
          </cell>
        </row>
        <row r="776">
          <cell r="C776" t="str">
            <v>Westcanna</v>
          </cell>
          <cell r="D776" t="str">
            <v>700 Broadway W</v>
          </cell>
          <cell r="E776" t="str">
            <v>Vancouver</v>
          </cell>
          <cell r="F776" t="str">
            <v xml:space="preserve">BC </v>
          </cell>
        </row>
        <row r="777">
          <cell r="C777" t="str">
            <v>THC Canada</v>
          </cell>
          <cell r="D777" t="str">
            <v>6416 Main Street</v>
          </cell>
          <cell r="E777" t="str">
            <v>Vancouver</v>
          </cell>
          <cell r="F777" t="str">
            <v xml:space="preserve">BC </v>
          </cell>
        </row>
        <row r="778">
          <cell r="C778" t="str">
            <v>Muse Cannabis Store</v>
          </cell>
          <cell r="D778" t="str">
            <v>3039 Granville Street</v>
          </cell>
          <cell r="E778" t="str">
            <v>Vancouver</v>
          </cell>
          <cell r="F778" t="str">
            <v xml:space="preserve">BC </v>
          </cell>
        </row>
        <row r="779">
          <cell r="C779" t="str">
            <v>Value Buds</v>
          </cell>
          <cell r="D779" t="str">
            <v>8602 Granville Street</v>
          </cell>
          <cell r="E779" t="str">
            <v>Vancouver</v>
          </cell>
          <cell r="F779" t="str">
            <v xml:space="preserve">BC </v>
          </cell>
        </row>
        <row r="780">
          <cell r="C780" t="str">
            <v>Dutch Love Cannabis</v>
          </cell>
          <cell r="D780" t="str">
            <v>4296 Main Street</v>
          </cell>
          <cell r="E780" t="str">
            <v>Vancouver</v>
          </cell>
          <cell r="F780" t="str">
            <v xml:space="preserve">BC </v>
          </cell>
        </row>
        <row r="781">
          <cell r="C781" t="str">
            <v>City Cannabis Co</v>
          </cell>
          <cell r="D781" t="str">
            <v>651 Robson</v>
          </cell>
          <cell r="E781" t="str">
            <v>Vancouver</v>
          </cell>
          <cell r="F781" t="str">
            <v xml:space="preserve">BC </v>
          </cell>
        </row>
        <row r="782">
          <cell r="C782" t="str">
            <v>Camino Cannabis</v>
          </cell>
          <cell r="D782" t="str">
            <v>7291-7289 Fraser St</v>
          </cell>
          <cell r="E782" t="str">
            <v>Vancouver</v>
          </cell>
        </row>
        <row r="783">
          <cell r="C783" t="str">
            <v>Evergreen Cannabis</v>
          </cell>
          <cell r="D783" t="str">
            <v>2868 4th Ave West</v>
          </cell>
          <cell r="E783" t="str">
            <v>Vancouver</v>
          </cell>
        </row>
        <row r="784">
          <cell r="C784" t="str">
            <v>BC Cannabis Store 7052</v>
          </cell>
          <cell r="D784" t="str">
            <v>2444 Burrard Ave</v>
          </cell>
          <cell r="E784" t="str">
            <v>VANDERHOOF</v>
          </cell>
        </row>
        <row r="785">
          <cell r="C785" t="str">
            <v>Studio Cannabis</v>
          </cell>
          <cell r="D785" t="str">
            <v>3109 30th Ave</v>
          </cell>
          <cell r="E785" t="str">
            <v>Vernon</v>
          </cell>
        </row>
        <row r="786">
          <cell r="C786" t="str">
            <v>Vernon Cannabis Store</v>
          </cell>
          <cell r="D786" t="str">
            <v>200 A 3107 48th Avenue</v>
          </cell>
          <cell r="E786" t="str">
            <v>Vernon</v>
          </cell>
          <cell r="F786" t="str">
            <v xml:space="preserve">BC </v>
          </cell>
        </row>
        <row r="787">
          <cell r="C787" t="str">
            <v>Lucid Cannabis</v>
          </cell>
          <cell r="D787" t="str">
            <v>105D, 3101 Highway 6</v>
          </cell>
          <cell r="E787" t="str">
            <v>Vernon</v>
          </cell>
        </row>
        <row r="788">
          <cell r="C788" t="str">
            <v>Highlander Cannabis</v>
          </cell>
          <cell r="D788" t="str">
            <v>6301 Stickle Rd.</v>
          </cell>
          <cell r="E788" t="str">
            <v>Vernon</v>
          </cell>
        </row>
        <row r="789">
          <cell r="C789" t="str">
            <v>Kalamalka Cannabis</v>
          </cell>
          <cell r="D789" t="str">
            <v>2-1220 Kalamalka Lake Road</v>
          </cell>
          <cell r="E789" t="str">
            <v>Vernon</v>
          </cell>
        </row>
        <row r="790">
          <cell r="C790" t="str">
            <v>Quantum 1 Cannabis</v>
          </cell>
          <cell r="D790" t="str">
            <v>4200 32 St</v>
          </cell>
          <cell r="E790" t="str">
            <v>Vernon</v>
          </cell>
          <cell r="F790" t="str">
            <v xml:space="preserve">BC </v>
          </cell>
        </row>
        <row r="791">
          <cell r="C791" t="str">
            <v>Blended Buds Cannabis</v>
          </cell>
          <cell r="D791" t="str">
            <v>114-5601 Anderson Way</v>
          </cell>
          <cell r="E791" t="str">
            <v>Vernon</v>
          </cell>
        </row>
        <row r="792">
          <cell r="C792" t="str">
            <v>HIVE CANNABIS</v>
          </cell>
          <cell r="D792" t="str">
            <v>3301 30 Avenue</v>
          </cell>
          <cell r="E792" t="str">
            <v>Vernon</v>
          </cell>
          <cell r="F792" t="str">
            <v xml:space="preserve">BC </v>
          </cell>
        </row>
        <row r="793">
          <cell r="C793" t="str">
            <v>Vernon Cannabis Store</v>
          </cell>
          <cell r="D793" t="str">
            <v>3004 31st St</v>
          </cell>
          <cell r="E793" t="str">
            <v>Vernon</v>
          </cell>
          <cell r="F793" t="str">
            <v xml:space="preserve">BC </v>
          </cell>
        </row>
        <row r="794">
          <cell r="C794" t="str">
            <v>Vernon Cannabis Store</v>
          </cell>
          <cell r="D794" t="str">
            <v>106-4412 27 Street</v>
          </cell>
          <cell r="E794" t="str">
            <v>Vernon</v>
          </cell>
          <cell r="F794" t="str">
            <v xml:space="preserve">BC </v>
          </cell>
        </row>
        <row r="795">
          <cell r="C795" t="str">
            <v>Vernon Cannabis Store</v>
          </cell>
          <cell r="D795" t="str">
            <v>2813A 35 Street</v>
          </cell>
          <cell r="E795" t="str">
            <v>Vernon</v>
          </cell>
          <cell r="F795" t="str">
            <v xml:space="preserve">BC </v>
          </cell>
        </row>
        <row r="796">
          <cell r="C796" t="str">
            <v>Flora Cannabis</v>
          </cell>
          <cell r="D796" t="str">
            <v>107-5301 25 Avenue</v>
          </cell>
          <cell r="E796" t="str">
            <v>Vernon</v>
          </cell>
          <cell r="F796" t="str">
            <v xml:space="preserve">BC </v>
          </cell>
        </row>
        <row r="797">
          <cell r="C797" t="str">
            <v>The Greenhorn</v>
          </cell>
          <cell r="D797" t="str">
            <v>2-4513 25 Ave</v>
          </cell>
          <cell r="E797" t="str">
            <v>Vernon</v>
          </cell>
        </row>
        <row r="798">
          <cell r="C798" t="str">
            <v>Spiritleaf</v>
          </cell>
          <cell r="D798" t="str">
            <v>102-2500 53 Ave</v>
          </cell>
          <cell r="E798" t="str">
            <v>Vernon</v>
          </cell>
          <cell r="F798" t="str">
            <v xml:space="preserve">BC </v>
          </cell>
        </row>
        <row r="799">
          <cell r="C799" t="str">
            <v>BC Cannabis Store 7039</v>
          </cell>
          <cell r="D799" t="str">
            <v>300A - 2401 58 Avenue</v>
          </cell>
          <cell r="E799" t="str">
            <v>Vernon</v>
          </cell>
        </row>
        <row r="800">
          <cell r="C800" t="str">
            <v>Victoria Cannabis Company Farmgate</v>
          </cell>
          <cell r="D800" t="str">
            <v>340 Mary Street</v>
          </cell>
          <cell r="E800" t="str">
            <v>Victoria</v>
          </cell>
        </row>
        <row r="801">
          <cell r="C801" t="str">
            <v>Burb Cannabis</v>
          </cell>
          <cell r="D801" t="str">
            <v>568 Yates St.</v>
          </cell>
          <cell r="E801" t="str">
            <v>Victoria</v>
          </cell>
          <cell r="F801" t="str">
            <v xml:space="preserve">BC </v>
          </cell>
        </row>
        <row r="802">
          <cell r="C802" t="str">
            <v>Opal Cannabis</v>
          </cell>
          <cell r="D802" t="str">
            <v>107-797 Goldstream Avenue</v>
          </cell>
          <cell r="E802" t="str">
            <v>Victoria</v>
          </cell>
        </row>
        <row r="803">
          <cell r="C803" t="str">
            <v>Rise Cannabis Colwood Corners</v>
          </cell>
          <cell r="D803" t="str">
            <v>Unit 2 - 1905 Sooke Road</v>
          </cell>
          <cell r="E803" t="str">
            <v>Victoria</v>
          </cell>
        </row>
        <row r="804">
          <cell r="C804" t="str">
            <v>Pacificanna</v>
          </cell>
          <cell r="D804" t="str">
            <v>#7-425 Simcoe Street</v>
          </cell>
          <cell r="E804" t="str">
            <v>Victoria</v>
          </cell>
          <cell r="F804" t="str">
            <v xml:space="preserve">BC </v>
          </cell>
        </row>
        <row r="805">
          <cell r="C805" t="str">
            <v>Fernwood Green</v>
          </cell>
          <cell r="D805" t="str">
            <v>1-1725 Cook St.</v>
          </cell>
          <cell r="E805" t="str">
            <v>Victoria</v>
          </cell>
        </row>
        <row r="806">
          <cell r="C806" t="str">
            <v>Rock Bay Cannabis</v>
          </cell>
          <cell r="D806" t="str">
            <v>2622 Douglas Street</v>
          </cell>
          <cell r="E806" t="str">
            <v>Victoria</v>
          </cell>
        </row>
        <row r="807">
          <cell r="C807" t="str">
            <v>Seed and Stone</v>
          </cell>
          <cell r="D807" t="str">
            <v>1150 Douglas St</v>
          </cell>
          <cell r="E807" t="str">
            <v>Victoria</v>
          </cell>
          <cell r="F807" t="str">
            <v xml:space="preserve">BC </v>
          </cell>
        </row>
        <row r="808">
          <cell r="C808" t="str">
            <v>Pacificanna</v>
          </cell>
          <cell r="D808" t="str">
            <v>1881 Fort Street</v>
          </cell>
          <cell r="E808" t="str">
            <v>Victoria</v>
          </cell>
          <cell r="F808" t="str">
            <v xml:space="preserve">BC </v>
          </cell>
        </row>
        <row r="809">
          <cell r="C809" t="str">
            <v>Songhees Cannabis Store</v>
          </cell>
          <cell r="D809" t="str">
            <v>1502 Admirals Road</v>
          </cell>
          <cell r="E809" t="str">
            <v>Victoria</v>
          </cell>
        </row>
        <row r="810">
          <cell r="C810" t="str">
            <v>Trees Cannabis</v>
          </cell>
          <cell r="D810" t="str">
            <v>103 - 230 Cook Street</v>
          </cell>
          <cell r="E810" t="str">
            <v>Victoria</v>
          </cell>
          <cell r="F810" t="str">
            <v xml:space="preserve">BC </v>
          </cell>
        </row>
        <row r="811">
          <cell r="C811" t="str">
            <v>Cloud Nine Cannabis</v>
          </cell>
          <cell r="D811" t="str">
            <v>28 - 3605 Shelbourne St</v>
          </cell>
          <cell r="E811" t="str">
            <v>Victoria</v>
          </cell>
        </row>
        <row r="812">
          <cell r="C812" t="str">
            <v>Costa Canna</v>
          </cell>
          <cell r="D812" t="str">
            <v>4-4144 Wilkinson Rd</v>
          </cell>
          <cell r="E812" t="str">
            <v>Victoria</v>
          </cell>
          <cell r="F812" t="str">
            <v xml:space="preserve">BC </v>
          </cell>
        </row>
        <row r="813">
          <cell r="C813" t="str">
            <v>Costa Canna</v>
          </cell>
          <cell r="D813" t="str">
            <v>202-310 Wale rd.</v>
          </cell>
          <cell r="E813" t="str">
            <v>Victoria</v>
          </cell>
          <cell r="F813" t="str">
            <v xml:space="preserve">BC </v>
          </cell>
        </row>
        <row r="814">
          <cell r="C814" t="str">
            <v>Honeycomb Cannabis</v>
          </cell>
          <cell r="D814" t="str">
            <v>2317 Millstream Road</v>
          </cell>
          <cell r="E814" t="str">
            <v>Victoria</v>
          </cell>
        </row>
        <row r="815">
          <cell r="C815" t="str">
            <v>Village Bloomery</v>
          </cell>
          <cell r="D815" t="str">
            <v>1010 Cook Street</v>
          </cell>
          <cell r="E815" t="str">
            <v>Victoria</v>
          </cell>
          <cell r="F815" t="str">
            <v xml:space="preserve">BC </v>
          </cell>
        </row>
        <row r="816">
          <cell r="C816" t="str">
            <v>Flight Cannabis Co.</v>
          </cell>
          <cell r="D816" t="str">
            <v>101 - 977 Langford Parkway</v>
          </cell>
          <cell r="E816" t="str">
            <v>Victoria</v>
          </cell>
          <cell r="F816" t="str">
            <v xml:space="preserve">BC </v>
          </cell>
        </row>
        <row r="817">
          <cell r="C817" t="str">
            <v>BURNSIDE CANNABIS</v>
          </cell>
          <cell r="D817" t="str">
            <v>3175 Harriet Rd</v>
          </cell>
          <cell r="E817" t="str">
            <v>Victoria</v>
          </cell>
        </row>
        <row r="818">
          <cell r="C818" t="str">
            <v>Rise Cannabis</v>
          </cell>
          <cell r="D818" t="str">
            <v>103 - 1505 Admirals Road</v>
          </cell>
          <cell r="E818" t="str">
            <v>Victoria</v>
          </cell>
        </row>
        <row r="819">
          <cell r="C819" t="str">
            <v>Pacificanna</v>
          </cell>
          <cell r="D819" t="str">
            <v>1560-1564 Fairfield Rd</v>
          </cell>
          <cell r="E819" t="str">
            <v>Victoria</v>
          </cell>
          <cell r="F819" t="str">
            <v xml:space="preserve">BC </v>
          </cell>
        </row>
        <row r="820">
          <cell r="C820" t="str">
            <v>Alternative Aromatics</v>
          </cell>
          <cell r="D820" t="str">
            <v>2641 Quadra St</v>
          </cell>
          <cell r="E820" t="str">
            <v>Victoria</v>
          </cell>
        </row>
        <row r="821">
          <cell r="C821" t="str">
            <v>Kiaro</v>
          </cell>
          <cell r="D821" t="str">
            <v>475 Gorge Road East</v>
          </cell>
          <cell r="E821" t="str">
            <v>Victoria</v>
          </cell>
        </row>
        <row r="822">
          <cell r="C822" t="str">
            <v>Pineapple Victoria</v>
          </cell>
          <cell r="D822" t="str">
            <v>608 Esquimalt Road</v>
          </cell>
          <cell r="E822" t="str">
            <v>Victoria</v>
          </cell>
        </row>
        <row r="823">
          <cell r="C823" t="str">
            <v>High5 Cannabis</v>
          </cell>
          <cell r="D823" t="str">
            <v>732 Tyee Rd</v>
          </cell>
          <cell r="E823" t="str">
            <v>Victoria</v>
          </cell>
          <cell r="F823" t="str">
            <v xml:space="preserve">BC </v>
          </cell>
        </row>
        <row r="824">
          <cell r="C824" t="str">
            <v>Clarity Cannabis</v>
          </cell>
          <cell r="D824" t="str">
            <v>850 Johnson Street</v>
          </cell>
          <cell r="E824" t="str">
            <v>Victoria</v>
          </cell>
          <cell r="F824" t="str">
            <v xml:space="preserve">BC </v>
          </cell>
        </row>
        <row r="825">
          <cell r="C825" t="str">
            <v>Clarity Cannabis</v>
          </cell>
          <cell r="D825" t="str">
            <v>1-603 Gorge Road East</v>
          </cell>
          <cell r="E825" t="str">
            <v>Victoria</v>
          </cell>
          <cell r="F825" t="str">
            <v xml:space="preserve">BC </v>
          </cell>
        </row>
        <row r="826">
          <cell r="C826" t="str">
            <v>The Original FARM</v>
          </cell>
          <cell r="D826" t="str">
            <v>3055A Scott St</v>
          </cell>
          <cell r="E826" t="str">
            <v>Victoria</v>
          </cell>
          <cell r="F826" t="str">
            <v xml:space="preserve">BC </v>
          </cell>
        </row>
        <row r="827">
          <cell r="C827" t="str">
            <v>The Original FARM</v>
          </cell>
          <cell r="D827" t="str">
            <v>1402 Douglas St</v>
          </cell>
          <cell r="E827" t="str">
            <v>Victoria</v>
          </cell>
          <cell r="F827" t="str">
            <v xml:space="preserve">BC </v>
          </cell>
        </row>
        <row r="828">
          <cell r="C828" t="str">
            <v>Cloud Nine Collective</v>
          </cell>
          <cell r="D828" t="str">
            <v>778 Fort St</v>
          </cell>
          <cell r="E828" t="str">
            <v>Victoria</v>
          </cell>
        </row>
        <row r="829">
          <cell r="C829" t="str">
            <v>BC Cannabis Store 7060</v>
          </cell>
          <cell r="D829" t="str">
            <v>Unit E-109 3561 Blanshard Street</v>
          </cell>
          <cell r="E829" t="str">
            <v>Victoria</v>
          </cell>
        </row>
        <row r="830">
          <cell r="C830" t="str">
            <v>Rise Cannabis Tillicum</v>
          </cell>
          <cell r="D830" t="str">
            <v>88 - 3170 Tillicum Road</v>
          </cell>
          <cell r="E830" t="str">
            <v xml:space="preserve">Victoria </v>
          </cell>
        </row>
        <row r="831">
          <cell r="C831" t="str">
            <v>Spiritleaf (West Kelowna)</v>
          </cell>
          <cell r="D831" t="str">
            <v>104-1195 Industrial Rd</v>
          </cell>
          <cell r="E831" t="str">
            <v>West Kelowna</v>
          </cell>
        </row>
        <row r="832">
          <cell r="C832" t="str">
            <v>Cheeba Cheebas</v>
          </cell>
          <cell r="D832" t="str">
            <v>1-1812 Byland road</v>
          </cell>
          <cell r="E832" t="str">
            <v>West Kelowna</v>
          </cell>
          <cell r="F832" t="str">
            <v xml:space="preserve">BC </v>
          </cell>
        </row>
        <row r="833">
          <cell r="C833" t="str">
            <v>Flora Cannabis</v>
          </cell>
          <cell r="D833" t="str">
            <v>201-3710 Hoskins Road</v>
          </cell>
          <cell r="E833" t="str">
            <v>West Kelowna</v>
          </cell>
          <cell r="F833" t="str">
            <v xml:space="preserve">BC </v>
          </cell>
        </row>
        <row r="834">
          <cell r="C834" t="str">
            <v>Prime Cannabis</v>
          </cell>
          <cell r="D834" t="str">
            <v>14-2528 Main Street</v>
          </cell>
          <cell r="E834" t="str">
            <v>West Kelowna</v>
          </cell>
          <cell r="F834" t="str">
            <v xml:space="preserve">BC </v>
          </cell>
        </row>
        <row r="835">
          <cell r="C835" t="str">
            <v>Skye Cannabis Co.</v>
          </cell>
          <cell r="D835" t="str">
            <v>1192 Industrial Road</v>
          </cell>
          <cell r="E835" t="str">
            <v>West Kelowna</v>
          </cell>
          <cell r="F835" t="str">
            <v xml:space="preserve">BC </v>
          </cell>
        </row>
        <row r="836">
          <cell r="C836" t="str">
            <v>Happy Isle Cannabis</v>
          </cell>
          <cell r="D836" t="str">
            <v>6609 Royal Ave, Horseshoe Bay</v>
          </cell>
          <cell r="E836" t="str">
            <v>West Vancouver</v>
          </cell>
          <cell r="F836" t="str">
            <v xml:space="preserve">BC </v>
          </cell>
        </row>
        <row r="837">
          <cell r="C837" t="str">
            <v>Avenue Cannabis</v>
          </cell>
          <cell r="D837" t="str">
            <v>1453 Bellevue Ave</v>
          </cell>
          <cell r="E837" t="str">
            <v>West Vancouver</v>
          </cell>
          <cell r="F837" t="str">
            <v xml:space="preserve">BC </v>
          </cell>
        </row>
        <row r="838">
          <cell r="C838" t="str">
            <v>Father Nature's Gifts</v>
          </cell>
          <cell r="D838" t="str">
            <v>8432B Trans Canada Highway</v>
          </cell>
          <cell r="E838" t="str">
            <v>Westholme</v>
          </cell>
          <cell r="F838" t="str">
            <v xml:space="preserve">BC </v>
          </cell>
        </row>
        <row r="839">
          <cell r="C839" t="str">
            <v>A Little Bud</v>
          </cell>
          <cell r="D839" t="str">
            <v>Unit 1 1050 Millar Creek Rd</v>
          </cell>
          <cell r="E839" t="str">
            <v>Whistler</v>
          </cell>
          <cell r="F839" t="str">
            <v xml:space="preserve">BC </v>
          </cell>
        </row>
        <row r="840">
          <cell r="C840" t="str">
            <v>Spiritleaf Whistler</v>
          </cell>
          <cell r="D840" t="str">
            <v>Unit #103, 2011 Innsbruck Drive</v>
          </cell>
          <cell r="E840" t="str">
            <v>Whistler</v>
          </cell>
          <cell r="F840" t="str">
            <v xml:space="preserve">BC </v>
          </cell>
        </row>
        <row r="841">
          <cell r="C841" t="str">
            <v>This Is Cannabis</v>
          </cell>
          <cell r="D841" t="str">
            <v>201-4293 Mountain Square</v>
          </cell>
          <cell r="E841" t="str">
            <v>Whistler</v>
          </cell>
          <cell r="F841" t="str">
            <v xml:space="preserve">BC </v>
          </cell>
        </row>
        <row r="842">
          <cell r="C842" t="str">
            <v>A Little Bud</v>
          </cell>
          <cell r="D842" t="str">
            <v>1484 Johnston Rd</v>
          </cell>
          <cell r="E842" t="str">
            <v>White Rock</v>
          </cell>
          <cell r="F842" t="str">
            <v xml:space="preserve">BC </v>
          </cell>
        </row>
        <row r="843">
          <cell r="C843" t="str">
            <v>Unity Cannabis</v>
          </cell>
          <cell r="D843" t="str">
            <v>1145 South, MacKenzie Ave.</v>
          </cell>
          <cell r="E843" t="str">
            <v>Williams Lake</v>
          </cell>
        </row>
        <row r="844">
          <cell r="C844" t="str">
            <v>Daily Stash Cannabis</v>
          </cell>
          <cell r="D844" t="str">
            <v>250 Mackenzie Ave South</v>
          </cell>
          <cell r="E844" t="str">
            <v>Williams Lake</v>
          </cell>
        </row>
        <row r="845">
          <cell r="C845" t="str">
            <v>Marlee's Den</v>
          </cell>
          <cell r="D845" t="str">
            <v>68 Broadway Ave N</v>
          </cell>
          <cell r="E845" t="str">
            <v>Williams Lake</v>
          </cell>
          <cell r="F845" t="str">
            <v xml:space="preserve">BC </v>
          </cell>
        </row>
        <row r="846">
          <cell r="C846" t="str">
            <v>Pacificanna</v>
          </cell>
          <cell r="D846" t="str">
            <v>3015 Mackenzie Avenue N</v>
          </cell>
          <cell r="E846" t="str">
            <v>Williams Lake</v>
          </cell>
          <cell r="F846" t="str">
            <v xml:space="preserve">BC </v>
          </cell>
        </row>
        <row r="847">
          <cell r="C847" t="str">
            <v>BC Cannabis Store 7030</v>
          </cell>
          <cell r="D847" t="str">
            <v>130 – 850 Oliver Street</v>
          </cell>
          <cell r="E847" t="str">
            <v>WILLIAMS LAKE</v>
          </cell>
        </row>
        <row r="848">
          <cell r="C848" t="str">
            <v>Abby Leaf Inc</v>
          </cell>
        </row>
        <row r="849">
          <cell r="C849" t="str">
            <v>Fire &amp; Flower Cannabis Co - PORTAGE AVE</v>
          </cell>
          <cell r="D849" t="str">
            <v>UNIT 1, 330 PORTAGE AVE</v>
          </cell>
          <cell r="E849" t="str">
            <v>WINNIPEG</v>
          </cell>
          <cell r="F849" t="str">
            <v>MB</v>
          </cell>
        </row>
        <row r="850">
          <cell r="C850" t="str">
            <v>META CANNABIS SUPPLY CO-OTINEKA MALL</v>
          </cell>
          <cell r="D850" t="str">
            <v>UNIT 128, OTINEKA MALL HIGHWAY 10 NORTH</v>
          </cell>
          <cell r="E850" t="str">
            <v>OPASKWAYAK</v>
          </cell>
          <cell r="F850" t="str">
            <v>MB</v>
          </cell>
        </row>
        <row r="851">
          <cell r="C851" t="str">
            <v>META CANNABIS SUPPLY CO-CREE ROAD</v>
          </cell>
          <cell r="D851" t="str">
            <v>58 CREE ROAD</v>
          </cell>
          <cell r="E851" t="str">
            <v>THOMPSON</v>
          </cell>
          <cell r="F851" t="str">
            <v>MB</v>
          </cell>
        </row>
        <row r="852">
          <cell r="C852" t="str">
            <v>CANNA CABANA-NORTH RAILWAY</v>
          </cell>
          <cell r="D852" t="str">
            <v>300A NORTH RAILWAY</v>
          </cell>
          <cell r="E852" t="str">
            <v>MORDEN</v>
          </cell>
          <cell r="F852" t="str">
            <v>MB</v>
          </cell>
        </row>
        <row r="853">
          <cell r="C853" t="str">
            <v>CANNA CABANA-GRANT AVE</v>
          </cell>
          <cell r="D853" t="str">
            <v>1881 GRANT AVE</v>
          </cell>
          <cell r="E853" t="str">
            <v>WINNIPEG</v>
          </cell>
          <cell r="F853" t="str">
            <v>MB</v>
          </cell>
        </row>
        <row r="854">
          <cell r="C854" t="str">
            <v>CANNA CABANA-PORTAGE AVE</v>
          </cell>
          <cell r="D854" t="str">
            <v>UNIT 2-2145 PORTAGE AVENUE</v>
          </cell>
          <cell r="E854" t="str">
            <v>WINNIPEG</v>
          </cell>
          <cell r="F854" t="str">
            <v>MB</v>
          </cell>
        </row>
        <row r="855">
          <cell r="C855" t="str">
            <v>CANNA CABANA-ST. MARY'S ROAD</v>
          </cell>
          <cell r="D855" t="str">
            <v>UNIT 51, 1225 ST. MARY'S ROAD</v>
          </cell>
          <cell r="E855" t="str">
            <v>WINNIPEG</v>
          </cell>
          <cell r="F855" t="str">
            <v>MB</v>
          </cell>
        </row>
        <row r="856">
          <cell r="C856" t="str">
            <v>CANNA CABANA-SELKIRK</v>
          </cell>
          <cell r="D856" t="str">
            <v>102-366 MAIN ST</v>
          </cell>
          <cell r="E856" t="str">
            <v>SELKIRK</v>
          </cell>
          <cell r="F856" t="str">
            <v>MB</v>
          </cell>
        </row>
        <row r="857">
          <cell r="C857" t="str">
            <v>CANNA CABANA-PEMBINA SOUTH</v>
          </cell>
          <cell r="D857" t="str">
            <v>50&amp;60-2589 PEMBINA HWY</v>
          </cell>
          <cell r="E857" t="str">
            <v>WINNIPEG</v>
          </cell>
          <cell r="F857" t="str">
            <v>MB</v>
          </cell>
        </row>
        <row r="858">
          <cell r="C858" t="str">
            <v>CANNA CABANA-PEMBINA NORTH</v>
          </cell>
          <cell r="D858" t="str">
            <v>23-584 PEMBINA HIGHWAY</v>
          </cell>
          <cell r="E858" t="str">
            <v>WINNIPEG</v>
          </cell>
          <cell r="F858" t="str">
            <v>MB</v>
          </cell>
        </row>
        <row r="859">
          <cell r="C859" t="str">
            <v>PRAIRIE TRICHOMES-KILLARNEY</v>
          </cell>
          <cell r="D859" t="str">
            <v>543 Broadway Ave</v>
          </cell>
          <cell r="E859" t="str">
            <v>KILLARY</v>
          </cell>
          <cell r="F859" t="str">
            <v>MB</v>
          </cell>
        </row>
        <row r="860">
          <cell r="C860" t="str">
            <v>TOKYO SMOKE-VERENDRYE BLVD</v>
          </cell>
          <cell r="D860" t="str">
            <v>UNIT A-195 LA VERENDRYE BLVD</v>
          </cell>
          <cell r="E860" t="str">
            <v>MORDEN</v>
          </cell>
          <cell r="F860" t="str">
            <v>MB</v>
          </cell>
        </row>
        <row r="861">
          <cell r="C861" t="str">
            <v>FIRE &amp; FLOWER CANNABIS CO-SWAN RIVER</v>
          </cell>
          <cell r="D861" t="str">
            <v>526 Main ST</v>
          </cell>
          <cell r="E861" t="str">
            <v xml:space="preserve">SWAN RIVER </v>
          </cell>
          <cell r="F861" t="str">
            <v>MB</v>
          </cell>
        </row>
        <row r="862">
          <cell r="C862" t="str">
            <v>FIRE &amp; FLOWER CANNABIS CO-ST.ANNES</v>
          </cell>
          <cell r="D862" t="str">
            <v>UNIT K, 730 ST. ANNES ROAD</v>
          </cell>
          <cell r="E862" t="str">
            <v>WINNIPEG</v>
          </cell>
          <cell r="F862" t="str">
            <v>MB</v>
          </cell>
        </row>
        <row r="863">
          <cell r="C863" t="str">
            <v>FIRE &amp; FLOWER CANNABIS CO-SELKIRK</v>
          </cell>
          <cell r="D863" t="str">
            <v>UNIT 15-1014 MANITOBA AVE</v>
          </cell>
          <cell r="E863" t="str">
            <v>SELKIRK</v>
          </cell>
          <cell r="F863" t="str">
            <v>MB</v>
          </cell>
        </row>
        <row r="864">
          <cell r="C864" t="str">
            <v>FIRE &amp; FLOWER CANNABIS CO-PLESSIS</v>
          </cell>
          <cell r="D864" t="str">
            <v>UNIT 3, 1460 PLESSIS ROAD</v>
          </cell>
          <cell r="E864" t="str">
            <v>WINNIPEG</v>
          </cell>
          <cell r="F864" t="str">
            <v>MB</v>
          </cell>
        </row>
        <row r="865">
          <cell r="C865" t="str">
            <v>FIRE &amp; FLOWER CANNABIS CO-PLP</v>
          </cell>
          <cell r="D865" t="str">
            <v>5B-2352 SISSONS DR</v>
          </cell>
          <cell r="E865" t="str">
            <v>PORTAGE LA PRAIRIE</v>
          </cell>
          <cell r="F865" t="str">
            <v>MB</v>
          </cell>
        </row>
        <row r="866">
          <cell r="C866" t="str">
            <v>CANNA CABANA-BRANDON</v>
          </cell>
          <cell r="D866" t="str">
            <v>4-930 18TH ST</v>
          </cell>
          <cell r="E866" t="str">
            <v xml:space="preserve">BRANDON </v>
          </cell>
          <cell r="F866" t="str">
            <v>MB</v>
          </cell>
        </row>
        <row r="867">
          <cell r="C867" t="str">
            <v>THE VAULT CANNABIS LTD-ARBORG</v>
          </cell>
          <cell r="D867" t="str">
            <v>UNIT 12A, 145 SUNSET BLVD</v>
          </cell>
          <cell r="E867" t="str">
            <v xml:space="preserve">ARBORG </v>
          </cell>
          <cell r="F867" t="str">
            <v>MB</v>
          </cell>
        </row>
        <row r="868">
          <cell r="C868" t="str">
            <v>OPEN FIELD DISTRIBUTION-SK</v>
          </cell>
          <cell r="D868" t="str">
            <v>807 60th ST E</v>
          </cell>
          <cell r="E868" t="str">
            <v>SASKATOON</v>
          </cell>
          <cell r="F868" t="str">
            <v>SK</v>
          </cell>
        </row>
        <row r="869">
          <cell r="C869" t="str">
            <v>BUD-EES DISPENSARY</v>
          </cell>
          <cell r="D869" t="str">
            <v>LOT 8&amp;9 (LOT40/42) MAIN ST</v>
          </cell>
          <cell r="E869" t="str">
            <v>HODGSON</v>
          </cell>
          <cell r="F869" t="str">
            <v>MB</v>
          </cell>
        </row>
        <row r="870">
          <cell r="C870" t="str">
            <v>OVERLAND WEST CO NTLCC</v>
          </cell>
          <cell r="D870" t="str">
            <v>25535-111 AVE</v>
          </cell>
          <cell r="E870" t="str">
            <v>ACHESON</v>
          </cell>
          <cell r="F870" t="str">
            <v>AB</v>
          </cell>
        </row>
        <row r="871">
          <cell r="C871" t="str">
            <v>ELEVATE WELLNESS INC</v>
          </cell>
          <cell r="D871" t="str">
            <v xml:space="preserve">106-1772 Broadway St </v>
          </cell>
          <cell r="E871" t="str">
            <v>PORT COQUITLAM</v>
          </cell>
          <cell r="F871" t="str">
            <v>AB</v>
          </cell>
        </row>
        <row r="872">
          <cell r="C872" t="str">
            <v>LEGACY SUPPLY CHAIN</v>
          </cell>
          <cell r="D872" t="str">
            <v>20 GRANITE RIDGE RD</v>
          </cell>
          <cell r="E872" t="str">
            <v>CONCORD</v>
          </cell>
          <cell r="F872" t="str">
            <v>ON</v>
          </cell>
        </row>
        <row r="873">
          <cell r="C873" t="str">
            <v>Cheeky's Cannabis Merchants-Kitsilano</v>
          </cell>
          <cell r="D873" t="str">
            <v>3695 W 4TH AVENUE</v>
          </cell>
          <cell r="E873" t="str">
            <v>Vancouver</v>
          </cell>
          <cell r="F873" t="str">
            <v xml:space="preserve">BC </v>
          </cell>
        </row>
        <row r="874">
          <cell r="C874" t="str">
            <v>INTERLAKE SMOKE-TEULON</v>
          </cell>
          <cell r="D874" t="str">
            <v>8156 E PR 415&amp; HWY7</v>
          </cell>
          <cell r="E874" t="str">
            <v>TEULON</v>
          </cell>
          <cell r="F874" t="str">
            <v>MB</v>
          </cell>
        </row>
        <row r="875">
          <cell r="C875" t="str">
            <v>THE 59ER</v>
          </cell>
          <cell r="D875" t="str">
            <v xml:space="preserve">847 DUNNING ROAD EAST </v>
          </cell>
          <cell r="E875" t="str">
            <v xml:space="preserve">WEST PINE RIDGE </v>
          </cell>
          <cell r="F875" t="str">
            <v>MB</v>
          </cell>
        </row>
        <row r="876">
          <cell r="C876" t="str">
            <v>Squamish Cannabis Ltd</v>
          </cell>
          <cell r="D876" t="str">
            <v>38243 Cleveland Ave, PO Box 276</v>
          </cell>
          <cell r="E876" t="str">
            <v>Squamish</v>
          </cell>
          <cell r="F876" t="str">
            <v xml:space="preserve">BC </v>
          </cell>
        </row>
        <row r="877">
          <cell r="C877" t="str">
            <v>NTLCC c/o Buffalo</v>
          </cell>
          <cell r="D877" t="str">
            <v>15204-131 ave</v>
          </cell>
          <cell r="E877" t="str">
            <v>Edmonton</v>
          </cell>
          <cell r="F877" t="str">
            <v>AB</v>
          </cell>
        </row>
        <row r="878">
          <cell r="C878" t="str">
            <v>Cheeky's Cannabis Merchants-Mission</v>
          </cell>
          <cell r="D878" t="str">
            <v>7160 OLIVER ST</v>
          </cell>
          <cell r="E878" t="str">
            <v>Mission</v>
          </cell>
          <cell r="F878" t="str">
            <v xml:space="preserve">BC </v>
          </cell>
        </row>
        <row r="879">
          <cell r="C879" t="str">
            <v>THC Whistler</v>
          </cell>
          <cell r="D879" t="str">
            <v>Unit 115, 4368 Main st</v>
          </cell>
          <cell r="E879" t="str">
            <v>Whistler</v>
          </cell>
          <cell r="F879" t="str">
            <v xml:space="preserve">BC </v>
          </cell>
        </row>
        <row r="880">
          <cell r="C880" t="str">
            <v>prairie cannabis 22nd street ltd</v>
          </cell>
          <cell r="D880" t="str">
            <v>4-604 22nd Street West</v>
          </cell>
          <cell r="E880" t="str">
            <v>SASKATOON</v>
          </cell>
          <cell r="F880" t="str">
            <v>SK</v>
          </cell>
        </row>
        <row r="881">
          <cell r="C881" t="str">
            <v>CANNA CABANA - PEMBINA NORTH</v>
          </cell>
          <cell r="D881" t="str">
            <v>23-584 PEMBINA HIGHWAY</v>
          </cell>
          <cell r="E881" t="str">
            <v>WINNIPEG</v>
          </cell>
          <cell r="F881" t="str">
            <v>MB</v>
          </cell>
        </row>
        <row r="882">
          <cell r="C882" t="str">
            <v>see po</v>
          </cell>
          <cell r="D882" t="str">
            <v>see po</v>
          </cell>
          <cell r="E882" t="str">
            <v>see po</v>
          </cell>
          <cell r="F882" t="str">
            <v>see po</v>
          </cell>
        </row>
        <row r="883">
          <cell r="C883" t="str">
            <v>RURAL BUDS CANNABIS SHOP - ST. PIERRE</v>
          </cell>
          <cell r="D883" t="str">
            <v>1-530 SABOURIN ST</v>
          </cell>
          <cell r="E883" t="str">
            <v>ST. PIERRE-JOLYS</v>
          </cell>
          <cell r="F883" t="str">
            <v>MB</v>
          </cell>
        </row>
        <row r="884">
          <cell r="C884" t="str">
            <v>KILDARE STOP &amp; SHOP</v>
          </cell>
          <cell r="D884" t="str">
            <v>UNIT 1-630 KILDARE AVE EAST</v>
          </cell>
          <cell r="E884" t="str">
            <v>WINNIPEG</v>
          </cell>
          <cell r="F884" t="str">
            <v>MB</v>
          </cell>
        </row>
        <row r="885">
          <cell r="C885" t="str">
            <v>DELTA 9 CANNABIS STORE - BRANDON MALL</v>
          </cell>
          <cell r="D885" t="str">
            <v>48-1570 18TH ST</v>
          </cell>
          <cell r="E885" t="str">
            <v xml:space="preserve">BRANDON </v>
          </cell>
          <cell r="F885" t="str">
            <v>MB</v>
          </cell>
        </row>
        <row r="886">
          <cell r="C886" t="str">
            <v>DELTA 9 CANNABIS STORE - THOMPSON</v>
          </cell>
          <cell r="D886" t="str">
            <v>300 MYSTERY LAKE ROAD</v>
          </cell>
          <cell r="E886" t="str">
            <v>THOMPSON</v>
          </cell>
          <cell r="F886" t="str">
            <v>MB</v>
          </cell>
        </row>
        <row r="887">
          <cell r="C887" t="str">
            <v>DELTA 9 CANNABIS STORE - KENASTON</v>
          </cell>
          <cell r="D887" t="str">
            <v>2-1589 KENASTON BLVD</v>
          </cell>
          <cell r="E887" t="str">
            <v>WINNIPEG</v>
          </cell>
          <cell r="F887" t="str">
            <v>MB</v>
          </cell>
        </row>
        <row r="888">
          <cell r="C888" t="str">
            <v>DELTA 9 CANNABIS STORE - REGENT</v>
          </cell>
          <cell r="D888" t="str">
            <v>UNIT 655-1615 REGENT AVE WEST</v>
          </cell>
          <cell r="E888" t="str">
            <v>WINNIPEG</v>
          </cell>
          <cell r="F888" t="str">
            <v>MB</v>
          </cell>
        </row>
        <row r="889">
          <cell r="C889" t="str">
            <v>DELTA 9 CANNABIS STORE - HENDERSON HWY</v>
          </cell>
          <cell r="D889" t="str">
            <v>2001 HENDERSON HWY</v>
          </cell>
          <cell r="E889" t="str">
            <v>WINNIPEG</v>
          </cell>
          <cell r="F889" t="str">
            <v>MB</v>
          </cell>
        </row>
        <row r="890">
          <cell r="C890" t="str">
            <v>DELTA 9 CANNABIS STORE - MCPHILLIPS</v>
          </cell>
          <cell r="D890" t="str">
            <v>15-1399 MCPHILLIPS ST</v>
          </cell>
          <cell r="E890" t="str">
            <v>WINNIPEG</v>
          </cell>
          <cell r="F890" t="str">
            <v>MB</v>
          </cell>
        </row>
        <row r="891">
          <cell r="C891" t="str">
            <v>DELTA 9 CANNABIS STORE - SELKIRK</v>
          </cell>
          <cell r="D891" t="str">
            <v>379 MAIN ST</v>
          </cell>
          <cell r="E891" t="str">
            <v>SELKIRK</v>
          </cell>
          <cell r="F891" t="str">
            <v>MB</v>
          </cell>
        </row>
        <row r="892">
          <cell r="C892" t="str">
            <v>DELTA 9 CANNABIS STORE - PEMBINA</v>
          </cell>
          <cell r="D892" t="str">
            <v>2081 PEMBINA HWY</v>
          </cell>
          <cell r="E892" t="str">
            <v>WINNIPEG</v>
          </cell>
          <cell r="F892" t="str">
            <v>MB</v>
          </cell>
        </row>
        <row r="893">
          <cell r="C893" t="str">
            <v>DELTA 9 CANNABIS STORE -1719 PORTAGE AVE</v>
          </cell>
          <cell r="D893" t="str">
            <v>1719 PORTAGE AVE</v>
          </cell>
          <cell r="E893" t="str">
            <v>WINNIPEG</v>
          </cell>
          <cell r="F893" t="str">
            <v>MB</v>
          </cell>
        </row>
        <row r="894">
          <cell r="C894" t="str">
            <v>VIKING INN</v>
          </cell>
          <cell r="D894" t="str">
            <v>78-7TH AVE</v>
          </cell>
          <cell r="E894" t="str">
            <v>GIMLI</v>
          </cell>
          <cell r="F894" t="str">
            <v>MB</v>
          </cell>
        </row>
        <row r="895">
          <cell r="C895" t="str">
            <v>DELTA 9 CANNABIS STORE -3421 PORTAGE AVE</v>
          </cell>
          <cell r="D895" t="str">
            <v>UNIT 10&amp;11-3421 PORTAGE AVE</v>
          </cell>
          <cell r="E895" t="str">
            <v>WINNIPEG</v>
          </cell>
          <cell r="F895" t="str">
            <v>MB</v>
          </cell>
        </row>
        <row r="896">
          <cell r="C896" t="str">
            <v>DELTA 9 CANNABIS STORE - DAUPHIN</v>
          </cell>
          <cell r="D896" t="str">
            <v>UNIT 2, 1351 MAIN ST</v>
          </cell>
          <cell r="E896" t="str">
            <v>DAUPHIN</v>
          </cell>
          <cell r="F896" t="str">
            <v>MB</v>
          </cell>
        </row>
        <row r="897">
          <cell r="C897" t="str">
            <v>DELTA 9 CANNABIS STORE - MARION</v>
          </cell>
          <cell r="D897" t="str">
            <v>UNIT A 78 MARION ST</v>
          </cell>
          <cell r="E897" t="str">
            <v>WINNIPEG</v>
          </cell>
          <cell r="F897" t="str">
            <v>MB</v>
          </cell>
        </row>
        <row r="898">
          <cell r="C898" t="str">
            <v>DELTA 9 CANNABIS STORE - SARGENT</v>
          </cell>
          <cell r="D898" t="str">
            <v>625 SARGENT AVE</v>
          </cell>
          <cell r="E898" t="str">
            <v>WINNIPEG</v>
          </cell>
          <cell r="F898" t="str">
            <v>MB</v>
          </cell>
        </row>
        <row r="899">
          <cell r="C899" t="str">
            <v>PRAIRIE TRICHOMES - ONANOLE</v>
          </cell>
          <cell r="D899" t="str">
            <v>110 WAPITI DRIVE</v>
          </cell>
          <cell r="E899" t="str">
            <v>ONANOLE</v>
          </cell>
          <cell r="F899" t="str">
            <v>MB</v>
          </cell>
        </row>
        <row r="900">
          <cell r="C900" t="str">
            <v>Weeds Glass and Gifts</v>
          </cell>
          <cell r="D900" t="str">
            <v>2580 Kingsway</v>
          </cell>
          <cell r="E900" t="str">
            <v>Vancouver</v>
          </cell>
          <cell r="F900" t="str">
            <v xml:space="preserve">BC </v>
          </cell>
        </row>
        <row r="901">
          <cell r="C901" t="str">
            <v>OPEN FIELD DISTRIBUTION-MB</v>
          </cell>
          <cell r="D901" t="str">
            <v>44 Omands Creek Blvd</v>
          </cell>
          <cell r="E901" t="str">
            <v>WINNIPEG</v>
          </cell>
          <cell r="F901" t="str">
            <v>MB</v>
          </cell>
        </row>
        <row r="902">
          <cell r="C902" t="str">
            <v>Weeds International Inc.</v>
          </cell>
          <cell r="D902" t="str">
            <v>19038 Old Dewdney road</v>
          </cell>
          <cell r="E902" t="str">
            <v>Pitt Meadows</v>
          </cell>
          <cell r="F902" t="str">
            <v xml:space="preserve">BC </v>
          </cell>
        </row>
        <row r="903">
          <cell r="C903" t="str">
            <v>Apothecary Botanicals</v>
          </cell>
          <cell r="D903" t="str">
            <v>Unit 116-1776 Broadway st</v>
          </cell>
          <cell r="E903" t="str">
            <v>PORT COQUITLAM</v>
          </cell>
          <cell r="F903" t="str">
            <v>BC</v>
          </cell>
        </row>
        <row r="904">
          <cell r="C904" t="str">
            <v>LOCAL LEAF CANNABIS TERRACE</v>
          </cell>
          <cell r="D904" t="str">
            <v>4621 Lakelse Avenue</v>
          </cell>
          <cell r="E904" t="str">
            <v>TERRACE</v>
          </cell>
          <cell r="F904" t="str">
            <v>BC</v>
          </cell>
        </row>
        <row r="905">
          <cell r="C905" t="str">
            <v>LOCAL CANNABIS CO.-726 KINGSWAY</v>
          </cell>
          <cell r="D905" t="str">
            <v>726 Kingsway</v>
          </cell>
          <cell r="E905" t="str">
            <v>Vancouver</v>
          </cell>
          <cell r="F905" t="str">
            <v xml:space="preserve">BC </v>
          </cell>
        </row>
        <row r="906">
          <cell r="C906" t="str">
            <v>Summit Cannabis Co-109 CONNAUGHT AVE</v>
          </cell>
          <cell r="D906" t="str">
            <v>109 Connaught Ave</v>
          </cell>
          <cell r="E906" t="str">
            <v>Revelstoke</v>
          </cell>
          <cell r="F906" t="str">
            <v>BC</v>
          </cell>
        </row>
        <row r="907">
          <cell r="C907" t="str">
            <v>INTERLAKE C STORE</v>
          </cell>
          <cell r="D907" t="str">
            <v>383 PTH 9</v>
          </cell>
          <cell r="E907" t="str">
            <v>WINNIPEG BEACH</v>
          </cell>
          <cell r="F907" t="str">
            <v>MB</v>
          </cell>
        </row>
        <row r="908">
          <cell r="C908" t="str">
            <v>DELTA 9 CANNABIS STORE-REGENT</v>
          </cell>
          <cell r="D908" t="str">
            <v>UNIT 655-1615 REGENT AVE WEST</v>
          </cell>
          <cell r="E908" t="str">
            <v>WINNIPEG</v>
          </cell>
          <cell r="F908" t="str">
            <v>MB</v>
          </cell>
        </row>
        <row r="909">
          <cell r="C909" t="str">
            <v>Carbon Extracts</v>
          </cell>
          <cell r="D909" t="str">
            <v>7 Canso Road</v>
          </cell>
          <cell r="E909" t="str">
            <v>Etobicoke</v>
          </cell>
          <cell r="F909" t="str">
            <v>ON</v>
          </cell>
        </row>
        <row r="910">
          <cell r="C910" t="str">
            <v>CANNTINA</v>
          </cell>
          <cell r="D910" t="str">
            <v>725 NELSON STREET</v>
          </cell>
          <cell r="E910" t="str">
            <v>VANCOUVER</v>
          </cell>
          <cell r="F910" t="str">
            <v xml:space="preserve">BC </v>
          </cell>
        </row>
        <row r="911">
          <cell r="C911" t="str">
            <v>THE OLD CANNABIS MARKET LTD.</v>
          </cell>
          <cell r="D911" t="str">
            <v>6600 ROBLIN BOULEVARD</v>
          </cell>
          <cell r="E911" t="str">
            <v>WINNIPEG</v>
          </cell>
          <cell r="F911" t="str">
            <v>MB</v>
          </cell>
        </row>
        <row r="912">
          <cell r="C912" t="str">
            <v>Original Farm Langford LTD</v>
          </cell>
          <cell r="D912" t="str">
            <v xml:space="preserve">Unit 101, 945 Reunion Avenue </v>
          </cell>
          <cell r="E912" t="str">
            <v>Langford</v>
          </cell>
          <cell r="F912" t="str">
            <v>BC</v>
          </cell>
        </row>
        <row r="913">
          <cell r="C913" t="str">
            <v>WestCannaBC</v>
          </cell>
          <cell r="D913" t="str">
            <v>700 West Broadway</v>
          </cell>
          <cell r="E913" t="str">
            <v>Vancouver</v>
          </cell>
          <cell r="F913" t="str">
            <v>BC</v>
          </cell>
        </row>
      </sheetData>
      <sheetData sheetId="1" refreshError="1"/>
      <sheetData sheetId="2" refreshError="1"/>
      <sheetData sheetId="3" refreshError="1">
        <row r="1">
          <cell r="C1" t="str">
            <v>inventory_id</v>
          </cell>
          <cell r="J1" t="str">
            <v>lot_number</v>
          </cell>
          <cell r="N1" t="str">
            <v>net_weight_per_unit</v>
          </cell>
          <cell r="T1" t="str">
            <v>calculation_method</v>
          </cell>
        </row>
        <row r="2">
          <cell r="C2" t="str">
            <v>1-0</v>
          </cell>
          <cell r="J2" t="str">
            <v>BS23041701G180</v>
          </cell>
          <cell r="N2">
            <v>180</v>
          </cell>
          <cell r="T2" t="str">
            <v>net</v>
          </cell>
        </row>
        <row r="3">
          <cell r="C3" t="str">
            <v>2-0</v>
          </cell>
          <cell r="J3" t="str">
            <v>BS23101901G450</v>
          </cell>
          <cell r="N3">
            <v>450</v>
          </cell>
          <cell r="T3" t="str">
            <v>net</v>
          </cell>
        </row>
        <row r="4">
          <cell r="C4" t="str">
            <v>3-0</v>
          </cell>
          <cell r="J4" t="str">
            <v>PE2205CP085D</v>
          </cell>
          <cell r="N4">
            <v>1</v>
          </cell>
          <cell r="T4" t="str">
            <v>net</v>
          </cell>
        </row>
        <row r="5">
          <cell r="C5" t="str">
            <v>4-0</v>
          </cell>
          <cell r="J5" t="str">
            <v>PR2303</v>
          </cell>
          <cell r="N5">
            <v>475</v>
          </cell>
          <cell r="T5" t="str">
            <v>gross</v>
          </cell>
        </row>
        <row r="6">
          <cell r="C6" t="str">
            <v>5-0</v>
          </cell>
          <cell r="J6">
            <v>211007</v>
          </cell>
          <cell r="N6">
            <v>3.5</v>
          </cell>
          <cell r="T6" t="str">
            <v>net</v>
          </cell>
        </row>
        <row r="7">
          <cell r="C7" t="str">
            <v>6-0</v>
          </cell>
          <cell r="J7">
            <v>2022042902</v>
          </cell>
          <cell r="N7">
            <v>3.5</v>
          </cell>
          <cell r="T7" t="str">
            <v>net</v>
          </cell>
        </row>
        <row r="8">
          <cell r="C8" t="str">
            <v>7-0</v>
          </cell>
          <cell r="J8">
            <v>2022042902</v>
          </cell>
          <cell r="N8">
            <v>3.5</v>
          </cell>
          <cell r="T8" t="str">
            <v>net</v>
          </cell>
        </row>
        <row r="9">
          <cell r="C9" t="str">
            <v>8-0</v>
          </cell>
          <cell r="J9" t="str">
            <v>2022012401R1</v>
          </cell>
          <cell r="N9">
            <v>14</v>
          </cell>
          <cell r="T9" t="str">
            <v>net</v>
          </cell>
        </row>
        <row r="10">
          <cell r="C10" t="str">
            <v>9-0</v>
          </cell>
          <cell r="J10" t="str">
            <v>CPR22112801G14</v>
          </cell>
          <cell r="N10">
            <v>14</v>
          </cell>
          <cell r="T10" t="str">
            <v>net</v>
          </cell>
        </row>
        <row r="11">
          <cell r="C11" t="str">
            <v>10-0</v>
          </cell>
          <cell r="J11" t="str">
            <v>CPR22112801G7</v>
          </cell>
          <cell r="N11">
            <v>7</v>
          </cell>
          <cell r="T11" t="str">
            <v>net</v>
          </cell>
        </row>
        <row r="12">
          <cell r="C12" t="str">
            <v>11-0</v>
          </cell>
          <cell r="J12" t="str">
            <v>2022012401R1G7</v>
          </cell>
          <cell r="N12">
            <v>7</v>
          </cell>
          <cell r="T12" t="str">
            <v>net</v>
          </cell>
        </row>
        <row r="13">
          <cell r="C13" t="str">
            <v>12-0</v>
          </cell>
          <cell r="J13" t="str">
            <v>PR2303IN</v>
          </cell>
          <cell r="N13">
            <v>41.02</v>
          </cell>
          <cell r="T13" t="str">
            <v>gross</v>
          </cell>
        </row>
        <row r="14">
          <cell r="C14" t="str">
            <v>13-0</v>
          </cell>
          <cell r="J14" t="str">
            <v>CPR22102101</v>
          </cell>
          <cell r="N14">
            <v>169.94</v>
          </cell>
          <cell r="T14" t="str">
            <v>gross</v>
          </cell>
        </row>
        <row r="15">
          <cell r="C15" t="str">
            <v>14-0</v>
          </cell>
          <cell r="J15" t="str">
            <v>PR2304F7</v>
          </cell>
          <cell r="N15">
            <v>72.83</v>
          </cell>
          <cell r="T15" t="str">
            <v>gross</v>
          </cell>
        </row>
        <row r="16">
          <cell r="C16" t="str">
            <v>15-0</v>
          </cell>
          <cell r="J16" t="str">
            <v>NA</v>
          </cell>
          <cell r="N16">
            <v>904.95</v>
          </cell>
          <cell r="T16" t="str">
            <v>gross</v>
          </cell>
        </row>
        <row r="17">
          <cell r="C17" t="str">
            <v>16-0</v>
          </cell>
          <cell r="J17" t="str">
            <v>NA</v>
          </cell>
          <cell r="N17">
            <v>132.01999999999998</v>
          </cell>
          <cell r="T17" t="str">
            <v>gross</v>
          </cell>
        </row>
        <row r="18">
          <cell r="C18" t="str">
            <v>17-0</v>
          </cell>
          <cell r="J18">
            <v>2021022501</v>
          </cell>
          <cell r="N18">
            <v>3.5</v>
          </cell>
          <cell r="T18" t="str">
            <v>net</v>
          </cell>
        </row>
        <row r="19">
          <cell r="C19" t="str">
            <v>18-0</v>
          </cell>
          <cell r="J19" t="str">
            <v>SS201002CP-006</v>
          </cell>
          <cell r="N19">
            <v>3.5</v>
          </cell>
          <cell r="T19" t="str">
            <v>net</v>
          </cell>
        </row>
        <row r="20">
          <cell r="C20" t="str">
            <v>19-0</v>
          </cell>
          <cell r="J20" t="str">
            <v>GS200219</v>
          </cell>
          <cell r="N20">
            <v>3.5</v>
          </cell>
          <cell r="T20" t="str">
            <v>net</v>
          </cell>
        </row>
        <row r="21">
          <cell r="C21" t="str">
            <v>20-0</v>
          </cell>
          <cell r="J21">
            <v>2022091603</v>
          </cell>
          <cell r="N21">
            <v>3.5</v>
          </cell>
          <cell r="T21" t="str">
            <v>net</v>
          </cell>
        </row>
        <row r="22">
          <cell r="C22" t="str">
            <v>21-0</v>
          </cell>
          <cell r="J22">
            <v>2021031001</v>
          </cell>
          <cell r="N22">
            <v>14</v>
          </cell>
          <cell r="T22" t="str">
            <v>net</v>
          </cell>
        </row>
        <row r="23">
          <cell r="C23" t="str">
            <v>22-0</v>
          </cell>
          <cell r="J23">
            <v>2022051601</v>
          </cell>
          <cell r="N23">
            <v>477.4</v>
          </cell>
          <cell r="T23" t="str">
            <v>gross</v>
          </cell>
        </row>
        <row r="24">
          <cell r="C24" t="str">
            <v>23-0</v>
          </cell>
          <cell r="J24" t="str">
            <v>2022012401R1</v>
          </cell>
          <cell r="N24">
            <v>255</v>
          </cell>
          <cell r="T24" t="str">
            <v>gross</v>
          </cell>
        </row>
        <row r="25">
          <cell r="C25" t="str">
            <v>24-0</v>
          </cell>
          <cell r="J25" t="str">
            <v>2022012401R1</v>
          </cell>
          <cell r="N25">
            <v>446.6</v>
          </cell>
          <cell r="T25" t="str">
            <v>gross</v>
          </cell>
        </row>
        <row r="26">
          <cell r="C26" t="str">
            <v>25-0</v>
          </cell>
          <cell r="J26" t="str">
            <v>2022012401R1</v>
          </cell>
          <cell r="N26">
            <v>916</v>
          </cell>
          <cell r="T26" t="str">
            <v>gross</v>
          </cell>
        </row>
        <row r="27">
          <cell r="C27" t="str">
            <v>26-0</v>
          </cell>
          <cell r="J27" t="str">
            <v>2022012401R1</v>
          </cell>
          <cell r="N27">
            <v>1000</v>
          </cell>
          <cell r="T27" t="str">
            <v>gross</v>
          </cell>
        </row>
        <row r="28">
          <cell r="C28" t="str">
            <v>27-0</v>
          </cell>
          <cell r="J28" t="str">
            <v>2022012401R1</v>
          </cell>
          <cell r="N28">
            <v>1000</v>
          </cell>
          <cell r="T28" t="str">
            <v>gross</v>
          </cell>
        </row>
        <row r="29">
          <cell r="C29" t="str">
            <v>28-0</v>
          </cell>
          <cell r="J29" t="str">
            <v>2022012401R1</v>
          </cell>
          <cell r="N29">
            <v>1000</v>
          </cell>
          <cell r="T29" t="str">
            <v>gross</v>
          </cell>
        </row>
        <row r="30">
          <cell r="C30" t="str">
            <v>29-0</v>
          </cell>
          <cell r="J30" t="str">
            <v>2022012401R1</v>
          </cell>
          <cell r="N30">
            <v>1000</v>
          </cell>
          <cell r="T30" t="str">
            <v>gross</v>
          </cell>
        </row>
        <row r="31">
          <cell r="C31" t="str">
            <v>30-0</v>
          </cell>
          <cell r="J31" t="str">
            <v>2022012401R1</v>
          </cell>
          <cell r="N31">
            <v>1000</v>
          </cell>
          <cell r="T31" t="str">
            <v>gross</v>
          </cell>
        </row>
        <row r="32">
          <cell r="C32" t="str">
            <v>31-0</v>
          </cell>
          <cell r="J32" t="str">
            <v>2022012401R1</v>
          </cell>
          <cell r="N32">
            <v>1000</v>
          </cell>
          <cell r="T32" t="str">
            <v>gross</v>
          </cell>
        </row>
        <row r="33">
          <cell r="C33" t="str">
            <v>32-0</v>
          </cell>
          <cell r="J33" t="str">
            <v>2022012401R1</v>
          </cell>
          <cell r="N33">
            <v>1000</v>
          </cell>
          <cell r="T33" t="str">
            <v>gross</v>
          </cell>
        </row>
        <row r="34">
          <cell r="C34" t="str">
            <v>33-0</v>
          </cell>
          <cell r="J34" t="str">
            <v>2022012401R1</v>
          </cell>
          <cell r="N34">
            <v>1000</v>
          </cell>
          <cell r="T34" t="str">
            <v>gross</v>
          </cell>
        </row>
        <row r="35">
          <cell r="C35" t="str">
            <v>34-0</v>
          </cell>
          <cell r="J35" t="str">
            <v>2022012401R1</v>
          </cell>
          <cell r="N35">
            <v>1000</v>
          </cell>
          <cell r="T35" t="str">
            <v>gross</v>
          </cell>
        </row>
        <row r="36">
          <cell r="C36" t="str">
            <v>35-0</v>
          </cell>
          <cell r="J36" t="str">
            <v>2022012401R1</v>
          </cell>
          <cell r="N36">
            <v>1000</v>
          </cell>
          <cell r="T36" t="str">
            <v>gross</v>
          </cell>
        </row>
        <row r="37">
          <cell r="C37" t="str">
            <v>36-0</v>
          </cell>
          <cell r="J37" t="str">
            <v>2022012401R1</v>
          </cell>
          <cell r="N37">
            <v>982.3</v>
          </cell>
          <cell r="T37" t="str">
            <v>gross</v>
          </cell>
        </row>
        <row r="38">
          <cell r="C38" t="str">
            <v>37-0</v>
          </cell>
          <cell r="J38" t="str">
            <v>2022012401R1</v>
          </cell>
          <cell r="N38">
            <v>426.8</v>
          </cell>
          <cell r="T38" t="str">
            <v>gross</v>
          </cell>
        </row>
        <row r="39">
          <cell r="C39" t="str">
            <v>38-0</v>
          </cell>
          <cell r="J39">
            <v>2022051601</v>
          </cell>
          <cell r="N39">
            <v>1000</v>
          </cell>
          <cell r="T39" t="str">
            <v>gross</v>
          </cell>
        </row>
        <row r="40">
          <cell r="C40" t="str">
            <v>39-0</v>
          </cell>
          <cell r="J40">
            <v>2022051601</v>
          </cell>
          <cell r="N40">
            <v>1000</v>
          </cell>
          <cell r="T40" t="str">
            <v>gross</v>
          </cell>
        </row>
        <row r="41">
          <cell r="C41" t="str">
            <v>40-0</v>
          </cell>
          <cell r="J41">
            <v>2022051601</v>
          </cell>
          <cell r="N41">
            <v>1000</v>
          </cell>
          <cell r="T41" t="str">
            <v>gross</v>
          </cell>
        </row>
        <row r="42">
          <cell r="C42" t="str">
            <v>41-0</v>
          </cell>
          <cell r="J42">
            <v>2022051601</v>
          </cell>
          <cell r="N42">
            <v>678</v>
          </cell>
          <cell r="T42" t="str">
            <v>gross</v>
          </cell>
        </row>
        <row r="43">
          <cell r="C43" t="str">
            <v>42-0</v>
          </cell>
          <cell r="J43">
            <v>2022051601</v>
          </cell>
          <cell r="N43">
            <v>1000</v>
          </cell>
          <cell r="T43" t="str">
            <v>gross</v>
          </cell>
        </row>
        <row r="44">
          <cell r="C44" t="str">
            <v>43-0</v>
          </cell>
          <cell r="J44">
            <v>2022051601</v>
          </cell>
          <cell r="N44">
            <v>1000</v>
          </cell>
          <cell r="T44" t="str">
            <v>gross</v>
          </cell>
        </row>
        <row r="45">
          <cell r="C45" t="str">
            <v>44-0</v>
          </cell>
          <cell r="J45">
            <v>2022051601</v>
          </cell>
          <cell r="N45">
            <v>1000</v>
          </cell>
          <cell r="T45" t="str">
            <v>gross</v>
          </cell>
        </row>
        <row r="46">
          <cell r="C46" t="str">
            <v>45-0</v>
          </cell>
          <cell r="J46">
            <v>2022051603</v>
          </cell>
          <cell r="N46">
            <v>1000</v>
          </cell>
          <cell r="T46" t="str">
            <v>gross</v>
          </cell>
        </row>
        <row r="47">
          <cell r="C47" t="str">
            <v>46-0</v>
          </cell>
          <cell r="J47">
            <v>2022051603</v>
          </cell>
          <cell r="N47">
            <v>1000</v>
          </cell>
          <cell r="T47" t="str">
            <v>gross</v>
          </cell>
        </row>
        <row r="48">
          <cell r="C48" t="str">
            <v>47-0</v>
          </cell>
          <cell r="J48">
            <v>2022051603</v>
          </cell>
          <cell r="N48">
            <v>500</v>
          </cell>
          <cell r="T48" t="str">
            <v>gross</v>
          </cell>
        </row>
        <row r="49">
          <cell r="C49" t="str">
            <v>48-0</v>
          </cell>
          <cell r="J49">
            <v>2022051603</v>
          </cell>
          <cell r="N49">
            <v>1000</v>
          </cell>
          <cell r="T49" t="str">
            <v>gross</v>
          </cell>
        </row>
        <row r="50">
          <cell r="C50" t="str">
            <v>49-0</v>
          </cell>
          <cell r="J50">
            <v>2022051603</v>
          </cell>
          <cell r="N50">
            <v>1000</v>
          </cell>
          <cell r="T50" t="str">
            <v>gross</v>
          </cell>
        </row>
        <row r="51">
          <cell r="C51" t="str">
            <v>50-0</v>
          </cell>
          <cell r="J51">
            <v>2022051601</v>
          </cell>
          <cell r="N51">
            <v>1000</v>
          </cell>
          <cell r="T51" t="str">
            <v>gross</v>
          </cell>
        </row>
        <row r="52">
          <cell r="C52" t="str">
            <v>51-0</v>
          </cell>
          <cell r="J52">
            <v>2022051601</v>
          </cell>
          <cell r="N52">
            <v>1000</v>
          </cell>
          <cell r="T52" t="str">
            <v>gross</v>
          </cell>
        </row>
        <row r="53">
          <cell r="C53" t="str">
            <v>52-0</v>
          </cell>
          <cell r="J53">
            <v>2022051601</v>
          </cell>
          <cell r="N53">
            <v>1000</v>
          </cell>
          <cell r="T53" t="str">
            <v>gross</v>
          </cell>
        </row>
        <row r="54">
          <cell r="C54" t="str">
            <v>53-0</v>
          </cell>
          <cell r="J54">
            <v>2022051601</v>
          </cell>
          <cell r="N54">
            <v>1000</v>
          </cell>
          <cell r="T54" t="str">
            <v>gross</v>
          </cell>
        </row>
        <row r="55">
          <cell r="C55" t="str">
            <v>54-0</v>
          </cell>
          <cell r="J55">
            <v>2022051601</v>
          </cell>
          <cell r="N55">
            <v>1000</v>
          </cell>
          <cell r="T55" t="str">
            <v>gross</v>
          </cell>
        </row>
        <row r="56">
          <cell r="C56" t="str">
            <v>55-0</v>
          </cell>
          <cell r="J56">
            <v>2022051601</v>
          </cell>
          <cell r="N56">
            <v>1000</v>
          </cell>
          <cell r="T56" t="str">
            <v>gross</v>
          </cell>
        </row>
        <row r="57">
          <cell r="C57" t="str">
            <v>56-0</v>
          </cell>
          <cell r="J57">
            <v>2022051601</v>
          </cell>
          <cell r="N57">
            <v>1000</v>
          </cell>
          <cell r="T57" t="str">
            <v>gross</v>
          </cell>
        </row>
        <row r="58">
          <cell r="C58" t="str">
            <v>57-0</v>
          </cell>
          <cell r="J58">
            <v>2022051601</v>
          </cell>
          <cell r="N58">
            <v>1000</v>
          </cell>
          <cell r="T58" t="str">
            <v>gross</v>
          </cell>
        </row>
        <row r="59">
          <cell r="C59" t="str">
            <v>58-0</v>
          </cell>
          <cell r="J59">
            <v>2022051601</v>
          </cell>
          <cell r="N59">
            <v>1000</v>
          </cell>
          <cell r="T59" t="str">
            <v>gross</v>
          </cell>
        </row>
        <row r="60">
          <cell r="C60" t="str">
            <v>59-0</v>
          </cell>
          <cell r="J60">
            <v>2022051601</v>
          </cell>
          <cell r="N60">
            <v>1000</v>
          </cell>
          <cell r="T60" t="str">
            <v>gross</v>
          </cell>
        </row>
        <row r="61">
          <cell r="C61" t="str">
            <v>60-0</v>
          </cell>
          <cell r="J61">
            <v>2022051601</v>
          </cell>
          <cell r="N61">
            <v>1000</v>
          </cell>
          <cell r="T61" t="str">
            <v>gross</v>
          </cell>
        </row>
        <row r="62">
          <cell r="C62" t="str">
            <v>61-0</v>
          </cell>
          <cell r="J62">
            <v>2022051602</v>
          </cell>
          <cell r="N62">
            <v>1000</v>
          </cell>
          <cell r="T62" t="str">
            <v>gross</v>
          </cell>
        </row>
        <row r="63">
          <cell r="C63" t="str">
            <v>62-0</v>
          </cell>
          <cell r="J63">
            <v>2022051602</v>
          </cell>
          <cell r="N63">
            <v>1000</v>
          </cell>
          <cell r="T63" t="str">
            <v>gross</v>
          </cell>
        </row>
        <row r="64">
          <cell r="C64" t="str">
            <v>63-0</v>
          </cell>
          <cell r="J64">
            <v>2022051602</v>
          </cell>
          <cell r="N64">
            <v>1000</v>
          </cell>
          <cell r="T64" t="str">
            <v>gross</v>
          </cell>
        </row>
        <row r="65">
          <cell r="C65" t="str">
            <v>64-0</v>
          </cell>
          <cell r="J65">
            <v>2022051602</v>
          </cell>
          <cell r="N65">
            <v>1000</v>
          </cell>
          <cell r="T65" t="str">
            <v>gross</v>
          </cell>
        </row>
        <row r="66">
          <cell r="C66" t="str">
            <v>65-0</v>
          </cell>
          <cell r="J66">
            <v>2022051602</v>
          </cell>
          <cell r="N66">
            <v>1000</v>
          </cell>
          <cell r="T66" t="str">
            <v>gross</v>
          </cell>
        </row>
        <row r="67">
          <cell r="C67" t="str">
            <v>66-0</v>
          </cell>
          <cell r="J67">
            <v>2022051602</v>
          </cell>
          <cell r="N67">
            <v>1000</v>
          </cell>
          <cell r="T67" t="str">
            <v>gross</v>
          </cell>
        </row>
        <row r="68">
          <cell r="C68" t="str">
            <v>67-0</v>
          </cell>
          <cell r="J68">
            <v>2022051602</v>
          </cell>
          <cell r="N68">
            <v>480</v>
          </cell>
          <cell r="T68" t="str">
            <v>gross</v>
          </cell>
        </row>
        <row r="69">
          <cell r="C69" t="str">
            <v>68-0</v>
          </cell>
          <cell r="J69">
            <v>2022051602</v>
          </cell>
          <cell r="N69">
            <v>366</v>
          </cell>
          <cell r="T69" t="str">
            <v>gross</v>
          </cell>
        </row>
        <row r="70">
          <cell r="C70" t="str">
            <v>69-0</v>
          </cell>
          <cell r="J70">
            <v>2022051602</v>
          </cell>
          <cell r="N70">
            <v>1000</v>
          </cell>
          <cell r="T70" t="str">
            <v>gross</v>
          </cell>
        </row>
        <row r="71">
          <cell r="C71" t="str">
            <v>70-0</v>
          </cell>
          <cell r="J71">
            <v>2022051602</v>
          </cell>
          <cell r="N71">
            <v>1000</v>
          </cell>
          <cell r="T71" t="str">
            <v>gross</v>
          </cell>
        </row>
        <row r="72">
          <cell r="C72" t="str">
            <v>71-0</v>
          </cell>
          <cell r="J72" t="str">
            <v>2022012401R1</v>
          </cell>
          <cell r="N72">
            <v>565.6</v>
          </cell>
          <cell r="T72" t="str">
            <v>gross</v>
          </cell>
        </row>
        <row r="73">
          <cell r="C73" t="str">
            <v>72-0</v>
          </cell>
          <cell r="J73">
            <v>2022051603</v>
          </cell>
          <cell r="N73">
            <v>994</v>
          </cell>
          <cell r="T73" t="str">
            <v>gross</v>
          </cell>
        </row>
        <row r="74">
          <cell r="C74" t="str">
            <v>73-0</v>
          </cell>
          <cell r="J74" t="str">
            <v>BS23041701G180</v>
          </cell>
          <cell r="N74">
            <v>180</v>
          </cell>
          <cell r="T74" t="str">
            <v>net</v>
          </cell>
        </row>
        <row r="75">
          <cell r="C75" t="str">
            <v>74-0</v>
          </cell>
          <cell r="J75" t="str">
            <v>BS23101901G450</v>
          </cell>
          <cell r="N75">
            <v>450</v>
          </cell>
          <cell r="T75" t="str">
            <v>net</v>
          </cell>
        </row>
        <row r="76">
          <cell r="C76" t="str">
            <v>75-0</v>
          </cell>
          <cell r="J76">
            <v>2024022201</v>
          </cell>
          <cell r="N76">
            <v>72.599999999999966</v>
          </cell>
          <cell r="T76" t="str">
            <v>gross</v>
          </cell>
        </row>
        <row r="77">
          <cell r="C77" t="str">
            <v>76-0</v>
          </cell>
          <cell r="J77" t="str">
            <v>TP24041201</v>
          </cell>
          <cell r="N77">
            <v>88</v>
          </cell>
          <cell r="T77" t="str">
            <v>net</v>
          </cell>
        </row>
        <row r="78">
          <cell r="C78" t="str">
            <v>77-0</v>
          </cell>
          <cell r="J78" t="str">
            <v>TP24041201</v>
          </cell>
          <cell r="N78">
            <v>88</v>
          </cell>
          <cell r="T78" t="str">
            <v>net</v>
          </cell>
        </row>
        <row r="79">
          <cell r="C79" t="str">
            <v>78-0</v>
          </cell>
          <cell r="J79" t="str">
            <v>TP24041202</v>
          </cell>
          <cell r="N79">
            <v>88</v>
          </cell>
          <cell r="T79" t="str">
            <v>net</v>
          </cell>
        </row>
        <row r="80">
          <cell r="C80" t="str">
            <v>79-0</v>
          </cell>
          <cell r="J80" t="str">
            <v>PR2410</v>
          </cell>
          <cell r="N80">
            <v>1600</v>
          </cell>
          <cell r="T80" t="str">
            <v>gross</v>
          </cell>
        </row>
        <row r="81">
          <cell r="C81" t="str">
            <v>80-0</v>
          </cell>
          <cell r="J81" t="str">
            <v>PR2410</v>
          </cell>
          <cell r="N81">
            <v>0</v>
          </cell>
          <cell r="T81" t="str">
            <v>gross</v>
          </cell>
        </row>
        <row r="82">
          <cell r="C82" t="str">
            <v>81-0</v>
          </cell>
          <cell r="J82" t="str">
            <v>PR21102801</v>
          </cell>
          <cell r="N82">
            <v>2705</v>
          </cell>
          <cell r="T82" t="str">
            <v>gross</v>
          </cell>
        </row>
        <row r="83">
          <cell r="C83" t="str">
            <v>82-0</v>
          </cell>
          <cell r="J83" t="str">
            <v>NA</v>
          </cell>
          <cell r="N83">
            <v>11705</v>
          </cell>
          <cell r="T83" t="str">
            <v>gross</v>
          </cell>
        </row>
        <row r="84">
          <cell r="C84" t="str">
            <v>83-0</v>
          </cell>
          <cell r="J84" t="str">
            <v>EX22040601</v>
          </cell>
          <cell r="N84">
            <v>19130</v>
          </cell>
          <cell r="T84" t="str">
            <v>gross</v>
          </cell>
        </row>
        <row r="85">
          <cell r="C85" t="str">
            <v>84-0</v>
          </cell>
          <cell r="J85" t="str">
            <v>EX24070901V50</v>
          </cell>
          <cell r="N85">
            <v>50</v>
          </cell>
          <cell r="T85" t="str">
            <v>net</v>
          </cell>
        </row>
        <row r="86">
          <cell r="C86" t="str">
            <v>85-0</v>
          </cell>
          <cell r="J86" t="str">
            <v>EX24092601V50</v>
          </cell>
          <cell r="N86">
            <v>50</v>
          </cell>
          <cell r="T86" t="str">
            <v>net</v>
          </cell>
        </row>
        <row r="87">
          <cell r="C87" t="str">
            <v>86-0</v>
          </cell>
          <cell r="J87" t="str">
            <v>NA</v>
          </cell>
          <cell r="N87">
            <v>14380</v>
          </cell>
          <cell r="T87" t="str">
            <v>gross</v>
          </cell>
        </row>
        <row r="88">
          <cell r="C88" t="str">
            <v>87-0</v>
          </cell>
          <cell r="J88" t="str">
            <v>NA</v>
          </cell>
          <cell r="N88">
            <v>15770</v>
          </cell>
          <cell r="T88" t="str">
            <v>gross</v>
          </cell>
        </row>
        <row r="89">
          <cell r="C89" t="str">
            <v>88-0</v>
          </cell>
          <cell r="J89" t="str">
            <v>PR22022801</v>
          </cell>
          <cell r="N89">
            <v>1025</v>
          </cell>
          <cell r="T89" t="str">
            <v>gross</v>
          </cell>
        </row>
        <row r="90">
          <cell r="C90" t="str">
            <v>89-0</v>
          </cell>
          <cell r="J90" t="str">
            <v>PR22030301</v>
          </cell>
          <cell r="N90">
            <v>1860</v>
          </cell>
          <cell r="T90" t="str">
            <v>gross</v>
          </cell>
        </row>
        <row r="91">
          <cell r="C91" t="str">
            <v>90-0</v>
          </cell>
          <cell r="J91" t="str">
            <v>CPR22112801</v>
          </cell>
          <cell r="N91">
            <v>1155</v>
          </cell>
          <cell r="T91" t="str">
            <v>gross</v>
          </cell>
        </row>
        <row r="92">
          <cell r="C92" t="str">
            <v>91-0</v>
          </cell>
          <cell r="J92" t="str">
            <v>EX24022301</v>
          </cell>
          <cell r="N92">
            <v>2385</v>
          </cell>
          <cell r="T92" t="str">
            <v>gross</v>
          </cell>
        </row>
        <row r="93">
          <cell r="C93" t="str">
            <v>92-0</v>
          </cell>
          <cell r="J93" t="str">
            <v>EX24022302</v>
          </cell>
          <cell r="N93">
            <v>2230</v>
          </cell>
          <cell r="T93" t="str">
            <v>gross</v>
          </cell>
        </row>
        <row r="94">
          <cell r="C94" t="str">
            <v>93-0</v>
          </cell>
          <cell r="J94" t="str">
            <v>PR21062101</v>
          </cell>
          <cell r="N94">
            <v>3770</v>
          </cell>
          <cell r="T94" t="str">
            <v>gross</v>
          </cell>
        </row>
        <row r="95">
          <cell r="C95" t="str">
            <v>94-0</v>
          </cell>
          <cell r="J95" t="str">
            <v>PR21102801</v>
          </cell>
          <cell r="N95">
            <v>1540</v>
          </cell>
          <cell r="T95" t="str">
            <v>gross</v>
          </cell>
        </row>
        <row r="96">
          <cell r="C96" t="str">
            <v>95-0</v>
          </cell>
          <cell r="J96" t="str">
            <v>TP24041201</v>
          </cell>
          <cell r="N96">
            <v>16820</v>
          </cell>
          <cell r="T96" t="str">
            <v>gross</v>
          </cell>
        </row>
        <row r="97">
          <cell r="C97" t="str">
            <v>96-0</v>
          </cell>
          <cell r="J97" t="str">
            <v>PR2301</v>
          </cell>
          <cell r="N97">
            <v>3360</v>
          </cell>
          <cell r="T97" t="str">
            <v>gross</v>
          </cell>
        </row>
        <row r="98">
          <cell r="C98" t="str">
            <v>97-0</v>
          </cell>
          <cell r="J98" t="str">
            <v>PR2301</v>
          </cell>
          <cell r="N98">
            <v>3980</v>
          </cell>
          <cell r="T98" t="str">
            <v>gross</v>
          </cell>
        </row>
        <row r="99">
          <cell r="C99" t="str">
            <v>98-0</v>
          </cell>
          <cell r="J99" t="str">
            <v>CPR22102001</v>
          </cell>
          <cell r="N99">
            <v>1665</v>
          </cell>
          <cell r="T99" t="str">
            <v>gross</v>
          </cell>
        </row>
        <row r="100">
          <cell r="C100" t="str">
            <v>99-0</v>
          </cell>
          <cell r="J100" t="str">
            <v>CPR22102001</v>
          </cell>
          <cell r="N100">
            <v>1563</v>
          </cell>
          <cell r="T100" t="str">
            <v>gross</v>
          </cell>
        </row>
        <row r="101">
          <cell r="C101" t="str">
            <v>100-0</v>
          </cell>
          <cell r="J101" t="str">
            <v>CPR22102102</v>
          </cell>
          <cell r="N101">
            <v>815</v>
          </cell>
          <cell r="T101" t="str">
            <v>gross</v>
          </cell>
        </row>
        <row r="102">
          <cell r="C102" t="str">
            <v>101-0</v>
          </cell>
          <cell r="J102" t="str">
            <v>PR21102801</v>
          </cell>
          <cell r="N102">
            <v>2595</v>
          </cell>
          <cell r="T102" t="str">
            <v>gross</v>
          </cell>
        </row>
        <row r="103">
          <cell r="C103" t="str">
            <v>102-0</v>
          </cell>
          <cell r="J103" t="str">
            <v>PR22030701</v>
          </cell>
          <cell r="N103">
            <v>2935</v>
          </cell>
          <cell r="T103" t="str">
            <v>gross</v>
          </cell>
        </row>
        <row r="104">
          <cell r="C104" t="str">
            <v>103-0</v>
          </cell>
          <cell r="J104" t="str">
            <v>PR21062101</v>
          </cell>
          <cell r="N104">
            <v>685</v>
          </cell>
          <cell r="T104" t="str">
            <v>gross</v>
          </cell>
        </row>
        <row r="105">
          <cell r="C105" t="str">
            <v>104-0</v>
          </cell>
          <cell r="J105" t="str">
            <v>PR21071201G1</v>
          </cell>
          <cell r="N105">
            <v>1</v>
          </cell>
          <cell r="T105" t="str">
            <v>net</v>
          </cell>
        </row>
        <row r="106">
          <cell r="C106" t="str">
            <v>105-0</v>
          </cell>
          <cell r="J106" t="str">
            <v>EX23100401V30</v>
          </cell>
          <cell r="N106">
            <v>27.6</v>
          </cell>
          <cell r="T106" t="str">
            <v>net</v>
          </cell>
        </row>
        <row r="107">
          <cell r="C107" t="str">
            <v>106-0</v>
          </cell>
          <cell r="J107" t="str">
            <v>LR23032101</v>
          </cell>
          <cell r="N107">
            <v>1305.5</v>
          </cell>
          <cell r="T107" t="str">
            <v>gross</v>
          </cell>
        </row>
        <row r="108">
          <cell r="C108" t="str">
            <v>107-0</v>
          </cell>
          <cell r="J108" t="str">
            <v>PR2410F1P3</v>
          </cell>
          <cell r="N108">
            <v>1</v>
          </cell>
          <cell r="T108" t="str">
            <v>net</v>
          </cell>
        </row>
        <row r="109">
          <cell r="C109" t="str">
            <v>108-0</v>
          </cell>
          <cell r="J109" t="str">
            <v>PR2406F5P3</v>
          </cell>
          <cell r="N109">
            <v>1.5</v>
          </cell>
          <cell r="T109" t="str">
            <v>net</v>
          </cell>
        </row>
        <row r="110">
          <cell r="C110" t="str">
            <v>109-0</v>
          </cell>
          <cell r="J110" t="str">
            <v>PR2406F5P3</v>
          </cell>
          <cell r="N110">
            <v>1.5</v>
          </cell>
          <cell r="T110" t="str">
            <v>net</v>
          </cell>
        </row>
        <row r="111">
          <cell r="C111" t="str">
            <v>110-0</v>
          </cell>
          <cell r="J111" t="str">
            <v>PR2410F5P3</v>
          </cell>
          <cell r="N111">
            <v>1.5</v>
          </cell>
          <cell r="T111" t="str">
            <v>net</v>
          </cell>
        </row>
        <row r="112">
          <cell r="C112" t="str">
            <v>111-0</v>
          </cell>
          <cell r="J112" t="str">
            <v>CPR22102102G1</v>
          </cell>
          <cell r="N112">
            <v>1</v>
          </cell>
          <cell r="T112" t="str">
            <v>net</v>
          </cell>
        </row>
        <row r="113">
          <cell r="C113" t="str">
            <v>112-0</v>
          </cell>
          <cell r="J113" t="str">
            <v>CPR22102102G5</v>
          </cell>
          <cell r="N113">
            <v>1.5</v>
          </cell>
          <cell r="T113" t="str">
            <v>net</v>
          </cell>
        </row>
        <row r="114">
          <cell r="C114" t="str">
            <v>113-0</v>
          </cell>
          <cell r="J114" t="str">
            <v>CPR22102001G5</v>
          </cell>
          <cell r="N114">
            <v>1.5</v>
          </cell>
          <cell r="T114" t="str">
            <v>net</v>
          </cell>
        </row>
        <row r="115">
          <cell r="C115" t="str">
            <v>114-0</v>
          </cell>
          <cell r="J115" t="str">
            <v>CPR22102001G1</v>
          </cell>
          <cell r="N115">
            <v>1</v>
          </cell>
          <cell r="T115" t="str">
            <v>net</v>
          </cell>
        </row>
        <row r="116">
          <cell r="C116" t="str">
            <v>115-0</v>
          </cell>
          <cell r="J116" t="str">
            <v>CPR22012001G5</v>
          </cell>
          <cell r="N116">
            <v>1.5</v>
          </cell>
          <cell r="T116" t="str">
            <v>net</v>
          </cell>
        </row>
        <row r="117">
          <cell r="C117" t="str">
            <v>116-0</v>
          </cell>
          <cell r="J117" t="str">
            <v>CPR22102001</v>
          </cell>
          <cell r="N117">
            <v>1</v>
          </cell>
          <cell r="T117" t="str">
            <v>net</v>
          </cell>
        </row>
        <row r="118">
          <cell r="C118" t="str">
            <v>117-0</v>
          </cell>
          <cell r="J118" t="str">
            <v>PR22051901G1</v>
          </cell>
          <cell r="N118">
            <v>1</v>
          </cell>
          <cell r="T118" t="str">
            <v>net</v>
          </cell>
        </row>
        <row r="119">
          <cell r="C119" t="str">
            <v>118-0</v>
          </cell>
          <cell r="J119" t="str">
            <v>PR22051901G1</v>
          </cell>
          <cell r="N119">
            <v>1</v>
          </cell>
          <cell r="T119" t="str">
            <v>net</v>
          </cell>
        </row>
        <row r="120">
          <cell r="C120" t="str">
            <v>119-0</v>
          </cell>
          <cell r="J120" t="str">
            <v>PR2407F5</v>
          </cell>
          <cell r="N120">
            <v>0.5</v>
          </cell>
          <cell r="T120" t="str">
            <v>net</v>
          </cell>
        </row>
        <row r="121">
          <cell r="C121" t="str">
            <v>120-0</v>
          </cell>
          <cell r="J121" t="str">
            <v>CPR22102102G1</v>
          </cell>
          <cell r="N121">
            <v>1</v>
          </cell>
          <cell r="T121" t="str">
            <v>net</v>
          </cell>
        </row>
        <row r="122">
          <cell r="C122" t="str">
            <v>121-0</v>
          </cell>
          <cell r="J122" t="str">
            <v>PR2406F1P1</v>
          </cell>
          <cell r="N122">
            <v>1</v>
          </cell>
          <cell r="T122" t="str">
            <v>net</v>
          </cell>
        </row>
        <row r="123">
          <cell r="C123" t="str">
            <v>122-0</v>
          </cell>
          <cell r="J123" t="str">
            <v>PR2406</v>
          </cell>
          <cell r="N123">
            <v>1</v>
          </cell>
          <cell r="T123" t="str">
            <v>net</v>
          </cell>
        </row>
        <row r="124">
          <cell r="C124" t="str">
            <v>123-0</v>
          </cell>
          <cell r="J124" t="str">
            <v>PR21071201G1</v>
          </cell>
          <cell r="N124">
            <v>1</v>
          </cell>
          <cell r="T124" t="str">
            <v>net</v>
          </cell>
        </row>
        <row r="125">
          <cell r="C125" t="str">
            <v>124-0</v>
          </cell>
          <cell r="J125" t="str">
            <v>PR21071201G1</v>
          </cell>
          <cell r="N125">
            <v>1</v>
          </cell>
          <cell r="T125" t="str">
            <v>net</v>
          </cell>
        </row>
        <row r="126">
          <cell r="C126" t="str">
            <v>125-0</v>
          </cell>
          <cell r="J126" t="str">
            <v>PR21071201G5</v>
          </cell>
          <cell r="N126">
            <v>1</v>
          </cell>
          <cell r="T126" t="str">
            <v>net</v>
          </cell>
        </row>
        <row r="127">
          <cell r="C127" t="str">
            <v>126-0</v>
          </cell>
          <cell r="J127">
            <v>2021042701</v>
          </cell>
          <cell r="N127">
            <v>1</v>
          </cell>
          <cell r="T127" t="str">
            <v>net</v>
          </cell>
        </row>
        <row r="128">
          <cell r="C128" t="str">
            <v>127-0</v>
          </cell>
          <cell r="J128" t="str">
            <v>PR21091301</v>
          </cell>
          <cell r="N128">
            <v>0.01</v>
          </cell>
          <cell r="T128" t="str">
            <v>net</v>
          </cell>
        </row>
        <row r="129">
          <cell r="C129" t="str">
            <v>128-0</v>
          </cell>
          <cell r="J129" t="str">
            <v>2021042701G5</v>
          </cell>
          <cell r="N129">
            <v>0.5</v>
          </cell>
          <cell r="T129" t="str">
            <v>net</v>
          </cell>
        </row>
        <row r="130">
          <cell r="C130" t="str">
            <v>129-0</v>
          </cell>
          <cell r="J130" t="str">
            <v>PR21071201</v>
          </cell>
          <cell r="N130">
            <v>0.01</v>
          </cell>
          <cell r="T130" t="str">
            <v>net</v>
          </cell>
        </row>
        <row r="131">
          <cell r="C131" t="str">
            <v>130-0</v>
          </cell>
          <cell r="J131" t="str">
            <v>PR23040301F5P3</v>
          </cell>
          <cell r="N131">
            <v>0.35</v>
          </cell>
          <cell r="T131" t="str">
            <v>net</v>
          </cell>
        </row>
        <row r="132">
          <cell r="C132" t="str">
            <v>131-0</v>
          </cell>
          <cell r="J132" t="str">
            <v>PR22031601ING5</v>
          </cell>
          <cell r="N132">
            <v>1.5</v>
          </cell>
          <cell r="T132" t="str">
            <v>net</v>
          </cell>
        </row>
        <row r="133">
          <cell r="C133" t="str">
            <v>132-0</v>
          </cell>
          <cell r="J133" t="str">
            <v>PR22031601IN</v>
          </cell>
          <cell r="N133">
            <v>0.5</v>
          </cell>
          <cell r="T133" t="str">
            <v>net</v>
          </cell>
        </row>
        <row r="134">
          <cell r="C134" t="str">
            <v>133-0</v>
          </cell>
          <cell r="J134" t="str">
            <v>PR2301INF1P1</v>
          </cell>
          <cell r="N134">
            <v>1</v>
          </cell>
          <cell r="T134" t="str">
            <v>net</v>
          </cell>
        </row>
        <row r="135">
          <cell r="C135" t="str">
            <v>134-0</v>
          </cell>
          <cell r="J135" t="str">
            <v>PR2302INF1</v>
          </cell>
          <cell r="N135">
            <v>1</v>
          </cell>
          <cell r="T135" t="str">
            <v>net</v>
          </cell>
        </row>
        <row r="136">
          <cell r="C136" t="str">
            <v>135-0</v>
          </cell>
          <cell r="J136" t="str">
            <v>PR22031601IN</v>
          </cell>
          <cell r="N136">
            <v>0.01</v>
          </cell>
          <cell r="T136" t="str">
            <v>net</v>
          </cell>
        </row>
        <row r="137">
          <cell r="C137" t="str">
            <v>136-0</v>
          </cell>
          <cell r="J137" t="str">
            <v>PR21102801</v>
          </cell>
          <cell r="N137">
            <v>1</v>
          </cell>
          <cell r="T137" t="str">
            <v>net</v>
          </cell>
        </row>
        <row r="138">
          <cell r="C138" t="str">
            <v>137-0</v>
          </cell>
          <cell r="J138" t="str">
            <v>CPR22102101G1</v>
          </cell>
          <cell r="N138">
            <v>1</v>
          </cell>
          <cell r="T138" t="str">
            <v>net</v>
          </cell>
        </row>
        <row r="139">
          <cell r="C139" t="str">
            <v>138-0</v>
          </cell>
          <cell r="J139" t="str">
            <v>CPR22102101G1</v>
          </cell>
          <cell r="N139">
            <v>1</v>
          </cell>
          <cell r="T139" t="str">
            <v>net</v>
          </cell>
        </row>
        <row r="140">
          <cell r="C140" t="str">
            <v>139-0</v>
          </cell>
          <cell r="J140" t="str">
            <v>CPR22102101G5</v>
          </cell>
          <cell r="N140">
            <v>1</v>
          </cell>
          <cell r="T140" t="str">
            <v>net</v>
          </cell>
        </row>
        <row r="141">
          <cell r="C141" t="str">
            <v>140-0</v>
          </cell>
          <cell r="J141" t="str">
            <v>CPR22102101</v>
          </cell>
          <cell r="N141">
            <v>1</v>
          </cell>
          <cell r="T141" t="str">
            <v>net</v>
          </cell>
        </row>
        <row r="142">
          <cell r="C142" t="str">
            <v>141-0</v>
          </cell>
          <cell r="J142" t="str">
            <v>PR2301F35</v>
          </cell>
          <cell r="N142">
            <v>0.35</v>
          </cell>
          <cell r="T142" t="str">
            <v>net</v>
          </cell>
        </row>
        <row r="143">
          <cell r="C143" t="str">
            <v>142-0</v>
          </cell>
          <cell r="J143" t="str">
            <v>PR21062101</v>
          </cell>
          <cell r="N143">
            <v>0.5</v>
          </cell>
          <cell r="T143" t="str">
            <v>net</v>
          </cell>
        </row>
        <row r="144">
          <cell r="C144" t="str">
            <v>143-0</v>
          </cell>
          <cell r="J144" t="str">
            <v>PR2301F5P3</v>
          </cell>
          <cell r="N144">
            <v>1.5</v>
          </cell>
          <cell r="T144" t="str">
            <v>net</v>
          </cell>
        </row>
        <row r="145">
          <cell r="C145" t="str">
            <v>144-0</v>
          </cell>
          <cell r="J145" t="str">
            <v>PR2407F5P3</v>
          </cell>
          <cell r="N145">
            <v>1.5</v>
          </cell>
          <cell r="T145" t="str">
            <v>net</v>
          </cell>
        </row>
        <row r="146">
          <cell r="C146" t="str">
            <v>145-0</v>
          </cell>
          <cell r="J146" t="str">
            <v>PR2407F5P3</v>
          </cell>
          <cell r="N146">
            <v>1.5</v>
          </cell>
          <cell r="T146" t="str">
            <v>net</v>
          </cell>
        </row>
        <row r="147">
          <cell r="C147" t="str">
            <v>146-0</v>
          </cell>
          <cell r="J147" t="str">
            <v>PR241002F5P3</v>
          </cell>
          <cell r="N147">
            <v>1.5</v>
          </cell>
          <cell r="T147" t="str">
            <v>net</v>
          </cell>
        </row>
        <row r="148">
          <cell r="C148" t="str">
            <v>147-0</v>
          </cell>
          <cell r="J148" t="str">
            <v>PR240602F5P3</v>
          </cell>
          <cell r="N148">
            <v>1.5</v>
          </cell>
          <cell r="T148" t="str">
            <v>net</v>
          </cell>
        </row>
        <row r="149">
          <cell r="C149" t="str">
            <v>148-0</v>
          </cell>
          <cell r="J149" t="str">
            <v>PR240603F5P3</v>
          </cell>
          <cell r="N149">
            <v>1.5</v>
          </cell>
          <cell r="T149" t="str">
            <v>net</v>
          </cell>
        </row>
        <row r="150">
          <cell r="C150" t="str">
            <v>149-0</v>
          </cell>
          <cell r="J150" t="str">
            <v>PR241104F5P3</v>
          </cell>
          <cell r="N150">
            <v>1.5</v>
          </cell>
          <cell r="T150" t="str">
            <v>net</v>
          </cell>
        </row>
        <row r="151">
          <cell r="C151" t="str">
            <v>150-0</v>
          </cell>
          <cell r="J151" t="str">
            <v>PR2407F5P3</v>
          </cell>
          <cell r="N151">
            <v>1.5</v>
          </cell>
          <cell r="T151" t="str">
            <v>net</v>
          </cell>
        </row>
        <row r="152">
          <cell r="C152" t="str">
            <v>151-0</v>
          </cell>
          <cell r="J152" t="str">
            <v>PR2407F5P3</v>
          </cell>
          <cell r="N152">
            <v>1.5</v>
          </cell>
          <cell r="T152" t="str">
            <v>net</v>
          </cell>
        </row>
        <row r="153">
          <cell r="C153" t="str">
            <v>152-0</v>
          </cell>
          <cell r="J153" t="str">
            <v>PR241101F5P3</v>
          </cell>
          <cell r="N153">
            <v>1.5</v>
          </cell>
          <cell r="T153" t="str">
            <v>net</v>
          </cell>
        </row>
        <row r="154">
          <cell r="C154" t="str">
            <v>153-0</v>
          </cell>
          <cell r="J154" t="str">
            <v>DI22110301V30</v>
          </cell>
          <cell r="N154">
            <v>27.3</v>
          </cell>
          <cell r="T154" t="str">
            <v>net</v>
          </cell>
        </row>
        <row r="155">
          <cell r="C155" t="str">
            <v>154-0</v>
          </cell>
          <cell r="J155" t="str">
            <v>PR241001F5</v>
          </cell>
          <cell r="N155">
            <v>0.5</v>
          </cell>
          <cell r="T155" t="str">
            <v>net</v>
          </cell>
        </row>
        <row r="156">
          <cell r="C156" t="str">
            <v>155-0</v>
          </cell>
          <cell r="J156" t="str">
            <v>PR241005F5P3</v>
          </cell>
          <cell r="N156">
            <v>1.5</v>
          </cell>
          <cell r="T156" t="str">
            <v>net</v>
          </cell>
        </row>
        <row r="157">
          <cell r="C157" t="str">
            <v>156-0</v>
          </cell>
          <cell r="J157" t="str">
            <v>PR241005F5P3</v>
          </cell>
          <cell r="N157">
            <v>1.5</v>
          </cell>
          <cell r="T157" t="str">
            <v>net</v>
          </cell>
        </row>
        <row r="158">
          <cell r="C158" t="str">
            <v>157-0</v>
          </cell>
          <cell r="J158" t="str">
            <v>EX24010301V30</v>
          </cell>
          <cell r="N158">
            <v>27.3</v>
          </cell>
          <cell r="T158" t="str">
            <v>net</v>
          </cell>
        </row>
        <row r="159">
          <cell r="C159" t="str">
            <v>158-0</v>
          </cell>
          <cell r="J159" t="str">
            <v>DI22092601V60</v>
          </cell>
          <cell r="N159">
            <v>54.8</v>
          </cell>
          <cell r="T159" t="str">
            <v>net</v>
          </cell>
        </row>
        <row r="160">
          <cell r="C160" t="str">
            <v>159-0</v>
          </cell>
          <cell r="J160" t="str">
            <v>PR241002F5</v>
          </cell>
          <cell r="N160">
            <v>0.5</v>
          </cell>
          <cell r="T160" t="str">
            <v>net</v>
          </cell>
        </row>
        <row r="161">
          <cell r="C161" t="str">
            <v>160-0</v>
          </cell>
          <cell r="J161" t="str">
            <v>PR241002F5</v>
          </cell>
          <cell r="N161">
            <v>0.5</v>
          </cell>
          <cell r="T161" t="str">
            <v>net</v>
          </cell>
        </row>
        <row r="162">
          <cell r="C162" t="str">
            <v>161-0</v>
          </cell>
          <cell r="J162" t="str">
            <v>PR241002F5</v>
          </cell>
          <cell r="N162">
            <v>0.5</v>
          </cell>
          <cell r="T162" t="str">
            <v>net</v>
          </cell>
        </row>
        <row r="163">
          <cell r="C163" t="str">
            <v>162-0</v>
          </cell>
          <cell r="J163" t="str">
            <v>NA</v>
          </cell>
          <cell r="N163">
            <v>16805</v>
          </cell>
          <cell r="T163" t="str">
            <v>gross</v>
          </cell>
        </row>
        <row r="164">
          <cell r="C164" t="str">
            <v>163-0</v>
          </cell>
          <cell r="J164" t="str">
            <v>EX24070902V50</v>
          </cell>
          <cell r="N164">
            <v>50</v>
          </cell>
          <cell r="T164" t="str">
            <v>net</v>
          </cell>
        </row>
        <row r="165">
          <cell r="C165" t="str">
            <v>164-0</v>
          </cell>
          <cell r="J165" t="str">
            <v>EX24092601V50</v>
          </cell>
          <cell r="N165">
            <v>50</v>
          </cell>
          <cell r="T165" t="str">
            <v>net</v>
          </cell>
        </row>
        <row r="166">
          <cell r="C166" t="str">
            <v>165-0</v>
          </cell>
          <cell r="J166" t="str">
            <v>EX24092601V50</v>
          </cell>
          <cell r="N166">
            <v>50</v>
          </cell>
          <cell r="T166" t="str">
            <v>net</v>
          </cell>
        </row>
        <row r="167">
          <cell r="C167" t="str">
            <v>166-0</v>
          </cell>
          <cell r="J167" t="str">
            <v>EX24070901V50</v>
          </cell>
          <cell r="N167">
            <v>50</v>
          </cell>
          <cell r="T167" t="str">
            <v>net</v>
          </cell>
        </row>
        <row r="168">
          <cell r="C168" t="str">
            <v>167-0</v>
          </cell>
          <cell r="J168" t="str">
            <v>PR21062101</v>
          </cell>
          <cell r="N168">
            <v>0.01</v>
          </cell>
          <cell r="T168" t="str">
            <v>net</v>
          </cell>
        </row>
        <row r="169">
          <cell r="C169" t="str">
            <v>168-0</v>
          </cell>
          <cell r="J169" t="str">
            <v>PR210621</v>
          </cell>
          <cell r="N169">
            <v>0.01</v>
          </cell>
          <cell r="T169" t="str">
            <v>net</v>
          </cell>
        </row>
        <row r="170">
          <cell r="C170" t="str">
            <v>169-0</v>
          </cell>
          <cell r="J170" t="str">
            <v>PR21062101G5</v>
          </cell>
          <cell r="N170">
            <v>1.5</v>
          </cell>
          <cell r="T170" t="str">
            <v>net</v>
          </cell>
        </row>
        <row r="171">
          <cell r="C171" t="str">
            <v>170-0</v>
          </cell>
          <cell r="J171" t="str">
            <v>PR241003F5P3</v>
          </cell>
          <cell r="N171">
            <v>1.5</v>
          </cell>
          <cell r="T171" t="str">
            <v>net</v>
          </cell>
        </row>
        <row r="172">
          <cell r="C172" t="str">
            <v>171-0</v>
          </cell>
          <cell r="J172" t="str">
            <v>PR2411</v>
          </cell>
          <cell r="N172">
            <v>1574</v>
          </cell>
          <cell r="T172" t="str">
            <v>gross</v>
          </cell>
        </row>
        <row r="173">
          <cell r="C173" t="str">
            <v>172-0</v>
          </cell>
          <cell r="J173" t="str">
            <v>PR2411</v>
          </cell>
          <cell r="N173">
            <v>2712</v>
          </cell>
          <cell r="T173" t="str">
            <v>gross</v>
          </cell>
        </row>
        <row r="174">
          <cell r="C174" t="str">
            <v>173-0</v>
          </cell>
          <cell r="J174">
            <v>2024080701</v>
          </cell>
          <cell r="N174">
            <v>1000.3000000000001</v>
          </cell>
          <cell r="T174" t="str">
            <v>gross</v>
          </cell>
        </row>
        <row r="175">
          <cell r="C175" t="str">
            <v>174-0</v>
          </cell>
          <cell r="J175">
            <v>2024080701</v>
          </cell>
          <cell r="N175">
            <v>994.19999999999993</v>
          </cell>
          <cell r="T175" t="str">
            <v>gross</v>
          </cell>
        </row>
        <row r="176">
          <cell r="C176" t="str">
            <v>175-0</v>
          </cell>
          <cell r="J176">
            <v>2024080701</v>
          </cell>
          <cell r="N176">
            <v>998.40000000000009</v>
          </cell>
          <cell r="T176" t="str">
            <v>gross</v>
          </cell>
        </row>
        <row r="177">
          <cell r="C177" t="str">
            <v>176-0</v>
          </cell>
          <cell r="J177">
            <v>2024080701</v>
          </cell>
          <cell r="N177">
            <v>998.9</v>
          </cell>
          <cell r="T177" t="str">
            <v>gross</v>
          </cell>
        </row>
        <row r="178">
          <cell r="C178" t="str">
            <v>177-0</v>
          </cell>
          <cell r="J178">
            <v>2024080701</v>
          </cell>
          <cell r="N178">
            <v>992.00000000000011</v>
          </cell>
          <cell r="T178" t="str">
            <v>gross</v>
          </cell>
        </row>
        <row r="179">
          <cell r="C179" t="str">
            <v>178-0</v>
          </cell>
          <cell r="J179">
            <v>2024080701</v>
          </cell>
          <cell r="N179">
            <v>999.2</v>
          </cell>
          <cell r="T179" t="str">
            <v>gross</v>
          </cell>
        </row>
        <row r="180">
          <cell r="C180" t="str">
            <v>179-0</v>
          </cell>
          <cell r="J180">
            <v>2024080701</v>
          </cell>
          <cell r="N180">
            <v>486.80000000000007</v>
          </cell>
          <cell r="T180" t="str">
            <v>gross</v>
          </cell>
        </row>
        <row r="181">
          <cell r="C181" t="str">
            <v>180-0</v>
          </cell>
          <cell r="J181">
            <v>2024080701</v>
          </cell>
          <cell r="N181">
            <v>997.90000000000009</v>
          </cell>
          <cell r="T181" t="str">
            <v>gross</v>
          </cell>
        </row>
        <row r="182">
          <cell r="C182" t="str">
            <v>181-0</v>
          </cell>
          <cell r="J182">
            <v>2024080701</v>
          </cell>
          <cell r="N182">
            <v>991.59999999999991</v>
          </cell>
          <cell r="T182" t="str">
            <v>gross</v>
          </cell>
        </row>
        <row r="183">
          <cell r="C183" t="str">
            <v>182-0</v>
          </cell>
          <cell r="J183" t="str">
            <v>PR2411</v>
          </cell>
          <cell r="N183">
            <v>2004.7</v>
          </cell>
          <cell r="T183" t="str">
            <v>gross</v>
          </cell>
        </row>
        <row r="184">
          <cell r="C184" t="str">
            <v>183-0</v>
          </cell>
          <cell r="J184">
            <v>2024080702</v>
          </cell>
          <cell r="N184">
            <v>1498</v>
          </cell>
          <cell r="T184" t="str">
            <v>gross</v>
          </cell>
        </row>
        <row r="185">
          <cell r="C185" t="str">
            <v>184-0</v>
          </cell>
          <cell r="J185" t="str">
            <v>PR241003F5P3</v>
          </cell>
          <cell r="N185">
            <v>1.5</v>
          </cell>
          <cell r="T185" t="str">
            <v>net</v>
          </cell>
        </row>
        <row r="186">
          <cell r="C186" t="str">
            <v>185-0</v>
          </cell>
          <cell r="J186" t="str">
            <v>PR2411</v>
          </cell>
          <cell r="N186">
            <v>3472</v>
          </cell>
          <cell r="T186" t="str">
            <v>gross</v>
          </cell>
        </row>
        <row r="187">
          <cell r="C187" t="str">
            <v>186-0</v>
          </cell>
          <cell r="J187" t="str">
            <v>PR241003F5P3</v>
          </cell>
          <cell r="N187">
            <v>0.5</v>
          </cell>
          <cell r="T187" t="str">
            <v>net</v>
          </cell>
        </row>
        <row r="188">
          <cell r="C188" t="str">
            <v>187-0</v>
          </cell>
          <cell r="J188" t="str">
            <v>PR241003F5P3</v>
          </cell>
          <cell r="N188">
            <v>0.5</v>
          </cell>
          <cell r="T188" t="str">
            <v>net</v>
          </cell>
        </row>
        <row r="189">
          <cell r="C189" t="str">
            <v>188-0</v>
          </cell>
          <cell r="J189" t="str">
            <v>PR241003F5P3</v>
          </cell>
          <cell r="N189">
            <v>0.5</v>
          </cell>
          <cell r="T189" t="str">
            <v>net</v>
          </cell>
        </row>
        <row r="190">
          <cell r="C190" t="str">
            <v>189-0</v>
          </cell>
          <cell r="J190" t="str">
            <v>PR241003F5P3</v>
          </cell>
          <cell r="N190">
            <v>0.5</v>
          </cell>
          <cell r="T190" t="str">
            <v>net</v>
          </cell>
        </row>
        <row r="191">
          <cell r="C191" t="str">
            <v>190-0</v>
          </cell>
          <cell r="J191" t="str">
            <v>PR241005F5</v>
          </cell>
          <cell r="N191">
            <v>0.5</v>
          </cell>
          <cell r="T191" t="str">
            <v>net</v>
          </cell>
        </row>
        <row r="192">
          <cell r="C192" t="str">
            <v>191-0</v>
          </cell>
          <cell r="J192" t="str">
            <v>PR241005F5</v>
          </cell>
          <cell r="N192">
            <v>0.5</v>
          </cell>
          <cell r="T192" t="str">
            <v>net</v>
          </cell>
        </row>
        <row r="193">
          <cell r="C193" t="str">
            <v>192-0</v>
          </cell>
          <cell r="J193" t="str">
            <v>PR241005F5</v>
          </cell>
          <cell r="N193">
            <v>0.5</v>
          </cell>
          <cell r="T193" t="str">
            <v>net</v>
          </cell>
        </row>
        <row r="194">
          <cell r="C194" t="str">
            <v>193-0</v>
          </cell>
          <cell r="J194" t="str">
            <v>PR241005F5</v>
          </cell>
          <cell r="N194">
            <v>0.5</v>
          </cell>
          <cell r="T194" t="str">
            <v>net</v>
          </cell>
        </row>
        <row r="195">
          <cell r="C195" t="str">
            <v>194-0</v>
          </cell>
          <cell r="J195" t="str">
            <v>PR241005F5</v>
          </cell>
          <cell r="N195">
            <v>0.5</v>
          </cell>
          <cell r="T195" t="str">
            <v>net</v>
          </cell>
        </row>
        <row r="196">
          <cell r="C196" t="str">
            <v>195-0</v>
          </cell>
          <cell r="J196" t="str">
            <v>PR241005F5</v>
          </cell>
          <cell r="N196">
            <v>0.5</v>
          </cell>
          <cell r="T196" t="str">
            <v>net</v>
          </cell>
        </row>
        <row r="197">
          <cell r="C197" t="str">
            <v>196-0</v>
          </cell>
          <cell r="J197" t="str">
            <v>PR241005F5</v>
          </cell>
          <cell r="N197">
            <v>0.5</v>
          </cell>
          <cell r="T197" t="str">
            <v>net</v>
          </cell>
        </row>
        <row r="198">
          <cell r="C198" t="str">
            <v>197-0</v>
          </cell>
          <cell r="J198" t="str">
            <v>PR241005F5</v>
          </cell>
          <cell r="N198">
            <v>0.5</v>
          </cell>
          <cell r="T198" t="str">
            <v>net</v>
          </cell>
        </row>
        <row r="199">
          <cell r="C199" t="str">
            <v>198-0</v>
          </cell>
          <cell r="J199" t="str">
            <v>PR241005F5</v>
          </cell>
          <cell r="N199">
            <v>0.5</v>
          </cell>
          <cell r="T199" t="str">
            <v>net</v>
          </cell>
        </row>
        <row r="200">
          <cell r="C200" t="str">
            <v>199-0</v>
          </cell>
          <cell r="J200" t="str">
            <v>PR241005F5</v>
          </cell>
          <cell r="N200">
            <v>0.5</v>
          </cell>
          <cell r="T200" t="str">
            <v>net</v>
          </cell>
        </row>
        <row r="201">
          <cell r="C201" t="str">
            <v>200-0</v>
          </cell>
          <cell r="J201" t="str">
            <v>TP21121701</v>
          </cell>
          <cell r="N201">
            <v>120</v>
          </cell>
          <cell r="T201" t="str">
            <v>net</v>
          </cell>
        </row>
        <row r="202">
          <cell r="C202" t="str">
            <v>201-0</v>
          </cell>
          <cell r="J202" t="str">
            <v>TP21121701</v>
          </cell>
          <cell r="N202">
            <v>120</v>
          </cell>
          <cell r="T202" t="str">
            <v>net</v>
          </cell>
        </row>
        <row r="203">
          <cell r="C203" t="str">
            <v>202-0</v>
          </cell>
          <cell r="J203" t="str">
            <v>2022012401R1</v>
          </cell>
          <cell r="N203">
            <v>14</v>
          </cell>
          <cell r="T203" t="str">
            <v>net</v>
          </cell>
        </row>
        <row r="204">
          <cell r="C204" t="str">
            <v>203-0</v>
          </cell>
          <cell r="J204" t="str">
            <v>TP21121701</v>
          </cell>
          <cell r="N204">
            <v>14</v>
          </cell>
          <cell r="T204" t="str">
            <v>net</v>
          </cell>
        </row>
        <row r="205">
          <cell r="C205" t="str">
            <v>204-0</v>
          </cell>
          <cell r="J205" t="str">
            <v>TP21121701</v>
          </cell>
          <cell r="N205">
            <v>14</v>
          </cell>
          <cell r="T205" t="str">
            <v>net</v>
          </cell>
        </row>
        <row r="206">
          <cell r="C206" t="str">
            <v>205-0</v>
          </cell>
          <cell r="J206" t="str">
            <v>EX24061401V30</v>
          </cell>
          <cell r="N206">
            <v>27.3</v>
          </cell>
          <cell r="T206" t="str">
            <v>net</v>
          </cell>
        </row>
        <row r="207">
          <cell r="C207" t="str">
            <v>206-0</v>
          </cell>
          <cell r="J207" t="str">
            <v>EX22102601</v>
          </cell>
          <cell r="N207">
            <v>29.5</v>
          </cell>
          <cell r="T207" t="str">
            <v>net</v>
          </cell>
        </row>
        <row r="208">
          <cell r="C208" t="str">
            <v>207-0</v>
          </cell>
          <cell r="J208" t="str">
            <v>EX20190TCM</v>
          </cell>
          <cell r="N208">
            <v>29.5</v>
          </cell>
          <cell r="T208" t="str">
            <v>net</v>
          </cell>
        </row>
        <row r="209">
          <cell r="C209" t="str">
            <v>208-0</v>
          </cell>
          <cell r="J209" t="str">
            <v>EX20190TCBC</v>
          </cell>
          <cell r="N209">
            <v>29.5</v>
          </cell>
          <cell r="T209" t="str">
            <v>net</v>
          </cell>
        </row>
        <row r="210">
          <cell r="C210" t="str">
            <v>209-0</v>
          </cell>
          <cell r="J210" t="str">
            <v>EX23060701V30</v>
          </cell>
          <cell r="N210">
            <v>27.4</v>
          </cell>
          <cell r="T210" t="str">
            <v>net</v>
          </cell>
        </row>
        <row r="211">
          <cell r="C211" t="str">
            <v>210-0</v>
          </cell>
          <cell r="J211" t="str">
            <v>EX23060701V30</v>
          </cell>
          <cell r="N211">
            <v>27.4</v>
          </cell>
          <cell r="T211" t="str">
            <v>net</v>
          </cell>
        </row>
        <row r="212">
          <cell r="C212" t="str">
            <v>211-0</v>
          </cell>
          <cell r="J212" t="str">
            <v>EX23060701V30</v>
          </cell>
          <cell r="N212">
            <v>27.4</v>
          </cell>
          <cell r="T212" t="str">
            <v>net</v>
          </cell>
        </row>
        <row r="213">
          <cell r="C213" t="str">
            <v>212-0</v>
          </cell>
          <cell r="J213" t="str">
            <v>EX23060701V30</v>
          </cell>
          <cell r="N213">
            <v>27.4</v>
          </cell>
          <cell r="T213" t="str">
            <v>net</v>
          </cell>
        </row>
        <row r="214">
          <cell r="C214" t="str">
            <v>213-0</v>
          </cell>
          <cell r="J214" t="str">
            <v>EX23060701V30</v>
          </cell>
          <cell r="N214">
            <v>27.4</v>
          </cell>
          <cell r="T214" t="str">
            <v>net</v>
          </cell>
        </row>
        <row r="215">
          <cell r="C215" t="str">
            <v>214-0</v>
          </cell>
          <cell r="J215" t="str">
            <v>EX23060701V30</v>
          </cell>
          <cell r="N215">
            <v>27.4</v>
          </cell>
          <cell r="T215" t="str">
            <v>net</v>
          </cell>
        </row>
        <row r="216">
          <cell r="C216" t="str">
            <v>215-0</v>
          </cell>
          <cell r="J216" t="str">
            <v>EX23060701V30</v>
          </cell>
          <cell r="N216">
            <v>27.4</v>
          </cell>
          <cell r="T216" t="str">
            <v>net</v>
          </cell>
        </row>
        <row r="217">
          <cell r="C217" t="str">
            <v>216-0</v>
          </cell>
          <cell r="J217" t="str">
            <v>EX24051301V50</v>
          </cell>
          <cell r="N217">
            <v>50</v>
          </cell>
          <cell r="T217" t="str">
            <v>net</v>
          </cell>
        </row>
        <row r="218">
          <cell r="C218" t="str">
            <v>217-0</v>
          </cell>
          <cell r="J218" t="str">
            <v>EX24060501V50</v>
          </cell>
          <cell r="N218">
            <v>50</v>
          </cell>
          <cell r="T218" t="str">
            <v>net</v>
          </cell>
        </row>
        <row r="219">
          <cell r="C219" t="str">
            <v>218-0</v>
          </cell>
          <cell r="J219" t="str">
            <v>CIT001-B</v>
          </cell>
          <cell r="N219">
            <v>0</v>
          </cell>
          <cell r="T219" t="str">
            <v>net</v>
          </cell>
        </row>
        <row r="220">
          <cell r="C220" t="str">
            <v>219-0</v>
          </cell>
          <cell r="J220">
            <v>96</v>
          </cell>
          <cell r="N220">
            <v>0</v>
          </cell>
          <cell r="T220" t="str">
            <v>net</v>
          </cell>
        </row>
        <row r="221">
          <cell r="C221" t="str">
            <v>220-0</v>
          </cell>
          <cell r="J221" t="str">
            <v>PVK-001-8</v>
          </cell>
          <cell r="N221">
            <v>0</v>
          </cell>
          <cell r="T221" t="str">
            <v>net</v>
          </cell>
        </row>
        <row r="222">
          <cell r="C222" t="str">
            <v>221-0</v>
          </cell>
          <cell r="J222">
            <v>2021050301</v>
          </cell>
          <cell r="N222">
            <v>0</v>
          </cell>
          <cell r="T222" t="str">
            <v>net</v>
          </cell>
        </row>
        <row r="223">
          <cell r="C223" t="str">
            <v>222-0</v>
          </cell>
          <cell r="J223">
            <v>20210505301</v>
          </cell>
          <cell r="N223">
            <v>0</v>
          </cell>
          <cell r="T223" t="str">
            <v>net</v>
          </cell>
        </row>
        <row r="224">
          <cell r="C224" t="str">
            <v>223-0</v>
          </cell>
          <cell r="J224" t="str">
            <v>GS200219</v>
          </cell>
          <cell r="N224">
            <v>0</v>
          </cell>
          <cell r="T224" t="str">
            <v>net</v>
          </cell>
        </row>
        <row r="225">
          <cell r="C225" t="str">
            <v>224-0</v>
          </cell>
          <cell r="J225" t="str">
            <v>NA</v>
          </cell>
          <cell r="N225">
            <v>0</v>
          </cell>
          <cell r="T225" t="str">
            <v>net</v>
          </cell>
        </row>
        <row r="226">
          <cell r="C226" t="str">
            <v>225-0</v>
          </cell>
          <cell r="J226" t="str">
            <v>NA</v>
          </cell>
          <cell r="N226">
            <v>0</v>
          </cell>
          <cell r="T226" t="str">
            <v>net</v>
          </cell>
        </row>
        <row r="227">
          <cell r="C227" t="str">
            <v>226-0</v>
          </cell>
          <cell r="J227" t="str">
            <v>Batch 111</v>
          </cell>
          <cell r="N227">
            <v>0</v>
          </cell>
          <cell r="T227" t="str">
            <v>net</v>
          </cell>
        </row>
        <row r="228">
          <cell r="C228" t="str">
            <v>227-0</v>
          </cell>
          <cell r="J228">
            <v>2021030401</v>
          </cell>
          <cell r="N228">
            <v>0</v>
          </cell>
          <cell r="T228" t="str">
            <v>net</v>
          </cell>
        </row>
        <row r="229">
          <cell r="C229" t="str">
            <v>228-0</v>
          </cell>
          <cell r="J229" t="str">
            <v>OB191028</v>
          </cell>
          <cell r="N229">
            <v>0</v>
          </cell>
          <cell r="T229" t="str">
            <v>net</v>
          </cell>
        </row>
        <row r="230">
          <cell r="C230" t="str">
            <v>229-0</v>
          </cell>
          <cell r="J230" t="str">
            <v>NA</v>
          </cell>
          <cell r="N230">
            <v>0</v>
          </cell>
          <cell r="T230" t="str">
            <v>net</v>
          </cell>
        </row>
        <row r="231">
          <cell r="C231" t="str">
            <v>230-0</v>
          </cell>
          <cell r="J231" t="str">
            <v>GS200109</v>
          </cell>
          <cell r="N231">
            <v>0</v>
          </cell>
          <cell r="T231" t="str">
            <v>net</v>
          </cell>
        </row>
        <row r="232">
          <cell r="C232" t="str">
            <v>231-0</v>
          </cell>
          <cell r="J232" t="str">
            <v>NA</v>
          </cell>
          <cell r="N232">
            <v>0</v>
          </cell>
          <cell r="T232" t="str">
            <v>net</v>
          </cell>
        </row>
        <row r="233">
          <cell r="C233" t="str">
            <v>232-0</v>
          </cell>
          <cell r="J233">
            <v>2021022502</v>
          </cell>
          <cell r="N233">
            <v>0</v>
          </cell>
          <cell r="T233" t="str">
            <v>net</v>
          </cell>
        </row>
        <row r="234">
          <cell r="C234" t="str">
            <v>233-0</v>
          </cell>
          <cell r="J234" t="str">
            <v>NA</v>
          </cell>
          <cell r="N234">
            <v>0</v>
          </cell>
          <cell r="T234" t="str">
            <v>net</v>
          </cell>
        </row>
        <row r="235">
          <cell r="C235" t="str">
            <v>234-0</v>
          </cell>
          <cell r="J235" t="str">
            <v>NA</v>
          </cell>
          <cell r="N235">
            <v>0</v>
          </cell>
          <cell r="T235" t="str">
            <v>net</v>
          </cell>
        </row>
        <row r="236">
          <cell r="C236" t="str">
            <v>235-0</v>
          </cell>
          <cell r="J236" t="str">
            <v>GS200109</v>
          </cell>
          <cell r="N236">
            <v>0</v>
          </cell>
          <cell r="T236" t="str">
            <v>net</v>
          </cell>
        </row>
        <row r="237">
          <cell r="C237" t="str">
            <v>236-0</v>
          </cell>
          <cell r="J237" t="str">
            <v>PNK001-B</v>
          </cell>
          <cell r="N237">
            <v>0</v>
          </cell>
          <cell r="T237" t="str">
            <v>net</v>
          </cell>
        </row>
        <row r="238">
          <cell r="C238" t="str">
            <v>237-0</v>
          </cell>
          <cell r="J238" t="str">
            <v>CIT001-B</v>
          </cell>
          <cell r="N238">
            <v>0</v>
          </cell>
          <cell r="T238" t="str">
            <v>net</v>
          </cell>
        </row>
        <row r="239">
          <cell r="C239" t="str">
            <v>238-0</v>
          </cell>
          <cell r="J239" t="str">
            <v>NA</v>
          </cell>
          <cell r="N239">
            <v>0</v>
          </cell>
          <cell r="T239" t="str">
            <v>net</v>
          </cell>
        </row>
        <row r="240">
          <cell r="C240" t="str">
            <v>239-0</v>
          </cell>
          <cell r="J240" t="str">
            <v>OB191028</v>
          </cell>
          <cell r="N240">
            <v>0</v>
          </cell>
          <cell r="T240" t="str">
            <v>net</v>
          </cell>
        </row>
        <row r="241">
          <cell r="C241" t="str">
            <v>240-0</v>
          </cell>
          <cell r="J241" t="str">
            <v>NA</v>
          </cell>
          <cell r="N241">
            <v>0</v>
          </cell>
          <cell r="T241" t="str">
            <v>net</v>
          </cell>
        </row>
        <row r="242">
          <cell r="C242" t="str">
            <v>241-0</v>
          </cell>
          <cell r="J242">
            <v>96</v>
          </cell>
          <cell r="N242">
            <v>0</v>
          </cell>
          <cell r="T242" t="str">
            <v>net</v>
          </cell>
        </row>
        <row r="243">
          <cell r="C243" t="str">
            <v>242-0</v>
          </cell>
          <cell r="J243" t="str">
            <v>2021082601R1</v>
          </cell>
          <cell r="N243">
            <v>3.5</v>
          </cell>
          <cell r="T243" t="str">
            <v>net</v>
          </cell>
        </row>
        <row r="244">
          <cell r="C244" t="str">
            <v>243-0</v>
          </cell>
          <cell r="J244" t="str">
            <v>2021082601R1</v>
          </cell>
          <cell r="N244">
            <v>3.5</v>
          </cell>
          <cell r="T244" t="str">
            <v>net</v>
          </cell>
        </row>
        <row r="245">
          <cell r="C245" t="str">
            <v>244-0</v>
          </cell>
          <cell r="J245" t="str">
            <v>2021082601R1</v>
          </cell>
          <cell r="N245">
            <v>3.5</v>
          </cell>
          <cell r="T245" t="str">
            <v>net</v>
          </cell>
        </row>
        <row r="246">
          <cell r="C246" t="str">
            <v>245-0</v>
          </cell>
          <cell r="J246">
            <v>2024030601</v>
          </cell>
          <cell r="N246">
            <v>77.8</v>
          </cell>
          <cell r="T246" t="str">
            <v>gross</v>
          </cell>
        </row>
        <row r="247">
          <cell r="C247" t="str">
            <v>246-0</v>
          </cell>
          <cell r="J247">
            <v>2024030601</v>
          </cell>
          <cell r="N247">
            <v>649.90000000000009</v>
          </cell>
          <cell r="T247" t="str">
            <v>gross</v>
          </cell>
        </row>
        <row r="248">
          <cell r="C248" t="str">
            <v>247-0</v>
          </cell>
          <cell r="J248">
            <v>2022082401</v>
          </cell>
          <cell r="N248">
            <v>156</v>
          </cell>
          <cell r="T248" t="str">
            <v>gross</v>
          </cell>
        </row>
        <row r="249">
          <cell r="C249" t="str">
            <v>248-0</v>
          </cell>
          <cell r="J249">
            <v>2024041901</v>
          </cell>
          <cell r="N249">
            <v>22</v>
          </cell>
          <cell r="T249" t="str">
            <v>gross</v>
          </cell>
        </row>
        <row r="250">
          <cell r="C250" t="str">
            <v>249-0</v>
          </cell>
          <cell r="J250">
            <v>2022053101</v>
          </cell>
          <cell r="N250">
            <v>144.70000000000005</v>
          </cell>
          <cell r="T250" t="str">
            <v>gross</v>
          </cell>
        </row>
        <row r="251">
          <cell r="C251" t="str">
            <v>250-0</v>
          </cell>
          <cell r="J251">
            <v>2021110501</v>
          </cell>
          <cell r="N251">
            <v>45.200000000000045</v>
          </cell>
          <cell r="T251" t="str">
            <v>gross</v>
          </cell>
        </row>
        <row r="252">
          <cell r="C252" t="str">
            <v>251-0</v>
          </cell>
          <cell r="J252">
            <v>2024050601</v>
          </cell>
          <cell r="N252">
            <v>28.599999999999994</v>
          </cell>
          <cell r="T252" t="str">
            <v>gross</v>
          </cell>
        </row>
        <row r="253">
          <cell r="C253" t="str">
            <v>252-0</v>
          </cell>
          <cell r="J253">
            <v>2024022201</v>
          </cell>
          <cell r="N253">
            <v>38.320000000000007</v>
          </cell>
          <cell r="T253" t="str">
            <v>gross</v>
          </cell>
        </row>
        <row r="254">
          <cell r="C254" t="str">
            <v>253-0</v>
          </cell>
          <cell r="J254">
            <v>2024101701</v>
          </cell>
          <cell r="N254">
            <v>248</v>
          </cell>
          <cell r="T254" t="str">
            <v>gross</v>
          </cell>
        </row>
        <row r="255">
          <cell r="C255" t="str">
            <v>254-0</v>
          </cell>
          <cell r="J255" t="str">
            <v>EX24061401V30</v>
          </cell>
          <cell r="N255">
            <v>27.3</v>
          </cell>
          <cell r="T255" t="str">
            <v>net</v>
          </cell>
        </row>
        <row r="256">
          <cell r="C256" t="str">
            <v>255-0</v>
          </cell>
          <cell r="J256" t="str">
            <v>EX24080601V50</v>
          </cell>
          <cell r="N256">
            <v>151</v>
          </cell>
          <cell r="T256" t="str">
            <v>net</v>
          </cell>
        </row>
        <row r="257">
          <cell r="C257" t="str">
            <v>256-0</v>
          </cell>
          <cell r="J257" t="str">
            <v>EX24080601V50</v>
          </cell>
          <cell r="N257">
            <v>50</v>
          </cell>
          <cell r="T257" t="str">
            <v>net</v>
          </cell>
        </row>
        <row r="258">
          <cell r="C258" t="str">
            <v>257-0</v>
          </cell>
          <cell r="J258">
            <v>2024082701</v>
          </cell>
          <cell r="N258">
            <v>142.50000000000003</v>
          </cell>
          <cell r="T258" t="str">
            <v>gross</v>
          </cell>
        </row>
        <row r="259">
          <cell r="C259" t="str">
            <v>258-0</v>
          </cell>
          <cell r="J259" t="str">
            <v>2022012401R1</v>
          </cell>
          <cell r="N259">
            <v>63.49</v>
          </cell>
          <cell r="T259" t="str">
            <v>gross</v>
          </cell>
        </row>
        <row r="260">
          <cell r="C260" t="str">
            <v>259-0</v>
          </cell>
          <cell r="J260" t="str">
            <v>TP24041201</v>
          </cell>
          <cell r="N260">
            <v>88</v>
          </cell>
          <cell r="T260" t="str">
            <v>net</v>
          </cell>
        </row>
        <row r="261">
          <cell r="C261" t="str">
            <v>260-0</v>
          </cell>
          <cell r="J261" t="str">
            <v>PR241002F5P3</v>
          </cell>
          <cell r="N261">
            <v>1.5</v>
          </cell>
          <cell r="T261" t="str">
            <v>net</v>
          </cell>
        </row>
        <row r="262">
          <cell r="C262" t="str">
            <v>261-0</v>
          </cell>
          <cell r="J262" t="str">
            <v>PR241102F5P3</v>
          </cell>
          <cell r="N262">
            <v>1.5</v>
          </cell>
          <cell r="T262" t="str">
            <v>net</v>
          </cell>
        </row>
        <row r="263">
          <cell r="C263" t="str">
            <v>262-0</v>
          </cell>
          <cell r="J263" t="str">
            <v>PR2407F5</v>
          </cell>
          <cell r="N263">
            <v>0.5</v>
          </cell>
          <cell r="T263" t="str">
            <v>net</v>
          </cell>
        </row>
        <row r="264">
          <cell r="C264" t="str">
            <v>263-0</v>
          </cell>
          <cell r="J264" t="str">
            <v>PR241003F5</v>
          </cell>
          <cell r="N264">
            <v>0.5</v>
          </cell>
          <cell r="T264" t="str">
            <v>net</v>
          </cell>
        </row>
        <row r="265">
          <cell r="C265" t="str">
            <v>264-0</v>
          </cell>
          <cell r="J265" t="str">
            <v>PR241003F5</v>
          </cell>
          <cell r="N265">
            <v>0.5</v>
          </cell>
          <cell r="T265" t="str">
            <v>net</v>
          </cell>
        </row>
        <row r="266">
          <cell r="C266" t="str">
            <v>265-0</v>
          </cell>
          <cell r="J266" t="str">
            <v>CPR22102101G1</v>
          </cell>
          <cell r="N266">
            <v>1</v>
          </cell>
          <cell r="T266" t="str">
            <v>net</v>
          </cell>
        </row>
        <row r="267">
          <cell r="C267" t="str">
            <v>266-0</v>
          </cell>
          <cell r="J267" t="str">
            <v>CPR22102101G1</v>
          </cell>
          <cell r="N267">
            <v>1</v>
          </cell>
          <cell r="T267" t="str">
            <v>net</v>
          </cell>
        </row>
        <row r="268">
          <cell r="C268" t="str">
            <v>267-0</v>
          </cell>
          <cell r="J268" t="str">
            <v>PR241003F5</v>
          </cell>
          <cell r="N268">
            <v>0.5</v>
          </cell>
          <cell r="T268" t="str">
            <v>net</v>
          </cell>
        </row>
        <row r="269">
          <cell r="C269" t="str">
            <v>268-0</v>
          </cell>
          <cell r="J269" t="str">
            <v>PR241003F5</v>
          </cell>
          <cell r="N269">
            <v>0.5</v>
          </cell>
          <cell r="T269" t="str">
            <v>net</v>
          </cell>
        </row>
        <row r="270">
          <cell r="C270" t="str">
            <v>269-0</v>
          </cell>
          <cell r="J270" t="str">
            <v>PR241003F5</v>
          </cell>
          <cell r="N270">
            <v>0.5</v>
          </cell>
          <cell r="T270" t="str">
            <v>net</v>
          </cell>
        </row>
        <row r="271">
          <cell r="C271" t="str">
            <v>270-0</v>
          </cell>
          <cell r="J271" t="str">
            <v>PR241003F5</v>
          </cell>
          <cell r="N271">
            <v>0.5</v>
          </cell>
          <cell r="T271" t="str">
            <v>net</v>
          </cell>
        </row>
        <row r="272">
          <cell r="C272" t="str">
            <v>271-0</v>
          </cell>
          <cell r="J272" t="str">
            <v>2021082601R1</v>
          </cell>
          <cell r="N272">
            <v>3.5</v>
          </cell>
          <cell r="T272" t="str">
            <v>net</v>
          </cell>
        </row>
        <row r="273">
          <cell r="C273" t="str">
            <v>272-0</v>
          </cell>
          <cell r="J273" t="str">
            <v>2021082601R1</v>
          </cell>
          <cell r="N273">
            <v>3.5</v>
          </cell>
          <cell r="T273" t="str">
            <v>net</v>
          </cell>
        </row>
        <row r="274">
          <cell r="C274" t="str">
            <v>273-0</v>
          </cell>
          <cell r="J274" t="str">
            <v>2021082601R1</v>
          </cell>
          <cell r="N274">
            <v>3.5</v>
          </cell>
          <cell r="T274" t="str">
            <v>net</v>
          </cell>
        </row>
        <row r="275">
          <cell r="C275" t="str">
            <v>274-0</v>
          </cell>
          <cell r="J275" t="str">
            <v>BS23041701G180</v>
          </cell>
          <cell r="N275">
            <v>180</v>
          </cell>
          <cell r="T275" t="str">
            <v>net</v>
          </cell>
        </row>
        <row r="276">
          <cell r="C276" t="str">
            <v>275-0</v>
          </cell>
          <cell r="J276" t="str">
            <v>EX24090501</v>
          </cell>
          <cell r="N276">
            <v>17470</v>
          </cell>
          <cell r="T276" t="str">
            <v>gross</v>
          </cell>
        </row>
        <row r="277">
          <cell r="C277" t="str">
            <v>276-0</v>
          </cell>
          <cell r="J277" t="str">
            <v>EX24090501</v>
          </cell>
          <cell r="N277">
            <v>17475</v>
          </cell>
          <cell r="T277" t="str">
            <v>gross</v>
          </cell>
        </row>
        <row r="278">
          <cell r="C278" t="str">
            <v>277-0</v>
          </cell>
          <cell r="J278" t="str">
            <v>PR2407F5P2</v>
          </cell>
          <cell r="N278">
            <v>1</v>
          </cell>
          <cell r="T278" t="str">
            <v>net</v>
          </cell>
        </row>
        <row r="279">
          <cell r="C279" t="str">
            <v>278-0</v>
          </cell>
          <cell r="J279" t="str">
            <v>PR241005F5P3</v>
          </cell>
          <cell r="N279">
            <v>1.5</v>
          </cell>
          <cell r="T279" t="str">
            <v>net</v>
          </cell>
        </row>
        <row r="280">
          <cell r="C280" t="str">
            <v>279-0</v>
          </cell>
          <cell r="J280" t="str">
            <v>PR241005F5P3</v>
          </cell>
          <cell r="N280">
            <v>1.5</v>
          </cell>
          <cell r="T280" t="str">
            <v>net</v>
          </cell>
        </row>
        <row r="281">
          <cell r="C281" t="str">
            <v>280-0</v>
          </cell>
          <cell r="J281" t="str">
            <v>PR241105F5P3</v>
          </cell>
          <cell r="N281">
            <v>1.5</v>
          </cell>
          <cell r="T281" t="str">
            <v>net</v>
          </cell>
        </row>
        <row r="282">
          <cell r="C282" t="str">
            <v>281-0</v>
          </cell>
          <cell r="J282" t="str">
            <v>PR241105F5P3</v>
          </cell>
          <cell r="N282">
            <v>1.5</v>
          </cell>
          <cell r="T282" t="str">
            <v>net</v>
          </cell>
        </row>
        <row r="283">
          <cell r="C283" t="str">
            <v>282-0</v>
          </cell>
          <cell r="J283" t="str">
            <v>PR241105F5P3</v>
          </cell>
          <cell r="N283">
            <v>1.5</v>
          </cell>
          <cell r="T283" t="str">
            <v>net</v>
          </cell>
        </row>
        <row r="284">
          <cell r="C284" t="str">
            <v>283-0</v>
          </cell>
          <cell r="J284" t="str">
            <v>PR241105F5P3</v>
          </cell>
          <cell r="N284">
            <v>1.5</v>
          </cell>
          <cell r="T284" t="str">
            <v>net</v>
          </cell>
        </row>
        <row r="285">
          <cell r="C285" t="str">
            <v>284-0</v>
          </cell>
          <cell r="J285" t="str">
            <v>PR241105F5P3</v>
          </cell>
          <cell r="N285">
            <v>1.5</v>
          </cell>
          <cell r="T285" t="str">
            <v>net</v>
          </cell>
        </row>
        <row r="286">
          <cell r="C286" t="str">
            <v>285-0</v>
          </cell>
          <cell r="J286" t="str">
            <v>EX24090501V50</v>
          </cell>
          <cell r="N286">
            <v>50</v>
          </cell>
          <cell r="T286" t="str">
            <v>net</v>
          </cell>
        </row>
        <row r="287">
          <cell r="C287" t="str">
            <v>286-0</v>
          </cell>
          <cell r="J287" t="str">
            <v>EX24090501V50</v>
          </cell>
          <cell r="N287">
            <v>50</v>
          </cell>
          <cell r="T287" t="str">
            <v>net</v>
          </cell>
        </row>
        <row r="288">
          <cell r="C288" t="str">
            <v>287-0</v>
          </cell>
          <cell r="J288" t="str">
            <v>EX24090501V50</v>
          </cell>
          <cell r="N288">
            <v>50</v>
          </cell>
          <cell r="T288" t="str">
            <v>net</v>
          </cell>
        </row>
        <row r="289">
          <cell r="C289" t="str">
            <v>288-0</v>
          </cell>
          <cell r="J289" t="str">
            <v>2021082601R1</v>
          </cell>
          <cell r="N289">
            <v>3.5</v>
          </cell>
          <cell r="T289" t="str">
            <v>net</v>
          </cell>
        </row>
        <row r="290">
          <cell r="C290" t="str">
            <v>289-0</v>
          </cell>
          <cell r="J290" t="str">
            <v>2021082601R1</v>
          </cell>
          <cell r="N290">
            <v>3.5</v>
          </cell>
          <cell r="T290" t="str">
            <v>net</v>
          </cell>
        </row>
        <row r="291">
          <cell r="C291" t="str">
            <v>290-0</v>
          </cell>
          <cell r="J291" t="str">
            <v>2021082601R1</v>
          </cell>
          <cell r="N291">
            <v>3.5</v>
          </cell>
          <cell r="T291" t="str">
            <v>net</v>
          </cell>
        </row>
        <row r="292">
          <cell r="C292" t="str">
            <v>291-0</v>
          </cell>
          <cell r="J292" t="str">
            <v>2021082601R1</v>
          </cell>
          <cell r="N292">
            <v>3.5</v>
          </cell>
          <cell r="T292" t="str">
            <v>net</v>
          </cell>
        </row>
        <row r="293">
          <cell r="C293" t="str">
            <v>292-0</v>
          </cell>
          <cell r="J293" t="str">
            <v>2021082601R1</v>
          </cell>
          <cell r="N293">
            <v>3.5</v>
          </cell>
          <cell r="T293" t="str">
            <v>net</v>
          </cell>
        </row>
        <row r="294">
          <cell r="C294" t="str">
            <v>293-0</v>
          </cell>
          <cell r="J294" t="str">
            <v>2021082601R1</v>
          </cell>
          <cell r="N294">
            <v>3.5</v>
          </cell>
          <cell r="T294" t="str">
            <v>net</v>
          </cell>
        </row>
        <row r="295">
          <cell r="C295" t="str">
            <v>294-0</v>
          </cell>
          <cell r="J295" t="str">
            <v>EX24082903G05</v>
          </cell>
          <cell r="N295">
            <v>0.5</v>
          </cell>
          <cell r="T295" t="str">
            <v>net</v>
          </cell>
        </row>
        <row r="296">
          <cell r="C296" t="str">
            <v>295-0</v>
          </cell>
          <cell r="J296" t="str">
            <v>EX24082903</v>
          </cell>
          <cell r="N296">
            <v>0.5</v>
          </cell>
          <cell r="T296" t="str">
            <v>net</v>
          </cell>
        </row>
        <row r="297">
          <cell r="C297" t="str">
            <v>296-0</v>
          </cell>
          <cell r="J297" t="str">
            <v>EX24082903G05</v>
          </cell>
          <cell r="N297">
            <v>0.5</v>
          </cell>
          <cell r="T297" t="str">
            <v>net</v>
          </cell>
        </row>
        <row r="298">
          <cell r="C298" t="str">
            <v>297-0</v>
          </cell>
          <cell r="J298" t="str">
            <v>EX24082902G05</v>
          </cell>
          <cell r="N298">
            <v>0.5</v>
          </cell>
          <cell r="T298" t="str">
            <v>net</v>
          </cell>
        </row>
        <row r="299">
          <cell r="C299" t="str">
            <v>298-0</v>
          </cell>
          <cell r="J299" t="str">
            <v>EX24082901G05</v>
          </cell>
          <cell r="N299">
            <v>0.5</v>
          </cell>
          <cell r="T299" t="str">
            <v>net</v>
          </cell>
        </row>
        <row r="300">
          <cell r="C300" t="str">
            <v>299-0</v>
          </cell>
          <cell r="J300" t="str">
            <v>EX24082904G05</v>
          </cell>
          <cell r="N300">
            <v>0.5</v>
          </cell>
          <cell r="T300" t="str">
            <v>net</v>
          </cell>
        </row>
        <row r="301">
          <cell r="C301" t="str">
            <v>300-0</v>
          </cell>
          <cell r="J301" t="str">
            <v>EX24082904G05</v>
          </cell>
          <cell r="N301">
            <v>0.5</v>
          </cell>
          <cell r="T301" t="str">
            <v>net</v>
          </cell>
        </row>
        <row r="302">
          <cell r="C302" t="str">
            <v>301-0</v>
          </cell>
          <cell r="J302" t="str">
            <v>EX24082904G05</v>
          </cell>
          <cell r="N302">
            <v>0.5</v>
          </cell>
          <cell r="T302" t="str">
            <v>net</v>
          </cell>
        </row>
        <row r="303">
          <cell r="C303" t="str">
            <v>302-0</v>
          </cell>
          <cell r="J303">
            <v>96</v>
          </cell>
          <cell r="N303">
            <v>2369</v>
          </cell>
          <cell r="T303" t="str">
            <v>gross</v>
          </cell>
        </row>
        <row r="304">
          <cell r="C304" t="str">
            <v>303-0</v>
          </cell>
          <cell r="J304" t="str">
            <v>CHHT</v>
          </cell>
          <cell r="N304">
            <v>436</v>
          </cell>
          <cell r="T304" t="str">
            <v>gross</v>
          </cell>
        </row>
        <row r="305">
          <cell r="C305" t="str">
            <v>304-0</v>
          </cell>
          <cell r="J305" t="str">
            <v>501L2B1</v>
          </cell>
          <cell r="N305">
            <v>1005</v>
          </cell>
          <cell r="T305" t="str">
            <v>gross</v>
          </cell>
        </row>
        <row r="306">
          <cell r="C306" t="str">
            <v>305-0</v>
          </cell>
          <cell r="J306">
            <v>2203010</v>
          </cell>
          <cell r="N306">
            <v>234.4</v>
          </cell>
          <cell r="T306" t="str">
            <v>gross</v>
          </cell>
        </row>
        <row r="307">
          <cell r="C307" t="str">
            <v>306-0</v>
          </cell>
          <cell r="J307" t="str">
            <v>501L2B1</v>
          </cell>
          <cell r="N307">
            <v>620</v>
          </cell>
          <cell r="T307" t="str">
            <v>gross</v>
          </cell>
        </row>
        <row r="308">
          <cell r="C308" t="str">
            <v>307-0</v>
          </cell>
          <cell r="J308" t="str">
            <v>501L2B1</v>
          </cell>
          <cell r="N308">
            <v>1005</v>
          </cell>
          <cell r="T308" t="str">
            <v>gross</v>
          </cell>
        </row>
        <row r="309">
          <cell r="C309" t="str">
            <v>308-0</v>
          </cell>
          <cell r="J309" t="str">
            <v>501L2B1</v>
          </cell>
          <cell r="N309">
            <v>1003</v>
          </cell>
          <cell r="T309" t="str">
            <v>gross</v>
          </cell>
        </row>
        <row r="310">
          <cell r="C310" t="str">
            <v>309-0</v>
          </cell>
          <cell r="J310" t="str">
            <v>MK01151902</v>
          </cell>
          <cell r="N310">
            <v>1828</v>
          </cell>
          <cell r="T310" t="str">
            <v>gross</v>
          </cell>
        </row>
        <row r="311">
          <cell r="C311" t="str">
            <v>310-0</v>
          </cell>
          <cell r="J311" t="str">
            <v>501L2B1</v>
          </cell>
          <cell r="N311">
            <v>1007</v>
          </cell>
          <cell r="T311" t="str">
            <v>gross</v>
          </cell>
        </row>
        <row r="312">
          <cell r="C312" t="str">
            <v>311-0</v>
          </cell>
          <cell r="J312">
            <v>2203010</v>
          </cell>
          <cell r="N312">
            <v>300</v>
          </cell>
          <cell r="T312" t="str">
            <v>gross</v>
          </cell>
        </row>
        <row r="313">
          <cell r="C313" t="str">
            <v>312-0</v>
          </cell>
          <cell r="J313" t="str">
            <v>GS200109</v>
          </cell>
          <cell r="N313">
            <v>7451</v>
          </cell>
          <cell r="T313" t="str">
            <v>gross</v>
          </cell>
        </row>
        <row r="314">
          <cell r="C314" t="str">
            <v>313-0</v>
          </cell>
          <cell r="J314">
            <v>2021120901</v>
          </cell>
          <cell r="N314">
            <v>500</v>
          </cell>
          <cell r="T314" t="str">
            <v>gross</v>
          </cell>
        </row>
        <row r="315">
          <cell r="C315" t="str">
            <v>314-0</v>
          </cell>
          <cell r="J315" t="str">
            <v>2022012401R1</v>
          </cell>
          <cell r="N315">
            <v>758</v>
          </cell>
          <cell r="T315" t="str">
            <v>gross</v>
          </cell>
        </row>
        <row r="316">
          <cell r="C316" t="str">
            <v>315-0</v>
          </cell>
          <cell r="J316">
            <v>2022080201</v>
          </cell>
          <cell r="N316">
            <v>68</v>
          </cell>
          <cell r="T316" t="str">
            <v>gross</v>
          </cell>
        </row>
        <row r="317">
          <cell r="C317" t="str">
            <v>316-0</v>
          </cell>
          <cell r="J317">
            <v>2022091603</v>
          </cell>
          <cell r="N317">
            <v>36.03</v>
          </cell>
          <cell r="T317" t="str">
            <v>gross</v>
          </cell>
        </row>
        <row r="318">
          <cell r="C318" t="str">
            <v>317-0</v>
          </cell>
          <cell r="J318" t="str">
            <v>TO21101301</v>
          </cell>
          <cell r="N318">
            <v>75</v>
          </cell>
          <cell r="T318" t="str">
            <v>net</v>
          </cell>
        </row>
        <row r="319">
          <cell r="C319" t="str">
            <v>318-0</v>
          </cell>
          <cell r="J319" t="str">
            <v>EX24080601V50</v>
          </cell>
          <cell r="N319">
            <v>50</v>
          </cell>
          <cell r="T319" t="str">
            <v>net</v>
          </cell>
        </row>
        <row r="320">
          <cell r="C320" t="str">
            <v>319-0</v>
          </cell>
          <cell r="J320" t="str">
            <v>EX24080601V50</v>
          </cell>
          <cell r="N320">
            <v>600</v>
          </cell>
          <cell r="T320" t="str">
            <v>net</v>
          </cell>
        </row>
        <row r="321">
          <cell r="C321" t="str">
            <v>320-0</v>
          </cell>
          <cell r="J321" t="str">
            <v>EX24070901V50</v>
          </cell>
          <cell r="N321">
            <v>600</v>
          </cell>
          <cell r="T321" t="str">
            <v>net</v>
          </cell>
        </row>
        <row r="322">
          <cell r="C322" t="str">
            <v>321-0</v>
          </cell>
          <cell r="J322" t="str">
            <v>PR21071201G1</v>
          </cell>
          <cell r="N322">
            <v>1</v>
          </cell>
          <cell r="T322" t="str">
            <v>net</v>
          </cell>
        </row>
        <row r="323">
          <cell r="C323" t="str">
            <v>322-0</v>
          </cell>
          <cell r="J323" t="str">
            <v>PR241101F5P3</v>
          </cell>
          <cell r="N323">
            <v>1.5</v>
          </cell>
          <cell r="T323" t="str">
            <v>net</v>
          </cell>
        </row>
        <row r="324">
          <cell r="C324" t="str">
            <v>323-0</v>
          </cell>
          <cell r="J324" t="str">
            <v>PR241003F5P3</v>
          </cell>
          <cell r="N324">
            <v>1.5</v>
          </cell>
          <cell r="T324" t="str">
            <v>net</v>
          </cell>
        </row>
        <row r="325">
          <cell r="C325" t="str">
            <v>324-0</v>
          </cell>
          <cell r="J325" t="str">
            <v>PR241003F5P3</v>
          </cell>
          <cell r="N325">
            <v>1.5</v>
          </cell>
          <cell r="T325" t="str">
            <v>net</v>
          </cell>
        </row>
        <row r="326">
          <cell r="C326" t="str">
            <v>325-0</v>
          </cell>
          <cell r="J326" t="str">
            <v>EX24082905G05</v>
          </cell>
          <cell r="N326">
            <v>0.5</v>
          </cell>
          <cell r="T326" t="str">
            <v>net</v>
          </cell>
        </row>
        <row r="327">
          <cell r="C327" t="str">
            <v>326-0</v>
          </cell>
          <cell r="J327" t="str">
            <v>EX24082905G05</v>
          </cell>
          <cell r="N327">
            <v>0.5</v>
          </cell>
          <cell r="T327" t="str">
            <v>net</v>
          </cell>
        </row>
        <row r="328">
          <cell r="C328" t="str">
            <v>327-0</v>
          </cell>
          <cell r="J328" t="str">
            <v>EX24082905G05</v>
          </cell>
          <cell r="N328">
            <v>0.5</v>
          </cell>
          <cell r="T328" t="str">
            <v>net</v>
          </cell>
        </row>
        <row r="329">
          <cell r="C329" t="str">
            <v>328-0</v>
          </cell>
          <cell r="J329" t="str">
            <v>EX24082904G05</v>
          </cell>
          <cell r="N329">
            <v>0.5</v>
          </cell>
          <cell r="T329" t="str">
            <v>net</v>
          </cell>
        </row>
        <row r="330">
          <cell r="C330" t="str">
            <v>329-0</v>
          </cell>
          <cell r="J330" t="str">
            <v>EX24082901</v>
          </cell>
          <cell r="N330">
            <v>3.1000000000000227</v>
          </cell>
          <cell r="T330" t="str">
            <v>gross</v>
          </cell>
        </row>
        <row r="331">
          <cell r="C331" t="str">
            <v>330-0</v>
          </cell>
          <cell r="J331" t="str">
            <v>EX24082903</v>
          </cell>
          <cell r="N331">
            <v>336.29999999999995</v>
          </cell>
          <cell r="T331" t="str">
            <v>gross</v>
          </cell>
        </row>
        <row r="332">
          <cell r="C332" t="str">
            <v>331-0</v>
          </cell>
          <cell r="J332" t="str">
            <v>EX24082906</v>
          </cell>
          <cell r="N332">
            <v>0.5</v>
          </cell>
          <cell r="T332" t="str">
            <v>net</v>
          </cell>
        </row>
        <row r="333">
          <cell r="C333" t="str">
            <v>332-0</v>
          </cell>
          <cell r="J333" t="str">
            <v>EX24082904G05</v>
          </cell>
          <cell r="N333">
            <v>0.5</v>
          </cell>
          <cell r="T333" t="str">
            <v>net</v>
          </cell>
        </row>
        <row r="334">
          <cell r="C334" t="str">
            <v>333-0</v>
          </cell>
          <cell r="J334" t="str">
            <v>EX24082905G05</v>
          </cell>
          <cell r="N334">
            <v>0.5</v>
          </cell>
          <cell r="T334" t="str">
            <v>net</v>
          </cell>
        </row>
        <row r="335">
          <cell r="C335" t="str">
            <v>334-0</v>
          </cell>
          <cell r="J335" t="str">
            <v>EX24082903G05</v>
          </cell>
          <cell r="N335">
            <v>0.5</v>
          </cell>
          <cell r="T335" t="str">
            <v>net</v>
          </cell>
        </row>
        <row r="336">
          <cell r="C336" t="str">
            <v>335-0</v>
          </cell>
          <cell r="J336">
            <v>2024092003</v>
          </cell>
          <cell r="N336">
            <v>3000</v>
          </cell>
          <cell r="T336" t="str">
            <v>gross</v>
          </cell>
        </row>
        <row r="337">
          <cell r="C337" t="str">
            <v>336-0</v>
          </cell>
          <cell r="J337">
            <v>2024092003</v>
          </cell>
          <cell r="N337">
            <v>2900</v>
          </cell>
          <cell r="T337" t="str">
            <v>gross</v>
          </cell>
        </row>
        <row r="338">
          <cell r="C338" t="str">
            <v>337-0</v>
          </cell>
          <cell r="J338">
            <v>2024092002</v>
          </cell>
          <cell r="N338">
            <v>360</v>
          </cell>
          <cell r="T338" t="str">
            <v>gross</v>
          </cell>
        </row>
        <row r="339">
          <cell r="C339" t="str">
            <v>338-0</v>
          </cell>
          <cell r="J339">
            <v>2024092002</v>
          </cell>
          <cell r="N339">
            <v>1500</v>
          </cell>
          <cell r="T339" t="str">
            <v>gross</v>
          </cell>
        </row>
        <row r="340">
          <cell r="C340" t="str">
            <v>339-0</v>
          </cell>
          <cell r="J340">
            <v>2024092002</v>
          </cell>
          <cell r="N340">
            <v>2000</v>
          </cell>
          <cell r="T340" t="str">
            <v>gross</v>
          </cell>
        </row>
        <row r="341">
          <cell r="C341" t="str">
            <v>340-0</v>
          </cell>
          <cell r="J341">
            <v>2024092002</v>
          </cell>
          <cell r="N341">
            <v>1500</v>
          </cell>
          <cell r="T341" t="str">
            <v>gross</v>
          </cell>
        </row>
        <row r="342">
          <cell r="C342" t="str">
            <v>341-0</v>
          </cell>
          <cell r="J342">
            <v>2024092002</v>
          </cell>
          <cell r="N342">
            <v>3500</v>
          </cell>
          <cell r="T342" t="str">
            <v>gross</v>
          </cell>
        </row>
        <row r="343">
          <cell r="C343" t="str">
            <v>342-0</v>
          </cell>
          <cell r="J343">
            <v>2024092001</v>
          </cell>
          <cell r="N343">
            <v>3800</v>
          </cell>
          <cell r="T343" t="str">
            <v>gross</v>
          </cell>
        </row>
        <row r="344">
          <cell r="C344" t="str">
            <v>343-0</v>
          </cell>
          <cell r="J344">
            <v>2024092001</v>
          </cell>
          <cell r="N344">
            <v>3000</v>
          </cell>
          <cell r="T344" t="str">
            <v>gross</v>
          </cell>
        </row>
        <row r="345">
          <cell r="C345" t="str">
            <v>344-0</v>
          </cell>
          <cell r="J345">
            <v>2024092001</v>
          </cell>
          <cell r="N345">
            <v>3000</v>
          </cell>
          <cell r="T345" t="str">
            <v>gross</v>
          </cell>
        </row>
        <row r="346">
          <cell r="C346" t="str">
            <v>345-0</v>
          </cell>
          <cell r="J346">
            <v>2024092001</v>
          </cell>
          <cell r="N346">
            <v>2700</v>
          </cell>
          <cell r="T346" t="str">
            <v>gross</v>
          </cell>
        </row>
        <row r="347">
          <cell r="C347" t="str">
            <v>346-0</v>
          </cell>
          <cell r="J347">
            <v>2024092002</v>
          </cell>
          <cell r="N347">
            <v>1500</v>
          </cell>
          <cell r="T347" t="str">
            <v>gross</v>
          </cell>
        </row>
        <row r="348">
          <cell r="C348" t="str">
            <v>347-0</v>
          </cell>
          <cell r="J348">
            <v>2024092002</v>
          </cell>
          <cell r="N348">
            <v>2500</v>
          </cell>
          <cell r="T348" t="str">
            <v>gross</v>
          </cell>
        </row>
        <row r="349">
          <cell r="C349" t="str">
            <v>348-0</v>
          </cell>
          <cell r="J349">
            <v>2024092002</v>
          </cell>
          <cell r="N349">
            <v>3500</v>
          </cell>
          <cell r="T349" t="str">
            <v>gross</v>
          </cell>
        </row>
        <row r="350">
          <cell r="C350" t="str">
            <v>349-0</v>
          </cell>
          <cell r="J350" t="str">
            <v>EX24082901G05</v>
          </cell>
          <cell r="N350">
            <v>0.5</v>
          </cell>
          <cell r="T350" t="str">
            <v>net</v>
          </cell>
        </row>
        <row r="351">
          <cell r="C351" t="str">
            <v>350-0</v>
          </cell>
          <cell r="J351" t="str">
            <v>EX24082901G05</v>
          </cell>
          <cell r="N351">
            <v>0.5</v>
          </cell>
          <cell r="T351" t="str">
            <v>net</v>
          </cell>
        </row>
        <row r="352">
          <cell r="C352" t="str">
            <v>351-0</v>
          </cell>
          <cell r="J352" t="str">
            <v>EX24082901G05</v>
          </cell>
          <cell r="N352">
            <v>0.5</v>
          </cell>
          <cell r="T352" t="str">
            <v>net</v>
          </cell>
        </row>
        <row r="353">
          <cell r="C353" t="str">
            <v>352-0</v>
          </cell>
          <cell r="J353" t="str">
            <v>EX24082901G05</v>
          </cell>
          <cell r="N353">
            <v>0.5</v>
          </cell>
          <cell r="T353" t="str">
            <v>net</v>
          </cell>
        </row>
        <row r="354">
          <cell r="C354" t="str">
            <v>353-0</v>
          </cell>
          <cell r="J354" t="str">
            <v>EX24082901G05</v>
          </cell>
          <cell r="N354">
            <v>0.5</v>
          </cell>
          <cell r="T354" t="str">
            <v>net</v>
          </cell>
        </row>
        <row r="355">
          <cell r="C355" t="str">
            <v>354-0</v>
          </cell>
          <cell r="J355" t="str">
            <v>EX24082901G05</v>
          </cell>
          <cell r="N355">
            <v>0.5</v>
          </cell>
          <cell r="T355" t="str">
            <v>net</v>
          </cell>
        </row>
        <row r="356">
          <cell r="C356" t="str">
            <v>355-0</v>
          </cell>
          <cell r="J356" t="str">
            <v>EX24082901G05</v>
          </cell>
          <cell r="N356">
            <v>0.5</v>
          </cell>
          <cell r="T356" t="str">
            <v>net</v>
          </cell>
        </row>
        <row r="357">
          <cell r="C357" t="str">
            <v>356-0</v>
          </cell>
          <cell r="J357" t="str">
            <v>EX24082901G05</v>
          </cell>
          <cell r="N357">
            <v>0.5</v>
          </cell>
          <cell r="T357" t="str">
            <v>net</v>
          </cell>
        </row>
        <row r="358">
          <cell r="C358" t="str">
            <v>357-0</v>
          </cell>
          <cell r="J358" t="str">
            <v>EX24082901G05</v>
          </cell>
          <cell r="N358">
            <v>0.5</v>
          </cell>
          <cell r="T358" t="str">
            <v>net</v>
          </cell>
        </row>
        <row r="359">
          <cell r="C359" t="str">
            <v>358-0</v>
          </cell>
          <cell r="J359" t="str">
            <v>EX24082903G05</v>
          </cell>
          <cell r="N359">
            <v>0.5</v>
          </cell>
          <cell r="T359" t="str">
            <v>net</v>
          </cell>
        </row>
        <row r="360">
          <cell r="C360" t="str">
            <v>359-0</v>
          </cell>
          <cell r="J360" t="str">
            <v>EX24082901G05</v>
          </cell>
          <cell r="N360">
            <v>0.5</v>
          </cell>
          <cell r="T360" t="str">
            <v>net</v>
          </cell>
        </row>
        <row r="361">
          <cell r="C361" t="str">
            <v>360-0</v>
          </cell>
          <cell r="J361" t="str">
            <v>EX24082901G05</v>
          </cell>
          <cell r="N361">
            <v>0.5</v>
          </cell>
          <cell r="T361" t="str">
            <v>net</v>
          </cell>
        </row>
        <row r="362">
          <cell r="C362" t="str">
            <v>361-0</v>
          </cell>
          <cell r="J362" t="str">
            <v>EX24082902G05</v>
          </cell>
          <cell r="N362">
            <v>0.5</v>
          </cell>
          <cell r="T362" t="str">
            <v>net</v>
          </cell>
        </row>
        <row r="363">
          <cell r="C363" t="str">
            <v>362-0</v>
          </cell>
          <cell r="J363" t="str">
            <v>EX24082902G05</v>
          </cell>
          <cell r="N363">
            <v>0.5</v>
          </cell>
          <cell r="T363" t="str">
            <v>net</v>
          </cell>
        </row>
        <row r="364">
          <cell r="C364" t="str">
            <v>363-0</v>
          </cell>
          <cell r="J364" t="str">
            <v>EX24082902G05</v>
          </cell>
          <cell r="N364">
            <v>0.5</v>
          </cell>
          <cell r="T364" t="str">
            <v>net</v>
          </cell>
        </row>
        <row r="365">
          <cell r="C365" t="str">
            <v>364-0</v>
          </cell>
          <cell r="J365" t="str">
            <v>EX24082903G05</v>
          </cell>
          <cell r="N365">
            <v>0.5</v>
          </cell>
          <cell r="T365" t="str">
            <v>net</v>
          </cell>
        </row>
        <row r="366">
          <cell r="C366" t="str">
            <v>365-0</v>
          </cell>
          <cell r="J366" t="str">
            <v>EX24082903G05</v>
          </cell>
          <cell r="N366">
            <v>0.5</v>
          </cell>
          <cell r="T366" t="str">
            <v>net</v>
          </cell>
        </row>
        <row r="367">
          <cell r="C367" t="str">
            <v>366-0</v>
          </cell>
          <cell r="J367" t="str">
            <v>EX24082903G05</v>
          </cell>
          <cell r="N367">
            <v>0.5</v>
          </cell>
          <cell r="T367" t="str">
            <v>net</v>
          </cell>
        </row>
        <row r="368">
          <cell r="C368" t="str">
            <v>367-0</v>
          </cell>
          <cell r="J368" t="str">
            <v>EX24082903G05</v>
          </cell>
          <cell r="N368">
            <v>0.5</v>
          </cell>
          <cell r="T368" t="str">
            <v>net</v>
          </cell>
        </row>
        <row r="369">
          <cell r="C369" t="str">
            <v>368-0</v>
          </cell>
          <cell r="J369" t="str">
            <v>EX24082903G05</v>
          </cell>
          <cell r="N369">
            <v>0.5</v>
          </cell>
          <cell r="T369" t="str">
            <v>net</v>
          </cell>
        </row>
        <row r="370">
          <cell r="C370" t="str">
            <v>369-0</v>
          </cell>
          <cell r="J370" t="str">
            <v>EX24082905G05</v>
          </cell>
          <cell r="N370">
            <v>0.5</v>
          </cell>
          <cell r="T370" t="str">
            <v>net</v>
          </cell>
        </row>
        <row r="371">
          <cell r="C371" t="str">
            <v>370-0</v>
          </cell>
          <cell r="J371" t="str">
            <v>EX24082905G05</v>
          </cell>
          <cell r="N371">
            <v>0.5</v>
          </cell>
          <cell r="T371" t="str">
            <v>net</v>
          </cell>
        </row>
        <row r="372">
          <cell r="C372" t="str">
            <v>371-0</v>
          </cell>
          <cell r="J372" t="str">
            <v>EX24082905G05</v>
          </cell>
          <cell r="N372">
            <v>0.5</v>
          </cell>
          <cell r="T372" t="str">
            <v>net</v>
          </cell>
        </row>
        <row r="373">
          <cell r="C373" t="str">
            <v>372-0</v>
          </cell>
          <cell r="J373" t="str">
            <v>EX24082905G05</v>
          </cell>
          <cell r="N373">
            <v>0.5</v>
          </cell>
          <cell r="T373" t="str">
            <v>net</v>
          </cell>
        </row>
        <row r="374">
          <cell r="C374" t="str">
            <v>373-0</v>
          </cell>
          <cell r="J374" t="str">
            <v>EX24082906G05</v>
          </cell>
          <cell r="N374">
            <v>0.5</v>
          </cell>
          <cell r="T374" t="str">
            <v>net</v>
          </cell>
        </row>
        <row r="375">
          <cell r="C375" t="str">
            <v>374-0</v>
          </cell>
          <cell r="J375" t="str">
            <v>NA</v>
          </cell>
          <cell r="N375">
            <v>50</v>
          </cell>
          <cell r="T375" t="str">
            <v>net</v>
          </cell>
        </row>
        <row r="376">
          <cell r="C376" t="str">
            <v>375-0</v>
          </cell>
          <cell r="J376" t="str">
            <v>EX24092601V50</v>
          </cell>
          <cell r="N376">
            <v>50</v>
          </cell>
          <cell r="T376" t="str">
            <v>net</v>
          </cell>
        </row>
        <row r="377">
          <cell r="C377" t="str">
            <v>376-0</v>
          </cell>
          <cell r="J377" t="str">
            <v>TP24101701</v>
          </cell>
          <cell r="N377">
            <v>1056</v>
          </cell>
          <cell r="T377" t="str">
            <v>net</v>
          </cell>
        </row>
        <row r="378">
          <cell r="C378" t="str">
            <v>377-0</v>
          </cell>
          <cell r="J378" t="str">
            <v>PR241101F5P3</v>
          </cell>
          <cell r="N378">
            <v>18</v>
          </cell>
          <cell r="T378" t="str">
            <v>net</v>
          </cell>
        </row>
        <row r="379">
          <cell r="C379" t="str">
            <v>378-0</v>
          </cell>
          <cell r="J379" t="str">
            <v>PR240601F5P3</v>
          </cell>
          <cell r="N379">
            <v>18</v>
          </cell>
          <cell r="T379" t="str">
            <v>net</v>
          </cell>
        </row>
        <row r="380">
          <cell r="C380" t="str">
            <v>379-0</v>
          </cell>
          <cell r="J380" t="str">
            <v>PR241003F5P3</v>
          </cell>
          <cell r="N380">
            <v>18</v>
          </cell>
          <cell r="T380" t="str">
            <v>net</v>
          </cell>
        </row>
        <row r="381">
          <cell r="C381" t="str">
            <v>380-0</v>
          </cell>
          <cell r="J381" t="str">
            <v>PR2407F5P2</v>
          </cell>
          <cell r="N381">
            <v>18</v>
          </cell>
          <cell r="T381" t="str">
            <v>net</v>
          </cell>
        </row>
        <row r="382">
          <cell r="C382" t="str">
            <v>381-0</v>
          </cell>
          <cell r="J382" t="str">
            <v>PR241002F5P3</v>
          </cell>
          <cell r="N382">
            <v>18</v>
          </cell>
          <cell r="T382" t="str">
            <v>net</v>
          </cell>
        </row>
        <row r="383">
          <cell r="C383" t="str">
            <v>382-0</v>
          </cell>
          <cell r="J383" t="str">
            <v>PR2407F5P2</v>
          </cell>
          <cell r="N383">
            <v>12</v>
          </cell>
          <cell r="T383" t="str">
            <v>net</v>
          </cell>
        </row>
        <row r="384">
          <cell r="C384" t="str">
            <v>383-0</v>
          </cell>
          <cell r="J384" t="str">
            <v>EX24082903G05</v>
          </cell>
          <cell r="N384">
            <v>0.5</v>
          </cell>
          <cell r="T384" t="str">
            <v>net</v>
          </cell>
        </row>
        <row r="385">
          <cell r="C385" t="str">
            <v>384-0</v>
          </cell>
          <cell r="J385" t="str">
            <v>EX24082901G05</v>
          </cell>
          <cell r="N385">
            <v>0.5</v>
          </cell>
          <cell r="T385" t="str">
            <v>net</v>
          </cell>
        </row>
        <row r="386">
          <cell r="C386" t="str">
            <v>385-0</v>
          </cell>
          <cell r="J386" t="str">
            <v>EX24082905G05</v>
          </cell>
          <cell r="N386">
            <v>0.5</v>
          </cell>
          <cell r="T386" t="str">
            <v>net</v>
          </cell>
        </row>
        <row r="387">
          <cell r="C387" t="str">
            <v>386-0</v>
          </cell>
          <cell r="J387" t="str">
            <v>EX24082905G05</v>
          </cell>
          <cell r="N387">
            <v>0.5</v>
          </cell>
          <cell r="T387" t="str">
            <v>net</v>
          </cell>
        </row>
        <row r="388">
          <cell r="C388" t="str">
            <v>387-0</v>
          </cell>
          <cell r="J388" t="str">
            <v>PR241002F5P3</v>
          </cell>
          <cell r="N388">
            <v>1.5</v>
          </cell>
          <cell r="T388" t="str">
            <v>net</v>
          </cell>
        </row>
        <row r="389">
          <cell r="C389" t="str">
            <v>388-0</v>
          </cell>
          <cell r="J389">
            <v>2024100401</v>
          </cell>
          <cell r="N389">
            <v>509.99999999999989</v>
          </cell>
          <cell r="T389" t="str">
            <v>gross</v>
          </cell>
        </row>
        <row r="390">
          <cell r="C390" t="str">
            <v>389-0</v>
          </cell>
          <cell r="J390" t="str">
            <v>EX24090501V50</v>
          </cell>
          <cell r="N390">
            <v>50</v>
          </cell>
          <cell r="T390" t="str">
            <v>net</v>
          </cell>
        </row>
        <row r="391">
          <cell r="C391" t="str">
            <v>390-0</v>
          </cell>
          <cell r="J391" t="str">
            <v>EX24092601V50</v>
          </cell>
          <cell r="N391">
            <v>50</v>
          </cell>
          <cell r="T391" t="str">
            <v>net</v>
          </cell>
        </row>
        <row r="392">
          <cell r="C392" t="str">
            <v>391-0</v>
          </cell>
          <cell r="J392" t="str">
            <v>EX24082902G05</v>
          </cell>
          <cell r="N392">
            <v>0.5</v>
          </cell>
          <cell r="T392" t="str">
            <v>net</v>
          </cell>
        </row>
        <row r="393">
          <cell r="C393" t="str">
            <v>392-0</v>
          </cell>
          <cell r="J393" t="str">
            <v>TP24082901</v>
          </cell>
          <cell r="N393">
            <v>88</v>
          </cell>
          <cell r="T393" t="str">
            <v>net</v>
          </cell>
        </row>
        <row r="394">
          <cell r="C394" t="str">
            <v>393-0</v>
          </cell>
          <cell r="J394" t="str">
            <v>EX24082902G05</v>
          </cell>
          <cell r="N394">
            <v>0.5</v>
          </cell>
          <cell r="T394" t="str">
            <v>net</v>
          </cell>
        </row>
        <row r="395">
          <cell r="C395" t="str">
            <v>394-0</v>
          </cell>
          <cell r="J395" t="str">
            <v>PR241003F5P3</v>
          </cell>
          <cell r="N395">
            <v>1.5</v>
          </cell>
          <cell r="T395" t="str">
            <v>net</v>
          </cell>
        </row>
        <row r="396">
          <cell r="C396" t="str">
            <v>395-0</v>
          </cell>
          <cell r="J396" t="str">
            <v>PR241101F5P3</v>
          </cell>
          <cell r="N396">
            <v>1.5</v>
          </cell>
          <cell r="T396" t="str">
            <v>net</v>
          </cell>
        </row>
        <row r="397">
          <cell r="C397" t="str">
            <v>396-0</v>
          </cell>
          <cell r="J397" t="str">
            <v>EX24082906G05</v>
          </cell>
          <cell r="N397">
            <v>0.5</v>
          </cell>
          <cell r="T397" t="str">
            <v>net</v>
          </cell>
        </row>
        <row r="398">
          <cell r="C398" t="str">
            <v>397-0</v>
          </cell>
          <cell r="J398" t="str">
            <v>EX24082906G05</v>
          </cell>
          <cell r="N398">
            <v>0.5</v>
          </cell>
          <cell r="T398" t="str">
            <v>net</v>
          </cell>
        </row>
        <row r="399">
          <cell r="C399" t="str">
            <v>398-0</v>
          </cell>
          <cell r="J399" t="str">
            <v>PR241105F5P3</v>
          </cell>
          <cell r="N399">
            <v>1.5</v>
          </cell>
          <cell r="T399" t="str">
            <v>net</v>
          </cell>
        </row>
        <row r="400">
          <cell r="C400" t="str">
            <v>399-0</v>
          </cell>
          <cell r="J400" t="str">
            <v>PR241105F5P3</v>
          </cell>
          <cell r="N400">
            <v>1.5</v>
          </cell>
          <cell r="T400" t="str">
            <v>net</v>
          </cell>
        </row>
        <row r="401">
          <cell r="C401" t="str">
            <v>400-0</v>
          </cell>
          <cell r="J401" t="str">
            <v>PR241104F5P3</v>
          </cell>
          <cell r="N401">
            <v>1.5</v>
          </cell>
          <cell r="T401" t="str">
            <v>net</v>
          </cell>
        </row>
        <row r="402">
          <cell r="C402" t="str">
            <v>401-0</v>
          </cell>
          <cell r="J402">
            <v>2024101701</v>
          </cell>
          <cell r="N402">
            <v>248</v>
          </cell>
          <cell r="T402" t="str">
            <v>gross</v>
          </cell>
        </row>
        <row r="403">
          <cell r="C403" t="str">
            <v>402-0</v>
          </cell>
          <cell r="J403" t="str">
            <v>PR241002F5P3</v>
          </cell>
          <cell r="N403">
            <v>1.5</v>
          </cell>
          <cell r="T403" t="str">
            <v>net</v>
          </cell>
        </row>
        <row r="404">
          <cell r="C404" t="str">
            <v>403-0</v>
          </cell>
          <cell r="J404" t="str">
            <v>PR241101F5P3</v>
          </cell>
          <cell r="N404">
            <v>1.5</v>
          </cell>
          <cell r="T404" t="str">
            <v>net</v>
          </cell>
        </row>
        <row r="405">
          <cell r="C405" t="str">
            <v>404-0</v>
          </cell>
          <cell r="J405" t="str">
            <v>PR2407F5P2</v>
          </cell>
          <cell r="N405">
            <v>1</v>
          </cell>
          <cell r="T405" t="str">
            <v>net</v>
          </cell>
        </row>
        <row r="406">
          <cell r="C406" t="str">
            <v>405-0</v>
          </cell>
          <cell r="J406">
            <v>2024101703</v>
          </cell>
          <cell r="N406">
            <v>2000</v>
          </cell>
          <cell r="T406" t="str">
            <v>gross</v>
          </cell>
        </row>
        <row r="407">
          <cell r="C407" t="str">
            <v>406-0</v>
          </cell>
          <cell r="J407">
            <v>2024101703</v>
          </cell>
          <cell r="N407">
            <v>3000</v>
          </cell>
          <cell r="T407" t="str">
            <v>gross</v>
          </cell>
        </row>
        <row r="408">
          <cell r="C408" t="str">
            <v>407-0</v>
          </cell>
          <cell r="J408">
            <v>2024101703</v>
          </cell>
          <cell r="N408">
            <v>2988</v>
          </cell>
          <cell r="T408" t="str">
            <v>gross</v>
          </cell>
        </row>
        <row r="409">
          <cell r="C409" t="str">
            <v>408-0</v>
          </cell>
          <cell r="J409">
            <v>2024101702</v>
          </cell>
          <cell r="N409">
            <v>899.1</v>
          </cell>
          <cell r="T409" t="str">
            <v>gross</v>
          </cell>
        </row>
        <row r="410">
          <cell r="C410" t="str">
            <v>409-0</v>
          </cell>
          <cell r="J410">
            <v>2024101702</v>
          </cell>
          <cell r="N410">
            <v>1000</v>
          </cell>
          <cell r="T410" t="str">
            <v>gross</v>
          </cell>
        </row>
        <row r="411">
          <cell r="C411" t="str">
            <v>410-0</v>
          </cell>
          <cell r="J411">
            <v>2024101702</v>
          </cell>
          <cell r="N411">
            <v>1000</v>
          </cell>
          <cell r="T411" t="str">
            <v>gross</v>
          </cell>
        </row>
        <row r="412">
          <cell r="C412" t="str">
            <v>411-0</v>
          </cell>
          <cell r="J412" t="str">
            <v>PR241104F5P3</v>
          </cell>
          <cell r="N412">
            <v>1.5</v>
          </cell>
          <cell r="T412" t="str">
            <v>net</v>
          </cell>
        </row>
        <row r="413">
          <cell r="C413" t="str">
            <v>412-0</v>
          </cell>
          <cell r="J413">
            <v>2024092001</v>
          </cell>
          <cell r="N413">
            <v>14</v>
          </cell>
          <cell r="T413" t="str">
            <v>net</v>
          </cell>
        </row>
        <row r="414">
          <cell r="C414" t="str">
            <v>413-0</v>
          </cell>
          <cell r="J414">
            <v>2024092001</v>
          </cell>
          <cell r="N414">
            <v>14</v>
          </cell>
          <cell r="T414" t="str">
            <v>net</v>
          </cell>
        </row>
        <row r="415">
          <cell r="C415" t="str">
            <v>414-0</v>
          </cell>
          <cell r="J415">
            <v>2024092001</v>
          </cell>
          <cell r="N415">
            <v>14</v>
          </cell>
          <cell r="T415" t="str">
            <v>net</v>
          </cell>
        </row>
        <row r="416">
          <cell r="C416" t="str">
            <v>415-0</v>
          </cell>
          <cell r="J416">
            <v>2024092002</v>
          </cell>
          <cell r="N416">
            <v>14</v>
          </cell>
          <cell r="T416" t="str">
            <v>net</v>
          </cell>
        </row>
        <row r="417">
          <cell r="C417" t="str">
            <v>416-0</v>
          </cell>
          <cell r="J417">
            <v>2024092002</v>
          </cell>
          <cell r="N417">
            <v>14</v>
          </cell>
          <cell r="T417" t="str">
            <v>net</v>
          </cell>
        </row>
        <row r="418">
          <cell r="C418" t="str">
            <v>417-0</v>
          </cell>
          <cell r="J418">
            <v>2024092002</v>
          </cell>
          <cell r="N418">
            <v>14</v>
          </cell>
          <cell r="T418" t="str">
            <v>net</v>
          </cell>
        </row>
        <row r="419">
          <cell r="C419" t="str">
            <v>418-0</v>
          </cell>
          <cell r="J419">
            <v>2024092003</v>
          </cell>
          <cell r="N419">
            <v>14</v>
          </cell>
          <cell r="T419" t="str">
            <v>net</v>
          </cell>
        </row>
        <row r="420">
          <cell r="C420" t="str">
            <v>419-0</v>
          </cell>
          <cell r="J420" t="str">
            <v>TP24082901</v>
          </cell>
          <cell r="N420">
            <v>88</v>
          </cell>
          <cell r="T420" t="str">
            <v>net</v>
          </cell>
        </row>
        <row r="421">
          <cell r="C421" t="str">
            <v>420-0</v>
          </cell>
          <cell r="J421" t="str">
            <v>TP24082901</v>
          </cell>
          <cell r="N421">
            <v>88</v>
          </cell>
          <cell r="T421" t="str">
            <v>net</v>
          </cell>
        </row>
        <row r="422">
          <cell r="C422" t="str">
            <v>421-0</v>
          </cell>
          <cell r="J422" t="str">
            <v>EX24022302130</v>
          </cell>
          <cell r="N422">
            <v>27.5</v>
          </cell>
          <cell r="T422" t="str">
            <v>net</v>
          </cell>
        </row>
        <row r="423">
          <cell r="C423" t="str">
            <v>422-0</v>
          </cell>
          <cell r="J423" t="str">
            <v>EX24022302130</v>
          </cell>
          <cell r="N423">
            <v>27.5</v>
          </cell>
          <cell r="T423" t="str">
            <v>net</v>
          </cell>
        </row>
        <row r="424">
          <cell r="C424" t="str">
            <v>423-0</v>
          </cell>
          <cell r="J424" t="str">
            <v>EX24101701</v>
          </cell>
          <cell r="N424">
            <v>150.36000000000001</v>
          </cell>
          <cell r="T424" t="str">
            <v>gross</v>
          </cell>
        </row>
        <row r="425">
          <cell r="C425" t="str">
            <v>424-0</v>
          </cell>
          <cell r="J425" t="str">
            <v>EX24102105</v>
          </cell>
          <cell r="N425">
            <v>234.49999999999994</v>
          </cell>
          <cell r="T425" t="str">
            <v>gross</v>
          </cell>
        </row>
        <row r="426">
          <cell r="C426" t="str">
            <v>425-0</v>
          </cell>
          <cell r="J426" t="str">
            <v>EX24102105</v>
          </cell>
          <cell r="N426">
            <v>214.70000000000005</v>
          </cell>
          <cell r="T426" t="str">
            <v>gross</v>
          </cell>
        </row>
        <row r="427">
          <cell r="C427" t="str">
            <v>426-0</v>
          </cell>
          <cell r="J427" t="str">
            <v>PR2407F5P2</v>
          </cell>
          <cell r="N427">
            <v>1</v>
          </cell>
          <cell r="T427" t="str">
            <v>net</v>
          </cell>
        </row>
        <row r="428">
          <cell r="C428" t="str">
            <v>427-0</v>
          </cell>
          <cell r="J428" t="str">
            <v>PR2407F5P2</v>
          </cell>
          <cell r="N428">
            <v>1</v>
          </cell>
          <cell r="T428" t="str">
            <v>net</v>
          </cell>
        </row>
        <row r="429">
          <cell r="C429" t="str">
            <v>428-0</v>
          </cell>
          <cell r="J429" t="str">
            <v>NA</v>
          </cell>
          <cell r="N429">
            <v>15013</v>
          </cell>
          <cell r="T429" t="str">
            <v>gross</v>
          </cell>
        </row>
        <row r="430">
          <cell r="C430" t="str">
            <v>429-0</v>
          </cell>
          <cell r="J430" t="str">
            <v>EX24102201V50</v>
          </cell>
          <cell r="N430">
            <v>14953</v>
          </cell>
          <cell r="T430" t="str">
            <v>net</v>
          </cell>
        </row>
        <row r="431">
          <cell r="C431" t="str">
            <v>430-0</v>
          </cell>
          <cell r="J431" t="str">
            <v>EX24082906G05</v>
          </cell>
          <cell r="N431">
            <v>0.5</v>
          </cell>
          <cell r="T431" t="str">
            <v>net</v>
          </cell>
        </row>
        <row r="432">
          <cell r="C432" t="str">
            <v>431-0</v>
          </cell>
          <cell r="J432" t="str">
            <v>TP24101701</v>
          </cell>
          <cell r="N432">
            <v>88</v>
          </cell>
          <cell r="T432" t="str">
            <v>net</v>
          </cell>
        </row>
        <row r="433">
          <cell r="C433" t="str">
            <v>432-0</v>
          </cell>
          <cell r="J433" t="str">
            <v>TP24101701</v>
          </cell>
          <cell r="N433">
            <v>88</v>
          </cell>
          <cell r="T433" t="str">
            <v>net</v>
          </cell>
        </row>
        <row r="434">
          <cell r="C434" t="str">
            <v>433-0</v>
          </cell>
          <cell r="J434" t="str">
            <v>EX24101703</v>
          </cell>
          <cell r="N434">
            <v>279.69</v>
          </cell>
          <cell r="T434" t="str">
            <v>gross</v>
          </cell>
        </row>
        <row r="435">
          <cell r="C435" t="str">
            <v>434-0</v>
          </cell>
          <cell r="J435" t="str">
            <v>PR241104F5P3</v>
          </cell>
          <cell r="N435">
            <v>1.5</v>
          </cell>
          <cell r="T435" t="str">
            <v>net</v>
          </cell>
        </row>
        <row r="436">
          <cell r="C436" t="str">
            <v>435-0</v>
          </cell>
          <cell r="J436" t="str">
            <v>2022012401G28</v>
          </cell>
          <cell r="N436">
            <v>28</v>
          </cell>
          <cell r="T436" t="str">
            <v>net</v>
          </cell>
        </row>
        <row r="437">
          <cell r="C437" t="str">
            <v>436-0</v>
          </cell>
          <cell r="J437" t="str">
            <v>PR21071201G1</v>
          </cell>
          <cell r="N437">
            <v>24</v>
          </cell>
          <cell r="T437" t="str">
            <v>net</v>
          </cell>
        </row>
        <row r="438">
          <cell r="C438" t="str">
            <v>437-0</v>
          </cell>
          <cell r="J438" t="str">
            <v>PR2407F5P3</v>
          </cell>
          <cell r="N438">
            <v>18</v>
          </cell>
          <cell r="T438" t="str">
            <v>net</v>
          </cell>
        </row>
        <row r="439">
          <cell r="C439" t="str">
            <v>438-0</v>
          </cell>
          <cell r="J439" t="str">
            <v>TP24082901</v>
          </cell>
          <cell r="N439">
            <v>1056</v>
          </cell>
          <cell r="T439" t="str">
            <v>net</v>
          </cell>
        </row>
        <row r="440">
          <cell r="C440" t="str">
            <v>439-0</v>
          </cell>
          <cell r="J440" t="str">
            <v>EX24101802V30</v>
          </cell>
          <cell r="N440">
            <v>351.6</v>
          </cell>
          <cell r="T440" t="str">
            <v>net</v>
          </cell>
        </row>
        <row r="441">
          <cell r="C441" t="str">
            <v>440-0</v>
          </cell>
          <cell r="J441" t="str">
            <v>EX24022302V30</v>
          </cell>
          <cell r="N441">
            <v>351.6</v>
          </cell>
          <cell r="T441" t="str">
            <v>net</v>
          </cell>
        </row>
        <row r="442">
          <cell r="C442" t="str">
            <v>441-0</v>
          </cell>
          <cell r="J442" t="str">
            <v>EX24082904G05</v>
          </cell>
          <cell r="N442">
            <v>6</v>
          </cell>
          <cell r="T442" t="str">
            <v>net</v>
          </cell>
        </row>
        <row r="443">
          <cell r="C443" t="str">
            <v>442-0</v>
          </cell>
          <cell r="J443" t="str">
            <v>EX24082906G05</v>
          </cell>
          <cell r="N443">
            <v>6</v>
          </cell>
          <cell r="T443" t="str">
            <v>net</v>
          </cell>
        </row>
        <row r="444">
          <cell r="C444" t="str">
            <v>443-0</v>
          </cell>
          <cell r="J444" t="str">
            <v>EX23060701V30</v>
          </cell>
          <cell r="N444">
            <v>351.6</v>
          </cell>
          <cell r="T444" t="str">
            <v>net</v>
          </cell>
        </row>
        <row r="445">
          <cell r="C445" t="str">
            <v>444-0</v>
          </cell>
          <cell r="J445" t="str">
            <v>PR2301F35P12</v>
          </cell>
          <cell r="N445">
            <v>4.1999999999999993</v>
          </cell>
          <cell r="T445" t="str">
            <v>net</v>
          </cell>
        </row>
        <row r="446">
          <cell r="C446" t="str">
            <v>445-0</v>
          </cell>
          <cell r="J446" t="str">
            <v>EX24101802V30</v>
          </cell>
          <cell r="N446">
            <v>27.6</v>
          </cell>
          <cell r="T446" t="str">
            <v>net</v>
          </cell>
        </row>
        <row r="447">
          <cell r="C447" t="str">
            <v>446-0</v>
          </cell>
          <cell r="J447" t="str">
            <v>EX24101802V30</v>
          </cell>
          <cell r="N447">
            <v>27.6</v>
          </cell>
          <cell r="T447" t="str">
            <v>net</v>
          </cell>
        </row>
        <row r="448">
          <cell r="C448" t="str">
            <v>447-0</v>
          </cell>
          <cell r="J448" t="str">
            <v>EX24100801V30</v>
          </cell>
          <cell r="N448">
            <v>27.3</v>
          </cell>
          <cell r="T448" t="str">
            <v>net</v>
          </cell>
        </row>
        <row r="449">
          <cell r="C449" t="str">
            <v>448-0</v>
          </cell>
          <cell r="J449" t="str">
            <v>EX24101705G05</v>
          </cell>
          <cell r="N449">
            <v>0.5</v>
          </cell>
          <cell r="T449" t="str">
            <v>net</v>
          </cell>
        </row>
        <row r="450">
          <cell r="C450" t="str">
            <v>449-0</v>
          </cell>
          <cell r="J450" t="str">
            <v>EX24082906G05</v>
          </cell>
          <cell r="N450">
            <v>0.5</v>
          </cell>
          <cell r="T450" t="str">
            <v>net</v>
          </cell>
        </row>
        <row r="451">
          <cell r="C451" t="str">
            <v>450-0</v>
          </cell>
          <cell r="J451" t="str">
            <v>EX24082906G05</v>
          </cell>
          <cell r="N451">
            <v>0.5</v>
          </cell>
          <cell r="T451" t="str">
            <v>net</v>
          </cell>
        </row>
        <row r="452">
          <cell r="C452" t="str">
            <v>451-0</v>
          </cell>
          <cell r="J452" t="str">
            <v>PR2301F35</v>
          </cell>
          <cell r="N452">
            <v>0.35</v>
          </cell>
          <cell r="T452" t="str">
            <v>net</v>
          </cell>
        </row>
        <row r="453">
          <cell r="C453" t="str">
            <v>452-0</v>
          </cell>
          <cell r="J453" t="str">
            <v>EX24101705G05</v>
          </cell>
          <cell r="N453">
            <v>0.5</v>
          </cell>
          <cell r="T453" t="str">
            <v>net</v>
          </cell>
        </row>
        <row r="454">
          <cell r="C454" t="str">
            <v>453-0</v>
          </cell>
          <cell r="J454" t="str">
            <v>EX24101705G05</v>
          </cell>
          <cell r="N454">
            <v>0.5</v>
          </cell>
          <cell r="T454" t="str">
            <v>net</v>
          </cell>
        </row>
        <row r="455">
          <cell r="C455" t="str">
            <v>454-0</v>
          </cell>
          <cell r="J455" t="str">
            <v>EX24101705G05</v>
          </cell>
          <cell r="N455">
            <v>0.5</v>
          </cell>
          <cell r="T455" t="str">
            <v>net</v>
          </cell>
        </row>
        <row r="456">
          <cell r="C456" t="str">
            <v>455-0</v>
          </cell>
          <cell r="J456" t="str">
            <v>EX24100801V30</v>
          </cell>
          <cell r="N456">
            <v>27.3</v>
          </cell>
          <cell r="T456" t="str">
            <v>net</v>
          </cell>
        </row>
        <row r="457">
          <cell r="C457" t="str">
            <v>456-0</v>
          </cell>
          <cell r="J457" t="str">
            <v>EX24022302V30</v>
          </cell>
          <cell r="N457">
            <v>27.6</v>
          </cell>
          <cell r="T457" t="str">
            <v>net</v>
          </cell>
        </row>
        <row r="458">
          <cell r="C458" t="str">
            <v>457-0</v>
          </cell>
          <cell r="J458" t="str">
            <v>EX24100801V30</v>
          </cell>
          <cell r="N458">
            <v>27.3</v>
          </cell>
          <cell r="T458" t="str">
            <v>net</v>
          </cell>
        </row>
        <row r="459">
          <cell r="C459" t="str">
            <v>458-0</v>
          </cell>
          <cell r="J459" t="str">
            <v>EX24070901V50</v>
          </cell>
          <cell r="N459">
            <v>600</v>
          </cell>
          <cell r="T459" t="str">
            <v>net</v>
          </cell>
        </row>
        <row r="460">
          <cell r="C460" t="str">
            <v>459-0</v>
          </cell>
          <cell r="J460" t="str">
            <v>EX24102201V50</v>
          </cell>
          <cell r="N460">
            <v>600</v>
          </cell>
          <cell r="T460" t="str">
            <v>net</v>
          </cell>
        </row>
        <row r="461">
          <cell r="C461" t="str">
            <v>460-0</v>
          </cell>
          <cell r="J461" t="str">
            <v>PR241103F5</v>
          </cell>
          <cell r="N461">
            <v>0.5</v>
          </cell>
          <cell r="T461" t="str">
            <v>net</v>
          </cell>
        </row>
        <row r="462">
          <cell r="C462" t="str">
            <v>461-0</v>
          </cell>
          <cell r="J462" t="str">
            <v>PR241103F5</v>
          </cell>
          <cell r="N462">
            <v>0.5</v>
          </cell>
          <cell r="T462" t="str">
            <v>net</v>
          </cell>
        </row>
        <row r="463">
          <cell r="C463" t="str">
            <v>462-0</v>
          </cell>
          <cell r="J463" t="str">
            <v>EX24102201V50</v>
          </cell>
          <cell r="N463">
            <v>50</v>
          </cell>
          <cell r="T463" t="str">
            <v>net</v>
          </cell>
        </row>
        <row r="464">
          <cell r="C464" t="str">
            <v>463-0</v>
          </cell>
          <cell r="J464">
            <v>2024100401</v>
          </cell>
          <cell r="N464">
            <v>368</v>
          </cell>
          <cell r="T464" t="str">
            <v>gross</v>
          </cell>
        </row>
        <row r="465">
          <cell r="C465" t="str">
            <v>464-0</v>
          </cell>
          <cell r="J465" t="str">
            <v>EX24101703</v>
          </cell>
          <cell r="N465">
            <v>299.93</v>
          </cell>
          <cell r="T465" t="str">
            <v>gross</v>
          </cell>
        </row>
        <row r="466">
          <cell r="C466" t="str">
            <v>465-0</v>
          </cell>
          <cell r="J466" t="str">
            <v>EX24101705</v>
          </cell>
          <cell r="N466">
            <v>399.71000000000004</v>
          </cell>
          <cell r="T466" t="str">
            <v>gross</v>
          </cell>
        </row>
        <row r="467">
          <cell r="C467" t="str">
            <v>466-0</v>
          </cell>
          <cell r="J467" t="str">
            <v>EX24101704</v>
          </cell>
          <cell r="N467">
            <v>65.899999999999977</v>
          </cell>
          <cell r="T467" t="str">
            <v>gross</v>
          </cell>
        </row>
        <row r="468">
          <cell r="C468" t="str">
            <v>467-0</v>
          </cell>
          <cell r="J468" t="str">
            <v>EX24101704</v>
          </cell>
          <cell r="N468">
            <v>299.96000000000004</v>
          </cell>
          <cell r="T468" t="str">
            <v>gross</v>
          </cell>
        </row>
        <row r="469">
          <cell r="C469" t="str">
            <v>468-0</v>
          </cell>
          <cell r="J469" t="str">
            <v>EX24101704</v>
          </cell>
          <cell r="N469">
            <v>279.62000000000006</v>
          </cell>
          <cell r="T469" t="str">
            <v>gross</v>
          </cell>
        </row>
        <row r="470">
          <cell r="C470" t="str">
            <v>469-0</v>
          </cell>
          <cell r="J470" t="str">
            <v>EX24101703G05</v>
          </cell>
          <cell r="N470">
            <v>0.5</v>
          </cell>
          <cell r="T470" t="str">
            <v>net</v>
          </cell>
        </row>
        <row r="471">
          <cell r="C471" t="str">
            <v>470-0</v>
          </cell>
          <cell r="J471" t="str">
            <v>EX24101703G05</v>
          </cell>
          <cell r="N471">
            <v>0.5</v>
          </cell>
          <cell r="T471" t="str">
            <v>net</v>
          </cell>
        </row>
        <row r="472">
          <cell r="C472" t="str">
            <v>471-0</v>
          </cell>
          <cell r="J472" t="str">
            <v>EX24101701G05</v>
          </cell>
          <cell r="N472">
            <v>0.5</v>
          </cell>
          <cell r="T472" t="str">
            <v>net</v>
          </cell>
        </row>
        <row r="473">
          <cell r="C473" t="str">
            <v>472-0</v>
          </cell>
          <cell r="J473" t="str">
            <v>PR241105F5</v>
          </cell>
          <cell r="N473">
            <v>0.5</v>
          </cell>
          <cell r="T473" t="str">
            <v>net</v>
          </cell>
        </row>
        <row r="474">
          <cell r="C474" t="str">
            <v>473-0</v>
          </cell>
          <cell r="J474" t="str">
            <v>EX24101703G05</v>
          </cell>
          <cell r="N474">
            <v>0.5</v>
          </cell>
          <cell r="T474" t="str">
            <v>net</v>
          </cell>
        </row>
        <row r="475">
          <cell r="C475" t="str">
            <v>474-0</v>
          </cell>
          <cell r="J475" t="str">
            <v>PR241105F5</v>
          </cell>
          <cell r="N475">
            <v>0.5</v>
          </cell>
          <cell r="T475" t="str">
            <v>net</v>
          </cell>
        </row>
        <row r="476">
          <cell r="C476" t="str">
            <v>475-0</v>
          </cell>
          <cell r="J476" t="str">
            <v>PR241105F5</v>
          </cell>
          <cell r="N476">
            <v>0.5</v>
          </cell>
          <cell r="T476" t="str">
            <v>net</v>
          </cell>
        </row>
        <row r="477">
          <cell r="C477" t="str">
            <v>476-0</v>
          </cell>
          <cell r="J477" t="str">
            <v>PR241105F5</v>
          </cell>
          <cell r="N477">
            <v>0.5</v>
          </cell>
          <cell r="T477" t="str">
            <v>net</v>
          </cell>
        </row>
        <row r="478">
          <cell r="C478" t="str">
            <v>477-0</v>
          </cell>
          <cell r="J478" t="str">
            <v>PR241101F5</v>
          </cell>
          <cell r="N478">
            <v>0.5</v>
          </cell>
          <cell r="T478" t="str">
            <v>net</v>
          </cell>
        </row>
        <row r="479">
          <cell r="C479" t="str">
            <v>478-0</v>
          </cell>
          <cell r="J479" t="str">
            <v>PR241102F5</v>
          </cell>
          <cell r="N479">
            <v>0.5</v>
          </cell>
          <cell r="T479" t="str">
            <v>net</v>
          </cell>
        </row>
        <row r="480">
          <cell r="C480" t="str">
            <v>479-0</v>
          </cell>
          <cell r="J480" t="str">
            <v>PR241102F5</v>
          </cell>
          <cell r="N480">
            <v>0.5</v>
          </cell>
          <cell r="T480" t="str">
            <v>net</v>
          </cell>
        </row>
        <row r="481">
          <cell r="C481" t="str">
            <v>480-0</v>
          </cell>
          <cell r="J481" t="str">
            <v>PR241102F5</v>
          </cell>
          <cell r="N481">
            <v>0.5</v>
          </cell>
          <cell r="T481" t="str">
            <v>net</v>
          </cell>
        </row>
        <row r="482">
          <cell r="C482" t="str">
            <v>481-0</v>
          </cell>
          <cell r="J482" t="str">
            <v>PR241102F5</v>
          </cell>
          <cell r="N482">
            <v>0.5</v>
          </cell>
          <cell r="T482" t="str">
            <v>net</v>
          </cell>
        </row>
        <row r="483">
          <cell r="C483" t="str">
            <v>482-0</v>
          </cell>
          <cell r="J483" t="str">
            <v>PR241102F5P3</v>
          </cell>
          <cell r="N483">
            <v>0.5</v>
          </cell>
          <cell r="T483" t="str">
            <v>net</v>
          </cell>
        </row>
        <row r="484">
          <cell r="C484" t="str">
            <v>483-0</v>
          </cell>
          <cell r="J484">
            <v>2024111201</v>
          </cell>
          <cell r="N484">
            <v>372.09999999999991</v>
          </cell>
          <cell r="T484" t="str">
            <v>gross</v>
          </cell>
        </row>
        <row r="485">
          <cell r="C485" t="str">
            <v>484-0</v>
          </cell>
          <cell r="J485" t="str">
            <v>EX24100801V30</v>
          </cell>
          <cell r="N485">
            <v>27.3</v>
          </cell>
          <cell r="T485" t="str">
            <v>net</v>
          </cell>
        </row>
        <row r="486">
          <cell r="C486" t="str">
            <v>485-0</v>
          </cell>
          <cell r="J486" t="str">
            <v>EX24100801V30</v>
          </cell>
          <cell r="N486">
            <v>27.3</v>
          </cell>
          <cell r="T486" t="str">
            <v>net</v>
          </cell>
        </row>
        <row r="487">
          <cell r="C487" t="str">
            <v>486-0</v>
          </cell>
          <cell r="J487" t="str">
            <v>EX24100801V30</v>
          </cell>
          <cell r="N487">
            <v>27.3</v>
          </cell>
          <cell r="T487" t="str">
            <v>net</v>
          </cell>
        </row>
        <row r="488">
          <cell r="C488" t="str">
            <v>487-0</v>
          </cell>
          <cell r="J488" t="str">
            <v>PR241105F5</v>
          </cell>
          <cell r="N488">
            <v>0.5</v>
          </cell>
          <cell r="T488" t="str">
            <v>net</v>
          </cell>
        </row>
        <row r="489">
          <cell r="C489" t="str">
            <v>488-0</v>
          </cell>
          <cell r="J489" t="str">
            <v>PR241105F5</v>
          </cell>
          <cell r="N489">
            <v>0.5</v>
          </cell>
          <cell r="T489" t="str">
            <v>net</v>
          </cell>
        </row>
        <row r="490">
          <cell r="C490" t="str">
            <v>489-0</v>
          </cell>
          <cell r="J490" t="str">
            <v>PR241105F5</v>
          </cell>
          <cell r="N490">
            <v>0.5</v>
          </cell>
          <cell r="T490" t="str">
            <v>net</v>
          </cell>
        </row>
        <row r="491">
          <cell r="C491" t="str">
            <v>490-0</v>
          </cell>
          <cell r="J491" t="str">
            <v>EX24022302V30</v>
          </cell>
          <cell r="N491">
            <v>27.6</v>
          </cell>
          <cell r="T491" t="str">
            <v>net</v>
          </cell>
        </row>
        <row r="492">
          <cell r="C492" t="str">
            <v>491-0</v>
          </cell>
          <cell r="J492" t="str">
            <v>EX24022302V30</v>
          </cell>
          <cell r="N492">
            <v>27.6</v>
          </cell>
          <cell r="T492" t="str">
            <v>net</v>
          </cell>
        </row>
        <row r="493">
          <cell r="C493" t="str">
            <v>492-0</v>
          </cell>
          <cell r="J493">
            <v>2024110601</v>
          </cell>
          <cell r="N493">
            <v>3000</v>
          </cell>
          <cell r="T493" t="str">
            <v>gross</v>
          </cell>
        </row>
        <row r="494">
          <cell r="C494" t="str">
            <v>493-0</v>
          </cell>
          <cell r="J494">
            <v>2024110601</v>
          </cell>
          <cell r="N494">
            <v>3000</v>
          </cell>
          <cell r="T494" t="str">
            <v>gross</v>
          </cell>
        </row>
        <row r="495">
          <cell r="C495" t="str">
            <v>494-0</v>
          </cell>
          <cell r="J495">
            <v>2024110601</v>
          </cell>
          <cell r="N495">
            <v>3000</v>
          </cell>
          <cell r="T495" t="str">
            <v>gross</v>
          </cell>
        </row>
        <row r="496">
          <cell r="C496" t="str">
            <v>495-0</v>
          </cell>
          <cell r="J496">
            <v>2024110601</v>
          </cell>
          <cell r="N496">
            <v>395</v>
          </cell>
          <cell r="T496" t="str">
            <v>gross</v>
          </cell>
        </row>
        <row r="497">
          <cell r="C497" t="str">
            <v>496-0</v>
          </cell>
          <cell r="J497">
            <v>2024110601</v>
          </cell>
          <cell r="N497">
            <v>3000</v>
          </cell>
          <cell r="T497" t="str">
            <v>gross</v>
          </cell>
        </row>
        <row r="498">
          <cell r="C498" t="str">
            <v>497-0</v>
          </cell>
          <cell r="J498">
            <v>2024110601</v>
          </cell>
          <cell r="N498">
            <v>1741</v>
          </cell>
          <cell r="T498" t="str">
            <v>gross</v>
          </cell>
        </row>
        <row r="499">
          <cell r="C499" t="str">
            <v>498-0</v>
          </cell>
          <cell r="J499">
            <v>2024110601</v>
          </cell>
          <cell r="N499">
            <v>174</v>
          </cell>
          <cell r="T499" t="str">
            <v>gross</v>
          </cell>
        </row>
        <row r="500">
          <cell r="C500" t="str">
            <v>499-0</v>
          </cell>
          <cell r="J500">
            <v>2024110601</v>
          </cell>
          <cell r="N500">
            <v>1553</v>
          </cell>
          <cell r="T500" t="str">
            <v>gross</v>
          </cell>
        </row>
        <row r="501">
          <cell r="C501" t="str">
            <v>500-0</v>
          </cell>
          <cell r="J501">
            <v>24111304</v>
          </cell>
          <cell r="N501">
            <v>1472.8000000000002</v>
          </cell>
          <cell r="T501" t="str">
            <v>gross</v>
          </cell>
        </row>
        <row r="502">
          <cell r="C502" t="str">
            <v>501-0</v>
          </cell>
          <cell r="J502">
            <v>24111305</v>
          </cell>
          <cell r="N502">
            <v>1479</v>
          </cell>
          <cell r="T502" t="str">
            <v>gross</v>
          </cell>
        </row>
        <row r="503">
          <cell r="C503" t="str">
            <v>502-0</v>
          </cell>
          <cell r="J503" t="str">
            <v>PR241005F5P3</v>
          </cell>
          <cell r="N503">
            <v>1.5</v>
          </cell>
          <cell r="T503" t="str">
            <v>net</v>
          </cell>
        </row>
        <row r="504">
          <cell r="C504" t="str">
            <v>503-0</v>
          </cell>
          <cell r="J504" t="str">
            <v>PR241102F5P3</v>
          </cell>
          <cell r="N504">
            <v>1.5</v>
          </cell>
          <cell r="T504" t="str">
            <v>net</v>
          </cell>
        </row>
        <row r="505">
          <cell r="C505" t="str">
            <v>504-0</v>
          </cell>
          <cell r="J505" t="str">
            <v>PR241102F5</v>
          </cell>
          <cell r="N505">
            <v>0.5</v>
          </cell>
          <cell r="T505" t="str">
            <v>net</v>
          </cell>
        </row>
        <row r="506">
          <cell r="C506" t="str">
            <v>505-0</v>
          </cell>
          <cell r="J506">
            <v>2024111201</v>
          </cell>
          <cell r="N506">
            <v>86.5</v>
          </cell>
          <cell r="T506" t="str">
            <v>gross</v>
          </cell>
        </row>
        <row r="507">
          <cell r="C507" t="str">
            <v>506-0</v>
          </cell>
          <cell r="J507">
            <v>2024111901</v>
          </cell>
          <cell r="N507">
            <v>937</v>
          </cell>
          <cell r="T507" t="str">
            <v>gross</v>
          </cell>
        </row>
        <row r="508">
          <cell r="C508" t="str">
            <v>507-0</v>
          </cell>
          <cell r="J508" t="str">
            <v>TP24101701</v>
          </cell>
          <cell r="N508">
            <v>88</v>
          </cell>
          <cell r="T508" t="str">
            <v>net</v>
          </cell>
        </row>
        <row r="509">
          <cell r="C509" t="str">
            <v>508-0</v>
          </cell>
          <cell r="J509">
            <v>2024111802</v>
          </cell>
          <cell r="N509">
            <v>1945</v>
          </cell>
          <cell r="T509" t="str">
            <v>gross</v>
          </cell>
        </row>
        <row r="510">
          <cell r="C510" t="str">
            <v>509-0</v>
          </cell>
          <cell r="J510">
            <v>2024111802</v>
          </cell>
          <cell r="N510">
            <v>3000</v>
          </cell>
          <cell r="T510" t="str">
            <v>gross</v>
          </cell>
        </row>
        <row r="511">
          <cell r="C511" t="str">
            <v>510-0</v>
          </cell>
          <cell r="J511">
            <v>2024111802</v>
          </cell>
          <cell r="N511">
            <v>3000</v>
          </cell>
          <cell r="T511" t="str">
            <v>gross</v>
          </cell>
        </row>
        <row r="512">
          <cell r="C512" t="str">
            <v>511-0</v>
          </cell>
          <cell r="J512">
            <v>2024111802</v>
          </cell>
          <cell r="N512">
            <v>3000</v>
          </cell>
          <cell r="T512" t="str">
            <v>gross</v>
          </cell>
        </row>
        <row r="513">
          <cell r="C513" t="str">
            <v>512-0</v>
          </cell>
          <cell r="J513">
            <v>2024111801</v>
          </cell>
          <cell r="N513">
            <v>3000</v>
          </cell>
          <cell r="T513" t="str">
            <v>gross</v>
          </cell>
        </row>
        <row r="514">
          <cell r="C514" t="str">
            <v>513-0</v>
          </cell>
          <cell r="J514">
            <v>2024111801</v>
          </cell>
          <cell r="N514">
            <v>3000</v>
          </cell>
          <cell r="T514" t="str">
            <v>gross</v>
          </cell>
        </row>
        <row r="515">
          <cell r="C515" t="str">
            <v>514-0</v>
          </cell>
          <cell r="J515">
            <v>2024111801</v>
          </cell>
          <cell r="N515">
            <v>3000</v>
          </cell>
          <cell r="T515" t="str">
            <v>gross</v>
          </cell>
        </row>
        <row r="516">
          <cell r="C516" t="str">
            <v>515-0</v>
          </cell>
          <cell r="J516">
            <v>2024111801</v>
          </cell>
          <cell r="N516">
            <v>3000</v>
          </cell>
          <cell r="T516" t="str">
            <v>gross</v>
          </cell>
        </row>
        <row r="517">
          <cell r="C517" t="str">
            <v>516-0</v>
          </cell>
          <cell r="J517">
            <v>2024111801</v>
          </cell>
          <cell r="N517">
            <v>3159</v>
          </cell>
          <cell r="T517" t="str">
            <v>gross</v>
          </cell>
        </row>
        <row r="518">
          <cell r="C518" t="str">
            <v>517-0</v>
          </cell>
          <cell r="J518">
            <v>2024111803</v>
          </cell>
          <cell r="N518">
            <v>938</v>
          </cell>
          <cell r="T518" t="str">
            <v>gross</v>
          </cell>
        </row>
        <row r="519">
          <cell r="C519" t="str">
            <v>518-0</v>
          </cell>
          <cell r="J519">
            <v>2024111803</v>
          </cell>
          <cell r="N519">
            <v>3000</v>
          </cell>
          <cell r="T519" t="str">
            <v>gross</v>
          </cell>
        </row>
        <row r="520">
          <cell r="C520" t="str">
            <v>519-0</v>
          </cell>
          <cell r="J520" t="str">
            <v>EX24111302</v>
          </cell>
          <cell r="N520">
            <v>300.63</v>
          </cell>
          <cell r="T520" t="str">
            <v>gross</v>
          </cell>
        </row>
        <row r="521">
          <cell r="C521" t="str">
            <v>520-0</v>
          </cell>
          <cell r="J521" t="str">
            <v>EX24111301</v>
          </cell>
          <cell r="N521">
            <v>569.29999999999995</v>
          </cell>
          <cell r="T521" t="str">
            <v>gross</v>
          </cell>
        </row>
        <row r="522">
          <cell r="C522" t="str">
            <v>521-0</v>
          </cell>
          <cell r="J522" t="str">
            <v>EX24111302</v>
          </cell>
          <cell r="N522">
            <v>280.59000000000003</v>
          </cell>
          <cell r="T522" t="str">
            <v>gross</v>
          </cell>
        </row>
        <row r="523">
          <cell r="C523" t="str">
            <v>522-0</v>
          </cell>
          <cell r="J523" t="str">
            <v>PR2407F5P2</v>
          </cell>
          <cell r="N523">
            <v>1</v>
          </cell>
          <cell r="T523" t="str">
            <v>net</v>
          </cell>
        </row>
        <row r="524">
          <cell r="C524" t="str">
            <v>523-0</v>
          </cell>
          <cell r="J524" t="str">
            <v>BS23090701G450</v>
          </cell>
          <cell r="N524">
            <v>450</v>
          </cell>
          <cell r="T524" t="str">
            <v>net</v>
          </cell>
        </row>
        <row r="525">
          <cell r="C525" t="str">
            <v>524-0</v>
          </cell>
          <cell r="J525" t="str">
            <v>BS23041701</v>
          </cell>
          <cell r="N525">
            <v>26500</v>
          </cell>
          <cell r="T525" t="str">
            <v>gross</v>
          </cell>
        </row>
        <row r="526">
          <cell r="C526" t="str">
            <v>525-0</v>
          </cell>
          <cell r="J526" t="str">
            <v>EX24111302G05</v>
          </cell>
          <cell r="N526">
            <v>0.5</v>
          </cell>
          <cell r="T526" t="str">
            <v>net</v>
          </cell>
        </row>
        <row r="527">
          <cell r="C527" t="str">
            <v>526-0</v>
          </cell>
          <cell r="J527" t="str">
            <v>EX24111306G05</v>
          </cell>
          <cell r="N527">
            <v>0.5</v>
          </cell>
          <cell r="T527" t="str">
            <v>net</v>
          </cell>
        </row>
        <row r="528">
          <cell r="C528" t="str">
            <v>527-0</v>
          </cell>
          <cell r="J528" t="str">
            <v>EX24101701G05</v>
          </cell>
          <cell r="N528">
            <v>0.5</v>
          </cell>
          <cell r="T528" t="str">
            <v>net</v>
          </cell>
        </row>
        <row r="529">
          <cell r="C529" t="str">
            <v>528-0</v>
          </cell>
          <cell r="J529" t="str">
            <v>2024101703G7</v>
          </cell>
          <cell r="N529">
            <v>7</v>
          </cell>
          <cell r="T529" t="str">
            <v>net</v>
          </cell>
        </row>
        <row r="530">
          <cell r="C530" t="str">
            <v>529-0</v>
          </cell>
          <cell r="J530" t="str">
            <v>PR241105F5P3</v>
          </cell>
          <cell r="N530">
            <v>1.5</v>
          </cell>
          <cell r="T530" t="str">
            <v>net</v>
          </cell>
        </row>
        <row r="531">
          <cell r="C531" t="str">
            <v>530-0</v>
          </cell>
          <cell r="J531" t="str">
            <v>EX24101704G05</v>
          </cell>
          <cell r="N531">
            <v>0.5</v>
          </cell>
          <cell r="T531" t="str">
            <v>net</v>
          </cell>
        </row>
        <row r="532">
          <cell r="C532" t="str">
            <v>531-0</v>
          </cell>
          <cell r="J532" t="str">
            <v>PR241104F5P3</v>
          </cell>
          <cell r="N532">
            <v>18</v>
          </cell>
          <cell r="T532" t="str">
            <v>net</v>
          </cell>
        </row>
        <row r="533">
          <cell r="C533" t="str">
            <v>532-0</v>
          </cell>
          <cell r="J533">
            <v>2024120401</v>
          </cell>
          <cell r="N533">
            <v>688.5</v>
          </cell>
          <cell r="T533" t="str">
            <v>gross</v>
          </cell>
        </row>
        <row r="534">
          <cell r="C534" t="str">
            <v>533-0</v>
          </cell>
          <cell r="J534" t="str">
            <v>PR2401F5P3</v>
          </cell>
          <cell r="N534">
            <v>18</v>
          </cell>
          <cell r="T534" t="str">
            <v>net</v>
          </cell>
        </row>
        <row r="535">
          <cell r="C535" t="str">
            <v>534-0</v>
          </cell>
          <cell r="J535" t="str">
            <v>PR2303IN02F5P3</v>
          </cell>
          <cell r="N535">
            <v>9</v>
          </cell>
          <cell r="T535" t="str">
            <v>net</v>
          </cell>
        </row>
        <row r="536">
          <cell r="C536" t="str">
            <v>535-0</v>
          </cell>
          <cell r="J536" t="str">
            <v>PR2401F5P3</v>
          </cell>
          <cell r="N536">
            <v>18</v>
          </cell>
          <cell r="T536" t="str">
            <v>net</v>
          </cell>
        </row>
        <row r="537">
          <cell r="C537" t="str">
            <v>536-0</v>
          </cell>
          <cell r="J537">
            <v>2024120501</v>
          </cell>
          <cell r="N537">
            <v>830.5</v>
          </cell>
          <cell r="T537" t="str">
            <v>gross</v>
          </cell>
        </row>
        <row r="538">
          <cell r="C538" t="str">
            <v>537-0</v>
          </cell>
          <cell r="J538">
            <v>2024120501</v>
          </cell>
          <cell r="N538">
            <v>930</v>
          </cell>
          <cell r="T538" t="str">
            <v>gross</v>
          </cell>
        </row>
        <row r="539">
          <cell r="C539" t="str">
            <v>538-0</v>
          </cell>
          <cell r="J539">
            <v>2024120501</v>
          </cell>
          <cell r="N539">
            <v>560</v>
          </cell>
          <cell r="T539" t="str">
            <v>gross</v>
          </cell>
        </row>
        <row r="540">
          <cell r="C540" t="str">
            <v>539-0</v>
          </cell>
          <cell r="J540">
            <v>2024120501</v>
          </cell>
          <cell r="N540">
            <v>1000</v>
          </cell>
          <cell r="T540" t="str">
            <v>gross</v>
          </cell>
        </row>
        <row r="541">
          <cell r="C541" t="str">
            <v>540-0</v>
          </cell>
          <cell r="J541">
            <v>2024120501</v>
          </cell>
          <cell r="N541">
            <v>1000</v>
          </cell>
          <cell r="T541" t="str">
            <v>gross</v>
          </cell>
        </row>
        <row r="542">
          <cell r="C542" t="str">
            <v>541-0</v>
          </cell>
          <cell r="J542">
            <v>2024120501</v>
          </cell>
          <cell r="N542">
            <v>1000</v>
          </cell>
          <cell r="T542" t="str">
            <v>gross</v>
          </cell>
        </row>
        <row r="543">
          <cell r="C543" t="str">
            <v>542-0</v>
          </cell>
          <cell r="J543">
            <v>2024120501</v>
          </cell>
          <cell r="N543">
            <v>1000</v>
          </cell>
          <cell r="T543" t="str">
            <v>gross</v>
          </cell>
        </row>
        <row r="544">
          <cell r="C544" t="str">
            <v>543-0</v>
          </cell>
          <cell r="J544">
            <v>2024120501</v>
          </cell>
          <cell r="N544">
            <v>555</v>
          </cell>
          <cell r="T544" t="str">
            <v>gross</v>
          </cell>
        </row>
        <row r="545">
          <cell r="C545" t="str">
            <v>544-0</v>
          </cell>
          <cell r="J545">
            <v>2024120501</v>
          </cell>
          <cell r="N545">
            <v>940</v>
          </cell>
          <cell r="T545" t="str">
            <v>gross</v>
          </cell>
        </row>
        <row r="546">
          <cell r="C546" t="str">
            <v>545-0</v>
          </cell>
          <cell r="J546">
            <v>2024120601</v>
          </cell>
          <cell r="N546">
            <v>1000</v>
          </cell>
          <cell r="T546" t="str">
            <v>gross</v>
          </cell>
        </row>
        <row r="547">
          <cell r="C547" t="str">
            <v>546-0</v>
          </cell>
          <cell r="J547" t="str">
            <v>EX24101705G05</v>
          </cell>
          <cell r="N547">
            <v>0.5</v>
          </cell>
          <cell r="T547" t="str">
            <v>net</v>
          </cell>
        </row>
        <row r="548">
          <cell r="C548" t="str">
            <v>547-0</v>
          </cell>
          <cell r="J548" t="str">
            <v>EX24101704G05</v>
          </cell>
          <cell r="N548">
            <v>0.5</v>
          </cell>
          <cell r="T548" t="str">
            <v>net</v>
          </cell>
        </row>
        <row r="549">
          <cell r="C549" t="str">
            <v>548-0</v>
          </cell>
          <cell r="J549" t="str">
            <v>EX24111304G05</v>
          </cell>
          <cell r="N549">
            <v>0.5</v>
          </cell>
          <cell r="T549" t="str">
            <v>net</v>
          </cell>
        </row>
        <row r="550">
          <cell r="C550" t="str">
            <v>549-0</v>
          </cell>
          <cell r="J550" t="str">
            <v>EX24111801V50</v>
          </cell>
          <cell r="N550">
            <v>600</v>
          </cell>
          <cell r="T550" t="str">
            <v>net</v>
          </cell>
        </row>
        <row r="551">
          <cell r="C551" t="str">
            <v>550-0</v>
          </cell>
          <cell r="J551" t="str">
            <v>EX24111801V50</v>
          </cell>
          <cell r="N551">
            <v>600</v>
          </cell>
          <cell r="T551" t="str">
            <v>net</v>
          </cell>
        </row>
        <row r="552">
          <cell r="C552" t="str">
            <v>551-0</v>
          </cell>
          <cell r="J552" t="str">
            <v>EX24092601V50</v>
          </cell>
          <cell r="N552">
            <v>600</v>
          </cell>
          <cell r="T552" t="str">
            <v>net</v>
          </cell>
        </row>
        <row r="553">
          <cell r="C553" t="str">
            <v>552-0</v>
          </cell>
          <cell r="J553" t="str">
            <v>EX24022302V30</v>
          </cell>
          <cell r="N553">
            <v>165.60000000000002</v>
          </cell>
          <cell r="T553" t="str">
            <v>net</v>
          </cell>
        </row>
        <row r="554">
          <cell r="C554" t="str">
            <v>553-0</v>
          </cell>
          <cell r="J554" t="str">
            <v>EX24111801V50</v>
          </cell>
          <cell r="N554">
            <v>50</v>
          </cell>
          <cell r="T554" t="str">
            <v>net</v>
          </cell>
        </row>
        <row r="555">
          <cell r="C555" t="str">
            <v>554-0</v>
          </cell>
          <cell r="J555" t="str">
            <v>EX24111801V50</v>
          </cell>
          <cell r="N555">
            <v>50</v>
          </cell>
          <cell r="T555" t="str">
            <v>net</v>
          </cell>
        </row>
        <row r="556">
          <cell r="C556" t="str">
            <v>555-0</v>
          </cell>
          <cell r="J556" t="str">
            <v>PR241104F5P3</v>
          </cell>
          <cell r="N556">
            <v>1.5</v>
          </cell>
          <cell r="T556" t="str">
            <v>net</v>
          </cell>
        </row>
        <row r="557">
          <cell r="C557" t="str">
            <v>556-0</v>
          </cell>
          <cell r="J557">
            <v>2024120901</v>
          </cell>
          <cell r="N557">
            <v>722.40000000000009</v>
          </cell>
          <cell r="T557" t="str">
            <v>gross</v>
          </cell>
        </row>
        <row r="558">
          <cell r="C558" t="str">
            <v>557-0</v>
          </cell>
          <cell r="J558" t="str">
            <v>EX24090501V50</v>
          </cell>
          <cell r="N558">
            <v>600</v>
          </cell>
          <cell r="T558" t="str">
            <v>net</v>
          </cell>
        </row>
        <row r="559">
          <cell r="C559" t="str">
            <v>558-0</v>
          </cell>
          <cell r="J559" t="str">
            <v>EX24092601V50</v>
          </cell>
          <cell r="N559">
            <v>600</v>
          </cell>
          <cell r="T559" t="str">
            <v>net</v>
          </cell>
        </row>
        <row r="560">
          <cell r="C560" t="str">
            <v>559-0</v>
          </cell>
          <cell r="J560" t="str">
            <v>EX24101703G05</v>
          </cell>
          <cell r="N560">
            <v>6</v>
          </cell>
          <cell r="T560" t="str">
            <v>net</v>
          </cell>
        </row>
        <row r="561">
          <cell r="C561" t="str">
            <v>560-0</v>
          </cell>
          <cell r="J561" t="str">
            <v>EX24101705G05</v>
          </cell>
          <cell r="N561">
            <v>6</v>
          </cell>
          <cell r="T561" t="str">
            <v>net</v>
          </cell>
        </row>
        <row r="562">
          <cell r="C562" t="str">
            <v>561-0</v>
          </cell>
          <cell r="J562" t="str">
            <v>EX24111302G05</v>
          </cell>
          <cell r="N562">
            <v>6</v>
          </cell>
          <cell r="T562" t="str">
            <v>net</v>
          </cell>
        </row>
        <row r="563">
          <cell r="C563" t="str">
            <v>562-0</v>
          </cell>
          <cell r="J563" t="str">
            <v>EX24111306G05</v>
          </cell>
          <cell r="N563">
            <v>6</v>
          </cell>
          <cell r="T563" t="str">
            <v>net</v>
          </cell>
        </row>
        <row r="564">
          <cell r="C564" t="str">
            <v>563-0</v>
          </cell>
          <cell r="J564" t="str">
            <v>PR241104F5P3</v>
          </cell>
          <cell r="N564">
            <v>18</v>
          </cell>
          <cell r="T564" t="str">
            <v>net</v>
          </cell>
        </row>
        <row r="565">
          <cell r="C565" t="str">
            <v>564-0</v>
          </cell>
          <cell r="J565" t="str">
            <v>PR2407F5P2</v>
          </cell>
          <cell r="N565">
            <v>12</v>
          </cell>
          <cell r="T565" t="str">
            <v>net</v>
          </cell>
        </row>
        <row r="566">
          <cell r="C566" t="str">
            <v>565-0</v>
          </cell>
          <cell r="J566" t="str">
            <v>PR241102F5P3</v>
          </cell>
          <cell r="N566">
            <v>18</v>
          </cell>
          <cell r="T566" t="str">
            <v>net</v>
          </cell>
        </row>
        <row r="567">
          <cell r="C567" t="str">
            <v>566-0</v>
          </cell>
          <cell r="J567" t="str">
            <v>PR241102F5P3</v>
          </cell>
          <cell r="N567">
            <v>18</v>
          </cell>
          <cell r="T567" t="str">
            <v>net</v>
          </cell>
        </row>
        <row r="568">
          <cell r="C568" t="str">
            <v>567-0</v>
          </cell>
          <cell r="J568" t="str">
            <v>PR241101F5P3</v>
          </cell>
          <cell r="N568">
            <v>18</v>
          </cell>
          <cell r="T568" t="str">
            <v>net</v>
          </cell>
        </row>
        <row r="569">
          <cell r="C569" t="str">
            <v>568-0</v>
          </cell>
          <cell r="J569" t="str">
            <v>PR241005F5P3</v>
          </cell>
          <cell r="N569">
            <v>18</v>
          </cell>
          <cell r="T569" t="str">
            <v>net</v>
          </cell>
        </row>
        <row r="570">
          <cell r="C570" t="str">
            <v>569-0</v>
          </cell>
          <cell r="J570" t="str">
            <v>PR2407F5P3</v>
          </cell>
          <cell r="N570">
            <v>18</v>
          </cell>
          <cell r="T570" t="str">
            <v>net</v>
          </cell>
        </row>
        <row r="571">
          <cell r="C571" t="str">
            <v>570-0</v>
          </cell>
          <cell r="J571" t="str">
            <v>EX24111801V50</v>
          </cell>
          <cell r="N571">
            <v>50</v>
          </cell>
          <cell r="T571" t="str">
            <v>net</v>
          </cell>
        </row>
        <row r="572">
          <cell r="C572" t="str">
            <v>571-0</v>
          </cell>
          <cell r="J572" t="str">
            <v>2024111801G7</v>
          </cell>
          <cell r="N572">
            <v>7</v>
          </cell>
          <cell r="T572" t="str">
            <v>net</v>
          </cell>
        </row>
        <row r="573">
          <cell r="C573" t="str">
            <v>572-0</v>
          </cell>
          <cell r="J573" t="str">
            <v>2024111801G7</v>
          </cell>
          <cell r="N573">
            <v>7</v>
          </cell>
          <cell r="T573" t="str">
            <v>net</v>
          </cell>
        </row>
        <row r="574">
          <cell r="C574" t="str">
            <v>573-0</v>
          </cell>
          <cell r="J574" t="str">
            <v>EX24111801V50</v>
          </cell>
          <cell r="N574">
            <v>50</v>
          </cell>
          <cell r="T574" t="str">
            <v>net</v>
          </cell>
        </row>
        <row r="575">
          <cell r="C575" t="str">
            <v>574-0</v>
          </cell>
          <cell r="J575" t="str">
            <v>PR2416</v>
          </cell>
          <cell r="N575">
            <v>1930</v>
          </cell>
          <cell r="T575" t="str">
            <v>gross</v>
          </cell>
        </row>
        <row r="576">
          <cell r="C576" t="str">
            <v>575-0</v>
          </cell>
          <cell r="J576" t="str">
            <v>PR2416</v>
          </cell>
          <cell r="N576">
            <v>2735</v>
          </cell>
          <cell r="T576" t="str">
            <v>gross</v>
          </cell>
        </row>
        <row r="577">
          <cell r="C577" t="str">
            <v>576-0</v>
          </cell>
          <cell r="J577" t="str">
            <v>EX24111301G05</v>
          </cell>
          <cell r="N577">
            <v>0.5</v>
          </cell>
          <cell r="T577" t="str">
            <v>net</v>
          </cell>
        </row>
        <row r="578">
          <cell r="C578" t="str">
            <v>577-0</v>
          </cell>
          <cell r="J578" t="str">
            <v>TP24120401G45</v>
          </cell>
          <cell r="N578">
            <v>45</v>
          </cell>
          <cell r="T578" t="str">
            <v>net</v>
          </cell>
        </row>
        <row r="579">
          <cell r="C579" t="str">
            <v>578-0</v>
          </cell>
          <cell r="J579" t="str">
            <v>TP24120401G45</v>
          </cell>
          <cell r="N579">
            <v>45</v>
          </cell>
          <cell r="T579" t="str">
            <v>net</v>
          </cell>
        </row>
        <row r="580">
          <cell r="C580" t="str">
            <v>579-0</v>
          </cell>
          <cell r="J580" t="str">
            <v>TP24120401</v>
          </cell>
          <cell r="N580">
            <v>23062</v>
          </cell>
          <cell r="T580" t="str">
            <v>gross</v>
          </cell>
        </row>
        <row r="581">
          <cell r="C581" t="str">
            <v>580-0</v>
          </cell>
          <cell r="J581" t="str">
            <v>TP24120401</v>
          </cell>
          <cell r="N581">
            <v>5192</v>
          </cell>
          <cell r="T581" t="str">
            <v>gross</v>
          </cell>
        </row>
        <row r="582">
          <cell r="C582" t="str">
            <v>581-0</v>
          </cell>
          <cell r="J582" t="str">
            <v>TP24120401</v>
          </cell>
          <cell r="N582">
            <v>22994</v>
          </cell>
          <cell r="T582" t="str">
            <v>gross</v>
          </cell>
        </row>
        <row r="583">
          <cell r="C583" t="str">
            <v>582-0</v>
          </cell>
          <cell r="J583" t="str">
            <v>TP24120401</v>
          </cell>
          <cell r="N583">
            <v>1756</v>
          </cell>
          <cell r="T583" t="str">
            <v>gross</v>
          </cell>
        </row>
        <row r="584">
          <cell r="C584" t="str">
            <v>583-0</v>
          </cell>
          <cell r="J584" t="str">
            <v>TP24120401</v>
          </cell>
          <cell r="N584">
            <v>1754</v>
          </cell>
          <cell r="T584" t="str">
            <v>gross</v>
          </cell>
        </row>
        <row r="585">
          <cell r="C585" t="str">
            <v>584-0</v>
          </cell>
          <cell r="J585" t="str">
            <v>PR2416F5P10</v>
          </cell>
          <cell r="N585">
            <v>5</v>
          </cell>
          <cell r="T585" t="str">
            <v>net</v>
          </cell>
        </row>
        <row r="586">
          <cell r="C586" t="str">
            <v>585-0</v>
          </cell>
          <cell r="J586" t="str">
            <v>TP24120401G45</v>
          </cell>
          <cell r="N586">
            <v>45</v>
          </cell>
          <cell r="T586" t="str">
            <v>net</v>
          </cell>
        </row>
        <row r="587">
          <cell r="C587" t="str">
            <v>586-0</v>
          </cell>
          <cell r="J587" t="str">
            <v>TP24120401G45</v>
          </cell>
          <cell r="N587">
            <v>45</v>
          </cell>
          <cell r="T587" t="str">
            <v>net</v>
          </cell>
        </row>
        <row r="588">
          <cell r="C588" t="str">
            <v>587-0</v>
          </cell>
          <cell r="J588">
            <v>2025010201</v>
          </cell>
          <cell r="N588">
            <v>4360</v>
          </cell>
          <cell r="T588" t="str">
            <v>gross</v>
          </cell>
        </row>
        <row r="589">
          <cell r="C589" t="str">
            <v>588-0</v>
          </cell>
          <cell r="J589">
            <v>2025010201</v>
          </cell>
          <cell r="N589">
            <v>4360</v>
          </cell>
          <cell r="T589" t="str">
            <v>gross</v>
          </cell>
        </row>
        <row r="590">
          <cell r="C590" t="str">
            <v>589-0</v>
          </cell>
          <cell r="J590">
            <v>2025010201</v>
          </cell>
          <cell r="N590">
            <v>4360</v>
          </cell>
          <cell r="T590" t="str">
            <v>gross</v>
          </cell>
        </row>
        <row r="591">
          <cell r="C591" t="str">
            <v>590-0</v>
          </cell>
          <cell r="J591">
            <v>2025010201</v>
          </cell>
          <cell r="N591">
            <v>4360</v>
          </cell>
          <cell r="T591" t="str">
            <v>gross</v>
          </cell>
        </row>
        <row r="592">
          <cell r="C592" t="str">
            <v>591-0</v>
          </cell>
          <cell r="J592">
            <v>2025010201</v>
          </cell>
          <cell r="N592">
            <v>4360</v>
          </cell>
          <cell r="T592" t="str">
            <v>gross</v>
          </cell>
        </row>
        <row r="593">
          <cell r="C593" t="str">
            <v>592-0</v>
          </cell>
          <cell r="J593">
            <v>2024121801</v>
          </cell>
          <cell r="N593">
            <v>1000</v>
          </cell>
          <cell r="T593" t="str">
            <v>gross</v>
          </cell>
        </row>
        <row r="594">
          <cell r="C594" t="str">
            <v>593-0</v>
          </cell>
          <cell r="J594">
            <v>2024121801</v>
          </cell>
          <cell r="N594">
            <v>1000</v>
          </cell>
          <cell r="T594" t="str">
            <v>gross</v>
          </cell>
        </row>
        <row r="595">
          <cell r="C595" t="str">
            <v>594-0</v>
          </cell>
          <cell r="J595">
            <v>2024121801</v>
          </cell>
          <cell r="N595">
            <v>1000</v>
          </cell>
          <cell r="T595" t="str">
            <v>gross</v>
          </cell>
        </row>
        <row r="596">
          <cell r="C596" t="str">
            <v>595-0</v>
          </cell>
          <cell r="J596">
            <v>2024121801</v>
          </cell>
          <cell r="N596">
            <v>1000</v>
          </cell>
          <cell r="T596" t="str">
            <v>gross</v>
          </cell>
        </row>
        <row r="597">
          <cell r="C597" t="str">
            <v>596-0</v>
          </cell>
          <cell r="J597">
            <v>2024121801</v>
          </cell>
          <cell r="N597">
            <v>1000</v>
          </cell>
          <cell r="T597" t="str">
            <v>gross</v>
          </cell>
        </row>
        <row r="598">
          <cell r="C598" t="str">
            <v>597-0</v>
          </cell>
          <cell r="J598">
            <v>2024121801</v>
          </cell>
          <cell r="N598">
            <v>1000</v>
          </cell>
          <cell r="T598" t="str">
            <v>gross</v>
          </cell>
        </row>
        <row r="599">
          <cell r="C599" t="str">
            <v>598-0</v>
          </cell>
          <cell r="J599">
            <v>2024121801</v>
          </cell>
          <cell r="N599">
            <v>1000</v>
          </cell>
          <cell r="T599" t="str">
            <v>gross</v>
          </cell>
        </row>
        <row r="600">
          <cell r="C600" t="str">
            <v>599-0</v>
          </cell>
          <cell r="J600">
            <v>2024121801</v>
          </cell>
          <cell r="N600">
            <v>1000</v>
          </cell>
          <cell r="T600" t="str">
            <v>gross</v>
          </cell>
        </row>
        <row r="601">
          <cell r="C601" t="str">
            <v>600-0</v>
          </cell>
          <cell r="J601">
            <v>2024121801</v>
          </cell>
          <cell r="N601">
            <v>1133</v>
          </cell>
          <cell r="T601" t="str">
            <v>gross</v>
          </cell>
        </row>
        <row r="602">
          <cell r="C602" t="str">
            <v>601-0</v>
          </cell>
          <cell r="J602">
            <v>2024121801</v>
          </cell>
          <cell r="N602">
            <v>1000</v>
          </cell>
          <cell r="T602" t="str">
            <v>gross</v>
          </cell>
        </row>
        <row r="603">
          <cell r="C603" t="str">
            <v>602-0</v>
          </cell>
          <cell r="J603">
            <v>2024121801</v>
          </cell>
          <cell r="N603">
            <v>1000</v>
          </cell>
          <cell r="T603" t="str">
            <v>gross</v>
          </cell>
        </row>
        <row r="604">
          <cell r="C604" t="str">
            <v>603-0</v>
          </cell>
          <cell r="J604">
            <v>2024121801</v>
          </cell>
          <cell r="N604">
            <v>1000</v>
          </cell>
          <cell r="T604" t="str">
            <v>gross</v>
          </cell>
        </row>
        <row r="605">
          <cell r="C605" t="str">
            <v>604-0</v>
          </cell>
          <cell r="J605">
            <v>2024121801</v>
          </cell>
          <cell r="N605">
            <v>1000</v>
          </cell>
          <cell r="T605" t="str">
            <v>gross</v>
          </cell>
        </row>
        <row r="606">
          <cell r="C606" t="str">
            <v>605-0</v>
          </cell>
          <cell r="J606">
            <v>2024121801</v>
          </cell>
          <cell r="N606">
            <v>995</v>
          </cell>
          <cell r="T606" t="str">
            <v>gross</v>
          </cell>
        </row>
        <row r="607">
          <cell r="C607" t="str">
            <v>606-0</v>
          </cell>
          <cell r="J607">
            <v>2024121801</v>
          </cell>
          <cell r="N607">
            <v>1000</v>
          </cell>
          <cell r="T607" t="str">
            <v>gross</v>
          </cell>
        </row>
        <row r="608">
          <cell r="C608" t="str">
            <v>607-0</v>
          </cell>
          <cell r="J608">
            <v>2024121801</v>
          </cell>
          <cell r="N608">
            <v>1000</v>
          </cell>
          <cell r="T608" t="str">
            <v>gross</v>
          </cell>
        </row>
        <row r="609">
          <cell r="C609" t="str">
            <v>608-0</v>
          </cell>
          <cell r="J609">
            <v>2024121801</v>
          </cell>
          <cell r="N609">
            <v>1000</v>
          </cell>
          <cell r="T609" t="str">
            <v>gross</v>
          </cell>
        </row>
        <row r="610">
          <cell r="C610" t="str">
            <v>609-0</v>
          </cell>
          <cell r="J610">
            <v>2024121801</v>
          </cell>
          <cell r="N610">
            <v>1000</v>
          </cell>
          <cell r="T610" t="str">
            <v>gross</v>
          </cell>
        </row>
        <row r="611">
          <cell r="C611" t="str">
            <v>610-0</v>
          </cell>
          <cell r="J611">
            <v>2024121801</v>
          </cell>
          <cell r="N611">
            <v>1000</v>
          </cell>
          <cell r="T611" t="str">
            <v>gross</v>
          </cell>
        </row>
        <row r="612">
          <cell r="C612" t="str">
            <v>611-0</v>
          </cell>
          <cell r="J612">
            <v>2024121801</v>
          </cell>
          <cell r="N612">
            <v>1000</v>
          </cell>
          <cell r="T612" t="str">
            <v>gross</v>
          </cell>
        </row>
        <row r="613">
          <cell r="C613" t="str">
            <v>612-0</v>
          </cell>
          <cell r="J613">
            <v>2024121801</v>
          </cell>
          <cell r="N613">
            <v>1000</v>
          </cell>
          <cell r="T613" t="str">
            <v>gross</v>
          </cell>
        </row>
        <row r="614">
          <cell r="C614" t="str">
            <v>613-0</v>
          </cell>
          <cell r="J614">
            <v>2024121801</v>
          </cell>
          <cell r="N614">
            <v>1000</v>
          </cell>
          <cell r="T614" t="str">
            <v>gross</v>
          </cell>
        </row>
        <row r="615">
          <cell r="C615" t="str">
            <v>614-0</v>
          </cell>
          <cell r="J615">
            <v>2024121801</v>
          </cell>
          <cell r="N615">
            <v>1000</v>
          </cell>
          <cell r="T615" t="str">
            <v>gross</v>
          </cell>
        </row>
        <row r="616">
          <cell r="C616" t="str">
            <v>615-0</v>
          </cell>
          <cell r="J616">
            <v>2024121801</v>
          </cell>
          <cell r="N616">
            <v>1000</v>
          </cell>
          <cell r="T616" t="str">
            <v>gross</v>
          </cell>
        </row>
        <row r="617">
          <cell r="C617" t="str">
            <v>616-0</v>
          </cell>
          <cell r="J617">
            <v>2024121801</v>
          </cell>
          <cell r="N617">
            <v>1000</v>
          </cell>
          <cell r="T617" t="str">
            <v>gross</v>
          </cell>
        </row>
        <row r="618">
          <cell r="C618" t="str">
            <v>617-0</v>
          </cell>
          <cell r="J618">
            <v>2024121801</v>
          </cell>
          <cell r="N618">
            <v>1000</v>
          </cell>
          <cell r="T618" t="str">
            <v>gross</v>
          </cell>
        </row>
        <row r="619">
          <cell r="C619" t="str">
            <v>618-0</v>
          </cell>
          <cell r="J619">
            <v>2024121801</v>
          </cell>
          <cell r="N619">
            <v>1000</v>
          </cell>
          <cell r="T619" t="str">
            <v>gross</v>
          </cell>
        </row>
        <row r="620">
          <cell r="C620" t="str">
            <v>619-0</v>
          </cell>
          <cell r="J620">
            <v>2024121801</v>
          </cell>
          <cell r="N620">
            <v>1000</v>
          </cell>
          <cell r="T620" t="str">
            <v>gross</v>
          </cell>
        </row>
        <row r="621">
          <cell r="C621" t="str">
            <v>620-0</v>
          </cell>
          <cell r="J621">
            <v>2024121801</v>
          </cell>
          <cell r="N621">
            <v>1000</v>
          </cell>
          <cell r="T621" t="str">
            <v>gross</v>
          </cell>
        </row>
        <row r="622">
          <cell r="C622" t="str">
            <v>621-0</v>
          </cell>
          <cell r="J622">
            <v>2024121801</v>
          </cell>
          <cell r="N622">
            <v>1000</v>
          </cell>
          <cell r="T622" t="str">
            <v>gross</v>
          </cell>
        </row>
        <row r="623">
          <cell r="C623" t="str">
            <v>622-0</v>
          </cell>
          <cell r="J623">
            <v>2024121801</v>
          </cell>
          <cell r="N623">
            <v>1000</v>
          </cell>
          <cell r="T623" t="str">
            <v>gross</v>
          </cell>
        </row>
        <row r="624">
          <cell r="C624" t="str">
            <v>623-0</v>
          </cell>
          <cell r="J624">
            <v>2024121801</v>
          </cell>
          <cell r="N624">
            <v>1000</v>
          </cell>
          <cell r="T624" t="str">
            <v>gross</v>
          </cell>
        </row>
        <row r="625">
          <cell r="C625" t="str">
            <v>624-0</v>
          </cell>
          <cell r="J625">
            <v>2024121801</v>
          </cell>
          <cell r="N625">
            <v>1000</v>
          </cell>
          <cell r="T625" t="str">
            <v>gross</v>
          </cell>
        </row>
        <row r="626">
          <cell r="C626" t="str">
            <v>736-0</v>
          </cell>
          <cell r="J626">
            <v>2024121801</v>
          </cell>
          <cell r="N626">
            <v>1000</v>
          </cell>
          <cell r="T626" t="str">
            <v>gross</v>
          </cell>
        </row>
        <row r="627">
          <cell r="C627" t="str">
            <v>625-0</v>
          </cell>
          <cell r="J627" t="str">
            <v>EX25010907G1</v>
          </cell>
          <cell r="N627">
            <v>1</v>
          </cell>
          <cell r="T627" t="str">
            <v>net</v>
          </cell>
        </row>
        <row r="628">
          <cell r="C628" t="str">
            <v>626-0</v>
          </cell>
          <cell r="J628" t="str">
            <v>EX24111301G05</v>
          </cell>
          <cell r="N628">
            <v>0.5</v>
          </cell>
          <cell r="T628" t="str">
            <v>net</v>
          </cell>
        </row>
        <row r="629">
          <cell r="C629" t="str">
            <v>627-0</v>
          </cell>
          <cell r="J629" t="str">
            <v>2022012401G28</v>
          </cell>
          <cell r="N629">
            <v>28</v>
          </cell>
          <cell r="T629" t="str">
            <v>net</v>
          </cell>
        </row>
        <row r="630">
          <cell r="C630" t="str">
            <v>628-0</v>
          </cell>
          <cell r="J630" t="str">
            <v>CPR22102001G1</v>
          </cell>
          <cell r="N630">
            <v>1</v>
          </cell>
          <cell r="T630" t="str">
            <v>net</v>
          </cell>
        </row>
        <row r="631">
          <cell r="C631" t="str">
            <v>629-0</v>
          </cell>
          <cell r="J631" t="str">
            <v>PR2301F35P12</v>
          </cell>
          <cell r="N631">
            <v>4.1999999999999993</v>
          </cell>
          <cell r="T631" t="str">
            <v>net</v>
          </cell>
        </row>
        <row r="632">
          <cell r="C632" t="str">
            <v>630-0</v>
          </cell>
          <cell r="J632" t="str">
            <v>PR2401F5P2</v>
          </cell>
          <cell r="N632">
            <v>1</v>
          </cell>
          <cell r="T632" t="str">
            <v>net</v>
          </cell>
        </row>
        <row r="633">
          <cell r="C633" t="str">
            <v>631-0</v>
          </cell>
          <cell r="J633" t="str">
            <v>PR2501</v>
          </cell>
          <cell r="N633">
            <v>2769</v>
          </cell>
          <cell r="T633" t="str">
            <v>gross</v>
          </cell>
        </row>
        <row r="634">
          <cell r="C634" t="str">
            <v>632-0</v>
          </cell>
          <cell r="J634" t="str">
            <v>PR2501</v>
          </cell>
          <cell r="N634">
            <v>3093</v>
          </cell>
          <cell r="T634" t="str">
            <v>gross</v>
          </cell>
        </row>
        <row r="635">
          <cell r="C635" t="str">
            <v>633-0</v>
          </cell>
          <cell r="J635" t="str">
            <v>PR2501</v>
          </cell>
          <cell r="N635">
            <v>1423</v>
          </cell>
          <cell r="T635" t="str">
            <v>gross</v>
          </cell>
        </row>
        <row r="636">
          <cell r="C636" t="str">
            <v>634-0</v>
          </cell>
          <cell r="J636" t="str">
            <v>PR2502</v>
          </cell>
          <cell r="N636">
            <v>1857</v>
          </cell>
          <cell r="T636" t="str">
            <v>gross</v>
          </cell>
        </row>
        <row r="637">
          <cell r="C637" t="str">
            <v>635-0</v>
          </cell>
          <cell r="J637" t="str">
            <v>EX25010601V30</v>
          </cell>
          <cell r="N637">
            <v>2401.2000000000003</v>
          </cell>
          <cell r="T637" t="str">
            <v>net</v>
          </cell>
        </row>
        <row r="638">
          <cell r="C638" t="str">
            <v>636-0</v>
          </cell>
          <cell r="J638">
            <v>2025012801</v>
          </cell>
          <cell r="N638">
            <v>2005</v>
          </cell>
          <cell r="T638" t="str">
            <v>gross</v>
          </cell>
        </row>
        <row r="639">
          <cell r="C639" t="str">
            <v>637-0</v>
          </cell>
          <cell r="J639" t="str">
            <v>PR21071201G1</v>
          </cell>
          <cell r="N639">
            <v>1</v>
          </cell>
          <cell r="T639" t="str">
            <v>net</v>
          </cell>
        </row>
        <row r="640">
          <cell r="C640" t="str">
            <v>638-0</v>
          </cell>
          <cell r="J640" t="str">
            <v>EX25011501V50</v>
          </cell>
          <cell r="N640">
            <v>50</v>
          </cell>
          <cell r="T640" t="str">
            <v>net</v>
          </cell>
        </row>
        <row r="641">
          <cell r="C641" t="str">
            <v>639-0</v>
          </cell>
          <cell r="J641" t="str">
            <v>EX25011501V50</v>
          </cell>
          <cell r="N641">
            <v>50</v>
          </cell>
          <cell r="T641" t="str">
            <v>net</v>
          </cell>
        </row>
        <row r="642">
          <cell r="C642" t="str">
            <v>640-0</v>
          </cell>
          <cell r="J642" t="str">
            <v>EX25011501V50</v>
          </cell>
          <cell r="N642">
            <v>50</v>
          </cell>
          <cell r="T642" t="str">
            <v>net</v>
          </cell>
        </row>
        <row r="643">
          <cell r="C643" t="str">
            <v>641-0</v>
          </cell>
          <cell r="J643" t="str">
            <v>PR2505</v>
          </cell>
          <cell r="N643">
            <v>4188</v>
          </cell>
          <cell r="T643" t="str">
            <v>gross</v>
          </cell>
        </row>
        <row r="644">
          <cell r="C644" t="str">
            <v>642-0</v>
          </cell>
          <cell r="J644" t="str">
            <v>PR2505</v>
          </cell>
          <cell r="N644">
            <v>2676</v>
          </cell>
          <cell r="T644" t="str">
            <v>gross</v>
          </cell>
        </row>
        <row r="645">
          <cell r="C645" t="str">
            <v>643-0</v>
          </cell>
          <cell r="J645" t="str">
            <v>PR2505</v>
          </cell>
          <cell r="N645">
            <v>4153</v>
          </cell>
          <cell r="T645" t="str">
            <v>gross</v>
          </cell>
        </row>
        <row r="646">
          <cell r="C646" t="str">
            <v>644-0</v>
          </cell>
          <cell r="J646" t="str">
            <v>PR2506</v>
          </cell>
          <cell r="N646">
            <v>1340</v>
          </cell>
          <cell r="T646" t="str">
            <v>gross</v>
          </cell>
        </row>
        <row r="647">
          <cell r="C647" t="str">
            <v>645-0</v>
          </cell>
          <cell r="J647" t="str">
            <v>EX25020601</v>
          </cell>
          <cell r="N647">
            <v>278.02000000000004</v>
          </cell>
          <cell r="T647" t="str">
            <v>gross</v>
          </cell>
        </row>
        <row r="648">
          <cell r="C648" t="str">
            <v>646-0</v>
          </cell>
          <cell r="J648">
            <v>2025021901</v>
          </cell>
          <cell r="N648">
            <v>591.6</v>
          </cell>
          <cell r="T648" t="str">
            <v>gross</v>
          </cell>
        </row>
        <row r="649">
          <cell r="C649" t="str">
            <v>647-0</v>
          </cell>
          <cell r="J649" t="str">
            <v>KALEX25001</v>
          </cell>
          <cell r="N649">
            <v>225.32</v>
          </cell>
          <cell r="T649" t="str">
            <v>gross</v>
          </cell>
        </row>
        <row r="650">
          <cell r="C650" t="str">
            <v>648-0</v>
          </cell>
          <cell r="J650" t="str">
            <v>KALEX25001</v>
          </cell>
          <cell r="N650">
            <v>250.45999999999998</v>
          </cell>
          <cell r="T650" t="str">
            <v>gross</v>
          </cell>
        </row>
        <row r="651">
          <cell r="C651" t="str">
            <v>649-0</v>
          </cell>
          <cell r="J651" t="str">
            <v>EX25022105</v>
          </cell>
          <cell r="N651">
            <v>276.12000000000006</v>
          </cell>
          <cell r="T651" t="str">
            <v>gross</v>
          </cell>
        </row>
        <row r="652">
          <cell r="C652" t="str">
            <v>650-0</v>
          </cell>
          <cell r="J652" t="str">
            <v>PR2501F5P10</v>
          </cell>
          <cell r="N652">
            <v>5</v>
          </cell>
          <cell r="T652" t="str">
            <v>net</v>
          </cell>
        </row>
        <row r="653">
          <cell r="C653" t="str">
            <v>651-0</v>
          </cell>
          <cell r="J653" t="str">
            <v>EX25012101V50</v>
          </cell>
          <cell r="N653">
            <v>50</v>
          </cell>
          <cell r="T653" t="str">
            <v>net</v>
          </cell>
        </row>
        <row r="654">
          <cell r="C654" t="str">
            <v>652-0</v>
          </cell>
          <cell r="J654" t="str">
            <v>EX25012101V50</v>
          </cell>
          <cell r="N654">
            <v>50</v>
          </cell>
          <cell r="T654" t="str">
            <v>net</v>
          </cell>
        </row>
        <row r="655">
          <cell r="C655" t="str">
            <v>653-0</v>
          </cell>
          <cell r="J655" t="str">
            <v>PR241101F5P3</v>
          </cell>
          <cell r="N655">
            <v>1.5</v>
          </cell>
          <cell r="T655" t="str">
            <v>net</v>
          </cell>
        </row>
        <row r="656">
          <cell r="C656" t="str">
            <v>654-0</v>
          </cell>
          <cell r="J656" t="str">
            <v>EX25020601G1</v>
          </cell>
          <cell r="N656">
            <v>1</v>
          </cell>
          <cell r="T656" t="str">
            <v>net</v>
          </cell>
        </row>
        <row r="657">
          <cell r="C657" t="str">
            <v>655-0</v>
          </cell>
          <cell r="J657" t="str">
            <v>EX25011501V50</v>
          </cell>
          <cell r="N657">
            <v>600</v>
          </cell>
          <cell r="T657" t="str">
            <v>net</v>
          </cell>
        </row>
        <row r="658">
          <cell r="C658" t="str">
            <v>656-0</v>
          </cell>
          <cell r="J658" t="str">
            <v>EX25012101V50</v>
          </cell>
          <cell r="N658">
            <v>600</v>
          </cell>
          <cell r="T658" t="str">
            <v>net</v>
          </cell>
        </row>
        <row r="659">
          <cell r="C659" t="str">
            <v>657-0</v>
          </cell>
          <cell r="J659" t="str">
            <v>EX25011201V50</v>
          </cell>
          <cell r="N659">
            <v>50</v>
          </cell>
          <cell r="T659" t="str">
            <v>net</v>
          </cell>
        </row>
        <row r="660">
          <cell r="C660" t="str">
            <v>658-0</v>
          </cell>
          <cell r="J660" t="str">
            <v>PR2507</v>
          </cell>
          <cell r="N660">
            <v>4045</v>
          </cell>
          <cell r="T660" t="str">
            <v>gross</v>
          </cell>
        </row>
        <row r="661">
          <cell r="C661" t="str">
            <v>659-0</v>
          </cell>
          <cell r="J661" t="str">
            <v>PR2507</v>
          </cell>
          <cell r="N661">
            <v>4692</v>
          </cell>
          <cell r="T661" t="str">
            <v>gross</v>
          </cell>
        </row>
        <row r="662">
          <cell r="C662" t="str">
            <v>660-0</v>
          </cell>
          <cell r="J662">
            <v>2025021302</v>
          </cell>
          <cell r="N662">
            <v>725</v>
          </cell>
          <cell r="T662" t="str">
            <v>gross</v>
          </cell>
        </row>
        <row r="663">
          <cell r="C663" t="str">
            <v>661-0</v>
          </cell>
          <cell r="J663" t="str">
            <v>2022012401G28</v>
          </cell>
          <cell r="N663">
            <v>28</v>
          </cell>
          <cell r="T663" t="str">
            <v>net</v>
          </cell>
        </row>
        <row r="664">
          <cell r="C664" t="str">
            <v>662-0</v>
          </cell>
          <cell r="J664" t="str">
            <v>PR21071201G1</v>
          </cell>
          <cell r="N664">
            <v>24</v>
          </cell>
          <cell r="T664" t="str">
            <v>net</v>
          </cell>
        </row>
        <row r="665">
          <cell r="C665" t="str">
            <v>663-0</v>
          </cell>
          <cell r="J665" t="str">
            <v>PR2501F5</v>
          </cell>
          <cell r="N665">
            <v>0.5</v>
          </cell>
          <cell r="T665" t="str">
            <v>net</v>
          </cell>
        </row>
        <row r="666">
          <cell r="C666" t="str">
            <v>664-0</v>
          </cell>
          <cell r="J666" t="str">
            <v>EX25010907G1</v>
          </cell>
          <cell r="N666">
            <v>1</v>
          </cell>
          <cell r="T666" t="str">
            <v>net</v>
          </cell>
        </row>
        <row r="667">
          <cell r="C667" t="str">
            <v>665-0</v>
          </cell>
          <cell r="J667" t="str">
            <v>EX24111302G05</v>
          </cell>
          <cell r="N667">
            <v>0.5</v>
          </cell>
          <cell r="T667" t="str">
            <v>net</v>
          </cell>
        </row>
        <row r="668">
          <cell r="C668" t="str">
            <v>666-0</v>
          </cell>
          <cell r="J668" t="str">
            <v>DI22120501V30</v>
          </cell>
          <cell r="N668">
            <v>27.8</v>
          </cell>
          <cell r="T668" t="str">
            <v>net</v>
          </cell>
        </row>
        <row r="669">
          <cell r="C669" t="str">
            <v>667-0</v>
          </cell>
          <cell r="J669" t="str">
            <v>EX25020601G05</v>
          </cell>
          <cell r="N669">
            <v>0.5</v>
          </cell>
          <cell r="T669" t="str">
            <v>net</v>
          </cell>
        </row>
        <row r="670">
          <cell r="C670" t="str">
            <v>668-0</v>
          </cell>
          <cell r="J670" t="str">
            <v>PH23051101</v>
          </cell>
          <cell r="N670">
            <v>1</v>
          </cell>
          <cell r="T670" t="str">
            <v>net</v>
          </cell>
        </row>
        <row r="671">
          <cell r="C671" t="str">
            <v>669-0</v>
          </cell>
          <cell r="J671" t="str">
            <v>BH231221</v>
          </cell>
          <cell r="N671">
            <v>1</v>
          </cell>
          <cell r="T671" t="str">
            <v>net</v>
          </cell>
        </row>
        <row r="672">
          <cell r="C672" t="str">
            <v>670-0</v>
          </cell>
          <cell r="J672" t="str">
            <v>CW2103051</v>
          </cell>
          <cell r="N672">
            <v>1</v>
          </cell>
          <cell r="T672" t="str">
            <v>net</v>
          </cell>
        </row>
        <row r="673">
          <cell r="C673" t="str">
            <v>671-0</v>
          </cell>
          <cell r="J673" t="str">
            <v>CW22011701</v>
          </cell>
          <cell r="N673">
            <v>1</v>
          </cell>
          <cell r="T673" t="str">
            <v>net</v>
          </cell>
        </row>
        <row r="674">
          <cell r="C674" t="str">
            <v>672-0</v>
          </cell>
          <cell r="J674" t="str">
            <v>RP2021072101</v>
          </cell>
          <cell r="N674">
            <v>1</v>
          </cell>
          <cell r="T674" t="str">
            <v>net</v>
          </cell>
        </row>
        <row r="675">
          <cell r="C675" t="str">
            <v>673-0</v>
          </cell>
          <cell r="J675" t="str">
            <v>CW20210507-01A</v>
          </cell>
          <cell r="N675">
            <v>1</v>
          </cell>
          <cell r="T675" t="str">
            <v>net</v>
          </cell>
        </row>
        <row r="676">
          <cell r="C676" t="str">
            <v>674-0</v>
          </cell>
          <cell r="J676" t="str">
            <v>RP24001</v>
          </cell>
          <cell r="N676">
            <v>1</v>
          </cell>
          <cell r="T676" t="str">
            <v>net</v>
          </cell>
        </row>
        <row r="677">
          <cell r="C677" t="str">
            <v>675-0</v>
          </cell>
          <cell r="J677" t="str">
            <v>DI22110901V30</v>
          </cell>
          <cell r="N677">
            <v>1</v>
          </cell>
          <cell r="T677" t="str">
            <v>net</v>
          </cell>
        </row>
        <row r="678">
          <cell r="C678" t="str">
            <v>676-0</v>
          </cell>
          <cell r="J678" t="str">
            <v>FP23006</v>
          </cell>
          <cell r="N678">
            <v>1</v>
          </cell>
          <cell r="T678" t="str">
            <v>net</v>
          </cell>
        </row>
        <row r="679">
          <cell r="C679" t="str">
            <v>677-0</v>
          </cell>
          <cell r="J679">
            <v>2025021303</v>
          </cell>
          <cell r="N679">
            <v>782</v>
          </cell>
          <cell r="T679" t="str">
            <v>gross</v>
          </cell>
        </row>
        <row r="680">
          <cell r="C680" t="str">
            <v>678-0</v>
          </cell>
          <cell r="J680">
            <v>2025021303</v>
          </cell>
          <cell r="N680">
            <v>835</v>
          </cell>
          <cell r="T680" t="str">
            <v>gross</v>
          </cell>
        </row>
        <row r="681">
          <cell r="C681" t="str">
            <v>679-0</v>
          </cell>
          <cell r="J681">
            <v>2025021303</v>
          </cell>
          <cell r="N681">
            <v>899</v>
          </cell>
          <cell r="T681" t="str">
            <v>gross</v>
          </cell>
        </row>
        <row r="682">
          <cell r="C682" t="str">
            <v>680-0</v>
          </cell>
          <cell r="J682">
            <v>2025021301</v>
          </cell>
          <cell r="N682">
            <v>587.5</v>
          </cell>
          <cell r="T682" t="str">
            <v>gross</v>
          </cell>
        </row>
        <row r="683">
          <cell r="C683" t="str">
            <v>681-0</v>
          </cell>
          <cell r="J683">
            <v>2025021301</v>
          </cell>
          <cell r="N683">
            <v>592.29999999999995</v>
          </cell>
          <cell r="T683" t="str">
            <v>gross</v>
          </cell>
        </row>
        <row r="684">
          <cell r="C684" t="str">
            <v>682-0</v>
          </cell>
          <cell r="J684">
            <v>2025021301</v>
          </cell>
          <cell r="N684">
            <v>592.5</v>
          </cell>
          <cell r="T684" t="str">
            <v>gross</v>
          </cell>
        </row>
        <row r="685">
          <cell r="C685" t="str">
            <v>683-0</v>
          </cell>
          <cell r="J685">
            <v>2025021301</v>
          </cell>
          <cell r="N685">
            <v>597.5</v>
          </cell>
          <cell r="T685" t="str">
            <v>gross</v>
          </cell>
        </row>
        <row r="686">
          <cell r="C686" t="str">
            <v>684-0</v>
          </cell>
          <cell r="J686">
            <v>2025021301</v>
          </cell>
          <cell r="N686">
            <v>627.5</v>
          </cell>
          <cell r="T686" t="str">
            <v>gross</v>
          </cell>
        </row>
        <row r="687">
          <cell r="C687" t="str">
            <v>685-0</v>
          </cell>
          <cell r="J687">
            <v>2025021301</v>
          </cell>
          <cell r="N687">
            <v>607.5</v>
          </cell>
          <cell r="T687" t="str">
            <v>gross</v>
          </cell>
        </row>
        <row r="688">
          <cell r="C688" t="str">
            <v>686-0</v>
          </cell>
          <cell r="J688">
            <v>2025021301</v>
          </cell>
          <cell r="N688">
            <v>497.5</v>
          </cell>
          <cell r="T688" t="str">
            <v>gross</v>
          </cell>
        </row>
        <row r="689">
          <cell r="C689" t="str">
            <v>687-0</v>
          </cell>
          <cell r="J689">
            <v>2025021301</v>
          </cell>
          <cell r="N689">
            <v>697.5</v>
          </cell>
          <cell r="T689" t="str">
            <v>gross</v>
          </cell>
        </row>
        <row r="690">
          <cell r="C690" t="str">
            <v>688-0</v>
          </cell>
          <cell r="J690">
            <v>2025021301</v>
          </cell>
          <cell r="N690">
            <v>612.5</v>
          </cell>
          <cell r="T690" t="str">
            <v>gross</v>
          </cell>
        </row>
        <row r="691">
          <cell r="C691" t="str">
            <v>689-0</v>
          </cell>
          <cell r="J691">
            <v>2025021301</v>
          </cell>
          <cell r="N691">
            <v>253.25</v>
          </cell>
          <cell r="T691" t="str">
            <v>gross</v>
          </cell>
        </row>
        <row r="692">
          <cell r="C692" t="str">
            <v>690-0</v>
          </cell>
          <cell r="J692">
            <v>2025021301</v>
          </cell>
          <cell r="N692">
            <v>597.5</v>
          </cell>
          <cell r="T692" t="str">
            <v>gross</v>
          </cell>
        </row>
        <row r="693">
          <cell r="C693" t="str">
            <v>691-0</v>
          </cell>
          <cell r="J693">
            <v>2025021301</v>
          </cell>
          <cell r="N693">
            <v>497.5</v>
          </cell>
          <cell r="T693" t="str">
            <v>gross</v>
          </cell>
        </row>
        <row r="694">
          <cell r="C694" t="str">
            <v>692-0</v>
          </cell>
          <cell r="J694">
            <v>2025021301</v>
          </cell>
          <cell r="N694">
            <v>202.5</v>
          </cell>
          <cell r="T694" t="str">
            <v>gross</v>
          </cell>
        </row>
        <row r="695">
          <cell r="C695" t="str">
            <v>693-0</v>
          </cell>
          <cell r="J695">
            <v>2025021301</v>
          </cell>
          <cell r="N695">
            <v>497.5</v>
          </cell>
          <cell r="T695" t="str">
            <v>gross</v>
          </cell>
        </row>
        <row r="696">
          <cell r="C696" t="str">
            <v>694-0</v>
          </cell>
          <cell r="J696" t="str">
            <v>PR2303IN01F5P3</v>
          </cell>
          <cell r="N696">
            <v>1.5</v>
          </cell>
          <cell r="T696" t="str">
            <v>net</v>
          </cell>
        </row>
        <row r="697">
          <cell r="C697" t="str">
            <v>695-0</v>
          </cell>
          <cell r="J697" t="str">
            <v>EX24111801V50</v>
          </cell>
          <cell r="N697">
            <v>600</v>
          </cell>
          <cell r="T697" t="str">
            <v>net</v>
          </cell>
        </row>
        <row r="698">
          <cell r="C698" t="str">
            <v>696-0</v>
          </cell>
          <cell r="J698">
            <v>2025021302</v>
          </cell>
          <cell r="N698">
            <v>800</v>
          </cell>
          <cell r="T698" t="str">
            <v>gross</v>
          </cell>
        </row>
        <row r="699">
          <cell r="C699" t="str">
            <v>697-0</v>
          </cell>
          <cell r="J699" t="str">
            <v>TP23092501</v>
          </cell>
          <cell r="N699">
            <v>88</v>
          </cell>
          <cell r="T699" t="str">
            <v>net</v>
          </cell>
        </row>
        <row r="700">
          <cell r="C700" t="str">
            <v>698-0</v>
          </cell>
          <cell r="J700" t="str">
            <v>EX24092701V30</v>
          </cell>
          <cell r="N700">
            <v>27.6</v>
          </cell>
          <cell r="T700" t="str">
            <v>net</v>
          </cell>
        </row>
        <row r="701">
          <cell r="C701" t="str">
            <v>699-0</v>
          </cell>
          <cell r="J701" t="str">
            <v>EX24092701V30</v>
          </cell>
          <cell r="N701">
            <v>27.6</v>
          </cell>
          <cell r="T701" t="str">
            <v>net</v>
          </cell>
        </row>
        <row r="702">
          <cell r="C702" t="str">
            <v>700-0</v>
          </cell>
          <cell r="J702" t="str">
            <v>CW21032701</v>
          </cell>
          <cell r="N702">
            <v>1</v>
          </cell>
          <cell r="T702" t="str">
            <v>net</v>
          </cell>
        </row>
        <row r="703">
          <cell r="C703" t="str">
            <v>701-0</v>
          </cell>
          <cell r="J703" t="str">
            <v>CW21032701</v>
          </cell>
          <cell r="N703">
            <v>1</v>
          </cell>
          <cell r="T703" t="str">
            <v>net</v>
          </cell>
        </row>
        <row r="704">
          <cell r="C704" t="str">
            <v>702-0</v>
          </cell>
          <cell r="J704" t="str">
            <v>WX20210224-01A</v>
          </cell>
          <cell r="N704">
            <v>1</v>
          </cell>
          <cell r="T704" t="str">
            <v>net</v>
          </cell>
        </row>
        <row r="705">
          <cell r="C705" t="str">
            <v>703-0</v>
          </cell>
          <cell r="J705" t="str">
            <v>WX2021021102A</v>
          </cell>
          <cell r="N705">
            <v>1</v>
          </cell>
          <cell r="T705" t="str">
            <v>net</v>
          </cell>
        </row>
        <row r="706">
          <cell r="C706" t="str">
            <v>704-0</v>
          </cell>
          <cell r="J706" t="str">
            <v>CW21042501</v>
          </cell>
          <cell r="N706">
            <v>1</v>
          </cell>
          <cell r="T706" t="str">
            <v>net</v>
          </cell>
        </row>
        <row r="707">
          <cell r="C707" t="str">
            <v>705-0</v>
          </cell>
          <cell r="J707" t="str">
            <v>BH201214</v>
          </cell>
          <cell r="N707">
            <v>1</v>
          </cell>
          <cell r="T707" t="str">
            <v>net</v>
          </cell>
        </row>
        <row r="708">
          <cell r="C708" t="str">
            <v>706-0</v>
          </cell>
          <cell r="J708">
            <v>2022022206</v>
          </cell>
          <cell r="N708">
            <v>3.5</v>
          </cell>
          <cell r="T708" t="str">
            <v>net</v>
          </cell>
        </row>
        <row r="709">
          <cell r="C709" t="str">
            <v>707-0</v>
          </cell>
          <cell r="J709" t="str">
            <v>EX24092701V30</v>
          </cell>
          <cell r="N709">
            <v>27.6</v>
          </cell>
          <cell r="T709" t="str">
            <v>net</v>
          </cell>
        </row>
        <row r="710">
          <cell r="C710" t="str">
            <v>708-0</v>
          </cell>
          <cell r="J710" t="str">
            <v>DI23020601V30</v>
          </cell>
          <cell r="N710">
            <v>27.6</v>
          </cell>
          <cell r="T710" t="str">
            <v>net</v>
          </cell>
        </row>
        <row r="711">
          <cell r="C711" t="str">
            <v>709-0</v>
          </cell>
          <cell r="J711" t="str">
            <v>EX24061401V30</v>
          </cell>
          <cell r="N711">
            <v>27.3</v>
          </cell>
          <cell r="T711" t="str">
            <v>net</v>
          </cell>
        </row>
        <row r="712">
          <cell r="C712" t="str">
            <v>710-0</v>
          </cell>
          <cell r="J712" t="str">
            <v>DI23042601V30</v>
          </cell>
          <cell r="N712">
            <v>27.3</v>
          </cell>
          <cell r="T712" t="str">
            <v>net</v>
          </cell>
        </row>
        <row r="713">
          <cell r="C713" t="str">
            <v>711-0</v>
          </cell>
          <cell r="J713" t="str">
            <v>EX24092701V30</v>
          </cell>
          <cell r="N713">
            <v>27.6</v>
          </cell>
          <cell r="T713" t="str">
            <v>net</v>
          </cell>
        </row>
        <row r="714">
          <cell r="C714" t="str">
            <v>712-0</v>
          </cell>
          <cell r="J714" t="str">
            <v>LR22060701</v>
          </cell>
          <cell r="N714">
            <v>1</v>
          </cell>
          <cell r="T714" t="str">
            <v>net</v>
          </cell>
        </row>
        <row r="715">
          <cell r="C715" t="str">
            <v>713-0</v>
          </cell>
          <cell r="J715" t="str">
            <v>RP23070701</v>
          </cell>
          <cell r="N715">
            <v>215</v>
          </cell>
          <cell r="T715" t="str">
            <v>gross</v>
          </cell>
        </row>
        <row r="716">
          <cell r="C716" t="str">
            <v>714-0</v>
          </cell>
          <cell r="J716" t="str">
            <v>RP24-001</v>
          </cell>
          <cell r="N716">
            <v>217</v>
          </cell>
          <cell r="T716" t="str">
            <v>gross</v>
          </cell>
        </row>
        <row r="717">
          <cell r="C717" t="str">
            <v>715-0</v>
          </cell>
          <cell r="J717" t="str">
            <v>RP23070701D</v>
          </cell>
          <cell r="N717">
            <v>1782.1</v>
          </cell>
          <cell r="T717" t="str">
            <v>gross</v>
          </cell>
        </row>
        <row r="718">
          <cell r="C718" t="str">
            <v>716-0</v>
          </cell>
          <cell r="J718" t="str">
            <v>EX24101601</v>
          </cell>
          <cell r="N718">
            <v>5754</v>
          </cell>
          <cell r="T718" t="str">
            <v>gross</v>
          </cell>
        </row>
        <row r="719">
          <cell r="C719" t="str">
            <v>717-0</v>
          </cell>
          <cell r="J719" t="str">
            <v>EX24101601</v>
          </cell>
          <cell r="N719">
            <v>15014</v>
          </cell>
          <cell r="T719" t="str">
            <v>gross</v>
          </cell>
        </row>
        <row r="720">
          <cell r="C720" t="str">
            <v>718-0</v>
          </cell>
          <cell r="J720" t="str">
            <v>EX24101601</v>
          </cell>
          <cell r="N720">
            <v>3696</v>
          </cell>
          <cell r="T720" t="str">
            <v>gross</v>
          </cell>
        </row>
        <row r="721">
          <cell r="C721" t="str">
            <v>719-0</v>
          </cell>
          <cell r="J721" t="str">
            <v>DI24001</v>
          </cell>
          <cell r="N721">
            <v>10875</v>
          </cell>
          <cell r="T721" t="str">
            <v>gross</v>
          </cell>
        </row>
        <row r="722">
          <cell r="C722" t="str">
            <v>720-0</v>
          </cell>
          <cell r="J722" t="str">
            <v>DI24001</v>
          </cell>
          <cell r="N722">
            <v>18890</v>
          </cell>
          <cell r="T722" t="str">
            <v>gross</v>
          </cell>
        </row>
        <row r="723">
          <cell r="C723" t="str">
            <v>721-0</v>
          </cell>
          <cell r="J723" t="str">
            <v>EX24101601V30</v>
          </cell>
          <cell r="N723">
            <v>27.6</v>
          </cell>
          <cell r="T723" t="str">
            <v>gross</v>
          </cell>
        </row>
        <row r="724">
          <cell r="C724" t="str">
            <v>722-0</v>
          </cell>
          <cell r="J724">
            <v>2023110201</v>
          </cell>
          <cell r="N724">
            <v>340</v>
          </cell>
          <cell r="T724" t="str">
            <v>gross</v>
          </cell>
        </row>
        <row r="725">
          <cell r="C725" t="str">
            <v>723-0</v>
          </cell>
          <cell r="J725" t="str">
            <v>23-C002</v>
          </cell>
          <cell r="N725">
            <v>323.8</v>
          </cell>
          <cell r="T725" t="str">
            <v>gross</v>
          </cell>
        </row>
        <row r="726">
          <cell r="C726" t="str">
            <v>724-0</v>
          </cell>
          <cell r="J726" t="str">
            <v>EX24101601V30</v>
          </cell>
          <cell r="N726">
            <v>27.6</v>
          </cell>
          <cell r="T726" t="str">
            <v>net</v>
          </cell>
        </row>
        <row r="727">
          <cell r="C727" t="str">
            <v>725-0</v>
          </cell>
          <cell r="J727" t="str">
            <v>FP23006</v>
          </cell>
          <cell r="N727">
            <v>6</v>
          </cell>
          <cell r="T727" t="str">
            <v>net</v>
          </cell>
        </row>
        <row r="728">
          <cell r="C728" t="str">
            <v>726-0</v>
          </cell>
          <cell r="J728" t="str">
            <v>FP23003</v>
          </cell>
          <cell r="N728">
            <v>18</v>
          </cell>
          <cell r="T728" t="str">
            <v>net</v>
          </cell>
        </row>
        <row r="729">
          <cell r="C729" t="str">
            <v>727-0</v>
          </cell>
          <cell r="J729" t="str">
            <v>DI22110901V30</v>
          </cell>
          <cell r="N729">
            <v>331.20000000000005</v>
          </cell>
          <cell r="T729" t="str">
            <v>net</v>
          </cell>
        </row>
        <row r="730">
          <cell r="C730" t="str">
            <v>728-0</v>
          </cell>
          <cell r="J730" t="str">
            <v>TP24041202</v>
          </cell>
          <cell r="N730">
            <v>1056</v>
          </cell>
          <cell r="T730" t="str">
            <v>net</v>
          </cell>
        </row>
        <row r="731">
          <cell r="C731" t="str">
            <v>729-0</v>
          </cell>
          <cell r="J731" t="str">
            <v>TP23092501</v>
          </cell>
          <cell r="N731">
            <v>1056</v>
          </cell>
          <cell r="T731" t="str">
            <v>net</v>
          </cell>
        </row>
        <row r="732">
          <cell r="C732" t="str">
            <v>730-0</v>
          </cell>
          <cell r="J732" t="str">
            <v>TP23092501</v>
          </cell>
          <cell r="N732">
            <v>1056</v>
          </cell>
          <cell r="T732" t="str">
            <v>net</v>
          </cell>
        </row>
        <row r="733">
          <cell r="C733" t="str">
            <v>731-0</v>
          </cell>
          <cell r="J733" t="str">
            <v>TP24041202</v>
          </cell>
          <cell r="N733">
            <v>1056</v>
          </cell>
          <cell r="T733" t="str">
            <v>net</v>
          </cell>
        </row>
        <row r="734">
          <cell r="C734" t="str">
            <v>732-0</v>
          </cell>
          <cell r="J734" t="str">
            <v>TP23071001</v>
          </cell>
          <cell r="N734">
            <v>1056</v>
          </cell>
          <cell r="T734" t="str">
            <v>net</v>
          </cell>
        </row>
        <row r="735">
          <cell r="C735" t="str">
            <v>733-0</v>
          </cell>
          <cell r="J735" t="str">
            <v>CW22011701</v>
          </cell>
          <cell r="N735">
            <v>1</v>
          </cell>
          <cell r="T735" t="str">
            <v>net</v>
          </cell>
        </row>
        <row r="736">
          <cell r="C736" t="str">
            <v>734-0</v>
          </cell>
          <cell r="J736" t="str">
            <v>2024111803G7</v>
          </cell>
          <cell r="N736">
            <v>7</v>
          </cell>
          <cell r="T736" t="str">
            <v>net</v>
          </cell>
        </row>
        <row r="737">
          <cell r="C737" t="str">
            <v>735-0</v>
          </cell>
          <cell r="J737" t="str">
            <v>PR2507F1P2</v>
          </cell>
          <cell r="N737">
            <v>2</v>
          </cell>
          <cell r="T737" t="str">
            <v>net</v>
          </cell>
        </row>
        <row r="738">
          <cell r="C738" t="str">
            <v>737-1</v>
          </cell>
          <cell r="J738">
            <v>2025030701</v>
          </cell>
          <cell r="N738">
            <v>870</v>
          </cell>
          <cell r="T738" t="str">
            <v>gross</v>
          </cell>
        </row>
        <row r="739">
          <cell r="C739" t="str">
            <v>737-2</v>
          </cell>
          <cell r="J739">
            <v>2025030701</v>
          </cell>
          <cell r="N739">
            <v>1000</v>
          </cell>
          <cell r="T739" t="str">
            <v>gross</v>
          </cell>
        </row>
        <row r="740">
          <cell r="C740" t="str">
            <v>737-3</v>
          </cell>
          <cell r="J740">
            <v>2025030701</v>
          </cell>
          <cell r="N740">
            <v>1000</v>
          </cell>
          <cell r="T740" t="str">
            <v>gross</v>
          </cell>
        </row>
        <row r="741">
          <cell r="C741" t="str">
            <v>737-4</v>
          </cell>
          <cell r="J741">
            <v>2025030701</v>
          </cell>
          <cell r="N741">
            <v>1000</v>
          </cell>
          <cell r="T741" t="str">
            <v>gross</v>
          </cell>
        </row>
        <row r="742">
          <cell r="C742" t="str">
            <v>737-5</v>
          </cell>
          <cell r="J742">
            <v>2025030701</v>
          </cell>
          <cell r="N742">
            <v>1000</v>
          </cell>
          <cell r="T742" t="str">
            <v>gross</v>
          </cell>
        </row>
        <row r="743">
          <cell r="C743" t="str">
            <v>737-6</v>
          </cell>
          <cell r="J743">
            <v>2025030701</v>
          </cell>
          <cell r="N743">
            <v>1000</v>
          </cell>
          <cell r="T743" t="str">
            <v>gross</v>
          </cell>
        </row>
        <row r="744">
          <cell r="C744" t="str">
            <v>737-7</v>
          </cell>
          <cell r="J744">
            <v>2025030701</v>
          </cell>
          <cell r="N744">
            <v>1000</v>
          </cell>
          <cell r="T744" t="str">
            <v>gross</v>
          </cell>
        </row>
        <row r="745">
          <cell r="C745" t="str">
            <v>738-1</v>
          </cell>
          <cell r="J745" t="str">
            <v>PR2513F1</v>
          </cell>
          <cell r="N745">
            <v>1</v>
          </cell>
          <cell r="T745" t="str">
            <v>net</v>
          </cell>
        </row>
        <row r="746">
          <cell r="C746" t="str">
            <v>739-1</v>
          </cell>
          <cell r="J746" t="str">
            <v>PR2513F5</v>
          </cell>
          <cell r="N746">
            <v>0.5</v>
          </cell>
          <cell r="T746" t="str">
            <v>net</v>
          </cell>
        </row>
        <row r="747">
          <cell r="C747" t="str">
            <v>740-1</v>
          </cell>
          <cell r="J747" t="str">
            <v>BS23090701</v>
          </cell>
          <cell r="N747">
            <v>384.5</v>
          </cell>
          <cell r="T747" t="str">
            <v>gross</v>
          </cell>
        </row>
        <row r="748">
          <cell r="C748" t="str">
            <v>458-1</v>
          </cell>
          <cell r="J748" t="str">
            <v>EX24092601V50</v>
          </cell>
          <cell r="N748">
            <v>600</v>
          </cell>
          <cell r="T748" t="str">
            <v>net</v>
          </cell>
        </row>
        <row r="749">
          <cell r="C749" t="str">
            <v>426-1</v>
          </cell>
          <cell r="J749" t="str">
            <v>PR2407F5P2</v>
          </cell>
          <cell r="N749">
            <v>1</v>
          </cell>
          <cell r="T749" t="str">
            <v>net</v>
          </cell>
        </row>
        <row r="750">
          <cell r="C750" t="str">
            <v>108-1</v>
          </cell>
          <cell r="J750" t="str">
            <v>PR2406F5P3</v>
          </cell>
          <cell r="N750">
            <v>1.5</v>
          </cell>
          <cell r="T750" t="str">
            <v>net</v>
          </cell>
        </row>
        <row r="751">
          <cell r="C751" t="str">
            <v>145-1</v>
          </cell>
          <cell r="J751" t="str">
            <v>PR2407F5P3</v>
          </cell>
          <cell r="N751">
            <v>1.5</v>
          </cell>
          <cell r="T751" t="str">
            <v>net</v>
          </cell>
        </row>
        <row r="752">
          <cell r="C752" t="str">
            <v>121-1</v>
          </cell>
          <cell r="J752" t="str">
            <v>PR2406F1P1</v>
          </cell>
          <cell r="N752">
            <v>1</v>
          </cell>
          <cell r="T752" t="str">
            <v>net</v>
          </cell>
        </row>
        <row r="753">
          <cell r="C753" t="str">
            <v>143-1</v>
          </cell>
          <cell r="J753" t="str">
            <v>PR2301F5P3</v>
          </cell>
          <cell r="N753">
            <v>1.5</v>
          </cell>
          <cell r="T753" t="str">
            <v>net</v>
          </cell>
        </row>
        <row r="754">
          <cell r="C754" t="str">
            <v>741-1</v>
          </cell>
          <cell r="J754">
            <v>2025030702</v>
          </cell>
          <cell r="N754">
            <v>6543</v>
          </cell>
          <cell r="T754" t="str">
            <v>gross</v>
          </cell>
        </row>
        <row r="755">
          <cell r="C755" t="str">
            <v>741-2</v>
          </cell>
          <cell r="J755">
            <v>2025030702</v>
          </cell>
          <cell r="N755">
            <v>5000</v>
          </cell>
          <cell r="T755" t="str">
            <v>gross</v>
          </cell>
        </row>
        <row r="756">
          <cell r="C756" t="str">
            <v>640-1</v>
          </cell>
          <cell r="J756" t="str">
            <v>EX25011501V50</v>
          </cell>
          <cell r="N756">
            <v>600</v>
          </cell>
          <cell r="T756" t="str">
            <v>net</v>
          </cell>
        </row>
        <row r="757">
          <cell r="C757" t="str">
            <v>667-1</v>
          </cell>
          <cell r="J757" t="str">
            <v>EX25020601G05</v>
          </cell>
          <cell r="N757">
            <v>0.5</v>
          </cell>
          <cell r="T757" t="str">
            <v>net</v>
          </cell>
        </row>
        <row r="758">
          <cell r="C758" t="str">
            <v>624-1</v>
          </cell>
          <cell r="J758">
            <v>2024121801</v>
          </cell>
          <cell r="N758">
            <v>500</v>
          </cell>
          <cell r="T758" t="str">
            <v>gross</v>
          </cell>
        </row>
        <row r="759">
          <cell r="C759" t="str">
            <v>529-1</v>
          </cell>
          <cell r="J759">
            <v>2024121801</v>
          </cell>
          <cell r="N759">
            <v>5162</v>
          </cell>
          <cell r="T759" t="str">
            <v>gross</v>
          </cell>
        </row>
        <row r="760">
          <cell r="C760" t="str">
            <v>529-2</v>
          </cell>
          <cell r="J760">
            <v>2024121801</v>
          </cell>
          <cell r="N760">
            <v>6904</v>
          </cell>
          <cell r="T760" t="str">
            <v>gross</v>
          </cell>
        </row>
        <row r="761">
          <cell r="C761" t="str">
            <v>529-3</v>
          </cell>
          <cell r="J761">
            <v>2024121801</v>
          </cell>
          <cell r="N761">
            <v>7620</v>
          </cell>
          <cell r="T761" t="str">
            <v>gross</v>
          </cell>
        </row>
        <row r="762">
          <cell r="C762" t="str">
            <v>529-4</v>
          </cell>
          <cell r="J762">
            <v>2024121801</v>
          </cell>
          <cell r="N762">
            <v>3588</v>
          </cell>
          <cell r="T762" t="str">
            <v>gross</v>
          </cell>
        </row>
        <row r="763">
          <cell r="C763" t="str">
            <v>291-1</v>
          </cell>
          <cell r="J763" t="str">
            <v>2021082601R1</v>
          </cell>
          <cell r="N763">
            <v>210</v>
          </cell>
          <cell r="T763" t="str">
            <v>gross</v>
          </cell>
        </row>
        <row r="764">
          <cell r="C764" t="str">
            <v>637-1</v>
          </cell>
          <cell r="J764" t="str">
            <v>PR21071201G1</v>
          </cell>
          <cell r="N764">
            <v>1</v>
          </cell>
          <cell r="T764" t="str">
            <v>net</v>
          </cell>
        </row>
        <row r="765">
          <cell r="C765" t="str">
            <v>742-0</v>
          </cell>
          <cell r="J765" t="str">
            <v>ROGEX001G1</v>
          </cell>
          <cell r="N765">
            <v>1</v>
          </cell>
          <cell r="T765" t="str">
            <v>net</v>
          </cell>
        </row>
        <row r="766">
          <cell r="C766" t="str">
            <v>743-0</v>
          </cell>
          <cell r="J766" t="str">
            <v>ROGEX002</v>
          </cell>
          <cell r="N766">
            <v>2000</v>
          </cell>
          <cell r="T766" t="str">
            <v>gross</v>
          </cell>
        </row>
        <row r="767">
          <cell r="C767" t="str">
            <v>741-3</v>
          </cell>
          <cell r="J767" t="str">
            <v>PR2512</v>
          </cell>
          <cell r="N767">
            <v>1930</v>
          </cell>
          <cell r="T767" t="str">
            <v>gross</v>
          </cell>
        </row>
        <row r="768">
          <cell r="C768" t="str">
            <v>650-1</v>
          </cell>
          <cell r="J768" t="str">
            <v>PR2501F5P10</v>
          </cell>
          <cell r="N768">
            <v>5</v>
          </cell>
          <cell r="T768" t="str">
            <v>net</v>
          </cell>
        </row>
        <row r="769">
          <cell r="C769" t="str">
            <v>734-1</v>
          </cell>
          <cell r="J769" t="str">
            <v>2024121801G7</v>
          </cell>
          <cell r="N769">
            <v>7</v>
          </cell>
          <cell r="T769" t="str">
            <v>net</v>
          </cell>
        </row>
        <row r="770">
          <cell r="C770" t="str">
            <v>591-1</v>
          </cell>
          <cell r="J770" t="str">
            <v>PR2514</v>
          </cell>
          <cell r="N770">
            <v>2320</v>
          </cell>
          <cell r="T770" t="str">
            <v>gross</v>
          </cell>
        </row>
        <row r="771">
          <cell r="C771" t="str">
            <v>744-1</v>
          </cell>
          <cell r="J771" t="str">
            <v>PR2301F5</v>
          </cell>
          <cell r="N771">
            <v>0.5</v>
          </cell>
          <cell r="T771" t="str">
            <v>net</v>
          </cell>
        </row>
        <row r="772">
          <cell r="C772" t="str">
            <v>744-2</v>
          </cell>
          <cell r="J772" t="str">
            <v>PR2511F5</v>
          </cell>
          <cell r="N772">
            <v>0.5</v>
          </cell>
          <cell r="T772" t="str">
            <v>net</v>
          </cell>
        </row>
        <row r="773">
          <cell r="C773" t="str">
            <v>744-3</v>
          </cell>
          <cell r="J773" t="str">
            <v>PR2511F5</v>
          </cell>
          <cell r="N773">
            <v>0.5</v>
          </cell>
          <cell r="T773" t="str">
            <v>net</v>
          </cell>
        </row>
        <row r="774">
          <cell r="C774" t="str">
            <v>109-1</v>
          </cell>
          <cell r="J774" t="str">
            <v>PR2406F5P3</v>
          </cell>
          <cell r="N774">
            <v>1.5</v>
          </cell>
          <cell r="T774" t="str">
            <v>net</v>
          </cell>
        </row>
        <row r="775">
          <cell r="C775" t="str">
            <v>143-2</v>
          </cell>
          <cell r="J775" t="str">
            <v>PR2301F5P3</v>
          </cell>
          <cell r="N775">
            <v>1.5</v>
          </cell>
          <cell r="T775" t="str">
            <v>net</v>
          </cell>
        </row>
        <row r="776">
          <cell r="C776" t="str">
            <v>665-1</v>
          </cell>
          <cell r="J776" t="str">
            <v>EX25010907G1</v>
          </cell>
          <cell r="N776">
            <v>1</v>
          </cell>
          <cell r="T776" t="str">
            <v>net</v>
          </cell>
        </row>
        <row r="777">
          <cell r="C777" t="str">
            <v>121-2</v>
          </cell>
          <cell r="J777" t="str">
            <v>PR2406F1P1</v>
          </cell>
          <cell r="N777">
            <v>1</v>
          </cell>
          <cell r="T777" t="str">
            <v>net</v>
          </cell>
        </row>
        <row r="778">
          <cell r="C778" t="str">
            <v>145-2</v>
          </cell>
          <cell r="J778" t="str">
            <v>PR2407F5P3</v>
          </cell>
          <cell r="N778">
            <v>1.5</v>
          </cell>
          <cell r="T778" t="str">
            <v>net</v>
          </cell>
        </row>
        <row r="779">
          <cell r="C779" t="str">
            <v>536-1</v>
          </cell>
          <cell r="J779" t="str">
            <v>2024120501G28</v>
          </cell>
          <cell r="N779">
            <v>28</v>
          </cell>
          <cell r="T779" t="str">
            <v>net</v>
          </cell>
        </row>
        <row r="780">
          <cell r="C780" t="str">
            <v>537-1</v>
          </cell>
          <cell r="J780" t="str">
            <v>2024120501G28</v>
          </cell>
          <cell r="N780">
            <v>28</v>
          </cell>
          <cell r="T780" t="str">
            <v>net</v>
          </cell>
        </row>
        <row r="781">
          <cell r="C781" t="str">
            <v>492-1</v>
          </cell>
          <cell r="J781" t="str">
            <v>2024110601G28</v>
          </cell>
          <cell r="N781">
            <v>28</v>
          </cell>
          <cell r="T781" t="str">
            <v>net</v>
          </cell>
        </row>
        <row r="782">
          <cell r="C782" t="str">
            <v>523-1</v>
          </cell>
          <cell r="J782" t="str">
            <v>BS23090701G450</v>
          </cell>
          <cell r="N782">
            <v>450</v>
          </cell>
          <cell r="T782" t="str">
            <v>net</v>
          </cell>
        </row>
        <row r="783">
          <cell r="C783" t="str">
            <v>745-1</v>
          </cell>
          <cell r="J783" t="str">
            <v>TP25021901</v>
          </cell>
          <cell r="N783">
            <v>88</v>
          </cell>
          <cell r="T783" t="str">
            <v>net</v>
          </cell>
        </row>
        <row r="784">
          <cell r="C784" t="str">
            <v>745-2</v>
          </cell>
          <cell r="J784" t="str">
            <v>TP25021901</v>
          </cell>
          <cell r="N784">
            <v>88</v>
          </cell>
          <cell r="T784" t="str">
            <v>net</v>
          </cell>
        </row>
        <row r="785">
          <cell r="C785" t="str">
            <v>97-1</v>
          </cell>
          <cell r="J785" t="str">
            <v>PR2511</v>
          </cell>
          <cell r="N785">
            <v>820</v>
          </cell>
          <cell r="T785" t="str">
            <v>gross</v>
          </cell>
        </row>
        <row r="786">
          <cell r="C786" t="str">
            <v>746-0</v>
          </cell>
          <cell r="J786" t="str">
            <v>PR251108F5P12</v>
          </cell>
          <cell r="N786">
            <v>6</v>
          </cell>
          <cell r="T786" t="str">
            <v>net</v>
          </cell>
        </row>
        <row r="787">
          <cell r="C787" t="str">
            <v>735-1</v>
          </cell>
          <cell r="J787" t="str">
            <v>PR2507F1P2</v>
          </cell>
          <cell r="N787">
            <v>2</v>
          </cell>
          <cell r="T787" t="str">
            <v>net</v>
          </cell>
        </row>
        <row r="788">
          <cell r="C788" t="str">
            <v>626-1</v>
          </cell>
          <cell r="J788" t="str">
            <v>EX24111301G05</v>
          </cell>
          <cell r="N788">
            <v>0.5</v>
          </cell>
          <cell r="T788" t="str">
            <v>net</v>
          </cell>
        </row>
        <row r="789">
          <cell r="C789" t="str">
            <v>738-0</v>
          </cell>
          <cell r="J789" t="str">
            <v>PR2513</v>
          </cell>
          <cell r="N789">
            <v>1936</v>
          </cell>
          <cell r="T789" t="str">
            <v>gross</v>
          </cell>
        </row>
        <row r="790">
          <cell r="C790" t="str">
            <v>747-1</v>
          </cell>
          <cell r="J790" t="str">
            <v>PR2501INF5P3</v>
          </cell>
          <cell r="N790">
            <v>1.5</v>
          </cell>
          <cell r="T790" t="str">
            <v>NET</v>
          </cell>
        </row>
        <row r="791">
          <cell r="C791" t="str">
            <v>747-0</v>
          </cell>
          <cell r="J791" t="str">
            <v>PR2501IN</v>
          </cell>
          <cell r="N791">
            <v>180</v>
          </cell>
          <cell r="T791" t="str">
            <v>gross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nabis_log"/>
    </sheetNames>
    <sheetDataSet>
      <sheetData sheetId="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5577C92-0C00-40EE-AC25-8F3745895174}"/>
  <namedSheetView name="View2" id="{BDAA72A5-7665-4D4B-9DB3-AD5D06E25069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n Li" refreshedDate="45883.48557384259" createdVersion="8" refreshedVersion="8" minRefreshableVersion="3" recordCount="44" xr:uid="{8420906F-30AA-4B53-8205-829AFE7B3E57}">
  <cacheSource type="worksheet">
    <worksheetSource ref="A1:G45" sheet="Sheet5"/>
  </cacheSource>
  <cacheFields count="7">
    <cacheField name="po_number" numFmtId="0">
      <sharedItems count="10">
        <s v="PO_1164"/>
        <s v="PO_1165"/>
        <s v="PO_1166"/>
        <s v="PO_50048194"/>
        <s v="PO_1162"/>
        <s v="PO_1163"/>
        <s v="PO_1161"/>
        <s v="PO_50047913"/>
        <s v="PO_1160"/>
        <s v="PO_1159"/>
      </sharedItems>
    </cacheField>
    <cacheField name="product_name" numFmtId="0">
      <sharedItems/>
    </cacheField>
    <cacheField name="ProductLot#" numFmtId="0">
      <sharedItems containsMixedTypes="1" containsNumber="1" containsInteger="1" minValue="2021042701" maxValue="2021042701"/>
    </cacheField>
    <cacheField name="Excised(Yes/No)" numFmtId="0">
      <sharedItems/>
    </cacheField>
    <cacheField name="Excisedfor" numFmtId="0">
      <sharedItems/>
    </cacheField>
    <cacheField name="packondate_labelled" numFmtId="0">
      <sharedItems containsSemiMixedTypes="0" containsString="0" containsNumber="1" containsInteger="1" minValue="45478" maxValue="45875"/>
    </cacheField>
    <cacheField name="quantity_unit" numFmtId="0">
      <sharedItems containsSemiMixedTypes="0" containsString="0" containsNumber="1" containsInteger="1" minValue="6" maxValue="600" count="8">
        <n v="29"/>
        <n v="19"/>
        <n v="24"/>
        <n v="12"/>
        <n v="6"/>
        <n v="180"/>
        <n v="600"/>
        <n v="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n Li" refreshedDate="45883.492208333337" createdVersion="8" refreshedVersion="8" minRefreshableVersion="3" recordCount="44" xr:uid="{7D9DB332-DD72-4548-9652-20B7526E5744}">
  <cacheSource type="worksheet">
    <worksheetSource ref="A1:H45" sheet="Sheet5"/>
  </cacheSource>
  <cacheFields count="8">
    <cacheField name="po_number" numFmtId="0">
      <sharedItems count="10">
        <s v="PO_1164"/>
        <s v="PO_1165"/>
        <s v="PO_1166"/>
        <s v="PO_50048194"/>
        <s v="PO_1162"/>
        <s v="PO_1163"/>
        <s v="PO_1161"/>
        <s v="PO_50047913"/>
        <s v="PO_1160"/>
        <s v="PO_1159"/>
      </sharedItems>
    </cacheField>
    <cacheField name="product_name" numFmtId="0">
      <sharedItems/>
    </cacheField>
    <cacheField name="ProductLot#" numFmtId="0">
      <sharedItems containsMixedTypes="1" containsNumber="1" containsInteger="1" minValue="2021042701" maxValue="2021042701"/>
    </cacheField>
    <cacheField name="Excised(Yes/No)" numFmtId="0">
      <sharedItems/>
    </cacheField>
    <cacheField name="Excisedfor" numFmtId="0">
      <sharedItems/>
    </cacheField>
    <cacheField name="packondate_labelled" numFmtId="0">
      <sharedItems containsSemiMixedTypes="0" containsString="0" containsNumber="1" containsInteger="1" minValue="45478" maxValue="45875"/>
    </cacheField>
    <cacheField name="quantity_unit" numFmtId="0">
      <sharedItems containsSemiMixedTypes="0" containsString="0" containsNumber="1" containsInteger="1" minValue="6" maxValue="600"/>
    </cacheField>
    <cacheField name="Shipping date" numFmtId="0">
      <sharedItems containsSemiMixedTypes="0" containsNonDate="0" containsDate="1" containsString="0" minDate="2025-07-29T00:00:00" maxDate="2025-08-08T00:00:00" count="6">
        <d v="2025-08-07T00:00:00"/>
        <d v="2025-08-06T00:00:00"/>
        <d v="2025-08-01T00:00:00"/>
        <d v="2025-07-31T00:00:00"/>
        <d v="2025-07-30T00:00:00"/>
        <d v="2025-07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n Li" refreshedDate="45884.594466898146" createdVersion="8" refreshedVersion="8" minRefreshableVersion="3" recordCount="2495" xr:uid="{0D5C8F94-068E-4744-817D-09392C20C605}">
  <cacheSource type="worksheet">
    <worksheetSource name="Table2"/>
  </cacheSource>
  <cacheFields count="15">
    <cacheField name="movement" numFmtId="0">
      <sharedItems/>
    </cacheField>
    <cacheField name="time" numFmtId="179">
      <sharedItems containsNonDate="0" containsDate="1" containsString="0" containsBlank="1" minDate="2024-07-12T00:00:00" maxDate="2025-08-15T13:52:13"/>
    </cacheField>
    <cacheField name="purpose" numFmtId="0">
      <sharedItems containsBlank="1"/>
    </cacheField>
    <cacheField name="purpose_description" numFmtId="0">
      <sharedItems containsBlank="1" containsMixedTypes="1" containsNumber="1" containsInteger="1" minValue="549" maxValue="549"/>
    </cacheField>
    <cacheField name="inventory_id" numFmtId="49">
      <sharedItems containsBlank="1" count="753">
        <s v="1-0"/>
        <s v="4-0"/>
        <s v="73-0"/>
        <s v="77-0"/>
        <s v="79-0"/>
        <s v="80-0"/>
        <s v="84-0"/>
        <s v="85-0"/>
        <s v="74-0"/>
        <s v="78-0"/>
        <s v="91-0"/>
        <s v="92-0"/>
        <s v="106-0"/>
        <s v="86-0"/>
        <s v="87-0"/>
        <s v="104-0"/>
        <s v="121-0"/>
        <s v="154-0"/>
        <s v="8-0"/>
        <s v="95-0"/>
        <s v="71-0"/>
        <s v="155-0"/>
        <s v="149-0"/>
        <s v="152-0"/>
        <s v="148-0"/>
        <s v="170-0"/>
        <s v="179-0"/>
        <s v="180-0"/>
        <s v="181-0"/>
        <s v="178-0"/>
        <s v="36-0"/>
        <s v="34-0"/>
        <s v="211-0"/>
        <s v="198-0"/>
        <s v="190-0"/>
        <s v="119-0"/>
        <s v="105-0"/>
        <s v="184-0"/>
        <s v="75-0"/>
        <s v="186-0"/>
        <s v="188-0"/>
        <s v="245-0"/>
        <s v="159-0"/>
        <s v="193-0"/>
        <s v="194-0"/>
        <s v="195-0"/>
        <s v="196-0"/>
        <s v="197-0"/>
        <s v="199-0"/>
        <s v="160-0"/>
        <s v="161-0"/>
        <s v="189-0"/>
        <s v="187-0"/>
        <s v="146-0"/>
        <s v="150-0"/>
        <s v="157-0"/>
        <s v="147-0"/>
        <s v="251-0"/>
        <s v="252-0"/>
        <s v="216-0"/>
        <s v="162-0"/>
        <s v="163-0"/>
        <s v="253-0"/>
        <s v="137-0"/>
        <s v="138-0"/>
        <s v="118-0"/>
        <s v="10-0"/>
        <s v="11-0"/>
        <s v="243-0"/>
        <s v="192-0"/>
        <s v="191-0"/>
        <s v="37-0"/>
        <s v="35-0"/>
        <s v="217-0"/>
        <s v="164-0"/>
        <s v="256-0"/>
        <s v="246-0"/>
        <s v="257-0"/>
        <s v="247-0"/>
        <s v="124-0"/>
        <s v="143-0"/>
        <s v="108-0"/>
        <s v="185-0"/>
        <s v="255-0"/>
        <s v="166-0"/>
        <s v="165-0"/>
        <s v="259-0"/>
        <s v="262-0"/>
        <s v="264-0"/>
        <s v="260-0"/>
        <s v="276-0"/>
        <s v="275-0"/>
        <s v="280-0"/>
        <s v="284-0"/>
        <s v="282-0"/>
        <s v="283-0"/>
        <s v="281-0"/>
        <s v="263-0"/>
        <s v="294-0"/>
        <s v="297-0"/>
        <s v="298-0"/>
        <s v="300-0"/>
        <s v="325-0"/>
        <s v="321-0"/>
        <s v="156-0"/>
        <s v="323-0"/>
        <s v="205-0"/>
        <s v="286-0"/>
        <s v="287-0"/>
        <s v="285-0"/>
        <s v="328-0"/>
        <s v="296-0"/>
        <s v="295-0"/>
        <s v="299-0"/>
        <s v="301-0"/>
        <s v="327-0"/>
        <s v="326-0"/>
        <s v="111-0"/>
        <s v="266-0"/>
        <s v="265-0"/>
        <s v="278-0"/>
        <s v="331-0"/>
        <s v="329-0"/>
        <s v="330-0"/>
        <s v="268-0"/>
        <s v="365-0"/>
        <s v="366-0"/>
        <s v="367-0"/>
        <s v="368-0"/>
        <s v="369-0"/>
        <s v="370-0"/>
        <s v="371-0"/>
        <s v="372-0"/>
        <s v="373-0"/>
        <s v="360-0"/>
        <s v="358-0"/>
        <s v="350-0"/>
        <s v="355-0"/>
        <s v="349-0"/>
        <s v="356-0"/>
        <s v="354-0"/>
        <s v="353-0"/>
        <s v="352-0"/>
        <s v="357-0"/>
        <s v="333-0"/>
        <s v="334-0"/>
        <s v="364-0"/>
        <s v="277-0"/>
        <s v="361-0"/>
        <s v="261-0"/>
        <s v="324-0"/>
        <s v="351-0"/>
        <s v="171-0"/>
        <s v="172-0"/>
        <s v="173-0"/>
        <s v="174-0"/>
        <s v="175-0"/>
        <s v="176-0"/>
        <s v="177-0"/>
        <s v="385-0"/>
        <s v="362-0"/>
        <s v="363-0"/>
        <s v="318-0"/>
        <s v="83-0"/>
        <s v="82-0"/>
        <s v="375-0"/>
        <s v="374-0"/>
        <s v="384-0"/>
        <s v="332-0"/>
        <s v="383-0"/>
        <s v="274-0"/>
        <s v="386-0"/>
        <s v="393-0"/>
        <s v="359-0"/>
        <s v="269-0"/>
        <s v="267-0"/>
        <s v="270-0"/>
        <s v="279-0"/>
        <s v="380-0"/>
        <s v="394-0"/>
        <s v="396-0"/>
        <s v="345-0"/>
        <s v="342-0"/>
        <s v="388-0"/>
        <s v="344-0"/>
        <s v="343-0"/>
        <s v="346-0"/>
        <s v="347-0"/>
        <s v="348-0"/>
        <s v="340-0"/>
        <s v="341-0"/>
        <s v="339-0"/>
        <s v="338-0"/>
        <s v="337-0"/>
        <s v="336-0"/>
        <s v="335-0"/>
        <s v="400-0"/>
        <s v="408-0"/>
        <s v="409-0"/>
        <s v="410-0"/>
        <s v="419-0"/>
        <s v="141-0"/>
        <s v="397-0"/>
        <s v="412-0"/>
        <s v="414-0"/>
        <s v="413-0"/>
        <s v="418-0"/>
        <s v="415-0"/>
        <s v="416-0"/>
        <s v="417-0"/>
        <s v="411-0"/>
        <s v="387-0"/>
        <s v="402-0"/>
        <s v="395-0"/>
        <s v="422-0"/>
        <s v="421-0"/>
        <s v="423-0"/>
        <s v="430-0"/>
        <s v="389-0"/>
        <s v="407-0"/>
        <s v="405-0"/>
        <s v="406-0"/>
        <s v="32-0"/>
        <s v="258-0"/>
        <s v="24-0"/>
        <s v="33-0"/>
        <s v="72-0"/>
        <s v="42-0"/>
        <s v="429-0"/>
        <s v="428-0"/>
        <s v="403-0"/>
        <s v="390-0"/>
        <s v="212-0"/>
        <s v="210-0"/>
        <s v="213-0"/>
        <s v="214-0"/>
        <s v="215-0"/>
        <s v="398-0"/>
        <s v="426-0"/>
        <s v="431-0"/>
        <s v="399-0"/>
        <s v="434-0"/>
        <s v="458-0"/>
        <s v="448-0"/>
        <s v="183-0"/>
        <s v="463-0"/>
        <s v="459-0"/>
        <s v="182-0"/>
        <s v="469-0"/>
        <s v="470-0"/>
        <s v="449-0"/>
        <s v="483-0"/>
        <s v="48-0"/>
        <s v="313-0"/>
        <s v="444-0"/>
        <s v="435-0"/>
        <s v="272-0"/>
        <s v="502-0"/>
        <s v="471-0"/>
        <s v="139-0"/>
        <s v="273-0"/>
        <s v="125-0"/>
        <s v="487-0"/>
        <s v="476-0"/>
        <s v="489-0"/>
        <s v="472-0"/>
        <s v="462-0"/>
        <s v="482-0"/>
        <s v="144-0"/>
        <s v="445-0"/>
        <s v="456-0"/>
        <s v="490-0"/>
        <s v="491-0"/>
        <s v="242-0"/>
        <s v="209-0"/>
        <s v="506-0"/>
        <s v="453-0"/>
        <s v="501-0"/>
        <s v="116-0"/>
        <s v="465-0"/>
        <s v="468-0"/>
        <s v="466-0"/>
        <s v="500-0"/>
        <s v="519-0"/>
        <s v="446-0"/>
        <s v="450-0"/>
        <s v="2-0"/>
        <s v="420-0"/>
        <s v="515-0"/>
        <s v="461-0"/>
        <s v="454-0"/>
        <s v="452-0"/>
        <s v="505-0"/>
        <s v="525-0"/>
        <s v="507-0"/>
        <s v="527-0"/>
        <s v="479-0"/>
        <s v="477-0"/>
        <s v="478-0"/>
        <s v="475-0"/>
        <s v="455-0"/>
        <s v="457-0"/>
        <s v="532-0"/>
        <s v="513-0"/>
        <s v="514-0"/>
        <s v="512-0"/>
        <s v="517-0"/>
        <s v="518-0"/>
        <s v="516-0"/>
        <s v="511-0"/>
        <s v="508-0"/>
        <s v="510-0"/>
        <s v="509-0"/>
        <s v="467-0"/>
        <s v="524-0"/>
        <s v="485-0"/>
        <s v="554-0"/>
        <s v="553-0"/>
        <s v="549-0"/>
        <s v="570-0"/>
        <s v="473-0"/>
        <s v="113-0"/>
        <s v="114-0"/>
        <s v="200-0"/>
        <s v="520-0"/>
        <s v="571-0"/>
        <s v="451-0"/>
        <s v="575-0"/>
        <s v="96-0"/>
        <s v="529-0"/>
        <s v="503-0"/>
        <s v="504-0"/>
        <s v="115-0"/>
        <s v="576-0"/>
        <s v="555-0"/>
        <s v="586-0"/>
        <s v="526-0"/>
        <s v="528-0"/>
        <s v="535-0"/>
        <s v="533-0"/>
        <s v="550-0"/>
        <s v="548-0"/>
        <s v="584-0"/>
        <s v="202-0"/>
        <s v="432-0"/>
        <s v="625-0"/>
        <s v="573-0"/>
        <s v="203-0"/>
        <s v="27-0"/>
        <s v="30-0"/>
        <s v="530-0"/>
        <s v="626-0"/>
        <s v="28-0"/>
        <s v="31-0"/>
        <s v="574-0"/>
        <s v="627-0"/>
        <s v="628-0"/>
        <s v="629-0"/>
        <s v="630-0"/>
        <s v="540-0"/>
        <s v="493-0"/>
        <s v="495-0"/>
        <s v="492-0"/>
        <s v="542-0"/>
        <s v="538-0"/>
        <s v="539-0"/>
        <s v="541-0"/>
        <s v="498-0"/>
        <s v="497-0"/>
        <s v="543-0"/>
        <s v="536-0"/>
        <s v="572-0"/>
        <s v="634-0"/>
        <s v="99-0"/>
        <s v="123-0"/>
        <s v="484-0"/>
        <s v="322-0"/>
        <s v="100-0"/>
        <s v="632-0"/>
        <s v="591-0"/>
        <s v="590-0"/>
        <s v="589-0"/>
        <s v="486-0"/>
        <s v="90-0"/>
        <s v="587-0"/>
        <s v="588-0"/>
        <s v="638-0"/>
        <s v="639-0"/>
        <s v="640-0"/>
        <s v="636-0"/>
        <s v="551-0"/>
        <s v="546-0"/>
        <s v="633-0"/>
        <s v="145-0"/>
        <s v="645-0"/>
        <s v="521-0"/>
        <s v="545-0"/>
        <s v="98-0"/>
        <s v="580-0"/>
        <s v="579-0"/>
        <s v="583-0"/>
        <s v="581-0"/>
        <s v="582-0"/>
        <s v="619-0"/>
        <s v="623-0"/>
        <s v="620-0"/>
        <s v="621-0"/>
        <s v="622-0"/>
        <s v="624-0"/>
        <s v="617-0"/>
        <s v="614-0"/>
        <s v="612-0"/>
        <s v="427-0"/>
        <s v="522-0"/>
        <s v="25-0"/>
        <s v="29-0"/>
        <s v="26-0"/>
        <s v="23-0"/>
        <s v="556-0"/>
        <s v="637-0"/>
        <s v="664-0"/>
        <s v="658-0"/>
        <s v="655-0"/>
        <s v="650-0"/>
        <s v="680-0"/>
        <s v="675-0"/>
        <s v="666-0"/>
        <s v="644-0"/>
        <s v="649-0"/>
        <s v="657-0"/>
        <s v="728-0"/>
        <s v="730-0"/>
        <s v="729-0"/>
        <s v="731-0"/>
        <s v="732-0"/>
        <s v="697-0"/>
        <s v="641-0"/>
        <s v="656-0"/>
        <s v="654-0"/>
        <s v="665-0"/>
        <s v="663-0"/>
        <s v="585-0"/>
        <s v="635-0"/>
        <s v="662-0"/>
        <s v="734-0"/>
        <s v="653-0"/>
        <s v="523-0"/>
        <s v="737-1"/>
        <s v="735-0"/>
        <s v="667-0"/>
        <s v="722-0"/>
        <s v="677-0"/>
        <s v="97-0"/>
        <s v="458-1"/>
        <s v="646-0"/>
        <s v="392-0"/>
        <s v="145-1"/>
        <s v="605-0"/>
        <s v="616-0"/>
        <s v="615-0"/>
        <s v="606-0"/>
        <s v="613-0"/>
        <s v="610-0"/>
        <s v="736-0"/>
        <s v="611-0"/>
        <s v="607-0"/>
        <s v="604-0"/>
        <s v="608-0"/>
        <s v="603-0"/>
        <s v="600-0"/>
        <s v="602-0"/>
        <s v="601-0"/>
        <s v="595-0"/>
        <s v="594-0"/>
        <s v="596-0"/>
        <s v="599-0"/>
        <s v="598-0"/>
        <s v="597-0"/>
        <s v="593-0"/>
        <s v="592-0"/>
        <s v="618-0"/>
        <s v="609-0"/>
        <s v="292-0"/>
        <s v="291-0"/>
        <s v="695-0"/>
        <s v="659-0"/>
        <s v="741-1"/>
        <s v="713-0"/>
        <s v="715-0"/>
        <s v="529-4"/>
        <s v="143-1"/>
        <s v="667-1"/>
        <s v="640-1"/>
        <s v="121-1"/>
        <s v="743-0"/>
        <s v="109-0"/>
        <s v="741-2"/>
        <s v="544-0"/>
        <s v="537-0"/>
        <s v="496-0"/>
        <s v="499-0"/>
        <s v="650-1"/>
        <s v="734-1"/>
        <s v="143-2"/>
        <s v="683-0"/>
        <s v="158-0"/>
        <s v="744-2"/>
        <s v="744-3"/>
        <s v="121-2"/>
        <s v="745-1"/>
        <s v="637-1"/>
        <s v="591-1"/>
        <s v="737-5"/>
        <s v="737-2"/>
        <s v="97-1"/>
        <s v="536-1"/>
        <s v="537-1"/>
        <s v="492-1"/>
        <s v="626-1"/>
        <s v="741-3"/>
        <s v="742-0"/>
        <s v="735-1"/>
        <s v="552-0"/>
        <s v="709-0"/>
        <s v="153-0"/>
        <s v="738-1"/>
        <s v="739-1"/>
        <s v="738-0"/>
        <s v="746-0"/>
        <s v="747-1"/>
        <s v="719-0"/>
        <s v="720-0"/>
        <s v="474-0"/>
        <s v="488-0"/>
        <s v="145-2"/>
        <s v="529-1"/>
        <s v="460-0"/>
        <s v="134-0"/>
        <s v="529-2"/>
        <s v="748-1"/>
        <s v="531-0"/>
        <s v="748-4"/>
        <s v="652-0"/>
        <s v="673-0"/>
        <s v="733-0"/>
        <s v="670-0"/>
        <s v="674-0"/>
        <s v="676-0"/>
        <s v="698-0"/>
        <s v="699-0"/>
        <s v="707-0"/>
        <s v="711-0"/>
        <s v="650-6"/>
        <s v="126-0"/>
        <s v="128-0"/>
        <s v="129-0"/>
        <s v="750-1"/>
        <s v="650-2"/>
        <s v="747-2"/>
        <s v="756-1"/>
        <s v="650-5"/>
        <s v="755-0"/>
        <s v="529-3"/>
        <s v="743-1"/>
        <s v="291-1"/>
        <s v="288-0"/>
        <s v="289-0"/>
        <s v="290-0"/>
        <s v="744-4"/>
        <s v="757-0"/>
        <s v="752-1"/>
        <s v="759-0"/>
        <s v="129-1"/>
        <s v="534-0"/>
        <s v="737-6"/>
        <s v="737-4"/>
        <s v="746-1"/>
        <s v="761-1"/>
        <s v="646-1"/>
        <s v="134-1"/>
        <s v="754-0"/>
        <s v="758-0"/>
        <s v="734-2"/>
        <s v="762-0"/>
        <s v="748-2"/>
        <s v="761-7"/>
        <s v="637-2"/>
        <s v="747-3"/>
        <s v="761-5"/>
        <s v="109-1"/>
        <s v="761-6"/>
        <s v="761-8"/>
        <s v="737-3"/>
        <s v="765-1"/>
        <s v="768-1"/>
        <s v="768-2"/>
        <s v="764-1"/>
        <s v="761-9"/>
        <s v="761-10"/>
        <s v="753-0"/>
        <s v="752-2"/>
        <s v="748-3"/>
        <s v="742-1"/>
        <s v="108-1"/>
        <s v="766-1"/>
        <s v="578-0"/>
        <s v="769-0"/>
        <s v="685-0"/>
        <s v="684-0"/>
        <s v="763-0"/>
        <s v="586-1"/>
        <s v="586-2"/>
        <s v="764-0"/>
        <s v="756-2"/>
        <s v="757-1"/>
        <s v="760-1"/>
        <s v="760-2"/>
        <s v="760-0"/>
        <s v="760-4"/>
        <s v="760-3"/>
        <s v="770-1"/>
        <s v="751-1"/>
        <s v="751-2"/>
        <s v="746-2"/>
        <s v="650-4"/>
        <s v="734-3"/>
        <s v="739-2"/>
        <s v="744-6"/>
        <s v="744-5"/>
        <s v="767-2"/>
        <s v="624-1"/>
        <s v="773-1"/>
        <s v="741-4"/>
        <s v="775-0"/>
        <s v="151-0"/>
        <s v="756-3"/>
        <s v="718-0"/>
        <s v="717-0"/>
        <s v="716-0"/>
        <s v="700-0"/>
        <s v="714-0"/>
        <s v="702-0"/>
        <s v="704-0"/>
        <s v="705-0"/>
        <s v="703-0"/>
        <s v="59-0"/>
        <s v="60-0"/>
        <s v="58-0"/>
        <s v="52-0"/>
        <s v="57-0"/>
        <s v="737-8"/>
        <s v="737-7"/>
        <s v="774-1"/>
        <s v="761-4"/>
        <s v="761-3"/>
        <s v="665-1"/>
        <s v="53-0"/>
        <s v="637-3"/>
        <s v="777-1"/>
        <s v="777-2"/>
        <s v="777-3"/>
        <s v="777-4"/>
        <s v="777-5"/>
        <s v="777-6"/>
        <s v="777-7"/>
        <s v="759-2"/>
        <s v="759-3"/>
        <s v="759-4"/>
        <s v="759-5"/>
        <s v="759-1"/>
        <s v="293-0"/>
        <s v="244-0"/>
        <s v="271-0"/>
        <s v="779-0"/>
        <s v="783-1"/>
        <s v="746-3"/>
        <s v="783-0"/>
        <s v="783-2"/>
        <s v="780-0"/>
        <s v="776-1"/>
        <s v="734-4"/>
        <s v="523-1"/>
        <s v="761-11"/>
        <s v="761-12"/>
        <s v="577-0"/>
        <s v="781-0"/>
        <s v="784-0"/>
        <s v="787-0"/>
        <s v="480-0"/>
        <s v="481-0"/>
        <s v="651-0"/>
        <s v="60-1"/>
        <s v="786-1"/>
        <s v="756-4"/>
        <s v="782-0"/>
        <s v="547-0"/>
        <s v="650-7"/>
        <s v="776-5"/>
        <s v="757-2"/>
        <s v="776-2"/>
        <s v="788-1"/>
        <s v="788-2"/>
        <s v="776-3"/>
        <s v="785-0"/>
        <s v="9-0"/>
        <s v="712-0"/>
        <s v="761-13"/>
        <s v="780-1"/>
        <s v="55-0"/>
        <s v="51-0"/>
        <s v="54-0"/>
        <s v="39-0"/>
        <s v="56-0"/>
        <s v="38-0"/>
        <s v="775-2"/>
        <s v="785-1"/>
        <s v="756-5"/>
        <s v="734-5"/>
        <s v="776-4"/>
        <s v="791-1"/>
        <s v="791-2"/>
        <s v="791-3"/>
        <s v="791-4"/>
        <s v="791-5"/>
        <s v="791-6"/>
        <s v="791-7"/>
        <s v="791-8"/>
        <s v="791-9"/>
        <s v="791-10"/>
        <s v="791-11"/>
        <s v="792-1"/>
        <s v="792-2"/>
        <s v="792-3"/>
        <s v="650-8"/>
        <s v="777-0"/>
        <s v="752-3"/>
        <s v="741-5"/>
        <s v="772-0"/>
        <s v="789-0"/>
        <s v="772-6"/>
        <s v="775-1"/>
        <s v="787-1"/>
        <s v="494-0"/>
        <s v="795-0"/>
        <s v="796-6"/>
        <s v="796-7"/>
        <s v="796-5"/>
        <s v="797-0"/>
        <s v="796-3"/>
        <s v="797-2"/>
        <s v="797-1"/>
        <s v="796-2"/>
        <m/>
      </sharedItems>
    </cacheField>
    <cacheField name="lot_number" numFmtId="0">
      <sharedItems containsMixedTypes="1" containsNumber="1" containsInteger="1" minValue="24111304" maxValue="2025072101"/>
    </cacheField>
    <cacheField name="product_name" numFmtId="0">
      <sharedItems count="160">
        <s v="bath salt SPA 180 gram"/>
        <s v="Infused milled flower"/>
        <s v="Maximum Strength Roll-on 88g"/>
        <s v="Galactic Cake milled flower"/>
        <s v="Pot Shot Citrus"/>
        <s v="NUDH bath salt 450 gram"/>
        <s v="Extra Strength Roll-on 88g"/>
        <s v="THC oil"/>
        <s v="THC CBD balanced 1:1 oil"/>
        <s v="White widow"/>
        <s v="Pot Shot Tropical Fruits"/>
        <s v="Gelato preroll 1 x 1g"/>
        <s v="Galactic Cake preroll 1 x 1g"/>
        <s v="November Rain Lemon Ice Tea preroll 0.5g"/>
        <s v="Gelato dried flower 14g"/>
        <s v="Maximum Strength Roll-on"/>
        <s v="Gelato dried flower"/>
        <s v="November Rain Blueberry preroll 3 x 0.5g"/>
        <s v="November Rain Trident preroll 3 x 0.5g"/>
        <s v="November Rain Lemon Ice Tea preroll 3 x 0.5g"/>
        <s v="November Rain Rose preroll 3 x 0.5g"/>
        <s v="Galactic Cake dried flower"/>
        <s v="Aum CBD oil 27.4g"/>
        <s v="November Rain Blueberry preroll 0.5g"/>
        <s v="Grease Monkey preroll 0.5g"/>
        <s v="Bacon CBD Extract 27.6g"/>
        <s v="THC Distillate"/>
        <s v="November Rain Rose preroll 0.5g"/>
        <s v="Live Rosin"/>
        <s v="Watermelon preroll 0.5g"/>
        <s v="November Rain Watermelon preroll 3 x 0.5g"/>
        <s v="Grease Monkey preroll 3 x 0.5g"/>
        <s v="Bacon CBD extract 27.3g"/>
        <s v="Pot Shot Tropical Fruits 151mg"/>
        <s v="CBD isolate"/>
        <s v="Gorilla Bomb preroll 1 x 1g"/>
        <s v="Gorilla Bomb preroll 1g"/>
        <s v="Grease Monkey preroll 1 x 1g"/>
        <s v="Hara milled flower 7g"/>
        <s v="Gelato dried flower 7g"/>
        <s v="Gelato dried flower 3.5g"/>
        <s v="Pot Shot Citrus 151mg"/>
        <s v="Gelato preroll 3 x 0.5g"/>
        <s v="Galactic Cake preroll 3 x 0.5g"/>
        <s v="CBD Bacon Oil 10 mg 27.3g"/>
        <s v="November Rain Vape Tropical Meteor Shower 0.5g Sativa"/>
        <s v="November Rain Vape Caribbean Breeze Hybrid 0.5g Live Rosin Disposable Bar"/>
        <s v="November Rain Vape Canadian Thunder 0.5g Sativa"/>
        <s v="November Rain Vape Platinum Sunrise 0.5G Sativa"/>
        <s v="November Rain Vape Strawberry Drizzle 0.5g Hybrid"/>
        <s v="November Rain Vape Canadian OG"/>
        <s v="Canadian Thunder Rosin Vape"/>
        <s v="Tropical Meteor Shower Sativa Vape"/>
        <s v="November Rain Vape Canadian OG Vape 0.5g"/>
        <s v="Monkey King preroll 2 x 0.5g"/>
        <s v="Bacon CBD Extract"/>
        <s v="Abby Leaf Inc Unicorn Poop Grade A"/>
        <s v="Abby Leaf Inc Unicorn Poop Grade B"/>
        <s v="Abby Leaf Inc Licorish Gumball dried flower Grade A"/>
        <s v="Abby Leaf Inc Licorish Gumball dried flower Grade B"/>
        <s v="Abby Leaf Inc Licorish Gumball dried flower"/>
        <s v="KEY LIME PIE (MINI)"/>
        <s v="Gelato Preroll 0.35g"/>
        <s v="Unicorn Poop dried flower 14g"/>
        <s v="Licorice Gumball dried flower 14g"/>
        <s v="KZ F006 GRADE A"/>
        <s v="Chronic Mint dried flower"/>
        <s v="unknown dried flower"/>
        <s v="gelato preroll 12 x 0.35g"/>
        <s v="Gelato dried flower 28g"/>
        <s v="Gorilla Bomb preroll 3 x 0.5g"/>
        <s v="THC oil 27.6g"/>
        <s v="THC CBD balanced 1:1 oil 27.6g"/>
        <s v="white gold"/>
        <s v="Strawberry Drizzle Vape "/>
        <s v="Chronic Mint preroll 1g"/>
        <s v="Platinum Sunrise Vape"/>
        <s v="Caribbean Breeze Vape"/>
        <s v="KRUNTZ B003 GRADE A"/>
        <s v="KZ D005 GRADE A"/>
        <s v="Chronic Mint preroll 3 x 0.5g"/>
        <s v="Chronic Mint preroll 1 x 1g"/>
        <s v="CBD Neem Cream 120g"/>
        <s v="Midnight Kruntz Dried Flower 7g"/>
        <s v="Midnight Kruntz milled flower"/>
        <s v="Gelato milled flower"/>
        <s v="Maximum Strength Mini Roll-on 45g"/>
        <s v="Sweet Fuel OG preroll 3x0.5g"/>
        <s v="Midnight Kruntz pre-roll 10x0.5g"/>
        <s v="November Rain White Widow Hybrid Full Spectrum vape 1g"/>
        <s v="Gelato preroll 12 x 0.35g "/>
        <s v="Blue Gum Dried Flower Grade A"/>
        <s v="Pressure Pie dried flower"/>
        <s v="Pressure Pie milled flower"/>
        <s v="Chronic Mint milled flower"/>
        <s v="Gelato preroll 1g"/>
        <s v="Blue Gum Dried Flower "/>
        <s v="Pot Shot Coconut Lime 151mg"/>
        <s v="Concord Grape Vape"/>
        <s v="Lemonade live resin"/>
        <s v="Kruntz dried flower (Burb)"/>
        <s v="Animal Mint milled flower"/>
        <s v="Gastro Pop dried flower"/>
        <s v="God's Space Needle Oil 27.6g"/>
        <s v="EarthWolf Farms CBDa Oil 27.6g"/>
        <s v="Unicorn Poop milled flower"/>
        <s v="Licorice Gumball milled flower"/>
        <s v="November Rain Concord Grape vape 1g"/>
        <s v="Midnight Kruntz pre-roll 0.5g"/>
        <s v="Pineapple Sour dried flower"/>
        <s v="Animal Mint pre-roll 2 x 1g"/>
        <s v="November Rain Concord Grape vape 0.5g"/>
        <s v="THCA Diamond"/>
        <s v="Animal Mint dried flower"/>
        <s v="Rockstar dried flower"/>
        <s v="Blue Bandita Live Rosin"/>
        <s v="Runtz Muffin Crumble (Rohan)"/>
        <s v="Bacon CBD extract 54.8g"/>
        <s v="Mango preroll 0.5g"/>
        <s v="Strawberry preroll 0.5g"/>
        <s v="Blue Gum Dried Flower 28g"/>
        <s v="Pressure Pie dried flower 28g"/>
        <s v="Rockstar milled flower"/>
        <s v="Rogworld Lemonade Octane vape 1g"/>
        <s v="Pineapple Sour preroll 1g"/>
        <s v="Pineapple blaster preroll 0.5g"/>
        <s v="Pineapple Sour milled flower"/>
        <s v="November Rain Blaster Multipack 0.5g*12"/>
        <s v="November Rain Gastro-pop Diamond Infused 3x0.5g Pre-Rolls"/>
        <s v="Super Sativa Oil"/>
        <s v="Infused preroll 1g"/>
        <s v="God's Space Needle Bubble Hash 1g"/>
        <s v="Tundra Bubble Hash 1g"/>
        <s v="Romulan Grape God Bubble Hash 1g"/>
        <s v="Northern Apple Jaxx Live Rosin 1g"/>
        <s v="The live duo Mamba No.5/4sum Live Rosin 1g"/>
        <s v="Synergy Oil 27.6g"/>
        <s v="Gelato preroll 0.5g"/>
        <s v="Gelato preroll "/>
        <s v="Rose Diamond Infused preroll 3x0.5g"/>
        <s v="Infused preroll 1 x 1g"/>
        <s v="White widow Live Resin 1g"/>
        <s v="November Rain Preroll Rose Mintz 3x0.5g"/>
        <s v="Zen Oil"/>
        <s v="Blueberry Punch Bubble Hash 1g"/>
        <s v="Northern Apple Jaxx Live Rosin"/>
        <s v="God's Green Trip Bubble Hash 1g"/>
        <s v="Desert Haze Pressed Hash 1g"/>
        <s v="Super M Bubble Hash 1g"/>
        <s v="Lillooet Gold Bubble Hash 1g"/>
        <s v="Pineapple Sour dired flower 28g"/>
        <s v="Midnight Kruntz pre-roll 2x1g"/>
        <s v="Rogworld-Bong Guru Rockstar-5X0.5g pre-rolls"/>
        <s v="Apothecary Botanicals Gelato 14g dried flower"/>
        <s v="Rogworld-Bong Guru Rockstar-14g"/>
        <s v="Hara milled flower 14g"/>
        <s v="Island KTL Live Resin 1g"/>
        <s v="Rogworld-Bong Guru Rockstar-1g pre-roll"/>
        <s v="White Runtz dried flower"/>
        <s v=""/>
      </sharedItems>
    </cacheField>
    <cacheField name="stage" numFmtId="0">
      <sharedItems/>
    </cacheField>
    <cacheField name="pack_on_date" numFmtId="176">
      <sharedItems containsDate="1" containsMixedTypes="1" minDate="2021-01-10T00:00:00" maxDate="2025-08-13T00:00:00"/>
    </cacheField>
    <cacheField name="quantity_change_unit" numFmtId="180">
      <sharedItems containsString="0" containsBlank="1" containsNumber="1" containsInteger="1" minValue="-3990" maxValue="1072"/>
    </cacheField>
    <cacheField name="quantity_change_gross_weight" numFmtId="2">
      <sharedItems containsMixedTypes="1" containsNumber="1" minValue="-71400" maxValue="20895"/>
    </cacheField>
    <cacheField name="quantity_change_net_weight" numFmtId="2">
      <sharedItems containsMixedTypes="1" containsNumber="1" minValue="-299060" maxValue="263010"/>
    </cacheField>
    <cacheField name="note" numFmtId="0">
      <sharedItems containsBlank="1"/>
    </cacheField>
    <cacheField name="calculation_method" numFmtId="0">
      <sharedItems count="3">
        <s v="net"/>
        <s v="gross"/>
        <s v=""/>
      </sharedItems>
    </cacheField>
    <cacheField name="netweight_for_netmethod" numFmtId="180">
      <sharedItems containsMixedTypes="1" containsNumber="1" minValue="0" maxValue="149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n Li" refreshedDate="45884.594535185184" createdVersion="8" refreshedVersion="8" minRefreshableVersion="3" recordCount="980" xr:uid="{D75CFEF7-3768-49C4-9B65-A87A99CF2C9C}">
  <cacheSource type="worksheet">
    <worksheetSource name="Table1"/>
  </cacheSource>
  <cacheFields count="22">
    <cacheField name="inventory_id_head" numFmtId="0">
      <sharedItems containsSemiMixedTypes="0" containsString="0" containsNumber="1" containsInteger="1" minValue="1" maxValue="797"/>
    </cacheField>
    <cacheField name="inventory_id_tail" numFmtId="0">
      <sharedItems containsSemiMixedTypes="0" containsString="0" containsNumber="1" containsInteger="1" minValue="0" maxValue="13"/>
    </cacheField>
    <cacheField name="inventory_id" numFmtId="0">
      <sharedItems count="980">
        <s v="576-0"/>
        <s v="577-0"/>
        <s v="578-0"/>
        <s v="579-0"/>
        <s v="580-0"/>
        <s v="581-0"/>
        <s v="582-0"/>
        <s v="583-0"/>
        <s v="585-0"/>
        <s v="586-0"/>
        <s v="587-0"/>
        <s v="588-0"/>
        <s v="589-0"/>
        <s v="590-0"/>
        <s v="591-0"/>
        <s v="440-0"/>
        <s v="3-0"/>
        <s v="5-0"/>
        <s v="6-0"/>
        <s v="7-0"/>
        <s v="8-0"/>
        <s v="9-0"/>
        <s v="10-0"/>
        <s v="12-0"/>
        <s v="13-0"/>
        <s v="14-0"/>
        <s v="15-0"/>
        <s v="16-0"/>
        <s v="17-0"/>
        <s v="18-0"/>
        <s v="19-0"/>
        <s v="20-0"/>
        <s v="21-0"/>
        <s v="22-0"/>
        <s v="24-0"/>
        <s v="25-0"/>
        <s v="26-0"/>
        <s v="27-0"/>
        <s v="28-0"/>
        <s v="29-0"/>
        <s v="30-0"/>
        <s v="31-0"/>
        <s v="32-0"/>
        <s v="33-0"/>
        <s v="34-0"/>
        <s v="35-0"/>
        <s v="36-0"/>
        <s v="37-0"/>
        <s v="38-0"/>
        <s v="39-0"/>
        <s v="40-0"/>
        <s v="42-0"/>
        <s v="43-0"/>
        <s v="44-0"/>
        <s v="45-0"/>
        <s v="46-0"/>
        <s v="47-0"/>
        <s v="48-0"/>
        <s v="49-0"/>
        <s v="50-0"/>
        <s v="51-0"/>
        <s v="52-0"/>
        <s v="53-0"/>
        <s v="54-0"/>
        <s v="55-0"/>
        <s v="56-0"/>
        <s v="57-0"/>
        <s v="58-0"/>
        <s v="59-0"/>
        <s v="60-0"/>
        <s v="61-0"/>
        <s v="62-0"/>
        <s v="63-0"/>
        <s v="64-0"/>
        <s v="65-0"/>
        <s v="66-0"/>
        <s v="67-0"/>
        <s v="68-0"/>
        <s v="69-0"/>
        <s v="70-0"/>
        <s v="72-0"/>
        <s v="73-0"/>
        <s v="80-0"/>
        <s v="81-0"/>
        <s v="82-0"/>
        <s v="83-0"/>
        <s v="88-0"/>
        <s v="89-0"/>
        <s v="91-0"/>
        <s v="92-0"/>
        <s v="93-0"/>
        <s v="94-0"/>
        <s v="95-0"/>
        <s v="96-0"/>
        <s v="98-0"/>
        <s v="100-0"/>
        <s v="101-0"/>
        <s v="102-0"/>
        <s v="103-0"/>
        <s v="110-0"/>
        <s v="111-0"/>
        <s v="112-0"/>
        <s v="113-0"/>
        <s v="117-0"/>
        <s v="118-0"/>
        <s v="120-0"/>
        <s v="123-0"/>
        <s v="125-0"/>
        <s v="127-0"/>
        <s v="128-0"/>
        <s v="129-0"/>
        <s v="130-0"/>
        <s v="131-0"/>
        <s v="132-0"/>
        <s v="133-0"/>
        <s v="134-0"/>
        <s v="135-0"/>
        <s v="136-0"/>
        <s v="138-0"/>
        <s v="140-0"/>
        <s v="41-0"/>
        <s v="71-0"/>
        <s v="76-0"/>
        <s v="87-0"/>
        <s v="126-0"/>
        <s v="141-0"/>
        <s v="142-0"/>
        <s v="144-0"/>
        <s v="105-0"/>
        <s v="107-0"/>
        <s v="146-0"/>
        <s v="150-0"/>
        <s v="151-0"/>
        <s v="154-0"/>
        <s v="157-0"/>
        <s v="158-0"/>
        <s v="159-0"/>
        <s v="160-0"/>
        <s v="161-0"/>
        <s v="153-0"/>
        <s v="78-0"/>
        <s v="79-0"/>
        <s v="86-0"/>
        <s v="162-0"/>
        <s v="165-0"/>
        <s v="166-0"/>
        <s v="167-0"/>
        <s v="168-0"/>
        <s v="169-0"/>
        <s v="148-0"/>
        <s v="183-0"/>
        <s v="170-0"/>
        <s v="184-0"/>
        <s v="185-0"/>
        <s v="186-0"/>
        <s v="188-0"/>
        <s v="189-0"/>
        <s v="190-0"/>
        <s v="191-0"/>
        <s v="192-0"/>
        <s v="193-0"/>
        <s v="194-0"/>
        <s v="196-0"/>
        <s v="198-0"/>
        <s v="199-0"/>
        <s v="201-0"/>
        <s v="203-0"/>
        <s v="204-0"/>
        <s v="205-0"/>
        <s v="206-0"/>
        <s v="207-0"/>
        <s v="208-0"/>
        <s v="211-0"/>
        <s v="213-0"/>
        <s v="216-0"/>
        <s v="217-0"/>
        <s v="218-0"/>
        <s v="219-0"/>
        <s v="220-0"/>
        <s v="221-0"/>
        <s v="222-0"/>
        <s v="223-0"/>
        <s v="224-0"/>
        <s v="225-0"/>
        <s v="226-0"/>
        <s v="227-0"/>
        <s v="228-0"/>
        <s v="229-0"/>
        <s v="230-0"/>
        <s v="231-0"/>
        <s v="232-0"/>
        <s v="233-0"/>
        <s v="234-0"/>
        <s v="235-0"/>
        <s v="236-0"/>
        <s v="237-0"/>
        <s v="238-0"/>
        <s v="239-0"/>
        <s v="240-0"/>
        <s v="241-0"/>
        <s v="242-0"/>
        <s v="243-0"/>
        <s v="244-0"/>
        <s v="245-0"/>
        <s v="247-0"/>
        <s v="147-0"/>
        <s v="1-0"/>
        <s v="251-0"/>
        <s v="252-0"/>
        <s v="254-0"/>
        <s v="104-0"/>
        <s v="255-0"/>
        <s v="258-0"/>
        <s v="259-0"/>
        <s v="11-0"/>
        <s v="262-0"/>
        <s v="264-0"/>
        <s v="265-0"/>
        <s v="266-0"/>
        <s v="137-0"/>
        <s v="267-0"/>
        <s v="268-0"/>
        <s v="269-0"/>
        <s v="270-0"/>
        <s v="271-0"/>
        <s v="272-0"/>
        <s v="275-0"/>
        <s v="276-0"/>
        <s v="278-0"/>
        <s v="279-0"/>
        <s v="280-0"/>
        <s v="281-0"/>
        <s v="282-0"/>
        <s v="283-0"/>
        <s v="284-0"/>
        <s v="197-0"/>
        <s v="187-0"/>
        <s v="288-0"/>
        <s v="289-0"/>
        <s v="290-0"/>
        <s v="291-0"/>
        <s v="292-0"/>
        <s v="293-0"/>
        <s v="295-0"/>
        <s v="302-0"/>
        <s v="303-0"/>
        <s v="304-0"/>
        <s v="305-0"/>
        <s v="306-0"/>
        <s v="307-0"/>
        <s v="308-0"/>
        <s v="309-0"/>
        <s v="310-0"/>
        <s v="311-0"/>
        <s v="312-0"/>
        <s v="313-0"/>
        <s v="314-0"/>
        <s v="315-0"/>
        <s v="316-0"/>
        <s v="317-0"/>
        <s v="318-0"/>
        <s v="321-0"/>
        <s v="152-0"/>
        <s v="155-0"/>
        <s v="325-0"/>
        <s v="163-0"/>
        <s v="294-0"/>
        <s v="300-0"/>
        <s v="328-0"/>
        <s v="330-0"/>
        <s v="331-0"/>
        <s v="77-0"/>
        <s v="301-0"/>
        <s v="285-0"/>
        <s v="287-0"/>
        <s v="326-0"/>
        <s v="333-0"/>
        <s v="334-0"/>
        <s v="327-0"/>
        <s v="296-0"/>
        <s v="297-0"/>
        <s v="298-0"/>
        <s v="335-0"/>
        <s v="336-0"/>
        <s v="337-0"/>
        <s v="338-0"/>
        <s v="339-0"/>
        <s v="340-0"/>
        <s v="341-0"/>
        <s v="342-0"/>
        <s v="343-0"/>
        <s v="344-0"/>
        <s v="345-0"/>
        <s v="346-0"/>
        <s v="347-0"/>
        <s v="348-0"/>
        <s v="349-0"/>
        <s v="350-0"/>
        <s v="351-0"/>
        <s v="352-0"/>
        <s v="353-0"/>
        <s v="354-0"/>
        <s v="355-0"/>
        <s v="356-0"/>
        <s v="357-0"/>
        <s v="360-0"/>
        <s v="362-0"/>
        <s v="363-0"/>
        <s v="364-0"/>
        <s v="366-0"/>
        <s v="367-0"/>
        <s v="368-0"/>
        <s v="369-0"/>
        <s v="370-0"/>
        <s v="371-0"/>
        <s v="373-0"/>
        <s v="257-0"/>
        <s v="75-0"/>
        <s v="329-0"/>
        <s v="246-0"/>
        <s v="256-0"/>
        <s v="323-0"/>
        <s v="324-0"/>
        <s v="358-0"/>
        <s v="365-0"/>
        <s v="384-0"/>
        <s v="361-0"/>
        <s v="385-0"/>
        <s v="372-0"/>
        <s v="386-0"/>
        <s v="260-0"/>
        <s v="173-0"/>
        <s v="174-0"/>
        <s v="175-0"/>
        <s v="176-0"/>
        <s v="177-0"/>
        <s v="178-0"/>
        <s v="179-0"/>
        <s v="180-0"/>
        <s v="181-0"/>
        <s v="387-0"/>
        <s v="263-0"/>
        <s v="149-0"/>
        <s v="389-0"/>
        <s v="374-0"/>
        <s v="391-0"/>
        <s v="172-0"/>
        <s v="392-0"/>
        <s v="383-0"/>
        <s v="395-0"/>
        <s v="396-0"/>
        <s v="397-0"/>
        <s v="156-0"/>
        <s v="400-0"/>
        <s v="401-0"/>
        <s v="261-0"/>
        <s v="402-0"/>
        <s v="403-0"/>
        <s v="404-0"/>
        <s v="359-0"/>
        <s v="405-0"/>
        <s v="406-0"/>
        <s v="411-0"/>
        <s v="408-0"/>
        <s v="409-0"/>
        <s v="410-0"/>
        <s v="412-0"/>
        <s v="413-0"/>
        <s v="414-0"/>
        <s v="415-0"/>
        <s v="416-0"/>
        <s v="417-0"/>
        <s v="418-0"/>
        <s v="419-0"/>
        <s v="421-0"/>
        <s v="422-0"/>
        <s v="407-0"/>
        <s v="424-0"/>
        <s v="425-0"/>
        <s v="427-0"/>
        <s v="428-0"/>
        <s v="430-0"/>
        <s v="299-0"/>
        <s v="431-0"/>
        <s v="23-0"/>
        <s v="171-0"/>
        <s v="433-0"/>
        <s v="444-0"/>
        <s v="446-0"/>
        <s v="447-0"/>
        <s v="450-0"/>
        <s v="451-0"/>
        <s v="452-0"/>
        <s v="453-0"/>
        <s v="454-0"/>
        <s v="455-0"/>
        <s v="456-0"/>
        <s v="457-0"/>
        <s v="459-0"/>
        <s v="460-0"/>
        <s v="461-0"/>
        <s v="465-0"/>
        <s v="467-0"/>
        <s v="423-0"/>
        <s v="398-0"/>
        <s v="399-0"/>
        <s v="468-0"/>
        <s v="469-0"/>
        <s v="471-0"/>
        <s v="210-0"/>
        <s v="212-0"/>
        <s v="215-0"/>
        <s v="429-0"/>
        <s v="474-0"/>
        <s v="475-0"/>
        <s v="476-0"/>
        <s v="477-0"/>
        <s v="478-0"/>
        <s v="479-0"/>
        <s v="480-0"/>
        <s v="481-0"/>
        <s v="182-0"/>
        <s v="482-0"/>
        <s v="484-0"/>
        <s v="485-0"/>
        <s v="119-0"/>
        <s v="487-0"/>
        <s v="488-0"/>
        <s v="489-0"/>
        <s v="214-0"/>
        <s v="490-0"/>
        <s v="492-0"/>
        <s v="493-0"/>
        <s v="494-0"/>
        <s v="495-0"/>
        <s v="496-0"/>
        <s v="497-0"/>
        <s v="498-0"/>
        <s v="499-0"/>
        <s v="501-0"/>
        <s v="470-0"/>
        <s v="502-0"/>
        <s v="124-0"/>
        <s v="504-0"/>
        <s v="273-0"/>
        <s v="519-0"/>
        <s v="500-0"/>
        <s v="508-0"/>
        <s v="509-0"/>
        <s v="510-0"/>
        <s v="511-0"/>
        <s v="512-0"/>
        <s v="513-0"/>
        <s v="514-0"/>
        <s v="515-0"/>
        <s v="516-0"/>
        <s v="517-0"/>
        <s v="518-0"/>
        <s v="466-0"/>
        <s v="523-0"/>
        <s v="524-0"/>
        <s v="449-0"/>
        <s v="525-0"/>
        <s v="491-0"/>
        <s v="529-0"/>
        <s v="472-0"/>
        <s v="531-0"/>
        <s v="116-0"/>
        <s v="445-0"/>
        <s v="533-0"/>
        <s v="534-0"/>
        <s v="535-0"/>
        <s v="537-0"/>
        <s v="538-0"/>
        <s v="539-0"/>
        <s v="540-0"/>
        <s v="541-0"/>
        <s v="542-0"/>
        <s v="544-0"/>
        <s v="545-0"/>
        <s v="388-0"/>
        <s v="463-0"/>
        <s v="483-0"/>
        <s v="532-0"/>
        <s v="248-0"/>
        <s v="249-0"/>
        <s v="250-0"/>
        <s v="253-0"/>
        <s v="506-0"/>
        <s v="464-0"/>
        <s v="520-0"/>
        <s v="521-0"/>
        <s v="548-0"/>
        <s v="551-0"/>
        <s v="552-0"/>
        <s v="393-0"/>
        <s v="554-0"/>
        <s v="462-0"/>
        <s v="555-0"/>
        <s v="375-0"/>
        <s v="379-0"/>
        <s v="561-0"/>
        <s v="562-0"/>
        <s v="564-0"/>
        <s v="565-0"/>
        <s v="566-0"/>
        <s v="567-0"/>
        <s v="568-0"/>
        <s v="569-0"/>
        <s v="439-0"/>
        <s v="320-0"/>
        <s v="441-0"/>
        <s v="380-0"/>
        <s v="381-0"/>
        <s v="382-0"/>
        <s v="377-0"/>
        <s v="378-0"/>
        <s v="436-0"/>
        <s v="442-0"/>
        <s v="443-0"/>
        <s v="390-0"/>
        <s v="570-0"/>
        <s v="571-0"/>
        <s v="274-0"/>
        <s v="74-0"/>
        <s v="2-0"/>
        <s v="573-0"/>
        <s v="574-0"/>
        <s v="575-0"/>
        <s v="319-0"/>
        <s v="291-1"/>
        <s v="529-1"/>
        <s v="529-2"/>
        <s v="529-3"/>
        <s v="529-4"/>
        <s v="592-0"/>
        <s v="593-0"/>
        <s v="594-0"/>
        <s v="595-0"/>
        <s v="596-0"/>
        <s v="597-0"/>
        <s v="598-0"/>
        <s v="599-0"/>
        <s v="600-0"/>
        <s v="601-0"/>
        <s v="602-0"/>
        <s v="603-0"/>
        <s v="604-0"/>
        <s v="605-0"/>
        <s v="606-0"/>
        <s v="607-0"/>
        <s v="608-0"/>
        <s v="609-0"/>
        <s v="610-0"/>
        <s v="611-0"/>
        <s v="612-0"/>
        <s v="437-0"/>
        <s v="613-0"/>
        <s v="614-0"/>
        <s v="615-0"/>
        <s v="616-0"/>
        <s v="617-0"/>
        <s v="618-0"/>
        <s v="619-0"/>
        <s v="620-0"/>
        <s v="621-0"/>
        <s v="622-0"/>
        <s v="623-0"/>
        <s v="624-0"/>
        <s v="624-1"/>
        <s v="736-0"/>
        <s v="560-0"/>
        <s v="559-0"/>
        <s v="376-0"/>
        <s v="438-0"/>
        <s v="202-0"/>
        <s v="557-0"/>
        <s v="558-0"/>
        <s v="549-0"/>
        <s v="435-0"/>
        <s v="627-0"/>
        <s v="528-0"/>
        <s v="628-0"/>
        <s v="114-0"/>
        <s v="115-0"/>
        <s v="200-0"/>
        <s v="563-0"/>
        <s v="507-0"/>
        <s v="631-0"/>
        <s v="632-0"/>
        <s v="322-0"/>
        <s v="635-0"/>
        <s v="636-0"/>
        <s v="637-0"/>
        <s v="90-0"/>
        <s v="638-0"/>
        <s v="640-0"/>
        <s v="553-0"/>
        <s v="286-0"/>
        <s v="550-0"/>
        <s v="458-0"/>
        <s v="84-0"/>
        <s v="85-0"/>
        <s v="641-0"/>
        <s v="642-0"/>
        <s v="643-0"/>
        <s v="644-0"/>
        <s v="645-0"/>
        <s v="647-0"/>
        <s v="648-0"/>
        <s v="649-0"/>
        <s v="650-0"/>
        <s v="651-0"/>
        <s v="652-0"/>
        <s v="653-0"/>
        <s v="646-0"/>
        <s v="655-0"/>
        <s v="656-0"/>
        <s v="657-0"/>
        <s v="659-0"/>
        <s v="660-0"/>
        <s v="695-0"/>
        <s v="164-0"/>
        <s v="639-0"/>
        <s v="556-0"/>
        <s v="637-1"/>
        <s v="661-0"/>
        <s v="662-0"/>
        <s v="663-0"/>
        <s v="666-0"/>
        <s v="667-0"/>
        <s v="668-0"/>
        <s v="669-0"/>
        <s v="670-0"/>
        <s v="671-0"/>
        <s v="672-0"/>
        <s v="673-0"/>
        <s v="674-0"/>
        <s v="675-0"/>
        <s v="676-0"/>
        <s v="678-0"/>
        <s v="679-0"/>
        <s v="680-0"/>
        <s v="681-0"/>
        <s v="682-0"/>
        <s v="684-0"/>
        <s v="685-0"/>
        <s v="686-0"/>
        <s v="687-0"/>
        <s v="688-0"/>
        <s v="689-0"/>
        <s v="690-0"/>
        <s v="691-0"/>
        <s v="692-0"/>
        <s v="693-0"/>
        <s v="694-0"/>
        <s v="572-0"/>
        <s v="696-0"/>
        <s v="697-0"/>
        <s v="698-0"/>
        <s v="699-0"/>
        <s v="700-0"/>
        <s v="701-0"/>
        <s v="702-0"/>
        <s v="703-0"/>
        <s v="704-0"/>
        <s v="705-0"/>
        <s v="706-0"/>
        <s v="707-0"/>
        <s v="708-0"/>
        <s v="709-0"/>
        <s v="710-0"/>
        <s v="711-0"/>
        <s v="712-0"/>
        <s v="713-0"/>
        <s v="714-0"/>
        <s v="715-0"/>
        <s v="716-0"/>
        <s v="717-0"/>
        <s v="718-0"/>
        <s v="719-0"/>
        <s v="720-0"/>
        <s v="721-0"/>
        <s v="723-0"/>
        <s v="724-0"/>
        <s v="725-0"/>
        <s v="726-0"/>
        <s v="727-0"/>
        <s v="728-0"/>
        <s v="729-0"/>
        <s v="730-0"/>
        <s v="731-0"/>
        <s v="732-0"/>
        <s v="4-0"/>
        <s v="99-0"/>
        <s v="139-0"/>
        <s v="448-0"/>
        <s v="735-0"/>
        <s v="733-0"/>
        <s v="625-0"/>
        <s v="536-0"/>
        <s v="543-0"/>
        <s v="737-1"/>
        <s v="737-2"/>
        <s v="737-3"/>
        <s v="737-4"/>
        <s v="737-5"/>
        <s v="737-6"/>
        <s v="737-7"/>
        <s v="740-1"/>
        <s v="458-1"/>
        <s v="143-1"/>
        <s v="108-1"/>
        <s v="741-1"/>
        <s v="741-2"/>
        <s v="734-0"/>
        <s v="640-1"/>
        <s v="743-0"/>
        <s v="650-1"/>
        <s v="734-1"/>
        <s v="526-0"/>
        <s v="633-0"/>
        <s v="738-1"/>
        <s v="739-1"/>
        <s v="626-0"/>
        <s v="591-1"/>
        <s v="744-1"/>
        <s v="744-2"/>
        <s v="744-3"/>
        <s v="121-0"/>
        <s v="121-1"/>
        <s v="122-0"/>
        <s v="145-0"/>
        <s v="145-1"/>
        <s v="492-1"/>
        <s v="523-1"/>
        <s v="536-1"/>
        <s v="537-1"/>
        <s v="745-2"/>
        <s v="626-1"/>
        <s v="584-0"/>
        <s v="738-0"/>
        <s v="747-1"/>
        <s v="747-0"/>
        <s v="735-1"/>
        <s v="748-2"/>
        <s v="748-3"/>
        <s v="748-4"/>
        <s v="748-1"/>
        <s v="650-4"/>
        <s v="749-2"/>
        <s v="109-0"/>
        <s v="109-1"/>
        <s v="121-2"/>
        <s v="143-0"/>
        <s v="143-2"/>
        <s v="145-2"/>
        <s v="277-0"/>
        <s v="332-0"/>
        <s v="394-0"/>
        <s v="426-1"/>
        <s v="503-0"/>
        <s v="530-0"/>
        <s v="546-0"/>
        <s v="547-0"/>
        <s v="630-0"/>
        <s v="650-6"/>
        <s v="654-0"/>
        <s v="664-0"/>
        <s v="665-0"/>
        <s v="746-0"/>
        <s v="746-1"/>
        <s v="747-2"/>
        <s v="750-1"/>
        <s v="751-1"/>
        <s v="473-0"/>
        <s v="742-0"/>
        <s v="667-1"/>
        <s v="108-0"/>
        <s v="97-1"/>
        <s v="106-0"/>
        <s v="129-1"/>
        <s v="129-2"/>
        <s v="134-1"/>
        <s v="134-2"/>
        <s v="432-0"/>
        <s v="486-0"/>
        <s v="629-0"/>
        <s v="634-0"/>
        <s v="637-2"/>
        <s v="650-2"/>
        <s v="650-3"/>
        <s v="650-5"/>
        <s v="677-0"/>
        <s v="683-0"/>
        <s v="722-0"/>
        <s v="734-3"/>
        <s v="741-3"/>
        <s v="742-1"/>
        <s v="744-4"/>
        <s v="749-1"/>
        <s v="751-2"/>
        <s v="753-0"/>
        <s v="754-1"/>
        <s v="754-2"/>
        <s v="755-0"/>
        <s v="756-1"/>
        <s v="757-0"/>
        <s v="758-0"/>
        <s v="752-1"/>
        <s v="752-2"/>
        <s v="752-3"/>
        <s v="420-0"/>
        <s v="745-1"/>
        <s v="743-1"/>
        <s v="759-0"/>
        <s v="759-1"/>
        <s v="759-2"/>
        <s v="759-3"/>
        <s v="759-4"/>
        <s v="759-5"/>
        <s v="646-1"/>
        <s v="760-0"/>
        <s v="760-1"/>
        <s v="760-2"/>
        <s v="760-3"/>
        <s v="760-4"/>
        <s v="505-0"/>
        <s v="761-1"/>
        <s v="761-2"/>
        <s v="761-3"/>
        <s v="761-4"/>
        <s v="761-5"/>
        <s v="761-6"/>
        <s v="761-7"/>
        <s v="761-8"/>
        <s v="761-9"/>
        <s v="761-10"/>
        <s v="761-11"/>
        <s v="761-12"/>
        <s v="747-3"/>
        <s v="586-1"/>
        <s v="586-2"/>
        <s v="762-0"/>
        <s v="744-5"/>
        <s v="744-6"/>
        <s v="739-2"/>
        <s v="489-1"/>
        <s v="764-0"/>
        <s v="763-0"/>
        <s v="765-0"/>
        <s v="754-0"/>
        <s v="97-0"/>
        <s v="658-0"/>
        <s v="741-4"/>
        <s v="501-1"/>
        <s v="764-1"/>
        <s v="766-1"/>
        <s v="398-1"/>
        <s v="143-3"/>
        <s v="434-0"/>
        <s v="426-0"/>
        <s v="522-0"/>
        <s v="767-1"/>
        <s v="767-2"/>
        <s v="765-1"/>
        <s v="768-1"/>
        <s v="768-2"/>
        <s v="195-0"/>
        <s v="209-0"/>
        <s v="667-2"/>
        <s v="769-0"/>
        <s v="770-1"/>
        <s v="746-2"/>
        <s v="756-2"/>
        <s v="737-8"/>
        <s v="757-1"/>
        <s v="756-3"/>
        <s v="527-0"/>
        <s v="637-3"/>
        <s v="771-0"/>
        <s v="771-1"/>
        <s v="771-2"/>
        <s v="771-3"/>
        <s v="771-4"/>
        <s v="771-5"/>
        <s v="771-6"/>
        <s v="771-7"/>
        <s v="772-0"/>
        <s v="772-1"/>
        <s v="772-2"/>
        <s v="772-3"/>
        <s v="772-5"/>
        <s v="772-6"/>
        <s v="772-7"/>
        <s v="773-1"/>
        <s v="774-1"/>
        <s v="775-0"/>
        <s v="776-1"/>
        <s v="776-2"/>
        <s v="776-3"/>
        <s v="776-4"/>
        <s v="776-5"/>
        <s v="777-0"/>
        <s v="777-1"/>
        <s v="777-2"/>
        <s v="777-3"/>
        <s v="777-4"/>
        <s v="777-5"/>
        <s v="777-6"/>
        <s v="777-7"/>
        <s v="778-0"/>
        <s v="734-2"/>
        <s v="779-0"/>
        <s v="780-0"/>
        <s v="746-3"/>
        <s v="734-4"/>
        <s v="781-0"/>
        <s v="782-0"/>
        <s v="783-0"/>
        <s v="783-1"/>
        <s v="783-2"/>
        <s v="665-1"/>
        <s v="784-0"/>
        <s v="650-7"/>
        <s v="60-1"/>
        <s v="785-0"/>
        <s v="756-4"/>
        <s v="786-1"/>
        <s v="787-0"/>
        <s v="757-2"/>
        <s v="787-1"/>
        <s v="788-1"/>
        <s v="788-2"/>
        <s v="788-3"/>
        <s v="789-0"/>
        <s v="741-5"/>
        <s v="650-8"/>
        <s v="785-1"/>
        <s v="734-5"/>
        <s v="775-1"/>
        <s v="780-1"/>
        <s v="761-13"/>
        <s v="775-2"/>
        <s v="756-5"/>
        <s v="790-0"/>
        <s v="791-1"/>
        <s v="791-2"/>
        <s v="791-3"/>
        <s v="791-4"/>
        <s v="791-5"/>
        <s v="791-6"/>
        <s v="791-7"/>
        <s v="791-8"/>
        <s v="791-9"/>
        <s v="791-10"/>
        <s v="791-11"/>
        <s v="792-1"/>
        <s v="792-2"/>
        <s v="792-3"/>
        <s v="793-0"/>
        <s v="793-1"/>
        <s v="784-1"/>
        <s v="794-0"/>
        <s v="794-1"/>
        <s v="795-0"/>
        <s v="796-0"/>
        <s v="796-1"/>
        <s v="796-2"/>
        <s v="796-3"/>
        <s v="796-4"/>
        <s v="796-5"/>
        <s v="796-6"/>
        <s v="796-7"/>
        <s v="797-0"/>
        <s v="797-1"/>
        <s v="797-2"/>
        <s v="797-3"/>
        <s v="797-4"/>
        <s v="797-5"/>
      </sharedItems>
    </cacheField>
    <cacheField name="status" numFmtId="0">
      <sharedItems count="2">
        <s v="Active"/>
        <s v="Closed"/>
      </sharedItems>
    </cacheField>
    <cacheField name="tote_number" numFmtId="0">
      <sharedItems/>
    </cacheField>
    <cacheField name="bag_number" numFmtId="0">
      <sharedItems containsBlank="1"/>
    </cacheField>
    <cacheField name="location" numFmtId="0">
      <sharedItems containsBlank="1"/>
    </cacheField>
    <cacheField name="stage" numFmtId="0">
      <sharedItems/>
    </cacheField>
    <cacheField name="product_description" numFmtId="0">
      <sharedItems containsBlank="1" count="221">
        <s v="November Rain Vape Canadian Thunder 0.5g Sativa"/>
        <s v="Maximum Strength Mini Roll-on 45g"/>
        <s v="Maximum Strength Roll-on"/>
        <s v="Blue Gum Dried Flower "/>
        <s v="THC CBD balanced 1:1 oil 27.6g"/>
        <s v="Phant THCA diamonds 1g"/>
        <s v="Animal Cookies dried flower 3.5 g"/>
        <s v="Cashew Breadth dried flower 3.5g"/>
        <s v="Gelato dried flower 14g"/>
        <s v="Hara milled flower 14g"/>
        <s v="Hara milled flower 7g"/>
        <s v="Gelato milled flower"/>
        <s v="milled flower"/>
        <s v="Berri Blunt milled flower"/>
        <s v="Rogue milled flower"/>
        <s v="Glactic Cake milled flower"/>
        <s v="Platinum Cookies dried flower 3.5g"/>
        <s v="Super Sliver Haze dried flower 3.5g"/>
        <s v="Grandpa's Stash dried flower 3.5g"/>
        <s v="Pemberton Craft Orr's Layer Cake dried flower 3.5g"/>
        <s v="Tropicana Cookies dried flower 14g"/>
        <s v="Chronic Mint dried flower"/>
        <s v="Gelato dried flower"/>
        <s v="Galactic Cake dried flower"/>
        <s v="Gorilla Bomb dried flower"/>
        <s v="bath salt SPA 180 gram"/>
        <s v="Galactic Cake milled flower"/>
        <s v="Grandpa's Stash milled flower"/>
        <s v="Bacon CBD Extract"/>
        <s v="Citrique milled flower"/>
        <s v="Island Pink milled flower"/>
        <s v="THC oil"/>
        <s v="THC CBD balanced 1:1 oil"/>
        <s v="Tropicana Cookies milled flower"/>
        <s v="Chronic Mint milled flower"/>
        <s v="Lollipop milled flower"/>
        <s v="Galactic Cake preroll 3 x 0.5g"/>
        <s v="Galactic Cake preroll 1 x 1g"/>
        <s v="Chronic Mint preroll 3 x 0.5g"/>
        <s v="Grease Monkey preroll 1g"/>
        <s v="Grease Monkey preroll 1 x 1g"/>
        <s v="Galactic Cake preroll 1g"/>
        <s v="Gelato preroll 1g"/>
        <s v="Gelato preroll 3 x 0.5g"/>
        <s v="Gelato preroll "/>
        <s v="Gelato preroll 0.5g"/>
        <s v="Diamond infused preroll 0.35g"/>
        <s v="Infused preroll 3 x 0.5g"/>
        <s v="Diamond infused preroll 0.5g"/>
        <s v="Infused preroll 1 x 1g"/>
        <s v="Infused preroll 1g"/>
        <s v="Infused preroll"/>
        <s v="Grandpa Stash preroll 1g"/>
        <s v="Gorilla Bomb preroll 1g"/>
        <s v="Gorilla Bomb preroll 0.5g"/>
        <s v="Maximum Strength Roll-on 88g"/>
        <s v="Pot Shot Tropical Fruits"/>
        <s v="Gelato Preroll 0.35g"/>
        <s v="Tropicana Cookies preroll 0.5g"/>
        <s v="Grease Monkey preroll 3 x 0.5g"/>
        <s v="Bacon CBD Extract 27.6g"/>
        <s v="November Rain Watermelon preroll 3 x 0.5g"/>
        <s v="November Rain Lemon Ice Tea preroll 0.5g"/>
        <s v="Bacon CBD extract 27.3g"/>
        <s v="Bacon CBD extract 54.8g"/>
        <s v="Watermelon preroll 0.5g"/>
        <s v="Extra Strength Roll-on 88g"/>
        <s v="Pot Shot Citrus 151mg"/>
        <s v="Tropicana cookies preroll "/>
        <s v="Tropicana cookies preroll 3 x 0.5g"/>
        <s v="November Rain Rose preroll 3 x 0.5g"/>
        <s v="November Rain Rose preroll 0.5g"/>
        <s v="November Rain Blueberry preroll 0.5g"/>
        <s v="CBD Neem Cream 120g"/>
        <s v="Bacon CBD extract 29.5g"/>
        <s v="20:1 Mango CBD:THC extract 29.5g"/>
        <s v="4:1 Black Cherry CBD:THC extract 29.5g"/>
        <s v="Aum CBD oil 27.4g"/>
        <s v="Pot Shot Tropical Fruits 151mg"/>
        <s v="Critique dried flower"/>
        <s v="Tropicanna Cookies dried flower"/>
        <s v="unknown dried flower"/>
        <s v="shake "/>
        <s v="#1"/>
        <s v="Island Pink dried flower"/>
        <s v="unknown trim"/>
        <s v="Gelato trim"/>
        <s v="sample trim "/>
        <s v="Sour Chen trim "/>
        <s v="Gelato dried flower 3.5g"/>
        <s v="Live Rosin"/>
        <s v="CBD isolate"/>
        <s v="THC Distillate"/>
        <s v="CBD Bacon Oil 10 mg 27.3g"/>
        <s v="Gelato preroll 1 x 1g"/>
        <s v="Gelato dried flower 7g"/>
        <s v="Grease Monkey preroll 0.5g"/>
        <s v="Gorilla Bomb preroll 1 x 1g"/>
        <s v="November Rain Blueberry preroll 3 x 0.5g"/>
        <s v="November Rain Vape Tropical Meteor Shower 0.5g Sativa"/>
        <s v="Lotus Venture Kalifornia dried flower"/>
        <s v="Atlas trims"/>
        <s v="HHH "/>
        <s v="Choc lava cake trim"/>
        <s v="Orr's layer cake trim"/>
        <s v="Backforty Blends Glacial Gold Clay Face Mask"/>
        <s v="November Rain Lemon Ice Tea preroll 3 x 0.5g"/>
        <s v="November Rain Vape Strawberry Drizzle 0.5g Hybrid"/>
        <s v="November Rain Vape Platinum Sunrise 0.5G Sativa"/>
        <s v="Tropical Meteor Shower Sativa Vape"/>
        <s v="November Rain Vape Canadian OG"/>
        <s v="November Rain Vape Caribbean Breeze Hybrid 0.5g Live Rosin Disposable Bar"/>
        <s v="Abby Leaf Inc Licorish Gumball dried flower"/>
        <s v="Abby Leaf Inc Licorish Gumball dried flower Grade B"/>
        <s v="Abby Leaf Inc Licorish Gumball dried flower Grade A"/>
        <s v="Abby Leaf Inc Unicorn Poop Grade B"/>
        <s v="Abby Leaf Inc Unicorn Poop Grade A"/>
        <s v="November Rain Vape Canadian OG Vape 0.5g"/>
        <s v="Canadian Thunder Rosin Vape"/>
        <s v="November Rain Trident preroll 3 x 0.5g"/>
        <s v="Monkey King preroll 2 x 0.5g"/>
        <s v="KZ F006 GRADE A"/>
        <s v="KEY LIME PIE (MINI)"/>
        <s v="Unicorn Poop dried flower 14g"/>
        <s v="Licorice Gumball dried flower 14g"/>
        <s v="Strawberry Drizzle Vape "/>
        <s v="gelato preroll 12 x 0.35g"/>
        <s v="THC oil 27.6g"/>
        <s v="Platinum Sunrise Vape"/>
        <s v="Pressure Pie dried flower"/>
        <s v="Caribbean Breeze Vape"/>
        <s v="KRUNTZ B003 GRADE A"/>
        <s v="KZ D005 GRADE A"/>
        <s v="NUDH bath salt 450 gram"/>
        <s v="Chronic Mint preroll 1g"/>
        <s v="Sweet Fuel OG preroll 3x0.5g"/>
        <s v="Rose Diamond Infused preroll 3x0.5g"/>
        <s v="Blue Gum Dried Flower Grade A"/>
        <s v="Lemonade live resin"/>
        <s v="CBD MCT Oil"/>
        <s v="white gold"/>
        <s v="Midnight Kruntz Dried Flower 7g"/>
        <s v="Midnight Kruntz milled flower"/>
        <s v="Kruntz dried flower (Burb)"/>
        <s v="Gelato dried flower 28g"/>
        <s v="Chronic Mint preroll 1 x 1g"/>
        <s v="Pot Shot Coconut Lime 151mg"/>
        <s v="Licorice Gumball milled flower"/>
        <s v="Unicorn Poop milled flower"/>
        <s v="Concord Grape Vape"/>
        <s v="Spotlight Vape"/>
        <s v="Midnight Kruntz pre-roll 10x0.5g"/>
        <s v="Animal Mint milled flower"/>
        <s v="Animal Mint dried flower"/>
        <s v="Midnight Kruntz pre-roll 0.5g"/>
        <s v="EarthWolf Farms CBDa Oil 27.6g"/>
        <s v="November Rain Concord Grape vape 0.5g"/>
        <s v="Afghan Hash 1g"/>
        <s v="Lillooet Gold Bubble Hash 1g"/>
        <s v="Romulan Grape God Bubble Hash 1g"/>
        <s v="Tundra Bubble Hash 1g"/>
        <s v="God's Space Needle Live Rosin 1g"/>
        <s v="God's Space Needle Bubble Hash 1g"/>
        <s v="Northern Apple Jaxx Live Rosin 1g"/>
        <s v="God's Space Needle Oil 27.6g"/>
        <s v="The live duo Mamba No.5/4sum Live Rosin 1g"/>
        <s v="Gastro Pop dried flower"/>
        <s v="November Rain Infused blueberry preroll 3*0.5g"/>
        <s v="Synergy Oil 27.6g"/>
        <s v="Blueberry Punch Bubble Hash 1g"/>
        <s v="God's Green Trip Bubble Hash 1g"/>
        <s v="Desert Haze Pressed Hash 1g"/>
        <s v="Super M Bubble Hash 1g"/>
        <s v="Black Triangle 3.5g"/>
        <s v="Zen Oil 27.6g"/>
        <s v="Super Sativa Oil 27.6g"/>
        <s v="Island KTL Live Resin 1g"/>
        <s v="Blue Bandita Live Rosin"/>
        <s v="Northern Apple Jaxx Live Rosin"/>
        <s v="Zen Oil"/>
        <s v="Super Sativa Oil"/>
        <s v="LIVE DUO 1g"/>
        <s v="The Fire Pack 1.5g"/>
        <s v="Infused milled flower"/>
        <s v="Gorilla Bomb preroll 3 x 0.5g"/>
        <s v="Animal Mint pre-roll 2 x 1g"/>
        <s v="November Rain White Widow Hybrid Full Spectrum vape 1g"/>
        <s v="Pineapple Sour dried flower"/>
        <s v="NUDH bath salt "/>
        <s v="Rockstar dried flower"/>
        <s v="Runtz Muffin Crumble (Rohan)"/>
        <s v="Pineapple Sour preroll 1g"/>
        <s v="Pineapple blaster preroll 0.5g"/>
        <s v="Mango preroll 0.5g"/>
        <s v="Strawberry preroll 0.5g"/>
        <s v="Pressure Pie dried flower 28g"/>
        <s v="Blue Gum Dried Flower 28g"/>
        <s v="Pineapple Sour milled flower"/>
        <s v="November Rain Gastro-pop Diamond Infused 3x0.5g Pre-Rolls"/>
        <s v="Gastro-pop Diamond infused dried flower"/>
        <s v="November Rain Concord Grape vape 1g"/>
        <s v="November Rain Blaster Multipack 0.5g*12"/>
        <s v="Rogworld Lemonade Octane vape 1g"/>
        <s v="White widow"/>
        <s v="Gelato preroll 12 x 0.35g "/>
        <s v="Pressure Pie milled flower"/>
        <s v="THCA Diamond"/>
        <s v="Rockstar milled flower"/>
        <s v="White widow Live Resin 1g"/>
        <s v="November Rain Preroll Rose Mintz 3x0.5g"/>
        <s v="Pineapple Sour dired flower 28g"/>
        <s v="Dream Catcher Kush dired flower"/>
        <s v="White Runtz dried flower"/>
        <s v="Midnight Kruntz pre-roll 2x1g"/>
        <s v="Rogworld-Bong Guru Rockstar-5X0.5g pre-rolls"/>
        <s v="Rogworld-Bong Guru Rockstar-14g"/>
        <s v="Apothecary Botanicals Gelato 14g dried flower"/>
        <s v="Rogworld-Bong Guru Rockstar-1g pre-roll"/>
        <s v="Hara milled flower - Gelato"/>
        <s v="Licorice Gumball pre-roll 5 x 0.5g"/>
        <m u="1"/>
      </sharedItems>
    </cacheField>
    <cacheField name="lot_number" numFmtId="0">
      <sharedItems containsBlank="1" containsMixedTypes="1" containsNumber="1" containsInteger="1" minValue="96" maxValue="20210505301" count="336">
        <s v="EX24111301G05"/>
        <s v="TP24120401G45"/>
        <s v="TP24120401"/>
        <n v="2025010201"/>
        <s v="EX24022302V30"/>
        <s v="PE2205CP085D"/>
        <n v="211007"/>
        <n v="2022042902"/>
        <s v="2022012401R1"/>
        <s v="CPR22112801G14"/>
        <s v="CPR22112801G7"/>
        <s v="PR2303IN"/>
        <s v="CPR22102101"/>
        <s v="PR2304F7"/>
        <s v="NA"/>
        <n v="2021022501"/>
        <s v="SS201002CP-006"/>
        <s v="GS200219"/>
        <n v="2022091603"/>
        <n v="2021031001"/>
        <n v="2022051601"/>
        <n v="2022051603"/>
        <n v="2022051602"/>
        <s v="BS23041701G180"/>
        <s v="PR2410"/>
        <s v="PR21102801"/>
        <s v="EX22040601"/>
        <s v="PR22022801"/>
        <s v="PR22030301"/>
        <s v="EX24022301"/>
        <s v="EX24022302"/>
        <s v="PR21062101"/>
        <s v="TP24041201"/>
        <s v="PR2301"/>
        <s v="CPR22102001"/>
        <s v="CPR22102102"/>
        <s v="PR22030701"/>
        <s v="PR2410F5P3"/>
        <s v="CPR22102102G1"/>
        <s v="CPR22102102G5"/>
        <s v="CPR22102001G5"/>
        <s v="PR22051901G1"/>
        <s v="PR21071201G1"/>
        <s v="PR21071201G5"/>
        <s v="PR21091301"/>
        <s v="2021042701G5"/>
        <s v="PR21071201"/>
        <s v="PR23040301F5P3"/>
        <s v="PR22031601ING5"/>
        <s v="PR22031601IN"/>
        <s v="PR2301INF1P1"/>
        <s v="PR2302INF1"/>
        <s v="CPR22102101G1"/>
        <n v="2021042701"/>
        <s v="PR2301F35"/>
        <s v="PR2407F5P3"/>
        <s v="EX23100401V30"/>
        <s v="PR2410F1P3"/>
        <s v="PR241002F5P3"/>
        <s v="PR241001F5"/>
        <s v="EX24010301V30"/>
        <s v="DI22092601V60"/>
        <s v="PR241002F5"/>
        <s v="DI22110301V30"/>
        <s v="TP24041202"/>
        <s v="EX24092601V50"/>
        <s v="EX24070901V50"/>
        <s v="PR210621"/>
        <s v="PR21062101G5"/>
        <s v="PR240603F5P3"/>
        <n v="2024080702"/>
        <s v="PR241003F5P3"/>
        <s v="PR2411"/>
        <s v="PR241005F5"/>
        <s v="TP21121701"/>
        <s v="EX24061401V30"/>
        <s v="EX22102601"/>
        <s v="EX20190TCM"/>
        <s v="EX20190TCBC"/>
        <s v="EX23060701V30"/>
        <s v="EX24051301V50"/>
        <s v="EX24060501V50"/>
        <s v="CIT001-B"/>
        <n v="96"/>
        <s v="PVK-001-8"/>
        <n v="2021050301"/>
        <n v="20210505301"/>
        <s v="Batch 111"/>
        <n v="2021030401"/>
        <s v="OB191028"/>
        <s v="GS200109"/>
        <n v="2021022502"/>
        <s v="PNK001-B"/>
        <s v="2021082601R1"/>
        <n v="2024030601"/>
        <n v="2022082401"/>
        <s v="PR240602F5P3"/>
        <n v="2024050601"/>
        <n v="2024022201"/>
        <s v="EX24080601V50"/>
        <s v="2022012401R1G7"/>
        <s v="PR2407F5"/>
        <s v="PR241003F5"/>
        <s v="EX24090501"/>
        <s v="PR241005F5P3"/>
        <s v="PR241105F5P3"/>
        <s v="EX24082903"/>
        <s v="CHHT"/>
        <s v="501L2B1"/>
        <n v="2203010"/>
        <s v="MK01151902"/>
        <n v="2021120901"/>
        <n v="2022080201"/>
        <s v="TO21101301"/>
        <s v="PR241101F5P3"/>
        <s v="EX24082905G05"/>
        <s v="EX24070902V50"/>
        <s v="EX24082903G05"/>
        <s v="EX24082904G05"/>
        <s v="EX24082906"/>
        <s v="EX24090501V50"/>
        <s v="EX24082902G05"/>
        <s v="EX24082901G05"/>
        <n v="2024092003"/>
        <n v="2024092002"/>
        <n v="2024092001"/>
        <s v="EX24082906G05"/>
        <n v="2024082701"/>
        <s v="EX24082901"/>
        <n v="2024080701"/>
        <s v="PR241104F5P3"/>
        <s v="TP24082901"/>
        <n v="2024101701"/>
        <s v="PR241102F5P3"/>
        <s v="PR2407F5P2"/>
        <n v="2024101703"/>
        <n v="2024101702"/>
        <s v="EX24022302130"/>
        <s v="EX24102105"/>
        <s v="TP24101701"/>
        <s v="EX24101703"/>
        <s v="PR2301F35P12"/>
        <s v="EX24101802V30"/>
        <s v="EX24100801V30"/>
        <s v="EX24101705G05"/>
        <s v="EX24102201V50"/>
        <s v="PR241103F5"/>
        <s v="EX24101705"/>
        <s v="EX24101704"/>
        <s v="EX24101701"/>
        <s v="EX24101703G05"/>
        <s v="EX24101701G05"/>
        <s v="PR241105F5"/>
        <s v="PR241101F5"/>
        <s v="PR241102F5"/>
        <n v="2024110601"/>
        <n v="24111305"/>
        <s v="EX24111302"/>
        <n v="24111304"/>
        <n v="2024111802"/>
        <n v="2024111801"/>
        <n v="2024111803"/>
        <s v="BS23090701G450"/>
        <s v="BS23041701"/>
        <s v="EX24111302G05"/>
        <s v="PR2401F5P3"/>
        <s v="PR2303IN02F5P3"/>
        <n v="2024120501"/>
        <n v="2024120601"/>
        <n v="2024100401"/>
        <n v="2024111201"/>
        <n v="2024120401"/>
        <n v="2024041901"/>
        <n v="2022053101"/>
        <n v="2021110501"/>
        <n v="2024111901"/>
        <s v="EX24111301"/>
        <s v="EX24111304G05"/>
        <s v="EX24111801V50"/>
        <s v="EX24111306G05"/>
        <s v="PR240601F5P3"/>
        <s v="2024111801G7"/>
        <s v="BS23101901G450"/>
        <s v="PR2416"/>
        <n v="2024121801"/>
        <s v="2022012401G28"/>
        <s v="2024101703G7"/>
        <s v="CPR22102001G1"/>
        <s v="CPR22012001G5"/>
        <s v="PR2501"/>
        <s v="EX25010601V30"/>
        <n v="2025012801"/>
        <s v="CPR22112801"/>
        <s v="EX25011501V50"/>
        <s v="PR2505"/>
        <s v="PR2506"/>
        <s v="EX25020601"/>
        <s v="KALEX25001"/>
        <s v="EX25022105"/>
        <s v="PR2501F5P10"/>
        <s v="EX25012101V50"/>
        <n v="2025021901"/>
        <s v="PR2507"/>
        <n v="2025021302"/>
        <n v="2024120901"/>
        <s v="PR2501F5"/>
        <s v="DI22120501V30"/>
        <s v="EX25020601G05"/>
        <s v="PH23051101"/>
        <s v="BH231221"/>
        <s v="CW2103051"/>
        <s v="CW22011701"/>
        <s v="RP2021072101"/>
        <s v="CW20210507-01A"/>
        <s v="RP24001"/>
        <s v="DI22110901V30"/>
        <s v="FP23006"/>
        <n v="2025021303"/>
        <n v="2025021301"/>
        <s v="PR2303IN01F5P3"/>
        <s v="TP23092501"/>
        <s v="EX24092701V30"/>
        <s v="CW21032701"/>
        <s v="WX20210224-01A"/>
        <s v="WX2021021102A"/>
        <s v="CW21042501"/>
        <s v="BH201214"/>
        <n v="2022022206"/>
        <s v="DI23020601V30"/>
        <s v="DI23042601V30"/>
        <s v="LR22060701"/>
        <s v="RP23070701"/>
        <s v="RP24-001"/>
        <s v="RP23070701D"/>
        <s v="EX24101601"/>
        <s v="DI24001"/>
        <s v="EX24101601V30"/>
        <s v="23-C002"/>
        <s v="FP23003"/>
        <s v="TP23071001"/>
        <s v="PR2303"/>
        <s v="CPR22102101G5"/>
        <s v="PR2507F1P2"/>
        <s v="EX25010907G1"/>
        <n v="2025030701"/>
        <s v="BS23090701"/>
        <s v="PR2301F5P3"/>
        <s v="PR2406F5P3"/>
        <n v="2025030702"/>
        <s v="2024111803G7"/>
        <s v="ROGEX002"/>
        <s v="2024121801G7"/>
        <s v="PR2513F1"/>
        <s v="PR2513F5"/>
        <s v="PR2514"/>
        <s v="PR2301F5"/>
        <s v="PR2511F5"/>
        <s v="PR2406F1P1"/>
        <s v="PR2406"/>
        <s v="2024110601G28"/>
        <s v="2024120501G28"/>
        <s v="TP25021901"/>
        <s v="PR2416F5P10"/>
        <s v="PR2513"/>
        <s v="PR2501INF5P3"/>
        <s v="PR2501IN"/>
        <s v="PR2516"/>
        <s v="EX25041401"/>
        <s v="EX24101704G05"/>
        <s v="PR2401F5P2"/>
        <s v="EX25020601G1"/>
        <s v="PR251108F5P12"/>
        <s v="EX25040806G05"/>
        <s v="ROGEX001G1"/>
        <s v="PR2511"/>
        <s v="LR23032101"/>
        <s v="PR2302INF1P1"/>
        <s v="PR2502"/>
        <n v="2023110201"/>
        <s v="PR2512"/>
        <s v="PR251106F5"/>
        <s v="PR251101F5P3"/>
        <s v="PR2516F5P10"/>
        <s v="PR241103F5P3"/>
        <s v="EX25041401V30"/>
        <n v="2025050501"/>
        <n v="2025050101"/>
        <n v="2025042201"/>
        <s v="EX24102905G05"/>
        <s v="PR251706F5"/>
        <s v="PR251709F5"/>
        <s v="PR251107F5"/>
        <s v="PR251105F5"/>
        <s v="PR2517"/>
        <s v="PR2518"/>
        <n v="2025051501"/>
        <s v="PR251105F5P3"/>
        <s v="EX25051505"/>
        <s v="PR250703F5P3"/>
        <s v="EX25050501V50"/>
        <s v="EX25051506"/>
        <n v="2025052701"/>
        <s v="PR251701F5P3"/>
        <s v="2025030701G28"/>
        <n v="2025060402"/>
        <n v="2025060401"/>
        <s v="PR2502INF5P3"/>
        <s v="PR251705F5P3"/>
        <s v="ROGEX003"/>
        <s v="TP25051501"/>
        <n v="2025062602"/>
        <n v="2025062601"/>
        <s v="PR2516F1P2"/>
        <s v="PR2512F5P5"/>
        <s v="PR251708F5P12"/>
        <s v="2025050501G14"/>
        <s v="LR25071001"/>
        <s v="PR2519"/>
        <s v="PR251908F5P12"/>
        <s v="PR251905F5P3"/>
        <s v="2021082601G14"/>
        <n v="2025072101"/>
        <s v="ROGEX003G1"/>
        <s v="PR2512F1P1"/>
        <s v="PR2519F35P12"/>
        <s v="EX2411302G05"/>
        <s v="EX25073101V50"/>
        <s v="LR25071001G1"/>
        <s v="PR2520"/>
        <s v="PR251903F5P3"/>
        <s v="PR251904F5P3"/>
        <s v="PR251901F5P3"/>
        <s v="PR251902F5P3"/>
        <s v="PR2505F5P5"/>
        <m/>
        <s v="PR2521"/>
      </sharedItems>
    </cacheField>
    <cacheField name="pack_on_date" numFmtId="0">
      <sharedItems containsDate="1" containsBlank="1" containsMixedTypes="1" minDate="2020-01-31T00:00:00" maxDate="2025-08-15T00:00:00" count="196">
        <d v="2024-12-16T00:00:00"/>
        <d v="2024-12-12T00:00:00"/>
        <s v="NA"/>
        <d v="2024-10-23T00:00:00"/>
        <d v="2021-10-26T00:00:00"/>
        <d v="2023-06-23T00:00:00"/>
        <d v="2023-01-15T00:00:00"/>
        <d v="2023-11-23T00:00:00"/>
        <d v="2022-12-07T00:00:00"/>
        <d v="2023-03-29T00:00:00"/>
        <d v="2021-04-19T00:00:00"/>
        <d v="2020-12-15T00:00:00"/>
        <d v="2022-10-08T00:00:00"/>
        <d v="2023-01-20T00:00:00"/>
        <d v="2022-09-26T00:00:00"/>
        <d v="2023-06-02T00:00:00"/>
        <d v="2022-05-05T00:00:00"/>
        <d v="2024-06-24T00:00:00"/>
        <d v="2021-10-28T00:00:00"/>
        <d v="2023-01-12T00:00:00"/>
        <d v="2022-08-25T00:00:00"/>
        <d v="2022-02-28T00:00:00"/>
        <d v="2022-03-03T00:00:00"/>
        <d v="2024-02-23T00:00:00"/>
        <d v="2021-02-28T00:00:00"/>
        <d v="2024-06-05T00:00:00"/>
        <d v="2021-01-10T00:00:00"/>
        <d v="2022-03-07T00:00:00"/>
        <d v="2023-03-14T00:00:00"/>
        <d v="2023-03-31T00:00:00"/>
        <d v="2025-05-21T00:00:00"/>
        <d v="2023-05-05T00:00:00"/>
        <d v="2023-02-03T00:00:00"/>
        <d v="2023-07-05T00:00:00"/>
        <d v="2023-04-06T00:00:00"/>
        <d v="2024-07-29T00:00:00"/>
        <d v="2023-05-13T00:00:00"/>
        <d v="2024-07-09T00:00:00"/>
        <d v="2021-04-28T00:00:00"/>
        <d v="2024-06-04T00:00:00"/>
        <d v="2024-07-15T00:00:00"/>
        <d v="2024-07-24T00:00:00"/>
        <d v="2024-07-25T00:00:00"/>
        <d v="2024-01-16T00:00:00"/>
        <d v="2023-07-03T00:00:00"/>
        <d v="2024-05-11T00:00:00"/>
        <d v="2024-07-30T00:00:00"/>
        <d v="2024-07-18T00:00:00"/>
        <d v="2024-08-07T00:00:00"/>
        <d v="2022-01-15T00:00:00"/>
        <d v="2022-12-03T00:00:00"/>
        <d v="2021-03-10T00:00:00"/>
        <d v="2021-02-08T00:00:00"/>
        <d v="2023-06-17T00:00:00"/>
        <d v="2024-05-21T00:00:00"/>
        <d v="2024-06-14T00:00:00"/>
        <d v="2021-09-27T00:00:00"/>
        <d v="2020-06-20T00:00:00"/>
        <d v="2020-01-31T00:00:00"/>
        <d v="2020-04-28T00:00:00"/>
        <d v="2021-10-05T00:00:00"/>
        <d v="2020-04-29T00:00:00"/>
        <m/>
        <d v="2020-07-20T00:00:00"/>
        <d v="2022-03-26T00:00:00"/>
        <d v="2024-01-05T00:00:00"/>
        <d v="2024-05-20T00:00:00"/>
        <d v="2022-11-23T00:00:00"/>
        <d v="2024-08-19T00:00:00"/>
        <d v="2024-08-27T00:00:00"/>
        <d v="2024-07-19T00:00:00"/>
        <d v="2021-01-30T00:00:00"/>
        <d v="2024-09-06T00:00:00"/>
        <d v="2024-09-08T00:00:00"/>
        <d v="2024-09-20T00:00:00"/>
        <d v="2024-09-15T00:00:00"/>
        <d v="2024-09-25T00:00:00"/>
        <d v="2024-04-25T00:00:00"/>
        <d v="2024-10-05T00:00:00"/>
        <d v="2024-10-02T00:00:00"/>
        <d v="2024-10-04T00:00:00"/>
        <d v="2024-10-09T00:00:00"/>
        <d v="2024-10-16T00:00:00"/>
        <d v="2024-10-10T00:00:00"/>
        <d v="2024-11-01T00:00:00"/>
        <d v="2024-10-25T00:00:00"/>
        <d v="2024-10-29T00:00:00"/>
        <d v="2024-10-31T00:00:00"/>
        <d v="2024-11-08T00:00:00"/>
        <d v="2024-05-31T00:00:00"/>
        <d v="2024-11-07T00:00:00"/>
        <d v="2024-10-28T00:00:00"/>
        <d v="2024-11-20T00:00:00"/>
        <d v="2023-09-30T00:00:00"/>
        <d v="2024-11-27T00:00:00"/>
        <d v="2024-11-19T00:00:00"/>
        <d v="2024-07-05T00:00:00"/>
        <d v="2024-10-30T00:00:00"/>
        <d v="2024-04-19T00:00:00"/>
        <d v="2024-11-26T00:00:00"/>
        <d v="2024-10-11T00:00:00"/>
        <d v="2024-03-03T00:00:00"/>
        <d v="2024-11-28T00:00:00"/>
        <d v="2024-12-04T00:00:00"/>
        <d v="2024-08-28T00:00:00"/>
        <d v="2024-12-05T00:00:00"/>
        <d v="2024-12-03T00:00:00"/>
        <d v="2024-08-06T00:00:00"/>
        <d v="2025-01-22T00:00:00"/>
        <d v="2024-11-22T00:00:00"/>
        <d v="2024-12-23T00:00:00"/>
        <d v="2025-01-17T00:00:00"/>
        <d v="2025-01-28T00:00:00"/>
        <d v="2025-02-04T00:00:00"/>
        <d v="2025-02-19T00:00:00"/>
        <d v="2025-02-12T00:00:00"/>
        <d v="2025-03-19T00:00:00"/>
        <d v="2023-01-28T00:00:00"/>
        <d v="2025-02-14T00:00:00"/>
        <d v="2023-09-10T00:00:00"/>
        <d v="2022-06-01T00:00:00"/>
        <d v="2022-02-09T00:00:00"/>
        <d v="2022-11-14T00:00:00"/>
        <d v="2022-11-21T00:00:00"/>
        <d v="2021-11-10T00:00:00"/>
        <d v="2022-12-12T00:00:00"/>
        <d v="2025-02-01T00:00:00"/>
        <d v="2025-02-26T00:00:00"/>
        <d v="2024-12-07T00:00:00"/>
        <d v="2021-08-07T00:00:00"/>
        <d v="2021-03-06T00:00:00"/>
        <d v="2022-03-14T00:00:00"/>
        <d v="2023-03-03T00:00:00"/>
        <d v="2023-06-10T00:00:00"/>
        <d v="2023-09-01T00:00:00"/>
        <d v="2023-12-07T00:00:00"/>
        <d v="2024-11-30T00:00:00"/>
        <d v="2024-04-06T00:00:00"/>
        <d v="2023-03-16T00:00:00"/>
        <d v="2023-10-14T00:00:00"/>
        <d v="2023-07-27T00:00:00"/>
        <d v="2025-03-12T00:00:00"/>
        <d v="2025-01-09T00:00:00"/>
        <d v="2025-03-05T00:00:00"/>
        <d v="2025-03-26T00:00:00"/>
        <d v="2024-06-19T00:00:00"/>
        <d v="2024-06-11T00:00:00"/>
        <d v="2025-03-28T00:00:00"/>
        <d v="2025-04-02T00:00:00"/>
        <d v="2025-04-09T00:00:00"/>
        <d v="2025-01-03T00:00:00"/>
        <d v="2024-11-29T00:00:00"/>
        <d v="2025-01-13T00:00:00"/>
        <d v="2025-04-08T00:00:00"/>
        <d v="2025-04-30T00:00:00"/>
        <d v="2025-04-16T00:00:00"/>
        <d v="2025-03-24T00:00:00"/>
        <d v="2025-05-02T00:00:00"/>
        <d v="2025-04-25T00:00:00"/>
        <d v="2025-04-23T00:00:00"/>
        <d v="2025-04-14T00:00:00"/>
        <d v="2025-05-01T00:00:00"/>
        <d v="2025-05-16T00:00:00"/>
        <d v="2025-05-08T00:00:00"/>
        <d v="2024-04-02T00:00:00"/>
        <d v="2025-05-13T00:00:00"/>
        <d v="2025-05-23T00:00:00"/>
        <d v="2025-05-26T00:00:00"/>
        <d v="2025-05-06T00:00:00"/>
        <d v="2025-05-09T00:00:00"/>
        <d v="2025-05-22T00:00:00"/>
        <d v="2025-06-13T00:00:00"/>
        <d v="2025-06-18T00:00:00"/>
        <d v="2025-05-27T00:00:00"/>
        <d v="2025-05-28T00:00:00"/>
        <d v="2025-06-23T00:00:00"/>
        <d v="2025-06-25T00:00:00"/>
        <d v="2025-06-17T00:00:00"/>
        <d v="2025-06-10T00:00:00"/>
        <d v="2025-07-02T00:00:00"/>
        <d v="2025-07-08T00:00:00"/>
        <d v="2025-07-03T00:00:00"/>
        <d v="2025-06-14T00:00:00"/>
        <d v="2025-07-10T00:00:00"/>
        <d v="2025-07-21T00:00:00"/>
        <d v="2025-07-16T00:00:00"/>
        <d v="2025-07-11T00:00:00"/>
        <d v="2025-06-20T00:00:00"/>
        <d v="2025-07-23T00:00:00"/>
        <d v="2025-07-09T00:00:00"/>
        <d v="2025-08-01T00:00:00"/>
        <d v="2025-08-06T00:00:00"/>
        <d v="2025-08-08T00:00:00"/>
        <d v="2025-08-11T00:00:00"/>
        <d v="2025-08-12T00:00:00"/>
        <d v="2025-08-14T00:00:00"/>
      </sharedItems>
    </cacheField>
    <cacheField name="number_of_unit" numFmtId="177">
      <sharedItems containsSemiMixedTypes="0" containsString="0" containsNumber="1" containsInteger="1" minValue="0" maxValue="2659"/>
    </cacheField>
    <cacheField name="unit" numFmtId="0">
      <sharedItems/>
    </cacheField>
    <cacheField name="net_weight_per_unit" numFmtId="178">
      <sharedItems containsSemiMixedTypes="0" containsString="0" containsNumber="1" minValue="0" maxValue="26500"/>
    </cacheField>
    <cacheField name="gross_weight" numFmtId="178">
      <sharedItems containsSemiMixedTypes="0" containsString="0" containsNumber="1" minValue="0" maxValue="71400"/>
    </cacheField>
    <cacheField name="tare_weight" numFmtId="178">
      <sharedItems containsSemiMixedTypes="0" containsString="0" containsNumber="1" minValue="0" maxValue="44900"/>
    </cacheField>
    <cacheField name="quantity_gram" numFmtId="178">
      <sharedItems containsSemiMixedTypes="0" containsString="0" containsNumber="1" minValue="0" maxValue="299060"/>
    </cacheField>
    <cacheField name="note" numFmtId="0">
      <sharedItems containsBlank="1"/>
    </cacheField>
    <cacheField name="time" numFmtId="179">
      <sharedItems containsSemiMixedTypes="0" containsNonDate="0" containsDate="1" containsString="0" minDate="2024-01-02T13:43:00" maxDate="2025-08-15T10:37:43" count="394">
        <d v="2024-01-02T13:43:00"/>
        <d v="2024-01-02T15:57:00"/>
        <d v="2024-01-06T09:47:00"/>
        <d v="2024-07-11T00:00:00"/>
        <d v="2024-07-12T00:00:00"/>
        <d v="2024-07-20T00:00:00"/>
        <d v="2024-07-22T00:00:00"/>
        <d v="2024-07-23T00:00:00"/>
        <d v="2024-07-26T00:00:00"/>
        <d v="2024-07-29T00:00:00"/>
        <d v="2024-07-30T00:00:00"/>
        <d v="2024-07-31T00:00:00"/>
        <d v="2024-08-01T11:00:00"/>
        <d v="2024-08-06T16:55:00"/>
        <d v="2024-08-07T10:06:00"/>
        <d v="2024-08-07T10:12:00"/>
        <d v="2024-08-07T10:56:00"/>
        <d v="2024-08-07T11:04:00"/>
        <d v="2024-08-07T11:43:00"/>
        <d v="2024-08-07T11:57:00"/>
        <d v="2024-08-07T12:05:00"/>
        <d v="2024-08-07T15:02:00"/>
        <d v="2024-08-08T14:22:00"/>
        <d v="2024-08-09T14:57:00"/>
        <d v="2024-08-12T12:10:00"/>
        <d v="2024-08-12T14:00:00"/>
        <d v="2024-08-12T14:51:00"/>
        <d v="2024-08-12T15:40:00"/>
        <d v="2024-08-12T16:25:00"/>
        <d v="2024-08-12T16:36:00"/>
        <d v="2024-08-13T10:56:00"/>
        <d v="2024-08-13T11:53:00"/>
        <d v="2024-08-13T13:10:00"/>
        <d v="2024-08-13T13:22:00"/>
        <d v="2024-08-13T13:37:00"/>
        <d v="2024-08-13T13:38:00"/>
        <d v="2024-08-13T13:41:00"/>
        <d v="2024-08-13T13:50:00"/>
        <d v="2024-08-13T15:08:00"/>
        <d v="2024-08-15T11:36:00"/>
        <d v="2024-08-19T14:33:00"/>
        <d v="2024-08-19T14:57:00"/>
        <d v="2024-08-20T14:47:00"/>
        <d v="2024-08-22T14:16:00"/>
        <d v="2024-08-23T11:19:00"/>
        <d v="2024-08-23T17:03:00"/>
        <d v="2024-08-29T16:36:00"/>
        <d v="2024-08-29T16:41:00"/>
        <d v="2024-09-04T15:10:00"/>
        <d v="2024-09-05T13:17:00"/>
        <d v="2024-09-05T13:21:00"/>
        <d v="2024-09-05T16:53:00"/>
        <d v="2024-09-06T10:10:00"/>
        <d v="2024-09-06T10:23:00"/>
        <d v="2024-09-06T13:23:00"/>
        <d v="2024-09-09T13:07:00"/>
        <d v="2024-09-09T13:23:00"/>
        <d v="2024-09-09T13:41:00"/>
        <d v="2024-09-09T15:19:00"/>
        <d v="2024-09-10T10:17:00"/>
        <d v="2024-09-10T11:47:00"/>
        <d v="2024-09-10T11:55:00"/>
        <d v="2024-09-10T13:47:00"/>
        <d v="2024-09-11T17:01:00"/>
        <d v="2024-09-13T15:02:00"/>
        <d v="2024-09-13T15:12:00"/>
        <d v="2024-09-13T15:33:00"/>
        <d v="2024-09-13T15:50:00"/>
        <d v="2024-09-17T00:00:00"/>
        <d v="2024-09-17T16:40:00"/>
        <d v="2024-09-17T16:41:00"/>
        <d v="2024-09-19T15:27:00"/>
        <d v="2024-09-23T00:00:00"/>
        <d v="2024-09-23T14:55:00"/>
        <d v="2024-09-24T10:52:00"/>
        <d v="2024-09-24T10:55:00"/>
        <d v="2024-09-24T11:42:00"/>
        <d v="2024-09-24T11:45:00"/>
        <d v="2024-09-24T11:48:00"/>
        <d v="2024-09-25T10:19:00"/>
        <d v="2024-09-25T10:20:00"/>
        <d v="2024-09-25T11:34:00"/>
        <d v="2024-09-25T12:21:00"/>
        <d v="2024-09-25T12:55:00"/>
        <d v="2024-09-25T15:00:00"/>
        <d v="2024-09-25T15:22:00"/>
        <d v="2024-09-25T15:28:00"/>
        <d v="2024-09-26T09:43:00"/>
        <d v="2024-09-26T10:29:00"/>
        <d v="2024-09-26T12:08:00"/>
        <d v="2024-09-26T13:37:00"/>
        <d v="2024-09-26T13:42:00"/>
        <d v="2024-09-26T13:49:00"/>
        <d v="2024-09-26T13:50:00"/>
        <d v="2024-09-27T00:00:00"/>
        <d v="2024-10-01T13:40:00"/>
        <d v="2024-10-03T13:19:00"/>
        <d v="2024-10-03T13:27:00"/>
        <d v="2024-10-03T13:34:00"/>
        <d v="2024-10-03T13:37:00"/>
        <d v="2024-10-03T13:41:00"/>
        <d v="2024-10-03T13:42:00"/>
        <d v="2024-10-03T13:43:00"/>
        <d v="2024-10-03T14:10:00"/>
        <d v="2024-10-07T09:28:00"/>
        <d v="2024-10-07T13:45:00"/>
        <d v="2024-10-07T13:59:00"/>
        <d v="2024-10-07T14:05:00"/>
        <d v="2024-10-07T16:54:00"/>
        <d v="2024-10-08T13:23:00"/>
        <d v="2024-10-08T15:47:00"/>
        <d v="2024-10-08T16:00:00"/>
        <d v="2024-10-08T16:30:00"/>
        <d v="2024-10-09T16:06:00"/>
        <d v="2024-10-11T10:39:00"/>
        <d v="2024-10-11T15:43:00"/>
        <d v="2024-10-16T09:30:00"/>
        <d v="2024-10-16T09:44:00"/>
        <d v="2024-10-17T11:19:00"/>
        <d v="2024-10-17T11:37:00"/>
        <d v="2024-10-17T11:39:00"/>
        <d v="2024-10-17T11:48:00"/>
        <d v="2024-10-17T11:54:00"/>
        <d v="2024-10-17T12:23:00"/>
        <d v="2024-10-20T11:09:00"/>
        <d v="2024-10-20T11:49:00"/>
        <d v="2024-10-20T14:22:00"/>
        <d v="2024-10-20T14:50:00"/>
        <d v="2024-10-20T15:01:00"/>
        <d v="2024-10-20T15:46:00"/>
        <d v="2024-10-21T14:05:00"/>
        <d v="2024-10-21T15:33:00"/>
        <d v="2024-10-21T17:13:00"/>
        <d v="2024-10-22T12:42:00"/>
        <d v="2024-10-22T12:49:00"/>
        <d v="2024-10-23T14:48:00"/>
        <d v="2024-10-24T00:00:00"/>
        <d v="2024-10-28T15:48:00"/>
        <d v="2024-10-28T16:21:00"/>
        <d v="2024-11-01T12:08:00"/>
        <d v="2024-11-04T15:42:00"/>
        <d v="2024-11-04T15:48:00"/>
        <d v="2024-11-04T15:53:00"/>
        <d v="2024-11-04T16:13:00"/>
        <d v="2024-11-04T16:27:00"/>
        <d v="2024-11-04T16:38:00"/>
        <d v="2024-11-04T16:54:00"/>
        <d v="2024-11-04T17:02:00"/>
        <d v="2024-11-04T17:06:00"/>
        <d v="2024-11-04T17:08:00"/>
        <d v="2024-11-05T16:08:00"/>
        <d v="2024-11-05T16:42:00"/>
        <d v="2024-11-06T15:48:00"/>
        <d v="2024-11-06T16:23:00"/>
        <d v="2024-11-06T16:40:00"/>
        <d v="2024-11-06T16:48:00"/>
        <d v="2024-11-06T16:56:00"/>
        <d v="2024-11-06T16:59:00"/>
        <d v="2024-11-06T17:01:00"/>
        <d v="2024-11-12T00:00:00"/>
        <d v="2024-11-12T10:40:00"/>
        <d v="2024-11-12T12:13:00"/>
        <d v="2024-11-12T12:35:00"/>
        <d v="2024-11-12T12:42:00"/>
        <d v="2024-11-13T15:31:00"/>
        <d v="2024-11-13T15:39:00"/>
        <d v="2024-11-13T15:55:00"/>
        <d v="2024-11-13T15:58:00"/>
        <d v="2024-11-13T16:05:00"/>
        <d v="2024-11-13T16:29:00"/>
        <d v="2024-11-13T16:52:00"/>
        <d v="2024-11-14T10:56:00"/>
        <d v="2024-11-14T11:52:00"/>
        <d v="2024-11-14T12:01:00"/>
        <d v="2024-11-14T16:40:00"/>
        <d v="2024-11-21T13:02:00"/>
        <d v="2024-11-22T10:51:00"/>
        <d v="2024-11-22T11:37:00"/>
        <d v="2024-11-22T11:58:00"/>
        <d v="2024-11-25T16:56:00"/>
        <d v="2024-11-26T09:38:00"/>
        <d v="2024-11-26T09:58:00"/>
        <d v="2024-11-27T12:16:00"/>
        <d v="2024-11-29T15:59:00"/>
        <d v="2024-11-29T16:19:00"/>
        <d v="2024-11-29T16:33:00"/>
        <d v="2024-11-29T16:48:00"/>
        <d v="2024-11-29T16:56:00"/>
        <d v="2024-12-02T16:01:00"/>
        <d v="2024-12-02T16:03:00"/>
        <d v="2024-12-05T14:39:00"/>
        <d v="2024-12-05T15:21:00"/>
        <d v="2024-12-06T13:00:00"/>
        <d v="2024-12-06T13:28:00"/>
        <d v="2024-12-06T13:29:00"/>
        <d v="2024-12-06T13:31:00"/>
        <d v="2024-12-06T13:32:00"/>
        <d v="2024-12-06T13:37:00"/>
        <d v="2024-12-06T13:38:00"/>
        <d v="2024-12-06T13:48:00"/>
        <d v="2024-12-06T15:15:00"/>
        <d v="2024-12-06T15:42:00"/>
        <d v="2024-12-06T15:46:00"/>
        <d v="2024-12-06T16:01:00"/>
        <d v="2024-12-06T16:16:00"/>
        <d v="2024-12-06T16:34:00"/>
        <d v="2024-12-11T00:00:00"/>
        <d v="2024-12-11T14:12:00"/>
        <d v="2024-12-11T14:16:00"/>
        <d v="2024-12-11T14:18:00"/>
        <d v="2024-12-11T14:24:00"/>
        <d v="2024-12-11T14:32:00"/>
        <d v="2024-12-11T14:42:00"/>
        <d v="2024-12-11T14:47:00"/>
        <d v="2024-12-11T14:52:00"/>
        <d v="2024-12-11T15:04:00"/>
        <d v="2024-12-11T15:10:00"/>
        <d v="2024-12-12T00:00:00"/>
        <d v="2024-12-12T16:42:00"/>
        <d v="2024-12-12T16:54:00"/>
        <d v="2024-12-12T16:58:00"/>
        <d v="2024-12-12T17:01:00"/>
        <d v="2024-12-12T17:02:00"/>
        <d v="2024-12-16T14:46:00"/>
        <d v="2024-12-16T15:14:00"/>
        <d v="2024-12-16T15:15:00"/>
        <d v="2024-12-17T16:00:00"/>
        <d v="2025-01-03T15:32:00"/>
        <d v="2025-01-07T15:13:00"/>
        <d v="2025-01-08T16:35:00"/>
        <d v="2025-01-13T15:59:00"/>
        <d v="2025-01-13T16:00:00"/>
        <d v="2025-01-20T11:59:00"/>
        <d v="2025-01-21T09:51:00"/>
        <d v="2025-01-21T14:16:00"/>
        <d v="2025-01-22T16:37:00"/>
        <d v="2025-01-23T11:28:00"/>
        <d v="2025-01-23T11:47:00"/>
        <d v="2025-01-23T11:50:00"/>
        <d v="2025-01-23T12:13:00"/>
        <d v="2025-01-23T12:19:00"/>
        <d v="2025-01-23T12:22:00"/>
        <d v="2025-01-23T12:25:00"/>
        <d v="2025-01-24T10:08:00"/>
        <d v="2025-01-24T11:48:00"/>
        <d v="2025-01-24T14:14:00"/>
        <d v="2025-02-05T12:53:00"/>
        <d v="2025-02-05T14:56:00"/>
        <d v="2025-02-05T15:02:00"/>
        <d v="2025-02-05T15:36:00"/>
        <d v="2025-02-05T15:41:00"/>
        <d v="2025-02-05T16:06:00"/>
        <d v="2025-02-05T16:24:00"/>
        <d v="2025-02-06T16:03:00"/>
        <d v="2025-02-06T16:04:00"/>
        <d v="2025-02-06T16:17:00"/>
        <d v="2025-02-06T16:26:00"/>
        <d v="2025-02-06T16:39:00"/>
        <d v="2025-02-10T15:14:00"/>
        <d v="2025-02-10T15:31:00"/>
        <d v="2025-02-25T14:10:00"/>
        <d v="2025-02-25T14:48:00"/>
        <d v="2025-02-25T15:05:00"/>
        <d v="2025-08-07T15:05:00"/>
        <d v="2025-02-25T15:28:00"/>
        <d v="2025-02-25T15:39:00"/>
        <d v="2025-02-25T16:25:00"/>
        <d v="2025-02-25T16:33:00"/>
        <d v="2025-02-26T11:56:00"/>
        <d v="2025-02-26T11:59:00"/>
        <d v="2025-02-26T15:35:00"/>
        <d v="2025-02-26T17:02:00"/>
        <d v="2025-02-27T15:24:00"/>
        <d v="2025-03-03T11:56:00"/>
        <d v="2025-03-03T13:17:00"/>
        <d v="2025-03-03T15:39:00"/>
        <d v="2025-03-03T16:54:00"/>
        <d v="2025-03-03T17:28:00"/>
        <d v="2025-03-04T10:50:00"/>
        <d v="2025-03-04T10:55:00"/>
        <d v="2025-03-04T10:57:00"/>
        <d v="2025-03-04T11:17:00"/>
        <d v="2025-03-05T16:17:00"/>
        <d v="2025-03-05T16:30:00"/>
        <d v="2025-03-06T10:52:00"/>
        <d v="2025-03-06T15:24:00"/>
        <d v="2025-03-06T15:26:00"/>
        <d v="2025-03-17T09:56:00"/>
        <d v="2025-03-18T14:14:00"/>
        <d v="2025-03-18T14:43:00"/>
        <d v="2025-03-18T15:44:00"/>
        <d v="2025-03-18T15:53:00"/>
        <d v="2025-03-18T16:22:00"/>
        <d v="2025-03-25T13:10:00"/>
        <d v="2025-03-25T13:22:00"/>
        <d v="2025-03-27T15:23:00"/>
        <d v="2025-03-31T11:24:00"/>
        <d v="2025-03-31T11:29:00"/>
        <d v="2025-03-31T12:58:00"/>
        <d v="2025-03-31T13:08:00"/>
        <d v="2025-03-31T13:28:00"/>
        <d v="2025-03-31T13:33:00"/>
        <d v="2025-04-01T14:02:00"/>
        <d v="2025-04-01T15:14:00"/>
        <d v="2025-04-02T13:39:00"/>
        <d v="2025-04-02T13:49:00"/>
        <d v="2025-04-02T13:54:00"/>
        <d v="2025-04-02T13:57:00"/>
        <d v="2025-04-02T14:18:00"/>
        <d v="2025-04-07T09:58:00"/>
        <d v="2025-04-07T16:11:00"/>
        <d v="2025-04-08T00:00:00"/>
        <d v="2025-04-09T11:23:00"/>
        <d v="2025-04-09T13:21:00"/>
        <d v="2025-04-15T12:33:00"/>
        <d v="2025-04-15T12:52:00"/>
        <d v="2025-04-17T00:00:00"/>
        <d v="2025-05-01T00:00:00"/>
        <d v="2025-05-01T10:17:00"/>
        <d v="2025-05-01T10:34:00"/>
        <d v="2025-05-01T10:36:00"/>
        <d v="2025-05-01T12:47:00"/>
        <d v="2025-05-02T00:00:00"/>
        <d v="2025-05-02T13:38:00"/>
        <d v="2025-05-06T00:00:00"/>
        <d v="2025-05-06T09:59:00"/>
        <d v="2025-05-07T00:00:00"/>
        <d v="2025-05-07T09:58:00"/>
        <d v="2025-05-07T11:10:00"/>
        <d v="2025-05-07T14:39:00"/>
        <d v="2025-05-07T16:36:00"/>
        <d v="2025-05-12T11:19:00"/>
        <d v="2025-05-12T11:36:00"/>
        <d v="2025-05-14T16:01:00"/>
        <d v="2025-05-14T16:09:00"/>
        <d v="2025-05-14T16:13:00"/>
        <d v="2025-05-14T16:19:00"/>
        <d v="2025-05-14T16:30:00"/>
        <d v="2025-05-14T16:49:00"/>
        <d v="2025-05-14T16:59:00"/>
        <d v="2025-05-15T00:00:00"/>
        <d v="2025-05-16T16:28:00"/>
        <d v="2025-05-16T16:46:00"/>
        <d v="2025-05-16T16:47:00"/>
        <d v="2025-05-17T13:59:00"/>
        <d v="2025-05-20T00:00:00"/>
        <d v="2025-05-20T15:48:00"/>
        <d v="2025-05-20T16:19:00"/>
        <d v="2025-05-21T00:00:00"/>
        <d v="2025-05-21T11:00:00"/>
        <d v="2025-05-23T00:00:00"/>
        <d v="2025-05-23T10:36:00"/>
        <d v="2025-05-27T00:00:00"/>
        <d v="2025-06-03T00:00:00"/>
        <d v="2025-06-03T15:59:00"/>
        <d v="2025-06-04T00:00:00"/>
        <d v="2025-06-05T00:00:00"/>
        <d v="2025-06-13T00:00:00"/>
        <d v="2025-06-15T00:00:00"/>
        <d v="2025-06-17T00:00:00"/>
        <d v="2025-06-26T00:00:00"/>
        <d v="2025-06-28T00:00:00"/>
        <d v="2025-07-04T00:00:00"/>
        <d v="2025-07-07T00:00:00"/>
        <d v="2025-07-07T14:00:00"/>
        <d v="2025-07-15T00:00:00"/>
        <d v="2025-07-22T00:00:00"/>
        <d v="2025-07-25T12:52:49"/>
        <d v="2025-07-25T14:30:42"/>
        <d v="2025-07-25T14:49:29"/>
        <d v="2025-07-25T15:21:51"/>
        <d v="2025-07-25T15:34:27"/>
        <d v="2025-07-25T15:41:51"/>
        <d v="2025-07-25T15:59:28"/>
        <d v="2025-07-25T16:07:50"/>
        <d v="2025-07-25T16:12:48"/>
        <d v="2025-07-25T16:36:15"/>
        <d v="2025-07-25T16:37:00"/>
        <d v="2025-07-31T14:46:19"/>
        <d v="2025-08-07T09:07:50"/>
        <d v="2025-08-08T09:07:50"/>
        <d v="2025-08-08T09:27:59"/>
        <d v="2025-08-08T13:11:57"/>
        <d v="2025-08-11T15:53:17"/>
        <d v="2025-08-11T16:04:07"/>
        <d v="2025-08-11T16:49:22"/>
        <d v="2025-08-11T16:51:34"/>
        <d v="2025-08-11T16:56:33"/>
        <d v="2025-08-11T16:56:46"/>
        <d v="2025-08-12T09:12:11"/>
        <d v="2025-08-12T09:15:17"/>
        <d v="2025-08-13T18:33:48"/>
        <d v="2025-08-15T10:30:38"/>
        <d v="2025-08-15T10:37:43"/>
      </sharedItems>
    </cacheField>
    <cacheField name="calculation_method" numFmtId="0">
      <sharedItems containsBlank="1" count="3">
        <s v="net"/>
        <s v="gross"/>
        <m u="1"/>
      </sharedItems>
    </cacheField>
    <cacheField name="product_description_stage" numFmtId="0">
      <sharedItems/>
    </cacheField>
    <cacheField name="internal_cansku" numFmtId="0">
      <sharedItems containsMixedTypes="1" containsNumber="1" containsInteger="1" minValue="2" maxValue="3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s v="ROGWORLD-BONG GURU ROCKSTAR-5X0.5g pre-rolls"/>
    <s v="PR2512F5P5"/>
    <s v="yes"/>
    <s v="BC"/>
    <n v="45833"/>
    <x v="0"/>
  </r>
  <r>
    <x v="0"/>
    <s v="ROGWORLD-BONG GURU ROCKSTAR-5X0.5g pre-rolls"/>
    <s v="PR2512F5P5"/>
    <s v="yes"/>
    <s v="BC"/>
    <n v="45875"/>
    <x v="1"/>
  </r>
  <r>
    <x v="1"/>
    <s v="November Rain Infused Pre-Roll - Rose-3 x 0.5g Pre-Roll"/>
    <s v="PR2303IN02F5P3"/>
    <s v="yes"/>
    <s v="BC"/>
    <n v="45478"/>
    <x v="2"/>
  </r>
  <r>
    <x v="1"/>
    <s v="Blaster Multi Pack Prerolls 12x0.5g"/>
    <s v="PR251908F5P12"/>
    <s v="yes"/>
    <s v="BC"/>
    <n v="45824"/>
    <x v="3"/>
  </r>
  <r>
    <x v="1"/>
    <s v="November Rain- White Widow Live Resin Extract 1G LTO!"/>
    <s v="LR23032101"/>
    <s v="yes"/>
    <s v="BC"/>
    <n v="45793"/>
    <x v="4"/>
  </r>
  <r>
    <x v="1"/>
    <s v="November Rain Pre-Roll - Trident Pre-Roll -3 x 0.5g"/>
    <s v="PR251904F5P3"/>
    <s v="yes"/>
    <s v="BC"/>
    <n v="45870"/>
    <x v="2"/>
  </r>
  <r>
    <x v="1"/>
    <s v="November Rain Blast Pre-Roll - Lemon ice tea-3 x 0.5g Pre-Roll"/>
    <s v="PR251901F5P3 "/>
    <s v="yes"/>
    <s v="BC"/>
    <n v="45870"/>
    <x v="2"/>
  </r>
  <r>
    <x v="1"/>
    <s v="November Rain Blast Pre-Roll - Watermelon-3 x 0.5g Pre-Roll"/>
    <s v="PR241102F5P3"/>
    <s v="yes"/>
    <s v="BC"/>
    <n v="45854"/>
    <x v="2"/>
  </r>
  <r>
    <x v="1"/>
    <s v="November Rain Blast Pre-Roll - Blueberry-3 x 0.5g Pre-Roll"/>
    <s v="PR251905F5P3"/>
    <s v="yes"/>
    <s v="BC"/>
    <n v="45859"/>
    <x v="2"/>
  </r>
  <r>
    <x v="2"/>
    <s v="Pot Shot- Citrus"/>
    <s v="EX24092601V50"/>
    <s v="yes"/>
    <s v="BC"/>
    <n v="45576"/>
    <x v="2"/>
  </r>
  <r>
    <x v="2"/>
    <s v="November Rain Vape Caribbean Breeze Hybrid 0.5g Live Rosin Disposable Bar"/>
    <s v="EX2411302G05"/>
    <s v="yes"/>
    <s v="BC"/>
    <n v="45623"/>
    <x v="3"/>
  </r>
  <r>
    <x v="2"/>
    <s v="November Rain-Midnight Kruntz 2x1g pre-rolls"/>
    <s v="PR2516F1P2"/>
    <s v="yes"/>
    <s v="BC"/>
    <n v="45831"/>
    <x v="2"/>
  </r>
  <r>
    <x v="2"/>
    <s v="Midnight Kruntz 10x0.5g preroll"/>
    <s v="PR2516F5P10"/>
    <s v="yes"/>
    <s v="BC"/>
    <n v="45859"/>
    <x v="3"/>
  </r>
  <r>
    <x v="2"/>
    <s v="Gastro-pop Diamond Infused 3x0.5g pre-rolls"/>
    <s v="PR2501INF5P3"/>
    <s v="yes"/>
    <s v="BC"/>
    <n v="45778"/>
    <x v="2"/>
  </r>
  <r>
    <x v="2"/>
    <s v="Pot Shot- Coconut Lime"/>
    <s v="EX25050501V50"/>
    <s v="yes"/>
    <s v="BC"/>
    <n v="45790"/>
    <x v="2"/>
  </r>
  <r>
    <x v="2"/>
    <s v="ROGWORLD-BONG GURU ROCKSTAR-5X0.5g pre-rolls"/>
    <s v="PR2512F5P5"/>
    <s v="yes"/>
    <s v="BC"/>
    <n v="45875"/>
    <x v="2"/>
  </r>
  <r>
    <x v="2"/>
    <s v="Pot Shot- Tropical Fruit"/>
    <s v="EX25012101V50"/>
    <s v="yes"/>
    <s v="BC"/>
    <n v="45700"/>
    <x v="2"/>
  </r>
  <r>
    <x v="3"/>
    <s v="Maximum Strength CBD Roll-on Topical Cream "/>
    <s v="TP25051501"/>
    <s v="yes"/>
    <s v="BC"/>
    <n v="45805"/>
    <x v="5"/>
  </r>
  <r>
    <x v="4"/>
    <s v="November Rain-Midnight Kruntz 2x1g pre-rolls"/>
    <s v="PR2516F1P2"/>
    <s v="yes"/>
    <s v="BC"/>
    <n v="45831"/>
    <x v="3"/>
  </r>
  <r>
    <x v="4"/>
    <s v="November Rain Blast Pre-Roll - Watermelon-3 x 0.5g Pre-Roll"/>
    <s v="PR241102F5P3"/>
    <s v="yes"/>
    <s v="BC"/>
    <n v="45854"/>
    <x v="3"/>
  </r>
  <r>
    <x v="4"/>
    <s v="November Rain Infused Pre-Roll - Rose-3 x 0.5g Pre-Roll"/>
    <s v="PR2303IN02F5P3"/>
    <s v="yes"/>
    <s v="BC"/>
    <n v="45478"/>
    <x v="4"/>
  </r>
  <r>
    <x v="4"/>
    <s v="November Rain- White Widow Live Resin Extract 1G LTO!"/>
    <s v="LR23032101"/>
    <s v="yes"/>
    <s v="BC"/>
    <n v="45793"/>
    <x v="4"/>
  </r>
  <r>
    <x v="4"/>
    <s v="Midnight Kruntz 7g dried flower"/>
    <s v="2024121801G7"/>
    <s v="yes"/>
    <s v="BC"/>
    <n v="45849"/>
    <x v="3"/>
  </r>
  <r>
    <x v="4"/>
    <s v="November Rain Pre-roll - Animal Mintz 2x1g "/>
    <s v="PR2507F1P2"/>
    <s v="yes"/>
    <s v="BC"/>
    <n v="45848"/>
    <x v="3"/>
  </r>
  <r>
    <x v="5"/>
    <s v="November Rain- White Widow Live Resin Extract 1G LTO!"/>
    <s v="LR23032101"/>
    <s v="yes"/>
    <s v="BC"/>
    <n v="45793"/>
    <x v="4"/>
  </r>
  <r>
    <x v="5"/>
    <s v="Pot Shot- Tropical Fruit"/>
    <s v="EX25012101V50"/>
    <s v="yes"/>
    <s v="BC"/>
    <n v="45700"/>
    <x v="3"/>
  </r>
  <r>
    <x v="5"/>
    <s v="Pot Shot- Citrus"/>
    <s v="EX24092601V50"/>
    <s v="yes"/>
    <s v="BC"/>
    <n v="45576"/>
    <x v="3"/>
  </r>
  <r>
    <x v="5"/>
    <s v="Pot Shot- Coconut Lime"/>
    <s v="EX25050501V50"/>
    <s v="yes"/>
    <s v="BC"/>
    <n v="45790"/>
    <x v="3"/>
  </r>
  <r>
    <x v="5"/>
    <s v="ROGWORLD-BONG GURU ROCKSTAR-5X0.5g pre-rolls"/>
    <s v="PR2512F5P5"/>
    <s v="yes"/>
    <s v="BC"/>
    <n v="45833"/>
    <x v="3"/>
  </r>
  <r>
    <x v="6"/>
    <s v="Midnight Kruntz 7g dried flower"/>
    <s v="2024121801G7"/>
    <s v="yes"/>
    <s v="BC"/>
    <n v="45849"/>
    <x v="3"/>
  </r>
  <r>
    <x v="6"/>
    <s v="November Rain Pre-roll - Animal Mintz 2x1g "/>
    <s v="PR2507F1P2"/>
    <s v="yes"/>
    <s v="BC"/>
    <n v="45848"/>
    <x v="3"/>
  </r>
  <r>
    <x v="6"/>
    <s v="November Rain-Midnight Kruntz 2x1g pre-rolls"/>
    <s v="PR2516F1P2"/>
    <s v="yes"/>
    <s v="BC"/>
    <n v="45831"/>
    <x v="3"/>
  </r>
  <r>
    <x v="7"/>
    <s v="EARTHWOLF-WHITE GOLD LIVE ROSIN LTO-1G"/>
    <s v="25-FP002"/>
    <s v="yes"/>
    <s v="BC"/>
    <n v="45865"/>
    <x v="6"/>
  </r>
  <r>
    <x v="8"/>
    <s v="Gelato Prerolls 3x0.5g"/>
    <n v="2021042701"/>
    <s v="yes"/>
    <s v="BC"/>
    <n v="45868"/>
    <x v="2"/>
  </r>
  <r>
    <x v="8"/>
    <s v="Midnight Kruntz 7g dried flower"/>
    <s v="2024121801G7"/>
    <s v="yes"/>
    <s v="BC"/>
    <n v="45849"/>
    <x v="2"/>
  </r>
  <r>
    <x v="8"/>
    <s v="Midnight Kruntz 7g dried flower"/>
    <s v="2024111803G7"/>
    <s v="yes"/>
    <s v="BC"/>
    <n v="45826"/>
    <x v="3"/>
  </r>
  <r>
    <x v="8"/>
    <s v="ROGWORLD-BONG GURU ROCKSTAR-5X0.5g pre-rolls"/>
    <s v="PR2512F5P5"/>
    <s v="yes"/>
    <s v="BC"/>
    <n v="45833"/>
    <x v="7"/>
  </r>
  <r>
    <x v="8"/>
    <s v="ROGWORLD-Lemonade Octane Live Resin Biodegradable Hemp Vape Pen 1g"/>
    <s v="ROGEX001G1"/>
    <s v="yes"/>
    <s v="BC"/>
    <n v="45772"/>
    <x v="3"/>
  </r>
  <r>
    <x v="9"/>
    <s v="Galactic cake 3x0.5g  preroll"/>
    <s v="PR2406F5P3"/>
    <s v="yes"/>
    <s v="BC"/>
    <n v="45728"/>
    <x v="3"/>
  </r>
  <r>
    <x v="9"/>
    <s v="November Rain Blast Pre-Roll - Blueberry-3 x 0.5g Pre-Roll"/>
    <s v="PR241105F5P3"/>
    <s v="yes"/>
    <s v="BC"/>
    <n v="45581"/>
    <x v="2"/>
  </r>
  <r>
    <x v="9"/>
    <s v="November Rain Blast Pre-Roll - Lemon ice tea-3 x 0.5g Pre-Roll"/>
    <s v="PR251701F5P3"/>
    <s v="yes"/>
    <s v="BC"/>
    <n v="45800"/>
    <x v="2"/>
  </r>
  <r>
    <x v="9"/>
    <s v="November Rain Blast Pre-Roll - Watermelon-3 x 0.5g Pre-Roll"/>
    <s v="PR241102F5P3"/>
    <s v="yes"/>
    <s v="BC"/>
    <n v="45854"/>
    <x v="2"/>
  </r>
  <r>
    <x v="9"/>
    <s v="November Rain Pre-roll - Animal Mintz 2x1g "/>
    <s v="PR2507F1P2"/>
    <s v="yes"/>
    <s v="BC"/>
    <n v="45848"/>
    <x v="3"/>
  </r>
  <r>
    <x v="9"/>
    <s v="ROGWORLD-BONG GURU ROCKSTAR-5X0.5g pre-rolls"/>
    <s v="PR2512F5P5"/>
    <s v="yes"/>
    <s v="BC"/>
    <n v="4583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s v="ROGWORLD-BONG GURU ROCKSTAR-5X0.5g pre-rolls"/>
    <s v="PR2512F5P5"/>
    <s v="yes"/>
    <s v="BC"/>
    <n v="45833"/>
    <n v="29"/>
    <x v="0"/>
  </r>
  <r>
    <x v="0"/>
    <s v="ROGWORLD-BONG GURU ROCKSTAR-5X0.5g pre-rolls"/>
    <s v="PR2512F5P5"/>
    <s v="yes"/>
    <s v="BC"/>
    <n v="45875"/>
    <n v="19"/>
    <x v="0"/>
  </r>
  <r>
    <x v="1"/>
    <s v="November Rain Infused Pre-Roll - Rose-3 x 0.5g Pre-Roll"/>
    <s v="PR2303IN02F5P3"/>
    <s v="yes"/>
    <s v="BC"/>
    <n v="45478"/>
    <n v="24"/>
    <x v="0"/>
  </r>
  <r>
    <x v="1"/>
    <s v="Blaster Multi Pack Prerolls 12x0.5g"/>
    <s v="PR251908F5P12"/>
    <s v="yes"/>
    <s v="BC"/>
    <n v="45824"/>
    <n v="12"/>
    <x v="0"/>
  </r>
  <r>
    <x v="1"/>
    <s v="November Rain- White Widow Live Resin Extract 1G LTO!"/>
    <s v="LR23032101"/>
    <s v="yes"/>
    <s v="BC"/>
    <n v="45793"/>
    <n v="6"/>
    <x v="0"/>
  </r>
  <r>
    <x v="1"/>
    <s v="November Rain Pre-Roll - Trident Pre-Roll -3 x 0.5g"/>
    <s v="PR251904F5P3"/>
    <s v="yes"/>
    <s v="BC"/>
    <n v="45870"/>
    <n v="24"/>
    <x v="0"/>
  </r>
  <r>
    <x v="1"/>
    <s v="November Rain Blast Pre-Roll - Lemon ice tea-3 x 0.5g Pre-Roll"/>
    <s v="PR251901F5P3 "/>
    <s v="yes"/>
    <s v="BC"/>
    <n v="45870"/>
    <n v="24"/>
    <x v="0"/>
  </r>
  <r>
    <x v="1"/>
    <s v="November Rain Blast Pre-Roll - Watermelon-3 x 0.5g Pre-Roll"/>
    <s v="PR241102F5P3"/>
    <s v="yes"/>
    <s v="BC"/>
    <n v="45854"/>
    <n v="24"/>
    <x v="0"/>
  </r>
  <r>
    <x v="1"/>
    <s v="November Rain Blast Pre-Roll - Blueberry-3 x 0.5g Pre-Roll"/>
    <s v="PR251905F5P3"/>
    <s v="yes"/>
    <s v="BC"/>
    <n v="45859"/>
    <n v="24"/>
    <x v="0"/>
  </r>
  <r>
    <x v="2"/>
    <s v="Pot Shot- Citrus"/>
    <s v="EX24092601V50"/>
    <s v="yes"/>
    <s v="BC"/>
    <n v="45576"/>
    <n v="24"/>
    <x v="0"/>
  </r>
  <r>
    <x v="2"/>
    <s v="November Rain Vape Caribbean Breeze Hybrid 0.5g Live Rosin Disposable Bar"/>
    <s v="EX2411302G05"/>
    <s v="yes"/>
    <s v="BC"/>
    <n v="45623"/>
    <n v="12"/>
    <x v="0"/>
  </r>
  <r>
    <x v="2"/>
    <s v="November Rain-Midnight Kruntz 2x1g pre-rolls"/>
    <s v="PR2516F1P2"/>
    <s v="yes"/>
    <s v="BC"/>
    <n v="45831"/>
    <n v="24"/>
    <x v="0"/>
  </r>
  <r>
    <x v="2"/>
    <s v="Midnight Kruntz 10x0.5g preroll"/>
    <s v="PR2516F5P10"/>
    <s v="yes"/>
    <s v="BC"/>
    <n v="45859"/>
    <n v="12"/>
    <x v="0"/>
  </r>
  <r>
    <x v="2"/>
    <s v="Gastro-pop Diamond Infused 3x0.5g pre-rolls"/>
    <s v="PR2501INF5P3"/>
    <s v="yes"/>
    <s v="BC"/>
    <n v="45778"/>
    <n v="24"/>
    <x v="0"/>
  </r>
  <r>
    <x v="2"/>
    <s v="Pot Shot- Coconut Lime"/>
    <s v="EX25050501V50"/>
    <s v="yes"/>
    <s v="BC"/>
    <n v="45790"/>
    <n v="24"/>
    <x v="0"/>
  </r>
  <r>
    <x v="2"/>
    <s v="ROGWORLD-BONG GURU ROCKSTAR-5X0.5g pre-rolls"/>
    <s v="PR2512F5P5"/>
    <s v="yes"/>
    <s v="BC"/>
    <n v="45875"/>
    <n v="24"/>
    <x v="0"/>
  </r>
  <r>
    <x v="2"/>
    <s v="Pot Shot- Tropical Fruit"/>
    <s v="EX25012101V50"/>
    <s v="yes"/>
    <s v="BC"/>
    <n v="45700"/>
    <n v="24"/>
    <x v="0"/>
  </r>
  <r>
    <x v="3"/>
    <s v="Maximum Strength CBD Roll-on Topical Cream "/>
    <s v="TP25051501"/>
    <s v="yes"/>
    <s v="BC"/>
    <n v="45805"/>
    <n v="180"/>
    <x v="1"/>
  </r>
  <r>
    <x v="4"/>
    <s v="November Rain-Midnight Kruntz 2x1g pre-rolls"/>
    <s v="PR2516F1P2"/>
    <s v="yes"/>
    <s v="BC"/>
    <n v="45831"/>
    <n v="12"/>
    <x v="2"/>
  </r>
  <r>
    <x v="4"/>
    <s v="November Rain Blast Pre-Roll - Watermelon-3 x 0.5g Pre-Roll"/>
    <s v="PR241102F5P3"/>
    <s v="yes"/>
    <s v="BC"/>
    <n v="45854"/>
    <n v="12"/>
    <x v="2"/>
  </r>
  <r>
    <x v="4"/>
    <s v="November Rain Infused Pre-Roll - Rose-3 x 0.5g Pre-Roll"/>
    <s v="PR2303IN02F5P3"/>
    <s v="yes"/>
    <s v="BC"/>
    <n v="45478"/>
    <n v="6"/>
    <x v="2"/>
  </r>
  <r>
    <x v="4"/>
    <s v="November Rain- White Widow Live Resin Extract 1G LTO!"/>
    <s v="LR23032101"/>
    <s v="yes"/>
    <s v="BC"/>
    <n v="45793"/>
    <n v="6"/>
    <x v="2"/>
  </r>
  <r>
    <x v="4"/>
    <s v="Midnight Kruntz 7g dried flower"/>
    <s v="2024121801G7"/>
    <s v="yes"/>
    <s v="BC"/>
    <n v="45849"/>
    <n v="12"/>
    <x v="2"/>
  </r>
  <r>
    <x v="4"/>
    <s v="November Rain Pre-roll - Animal Mintz 2x1g "/>
    <s v="PR2507F1P2"/>
    <s v="yes"/>
    <s v="BC"/>
    <n v="45848"/>
    <n v="12"/>
    <x v="2"/>
  </r>
  <r>
    <x v="5"/>
    <s v="November Rain- White Widow Live Resin Extract 1G LTO!"/>
    <s v="LR23032101"/>
    <s v="yes"/>
    <s v="BC"/>
    <n v="45793"/>
    <n v="6"/>
    <x v="2"/>
  </r>
  <r>
    <x v="5"/>
    <s v="Pot Shot- Tropical Fruit"/>
    <s v="EX25012101V50"/>
    <s v="yes"/>
    <s v="BC"/>
    <n v="45700"/>
    <n v="12"/>
    <x v="2"/>
  </r>
  <r>
    <x v="5"/>
    <s v="Pot Shot- Citrus"/>
    <s v="EX24092601V50"/>
    <s v="yes"/>
    <s v="BC"/>
    <n v="45576"/>
    <n v="12"/>
    <x v="2"/>
  </r>
  <r>
    <x v="5"/>
    <s v="Pot Shot- Coconut Lime"/>
    <s v="EX25050501V50"/>
    <s v="yes"/>
    <s v="BC"/>
    <n v="45790"/>
    <n v="12"/>
    <x v="2"/>
  </r>
  <r>
    <x v="5"/>
    <s v="ROGWORLD-BONG GURU ROCKSTAR-5X0.5g pre-rolls"/>
    <s v="PR2512F5P5"/>
    <s v="yes"/>
    <s v="BC"/>
    <n v="45833"/>
    <n v="12"/>
    <x v="2"/>
  </r>
  <r>
    <x v="6"/>
    <s v="Midnight Kruntz 7g dried flower"/>
    <s v="2024121801G7"/>
    <s v="yes"/>
    <s v="BC"/>
    <n v="45849"/>
    <n v="12"/>
    <x v="3"/>
  </r>
  <r>
    <x v="6"/>
    <s v="November Rain Pre-roll - Animal Mintz 2x1g "/>
    <s v="PR2507F1P2"/>
    <s v="yes"/>
    <s v="BC"/>
    <n v="45848"/>
    <n v="12"/>
    <x v="3"/>
  </r>
  <r>
    <x v="6"/>
    <s v="November Rain-Midnight Kruntz 2x1g pre-rolls"/>
    <s v="PR2516F1P2"/>
    <s v="yes"/>
    <s v="BC"/>
    <n v="45831"/>
    <n v="12"/>
    <x v="3"/>
  </r>
  <r>
    <x v="7"/>
    <s v="EARTHWOLF-WHITE GOLD LIVE ROSIN LTO-1G"/>
    <s v="25-FP002"/>
    <s v="yes"/>
    <s v="BC"/>
    <n v="45865"/>
    <n v="600"/>
    <x v="4"/>
  </r>
  <r>
    <x v="8"/>
    <s v="Gelato Prerolls 3x0.5g"/>
    <n v="2021042701"/>
    <s v="yes"/>
    <s v="BC"/>
    <n v="45868"/>
    <n v="24"/>
    <x v="4"/>
  </r>
  <r>
    <x v="8"/>
    <s v="Midnight Kruntz 7g dried flower"/>
    <s v="2024121801G7"/>
    <s v="yes"/>
    <s v="BC"/>
    <n v="45849"/>
    <n v="24"/>
    <x v="4"/>
  </r>
  <r>
    <x v="8"/>
    <s v="Midnight Kruntz 7g dried flower"/>
    <s v="2024111803G7"/>
    <s v="yes"/>
    <s v="BC"/>
    <n v="45826"/>
    <n v="12"/>
    <x v="4"/>
  </r>
  <r>
    <x v="8"/>
    <s v="ROGWORLD-BONG GURU ROCKSTAR-5X0.5g pre-rolls"/>
    <s v="PR2512F5P5"/>
    <s v="yes"/>
    <s v="BC"/>
    <n v="45833"/>
    <n v="36"/>
    <x v="4"/>
  </r>
  <r>
    <x v="8"/>
    <s v="ROGWORLD-Lemonade Octane Live Resin Biodegradable Hemp Vape Pen 1g"/>
    <s v="ROGEX001G1"/>
    <s v="yes"/>
    <s v="BC"/>
    <n v="45772"/>
    <n v="12"/>
    <x v="4"/>
  </r>
  <r>
    <x v="9"/>
    <s v="Galactic cake 3x0.5g  preroll"/>
    <s v="PR2406F5P3"/>
    <s v="yes"/>
    <s v="BC"/>
    <n v="45728"/>
    <n v="12"/>
    <x v="5"/>
  </r>
  <r>
    <x v="9"/>
    <s v="November Rain Blast Pre-Roll - Blueberry-3 x 0.5g Pre-Roll"/>
    <s v="PR241105F5P3"/>
    <s v="yes"/>
    <s v="BC"/>
    <n v="45581"/>
    <n v="24"/>
    <x v="5"/>
  </r>
  <r>
    <x v="9"/>
    <s v="November Rain Blast Pre-Roll - Lemon ice tea-3 x 0.5g Pre-Roll"/>
    <s v="PR251701F5P3"/>
    <s v="yes"/>
    <s v="BC"/>
    <n v="45800"/>
    <n v="24"/>
    <x v="5"/>
  </r>
  <r>
    <x v="9"/>
    <s v="November Rain Blast Pre-Roll - Watermelon-3 x 0.5g Pre-Roll"/>
    <s v="PR241102F5P3"/>
    <s v="yes"/>
    <s v="BC"/>
    <n v="45854"/>
    <n v="24"/>
    <x v="5"/>
  </r>
  <r>
    <x v="9"/>
    <s v="November Rain Pre-roll - Animal Mintz 2x1g "/>
    <s v="PR2507F1P2"/>
    <s v="yes"/>
    <s v="BC"/>
    <n v="45848"/>
    <n v="12"/>
    <x v="5"/>
  </r>
  <r>
    <x v="9"/>
    <s v="ROGWORLD-BONG GURU ROCKSTAR-5X0.5g pre-rolls"/>
    <s v="PR2512F5P5"/>
    <s v="yes"/>
    <s v="BC"/>
    <n v="45833"/>
    <n v="12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5">
  <r>
    <s v="outbound"/>
    <d v="2024-07-12T00:00:00"/>
    <s v="production"/>
    <s v="relabel POD"/>
    <x v="0"/>
    <s v="BS23041701G180"/>
    <x v="0"/>
    <s v="topical_labelled"/>
    <d v="2024-06-24T00:00:00"/>
    <n v="-47"/>
    <n v="0"/>
    <n v="-8460"/>
    <m/>
    <x v="0"/>
    <n v="180"/>
  </r>
  <r>
    <s v="outbound"/>
    <d v="2024-07-12T00:01:00"/>
    <s v="sampling"/>
    <s v="making 31 rosebud preroll for AB sales + AGLC order"/>
    <x v="1"/>
    <s v="PR2303"/>
    <x v="1"/>
    <s v="driedflower_milled_bulk"/>
    <s v="NA"/>
    <n v="-1"/>
    <n v="-830"/>
    <n v="0"/>
    <m/>
    <x v="1"/>
    <n v="0"/>
  </r>
  <r>
    <s v="inbound"/>
    <d v="2024-07-16T00:00:00"/>
    <s v="storage"/>
    <s v="PO_DD2024071702"/>
    <x v="0"/>
    <s v="BS23041701G180"/>
    <x v="0"/>
    <s v="topical_labelled"/>
    <d v="2024-06-24T00:00:00"/>
    <n v="47"/>
    <n v="0"/>
    <n v="8460"/>
    <m/>
    <x v="0"/>
    <n v="180"/>
  </r>
  <r>
    <s v="outbound"/>
    <d v="2024-07-16T00:01:00"/>
    <s v="shipment"/>
    <s v="PO_DD2024071702"/>
    <x v="0"/>
    <s v="BS23041701G180"/>
    <x v="0"/>
    <s v="topical_labelled"/>
    <d v="2024-06-24T00:00:00"/>
    <n v="-6"/>
    <n v="0"/>
    <n v="-1080"/>
    <m/>
    <x v="0"/>
    <n v="180"/>
  </r>
  <r>
    <s v="inbound"/>
    <d v="2024-07-16T00:02:00"/>
    <s v="storage"/>
    <m/>
    <x v="1"/>
    <s v="PR2303"/>
    <x v="1"/>
    <s v="driedflower_milled_bulk"/>
    <s v="NA"/>
    <n v="1"/>
    <n v="830"/>
    <n v="0"/>
    <m/>
    <x v="1"/>
    <n v="0"/>
  </r>
  <r>
    <s v="outbound"/>
    <d v="2024-07-22T00:00:00"/>
    <s v="sampling"/>
    <s v="Sampling for Torre BBQ"/>
    <x v="0"/>
    <s v="BS23041701G180"/>
    <x v="0"/>
    <s v="topical_labelled"/>
    <d v="2024-06-24T00:00:00"/>
    <n v="-41"/>
    <n v="0"/>
    <n v="-7380"/>
    <m/>
    <x v="0"/>
    <n v="180"/>
  </r>
  <r>
    <s v="outbound"/>
    <d v="2024-07-22T00:01:00"/>
    <s v="sampling"/>
    <s v="Sampling for Torre BBQ"/>
    <x v="2"/>
    <s v="BS23041701G180"/>
    <x v="0"/>
    <s v="topical_labelled"/>
    <d v="2024-06-24T00:00:00"/>
    <n v="-9"/>
    <n v="0"/>
    <n v="-1620"/>
    <m/>
    <x v="0"/>
    <n v="180"/>
  </r>
  <r>
    <s v="outbound"/>
    <d v="2024-07-22T00:02:00"/>
    <s v="sampling"/>
    <s v="Sampling for Torre BBQ"/>
    <x v="3"/>
    <s v="TP24041201"/>
    <x v="2"/>
    <s v="topical_labelled"/>
    <d v="2024-06-05T00:00:00"/>
    <n v="-4"/>
    <n v="0"/>
    <n v="-352"/>
    <m/>
    <x v="0"/>
    <n v="88"/>
  </r>
  <r>
    <s v="outbound"/>
    <d v="2024-07-22T00:03:00"/>
    <s v="sampling"/>
    <m/>
    <x v="3"/>
    <s v="TP24041201"/>
    <x v="2"/>
    <s v="topical_labelled"/>
    <d v="2024-06-05T00:00:00"/>
    <n v="-4"/>
    <n v="0"/>
    <n v="-352"/>
    <m/>
    <x v="0"/>
    <n v="88"/>
  </r>
  <r>
    <s v="outbound"/>
    <d v="2024-07-22T00:04:00"/>
    <s v="production"/>
    <m/>
    <x v="4"/>
    <s v="PR2410"/>
    <x v="3"/>
    <s v="driedflower_milled_bulk"/>
    <s v="NA"/>
    <n v="-1"/>
    <n v="-3635"/>
    <n v="0"/>
    <m/>
    <x v="1"/>
    <n v="0"/>
  </r>
  <r>
    <s v="inbound"/>
    <d v="2024-07-22T00:05:00"/>
    <s v="storage"/>
    <m/>
    <x v="4"/>
    <s v="PR2410"/>
    <x v="3"/>
    <s v="driedflower_milled_bulk"/>
    <s v="NA"/>
    <n v="1"/>
    <n v="5210"/>
    <n v="0"/>
    <m/>
    <x v="1"/>
    <n v="0"/>
  </r>
  <r>
    <s v="outbound"/>
    <d v="2024-07-22T00:06:00"/>
    <s v="production"/>
    <m/>
    <x v="5"/>
    <s v="PR2410"/>
    <x v="3"/>
    <s v="driedflower_milled_bulk"/>
    <s v="NA"/>
    <n v="-1"/>
    <n v="-2410"/>
    <n v="0"/>
    <m/>
    <x v="1"/>
    <n v="0"/>
  </r>
  <r>
    <s v="inbound"/>
    <d v="2024-07-23T00:00:00"/>
    <s v="storage"/>
    <s v="samples return from Torre BBQ"/>
    <x v="0"/>
    <s v="BS23041701G180"/>
    <x v="0"/>
    <s v="topical_labelled"/>
    <d v="2024-06-24T00:00:00"/>
    <n v="50"/>
    <n v="0"/>
    <n v="9000"/>
    <m/>
    <x v="0"/>
    <n v="180"/>
  </r>
  <r>
    <s v="outbound"/>
    <d v="2024-07-23T00:01:00"/>
    <s v="sampling"/>
    <s v="Sampling for Torre BBQ"/>
    <x v="1"/>
    <s v="PR2303"/>
    <x v="1"/>
    <s v="driedflower_milled_bulk"/>
    <s v="NA"/>
    <n v="-1"/>
    <n v="-830"/>
    <n v="0"/>
    <m/>
    <x v="1"/>
    <n v="0"/>
  </r>
  <r>
    <s v="outbound"/>
    <d v="2024-07-23T00:02:00"/>
    <s v="production"/>
    <m/>
    <x v="4"/>
    <s v="PR2410"/>
    <x v="3"/>
    <s v="driedflower_milled_bulk"/>
    <s v="NA"/>
    <n v="0"/>
    <n v="-655"/>
    <n v="0"/>
    <m/>
    <x v="1"/>
    <n v="0"/>
  </r>
  <r>
    <s v="inbound"/>
    <d v="2024-07-24T00:00:00"/>
    <s v="storage"/>
    <m/>
    <x v="1"/>
    <s v="PR2303"/>
    <x v="1"/>
    <s v="driedflower_milled_bulk"/>
    <s v="NA"/>
    <n v="1"/>
    <n v="827.6"/>
    <n v="0"/>
    <m/>
    <x v="1"/>
    <n v="0"/>
  </r>
  <r>
    <s v="outbound"/>
    <d v="2024-07-24T00:00:00"/>
    <s v="sampling"/>
    <m/>
    <x v="2"/>
    <s v="BS23041701G180"/>
    <x v="0"/>
    <s v="topical_labelled"/>
    <d v="2024-06-24T00:00:00"/>
    <n v="-9"/>
    <n v="0"/>
    <n v="-1620"/>
    <m/>
    <x v="0"/>
    <n v="180"/>
  </r>
  <r>
    <s v="outbound"/>
    <d v="2024-07-24T00:01:00"/>
    <s v="sampling"/>
    <s v="sample for Steve"/>
    <x v="3"/>
    <s v="TP24041201"/>
    <x v="2"/>
    <s v="topical_labelled"/>
    <d v="2024-06-05T00:00:00"/>
    <n v="-1"/>
    <n v="0"/>
    <n v="-88"/>
    <m/>
    <x v="0"/>
    <n v="88"/>
  </r>
  <r>
    <s v="outbound"/>
    <d v="2024-07-24T00:02:00"/>
    <s v="production"/>
    <m/>
    <x v="6"/>
    <s v="NA"/>
    <x v="4"/>
    <s v="extract_ingested_cased_BC"/>
    <s v="NA"/>
    <n v="0"/>
    <n v="-375"/>
    <n v="0"/>
    <m/>
    <x v="1"/>
    <n v="0"/>
  </r>
  <r>
    <s v="inbound"/>
    <d v="2024-07-24T00:03:00"/>
    <s v="storage"/>
    <m/>
    <x v="7"/>
    <s v="NA"/>
    <x v="4"/>
    <s v="extract_ingested_cased_BC"/>
    <s v="NA"/>
    <n v="0"/>
    <n v="15"/>
    <n v="0"/>
    <m/>
    <x v="1"/>
    <n v="0"/>
  </r>
  <r>
    <s v="outbound"/>
    <d v="2024-07-25T00:00:00"/>
    <s v="shipment"/>
    <m/>
    <x v="0"/>
    <s v="BS23041701G180"/>
    <x v="0"/>
    <s v="topical_labelled"/>
    <d v="2024-06-24T00:00:00"/>
    <n v="-6"/>
    <n v="0"/>
    <n v="-1080"/>
    <m/>
    <x v="0"/>
    <n v="180"/>
  </r>
  <r>
    <s v="outbound"/>
    <d v="2024-07-25T00:01:00"/>
    <s v="sampling"/>
    <m/>
    <x v="1"/>
    <s v="PR2303"/>
    <x v="1"/>
    <s v="driedflower_milled_bulk"/>
    <s v="NA"/>
    <n v="0"/>
    <n v="-7.6"/>
    <n v="0"/>
    <m/>
    <x v="1"/>
    <n v="0"/>
  </r>
  <r>
    <s v="outbound"/>
    <d v="2024-07-25T00:02:00"/>
    <s v="sampling"/>
    <s v="sample for Jay"/>
    <x v="1"/>
    <s v="PR2303"/>
    <x v="1"/>
    <s v="driedflower_milled_bulk"/>
    <s v="NA"/>
    <n v="-1"/>
    <n v="-820"/>
    <n v="0"/>
    <m/>
    <x v="1"/>
    <n v="0"/>
  </r>
  <r>
    <s v="inbound"/>
    <d v="2024-07-25T00:03:00"/>
    <s v="sampling"/>
    <s v="sample for Jay"/>
    <x v="1"/>
    <s v="PR2303"/>
    <x v="1"/>
    <s v="driedflower_milled_bulk"/>
    <s v="NA"/>
    <n v="1"/>
    <n v="821.1"/>
    <n v="0"/>
    <m/>
    <x v="1"/>
    <n v="0"/>
  </r>
  <r>
    <s v="outbound"/>
    <d v="2024-07-25T00:04:00"/>
    <s v="shipment"/>
    <s v="PO_DD2024072302"/>
    <x v="8"/>
    <s v="BS23101901G450"/>
    <x v="5"/>
    <s v="topical_labelled"/>
    <d v="2023-11-04T00:00:00"/>
    <n v="-7"/>
    <n v="0"/>
    <n v="-3150"/>
    <m/>
    <x v="0"/>
    <n v="450"/>
  </r>
  <r>
    <s v="outbound"/>
    <d v="2024-07-25T00:05:00"/>
    <s v="shipment"/>
    <m/>
    <x v="9"/>
    <s v="TP24041202"/>
    <x v="6"/>
    <s v="topical_labelled"/>
    <d v="2024-05-11T00:00:00"/>
    <n v="-12"/>
    <n v="0"/>
    <n v="-1056"/>
    <m/>
    <x v="0"/>
    <n v="88"/>
  </r>
  <r>
    <s v="outbound"/>
    <d v="2024-07-25T00:06:00"/>
    <s v="sampling"/>
    <s v="sample for Jay"/>
    <x v="10"/>
    <s v="EX24022301"/>
    <x v="7"/>
    <s v="extract_ingested_bulk"/>
    <d v="2024-02-23T00:00:00"/>
    <n v="0"/>
    <n v="-40"/>
    <n v="0"/>
    <m/>
    <x v="1"/>
    <n v="0"/>
  </r>
  <r>
    <s v="outbound"/>
    <d v="2024-07-25T00:07:00"/>
    <s v="sampling"/>
    <s v="sample for Jay"/>
    <x v="11"/>
    <s v="EX24022302"/>
    <x v="8"/>
    <s v="extract_ingested_bulk"/>
    <d v="2024-02-23T00:00:00"/>
    <n v="0"/>
    <n v="-40"/>
    <n v="0"/>
    <m/>
    <x v="1"/>
    <n v="0"/>
  </r>
  <r>
    <s v="outbound"/>
    <d v="2024-07-25T00:08:00"/>
    <s v="sampling"/>
    <s v="sample for Jay"/>
    <x v="12"/>
    <s v="LR23032101"/>
    <x v="9"/>
    <s v="extract_inhaled_bulk"/>
    <s v="NA"/>
    <n v="0"/>
    <n v="-6.3000000000001819"/>
    <n v="0"/>
    <m/>
    <x v="1"/>
    <n v="0"/>
  </r>
  <r>
    <s v="outbound"/>
    <d v="2024-07-26T00:00:00"/>
    <s v="production"/>
    <m/>
    <x v="4"/>
    <s v="PR2410"/>
    <x v="3"/>
    <s v="driedflower_milled_bulk"/>
    <s v="NA"/>
    <n v="-1"/>
    <n v="-6320"/>
    <n v="0"/>
    <m/>
    <x v="1"/>
    <n v="0"/>
  </r>
  <r>
    <s v="outbound"/>
    <d v="2024-07-29T00:00:00"/>
    <s v="production"/>
    <s v="Packaging and labelling"/>
    <x v="6"/>
    <s v="NA"/>
    <x v="4"/>
    <s v="extract_ingested_cased_BC"/>
    <d v="2024-07-09T00:00:00"/>
    <n v="-1"/>
    <n v="-15145"/>
    <n v="0"/>
    <m/>
    <x v="1"/>
    <n v="0"/>
  </r>
  <r>
    <s v="outbound"/>
    <d v="2024-07-29T00:01:00"/>
    <s v="production"/>
    <s v="Packaging and labelling"/>
    <x v="7"/>
    <s v="NA"/>
    <x v="4"/>
    <s v="extract_ingested_cased_BC"/>
    <d v="2024-07-09T00:00:00"/>
    <n v="-1"/>
    <n v="-15115"/>
    <n v="0"/>
    <m/>
    <x v="1"/>
    <n v="0"/>
  </r>
  <r>
    <s v="outbound"/>
    <d v="2024-07-29T00:02:00"/>
    <s v="production"/>
    <s v="Packaging and labelling"/>
    <x v="13"/>
    <s v="NA"/>
    <x v="10"/>
    <s v="extract_ingested_bulk"/>
    <d v="2024-07-09T00:00:00"/>
    <n v="-1"/>
    <n v="-14210"/>
    <n v="0"/>
    <m/>
    <x v="1"/>
    <n v="0"/>
  </r>
  <r>
    <s v="outbound"/>
    <d v="2024-07-29T00:03:00"/>
    <s v="production"/>
    <s v="Packaging and labelling"/>
    <x v="14"/>
    <s v="NA"/>
    <x v="10"/>
    <s v="extract_ingested_bulk"/>
    <d v="2024-07-09T00:00:00"/>
    <n v="-1"/>
    <n v="-15770"/>
    <n v="0"/>
    <m/>
    <x v="1"/>
    <n v="0"/>
  </r>
  <r>
    <s v="outbound"/>
    <d v="2024-07-30T00:00:00"/>
    <s v="shipment"/>
    <s v="PO_02127"/>
    <x v="9"/>
    <s v="TP24041202"/>
    <x v="6"/>
    <s v="topical_labelled"/>
    <d v="2024-05-11T00:00:00"/>
    <n v="-240"/>
    <n v="0"/>
    <n v="-21120"/>
    <m/>
    <x v="0"/>
    <n v="88"/>
  </r>
  <r>
    <s v="outbound"/>
    <d v="2024-07-30T00:01:00"/>
    <s v="shipment"/>
    <s v="PO_DD2024072901"/>
    <x v="15"/>
    <s v="PR21071201G1"/>
    <x v="11"/>
    <s v="preroll_labelled"/>
    <d v="2022-11-23T00:00:00"/>
    <n v="-36"/>
    <n v="0"/>
    <n v="-36"/>
    <m/>
    <x v="0"/>
    <n v="1"/>
  </r>
  <r>
    <s v="outbound"/>
    <d v="2024-07-30T00:02:00"/>
    <s v="shipment"/>
    <s v="PO_DD2024072901"/>
    <x v="16"/>
    <s v="PR2406F1P1"/>
    <x v="12"/>
    <s v="preroll_labelled"/>
    <d v="2024-06-19T00:00:00"/>
    <n v="-36"/>
    <n v="0"/>
    <n v="-36"/>
    <m/>
    <x v="0"/>
    <n v="1"/>
  </r>
  <r>
    <s v="outbound"/>
    <d v="2024-08-01T16:10:00"/>
    <s v="production"/>
    <s v="Packaging and labelling"/>
    <x v="17"/>
    <s v="PR241001F5"/>
    <x v="13"/>
    <s v="preroll_bulk"/>
    <s v="NA"/>
    <n v="-268"/>
    <n v="0"/>
    <n v="-134"/>
    <m/>
    <x v="0"/>
    <n v="0.5"/>
  </r>
  <r>
    <s v="outbound"/>
    <d v="2024-08-06T16:56:00"/>
    <s v="reconciliation"/>
    <s v="missing outbound record"/>
    <x v="4"/>
    <s v="PR2410"/>
    <x v="3"/>
    <s v="driedflower_milled_bulk"/>
    <s v="NA"/>
    <n v="-1"/>
    <n v="-3365"/>
    <n v="0"/>
    <m/>
    <x v="1"/>
    <n v="0"/>
  </r>
  <r>
    <s v="outbound"/>
    <d v="2024-08-07T16:38:00"/>
    <s v="production"/>
    <s v="repackaging and labeling for PO_22485"/>
    <x v="18"/>
    <s v="2022012401R1"/>
    <x v="14"/>
    <s v="driedflower_packaged"/>
    <d v="2023-06-23T00:00:00"/>
    <n v="-73"/>
    <n v="0"/>
    <n v="-1022"/>
    <s v="need 1 more pouch to replenish 72"/>
    <x v="0"/>
    <n v="14"/>
  </r>
  <r>
    <s v="outbound"/>
    <d v="2024-08-08T13:47:00"/>
    <s v="sampling"/>
    <s v="sampling for Steve 80*5=400g"/>
    <x v="19"/>
    <s v="TP24041201"/>
    <x v="15"/>
    <s v="topical_bulk"/>
    <d v="2024-06-05T00:00:00"/>
    <n v="-1"/>
    <n v="-18260"/>
    <n v="0"/>
    <m/>
    <x v="1"/>
    <n v="0"/>
  </r>
  <r>
    <s v="inbound"/>
    <d v="2024-08-08T15:06:00"/>
    <s v="storage"/>
    <m/>
    <x v="19"/>
    <s v="TP24041201"/>
    <x v="15"/>
    <s v="topical_bulk"/>
    <d v="2024-06-05T00:00:00"/>
    <n v="1"/>
    <n v="18260"/>
    <n v="0"/>
    <m/>
    <x v="1"/>
    <n v="0"/>
  </r>
  <r>
    <s v="inbound"/>
    <d v="2024-08-09T11:38:00"/>
    <s v="storage"/>
    <m/>
    <x v="4"/>
    <s v="PR2410"/>
    <x v="3"/>
    <s v="driedflower_milled_bulk"/>
    <s v="NA"/>
    <n v="1"/>
    <n v="2065"/>
    <n v="0"/>
    <m/>
    <x v="1"/>
    <n v="0"/>
  </r>
  <r>
    <s v="outbound"/>
    <d v="2024-08-09T13:35:00"/>
    <s v="production"/>
    <m/>
    <x v="20"/>
    <s v="2022012401R1"/>
    <x v="16"/>
    <s v="driedflower_bulk"/>
    <d v="2022-05-05T00:00:00"/>
    <n v="-1"/>
    <n v="-603.6"/>
    <n v="0"/>
    <m/>
    <x v="1"/>
    <n v="0"/>
  </r>
  <r>
    <s v="outbound"/>
    <d v="2024-08-09T13:35:00"/>
    <s v="production"/>
    <s v="PO_DD2024080901"/>
    <x v="21"/>
    <s v="PR241005F5P3"/>
    <x v="17"/>
    <s v="preroll_packaged"/>
    <d v="2024-09-06T00:00:00"/>
    <n v="-36"/>
    <n v="0"/>
    <n v="-54"/>
    <m/>
    <x v="0"/>
    <n v="1.5"/>
  </r>
  <r>
    <s v="outbound"/>
    <d v="2024-08-09T13:35:00"/>
    <s v="production"/>
    <s v="PO_DD2024080901"/>
    <x v="22"/>
    <s v="PR241104F5P3"/>
    <x v="18"/>
    <s v="preroll_labelled"/>
    <d v="2024-10-02T00:00:00"/>
    <n v="-36"/>
    <n v="0"/>
    <n v="-54"/>
    <m/>
    <x v="0"/>
    <n v="1.5"/>
  </r>
  <r>
    <s v="outbound"/>
    <d v="2024-08-09T13:35:00"/>
    <s v="production"/>
    <s v="PO_DD2024080901"/>
    <x v="23"/>
    <s v="PR241101F5P3"/>
    <x v="19"/>
    <s v="preroll_labelled"/>
    <d v="2024-09-08T00:00:00"/>
    <n v="-36"/>
    <n v="0"/>
    <n v="-54"/>
    <m/>
    <x v="0"/>
    <n v="1.5"/>
  </r>
  <r>
    <s v="outbound"/>
    <d v="2024-08-09T13:35:00"/>
    <s v="production"/>
    <s v="relabel "/>
    <x v="24"/>
    <s v="PR240603F5P3"/>
    <x v="20"/>
    <s v="preroll_labelled"/>
    <d v="2024-07-18T00:00:00"/>
    <n v="-68"/>
    <n v="0"/>
    <n v="-102"/>
    <m/>
    <x v="0"/>
    <n v="1.5"/>
  </r>
  <r>
    <s v="outbound"/>
    <d v="2024-08-09T13:35:00"/>
    <s v="production"/>
    <s v="relabel "/>
    <x v="25"/>
    <s v="PR241003F5P3"/>
    <x v="20"/>
    <s v="preroll_labelled"/>
    <d v="2024-08-07T00:00:00"/>
    <n v="-12"/>
    <n v="0"/>
    <n v="-18"/>
    <m/>
    <x v="0"/>
    <n v="1.5"/>
  </r>
  <r>
    <s v="inbound"/>
    <d v="2024-08-09T14:29:00"/>
    <s v="storage"/>
    <m/>
    <x v="24"/>
    <s v="PR240603F5P3"/>
    <x v="20"/>
    <s v="preroll_labelled"/>
    <d v="2024-07-18T00:00:00"/>
    <n v="24"/>
    <n v="0"/>
    <n v="36"/>
    <m/>
    <x v="0"/>
    <n v="1.5"/>
  </r>
  <r>
    <s v="inbound"/>
    <d v="2024-08-09T14:29:00"/>
    <s v="storage"/>
    <m/>
    <x v="25"/>
    <s v="PR241003F5P3"/>
    <x v="20"/>
    <s v="preroll_labelled"/>
    <d v="2024-08-07T00:00:00"/>
    <n v="56"/>
    <n v="0"/>
    <n v="84"/>
    <m/>
    <x v="0"/>
    <n v="1.5"/>
  </r>
  <r>
    <s v="outbound"/>
    <d v="2024-08-09T16:10:00"/>
    <s v="production"/>
    <s v="relabel"/>
    <x v="21"/>
    <s v="PR241005F5P3"/>
    <x v="17"/>
    <s v="preroll_packaged"/>
    <d v="2024-09-06T00:00:00"/>
    <n v="-103"/>
    <n v="0"/>
    <n v="-154.5"/>
    <m/>
    <x v="0"/>
    <n v="1.5"/>
  </r>
  <r>
    <s v="inbound"/>
    <d v="2024-08-09T16:41:00"/>
    <s v="storage"/>
    <s v="relabel"/>
    <x v="21"/>
    <s v="PR241005F5P3"/>
    <x v="17"/>
    <s v="preroll_packaged"/>
    <d v="2024-09-06T00:00:00"/>
    <n v="103"/>
    <n v="0"/>
    <n v="154.5"/>
    <m/>
    <x v="0"/>
    <n v="1.5"/>
  </r>
  <r>
    <s v="outbound"/>
    <d v="2024-08-12T09:24:00"/>
    <s v="production"/>
    <s v="milling"/>
    <x v="26"/>
    <n v="2024080701"/>
    <x v="21"/>
    <s v="driedflower_bulk"/>
    <s v="NA"/>
    <n v="-1"/>
    <n v="-588.20000000000005"/>
    <n v="0"/>
    <m/>
    <x v="1"/>
    <n v="0"/>
  </r>
  <r>
    <s v="outbound"/>
    <d v="2024-08-12T09:24:00"/>
    <s v="production"/>
    <s v="milling"/>
    <x v="27"/>
    <n v="2024080701"/>
    <x v="21"/>
    <s v="driedflower_bulk"/>
    <s v="NA"/>
    <n v="-1"/>
    <n v="-1107.2"/>
    <n v="0"/>
    <m/>
    <x v="1"/>
    <n v="0"/>
  </r>
  <r>
    <s v="outbound"/>
    <d v="2024-08-12T09:24:00"/>
    <s v="production"/>
    <s v="milling"/>
    <x v="28"/>
    <n v="2024080701"/>
    <x v="21"/>
    <s v="driedflower_bulk"/>
    <s v="NA"/>
    <n v="-1"/>
    <n v="-1097.5999999999999"/>
    <n v="0"/>
    <m/>
    <x v="1"/>
    <n v="0"/>
  </r>
  <r>
    <s v="outbound"/>
    <d v="2024-08-12T09:24:00"/>
    <s v="production"/>
    <s v="milling"/>
    <x v="29"/>
    <n v="2024080701"/>
    <x v="21"/>
    <s v="driedflower_bulk"/>
    <s v="NA"/>
    <n v="-1"/>
    <n v="-1102"/>
    <n v="0"/>
    <m/>
    <x v="1"/>
    <n v="0"/>
  </r>
  <r>
    <s v="outbound"/>
    <d v="2024-08-12T12:55:00"/>
    <s v="shipment"/>
    <s v="PO_02127_Revised"/>
    <x v="9"/>
    <s v="TP24041202"/>
    <x v="6"/>
    <s v="topical_labelled"/>
    <d v="2024-05-11T00:00:00"/>
    <n v="-48"/>
    <n v="0"/>
    <n v="-4224"/>
    <s v="plus 12 ON stamped rollons (RTV not counted yet)"/>
    <x v="0"/>
    <n v="88"/>
  </r>
  <r>
    <s v="outbound"/>
    <d v="2024-08-12T15:04:00"/>
    <s v="production"/>
    <s v="Packaging 14 gelato"/>
    <x v="30"/>
    <s v="2022012401R1"/>
    <x v="16"/>
    <s v="driedflower_bulk"/>
    <d v="2022-05-05T00:00:00"/>
    <n v="-1"/>
    <n v="-982.3"/>
    <n v="0"/>
    <m/>
    <x v="1"/>
    <n v="0"/>
  </r>
  <r>
    <s v="outbound"/>
    <d v="2024-08-12T15:21:00"/>
    <s v="production"/>
    <s v="Packaging 14 gelato"/>
    <x v="31"/>
    <s v="2022012401R1"/>
    <x v="16"/>
    <s v="driedflower_bulk"/>
    <d v="2022-05-05T00:00:00"/>
    <n v="-1"/>
    <n v="-1025"/>
    <n v="0"/>
    <m/>
    <x v="1"/>
    <n v="0"/>
  </r>
  <r>
    <s v="inbound"/>
    <d v="2024-08-12T15:21:00"/>
    <s v="storage"/>
    <s v="Too much trims "/>
    <x v="30"/>
    <s v="2022012401R1"/>
    <x v="16"/>
    <s v="driedflower_bulk"/>
    <d v="2022-05-05T00:00:00"/>
    <n v="1"/>
    <n v="985"/>
    <n v="0"/>
    <m/>
    <x v="1"/>
    <n v="0"/>
  </r>
  <r>
    <s v="inbound"/>
    <d v="2024-08-12T15:47:00"/>
    <s v="storage"/>
    <s v="Packaging 14 gelato"/>
    <x v="20"/>
    <s v="2022012401R1"/>
    <x v="16"/>
    <s v="driedflower_bulk"/>
    <d v="2022-05-05T00:00:00"/>
    <n v="1"/>
    <n v="177.65"/>
    <n v="0"/>
    <m/>
    <x v="1"/>
    <n v="0"/>
  </r>
  <r>
    <s v="inbound"/>
    <d v="2024-08-12T15:47:00"/>
    <s v="storage"/>
    <s v="Packaging 14 gelato"/>
    <x v="31"/>
    <s v="2022012401R1"/>
    <x v="16"/>
    <s v="driedflower_bulk"/>
    <d v="2022-05-05T00:00:00"/>
    <n v="1"/>
    <n v="770"/>
    <n v="0"/>
    <m/>
    <x v="1"/>
    <n v="0"/>
  </r>
  <r>
    <s v="outbound"/>
    <d v="2024-08-13T09:16:00"/>
    <s v="production"/>
    <s v="blueberry preroll"/>
    <x v="4"/>
    <s v="PR2410"/>
    <x v="3"/>
    <s v="driedflower_milled_bulk"/>
    <s v="NA"/>
    <n v="-1"/>
    <n v="-2065"/>
    <n v="0"/>
    <m/>
    <x v="1"/>
    <n v="0"/>
  </r>
  <r>
    <s v="outbound"/>
    <d v="2024-08-14T00:00:00"/>
    <s v="sampling"/>
    <s v="sample for Jay"/>
    <x v="32"/>
    <s v="EX23060701V30"/>
    <x v="22"/>
    <s v="extract_ingested_labelled"/>
    <d v="2023-06-17T00:00:00"/>
    <n v="-1"/>
    <n v="0"/>
    <n v="-27.4"/>
    <m/>
    <x v="0"/>
    <n v="27.4"/>
  </r>
  <r>
    <s v="outbound"/>
    <d v="2024-08-15T13:18:00"/>
    <s v="packaging"/>
    <s v="AGLC_PO_71087"/>
    <x v="33"/>
    <s v="PR241005F5"/>
    <x v="23"/>
    <s v="preroll_bulk"/>
    <s v="NA"/>
    <n v="-605"/>
    <n v="0"/>
    <n v="-302.5"/>
    <m/>
    <x v="0"/>
    <n v="0.5"/>
  </r>
  <r>
    <s v="outbound"/>
    <d v="2024-08-15T13:18:00"/>
    <s v="packaging"/>
    <s v="AGLC_PO_71087"/>
    <x v="34"/>
    <s v="PR241005F5"/>
    <x v="23"/>
    <s v="preroll_bulk"/>
    <s v="NA"/>
    <n v="-160"/>
    <n v="0"/>
    <n v="-80"/>
    <m/>
    <x v="0"/>
    <n v="0.5"/>
  </r>
  <r>
    <s v="outbound"/>
    <d v="2024-08-15T13:18:00"/>
    <s v="sampling"/>
    <s v="sample for Jay"/>
    <x v="35"/>
    <s v="PR2407F5"/>
    <x v="24"/>
    <s v="preroll_bulk"/>
    <d v="2024-05-31T00:00:00"/>
    <n v="-796"/>
    <n v="0"/>
    <n v="-398"/>
    <m/>
    <x v="0"/>
    <n v="0.5"/>
  </r>
  <r>
    <s v="outbound"/>
    <d v="2024-08-15T13:18:00"/>
    <s v="sampling"/>
    <s v="AGLC_PO_71087"/>
    <x v="10"/>
    <s v="EX24022301"/>
    <x v="7"/>
    <s v="extract_ingested_bulk"/>
    <d v="2024-02-23T00:00:00"/>
    <n v="-1"/>
    <n v="-4110"/>
    <n v="0"/>
    <m/>
    <x v="1"/>
    <n v="0"/>
  </r>
  <r>
    <s v="outbound"/>
    <d v="2024-08-16T10:56:00"/>
    <s v="shipment"/>
    <s v="MBLL_PO_370928"/>
    <x v="36"/>
    <s v="EX23100401V30"/>
    <x v="25"/>
    <s v="extract_ingested_labelled"/>
    <d v="2024-07-15T00:00:00"/>
    <n v="-12"/>
    <n v="0"/>
    <n v="-331.20000000000005"/>
    <m/>
    <x v="0"/>
    <n v="27.6"/>
  </r>
  <r>
    <s v="inbound"/>
    <d v="2024-08-16T14:38:00"/>
    <s v="storage"/>
    <s v="return from sampling"/>
    <x v="35"/>
    <s v="PR2407F5"/>
    <x v="24"/>
    <s v="preroll_bulk"/>
    <d v="2024-05-31T00:00:00"/>
    <n v="745"/>
    <n v="0"/>
    <n v="372.5"/>
    <m/>
    <x v="0"/>
    <n v="0.5"/>
  </r>
  <r>
    <s v="outbound"/>
    <d v="2024-08-16T14:57:00"/>
    <s v="shipment"/>
    <s v="PO_369117"/>
    <x v="24"/>
    <s v="PR240603F5P3"/>
    <x v="20"/>
    <s v="preroll_labelled"/>
    <d v="2024-07-18T00:00:00"/>
    <n v="-24"/>
    <n v="0"/>
    <n v="-36"/>
    <m/>
    <x v="0"/>
    <n v="1.5"/>
  </r>
  <r>
    <s v="outbound"/>
    <d v="2024-08-16T14:57:00"/>
    <s v="shipment"/>
    <s v="PO_369117"/>
    <x v="25"/>
    <s v="PR241003F5P3"/>
    <x v="20"/>
    <s v="preroll_labelled"/>
    <d v="2024-08-07T00:00:00"/>
    <n v="-12"/>
    <n v="0"/>
    <n v="-18"/>
    <m/>
    <x v="0"/>
    <n v="1.5"/>
  </r>
  <r>
    <s v="outbound"/>
    <d v="2024-08-16T14:57:00"/>
    <s v="shipment"/>
    <s v="PO_369117"/>
    <x v="37"/>
    <s v="PR241003F5P3"/>
    <x v="20"/>
    <s v="preroll_packaged"/>
    <s v="NA"/>
    <n v="-48"/>
    <n v="0"/>
    <n v="-72"/>
    <m/>
    <x v="0"/>
    <n v="1.5"/>
  </r>
  <r>
    <s v="outbound"/>
    <d v="2024-08-16T16:18:00"/>
    <s v="production"/>
    <s v="labelling"/>
    <x v="37"/>
    <s v="PR241003F5P3"/>
    <x v="20"/>
    <s v="preroll_packaged"/>
    <s v="NA"/>
    <n v="-48"/>
    <n v="0"/>
    <n v="-72"/>
    <m/>
    <x v="0"/>
    <n v="1.5"/>
  </r>
  <r>
    <s v="outbound"/>
    <d v="2024-08-19T09:50:00"/>
    <s v="production"/>
    <s v="AGLC_PO_71087"/>
    <x v="12"/>
    <s v="LR23032101"/>
    <x v="9"/>
    <s v="extract_inhaled_bulk"/>
    <s v="NA"/>
    <n v="-1"/>
    <n v="-2253.6999999999998"/>
    <n v="0"/>
    <m/>
    <x v="1"/>
    <n v="0"/>
  </r>
  <r>
    <s v="outbound"/>
    <d v="2024-08-19T09:50:00"/>
    <s v="production"/>
    <s v="AGLC_PO_71087"/>
    <x v="38"/>
    <n v="2024022201"/>
    <x v="26"/>
    <s v="extract_distillate_bulk"/>
    <d v="2024-04-25T00:00:00"/>
    <n v="-1"/>
    <n v="-524.6"/>
    <n v="0"/>
    <m/>
    <x v="1"/>
    <n v="0"/>
  </r>
  <r>
    <s v="outbound"/>
    <d v="2024-08-19T10:03:00"/>
    <s v="production"/>
    <s v="AGLC_PO_71087"/>
    <x v="37"/>
    <s v="PR241003F5P3"/>
    <x v="20"/>
    <s v="preroll_packaged"/>
    <s v="NA"/>
    <n v="-68"/>
    <n v="0"/>
    <n v="-102"/>
    <m/>
    <x v="0"/>
    <n v="1.5"/>
  </r>
  <r>
    <s v="outbound"/>
    <d v="2024-08-19T10:28:00"/>
    <s v="packaging"/>
    <s v="AGLC_PO_71087"/>
    <x v="39"/>
    <s v="PR241003F5P3"/>
    <x v="27"/>
    <s v="preroll_bulk"/>
    <s v="NA"/>
    <n v="-67"/>
    <n v="0"/>
    <n v="-33.5"/>
    <m/>
    <x v="0"/>
    <n v="0.5"/>
  </r>
  <r>
    <s v="outbound"/>
    <d v="2024-08-19T10:28:00"/>
    <s v="packaging"/>
    <s v="AGLC_PO_71087"/>
    <x v="40"/>
    <s v="PR241003F5P3"/>
    <x v="27"/>
    <s v="preroll_bulk"/>
    <s v="NA"/>
    <n v="-337"/>
    <n v="0"/>
    <n v="-168.5"/>
    <m/>
    <x v="0"/>
    <n v="0.5"/>
  </r>
  <r>
    <s v="outbound"/>
    <d v="2024-08-19T10:28:00"/>
    <s v="production"/>
    <s v="AGLC_PO_71087"/>
    <x v="41"/>
    <n v="2024030601"/>
    <x v="28"/>
    <s v="extract_inhaled_bulk"/>
    <d v="2024-01-05T00:00:00"/>
    <n v="-1"/>
    <n v="-123.6"/>
    <n v="0"/>
    <m/>
    <x v="1"/>
    <n v="0"/>
  </r>
  <r>
    <s v="outbound"/>
    <d v="2024-08-19T10:28:00"/>
    <s v="packaging"/>
    <s v="AGLC_PO_71087"/>
    <x v="42"/>
    <s v="PR241002F5"/>
    <x v="29"/>
    <s v="preroll_bulk"/>
    <s v="NA"/>
    <n v="-242"/>
    <n v="0"/>
    <n v="-121"/>
    <m/>
    <x v="0"/>
    <n v="0.5"/>
  </r>
  <r>
    <s v="inbound"/>
    <d v="2024-08-19T11:12:00"/>
    <s v="storage"/>
    <m/>
    <x v="12"/>
    <s v="LR23032101"/>
    <x v="9"/>
    <s v="extract_inhaled_bulk"/>
    <s v="NA"/>
    <n v="1"/>
    <n v="2055"/>
    <n v="0"/>
    <m/>
    <x v="1"/>
    <n v="0"/>
  </r>
  <r>
    <s v="outbound"/>
    <d v="2024-08-19T13:13:00"/>
    <s v="production"/>
    <s v="put into tube"/>
    <x v="43"/>
    <s v="PR241005F5"/>
    <x v="23"/>
    <s v="preroll_bulk"/>
    <s v="NA"/>
    <n v="-241"/>
    <n v="0"/>
    <n v="-120.5"/>
    <m/>
    <x v="0"/>
    <n v="0.5"/>
  </r>
  <r>
    <s v="outbound"/>
    <d v="2024-08-19T13:13:00"/>
    <s v="production"/>
    <s v="put into tube"/>
    <x v="44"/>
    <s v="PR241005F5"/>
    <x v="23"/>
    <s v="preroll_bulk"/>
    <s v="NA"/>
    <n v="-479"/>
    <n v="0"/>
    <n v="-239.5"/>
    <m/>
    <x v="0"/>
    <n v="0.5"/>
  </r>
  <r>
    <s v="outbound"/>
    <d v="2024-08-19T13:13:00"/>
    <s v="production"/>
    <s v="put into tube"/>
    <x v="45"/>
    <s v="PR241005F5"/>
    <x v="23"/>
    <s v="preroll_bulk"/>
    <s v="NA"/>
    <n v="-484"/>
    <n v="0"/>
    <n v="-242"/>
    <m/>
    <x v="0"/>
    <n v="0.5"/>
  </r>
  <r>
    <s v="outbound"/>
    <d v="2024-08-19T13:13:00"/>
    <s v="production"/>
    <s v="put into tube"/>
    <x v="46"/>
    <s v="PR241005F5"/>
    <x v="23"/>
    <s v="preroll_bulk"/>
    <s v="NA"/>
    <n v="-358"/>
    <n v="0"/>
    <n v="-179"/>
    <m/>
    <x v="0"/>
    <n v="0.5"/>
  </r>
  <r>
    <s v="outbound"/>
    <d v="2024-08-19T13:13:00"/>
    <s v="production"/>
    <s v="put into tube"/>
    <x v="47"/>
    <s v="PR241005F5"/>
    <x v="23"/>
    <s v="preroll_bulk"/>
    <s v="NA"/>
    <n v="-487"/>
    <n v="0"/>
    <n v="-243.5"/>
    <m/>
    <x v="0"/>
    <n v="0.5"/>
  </r>
  <r>
    <s v="outbound"/>
    <d v="2024-08-19T13:13:00"/>
    <s v="production"/>
    <s v="put into tube"/>
    <x v="48"/>
    <s v="PR241005F5"/>
    <x v="23"/>
    <s v="preroll_bulk"/>
    <s v="NA"/>
    <n v="-240"/>
    <n v="0"/>
    <n v="-120"/>
    <m/>
    <x v="0"/>
    <n v="0.5"/>
  </r>
  <r>
    <s v="outbound"/>
    <d v="2024-08-19T13:13:00"/>
    <s v="production"/>
    <s v="put into tube, PO_373529"/>
    <x v="49"/>
    <s v="PR241002F5"/>
    <x v="29"/>
    <s v="preroll_bulk"/>
    <s v="NA"/>
    <n v="-211"/>
    <n v="0"/>
    <n v="-105.5"/>
    <m/>
    <x v="0"/>
    <n v="0.5"/>
  </r>
  <r>
    <s v="outbound"/>
    <d v="2024-08-19T13:13:00"/>
    <s v="production"/>
    <s v="put into tube, PO_373529"/>
    <x v="50"/>
    <s v="PR241002F5"/>
    <x v="29"/>
    <s v="preroll_bulk"/>
    <s v="NA"/>
    <n v="-242"/>
    <n v="0"/>
    <n v="-121"/>
    <m/>
    <x v="0"/>
    <n v="0.5"/>
  </r>
  <r>
    <s v="outbound"/>
    <d v="2024-08-19T13:13:00"/>
    <s v="production"/>
    <s v="put into tube, PO_373464"/>
    <x v="51"/>
    <s v="PR241003F5P3"/>
    <x v="27"/>
    <s v="preroll_bulk"/>
    <s v="NA"/>
    <n v="-500"/>
    <n v="0"/>
    <n v="-250"/>
    <m/>
    <x v="0"/>
    <n v="0.5"/>
  </r>
  <r>
    <s v="outbound"/>
    <d v="2024-08-19T13:13:00"/>
    <s v="production"/>
    <s v="put into tube, PO_373464"/>
    <x v="52"/>
    <s v="PR241003F5P3"/>
    <x v="27"/>
    <s v="preroll_bulk"/>
    <s v="NA"/>
    <n v="-507"/>
    <n v="0"/>
    <n v="-253.5"/>
    <m/>
    <x v="0"/>
    <n v="0.5"/>
  </r>
  <r>
    <s v="outbound"/>
    <d v="2024-08-19T13:13:00"/>
    <s v="production"/>
    <s v="relabeling"/>
    <x v="53"/>
    <s v="PR241002F5P3"/>
    <x v="30"/>
    <s v="preroll_labelled"/>
    <d v="2024-07-24T00:00:00"/>
    <n v="-160"/>
    <n v="0"/>
    <n v="-240"/>
    <m/>
    <x v="0"/>
    <n v="1.5"/>
  </r>
  <r>
    <s v="outbound"/>
    <d v="2024-08-19T13:33:00"/>
    <s v="shipment"/>
    <s v="PO_372038"/>
    <x v="54"/>
    <s v="PR2407F5P3"/>
    <x v="31"/>
    <s v="preroll_labelled"/>
    <d v="2024-07-25T00:00:00"/>
    <n v="-24"/>
    <n v="0"/>
    <n v="-36"/>
    <m/>
    <x v="0"/>
    <n v="1.5"/>
  </r>
  <r>
    <s v="outbound"/>
    <d v="2024-08-19T13:33:00"/>
    <s v="shipment"/>
    <s v="PO_372049"/>
    <x v="23"/>
    <s v="PR241101F5P3"/>
    <x v="19"/>
    <s v="preroll_labelled"/>
    <d v="2024-09-08T00:00:00"/>
    <n v="-12"/>
    <n v="0"/>
    <n v="-18"/>
    <m/>
    <x v="0"/>
    <n v="1.5"/>
  </r>
  <r>
    <s v="outbound"/>
    <d v="2024-08-19T13:33:00"/>
    <s v="shipment"/>
    <s v="PO_372049"/>
    <x v="54"/>
    <s v="PR2407F5P3"/>
    <x v="31"/>
    <s v="preroll_labelled"/>
    <d v="2024-07-25T00:00:00"/>
    <n v="-12"/>
    <n v="0"/>
    <n v="-18"/>
    <m/>
    <x v="0"/>
    <n v="1.5"/>
  </r>
  <r>
    <s v="outbound"/>
    <d v="2024-08-19T14:15:00"/>
    <s v="shipment"/>
    <s v="PO_DD2024081601"/>
    <x v="55"/>
    <s v="EX24010301V30"/>
    <x v="32"/>
    <s v="extract_ingested_labelled"/>
    <d v="2024-01-16T00:00:00"/>
    <n v="-12"/>
    <n v="0"/>
    <n v="-327.60000000000002"/>
    <m/>
    <x v="0"/>
    <n v="27.3"/>
  </r>
  <r>
    <s v="outbound"/>
    <d v="2024-08-19T14:15:00"/>
    <s v="shipment"/>
    <s v="PO_DD2024081601"/>
    <x v="36"/>
    <s v="EX23100401V30"/>
    <x v="25"/>
    <s v="extract_ingested_labelled"/>
    <d v="2024-07-15T00:00:00"/>
    <n v="-12"/>
    <n v="0"/>
    <n v="-331.20000000000005"/>
    <m/>
    <x v="0"/>
    <n v="27.6"/>
  </r>
  <r>
    <s v="outbound"/>
    <d v="2024-08-19T14:15:00"/>
    <s v="shipment"/>
    <s v="PO_DD2024081601"/>
    <x v="23"/>
    <s v="PR241101F5P3"/>
    <x v="19"/>
    <s v="preroll_labelled"/>
    <d v="2024-09-08T00:00:00"/>
    <n v="-12"/>
    <n v="0"/>
    <n v="-18"/>
    <m/>
    <x v="0"/>
    <n v="1.5"/>
  </r>
  <r>
    <s v="outbound"/>
    <d v="2024-08-19T14:15:00"/>
    <s v="shipment"/>
    <s v="PO_DD2024081601"/>
    <x v="56"/>
    <s v="PR240602F5P3"/>
    <x v="30"/>
    <s v="preroll_labelled"/>
    <d v="2024-05-20T00:00:00"/>
    <n v="-12"/>
    <n v="0"/>
    <n v="-18"/>
    <m/>
    <x v="0"/>
    <n v="1.5"/>
  </r>
  <r>
    <s v="outbound"/>
    <d v="2024-08-19T14:15:00"/>
    <s v="shipment"/>
    <s v="PO_DD2024081601"/>
    <x v="22"/>
    <s v="PR241104F5P3"/>
    <x v="18"/>
    <s v="preroll_labelled"/>
    <d v="2024-10-02T00:00:00"/>
    <n v="-12"/>
    <n v="0"/>
    <n v="-18"/>
    <m/>
    <x v="0"/>
    <n v="1.5"/>
  </r>
  <r>
    <s v="inbound"/>
    <d v="2024-08-20T14:43:00"/>
    <s v="storage"/>
    <s v="vaple samples"/>
    <x v="57"/>
    <n v="2024050601"/>
    <x v="28"/>
    <s v="extract_inhaled_bulk"/>
    <s v="NA"/>
    <n v="1"/>
    <n v="105.59"/>
    <n v="0"/>
    <m/>
    <x v="1"/>
    <n v="0"/>
  </r>
  <r>
    <s v="inbound"/>
    <d v="2024-08-20T14:43:00"/>
    <s v="storage"/>
    <s v="vaple samples"/>
    <x v="58"/>
    <n v="2024022201"/>
    <x v="26"/>
    <s v="extract_distillate_bulk"/>
    <s v="NA"/>
    <n v="1"/>
    <n v="117.51"/>
    <n v="0"/>
    <m/>
    <x v="1"/>
    <n v="0"/>
  </r>
  <r>
    <s v="inbound"/>
    <d v="2024-08-20T14:43:00"/>
    <s v="storage"/>
    <s v="vaple samples"/>
    <x v="38"/>
    <n v="2024022201"/>
    <x v="26"/>
    <s v="extract_distillate_bulk"/>
    <d v="2024-04-25T00:00:00"/>
    <n v="1"/>
    <n v="459.26"/>
    <n v="0"/>
    <m/>
    <x v="1"/>
    <n v="0"/>
  </r>
  <r>
    <s v="outbound"/>
    <d v="2024-08-20T14:43:00"/>
    <s v="shipment"/>
    <s v="PO_DD2024081601"/>
    <x v="59"/>
    <s v="EX24051301V50"/>
    <x v="33"/>
    <s v="extract_ingested_labelled"/>
    <d v="2024-05-21T00:00:00"/>
    <n v="-12"/>
    <n v="0"/>
    <n v="-1812"/>
    <m/>
    <x v="0"/>
    <n v="151"/>
  </r>
  <r>
    <s v="outbound"/>
    <d v="2024-08-21T11:20:00"/>
    <s v="shipment"/>
    <s v="Aviator_orbis transfer"/>
    <x v="13"/>
    <s v="EX24080601V50"/>
    <x v="10"/>
    <s v="extract_ingested_bulk"/>
    <d v="2024-07-09T00:00:00"/>
    <n v="-1"/>
    <n v="-18565"/>
    <n v="0"/>
    <m/>
    <x v="1"/>
    <n v="0"/>
  </r>
  <r>
    <s v="outbound"/>
    <d v="2024-08-21T11:20:00"/>
    <s v="shipment"/>
    <s v="Aviator_orbis transfer"/>
    <x v="60"/>
    <s v="EX24080601V50"/>
    <x v="10"/>
    <s v="extract_ingested_bulk"/>
    <s v="NA"/>
    <n v="-1"/>
    <n v="-18555"/>
    <n v="0"/>
    <m/>
    <x v="1"/>
    <n v="0"/>
  </r>
  <r>
    <s v="outbound"/>
    <d v="2024-08-21T11:20:00"/>
    <s v="shipment"/>
    <s v="Aviator_orbis transfer"/>
    <x v="61"/>
    <s v="EX24070902V50"/>
    <x v="33"/>
    <s v="extract_ingested_labelled"/>
    <d v="2024-07-30T00:00:00"/>
    <n v="-54"/>
    <n v="0"/>
    <n v="-8154"/>
    <m/>
    <x v="0"/>
    <n v="151"/>
  </r>
  <r>
    <s v="inbound"/>
    <d v="2024-08-21T11:20:00"/>
    <s v="storage"/>
    <s v="receiving "/>
    <x v="62"/>
    <n v="2024101701"/>
    <x v="34"/>
    <s v="extract_distillate_bulk"/>
    <d v="2024-08-19T00:00:00"/>
    <n v="1"/>
    <n v="3065"/>
    <n v="0"/>
    <m/>
    <x v="1"/>
    <n v="0"/>
  </r>
  <r>
    <s v="outbound"/>
    <d v="2024-08-22T13:43:00"/>
    <s v="shipment"/>
    <s v="PO_373464"/>
    <x v="22"/>
    <s v="PR241104F5P3"/>
    <x v="18"/>
    <s v="preroll_labelled"/>
    <d v="2024-10-02T00:00:00"/>
    <n v="-12"/>
    <n v="0"/>
    <n v="-18"/>
    <m/>
    <x v="0"/>
    <n v="1.5"/>
  </r>
  <r>
    <s v="outbound"/>
    <d v="2024-08-22T13:43:00"/>
    <s v="shipment"/>
    <s v="PO_373942"/>
    <x v="23"/>
    <s v="PR241101F5P3"/>
    <x v="19"/>
    <s v="preroll_labelled"/>
    <d v="2024-09-08T00:00:00"/>
    <n v="-12"/>
    <n v="0"/>
    <n v="-18"/>
    <m/>
    <x v="0"/>
    <n v="1.5"/>
  </r>
  <r>
    <s v="outbound"/>
    <d v="2024-08-23T09:07:00"/>
    <s v="production"/>
    <s v="filling"/>
    <x v="19"/>
    <s v="TP24041201"/>
    <x v="15"/>
    <s v="topical_bulk"/>
    <d v="2024-06-05T00:00:00"/>
    <n v="-1"/>
    <n v="-18260"/>
    <n v="0"/>
    <m/>
    <x v="1"/>
    <n v="0"/>
  </r>
  <r>
    <s v="outbound"/>
    <d v="2024-08-23T10:37:00"/>
    <s v="reconciliation"/>
    <s v="gross weight not right"/>
    <x v="19"/>
    <s v="TP24041201"/>
    <x v="15"/>
    <s v="topical_bulk"/>
    <d v="2024-06-05T00:00:00"/>
    <n v="0"/>
    <n v="-325"/>
    <n v="0"/>
    <m/>
    <x v="1"/>
    <n v="0"/>
  </r>
  <r>
    <s v="outbound"/>
    <d v="2024-08-23T11:12:00"/>
    <s v="shipment"/>
    <s v="PO_00022557"/>
    <x v="23"/>
    <s v="PR241101F5P3"/>
    <x v="19"/>
    <s v="preroll_labelled"/>
    <d v="2024-09-08T00:00:00"/>
    <n v="-12"/>
    <n v="0"/>
    <n v="-18"/>
    <m/>
    <x v="0"/>
    <n v="1.5"/>
  </r>
  <r>
    <s v="outbound"/>
    <d v="2024-08-23T11:12:00"/>
    <s v="shipment"/>
    <s v="PO_00022557"/>
    <x v="16"/>
    <s v="PR2406F1P1"/>
    <x v="12"/>
    <s v="preroll_labelled"/>
    <d v="2024-06-19T00:00:00"/>
    <n v="-12"/>
    <n v="0"/>
    <n v="-12"/>
    <m/>
    <x v="0"/>
    <n v="1"/>
  </r>
  <r>
    <s v="outbound"/>
    <d v="2024-08-23T11:12:00"/>
    <s v="production"/>
    <s v="labelling and PO_00022557"/>
    <x v="63"/>
    <s v="CPR22102101G1"/>
    <x v="35"/>
    <s v="preroll_packaged"/>
    <s v="NA"/>
    <n v="-137"/>
    <n v="0"/>
    <n v="-137"/>
    <m/>
    <x v="0"/>
    <n v="1"/>
  </r>
  <r>
    <s v="outbound"/>
    <d v="2024-08-23T11:12:00"/>
    <s v="production"/>
    <s v="labelling"/>
    <x v="64"/>
    <s v="CPR22102101G1"/>
    <x v="36"/>
    <s v="preroll_bulk"/>
    <s v="NA"/>
    <n v="-221"/>
    <n v="0"/>
    <n v="-221"/>
    <m/>
    <x v="0"/>
    <n v="1"/>
  </r>
  <r>
    <s v="outbound"/>
    <d v="2024-08-23T11:12:00"/>
    <s v="shipment"/>
    <s v="PO_00022557"/>
    <x v="65"/>
    <s v="PR22051901G1"/>
    <x v="37"/>
    <s v="preroll_labelled"/>
    <d v="2023-03-14T00:00:00"/>
    <n v="-12"/>
    <n v="0"/>
    <n v="-12"/>
    <m/>
    <x v="0"/>
    <n v="1"/>
  </r>
  <r>
    <s v="outbound"/>
    <d v="2024-08-23T11:12:00"/>
    <s v="shipment"/>
    <s v="PO_00022557"/>
    <x v="54"/>
    <s v="PR2407F5P3"/>
    <x v="31"/>
    <s v="preroll_labelled"/>
    <d v="2024-07-25T00:00:00"/>
    <n v="-12"/>
    <n v="0"/>
    <n v="-18"/>
    <m/>
    <x v="0"/>
    <n v="1.5"/>
  </r>
  <r>
    <s v="outbound"/>
    <d v="2024-08-23T11:12:00"/>
    <s v="shipment"/>
    <s v="PO_00022557"/>
    <x v="66"/>
    <s v="CPR22112801G7"/>
    <x v="38"/>
    <s v="driedflower_milled_labelled"/>
    <d v="2023-01-15T00:00:00"/>
    <n v="-12"/>
    <n v="0"/>
    <n v="-84"/>
    <m/>
    <x v="0"/>
    <n v="7"/>
  </r>
  <r>
    <s v="outbound"/>
    <d v="2024-08-23T11:12:00"/>
    <s v="shipment"/>
    <s v="PO_00022557"/>
    <x v="67"/>
    <s v="2022012401R1G7"/>
    <x v="39"/>
    <s v="driedflower_labelled"/>
    <d v="2024-08-27T00:00:00"/>
    <n v="-9"/>
    <n v="0"/>
    <n v="-63"/>
    <m/>
    <x v="0"/>
    <n v="7"/>
  </r>
  <r>
    <s v="outbound"/>
    <d v="2024-08-23T11:12:00"/>
    <s v="shipment"/>
    <s v="PO_00022557"/>
    <x v="68"/>
    <s v="2021082601R1"/>
    <x v="40"/>
    <s v="driedflower_labelled_RTV"/>
    <d v="2024-06-04T00:00:00"/>
    <n v="-12"/>
    <n v="0"/>
    <n v="-42"/>
    <m/>
    <x v="0"/>
    <n v="3.5"/>
  </r>
  <r>
    <s v="outbound"/>
    <d v="2024-08-23T11:12:00"/>
    <s v="shipment"/>
    <s v="PO_00022557"/>
    <x v="15"/>
    <s v="PR21071201G1"/>
    <x v="11"/>
    <s v="preroll_labelled"/>
    <d v="2022-11-23T00:00:00"/>
    <n v="-12"/>
    <n v="0"/>
    <n v="-12"/>
    <m/>
    <x v="0"/>
    <n v="1"/>
  </r>
  <r>
    <s v="inbound"/>
    <d v="2024-08-23T17:09:00"/>
    <s v="storage"/>
    <m/>
    <x v="61"/>
    <s v="EX24070902V50"/>
    <x v="33"/>
    <s v="extract_ingested_labelled"/>
    <d v="2024-07-30T00:00:00"/>
    <n v="6"/>
    <n v="0"/>
    <n v="906"/>
    <m/>
    <x v="0"/>
    <n v="151"/>
  </r>
  <r>
    <s v="outbound"/>
    <d v="2024-08-26T10:03:00"/>
    <s v="production"/>
    <s v="packaging"/>
    <x v="69"/>
    <s v="PR241005F5"/>
    <x v="23"/>
    <s v="preroll_bulk"/>
    <s v="NA"/>
    <n v="-361"/>
    <n v="0"/>
    <n v="-180.5"/>
    <m/>
    <x v="0"/>
    <n v="0.5"/>
  </r>
  <r>
    <s v="outbound"/>
    <d v="2024-08-26T10:03:00"/>
    <s v="production"/>
    <s v="packaging"/>
    <x v="70"/>
    <s v="PR241005F5"/>
    <x v="23"/>
    <s v="preroll_bulk"/>
    <s v="NA"/>
    <n v="-362"/>
    <n v="0"/>
    <n v="-181"/>
    <m/>
    <x v="0"/>
    <n v="0.5"/>
  </r>
  <r>
    <s v="outbound"/>
    <d v="2024-08-26T11:06:00"/>
    <s v="production"/>
    <s v="packaging"/>
    <x v="35"/>
    <s v="PR2407F5"/>
    <x v="24"/>
    <s v="preroll_bulk"/>
    <d v="2024-05-31T00:00:00"/>
    <n v="-3990"/>
    <n v="0"/>
    <n v="-1995"/>
    <m/>
    <x v="0"/>
    <n v="0.5"/>
  </r>
  <r>
    <s v="outbound"/>
    <d v="2024-08-27T13:04:00"/>
    <s v="production"/>
    <s v="PO_00022557"/>
    <x v="30"/>
    <s v="2022012401R1"/>
    <x v="16"/>
    <s v="driedflower_bulk"/>
    <d v="2022-05-05T00:00:00"/>
    <n v="-1"/>
    <n v="-985"/>
    <n v="0"/>
    <m/>
    <x v="1"/>
    <n v="0"/>
  </r>
  <r>
    <s v="outbound"/>
    <d v="2024-08-27T13:04:00"/>
    <s v="production"/>
    <s v="PO_00022557"/>
    <x v="71"/>
    <s v="2022012401R1"/>
    <x v="16"/>
    <s v="driedflower_bulk"/>
    <d v="2022-05-05T00:00:00"/>
    <n v="-1"/>
    <n v="-450.8"/>
    <n v="0"/>
    <m/>
    <x v="1"/>
    <n v="0"/>
  </r>
  <r>
    <s v="outbound"/>
    <d v="2024-08-28T00:00:00"/>
    <s v="production"/>
    <s v="packaging 7-g flower"/>
    <x v="72"/>
    <s v="2022012401R1"/>
    <x v="16"/>
    <s v="driedflower_bulk"/>
    <d v="2022-05-05T00:00:00"/>
    <n v="-1"/>
    <n v="-1016.1"/>
    <n v="0"/>
    <m/>
    <x v="1"/>
    <n v="0"/>
  </r>
  <r>
    <s v="outbound"/>
    <d v="2024-08-28T11:18:00"/>
    <s v="production"/>
    <s v="PO_376465"/>
    <x v="22"/>
    <s v="PR241104F5P3"/>
    <x v="18"/>
    <s v="preroll_labelled"/>
    <d v="2024-10-02T00:00:00"/>
    <n v="-12"/>
    <n v="0"/>
    <n v="-18"/>
    <m/>
    <x v="0"/>
    <n v="1.5"/>
  </r>
  <r>
    <s v="inbound"/>
    <d v="2024-08-28T11:41:00"/>
    <s v="storage"/>
    <m/>
    <x v="21"/>
    <s v="PR241005F5P3"/>
    <x v="17"/>
    <s v="preroll_packaged"/>
    <d v="2024-09-06T00:00:00"/>
    <n v="241"/>
    <n v="0"/>
    <n v="361.5"/>
    <m/>
    <x v="0"/>
    <n v="1.5"/>
  </r>
  <r>
    <s v="outbound"/>
    <d v="2024-08-29T10:01:00"/>
    <s v="production"/>
    <s v="PO_DD24082201, PO_DD24082101"/>
    <x v="73"/>
    <s v="EX24060501V50"/>
    <x v="33"/>
    <s v="extract_ingested_labelled"/>
    <d v="2024-06-14T00:00:00"/>
    <n v="-9"/>
    <n v="0"/>
    <n v="-1359"/>
    <m/>
    <x v="0"/>
    <n v="151"/>
  </r>
  <r>
    <s v="outbound"/>
    <d v="2024-08-29T10:01:00"/>
    <s v="production"/>
    <s v="PO_DD24082201, PO_DD24082101"/>
    <x v="74"/>
    <s v="EX24070901V50"/>
    <x v="41"/>
    <s v="extract_ingested_cased_BC"/>
    <d v="2024-07-30T00:00:00"/>
    <n v="-48"/>
    <n v="0"/>
    <n v="-7248"/>
    <m/>
    <x v="0"/>
    <n v="151"/>
  </r>
  <r>
    <s v="outbound"/>
    <d v="2024-08-29T10:01:00"/>
    <s v="production"/>
    <s v="PO_DD24082201, PO_DD24082101"/>
    <x v="75"/>
    <s v="EX24080601V50"/>
    <x v="33"/>
    <s v="extract_ingested_labelled_damaged"/>
    <d v="2024-08-19T00:00:00"/>
    <n v="-87"/>
    <n v="0"/>
    <n v="-13137"/>
    <m/>
    <x v="0"/>
    <n v="151"/>
  </r>
  <r>
    <s v="outbound"/>
    <d v="2024-08-29T14:08:00"/>
    <s v="production"/>
    <s v="vape "/>
    <x v="57"/>
    <n v="2024050601"/>
    <x v="28"/>
    <s v="extract_inhaled_bulk"/>
    <s v="NA"/>
    <n v="-1"/>
    <n v="-104.86"/>
    <n v="0"/>
    <m/>
    <x v="1"/>
    <n v="0"/>
  </r>
  <r>
    <s v="outbound"/>
    <d v="2024-08-29T14:08:00"/>
    <s v="production"/>
    <s v="vape "/>
    <x v="76"/>
    <n v="2024030601"/>
    <x v="28"/>
    <s v="extract_inhaled_bulk"/>
    <d v="2024-01-05T00:00:00"/>
    <n v="-1"/>
    <n v="-2133.6"/>
    <n v="0"/>
    <m/>
    <x v="1"/>
    <n v="0"/>
  </r>
  <r>
    <s v="outbound"/>
    <d v="2024-08-29T14:14:00"/>
    <s v="production"/>
    <s v="vape and rollon "/>
    <x v="77"/>
    <n v="2024082701"/>
    <x v="26"/>
    <s v="extract_distillate_bulk"/>
    <s v="NA"/>
    <n v="-1"/>
    <n v="-2082.8000000000002"/>
    <n v="0"/>
    <m/>
    <x v="1"/>
    <n v="0"/>
  </r>
  <r>
    <s v="inbound"/>
    <d v="2024-08-29T14:38:00"/>
    <s v="storage"/>
    <m/>
    <x v="30"/>
    <s v="2022012401R1"/>
    <x v="16"/>
    <s v="driedflower_bulk"/>
    <d v="2022-05-05T00:00:00"/>
    <n v="1"/>
    <n v="980"/>
    <n v="0"/>
    <m/>
    <x v="1"/>
    <n v="0"/>
  </r>
  <r>
    <s v="inbound"/>
    <d v="2024-08-29T14:38:00"/>
    <s v="storage"/>
    <m/>
    <x v="72"/>
    <s v="2022012401R1"/>
    <x v="16"/>
    <s v="driedflower_bulk"/>
    <d v="2022-05-05T00:00:00"/>
    <n v="1"/>
    <n v="705"/>
    <n v="0"/>
    <m/>
    <x v="1"/>
    <n v="0"/>
  </r>
  <r>
    <s v="outbound"/>
    <d v="2024-08-29T16:00:00"/>
    <s v="production"/>
    <s v="rollon"/>
    <x v="38"/>
    <n v="2024022201"/>
    <x v="26"/>
    <s v="extract_distillate_bulk"/>
    <d v="2024-04-25T00:00:00"/>
    <n v="-1"/>
    <n v="-459.27"/>
    <n v="0"/>
    <m/>
    <x v="1"/>
    <n v="0"/>
  </r>
  <r>
    <s v="outbound"/>
    <d v="2024-08-29T16:00:00"/>
    <s v="production"/>
    <s v="rollon"/>
    <x v="78"/>
    <n v="2022082401"/>
    <x v="34"/>
    <s v="extract_distillate_bulk"/>
    <s v="NA"/>
    <n v="-1"/>
    <n v="-641"/>
    <n v="0"/>
    <m/>
    <x v="1"/>
    <n v="0"/>
  </r>
  <r>
    <s v="outbound"/>
    <d v="2024-08-29T16:00:00"/>
    <s v="production"/>
    <s v="rollon"/>
    <x v="62"/>
    <n v="2024101701"/>
    <x v="34"/>
    <s v="extract_distillate_bulk"/>
    <d v="2024-08-19T00:00:00"/>
    <n v="-1"/>
    <n v="-2002"/>
    <n v="0"/>
    <m/>
    <x v="1"/>
    <n v="0"/>
  </r>
  <r>
    <s v="inbound"/>
    <d v="2024-08-29T16:30:00"/>
    <s v="storage"/>
    <m/>
    <x v="75"/>
    <s v="EX24080601V50"/>
    <x v="33"/>
    <s v="extract_ingested_labelled_damaged"/>
    <d v="2024-08-19T00:00:00"/>
    <n v="48"/>
    <n v="0"/>
    <n v="7248"/>
    <m/>
    <x v="0"/>
    <n v="151"/>
  </r>
  <r>
    <s v="outbound"/>
    <d v="2024-08-30T10:17:00"/>
    <s v="shipment"/>
    <s v="PO_2024082901-1"/>
    <x v="79"/>
    <s v="PR21071201G1"/>
    <x v="11"/>
    <s v="preroll_labelled"/>
    <d v="2022-11-23T00:00:00"/>
    <n v="-12"/>
    <n v="0"/>
    <n v="-12"/>
    <m/>
    <x v="0"/>
    <n v="1"/>
  </r>
  <r>
    <s v="outbound"/>
    <d v="2024-08-30T10:17:00"/>
    <s v="shipment"/>
    <s v="PO_2024082901-1"/>
    <x v="16"/>
    <s v="PR2406F1P1"/>
    <x v="12"/>
    <s v="preroll_labelled"/>
    <d v="2024-06-19T00:00:00"/>
    <n v="-12"/>
    <n v="0"/>
    <n v="-12"/>
    <m/>
    <x v="0"/>
    <n v="1"/>
  </r>
  <r>
    <s v="outbound"/>
    <d v="2024-08-30T10:28:00"/>
    <s v="shipment"/>
    <s v="PO_2024082901-1"/>
    <x v="80"/>
    <s v="PR2301F5P3"/>
    <x v="42"/>
    <s v="preroll_labelled"/>
    <d v="2024-06-14T00:00:00"/>
    <n v="-12"/>
    <n v="0"/>
    <n v="-18"/>
    <m/>
    <x v="0"/>
    <n v="1.5"/>
  </r>
  <r>
    <s v="outbound"/>
    <d v="2024-08-30T10:28:00"/>
    <s v="shipment"/>
    <s v="PO_2024082901-1"/>
    <x v="22"/>
    <s v="PR241104F5P3"/>
    <x v="18"/>
    <s v="preroll_labelled"/>
    <d v="2024-10-02T00:00:00"/>
    <n v="-12"/>
    <n v="0"/>
    <n v="-18"/>
    <m/>
    <x v="0"/>
    <n v="1.5"/>
  </r>
  <r>
    <s v="outbound"/>
    <d v="2024-08-30T10:28:00"/>
    <s v="shipment"/>
    <s v="PO_2024082901-1"/>
    <x v="23"/>
    <s v="PR241101F5P3"/>
    <x v="19"/>
    <s v="preroll_labelled"/>
    <d v="2024-09-08T00:00:00"/>
    <n v="-12"/>
    <n v="0"/>
    <n v="-18"/>
    <m/>
    <x v="0"/>
    <n v="1.5"/>
  </r>
  <r>
    <s v="outbound"/>
    <d v="2024-08-30T10:28:00"/>
    <s v="shipment"/>
    <s v="PO_2024082901-1"/>
    <x v="81"/>
    <s v="PR2406F5P3"/>
    <x v="43"/>
    <s v="preroll_labelled"/>
    <d v="2024-06-14T00:00:00"/>
    <n v="-12"/>
    <n v="0"/>
    <n v="-18"/>
    <m/>
    <x v="0"/>
    <n v="1.5"/>
  </r>
  <r>
    <s v="inbound"/>
    <d v="2024-09-03T00:00:00"/>
    <s v="storage"/>
    <m/>
    <x v="62"/>
    <n v="2024101701"/>
    <x v="34"/>
    <s v="extract_distillate_bulk"/>
    <d v="2024-08-19T00:00:00"/>
    <n v="1"/>
    <n v="2911"/>
    <n v="0"/>
    <m/>
    <x v="1"/>
    <n v="0"/>
  </r>
  <r>
    <s v="outbound"/>
    <d v="2024-09-03T09:21:00"/>
    <s v="production"/>
    <m/>
    <x v="82"/>
    <s v="PR2411"/>
    <x v="3"/>
    <s v="driedflower_milled_bulk"/>
    <s v="NA"/>
    <n v="-1"/>
    <n v="-5655"/>
    <n v="0"/>
    <m/>
    <x v="1"/>
    <n v="0"/>
  </r>
  <r>
    <s v="inbound"/>
    <d v="2024-09-03T11:46:00"/>
    <s v="storage"/>
    <m/>
    <x v="38"/>
    <n v="2024022201"/>
    <x v="26"/>
    <s v="extract_distillate_bulk"/>
    <d v="2024-04-25T00:00:00"/>
    <n v="1"/>
    <n v="365.2"/>
    <n v="0"/>
    <m/>
    <x v="1"/>
    <n v="0"/>
  </r>
  <r>
    <s v="outbound"/>
    <d v="2024-09-03T12:02:00"/>
    <s v="shipment"/>
    <m/>
    <x v="83"/>
    <s v="EX24080601V50"/>
    <x v="44"/>
    <s v="extract_ingested_labelled"/>
    <d v="2024-08-19T00:00:00"/>
    <n v="-154"/>
    <n v="0"/>
    <n v="-23254"/>
    <m/>
    <x v="0"/>
    <n v="151"/>
  </r>
  <r>
    <s v="outbound"/>
    <d v="2024-09-03T12:02:00"/>
    <s v="shipment"/>
    <m/>
    <x v="75"/>
    <s v="EX24080601V50"/>
    <x v="33"/>
    <s v="extract_ingested_labelled_damaged"/>
    <d v="2024-08-19T00:00:00"/>
    <n v="-48"/>
    <n v="0"/>
    <n v="-7248"/>
    <m/>
    <x v="0"/>
    <n v="151"/>
  </r>
  <r>
    <s v="outbound"/>
    <d v="2024-09-03T12:05:00"/>
    <s v="shipment"/>
    <m/>
    <x v="84"/>
    <s v="EX24070901V50"/>
    <x v="41"/>
    <s v="extract_ingested_labelled"/>
    <d v="2024-07-30T00:00:00"/>
    <n v="-253"/>
    <n v="0"/>
    <n v="-38203"/>
    <m/>
    <x v="0"/>
    <n v="151"/>
  </r>
  <r>
    <s v="outbound"/>
    <d v="2024-09-03T12:05:00"/>
    <s v="shipment"/>
    <m/>
    <x v="85"/>
    <s v="EX24070901V50"/>
    <x v="41"/>
    <s v="extract_ingested_cased_BC"/>
    <d v="2024-07-30T00:00:00"/>
    <n v="-288"/>
    <n v="0"/>
    <n v="-43488"/>
    <m/>
    <x v="0"/>
    <n v="151"/>
  </r>
  <r>
    <s v="inbound"/>
    <d v="2024-09-03T15:49:00"/>
    <s v="storage"/>
    <m/>
    <x v="83"/>
    <s v="EX24080601V50"/>
    <x v="44"/>
    <s v="extract_ingested_labelled"/>
    <d v="2024-08-19T00:00:00"/>
    <n v="22"/>
    <n v="0"/>
    <n v="3322"/>
    <m/>
    <x v="0"/>
    <n v="151"/>
  </r>
  <r>
    <s v="inbound"/>
    <d v="2024-09-03T15:49:00"/>
    <s v="storage"/>
    <m/>
    <x v="84"/>
    <s v="EX24070901V50"/>
    <x v="41"/>
    <s v="extract_ingested_labelled"/>
    <d v="2024-07-30T00:00:00"/>
    <n v="241"/>
    <n v="0"/>
    <n v="36391"/>
    <m/>
    <x v="0"/>
    <n v="151"/>
  </r>
  <r>
    <s v="outbound"/>
    <d v="2024-09-04T11:14:00"/>
    <s v="shipment"/>
    <s v="PO_378232"/>
    <x v="86"/>
    <s v="TP24041201"/>
    <x v="2"/>
    <s v="topical_labelled"/>
    <d v="2024-08-27T00:00:00"/>
    <n v="-24"/>
    <n v="0"/>
    <n v="-2112"/>
    <m/>
    <x v="0"/>
    <n v="88"/>
  </r>
  <r>
    <s v="inbound"/>
    <d v="2024-09-04T15:04:00"/>
    <s v="storage"/>
    <m/>
    <x v="87"/>
    <s v="PR2407F5"/>
    <x v="24"/>
    <s v="preroll_bulk_inferior"/>
    <s v="NA"/>
    <n v="63"/>
    <n v="0"/>
    <n v="31.5"/>
    <m/>
    <x v="0"/>
    <n v="0.5"/>
  </r>
  <r>
    <s v="inbound"/>
    <d v="2024-09-04T15:04:00"/>
    <s v="storage"/>
    <m/>
    <x v="35"/>
    <s v="PR2407F5"/>
    <x v="24"/>
    <s v="preroll_bulk"/>
    <d v="2024-05-31T00:00:00"/>
    <n v="388"/>
    <n v="0"/>
    <n v="194"/>
    <m/>
    <x v="0"/>
    <n v="0.5"/>
  </r>
  <r>
    <s v="inbound"/>
    <d v="2024-09-04T15:04:00"/>
    <s v="storage"/>
    <m/>
    <x v="51"/>
    <s v="PR241003F5P3"/>
    <x v="27"/>
    <s v="preroll_bulk"/>
    <s v="NA"/>
    <n v="500"/>
    <n v="0"/>
    <n v="250"/>
    <m/>
    <x v="0"/>
    <n v="0.5"/>
  </r>
  <r>
    <s v="inbound"/>
    <d v="2024-09-04T15:04:00"/>
    <s v="storage"/>
    <m/>
    <x v="52"/>
    <s v="PR241003F5P3"/>
    <x v="27"/>
    <s v="preroll_bulk"/>
    <s v="NA"/>
    <n v="507"/>
    <n v="0"/>
    <n v="253.5"/>
    <m/>
    <x v="0"/>
    <n v="0.5"/>
  </r>
  <r>
    <s v="outbound"/>
    <d v="2024-09-05T11:41:00"/>
    <s v="production"/>
    <m/>
    <x v="88"/>
    <s v="PR241003F5"/>
    <x v="27"/>
    <s v="preroll_bulk"/>
    <s v="NA"/>
    <n v="-339"/>
    <n v="0"/>
    <n v="-169.5"/>
    <m/>
    <x v="0"/>
    <n v="0.5"/>
  </r>
  <r>
    <s v="outbound"/>
    <d v="2024-09-05T11:41:00"/>
    <s v="production"/>
    <m/>
    <x v="52"/>
    <s v="PR241003F5P3"/>
    <x v="27"/>
    <s v="preroll_bulk"/>
    <s v="NA"/>
    <n v="-507"/>
    <n v="0"/>
    <n v="-253.5"/>
    <m/>
    <x v="0"/>
    <n v="0.5"/>
  </r>
  <r>
    <s v="outbound"/>
    <d v="2024-09-05T11:41:00"/>
    <s v="production"/>
    <m/>
    <x v="51"/>
    <s v="PR241003F5P3"/>
    <x v="27"/>
    <s v="preroll_bulk"/>
    <s v="NA"/>
    <n v="-500"/>
    <n v="0"/>
    <n v="-250"/>
    <m/>
    <x v="0"/>
    <n v="0.5"/>
  </r>
  <r>
    <s v="outbound"/>
    <d v="2024-09-05T13:07:00"/>
    <s v="production"/>
    <s v="Vape production"/>
    <x v="77"/>
    <n v="2024082701"/>
    <x v="26"/>
    <s v="extract_distillate_bulk"/>
    <s v="NA"/>
    <n v="-1"/>
    <n v="-1705"/>
    <n v="0"/>
    <m/>
    <x v="1"/>
    <n v="0"/>
  </r>
  <r>
    <s v="outbound"/>
    <d v="2024-09-05T13:07:00"/>
    <s v="production"/>
    <s v="Vape production"/>
    <x v="76"/>
    <n v="2024030601"/>
    <x v="28"/>
    <s v="extract_inhaled_bulk"/>
    <d v="2024-01-05T00:00:00"/>
    <n v="-1"/>
    <n v="-1960.8"/>
    <n v="0"/>
    <m/>
    <x v="1"/>
    <n v="0"/>
  </r>
  <r>
    <s v="inbound"/>
    <d v="2024-09-05T16:52:00"/>
    <s v="storage"/>
    <m/>
    <x v="52"/>
    <s v="PR241003F5P3"/>
    <x v="27"/>
    <s v="preroll_bulk"/>
    <s v="NA"/>
    <n v="35"/>
    <n v="0"/>
    <n v="17.5"/>
    <m/>
    <x v="0"/>
    <n v="0.5"/>
  </r>
  <r>
    <s v="outbound"/>
    <d v="2024-09-06T11:01:00"/>
    <s v="shipment"/>
    <m/>
    <x v="23"/>
    <s v="PR241101F5P3"/>
    <x v="19"/>
    <s v="preroll_labelled"/>
    <d v="2024-09-08T00:00:00"/>
    <n v="-17"/>
    <n v="0"/>
    <n v="-25.5"/>
    <m/>
    <x v="0"/>
    <n v="1.5"/>
  </r>
  <r>
    <s v="outbound"/>
    <d v="2024-09-06T11:01:00"/>
    <s v="shipment"/>
    <m/>
    <x v="22"/>
    <s v="PR241104F5P3"/>
    <x v="18"/>
    <s v="preroll_labelled"/>
    <d v="2024-10-02T00:00:00"/>
    <n v="-12"/>
    <n v="0"/>
    <n v="-18"/>
    <m/>
    <x v="0"/>
    <n v="1.5"/>
  </r>
  <r>
    <s v="outbound"/>
    <d v="2024-09-06T11:07:00"/>
    <s v="shipment"/>
    <m/>
    <x v="89"/>
    <s v="PR241002F5P3"/>
    <x v="30"/>
    <s v="preroll_labelled"/>
    <d v="2024-08-19T00:00:00"/>
    <n v="-12"/>
    <n v="0"/>
    <n v="-18"/>
    <m/>
    <x v="0"/>
    <n v="1.5"/>
  </r>
  <r>
    <s v="outbound"/>
    <d v="2024-09-06T11:09:00"/>
    <s v="shipment"/>
    <m/>
    <x v="54"/>
    <s v="PR2407F5P3"/>
    <x v="31"/>
    <s v="preroll_labelled"/>
    <d v="2024-07-25T00:00:00"/>
    <n v="-12"/>
    <n v="0"/>
    <n v="-18"/>
    <m/>
    <x v="0"/>
    <n v="1.5"/>
  </r>
  <r>
    <s v="outbound"/>
    <d v="2024-09-06T11:09:00"/>
    <s v="shipment"/>
    <m/>
    <x v="79"/>
    <s v="PR21071201G1"/>
    <x v="11"/>
    <s v="preroll_labelled"/>
    <d v="2022-11-23T00:00:00"/>
    <n v="-24"/>
    <n v="0"/>
    <n v="-24"/>
    <m/>
    <x v="0"/>
    <n v="1"/>
  </r>
  <r>
    <s v="outbound"/>
    <d v="2024-09-06T11:09:00"/>
    <s v="production"/>
    <m/>
    <x v="21"/>
    <s v="PR241005F5P3"/>
    <x v="17"/>
    <s v="preroll_packaged"/>
    <d v="2024-09-06T00:00:00"/>
    <n v="-344"/>
    <n v="0"/>
    <n v="-516"/>
    <m/>
    <x v="0"/>
    <n v="1.5"/>
  </r>
  <r>
    <s v="outbound"/>
    <d v="2024-09-09T10:25:00"/>
    <s v="production"/>
    <m/>
    <x v="90"/>
    <s v="EX24090501"/>
    <x v="10"/>
    <s v="extract_ingested_bulk"/>
    <s v="NA"/>
    <n v="-1"/>
    <n v="-18545"/>
    <n v="0"/>
    <m/>
    <x v="1"/>
    <n v="0"/>
  </r>
  <r>
    <s v="outbound"/>
    <d v="2024-09-09T10:25:00"/>
    <s v="production"/>
    <m/>
    <x v="91"/>
    <s v="EX24090501"/>
    <x v="10"/>
    <s v="extract_ingested_bulk"/>
    <s v="NA"/>
    <n v="-1"/>
    <n v="-18545"/>
    <n v="0"/>
    <m/>
    <x v="1"/>
    <n v="0"/>
  </r>
  <r>
    <s v="inbound"/>
    <d v="2024-09-09T11:45:00"/>
    <s v="storage"/>
    <m/>
    <x v="47"/>
    <s v="PR241005F5"/>
    <x v="23"/>
    <s v="preroll_bulk"/>
    <s v="NA"/>
    <n v="494"/>
    <n v="0"/>
    <n v="247"/>
    <m/>
    <x v="0"/>
    <n v="0.5"/>
  </r>
  <r>
    <s v="inbound"/>
    <d v="2024-09-09T11:45:00"/>
    <s v="storage"/>
    <m/>
    <x v="45"/>
    <s v="PR241005F5"/>
    <x v="23"/>
    <s v="preroll_bulk"/>
    <s v="NA"/>
    <n v="484"/>
    <n v="0"/>
    <n v="242"/>
    <m/>
    <x v="0"/>
    <n v="0.5"/>
  </r>
  <r>
    <s v="outbound"/>
    <d v="2024-09-09T14:10:00"/>
    <s v="shipment"/>
    <s v="PO_381851"/>
    <x v="86"/>
    <s v="TP24041201"/>
    <x v="2"/>
    <s v="topical_labelled"/>
    <d v="2024-08-27T00:00:00"/>
    <n v="-12"/>
    <n v="0"/>
    <n v="-1056"/>
    <m/>
    <x v="0"/>
    <n v="88"/>
  </r>
  <r>
    <s v="outbound"/>
    <d v="2024-09-11T10:09:00"/>
    <s v="shipment"/>
    <s v="PO_382463, PO_282639, PO_382735"/>
    <x v="86"/>
    <s v="TP24041201"/>
    <x v="2"/>
    <s v="topical_labelled"/>
    <d v="2024-08-27T00:00:00"/>
    <n v="-36"/>
    <n v="0"/>
    <n v="-3168"/>
    <m/>
    <x v="0"/>
    <n v="88"/>
  </r>
  <r>
    <s v="outbound"/>
    <d v="2024-09-11T14:12:00"/>
    <s v="production"/>
    <m/>
    <x v="79"/>
    <s v="PR21071201G1"/>
    <x v="11"/>
    <s v="preroll_labelled"/>
    <d v="2022-11-23T00:00:00"/>
    <n v="-60"/>
    <n v="0"/>
    <n v="-60"/>
    <m/>
    <x v="0"/>
    <n v="1"/>
  </r>
  <r>
    <s v="outbound"/>
    <d v="2024-09-11T14:12:00"/>
    <s v="production"/>
    <s v="PO_0070467"/>
    <x v="92"/>
    <s v="PR241105F5P3"/>
    <x v="23"/>
    <s v="preroll_bulk"/>
    <s v="NA"/>
    <n v="-120"/>
    <n v="0"/>
    <n v="-180"/>
    <m/>
    <x v="0"/>
    <n v="1.5"/>
  </r>
  <r>
    <s v="outbound"/>
    <d v="2024-09-11T14:12:00"/>
    <s v="production"/>
    <s v="PO_0070467"/>
    <x v="93"/>
    <s v="PR241105F5P3"/>
    <x v="23"/>
    <s v="preroll_bulk"/>
    <s v="NA"/>
    <n v="-484"/>
    <n v="0"/>
    <n v="-726"/>
    <m/>
    <x v="0"/>
    <n v="1.5"/>
  </r>
  <r>
    <s v="outbound"/>
    <d v="2024-09-11T14:12:00"/>
    <s v="production"/>
    <s v="PO_0070467"/>
    <x v="94"/>
    <s v="PR241105F5P3"/>
    <x v="23"/>
    <s v="preroll_bulk"/>
    <s v="NA"/>
    <n v="-242"/>
    <n v="0"/>
    <n v="-363"/>
    <m/>
    <x v="0"/>
    <n v="1.5"/>
  </r>
  <r>
    <s v="outbound"/>
    <d v="2024-09-11T14:12:00"/>
    <s v="production"/>
    <s v="PO_0070467"/>
    <x v="95"/>
    <s v="PR241105F5P3"/>
    <x v="23"/>
    <s v="preroll_bulk"/>
    <s v="NA"/>
    <n v="-437"/>
    <n v="0"/>
    <n v="-655.5"/>
    <m/>
    <x v="0"/>
    <n v="1.5"/>
  </r>
  <r>
    <s v="outbound"/>
    <d v="2024-09-11T14:12:00"/>
    <s v="production"/>
    <s v="PO_0070467"/>
    <x v="96"/>
    <s v="PR241105F5P3"/>
    <x v="23"/>
    <s v="preroll_bulk"/>
    <s v="NA"/>
    <n v="-395"/>
    <n v="0"/>
    <n v="-592.5"/>
    <m/>
    <x v="0"/>
    <n v="1.5"/>
  </r>
  <r>
    <s v="outbound"/>
    <d v="2024-09-11T14:12:00"/>
    <s v="production"/>
    <s v="PO_383188"/>
    <x v="22"/>
    <s v="PR241104F5P3"/>
    <x v="18"/>
    <s v="preroll_labelled"/>
    <d v="2024-10-02T00:00:00"/>
    <n v="-12"/>
    <n v="0"/>
    <n v="-18"/>
    <m/>
    <x v="0"/>
    <n v="1.5"/>
  </r>
  <r>
    <s v="outbound"/>
    <d v="2024-09-11T14:12:00"/>
    <s v="shipment"/>
    <s v="Boomtown Bloom Cannabis_sk"/>
    <x v="75"/>
    <s v="EX24080601V50"/>
    <x v="33"/>
    <s v="extract_ingested_labelled_damaged"/>
    <d v="2024-08-19T00:00:00"/>
    <n v="-12"/>
    <n v="0"/>
    <n v="-1812"/>
    <m/>
    <x v="0"/>
    <n v="151"/>
  </r>
  <r>
    <s v="outbound"/>
    <d v="2024-09-11T14:12:00"/>
    <s v="shipment"/>
    <s v="Boomtown Bloom Cannabis_sk"/>
    <x v="84"/>
    <s v="EX24070901V50"/>
    <x v="41"/>
    <s v="extract_ingested_labelled"/>
    <d v="2024-07-30T00:00:00"/>
    <n v="-12"/>
    <n v="0"/>
    <n v="-1812"/>
    <m/>
    <x v="0"/>
    <n v="151"/>
  </r>
  <r>
    <s v="outbound"/>
    <d v="2024-09-13T10:27:00"/>
    <s v="sampling"/>
    <m/>
    <x v="86"/>
    <s v="TP24041201"/>
    <x v="2"/>
    <s v="topical_labelled"/>
    <d v="2024-08-27T00:00:00"/>
    <n v="-1"/>
    <n v="0"/>
    <n v="-88"/>
    <m/>
    <x v="0"/>
    <n v="88"/>
  </r>
  <r>
    <s v="outbound"/>
    <d v="2024-09-16T09:36:00"/>
    <s v="sampling"/>
    <s v="JAY240916"/>
    <x v="97"/>
    <s v="PR241003F5"/>
    <x v="27"/>
    <s v="preroll_bulk"/>
    <s v="NA"/>
    <n v="-275"/>
    <n v="0"/>
    <n v="-137.5"/>
    <m/>
    <x v="0"/>
    <n v="0.5"/>
  </r>
  <r>
    <s v="outbound"/>
    <d v="2024-09-16T09:36:00"/>
    <s v="sampling"/>
    <s v="JAY240916"/>
    <x v="47"/>
    <s v="PR241005F5"/>
    <x v="23"/>
    <s v="preroll_bulk"/>
    <s v="NA"/>
    <n v="-494"/>
    <n v="0"/>
    <n v="-247"/>
    <m/>
    <x v="0"/>
    <n v="0.5"/>
  </r>
  <r>
    <s v="outbound"/>
    <d v="2024-09-16T09:36:00"/>
    <s v="production"/>
    <m/>
    <x v="76"/>
    <n v="2024030601"/>
    <x v="28"/>
    <s v="extract_inhaled_bulk"/>
    <d v="2024-01-05T00:00:00"/>
    <n v="-1"/>
    <n v="-1960.8"/>
    <n v="0"/>
    <m/>
    <x v="1"/>
    <n v="0"/>
  </r>
  <r>
    <s v="outbound"/>
    <d v="2024-09-16T09:36:00"/>
    <s v="production"/>
    <m/>
    <x v="38"/>
    <n v="2024022201"/>
    <x v="26"/>
    <s v="extract_distillate_bulk"/>
    <d v="2024-04-25T00:00:00"/>
    <n v="-1"/>
    <n v="-365.2"/>
    <n v="0"/>
    <m/>
    <x v="1"/>
    <n v="0"/>
  </r>
  <r>
    <s v="outbound"/>
    <d v="2024-09-16T09:36:00"/>
    <s v="production"/>
    <m/>
    <x v="77"/>
    <n v="2024082701"/>
    <x v="26"/>
    <s v="extract_distillate_bulk"/>
    <s v="NA"/>
    <n v="-1"/>
    <n v="-1316"/>
    <n v="0"/>
    <m/>
    <x v="1"/>
    <n v="0"/>
  </r>
  <r>
    <s v="outbound"/>
    <d v="2024-09-16T10:42:00"/>
    <s v="shipment"/>
    <s v="labelling"/>
    <x v="98"/>
    <s v="EX24082903G05"/>
    <x v="45"/>
    <s v="extract_inhaled_labelled"/>
    <d v="2024-09-20T00:00:00"/>
    <n v="-178"/>
    <n v="0"/>
    <n v="-89"/>
    <m/>
    <x v="0"/>
    <n v="0.5"/>
  </r>
  <r>
    <s v="outbound"/>
    <d v="2024-09-16T10:42:00"/>
    <s v="shipment"/>
    <s v="labelling"/>
    <x v="99"/>
    <s v="EX24082902G05"/>
    <x v="46"/>
    <s v="extract_inhaled_labelled"/>
    <d v="2024-09-20T00:00:00"/>
    <n v="-165"/>
    <n v="0"/>
    <n v="-82.5"/>
    <m/>
    <x v="0"/>
    <n v="0.5"/>
  </r>
  <r>
    <s v="outbound"/>
    <d v="2024-09-16T10:42:00"/>
    <s v="shipment"/>
    <s v="labelling"/>
    <x v="100"/>
    <s v="EX24082901G05"/>
    <x v="47"/>
    <s v="extract_inhaled_labelled"/>
    <d v="2024-09-20T00:00:00"/>
    <n v="-164"/>
    <n v="0"/>
    <n v="-82"/>
    <m/>
    <x v="0"/>
    <n v="0.5"/>
  </r>
  <r>
    <s v="outbound"/>
    <d v="2024-09-16T10:42:00"/>
    <s v="shipment"/>
    <s v="labelling"/>
    <x v="101"/>
    <s v="EX24082904G05"/>
    <x v="48"/>
    <s v="extract_inhaled_labelled"/>
    <d v="2024-09-20T00:00:00"/>
    <n v="-200"/>
    <n v="0"/>
    <n v="-100"/>
    <m/>
    <x v="0"/>
    <n v="0.5"/>
  </r>
  <r>
    <s v="outbound"/>
    <d v="2024-09-16T10:42:00"/>
    <s v="shipment"/>
    <s v="labelling"/>
    <x v="102"/>
    <s v="EX24082905G05"/>
    <x v="49"/>
    <s v="extract_inhaled_packaged"/>
    <s v="NA"/>
    <n v="-164"/>
    <n v="0"/>
    <n v="-82"/>
    <m/>
    <x v="0"/>
    <n v="0.5"/>
  </r>
  <r>
    <s v="outbound"/>
    <d v="2024-09-16T11:16:00"/>
    <s v="shipment"/>
    <s v="PO_DD2024081601, PO_DD2024091001"/>
    <x v="103"/>
    <s v="PR21071201G1"/>
    <x v="11"/>
    <s v="preroll_labelled"/>
    <d v="2024-09-06T00:00:00"/>
    <n v="-60"/>
    <n v="0"/>
    <n v="-60"/>
    <m/>
    <x v="0"/>
    <n v="1"/>
  </r>
  <r>
    <s v="outbound"/>
    <d v="2024-09-16T11:16:00"/>
    <s v="shipment"/>
    <s v="PO_DD2024081601, PO_DD2024091001"/>
    <x v="80"/>
    <s v="PR2301F5P3"/>
    <x v="42"/>
    <s v="preroll_labelled"/>
    <d v="2024-06-14T00:00:00"/>
    <n v="-60"/>
    <n v="0"/>
    <n v="-90"/>
    <m/>
    <x v="0"/>
    <n v="1.5"/>
  </r>
  <r>
    <s v="outbound"/>
    <d v="2024-09-16T11:16:00"/>
    <s v="shipment"/>
    <s v="PO_DD2024091001"/>
    <x v="54"/>
    <s v="PR2407F5P3"/>
    <x v="31"/>
    <s v="preroll_labelled"/>
    <d v="2024-07-25T00:00:00"/>
    <n v="-36"/>
    <n v="0"/>
    <n v="-54"/>
    <m/>
    <x v="0"/>
    <n v="1.5"/>
  </r>
  <r>
    <s v="outbound"/>
    <d v="2024-09-16T11:16:00"/>
    <s v="shipment"/>
    <s v="PO_DD2024091001"/>
    <x v="22"/>
    <s v="PR241104F5P3"/>
    <x v="18"/>
    <s v="preroll_labelled"/>
    <d v="2024-10-02T00:00:00"/>
    <n v="-12"/>
    <n v="0"/>
    <n v="-18"/>
    <m/>
    <x v="0"/>
    <n v="1.5"/>
  </r>
  <r>
    <s v="outbound"/>
    <d v="2024-09-16T11:16:00"/>
    <s v="shipment"/>
    <s v="PO_DD2024091001, PO_DD2024091002"/>
    <x v="104"/>
    <s v="PR241005F5P3"/>
    <x v="17"/>
    <s v="preroll_labelled"/>
    <d v="2024-10-10T00:00:00"/>
    <n v="-36"/>
    <n v="0"/>
    <n v="-54"/>
    <m/>
    <x v="0"/>
    <n v="1.5"/>
  </r>
  <r>
    <s v="outbound"/>
    <d v="2024-09-16T11:16:00"/>
    <s v="shipment"/>
    <s v="PO_DD2024091001"/>
    <x v="89"/>
    <s v="PR241002F5P3"/>
    <x v="30"/>
    <s v="preroll_labelled"/>
    <d v="2024-08-19T00:00:00"/>
    <n v="-12"/>
    <n v="0"/>
    <n v="-18"/>
    <m/>
    <x v="0"/>
    <n v="1.5"/>
  </r>
  <r>
    <s v="outbound"/>
    <d v="2024-09-16T11:16:00"/>
    <s v="shipment"/>
    <s v="PO_DD2024091002"/>
    <x v="23"/>
    <s v="PR241101F5P3"/>
    <x v="19"/>
    <s v="preroll_labelled"/>
    <d v="2024-09-08T00:00:00"/>
    <n v="-36"/>
    <n v="0"/>
    <n v="-54"/>
    <m/>
    <x v="0"/>
    <n v="1.5"/>
  </r>
  <r>
    <s v="outbound"/>
    <d v="2024-09-16T11:42:00"/>
    <s v="shipment"/>
    <s v="PO_DD2024091001"/>
    <x v="105"/>
    <s v="PR241003F5P3"/>
    <x v="20"/>
    <s v="preroll_labelled"/>
    <d v="2024-10-05T00:00:00"/>
    <n v="-24"/>
    <n v="0"/>
    <n v="-36"/>
    <m/>
    <x v="0"/>
    <n v="1.5"/>
  </r>
  <r>
    <s v="outbound"/>
    <d v="2024-09-16T14:35:00"/>
    <s v="shipment"/>
    <s v="OFD240916"/>
    <x v="86"/>
    <s v="TP24041201"/>
    <x v="2"/>
    <s v="topical_labelled"/>
    <d v="2024-08-27T00:00:00"/>
    <n v="-109"/>
    <n v="0"/>
    <n v="-9592"/>
    <m/>
    <x v="0"/>
    <n v="88"/>
  </r>
  <r>
    <s v="outbound"/>
    <d v="2024-09-16T14:35:00"/>
    <s v="shipment"/>
    <s v="PO_383692"/>
    <x v="3"/>
    <s v="TP24041201"/>
    <x v="2"/>
    <s v="topical_labelled"/>
    <d v="2024-06-05T00:00:00"/>
    <n v="-11"/>
    <n v="0"/>
    <n v="-968"/>
    <m/>
    <x v="0"/>
    <n v="88"/>
  </r>
  <r>
    <s v="inbound"/>
    <d v="2024-09-17T00:00:00"/>
    <s v="storage"/>
    <m/>
    <x v="98"/>
    <s v="EX24082903G05"/>
    <x v="45"/>
    <s v="extract_inhaled_labelled"/>
    <d v="2024-09-20T00:00:00"/>
    <n v="31"/>
    <n v="0"/>
    <n v="15.5"/>
    <m/>
    <x v="0"/>
    <n v="0.5"/>
  </r>
  <r>
    <s v="inbound"/>
    <d v="2024-09-17T00:00:00"/>
    <s v="storage"/>
    <m/>
    <x v="101"/>
    <s v="EX24082904G05"/>
    <x v="48"/>
    <s v="extract_inhaled_labelled"/>
    <d v="2024-09-20T00:00:00"/>
    <n v="93"/>
    <n v="0"/>
    <n v="46.5"/>
    <m/>
    <x v="0"/>
    <n v="0.5"/>
  </r>
  <r>
    <s v="outbound"/>
    <d v="2024-09-17T09:24:00"/>
    <s v="sampling"/>
    <s v="JAY240916"/>
    <x v="106"/>
    <s v="EX24061401V30"/>
    <x v="32"/>
    <s v="extract_ingested_labelled"/>
    <d v="2024-06-24T00:00:00"/>
    <n v="-1"/>
    <n v="0"/>
    <n v="-27.3"/>
    <m/>
    <x v="0"/>
    <n v="27.3"/>
  </r>
  <r>
    <s v="outbound"/>
    <d v="2024-09-17T09:24:00"/>
    <s v="sampling"/>
    <s v="JAY240916"/>
    <x v="32"/>
    <s v="EX23060701V30"/>
    <x v="22"/>
    <s v="extract_ingested_labelled"/>
    <d v="2023-06-17T00:00:00"/>
    <n v="-1"/>
    <n v="0"/>
    <n v="-27.4"/>
    <m/>
    <x v="0"/>
    <n v="27.4"/>
  </r>
  <r>
    <s v="outbound"/>
    <d v="2024-09-17T10:13:00"/>
    <s v="production"/>
    <s v="labelling"/>
    <x v="107"/>
    <s v="EX24090501V50"/>
    <x v="33"/>
    <s v="extract_ingested_labelled"/>
    <d v="2024-09-15T00:00:00"/>
    <n v="-231"/>
    <n v="0"/>
    <n v="-34881"/>
    <m/>
    <x v="0"/>
    <n v="151"/>
  </r>
  <r>
    <s v="outbound"/>
    <d v="2024-09-17T10:13:00"/>
    <s v="production"/>
    <s v="labelling"/>
    <x v="108"/>
    <s v="EX24090501V50"/>
    <x v="33"/>
    <s v="extract_ingested_labelled"/>
    <d v="2024-09-15T00:00:00"/>
    <n v="-231"/>
    <n v="0"/>
    <n v="-34881"/>
    <m/>
    <x v="0"/>
    <n v="151"/>
  </r>
  <r>
    <s v="outbound"/>
    <d v="2024-09-17T10:13:00"/>
    <s v="production"/>
    <s v="labelling"/>
    <x v="109"/>
    <s v="EX24090501V50"/>
    <x v="33"/>
    <s v="extract_ingested_labelled"/>
    <d v="2024-09-15T00:00:00"/>
    <n v="-228"/>
    <n v="0"/>
    <n v="-34428"/>
    <m/>
    <x v="0"/>
    <n v="151"/>
  </r>
  <r>
    <s v="outbound"/>
    <d v="2024-09-17T10:13:00"/>
    <s v="production"/>
    <s v="labelling"/>
    <x v="61"/>
    <s v="EX24070902V50"/>
    <x v="33"/>
    <s v="extract_ingested_labelled"/>
    <d v="2024-07-30T00:00:00"/>
    <n v="-7"/>
    <n v="0"/>
    <n v="-1057"/>
    <m/>
    <x v="0"/>
    <n v="151"/>
  </r>
  <r>
    <s v="outbound"/>
    <d v="2024-09-17T10:13:00"/>
    <s v="production"/>
    <s v="labelling"/>
    <x v="75"/>
    <s v="EX24080601V50"/>
    <x v="33"/>
    <s v="extract_ingested_labelled_damaged"/>
    <d v="2024-08-19T00:00:00"/>
    <n v="-9"/>
    <n v="0"/>
    <n v="-1359"/>
    <m/>
    <x v="0"/>
    <n v="151"/>
  </r>
  <r>
    <s v="inbound"/>
    <d v="2024-09-17T13:37:00"/>
    <s v="storage"/>
    <m/>
    <x v="107"/>
    <s v="EX24090501V50"/>
    <x v="33"/>
    <s v="extract_ingested_labelled"/>
    <d v="2024-09-15T00:00:00"/>
    <n v="231"/>
    <n v="0"/>
    <n v="34881"/>
    <m/>
    <x v="0"/>
    <n v="151"/>
  </r>
  <r>
    <s v="inbound"/>
    <d v="2024-09-17T13:37:00"/>
    <s v="storage"/>
    <m/>
    <x v="108"/>
    <s v="EX24090501V50"/>
    <x v="33"/>
    <s v="extract_ingested_labelled"/>
    <d v="2024-09-15T00:00:00"/>
    <n v="231"/>
    <n v="0"/>
    <n v="34881"/>
    <m/>
    <x v="0"/>
    <n v="151"/>
  </r>
  <r>
    <s v="inbound"/>
    <d v="2024-09-17T13:37:00"/>
    <s v="storage"/>
    <m/>
    <x v="109"/>
    <s v="EX24090501V50"/>
    <x v="33"/>
    <s v="extract_ingested_labelled"/>
    <d v="2024-09-15T00:00:00"/>
    <n v="228"/>
    <n v="0"/>
    <n v="34428"/>
    <m/>
    <x v="0"/>
    <n v="151"/>
  </r>
  <r>
    <s v="inbound"/>
    <d v="2024-09-17T13:37:00"/>
    <s v="storage"/>
    <m/>
    <x v="61"/>
    <s v="EX24070902V50"/>
    <x v="33"/>
    <s v="extract_ingested_labelled"/>
    <d v="2024-07-30T00:00:00"/>
    <n v="7"/>
    <n v="0"/>
    <n v="1057"/>
    <m/>
    <x v="0"/>
    <n v="151"/>
  </r>
  <r>
    <s v="inbound"/>
    <d v="2024-09-17T13:37:00"/>
    <s v="storage"/>
    <m/>
    <x v="75"/>
    <s v="EX24080601V50"/>
    <x v="33"/>
    <s v="extract_ingested_labelled_damaged"/>
    <d v="2024-08-19T00:00:00"/>
    <n v="9"/>
    <n v="0"/>
    <n v="1359"/>
    <m/>
    <x v="0"/>
    <n v="151"/>
  </r>
  <r>
    <s v="outbound"/>
    <d v="2024-09-18T09:34:00"/>
    <s v="shipment"/>
    <s v="PO_385035"/>
    <x v="105"/>
    <s v="PR241003F5P3"/>
    <x v="20"/>
    <s v="preroll_labelled"/>
    <d v="2024-10-05T00:00:00"/>
    <n v="-12"/>
    <n v="0"/>
    <n v="-18"/>
    <m/>
    <x v="0"/>
    <n v="1.5"/>
  </r>
  <r>
    <s v="outbound"/>
    <d v="2024-09-18T10:06:00"/>
    <s v="shipment"/>
    <s v="PO_383346"/>
    <x v="110"/>
    <s v="EX24082904G05"/>
    <x v="48"/>
    <s v="extract_inhaled_labelled"/>
    <d v="2024-09-20T00:00:00"/>
    <n v="-11"/>
    <n v="0"/>
    <n v="-5.5"/>
    <m/>
    <x v="0"/>
    <n v="0.5"/>
  </r>
  <r>
    <s v="outbound"/>
    <d v="2024-09-18T10:06:00"/>
    <s v="shipment"/>
    <s v="PO_383346"/>
    <x v="98"/>
    <s v="EX24082903G05"/>
    <x v="45"/>
    <s v="extract_inhaled_labelled"/>
    <d v="2024-09-20T00:00:00"/>
    <n v="-12"/>
    <n v="0"/>
    <n v="-6"/>
    <m/>
    <x v="0"/>
    <n v="0.5"/>
  </r>
  <r>
    <s v="inbound"/>
    <d v="2024-09-18T10:15:00"/>
    <s v="storage"/>
    <s v="return OFD240916"/>
    <x v="86"/>
    <s v="TP24041201"/>
    <x v="2"/>
    <s v="topical_labelled"/>
    <d v="2024-08-27T00:00:00"/>
    <n v="109"/>
    <n v="0"/>
    <n v="9592"/>
    <m/>
    <x v="0"/>
    <n v="88"/>
  </r>
  <r>
    <s v="outbound"/>
    <d v="2024-09-18T10:15:00"/>
    <s v="storage"/>
    <s v="PO_383315, PO_383399, PO_383692, PO_383907"/>
    <x v="3"/>
    <s v="TP24041201"/>
    <x v="2"/>
    <s v="topical_labelled"/>
    <d v="2024-06-05T00:00:00"/>
    <n v="-37"/>
    <n v="0"/>
    <n v="-3256"/>
    <m/>
    <x v="0"/>
    <n v="88"/>
  </r>
  <r>
    <s v="outbound"/>
    <d v="2024-09-18T10:15:00"/>
    <s v="shipment"/>
    <s v="PO_383346"/>
    <x v="101"/>
    <s v="EX24082904G05"/>
    <x v="48"/>
    <s v="extract_inhaled_labelled"/>
    <d v="2024-09-20T00:00:00"/>
    <n v="-1"/>
    <n v="0"/>
    <n v="-0.5"/>
    <m/>
    <x v="0"/>
    <n v="0.5"/>
  </r>
  <r>
    <s v="outbound"/>
    <d v="2024-09-19T13:50:00"/>
    <s v="shipment"/>
    <s v="PO_4500838969"/>
    <x v="8"/>
    <s v="BS23101901G450"/>
    <x v="5"/>
    <s v="topical_labelled"/>
    <d v="2024-06-24T00:00:00"/>
    <n v="-120"/>
    <n v="0"/>
    <n v="-54000"/>
    <m/>
    <x v="0"/>
    <n v="450"/>
  </r>
  <r>
    <s v="outbound"/>
    <d v="2024-09-20T13:45:00"/>
    <s v="production"/>
    <m/>
    <x v="77"/>
    <n v="2024082701"/>
    <x v="26"/>
    <s v="extract_distillate_bulk"/>
    <s v="NA"/>
    <n v="-1"/>
    <n v="-355.1"/>
    <n v="0"/>
    <m/>
    <x v="1"/>
    <n v="0"/>
  </r>
  <r>
    <s v="outbound"/>
    <d v="2024-09-23T09:31:00"/>
    <s v="production"/>
    <m/>
    <x v="111"/>
    <s v="EX24082903G05"/>
    <x v="45"/>
    <s v="extract_inhaled_labelled"/>
    <d v="2024-09-20T00:00:00"/>
    <n v="-200"/>
    <n v="0"/>
    <n v="-100"/>
    <m/>
    <x v="0"/>
    <n v="0.5"/>
  </r>
  <r>
    <s v="outbound"/>
    <d v="2024-09-23T09:31:00"/>
    <s v="production"/>
    <m/>
    <x v="112"/>
    <s v="EX24082903"/>
    <x v="45"/>
    <s v="extract_inhaled_packaged"/>
    <s v="NA"/>
    <n v="-200"/>
    <n v="0"/>
    <n v="-100"/>
    <m/>
    <x v="0"/>
    <n v="0.5"/>
  </r>
  <r>
    <s v="outbound"/>
    <d v="2024-09-23T09:31:00"/>
    <s v="production"/>
    <m/>
    <x v="113"/>
    <s v="EX24082904G05"/>
    <x v="48"/>
    <s v="extract_inhaled_labelled"/>
    <d v="2024-09-20T00:00:00"/>
    <n v="-200"/>
    <n v="0"/>
    <n v="-100"/>
    <m/>
    <x v="0"/>
    <n v="0.5"/>
  </r>
  <r>
    <s v="outbound"/>
    <d v="2024-09-23T09:31:00"/>
    <s v="production"/>
    <m/>
    <x v="114"/>
    <s v="EX24082904G05"/>
    <x v="48"/>
    <s v="extract_inhaled_labelled"/>
    <d v="2024-09-20T00:00:00"/>
    <n v="-208"/>
    <n v="0"/>
    <n v="-104"/>
    <m/>
    <x v="0"/>
    <n v="0.5"/>
  </r>
  <r>
    <s v="outbound"/>
    <d v="2024-09-23T09:31:00"/>
    <s v="production"/>
    <m/>
    <x v="115"/>
    <s v="EX24082905G05"/>
    <x v="49"/>
    <s v="extract_inhaled_labelled"/>
    <d v="2024-09-20T00:00:00"/>
    <n v="-200"/>
    <n v="-200"/>
    <n v="-100"/>
    <m/>
    <x v="0"/>
    <n v="0.5"/>
  </r>
  <r>
    <s v="outbound"/>
    <d v="2024-09-23T09:31:00"/>
    <s v="production"/>
    <m/>
    <x v="116"/>
    <s v="EX24082905G05"/>
    <x v="49"/>
    <s v="extract_inhaled_labelled"/>
    <d v="2024-09-20T00:00:00"/>
    <n v="-200"/>
    <n v="0"/>
    <n v="-100"/>
    <m/>
    <x v="0"/>
    <n v="0.5"/>
  </r>
  <r>
    <s v="outbound"/>
    <d v="2024-09-23T13:58:00"/>
    <s v="shipment"/>
    <s v="PO_OFD240924"/>
    <x v="86"/>
    <s v="TP24041201"/>
    <x v="2"/>
    <s v="topical_labelled"/>
    <d v="2024-08-27T00:00:00"/>
    <n v="-109"/>
    <n v="0"/>
    <n v="-9592"/>
    <m/>
    <x v="0"/>
    <n v="88"/>
  </r>
  <r>
    <s v="outbound"/>
    <d v="2024-09-23T13:58:00"/>
    <s v="shipment"/>
    <s v="PO_OFD240924"/>
    <x v="3"/>
    <s v="TP24041201"/>
    <x v="2"/>
    <s v="topical_labelled"/>
    <d v="2024-06-05T00:00:00"/>
    <n v="-142"/>
    <n v="0"/>
    <n v="-12496"/>
    <m/>
    <x v="0"/>
    <n v="88"/>
  </r>
  <r>
    <s v="outbound"/>
    <d v="2024-09-23T13:58:00"/>
    <s v="shipment"/>
    <s v="PO_00022626"/>
    <x v="117"/>
    <s v="CPR22102102G1"/>
    <x v="12"/>
    <s v="preroll_labelled"/>
    <d v="2023-03-14T00:00:00"/>
    <n v="-102"/>
    <n v="0"/>
    <n v="-102"/>
    <m/>
    <x v="0"/>
    <n v="1"/>
  </r>
  <r>
    <s v="outbound"/>
    <d v="2024-09-23T13:58:00"/>
    <s v="shipment"/>
    <s v="PO_00022626"/>
    <x v="65"/>
    <s v="PR22051901G1"/>
    <x v="37"/>
    <s v="preroll_labelled"/>
    <d v="2023-03-14T00:00:00"/>
    <n v="-36"/>
    <n v="0"/>
    <n v="-36"/>
    <m/>
    <x v="0"/>
    <n v="1"/>
  </r>
  <r>
    <s v="outbound"/>
    <d v="2024-09-23T13:58:00"/>
    <s v="shipment"/>
    <s v="PO_00022626"/>
    <x v="118"/>
    <s v="CPR22102101G1"/>
    <x v="35"/>
    <s v="preroll_labelled"/>
    <d v="2024-07-19T00:00:00"/>
    <n v="-12"/>
    <n v="0"/>
    <n v="-12"/>
    <m/>
    <x v="0"/>
    <n v="1"/>
  </r>
  <r>
    <s v="outbound"/>
    <d v="2024-09-23T13:58:00"/>
    <s v="shipment"/>
    <s v="PO_00022626"/>
    <x v="119"/>
    <s v="CPR22102101G1"/>
    <x v="35"/>
    <s v="preroll_labelled"/>
    <d v="2024-08-27T00:00:00"/>
    <n v="-24"/>
    <n v="0"/>
    <n v="-24"/>
    <m/>
    <x v="0"/>
    <n v="1"/>
  </r>
  <r>
    <s v="outbound"/>
    <d v="2024-09-23T13:58:00"/>
    <s v="shipment"/>
    <s v="PO_00022626"/>
    <x v="23"/>
    <s v="PR241101F5P3"/>
    <x v="19"/>
    <s v="preroll_labelled"/>
    <d v="2024-09-08T00:00:00"/>
    <n v="-12"/>
    <n v="0"/>
    <n v="-18"/>
    <m/>
    <x v="0"/>
    <n v="1.5"/>
  </r>
  <r>
    <s v="outbound"/>
    <d v="2024-09-23T13:58:00"/>
    <s v="shipment"/>
    <s v="PO_00022626"/>
    <x v="120"/>
    <s v="PR241005F5P3"/>
    <x v="17"/>
    <s v="preroll_labelled"/>
    <d v="2024-08-19T00:00:00"/>
    <n v="-12"/>
    <n v="0"/>
    <n v="-18"/>
    <m/>
    <x v="0"/>
    <n v="1.5"/>
  </r>
  <r>
    <s v="outbound"/>
    <d v="2024-09-23T14:47:00"/>
    <s v="shipment"/>
    <s v="PO_00022626"/>
    <x v="105"/>
    <s v="PR241003F5P3"/>
    <x v="20"/>
    <s v="preroll_labelled"/>
    <d v="2024-10-05T00:00:00"/>
    <n v="-12"/>
    <n v="0"/>
    <n v="-18"/>
    <m/>
    <x v="0"/>
    <n v="1.5"/>
  </r>
  <r>
    <s v="inbound"/>
    <d v="2024-09-23T14:47:00"/>
    <s v="storage"/>
    <m/>
    <x v="113"/>
    <s v="EX24082904G05"/>
    <x v="48"/>
    <s v="extract_inhaled_labelled"/>
    <d v="2024-09-20T00:00:00"/>
    <n v="120"/>
    <n v="0"/>
    <n v="60"/>
    <m/>
    <x v="0"/>
    <n v="0.5"/>
  </r>
  <r>
    <s v="outbound"/>
    <d v="2024-09-23T14:47:00"/>
    <s v="storage"/>
    <m/>
    <x v="121"/>
    <s v="EX24082906"/>
    <x v="50"/>
    <s v="extract_inhaled_packaged"/>
    <s v="NA"/>
    <n v="-36"/>
    <n v="0"/>
    <n v="-18"/>
    <m/>
    <x v="0"/>
    <n v="0.5"/>
  </r>
  <r>
    <s v="inbound"/>
    <d v="2024-09-23T14:47:00"/>
    <s v="storage"/>
    <m/>
    <x v="114"/>
    <s v="EX24082904G05"/>
    <x v="48"/>
    <s v="extract_inhaled_labelled"/>
    <d v="2024-09-20T00:00:00"/>
    <n v="73"/>
    <n v="0"/>
    <n v="36.5"/>
    <m/>
    <x v="0"/>
    <n v="0.5"/>
  </r>
  <r>
    <s v="outbound"/>
    <d v="2024-09-24T10:08:00"/>
    <s v="shipment"/>
    <s v="Rohan240923"/>
    <x v="35"/>
    <s v="PR2407F5"/>
    <x v="24"/>
    <s v="preroll_bulk"/>
    <d v="2024-05-31T00:00:00"/>
    <n v="-10"/>
    <n v="0"/>
    <n v="-5"/>
    <m/>
    <x v="0"/>
    <n v="0.5"/>
  </r>
  <r>
    <s v="outbound"/>
    <d v="2024-09-24T11:36:00"/>
    <s v="production"/>
    <s v="filling"/>
    <x v="122"/>
    <s v="EX24082901"/>
    <x v="51"/>
    <s v="extract_inhaled_bulk"/>
    <s v="NA"/>
    <n v="-1"/>
    <n v="-1168.3"/>
    <n v="0"/>
    <m/>
    <x v="1"/>
    <n v="0"/>
  </r>
  <r>
    <s v="inbound"/>
    <d v="2024-09-24T11:39:00"/>
    <s v="storage"/>
    <m/>
    <x v="116"/>
    <s v="EX24082905G05"/>
    <x v="49"/>
    <s v="extract_inhaled_labelled"/>
    <d v="2024-09-20T00:00:00"/>
    <n v="84"/>
    <n v="0"/>
    <n v="42"/>
    <m/>
    <x v="0"/>
    <n v="0.5"/>
  </r>
  <r>
    <s v="inbound"/>
    <d v="2024-09-24T11:50:00"/>
    <s v="storage"/>
    <m/>
    <x v="8"/>
    <s v="BS23101901G450"/>
    <x v="5"/>
    <s v="topical_labelled"/>
    <d v="2024-06-24T00:00:00"/>
    <n v="43"/>
    <n v="0"/>
    <n v="19350"/>
    <m/>
    <x v="0"/>
    <n v="450"/>
  </r>
  <r>
    <s v="outbound"/>
    <d v="2024-09-24T14:40:00"/>
    <s v="shipment"/>
    <s v="PO_OFD240924"/>
    <x v="23"/>
    <s v="PR241101F5P3"/>
    <x v="19"/>
    <s v="preroll_labelled"/>
    <d v="2024-09-08T00:00:00"/>
    <n v="-60"/>
    <n v="0"/>
    <n v="-90"/>
    <m/>
    <x v="0"/>
    <n v="1.5"/>
  </r>
  <r>
    <s v="outbound"/>
    <d v="2024-09-24T14:40:00"/>
    <s v="shipment"/>
    <s v="PO_OFD240924"/>
    <x v="104"/>
    <s v="PR241005F5P3"/>
    <x v="17"/>
    <s v="preroll_labelled"/>
    <d v="2024-10-10T00:00:00"/>
    <n v="-120"/>
    <n v="0"/>
    <n v="-180"/>
    <m/>
    <x v="0"/>
    <n v="1.5"/>
  </r>
  <r>
    <s v="outbound"/>
    <d v="2024-09-24T14:40:00"/>
    <s v="shipment"/>
    <s v="PO_OFD240924"/>
    <x v="105"/>
    <s v="PR241003F5P3"/>
    <x v="20"/>
    <s v="preroll_labelled"/>
    <d v="2024-10-05T00:00:00"/>
    <n v="-120"/>
    <n v="0"/>
    <n v="-180"/>
    <m/>
    <x v="0"/>
    <n v="1.5"/>
  </r>
  <r>
    <s v="outbound"/>
    <d v="2024-09-24T14:40:00"/>
    <s v="shipment"/>
    <s v="PO_OFD240924"/>
    <x v="22"/>
    <s v="PR241104F5P3"/>
    <x v="18"/>
    <s v="preroll_labelled"/>
    <d v="2024-10-02T00:00:00"/>
    <n v="-24"/>
    <n v="0"/>
    <n v="-36"/>
    <m/>
    <x v="0"/>
    <n v="1.5"/>
  </r>
  <r>
    <s v="outbound"/>
    <d v="2024-09-24T14:40:00"/>
    <s v="shipment"/>
    <s v="PO_OFD240924"/>
    <x v="89"/>
    <s v="PR241002F5P3"/>
    <x v="30"/>
    <s v="preroll_labelled"/>
    <d v="2024-08-19T00:00:00"/>
    <n v="-24"/>
    <n v="0"/>
    <n v="-36"/>
    <m/>
    <x v="0"/>
    <n v="1.5"/>
  </r>
  <r>
    <s v="outbound"/>
    <d v="2024-09-25T09:02:00"/>
    <s v="production"/>
    <s v="AGLC_PO_71087"/>
    <x v="123"/>
    <s v="EX24082903"/>
    <x v="52"/>
    <s v="extract_inhaled_bulk"/>
    <s v="NA"/>
    <n v="-1"/>
    <n v="-336.3"/>
    <n v="0"/>
    <m/>
    <x v="1"/>
    <n v="0"/>
  </r>
  <r>
    <s v="outbound"/>
    <d v="2024-09-25T09:02:00"/>
    <s v="sampling"/>
    <s v="JAY240924"/>
    <x v="124"/>
    <s v="PR241003F5"/>
    <x v="27"/>
    <s v="preroll_bulk"/>
    <s v="NA"/>
    <n v="-338"/>
    <n v="0"/>
    <n v="-169"/>
    <m/>
    <x v="0"/>
    <n v="0.5"/>
  </r>
  <r>
    <s v="outbound"/>
    <d v="2024-09-25T09:02:00"/>
    <s v="sampling"/>
    <s v="JAY240924"/>
    <x v="45"/>
    <s v="PR241005F5"/>
    <x v="23"/>
    <s v="preroll_bulk"/>
    <s v="NA"/>
    <n v="-484"/>
    <n v="0"/>
    <n v="-242"/>
    <m/>
    <x v="0"/>
    <n v="0.5"/>
  </r>
  <r>
    <s v="outbound"/>
    <d v="2024-09-25T09:02:00"/>
    <s v="sampling"/>
    <s v="JAY240924"/>
    <x v="35"/>
    <s v="PR2407F5"/>
    <x v="24"/>
    <s v="preroll_bulk"/>
    <d v="2024-05-31T00:00:00"/>
    <n v="-378"/>
    <n v="0"/>
    <n v="-189"/>
    <m/>
    <x v="0"/>
    <n v="0.5"/>
  </r>
  <r>
    <s v="outbound"/>
    <d v="2024-09-25T09:02:00"/>
    <s v="sampling"/>
    <s v="JAY240924"/>
    <x v="121"/>
    <s v="EX24082906"/>
    <x v="50"/>
    <s v="extract_inhaled_packaged"/>
    <s v="NA"/>
    <n v="-1"/>
    <n v="0"/>
    <n v="-0.5"/>
    <m/>
    <x v="0"/>
    <n v="0.5"/>
  </r>
  <r>
    <s v="outbound"/>
    <d v="2024-09-25T09:02:00"/>
    <s v="sampling"/>
    <s v="JAY240924"/>
    <x v="98"/>
    <s v="EX24082903G05"/>
    <x v="45"/>
    <s v="extract_inhaled_labelled"/>
    <d v="2024-09-20T00:00:00"/>
    <n v="-1"/>
    <n v="0"/>
    <n v="-0.5"/>
    <m/>
    <x v="0"/>
    <n v="0.5"/>
  </r>
  <r>
    <s v="inbound"/>
    <d v="2024-09-25T10:09:00"/>
    <s v="storage"/>
    <m/>
    <x v="100"/>
    <s v="EX24082901G05"/>
    <x v="47"/>
    <s v="extract_inhaled_labelled"/>
    <d v="2024-09-20T00:00:00"/>
    <n v="17"/>
    <n v="0"/>
    <n v="8.5"/>
    <m/>
    <x v="0"/>
    <n v="0.5"/>
  </r>
  <r>
    <s v="inbound"/>
    <d v="2024-09-25T10:09:00"/>
    <s v="storage"/>
    <m/>
    <x v="99"/>
    <s v="EX24082902G05"/>
    <x v="46"/>
    <s v="extract_inhaled_labelled"/>
    <d v="2024-09-20T00:00:00"/>
    <n v="9"/>
    <n v="0"/>
    <n v="4.5"/>
    <m/>
    <x v="0"/>
    <n v="0.5"/>
  </r>
  <r>
    <s v="inbound"/>
    <d v="2024-09-25T10:09:00"/>
    <s v="storage"/>
    <m/>
    <x v="111"/>
    <s v="EX24082903G05"/>
    <x v="45"/>
    <s v="extract_inhaled_labelled"/>
    <d v="2024-09-20T00:00:00"/>
    <n v="87"/>
    <n v="0"/>
    <n v="43.5"/>
    <m/>
    <x v="0"/>
    <n v="0.5"/>
  </r>
  <r>
    <s v="inbound"/>
    <d v="2024-09-25T10:17:00"/>
    <s v="storage"/>
    <m/>
    <x v="115"/>
    <s v="EX24082905G05"/>
    <x v="49"/>
    <s v="extract_inhaled_labelled"/>
    <d v="2024-09-20T00:00:00"/>
    <n v="108"/>
    <n v="0"/>
    <n v="54"/>
    <m/>
    <x v="0"/>
    <n v="0.5"/>
  </r>
  <r>
    <s v="inbound"/>
    <d v="2024-09-25T10:24:00"/>
    <s v="storage"/>
    <m/>
    <x v="86"/>
    <s v="TP24041201"/>
    <x v="2"/>
    <s v="topical_labelled"/>
    <d v="2024-08-27T00:00:00"/>
    <n v="18"/>
    <n v="0"/>
    <n v="1584"/>
    <m/>
    <x v="0"/>
    <n v="88"/>
  </r>
  <r>
    <s v="inbound"/>
    <d v="2024-09-25T14:07:00"/>
    <s v="storage"/>
    <m/>
    <x v="35"/>
    <s v="PR2407F5"/>
    <x v="24"/>
    <s v="preroll_bulk"/>
    <d v="2024-05-31T00:00:00"/>
    <n v="338"/>
    <n v="0"/>
    <n v="169"/>
    <m/>
    <x v="0"/>
    <n v="0.5"/>
  </r>
  <r>
    <s v="inbound"/>
    <d v="2024-09-25T14:10:00"/>
    <s v="storage"/>
    <m/>
    <x v="45"/>
    <s v="PR241005F5"/>
    <x v="23"/>
    <s v="preroll_bulk"/>
    <s v="NA"/>
    <n v="484"/>
    <n v="0"/>
    <n v="242"/>
    <m/>
    <x v="0"/>
    <n v="0.5"/>
  </r>
  <r>
    <s v="inbound"/>
    <d v="2024-09-25T14:10:00"/>
    <s v="storage"/>
    <m/>
    <x v="47"/>
    <s v="PR241005F5"/>
    <x v="23"/>
    <s v="preroll_bulk"/>
    <s v="NA"/>
    <n v="433"/>
    <n v="0"/>
    <n v="216.5"/>
    <m/>
    <x v="0"/>
    <n v="0.5"/>
  </r>
  <r>
    <s v="inbound"/>
    <d v="2024-09-25T14:10:00"/>
    <s v="storage"/>
    <m/>
    <x v="124"/>
    <s v="PR241003F5"/>
    <x v="27"/>
    <s v="preroll_bulk"/>
    <s v="NA"/>
    <n v="338"/>
    <n v="0"/>
    <n v="169"/>
    <m/>
    <x v="0"/>
    <n v="0.5"/>
  </r>
  <r>
    <s v="outbound"/>
    <d v="2024-09-25T16:05:00"/>
    <s v="shipment"/>
    <s v="PO_00022626"/>
    <x v="114"/>
    <s v="EX24082904G05"/>
    <x v="48"/>
    <s v="extract_inhaled_labelled"/>
    <d v="2024-09-20T00:00:00"/>
    <n v="-24"/>
    <n v="0"/>
    <n v="-12"/>
    <m/>
    <x v="0"/>
    <n v="0.5"/>
  </r>
  <r>
    <s v="outbound"/>
    <d v="2024-09-25T16:05:00"/>
    <s v="shipment"/>
    <s v="PO_00022626"/>
    <x v="115"/>
    <s v="EX24082905G05"/>
    <x v="49"/>
    <s v="extract_inhaled_labelled"/>
    <d v="2024-09-20T00:00:00"/>
    <n v="-24"/>
    <n v="0"/>
    <n v="-12"/>
    <m/>
    <x v="0"/>
    <n v="0.5"/>
  </r>
  <r>
    <s v="inbound"/>
    <d v="2024-09-26T00:00:00"/>
    <s v="storage"/>
    <m/>
    <x v="125"/>
    <s v="EX24082903G05"/>
    <x v="45"/>
    <s v="extract_inhaled_labelled"/>
    <d v="2024-09-25T00:00:00"/>
    <n v="83"/>
    <n v="0"/>
    <n v="41.5"/>
    <m/>
    <x v="0"/>
    <n v="0.5"/>
  </r>
  <r>
    <s v="inbound"/>
    <d v="2024-09-26T00:00:00"/>
    <s v="storage"/>
    <m/>
    <x v="126"/>
    <s v="EX24082903G05"/>
    <x v="45"/>
    <s v="extract_inhaled_packaged"/>
    <s v="NA"/>
    <n v="200"/>
    <n v="0"/>
    <n v="100"/>
    <m/>
    <x v="0"/>
    <n v="0.5"/>
  </r>
  <r>
    <s v="inbound"/>
    <d v="2024-09-26T00:00:00"/>
    <s v="storage"/>
    <m/>
    <x v="127"/>
    <s v="EX24082903G05"/>
    <x v="45"/>
    <s v="extract_inhaled_packaged"/>
    <s v="NA"/>
    <n v="200"/>
    <n v="0"/>
    <n v="100"/>
    <m/>
    <x v="0"/>
    <n v="0.5"/>
  </r>
  <r>
    <s v="inbound"/>
    <d v="2024-09-26T00:00:00"/>
    <s v="storage"/>
    <m/>
    <x v="128"/>
    <s v="EX24082903G05"/>
    <x v="45"/>
    <s v="extract_inhaled_packaged"/>
    <s v="NA"/>
    <n v="200"/>
    <n v="0"/>
    <n v="100"/>
    <m/>
    <x v="0"/>
    <n v="0.5"/>
  </r>
  <r>
    <s v="inbound"/>
    <d v="2024-09-26T00:00:00"/>
    <s v="storage"/>
    <m/>
    <x v="129"/>
    <s v="EX24082905G05"/>
    <x v="49"/>
    <s v="extract_inhaled_packaged"/>
    <s v="NA"/>
    <n v="200"/>
    <n v="0"/>
    <n v="100"/>
    <m/>
    <x v="0"/>
    <n v="0.5"/>
  </r>
  <r>
    <s v="inbound"/>
    <d v="2024-09-26T00:00:00"/>
    <s v="storage"/>
    <m/>
    <x v="130"/>
    <s v="EX24082905G05"/>
    <x v="49"/>
    <s v="extract_inhaled_packaged"/>
    <s v="NA"/>
    <n v="133"/>
    <n v="0"/>
    <n v="66.5"/>
    <m/>
    <x v="0"/>
    <n v="0.5"/>
  </r>
  <r>
    <s v="inbound"/>
    <d v="2024-09-26T00:00:00"/>
    <s v="storage"/>
    <m/>
    <x v="131"/>
    <s v="EX24082905G05"/>
    <x v="49"/>
    <s v="extract_inhaled_packaged"/>
    <s v="NA"/>
    <n v="200"/>
    <n v="0"/>
    <n v="100"/>
    <m/>
    <x v="0"/>
    <n v="0.5"/>
  </r>
  <r>
    <s v="inbound"/>
    <d v="2024-09-26T00:00:00"/>
    <s v="storage"/>
    <m/>
    <x v="132"/>
    <s v="EX24082905G05"/>
    <x v="49"/>
    <s v="extract_inhaled_labelled"/>
    <d v="2024-09-25T00:00:00"/>
    <n v="200"/>
    <n v="0"/>
    <n v="100"/>
    <m/>
    <x v="0"/>
    <n v="0.5"/>
  </r>
  <r>
    <s v="inbound"/>
    <d v="2024-09-26T00:00:00"/>
    <s v="storage"/>
    <m/>
    <x v="133"/>
    <s v="EX24082906G05"/>
    <x v="53"/>
    <s v="extract_inhaled_labelled"/>
    <d v="2024-09-25T00:00:00"/>
    <n v="83"/>
    <n v="0"/>
    <n v="41.5"/>
    <m/>
    <x v="0"/>
    <n v="0.5"/>
  </r>
  <r>
    <s v="inbound"/>
    <d v="2024-09-26T00:00:00"/>
    <s v="storage"/>
    <m/>
    <x v="77"/>
    <n v="2024082701"/>
    <x v="26"/>
    <s v="extract_distillate_bulk"/>
    <s v="NA"/>
    <n v="1"/>
    <n v="355.1"/>
    <n v="0"/>
    <m/>
    <x v="1"/>
    <n v="0"/>
  </r>
  <r>
    <s v="inbound"/>
    <d v="2024-09-26T00:00:00"/>
    <s v="storage"/>
    <m/>
    <x v="38"/>
    <n v="2024022201"/>
    <x v="26"/>
    <s v="extract_distillate_bulk"/>
    <d v="2024-04-25T00:00:00"/>
    <n v="1"/>
    <n v="365.2"/>
    <n v="0"/>
    <m/>
    <x v="1"/>
    <n v="0"/>
  </r>
  <r>
    <s v="inbound"/>
    <d v="2024-09-26T00:00:00"/>
    <s v="storage"/>
    <m/>
    <x v="76"/>
    <n v="2024030601"/>
    <x v="28"/>
    <s v="extract_inhaled_bulk"/>
    <d v="2024-01-05T00:00:00"/>
    <n v="1"/>
    <n v="1233.4000000000001"/>
    <n v="0"/>
    <m/>
    <x v="1"/>
    <n v="0"/>
  </r>
  <r>
    <s v="outbound"/>
    <d v="2024-09-26T10:19:00"/>
    <s v="shipment"/>
    <s v="PO_71469"/>
    <x v="134"/>
    <s v="EX24082901G05"/>
    <x v="47"/>
    <s v="extract_inhaled_packaged"/>
    <s v="NA"/>
    <n v="-73"/>
    <n v="0"/>
    <n v="-36.5"/>
    <m/>
    <x v="0"/>
    <n v="0.5"/>
  </r>
  <r>
    <s v="outbound"/>
    <d v="2024-09-26T10:19:00"/>
    <s v="shipment"/>
    <s v="PO_71469"/>
    <x v="135"/>
    <s v="EX24082903G05"/>
    <x v="45"/>
    <s v="extract_inhaled_labelled"/>
    <d v="2024-09-20T00:00:00"/>
    <n v="-100"/>
    <n v="0"/>
    <n v="-50"/>
    <m/>
    <x v="0"/>
    <n v="0.5"/>
  </r>
  <r>
    <s v="outbound"/>
    <d v="2024-09-26T10:19:00"/>
    <s v="shipment"/>
    <s v="PO_71469"/>
    <x v="136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37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38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39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40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41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42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71469"/>
    <x v="143"/>
    <s v="EX24082901G05"/>
    <x v="47"/>
    <s v="extract_inhaled_packaged"/>
    <s v="NA"/>
    <n v="-100"/>
    <n v="0"/>
    <n v="-50"/>
    <m/>
    <x v="0"/>
    <n v="0.5"/>
  </r>
  <r>
    <s v="outbound"/>
    <d v="2024-09-26T10:19:00"/>
    <s v="shipment"/>
    <s v="PO_2024091002-2, PO_2024091601"/>
    <x v="121"/>
    <s v="EX24082906"/>
    <x v="50"/>
    <s v="extract_inhaled_packaged"/>
    <s v="NA"/>
    <n v="-83"/>
    <n v="0"/>
    <n v="-41.5"/>
    <m/>
    <x v="0"/>
    <n v="0.5"/>
  </r>
  <r>
    <s v="outbound"/>
    <d v="2024-09-26T11:13:00"/>
    <s v="shipment"/>
    <s v="PO_71469"/>
    <x v="144"/>
    <s v="EX24082905G05"/>
    <x v="49"/>
    <s v="extract_inhaled_labelled"/>
    <d v="2024-09-20T00:00:00"/>
    <n v="-204"/>
    <n v="0"/>
    <n v="-102"/>
    <m/>
    <x v="0"/>
    <n v="0.5"/>
  </r>
  <r>
    <s v="outbound"/>
    <d v="2024-09-26T11:13:00"/>
    <s v="shipment"/>
    <s v="PO_71469"/>
    <x v="145"/>
    <s v="EX24082903G05"/>
    <x v="45"/>
    <s v="extract_inhaled_labelled"/>
    <d v="2024-09-20T00:00:00"/>
    <n v="-149"/>
    <n v="0"/>
    <n v="-74.5"/>
    <m/>
    <x v="0"/>
    <n v="0.5"/>
  </r>
  <r>
    <s v="outbound"/>
    <d v="2024-09-26T11:13:00"/>
    <s v="shipment"/>
    <s v="PO_71469"/>
    <x v="146"/>
    <s v="EX24082903G05"/>
    <x v="45"/>
    <s v="extract_inhaled_labelled"/>
    <d v="2024-09-20T00:00:00"/>
    <n v="-141"/>
    <n v="0"/>
    <n v="-70.5"/>
    <m/>
    <x v="0"/>
    <n v="0.5"/>
  </r>
  <r>
    <s v="outbound"/>
    <d v="2024-09-26T11:13:00"/>
    <s v="shipment"/>
    <s v="PO_71469"/>
    <x v="98"/>
    <s v="EX24082903G05"/>
    <x v="45"/>
    <s v="extract_inhaled_labelled"/>
    <d v="2024-09-20T00:00:00"/>
    <n v="-18"/>
    <n v="0"/>
    <n v="-9"/>
    <m/>
    <x v="0"/>
    <n v="0.5"/>
  </r>
  <r>
    <s v="outbound"/>
    <d v="2024-09-26T11:13:00"/>
    <s v="shipment"/>
    <s v="PO_71469"/>
    <x v="111"/>
    <s v="EX24082903G05"/>
    <x v="45"/>
    <s v="extract_inhaled_labelled"/>
    <d v="2024-09-20T00:00:00"/>
    <n v="-87"/>
    <n v="0"/>
    <n v="-43.5"/>
    <m/>
    <x v="0"/>
    <n v="0.5"/>
  </r>
  <r>
    <s v="outbound"/>
    <d v="2024-09-26T11:13:00"/>
    <s v="shipment"/>
    <s v="PO_71469"/>
    <x v="115"/>
    <s v="EX24082905G05"/>
    <x v="49"/>
    <s v="extract_inhaled_labelled"/>
    <d v="2024-09-20T00:00:00"/>
    <n v="-84"/>
    <n v="0"/>
    <n v="-42"/>
    <m/>
    <x v="0"/>
    <n v="0.5"/>
  </r>
  <r>
    <s v="outbound"/>
    <d v="2024-09-26T11:13:00"/>
    <s v="shipment"/>
    <s v="PO_71469"/>
    <x v="116"/>
    <s v="EX24082905G05"/>
    <x v="49"/>
    <s v="extract_inhaled_labelled"/>
    <d v="2024-09-20T00:00:00"/>
    <n v="-84"/>
    <n v="0"/>
    <n v="-42"/>
    <m/>
    <x v="0"/>
    <n v="0.5"/>
  </r>
  <r>
    <s v="outbound"/>
    <d v="2024-09-26T11:23:00"/>
    <s v="shipment"/>
    <s v="PO_24091701, PO_DD24080101"/>
    <x v="84"/>
    <s v="EX24070901V50"/>
    <x v="41"/>
    <s v="extract_ingested_labelled"/>
    <d v="2024-07-30T00:00:00"/>
    <n v="-229"/>
    <n v="0"/>
    <n v="-34579"/>
    <m/>
    <x v="0"/>
    <n v="151"/>
  </r>
  <r>
    <s v="outbound"/>
    <d v="2024-09-26T11:23:00"/>
    <s v="shipment"/>
    <s v="PO_24091701, PO_DD24080101, PO_DD2024092401"/>
    <x v="107"/>
    <s v="EX24090501V50"/>
    <x v="33"/>
    <s v="extract_ingested_labelled"/>
    <d v="2024-09-15T00:00:00"/>
    <n v="-231"/>
    <n v="0"/>
    <n v="-34881"/>
    <m/>
    <x v="0"/>
    <n v="151"/>
  </r>
  <r>
    <s v="inbound"/>
    <d v="2024-09-26T13:14:00"/>
    <s v="storage"/>
    <m/>
    <x v="107"/>
    <s v="EX24090501V50"/>
    <x v="33"/>
    <s v="extract_ingested_labelled"/>
    <d v="2024-09-15T00:00:00"/>
    <n v="75"/>
    <n v="0"/>
    <n v="11325"/>
    <m/>
    <x v="0"/>
    <n v="151"/>
  </r>
  <r>
    <s v="inbound"/>
    <d v="2024-09-26T13:14:00"/>
    <s v="storage"/>
    <m/>
    <x v="84"/>
    <s v="EX24070901V50"/>
    <x v="41"/>
    <s v="extract_ingested_labelled"/>
    <d v="2024-07-30T00:00:00"/>
    <n v="73"/>
    <n v="0"/>
    <n v="11023"/>
    <m/>
    <x v="0"/>
    <n v="151"/>
  </r>
  <r>
    <s v="outbound"/>
    <d v="2024-09-26T15:18:00"/>
    <s v="shipment"/>
    <s v="jay240926_trinityphoto"/>
    <x v="133"/>
    <s v="EX24082906G05"/>
    <x v="53"/>
    <s v="extract_inhaled_labelled"/>
    <d v="2024-09-25T00:00:00"/>
    <n v="-1"/>
    <n v="0"/>
    <n v="-0.5"/>
    <m/>
    <x v="0"/>
    <n v="0.5"/>
  </r>
  <r>
    <s v="outbound"/>
    <d v="2024-09-26T15:18:00"/>
    <s v="shipment"/>
    <s v="jay240926_trinityphoto"/>
    <x v="86"/>
    <s v="TP24041201"/>
    <x v="2"/>
    <s v="topical_labelled"/>
    <d v="2024-08-27T00:00:00"/>
    <n v="-1"/>
    <n v="0"/>
    <n v="-88"/>
    <m/>
    <x v="0"/>
    <n v="88"/>
  </r>
  <r>
    <s v="outbound"/>
    <d v="2024-09-26T15:18:00"/>
    <s v="shipment"/>
    <s v="jay240926_trinityphoto"/>
    <x v="36"/>
    <s v="EX23100401V30"/>
    <x v="25"/>
    <s v="extract_ingested_labelled"/>
    <d v="2024-07-15T00:00:00"/>
    <n v="-1"/>
    <n v="0"/>
    <n v="-27.6"/>
    <m/>
    <x v="0"/>
    <n v="27.6"/>
  </r>
  <r>
    <s v="outbound"/>
    <d v="2024-09-26T15:18:00"/>
    <s v="shipment"/>
    <s v="jay240926_trinityphoto"/>
    <x v="147"/>
    <s v="PR2407F5P2"/>
    <x v="54"/>
    <s v="preroll_labelled"/>
    <d v="2024-08-28T00:00:00"/>
    <n v="-1"/>
    <n v="0"/>
    <n v="-1"/>
    <m/>
    <x v="0"/>
    <n v="1"/>
  </r>
  <r>
    <s v="outbound"/>
    <d v="2024-09-26T15:18:00"/>
    <s v="shipment"/>
    <s v="jay240926_trinityphoto"/>
    <x v="120"/>
    <s v="PR241005F5P3"/>
    <x v="17"/>
    <s v="preroll_labelled"/>
    <d v="2024-08-19T00:00:00"/>
    <n v="-1"/>
    <n v="0"/>
    <n v="-1.5"/>
    <m/>
    <x v="0"/>
    <n v="1.5"/>
  </r>
  <r>
    <s v="outbound"/>
    <d v="2024-09-26T15:18:00"/>
    <s v="shipment"/>
    <s v="jay240926_trinityphoto"/>
    <x v="23"/>
    <s v="PR241101F5P3"/>
    <x v="19"/>
    <s v="preroll_labelled"/>
    <d v="2024-09-08T00:00:00"/>
    <n v="-1"/>
    <n v="0"/>
    <n v="-1.5"/>
    <m/>
    <x v="0"/>
    <n v="1.5"/>
  </r>
  <r>
    <s v="outbound"/>
    <d v="2024-09-27T09:29:00"/>
    <s v="production"/>
    <s v="PO_71469"/>
    <x v="148"/>
    <s v="EX24082902G05"/>
    <x v="46"/>
    <s v="extract_inhaled_packaged"/>
    <s v="NA"/>
    <n v="-66"/>
    <n v="0"/>
    <n v="-33"/>
    <m/>
    <x v="0"/>
    <n v="0.5"/>
  </r>
  <r>
    <s v="outbound"/>
    <d v="2024-09-27T09:29:00"/>
    <s v="production"/>
    <s v="PO_71469"/>
    <x v="132"/>
    <s v="EX24082905G05"/>
    <x v="49"/>
    <s v="extract_inhaled_labelled"/>
    <d v="2024-09-25T00:00:00"/>
    <n v="-200"/>
    <n v="0"/>
    <n v="-100"/>
    <m/>
    <x v="0"/>
    <n v="0.5"/>
  </r>
  <r>
    <s v="outbound"/>
    <d v="2024-09-27T09:29:00"/>
    <s v="production"/>
    <s v="PO_71469"/>
    <x v="130"/>
    <s v="EX24082905G05"/>
    <x v="49"/>
    <s v="extract_inhaled_packaged"/>
    <s v="NA"/>
    <n v="-133"/>
    <n v="0"/>
    <n v="-66.5"/>
    <m/>
    <x v="0"/>
    <n v="0.5"/>
  </r>
  <r>
    <s v="outbound"/>
    <d v="2024-09-27T09:29:00"/>
    <s v="production"/>
    <s v="PO_71469"/>
    <x v="131"/>
    <s v="EX24082905G05"/>
    <x v="49"/>
    <s v="extract_inhaled_packaged"/>
    <s v="NA"/>
    <n v="-200"/>
    <n v="0"/>
    <n v="-100"/>
    <m/>
    <x v="0"/>
    <n v="0.5"/>
  </r>
  <r>
    <s v="outbound"/>
    <d v="2024-09-27T09:29:00"/>
    <s v="production"/>
    <s v="PO_71469"/>
    <x v="129"/>
    <s v="EX24082905G05"/>
    <x v="49"/>
    <s v="extract_inhaled_packaged"/>
    <s v="NA"/>
    <n v="-200"/>
    <n v="0"/>
    <n v="-100"/>
    <m/>
    <x v="0"/>
    <n v="0.5"/>
  </r>
  <r>
    <s v="outbound"/>
    <d v="2024-09-27T09:29:00"/>
    <s v="production"/>
    <s v="PO_71469"/>
    <x v="127"/>
    <s v="EX24082903G05"/>
    <x v="45"/>
    <s v="extract_inhaled_packaged"/>
    <s v="NA"/>
    <n v="-200"/>
    <n v="0"/>
    <n v="-100"/>
    <m/>
    <x v="0"/>
    <n v="0.5"/>
  </r>
  <r>
    <s v="outbound"/>
    <d v="2024-09-27T09:29:00"/>
    <s v="production"/>
    <s v="PO_71469"/>
    <x v="128"/>
    <s v="EX24082903G05"/>
    <x v="45"/>
    <s v="extract_inhaled_packaged"/>
    <s v="NA"/>
    <n v="-200"/>
    <n v="0"/>
    <n v="-100"/>
    <m/>
    <x v="0"/>
    <n v="0.5"/>
  </r>
  <r>
    <s v="outbound"/>
    <d v="2024-09-27T09:29:00"/>
    <s v="production"/>
    <s v="PO_71469"/>
    <x v="125"/>
    <s v="EX24082903G05"/>
    <x v="45"/>
    <s v="extract_inhaled_labelled"/>
    <d v="2024-09-25T00:00:00"/>
    <n v="-83"/>
    <n v="0"/>
    <n v="-41.5"/>
    <m/>
    <x v="0"/>
    <n v="0.5"/>
  </r>
  <r>
    <s v="outbound"/>
    <d v="2024-09-27T09:29:00"/>
    <s v="production"/>
    <s v="PO_71469"/>
    <x v="126"/>
    <s v="EX24082903G05"/>
    <x v="45"/>
    <s v="extract_inhaled_packaged"/>
    <s v="NA"/>
    <n v="-200"/>
    <n v="0"/>
    <n v="-100"/>
    <m/>
    <x v="0"/>
    <n v="0.5"/>
  </r>
  <r>
    <s v="outbound"/>
    <d v="2024-09-27T10:54:00"/>
    <s v="shipment"/>
    <s v="PO_DD2024092401"/>
    <x v="106"/>
    <s v="EX24061401V30"/>
    <x v="32"/>
    <s v="extract_ingested_labelled"/>
    <d v="2024-06-24T00:00:00"/>
    <n v="-12"/>
    <n v="0"/>
    <n v="-327.60000000000002"/>
    <m/>
    <x v="0"/>
    <n v="27.3"/>
  </r>
  <r>
    <s v="outbound"/>
    <d v="2024-09-27T10:54:00"/>
    <s v="shipment"/>
    <s v="PO_DD2024092401"/>
    <x v="36"/>
    <s v="EX23100401V30"/>
    <x v="25"/>
    <s v="extract_ingested_labelled"/>
    <d v="2024-07-15T00:00:00"/>
    <n v="-12"/>
    <n v="0"/>
    <n v="-331.20000000000005"/>
    <m/>
    <x v="0"/>
    <n v="27.6"/>
  </r>
  <r>
    <s v="outbound"/>
    <d v="2024-09-27T11:28:00"/>
    <s v="shipment"/>
    <s v="PO_DD2024092401"/>
    <x v="8"/>
    <s v="BS23101901G450"/>
    <x v="5"/>
    <s v="topical_labelled"/>
    <d v="2024-06-24T00:00:00"/>
    <n v="-12"/>
    <n v="0"/>
    <n v="-5400"/>
    <m/>
    <x v="0"/>
    <n v="450"/>
  </r>
  <r>
    <s v="outbound"/>
    <d v="2024-09-27T11:28:00"/>
    <s v="shipment"/>
    <s v="PO_DD2024092401"/>
    <x v="104"/>
    <s v="PR241005F5P3"/>
    <x v="17"/>
    <s v="preroll_labelled"/>
    <d v="2024-10-10T00:00:00"/>
    <n v="-12"/>
    <n v="0"/>
    <n v="-18"/>
    <m/>
    <x v="0"/>
    <n v="1.5"/>
  </r>
  <r>
    <s v="outbound"/>
    <d v="2024-09-27T11:37:00"/>
    <s v="shipment"/>
    <s v="PO_DD2024092401"/>
    <x v="149"/>
    <s v="PR241102F5P3"/>
    <x v="30"/>
    <s v="preroll_labelled"/>
    <d v="2024-10-10T00:00:00"/>
    <n v="-12"/>
    <n v="0"/>
    <n v="-18"/>
    <m/>
    <x v="0"/>
    <n v="1.5"/>
  </r>
  <r>
    <s v="outbound"/>
    <d v="2024-09-27T11:47:00"/>
    <s v="shipment"/>
    <s v="PO_2024091601, PO_DD2024092401"/>
    <x v="100"/>
    <s v="EX24082901G05"/>
    <x v="47"/>
    <s v="extract_inhaled_labelled"/>
    <d v="2024-09-20T00:00:00"/>
    <n v="-17"/>
    <n v="0"/>
    <n v="-8.5"/>
    <m/>
    <x v="0"/>
    <n v="0.5"/>
  </r>
  <r>
    <s v="outbound"/>
    <d v="2024-09-27T12:43:00"/>
    <s v="sampling"/>
    <s v="Steve240927"/>
    <x v="12"/>
    <s v="LR23032101"/>
    <x v="9"/>
    <s v="extract_inhaled_bulk"/>
    <s v="NA"/>
    <n v="-1"/>
    <n v="-2055"/>
    <n v="0"/>
    <m/>
    <x v="1"/>
    <n v="0"/>
  </r>
  <r>
    <s v="outbound"/>
    <d v="2024-09-27T13:54:00"/>
    <s v="shipment"/>
    <s v="PO_DD2024092401"/>
    <x v="0"/>
    <s v="BS23041701G180"/>
    <x v="0"/>
    <s v="topical_labelled"/>
    <d v="2024-06-24T00:00:00"/>
    <n v="-12"/>
    <n v="0"/>
    <n v="-2160"/>
    <m/>
    <x v="0"/>
    <n v="180"/>
  </r>
  <r>
    <s v="outbound"/>
    <d v="2024-09-27T13:54:00"/>
    <s v="shipment"/>
    <s v="PO_DD2024092401"/>
    <x v="61"/>
    <s v="EX24070902V50"/>
    <x v="33"/>
    <s v="extract_ingested_labelled"/>
    <d v="2024-07-30T00:00:00"/>
    <n v="-9"/>
    <n v="0"/>
    <n v="-1359"/>
    <m/>
    <x v="0"/>
    <n v="151"/>
  </r>
  <r>
    <s v="outbound"/>
    <d v="2024-09-27T13:54:00"/>
    <s v="shipment"/>
    <s v="PO_DD2024092401"/>
    <x v="75"/>
    <s v="EX24080601V50"/>
    <x v="33"/>
    <s v="extract_ingested_labelled_damaged"/>
    <d v="2024-08-19T00:00:00"/>
    <n v="-9"/>
    <n v="0"/>
    <n v="-1359"/>
    <m/>
    <x v="0"/>
    <n v="151"/>
  </r>
  <r>
    <s v="outbound"/>
    <d v="2024-09-27T13:54:00"/>
    <s v="production"/>
    <s v="labelling"/>
    <x v="150"/>
    <s v="PR241003F5P3"/>
    <x v="20"/>
    <s v="preroll_packaged"/>
    <s v="NA"/>
    <n v="-418"/>
    <n v="0"/>
    <n v="-627"/>
    <m/>
    <x v="0"/>
    <n v="1.5"/>
  </r>
  <r>
    <s v="outbound"/>
    <d v="2024-09-27T14:09:00"/>
    <s v="shipment"/>
    <s v="PO_2024091601"/>
    <x v="133"/>
    <s v="EX24082906G05"/>
    <x v="53"/>
    <s v="extract_inhaled_labelled"/>
    <d v="2024-09-25T00:00:00"/>
    <n v="-13"/>
    <n v="0"/>
    <n v="-6.5"/>
    <m/>
    <x v="0"/>
    <n v="0.5"/>
  </r>
  <r>
    <s v="inbound"/>
    <d v="2024-09-27T14:12:00"/>
    <s v="storage"/>
    <m/>
    <x v="12"/>
    <s v="LR23032101"/>
    <x v="9"/>
    <s v="extract_inhaled_bulk"/>
    <s v="NA"/>
    <n v="1"/>
    <n v="2050.6999999999998"/>
    <n v="0"/>
    <m/>
    <x v="1"/>
    <n v="0"/>
  </r>
  <r>
    <s v="outbound"/>
    <d v="2024-09-27T14:23:00"/>
    <s v="production"/>
    <s v="labelling"/>
    <x v="149"/>
    <s v="PR241102F5P3"/>
    <x v="30"/>
    <s v="preroll_labelled"/>
    <d v="2024-10-10T00:00:00"/>
    <n v="-108"/>
    <n v="0"/>
    <n v="-162"/>
    <m/>
    <x v="0"/>
    <n v="1.5"/>
  </r>
  <r>
    <s v="outbound"/>
    <d v="2024-09-27T14:35:00"/>
    <s v="production"/>
    <s v="labelling"/>
    <x v="151"/>
    <s v="EX24082901G05"/>
    <x v="47"/>
    <s v="extract_inhaled_packaged"/>
    <s v="NA"/>
    <n v="-100"/>
    <n v="0"/>
    <n v="-50"/>
    <m/>
    <x v="0"/>
    <n v="0.5"/>
  </r>
  <r>
    <s v="outbound"/>
    <d v="2024-09-27T14:40:28"/>
    <s v="shipment"/>
    <s v="PO_DD2024092401"/>
    <x v="107"/>
    <s v="EX24090501V50"/>
    <x v="33"/>
    <s v="extract_ingested_labelled"/>
    <d v="2024-09-15T00:00:00"/>
    <n v="-17"/>
    <n v="0"/>
    <n v="-2567"/>
    <m/>
    <x v="0"/>
    <n v="151"/>
  </r>
  <r>
    <s v="outbound"/>
    <d v="2024-09-27T14:56:00"/>
    <s v="shipment"/>
    <s v="PO_DD2024092401, replacing 1 dmged POD AUG-19"/>
    <x v="107"/>
    <s v="EX24090501V50"/>
    <x v="33"/>
    <s v="extract_ingested_labelled"/>
    <d v="2024-09-15T00:00:00"/>
    <n v="-2"/>
    <n v="0"/>
    <n v="-302"/>
    <m/>
    <x v="0"/>
    <n v="151"/>
  </r>
  <r>
    <s v="inbound"/>
    <d v="2024-09-27T15:05:00"/>
    <s v="storage"/>
    <s v="1 dmg"/>
    <x v="75"/>
    <s v="EX24080601V50"/>
    <x v="33"/>
    <s v="extract_ingested_labelled_damaged"/>
    <d v="2024-08-19T00:00:00"/>
    <n v="1"/>
    <n v="0"/>
    <n v="151"/>
    <m/>
    <x v="0"/>
    <n v="151"/>
  </r>
  <r>
    <s v="inbound"/>
    <d v="2024-09-27T15:08:00"/>
    <s v="storage"/>
    <m/>
    <x v="151"/>
    <s v="EX24082901G05"/>
    <x v="47"/>
    <s v="extract_inhaled_packaged"/>
    <s v="NA"/>
    <n v="100"/>
    <n v="0"/>
    <n v="50"/>
    <m/>
    <x v="0"/>
    <n v="0.5"/>
  </r>
  <r>
    <s v="outbound"/>
    <d v="2024-09-27T15:51:00"/>
    <s v="shipment"/>
    <s v="PO_OFD240924"/>
    <x v="147"/>
    <s v="PR2407F5P2"/>
    <x v="54"/>
    <s v="preroll_labelled"/>
    <d v="2024-08-28T00:00:00"/>
    <n v="-120"/>
    <n v="0"/>
    <n v="-120"/>
    <m/>
    <x v="0"/>
    <n v="1"/>
  </r>
  <r>
    <s v="inbound"/>
    <d v="2024-10-01T00:00:00"/>
    <s v="storage"/>
    <m/>
    <x v="105"/>
    <s v="PR241003F5P3"/>
    <x v="20"/>
    <s v="preroll_labelled"/>
    <d v="2024-10-05T00:00:00"/>
    <n v="360"/>
    <n v="0"/>
    <n v="540"/>
    <m/>
    <x v="0"/>
    <n v="1.5"/>
  </r>
  <r>
    <s v="inbound"/>
    <d v="2024-10-01T00:00:00"/>
    <s v="storage"/>
    <m/>
    <x v="150"/>
    <s v="PR241003F5P3"/>
    <x v="20"/>
    <s v="preroll_packaged"/>
    <s v="NA"/>
    <n v="58"/>
    <n v="0"/>
    <n v="87"/>
    <m/>
    <x v="0"/>
    <n v="1.5"/>
  </r>
  <r>
    <s v="outbound"/>
    <d v="2024-10-01T13:39:00"/>
    <s v="shipment"/>
    <s v="PO_71700"/>
    <x v="105"/>
    <s v="PR241003F5P3"/>
    <x v="20"/>
    <s v="preroll_labelled"/>
    <d v="2024-10-05T00:00:00"/>
    <n v="-240"/>
    <n v="0"/>
    <n v="-360"/>
    <m/>
    <x v="0"/>
    <n v="1.5"/>
  </r>
  <r>
    <s v="outbound"/>
    <d v="2024-10-01T13:55:00"/>
    <s v="shipment"/>
    <s v="PO_00022626"/>
    <x v="99"/>
    <s v="EX24082902G05"/>
    <x v="46"/>
    <s v="extract_inhaled_labelled"/>
    <d v="2024-09-20T00:00:00"/>
    <n v="-9"/>
    <n v="0"/>
    <n v="-4.5"/>
    <m/>
    <x v="0"/>
    <n v="0.5"/>
  </r>
  <r>
    <s v="outbound"/>
    <d v="2024-10-01T13:55:00"/>
    <s v="shipment"/>
    <s v="PO_0072261"/>
    <x v="86"/>
    <s v="TP24041201"/>
    <x v="2"/>
    <s v="topical_labelled"/>
    <d v="2024-08-27T00:00:00"/>
    <n v="-12"/>
    <n v="0"/>
    <n v="-1056"/>
    <m/>
    <x v="0"/>
    <n v="88"/>
  </r>
  <r>
    <s v="inbound"/>
    <d v="2024-10-03T00:00:00"/>
    <s v="storage"/>
    <m/>
    <x v="147"/>
    <s v="PR2407F5P2"/>
    <x v="54"/>
    <s v="preroll_labelled"/>
    <d v="2024-08-28T00:00:00"/>
    <n v="239"/>
    <n v="0"/>
    <n v="239"/>
    <m/>
    <x v="0"/>
    <n v="1"/>
  </r>
  <r>
    <s v="outbound"/>
    <d v="2024-10-03T10:16:00"/>
    <s v="shipment"/>
    <m/>
    <x v="107"/>
    <s v="EX24090501V50"/>
    <x v="33"/>
    <s v="extract_ingested_labelled"/>
    <d v="2024-09-15T00:00:00"/>
    <n v="-56"/>
    <n v="0"/>
    <n v="-8456"/>
    <m/>
    <x v="0"/>
    <n v="151"/>
  </r>
  <r>
    <s v="outbound"/>
    <d v="2024-10-03T10:16:00"/>
    <s v="shipment"/>
    <m/>
    <x v="108"/>
    <s v="EX24090501V50"/>
    <x v="33"/>
    <s v="extract_ingested_labelled"/>
    <d v="2024-09-15T00:00:00"/>
    <n v="-231"/>
    <n v="0"/>
    <n v="-34881"/>
    <m/>
    <x v="0"/>
    <n v="151"/>
  </r>
  <r>
    <s v="outbound"/>
    <d v="2024-10-03T10:16:00"/>
    <s v="shipment"/>
    <m/>
    <x v="109"/>
    <s v="EX24090501V50"/>
    <x v="33"/>
    <s v="extract_ingested_labelled"/>
    <d v="2024-09-15T00:00:00"/>
    <n v="-228"/>
    <n v="0"/>
    <n v="-34428"/>
    <m/>
    <x v="0"/>
    <n v="151"/>
  </r>
  <r>
    <s v="outbound"/>
    <d v="2024-10-03T14:29:00"/>
    <s v="production"/>
    <s v="PR2411"/>
    <x v="152"/>
    <s v="PR2411"/>
    <x v="21"/>
    <s v="driedflower_milled_bulk"/>
    <s v="NA"/>
    <n v="-1"/>
    <n v="-998.5"/>
    <n v="0"/>
    <m/>
    <x v="1"/>
    <n v="0"/>
  </r>
  <r>
    <s v="outbound"/>
    <d v="2024-10-03T14:29:00"/>
    <s v="production"/>
    <s v="PR2411"/>
    <x v="153"/>
    <s v="PR2411"/>
    <x v="21"/>
    <s v="driedflower_milled_bulk"/>
    <s v="NA"/>
    <n v="-1"/>
    <n v="-998.90000000000009"/>
    <n v="0"/>
    <m/>
    <x v="1"/>
    <n v="0"/>
  </r>
  <r>
    <s v="outbound"/>
    <d v="2024-10-03T14:29:00"/>
    <s v="production"/>
    <s v="PR2411"/>
    <x v="154"/>
    <n v="2024080701"/>
    <x v="21"/>
    <s v="driedflower_bulk"/>
    <s v="NA"/>
    <n v="-1"/>
    <n v="-1000.3000000000001"/>
    <n v="0"/>
    <m/>
    <x v="1"/>
    <n v="0"/>
  </r>
  <r>
    <s v="outbound"/>
    <d v="2024-10-03T14:29:00"/>
    <s v="production"/>
    <s v="PR2411"/>
    <x v="155"/>
    <n v="2024080701"/>
    <x v="21"/>
    <s v="driedflower_bulk"/>
    <s v="NA"/>
    <n v="-1"/>
    <n v="-994.19999999999993"/>
    <n v="0"/>
    <m/>
    <x v="1"/>
    <n v="0"/>
  </r>
  <r>
    <s v="outbound"/>
    <d v="2024-10-03T14:29:00"/>
    <s v="production"/>
    <s v="PR2411"/>
    <x v="156"/>
    <n v="2024080701"/>
    <x v="21"/>
    <s v="driedflower_bulk"/>
    <s v="NA"/>
    <n v="-1"/>
    <n v="-998.40000000000009"/>
    <n v="0"/>
    <m/>
    <x v="1"/>
    <n v="0"/>
  </r>
  <r>
    <s v="outbound"/>
    <d v="2024-10-03T14:29:00"/>
    <s v="production"/>
    <s v="PR2411"/>
    <x v="157"/>
    <n v="2024080701"/>
    <x v="21"/>
    <s v="driedflower_bulk"/>
    <s v="NA"/>
    <n v="-1"/>
    <n v="-998.9"/>
    <n v="0"/>
    <m/>
    <x v="1"/>
    <n v="0"/>
  </r>
  <r>
    <s v="outbound"/>
    <d v="2024-10-03T14:29:00"/>
    <s v="production"/>
    <s v="PR2411"/>
    <x v="158"/>
    <n v="2024080701"/>
    <x v="21"/>
    <s v="driedflower_bulk"/>
    <s v="NA"/>
    <n v="-1"/>
    <n v="-992.00000000000011"/>
    <n v="0"/>
    <m/>
    <x v="1"/>
    <n v="0"/>
  </r>
  <r>
    <s v="inbound"/>
    <d v="2024-10-03T14:36:00"/>
    <s v="storage"/>
    <m/>
    <x v="107"/>
    <s v="EX24090501V50"/>
    <x v="33"/>
    <s v="extract_ingested_labelled"/>
    <d v="2024-09-15T00:00:00"/>
    <n v="11"/>
    <n v="0"/>
    <n v="1661"/>
    <m/>
    <x v="0"/>
    <n v="151"/>
  </r>
  <r>
    <s v="outbound"/>
    <d v="2024-10-03T15:08:00"/>
    <s v="sampling"/>
    <s v="JAY241003"/>
    <x v="45"/>
    <s v="PR241005F5"/>
    <x v="23"/>
    <s v="preroll_bulk"/>
    <s v="NA"/>
    <n v="-484"/>
    <n v="0"/>
    <n v="-242"/>
    <m/>
    <x v="0"/>
    <n v="0.5"/>
  </r>
  <r>
    <s v="outbound"/>
    <d v="2024-10-03T15:08:00"/>
    <s v="sampling"/>
    <s v="JAY241003"/>
    <x v="35"/>
    <s v="PR2407F5"/>
    <x v="24"/>
    <s v="preroll_bulk"/>
    <d v="2024-05-31T00:00:00"/>
    <n v="-338"/>
    <n v="0"/>
    <n v="-169"/>
    <m/>
    <x v="0"/>
    <n v="0.5"/>
  </r>
  <r>
    <s v="outbound"/>
    <d v="2024-10-03T15:08:00"/>
    <s v="sampling"/>
    <s v="JAY241003"/>
    <x v="151"/>
    <s v="EX24082901G05"/>
    <x v="47"/>
    <s v="extract_inhaled_packaged"/>
    <s v="NA"/>
    <n v="-1"/>
    <n v="0"/>
    <n v="-0.5"/>
    <m/>
    <x v="0"/>
    <n v="0.5"/>
  </r>
  <r>
    <s v="outbound"/>
    <d v="2024-10-03T15:08:00"/>
    <s v="sampling"/>
    <s v="JAY241003"/>
    <x v="133"/>
    <s v="EX24082906G05"/>
    <x v="53"/>
    <s v="extract_inhaled_labelled"/>
    <d v="2024-09-25T00:00:00"/>
    <n v="-6"/>
    <n v="0"/>
    <n v="-3"/>
    <m/>
    <x v="0"/>
    <n v="0.5"/>
  </r>
  <r>
    <s v="outbound"/>
    <d v="2024-10-03T15:08:00"/>
    <s v="sampling"/>
    <s v="JAY241003"/>
    <x v="135"/>
    <s v="EX24082903G05"/>
    <x v="45"/>
    <s v="extract_inhaled_labelled"/>
    <d v="2024-09-20T00:00:00"/>
    <n v="-2"/>
    <n v="0"/>
    <n v="-1"/>
    <m/>
    <x v="0"/>
    <n v="0.5"/>
  </r>
  <r>
    <s v="outbound"/>
    <d v="2024-10-03T15:08:00"/>
    <s v="sampling"/>
    <s v="JAY241003"/>
    <x v="86"/>
    <s v="TP24041201"/>
    <x v="2"/>
    <s v="topical_labelled"/>
    <d v="2024-08-27T00:00:00"/>
    <n v="-2"/>
    <n v="0"/>
    <n v="-176"/>
    <m/>
    <x v="0"/>
    <n v="88"/>
  </r>
  <r>
    <s v="outbound"/>
    <d v="2024-10-03T15:08:00"/>
    <s v="sampling"/>
    <s v="JAY241003"/>
    <x v="148"/>
    <s v="EX24082902G05"/>
    <x v="46"/>
    <s v="extract_inhaled_packaged"/>
    <s v="NA"/>
    <n v="-2"/>
    <n v="0"/>
    <n v="-1"/>
    <m/>
    <x v="0"/>
    <n v="0.5"/>
  </r>
  <r>
    <s v="outbound"/>
    <d v="2024-10-03T15:08:00"/>
    <s v="sampling"/>
    <s v="JAY241003"/>
    <x v="106"/>
    <s v="EX24061401V30"/>
    <x v="32"/>
    <s v="extract_ingested_labelled"/>
    <d v="2024-06-24T00:00:00"/>
    <n v="-1"/>
    <n v="0"/>
    <n v="-27.3"/>
    <m/>
    <x v="0"/>
    <n v="27.3"/>
  </r>
  <r>
    <s v="outbound"/>
    <d v="2024-10-03T15:08:00"/>
    <s v="sampling"/>
    <s v="JAY241003"/>
    <x v="32"/>
    <s v="EX23060701V30"/>
    <x v="22"/>
    <s v="extract_ingested_labelled"/>
    <d v="2023-06-17T00:00:00"/>
    <n v="-1"/>
    <n v="0"/>
    <n v="-27.4"/>
    <m/>
    <x v="0"/>
    <n v="27.4"/>
  </r>
  <r>
    <s v="outbound"/>
    <d v="2024-10-03T16:21:00"/>
    <s v="sampling"/>
    <s v="JAY241003"/>
    <x v="159"/>
    <s v="EX24082905G05"/>
    <x v="49"/>
    <s v="extract_inhaled_labelled"/>
    <d v="2024-09-20T00:00:00"/>
    <n v="-1"/>
    <n v="0"/>
    <n v="-0.5"/>
    <m/>
    <x v="0"/>
    <n v="0.5"/>
  </r>
  <r>
    <s v="outbound"/>
    <d v="2024-10-04T15:12:00"/>
    <s v="production"/>
    <s v="labelling"/>
    <x v="148"/>
    <s v="EX24082902G05"/>
    <x v="46"/>
    <s v="extract_inhaled_packaged"/>
    <s v="NA"/>
    <n v="-4"/>
    <n v="0"/>
    <n v="-2"/>
    <m/>
    <x v="0"/>
    <n v="0.5"/>
  </r>
  <r>
    <s v="outbound"/>
    <d v="2024-10-04T15:12:00"/>
    <s v="production"/>
    <s v="labelling"/>
    <x v="160"/>
    <s v="EX24082902G05"/>
    <x v="46"/>
    <s v="extract_inhaled_packaged"/>
    <s v="NA"/>
    <n v="-100"/>
    <n v="0"/>
    <n v="-50"/>
    <m/>
    <x v="0"/>
    <n v="0.5"/>
  </r>
  <r>
    <s v="outbound"/>
    <d v="2024-10-04T15:12:00"/>
    <s v="production"/>
    <s v="labelling"/>
    <x v="161"/>
    <s v="EX24082902G05"/>
    <x v="46"/>
    <s v="extract_inhaled_packaged"/>
    <s v="NA"/>
    <n v="-100"/>
    <n v="0"/>
    <n v="-50"/>
    <m/>
    <x v="0"/>
    <n v="0.5"/>
  </r>
  <r>
    <s v="outbound"/>
    <d v="2024-10-04T15:12:00"/>
    <s v="shipment"/>
    <s v="PO_0072261_transfer20240828_ORBIS241003, PO_0071880_transfer20240828"/>
    <x v="162"/>
    <s v="EX24080601V50"/>
    <x v="33"/>
    <s v="extract_ingested_labelled"/>
    <d v="2024-08-19T00:00:00"/>
    <n v="-96"/>
    <n v="0"/>
    <n v="-14496"/>
    <m/>
    <x v="0"/>
    <n v="151"/>
  </r>
  <r>
    <s v="inbound"/>
    <d v="2024-10-07T13:55:00"/>
    <s v="storage"/>
    <m/>
    <x v="45"/>
    <s v="PR241005F5"/>
    <x v="23"/>
    <s v="preroll_bulk"/>
    <s v="NA"/>
    <n v="484"/>
    <n v="0"/>
    <n v="242"/>
    <m/>
    <x v="0"/>
    <n v="0.5"/>
  </r>
  <r>
    <s v="inbound"/>
    <d v="2024-10-07T13:55:00"/>
    <s v="storage"/>
    <m/>
    <x v="97"/>
    <s v="PR241003F5"/>
    <x v="27"/>
    <s v="preroll_bulk"/>
    <s v="NA"/>
    <n v="188"/>
    <n v="0"/>
    <n v="94"/>
    <m/>
    <x v="0"/>
    <n v="0.5"/>
  </r>
  <r>
    <s v="outbound"/>
    <d v="2024-10-07T13:55:00"/>
    <s v="sampling"/>
    <s v="JAY20241007-3"/>
    <x v="151"/>
    <s v="EX24082901G05"/>
    <x v="47"/>
    <s v="extract_inhaled_packaged"/>
    <s v="NA"/>
    <n v="-1"/>
    <n v="0"/>
    <n v="-0.5"/>
    <m/>
    <x v="0"/>
    <n v="0.5"/>
  </r>
  <r>
    <s v="outbound"/>
    <d v="2024-10-07T13:55:00"/>
    <s v="sampling"/>
    <s v="JAY20241007-3"/>
    <x v="159"/>
    <s v="EX24082905G05"/>
    <x v="49"/>
    <s v="extract_inhaled_labelled"/>
    <d v="2024-09-20T00:00:00"/>
    <n v="-1"/>
    <n v="0"/>
    <n v="-0.5"/>
    <m/>
    <x v="0"/>
    <n v="0.5"/>
  </r>
  <r>
    <s v="outbound"/>
    <d v="2024-10-07T13:55:00"/>
    <s v="sampling"/>
    <s v="JAY20241007-3"/>
    <x v="135"/>
    <s v="EX24082903G05"/>
    <x v="45"/>
    <s v="extract_inhaled_labelled"/>
    <d v="2024-09-20T00:00:00"/>
    <n v="-1"/>
    <n v="0"/>
    <n v="-0.5"/>
    <m/>
    <x v="0"/>
    <n v="0.5"/>
  </r>
  <r>
    <s v="outbound"/>
    <d v="2024-10-08T10:04:00"/>
    <s v="shipment"/>
    <s v="PO_1003"/>
    <x v="120"/>
    <s v="PR241005F5P3"/>
    <x v="17"/>
    <s v="preroll_labelled"/>
    <d v="2024-08-19T00:00:00"/>
    <n v="-24"/>
    <n v="0"/>
    <n v="-36"/>
    <m/>
    <x v="0"/>
    <n v="1.5"/>
  </r>
  <r>
    <s v="outbound"/>
    <d v="2024-10-08T10:04:00"/>
    <s v="shipment"/>
    <s v="PO_1003"/>
    <x v="22"/>
    <s v="PR241104F5P3"/>
    <x v="18"/>
    <s v="preroll_labelled"/>
    <d v="2024-10-02T00:00:00"/>
    <n v="-24"/>
    <n v="0"/>
    <n v="-36"/>
    <m/>
    <x v="0"/>
    <n v="1.5"/>
  </r>
  <r>
    <s v="outbound"/>
    <d v="2024-10-08T10:04:00"/>
    <s v="production"/>
    <s v="BACON OIL"/>
    <x v="163"/>
    <s v="EX22040601"/>
    <x v="55"/>
    <s v="extract_ingested_bulk"/>
    <d v="2022-08-25T00:00:00"/>
    <n v="-1"/>
    <n v="-20895"/>
    <n v="0"/>
    <m/>
    <x v="1"/>
    <n v="0"/>
  </r>
  <r>
    <s v="outbound"/>
    <d v="2024-10-08T10:04:00"/>
    <s v="production"/>
    <s v="BACON OIL"/>
    <x v="62"/>
    <n v="2024101701"/>
    <x v="34"/>
    <s v="extract_distillate_bulk"/>
    <d v="2024-08-19T00:00:00"/>
    <n v="-1"/>
    <n v="-2911"/>
    <n v="0"/>
    <m/>
    <x v="1"/>
    <n v="0"/>
  </r>
  <r>
    <s v="outbound"/>
    <d v="2024-10-08T10:04:00"/>
    <s v="shipment"/>
    <s v="PO_1005"/>
    <x v="133"/>
    <s v="EX24082906G05"/>
    <x v="53"/>
    <s v="extract_inhaled_labelled"/>
    <d v="2024-09-25T00:00:00"/>
    <n v="-24"/>
    <n v="0"/>
    <n v="-12"/>
    <m/>
    <x v="0"/>
    <n v="0.5"/>
  </r>
  <r>
    <s v="outbound"/>
    <d v="2024-10-08T10:04:00"/>
    <s v="shipment"/>
    <s v="PO_1004, PO_1003"/>
    <x v="133"/>
    <s v="EX24082906G05"/>
    <x v="53"/>
    <s v="extract_inhaled_labelled"/>
    <d v="2024-09-25T00:00:00"/>
    <n v="-40"/>
    <n v="0"/>
    <n v="-20"/>
    <m/>
    <x v="0"/>
    <n v="0.5"/>
  </r>
  <r>
    <s v="inbound"/>
    <d v="2024-10-08T11:21:00"/>
    <s v="production"/>
    <m/>
    <x v="163"/>
    <s v="EX22040601"/>
    <x v="55"/>
    <s v="extract_ingested_bulk"/>
    <d v="2022-08-25T00:00:00"/>
    <n v="1"/>
    <n v="20895"/>
    <n v="0"/>
    <m/>
    <x v="1"/>
    <n v="0"/>
  </r>
  <r>
    <s v="outbound"/>
    <d v="2024-10-08T11:21:00"/>
    <s v="production"/>
    <m/>
    <x v="164"/>
    <s v="NA"/>
    <x v="55"/>
    <s v="extract_ingested_bulk"/>
    <d v="2023-01-12T00:00:00"/>
    <n v="-1"/>
    <n v="-13470"/>
    <n v="0"/>
    <m/>
    <x v="1"/>
    <n v="0"/>
  </r>
  <r>
    <s v="outbound"/>
    <d v="2024-10-08T11:21:00"/>
    <s v="sampling"/>
    <s v="4 BAD ONES"/>
    <x v="84"/>
    <s v="EX24070901V50"/>
    <x v="41"/>
    <s v="extract_ingested_labelled"/>
    <d v="2024-07-30T00:00:00"/>
    <n v="-4"/>
    <n v="0"/>
    <n v="-604"/>
    <m/>
    <x v="0"/>
    <n v="151"/>
  </r>
  <r>
    <s v="outbound"/>
    <d v="2024-10-08T11:21:00"/>
    <s v="sampling"/>
    <m/>
    <x v="107"/>
    <s v="EX24090501V50"/>
    <x v="33"/>
    <s v="extract_ingested_labelled"/>
    <d v="2024-09-15T00:00:00"/>
    <n v="-4"/>
    <n v="0"/>
    <n v="-604"/>
    <m/>
    <x v="0"/>
    <n v="151"/>
  </r>
  <r>
    <s v="outbound"/>
    <d v="2024-10-08T11:21:00"/>
    <s v="sampling"/>
    <m/>
    <x v="75"/>
    <s v="EX24080601V50"/>
    <x v="33"/>
    <s v="extract_ingested_labelled_damaged"/>
    <d v="2024-08-19T00:00:00"/>
    <n v="-1"/>
    <n v="0"/>
    <n v="-151"/>
    <m/>
    <x v="0"/>
    <n v="151"/>
  </r>
  <r>
    <s v="outbound"/>
    <d v="2024-10-08T11:21:00"/>
    <s v="production"/>
    <m/>
    <x v="165"/>
    <s v="NA"/>
    <x v="41"/>
    <s v="extract_ingested_labelled"/>
    <s v="NA"/>
    <n v="-1"/>
    <n v="-16080"/>
    <n v="-131"/>
    <m/>
    <x v="0"/>
    <n v="131"/>
  </r>
  <r>
    <s v="outbound"/>
    <d v="2024-10-08T11:21:00"/>
    <s v="production"/>
    <m/>
    <x v="166"/>
    <s v="NA"/>
    <x v="41"/>
    <s v="extract_ingested_packaged"/>
    <s v="NA"/>
    <n v="-1"/>
    <n v="-16052"/>
    <n v="-131"/>
    <m/>
    <x v="0"/>
    <n v="131"/>
  </r>
  <r>
    <s v="outbound"/>
    <d v="2024-10-08T11:21:00"/>
    <s v="shipment"/>
    <s v="PO_1003"/>
    <x v="167"/>
    <s v="EX24082901G05"/>
    <x v="47"/>
    <s v="extract_inhaled_labelled"/>
    <d v="2024-09-25T00:00:00"/>
    <n v="-12"/>
    <n v="0"/>
    <n v="-6"/>
    <m/>
    <x v="0"/>
    <n v="0.5"/>
  </r>
  <r>
    <s v="outbound"/>
    <d v="2024-10-08T16:33:00"/>
    <s v="shipment"/>
    <s v="PO_1004,"/>
    <x v="167"/>
    <s v="EX24082901G05"/>
    <x v="47"/>
    <s v="extract_inhaled_labelled"/>
    <d v="2024-09-25T00:00:00"/>
    <n v="-6"/>
    <n v="0"/>
    <n v="-3"/>
    <m/>
    <x v="0"/>
    <n v="0.5"/>
  </r>
  <r>
    <s v="outbound"/>
    <d v="2024-10-08T16:33:00"/>
    <s v="shipment"/>
    <m/>
    <x v="168"/>
    <s v="EX24082904G05"/>
    <x v="48"/>
    <s v="extract_inhaled_labelled"/>
    <d v="2024-09-20T00:00:00"/>
    <n v="-12"/>
    <n v="0"/>
    <n v="-6"/>
    <m/>
    <x v="0"/>
    <n v="0.5"/>
  </r>
  <r>
    <s v="outbound"/>
    <d v="2024-10-08T16:33:00"/>
    <s v="shipment"/>
    <m/>
    <x v="168"/>
    <s v="EX24082904G05"/>
    <x v="48"/>
    <s v="extract_inhaled_labelled"/>
    <d v="2024-09-20T00:00:00"/>
    <n v="-24"/>
    <n v="0"/>
    <n v="-12"/>
    <m/>
    <x v="0"/>
    <n v="0.5"/>
  </r>
  <r>
    <s v="outbound"/>
    <d v="2024-10-08T16:33:00"/>
    <s v="shipment"/>
    <m/>
    <x v="159"/>
    <s v="EX24082905G05"/>
    <x v="49"/>
    <s v="extract_inhaled_labelled"/>
    <d v="2024-09-20T00:00:00"/>
    <n v="-12"/>
    <n v="0"/>
    <n v="-6"/>
    <m/>
    <x v="0"/>
    <n v="0.5"/>
  </r>
  <r>
    <s v="outbound"/>
    <d v="2024-10-08T16:33:00"/>
    <s v="shipment"/>
    <m/>
    <x v="169"/>
    <s v="EX24082903G05"/>
    <x v="45"/>
    <s v="extract_inhaled_labelled"/>
    <d v="2024-09-25T00:00:00"/>
    <n v="-12"/>
    <n v="0"/>
    <n v="-6"/>
    <m/>
    <x v="0"/>
    <n v="0.5"/>
  </r>
  <r>
    <s v="outbound"/>
    <d v="2024-10-08T16:33:00"/>
    <s v="shipment"/>
    <m/>
    <x v="170"/>
    <s v="BS23041701G180"/>
    <x v="0"/>
    <s v="topical_labelled"/>
    <d v="2024-08-19T00:00:00"/>
    <n v="-12"/>
    <n v="0"/>
    <n v="-2160"/>
    <m/>
    <x v="0"/>
    <n v="180"/>
  </r>
  <r>
    <s v="outbound"/>
    <d v="2024-10-08T16:33:00"/>
    <s v="shipment"/>
    <s v="PO_1005"/>
    <x v="159"/>
    <s v="EX24082905G05"/>
    <x v="49"/>
    <s v="extract_inhaled_labelled"/>
    <d v="2024-09-20T00:00:00"/>
    <n v="-10"/>
    <n v="0"/>
    <n v="-5"/>
    <m/>
    <x v="0"/>
    <n v="0.5"/>
  </r>
  <r>
    <s v="outbound"/>
    <d v="2024-10-08T16:33:00"/>
    <s v="shipment"/>
    <s v="PO_1005"/>
    <x v="171"/>
    <s v="EX24082905G05"/>
    <x v="49"/>
    <s v="extract_inhaled_labelled"/>
    <d v="2024-09-25T00:00:00"/>
    <n v="-2"/>
    <n v="0"/>
    <n v="-1"/>
    <m/>
    <x v="0"/>
    <n v="0.5"/>
  </r>
  <r>
    <s v="outbound"/>
    <d v="2024-10-08T16:33:00"/>
    <s v="shipment"/>
    <m/>
    <x v="125"/>
    <s v="EX24082903G05"/>
    <x v="45"/>
    <s v="extract_inhaled_labelled"/>
    <d v="2024-09-25T00:00:00"/>
    <n v="-24"/>
    <n v="0"/>
    <n v="-12"/>
    <m/>
    <x v="0"/>
    <n v="0.5"/>
  </r>
  <r>
    <s v="outbound"/>
    <d v="2024-10-08T16:33:00"/>
    <s v="shipment"/>
    <m/>
    <x v="8"/>
    <s v="BS23101901G450"/>
    <x v="5"/>
    <s v="topical_labelled"/>
    <d v="2024-06-24T00:00:00"/>
    <n v="-12"/>
    <n v="0"/>
    <n v="-5400"/>
    <m/>
    <x v="0"/>
    <n v="450"/>
  </r>
  <r>
    <s v="outbound"/>
    <d v="2024-10-08T16:33:00"/>
    <s v="production"/>
    <m/>
    <x v="76"/>
    <n v="2024030601"/>
    <x v="28"/>
    <s v="extract_inhaled_bulk"/>
    <d v="2024-01-05T00:00:00"/>
    <n v="-1"/>
    <n v="-1233.4000000000001"/>
    <n v="0"/>
    <m/>
    <x v="1"/>
    <n v="0"/>
  </r>
  <r>
    <s v="inbound"/>
    <d v="2024-10-08T16:33:00"/>
    <s v="storage"/>
    <m/>
    <x v="35"/>
    <s v="PR2407F5"/>
    <x v="24"/>
    <s v="preroll_bulk"/>
    <d v="2024-05-31T00:00:00"/>
    <n v="338"/>
    <n v="0"/>
    <n v="169"/>
    <m/>
    <x v="0"/>
    <n v="0.5"/>
  </r>
  <r>
    <s v="inbound"/>
    <d v="2024-10-08T17:00:00"/>
    <s v="storage"/>
    <m/>
    <x v="76"/>
    <n v="2024030601"/>
    <x v="28"/>
    <s v="extract_inhaled_bulk"/>
    <d v="2024-01-05T00:00:00"/>
    <n v="1"/>
    <n v="1024.2"/>
    <n v="0"/>
    <m/>
    <x v="1"/>
    <n v="0"/>
  </r>
  <r>
    <s v="outbound"/>
    <d v="2024-10-09T00:00:00"/>
    <s v="shipment"/>
    <s v="po_1004"/>
    <x v="172"/>
    <s v="EX24082902G05"/>
    <x v="46"/>
    <s v="extract_inhaled_labelled"/>
    <d v="2024-10-04T00:00:00"/>
    <n v="-36"/>
    <n v="0"/>
    <n v="-18"/>
    <m/>
    <x v="0"/>
    <n v="0.5"/>
  </r>
  <r>
    <s v="outbound"/>
    <d v="2024-10-09T10:19:00"/>
    <s v="production"/>
    <m/>
    <x v="153"/>
    <s v="PR2411"/>
    <x v="21"/>
    <s v="driedflower_milled_bulk"/>
    <s v="NA"/>
    <n v="-1"/>
    <n v="-3058"/>
    <n v="0"/>
    <m/>
    <x v="1"/>
    <n v="0"/>
  </r>
  <r>
    <s v="outbound"/>
    <d v="2024-10-09T11:17:00"/>
    <s v="production"/>
    <s v="labelling"/>
    <x v="151"/>
    <s v="EX24082901G05"/>
    <x v="47"/>
    <s v="extract_inhaled_packaged"/>
    <s v="NA"/>
    <n v="-94"/>
    <n v="0"/>
    <n v="-47"/>
    <m/>
    <x v="0"/>
    <n v="0.5"/>
  </r>
  <r>
    <s v="outbound"/>
    <d v="2024-10-09T11:17:00"/>
    <s v="production"/>
    <s v="labelling"/>
    <x v="173"/>
    <s v="EX24082901G05"/>
    <x v="47"/>
    <s v="extract_inhaled_labelled"/>
    <d v="2024-10-09T00:00:00"/>
    <n v="-100"/>
    <n v="0"/>
    <n v="-50"/>
    <m/>
    <x v="0"/>
    <n v="0.5"/>
  </r>
  <r>
    <s v="outbound"/>
    <d v="2024-10-09T16:03:00"/>
    <s v="production"/>
    <s v="PO_01-100124"/>
    <x v="169"/>
    <s v="EX24082903G05"/>
    <x v="45"/>
    <s v="extract_inhaled_labelled"/>
    <d v="2024-09-25T00:00:00"/>
    <n v="-108"/>
    <n v="0"/>
    <n v="-54"/>
    <m/>
    <x v="0"/>
    <n v="0.5"/>
  </r>
  <r>
    <s v="outbound"/>
    <d v="2024-10-09T16:03:00"/>
    <s v="production"/>
    <s v="PO_01-100124"/>
    <x v="135"/>
    <s v="EX24082903G05"/>
    <x v="45"/>
    <s v="extract_inhaled_labelled"/>
    <d v="2024-09-20T00:00:00"/>
    <n v="-5"/>
    <n v="0"/>
    <n v="-2.5"/>
    <m/>
    <x v="0"/>
    <n v="0.5"/>
  </r>
  <r>
    <s v="outbound"/>
    <d v="2024-10-09T16:03:00"/>
    <s v="production"/>
    <s v="PO_01-100124"/>
    <x v="125"/>
    <s v="EX24082903G05"/>
    <x v="45"/>
    <s v="extract_inhaled_labelled"/>
    <d v="2024-09-25T00:00:00"/>
    <n v="-5"/>
    <n v="0"/>
    <n v="-2.5"/>
    <m/>
    <x v="0"/>
    <n v="0.5"/>
  </r>
  <r>
    <s v="outbound"/>
    <d v="2024-10-09T16:03:00"/>
    <s v="production"/>
    <s v="PO_01-100124"/>
    <x v="171"/>
    <s v="EX24082905G05"/>
    <x v="49"/>
    <s v="extract_inhaled_labelled"/>
    <d v="2024-09-25T00:00:00"/>
    <n v="-108"/>
    <n v="0"/>
    <n v="-54"/>
    <m/>
    <x v="0"/>
    <n v="0.5"/>
  </r>
  <r>
    <s v="outbound"/>
    <d v="2024-10-09T16:03:00"/>
    <s v="production"/>
    <s v="PO_01-100124"/>
    <x v="132"/>
    <s v="EX24082905G05"/>
    <x v="49"/>
    <s v="extract_inhaled_labelled"/>
    <d v="2024-09-25T00:00:00"/>
    <n v="-12"/>
    <n v="0"/>
    <n v="-6"/>
    <m/>
    <x v="0"/>
    <n v="0.5"/>
  </r>
  <r>
    <s v="outbound"/>
    <d v="2024-10-09T16:03:00"/>
    <s v="production"/>
    <m/>
    <x v="150"/>
    <s v="PR241003F5P3"/>
    <x v="20"/>
    <s v="preroll_packaged"/>
    <s v="NA"/>
    <n v="-58"/>
    <n v="0"/>
    <n v="-87"/>
    <m/>
    <x v="0"/>
    <n v="1.5"/>
  </r>
  <r>
    <s v="outbound"/>
    <d v="2024-10-09T17:08:00"/>
    <s v="production"/>
    <m/>
    <x v="52"/>
    <s v="PR241003F5P3"/>
    <x v="27"/>
    <s v="preroll_bulk"/>
    <s v="NA"/>
    <n v="-35"/>
    <n v="0"/>
    <n v="-17.5"/>
    <m/>
    <x v="0"/>
    <n v="0.5"/>
  </r>
  <r>
    <s v="outbound"/>
    <d v="2024-10-09T17:08:00"/>
    <s v="production"/>
    <m/>
    <x v="97"/>
    <s v="PR241003F5"/>
    <x v="27"/>
    <s v="preroll_bulk"/>
    <s v="NA"/>
    <n v="-188"/>
    <n v="0"/>
    <n v="-94"/>
    <m/>
    <x v="0"/>
    <n v="0.5"/>
  </r>
  <r>
    <s v="outbound"/>
    <d v="2024-10-09T17:08:00"/>
    <s v="production"/>
    <m/>
    <x v="174"/>
    <s v="PR241003F5"/>
    <x v="27"/>
    <s v="preroll_bulk"/>
    <s v="NA"/>
    <n v="-337"/>
    <n v="0"/>
    <n v="-168.5"/>
    <m/>
    <x v="0"/>
    <n v="0.5"/>
  </r>
  <r>
    <s v="outbound"/>
    <d v="2024-10-09T17:08:00"/>
    <s v="production"/>
    <m/>
    <x v="175"/>
    <s v="PR241003F5"/>
    <x v="27"/>
    <s v="preroll_bulk"/>
    <s v="NA"/>
    <n v="-338"/>
    <n v="0"/>
    <n v="-169"/>
    <m/>
    <x v="0"/>
    <n v="0.5"/>
  </r>
  <r>
    <s v="outbound"/>
    <d v="2024-10-09T17:08:00"/>
    <s v="production"/>
    <m/>
    <x v="124"/>
    <s v="PR241003F5"/>
    <x v="27"/>
    <s v="preroll_bulk"/>
    <s v="NA"/>
    <n v="-338"/>
    <n v="0"/>
    <n v="-169"/>
    <m/>
    <x v="0"/>
    <n v="0.5"/>
  </r>
  <r>
    <s v="outbound"/>
    <d v="2024-10-09T17:08:00"/>
    <s v="production"/>
    <m/>
    <x v="176"/>
    <s v="PR241003F5"/>
    <x v="27"/>
    <s v="preroll_bulk"/>
    <s v="NA"/>
    <n v="-338"/>
    <n v="0"/>
    <n v="-169"/>
    <m/>
    <x v="0"/>
    <n v="0.5"/>
  </r>
  <r>
    <s v="outbound"/>
    <d v="2024-10-09T17:08:00"/>
    <s v="production"/>
    <m/>
    <x v="177"/>
    <s v="PR241005F5P3"/>
    <x v="17"/>
    <s v="preroll_packaged"/>
    <s v="NA"/>
    <n v="-345"/>
    <n v="0"/>
    <n v="-517.5"/>
    <m/>
    <x v="0"/>
    <n v="1.5"/>
  </r>
  <r>
    <s v="outbound"/>
    <d v="2024-10-10T00:00:00"/>
    <s v="shipment"/>
    <m/>
    <x v="178"/>
    <s v="PR241104F5P3"/>
    <x v="18"/>
    <s v="preroll_cased_MB"/>
    <d v="2024-10-23T00:00:00"/>
    <n v="-12"/>
    <n v="0"/>
    <n v="-18"/>
    <m/>
    <x v="0"/>
    <n v="1.5"/>
  </r>
  <r>
    <s v="outbound"/>
    <d v="2024-10-10T11:09:00"/>
    <s v="shipment"/>
    <s v="PO_01-100124"/>
    <x v="125"/>
    <s v="EX24082903G05"/>
    <x v="45"/>
    <s v="extract_inhaled_labelled"/>
    <d v="2024-09-25T00:00:00"/>
    <n v="-2"/>
    <n v="0"/>
    <n v="-1"/>
    <m/>
    <x v="0"/>
    <n v="0.5"/>
  </r>
  <r>
    <s v="outbound"/>
    <d v="2024-10-10T12:14:00"/>
    <s v="shipment"/>
    <s v="PO_392679"/>
    <x v="120"/>
    <s v="PR241005F5P3"/>
    <x v="17"/>
    <s v="preroll_labelled"/>
    <d v="2024-08-19T00:00:00"/>
    <n v="-12"/>
    <n v="0"/>
    <n v="-18"/>
    <m/>
    <x v="0"/>
    <n v="1.5"/>
  </r>
  <r>
    <s v="outbound"/>
    <d v="2024-10-10T12:14:00"/>
    <s v="shipment"/>
    <s v="PO_392679"/>
    <x v="54"/>
    <s v="PR2407F5P3"/>
    <x v="31"/>
    <s v="preroll_labelled"/>
    <d v="2024-07-25T00:00:00"/>
    <n v="-12"/>
    <n v="0"/>
    <n v="-18"/>
    <m/>
    <x v="0"/>
    <n v="1.5"/>
  </r>
  <r>
    <s v="inbound"/>
    <d v="2024-10-10T14:59:00"/>
    <s v="storage"/>
    <m/>
    <x v="173"/>
    <s v="EX24082901G05"/>
    <x v="47"/>
    <s v="extract_inhaled_labelled"/>
    <d v="2024-10-09T00:00:00"/>
    <n v="20"/>
    <n v="0"/>
    <n v="10"/>
    <m/>
    <x v="0"/>
    <n v="0.5"/>
  </r>
  <r>
    <s v="inbound"/>
    <d v="2024-10-10T15:43:00"/>
    <s v="storage"/>
    <m/>
    <x v="62"/>
    <n v="2024101701"/>
    <x v="34"/>
    <s v="extract_distillate_bulk"/>
    <d v="2024-08-19T00:00:00"/>
    <n v="1"/>
    <n v="2835"/>
    <n v="0"/>
    <m/>
    <x v="1"/>
    <n v="0"/>
  </r>
  <r>
    <s v="outbound"/>
    <d v="2024-10-11T09:50:00"/>
    <s v="shipment"/>
    <s v="PO_1006"/>
    <x v="16"/>
    <s v="PR2406F1P1"/>
    <x v="12"/>
    <s v="preroll_labelled"/>
    <d v="2024-06-19T00:00:00"/>
    <n v="-12"/>
    <n v="0"/>
    <n v="-12"/>
    <m/>
    <x v="0"/>
    <n v="1"/>
  </r>
  <r>
    <s v="outbound"/>
    <d v="2024-10-11T09:56:00"/>
    <s v="shipment"/>
    <s v="PO_1006"/>
    <x v="103"/>
    <s v="PR21071201G1"/>
    <x v="11"/>
    <s v="preroll_labelled"/>
    <d v="2024-09-06T00:00:00"/>
    <n v="-12"/>
    <n v="0"/>
    <n v="-12"/>
    <m/>
    <x v="0"/>
    <n v="1"/>
  </r>
  <r>
    <s v="outbound"/>
    <d v="2024-10-11T09:56:00"/>
    <s v="shipment"/>
    <s v="PO_1006"/>
    <x v="172"/>
    <s v="EX24082902G05"/>
    <x v="46"/>
    <s v="extract_inhaled_labelled"/>
    <d v="2024-10-04T00:00:00"/>
    <n v="-12"/>
    <n v="0"/>
    <n v="-6"/>
    <m/>
    <x v="0"/>
    <n v="0.5"/>
  </r>
  <r>
    <s v="outbound"/>
    <d v="2024-10-11T09:56:00"/>
    <s v="shipment"/>
    <s v="PO_1006"/>
    <x v="173"/>
    <s v="EX24082901G05"/>
    <x v="47"/>
    <s v="extract_inhaled_labelled"/>
    <d v="2024-10-09T00:00:00"/>
    <n v="-12"/>
    <n v="0"/>
    <n v="-6"/>
    <m/>
    <x v="0"/>
    <n v="0.5"/>
  </r>
  <r>
    <s v="outbound"/>
    <d v="2024-10-11T10:13:00"/>
    <s v="shipment"/>
    <s v="PO_71915"/>
    <x v="147"/>
    <s v="PR2407F5P2"/>
    <x v="54"/>
    <s v="preroll_labelled"/>
    <d v="2024-08-28T00:00:00"/>
    <n v="-216"/>
    <n v="0"/>
    <n v="-216"/>
    <m/>
    <x v="0"/>
    <n v="1"/>
  </r>
  <r>
    <s v="outbound"/>
    <d v="2024-10-11T10:24:00"/>
    <s v="shipment"/>
    <s v="PO_71915"/>
    <x v="35"/>
    <s v="PR2407F5"/>
    <x v="24"/>
    <s v="preroll_bulk"/>
    <d v="2024-05-31T00:00:00"/>
    <n v="-3293"/>
    <n v="0"/>
    <n v="-1646.5"/>
    <m/>
    <x v="0"/>
    <n v="0.5"/>
  </r>
  <r>
    <s v="outbound"/>
    <d v="2024-10-11T10:33:00"/>
    <s v="production"/>
    <s v="LABELLING"/>
    <x v="149"/>
    <s v="PR241102F5P3"/>
    <x v="30"/>
    <s v="preroll_labelled"/>
    <d v="2024-10-10T00:00:00"/>
    <n v="-34"/>
    <n v="0"/>
    <n v="-51"/>
    <m/>
    <x v="0"/>
    <n v="1.5"/>
  </r>
  <r>
    <s v="outbound"/>
    <d v="2024-10-14T14:55:00"/>
    <s v="shipment"/>
    <s v="PO_1007"/>
    <x v="168"/>
    <s v="EX24082904G05"/>
    <x v="48"/>
    <s v="extract_inhaled_labelled"/>
    <d v="2024-09-20T00:00:00"/>
    <n v="-12"/>
    <n v="0"/>
    <n v="-6"/>
    <m/>
    <x v="0"/>
    <n v="0.5"/>
  </r>
  <r>
    <s v="outbound"/>
    <d v="2024-10-14T14:55:00"/>
    <s v="shipment"/>
    <s v="PO_1007"/>
    <x v="125"/>
    <s v="EX24082903G05"/>
    <x v="45"/>
    <s v="extract_inhaled_labelled"/>
    <d v="2024-09-25T00:00:00"/>
    <n v="-12"/>
    <n v="0"/>
    <n v="-6"/>
    <m/>
    <x v="0"/>
    <n v="0.5"/>
  </r>
  <r>
    <s v="outbound"/>
    <d v="2024-10-14T14:55:00"/>
    <s v="shipment"/>
    <s v="PO_1007"/>
    <x v="132"/>
    <s v="EX24082905G05"/>
    <x v="49"/>
    <s v="extract_inhaled_labelled"/>
    <d v="2024-09-25T00:00:00"/>
    <n v="-12"/>
    <n v="0"/>
    <n v="-6"/>
    <m/>
    <x v="0"/>
    <n v="0.5"/>
  </r>
  <r>
    <s v="outbound"/>
    <d v="2024-10-14T14:55:00"/>
    <s v="shipment"/>
    <s v="PO_1007"/>
    <x v="172"/>
    <s v="EX24082902G05"/>
    <x v="46"/>
    <s v="extract_inhaled_labelled"/>
    <d v="2024-10-04T00:00:00"/>
    <n v="-12"/>
    <n v="0"/>
    <n v="-6"/>
    <m/>
    <x v="0"/>
    <n v="0.5"/>
  </r>
  <r>
    <s v="outbound"/>
    <d v="2024-10-14T14:55:00"/>
    <s v="shipment"/>
    <s v="PO_1007"/>
    <x v="173"/>
    <s v="EX24082901G05"/>
    <x v="47"/>
    <s v="extract_inhaled_labelled"/>
    <d v="2024-10-09T00:00:00"/>
    <n v="-12"/>
    <n v="0"/>
    <n v="-6"/>
    <m/>
    <x v="0"/>
    <n v="0.5"/>
  </r>
  <r>
    <s v="outbound"/>
    <d v="2024-10-14T15:06:00"/>
    <s v="production"/>
    <s v="PACKAGING"/>
    <x v="45"/>
    <s v="PR241005F5"/>
    <x v="23"/>
    <s v="preroll_bulk"/>
    <s v="NA"/>
    <n v="-484"/>
    <n v="0"/>
    <n v="-242"/>
    <m/>
    <x v="0"/>
    <n v="0.5"/>
  </r>
  <r>
    <s v="outbound"/>
    <d v="2024-10-14T15:06:00"/>
    <s v="production"/>
    <s v="PACKAGING"/>
    <x v="47"/>
    <s v="PR241005F5"/>
    <x v="23"/>
    <s v="preroll_bulk"/>
    <s v="NA"/>
    <n v="-433"/>
    <n v="0"/>
    <n v="-216.5"/>
    <m/>
    <x v="0"/>
    <n v="0.5"/>
  </r>
  <r>
    <s v="outbound"/>
    <d v="2024-10-14T15:06:00"/>
    <s v="production"/>
    <s v="PACKAGING"/>
    <x v="179"/>
    <s v="PR241003F5P3"/>
    <x v="20"/>
    <s v="preroll_labelled"/>
    <d v="2024-10-10T00:00:00"/>
    <n v="-584"/>
    <n v="0"/>
    <n v="-876"/>
    <m/>
    <x v="0"/>
    <n v="1.5"/>
  </r>
  <r>
    <s v="outbound"/>
    <d v="2024-10-15T09:17:00"/>
    <s v="production"/>
    <s v="labelling"/>
    <x v="21"/>
    <s v="PR241005F5P3"/>
    <x v="17"/>
    <s v="preroll_packaged"/>
    <d v="2024-09-06T00:00:00"/>
    <n v="-164"/>
    <n v="0"/>
    <n v="-246"/>
    <m/>
    <x v="0"/>
    <n v="1.5"/>
  </r>
  <r>
    <s v="outbound"/>
    <d v="2024-10-15T15:34:00"/>
    <s v="production"/>
    <s v="FILLING"/>
    <x v="11"/>
    <s v="EX24022302"/>
    <x v="8"/>
    <s v="extract_ingested_bulk"/>
    <d v="2024-02-23T00:00:00"/>
    <n v="-1"/>
    <n v="-3950"/>
    <n v="0"/>
    <m/>
    <x v="1"/>
    <n v="0"/>
  </r>
  <r>
    <s v="outbound"/>
    <d v="2024-10-16T09:10:00"/>
    <s v="production"/>
    <m/>
    <x v="152"/>
    <s v="PR2411"/>
    <x v="21"/>
    <s v="driedflower_milled_bulk"/>
    <s v="NA"/>
    <n v="-1"/>
    <n v="-2268"/>
    <n v="0"/>
    <m/>
    <x v="1"/>
    <n v="0"/>
  </r>
  <r>
    <s v="outbound"/>
    <d v="2024-10-16T09:48:00"/>
    <s v="shipment"/>
    <s v="PO_1008"/>
    <x v="132"/>
    <s v="EX24082905G05"/>
    <x v="49"/>
    <s v="extract_inhaled_labelled"/>
    <d v="2024-09-25T00:00:00"/>
    <n v="-23"/>
    <n v="0"/>
    <n v="-11.5"/>
    <m/>
    <x v="0"/>
    <n v="0.5"/>
  </r>
  <r>
    <s v="outbound"/>
    <d v="2024-10-16T09:48:00"/>
    <s v="shipment"/>
    <s v="PO_1008"/>
    <x v="180"/>
    <s v="EX24082906G05"/>
    <x v="53"/>
    <s v="extract_inhaled_labelled"/>
    <d v="2024-10-09T00:00:00"/>
    <n v="-12"/>
    <n v="0"/>
    <n v="-6"/>
    <m/>
    <x v="0"/>
    <n v="0.5"/>
  </r>
  <r>
    <s v="outbound"/>
    <d v="2024-10-16T09:48:00"/>
    <s v="shipment"/>
    <s v="PO_1008"/>
    <x v="22"/>
    <s v="PR241104F5P3"/>
    <x v="18"/>
    <s v="preroll_labelled"/>
    <d v="2024-10-02T00:00:00"/>
    <n v="-24"/>
    <n v="0"/>
    <n v="-36"/>
    <m/>
    <x v="0"/>
    <n v="1.5"/>
  </r>
  <r>
    <s v="outbound"/>
    <d v="2024-10-16T09:48:00"/>
    <s v="shipment"/>
    <s v="PO_1008"/>
    <x v="79"/>
    <s v="PR21071201G1"/>
    <x v="11"/>
    <s v="preroll_labelled"/>
    <d v="2022-11-23T00:00:00"/>
    <n v="-12"/>
    <n v="0"/>
    <n v="-12"/>
    <m/>
    <x v="0"/>
    <n v="1"/>
  </r>
  <r>
    <s v="outbound"/>
    <d v="2024-10-16T09:48:00"/>
    <s v="shipment"/>
    <s v="PO_1008"/>
    <x v="55"/>
    <s v="EX24010301V30"/>
    <x v="32"/>
    <s v="extract_ingested_labelled"/>
    <d v="2024-01-16T00:00:00"/>
    <n v="-12"/>
    <n v="0"/>
    <n v="-327.60000000000002"/>
    <m/>
    <x v="0"/>
    <n v="27.3"/>
  </r>
  <r>
    <s v="outbound"/>
    <d v="2024-10-16T15:30:00"/>
    <s v="production"/>
    <s v="vape production"/>
    <x v="76"/>
    <n v="2024030601"/>
    <x v="28"/>
    <s v="extract_inhaled_bulk"/>
    <d v="2024-01-05T00:00:00"/>
    <n v="-1"/>
    <n v="-1024.2"/>
    <n v="0"/>
    <m/>
    <x v="1"/>
    <n v="0"/>
  </r>
  <r>
    <s v="outbound"/>
    <d v="2024-10-16T15:30:00"/>
    <s v="production"/>
    <s v="vape production"/>
    <x v="77"/>
    <n v="2024082701"/>
    <x v="26"/>
    <s v="extract_distillate_bulk"/>
    <s v="NA"/>
    <n v="-1"/>
    <n v="-355.1"/>
    <n v="0"/>
    <m/>
    <x v="1"/>
    <n v="0"/>
  </r>
  <r>
    <s v="outbound"/>
    <d v="2024-10-16T15:30:00"/>
    <s v="production"/>
    <s v="vape production"/>
    <x v="58"/>
    <n v="2024022201"/>
    <x v="26"/>
    <s v="extract_distillate_bulk"/>
    <s v="NA"/>
    <n v="-1"/>
    <n v="-117.5"/>
    <n v="0"/>
    <m/>
    <x v="1"/>
    <n v="0"/>
  </r>
  <r>
    <s v="outbound"/>
    <d v="2024-10-16T15:30:00"/>
    <s v="production"/>
    <s v="vape production"/>
    <x v="38"/>
    <n v="2024022201"/>
    <x v="26"/>
    <s v="extract_distillate_bulk"/>
    <d v="2024-04-25T00:00:00"/>
    <n v="-1"/>
    <n v="-365.2"/>
    <n v="0"/>
    <m/>
    <x v="1"/>
    <n v="0"/>
  </r>
  <r>
    <s v="outbound"/>
    <d v="2024-10-17T00:00:00"/>
    <s v="production"/>
    <s v="Packaging"/>
    <x v="181"/>
    <n v="2024092001"/>
    <x v="56"/>
    <s v="driedflower_bulk_BURB"/>
    <s v="NA"/>
    <n v="-1"/>
    <n v="-2866"/>
    <n v="0"/>
    <m/>
    <x v="1"/>
    <n v="0"/>
  </r>
  <r>
    <s v="outbound"/>
    <d v="2024-10-17T00:00:00"/>
    <s v="production"/>
    <s v="Packaging"/>
    <x v="182"/>
    <n v="2024092001"/>
    <x v="57"/>
    <s v="driedflower_bulk_BURB"/>
    <s v="NA"/>
    <n v="-1"/>
    <n v="-3932"/>
    <n v="0"/>
    <m/>
    <x v="1"/>
    <n v="0"/>
  </r>
  <r>
    <s v="outbound"/>
    <d v="2024-10-17T13:55:00"/>
    <s v="production"/>
    <s v="vape production"/>
    <x v="183"/>
    <n v="2024100401"/>
    <x v="26"/>
    <s v="extract_distillate_bulk"/>
    <s v="NA"/>
    <n v="-1"/>
    <n v="-2686.1"/>
    <n v="0"/>
    <m/>
    <x v="1"/>
    <n v="0"/>
  </r>
  <r>
    <s v="outbound"/>
    <d v="2024-10-18T09:56:00"/>
    <s v="production"/>
    <s v="PACKAGING"/>
    <x v="184"/>
    <n v="2024092001"/>
    <x v="56"/>
    <s v="driedflower_bulk_BURB"/>
    <s v="NA"/>
    <n v="-1"/>
    <n v="-3104"/>
    <n v="0"/>
    <m/>
    <x v="1"/>
    <n v="0"/>
  </r>
  <r>
    <s v="outbound"/>
    <d v="2024-10-18T09:56:00"/>
    <s v="production"/>
    <s v="PACKAGING"/>
    <x v="185"/>
    <n v="2024092001"/>
    <x v="56"/>
    <s v="driedflower_bulk_BURB"/>
    <s v="NA"/>
    <n v="-1"/>
    <n v="-3100"/>
    <n v="0"/>
    <m/>
    <x v="1"/>
    <n v="0"/>
  </r>
  <r>
    <s v="outbound"/>
    <d v="2024-10-18T09:56:00"/>
    <s v="production"/>
    <s v="PACKAGING"/>
    <x v="186"/>
    <n v="2024092002"/>
    <x v="58"/>
    <s v="driedflower_bulk_BURB"/>
    <s v="NA"/>
    <n v="-1"/>
    <n v="-1562"/>
    <n v="0"/>
    <m/>
    <x v="1"/>
    <n v="0"/>
  </r>
  <r>
    <s v="outbound"/>
    <d v="2024-10-18T09:56:00"/>
    <s v="production"/>
    <s v="PACKAGING"/>
    <x v="187"/>
    <n v="2024092002"/>
    <x v="58"/>
    <s v="driedflower_bulk_BURB"/>
    <s v="NA"/>
    <n v="-1"/>
    <n v="-2616"/>
    <n v="0"/>
    <m/>
    <x v="1"/>
    <n v="0"/>
  </r>
  <r>
    <s v="outbound"/>
    <d v="2024-10-18T09:56:00"/>
    <s v="production"/>
    <s v="PACKAGING"/>
    <x v="188"/>
    <n v="2024092002"/>
    <x v="58"/>
    <s v="driedflower_bulk_BURB"/>
    <s v="NA"/>
    <n v="-1"/>
    <n v="-3600"/>
    <n v="0"/>
    <m/>
    <x v="1"/>
    <n v="0"/>
  </r>
  <r>
    <s v="outbound"/>
    <d v="2024-10-18T10:06:00"/>
    <s v="production"/>
    <s v="PACKAGING"/>
    <x v="189"/>
    <n v="2024092002"/>
    <x v="58"/>
    <s v="driedflower_bulk_BURB"/>
    <s v="NA"/>
    <n v="-1"/>
    <n v="-1560"/>
    <n v="0"/>
    <m/>
    <x v="1"/>
    <n v="0"/>
  </r>
  <r>
    <s v="outbound"/>
    <d v="2024-10-18T10:06:00"/>
    <s v="production"/>
    <s v="PACKAGING"/>
    <x v="190"/>
    <n v="2024092002"/>
    <x v="59"/>
    <s v="driedflower_bulk_BURB"/>
    <s v="NA"/>
    <n v="-1"/>
    <n v="-3596"/>
    <n v="0"/>
    <m/>
    <x v="1"/>
    <n v="0"/>
  </r>
  <r>
    <s v="outbound"/>
    <d v="2024-10-18T10:06:00"/>
    <s v="production"/>
    <s v="PACKAGING"/>
    <x v="191"/>
    <n v="2024092002"/>
    <x v="59"/>
    <s v="driedflower_bulk_BURB"/>
    <s v="NA"/>
    <n v="-1"/>
    <n v="-2072"/>
    <n v="0"/>
    <m/>
    <x v="1"/>
    <n v="0"/>
  </r>
  <r>
    <s v="outbound"/>
    <d v="2024-10-18T10:06:00"/>
    <s v="production"/>
    <s v="PACKAGING"/>
    <x v="192"/>
    <n v="2024092002"/>
    <x v="58"/>
    <s v="driedflower_bulk_BURB"/>
    <s v="NA"/>
    <n v="-1"/>
    <n v="-1560"/>
    <n v="0"/>
    <m/>
    <x v="1"/>
    <n v="0"/>
  </r>
  <r>
    <s v="outbound"/>
    <d v="2024-10-18T10:10:00"/>
    <s v="production"/>
    <s v="PACKAGING"/>
    <x v="193"/>
    <n v="2024092002"/>
    <x v="59"/>
    <s v="driedflower_bulk_BURB"/>
    <s v="NA"/>
    <n v="-1"/>
    <n v="-454"/>
    <n v="0"/>
    <m/>
    <x v="1"/>
    <n v="0"/>
  </r>
  <r>
    <s v="outbound"/>
    <d v="2024-10-18T10:10:00"/>
    <s v="production"/>
    <s v="PACKAGING"/>
    <x v="194"/>
    <n v="2024092003"/>
    <x v="60"/>
    <s v="driedflower_bulk_BURB"/>
    <s v="NA"/>
    <n v="-1"/>
    <n v="-2294"/>
    <n v="0"/>
    <m/>
    <x v="1"/>
    <n v="0"/>
  </r>
  <r>
    <s v="outbound"/>
    <d v="2024-10-18T10:10:00"/>
    <s v="production"/>
    <s v="PACKAGING"/>
    <x v="195"/>
    <n v="2024092003"/>
    <x v="60"/>
    <s v="driedflower_bulk_BURB"/>
    <s v="NA"/>
    <n v="-1"/>
    <n v="-3102"/>
    <n v="0"/>
    <m/>
    <x v="1"/>
    <n v="0"/>
  </r>
  <r>
    <s v="outbound"/>
    <d v="2024-10-21T00:00:00"/>
    <s v="production"/>
    <s v="OCS po"/>
    <x v="22"/>
    <s v="PR241104F5P3"/>
    <x v="18"/>
    <s v="preroll_labelled"/>
    <d v="2024-10-02T00:00:00"/>
    <n v="-24"/>
    <n v="0"/>
    <n v="-36"/>
    <m/>
    <x v="0"/>
    <n v="1.5"/>
  </r>
  <r>
    <s v="outbound"/>
    <d v="2024-10-21T00:00:00"/>
    <s v="production"/>
    <s v="OCS po"/>
    <x v="196"/>
    <s v="PR241104F5P3"/>
    <x v="18"/>
    <s v="preroll_labelled"/>
    <d v="2024-10-10T00:00:00"/>
    <n v="-240"/>
    <n v="0"/>
    <n v="-360"/>
    <m/>
    <x v="0"/>
    <n v="1.5"/>
  </r>
  <r>
    <s v="outbound"/>
    <d v="2024-10-21T13:43:00"/>
    <s v="production"/>
    <s v="milling"/>
    <x v="197"/>
    <n v="2024101702"/>
    <x v="61"/>
    <s v="driedflower_bulk"/>
    <s v="NA"/>
    <n v="-1"/>
    <n v="-899.1"/>
    <n v="0"/>
    <m/>
    <x v="1"/>
    <n v="0"/>
  </r>
  <r>
    <s v="outbound"/>
    <d v="2024-10-21T13:43:00"/>
    <s v="production"/>
    <s v="milling"/>
    <x v="198"/>
    <n v="2024101702"/>
    <x v="61"/>
    <s v="driedflower_bulk"/>
    <s v="NA"/>
    <n v="-1"/>
    <n v="-1000"/>
    <n v="0"/>
    <m/>
    <x v="1"/>
    <n v="0"/>
  </r>
  <r>
    <s v="outbound"/>
    <d v="2024-10-21T13:43:00"/>
    <s v="production"/>
    <s v="milling"/>
    <x v="199"/>
    <n v="2024101702"/>
    <x v="61"/>
    <s v="driedflower_bulk"/>
    <s v="NA"/>
    <n v="-1"/>
    <n v="-1000"/>
    <n v="0"/>
    <m/>
    <x v="1"/>
    <n v="0"/>
  </r>
  <r>
    <s v="outbound"/>
    <d v="2024-10-22T00:00:00"/>
    <m/>
    <m/>
    <x v="200"/>
    <s v="TP24082901"/>
    <x v="6"/>
    <s v="topical_labelled"/>
    <d v="2024-10-04T00:00:00"/>
    <n v="-12"/>
    <n v="0"/>
    <n v="-1056"/>
    <m/>
    <x v="0"/>
    <n v="88"/>
  </r>
  <r>
    <s v="outbound"/>
    <d v="2024-10-22T00:00:00"/>
    <m/>
    <m/>
    <x v="79"/>
    <s v="PR21071201G1"/>
    <x v="11"/>
    <s v="preroll_labelled"/>
    <d v="2022-11-23T00:00:00"/>
    <n v="-87"/>
    <n v="0"/>
    <n v="-87"/>
    <m/>
    <x v="0"/>
    <n v="1"/>
  </r>
  <r>
    <s v="outbound"/>
    <d v="2024-10-22T00:00:00"/>
    <m/>
    <m/>
    <x v="15"/>
    <s v="PR21071201G1"/>
    <x v="11"/>
    <s v="preroll_labelled"/>
    <d v="2022-11-23T00:00:00"/>
    <n v="-144"/>
    <n v="0"/>
    <n v="-144"/>
    <m/>
    <x v="0"/>
    <n v="1"/>
  </r>
  <r>
    <s v="outbound"/>
    <d v="2024-10-22T13:36:00"/>
    <s v="production"/>
    <s v="packaging"/>
    <x v="201"/>
    <s v="PR2301F35"/>
    <x v="62"/>
    <s v="preroll_bulk"/>
    <s v="NA"/>
    <n v="-1354"/>
    <n v="0"/>
    <n v="-473.9"/>
    <m/>
    <x v="0"/>
    <n v="0.35"/>
  </r>
  <r>
    <s v="outbound"/>
    <d v="2024-10-22T14:39:00"/>
    <s v="shipment"/>
    <s v="PO_1009"/>
    <x v="180"/>
    <s v="EX24082906G05"/>
    <x v="53"/>
    <s v="extract_inhaled_labelled"/>
    <d v="2024-10-09T00:00:00"/>
    <n v="-42"/>
    <n v="0"/>
    <n v="-21"/>
    <m/>
    <x v="0"/>
    <n v="0.5"/>
  </r>
  <r>
    <s v="outbound"/>
    <d v="2024-10-22T14:39:00"/>
    <s v="shipment"/>
    <s v="PO_1009, "/>
    <x v="173"/>
    <s v="EX24082901G05"/>
    <x v="47"/>
    <s v="extract_inhaled_labelled"/>
    <d v="2024-10-09T00:00:00"/>
    <n v="-8"/>
    <n v="0"/>
    <n v="-4"/>
    <m/>
    <x v="0"/>
    <n v="0.5"/>
  </r>
  <r>
    <s v="outbound"/>
    <d v="2024-10-22T14:53:00"/>
    <s v="shipment"/>
    <m/>
    <x v="54"/>
    <s v="PR2407F5P3"/>
    <x v="31"/>
    <s v="preroll_labelled"/>
    <d v="2024-07-25T00:00:00"/>
    <n v="-60"/>
    <n v="0"/>
    <n v="-90"/>
    <m/>
    <x v="0"/>
    <n v="1.5"/>
  </r>
  <r>
    <s v="outbound"/>
    <d v="2024-10-22T14:59:00"/>
    <s v="shipment"/>
    <s v="OFDMB241022"/>
    <x v="202"/>
    <s v="EX24082906G05"/>
    <x v="53"/>
    <s v="extract_inhaled_labelled"/>
    <d v="2024-10-16T00:00:00"/>
    <n v="-193"/>
    <n v="0"/>
    <n v="-96.5"/>
    <m/>
    <x v="0"/>
    <n v="0.5"/>
  </r>
  <r>
    <s v="outbound"/>
    <d v="2024-10-22T14:59:00"/>
    <s v="shipment"/>
    <s v="OFDMB241022"/>
    <x v="104"/>
    <s v="PR241005F5P3"/>
    <x v="17"/>
    <s v="preroll_labelled"/>
    <d v="2024-10-10T00:00:00"/>
    <n v="-60"/>
    <n v="0"/>
    <n v="-90"/>
    <m/>
    <x v="0"/>
    <n v="1.5"/>
  </r>
  <r>
    <s v="outbound"/>
    <d v="2024-10-22T14:59:00"/>
    <s v="shipment"/>
    <s v="OFDMB241022"/>
    <x v="200"/>
    <s v="TP24082901"/>
    <x v="6"/>
    <s v="topical_labelled"/>
    <d v="2024-10-04T00:00:00"/>
    <n v="-350"/>
    <n v="0"/>
    <n v="-30800"/>
    <m/>
    <x v="0"/>
    <n v="88"/>
  </r>
  <r>
    <s v="outbound"/>
    <d v="2024-10-23T12:04:00"/>
    <m/>
    <m/>
    <x v="203"/>
    <n v="2024092001"/>
    <x v="63"/>
    <s v="driedflower_labelled_BC_BURB"/>
    <d v="2024-10-16T00:00:00"/>
    <n v="-88"/>
    <n v="0"/>
    <n v="-1232"/>
    <m/>
    <x v="0"/>
    <n v="14"/>
  </r>
  <r>
    <s v="outbound"/>
    <d v="2024-10-23T12:04:00"/>
    <m/>
    <m/>
    <x v="204"/>
    <n v="2024092001"/>
    <x v="63"/>
    <s v="driedflower_labelled_BC_BURB"/>
    <d v="2024-10-16T00:00:00"/>
    <n v="-400"/>
    <n v="0"/>
    <n v="-5600"/>
    <m/>
    <x v="0"/>
    <n v="14"/>
  </r>
  <r>
    <s v="outbound"/>
    <d v="2024-10-23T12:04:00"/>
    <m/>
    <m/>
    <x v="205"/>
    <n v="2024092001"/>
    <x v="63"/>
    <s v="driedflower_labelled_BC_BURB"/>
    <d v="2024-10-16T00:00:00"/>
    <n v="-400"/>
    <n v="0"/>
    <n v="-5600"/>
    <m/>
    <x v="0"/>
    <n v="14"/>
  </r>
  <r>
    <s v="outbound"/>
    <d v="2024-10-23T12:09:00"/>
    <m/>
    <m/>
    <x v="206"/>
    <n v="2024092003"/>
    <x v="64"/>
    <s v="driedflower_labelled_BC_BURB"/>
    <d v="2024-10-16T00:00:00"/>
    <n v="-411"/>
    <n v="0"/>
    <n v="-5754"/>
    <m/>
    <x v="0"/>
    <n v="14"/>
  </r>
  <r>
    <s v="outbound"/>
    <d v="2024-10-23T12:09:00"/>
    <m/>
    <m/>
    <x v="207"/>
    <n v="2024092002"/>
    <x v="64"/>
    <s v="driedflower_labelled_BC_BURB"/>
    <d v="2024-10-16T00:00:00"/>
    <n v="-349"/>
    <n v="0"/>
    <n v="-4886"/>
    <m/>
    <x v="0"/>
    <n v="14"/>
  </r>
  <r>
    <s v="outbound"/>
    <d v="2024-10-23T12:09:00"/>
    <m/>
    <m/>
    <x v="208"/>
    <n v="2024092002"/>
    <x v="64"/>
    <s v="driedflower_labelled_BC_BURB"/>
    <d v="2024-10-16T00:00:00"/>
    <n v="-400"/>
    <n v="0"/>
    <n v="-5600"/>
    <m/>
    <x v="0"/>
    <n v="14"/>
  </r>
  <r>
    <s v="outbound"/>
    <d v="2024-10-23T12:09:00"/>
    <m/>
    <m/>
    <x v="209"/>
    <n v="2024092002"/>
    <x v="64"/>
    <s v="driedflower_labelled_BC_BURB"/>
    <d v="2024-10-16T00:00:00"/>
    <n v="-400"/>
    <n v="0"/>
    <n v="-5600"/>
    <m/>
    <x v="0"/>
    <n v="14"/>
  </r>
  <r>
    <s v="outbound"/>
    <d v="2024-10-23T13:27:00"/>
    <m/>
    <s v="sampling Steve"/>
    <x v="125"/>
    <s v="EX24082903G05"/>
    <x v="45"/>
    <s v="extract_inhaled_labelled"/>
    <d v="2024-09-25T00:00:00"/>
    <n v="-6"/>
    <n v="0"/>
    <n v="-3"/>
    <m/>
    <x v="0"/>
    <n v="0.5"/>
  </r>
  <r>
    <s v="outbound"/>
    <d v="2024-10-23T13:27:00"/>
    <m/>
    <m/>
    <x v="210"/>
    <s v="PR241104F5P3"/>
    <x v="18"/>
    <s v="preroll_packaged"/>
    <s v="NA"/>
    <n v="-644"/>
    <n v="0"/>
    <n v="-966"/>
    <m/>
    <x v="0"/>
    <n v="1.5"/>
  </r>
  <r>
    <s v="outbound"/>
    <d v="2024-10-23T15:09:00"/>
    <m/>
    <m/>
    <x v="89"/>
    <s v="PR241002F5P3"/>
    <x v="30"/>
    <s v="preroll_labelled"/>
    <d v="2024-08-19T00:00:00"/>
    <n v="-5"/>
    <n v="0"/>
    <n v="-7.5"/>
    <m/>
    <x v="0"/>
    <n v="1.5"/>
  </r>
  <r>
    <s v="outbound"/>
    <d v="2024-10-23T15:09:00"/>
    <m/>
    <m/>
    <x v="211"/>
    <s v="PR241002F5P3"/>
    <x v="30"/>
    <s v="preroll_labelled"/>
    <d v="2024-10-02T00:00:00"/>
    <n v="-9"/>
    <n v="0"/>
    <n v="-13.5"/>
    <m/>
    <x v="0"/>
    <n v="1.5"/>
  </r>
  <r>
    <s v="outbound"/>
    <d v="2024-10-23T15:09:00"/>
    <m/>
    <m/>
    <x v="212"/>
    <s v="PR241002F5P3"/>
    <x v="30"/>
    <s v="preroll_labelled"/>
    <d v="2024-10-10T00:00:00"/>
    <n v="-34"/>
    <n v="0"/>
    <n v="-51"/>
    <m/>
    <x v="0"/>
    <n v="1.5"/>
  </r>
  <r>
    <s v="outbound"/>
    <d v="2024-10-23T15:09:00"/>
    <m/>
    <m/>
    <x v="120"/>
    <s v="PR241005F5P3"/>
    <x v="17"/>
    <s v="preroll_labelled"/>
    <d v="2024-08-19T00:00:00"/>
    <n v="-48"/>
    <n v="0"/>
    <n v="-72"/>
    <m/>
    <x v="0"/>
    <n v="1.5"/>
  </r>
  <r>
    <s v="outbound"/>
    <d v="2024-10-23T15:11:00"/>
    <m/>
    <m/>
    <x v="23"/>
    <s v="PR241101F5P3"/>
    <x v="19"/>
    <s v="preroll_labelled"/>
    <d v="2024-09-08T00:00:00"/>
    <n v="-5"/>
    <n v="0"/>
    <n v="-7.5"/>
    <m/>
    <x v="0"/>
    <n v="1.5"/>
  </r>
  <r>
    <s v="outbound"/>
    <d v="2024-10-23T15:11:00"/>
    <m/>
    <m/>
    <x v="213"/>
    <s v="PR241101F5P3"/>
    <x v="19"/>
    <s v="preroll_labelled"/>
    <d v="2024-10-09T00:00:00"/>
    <n v="-43"/>
    <n v="0"/>
    <n v="-64.5"/>
    <m/>
    <x v="0"/>
    <n v="1.5"/>
  </r>
  <r>
    <s v="outbound"/>
    <d v="2024-10-23T15:25:00"/>
    <m/>
    <m/>
    <x v="179"/>
    <s v="PR241003F5P3"/>
    <x v="20"/>
    <s v="preroll_labelled"/>
    <d v="2024-10-10T00:00:00"/>
    <n v="-36"/>
    <n v="0"/>
    <n v="-54"/>
    <m/>
    <x v="0"/>
    <n v="1.5"/>
  </r>
  <r>
    <s v="outbound"/>
    <d v="2024-10-23T15:25:00"/>
    <m/>
    <m/>
    <x v="114"/>
    <s v="EX24082904G05"/>
    <x v="48"/>
    <s v="extract_inhaled_labelled"/>
    <d v="2024-09-20T00:00:00"/>
    <n v="-24"/>
    <n v="0"/>
    <n v="-12"/>
    <m/>
    <x v="0"/>
    <n v="0.5"/>
  </r>
  <r>
    <s v="outbound"/>
    <d v="2024-10-23T15:31:00"/>
    <m/>
    <m/>
    <x v="125"/>
    <s v="EX24082903G05"/>
    <x v="45"/>
    <s v="extract_inhaled_labelled"/>
    <d v="2024-09-25T00:00:00"/>
    <n v="-3"/>
    <n v="0"/>
    <n v="-1.5"/>
    <m/>
    <x v="0"/>
    <n v="0.5"/>
  </r>
  <r>
    <s v="outbound"/>
    <d v="2024-10-23T15:31:00"/>
    <m/>
    <s v="sampling Shawn"/>
    <x v="170"/>
    <s v="BS23041701G180"/>
    <x v="0"/>
    <s v="topical_labelled"/>
    <d v="2024-08-19T00:00:00"/>
    <n v="-6"/>
    <n v="0"/>
    <n v="-1080"/>
    <m/>
    <x v="0"/>
    <n v="180"/>
  </r>
  <r>
    <s v="outbound"/>
    <d v="2024-10-24T15:41:00"/>
    <m/>
    <s v="labelling"/>
    <x v="214"/>
    <s v="EX24022302130"/>
    <x v="8"/>
    <s v="extract_ingested_packaged"/>
    <s v="NA"/>
    <n v="-18"/>
    <n v="0"/>
    <n v="-495"/>
    <m/>
    <x v="0"/>
    <n v="27.5"/>
  </r>
  <r>
    <s v="outbound"/>
    <d v="2024-10-24T15:41:00"/>
    <m/>
    <s v="labelling"/>
    <x v="215"/>
    <s v="EX24022302130"/>
    <x v="8"/>
    <s v="extract_ingested_packaged"/>
    <s v="NA"/>
    <n v="-63"/>
    <n v="0"/>
    <n v="-1732.5"/>
    <m/>
    <x v="0"/>
    <n v="27.5"/>
  </r>
  <r>
    <s v="outbound"/>
    <d v="2024-10-24T15:42:00"/>
    <m/>
    <s v="FILLING"/>
    <x v="216"/>
    <s v="EX24102101"/>
    <x v="51"/>
    <s v="extract_inhaled_bulk"/>
    <s v="NA"/>
    <n v="-1"/>
    <n v="-610.9"/>
    <n v="0"/>
    <m/>
    <x v="1"/>
    <n v="0"/>
  </r>
  <r>
    <s v="outbound"/>
    <d v="2024-10-24T16:41:00"/>
    <m/>
    <m/>
    <x v="217"/>
    <s v="EX24082906G05"/>
    <x v="53"/>
    <s v="extract_inhaled_labelled"/>
    <d v="2024-10-09T00:00:00"/>
    <n v="-3"/>
    <n v="0"/>
    <n v="-1.5"/>
    <m/>
    <x v="0"/>
    <n v="0.5"/>
  </r>
  <r>
    <s v="outbound"/>
    <d v="2024-10-24T16:41:00"/>
    <m/>
    <m/>
    <x v="168"/>
    <s v="EX24082904G05"/>
    <x v="48"/>
    <s v="extract_inhaled_labelled"/>
    <d v="2024-09-20T00:00:00"/>
    <n v="-3"/>
    <n v="0"/>
    <n v="-1.5"/>
    <m/>
    <x v="0"/>
    <n v="0.5"/>
  </r>
  <r>
    <s v="outbound"/>
    <d v="2024-10-25T12:05:00"/>
    <m/>
    <s v="PO_0072695"/>
    <x v="218"/>
    <s v="EX24090501V50"/>
    <x v="33"/>
    <s v="extract_ingested_labelled_ON"/>
    <d v="2024-09-15T00:00:00"/>
    <n v="-84"/>
    <n v="0"/>
    <n v="-12684"/>
    <m/>
    <x v="0"/>
    <n v="151"/>
  </r>
  <r>
    <s v="outbound"/>
    <d v="2024-10-28T10:16:00"/>
    <m/>
    <m/>
    <x v="219"/>
    <n v="2024101703"/>
    <x v="65"/>
    <s v="driedflower_bulk"/>
    <s v="NA"/>
    <n v="-1"/>
    <n v="-3080"/>
    <n v="0"/>
    <m/>
    <x v="1"/>
    <n v="0"/>
  </r>
  <r>
    <s v="outbound"/>
    <d v="2024-10-28T10:16:00"/>
    <m/>
    <m/>
    <x v="220"/>
    <n v="2024101703"/>
    <x v="65"/>
    <s v="driedflower_bulk"/>
    <s v="NA"/>
    <n v="-1"/>
    <n v="-2094"/>
    <n v="0"/>
    <m/>
    <x v="1"/>
    <n v="0"/>
  </r>
  <r>
    <s v="outbound"/>
    <d v="2024-10-28T10:16:00"/>
    <m/>
    <m/>
    <x v="221"/>
    <n v="2024101703"/>
    <x v="65"/>
    <s v="driedflower_bulk"/>
    <s v="NA"/>
    <n v="-1"/>
    <n v="-3090"/>
    <n v="0"/>
    <m/>
    <x v="1"/>
    <n v="0"/>
  </r>
  <r>
    <s v="outbound"/>
    <d v="2024-10-28T10:16:00"/>
    <s v="production"/>
    <s v="PACKAGING 28G"/>
    <x v="222"/>
    <s v="2022012401R1"/>
    <x v="16"/>
    <s v="driedflower_bulk"/>
    <d v="2022-05-05T00:00:00"/>
    <n v="-1"/>
    <n v="-1021.2"/>
    <n v="0"/>
    <m/>
    <x v="1"/>
    <n v="0"/>
  </r>
  <r>
    <s v="outbound"/>
    <d v="2024-10-28T10:16:00"/>
    <s v="production"/>
    <m/>
    <x v="223"/>
    <s v="2022012401R1"/>
    <x v="16"/>
    <s v="driedflower_bulk"/>
    <s v="NA"/>
    <n v="-1"/>
    <n v="-89.9"/>
    <n v="0"/>
    <m/>
    <x v="1"/>
    <n v="0"/>
  </r>
  <r>
    <s v="outbound"/>
    <d v="2024-10-28T10:16:00"/>
    <s v="production"/>
    <m/>
    <x v="224"/>
    <s v="2022012401R1"/>
    <x v="16"/>
    <s v="driedflower_bulk"/>
    <d v="2023-06-02T00:00:00"/>
    <n v="-1"/>
    <n v="-471.6"/>
    <n v="0"/>
    <m/>
    <x v="1"/>
    <n v="0"/>
  </r>
  <r>
    <s v="outbound"/>
    <d v="2024-10-28T10:16:00"/>
    <s v="production"/>
    <m/>
    <x v="225"/>
    <s v="2022012401R1"/>
    <x v="16"/>
    <s v="driedflower_bulk"/>
    <d v="2022-05-05T00:00:00"/>
    <n v="-1"/>
    <n v="-1027.5999999999999"/>
    <n v="0"/>
    <m/>
    <x v="1"/>
    <n v="0"/>
  </r>
  <r>
    <s v="outbound"/>
    <d v="2024-10-28T12:48:00"/>
    <s v="production"/>
    <m/>
    <x v="114"/>
    <s v="EX24082904G05"/>
    <x v="48"/>
    <s v="extract_inhaled_labelled"/>
    <d v="2024-09-20T00:00:00"/>
    <n v="-49"/>
    <n v="0"/>
    <n v="-24.5"/>
    <m/>
    <x v="0"/>
    <n v="0.5"/>
  </r>
  <r>
    <s v="outbound"/>
    <d v="2024-10-28T12:48:00"/>
    <s v="production"/>
    <m/>
    <x v="101"/>
    <s v="EX24082904G05"/>
    <x v="48"/>
    <s v="extract_inhaled_labelled"/>
    <d v="2024-09-20T00:00:00"/>
    <n v="-71"/>
    <n v="0"/>
    <n v="-35.5"/>
    <m/>
    <x v="0"/>
    <n v="0.5"/>
  </r>
  <r>
    <s v="outbound"/>
    <d v="2024-10-29T09:46:00"/>
    <s v="sampling"/>
    <s v="JAY"/>
    <x v="30"/>
    <s v="2022012401R1"/>
    <x v="16"/>
    <s v="driedflower_bulk"/>
    <d v="2022-05-05T00:00:00"/>
    <n v="-1"/>
    <n v="-980"/>
    <n v="0"/>
    <m/>
    <x v="1"/>
    <n v="0"/>
  </r>
  <r>
    <s v="outbound"/>
    <d v="2024-10-29T09:46:00"/>
    <s v="sampling"/>
    <s v="JAY"/>
    <x v="226"/>
    <n v="2022051603"/>
    <x v="21"/>
    <s v="driedflower_bulk"/>
    <d v="2022-09-26T00:00:00"/>
    <n v="-1"/>
    <n v="-994"/>
    <n v="0"/>
    <m/>
    <x v="1"/>
    <n v="0"/>
  </r>
  <r>
    <s v="outbound"/>
    <d v="2024-10-29T09:46:00"/>
    <s v="sampling"/>
    <s v="JAY"/>
    <x v="227"/>
    <n v="2022051601"/>
    <x v="66"/>
    <s v="driedflower_bulk"/>
    <d v="2022-09-26T00:00:00"/>
    <n v="-1"/>
    <n v="-1046"/>
    <n v="0"/>
    <m/>
    <x v="1"/>
    <n v="0"/>
  </r>
  <r>
    <s v="outbound"/>
    <d v="2024-10-29T09:46:00"/>
    <s v="production"/>
    <s v="FILLING"/>
    <x v="228"/>
    <s v="NA"/>
    <x v="10"/>
    <s v="extract_ingested_labelled"/>
    <s v="NA"/>
    <n v="-1"/>
    <n v="-16015"/>
    <n v="0"/>
    <m/>
    <x v="1"/>
    <n v="0"/>
  </r>
  <r>
    <s v="outbound"/>
    <d v="2024-10-29T09:46:00"/>
    <s v="production"/>
    <s v="FILLING"/>
    <x v="229"/>
    <s v="NA"/>
    <x v="10"/>
    <s v="extract_ingested_bulk"/>
    <s v="NA"/>
    <n v="-1"/>
    <n v="-16075"/>
    <n v="0"/>
    <m/>
    <x v="1"/>
    <n v="0"/>
  </r>
  <r>
    <s v="outbound"/>
    <d v="2024-10-30T09:27:00"/>
    <s v="shipment"/>
    <s v="PO_10013258"/>
    <x v="230"/>
    <s v="PR241101F5P3"/>
    <x v="19"/>
    <s v="preroll_labelled"/>
    <d v="2024-10-16T00:00:00"/>
    <n v="-72"/>
    <n v="0"/>
    <n v="-108"/>
    <m/>
    <x v="0"/>
    <n v="1.5"/>
  </r>
  <r>
    <s v="outbound"/>
    <d v="2024-10-30T09:55:00"/>
    <s v="shipment"/>
    <s v="PO_10013258"/>
    <x v="211"/>
    <s v="PR241002F5P3"/>
    <x v="30"/>
    <s v="preroll_labelled"/>
    <d v="2024-10-02T00:00:00"/>
    <n v="-72"/>
    <n v="0"/>
    <n v="-108"/>
    <m/>
    <x v="0"/>
    <n v="1.5"/>
  </r>
  <r>
    <s v="outbound"/>
    <d v="2024-10-30T09:55:00"/>
    <s v="shipment"/>
    <s v="PO_10013258"/>
    <x v="104"/>
    <s v="PR241005F5P3"/>
    <x v="17"/>
    <s v="preroll_labelled"/>
    <d v="2024-10-10T00:00:00"/>
    <n v="-72"/>
    <n v="0"/>
    <n v="-108"/>
    <m/>
    <x v="0"/>
    <n v="1.5"/>
  </r>
  <r>
    <s v="outbound"/>
    <d v="2024-10-30T10:13:00"/>
    <s v="shipment"/>
    <s v="PO_10013258"/>
    <x v="179"/>
    <s v="PR241003F5P3"/>
    <x v="20"/>
    <s v="preroll_labelled"/>
    <d v="2024-10-10T00:00:00"/>
    <n v="-72"/>
    <n v="0"/>
    <n v="-108"/>
    <m/>
    <x v="0"/>
    <n v="1.5"/>
  </r>
  <r>
    <s v="outbound"/>
    <d v="2024-10-30T10:13:00"/>
    <s v="shipment"/>
    <s v="PO_10013258"/>
    <x v="113"/>
    <s v="EX24082904G05"/>
    <x v="48"/>
    <s v="extract_inhaled_labelled"/>
    <d v="2024-09-20T00:00:00"/>
    <n v="-36"/>
    <n v="0"/>
    <n v="-18"/>
    <m/>
    <x v="0"/>
    <n v="0.5"/>
  </r>
  <r>
    <s v="outbound"/>
    <d v="2024-10-30T11:30:00"/>
    <s v="production"/>
    <s v="PACKAGING 28G"/>
    <x v="72"/>
    <s v="2022012401R1"/>
    <x v="16"/>
    <s v="driedflower_bulk"/>
    <d v="2022-05-05T00:00:00"/>
    <n v="-1"/>
    <n v="-705"/>
    <n v="0"/>
    <m/>
    <x v="1"/>
    <n v="0"/>
  </r>
  <r>
    <s v="outbound"/>
    <d v="2024-10-30T11:30:00"/>
    <s v="production"/>
    <s v="PACKAGING 28G"/>
    <x v="31"/>
    <s v="2022012401R1"/>
    <x v="16"/>
    <s v="driedflower_bulk"/>
    <d v="2022-05-05T00:00:00"/>
    <n v="-1"/>
    <n v="-770"/>
    <n v="0"/>
    <m/>
    <x v="1"/>
    <n v="0"/>
  </r>
  <r>
    <s v="outbound"/>
    <d v="2024-10-31T00:00:00"/>
    <m/>
    <m/>
    <x v="231"/>
    <s v="NA"/>
    <x v="41"/>
    <s v="extract_ingested_labelled"/>
    <s v="NA"/>
    <n v="-79"/>
    <n v="0"/>
    <n v="-11929"/>
    <m/>
    <x v="0"/>
    <n v="151"/>
  </r>
  <r>
    <s v="outbound"/>
    <d v="2024-10-31T00:00:00"/>
    <m/>
    <m/>
    <x v="166"/>
    <s v="NA"/>
    <x v="41"/>
    <s v="extract_ingested_packaged"/>
    <s v="NA"/>
    <n v="-231"/>
    <n v="0"/>
    <n v="-30261"/>
    <m/>
    <x v="0"/>
    <n v="131"/>
  </r>
  <r>
    <s v="outbound"/>
    <d v="2024-10-31T15:13:00"/>
    <s v="production"/>
    <s v="labelling"/>
    <x v="232"/>
    <s v="EX23060701V30"/>
    <x v="22"/>
    <s v="extract_ingested_labelled"/>
    <d v="2023-06-17T00:00:00"/>
    <n v="-84"/>
    <n v="0"/>
    <n v="-2301.6"/>
    <m/>
    <x v="0"/>
    <n v="27.4"/>
  </r>
  <r>
    <s v="outbound"/>
    <d v="2024-10-31T15:13:00"/>
    <s v="production"/>
    <s v="labelling"/>
    <x v="32"/>
    <s v="EX23060701V30"/>
    <x v="22"/>
    <s v="extract_ingested_labelled"/>
    <d v="2023-06-17T00:00:00"/>
    <n v="-43"/>
    <n v="0"/>
    <n v="-1178.2"/>
    <m/>
    <x v="0"/>
    <n v="27.4"/>
  </r>
  <r>
    <s v="outbound"/>
    <d v="2024-10-31T15:13:00"/>
    <s v="production"/>
    <s v="labelling"/>
    <x v="233"/>
    <s v="EX23060701V30"/>
    <x v="22"/>
    <s v="extract_ingested_labelled"/>
    <d v="2023-06-17T00:00:00"/>
    <n v="-84"/>
    <n v="0"/>
    <n v="-2301.6"/>
    <m/>
    <x v="0"/>
    <n v="27.4"/>
  </r>
  <r>
    <s v="outbound"/>
    <d v="2024-10-31T15:13:00"/>
    <s v="production"/>
    <s v="labelling"/>
    <x v="234"/>
    <s v="EX23060701V30"/>
    <x v="22"/>
    <s v="extract_ingested_labelled"/>
    <d v="2023-06-17T00:00:00"/>
    <n v="-84"/>
    <n v="0"/>
    <n v="-2301.6"/>
    <m/>
    <x v="0"/>
    <n v="27.4"/>
  </r>
  <r>
    <s v="outbound"/>
    <d v="2024-10-31T15:13:00"/>
    <s v="production"/>
    <s v="labelling"/>
    <x v="235"/>
    <s v="EX23060701V30"/>
    <x v="22"/>
    <s v="extract_ingested_labelled"/>
    <d v="2023-06-17T00:00:00"/>
    <n v="-84"/>
    <n v="0"/>
    <n v="-2301.6"/>
    <m/>
    <x v="0"/>
    <n v="27.4"/>
  </r>
  <r>
    <s v="outbound"/>
    <d v="2024-10-31T15:13:00"/>
    <s v="production"/>
    <s v="labelling"/>
    <x v="236"/>
    <s v="EX23060701V30"/>
    <x v="22"/>
    <s v="extract_ingested_labelled"/>
    <d v="2023-06-17T00:00:00"/>
    <n v="-84"/>
    <n v="0"/>
    <n v="-2301.6"/>
    <m/>
    <x v="0"/>
    <n v="27.4"/>
  </r>
  <r>
    <s v="outbound"/>
    <d v="2024-11-01T11:40:00"/>
    <s v="sampling"/>
    <s v="JAY241101"/>
    <x v="35"/>
    <s v="PR2407F5"/>
    <x v="24"/>
    <s v="preroll_bulk"/>
    <d v="2024-05-31T00:00:00"/>
    <n v="-338"/>
    <n v="0"/>
    <n v="-169"/>
    <m/>
    <x v="0"/>
    <n v="0.5"/>
  </r>
  <r>
    <s v="outbound"/>
    <d v="2024-11-01T11:40:00"/>
    <s v="sampling"/>
    <s v="JAY241101"/>
    <x v="12"/>
    <s v="LR23032101"/>
    <x v="9"/>
    <s v="extract_inhaled_bulk"/>
    <s v="NA"/>
    <n v="-1"/>
    <n v="-2050.6999999999998"/>
    <n v="0"/>
    <m/>
    <x v="1"/>
    <n v="0"/>
  </r>
  <r>
    <s v="inbound"/>
    <d v="2024-11-01T12:11:00"/>
    <s v="storage"/>
    <m/>
    <x v="30"/>
    <s v="2022012401R1"/>
    <x v="16"/>
    <s v="driedflower_bulk"/>
    <d v="2022-05-05T00:00:00"/>
    <n v="1"/>
    <n v="968"/>
    <n v="0"/>
    <m/>
    <x v="1"/>
    <n v="0"/>
  </r>
  <r>
    <s v="inbound"/>
    <d v="2024-11-01T12:11:00"/>
    <s v="storage"/>
    <m/>
    <x v="226"/>
    <n v="2022051603"/>
    <x v="21"/>
    <s v="driedflower_bulk"/>
    <d v="2022-09-26T00:00:00"/>
    <n v="1"/>
    <n v="988"/>
    <n v="0"/>
    <m/>
    <x v="1"/>
    <n v="0"/>
  </r>
  <r>
    <s v="inbound"/>
    <d v="2024-11-01T12:11:00"/>
    <s v="storage"/>
    <m/>
    <x v="227"/>
    <n v="2022051601"/>
    <x v="66"/>
    <s v="driedflower_bulk"/>
    <d v="2022-09-26T00:00:00"/>
    <n v="1"/>
    <n v="1043"/>
    <n v="0"/>
    <m/>
    <x v="1"/>
    <n v="0"/>
  </r>
  <r>
    <s v="inbound"/>
    <d v="2024-11-01T12:11:00"/>
    <s v="storage"/>
    <m/>
    <x v="221"/>
    <n v="2024101703"/>
    <x v="65"/>
    <s v="driedflower_bulk"/>
    <s v="NA"/>
    <n v="1"/>
    <n v="1700"/>
    <n v="0"/>
    <m/>
    <x v="1"/>
    <n v="0"/>
  </r>
  <r>
    <s v="inbound"/>
    <d v="2024-11-01T12:11:00"/>
    <s v="storage"/>
    <m/>
    <x v="220"/>
    <n v="2024101703"/>
    <x v="65"/>
    <s v="driedflower_bulk"/>
    <s v="NA"/>
    <n v="1"/>
    <n v="2094"/>
    <n v="0"/>
    <m/>
    <x v="1"/>
    <n v="0"/>
  </r>
  <r>
    <s v="outbound"/>
    <d v="2024-11-01T13:39:00"/>
    <s v="shipment"/>
    <s v="PO_1010"/>
    <x v="113"/>
    <s v="EX24082904G05"/>
    <x v="48"/>
    <s v="extract_inhaled_labelled"/>
    <d v="2024-09-20T00:00:00"/>
    <n v="-12"/>
    <n v="0"/>
    <n v="-6"/>
    <m/>
    <x v="0"/>
    <n v="0.5"/>
  </r>
  <r>
    <s v="outbound"/>
    <d v="2024-11-01T13:39:00"/>
    <s v="shipment"/>
    <s v="PO_1010"/>
    <x v="217"/>
    <s v="EX24082906G05"/>
    <x v="53"/>
    <s v="extract_inhaled_labelled"/>
    <d v="2024-10-09T00:00:00"/>
    <n v="-12"/>
    <n v="0"/>
    <n v="-6"/>
    <m/>
    <x v="0"/>
    <n v="0.5"/>
  </r>
  <r>
    <s v="outbound"/>
    <d v="2024-11-01T14:05:00"/>
    <s v="shipment"/>
    <s v="PO_1010"/>
    <x v="230"/>
    <s v="PR241101F5P3"/>
    <x v="19"/>
    <s v="preroll_labelled"/>
    <d v="2024-10-16T00:00:00"/>
    <n v="-12"/>
    <n v="0"/>
    <n v="-18"/>
    <m/>
    <x v="0"/>
    <n v="1.5"/>
  </r>
  <r>
    <s v="outbound"/>
    <d v="2024-11-01T14:05:00"/>
    <s v="shipment"/>
    <s v="PO_1010"/>
    <x v="105"/>
    <s v="PR241003F5P3"/>
    <x v="20"/>
    <s v="preroll_labelled"/>
    <d v="2024-10-05T00:00:00"/>
    <n v="-12"/>
    <n v="0"/>
    <n v="-18"/>
    <m/>
    <x v="0"/>
    <n v="1.5"/>
  </r>
  <r>
    <s v="outbound"/>
    <d v="2024-11-01T14:05:00"/>
    <s v="shipment"/>
    <s v="PO_1010"/>
    <x v="237"/>
    <s v="PR241105F5P3"/>
    <x v="17"/>
    <s v="preroll_labelled"/>
    <d v="2024-10-16T00:00:00"/>
    <n v="-12"/>
    <n v="0"/>
    <n v="-18"/>
    <m/>
    <x v="0"/>
    <n v="1.5"/>
  </r>
  <r>
    <s v="outbound"/>
    <d v="2024-11-04T14:42:00"/>
    <s v="shipment"/>
    <s v="PO_001729"/>
    <x v="238"/>
    <s v="PR2407F5P2"/>
    <x v="54"/>
    <s v="preroll_labelled"/>
    <d v="2024-10-23T00:00:00"/>
    <n v="-180"/>
    <n v="0"/>
    <n v="-180"/>
    <m/>
    <x v="0"/>
    <n v="1"/>
  </r>
  <r>
    <s v="outbound"/>
    <d v="2024-11-04T14:42:00"/>
    <s v="shipment"/>
    <s v="PO_001729"/>
    <x v="179"/>
    <s v="PR241003F5P3"/>
    <x v="20"/>
    <s v="preroll_labelled"/>
    <d v="2024-10-10T00:00:00"/>
    <n v="-240"/>
    <n v="0"/>
    <n v="-360"/>
    <m/>
    <x v="0"/>
    <n v="1.5"/>
  </r>
  <r>
    <s v="outbound"/>
    <d v="2024-11-04T14:42:00"/>
    <s v="shipment"/>
    <s v="PO_001729"/>
    <x v="168"/>
    <s v="EX24082904G05"/>
    <x v="48"/>
    <s v="extract_inhaled_labelled"/>
    <d v="2024-09-20T00:00:00"/>
    <n v="-165"/>
    <n v="0"/>
    <n v="-82.5"/>
    <m/>
    <x v="0"/>
    <n v="0.5"/>
  </r>
  <r>
    <s v="outbound"/>
    <d v="2024-11-04T16:36:00"/>
    <s v="shipment"/>
    <s v="PO_001729"/>
    <x v="239"/>
    <s v="TP24101701"/>
    <x v="2"/>
    <s v="topical_labelled"/>
    <d v="2024-10-23T00:00:00"/>
    <n v="-2"/>
    <n v="0"/>
    <n v="-176"/>
    <m/>
    <x v="0"/>
    <n v="88"/>
  </r>
  <r>
    <s v="outbound"/>
    <d v="2024-11-05T09:13:00"/>
    <s v="production"/>
    <m/>
    <x v="152"/>
    <s v="PR2411"/>
    <x v="21"/>
    <s v="driedflower_milled_bulk"/>
    <s v="NA"/>
    <n v="-1"/>
    <n v="-1920"/>
    <n v="0"/>
    <m/>
    <x v="1"/>
    <n v="0"/>
  </r>
  <r>
    <s v="outbound"/>
    <d v="2024-11-05T15:52:00"/>
    <s v="shipment"/>
    <s v="PO_401036"/>
    <x v="105"/>
    <s v="PR241003F5P3"/>
    <x v="20"/>
    <s v="preroll_labelled"/>
    <d v="2024-10-05T00:00:00"/>
    <n v="-12"/>
    <n v="0"/>
    <n v="-18"/>
    <m/>
    <x v="0"/>
    <n v="1.5"/>
  </r>
  <r>
    <s v="inbound"/>
    <d v="2024-11-05T23:05:00"/>
    <s v="storage"/>
    <m/>
    <x v="216"/>
    <s v="EX24101701"/>
    <x v="51"/>
    <s v="extract_inhaled_bulk"/>
    <s v="NA"/>
    <n v="1"/>
    <n v="458.46"/>
    <n v="0"/>
    <m/>
    <x v="1"/>
    <n v="0"/>
  </r>
  <r>
    <s v="outbound"/>
    <d v="2024-11-06T09:09:00"/>
    <s v="production"/>
    <s v="labelling"/>
    <x v="237"/>
    <s v="PR241105F5P3"/>
    <x v="17"/>
    <s v="preroll_labelled"/>
    <d v="2024-10-16T00:00:00"/>
    <n v="-152"/>
    <n v="0"/>
    <n v="-228"/>
    <m/>
    <x v="0"/>
    <n v="1.5"/>
  </r>
  <r>
    <s v="outbound"/>
    <d v="2024-11-06T09:09:00"/>
    <s v="production"/>
    <s v="labelling"/>
    <x v="240"/>
    <s v="PR241105F5P3"/>
    <x v="17"/>
    <s v="preroll_packaged"/>
    <s v="NA"/>
    <n v="-180"/>
    <n v="0"/>
    <n v="-270"/>
    <m/>
    <x v="0"/>
    <n v="1.5"/>
  </r>
  <r>
    <s v="outbound"/>
    <d v="2024-11-06T09:24:00"/>
    <s v="shipment"/>
    <s v="PO_0073956-1"/>
    <x v="241"/>
    <s v="PR241104F5P3"/>
    <x v="18"/>
    <s v="preroll_labelled"/>
    <d v="2024-10-23T00:00:00"/>
    <n v="-60"/>
    <n v="0"/>
    <n v="-90"/>
    <m/>
    <x v="0"/>
    <n v="1.5"/>
  </r>
  <r>
    <s v="outbound"/>
    <d v="2024-11-06T09:24:00"/>
    <s v="shipment"/>
    <s v="PO_0073506"/>
    <x v="239"/>
    <s v="TP24101701"/>
    <x v="2"/>
    <s v="topical_labelled"/>
    <d v="2024-10-23T00:00:00"/>
    <n v="-36"/>
    <n v="0"/>
    <n v="-3168"/>
    <m/>
    <x v="0"/>
    <n v="88"/>
  </r>
  <r>
    <s v="outbound"/>
    <d v="2024-11-06T09:24:00"/>
    <s v="shipment"/>
    <s v=" PO_0073956-1"/>
    <x v="242"/>
    <s v="EX24070901V50"/>
    <x v="41"/>
    <s v="extract_ingested_cased_BC"/>
    <d v="2024-07-30T00:00:00"/>
    <n v="-72"/>
    <n v="0"/>
    <n v="-43200"/>
    <m/>
    <x v="0"/>
    <n v="600"/>
  </r>
  <r>
    <s v="outbound"/>
    <d v="2024-11-06T10:48:00"/>
    <s v="shipment"/>
    <s v="PO_00022702"/>
    <x v="243"/>
    <s v="EX24101705G05"/>
    <x v="49"/>
    <s v="extract_inhaled_labelled"/>
    <d v="2024-10-29T00:00:00"/>
    <n v="-24"/>
    <n v="0"/>
    <n v="-12"/>
    <m/>
    <x v="0"/>
    <n v="0.5"/>
  </r>
  <r>
    <s v="outbound"/>
    <d v="2024-11-06T14:15:00"/>
    <s v="production"/>
    <s v="milling, watermelon"/>
    <x v="244"/>
    <n v="2024080702"/>
    <x v="21"/>
    <s v="driedflower_bulk"/>
    <s v="NA"/>
    <n v="-1"/>
    <n v="-3355"/>
    <n v="0"/>
    <m/>
    <x v="1"/>
    <n v="0"/>
  </r>
  <r>
    <s v="outbound"/>
    <d v="2024-11-06T14:15:00"/>
    <s v="production"/>
    <s v="vape"/>
    <x v="245"/>
    <n v="2024100401"/>
    <x v="26"/>
    <s v="extract_distillate_bulk"/>
    <d v="2024-10-30T00:00:00"/>
    <n v="-1"/>
    <n v="-2099.9"/>
    <n v="0"/>
    <m/>
    <x v="1"/>
    <n v="0"/>
  </r>
  <r>
    <s v="outbound"/>
    <d v="2024-11-06T15:59:00"/>
    <s v="shipment"/>
    <s v="PO_0073506"/>
    <x v="246"/>
    <s v="EX24102201V50"/>
    <x v="33"/>
    <s v="extract_ingested_cased_ON"/>
    <d v="2024-10-29T00:00:00"/>
    <n v="-84"/>
    <n v="0"/>
    <n v="-50400"/>
    <m/>
    <x v="0"/>
    <n v="600"/>
  </r>
  <r>
    <s v="outbound"/>
    <d v="2024-11-07T09:45:00"/>
    <s v="production"/>
    <s v="milling, watermelon"/>
    <x v="247"/>
    <s v="PR2411"/>
    <x v="21"/>
    <s v="driedflower_milled_bulk"/>
    <s v="NA"/>
    <n v="-1"/>
    <n v="-3545"/>
    <n v="0"/>
    <m/>
    <x v="1"/>
    <n v="0"/>
  </r>
  <r>
    <s v="outbound"/>
    <d v="2024-11-08T10:51:00"/>
    <s v="production"/>
    <s v="labelling"/>
    <x v="248"/>
    <s v="EX24101703G05"/>
    <x v="45"/>
    <s v="extract_inhaled_packaged"/>
    <s v="NA"/>
    <n v="-244"/>
    <n v="0"/>
    <n v="-122"/>
    <m/>
    <x v="0"/>
    <n v="0.5"/>
  </r>
  <r>
    <s v="outbound"/>
    <d v="2024-11-08T10:51:00"/>
    <s v="production"/>
    <s v="labelling"/>
    <x v="249"/>
    <s v="EX24101703G05"/>
    <x v="45"/>
    <s v="extract_inhaled_labelled"/>
    <d v="2024-11-07T00:00:00"/>
    <n v="-530"/>
    <n v="0"/>
    <n v="-265"/>
    <m/>
    <x v="0"/>
    <n v="0.5"/>
  </r>
  <r>
    <s v="outbound"/>
    <d v="2024-11-12T11:51:00"/>
    <s v="shipment"/>
    <s v="PO_0074348"/>
    <x v="241"/>
    <s v="PR241104F5P3"/>
    <x v="18"/>
    <s v="preroll_labelled"/>
    <d v="2024-10-23T00:00:00"/>
    <n v="-264"/>
    <n v="0"/>
    <n v="-396"/>
    <m/>
    <x v="0"/>
    <n v="1.5"/>
  </r>
  <r>
    <s v="outbound"/>
    <d v="2024-11-12T11:51:00"/>
    <s v="shipment"/>
    <s v="PO_0074348"/>
    <x v="239"/>
    <s v="TP24101701"/>
    <x v="2"/>
    <s v="topical_labelled"/>
    <d v="2024-10-23T00:00:00"/>
    <n v="-12"/>
    <n v="0"/>
    <n v="-1056"/>
    <m/>
    <x v="0"/>
    <n v="88"/>
  </r>
  <r>
    <s v="inbound"/>
    <d v="2024-11-12T12:31:00"/>
    <s v="storage"/>
    <m/>
    <x v="183"/>
    <n v="2024100401"/>
    <x v="26"/>
    <s v="extract_distillate_bulk"/>
    <s v="NA"/>
    <n v="1"/>
    <n v="1494.1"/>
    <n v="0"/>
    <m/>
    <x v="1"/>
    <n v="0"/>
  </r>
  <r>
    <s v="outbound"/>
    <d v="2024-11-13T12:09:00"/>
    <s v="shipment"/>
    <s v="PO_1012"/>
    <x v="243"/>
    <s v="EX24101705G05"/>
    <x v="49"/>
    <s v="extract_inhaled_labelled"/>
    <d v="2024-10-29T00:00:00"/>
    <n v="-12"/>
    <n v="0"/>
    <n v="-6"/>
    <m/>
    <x v="0"/>
    <n v="0.5"/>
  </r>
  <r>
    <s v="outbound"/>
    <d v="2024-11-13T12:09:00"/>
    <s v="shipment"/>
    <s v="PO_1012"/>
    <x v="250"/>
    <s v="EX24082906G05"/>
    <x v="53"/>
    <s v="extract_inhaled_labelled"/>
    <d v="2024-10-23T00:00:00"/>
    <n v="-12"/>
    <n v="0"/>
    <n v="-6"/>
    <m/>
    <x v="0"/>
    <n v="0.5"/>
  </r>
  <r>
    <s v="outbound"/>
    <d v="2024-11-13T14:27:00"/>
    <s v="shipment"/>
    <s v="JAYSON241113"/>
    <x v="241"/>
    <s v="PR241104F5P3"/>
    <x v="18"/>
    <s v="preroll_labelled"/>
    <d v="2024-10-23T00:00:00"/>
    <n v="-19"/>
    <n v="0"/>
    <n v="-28.5"/>
    <m/>
    <x v="0"/>
    <n v="1.5"/>
  </r>
  <r>
    <s v="outbound"/>
    <d v="2024-11-13T14:27:00"/>
    <s v="shipment"/>
    <s v="JAYSON241113"/>
    <x v="196"/>
    <s v="PR241104F5P3"/>
    <x v="18"/>
    <s v="preroll_labelled"/>
    <d v="2024-10-10T00:00:00"/>
    <n v="-11"/>
    <n v="0"/>
    <n v="-16.5"/>
    <m/>
    <x v="0"/>
    <n v="1.5"/>
  </r>
  <r>
    <s v="inbound"/>
    <d v="2024-11-13T16:53:00"/>
    <s v="storage"/>
    <m/>
    <x v="251"/>
    <n v="2024111201"/>
    <x v="26"/>
    <s v="extract_distillate_bulk"/>
    <s v="NA"/>
    <n v="1"/>
    <n v="1421.5"/>
    <n v="0"/>
    <m/>
    <x v="1"/>
    <n v="0"/>
  </r>
  <r>
    <s v="outbound"/>
    <d v="2024-11-14T14:34:00"/>
    <s v="sampling"/>
    <s v="making vape samples for steve"/>
    <x v="251"/>
    <n v="2024111201"/>
    <x v="26"/>
    <s v="extract_distillate_bulk"/>
    <s v="NA"/>
    <n v="-1"/>
    <n v="-1421.5"/>
    <n v="0"/>
    <m/>
    <x v="1"/>
    <n v="0"/>
  </r>
  <r>
    <s v="outbound"/>
    <d v="2024-11-14T14:40:00"/>
    <s v="sampling"/>
    <s v="JAY'S SAMPLES"/>
    <x v="239"/>
    <s v="TP24101701"/>
    <x v="2"/>
    <s v="topical_labelled"/>
    <d v="2024-10-23T00:00:00"/>
    <n v="-1"/>
    <n v="0"/>
    <n v="-88"/>
    <m/>
    <x v="0"/>
    <n v="88"/>
  </r>
  <r>
    <s v="outbound"/>
    <d v="2024-11-14T14:40:00"/>
    <s v="sampling"/>
    <s v="JAY'S SAMPLES"/>
    <x v="86"/>
    <s v="TP24041201"/>
    <x v="2"/>
    <s v="topical_labelled"/>
    <d v="2024-08-27T00:00:00"/>
    <n v="-3"/>
    <n v="0"/>
    <n v="-264"/>
    <m/>
    <x v="0"/>
    <n v="88"/>
  </r>
  <r>
    <s v="outbound"/>
    <d v="2024-11-14T15:52:00"/>
    <s v="sampling"/>
    <s v="JAY'S SAMPLES"/>
    <x v="252"/>
    <n v="2022051603"/>
    <x v="21"/>
    <s v="driedflower_bulk"/>
    <d v="2022-09-26T00:00:00"/>
    <n v="-1"/>
    <n v="-1024"/>
    <n v="0"/>
    <m/>
    <x v="1"/>
    <n v="0"/>
  </r>
  <r>
    <s v="outbound"/>
    <d v="2024-11-14T16:03:00"/>
    <s v="sampling"/>
    <s v="JAY'S SAMPLES"/>
    <x v="227"/>
    <n v="2022051601"/>
    <x v="66"/>
    <s v="driedflower_bulk"/>
    <d v="2022-09-26T00:00:00"/>
    <n v="-1"/>
    <n v="-1043"/>
    <n v="0"/>
    <m/>
    <x v="1"/>
    <n v="0"/>
  </r>
  <r>
    <s v="outbound"/>
    <d v="2024-11-14T16:03:00"/>
    <s v="sampling"/>
    <s v="JAY'S SAMPLES"/>
    <x v="30"/>
    <s v="2022012401R1"/>
    <x v="16"/>
    <s v="driedflower_bulk"/>
    <d v="2022-05-05T00:00:00"/>
    <n v="-1"/>
    <n v="-968"/>
    <n v="0"/>
    <m/>
    <x v="1"/>
    <n v="0"/>
  </r>
  <r>
    <s v="outbound"/>
    <d v="2024-11-14T16:03:00"/>
    <s v="sampling"/>
    <s v="JAY'S SAMPLES"/>
    <x v="253"/>
    <n v="2021120901"/>
    <x v="67"/>
    <s v="driedflower_bulk_unknown"/>
    <s v="NA"/>
    <n v="-1"/>
    <n v="-530"/>
    <n v="0"/>
    <m/>
    <x v="1"/>
    <n v="0"/>
  </r>
  <r>
    <s v="inbound"/>
    <d v="2024-11-14T16:44:00"/>
    <s v="storage"/>
    <m/>
    <x v="247"/>
    <s v="PR2411"/>
    <x v="21"/>
    <s v="driedflower_milled_bulk"/>
    <s v="NA"/>
    <n v="1"/>
    <n v="2335"/>
    <n v="0"/>
    <m/>
    <x v="1"/>
    <n v="0"/>
  </r>
  <r>
    <s v="outbound"/>
    <d v="2024-11-15T11:41:00"/>
    <s v="shipment"/>
    <s v="PO_00022782"/>
    <x v="254"/>
    <s v="PR2301F35P12"/>
    <x v="68"/>
    <s v="preroll_labelled"/>
    <d v="2024-11-01T00:00:00"/>
    <n v="-36"/>
    <n v="0"/>
    <n v="-151.19999999999999"/>
    <m/>
    <x v="0"/>
    <n v="4.1999999999999993"/>
  </r>
  <r>
    <s v="outbound"/>
    <d v="2024-11-15T11:41:00"/>
    <s v="shipment"/>
    <s v="PO_00022782"/>
    <x v="255"/>
    <s v="2022012401G28"/>
    <x v="69"/>
    <s v="driedflower_labelled"/>
    <d v="2024-10-29T00:00:00"/>
    <n v="-24"/>
    <n v="0"/>
    <n v="-672"/>
    <m/>
    <x v="0"/>
    <n v="28"/>
  </r>
  <r>
    <s v="outbound"/>
    <d v="2024-11-15T11:41:00"/>
    <s v="shipment"/>
    <s v="PO_00022782"/>
    <x v="68"/>
    <s v="2021082601R1"/>
    <x v="40"/>
    <s v="driedflower_labelled_RTV"/>
    <d v="2024-06-04T00:00:00"/>
    <n v="-14"/>
    <n v="0"/>
    <n v="-49"/>
    <m/>
    <x v="0"/>
    <n v="3.5"/>
  </r>
  <r>
    <s v="outbound"/>
    <d v="2024-11-15T11:41:00"/>
    <s v="shipment"/>
    <s v="PO_00022782"/>
    <x v="256"/>
    <s v="2021082601R1"/>
    <x v="40"/>
    <s v="driedflower_labelled_RTV"/>
    <d v="2022-03-26T00:00:00"/>
    <n v="-22"/>
    <n v="0"/>
    <n v="-77"/>
    <m/>
    <x v="0"/>
    <n v="3.5"/>
  </r>
  <r>
    <s v="outbound"/>
    <d v="2024-11-15T11:41:00"/>
    <s v="shipment"/>
    <s v="PO_00022782"/>
    <x v="257"/>
    <s v="PR241005F5P3"/>
    <x v="17"/>
    <s v="preroll_labelled"/>
    <d v="2024-10-10T00:00:00"/>
    <n v="-24"/>
    <n v="0"/>
    <n v="-36"/>
    <m/>
    <x v="0"/>
    <n v="1.5"/>
  </r>
  <r>
    <s v="outbound"/>
    <d v="2024-11-15T11:41:00"/>
    <s v="shipment"/>
    <s v="PO_00022782"/>
    <x v="230"/>
    <s v="PR241101F5P3"/>
    <x v="19"/>
    <s v="preroll_labelled"/>
    <d v="2024-10-16T00:00:00"/>
    <n v="-24"/>
    <n v="0"/>
    <n v="-36"/>
    <m/>
    <x v="0"/>
    <n v="1.5"/>
  </r>
  <r>
    <s v="outbound"/>
    <d v="2024-11-15T11:41:00"/>
    <s v="shipment"/>
    <s v="PO_00022782"/>
    <x v="105"/>
    <s v="PR241003F5P3"/>
    <x v="20"/>
    <s v="preroll_labelled"/>
    <d v="2024-10-05T00:00:00"/>
    <n v="-24"/>
    <n v="0"/>
    <n v="-36"/>
    <m/>
    <x v="0"/>
    <n v="1.5"/>
  </r>
  <r>
    <s v="outbound"/>
    <d v="2024-11-15T11:41:00"/>
    <s v="shipment"/>
    <s v="PO_00022782"/>
    <x v="211"/>
    <s v="PR241002F5P3"/>
    <x v="30"/>
    <s v="preroll_labelled"/>
    <d v="2024-10-02T00:00:00"/>
    <n v="-24"/>
    <n v="0"/>
    <n v="-36"/>
    <m/>
    <x v="0"/>
    <n v="1.5"/>
  </r>
  <r>
    <s v="outbound"/>
    <d v="2024-11-15T11:41:00"/>
    <s v="shipment"/>
    <s v="PO_00022782"/>
    <x v="258"/>
    <s v="EX24101701G05"/>
    <x v="47"/>
    <s v="extract_inhaled_labelled"/>
    <d v="2024-10-29T00:00:00"/>
    <n v="-24"/>
    <n v="0"/>
    <n v="-12"/>
    <m/>
    <x v="0"/>
    <n v="0.5"/>
  </r>
  <r>
    <s v="outbound"/>
    <d v="2024-11-15T11:41:00"/>
    <s v="shipment"/>
    <s v="PO_00022782"/>
    <x v="249"/>
    <s v="EX24101703G05"/>
    <x v="45"/>
    <s v="extract_inhaled_labelled"/>
    <d v="2024-11-07T00:00:00"/>
    <n v="-12"/>
    <n v="0"/>
    <n v="-6"/>
    <m/>
    <x v="0"/>
    <n v="0.5"/>
  </r>
  <r>
    <s v="outbound"/>
    <d v="2024-11-15T11:41:00"/>
    <s v="shipment"/>
    <s v="PO_00022782"/>
    <x v="168"/>
    <s v="EX24082904G05"/>
    <x v="48"/>
    <s v="extract_inhaled_labelled"/>
    <d v="2024-09-20T00:00:00"/>
    <n v="-12"/>
    <n v="0"/>
    <n v="-6"/>
    <m/>
    <x v="0"/>
    <n v="0.5"/>
  </r>
  <r>
    <s v="outbound"/>
    <d v="2024-11-15T11:41:00"/>
    <s v="shipment"/>
    <s v="PO_00022782"/>
    <x v="243"/>
    <s v="EX24101705G05"/>
    <x v="49"/>
    <s v="extract_inhaled_labelled"/>
    <d v="2024-10-29T00:00:00"/>
    <n v="-12"/>
    <n v="0"/>
    <n v="-6"/>
    <m/>
    <x v="0"/>
    <n v="0.5"/>
  </r>
  <r>
    <s v="outbound"/>
    <d v="2024-11-15T11:41:00"/>
    <s v="shipment"/>
    <s v="PO_00022782"/>
    <x v="250"/>
    <s v="EX24082906G05"/>
    <x v="53"/>
    <s v="extract_inhaled_labelled"/>
    <d v="2024-10-23T00:00:00"/>
    <n v="-24"/>
    <n v="0"/>
    <n v="-12"/>
    <m/>
    <x v="0"/>
    <n v="0.5"/>
  </r>
  <r>
    <s v="outbound"/>
    <d v="2024-11-15T11:41:00"/>
    <s v="shipment"/>
    <s v="PO_00022782"/>
    <x v="259"/>
    <s v="CPR22102101G5"/>
    <x v="70"/>
    <s v="preroll_labelled"/>
    <d v="2024-08-06T00:00:00"/>
    <n v="-36"/>
    <n v="0"/>
    <n v="-36"/>
    <m/>
    <x v="0"/>
    <n v="1"/>
  </r>
  <r>
    <s v="outbound"/>
    <d v="2024-11-15T11:41:00"/>
    <s v="shipment"/>
    <s v="PO_00022782"/>
    <x v="170"/>
    <s v="BS23041701G180"/>
    <x v="0"/>
    <s v="topical_labelled"/>
    <d v="2024-08-19T00:00:00"/>
    <n v="-6"/>
    <n v="0"/>
    <n v="-1080"/>
    <m/>
    <x v="0"/>
    <n v="180"/>
  </r>
  <r>
    <s v="inbound"/>
    <d v="2024-11-15T11:50:00"/>
    <s v="storage"/>
    <m/>
    <x v="227"/>
    <n v="2022051601"/>
    <x v="66"/>
    <s v="driedflower_bulk"/>
    <d v="2022-09-26T00:00:00"/>
    <n v="1"/>
    <n v="1030"/>
    <n v="0"/>
    <m/>
    <x v="1"/>
    <n v="0"/>
  </r>
  <r>
    <s v="inbound"/>
    <d v="2024-11-15T11:50:00"/>
    <s v="storage"/>
    <m/>
    <x v="252"/>
    <n v="2022051603"/>
    <x v="21"/>
    <s v="driedflower_bulk"/>
    <d v="2022-09-26T00:00:00"/>
    <n v="1"/>
    <n v="1010"/>
    <n v="0"/>
    <m/>
    <x v="1"/>
    <n v="0"/>
  </r>
  <r>
    <s v="inbound"/>
    <d v="2024-11-15T11:50:00"/>
    <s v="storage"/>
    <m/>
    <x v="30"/>
    <s v="2022012401R1"/>
    <x v="16"/>
    <s v="driedflower_bulk"/>
    <d v="2022-05-05T00:00:00"/>
    <n v="1"/>
    <n v="1010"/>
    <n v="0"/>
    <m/>
    <x v="1"/>
    <n v="0"/>
  </r>
  <r>
    <s v="inbound"/>
    <d v="2024-11-15T11:50:00"/>
    <s v="storage"/>
    <m/>
    <x v="253"/>
    <n v="2021120901"/>
    <x v="67"/>
    <s v="driedflower_bulk_unknown"/>
    <s v="NA"/>
    <n v="1"/>
    <n v="512.6"/>
    <n v="0"/>
    <m/>
    <x v="1"/>
    <n v="0"/>
  </r>
  <r>
    <s v="outbound"/>
    <d v="2024-11-15T11:55:00"/>
    <s v="shipment"/>
    <s v="PO_410407 (MIXED POD 23-06-17)"/>
    <x v="235"/>
    <s v="EX23060701V30"/>
    <x v="22"/>
    <s v="extract_ingested_labelled"/>
    <d v="2024-10-31T00:00:00"/>
    <n v="-12"/>
    <n v="0"/>
    <n v="-328.79999999999995"/>
    <m/>
    <x v="0"/>
    <n v="27.4"/>
  </r>
  <r>
    <s v="inbound"/>
    <d v="2024-11-15T14:29:00"/>
    <s v="storage"/>
    <s v="labelling"/>
    <x v="259"/>
    <s v="CPR22102101G5"/>
    <x v="70"/>
    <s v="preroll_labelled"/>
    <d v="2024-08-06T00:00:00"/>
    <n v="24"/>
    <n v="0"/>
    <n v="24"/>
    <m/>
    <x v="0"/>
    <n v="1"/>
  </r>
  <r>
    <s v="outbound"/>
    <d v="2024-11-15T14:37:00"/>
    <s v="shipment"/>
    <s v="PO_410407 (replacing 1 mixed POD)"/>
    <x v="233"/>
    <s v="EX23060701V30"/>
    <x v="22"/>
    <s v="extract_ingested_labelled"/>
    <d v="2024-10-31T00:00:00"/>
    <n v="-1"/>
    <n v="0"/>
    <n v="-27.4"/>
    <m/>
    <x v="0"/>
    <n v="27.4"/>
  </r>
  <r>
    <s v="inbound"/>
    <d v="2024-11-15T15:55:00"/>
    <s v="storage"/>
    <m/>
    <x v="251"/>
    <n v="2024111201"/>
    <x v="26"/>
    <s v="extract_distillate_bulk"/>
    <s v="NA"/>
    <n v="1"/>
    <n v="1326.1"/>
    <n v="0"/>
    <m/>
    <x v="1"/>
    <n v="0"/>
  </r>
  <r>
    <s v="outbound"/>
    <d v="2024-11-15T16:04:00"/>
    <s v="shipment"/>
    <s v="PO_00022782 (REPLACEMENT 1 DMG)"/>
    <x v="260"/>
    <s v="2021082601R1"/>
    <x v="40"/>
    <s v="driedflower_labelled_RTV"/>
    <d v="2024-11-20T00:00:00"/>
    <n v="-1"/>
    <n v="0"/>
    <n v="-3.5"/>
    <m/>
    <x v="0"/>
    <n v="3.5"/>
  </r>
  <r>
    <s v="outbound"/>
    <d v="2024-11-18T09:25:00"/>
    <s v="shipment"/>
    <s v="PO_1013"/>
    <x v="261"/>
    <s v="PR21071201G5"/>
    <x v="42"/>
    <s v="preroll_labelled"/>
    <d v="2023-05-05T00:00:00"/>
    <n v="-12"/>
    <n v="0"/>
    <n v="-12"/>
    <m/>
    <x v="0"/>
    <n v="1"/>
  </r>
  <r>
    <s v="outbound"/>
    <d v="2024-11-18T09:25:00"/>
    <s v="shipment"/>
    <s v="PO_1013"/>
    <x v="243"/>
    <s v="EX24101705G05"/>
    <x v="49"/>
    <s v="extract_inhaled_labelled"/>
    <d v="2024-10-29T00:00:00"/>
    <n v="-12"/>
    <n v="0"/>
    <n v="-6"/>
    <m/>
    <x v="0"/>
    <n v="0.5"/>
  </r>
  <r>
    <s v="outbound"/>
    <d v="2024-11-18T09:25:00"/>
    <s v="shipment"/>
    <s v="PO_411578"/>
    <x v="249"/>
    <s v="EX24101703G05"/>
    <x v="45"/>
    <s v="extract_inhaled_labelled"/>
    <d v="2024-11-07T00:00:00"/>
    <n v="-12"/>
    <n v="0"/>
    <n v="-6"/>
    <m/>
    <x v="0"/>
    <n v="0.5"/>
  </r>
  <r>
    <s v="outbound"/>
    <d v="2024-11-18T09:25:00"/>
    <s v="shipment"/>
    <s v="PO_411578"/>
    <x v="243"/>
    <s v="EX24101705G05"/>
    <x v="49"/>
    <s v="extract_inhaled_labelled"/>
    <d v="2024-10-29T00:00:00"/>
    <n v="-12"/>
    <n v="0"/>
    <n v="-6"/>
    <m/>
    <x v="0"/>
    <n v="0.5"/>
  </r>
  <r>
    <s v="outbound"/>
    <d v="2024-11-18T09:41:00"/>
    <s v="shipment"/>
    <s v="PO_411578"/>
    <x v="105"/>
    <s v="PR241003F5P3"/>
    <x v="20"/>
    <s v="preroll_labelled"/>
    <d v="2024-10-05T00:00:00"/>
    <n v="-12"/>
    <n v="0"/>
    <n v="-18"/>
    <m/>
    <x v="0"/>
    <n v="1.5"/>
  </r>
  <r>
    <s v="outbound"/>
    <d v="2024-11-18T09:41:00"/>
    <s v="shipment"/>
    <s v="PO_411578"/>
    <x v="238"/>
    <s v="PR2407F5P2"/>
    <x v="54"/>
    <s v="preroll_labelled"/>
    <d v="2024-10-23T00:00:00"/>
    <n v="-12"/>
    <n v="0"/>
    <n v="-12"/>
    <m/>
    <x v="0"/>
    <n v="1"/>
  </r>
  <r>
    <s v="outbound"/>
    <d v="2024-11-18T09:41:00"/>
    <s v="shipment"/>
    <s v="PO_411578"/>
    <x v="239"/>
    <s v="TP24101701"/>
    <x v="2"/>
    <s v="topical_labelled"/>
    <d v="2024-10-23T00:00:00"/>
    <n v="-12"/>
    <n v="0"/>
    <n v="-1056"/>
    <m/>
    <x v="0"/>
    <n v="88"/>
  </r>
  <r>
    <s v="outbound"/>
    <d v="2024-11-18T10:00:00"/>
    <s v="production"/>
    <s v="packaging"/>
    <x v="262"/>
    <s v="PR241105F5"/>
    <x v="23"/>
    <s v="preroll_bulk"/>
    <s v="NA"/>
    <n v="-718"/>
    <n v="0"/>
    <n v="-359"/>
    <m/>
    <x v="0"/>
    <n v="0.5"/>
  </r>
  <r>
    <s v="outbound"/>
    <d v="2024-11-18T10:00:00"/>
    <s v="production"/>
    <s v="packaging"/>
    <x v="263"/>
    <s v="PR241105F5"/>
    <x v="23"/>
    <s v="preroll_bulk"/>
    <s v="NA"/>
    <n v="-704"/>
    <n v="0"/>
    <n v="-352"/>
    <m/>
    <x v="0"/>
    <n v="0.5"/>
  </r>
  <r>
    <s v="outbound"/>
    <d v="2024-11-18T10:00:00"/>
    <s v="production"/>
    <s v="packaging"/>
    <x v="264"/>
    <s v="PR241105F5"/>
    <x v="23"/>
    <s v="preroll_bulk"/>
    <s v="NA"/>
    <n v="-847"/>
    <n v="0"/>
    <n v="-423.5"/>
    <m/>
    <x v="0"/>
    <n v="0.5"/>
  </r>
  <r>
    <s v="outbound"/>
    <d v="2024-11-18T10:08:00"/>
    <s v="shipment"/>
    <s v="PO_DD24111301"/>
    <x v="231"/>
    <s v="EX24092601V50"/>
    <x v="41"/>
    <s v="extract_ingested_labelled"/>
    <d v="2024-10-11T00:00:00"/>
    <n v="-24"/>
    <n v="0"/>
    <n v="-1200"/>
    <m/>
    <x v="0"/>
    <n v="50"/>
  </r>
  <r>
    <s v="outbound"/>
    <d v="2024-11-19T11:33:00"/>
    <s v="production"/>
    <s v="sampling Trinity"/>
    <x v="12"/>
    <s v="LR23032101"/>
    <x v="9"/>
    <s v="extract_inhaled_bulk"/>
    <s v="NA"/>
    <n v="-1"/>
    <n v="-2048"/>
    <n v="0"/>
    <m/>
    <x v="1"/>
    <n v="0"/>
  </r>
  <r>
    <s v="outbound"/>
    <d v="2024-11-19T11:33:00"/>
    <s v="production"/>
    <s v="sampling Trinity"/>
    <x v="221"/>
    <n v="2024101703"/>
    <x v="65"/>
    <s v="driedflower_bulk"/>
    <s v="NA"/>
    <n v="-1"/>
    <n v="-1700"/>
    <n v="0"/>
    <m/>
    <x v="1"/>
    <n v="0"/>
  </r>
  <r>
    <s v="outbound"/>
    <d v="2024-11-19T11:33:00"/>
    <s v="production"/>
    <s v="sampling Trinity"/>
    <x v="249"/>
    <s v="EX24101703G05"/>
    <x v="45"/>
    <s v="extract_inhaled_labelled"/>
    <d v="2024-11-07T00:00:00"/>
    <n v="-1"/>
    <n v="0"/>
    <n v="-0.5"/>
    <m/>
    <x v="0"/>
    <n v="0.5"/>
  </r>
  <r>
    <s v="outbound"/>
    <d v="2024-11-19T14:48:00"/>
    <s v="production"/>
    <s v="sampling Men"/>
    <x v="239"/>
    <s v="TP24101701"/>
    <x v="2"/>
    <s v="topical_labelled"/>
    <d v="2024-10-23T00:00:00"/>
    <n v="-1"/>
    <n v="0"/>
    <n v="-88"/>
    <m/>
    <x v="0"/>
    <n v="88"/>
  </r>
  <r>
    <s v="outbound"/>
    <d v="2024-11-19T14:55:00"/>
    <s v="production"/>
    <m/>
    <x v="265"/>
    <s v="PR241105F5"/>
    <x v="23"/>
    <s v="preroll_bulk"/>
    <s v="NA"/>
    <n v="-605"/>
    <n v="0"/>
    <n v="-302.5"/>
    <m/>
    <x v="0"/>
    <n v="0.5"/>
  </r>
  <r>
    <s v="inbound"/>
    <d v="2024-11-19T14:56:00"/>
    <s v="storage"/>
    <m/>
    <x v="12"/>
    <s v="LR23032101"/>
    <x v="9"/>
    <s v="extract_inhaled_bulk"/>
    <s v="NA"/>
    <n v="1"/>
    <n v="2048"/>
    <n v="0"/>
    <m/>
    <x v="1"/>
    <n v="0"/>
  </r>
  <r>
    <s v="outbound"/>
    <d v="2024-11-20T09:22:00"/>
    <s v="production"/>
    <s v="labelling"/>
    <x v="266"/>
    <s v="EX24102201V50"/>
    <x v="33"/>
    <s v="extract_ingested_labelled"/>
    <d v="2024-10-29T00:00:00"/>
    <n v="-231"/>
    <n v="0"/>
    <n v="-11550"/>
    <m/>
    <x v="0"/>
    <n v="50"/>
  </r>
  <r>
    <s v="outbound"/>
    <d v="2024-11-20T10:11:00"/>
    <s v="shipment"/>
    <s v="OFDMB241115"/>
    <x v="249"/>
    <s v="EX24101703G05"/>
    <x v="45"/>
    <s v="extract_inhaled_labelled"/>
    <d v="2024-11-07T00:00:00"/>
    <n v="-120"/>
    <n v="0"/>
    <n v="-60"/>
    <m/>
    <x v="0"/>
    <n v="0.5"/>
  </r>
  <r>
    <s v="outbound"/>
    <d v="2024-11-20T10:11:00"/>
    <s v="shipment"/>
    <s v="OFDMB241115"/>
    <x v="243"/>
    <s v="EX24101705G05"/>
    <x v="49"/>
    <s v="extract_inhaled_labelled"/>
    <d v="2024-10-29T00:00:00"/>
    <n v="-120"/>
    <n v="0"/>
    <n v="-60"/>
    <m/>
    <x v="0"/>
    <n v="0.5"/>
  </r>
  <r>
    <s v="outbound"/>
    <d v="2024-11-20T10:11:00"/>
    <s v="shipment"/>
    <s v="OFDMB241115"/>
    <x v="213"/>
    <s v="PR241101F5P3"/>
    <x v="19"/>
    <s v="preroll_labelled"/>
    <d v="2024-10-09T00:00:00"/>
    <n v="-120"/>
    <n v="0"/>
    <n v="-180"/>
    <m/>
    <x v="0"/>
    <n v="1.5"/>
  </r>
  <r>
    <s v="outbound"/>
    <d v="2024-11-20T10:11:00"/>
    <s v="shipment"/>
    <s v="OFDMB241115"/>
    <x v="257"/>
    <s v="PR241005F5P3"/>
    <x v="17"/>
    <s v="preroll_labelled"/>
    <d v="2024-10-10T00:00:00"/>
    <n v="-60"/>
    <n v="0"/>
    <n v="-90"/>
    <m/>
    <x v="0"/>
    <n v="1.5"/>
  </r>
  <r>
    <s v="outbound"/>
    <d v="2024-11-20T10:11:00"/>
    <s v="shipment"/>
    <s v="OFDMB241115"/>
    <x v="267"/>
    <s v="PR241102F5P3"/>
    <x v="30"/>
    <s v="preroll_labelled"/>
    <d v="2024-11-08T00:00:00"/>
    <n v="-60"/>
    <n v="0"/>
    <n v="-30"/>
    <m/>
    <x v="0"/>
    <n v="0.5"/>
  </r>
  <r>
    <s v="outbound"/>
    <d v="2024-11-20T10:11:00"/>
    <s v="shipment"/>
    <s v="OFDMB241115"/>
    <x v="149"/>
    <s v="PR241102F5P3"/>
    <x v="30"/>
    <s v="preroll_labelled"/>
    <d v="2024-10-10T00:00:00"/>
    <n v="-60"/>
    <n v="0"/>
    <n v="-90"/>
    <m/>
    <x v="0"/>
    <n v="1.5"/>
  </r>
  <r>
    <s v="outbound"/>
    <d v="2024-11-20T10:11:00"/>
    <s v="shipment"/>
    <s v="OFDMB241115"/>
    <x v="238"/>
    <s v="PR2407F5P2"/>
    <x v="54"/>
    <s v="preroll_labelled"/>
    <d v="2024-10-23T00:00:00"/>
    <n v="-120"/>
    <n v="0"/>
    <n v="-120"/>
    <m/>
    <x v="0"/>
    <n v="1"/>
  </r>
  <r>
    <s v="outbound"/>
    <d v="2024-11-20T10:36:00"/>
    <s v="sampling"/>
    <s v="VAPE SAMPLE"/>
    <x v="12"/>
    <s v="LR23032101"/>
    <x v="9"/>
    <s v="extract_inhaled_bulk"/>
    <s v="NA"/>
    <n v="-1"/>
    <n v="-2048"/>
    <n v="0"/>
    <m/>
    <x v="1"/>
    <n v="0"/>
  </r>
  <r>
    <s v="outbound"/>
    <d v="2024-11-20T10:36:00"/>
    <s v="production"/>
    <s v="labelling"/>
    <x v="228"/>
    <s v="EX24102201V50"/>
    <x v="33"/>
    <s v="extract_ingested_labelled"/>
    <d v="2024-10-29T00:00:00"/>
    <n v="-20"/>
    <n v="0"/>
    <n v="-299060"/>
    <m/>
    <x v="0"/>
    <n v="14953"/>
  </r>
  <r>
    <s v="outbound"/>
    <d v="2024-11-20T11:54:00"/>
    <s v="shipment"/>
    <s v="PO_1013 (PO NAME CHANGED)"/>
    <x v="250"/>
    <s v="EX24082906G05"/>
    <x v="53"/>
    <s v="extract_inhaled_labelled"/>
    <d v="2024-10-23T00:00:00"/>
    <n v="-12"/>
    <n v="0"/>
    <n v="-6"/>
    <m/>
    <x v="0"/>
    <n v="0.5"/>
  </r>
  <r>
    <s v="inbound"/>
    <d v="2024-11-20T12:05:00"/>
    <s v="storage"/>
    <m/>
    <x v="12"/>
    <s v="LR23032101"/>
    <x v="9"/>
    <s v="extract_inhaled_bulk"/>
    <s v="NA"/>
    <n v="1"/>
    <n v="2044"/>
    <n v="0"/>
    <m/>
    <x v="1"/>
    <n v="0"/>
  </r>
  <r>
    <s v="outbound"/>
    <d v="2024-11-20T12:11:00"/>
    <s v="shipment"/>
    <s v="OFDMB241115"/>
    <x v="241"/>
    <s v="PR241104F5P3"/>
    <x v="18"/>
    <s v="preroll_labelled"/>
    <d v="2024-10-23T00:00:00"/>
    <n v="-120"/>
    <n v="0"/>
    <n v="-180"/>
    <m/>
    <x v="0"/>
    <n v="1.5"/>
  </r>
  <r>
    <s v="outbound"/>
    <d v="2024-11-20T12:11:00"/>
    <s v="shipment"/>
    <s v="OFDMB241115"/>
    <x v="268"/>
    <s v="PR2407F5P3"/>
    <x v="31"/>
    <s v="preroll_labelled"/>
    <d v="2024-06-04T00:00:00"/>
    <n v="-120"/>
    <n v="0"/>
    <n v="-180"/>
    <m/>
    <x v="0"/>
    <n v="1.5"/>
  </r>
  <r>
    <s v="outbound"/>
    <d v="2024-11-20T12:11:00"/>
    <s v="shipment"/>
    <s v="OFDMB241115"/>
    <x v="236"/>
    <s v="EX23060701V30"/>
    <x v="22"/>
    <s v="extract_ingested_labelled"/>
    <d v="2024-10-31T00:00:00"/>
    <n v="-84"/>
    <n v="0"/>
    <n v="-2301.6"/>
    <m/>
    <x v="0"/>
    <n v="27.4"/>
  </r>
  <r>
    <s v="outbound"/>
    <d v="2024-11-20T12:11:00"/>
    <s v="shipment"/>
    <s v="OFDMB241115"/>
    <x v="233"/>
    <s v="EX23060701V30"/>
    <x v="22"/>
    <s v="extract_ingested_labelled"/>
    <d v="2024-10-31T00:00:00"/>
    <n v="-16"/>
    <n v="0"/>
    <n v="-438.4"/>
    <m/>
    <x v="0"/>
    <n v="27.4"/>
  </r>
  <r>
    <s v="outbound"/>
    <d v="2024-11-20T12:11:00"/>
    <s v="shipment"/>
    <s v="OFDMB241115"/>
    <x v="235"/>
    <s v="EX23060701V30"/>
    <x v="22"/>
    <s v="extract_ingested_labelled"/>
    <d v="2024-10-31T00:00:00"/>
    <n v="-72"/>
    <n v="0"/>
    <n v="-1972.8"/>
    <m/>
    <x v="0"/>
    <n v="27.4"/>
  </r>
  <r>
    <s v="outbound"/>
    <d v="2024-11-20T12:11:00"/>
    <s v="production"/>
    <s v="AGLC"/>
    <x v="35"/>
    <s v="PR2407F5"/>
    <x v="24"/>
    <s v="preroll_bulk"/>
    <d v="2024-05-31T00:00:00"/>
    <n v="-1622"/>
    <n v="0"/>
    <n v="-811"/>
    <m/>
    <x v="0"/>
    <n v="0.5"/>
  </r>
  <r>
    <s v="outbound"/>
    <d v="2024-11-20T12:11:00"/>
    <s v="production"/>
    <s v="AGLC"/>
    <x v="87"/>
    <s v="PR2407F5"/>
    <x v="24"/>
    <s v="preroll_bulk_inferior"/>
    <s v="NA"/>
    <n v="-63"/>
    <n v="0"/>
    <n v="-31.5"/>
    <m/>
    <x v="0"/>
    <n v="0.5"/>
  </r>
  <r>
    <s v="outbound"/>
    <d v="2024-11-20T12:11:00"/>
    <s v="shipment"/>
    <s v="OFDMB241115"/>
    <x v="269"/>
    <s v="EX24101802V30"/>
    <x v="71"/>
    <s v="extract_ingested_labelled"/>
    <d v="2024-10-23T00:00:00"/>
    <n v="-70"/>
    <n v="0"/>
    <n v="-1932"/>
    <m/>
    <x v="0"/>
    <n v="27.6"/>
  </r>
  <r>
    <s v="outbound"/>
    <d v="2024-11-20T12:11:00"/>
    <s v="shipment"/>
    <s v="OFDMB241115"/>
    <x v="270"/>
    <s v="EX24022302V30"/>
    <x v="72"/>
    <s v="extract_ingested_labelled"/>
    <d v="2024-10-23T00:00:00"/>
    <n v="-5"/>
    <n v="0"/>
    <n v="-138"/>
    <m/>
    <x v="0"/>
    <n v="27.6"/>
  </r>
  <r>
    <s v="outbound"/>
    <d v="2024-11-20T12:11:00"/>
    <s v="shipment"/>
    <s v="OFDMB241115"/>
    <x v="271"/>
    <s v="EX24022302V30"/>
    <x v="72"/>
    <s v="extract_ingested_labelled"/>
    <d v="2024-10-23T00:00:00"/>
    <n v="-12"/>
    <n v="0"/>
    <n v="-331.20000000000005"/>
    <m/>
    <x v="0"/>
    <n v="27.6"/>
  </r>
  <r>
    <s v="outbound"/>
    <d v="2024-11-20T12:11:00"/>
    <s v="shipment"/>
    <s v="OFDMB241115"/>
    <x v="272"/>
    <s v="EX24022302V30"/>
    <x v="72"/>
    <s v="extract_ingested_labelled"/>
    <d v="2024-10-23T00:00:00"/>
    <n v="-84"/>
    <n v="0"/>
    <n v="-2318.4"/>
    <m/>
    <x v="0"/>
    <n v="27.6"/>
  </r>
  <r>
    <s v="outbound"/>
    <d v="2024-11-20T12:11:00"/>
    <s v="production"/>
    <s v="labelling POD"/>
    <x v="273"/>
    <s v="2021082601R1"/>
    <x v="40"/>
    <s v="driedflower_labelled_RTV"/>
    <d v="2022-03-26T00:00:00"/>
    <n v="-49"/>
    <n v="0"/>
    <n v="-171.5"/>
    <m/>
    <x v="0"/>
    <n v="3.5"/>
  </r>
  <r>
    <s v="inbound"/>
    <d v="2024-11-20T14:52:00"/>
    <s v="storage"/>
    <m/>
    <x v="221"/>
    <n v="2024101703"/>
    <x v="65"/>
    <s v="driedflower_bulk"/>
    <s v="NA"/>
    <n v="1"/>
    <n v="1700"/>
    <n v="0"/>
    <m/>
    <x v="1"/>
    <n v="0"/>
  </r>
  <r>
    <s v="outbound"/>
    <d v="2024-11-20T15:15:00"/>
    <s v="production"/>
    <s v="labelling POD"/>
    <x v="260"/>
    <s v="2021082601R1"/>
    <x v="40"/>
    <s v="driedflower_labelled_RTV"/>
    <d v="2024-11-20T00:00:00"/>
    <n v="-107"/>
    <n v="0"/>
    <n v="-374.5"/>
    <m/>
    <x v="0"/>
    <n v="3.5"/>
  </r>
  <r>
    <s v="outbound"/>
    <d v="2024-11-21T09:50:00"/>
    <s v="production"/>
    <s v="fixing label"/>
    <x v="274"/>
    <s v="EX23060701V30"/>
    <x v="22"/>
    <s v="extract_ingested_labelled"/>
    <d v="2025-04-30T00:00:00"/>
    <n v="-73"/>
    <n v="0"/>
    <n v="-2000.1999999999998"/>
    <m/>
    <x v="0"/>
    <n v="27.4"/>
  </r>
  <r>
    <s v="outbound"/>
    <d v="2024-11-21T09:50:00"/>
    <s v="production"/>
    <s v="fixing label"/>
    <x v="234"/>
    <s v="EX23060701V30"/>
    <x v="22"/>
    <s v="extract_ingested_labelled"/>
    <d v="2023-06-17T00:00:00"/>
    <n v="-84"/>
    <n v="0"/>
    <n v="-2301.6"/>
    <m/>
    <x v="0"/>
    <n v="27.4"/>
  </r>
  <r>
    <s v="outbound"/>
    <d v="2024-11-21T10:02:00"/>
    <s v="shipment"/>
    <s v="PO_0074348"/>
    <x v="246"/>
    <s v="EX24102201V50"/>
    <x v="33"/>
    <s v="extract_ingested_cased_ON"/>
    <d v="2024-10-29T00:00:00"/>
    <n v="-12"/>
    <n v="0"/>
    <n v="-7200"/>
    <m/>
    <x v="0"/>
    <n v="600"/>
  </r>
  <r>
    <s v="outbound"/>
    <d v="2024-11-21T10:19:00"/>
    <s v="shipment"/>
    <s v="LEGACY241121"/>
    <x v="239"/>
    <s v="TP24101701"/>
    <x v="2"/>
    <s v="topical_labelled"/>
    <d v="2024-10-23T00:00:00"/>
    <n v="-82"/>
    <n v="0"/>
    <n v="-7216"/>
    <m/>
    <x v="0"/>
    <n v="88"/>
  </r>
  <r>
    <s v="outbound"/>
    <d v="2024-11-21T10:56:00"/>
    <s v="sampling"/>
    <s v="STEVE"/>
    <x v="12"/>
    <s v="LR23032101"/>
    <x v="9"/>
    <s v="extract_inhaled_bulk"/>
    <s v="NA"/>
    <n v="0"/>
    <n v="-1.5"/>
    <n v="0"/>
    <m/>
    <x v="1"/>
    <n v="0"/>
  </r>
  <r>
    <s v="inbound"/>
    <d v="2024-11-21T12:58:00"/>
    <s v="storage"/>
    <m/>
    <x v="260"/>
    <s v="2021082601R1"/>
    <x v="40"/>
    <s v="driedflower_labelled_RTV"/>
    <d v="2024-11-20T00:00:00"/>
    <n v="135"/>
    <n v="0"/>
    <n v="472.5"/>
    <m/>
    <x v="0"/>
    <n v="3.5"/>
  </r>
  <r>
    <s v="inbound"/>
    <d v="2024-11-21T12:58:00"/>
    <s v="storage"/>
    <m/>
    <x v="256"/>
    <s v="2021082601R1"/>
    <x v="40"/>
    <s v="driedflower_labelled_RTV"/>
    <d v="2022-03-26T00:00:00"/>
    <n v="22"/>
    <n v="0"/>
    <n v="77"/>
    <m/>
    <x v="0"/>
    <n v="3.5"/>
  </r>
  <r>
    <s v="outbound"/>
    <d v="2024-11-21T14:09:00"/>
    <s v="production"/>
    <m/>
    <x v="275"/>
    <n v="2024111901"/>
    <x v="73"/>
    <s v="extract_inhaled_bulk"/>
    <s v="NA"/>
    <n v="-1"/>
    <n v="-3045"/>
    <n v="0"/>
    <m/>
    <x v="1"/>
    <n v="0"/>
  </r>
  <r>
    <s v="outbound"/>
    <d v="2024-11-21T14:09:00"/>
    <s v="production"/>
    <m/>
    <x v="276"/>
    <s v="EX24101705G05"/>
    <x v="49"/>
    <s v="extract_inhaled_packaged"/>
    <s v="NA"/>
    <n v="-1"/>
    <n v="-458.46"/>
    <n v="-0.5"/>
    <m/>
    <x v="0"/>
    <n v="0.5"/>
  </r>
  <r>
    <s v="outbound"/>
    <d v="2024-11-21T16:19:00"/>
    <s v="production"/>
    <s v="PO_72455"/>
    <x v="221"/>
    <n v="2024101703"/>
    <x v="65"/>
    <s v="driedflower_bulk"/>
    <s v="NA"/>
    <n v="-1"/>
    <n v="-1700"/>
    <n v="0"/>
    <m/>
    <x v="1"/>
    <n v="0"/>
  </r>
  <r>
    <s v="outbound"/>
    <d v="2024-11-21T16:19:00"/>
    <s v="production"/>
    <s v="PO_72455"/>
    <x v="220"/>
    <n v="2024101703"/>
    <x v="65"/>
    <s v="driedflower_bulk"/>
    <s v="NA"/>
    <n v="-1"/>
    <n v="-2000"/>
    <n v="0"/>
    <m/>
    <x v="1"/>
    <n v="0"/>
  </r>
  <r>
    <s v="outbound"/>
    <d v="2024-11-21T16:19:00"/>
    <s v="production"/>
    <s v="PO_50038735"/>
    <x v="238"/>
    <s v="PR2407F5P2"/>
    <x v="54"/>
    <s v="preroll_labelled"/>
    <d v="2024-10-23T00:00:00"/>
    <n v="-240"/>
    <n v="0"/>
    <n v="-240"/>
    <m/>
    <x v="0"/>
    <n v="1"/>
  </r>
  <r>
    <s v="inbound"/>
    <d v="2024-11-21T16:26:00"/>
    <s v="storage"/>
    <m/>
    <x v="232"/>
    <s v="EX23060701V30"/>
    <x v="22"/>
    <s v="extract_ingested_labelled"/>
    <d v="2024-10-31T00:00:00"/>
    <n v="84"/>
    <n v="0"/>
    <n v="2301.6"/>
    <m/>
    <x v="0"/>
    <n v="27.4"/>
  </r>
  <r>
    <s v="inbound"/>
    <d v="2024-11-21T16:26:00"/>
    <s v="storage"/>
    <m/>
    <x v="274"/>
    <s v="EX23060701V30"/>
    <x v="22"/>
    <s v="extract_ingested_labelled"/>
    <d v="2025-04-30T00:00:00"/>
    <n v="73"/>
    <n v="0"/>
    <n v="2000.1999999999998"/>
    <m/>
    <x v="0"/>
    <n v="27.4"/>
  </r>
  <r>
    <s v="inbound"/>
    <d v="2024-11-21T16:26:00"/>
    <s v="storage"/>
    <m/>
    <x v="235"/>
    <s v="EX23060701V30"/>
    <x v="22"/>
    <s v="extract_ingested_labelled"/>
    <d v="2024-10-31T00:00:00"/>
    <n v="52"/>
    <n v="0"/>
    <n v="1424.8"/>
    <m/>
    <x v="0"/>
    <n v="27.4"/>
  </r>
  <r>
    <s v="outbound"/>
    <d v="2024-11-22T09:39:00"/>
    <s v="production"/>
    <s v="filling"/>
    <x v="277"/>
    <n v="24111305"/>
    <x v="74"/>
    <s v="extract_inhaled_bulk"/>
    <s v="NA"/>
    <n v="-1"/>
    <n v="-2071.9"/>
    <n v="0"/>
    <m/>
    <x v="1"/>
    <n v="0"/>
  </r>
  <r>
    <s v="outbound"/>
    <d v="2024-11-22T10:25:00"/>
    <s v="sampling"/>
    <s v="sampling for Steve"/>
    <x v="278"/>
    <s v="CPR22102001"/>
    <x v="75"/>
    <s v="preroll_bulk"/>
    <d v="2023-02-03T00:00:00"/>
    <n v="-168"/>
    <n v="0"/>
    <n v="-168"/>
    <m/>
    <x v="0"/>
    <n v="1"/>
  </r>
  <r>
    <s v="inbound"/>
    <d v="2024-11-22T13:15:00"/>
    <s v="storage"/>
    <m/>
    <x v="275"/>
    <n v="2024111901"/>
    <x v="73"/>
    <s v="extract_inhaled_bulk"/>
    <s v="NA"/>
    <n v="1"/>
    <n v="1960.3"/>
    <n v="0"/>
    <m/>
    <x v="1"/>
    <n v="0"/>
  </r>
  <r>
    <s v="outbound"/>
    <d v="2024-11-25T09:39:00"/>
    <s v="production"/>
    <s v="filling"/>
    <x v="279"/>
    <s v="EX24101705"/>
    <x v="74"/>
    <s v="extract_inhaled_bulk"/>
    <s v="NA"/>
    <n v="-1"/>
    <n v="-708.61"/>
    <n v="0"/>
    <m/>
    <x v="1"/>
    <n v="0"/>
  </r>
  <r>
    <s v="outbound"/>
    <d v="2024-11-25T09:42:00"/>
    <s v="shipment"/>
    <s v="PO_1015"/>
    <x v="250"/>
    <s v="EX24082906G05"/>
    <x v="53"/>
    <s v="extract_inhaled_labelled"/>
    <d v="2024-10-23T00:00:00"/>
    <n v="-36"/>
    <n v="0"/>
    <n v="-18"/>
    <m/>
    <x v="0"/>
    <n v="0.5"/>
  </r>
  <r>
    <s v="outbound"/>
    <d v="2024-11-25T09:42:00"/>
    <s v="shipment"/>
    <m/>
    <x v="258"/>
    <s v="EX24101701G05"/>
    <x v="47"/>
    <s v="extract_inhaled_labelled"/>
    <d v="2024-10-29T00:00:00"/>
    <n v="-36"/>
    <n v="0"/>
    <n v="-18"/>
    <m/>
    <x v="0"/>
    <n v="0.5"/>
  </r>
  <r>
    <s v="outbound"/>
    <d v="2024-11-25T09:42:00"/>
    <s v="production"/>
    <s v="filling"/>
    <x v="280"/>
    <s v="EX24101704"/>
    <x v="76"/>
    <s v="extract_inhaled_bulk"/>
    <s v="NA"/>
    <n v="-1"/>
    <n v="-589.20000000000005"/>
    <n v="0"/>
    <m/>
    <x v="1"/>
    <n v="0"/>
  </r>
  <r>
    <s v="outbound"/>
    <d v="2024-11-25T09:42:00"/>
    <s v="production"/>
    <s v="filling"/>
    <x v="281"/>
    <s v="EX24101704"/>
    <x v="76"/>
    <s v="extract_inhaled_bulk"/>
    <s v="NA"/>
    <n v="-1"/>
    <n v="-496.78"/>
    <n v="0"/>
    <m/>
    <x v="1"/>
    <n v="0"/>
  </r>
  <r>
    <s v="outbound"/>
    <d v="2024-11-25T09:42:00"/>
    <s v="production"/>
    <s v="filling"/>
    <x v="282"/>
    <n v="24111304"/>
    <x v="76"/>
    <s v="extract_inhaled_bulk"/>
    <s v="NA"/>
    <n v="-1"/>
    <n v="-2076.8000000000002"/>
    <n v="0"/>
    <m/>
    <x v="1"/>
    <n v="0"/>
  </r>
  <r>
    <s v="outbound"/>
    <d v="2024-11-25T11:53:00"/>
    <s v="production"/>
    <s v="sampling "/>
    <x v="12"/>
    <s v="LR23032101"/>
    <x v="9"/>
    <s v="extract_inhaled_bulk"/>
    <s v="NA"/>
    <n v="-1"/>
    <n v="-2042.5"/>
    <n v="0"/>
    <m/>
    <x v="1"/>
    <n v="0"/>
  </r>
  <r>
    <s v="outbound"/>
    <d v="2024-11-26T09:23:00"/>
    <s v="shipment"/>
    <s v="PO_0075777"/>
    <x v="213"/>
    <s v="PR241101F5P3"/>
    <x v="19"/>
    <s v="preroll_labelled"/>
    <d v="2024-10-09T00:00:00"/>
    <n v="-36"/>
    <n v="0"/>
    <n v="-54"/>
    <m/>
    <x v="0"/>
    <n v="1.5"/>
  </r>
  <r>
    <s v="outbound"/>
    <d v="2024-11-27T09:28:00"/>
    <s v="shipment"/>
    <s v="PO_1017, PO_1016"/>
    <x v="250"/>
    <s v="EX24082906G05"/>
    <x v="53"/>
    <s v="extract_inhaled_labelled"/>
    <d v="2024-10-23T00:00:00"/>
    <n v="-24"/>
    <n v="0"/>
    <n v="-12"/>
    <m/>
    <x v="0"/>
    <n v="0.5"/>
  </r>
  <r>
    <s v="outbound"/>
    <d v="2024-11-27T09:28:00"/>
    <s v="shipment"/>
    <s v="PO_1017, PO_1016"/>
    <x v="258"/>
    <s v="EX24101701G05"/>
    <x v="47"/>
    <s v="extract_inhaled_labelled"/>
    <d v="2024-10-29T00:00:00"/>
    <n v="-24"/>
    <n v="0"/>
    <n v="-12"/>
    <m/>
    <x v="0"/>
    <n v="0.5"/>
  </r>
  <r>
    <s v="outbound"/>
    <d v="2024-11-27T09:28:00"/>
    <s v="production"/>
    <s v="FILLING"/>
    <x v="283"/>
    <s v="EX24111302"/>
    <x v="77"/>
    <s v="extract_inhaled_bulk"/>
    <s v="NA"/>
    <n v="-1"/>
    <n v="-608.5"/>
    <n v="0"/>
    <m/>
    <x v="1"/>
    <n v="0"/>
  </r>
  <r>
    <s v="outbound"/>
    <d v="2024-11-27T09:28:00"/>
    <s v="production"/>
    <s v="FILLING"/>
    <x v="275"/>
    <n v="2024111901"/>
    <x v="73"/>
    <s v="extract_inhaled_bulk"/>
    <s v="NA"/>
    <n v="-1"/>
    <n v="-960.3"/>
    <n v="0"/>
    <m/>
    <x v="1"/>
    <n v="0"/>
  </r>
  <r>
    <s v="outbound"/>
    <d v="2024-11-27T09:44:00"/>
    <s v="shipment"/>
    <s v="PO_1016"/>
    <x v="105"/>
    <s v="PR241003F5P3"/>
    <x v="20"/>
    <s v="preroll_labelled"/>
    <d v="2024-10-05T00:00:00"/>
    <n v="-12"/>
    <n v="0"/>
    <n v="-18"/>
    <m/>
    <x v="0"/>
    <n v="1.5"/>
  </r>
  <r>
    <s v="outbound"/>
    <d v="2024-11-27T09:44:00"/>
    <s v="shipment"/>
    <s v="PO_1015, PO_1018"/>
    <x v="232"/>
    <s v="EX23060701V30"/>
    <x v="22"/>
    <s v="extract_ingested_labelled"/>
    <d v="2024-10-31T00:00:00"/>
    <n v="-24"/>
    <n v="0"/>
    <n v="-657.59999999999991"/>
    <m/>
    <x v="0"/>
    <n v="27.4"/>
  </r>
  <r>
    <s v="outbound"/>
    <d v="2024-11-27T12:13:00"/>
    <s v="shipment"/>
    <s v="PO_1008"/>
    <x v="284"/>
    <s v="EX24101802V30"/>
    <x v="71"/>
    <s v="extract_ingested_labelled"/>
    <d v="2024-10-23T00:00:00"/>
    <n v="-12"/>
    <n v="0"/>
    <n v="-331.20000000000005"/>
    <m/>
    <x v="0"/>
    <n v="27.6"/>
  </r>
  <r>
    <s v="outbound"/>
    <d v="2024-11-27T12:13:00"/>
    <s v="shipment"/>
    <s v="PO_1008"/>
    <x v="249"/>
    <s v="EX24101703G05"/>
    <x v="45"/>
    <s v="extract_inhaled_labelled"/>
    <d v="2024-11-07T00:00:00"/>
    <n v="-12"/>
    <n v="0"/>
    <n v="-6"/>
    <m/>
    <x v="0"/>
    <n v="0.5"/>
  </r>
  <r>
    <s v="outbound"/>
    <d v="2024-11-27T12:13:00"/>
    <s v="shipment"/>
    <s v="PO_1008"/>
    <x v="54"/>
    <s v="PR2407F5P3"/>
    <x v="31"/>
    <s v="preroll_labelled"/>
    <d v="2024-07-25T00:00:00"/>
    <n v="-12"/>
    <n v="0"/>
    <n v="-18"/>
    <m/>
    <x v="0"/>
    <n v="1.5"/>
  </r>
  <r>
    <s v="outbound"/>
    <d v="2024-11-27T12:13:00"/>
    <s v="shipment"/>
    <s v="PO_1008"/>
    <x v="241"/>
    <s v="PR241104F5P3"/>
    <x v="18"/>
    <s v="preroll_labelled"/>
    <d v="2024-10-23T00:00:00"/>
    <n v="-12"/>
    <n v="0"/>
    <n v="-18"/>
    <m/>
    <x v="0"/>
    <n v="1.5"/>
  </r>
  <r>
    <s v="outbound"/>
    <d v="2024-11-27T12:13:00"/>
    <s v="shipment"/>
    <s v="PO_1008"/>
    <x v="213"/>
    <s v="PR241101F5P3"/>
    <x v="19"/>
    <s v="preroll_labelled"/>
    <d v="2024-10-09T00:00:00"/>
    <n v="-12"/>
    <n v="0"/>
    <n v="-18"/>
    <m/>
    <x v="0"/>
    <n v="1.5"/>
  </r>
  <r>
    <s v="outbound"/>
    <d v="2024-11-27T12:13:00"/>
    <s v="shipment"/>
    <s v="PO_1008"/>
    <x v="104"/>
    <s v="PR241005F5P3"/>
    <x v="17"/>
    <s v="preroll_labelled"/>
    <d v="2024-10-10T00:00:00"/>
    <n v="-12"/>
    <n v="0"/>
    <n v="-18"/>
    <m/>
    <x v="0"/>
    <n v="1.5"/>
  </r>
  <r>
    <s v="outbound"/>
    <d v="2024-11-27T12:13:00"/>
    <s v="shipment"/>
    <s v="PO_1008"/>
    <x v="149"/>
    <s v="PR241102F5P3"/>
    <x v="30"/>
    <s v="preroll_labelled"/>
    <d v="2024-10-10T00:00:00"/>
    <n v="-12"/>
    <n v="0"/>
    <n v="-18"/>
    <m/>
    <x v="0"/>
    <n v="1.5"/>
  </r>
  <r>
    <s v="outbound"/>
    <d v="2024-11-27T12:13:00"/>
    <s v="shipment"/>
    <s v="PO_1008"/>
    <x v="258"/>
    <s v="EX24101701G05"/>
    <x v="47"/>
    <s v="extract_inhaled_labelled"/>
    <d v="2024-10-29T00:00:00"/>
    <n v="-12"/>
    <n v="0"/>
    <n v="-6"/>
    <m/>
    <x v="0"/>
    <n v="0.5"/>
  </r>
  <r>
    <s v="outbound"/>
    <d v="2024-11-27T12:13:00"/>
    <s v="shipment"/>
    <s v="PO_1008"/>
    <x v="250"/>
    <s v="EX24082906G05"/>
    <x v="53"/>
    <s v="extract_inhaled_labelled"/>
    <d v="2024-10-23T00:00:00"/>
    <n v="-12"/>
    <n v="0"/>
    <n v="-6"/>
    <m/>
    <x v="0"/>
    <n v="0.5"/>
  </r>
  <r>
    <s v="outbound"/>
    <d v="2024-11-27T12:13:00"/>
    <s v="shipment"/>
    <s v="PO_1008"/>
    <x v="79"/>
    <s v="PR21071201G1"/>
    <x v="11"/>
    <s v="preroll_labelled"/>
    <d v="2024-10-28T00:00:00"/>
    <n v="-12"/>
    <n v="0"/>
    <n v="-12"/>
    <m/>
    <x v="0"/>
    <n v="1"/>
  </r>
  <r>
    <s v="outbound"/>
    <d v="2024-11-27T13:32:00"/>
    <s v="sampling"/>
    <s v="JAY241127_URGENT- samples for Thursday and Next week.- Nov 27th, 2024"/>
    <x v="249"/>
    <s v="EX24101703G05"/>
    <x v="45"/>
    <s v="extract_inhaled_labelled"/>
    <d v="2024-11-07T00:00:00"/>
    <n v="-2"/>
    <n v="0"/>
    <n v="-1"/>
    <m/>
    <x v="0"/>
    <n v="0.5"/>
  </r>
  <r>
    <s v="outbound"/>
    <d v="2024-11-27T13:32:00"/>
    <s v="sampling"/>
    <s v="JAY241127_URGENT- samples for Thursday and Next week.- Nov 27th, 2024"/>
    <x v="243"/>
    <s v="EX24101705G05"/>
    <x v="49"/>
    <s v="extract_inhaled_labelled"/>
    <d v="2024-10-29T00:00:00"/>
    <n v="-3"/>
    <n v="0"/>
    <n v="-1.5"/>
    <m/>
    <x v="0"/>
    <n v="0.5"/>
  </r>
  <r>
    <s v="outbound"/>
    <d v="2024-11-27T13:32:00"/>
    <s v="sampling"/>
    <s v="JAY241127_URGENT- samples for Thursday and Next week.- Nov 27th, 2024"/>
    <x v="250"/>
    <s v="EX24082906G05"/>
    <x v="53"/>
    <s v="extract_inhaled_labelled"/>
    <d v="2024-10-23T00:00:00"/>
    <n v="-4"/>
    <n v="0"/>
    <n v="-2"/>
    <m/>
    <x v="0"/>
    <n v="0.5"/>
  </r>
  <r>
    <s v="outbound"/>
    <d v="2024-11-27T13:32:00"/>
    <s v="sampling"/>
    <s v="JAY241127_URGENT- samples for Thursday and Next week.- Nov 27th, 2024"/>
    <x v="258"/>
    <s v="EX24101701G05"/>
    <x v="47"/>
    <s v="extract_inhaled_labelled"/>
    <d v="2024-10-29T00:00:00"/>
    <n v="-2"/>
    <n v="0"/>
    <n v="-1"/>
    <m/>
    <x v="0"/>
    <n v="0.5"/>
  </r>
  <r>
    <s v="outbound"/>
    <d v="2024-11-27T13:32:00"/>
    <s v="sampling"/>
    <s v="JAY241127_URGENT- samples for Thursday and Next week.- Nov 27th, 2024"/>
    <x v="172"/>
    <s v="EX24082902G05"/>
    <x v="46"/>
    <s v="extract_inhaled_labelled"/>
    <d v="2024-10-04T00:00:00"/>
    <n v="-2"/>
    <n v="0"/>
    <n v="-1"/>
    <m/>
    <x v="0"/>
    <n v="0.5"/>
  </r>
  <r>
    <s v="outbound"/>
    <d v="2024-11-27T13:32:00"/>
    <s v="sampling"/>
    <s v="JAY241127_URGENT- samples for Thursday and Next week.- Nov 27th, 2024"/>
    <x v="106"/>
    <s v="EX24061401V30"/>
    <x v="32"/>
    <s v="extract_ingested_labelled"/>
    <d v="2024-06-24T00:00:00"/>
    <n v="-1"/>
    <n v="0"/>
    <n v="-27.3"/>
    <m/>
    <x v="0"/>
    <n v="27.3"/>
  </r>
  <r>
    <s v="outbound"/>
    <d v="2024-11-27T16:32:00"/>
    <s v="shipment"/>
    <s v="PO_1019"/>
    <x v="250"/>
    <s v="EX24082906G05"/>
    <x v="53"/>
    <s v="extract_inhaled_labelled"/>
    <d v="2024-10-23T00:00:00"/>
    <n v="-2"/>
    <n v="0"/>
    <n v="-1"/>
    <m/>
    <x v="0"/>
    <n v="0.5"/>
  </r>
  <r>
    <s v="outbound"/>
    <d v="2024-11-27T16:32:00"/>
    <s v="shipment"/>
    <s v="PO_1019"/>
    <x v="285"/>
    <s v="EX24082906G05"/>
    <x v="53"/>
    <s v="extract_inhaled_labelled"/>
    <d v="2024-10-23T00:00:00"/>
    <n v="-22"/>
    <n v="0"/>
    <n v="-11"/>
    <m/>
    <x v="0"/>
    <n v="0.5"/>
  </r>
  <r>
    <s v="outbound"/>
    <d v="2024-11-27T16:32:00"/>
    <s v="shipment"/>
    <s v="PO_1019"/>
    <x v="258"/>
    <s v="EX24101701G05"/>
    <x v="47"/>
    <s v="extract_inhaled_labelled"/>
    <d v="2024-10-29T00:00:00"/>
    <n v="-18"/>
    <n v="0"/>
    <n v="-9"/>
    <m/>
    <x v="0"/>
    <n v="0.5"/>
  </r>
  <r>
    <s v="outbound"/>
    <d v="2024-11-28T09:58:00"/>
    <s v="shipment"/>
    <s v="PO_DD24112701"/>
    <x v="231"/>
    <s v="EX24092601V50"/>
    <x v="41"/>
    <s v="extract_ingested_labelled"/>
    <d v="2024-10-11T00:00:00"/>
    <n v="-36"/>
    <n v="0"/>
    <n v="-1800"/>
    <m/>
    <x v="0"/>
    <n v="50"/>
  </r>
  <r>
    <s v="inbound"/>
    <d v="2024-11-29T16:40:00"/>
    <s v="storage"/>
    <m/>
    <x v="221"/>
    <n v="2024101703"/>
    <x v="65"/>
    <s v="driedflower_bulk"/>
    <s v="NA"/>
    <n v="1"/>
    <n v="1095"/>
    <n v="0"/>
    <m/>
    <x v="1"/>
    <n v="0"/>
  </r>
  <r>
    <s v="outbound"/>
    <d v="2024-12-02T00:00:00"/>
    <s v="production"/>
    <s v="PO_001818-1"/>
    <x v="170"/>
    <s v="BS23041701G180"/>
    <x v="0"/>
    <s v="topical_labelled"/>
    <d v="2024-08-19T00:00:00"/>
    <n v="-20"/>
    <n v="0"/>
    <n v="-3600"/>
    <m/>
    <x v="0"/>
    <n v="180"/>
  </r>
  <r>
    <s v="outbound"/>
    <d v="2024-12-02T00:00:00"/>
    <s v="production"/>
    <s v="PO_001818-1"/>
    <x v="0"/>
    <s v="BS23041701G180"/>
    <x v="0"/>
    <s v="topical_labelled"/>
    <d v="2024-06-24T00:00:00"/>
    <n v="-32"/>
    <n v="0"/>
    <n v="-5760"/>
    <m/>
    <x v="0"/>
    <n v="180"/>
  </r>
  <r>
    <s v="outbound"/>
    <d v="2024-12-02T00:00:00"/>
    <s v="production"/>
    <s v="PO_001818-1"/>
    <x v="2"/>
    <s v="BS23041701G180"/>
    <x v="0"/>
    <s v="topical_labelled"/>
    <d v="2024-06-24T00:00:00"/>
    <n v="-111"/>
    <n v="0"/>
    <n v="-19980"/>
    <m/>
    <x v="0"/>
    <n v="180"/>
  </r>
  <r>
    <s v="outbound"/>
    <d v="2024-12-02T00:00:00"/>
    <s v="production"/>
    <s v="PO_001818-1"/>
    <x v="8"/>
    <s v="BS23101901G450"/>
    <x v="5"/>
    <s v="topical_labelled"/>
    <d v="2024-12-03T00:00:00"/>
    <n v="-19"/>
    <n v="0"/>
    <n v="-8550"/>
    <m/>
    <x v="0"/>
    <n v="450"/>
  </r>
  <r>
    <s v="outbound"/>
    <d v="2024-12-02T00:00:00"/>
    <s v="production"/>
    <s v="PO_001818-1"/>
    <x v="286"/>
    <s v="BS23101901G450"/>
    <x v="5"/>
    <s v="topical_labelled"/>
    <d v="2024-12-03T00:00:00"/>
    <n v="-149"/>
    <n v="0"/>
    <n v="-67050"/>
    <m/>
    <x v="0"/>
    <n v="450"/>
  </r>
  <r>
    <s v="outbound"/>
    <d v="2024-12-02T10:30:00"/>
    <s v="shipment"/>
    <s v="NS PO_4500853276 (12 units from previous outbound case)"/>
    <x v="287"/>
    <s v="TP24082901"/>
    <x v="6"/>
    <s v="topical_labelled"/>
    <d v="2024-10-04T00:00:00"/>
    <n v="-108"/>
    <n v="0"/>
    <n v="-9504"/>
    <m/>
    <x v="0"/>
    <n v="88"/>
  </r>
  <r>
    <s v="outbound"/>
    <d v="2024-12-03T10:27:00"/>
    <s v="sampling"/>
    <s v="jay241203"/>
    <x v="288"/>
    <n v="2024111801"/>
    <x v="78"/>
    <s v="driedflower_bulk"/>
    <s v="NA"/>
    <n v="-1"/>
    <n v="-3085"/>
    <n v="0"/>
    <m/>
    <x v="1"/>
    <n v="0"/>
  </r>
  <r>
    <s v="outbound"/>
    <d v="2024-12-03T10:27:00"/>
    <s v="sampling"/>
    <s v="jay241203"/>
    <x v="221"/>
    <n v="2024101703"/>
    <x v="65"/>
    <s v="driedflower_bulk"/>
    <s v="NA"/>
    <n v="-1"/>
    <n v="-1095"/>
    <n v="0"/>
    <m/>
    <x v="1"/>
    <n v="0"/>
  </r>
  <r>
    <s v="outbound"/>
    <d v="2024-12-03T12:52:00"/>
    <s v="sampling"/>
    <s v="jay241203"/>
    <x v="289"/>
    <s v="PR241103F5"/>
    <x v="27"/>
    <s v="preroll_bulk"/>
    <s v="NA"/>
    <n v="-676"/>
    <n v="0"/>
    <n v="-338"/>
    <m/>
    <x v="0"/>
    <n v="0.5"/>
  </r>
  <r>
    <s v="outbound"/>
    <d v="2024-12-03T12:55:00"/>
    <s v="sampling"/>
    <s v="jay241203"/>
    <x v="285"/>
    <s v="EX24082906G05"/>
    <x v="53"/>
    <s v="extract_inhaled_labelled"/>
    <d v="2024-10-23T00:00:00"/>
    <n v="-3"/>
    <n v="0"/>
    <n v="-1.5"/>
    <m/>
    <x v="0"/>
    <n v="0.5"/>
  </r>
  <r>
    <s v="outbound"/>
    <d v="2024-12-03T12:55:00"/>
    <s v="sampling"/>
    <s v="jay241203"/>
    <x v="243"/>
    <s v="EX24101705G05"/>
    <x v="49"/>
    <s v="extract_inhaled_labelled"/>
    <d v="2024-10-29T00:00:00"/>
    <n v="-4"/>
    <n v="0"/>
    <n v="-2"/>
    <m/>
    <x v="0"/>
    <n v="0.5"/>
  </r>
  <r>
    <s v="outbound"/>
    <d v="2024-12-03T13:03:00"/>
    <s v="production"/>
    <s v="Packaging and labelling"/>
    <x v="290"/>
    <s v="EX24101705G05"/>
    <x v="49"/>
    <s v="extract_inhaled_packaged"/>
    <s v="NA"/>
    <n v="-79"/>
    <n v="0"/>
    <n v="-39.5"/>
    <m/>
    <x v="0"/>
    <n v="0.5"/>
  </r>
  <r>
    <s v="outbound"/>
    <d v="2024-12-03T13:03:00"/>
    <s v="production"/>
    <s v="Packaging and labelling"/>
    <x v="291"/>
    <s v="EX24101705G05"/>
    <x v="49"/>
    <s v="extract_inhaled_packaged"/>
    <s v="NA"/>
    <n v="-140"/>
    <n v="0"/>
    <n v="-70"/>
    <m/>
    <x v="0"/>
    <n v="0.5"/>
  </r>
  <r>
    <s v="outbound"/>
    <d v="2024-12-03T13:03:00"/>
    <s v="production"/>
    <s v="Packaging and labelling"/>
    <x v="276"/>
    <s v="EX24101705G05"/>
    <x v="49"/>
    <s v="extract_inhaled_packaged"/>
    <s v="NA"/>
    <n v="-200"/>
    <n v="0"/>
    <n v="-100"/>
    <m/>
    <x v="0"/>
    <n v="0.5"/>
  </r>
  <r>
    <s v="outbound"/>
    <d v="2024-12-03T13:07:00"/>
    <s v="sampling"/>
    <s v="jay241203"/>
    <x v="241"/>
    <s v="PR241104F5P3"/>
    <x v="18"/>
    <s v="preroll_labelled"/>
    <d v="2024-10-23T00:00:00"/>
    <n v="-6"/>
    <n v="0"/>
    <n v="-9"/>
    <m/>
    <x v="0"/>
    <n v="1.5"/>
  </r>
  <r>
    <s v="outbound"/>
    <d v="2024-12-03T13:07:00"/>
    <s v="sampling"/>
    <s v="jay241203"/>
    <x v="12"/>
    <s v="LR23032101"/>
    <x v="9"/>
    <s v="extract_inhaled_bulk"/>
    <s v="NA"/>
    <n v="-1"/>
    <n v="-2038.2"/>
    <n v="0"/>
    <m/>
    <x v="1"/>
    <n v="0"/>
  </r>
  <r>
    <s v="outbound"/>
    <d v="2024-12-03T13:23:00"/>
    <s v="sampling"/>
    <m/>
    <x v="292"/>
    <n v="2024111201"/>
    <x v="26"/>
    <s v="extract_distillate_bulk"/>
    <s v="NA"/>
    <n v="-1"/>
    <n v="-286.14999999999998"/>
    <n v="0"/>
    <m/>
    <x v="1"/>
    <n v="0"/>
  </r>
  <r>
    <s v="outbound"/>
    <d v="2024-12-03T14:02:00"/>
    <s v="production"/>
    <s v="labelling 5 cs of TF and Citrus each"/>
    <x v="165"/>
    <s v="EX24092601V50"/>
    <x v="41"/>
    <s v="extract_ingested_labelled"/>
    <d v="2024-10-11T00:00:00"/>
    <n v="-288"/>
    <n v="0"/>
    <n v="-14400"/>
    <m/>
    <x v="0"/>
    <n v="50"/>
  </r>
  <r>
    <s v="inbound"/>
    <d v="2024-12-03T14:44:00"/>
    <s v="storage"/>
    <m/>
    <x v="292"/>
    <n v="2024111201"/>
    <x v="26"/>
    <s v="extract_distillate_bulk"/>
    <s v="NA"/>
    <n v="1"/>
    <n v="282.18"/>
    <n v="0"/>
    <m/>
    <x v="1"/>
    <n v="0"/>
  </r>
  <r>
    <s v="inbound"/>
    <d v="2024-12-03T14:44:00"/>
    <s v="storage"/>
    <m/>
    <x v="12"/>
    <s v="LR23032101"/>
    <x v="9"/>
    <s v="extract_inhaled_bulk"/>
    <s v="NA"/>
    <n v="1"/>
    <n v="2025.5"/>
    <n v="0"/>
    <m/>
    <x v="1"/>
    <n v="0"/>
  </r>
  <r>
    <s v="outbound"/>
    <d v="2024-12-03T16:36:00"/>
    <s v="shipment"/>
    <s v="PO_1020"/>
    <x v="249"/>
    <s v="EX24101703G05"/>
    <x v="45"/>
    <s v="extract_inhaled_labelled"/>
    <d v="2024-11-07T00:00:00"/>
    <n v="-12"/>
    <n v="0"/>
    <n v="-6"/>
    <m/>
    <x v="0"/>
    <n v="0.5"/>
  </r>
  <r>
    <s v="outbound"/>
    <d v="2024-12-03T17:00:00"/>
    <s v="shipment"/>
    <s v="PO_1020"/>
    <x v="243"/>
    <s v="EX24101705G05"/>
    <x v="49"/>
    <s v="extract_inhaled_labelled"/>
    <d v="2024-10-29T00:00:00"/>
    <n v="-12"/>
    <n v="0"/>
    <n v="-6"/>
    <m/>
    <x v="0"/>
    <n v="0.5"/>
  </r>
  <r>
    <s v="outbound"/>
    <d v="2024-12-03T17:00:00"/>
    <s v="shipment"/>
    <s v="PO_1020"/>
    <x v="168"/>
    <s v="EX24082904G05"/>
    <x v="48"/>
    <s v="extract_inhaled_labelled"/>
    <d v="2024-09-20T00:00:00"/>
    <n v="-12"/>
    <n v="0"/>
    <n v="-6"/>
    <m/>
    <x v="0"/>
    <n v="0.5"/>
  </r>
  <r>
    <s v="outbound"/>
    <d v="2024-12-03T17:00:00"/>
    <s v="shipment"/>
    <s v="PO_1020"/>
    <x v="293"/>
    <s v="EX24111302G05"/>
    <x v="46"/>
    <s v="extract_inhaled_labelled"/>
    <d v="2024-11-27T00:00:00"/>
    <n v="-12"/>
    <n v="0"/>
    <n v="-6"/>
    <m/>
    <x v="0"/>
    <n v="0.5"/>
  </r>
  <r>
    <s v="outbound"/>
    <d v="2024-12-03T17:00:00"/>
    <s v="shipment"/>
    <s v="PO_1020"/>
    <x v="54"/>
    <s v="PR2407F5P3"/>
    <x v="31"/>
    <s v="preroll_labelled"/>
    <d v="2024-07-25T00:00:00"/>
    <n v="-24"/>
    <n v="0"/>
    <n v="-36"/>
    <m/>
    <x v="0"/>
    <n v="1.5"/>
  </r>
  <r>
    <s v="outbound"/>
    <d v="2024-12-03T17:00:00"/>
    <s v="shipment"/>
    <s v="PO_1020"/>
    <x v="80"/>
    <s v="PR2301F5P3"/>
    <x v="42"/>
    <s v="preroll_labelled"/>
    <d v="2024-06-14T00:00:00"/>
    <n v="-24"/>
    <n v="0"/>
    <n v="-36"/>
    <m/>
    <x v="0"/>
    <n v="1.5"/>
  </r>
  <r>
    <s v="outbound"/>
    <d v="2024-12-03T17:00:00"/>
    <s v="shipment"/>
    <s v="PO_1020"/>
    <x v="81"/>
    <s v="PR2406F5P3"/>
    <x v="43"/>
    <s v="preroll_labelled"/>
    <d v="2024-06-14T00:00:00"/>
    <n v="-24"/>
    <n v="0"/>
    <n v="-36"/>
    <m/>
    <x v="0"/>
    <n v="1.5"/>
  </r>
  <r>
    <s v="outbound"/>
    <d v="2024-12-03T17:00:00"/>
    <s v="shipment"/>
    <s v="PO_1020"/>
    <x v="287"/>
    <s v="TP24082901"/>
    <x v="6"/>
    <s v="topical_labelled"/>
    <d v="2024-10-04T00:00:00"/>
    <n v="-12"/>
    <n v="0"/>
    <n v="-1056"/>
    <m/>
    <x v="0"/>
    <n v="88"/>
  </r>
  <r>
    <s v="outbound"/>
    <d v="2024-12-03T17:00:00"/>
    <s v="shipment"/>
    <s v="PO_1020"/>
    <x v="294"/>
    <s v="TP24101701"/>
    <x v="2"/>
    <s v="topical_labelled"/>
    <d v="2024-10-23T00:00:00"/>
    <n v="-12"/>
    <n v="0"/>
    <n v="-1056"/>
    <m/>
    <x v="0"/>
    <n v="88"/>
  </r>
  <r>
    <s v="outbound"/>
    <d v="2024-12-03T17:00:00"/>
    <s v="shipment"/>
    <s v="PO_1020"/>
    <x v="79"/>
    <s v="PR21071201G1"/>
    <x v="11"/>
    <s v="preroll_labelled"/>
    <d v="2024-10-28T00:00:00"/>
    <n v="-24"/>
    <n v="0"/>
    <n v="-24"/>
    <m/>
    <x v="0"/>
    <n v="1"/>
  </r>
  <r>
    <s v="outbound"/>
    <d v="2024-12-03T17:00:00"/>
    <s v="shipment"/>
    <s v="PO_1020"/>
    <x v="16"/>
    <s v="PR2406F1P1"/>
    <x v="12"/>
    <s v="preroll_labelled"/>
    <d v="2024-06-19T00:00:00"/>
    <n v="-24"/>
    <n v="0"/>
    <n v="-24"/>
    <m/>
    <x v="0"/>
    <n v="1"/>
  </r>
  <r>
    <s v="outbound"/>
    <d v="2024-12-04T09:40:00"/>
    <s v="shipment"/>
    <s v="PO_1021"/>
    <x v="293"/>
    <s v="EX24111302G05"/>
    <x v="46"/>
    <s v="extract_inhaled_labelled"/>
    <d v="2024-11-27T00:00:00"/>
    <n v="-24"/>
    <n v="0"/>
    <n v="-12"/>
    <m/>
    <x v="0"/>
    <n v="0.5"/>
  </r>
  <r>
    <s v="outbound"/>
    <d v="2024-12-04T09:40:00"/>
    <s v="shipment"/>
    <s v="PO_1021"/>
    <x v="295"/>
    <s v="EX24101701G05"/>
    <x v="47"/>
    <s v="extract_inhaled_labelled"/>
    <d v="2024-11-22T00:00:00"/>
    <n v="-24"/>
    <n v="0"/>
    <n v="-12"/>
    <m/>
    <x v="0"/>
    <n v="0.5"/>
  </r>
  <r>
    <s v="outbound"/>
    <d v="2024-12-04T09:40:00"/>
    <s v="shipment"/>
    <s v="PO_1021"/>
    <x v="217"/>
    <s v="EX24082906G05"/>
    <x v="53"/>
    <s v="extract_inhaled_labelled"/>
    <d v="2024-10-09T00:00:00"/>
    <n v="-24"/>
    <n v="0"/>
    <n v="-12"/>
    <m/>
    <x v="0"/>
    <n v="0.5"/>
  </r>
  <r>
    <s v="outbound"/>
    <d v="2024-12-04T11:23:00"/>
    <s v="shipment"/>
    <s v="PO_0075546, PO_0075946, PO_0075210"/>
    <x v="294"/>
    <s v="TP24101701"/>
    <x v="2"/>
    <s v="topical_labelled"/>
    <d v="2024-10-23T00:00:00"/>
    <n v="-144"/>
    <n v="0"/>
    <n v="-12672"/>
    <m/>
    <x v="0"/>
    <n v="88"/>
  </r>
  <r>
    <s v="outbound"/>
    <d v="2024-12-04T11:23:00"/>
    <s v="production"/>
    <s v="TRIDENT"/>
    <x v="265"/>
    <s v="PR241105F5"/>
    <x v="23"/>
    <s v="preroll_bulk"/>
    <s v="NA"/>
    <n v="-95"/>
    <n v="0"/>
    <n v="-47.5"/>
    <m/>
    <x v="0"/>
    <n v="0.5"/>
  </r>
  <r>
    <s v="outbound"/>
    <d v="2024-12-04T11:23:00"/>
    <s v="production"/>
    <s v="TRIDENT"/>
    <x v="296"/>
    <s v="PR241102F5"/>
    <x v="29"/>
    <s v="preroll_bulk"/>
    <s v="NA"/>
    <n v="-55"/>
    <n v="0"/>
    <n v="-27.5"/>
    <m/>
    <x v="0"/>
    <n v="0.5"/>
  </r>
  <r>
    <s v="outbound"/>
    <d v="2024-12-04T11:23:00"/>
    <s v="production"/>
    <s v="TRIDENT"/>
    <x v="297"/>
    <s v="PR241101F5"/>
    <x v="13"/>
    <s v="preroll_bulk"/>
    <s v="NA"/>
    <n v="-724"/>
    <n v="0"/>
    <n v="-362"/>
    <m/>
    <x v="0"/>
    <n v="0.5"/>
  </r>
  <r>
    <s v="outbound"/>
    <d v="2024-12-04T11:23:00"/>
    <s v="production"/>
    <s v="TRIDENT"/>
    <x v="298"/>
    <s v="PR241102F5"/>
    <x v="29"/>
    <s v="preroll_bulk"/>
    <s v="NA"/>
    <n v="-707"/>
    <n v="0"/>
    <n v="-353.5"/>
    <m/>
    <x v="0"/>
    <n v="0.5"/>
  </r>
  <r>
    <s v="outbound"/>
    <d v="2024-12-04T11:23:00"/>
    <s v="production"/>
    <s v="TRIDENT"/>
    <x v="299"/>
    <s v="PR241105F5"/>
    <x v="23"/>
    <s v="preroll_bulk"/>
    <s v="NA"/>
    <n v="-705"/>
    <n v="0"/>
    <n v="-352.5"/>
    <m/>
    <x v="0"/>
    <n v="0.5"/>
  </r>
  <r>
    <s v="outbound"/>
    <d v="2024-12-04T13:43:00"/>
    <s v="shipment"/>
    <s v="PO_02-120424"/>
    <x v="249"/>
    <s v="EX24101703G05"/>
    <x v="45"/>
    <s v="extract_inhaled_labelled"/>
    <d v="2024-11-07T00:00:00"/>
    <n v="-180"/>
    <n v="0"/>
    <n v="-90"/>
    <m/>
    <x v="0"/>
    <n v="0.5"/>
  </r>
  <r>
    <s v="outbound"/>
    <d v="2024-12-04T14:00:00"/>
    <s v="shipment"/>
    <s v="PO_02-120424"/>
    <x v="300"/>
    <s v="EX24100801V30"/>
    <x v="44"/>
    <s v="extract_ingested_labelled"/>
    <d v="2024-10-25T00:00:00"/>
    <n v="-84"/>
    <n v="0"/>
    <n v="-2293.2000000000003"/>
    <m/>
    <x v="0"/>
    <n v="27.3"/>
  </r>
  <r>
    <s v="outbound"/>
    <d v="2024-12-04T14:00:00"/>
    <s v="shipment"/>
    <s v="PO_02-120424 (1 BOX OF 84 HAVING NO ID IS USED)"/>
    <x v="301"/>
    <s v="EX24100801V30"/>
    <x v="44"/>
    <s v="extract_ingested_labelled"/>
    <d v="2024-10-25T00:00:00"/>
    <n v="-26"/>
    <n v="0"/>
    <n v="-709.80000000000007"/>
    <m/>
    <x v="0"/>
    <n v="27.3"/>
  </r>
  <r>
    <s v="outbound"/>
    <d v="2024-12-04T14:00:00"/>
    <s v="shipment"/>
    <s v="PO_02-120424"/>
    <x v="294"/>
    <s v="TP24101701"/>
    <x v="2"/>
    <s v="topical_labelled"/>
    <d v="2024-10-23T00:00:00"/>
    <n v="-180"/>
    <n v="0"/>
    <n v="-15840"/>
    <m/>
    <x v="0"/>
    <n v="88"/>
  </r>
  <r>
    <s v="outbound"/>
    <d v="2024-12-04T14:00:00"/>
    <s v="shipment"/>
    <s v="PO_02-120424"/>
    <x v="293"/>
    <s v="EX24111302G05"/>
    <x v="46"/>
    <s v="extract_inhaled_labelled"/>
    <d v="2024-11-27T00:00:00"/>
    <n v="-180"/>
    <n v="0"/>
    <n v="-90"/>
    <m/>
    <x v="0"/>
    <n v="0.5"/>
  </r>
  <r>
    <s v="outbound"/>
    <d v="2024-12-04T14:00:00"/>
    <s v="shipment"/>
    <s v="PO_02-120424"/>
    <x v="295"/>
    <s v="EX24101701G05"/>
    <x v="47"/>
    <s v="extract_inhaled_labelled"/>
    <d v="2024-11-22T00:00:00"/>
    <n v="-180"/>
    <n v="0"/>
    <n v="-90"/>
    <m/>
    <x v="0"/>
    <n v="0.5"/>
  </r>
  <r>
    <s v="outbound"/>
    <d v="2024-12-04T16:57:00"/>
    <s v="production"/>
    <s v="MINIROLLON AND EXTRA"/>
    <x v="302"/>
    <n v="2024120401"/>
    <x v="34"/>
    <s v="extract_distillate_bulk"/>
    <s v="NA"/>
    <n v="-1"/>
    <n v="-4070"/>
    <n v="0"/>
    <m/>
    <x v="1"/>
    <n v="0"/>
  </r>
  <r>
    <s v="outbound"/>
    <d v="2024-12-05T09:57:00"/>
    <s v="production"/>
    <s v="seperation - 7g and 0.5g preroll"/>
    <x v="303"/>
    <n v="2024111801"/>
    <x v="78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04"/>
    <n v="2024111801"/>
    <x v="78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05"/>
    <n v="2024111801"/>
    <x v="78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06"/>
    <n v="2024111803"/>
    <x v="79"/>
    <s v="driedflower_bulk"/>
    <s v="NA"/>
    <n v="-1"/>
    <n v="-1030"/>
    <n v="0"/>
    <m/>
    <x v="1"/>
    <n v="0"/>
  </r>
  <r>
    <s v="outbound"/>
    <d v="2024-12-05T09:57:00"/>
    <s v="production"/>
    <s v="seperation - 7g and 0.5g preroll"/>
    <x v="307"/>
    <n v="2024111803"/>
    <x v="79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08"/>
    <n v="2024111801"/>
    <x v="78"/>
    <s v="driedflower_bulk"/>
    <s v="NA"/>
    <n v="-1"/>
    <n v="-3245"/>
    <n v="0"/>
    <m/>
    <x v="1"/>
    <n v="0"/>
  </r>
  <r>
    <s v="outbound"/>
    <d v="2024-12-05T09:57:00"/>
    <s v="production"/>
    <s v="seperation - 7g and 0.5g preroll"/>
    <x v="309"/>
    <n v="2024111802"/>
    <x v="65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10"/>
    <n v="2024111802"/>
    <x v="65"/>
    <s v="driedflower_bulk"/>
    <s v="NA"/>
    <n v="-1"/>
    <n v="-2030"/>
    <n v="0"/>
    <m/>
    <x v="1"/>
    <n v="0"/>
  </r>
  <r>
    <s v="outbound"/>
    <d v="2024-12-05T09:57:00"/>
    <s v="production"/>
    <s v="seperation - 7g and 0.5g preroll"/>
    <x v="311"/>
    <n v="2024111802"/>
    <x v="65"/>
    <s v="driedflower_bulk"/>
    <s v="NA"/>
    <n v="-1"/>
    <n v="-3085"/>
    <n v="0"/>
    <m/>
    <x v="1"/>
    <n v="0"/>
  </r>
  <r>
    <s v="outbound"/>
    <d v="2024-12-05T09:57:00"/>
    <s v="production"/>
    <s v="seperation - 7g and 0.5g preroll"/>
    <x v="312"/>
    <n v="2024111802"/>
    <x v="65"/>
    <s v="driedflower_bulk"/>
    <s v="NA"/>
    <n v="-1"/>
    <n v="-3085"/>
    <n v="0"/>
    <m/>
    <x v="1"/>
    <n v="0"/>
  </r>
  <r>
    <s v="outbound"/>
    <d v="2024-12-05T11:50:00"/>
    <s v="production"/>
    <s v="filling EX24101704G05 POD 241205"/>
    <x v="313"/>
    <s v="EX24101704"/>
    <x v="76"/>
    <s v="extract_inhaled_bulk"/>
    <s v="NA"/>
    <n v="-1"/>
    <n v="-609.1"/>
    <n v="0"/>
    <m/>
    <x v="1"/>
    <n v="0"/>
  </r>
  <r>
    <s v="outbound"/>
    <d v="2024-12-05T11:50:00"/>
    <s v="production"/>
    <s v="filling EX24101704G05 POD 241205"/>
    <x v="281"/>
    <s v="EX24101704"/>
    <x v="76"/>
    <s v="extract_inhaled_bulk"/>
    <s v="NA"/>
    <n v="-1"/>
    <n v="-374.9"/>
    <n v="0"/>
    <m/>
    <x v="1"/>
    <n v="0"/>
  </r>
  <r>
    <s v="inbound"/>
    <d v="2024-12-05T14:11:00"/>
    <s v="storage"/>
    <m/>
    <x v="289"/>
    <s v="PR241103F5"/>
    <x v="27"/>
    <s v="preroll_bulk"/>
    <s v="NA"/>
    <n v="676"/>
    <n v="0"/>
    <n v="338"/>
    <m/>
    <x v="0"/>
    <n v="0.5"/>
  </r>
  <r>
    <s v="inbound"/>
    <d v="2024-12-05T14:46:00"/>
    <s v="storage"/>
    <m/>
    <x v="302"/>
    <n v="2024120401"/>
    <x v="34"/>
    <s v="extract_distillate_bulk"/>
    <s v="NA"/>
    <n v="1"/>
    <n v="1756.5"/>
    <n v="0"/>
    <m/>
    <x v="1"/>
    <n v="0"/>
  </r>
  <r>
    <s v="inbound"/>
    <d v="2024-12-05T15:52:00"/>
    <s v="storage"/>
    <m/>
    <x v="247"/>
    <s v="PR2411"/>
    <x v="21"/>
    <s v="driedflower_milled_bulk"/>
    <s v="NA"/>
    <n v="1"/>
    <n v="2325"/>
    <n v="0"/>
    <m/>
    <x v="1"/>
    <n v="0"/>
  </r>
  <r>
    <s v="inbound"/>
    <d v="2024-12-06T13:57:00"/>
    <s v="storage"/>
    <m/>
    <x v="258"/>
    <s v="EX24101701G05"/>
    <x v="47"/>
    <s v="extract_inhaled_labelled"/>
    <d v="2024-10-29T00:00:00"/>
    <n v="3"/>
    <n v="0"/>
    <n v="1.5"/>
    <m/>
    <x v="0"/>
    <n v="0.5"/>
  </r>
  <r>
    <s v="inbound"/>
    <d v="2024-12-06T16:10:00"/>
    <s v="storage"/>
    <m/>
    <x v="165"/>
    <s v="EX24092601V50"/>
    <x v="41"/>
    <s v="extract_ingested_labelled"/>
    <d v="2024-10-11T00:00:00"/>
    <n v="228"/>
    <n v="0"/>
    <n v="11400"/>
    <m/>
    <x v="0"/>
    <n v="50"/>
  </r>
  <r>
    <s v="inbound"/>
    <d v="2024-12-09T10:56:00"/>
    <s v="storage"/>
    <m/>
    <x v="301"/>
    <s v="EX24100801V30"/>
    <x v="44"/>
    <s v="extract_ingested_labelled"/>
    <d v="2024-10-25T00:00:00"/>
    <n v="15"/>
    <n v="0"/>
    <n v="409.5"/>
    <m/>
    <x v="0"/>
    <n v="27.3"/>
  </r>
  <r>
    <s v="outbound"/>
    <d v="2024-12-10T10:55:00"/>
    <s v="storage"/>
    <m/>
    <x v="314"/>
    <s v="BS23041701"/>
    <x v="0"/>
    <s v="topical_bulk"/>
    <s v="NA"/>
    <n v="-1"/>
    <n v="-71400"/>
    <n v="0"/>
    <m/>
    <x v="1"/>
    <n v="0"/>
  </r>
  <r>
    <s v="outbound"/>
    <d v="2024-12-10T11:14:00"/>
    <s v="shipment"/>
    <s v="PO_0076596_LEGACY"/>
    <x v="315"/>
    <s v="EX24100801V30"/>
    <x v="44"/>
    <s v="extract_ingested_labelled"/>
    <d v="2024-10-25T00:00:00"/>
    <n v="-9"/>
    <n v="0"/>
    <n v="-245.70000000000002"/>
    <m/>
    <x v="0"/>
    <n v="27.3"/>
  </r>
  <r>
    <s v="outbound"/>
    <d v="2024-12-10T11:14:00"/>
    <s v="shipment"/>
    <s v="PO_0076596_LEGACY"/>
    <x v="301"/>
    <s v="EX24100801V30"/>
    <x v="44"/>
    <s v="extract_ingested_labelled"/>
    <d v="2024-10-25T00:00:00"/>
    <n v="-15"/>
    <n v="0"/>
    <n v="-409.5"/>
    <m/>
    <x v="0"/>
    <n v="27.3"/>
  </r>
  <r>
    <s v="outbound"/>
    <d v="2024-12-11T10:01:00"/>
    <s v="production"/>
    <s v="labelling"/>
    <x v="316"/>
    <s v="EX24111801V50"/>
    <x v="33"/>
    <s v="extract_ingested_labelled"/>
    <d v="2024-11-28T00:00:00"/>
    <n v="-244"/>
    <n v="0"/>
    <n v="-12200"/>
    <m/>
    <x v="0"/>
    <n v="50"/>
  </r>
  <r>
    <s v="outbound"/>
    <d v="2024-12-11T10:01:00"/>
    <s v="production"/>
    <s v="labelling"/>
    <x v="317"/>
    <s v="EX24111801V50"/>
    <x v="33"/>
    <s v="extract_ingested_labelled"/>
    <d v="2024-11-28T00:00:00"/>
    <n v="-237"/>
    <n v="0"/>
    <n v="-11850"/>
    <m/>
    <x v="0"/>
    <n v="50"/>
  </r>
  <r>
    <s v="outbound"/>
    <d v="2024-12-12T12:16:00"/>
    <s v="shipment"/>
    <s v="legacy241212"/>
    <x v="318"/>
    <s v="EX24111801V50"/>
    <x v="33"/>
    <s v="extract_ingested_cased_ON"/>
    <d v="2024-11-28T00:00:00"/>
    <n v="-6"/>
    <n v="0"/>
    <n v="-3600"/>
    <m/>
    <x v="0"/>
    <n v="600"/>
  </r>
  <r>
    <s v="outbound"/>
    <d v="2024-12-12T12:16:00"/>
    <s v="shipment"/>
    <s v="legacy241212"/>
    <x v="294"/>
    <s v="TP24101701"/>
    <x v="2"/>
    <s v="topical_labelled"/>
    <d v="2024-10-23T00:00:00"/>
    <n v="-48"/>
    <n v="0"/>
    <n v="-4224"/>
    <m/>
    <x v="0"/>
    <n v="88"/>
  </r>
  <r>
    <s v="inbound"/>
    <d v="2024-12-12T16:06:00"/>
    <s v="storage"/>
    <m/>
    <x v="316"/>
    <s v="EX24111801V50"/>
    <x v="33"/>
    <s v="extract_ingested_labelled"/>
    <d v="2024-11-28T00:00:00"/>
    <n v="244"/>
    <n v="0"/>
    <n v="12200"/>
    <m/>
    <x v="0"/>
    <n v="50"/>
  </r>
  <r>
    <s v="inbound"/>
    <d v="2024-12-12T16:06:00"/>
    <s v="storage"/>
    <m/>
    <x v="317"/>
    <s v="EX24111801V50"/>
    <x v="33"/>
    <s v="extract_ingested_labelled"/>
    <d v="2024-11-28T00:00:00"/>
    <n v="165"/>
    <n v="0"/>
    <n v="8250"/>
    <m/>
    <x v="0"/>
    <n v="50"/>
  </r>
  <r>
    <s v="inbound"/>
    <d v="2024-12-12T16:06:00"/>
    <s v="storage"/>
    <m/>
    <x v="8"/>
    <s v="BS23101901G450"/>
    <x v="5"/>
    <s v="topical_labelled"/>
    <d v="2024-12-03T00:00:00"/>
    <n v="19"/>
    <n v="0"/>
    <n v="8550"/>
    <m/>
    <x v="0"/>
    <n v="450"/>
  </r>
  <r>
    <s v="inbound"/>
    <d v="2024-12-12T16:06:00"/>
    <s v="storage"/>
    <m/>
    <x v="170"/>
    <s v="BS23041701G180"/>
    <x v="0"/>
    <s v="topical_labelled"/>
    <d v="2024-08-19T00:00:00"/>
    <n v="20"/>
    <n v="0"/>
    <n v="3600"/>
    <m/>
    <x v="0"/>
    <n v="180"/>
  </r>
  <r>
    <s v="inbound"/>
    <d v="2024-12-12T16:06:00"/>
    <s v="storage"/>
    <m/>
    <x v="286"/>
    <s v="BS23101901G450"/>
    <x v="5"/>
    <s v="topical_labelled"/>
    <d v="2024-12-03T00:00:00"/>
    <n v="136"/>
    <n v="0"/>
    <n v="61200"/>
    <m/>
    <x v="0"/>
    <n v="450"/>
  </r>
  <r>
    <s v="inbound"/>
    <d v="2024-12-12T16:47:00"/>
    <s v="storage"/>
    <m/>
    <x v="311"/>
    <n v="2024111802"/>
    <x v="65"/>
    <s v="driedflower_bulk"/>
    <s v="NA"/>
    <n v="1"/>
    <n v="3240"/>
    <n v="0"/>
    <m/>
    <x v="1"/>
    <n v="0"/>
  </r>
  <r>
    <s v="inbound"/>
    <d v="2024-12-12T16:47:00"/>
    <s v="storage"/>
    <m/>
    <x v="310"/>
    <n v="2024111802"/>
    <x v="65"/>
    <s v="driedflower_bulk"/>
    <s v="NA"/>
    <n v="1"/>
    <n v="3535"/>
    <n v="0"/>
    <m/>
    <x v="1"/>
    <n v="0"/>
  </r>
  <r>
    <s v="inbound"/>
    <d v="2024-12-12T16:47:00"/>
    <s v="storage"/>
    <m/>
    <x v="309"/>
    <n v="2024111802"/>
    <x v="65"/>
    <s v="driedflower_bulk"/>
    <s v="NA"/>
    <n v="1"/>
    <n v="3056"/>
    <n v="0"/>
    <m/>
    <x v="1"/>
    <n v="0"/>
  </r>
  <r>
    <s v="inbound"/>
    <d v="2024-12-12T16:47:00"/>
    <s v="storage"/>
    <m/>
    <x v="307"/>
    <n v="2024111803"/>
    <x v="79"/>
    <s v="driedflower_bulk"/>
    <s v="NA"/>
    <n v="1"/>
    <n v="2610"/>
    <n v="0"/>
    <m/>
    <x v="1"/>
    <n v="0"/>
  </r>
  <r>
    <s v="inbound"/>
    <d v="2024-12-12T16:47:00"/>
    <s v="storage"/>
    <m/>
    <x v="306"/>
    <n v="2024111803"/>
    <x v="79"/>
    <s v="driedflower_bulk"/>
    <s v="NA"/>
    <n v="1"/>
    <n v="3080"/>
    <n v="0"/>
    <m/>
    <x v="1"/>
    <n v="0"/>
  </r>
  <r>
    <s v="outbound"/>
    <d v="2024-12-13T09:25:00"/>
    <s v="production"/>
    <s v="On_casing_caninvid_549"/>
    <x v="317"/>
    <s v="EX24111801V50"/>
    <x v="33"/>
    <s v="extract_ingested_labelled"/>
    <d v="2024-11-28T00:00:00"/>
    <n v="-165"/>
    <n v="0"/>
    <n v="-8250"/>
    <m/>
    <x v="0"/>
    <n v="50"/>
  </r>
  <r>
    <s v="outbound"/>
    <d v="2024-12-13T09:25:00"/>
    <s v="production"/>
    <s v="On_casing_caninvid_549"/>
    <x v="316"/>
    <s v="EX24111801V50"/>
    <x v="33"/>
    <s v="extract_ingested_labelled"/>
    <d v="2024-11-28T00:00:00"/>
    <n v="-244"/>
    <n v="0"/>
    <n v="-12200"/>
    <m/>
    <x v="0"/>
    <n v="50"/>
  </r>
  <r>
    <s v="outbound"/>
    <d v="2024-12-13T09:25:00"/>
    <s v="production"/>
    <s v="On_casing_caninvid_549"/>
    <x v="319"/>
    <s v="EX24111801V50"/>
    <x v="33"/>
    <s v="extract_ingested_labelled"/>
    <d v="2024-11-28T00:00:00"/>
    <n v="-165"/>
    <n v="0"/>
    <n v="-8250"/>
    <m/>
    <x v="0"/>
    <n v="50"/>
  </r>
  <r>
    <s v="outbound"/>
    <d v="2024-12-13T10:49:00"/>
    <s v="sampling"/>
    <s v="rohan241212"/>
    <x v="306"/>
    <n v="2024111803"/>
    <x v="79"/>
    <s v="driedflower_bulk"/>
    <s v="NA"/>
    <n v="-1"/>
    <n v="-3080"/>
    <n v="0"/>
    <m/>
    <x v="1"/>
    <n v="0"/>
  </r>
  <r>
    <s v="outbound"/>
    <d v="2024-12-13T13:51:00"/>
    <s v="shipment"/>
    <s v="PO_1022, PO_1023"/>
    <x v="293"/>
    <s v="EX24111302G05"/>
    <x v="46"/>
    <s v="extract_inhaled_labelled"/>
    <d v="2024-11-27T00:00:00"/>
    <n v="-36"/>
    <n v="0"/>
    <n v="-18"/>
    <m/>
    <x v="0"/>
    <n v="0.5"/>
  </r>
  <r>
    <s v="outbound"/>
    <d v="2024-12-13T13:51:00"/>
    <s v="shipment"/>
    <s v="PO_1022"/>
    <x v="258"/>
    <s v="EX24101701G05"/>
    <x v="47"/>
    <s v="extract_inhaled_labelled"/>
    <d v="2024-10-29T00:00:00"/>
    <n v="-3"/>
    <n v="0"/>
    <n v="-1.5"/>
    <m/>
    <x v="0"/>
    <n v="0.5"/>
  </r>
  <r>
    <s v="outbound"/>
    <d v="2024-12-13T13:51:00"/>
    <s v="shipment"/>
    <s v="PO_1022, PO_1023"/>
    <x v="295"/>
    <s v="EX24101701G05"/>
    <x v="47"/>
    <s v="extract_inhaled_labelled"/>
    <d v="2024-11-22T00:00:00"/>
    <n v="-33"/>
    <n v="0"/>
    <n v="-16.5"/>
    <m/>
    <x v="0"/>
    <n v="0.5"/>
  </r>
  <r>
    <s v="outbound"/>
    <d v="2024-12-13T13:51:00"/>
    <s v="shipment"/>
    <s v="PO_1022, PO_1023, PO_1024"/>
    <x v="285"/>
    <s v="EX24082906G05"/>
    <x v="53"/>
    <s v="extract_inhaled_labelled"/>
    <d v="2024-10-23T00:00:00"/>
    <n v="-48"/>
    <n v="0"/>
    <n v="-24"/>
    <m/>
    <x v="0"/>
    <n v="0.5"/>
  </r>
  <r>
    <s v="outbound"/>
    <d v="2024-12-13T13:51:00"/>
    <s v="shipment"/>
    <s v="PO_1024"/>
    <x v="320"/>
    <s v="EX24101703G05"/>
    <x v="45"/>
    <s v="extract_inhaled_labelled"/>
    <d v="2024-11-07T00:00:00"/>
    <n v="-12"/>
    <n v="0"/>
    <n v="-6"/>
    <m/>
    <x v="0"/>
    <n v="0.5"/>
  </r>
  <r>
    <s v="outbound"/>
    <d v="2024-12-13T13:51:00"/>
    <s v="shipment"/>
    <s v="PO_1024, PO_00022859"/>
    <x v="315"/>
    <s v="EX24100801V30"/>
    <x v="44"/>
    <s v="extract_ingested_labelled"/>
    <d v="2024-10-25T00:00:00"/>
    <n v="-75"/>
    <n v="0"/>
    <n v="-2047.5"/>
    <m/>
    <x v="0"/>
    <n v="27.3"/>
  </r>
  <r>
    <s v="outbound"/>
    <d v="2024-12-13T14:53:00"/>
    <s v="shipment"/>
    <s v="PO_00022859"/>
    <x v="259"/>
    <s v="CPR22102101G5"/>
    <x v="70"/>
    <s v="preroll_labelled"/>
    <d v="2024-08-06T00:00:00"/>
    <n v="-12"/>
    <n v="0"/>
    <n v="-12"/>
    <m/>
    <x v="0"/>
    <n v="1"/>
  </r>
  <r>
    <s v="outbound"/>
    <d v="2024-12-13T15:04:00"/>
    <s v="shipment"/>
    <s v="PO_00022859"/>
    <x v="321"/>
    <s v="CPR22102001G5"/>
    <x v="80"/>
    <s v="preroll_labelled"/>
    <d v="2023-03-29T00:00:00"/>
    <n v="-12"/>
    <n v="0"/>
    <n v="-18"/>
    <m/>
    <x v="0"/>
    <n v="1.5"/>
  </r>
  <r>
    <s v="outbound"/>
    <d v="2024-12-13T15:04:00"/>
    <s v="shipment"/>
    <s v="PO_00022859"/>
    <x v="322"/>
    <s v="CPR22102001G1"/>
    <x v="81"/>
    <s v="preroll_labelled"/>
    <d v="2023-03-14T00:00:00"/>
    <n v="-12"/>
    <n v="0"/>
    <n v="-12"/>
    <m/>
    <x v="0"/>
    <n v="1"/>
  </r>
  <r>
    <s v="outbound"/>
    <d v="2024-12-13T15:04:00"/>
    <s v="shipment"/>
    <s v="PO_00022859"/>
    <x v="323"/>
    <s v="TP21121701"/>
    <x v="82"/>
    <s v="topical_labelled"/>
    <d v="2024-12-23T00:00:00"/>
    <n v="-12"/>
    <n v="0"/>
    <n v="-1440"/>
    <m/>
    <x v="0"/>
    <n v="120"/>
  </r>
  <r>
    <s v="outbound"/>
    <d v="2024-12-13T15:04:00"/>
    <s v="shipment"/>
    <s v="PO_00022859"/>
    <x v="30"/>
    <s v="2022012401R1"/>
    <x v="16"/>
    <s v="driedflower_bulk"/>
    <d v="2022-05-05T00:00:00"/>
    <n v="-1"/>
    <n v="-934.6"/>
    <n v="0"/>
    <m/>
    <x v="1"/>
    <n v="0"/>
  </r>
  <r>
    <s v="outbound"/>
    <d v="2024-12-13T15:04:00"/>
    <s v="shipment"/>
    <s v="PO_00022859"/>
    <x v="170"/>
    <s v="BS23041701G180"/>
    <x v="0"/>
    <s v="topical_labelled"/>
    <d v="2024-08-19T00:00:00"/>
    <n v="-6"/>
    <n v="0"/>
    <n v="-1080"/>
    <m/>
    <x v="0"/>
    <n v="180"/>
  </r>
  <r>
    <s v="outbound"/>
    <d v="2024-12-13T15:04:00"/>
    <s v="shipment"/>
    <s v="PO_00022859"/>
    <x v="149"/>
    <s v="PR241102F5P3"/>
    <x v="30"/>
    <s v="preroll_labelled"/>
    <d v="2024-10-10T00:00:00"/>
    <n v="-24"/>
    <n v="0"/>
    <n v="-36"/>
    <m/>
    <x v="0"/>
    <n v="1.5"/>
  </r>
  <r>
    <s v="outbound"/>
    <d v="2024-12-13T15:04:00"/>
    <s v="shipment"/>
    <s v="PO_00022859"/>
    <x v="257"/>
    <s v="PR241005F5P3"/>
    <x v="17"/>
    <s v="preroll_labelled"/>
    <d v="2024-10-10T00:00:00"/>
    <n v="-48"/>
    <n v="0"/>
    <n v="-72"/>
    <m/>
    <x v="0"/>
    <n v="1.5"/>
  </r>
  <r>
    <s v="outbound"/>
    <d v="2024-12-13T15:04:00"/>
    <s v="shipment"/>
    <s v="PO_00022859"/>
    <x v="230"/>
    <s v="PR241101F5P3"/>
    <x v="19"/>
    <s v="preroll_labelled"/>
    <d v="2024-10-16T00:00:00"/>
    <n v="-24"/>
    <n v="0"/>
    <n v="-36"/>
    <m/>
    <x v="0"/>
    <n v="1.5"/>
  </r>
  <r>
    <s v="outbound"/>
    <d v="2024-12-13T15:04:00"/>
    <s v="shipment"/>
    <s v="PO_00022859"/>
    <x v="179"/>
    <s v="PR241003F5P3"/>
    <x v="20"/>
    <s v="preroll_labelled"/>
    <d v="2024-10-10T00:00:00"/>
    <n v="-24"/>
    <n v="0"/>
    <n v="-36"/>
    <m/>
    <x v="0"/>
    <n v="1.5"/>
  </r>
  <r>
    <s v="outbound"/>
    <d v="2024-12-13T15:04:00"/>
    <s v="shipment"/>
    <s v="PO_00022859"/>
    <x v="36"/>
    <s v="EX23100401V30"/>
    <x v="25"/>
    <s v="extract_ingested_labelled"/>
    <d v="2024-07-15T00:00:00"/>
    <n v="-36"/>
    <n v="0"/>
    <n v="-993.6"/>
    <m/>
    <x v="0"/>
    <n v="27.6"/>
  </r>
  <r>
    <s v="outbound"/>
    <d v="2024-12-16T10:50:00"/>
    <s v="production"/>
    <m/>
    <x v="324"/>
    <s v="EX24111301"/>
    <x v="51"/>
    <s v="extract_inhaled_bulk"/>
    <s v="NA"/>
    <n v="-1"/>
    <n v="-1034.8"/>
    <n v="0"/>
    <m/>
    <x v="1"/>
    <n v="0"/>
  </r>
  <r>
    <s v="inbound"/>
    <d v="2024-12-16T14:32:00"/>
    <s v="storage"/>
    <s v="On_casing_caninvid_549"/>
    <x v="318"/>
    <s v="EX24111801V50"/>
    <x v="33"/>
    <s v="extract_ingested_cased_ON"/>
    <d v="2024-11-28T00:00:00"/>
    <n v="30"/>
    <n v="0"/>
    <n v="18000"/>
    <m/>
    <x v="0"/>
    <n v="600"/>
  </r>
  <r>
    <s v="inbound"/>
    <d v="2024-12-16T14:33:00"/>
    <s v="storage"/>
    <m/>
    <x v="317"/>
    <s v="EX24111801V50"/>
    <x v="33"/>
    <s v="extract_ingested_labelled"/>
    <d v="2024-11-28T00:00:00"/>
    <n v="77"/>
    <n v="0"/>
    <n v="3850"/>
    <m/>
    <x v="0"/>
    <n v="50"/>
  </r>
  <r>
    <s v="inbound"/>
    <d v="2024-12-16T14:42:00"/>
    <s v="storage"/>
    <m/>
    <x v="324"/>
    <s v="EX24111301"/>
    <x v="51"/>
    <s v="extract_inhaled_bulk"/>
    <s v="NA"/>
    <n v="1"/>
    <n v="734.2"/>
    <n v="0"/>
    <m/>
    <x v="1"/>
    <n v="0"/>
  </r>
  <r>
    <s v="inbound"/>
    <d v="2024-12-16T14:42:00"/>
    <s v="storage"/>
    <m/>
    <x v="296"/>
    <s v="PR241102F5"/>
    <x v="29"/>
    <s v="preroll_bulk"/>
    <s v="NA"/>
    <n v="55"/>
    <n v="0"/>
    <n v="27.5"/>
    <m/>
    <x v="0"/>
    <n v="0.5"/>
  </r>
  <r>
    <s v="inbound"/>
    <d v="2024-12-16T14:42:00"/>
    <s v="storage"/>
    <m/>
    <x v="298"/>
    <s v="PR241102F5"/>
    <x v="29"/>
    <s v="preroll_bulk"/>
    <s v="NA"/>
    <n v="46"/>
    <n v="0"/>
    <n v="23"/>
    <m/>
    <x v="0"/>
    <n v="0.5"/>
  </r>
  <r>
    <s v="inbound"/>
    <d v="2024-12-16T14:42:00"/>
    <s v="storage"/>
    <m/>
    <x v="265"/>
    <s v="PR241105F5"/>
    <x v="23"/>
    <s v="preroll_bulk"/>
    <s v="NA"/>
    <n v="105"/>
    <n v="0"/>
    <n v="52.5"/>
    <m/>
    <x v="0"/>
    <n v="0.5"/>
  </r>
  <r>
    <s v="inbound"/>
    <d v="2024-12-16T14:42:00"/>
    <s v="storage"/>
    <m/>
    <x v="299"/>
    <s v="PR241105F5"/>
    <x v="23"/>
    <s v="preroll_bulk"/>
    <s v="NA"/>
    <n v="48"/>
    <n v="0"/>
    <n v="24"/>
    <m/>
    <x v="0"/>
    <n v="0.5"/>
  </r>
  <r>
    <s v="inbound"/>
    <d v="2024-12-16T15:09:00"/>
    <s v="storage"/>
    <m/>
    <x v="325"/>
    <s v="2024111801G7"/>
    <x v="83"/>
    <s v="driedflower_labelled"/>
    <d v="2024-12-05T00:00:00"/>
    <n v="114"/>
    <n v="0"/>
    <n v="798"/>
    <m/>
    <x v="0"/>
    <n v="7"/>
  </r>
  <r>
    <s v="inbound"/>
    <d v="2024-12-16T16:53:00"/>
    <s v="storage"/>
    <m/>
    <x v="315"/>
    <s v="EX24100801V30"/>
    <x v="44"/>
    <s v="extract_ingested_labelled"/>
    <d v="2024-10-25T00:00:00"/>
    <n v="27"/>
    <n v="0"/>
    <n v="737.1"/>
    <m/>
    <x v="0"/>
    <n v="27.3"/>
  </r>
  <r>
    <s v="outbound"/>
    <d v="2024-12-16T17:03:00"/>
    <s v="production"/>
    <m/>
    <x v="326"/>
    <s v="PR2301F35"/>
    <x v="62"/>
    <s v="preroll_bulk"/>
    <s v="NA"/>
    <n v="-45"/>
    <n v="0"/>
    <n v="-15.749999999999998"/>
    <m/>
    <x v="0"/>
    <n v="0.35"/>
  </r>
  <r>
    <s v="outbound"/>
    <d v="2024-12-16T17:03:00"/>
    <s v="production"/>
    <m/>
    <x v="327"/>
    <s v="PR2416"/>
    <x v="84"/>
    <s v="driedflower_milled_bulk"/>
    <s v="NA"/>
    <n v="-1"/>
    <n v="-5070"/>
    <n v="0"/>
    <m/>
    <x v="1"/>
    <n v="0"/>
  </r>
  <r>
    <s v="outbound"/>
    <d v="2024-12-16T17:03:00"/>
    <s v="production"/>
    <m/>
    <x v="328"/>
    <s v="PR2301"/>
    <x v="85"/>
    <s v="driedflower_milled_bulk"/>
    <d v="2021-01-10T00:00:00"/>
    <n v="-1"/>
    <n v="-5125"/>
    <n v="0"/>
    <m/>
    <x v="1"/>
    <n v="0"/>
  </r>
  <r>
    <s v="outbound"/>
    <d v="2024-12-17T13:26:00"/>
    <s v="shipment"/>
    <s v="PO_0076988"/>
    <x v="213"/>
    <s v="PR241101F5P3"/>
    <x v="19"/>
    <s v="preroll_labelled"/>
    <d v="2024-10-09T00:00:00"/>
    <n v="-12"/>
    <n v="0"/>
    <n v="-18"/>
    <m/>
    <x v="0"/>
    <n v="1.5"/>
  </r>
  <r>
    <s v="outbound"/>
    <d v="2024-12-17T14:33:00"/>
    <s v="sampling"/>
    <m/>
    <x v="12"/>
    <s v="LR23032101"/>
    <x v="9"/>
    <s v="extract_inhaled_bulk"/>
    <s v="NA"/>
    <n v="-1"/>
    <n v="-2025.5"/>
    <n v="0"/>
    <m/>
    <x v="1"/>
    <n v="0"/>
  </r>
  <r>
    <s v="outbound"/>
    <d v="2024-12-17T16:50:00"/>
    <s v="sampling"/>
    <m/>
    <x v="292"/>
    <n v="2024111201"/>
    <x v="26"/>
    <s v="extract_distillate_bulk"/>
    <s v="NA"/>
    <n v="-1"/>
    <n v="-282.18"/>
    <n v="0"/>
    <m/>
    <x v="1"/>
    <n v="0"/>
  </r>
  <r>
    <s v="outbound"/>
    <d v="2024-12-18T16:16:00"/>
    <s v="shipment"/>
    <m/>
    <x v="294"/>
    <s v="TP24101701"/>
    <x v="2"/>
    <s v="topical_labelled"/>
    <d v="2024-10-23T00:00:00"/>
    <n v="-24"/>
    <n v="0"/>
    <n v="-2112"/>
    <m/>
    <x v="0"/>
    <n v="88"/>
  </r>
  <r>
    <s v="outbound"/>
    <d v="2024-12-18T16:16:00"/>
    <s v="shipment"/>
    <m/>
    <x v="294"/>
    <s v="TP24101701"/>
    <x v="2"/>
    <s v="topical_labelled"/>
    <d v="2024-10-23T00:00:00"/>
    <n v="-60"/>
    <n v="0"/>
    <n v="-5280"/>
    <m/>
    <x v="0"/>
    <n v="88"/>
  </r>
  <r>
    <s v="outbound"/>
    <d v="2024-12-18T16:25:00"/>
    <s v="shipment"/>
    <s v="PO_0076838 "/>
    <x v="246"/>
    <s v="EX24102201V50"/>
    <x v="33"/>
    <s v="extract_ingested_cased_ON"/>
    <d v="2024-10-29T00:00:00"/>
    <n v="-1"/>
    <n v="0"/>
    <n v="-600"/>
    <m/>
    <x v="0"/>
    <n v="600"/>
  </r>
  <r>
    <s v="outbound"/>
    <d v="2024-12-18T16:25:00"/>
    <s v="shipment"/>
    <s v="PO_0076323"/>
    <x v="318"/>
    <s v="EX24111801V50"/>
    <x v="33"/>
    <s v="extract_ingested_cased_ON"/>
    <d v="2024-11-28T00:00:00"/>
    <n v="-17"/>
    <n v="0"/>
    <n v="-10200"/>
    <m/>
    <x v="0"/>
    <n v="600"/>
  </r>
  <r>
    <s v="outbound"/>
    <d v="2024-12-19T11:54:00"/>
    <s v="shipment"/>
    <s v="PO_10013333"/>
    <x v="294"/>
    <s v="TP24101701"/>
    <x v="2"/>
    <s v="topical_labelled"/>
    <d v="2024-10-23T00:00:00"/>
    <n v="-93"/>
    <n v="0"/>
    <n v="-8184"/>
    <s v="32 short"/>
    <x v="0"/>
    <n v="88"/>
  </r>
  <r>
    <s v="outbound"/>
    <d v="2024-12-19T11:54:00"/>
    <s v="shipment"/>
    <s v="PO_10013333"/>
    <x v="239"/>
    <s v="TP24101701"/>
    <x v="2"/>
    <s v="topical_labelled"/>
    <d v="2024-10-23T00:00:00"/>
    <n v="-27"/>
    <n v="0"/>
    <n v="-2376"/>
    <m/>
    <x v="0"/>
    <n v="88"/>
  </r>
  <r>
    <s v="outbound"/>
    <d v="2024-12-19T11:54:00"/>
    <s v="shipment"/>
    <s v="PO_10013333"/>
    <x v="329"/>
    <s v="PR241105F5P3"/>
    <x v="17"/>
    <s v="preroll_labelled"/>
    <d v="2024-11-19T00:00:00"/>
    <n v="-108"/>
    <n v="0"/>
    <n v="-162"/>
    <m/>
    <x v="0"/>
    <n v="1.5"/>
  </r>
  <r>
    <s v="outbound"/>
    <d v="2024-12-19T11:54:00"/>
    <s v="shipment"/>
    <s v="PO_10013333"/>
    <x v="105"/>
    <s v="PR241003F5P3"/>
    <x v="20"/>
    <s v="preroll_labelled"/>
    <d v="2024-10-05T00:00:00"/>
    <n v="-48"/>
    <n v="0"/>
    <n v="-72"/>
    <m/>
    <x v="0"/>
    <n v="1.5"/>
  </r>
  <r>
    <s v="outbound"/>
    <d v="2024-12-20T14:36:00"/>
    <s v="shipment"/>
    <s v="men241220"/>
    <x v="170"/>
    <s v="BS23041701G180"/>
    <x v="0"/>
    <s v="topical_labelled"/>
    <d v="2024-08-19T00:00:00"/>
    <n v="-2"/>
    <n v="0"/>
    <n v="-360"/>
    <m/>
    <x v="0"/>
    <n v="180"/>
  </r>
  <r>
    <s v="outbound"/>
    <d v="2025-01-02T14:42:00"/>
    <s v="shipment"/>
    <s v="PO_10013333"/>
    <x v="149"/>
    <s v="PR241102F5P3"/>
    <x v="30"/>
    <s v="preroll_labelled"/>
    <d v="2024-10-10T00:00:00"/>
    <n v="-84"/>
    <n v="0"/>
    <n v="-126"/>
    <m/>
    <x v="0"/>
    <n v="1.5"/>
  </r>
  <r>
    <s v="outbound"/>
    <d v="2025-01-02T14:42:00"/>
    <s v="production"/>
    <s v="watermellon preroll packaging"/>
    <x v="330"/>
    <s v="PR241102F5P3"/>
    <x v="30"/>
    <s v="preroll_labelled"/>
    <d v="2025-01-03T00:00:00"/>
    <n v="-847"/>
    <n v="0"/>
    <n v="-1270.5"/>
    <m/>
    <x v="0"/>
    <n v="1.5"/>
  </r>
  <r>
    <s v="outbound"/>
    <d v="2025-01-02T14:42:00"/>
    <s v="production"/>
    <s v="watermellon preroll packaging"/>
    <x v="331"/>
    <s v="PR241102F5"/>
    <x v="29"/>
    <s v="preroll_bulk"/>
    <s v="NA"/>
    <n v="-605"/>
    <n v="0"/>
    <n v="-302.5"/>
    <m/>
    <x v="0"/>
    <n v="0.5"/>
  </r>
  <r>
    <s v="inbound"/>
    <d v="2025-01-02T14:42:00"/>
    <s v="storage"/>
    <m/>
    <x v="292"/>
    <n v="2024111201"/>
    <x v="26"/>
    <s v="extract_distillate_bulk"/>
    <s v="NA"/>
    <n v="1"/>
    <n v="275.63"/>
    <n v="0"/>
    <m/>
    <x v="1"/>
    <n v="0"/>
  </r>
  <r>
    <s v="inbound"/>
    <d v="2025-01-02T14:42:00"/>
    <s v="storage"/>
    <m/>
    <x v="12"/>
    <s v="LR23032101"/>
    <x v="9"/>
    <s v="extract_inhaled_bulk"/>
    <s v="NA"/>
    <n v="1"/>
    <n v="2015"/>
    <n v="0"/>
    <m/>
    <x v="1"/>
    <n v="0"/>
  </r>
  <r>
    <s v="inbound"/>
    <d v="2025-01-02T14:42:00"/>
    <s v="storage"/>
    <m/>
    <x v="30"/>
    <s v="2022012401R1"/>
    <x v="16"/>
    <s v="driedflower_bulk"/>
    <d v="2022-05-05T00:00:00"/>
    <n v="1"/>
    <n v="934.6"/>
    <n v="0"/>
    <m/>
    <x v="1"/>
    <n v="0"/>
  </r>
  <r>
    <s v="inbound"/>
    <d v="2025-01-02T14:42:00"/>
    <s v="storage"/>
    <m/>
    <x v="306"/>
    <n v="2024111803"/>
    <x v="79"/>
    <s v="driedflower_bulk"/>
    <s v="NA"/>
    <n v="1"/>
    <n v="3010"/>
    <n v="0"/>
    <m/>
    <x v="1"/>
    <n v="0"/>
  </r>
  <r>
    <s v="inbound"/>
    <d v="2025-01-02T14:42:00"/>
    <s v="storage"/>
    <m/>
    <x v="328"/>
    <s v="PR2301"/>
    <x v="85"/>
    <s v="driedflower_milled_bulk"/>
    <d v="2021-01-10T00:00:00"/>
    <n v="1"/>
    <n v="4900"/>
    <n v="0"/>
    <m/>
    <x v="1"/>
    <n v="0"/>
  </r>
  <r>
    <s v="outbound"/>
    <d v="2025-01-03T11:54:00"/>
    <s v="production"/>
    <s v="relabel POD 2024-12-23"/>
    <x v="322"/>
    <s v="CPR22102001G1"/>
    <x v="81"/>
    <s v="preroll_labelled"/>
    <d v="2023-03-14T00:00:00"/>
    <n v="-62"/>
    <n v="0"/>
    <n v="-62"/>
    <m/>
    <x v="0"/>
    <n v="1"/>
  </r>
  <r>
    <s v="outbound"/>
    <d v="2025-01-03T11:54:00"/>
    <s v="production"/>
    <s v="gelato 12*0.35"/>
    <x v="328"/>
    <s v="PR2301"/>
    <x v="85"/>
    <s v="driedflower_milled_bulk"/>
    <d v="2021-01-10T00:00:00"/>
    <n v="-1"/>
    <n v="-4900"/>
    <n v="0"/>
    <m/>
    <x v="1"/>
    <n v="0"/>
  </r>
  <r>
    <s v="outbound"/>
    <d v="2025-01-03T11:54:00"/>
    <s v="production"/>
    <s v="relabel POD 2024-12-23"/>
    <x v="321"/>
    <s v="CPR22102001G5"/>
    <x v="80"/>
    <s v="preroll_labelled"/>
    <d v="2023-03-29T00:00:00"/>
    <n v="-2"/>
    <n v="0"/>
    <n v="-3"/>
    <m/>
    <x v="0"/>
    <n v="1.5"/>
  </r>
  <r>
    <s v="outbound"/>
    <d v="2025-01-03T11:54:00"/>
    <s v="production"/>
    <s v="relabel POD 2024-12-23"/>
    <x v="332"/>
    <s v="CPR22012001G5"/>
    <x v="80"/>
    <s v="preroll_labelled"/>
    <d v="2024-12-23T00:00:00"/>
    <n v="-58"/>
    <n v="0"/>
    <n v="-87"/>
    <m/>
    <x v="0"/>
    <n v="1.5"/>
  </r>
  <r>
    <s v="outbound"/>
    <d v="2025-01-03T11:54:00"/>
    <s v="production"/>
    <s v="label POD 24-08"/>
    <x v="259"/>
    <s v="CPR22102101G5"/>
    <x v="70"/>
    <s v="preroll_labelled"/>
    <d v="2024-08-06T00:00:00"/>
    <n v="-12"/>
    <n v="0"/>
    <n v="-12"/>
    <m/>
    <x v="0"/>
    <n v="1"/>
  </r>
  <r>
    <s v="outbound"/>
    <d v="2025-01-03T13:30:00"/>
    <s v="shipment"/>
    <s v="PO_0077194"/>
    <x v="318"/>
    <s v="EX24111801V50"/>
    <x v="33"/>
    <s v="extract_ingested_cased_ON"/>
    <d v="2024-11-28T00:00:00"/>
    <n v="-12"/>
    <n v="0"/>
    <n v="-7200"/>
    <m/>
    <x v="0"/>
    <n v="600"/>
  </r>
  <r>
    <s v="outbound"/>
    <d v="2025-01-03T13:30:00"/>
    <s v="shipment"/>
    <s v="PO_0077985 and PO_10013333 (32 SHORT)"/>
    <x v="239"/>
    <s v="TP24101701"/>
    <x v="2"/>
    <s v="topical_labelled"/>
    <d v="2024-10-23T00:00:00"/>
    <n v="-152"/>
    <n v="0"/>
    <n v="-13376"/>
    <m/>
    <x v="0"/>
    <n v="88"/>
  </r>
  <r>
    <s v="outbound"/>
    <d v="2025-01-03T13:30:00"/>
    <s v="shipment"/>
    <m/>
    <x v="239"/>
    <s v="TP24101701"/>
    <x v="2"/>
    <s v="topical_labelled"/>
    <d v="2024-10-23T00:00:00"/>
    <n v="-133"/>
    <n v="0"/>
    <n v="-11704"/>
    <m/>
    <x v="0"/>
    <n v="88"/>
  </r>
  <r>
    <s v="outbound"/>
    <d v="2025-01-06T12:01:00"/>
    <s v="sampling"/>
    <s v="product development"/>
    <x v="227"/>
    <n v="2022051601"/>
    <x v="66"/>
    <s v="driedflower_bulk"/>
    <d v="2022-09-26T00:00:00"/>
    <n v="-1"/>
    <n v="-1030"/>
    <n v="0"/>
    <m/>
    <x v="1"/>
    <n v="0"/>
  </r>
  <r>
    <s v="outbound"/>
    <d v="2025-01-06T12:01:00"/>
    <s v="sampling"/>
    <s v="product development"/>
    <x v="30"/>
    <s v="2022012401R1"/>
    <x v="16"/>
    <s v="driedflower_bulk"/>
    <d v="2022-05-05T00:00:00"/>
    <n v="-1"/>
    <n v="-934.6"/>
    <n v="0"/>
    <m/>
    <x v="1"/>
    <n v="0"/>
  </r>
  <r>
    <s v="outbound"/>
    <d v="2025-01-06T12:01:00"/>
    <s v="sampling"/>
    <s v="product development"/>
    <x v="252"/>
    <n v="2022051603"/>
    <x v="21"/>
    <s v="driedflower_bulk"/>
    <d v="2022-09-26T00:00:00"/>
    <n v="-1"/>
    <n v="-1010"/>
    <n v="0"/>
    <m/>
    <x v="1"/>
    <n v="0"/>
  </r>
  <r>
    <s v="outbound"/>
    <d v="2025-01-06T12:01:00"/>
    <s v="production"/>
    <s v="EX250110601"/>
    <x v="292"/>
    <n v="2024111201"/>
    <x v="26"/>
    <s v="extract_distillate_bulk"/>
    <s v="NA"/>
    <n v="-1"/>
    <n v="-275.63"/>
    <n v="0"/>
    <m/>
    <x v="1"/>
    <n v="0"/>
  </r>
  <r>
    <s v="outbound"/>
    <d v="2025-01-06T12:01:00"/>
    <s v="production"/>
    <s v="EX25010601"/>
    <x v="183"/>
    <n v="2024100401"/>
    <x v="26"/>
    <s v="extract_distillate_bulk"/>
    <s v="NA"/>
    <n v="-1"/>
    <n v="-1494.1"/>
    <n v="0"/>
    <m/>
    <x v="1"/>
    <n v="0"/>
  </r>
  <r>
    <s v="outbound"/>
    <d v="2025-01-06T12:01:00"/>
    <s v="production"/>
    <s v="EX250110601"/>
    <x v="251"/>
    <n v="2024111201"/>
    <x v="26"/>
    <s v="extract_distillate_bulk"/>
    <s v="NA"/>
    <n v="-1"/>
    <n v="-1326.1"/>
    <n v="0"/>
    <m/>
    <x v="1"/>
    <n v="0"/>
  </r>
  <r>
    <s v="inbound"/>
    <d v="2025-01-06T15:32:00"/>
    <s v="storage"/>
    <s v="combining id 445"/>
    <x v="284"/>
    <s v="EX24101802V30"/>
    <x v="71"/>
    <s v="extract_ingested_labelled"/>
    <d v="2024-10-23T00:00:00"/>
    <n v="10"/>
    <n v="0"/>
    <n v="276"/>
    <m/>
    <x v="0"/>
    <n v="27.6"/>
  </r>
  <r>
    <s v="outbound"/>
    <d v="2025-01-06T15:32:00"/>
    <s v="production"/>
    <s v="labelling POD"/>
    <x v="333"/>
    <s v="EX24111301G05"/>
    <x v="47"/>
    <s v="extract_inhaled_packaged"/>
    <d v="2024-12-16T00:00:00"/>
    <n v="-626"/>
    <n v="0"/>
    <n v="-313"/>
    <m/>
    <x v="0"/>
    <n v="0.5"/>
  </r>
  <r>
    <s v="outbound"/>
    <d v="2025-01-06T15:32:00"/>
    <s v="shipment"/>
    <s v="PO_1025"/>
    <x v="79"/>
    <s v="PR21071201G1"/>
    <x v="11"/>
    <s v="preroll_labelled"/>
    <d v="2024-10-28T00:00:00"/>
    <n v="-12"/>
    <n v="0"/>
    <n v="-12"/>
    <m/>
    <x v="0"/>
    <n v="1"/>
  </r>
  <r>
    <s v="outbound"/>
    <d v="2025-01-06T15:32:00"/>
    <s v="shipment"/>
    <s v="PO_1025"/>
    <x v="36"/>
    <s v="EX23100401V30"/>
    <x v="25"/>
    <s v="extract_ingested_labelled"/>
    <d v="2024-07-15T00:00:00"/>
    <n v="-12"/>
    <n v="0"/>
    <n v="-331.20000000000005"/>
    <m/>
    <x v="0"/>
    <n v="27.6"/>
  </r>
  <r>
    <s v="outbound"/>
    <d v="2025-01-06T15:32:00"/>
    <s v="shipment"/>
    <s v="PO_1025"/>
    <x v="235"/>
    <s v="EX23060701V30"/>
    <x v="22"/>
    <s v="extract_ingested_labelled"/>
    <d v="2024-10-31T00:00:00"/>
    <n v="-12"/>
    <n v="0"/>
    <n v="-328.79999999999995"/>
    <m/>
    <x v="0"/>
    <n v="27.4"/>
  </r>
  <r>
    <s v="outbound"/>
    <d v="2025-01-06T15:32:00"/>
    <s v="shipment"/>
    <s v="PO_1025"/>
    <x v="293"/>
    <s v="EX24111302G05"/>
    <x v="46"/>
    <s v="extract_inhaled_labelled"/>
    <d v="2024-11-27T00:00:00"/>
    <n v="-24"/>
    <n v="0"/>
    <n v="-12"/>
    <m/>
    <x v="0"/>
    <n v="0.5"/>
  </r>
  <r>
    <s v="outbound"/>
    <d v="2025-01-06T15:32:00"/>
    <s v="shipment"/>
    <s v="PO_1025"/>
    <x v="295"/>
    <s v="EX24101701G05"/>
    <x v="47"/>
    <s v="extract_inhaled_labelled"/>
    <d v="2024-11-22T00:00:00"/>
    <n v="-12"/>
    <n v="0"/>
    <n v="-6"/>
    <m/>
    <x v="0"/>
    <n v="0.5"/>
  </r>
  <r>
    <s v="outbound"/>
    <d v="2025-01-06T15:32:00"/>
    <s v="shipment"/>
    <s v="PO_1025"/>
    <x v="285"/>
    <s v="EX24082906G05"/>
    <x v="53"/>
    <s v="extract_inhaled_labelled"/>
    <d v="2024-10-23T00:00:00"/>
    <n v="-8"/>
    <n v="0"/>
    <n v="-4"/>
    <m/>
    <x v="0"/>
    <n v="0.5"/>
  </r>
  <r>
    <s v="outbound"/>
    <d v="2025-01-06T15:32:00"/>
    <s v="shipment"/>
    <s v="PO_1025"/>
    <x v="217"/>
    <s v="EX24082906G05"/>
    <x v="53"/>
    <s v="extract_inhaled_labelled"/>
    <d v="2024-10-09T00:00:00"/>
    <n v="-4"/>
    <n v="0"/>
    <n v="-2"/>
    <m/>
    <x v="0"/>
    <n v="0.5"/>
  </r>
  <r>
    <s v="outbound"/>
    <d v="2025-01-06T15:32:00"/>
    <s v="shipment"/>
    <s v="PO_1025"/>
    <x v="334"/>
    <s v="PR241104F5P3"/>
    <x v="18"/>
    <s v="preroll_labelled"/>
    <d v="2024-12-04T00:00:00"/>
    <n v="-12"/>
    <n v="0"/>
    <n v="-18"/>
    <m/>
    <x v="0"/>
    <n v="1.5"/>
  </r>
  <r>
    <s v="outbound"/>
    <d v="2025-01-06T15:32:00"/>
    <s v="shipment"/>
    <s v="PO_1025"/>
    <x v="230"/>
    <s v="PR241101F5P3"/>
    <x v="19"/>
    <s v="preroll_labelled"/>
    <d v="2024-10-16T00:00:00"/>
    <n v="-12"/>
    <n v="0"/>
    <n v="-18"/>
    <m/>
    <x v="0"/>
    <n v="1.5"/>
  </r>
  <r>
    <s v="outbound"/>
    <d v="2025-01-06T15:32:00"/>
    <s v="shipment"/>
    <s v="PO_1025"/>
    <x v="104"/>
    <s v="PR241005F5P3"/>
    <x v="17"/>
    <s v="preroll_labelled"/>
    <d v="2024-10-10T00:00:00"/>
    <n v="-12"/>
    <n v="0"/>
    <n v="-18"/>
    <m/>
    <x v="0"/>
    <n v="1.5"/>
  </r>
  <r>
    <s v="outbound"/>
    <d v="2025-01-06T15:32:00"/>
    <s v="shipment"/>
    <s v="PO_4500857152"/>
    <x v="287"/>
    <s v="TP24082901"/>
    <x v="6"/>
    <s v="topical_labelled"/>
    <d v="2024-10-04T00:00:00"/>
    <n v="-120"/>
    <n v="0"/>
    <n v="-10560"/>
    <m/>
    <x v="0"/>
    <n v="88"/>
  </r>
  <r>
    <s v="outbound"/>
    <d v="2025-01-06T15:32:00"/>
    <s v="shipment"/>
    <s v="PO_4500857152"/>
    <x v="8"/>
    <s v="BS23101901G450"/>
    <x v="5"/>
    <s v="topical_labelled"/>
    <d v="2024-12-03T00:00:00"/>
    <n v="-19"/>
    <n v="0"/>
    <n v="-8550"/>
    <m/>
    <x v="0"/>
    <n v="450"/>
  </r>
  <r>
    <s v="outbound"/>
    <d v="2025-01-06T15:32:00"/>
    <s v="shipment"/>
    <s v="PO_4500857152"/>
    <x v="286"/>
    <s v="BS23101901G450"/>
    <x v="5"/>
    <s v="topical_labelled"/>
    <d v="2024-12-03T00:00:00"/>
    <n v="-11"/>
    <n v="0"/>
    <n v="-4950"/>
    <m/>
    <x v="0"/>
    <n v="450"/>
  </r>
  <r>
    <s v="inbound"/>
    <d v="2025-01-08T10:40:00"/>
    <s v="storage"/>
    <m/>
    <x v="292"/>
    <n v="2024111201"/>
    <x v="26"/>
    <s v="extract_distillate_bulk"/>
    <s v="NA"/>
    <n v="1"/>
    <n v="275.63"/>
    <n v="0"/>
    <m/>
    <x v="1"/>
    <n v="0"/>
  </r>
  <r>
    <s v="inbound"/>
    <d v="2025-01-08T10:40:00"/>
    <s v="storage"/>
    <m/>
    <x v="251"/>
    <n v="2024111201"/>
    <x v="26"/>
    <s v="extract_distillate_bulk"/>
    <s v="NA"/>
    <n v="1"/>
    <n v="1225"/>
    <n v="0"/>
    <m/>
    <x v="1"/>
    <n v="0"/>
  </r>
  <r>
    <s v="inbound"/>
    <d v="2025-01-08T10:40:00"/>
    <s v="storage"/>
    <m/>
    <x v="327"/>
    <s v="PR2416"/>
    <x v="84"/>
    <s v="driedflower_milled_bulk"/>
    <s v="NA"/>
    <n v="1"/>
    <n v="3290"/>
    <n v="0"/>
    <m/>
    <x v="1"/>
    <n v="0"/>
  </r>
  <r>
    <s v="outbound"/>
    <d v="2025-01-10T10:07:00"/>
    <s v="shipment"/>
    <s v="PO_1026"/>
    <x v="335"/>
    <s v="TP24120401G45"/>
    <x v="86"/>
    <s v="topical_labelled"/>
    <d v="2024-12-12T00:00:00"/>
    <n v="-12"/>
    <n v="0"/>
    <n v="-540"/>
    <m/>
    <x v="0"/>
    <n v="45"/>
  </r>
  <r>
    <s v="outbound"/>
    <d v="2025-01-13T09:45:00"/>
    <s v="shipment"/>
    <s v="PO_1027"/>
    <x v="336"/>
    <s v="EX24111306G05"/>
    <x v="53"/>
    <s v="extract_inhaled_labelled"/>
    <d v="2024-11-27T00:00:00"/>
    <n v="-48"/>
    <n v="0"/>
    <n v="-24"/>
    <m/>
    <x v="0"/>
    <n v="0.5"/>
  </r>
  <r>
    <s v="outbound"/>
    <d v="2025-01-13T09:45:00"/>
    <s v="shipment"/>
    <s v="PO_1027"/>
    <x v="235"/>
    <s v="EX23060701V30"/>
    <x v="22"/>
    <s v="extract_ingested_labelled"/>
    <d v="2024-10-31T00:00:00"/>
    <n v="-12"/>
    <n v="0"/>
    <n v="-328.79999999999995"/>
    <m/>
    <x v="0"/>
    <n v="27.4"/>
  </r>
  <r>
    <s v="outbound"/>
    <d v="2025-01-13T09:45:00"/>
    <s v="shipment"/>
    <s v="PO_73002"/>
    <x v="337"/>
    <s v="2024101703G7"/>
    <x v="83"/>
    <s v="driedflower_labelled"/>
    <d v="2024-11-22T00:00:00"/>
    <n v="-120"/>
    <n v="0"/>
    <n v="-840"/>
    <m/>
    <x v="0"/>
    <n v="7"/>
  </r>
  <r>
    <s v="outbound"/>
    <d v="2025-01-13T09:45:00"/>
    <s v="shipment"/>
    <s v="PO_73002"/>
    <x v="237"/>
    <s v="PR241105F5P3"/>
    <x v="17"/>
    <s v="preroll_labelled"/>
    <d v="2024-10-16T00:00:00"/>
    <n v="-60"/>
    <n v="0"/>
    <n v="-90"/>
    <m/>
    <x v="0"/>
    <n v="1.5"/>
  </r>
  <r>
    <s v="outbound"/>
    <d v="2025-01-13T10:17:00"/>
    <s v="production"/>
    <s v="repackaging"/>
    <x v="338"/>
    <s v="PR2401F5P3"/>
    <x v="87"/>
    <s v="preroll_cased_AB"/>
    <d v="2024-02-23T00:00:00"/>
    <n v="-22"/>
    <n v="0"/>
    <n v="-396"/>
    <m/>
    <x v="0"/>
    <n v="18"/>
  </r>
  <r>
    <s v="outbound"/>
    <d v="2025-01-13T10:17:00"/>
    <s v="production"/>
    <s v="repackaging"/>
    <x v="339"/>
    <s v="PR2401F5P3"/>
    <x v="87"/>
    <s v="preroll_cased_AB"/>
    <d v="2024-02-23T00:00:00"/>
    <n v="-32"/>
    <n v="0"/>
    <n v="-576"/>
    <m/>
    <x v="0"/>
    <n v="18"/>
  </r>
  <r>
    <s v="outbound"/>
    <d v="2025-01-13T11:22:00"/>
    <s v="production"/>
    <s v="PO_brenda_Jan102025"/>
    <x v="340"/>
    <s v="EX24111801V50"/>
    <x v="33"/>
    <s v="extract_ingested_cased_BC"/>
    <d v="2024-11-28T00:00:00"/>
    <n v="-4"/>
    <n v="0"/>
    <n v="-2400"/>
    <m/>
    <x v="0"/>
    <n v="600"/>
  </r>
  <r>
    <s v="inbound"/>
    <d v="2025-01-13T11:27:00"/>
    <s v="storage"/>
    <m/>
    <x v="12"/>
    <s v="LR23032101"/>
    <x v="9"/>
    <s v="extract_inhaled_bulk"/>
    <s v="NA"/>
    <n v="1"/>
    <n v="1760.9"/>
    <n v="0"/>
    <m/>
    <x v="1"/>
    <n v="0"/>
  </r>
  <r>
    <s v="outbound"/>
    <d v="2025-01-14T10:30:00"/>
    <s v="shipment"/>
    <s v="PO_1028"/>
    <x v="341"/>
    <s v="EX24111304G05"/>
    <x v="48"/>
    <s v="extract_inhaled_labelled"/>
    <d v="2024-11-26T00:00:00"/>
    <n v="-12"/>
    <n v="0"/>
    <n v="-6"/>
    <m/>
    <x v="0"/>
    <n v="0.5"/>
  </r>
  <r>
    <s v="outbound"/>
    <d v="2025-01-14T10:30:00"/>
    <s v="shipment"/>
    <s v="PO_1028"/>
    <x v="293"/>
    <s v="EX24111302G05"/>
    <x v="46"/>
    <s v="extract_inhaled_labelled"/>
    <d v="2024-11-27T00:00:00"/>
    <n v="-12"/>
    <n v="0"/>
    <n v="-6"/>
    <m/>
    <x v="0"/>
    <n v="0.5"/>
  </r>
  <r>
    <s v="outbound"/>
    <d v="2025-01-14T10:30:00"/>
    <s v="shipment"/>
    <s v="PO_1028"/>
    <x v="320"/>
    <s v="EX24101703G05"/>
    <x v="45"/>
    <s v="extract_inhaled_labelled"/>
    <d v="2024-11-07T00:00:00"/>
    <n v="-12"/>
    <n v="0"/>
    <n v="-6"/>
    <m/>
    <x v="0"/>
    <n v="0.5"/>
  </r>
  <r>
    <s v="outbound"/>
    <d v="2025-01-15T09:35:00"/>
    <s v="shipment"/>
    <s v="PO_1029"/>
    <x v="330"/>
    <s v="PR241102F5P3"/>
    <x v="30"/>
    <s v="preroll_labelled"/>
    <d v="2025-01-03T00:00:00"/>
    <n v="-12"/>
    <n v="0"/>
    <n v="-18"/>
    <m/>
    <x v="0"/>
    <n v="1.5"/>
  </r>
  <r>
    <s v="outbound"/>
    <d v="2025-01-15T09:35:00"/>
    <s v="shipment"/>
    <s v="PO_1029"/>
    <x v="342"/>
    <s v="PR2416F5P10"/>
    <x v="88"/>
    <s v="preroll_labelled"/>
    <d v="2024-12-16T00:00:00"/>
    <n v="-7"/>
    <n v="0"/>
    <n v="-35"/>
    <m/>
    <x v="0"/>
    <n v="5"/>
  </r>
  <r>
    <s v="outbound"/>
    <d v="2025-01-15T12:29:00"/>
    <s v="shipment"/>
    <s v="PO_1029"/>
    <x v="337"/>
    <s v="2024101703G7"/>
    <x v="83"/>
    <s v="driedflower_labelled"/>
    <d v="2024-11-22T00:00:00"/>
    <n v="-12"/>
    <n v="0"/>
    <n v="-84"/>
    <m/>
    <x v="0"/>
    <n v="7"/>
  </r>
  <r>
    <s v="outbound"/>
    <d v="2025-01-15T12:29:00"/>
    <s v="production"/>
    <s v="replenish BC citrus inv_id_551"/>
    <x v="84"/>
    <s v="EX24070901V50"/>
    <x v="41"/>
    <s v="extract_ingested_labelled"/>
    <d v="2024-07-30T00:00:00"/>
    <n v="-69"/>
    <n v="0"/>
    <n v="-3450"/>
    <m/>
    <x v="0"/>
    <n v="50"/>
  </r>
  <r>
    <s v="outbound"/>
    <d v="2025-01-15T12:29:00"/>
    <s v="production"/>
    <s v="replenish BC citrus inv_id_551"/>
    <x v="231"/>
    <s v="EX24092601V50"/>
    <x v="41"/>
    <s v="extract_ingested_labelled"/>
    <d v="2024-10-11T00:00:00"/>
    <n v="-10"/>
    <n v="0"/>
    <n v="-500"/>
    <m/>
    <x v="0"/>
    <n v="50"/>
  </r>
  <r>
    <s v="outbound"/>
    <d v="2025-01-17T10:14:00"/>
    <s v="sampling"/>
    <s v="steve250117"/>
    <x v="172"/>
    <s v="EX24082902G05"/>
    <x v="46"/>
    <s v="extract_inhaled_labelled"/>
    <d v="2024-10-04T00:00:00"/>
    <n v="-2"/>
    <n v="0"/>
    <n v="-1"/>
    <m/>
    <x v="0"/>
    <n v="0.5"/>
  </r>
  <r>
    <s v="outbound"/>
    <d v="2025-01-17T10:14:00"/>
    <s v="sampling"/>
    <s v="steve250117"/>
    <x v="295"/>
    <s v="EX24101701G05"/>
    <x v="47"/>
    <s v="extract_inhaled_labelled"/>
    <d v="2024-11-22T00:00:00"/>
    <n v="-2"/>
    <n v="0"/>
    <n v="-1"/>
    <m/>
    <x v="0"/>
    <n v="0.5"/>
  </r>
  <r>
    <s v="outbound"/>
    <d v="2025-01-17T10:14:00"/>
    <s v="sampling"/>
    <s v="steve250117"/>
    <x v="243"/>
    <s v="EX24101705G05"/>
    <x v="49"/>
    <s v="extract_inhaled_labelled"/>
    <d v="2024-10-29T00:00:00"/>
    <n v="-2"/>
    <n v="0"/>
    <n v="-1"/>
    <m/>
    <x v="0"/>
    <n v="0.5"/>
  </r>
  <r>
    <s v="outbound"/>
    <d v="2025-01-17T11:29:00"/>
    <s v="shipment"/>
    <s v="PO_00022940"/>
    <x v="343"/>
    <s v="2022012401R1"/>
    <x v="14"/>
    <s v="driedflower_labelled"/>
    <d v="2024-08-06T00:00:00"/>
    <n v="-36"/>
    <n v="0"/>
    <n v="-504"/>
    <m/>
    <x v="0"/>
    <n v="14"/>
  </r>
  <r>
    <s v="outbound"/>
    <d v="2025-01-17T11:29:00"/>
    <s v="shipment"/>
    <s v="PO_00022940"/>
    <x v="237"/>
    <s v="PR241105F5P3"/>
    <x v="17"/>
    <s v="preroll_labelled"/>
    <d v="2024-10-16T00:00:00"/>
    <n v="-24"/>
    <n v="0"/>
    <n v="-36"/>
    <m/>
    <x v="0"/>
    <n v="1.5"/>
  </r>
  <r>
    <s v="outbound"/>
    <d v="2025-01-17T11:29:00"/>
    <s v="shipment"/>
    <s v="PO_00022940"/>
    <x v="295"/>
    <s v="EX24101701G05"/>
    <x v="47"/>
    <s v="extract_inhaled_labelled"/>
    <d v="2024-11-22T00:00:00"/>
    <n v="-12"/>
    <n v="0"/>
    <n v="-6"/>
    <m/>
    <x v="0"/>
    <n v="0.5"/>
  </r>
  <r>
    <s v="outbound"/>
    <d v="2025-01-17T11:29:00"/>
    <s v="sampling"/>
    <s v="steve250117"/>
    <x v="344"/>
    <s v="TP24101701"/>
    <x v="2"/>
    <s v="topical_labelled"/>
    <d v="2024-10-23T00:00:00"/>
    <n v="-4"/>
    <n v="0"/>
    <n v="-352"/>
    <m/>
    <x v="0"/>
    <n v="88"/>
  </r>
  <r>
    <s v="outbound"/>
    <d v="2025-01-17T11:29:00"/>
    <s v="sampling"/>
    <s v="steve250117"/>
    <x v="170"/>
    <s v="BS23041701G180"/>
    <x v="0"/>
    <s v="topical_labelled"/>
    <d v="2024-08-19T00:00:00"/>
    <n v="-2"/>
    <n v="0"/>
    <n v="-360"/>
    <m/>
    <x v="0"/>
    <n v="180"/>
  </r>
  <r>
    <s v="outbound"/>
    <d v="2025-01-17T11:29:00"/>
    <s v="shipment"/>
    <s v="PO_00022940"/>
    <x v="320"/>
    <s v="EX24101703G05"/>
    <x v="45"/>
    <s v="extract_inhaled_labelled"/>
    <d v="2024-11-07T00:00:00"/>
    <n v="-12"/>
    <n v="0"/>
    <n v="-6"/>
    <m/>
    <x v="0"/>
    <n v="0.5"/>
  </r>
  <r>
    <s v="outbound"/>
    <d v="2025-01-17T11:29:00"/>
    <s v="shipment"/>
    <s v="PO_00022940"/>
    <x v="345"/>
    <s v="EX25010907G1"/>
    <x v="89"/>
    <s v="extract_inhaled_labelled"/>
    <d v="2025-01-09T00:00:00"/>
    <n v="-12"/>
    <n v="0"/>
    <n v="-12"/>
    <m/>
    <x v="0"/>
    <n v="1"/>
  </r>
  <r>
    <s v="outbound"/>
    <d v="2025-01-17T15:20:00"/>
    <s v="shipment"/>
    <s v="relabel POD for PO_440317"/>
    <x v="323"/>
    <s v="TP21121701"/>
    <x v="82"/>
    <s v="topical_labelled"/>
    <d v="2024-12-23T00:00:00"/>
    <n v="-12"/>
    <n v="0"/>
    <n v="-1440"/>
    <m/>
    <x v="0"/>
    <n v="120"/>
  </r>
  <r>
    <s v="outbound"/>
    <d v="2025-01-17T15:20:00"/>
    <s v="shipment"/>
    <s v="PO_439660 AND PO_439454"/>
    <x v="325"/>
    <s v="2024111801G7"/>
    <x v="83"/>
    <s v="driedflower_labelled"/>
    <d v="2024-12-05T00:00:00"/>
    <n v="-24"/>
    <n v="0"/>
    <n v="-168"/>
    <m/>
    <x v="0"/>
    <n v="7"/>
  </r>
  <r>
    <s v="outbound"/>
    <d v="2025-01-20T10:25:00"/>
    <s v="shipment"/>
    <s v="ON_casing_caninvid_549"/>
    <x v="317"/>
    <s v="EX24111801V50"/>
    <x v="33"/>
    <s v="extract_ingested_labelled"/>
    <d v="2024-11-28T00:00:00"/>
    <n v="-77"/>
    <n v="0"/>
    <n v="-3850"/>
    <m/>
    <x v="0"/>
    <n v="50"/>
  </r>
  <r>
    <s v="outbound"/>
    <d v="2025-01-20T10:25:00"/>
    <s v="shipment"/>
    <s v="ON_casing_caninvid_549"/>
    <x v="346"/>
    <s v="EX24111801V50"/>
    <x v="33"/>
    <s v="extract_ingested_labelled"/>
    <d v="2024-11-28T00:00:00"/>
    <n v="-37"/>
    <n v="0"/>
    <n v="-1850"/>
    <m/>
    <x v="0"/>
    <n v="50"/>
  </r>
  <r>
    <s v="outbound"/>
    <d v="2025-01-20T10:25:00"/>
    <s v="shipment"/>
    <s v="ON_casing_caninvid_549"/>
    <x v="266"/>
    <s v="EX24102201V50"/>
    <x v="33"/>
    <s v="extract_ingested_labelled"/>
    <d v="2024-10-29T00:00:00"/>
    <n v="-23"/>
    <n v="0"/>
    <n v="-1150"/>
    <m/>
    <x v="0"/>
    <n v="50"/>
  </r>
  <r>
    <s v="outbound"/>
    <d v="2025-01-20T12:11:00"/>
    <s v="shipment"/>
    <s v="PO_0077287_legacy250120"/>
    <x v="318"/>
    <s v="EX24111801V50"/>
    <x v="33"/>
    <s v="extract_ingested_cased_ON"/>
    <d v="2024-11-28T00:00:00"/>
    <n v="-5"/>
    <n v="0"/>
    <n v="-3000"/>
    <m/>
    <x v="0"/>
    <n v="600"/>
  </r>
  <r>
    <s v="outbound"/>
    <d v="2025-01-20T14:01:00"/>
    <s v="production"/>
    <s v="relabel pod"/>
    <x v="323"/>
    <s v="TP21121701"/>
    <x v="82"/>
    <s v="topical_labelled"/>
    <d v="2024-12-23T00:00:00"/>
    <n v="-15"/>
    <n v="0"/>
    <n v="-1800"/>
    <m/>
    <x v="0"/>
    <n v="120"/>
  </r>
  <r>
    <s v="outbound"/>
    <d v="2025-01-20T14:01:00"/>
    <s v="production"/>
    <s v="relabel pod"/>
    <x v="347"/>
    <s v="TP21121701"/>
    <x v="82"/>
    <s v="topical_labelled_RTV"/>
    <d v="2022-01-15T00:00:00"/>
    <n v="-33"/>
    <n v="0"/>
    <n v="-462"/>
    <m/>
    <x v="0"/>
    <n v="14"/>
  </r>
  <r>
    <s v="outbound"/>
    <d v="2025-01-20T14:24:00"/>
    <s v="shipment"/>
    <s v="PO_1030"/>
    <x v="230"/>
    <s v="PR241101F5P3"/>
    <x v="19"/>
    <s v="preroll_labelled"/>
    <d v="2024-10-16T00:00:00"/>
    <n v="-12"/>
    <n v="0"/>
    <n v="-18"/>
    <m/>
    <x v="0"/>
    <n v="1.5"/>
  </r>
  <r>
    <s v="outbound"/>
    <d v="2025-01-20T14:24:00"/>
    <s v="shipment"/>
    <s v="PO_1030"/>
    <x v="104"/>
    <s v="PR241005F5P3"/>
    <x v="17"/>
    <s v="preroll_labelled"/>
    <d v="2024-10-10T00:00:00"/>
    <n v="-8"/>
    <n v="0"/>
    <n v="-12"/>
    <m/>
    <x v="0"/>
    <n v="1.5"/>
  </r>
  <r>
    <s v="outbound"/>
    <d v="2025-01-20T14:24:00"/>
    <s v="shipment"/>
    <s v="PO_1030"/>
    <x v="21"/>
    <s v="PR241005F5P3"/>
    <x v="17"/>
    <s v="preroll_packaged"/>
    <d v="2024-09-06T00:00:00"/>
    <n v="-3"/>
    <n v="0"/>
    <n v="-4.5"/>
    <m/>
    <x v="0"/>
    <n v="1.5"/>
  </r>
  <r>
    <s v="outbound"/>
    <d v="2025-01-20T14:24:00"/>
    <s v="shipment"/>
    <s v="PO_1030"/>
    <x v="257"/>
    <s v="PR241005F5P3"/>
    <x v="17"/>
    <s v="preroll_labelled"/>
    <d v="2024-10-10T00:00:00"/>
    <n v="-1"/>
    <n v="0"/>
    <n v="-1.5"/>
    <m/>
    <x v="0"/>
    <n v="1.5"/>
  </r>
  <r>
    <s v="outbound"/>
    <d v="2025-01-20T14:24:00"/>
    <s v="shipment"/>
    <s v="PO_1030"/>
    <x v="293"/>
    <s v="EX24111302G05"/>
    <x v="46"/>
    <s v="extract_inhaled_labelled"/>
    <d v="2024-11-27T00:00:00"/>
    <n v="-12"/>
    <n v="0"/>
    <n v="-6"/>
    <m/>
    <x v="0"/>
    <n v="0.5"/>
  </r>
  <r>
    <s v="outbound"/>
    <d v="2025-01-20T14:24:00"/>
    <s v="shipment"/>
    <s v="PO_1030"/>
    <x v="295"/>
    <s v="EX24101701G05"/>
    <x v="47"/>
    <s v="extract_inhaled_labelled"/>
    <d v="2024-11-22T00:00:00"/>
    <n v="-12"/>
    <n v="0"/>
    <n v="-6"/>
    <m/>
    <x v="0"/>
    <n v="0.5"/>
  </r>
  <r>
    <s v="outbound"/>
    <d v="2025-01-20T14:24:00"/>
    <s v="shipment"/>
    <s v="PO_1030"/>
    <x v="285"/>
    <s v="EX24082906G05"/>
    <x v="53"/>
    <s v="extract_inhaled_labelled"/>
    <d v="2024-10-23T00:00:00"/>
    <n v="-12"/>
    <n v="0"/>
    <n v="-6"/>
    <m/>
    <x v="0"/>
    <n v="0.5"/>
  </r>
  <r>
    <s v="outbound"/>
    <d v="2025-01-20T14:24:00"/>
    <s v="shipment"/>
    <s v="PO_1030"/>
    <x v="79"/>
    <s v="PR21071201G1"/>
    <x v="11"/>
    <s v="preroll_labelled"/>
    <d v="2024-10-28T00:00:00"/>
    <n v="-24"/>
    <n v="0"/>
    <n v="-24"/>
    <m/>
    <x v="0"/>
    <n v="1"/>
  </r>
  <r>
    <s v="outbound"/>
    <d v="2025-01-20T14:38:00"/>
    <s v="shipment"/>
    <s v="PO_4500858711"/>
    <x v="287"/>
    <s v="TP24082901"/>
    <x v="6"/>
    <s v="topical_labelled"/>
    <d v="2024-10-04T00:00:00"/>
    <n v="-120"/>
    <n v="0"/>
    <n v="-10560"/>
    <m/>
    <x v="0"/>
    <n v="88"/>
  </r>
  <r>
    <s v="outbound"/>
    <d v="2025-01-20T14:42:00"/>
    <s v="production"/>
    <s v="gelato 28g"/>
    <x v="348"/>
    <s v="2022012401R1"/>
    <x v="16"/>
    <s v="driedflower_bulk"/>
    <d v="2022-05-05T00:00:00"/>
    <n v="-1"/>
    <n v="-1026"/>
    <n v="0"/>
    <m/>
    <x v="1"/>
    <n v="0"/>
  </r>
  <r>
    <s v="outbound"/>
    <d v="2025-01-20T14:42:00"/>
    <s v="production"/>
    <s v="gelato 28g"/>
    <x v="349"/>
    <s v="2022012401R1"/>
    <x v="16"/>
    <s v="driedflower_bulk"/>
    <d v="2022-05-05T00:00:00"/>
    <n v="-1"/>
    <n v="-1026"/>
    <n v="0"/>
    <m/>
    <x v="1"/>
    <n v="0"/>
  </r>
  <r>
    <s v="outbound"/>
    <d v="2025-01-20T14:53:00"/>
    <s v="shipment"/>
    <s v="PO_4500858711"/>
    <x v="286"/>
    <s v="BS23101901G450"/>
    <x v="5"/>
    <s v="topical_labelled"/>
    <d v="2024-12-03T00:00:00"/>
    <n v="-30"/>
    <n v="0"/>
    <n v="-13500"/>
    <m/>
    <x v="0"/>
    <n v="450"/>
  </r>
  <r>
    <s v="outbound"/>
    <d v="2025-01-21T12:51:00"/>
    <s v="shipment"/>
    <s v="PO_1031"/>
    <x v="341"/>
    <s v="EX24111304G05"/>
    <x v="48"/>
    <s v="extract_inhaled_labelled"/>
    <d v="2024-11-26T00:00:00"/>
    <n v="-7"/>
    <n v="0"/>
    <n v="-3.5"/>
    <m/>
    <x v="0"/>
    <n v="0.5"/>
  </r>
  <r>
    <s v="outbound"/>
    <d v="2025-01-21T12:51:00"/>
    <s v="shipment"/>
    <s v="PO_1031"/>
    <x v="350"/>
    <s v="EX24101704G05"/>
    <x v="48"/>
    <s v="extract_inhaled_labelled"/>
    <d v="2024-11-29T00:00:00"/>
    <n v="-5"/>
    <n v="0"/>
    <n v="-2.5"/>
    <m/>
    <x v="0"/>
    <n v="0.5"/>
  </r>
  <r>
    <s v="outbound"/>
    <d v="2025-01-21T12:51:00"/>
    <s v="shipment"/>
    <s v="PO_1031"/>
    <x v="243"/>
    <s v="EX24101705G05"/>
    <x v="49"/>
    <s v="extract_inhaled_labelled"/>
    <d v="2024-10-29T00:00:00"/>
    <n v="-12"/>
    <n v="0"/>
    <n v="-6"/>
    <m/>
    <x v="0"/>
    <n v="0.5"/>
  </r>
  <r>
    <s v="outbound"/>
    <d v="2025-01-21T12:51:00"/>
    <s v="shipment"/>
    <s v="PO_1031"/>
    <x v="320"/>
    <s v="EX24101703G05"/>
    <x v="45"/>
    <s v="extract_inhaled_labelled"/>
    <d v="2024-11-07T00:00:00"/>
    <n v="-12"/>
    <n v="0"/>
    <n v="-6"/>
    <m/>
    <x v="0"/>
    <n v="0.5"/>
  </r>
  <r>
    <s v="outbound"/>
    <d v="2025-01-21T12:51:00"/>
    <s v="shipment"/>
    <s v="PO_1031"/>
    <x v="345"/>
    <s v="EX25010907G1"/>
    <x v="89"/>
    <s v="extract_inhaled_labelled"/>
    <d v="2025-01-09T00:00:00"/>
    <n v="-12"/>
    <n v="0"/>
    <n v="-12"/>
    <m/>
    <x v="0"/>
    <n v="1"/>
  </r>
  <r>
    <s v="outbound"/>
    <d v="2025-01-21T12:51:00"/>
    <s v="shipment"/>
    <s v="PO_1031"/>
    <x v="325"/>
    <s v="2024111801G7"/>
    <x v="83"/>
    <s v="driedflower_labelled"/>
    <d v="2024-12-05T00:00:00"/>
    <n v="-12"/>
    <n v="0"/>
    <n v="-84"/>
    <m/>
    <x v="0"/>
    <n v="7"/>
  </r>
  <r>
    <s v="outbound"/>
    <d v="2025-01-21T12:51:00"/>
    <s v="shipment"/>
    <s v="PO_1031"/>
    <x v="293"/>
    <s v="EX24111302G05"/>
    <x v="46"/>
    <s v="extract_inhaled_labelled"/>
    <d v="2024-11-27T00:00:00"/>
    <n v="-12"/>
    <n v="0"/>
    <n v="-6"/>
    <m/>
    <x v="0"/>
    <n v="0.5"/>
  </r>
  <r>
    <s v="outbound"/>
    <d v="2025-01-21T12:51:00"/>
    <s v="shipment"/>
    <s v="PO_1031"/>
    <x v="351"/>
    <s v="EX24111301G05"/>
    <x v="47"/>
    <s v="extract_inhaled_labelled"/>
    <d v="2024-12-16T00:00:00"/>
    <n v="-12"/>
    <n v="0"/>
    <n v="-6"/>
    <m/>
    <x v="0"/>
    <n v="0.5"/>
  </r>
  <r>
    <s v="outbound"/>
    <d v="2025-01-21T12:51:00"/>
    <s v="shipment"/>
    <s v="PO_1031"/>
    <x v="285"/>
    <s v="EX24082906G05"/>
    <x v="53"/>
    <s v="extract_inhaled_labelled"/>
    <d v="2024-10-23T00:00:00"/>
    <n v="-12"/>
    <n v="0"/>
    <n v="-6"/>
    <m/>
    <x v="0"/>
    <n v="0.5"/>
  </r>
  <r>
    <s v="outbound"/>
    <d v="2025-01-21T12:51:00"/>
    <s v="shipment"/>
    <s v="PO_1031"/>
    <x v="54"/>
    <s v="PR2407F5P3"/>
    <x v="31"/>
    <s v="preroll_labelled"/>
    <d v="2024-07-25T00:00:00"/>
    <n v="-12"/>
    <n v="0"/>
    <n v="-18"/>
    <m/>
    <x v="0"/>
    <n v="1.5"/>
  </r>
  <r>
    <s v="outbound"/>
    <d v="2025-01-21T12:51:00"/>
    <s v="shipment"/>
    <s v="PO_1031"/>
    <x v="80"/>
    <s v="PR2301F5P3"/>
    <x v="42"/>
    <s v="preroll_labelled"/>
    <d v="2024-06-14T00:00:00"/>
    <n v="-12"/>
    <n v="0"/>
    <n v="-18"/>
    <m/>
    <x v="0"/>
    <n v="1.5"/>
  </r>
  <r>
    <s v="outbound"/>
    <d v="2025-01-21T12:51:00"/>
    <s v="shipment"/>
    <s v="PO_1031"/>
    <x v="81"/>
    <s v="PR2406F5P3"/>
    <x v="43"/>
    <s v="preroll_labelled"/>
    <d v="2024-06-14T00:00:00"/>
    <n v="-12"/>
    <n v="0"/>
    <n v="-18"/>
    <m/>
    <x v="0"/>
    <n v="1.5"/>
  </r>
  <r>
    <s v="outbound"/>
    <d v="2025-01-21T12:51:00"/>
    <s v="shipment"/>
    <s v="PO_1031"/>
    <x v="79"/>
    <s v="PR21071201G1"/>
    <x v="11"/>
    <s v="preroll_labelled"/>
    <d v="2024-10-28T00:00:00"/>
    <n v="-12"/>
    <n v="0"/>
    <n v="-12"/>
    <m/>
    <x v="0"/>
    <n v="1"/>
  </r>
  <r>
    <s v="outbound"/>
    <d v="2025-01-21T12:51:00"/>
    <s v="shipment"/>
    <s v="PO_1031"/>
    <x v="16"/>
    <s v="PR2406F1P1"/>
    <x v="12"/>
    <s v="preroll_labelled"/>
    <d v="2024-06-19T00:00:00"/>
    <n v="-12"/>
    <n v="0"/>
    <n v="-12"/>
    <m/>
    <x v="0"/>
    <n v="1"/>
  </r>
  <r>
    <s v="outbound"/>
    <d v="2025-01-21T14:24:00"/>
    <s v="production"/>
    <s v="gelato 28g"/>
    <x v="352"/>
    <s v="2022012401R1"/>
    <x v="16"/>
    <s v="driedflower_bulk"/>
    <d v="2022-05-05T00:00:00"/>
    <n v="-1"/>
    <n v="-1020.7"/>
    <n v="0"/>
    <m/>
    <x v="1"/>
    <n v="0"/>
  </r>
  <r>
    <s v="outbound"/>
    <d v="2025-01-21T14:24:00"/>
    <s v="production"/>
    <s v="gelato 28g"/>
    <x v="353"/>
    <s v="2022012401R1"/>
    <x v="16"/>
    <s v="driedflower_bulk"/>
    <d v="2022-05-05T00:00:00"/>
    <n v="-1"/>
    <n v="-1024"/>
    <n v="0"/>
    <m/>
    <x v="1"/>
    <n v="0"/>
  </r>
  <r>
    <s v="outbound"/>
    <d v="2025-01-21T16:03:00"/>
    <s v="production"/>
    <s v="midnight kruntz 0.5g preroll"/>
    <x v="354"/>
    <s v="PR2416"/>
    <x v="84"/>
    <s v="driedflower_milled_bulk"/>
    <s v="NA"/>
    <n v="-1"/>
    <n v="-4325"/>
    <n v="0"/>
    <m/>
    <x v="1"/>
    <n v="0"/>
  </r>
  <r>
    <s v="inbound"/>
    <d v="2025-01-23T00:00:00"/>
    <s v="storage"/>
    <m/>
    <x v="342"/>
    <s v="PR2416F5P10"/>
    <x v="88"/>
    <s v="preroll_labelled"/>
    <d v="2024-12-16T00:00:00"/>
    <n v="172"/>
    <n v="0"/>
    <n v="860"/>
    <m/>
    <x v="0"/>
    <n v="5"/>
  </r>
  <r>
    <s v="inbound"/>
    <d v="2025-01-23T00:00:00"/>
    <s v="storage"/>
    <m/>
    <x v="255"/>
    <s v="2022012401G28"/>
    <x v="69"/>
    <s v="driedflower_labelled"/>
    <d v="2024-10-29T00:00:00"/>
    <n v="11"/>
    <n v="0"/>
    <n v="308"/>
    <m/>
    <x v="0"/>
    <n v="28"/>
  </r>
  <r>
    <s v="inbound"/>
    <d v="2025-01-23T00:00:00"/>
    <s v="storage"/>
    <m/>
    <x v="355"/>
    <s v="2022012401G28"/>
    <x v="69"/>
    <s v="driedflower_labelled"/>
    <d v="2025-01-22T00:00:00"/>
    <n v="45"/>
    <n v="0"/>
    <n v="1260"/>
    <m/>
    <x v="0"/>
    <n v="28"/>
  </r>
  <r>
    <s v="inbound"/>
    <d v="2025-01-23T00:00:00"/>
    <s v="storage"/>
    <m/>
    <x v="337"/>
    <s v="2024101703G7"/>
    <x v="83"/>
    <s v="driedflower_labelled"/>
    <d v="2024-11-22T00:00:00"/>
    <n v="60"/>
    <n v="0"/>
    <n v="420"/>
    <m/>
    <x v="0"/>
    <n v="7"/>
  </r>
  <r>
    <s v="inbound"/>
    <d v="2025-01-23T00:00:00"/>
    <s v="storage"/>
    <m/>
    <x v="231"/>
    <s v="EX24092601V50"/>
    <x v="41"/>
    <s v="extract_ingested_labelled"/>
    <d v="2024-10-11T00:00:00"/>
    <n v="10"/>
    <n v="0"/>
    <n v="500"/>
    <m/>
    <x v="0"/>
    <n v="50"/>
  </r>
  <r>
    <s v="inbound"/>
    <d v="2025-01-23T00:00:00"/>
    <s v="storage"/>
    <m/>
    <x v="356"/>
    <s v="CPR22102001G1"/>
    <x v="81"/>
    <s v="preroll_labelled"/>
    <d v="2024-12-23T00:00:00"/>
    <n v="61"/>
    <n v="0"/>
    <n v="61"/>
    <m/>
    <x v="0"/>
    <n v="1"/>
  </r>
  <r>
    <s v="inbound"/>
    <d v="2025-01-23T00:00:00"/>
    <s v="storage"/>
    <m/>
    <x v="322"/>
    <s v="CPR22102001G1"/>
    <x v="81"/>
    <s v="preroll_labelled"/>
    <d v="2023-03-14T00:00:00"/>
    <n v="1"/>
    <n v="0"/>
    <n v="1"/>
    <m/>
    <x v="0"/>
    <n v="1"/>
  </r>
  <r>
    <s v="inbound"/>
    <d v="2025-01-23T00:00:00"/>
    <s v="storage"/>
    <m/>
    <x v="332"/>
    <s v="CPR22012001G5"/>
    <x v="80"/>
    <s v="preroll_labelled"/>
    <d v="2024-12-23T00:00:00"/>
    <n v="48"/>
    <n v="0"/>
    <n v="72"/>
    <m/>
    <x v="0"/>
    <n v="1.5"/>
  </r>
  <r>
    <s v="inbound"/>
    <d v="2025-01-23T00:00:00"/>
    <s v="storage"/>
    <m/>
    <x v="323"/>
    <s v="TP21121701"/>
    <x v="82"/>
    <s v="topical_labelled"/>
    <d v="2024-12-23T00:00:00"/>
    <n v="48"/>
    <n v="0"/>
    <n v="5760"/>
    <m/>
    <x v="0"/>
    <n v="120"/>
  </r>
  <r>
    <s v="inbound"/>
    <d v="2025-01-23T00:00:00"/>
    <s v="storage"/>
    <m/>
    <x v="357"/>
    <s v="PR2301F35P12"/>
    <x v="90"/>
    <s v="preroll_labelled"/>
    <d v="2024-12-23T00:00:00"/>
    <n v="192"/>
    <n v="0"/>
    <n v="806.39999999999986"/>
    <m/>
    <x v="0"/>
    <n v="4.1999999999999993"/>
  </r>
  <r>
    <s v="inbound"/>
    <d v="2025-01-23T00:00:00"/>
    <s v="storage"/>
    <m/>
    <x v="358"/>
    <s v="PR2401F5P2"/>
    <x v="54"/>
    <s v="preroll_labelled"/>
    <d v="2025-01-13T00:00:00"/>
    <n v="611"/>
    <n v="0"/>
    <n v="611"/>
    <m/>
    <x v="0"/>
    <n v="1"/>
  </r>
  <r>
    <s v="outbound"/>
    <d v="2025-01-23T10:51:00"/>
    <s v="production"/>
    <s v="Gumdrop flower 7g"/>
    <x v="359"/>
    <n v="2024120501"/>
    <x v="91"/>
    <s v="driedflower_bulk_BURB"/>
    <s v="NA"/>
    <n v="-1"/>
    <n v="-1060"/>
    <n v="0"/>
    <m/>
    <x v="1"/>
    <n v="0"/>
  </r>
  <r>
    <s v="outbound"/>
    <d v="2025-01-23T10:51:00"/>
    <s v="production"/>
    <s v="midnight kruntz 0.5g preroll"/>
    <x v="327"/>
    <s v="PR2416"/>
    <x v="84"/>
    <s v="driedflower_milled_bulk"/>
    <s v="NA"/>
    <n v="-1"/>
    <n v="-3290"/>
    <n v="0"/>
    <m/>
    <x v="1"/>
    <n v="0"/>
  </r>
  <r>
    <s v="outbound"/>
    <d v="2025-01-23T10:57:00"/>
    <s v="production"/>
    <s v="pressure pie flower 7g"/>
    <x v="360"/>
    <n v="2024110601"/>
    <x v="92"/>
    <s v="driedflower_bulk_BURB"/>
    <s v="NA"/>
    <n v="-1"/>
    <n v="-3092"/>
    <n v="0"/>
    <m/>
    <x v="1"/>
    <n v="0"/>
  </r>
  <r>
    <s v="outbound"/>
    <d v="2025-01-23T10:57:00"/>
    <s v="production"/>
    <s v="pressure pie flower 7g"/>
    <x v="361"/>
    <n v="2024110601"/>
    <x v="92"/>
    <s v="driedflower_bulk_BURB"/>
    <s v="NA"/>
    <n v="-1"/>
    <n v="-484"/>
    <n v="0"/>
    <m/>
    <x v="1"/>
    <n v="0"/>
  </r>
  <r>
    <s v="outbound"/>
    <d v="2025-01-23T10:57:00"/>
    <s v="production"/>
    <s v="pressure pie flower 7g"/>
    <x v="362"/>
    <n v="2024110601"/>
    <x v="92"/>
    <s v="driedflower_bulk_BURB"/>
    <s v="NA"/>
    <n v="-1"/>
    <n v="-3095"/>
    <n v="0"/>
    <m/>
    <x v="1"/>
    <n v="0"/>
  </r>
  <r>
    <s v="outbound"/>
    <d v="2025-01-23T11:10:00"/>
    <s v="production"/>
    <s v="milling PR2501"/>
    <x v="310"/>
    <n v="2024111802"/>
    <x v="65"/>
    <s v="driedflower_bulk"/>
    <s v="NA"/>
    <n v="-1"/>
    <n v="-3535"/>
    <n v="0"/>
    <m/>
    <x v="1"/>
    <n v="0"/>
  </r>
  <r>
    <s v="outbound"/>
    <d v="2025-01-23T11:10:00"/>
    <s v="production"/>
    <s v="milling PR2501"/>
    <x v="311"/>
    <n v="2024111802"/>
    <x v="65"/>
    <s v="driedflower_bulk"/>
    <s v="NA"/>
    <n v="-1"/>
    <n v="-3240"/>
    <n v="0"/>
    <m/>
    <x v="1"/>
    <n v="0"/>
  </r>
  <r>
    <s v="outbound"/>
    <d v="2025-01-23T11:10:00"/>
    <s v="production"/>
    <s v="milling PR2501"/>
    <x v="309"/>
    <n v="2024111802"/>
    <x v="65"/>
    <s v="driedflower_bulk"/>
    <s v="NA"/>
    <n v="-1"/>
    <n v="-3050"/>
    <n v="0"/>
    <m/>
    <x v="1"/>
    <n v="0"/>
  </r>
  <r>
    <s v="inbound"/>
    <d v="2025-01-23T11:10:00"/>
    <s v="storage"/>
    <m/>
    <x v="227"/>
    <n v="2022051601"/>
    <x v="66"/>
    <s v="driedflower_bulk"/>
    <d v="2022-09-26T00:00:00"/>
    <n v="1"/>
    <n v="1030"/>
    <n v="0"/>
    <m/>
    <x v="1"/>
    <n v="0"/>
  </r>
  <r>
    <s v="inbound"/>
    <d v="2025-01-23T11:10:00"/>
    <s v="storage"/>
    <m/>
    <x v="252"/>
    <n v="2022051603"/>
    <x v="21"/>
    <s v="driedflower_bulk"/>
    <d v="2022-09-26T00:00:00"/>
    <n v="1"/>
    <n v="1010"/>
    <n v="0"/>
    <m/>
    <x v="1"/>
    <n v="0"/>
  </r>
  <r>
    <s v="inbound"/>
    <d v="2025-01-23T11:10:00"/>
    <s v="storage"/>
    <m/>
    <x v="30"/>
    <s v="2022012401R1"/>
    <x v="16"/>
    <s v="driedflower_bulk"/>
    <d v="2022-05-05T00:00:00"/>
    <n v="1"/>
    <n v="934.6"/>
    <n v="0"/>
    <m/>
    <x v="1"/>
    <n v="0"/>
  </r>
  <r>
    <s v="inbound"/>
    <d v="2025-01-23T11:10:00"/>
    <s v="storage"/>
    <m/>
    <x v="352"/>
    <s v="2022012401R1"/>
    <x v="16"/>
    <s v="driedflower_bulk"/>
    <d v="2022-05-05T00:00:00"/>
    <n v="1"/>
    <n v="320"/>
    <n v="0"/>
    <m/>
    <x v="1"/>
    <n v="0"/>
  </r>
  <r>
    <s v="inbound"/>
    <d v="2025-01-23T11:10:00"/>
    <s v="storage"/>
    <m/>
    <x v="353"/>
    <s v="2022012401R1"/>
    <x v="16"/>
    <s v="driedflower_bulk"/>
    <d v="2022-05-05T00:00:00"/>
    <n v="1"/>
    <n v="1024"/>
    <n v="0"/>
    <m/>
    <x v="1"/>
    <n v="0"/>
  </r>
  <r>
    <s v="inbound"/>
    <d v="2025-01-23T11:10:00"/>
    <s v="storage"/>
    <m/>
    <x v="318"/>
    <s v="EX24111801V50"/>
    <x v="33"/>
    <s v="extract_ingested_cased_ON"/>
    <d v="2024-11-28T00:00:00"/>
    <n v="6"/>
    <n v="0"/>
    <n v="3600"/>
    <m/>
    <x v="0"/>
    <n v="600"/>
  </r>
  <r>
    <s v="inbound"/>
    <d v="2025-01-23T11:10:00"/>
    <s v="storage"/>
    <m/>
    <x v="317"/>
    <s v="EX24111801V50"/>
    <x v="33"/>
    <s v="extract_ingested_labelled"/>
    <d v="2024-11-28T00:00:00"/>
    <n v="6"/>
    <n v="0"/>
    <n v="300"/>
    <m/>
    <x v="0"/>
    <n v="50"/>
  </r>
  <r>
    <s v="inbound"/>
    <d v="2025-01-23T11:56:00"/>
    <s v="storage"/>
    <m/>
    <x v="328"/>
    <s v="PR2301"/>
    <x v="85"/>
    <s v="driedflower_milled_bulk"/>
    <d v="2021-01-10T00:00:00"/>
    <n v="1"/>
    <n v="4060"/>
    <n v="0"/>
    <m/>
    <x v="1"/>
    <n v="0"/>
  </r>
  <r>
    <s v="outbound"/>
    <d v="2025-01-23T14:51:00"/>
    <s v="production"/>
    <s v="Gumdrop flower 7g"/>
    <x v="363"/>
    <n v="2024120501"/>
    <x v="91"/>
    <s v="driedflower_bulk_BURB"/>
    <s v="NA"/>
    <n v="-1"/>
    <n v="-1060"/>
    <n v="0"/>
    <m/>
    <x v="1"/>
    <n v="0"/>
  </r>
  <r>
    <s v="outbound"/>
    <d v="2025-01-23T14:51:00"/>
    <s v="production"/>
    <s v="Gumdrop flower 7g"/>
    <x v="364"/>
    <n v="2024120501"/>
    <x v="91"/>
    <s v="driedflower_bulk_BURB"/>
    <s v="NA"/>
    <n v="-1"/>
    <n v="-615"/>
    <n v="0"/>
    <m/>
    <x v="1"/>
    <n v="0"/>
  </r>
  <r>
    <s v="outbound"/>
    <d v="2025-01-23T14:51:00"/>
    <s v="production"/>
    <s v="Gumdrop flower 7g"/>
    <x v="365"/>
    <n v="2024120501"/>
    <x v="91"/>
    <s v="driedflower_bulk_BURB"/>
    <s v="NA"/>
    <n v="-1"/>
    <n v="-1060"/>
    <n v="0"/>
    <m/>
    <x v="1"/>
    <n v="0"/>
  </r>
  <r>
    <s v="outbound"/>
    <d v="2025-01-23T14:51:00"/>
    <s v="production"/>
    <s v="Gumdrop flower 7g"/>
    <x v="366"/>
    <n v="2024120501"/>
    <x v="91"/>
    <s v="driedflower_bulk_BURB"/>
    <s v="NA"/>
    <n v="-1"/>
    <n v="-1060"/>
    <n v="0"/>
    <m/>
    <x v="1"/>
    <n v="0"/>
  </r>
  <r>
    <s v="outbound"/>
    <d v="2025-01-24T09:21:00"/>
    <s v="production"/>
    <s v="milling PR2502"/>
    <x v="367"/>
    <n v="2024110601"/>
    <x v="92"/>
    <s v="driedflower_bulk_BURB"/>
    <s v="NA"/>
    <n v="-1"/>
    <n v="-218"/>
    <n v="0"/>
    <m/>
    <x v="1"/>
    <n v="0"/>
  </r>
  <r>
    <s v="outbound"/>
    <d v="2025-01-24T09:21:00"/>
    <s v="production"/>
    <s v="milling PR2502"/>
    <x v="368"/>
    <n v="2024110601"/>
    <x v="92"/>
    <s v="driedflower_bulk_BURB"/>
    <s v="NA"/>
    <n v="-1"/>
    <n v="-1834"/>
    <n v="0"/>
    <m/>
    <x v="1"/>
    <n v="0"/>
  </r>
  <r>
    <s v="outbound"/>
    <d v="2025-01-24T10:22:00"/>
    <s v="production"/>
    <s v="Gumdrop flower 7g"/>
    <x v="369"/>
    <n v="2024120501"/>
    <x v="91"/>
    <s v="driedflower_bulk_BURB"/>
    <s v="NA"/>
    <n v="-1"/>
    <n v="-940"/>
    <n v="0"/>
    <m/>
    <x v="1"/>
    <n v="0"/>
  </r>
  <r>
    <s v="inbound"/>
    <d v="2025-01-24T10:33:00"/>
    <s v="storage"/>
    <m/>
    <x v="369"/>
    <n v="2024120501"/>
    <x v="91"/>
    <s v="driedflower_bulk_BURB"/>
    <s v="NA"/>
    <n v="1"/>
    <n v="615"/>
    <n v="0"/>
    <m/>
    <x v="1"/>
    <n v="0"/>
  </r>
  <r>
    <s v="inbound"/>
    <d v="2025-01-24T11:50:00"/>
    <s v="storage"/>
    <m/>
    <x v="362"/>
    <n v="2024110601"/>
    <x v="92"/>
    <s v="driedflower_bulk_BURB"/>
    <s v="NA"/>
    <n v="1"/>
    <n v="2240"/>
    <n v="0"/>
    <m/>
    <x v="1"/>
    <n v="0"/>
  </r>
  <r>
    <s v="outbound"/>
    <d v="2025-01-24T13:41:00"/>
    <s v="production"/>
    <s v="milling PR2503"/>
    <x v="370"/>
    <n v="2024120501"/>
    <x v="91"/>
    <s v="driedflower_bulk_BURB"/>
    <s v="NA"/>
    <n v="-1"/>
    <n v="-990"/>
    <n v="0"/>
    <m/>
    <x v="1"/>
    <n v="0"/>
  </r>
  <r>
    <s v="inbound"/>
    <d v="2025-01-24T13:41:00"/>
    <s v="production"/>
    <s v="milling PR2503"/>
    <x v="370"/>
    <n v="2024120501"/>
    <x v="91"/>
    <s v="driedflower_bulk_BURB"/>
    <s v="NA"/>
    <n v="1"/>
    <n v="890.5"/>
    <n v="0"/>
    <m/>
    <x v="1"/>
    <n v="0"/>
  </r>
  <r>
    <s v="outbound"/>
    <d v="2025-01-24T15:23:00"/>
    <s v="shipment"/>
    <s v="PO_1032"/>
    <x v="168"/>
    <s v="EX24082904G05"/>
    <x v="48"/>
    <s v="extract_inhaled_labelled"/>
    <d v="2024-09-20T00:00:00"/>
    <n v="-12"/>
    <n v="0"/>
    <n v="-6"/>
    <m/>
    <x v="0"/>
    <n v="0.5"/>
  </r>
  <r>
    <s v="outbound"/>
    <d v="2025-01-24T15:23:00"/>
    <s v="shipment"/>
    <s v="PO_1032"/>
    <x v="16"/>
    <s v="PR2406F1P1"/>
    <x v="12"/>
    <s v="preroll_labelled"/>
    <d v="2024-06-19T00:00:00"/>
    <n v="-12"/>
    <n v="0"/>
    <n v="-12"/>
    <m/>
    <x v="0"/>
    <n v="1"/>
  </r>
  <r>
    <s v="outbound"/>
    <d v="2025-01-24T15:23:00"/>
    <s v="shipment"/>
    <s v="PO_1032"/>
    <x v="36"/>
    <s v="EX23100401V30"/>
    <x v="25"/>
    <s v="extract_ingested_labelled"/>
    <d v="2024-07-15T00:00:00"/>
    <n v="-12"/>
    <n v="0"/>
    <n v="-331.20000000000005"/>
    <m/>
    <x v="0"/>
    <n v="27.6"/>
  </r>
  <r>
    <s v="outbound"/>
    <d v="2025-01-24T15:23:00"/>
    <s v="shipment"/>
    <s v="PO_1032"/>
    <x v="230"/>
    <s v="PR241101F5P3"/>
    <x v="19"/>
    <s v="preroll_labelled"/>
    <d v="2024-10-16T00:00:00"/>
    <n v="-12"/>
    <n v="0"/>
    <n v="-18"/>
    <m/>
    <x v="0"/>
    <n v="1.5"/>
  </r>
  <r>
    <s v="outbound"/>
    <d v="2025-01-24T15:23:00"/>
    <s v="shipment"/>
    <s v="PO_1032"/>
    <x v="329"/>
    <s v="PR241105F5P3"/>
    <x v="17"/>
    <s v="preroll_labelled"/>
    <d v="2024-11-19T00:00:00"/>
    <n v="-12"/>
    <n v="0"/>
    <n v="-18"/>
    <m/>
    <x v="0"/>
    <n v="1.5"/>
  </r>
  <r>
    <s v="outbound"/>
    <d v="2025-01-24T15:23:00"/>
    <s v="shipment"/>
    <s v="PO_1032"/>
    <x v="334"/>
    <s v="PR241104F5P3"/>
    <x v="18"/>
    <s v="preroll_labelled"/>
    <d v="2024-12-04T00:00:00"/>
    <n v="-12"/>
    <n v="0"/>
    <n v="-18"/>
    <m/>
    <x v="0"/>
    <n v="1.5"/>
  </r>
  <r>
    <s v="outbound"/>
    <d v="2025-01-24T15:23:00"/>
    <s v="shipment"/>
    <s v="PO_1032"/>
    <x v="80"/>
    <s v="PR2301F5P3"/>
    <x v="42"/>
    <s v="preroll_labelled"/>
    <d v="2024-06-14T00:00:00"/>
    <n v="-12"/>
    <n v="0"/>
    <n v="-18"/>
    <m/>
    <x v="0"/>
    <n v="1.5"/>
  </r>
  <r>
    <s v="outbound"/>
    <d v="2025-01-24T15:23:00"/>
    <s v="shipment"/>
    <s v="PO_1032"/>
    <x v="179"/>
    <s v="PR241003F5P3"/>
    <x v="20"/>
    <s v="preroll_labelled"/>
    <d v="2024-10-10T00:00:00"/>
    <n v="-12"/>
    <n v="0"/>
    <n v="-18"/>
    <m/>
    <x v="0"/>
    <n v="1.5"/>
  </r>
  <r>
    <s v="outbound"/>
    <d v="2025-01-24T15:23:00"/>
    <s v="shipment"/>
    <s v="PO_1032"/>
    <x v="54"/>
    <s v="PR2407F5P3"/>
    <x v="31"/>
    <s v="preroll_labelled"/>
    <d v="2024-07-25T00:00:00"/>
    <n v="-12"/>
    <n v="0"/>
    <n v="-18"/>
    <m/>
    <x v="0"/>
    <n v="1.5"/>
  </r>
  <r>
    <s v="outbound"/>
    <d v="2025-01-24T15:23:00"/>
    <s v="shipment"/>
    <s v="PO_1033"/>
    <x v="345"/>
    <s v="EX25010907G1"/>
    <x v="89"/>
    <s v="extract_inhaled_labelled"/>
    <d v="2025-01-09T00:00:00"/>
    <n v="-24"/>
    <n v="0"/>
    <n v="-24"/>
    <m/>
    <x v="0"/>
    <n v="1"/>
  </r>
  <r>
    <s v="outbound"/>
    <d v="2025-01-24T15:23:00"/>
    <s v="shipment"/>
    <s v="PO_1033"/>
    <x v="342"/>
    <s v="PR2416F5P10"/>
    <x v="88"/>
    <s v="preroll_labelled"/>
    <d v="2024-12-16T00:00:00"/>
    <n v="-24"/>
    <n v="0"/>
    <n v="-120"/>
    <m/>
    <x v="0"/>
    <n v="5"/>
  </r>
  <r>
    <s v="outbound"/>
    <d v="2025-01-24T15:23:00"/>
    <s v="shipment"/>
    <s v="PO_1033"/>
    <x v="371"/>
    <s v="2024111801G7"/>
    <x v="83"/>
    <s v="driedflower_labelled"/>
    <d v="2024-12-05T00:00:00"/>
    <n v="-24"/>
    <n v="0"/>
    <n v="-168"/>
    <m/>
    <x v="0"/>
    <n v="7"/>
  </r>
  <r>
    <s v="outbound"/>
    <d v="2025-01-24T16:24:00"/>
    <s v="shipment"/>
    <s v="OFDMB250124"/>
    <x v="334"/>
    <s v="PR241104F5P3"/>
    <x v="18"/>
    <s v="preroll_labelled"/>
    <d v="2024-12-04T00:00:00"/>
    <n v="-48"/>
    <n v="0"/>
    <n v="-72"/>
    <m/>
    <x v="0"/>
    <n v="1.5"/>
  </r>
  <r>
    <s v="outbound"/>
    <d v="2025-01-24T16:24:00"/>
    <s v="shipment"/>
    <s v="OFDMB250124"/>
    <x v="344"/>
    <s v="TP24101701"/>
    <x v="2"/>
    <s v="topical_labelled"/>
    <d v="2024-10-23T00:00:00"/>
    <n v="-530"/>
    <n v="0"/>
    <n v="-46640"/>
    <m/>
    <x v="0"/>
    <n v="88"/>
  </r>
  <r>
    <s v="outbound"/>
    <d v="2025-01-24T16:24:00"/>
    <s v="shipment"/>
    <s v="OFDMB250124"/>
    <x v="371"/>
    <s v="2024111801G7"/>
    <x v="83"/>
    <s v="driedflower_labelled"/>
    <d v="2024-12-05T00:00:00"/>
    <n v="-564"/>
    <n v="0"/>
    <n v="-3948"/>
    <m/>
    <x v="0"/>
    <n v="7"/>
  </r>
  <r>
    <s v="outbound"/>
    <d v="2025-01-29T09:24:00"/>
    <s v="production"/>
    <s v="PR2502F2"/>
    <x v="372"/>
    <s v="PR2502"/>
    <x v="93"/>
    <s v="driedflower_milled_bulk_BURB"/>
    <s v="NA"/>
    <n v="-1"/>
    <n v="-4236"/>
    <n v="0"/>
    <m/>
    <x v="1"/>
    <n v="0"/>
  </r>
  <r>
    <s v="outbound"/>
    <d v="2025-01-29T09:24:00"/>
    <s v="shipment"/>
    <s v="PO_1034"/>
    <x v="230"/>
    <s v="PR241101F5P3"/>
    <x v="19"/>
    <s v="preroll_labelled"/>
    <d v="2024-10-16T00:00:00"/>
    <n v="-12"/>
    <n v="0"/>
    <n v="-18"/>
    <m/>
    <x v="0"/>
    <n v="1.5"/>
  </r>
  <r>
    <s v="outbound"/>
    <d v="2025-01-29T09:24:00"/>
    <s v="shipment"/>
    <s v="PO_1034"/>
    <x v="335"/>
    <s v="TP24120401G45"/>
    <x v="86"/>
    <s v="topical_labelled"/>
    <d v="2024-12-12T00:00:00"/>
    <n v="-12"/>
    <n v="0"/>
    <n v="-540"/>
    <m/>
    <x v="0"/>
    <n v="45"/>
  </r>
  <r>
    <s v="outbound"/>
    <d v="2025-01-29T09:24:00"/>
    <s v="shipment"/>
    <s v="PO_1034"/>
    <x v="329"/>
    <s v="PR241105F5P3"/>
    <x v="17"/>
    <s v="preroll_labelled"/>
    <d v="2024-11-19T00:00:00"/>
    <n v="-12"/>
    <n v="0"/>
    <n v="-18"/>
    <m/>
    <x v="0"/>
    <n v="1.5"/>
  </r>
  <r>
    <s v="outbound"/>
    <d v="2025-01-29T09:24:00"/>
    <s v="shipment"/>
    <s v="PO_1034"/>
    <x v="12"/>
    <s v="LR23032101"/>
    <x v="9"/>
    <s v="extract_inhaled_bulk"/>
    <s v="NA"/>
    <n v="0"/>
    <n v="-0.9"/>
    <n v="0"/>
    <m/>
    <x v="1"/>
    <n v="0"/>
  </r>
  <r>
    <s v="outbound"/>
    <d v="2025-01-29T09:24:00"/>
    <s v="shipment"/>
    <s v="PO_1034"/>
    <x v="292"/>
    <n v="2024111201"/>
    <x v="26"/>
    <s v="extract_distillate_bulk"/>
    <s v="NA"/>
    <n v="0"/>
    <n v="-5.6499999999999773"/>
    <n v="0"/>
    <m/>
    <x v="1"/>
    <n v="0"/>
  </r>
  <r>
    <s v="outbound"/>
    <d v="2025-01-29T09:24:00"/>
    <s v="shipment"/>
    <s v="PO_1034"/>
    <x v="285"/>
    <s v="EX24082906G05"/>
    <x v="53"/>
    <s v="extract_inhaled_labelled"/>
    <d v="2024-10-23T00:00:00"/>
    <n v="-4"/>
    <n v="0"/>
    <n v="-2"/>
    <m/>
    <x v="0"/>
    <n v="0.5"/>
  </r>
  <r>
    <s v="outbound"/>
    <d v="2025-01-29T09:24:00"/>
    <s v="shipment"/>
    <s v="PO_1034"/>
    <x v="336"/>
    <s v="EX24111306G05"/>
    <x v="53"/>
    <s v="extract_inhaled_labelled"/>
    <d v="2024-11-27T00:00:00"/>
    <n v="-1"/>
    <n v="0"/>
    <n v="-0.5"/>
    <m/>
    <x v="0"/>
    <n v="0.5"/>
  </r>
  <r>
    <s v="outbound"/>
    <d v="2025-01-29T09:24:00"/>
    <s v="shipment"/>
    <s v="PO_1034"/>
    <x v="371"/>
    <s v="2024111801G7"/>
    <x v="83"/>
    <s v="driedflower_labelled"/>
    <d v="2024-12-05T00:00:00"/>
    <n v="-13"/>
    <n v="0"/>
    <n v="-91"/>
    <m/>
    <x v="0"/>
    <n v="7"/>
  </r>
  <r>
    <s v="outbound"/>
    <d v="2025-01-29T09:24:00"/>
    <s v="shipment"/>
    <s v="PO_1034"/>
    <x v="350"/>
    <s v="EX24101704G05"/>
    <x v="48"/>
    <s v="extract_inhaled_labelled"/>
    <d v="2024-11-29T00:00:00"/>
    <n v="-5"/>
    <n v="0"/>
    <n v="-2.5"/>
    <m/>
    <x v="0"/>
    <n v="0.5"/>
  </r>
  <r>
    <s v="outbound"/>
    <d v="2025-01-29T09:24:00"/>
    <s v="shipment"/>
    <s v="PO_1034"/>
    <x v="373"/>
    <s v="CPR22102001"/>
    <x v="94"/>
    <s v="driedflower_milled_bulk"/>
    <s v="NA"/>
    <n v="-1"/>
    <n v="-3350"/>
    <n v="0"/>
    <m/>
    <x v="1"/>
    <n v="0"/>
  </r>
  <r>
    <s v="outbound"/>
    <d v="2025-01-29T09:24:00"/>
    <s v="shipment"/>
    <s v="PO_1035"/>
    <x v="345"/>
    <s v="EX25010907G1"/>
    <x v="89"/>
    <s v="extract_inhaled_labelled"/>
    <d v="2025-01-09T00:00:00"/>
    <n v="-12"/>
    <n v="0"/>
    <n v="-12"/>
    <m/>
    <x v="0"/>
    <n v="1"/>
  </r>
  <r>
    <s v="outbound"/>
    <d v="2025-01-29T09:24:00"/>
    <s v="shipment"/>
    <s v="PO_1035"/>
    <x v="351"/>
    <s v="EX24111301G05"/>
    <x v="47"/>
    <s v="extract_inhaled_labelled"/>
    <d v="2024-12-16T00:00:00"/>
    <n v="-12"/>
    <n v="0"/>
    <n v="-6"/>
    <m/>
    <x v="0"/>
    <n v="0.5"/>
  </r>
  <r>
    <s v="outbound"/>
    <d v="2025-01-29T09:24:00"/>
    <s v="shipment"/>
    <s v="PO_1035"/>
    <x v="285"/>
    <s v="EX24082906G05"/>
    <x v="53"/>
    <s v="extract_inhaled_labelled"/>
    <d v="2024-10-23T00:00:00"/>
    <n v="-12"/>
    <n v="0"/>
    <n v="-6"/>
    <m/>
    <x v="0"/>
    <n v="0.5"/>
  </r>
  <r>
    <s v="outbound"/>
    <d v="2025-01-29T09:24:00"/>
    <s v="shipment"/>
    <s v="PO_1035"/>
    <x v="374"/>
    <s v="PR21071201G1"/>
    <x v="95"/>
    <s v="preroll_bulk"/>
    <s v="NA"/>
    <n v="-120"/>
    <n v="0"/>
    <n v="-120"/>
    <m/>
    <x v="0"/>
    <n v="1"/>
  </r>
  <r>
    <s v="outbound"/>
    <d v="2025-01-29T09:24:00"/>
    <s v="shipment"/>
    <s v="PO_1035"/>
    <x v="79"/>
    <s v="PR21071201G1"/>
    <x v="11"/>
    <s v="preroll_labelled"/>
    <d v="2024-10-28T00:00:00"/>
    <n v="-15"/>
    <n v="0"/>
    <n v="-15"/>
    <m/>
    <x v="0"/>
    <n v="1"/>
  </r>
  <r>
    <s v="outbound"/>
    <d v="2025-01-29T09:24:00"/>
    <s v="shipment"/>
    <s v="PO_0079171"/>
    <x v="315"/>
    <s v="EX24100801V30"/>
    <x v="44"/>
    <s v="extract_ingested_labelled"/>
    <d v="2024-10-25T00:00:00"/>
    <n v="-15"/>
    <n v="0"/>
    <n v="-409.5"/>
    <m/>
    <x v="0"/>
    <n v="27.3"/>
  </r>
  <r>
    <s v="outbound"/>
    <d v="2025-01-29T09:24:00"/>
    <s v="shipment"/>
    <s v="PO_0079171"/>
    <x v="375"/>
    <s v="EX24100801V30"/>
    <x v="44"/>
    <s v="extract_ingested_labelled"/>
    <d v="2024-10-25T00:00:00"/>
    <n v="-21"/>
    <n v="0"/>
    <n v="-573.30000000000007"/>
    <m/>
    <x v="0"/>
    <n v="27.3"/>
  </r>
  <r>
    <s v="outbound"/>
    <d v="2025-01-29T09:24:00"/>
    <s v="shipment"/>
    <s v="PO_0079171"/>
    <x v="376"/>
    <s v="PR241101F5P3"/>
    <x v="19"/>
    <s v="preroll_labelled"/>
    <d v="2024-10-09T00:00:00"/>
    <n v="-9"/>
    <n v="0"/>
    <n v="-13.5"/>
    <m/>
    <x v="0"/>
    <n v="1.5"/>
  </r>
  <r>
    <s v="outbound"/>
    <d v="2025-01-29T09:24:00"/>
    <s v="shipment"/>
    <s v="PO_0079171"/>
    <x v="213"/>
    <s v="PR241101F5P3"/>
    <x v="19"/>
    <s v="preroll_labelled"/>
    <d v="2024-10-09T00:00:00"/>
    <n v="-3"/>
    <n v="0"/>
    <n v="-4.5"/>
    <m/>
    <x v="0"/>
    <n v="1.5"/>
  </r>
  <r>
    <s v="outbound"/>
    <d v="2025-01-30T11:43:00"/>
    <s v="shipment"/>
    <s v="OFDMB250124"/>
    <x v="342"/>
    <s v="PR2416F5P10"/>
    <x v="88"/>
    <s v="preroll_labelled"/>
    <d v="2024-12-16T00:00:00"/>
    <n v="-148"/>
    <n v="0"/>
    <n v="-740"/>
    <m/>
    <x v="0"/>
    <n v="5"/>
  </r>
  <r>
    <s v="outbound"/>
    <d v="2025-01-30T13:11:00"/>
    <s v="sampling"/>
    <s v="steve250130"/>
    <x v="243"/>
    <s v="EX24101705G05"/>
    <x v="49"/>
    <s v="extract_inhaled_labelled"/>
    <d v="2024-10-29T00:00:00"/>
    <n v="-1"/>
    <n v="0"/>
    <n v="-0.5"/>
    <m/>
    <x v="0"/>
    <n v="0.5"/>
  </r>
  <r>
    <s v="outbound"/>
    <d v="2025-01-30T13:11:00"/>
    <s v="sampling"/>
    <s v="steve250130"/>
    <x v="345"/>
    <s v="EX25010907G1"/>
    <x v="89"/>
    <s v="extract_inhaled_labelled"/>
    <d v="2025-01-09T00:00:00"/>
    <n v="-1"/>
    <n v="0"/>
    <n v="-1"/>
    <m/>
    <x v="0"/>
    <n v="1"/>
  </r>
  <r>
    <s v="outbound"/>
    <d v="2025-01-30T13:11:00"/>
    <s v="sampling"/>
    <s v="steve250130"/>
    <x v="320"/>
    <s v="EX24101703G05"/>
    <x v="45"/>
    <s v="extract_inhaled_labelled"/>
    <d v="2024-11-07T00:00:00"/>
    <n v="-1"/>
    <n v="0"/>
    <n v="-0.5"/>
    <m/>
    <x v="0"/>
    <n v="0.5"/>
  </r>
  <r>
    <s v="outbound"/>
    <d v="2025-01-31T14:14:00"/>
    <s v="sampling"/>
    <s v="s1"/>
    <x v="227"/>
    <n v="2022051601"/>
    <x v="66"/>
    <s v="driedflower_bulk"/>
    <d v="2022-09-26T00:00:00"/>
    <n v="-1"/>
    <n v="-1030"/>
    <n v="0"/>
    <m/>
    <x v="1"/>
    <n v="0"/>
  </r>
  <r>
    <s v="outbound"/>
    <d v="2025-01-31T14:14:00"/>
    <s v="sampling"/>
    <s v="s1"/>
    <x v="252"/>
    <n v="2022051603"/>
    <x v="21"/>
    <s v="driedflower_bulk"/>
    <d v="2022-09-26T00:00:00"/>
    <n v="-1"/>
    <n v="-1010"/>
    <n v="0"/>
    <m/>
    <x v="1"/>
    <n v="0"/>
  </r>
  <r>
    <s v="outbound"/>
    <d v="2025-01-31T14:42:00"/>
    <s v="sampling"/>
    <s v="s1"/>
    <x v="377"/>
    <s v="CPR22102102"/>
    <x v="3"/>
    <s v="driedflower_milled_bulk"/>
    <s v="NA"/>
    <n v="-1"/>
    <n v="-2580"/>
    <n v="0"/>
    <m/>
    <x v="1"/>
    <n v="0"/>
  </r>
  <r>
    <s v="outbound"/>
    <d v="2025-01-31T14:42:00"/>
    <s v="sampling"/>
    <s v="s1"/>
    <x v="373"/>
    <s v="CPR22102001"/>
    <x v="94"/>
    <s v="driedflower_milled_bulk"/>
    <s v="NA"/>
    <n v="-1"/>
    <n v="-3350"/>
    <n v="0"/>
    <m/>
    <x v="1"/>
    <n v="0"/>
  </r>
  <r>
    <s v="outbound"/>
    <d v="2025-01-31T17:03:00"/>
    <s v="sampling"/>
    <s v="s2"/>
    <x v="306"/>
    <n v="2024111803"/>
    <x v="79"/>
    <s v="driedflower_bulk"/>
    <s v="NA"/>
    <n v="0"/>
    <n v="-55"/>
    <n v="0"/>
    <m/>
    <x v="1"/>
    <n v="0"/>
  </r>
  <r>
    <s v="outbound"/>
    <d v="2025-02-03T11:12:00"/>
    <s v="shipment"/>
    <s v="PO_1036"/>
    <x v="371"/>
    <s v="2024111801G7"/>
    <x v="83"/>
    <s v="driedflower_labelled"/>
    <d v="2024-12-05T00:00:00"/>
    <n v="-24"/>
    <n v="0"/>
    <n v="-168"/>
    <m/>
    <x v="0"/>
    <n v="7"/>
  </r>
  <r>
    <s v="outbound"/>
    <d v="2025-02-03T12:45:00"/>
    <s v="production"/>
    <s v="midnight kruntz 0.5g preroll"/>
    <x v="378"/>
    <s v="PR2501"/>
    <x v="84"/>
    <s v="driedflower_milled_bulk"/>
    <s v="NA"/>
    <n v="-1"/>
    <n v="-5472"/>
    <n v="0"/>
    <m/>
    <x v="1"/>
    <n v="0"/>
  </r>
  <r>
    <s v="outbound"/>
    <d v="2025-02-03T13:16:00"/>
    <s v="production"/>
    <s v="PO_50040988"/>
    <x v="379"/>
    <n v="2025010201"/>
    <x v="96"/>
    <s v="driedflower_bulk_BURB"/>
    <s v="NA"/>
    <n v="-1"/>
    <n v="-4670"/>
    <n v="0"/>
    <m/>
    <x v="1"/>
    <n v="0"/>
  </r>
  <r>
    <s v="outbound"/>
    <d v="2025-02-03T13:16:00"/>
    <s v="production"/>
    <s v="PO_50040988"/>
    <x v="380"/>
    <n v="2025010201"/>
    <x v="96"/>
    <s v="driedflower_bulk_BURB"/>
    <s v="NA"/>
    <n v="-1"/>
    <n v="-4665"/>
    <n v="0"/>
    <m/>
    <x v="1"/>
    <n v="0"/>
  </r>
  <r>
    <s v="outbound"/>
    <d v="2025-02-03T13:16:00"/>
    <s v="production"/>
    <s v="PO_50040988"/>
    <x v="381"/>
    <n v="2025010201"/>
    <x v="96"/>
    <s v="driedflower_bulk_BURB"/>
    <s v="NA"/>
    <n v="-1"/>
    <n v="-4665"/>
    <n v="0"/>
    <m/>
    <x v="1"/>
    <n v="0"/>
  </r>
  <r>
    <s v="outbound"/>
    <d v="2025-02-03T14:25:00"/>
    <s v="shipment"/>
    <s v="PO_444014"/>
    <x v="323"/>
    <s v="TP21121701"/>
    <x v="82"/>
    <s v="topical_labelled"/>
    <d v="2024-12-23T00:00:00"/>
    <n v="-12"/>
    <n v="0"/>
    <n v="-1440"/>
    <m/>
    <x v="0"/>
    <n v="120"/>
  </r>
  <r>
    <s v="outbound"/>
    <d v="2025-02-04T10:19:00"/>
    <s v="shipment"/>
    <s v="PO_0079599"/>
    <x v="375"/>
    <s v="EX24100801V30"/>
    <x v="44"/>
    <s v="extract_ingested_labelled"/>
    <d v="2024-10-25T00:00:00"/>
    <n v="-43"/>
    <n v="0"/>
    <n v="-1173.9000000000001"/>
    <m/>
    <x v="0"/>
    <n v="27.3"/>
  </r>
  <r>
    <s v="outbound"/>
    <d v="2025-02-04T10:19:00"/>
    <s v="shipment"/>
    <s v="PO_0079599"/>
    <x v="382"/>
    <s v="EX24100801V30"/>
    <x v="44"/>
    <s v="extract_ingested_labelled"/>
    <d v="2024-10-25T00:00:00"/>
    <n v="-5"/>
    <n v="0"/>
    <n v="-136.5"/>
    <m/>
    <x v="0"/>
    <n v="27.3"/>
  </r>
  <r>
    <s v="inbound"/>
    <d v="2025-02-05T00:00:00"/>
    <s v="storage"/>
    <m/>
    <x v="383"/>
    <s v="CPR22112801"/>
    <x v="85"/>
    <s v="driedflower_milled_bulk"/>
    <s v="NA"/>
    <n v="1"/>
    <n v="2920"/>
    <n v="0"/>
    <m/>
    <x v="1"/>
    <n v="0"/>
  </r>
  <r>
    <s v="outbound"/>
    <d v="2025-02-05T13:05:00"/>
    <s v="shipment"/>
    <s v="PO_1037"/>
    <x v="376"/>
    <s v="PR241101F5P3"/>
    <x v="19"/>
    <s v="preroll_labelled"/>
    <d v="2024-10-09T00:00:00"/>
    <n v="-12"/>
    <n v="0"/>
    <n v="-18"/>
    <m/>
    <x v="0"/>
    <n v="1.5"/>
  </r>
  <r>
    <s v="outbound"/>
    <d v="2025-02-05T13:05:00"/>
    <s v="shipment"/>
    <s v="PO_1037"/>
    <x v="329"/>
    <s v="PR241105F5P3"/>
    <x v="17"/>
    <s v="preroll_labelled"/>
    <d v="2024-11-19T00:00:00"/>
    <n v="-12"/>
    <n v="0"/>
    <n v="-18"/>
    <m/>
    <x v="0"/>
    <n v="1.5"/>
  </r>
  <r>
    <s v="outbound"/>
    <d v="2025-02-05T13:05:00"/>
    <s v="shipment"/>
    <s v="PO_1037"/>
    <x v="345"/>
    <s v="EX25010907G1"/>
    <x v="89"/>
    <s v="extract_inhaled_labelled"/>
    <d v="2025-01-09T00:00:00"/>
    <n v="-12"/>
    <n v="0"/>
    <n v="-12"/>
    <m/>
    <x v="0"/>
    <n v="1"/>
  </r>
  <r>
    <s v="outbound"/>
    <d v="2025-02-05T13:05:00"/>
    <s v="shipment"/>
    <s v="PO_1037"/>
    <x v="293"/>
    <s v="EX24111302G05"/>
    <x v="46"/>
    <s v="extract_inhaled_labelled"/>
    <d v="2024-11-27T00:00:00"/>
    <n v="-12"/>
    <n v="0"/>
    <n v="-6"/>
    <m/>
    <x v="0"/>
    <n v="0.5"/>
  </r>
  <r>
    <s v="outbound"/>
    <d v="2025-02-05T13:05:00"/>
    <s v="shipment"/>
    <s v="PO_1037"/>
    <x v="325"/>
    <s v="2024111801G7"/>
    <x v="83"/>
    <s v="driedflower_labelled"/>
    <d v="2024-12-05T00:00:00"/>
    <n v="-12"/>
    <n v="0"/>
    <n v="-84"/>
    <m/>
    <x v="0"/>
    <n v="7"/>
  </r>
  <r>
    <s v="outbound"/>
    <d v="2025-02-05T13:20:00"/>
    <s v="shipment"/>
    <s v="PO_1037"/>
    <x v="342"/>
    <s v="PR2416F5P10"/>
    <x v="88"/>
    <s v="preroll_labelled"/>
    <d v="2024-12-16T00:00:00"/>
    <n v="-12"/>
    <n v="0"/>
    <n v="-60"/>
    <m/>
    <x v="0"/>
    <n v="5"/>
  </r>
  <r>
    <s v="inbound"/>
    <d v="2025-02-05T14:58:00"/>
    <s v="storage"/>
    <m/>
    <x v="12"/>
    <s v="LR23032101"/>
    <x v="9"/>
    <s v="extract_inhaled_bulk"/>
    <s v="NA"/>
    <n v="1"/>
    <n v="1760"/>
    <n v="0"/>
    <m/>
    <x v="1"/>
    <n v="0"/>
  </r>
  <r>
    <s v="inbound"/>
    <d v="2025-02-05T15:27:00"/>
    <s v="storage"/>
    <m/>
    <x v="292"/>
    <n v="2024111201"/>
    <x v="26"/>
    <s v="extract_distillate_bulk"/>
    <s v="NA"/>
    <n v="1"/>
    <n v="269.98"/>
    <n v="0"/>
    <m/>
    <x v="1"/>
    <n v="0"/>
  </r>
  <r>
    <s v="inbound"/>
    <d v="2025-02-05T15:30:00"/>
    <s v="storage"/>
    <m/>
    <x v="371"/>
    <s v="2024111801G7"/>
    <x v="83"/>
    <s v="driedflower_labelled"/>
    <d v="2024-12-05T00:00:00"/>
    <n v="371"/>
    <n v="0"/>
    <n v="2597"/>
    <m/>
    <x v="0"/>
    <n v="7"/>
  </r>
  <r>
    <s v="inbound"/>
    <d v="2025-02-05T15:45:00"/>
    <s v="storage"/>
    <m/>
    <x v="377"/>
    <s v="CPR22102102"/>
    <x v="3"/>
    <s v="driedflower_milled_bulk"/>
    <s v="NA"/>
    <n v="1"/>
    <n v="2558"/>
    <n v="0"/>
    <m/>
    <x v="1"/>
    <n v="0"/>
  </r>
  <r>
    <s v="inbound"/>
    <d v="2025-02-05T15:45:00"/>
    <s v="storage"/>
    <m/>
    <x v="372"/>
    <s v="PR2502"/>
    <x v="93"/>
    <s v="driedflower_milled_bulk_BURB"/>
    <s v="NA"/>
    <n v="1"/>
    <n v="3420"/>
    <n v="0"/>
    <m/>
    <x v="1"/>
    <n v="0"/>
  </r>
  <r>
    <s v="inbound"/>
    <d v="2025-02-05T15:49:00"/>
    <s v="storage"/>
    <m/>
    <x v="373"/>
    <s v="CPR22102001"/>
    <x v="94"/>
    <s v="driedflower_milled_bulk"/>
    <s v="NA"/>
    <n v="1"/>
    <n v="3328"/>
    <n v="0"/>
    <m/>
    <x v="1"/>
    <n v="0"/>
  </r>
  <r>
    <s v="outbound"/>
    <d v="2025-02-06T10:54:00"/>
    <s v="production"/>
    <s v="PO_50040988"/>
    <x v="384"/>
    <n v="2025010201"/>
    <x v="96"/>
    <s v="driedflower_bulk_BURB"/>
    <s v="NA"/>
    <n v="-1"/>
    <n v="-4670"/>
    <n v="0"/>
    <m/>
    <x v="1"/>
    <n v="0"/>
  </r>
  <r>
    <s v="outbound"/>
    <d v="2025-02-06T10:54:00"/>
    <s v="production"/>
    <s v="PO_50040988"/>
    <x v="385"/>
    <n v="2025010201"/>
    <x v="96"/>
    <s v="driedflower_bulk_BURB"/>
    <s v="NA"/>
    <n v="-1"/>
    <n v="-4670"/>
    <n v="0"/>
    <m/>
    <x v="1"/>
    <n v="0"/>
  </r>
  <r>
    <s v="outbound"/>
    <d v="2025-02-06T10:54:00"/>
    <s v="production"/>
    <s v="labelling"/>
    <x v="386"/>
    <s v="EX25011501V50"/>
    <x v="97"/>
    <s v="extract_ingested_labelled"/>
    <d v="2025-02-04T00:00:00"/>
    <n v="-227"/>
    <n v="0"/>
    <n v="-11350"/>
    <m/>
    <x v="0"/>
    <n v="50"/>
  </r>
  <r>
    <s v="outbound"/>
    <d v="2025-02-06T10:54:00"/>
    <s v="production"/>
    <s v="labelling"/>
    <x v="387"/>
    <s v="EX25011501V50"/>
    <x v="97"/>
    <s v="extract_ingested_labelled"/>
    <d v="2025-02-04T00:00:00"/>
    <n v="-231"/>
    <n v="0"/>
    <n v="-11550"/>
    <m/>
    <x v="0"/>
    <n v="50"/>
  </r>
  <r>
    <s v="outbound"/>
    <d v="2025-02-06T10:54:00"/>
    <s v="production"/>
    <s v="labelling"/>
    <x v="388"/>
    <s v="EX25011501V50"/>
    <x v="97"/>
    <s v="extract_ingested_labelled"/>
    <d v="2025-02-04T00:00:00"/>
    <n v="-231"/>
    <n v="0"/>
    <n v="-11550"/>
    <m/>
    <x v="0"/>
    <n v="50"/>
  </r>
  <r>
    <s v="outbound"/>
    <d v="2025-02-06T12:47:00"/>
    <s v="production"/>
    <s v="concord grape vape"/>
    <x v="389"/>
    <n v="2025012801"/>
    <x v="26"/>
    <s v="extract_distillate_bulk"/>
    <s v="NA"/>
    <n v="-1"/>
    <n v="-2985"/>
    <n v="0"/>
    <m/>
    <x v="1"/>
    <n v="0"/>
  </r>
  <r>
    <s v="outbound"/>
    <d v="2025-02-06T15:08:00"/>
    <s v="sampling"/>
    <m/>
    <x v="12"/>
    <s v="LR23032101"/>
    <x v="9"/>
    <s v="extract_inhaled_bulk"/>
    <s v="NA"/>
    <n v="-1"/>
    <n v="-1760"/>
    <n v="0"/>
    <m/>
    <x v="1"/>
    <n v="0"/>
  </r>
  <r>
    <s v="outbound"/>
    <d v="2025-02-06T15:27:00"/>
    <s v="sampling"/>
    <m/>
    <x v="235"/>
    <s v="EX23060701V30"/>
    <x v="22"/>
    <s v="extract_ingested_labelled"/>
    <d v="2024-10-31T00:00:00"/>
    <n v="-28"/>
    <n v="-1760"/>
    <n v="-767.19999999999993"/>
    <m/>
    <x v="0"/>
    <n v="27.4"/>
  </r>
  <r>
    <s v="inbound"/>
    <d v="2025-02-06T15:39:00"/>
    <s v="storage"/>
    <m/>
    <x v="227"/>
    <n v="2022051601"/>
    <x v="66"/>
    <s v="driedflower_bulk"/>
    <d v="2022-09-26T00:00:00"/>
    <n v="1"/>
    <n v="1030"/>
    <n v="0"/>
    <m/>
    <x v="1"/>
    <n v="0"/>
  </r>
  <r>
    <s v="inbound"/>
    <d v="2025-02-06T15:39:00"/>
    <s v="storage"/>
    <m/>
    <x v="252"/>
    <n v="2022051603"/>
    <x v="21"/>
    <s v="driedflower_bulk"/>
    <d v="2022-09-26T00:00:00"/>
    <n v="1"/>
    <n v="1010"/>
    <n v="0"/>
    <m/>
    <x v="1"/>
    <n v="0"/>
  </r>
  <r>
    <s v="inbound"/>
    <d v="2025-02-06T15:45:00"/>
    <s v="storage"/>
    <s v="labelling"/>
    <x v="386"/>
    <s v="EX25011501V50"/>
    <x v="97"/>
    <s v="extract_ingested_labelled"/>
    <d v="2025-02-04T00:00:00"/>
    <n v="227"/>
    <n v="0"/>
    <n v="11350"/>
    <m/>
    <x v="0"/>
    <n v="50"/>
  </r>
  <r>
    <s v="inbound"/>
    <d v="2025-02-06T15:45:00"/>
    <s v="storage"/>
    <s v="labelling"/>
    <x v="387"/>
    <s v="EX25011501V50"/>
    <x v="97"/>
    <s v="extract_ingested_labelled"/>
    <d v="2025-02-04T00:00:00"/>
    <n v="231"/>
    <n v="0"/>
    <n v="11550"/>
    <m/>
    <x v="0"/>
    <n v="50"/>
  </r>
  <r>
    <s v="inbound"/>
    <d v="2025-02-06T15:45:00"/>
    <s v="storage"/>
    <s v="labelling"/>
    <x v="388"/>
    <s v="EX25011501V50"/>
    <x v="97"/>
    <s v="extract_ingested_labelled"/>
    <d v="2025-02-04T00:00:00"/>
    <n v="231"/>
    <n v="0"/>
    <n v="11550"/>
    <m/>
    <x v="0"/>
    <n v="50"/>
  </r>
  <r>
    <s v="inbound"/>
    <d v="2025-02-06T16:53:00"/>
    <s v="storage"/>
    <m/>
    <x v="384"/>
    <n v="2025010201"/>
    <x v="96"/>
    <s v="driedflower_bulk_BURB"/>
    <s v="NA"/>
    <n v="1"/>
    <n v="4670"/>
    <n v="0"/>
    <m/>
    <x v="1"/>
    <n v="0"/>
  </r>
  <r>
    <s v="outbound"/>
    <d v="2025-02-07T11:17:00"/>
    <s v="sampling"/>
    <s v="sample250207"/>
    <x v="345"/>
    <s v="EX25010907G1"/>
    <x v="89"/>
    <s v="extract_inhaled_labelled"/>
    <d v="2025-01-09T00:00:00"/>
    <n v="-2"/>
    <n v="0"/>
    <n v="-2"/>
    <m/>
    <x v="0"/>
    <n v="1"/>
  </r>
  <r>
    <s v="outbound"/>
    <d v="2025-02-10T11:28:00"/>
    <s v="shipment"/>
    <s v="PO_Jan30-2025_Adar Vitis_x0009_"/>
    <x v="317"/>
    <s v="EX24111801V50"/>
    <x v="33"/>
    <s v="extract_ingested_labelled"/>
    <d v="2024-11-28T00:00:00"/>
    <n v="-5"/>
    <n v="0"/>
    <n v="-250"/>
    <m/>
    <x v="0"/>
    <n v="50"/>
  </r>
  <r>
    <s v="outbound"/>
    <d v="2025-02-10T11:28:00"/>
    <s v="shipment"/>
    <s v="PO_Jan30-2025_Adar Vitis_x0009_"/>
    <x v="107"/>
    <s v="EX24090501V50"/>
    <x v="33"/>
    <s v="extract_ingested_labelled"/>
    <d v="2024-09-15T00:00:00"/>
    <n v="-7"/>
    <n v="0"/>
    <n v="-350"/>
    <m/>
    <x v="0"/>
    <n v="50"/>
  </r>
  <r>
    <s v="outbound"/>
    <d v="2025-02-10T11:34:00"/>
    <s v="shipment"/>
    <s v="PO_443748"/>
    <x v="325"/>
    <s v="2024111801G7"/>
    <x v="83"/>
    <s v="driedflower_labelled"/>
    <d v="2024-12-05T00:00:00"/>
    <n v="-12"/>
    <n v="0"/>
    <n v="-84"/>
    <m/>
    <x v="0"/>
    <n v="7"/>
  </r>
  <r>
    <s v="outbound"/>
    <d v="2025-02-10T13:56:00"/>
    <s v="shipment"/>
    <s v="PO_Jan30-2025_Adar Vitis_x0009_"/>
    <x v="386"/>
    <s v="EX25011501V50"/>
    <x v="97"/>
    <s v="extract_ingested_labelled"/>
    <d v="2025-02-04T00:00:00"/>
    <n v="-36"/>
    <n v="0"/>
    <n v="-1800"/>
    <m/>
    <x v="0"/>
    <n v="50"/>
  </r>
  <r>
    <s v="outbound"/>
    <d v="2025-02-10T13:56:00"/>
    <s v="shipment"/>
    <s v="PO_Jan30-2025_Adar Vitis_x0009_"/>
    <x v="340"/>
    <s v="EX24111801V50"/>
    <x v="33"/>
    <s v="extract_ingested_cased_BC"/>
    <d v="2024-11-28T00:00:00"/>
    <n v="-1"/>
    <n v="0"/>
    <n v="-600"/>
    <m/>
    <x v="0"/>
    <n v="600"/>
  </r>
  <r>
    <s v="outbound"/>
    <d v="2025-02-10T13:56:00"/>
    <s v="shipment"/>
    <s v="PO_Jan30-2025_Adar Vitis_x0009_"/>
    <x v="390"/>
    <s v="EX24092601V50"/>
    <x v="41"/>
    <s v="extract_ingested_cased_BC"/>
    <d v="2024-10-11T00:00:00"/>
    <n v="-3"/>
    <n v="0"/>
    <n v="-1800"/>
    <m/>
    <x v="0"/>
    <n v="600"/>
  </r>
  <r>
    <s v="outbound"/>
    <d v="2025-02-10T14:06:00"/>
    <s v="shipment"/>
    <s v="PO_Jan30-2025_Adar Vitis (replace ON with BC stamps)"/>
    <x v="318"/>
    <s v="EX24111801V50"/>
    <x v="33"/>
    <s v="extract_ingested_cased_ON"/>
    <d v="2024-11-28T00:00:00"/>
    <n v="-1"/>
    <n v="0"/>
    <n v="-600"/>
    <m/>
    <x v="0"/>
    <n v="600"/>
  </r>
  <r>
    <s v="inbound"/>
    <d v="2025-02-10T15:19:00"/>
    <s v="storage"/>
    <m/>
    <x v="378"/>
    <s v="PR2501"/>
    <x v="84"/>
    <s v="driedflower_milled_bulk"/>
    <s v="NA"/>
    <n v="1"/>
    <n v="4585"/>
    <n v="0"/>
    <m/>
    <x v="1"/>
    <n v="0"/>
  </r>
  <r>
    <s v="inbound"/>
    <d v="2025-02-10T15:35:00"/>
    <s v="storage"/>
    <m/>
    <x v="389"/>
    <n v="2025012801"/>
    <x v="26"/>
    <s v="extract_distillate_bulk"/>
    <s v="NA"/>
    <n v="1"/>
    <n v="2706"/>
    <n v="0"/>
    <m/>
    <x v="1"/>
    <n v="0"/>
  </r>
  <r>
    <s v="inbound"/>
    <d v="2025-02-10T15:35:00"/>
    <s v="storage"/>
    <m/>
    <x v="12"/>
    <s v="LR23032101"/>
    <x v="9"/>
    <s v="extract_inhaled_bulk"/>
    <s v="NA"/>
    <n v="1"/>
    <n v="1758"/>
    <n v="0"/>
    <m/>
    <x v="1"/>
    <n v="0"/>
  </r>
  <r>
    <s v="outbound"/>
    <d v="2025-02-10T16:23:00"/>
    <s v="sampling"/>
    <s v="chantelle250210"/>
    <x v="378"/>
    <s v="PR2501"/>
    <x v="84"/>
    <s v="driedflower_milled_bulk"/>
    <s v="NA"/>
    <n v="-1"/>
    <n v="-4585"/>
    <n v="0"/>
    <m/>
    <x v="1"/>
    <n v="0"/>
  </r>
  <r>
    <s v="outbound"/>
    <d v="2025-02-10T16:31:00"/>
    <s v="sampling"/>
    <s v="chantelle250210"/>
    <x v="335"/>
    <s v="TP24120401G45"/>
    <x v="86"/>
    <s v="topical_labelled"/>
    <d v="2024-12-12T00:00:00"/>
    <n v="-1"/>
    <n v="0"/>
    <n v="-45"/>
    <m/>
    <x v="0"/>
    <n v="45"/>
  </r>
  <r>
    <s v="outbound"/>
    <d v="2025-02-10T16:31:00"/>
    <s v="sampling"/>
    <s v="chantelle250210"/>
    <x v="306"/>
    <n v="2024111803"/>
    <x v="79"/>
    <s v="driedflower_bulk"/>
    <s v="NA"/>
    <n v="0"/>
    <n v="-25"/>
    <n v="0"/>
    <m/>
    <x v="1"/>
    <n v="0"/>
  </r>
  <r>
    <s v="outbound"/>
    <d v="2025-02-11T11:22:00"/>
    <s v="sampling"/>
    <s v="rohan250211"/>
    <x v="335"/>
    <s v="TP24120401G45"/>
    <x v="86"/>
    <s v="topical_labelled"/>
    <d v="2024-12-12T00:00:00"/>
    <n v="-1"/>
    <n v="0"/>
    <n v="-45"/>
    <m/>
    <x v="0"/>
    <n v="45"/>
  </r>
  <r>
    <s v="outbound"/>
    <d v="2025-02-11T11:22:00"/>
    <s v="sampling"/>
    <s v="rohan250211"/>
    <x v="391"/>
    <s v="EX24101705G05"/>
    <x v="49"/>
    <s v="extract_inhaled_labelled"/>
    <d v="2024-12-03T00:00:00"/>
    <n v="-1"/>
    <n v="0"/>
    <n v="-0.5"/>
    <m/>
    <x v="0"/>
    <n v="0.5"/>
  </r>
  <r>
    <s v="outbound"/>
    <d v="2025-02-11T11:22:00"/>
    <s v="sampling"/>
    <s v="rohan250211"/>
    <x v="106"/>
    <s v="EX24061401V30"/>
    <x v="32"/>
    <s v="extract_ingested_labelled"/>
    <d v="2024-06-24T00:00:00"/>
    <n v="-1"/>
    <n v="0"/>
    <n v="-27.3"/>
    <m/>
    <x v="0"/>
    <n v="27.3"/>
  </r>
  <r>
    <s v="outbound"/>
    <d v="2025-02-11T11:35:00"/>
    <s v="shipment"/>
    <s v="PO_1038"/>
    <x v="334"/>
    <s v="PR241104F5P3"/>
    <x v="18"/>
    <s v="preroll_labelled"/>
    <d v="2024-12-04T00:00:00"/>
    <n v="-24"/>
    <n v="0"/>
    <n v="-36"/>
    <m/>
    <x v="0"/>
    <n v="1.5"/>
  </r>
  <r>
    <s v="outbound"/>
    <d v="2025-02-11T11:35:00"/>
    <s v="shipment"/>
    <s v="PO_1038"/>
    <x v="293"/>
    <s v="EX24111302G05"/>
    <x v="46"/>
    <s v="extract_inhaled_labelled"/>
    <d v="2024-11-27T00:00:00"/>
    <n v="-12"/>
    <n v="0"/>
    <n v="-6"/>
    <m/>
    <x v="0"/>
    <n v="0.5"/>
  </r>
  <r>
    <s v="outbound"/>
    <d v="2025-02-11T11:35:00"/>
    <s v="shipment"/>
    <s v="PO_1038"/>
    <x v="272"/>
    <s v="EX24022302V30"/>
    <x v="72"/>
    <s v="extract_ingested_labelled"/>
    <d v="2024-10-23T00:00:00"/>
    <n v="-12"/>
    <n v="0"/>
    <n v="-331.20000000000005"/>
    <m/>
    <x v="0"/>
    <n v="27.6"/>
  </r>
  <r>
    <s v="outbound"/>
    <d v="2025-02-11T15:02:00"/>
    <s v="shipment"/>
    <s v="PO_1039"/>
    <x v="382"/>
    <s v="EX24100801V30"/>
    <x v="44"/>
    <s v="extract_ingested_labelled"/>
    <d v="2024-10-25T00:00:00"/>
    <n v="-12"/>
    <n v="0"/>
    <n v="-327.60000000000002"/>
    <m/>
    <x v="0"/>
    <n v="27.3"/>
  </r>
  <r>
    <s v="outbound"/>
    <d v="2025-02-11T15:02:00"/>
    <s v="shipment"/>
    <s v="PO_1039"/>
    <x v="342"/>
    <s v="PR2416F5P10"/>
    <x v="88"/>
    <s v="preroll_labelled"/>
    <d v="2024-12-16T00:00:00"/>
    <n v="-12"/>
    <n v="0"/>
    <n v="-60"/>
    <m/>
    <x v="0"/>
    <n v="5"/>
  </r>
  <r>
    <s v="outbound"/>
    <d v="2025-02-11T15:02:00"/>
    <s v="shipment"/>
    <s v="PO_1039"/>
    <x v="334"/>
    <s v="PR241104F5P3"/>
    <x v="18"/>
    <s v="preroll_labelled"/>
    <d v="2024-12-04T00:00:00"/>
    <n v="-12"/>
    <n v="0"/>
    <n v="-18"/>
    <m/>
    <x v="0"/>
    <n v="1.5"/>
  </r>
  <r>
    <s v="outbound"/>
    <d v="2025-02-11T15:02:00"/>
    <s v="shipment"/>
    <s v="PO_1039"/>
    <x v="329"/>
    <s v="PR241105F5P3"/>
    <x v="17"/>
    <s v="preroll_labelled"/>
    <d v="2024-11-19T00:00:00"/>
    <n v="-12"/>
    <n v="0"/>
    <n v="-18"/>
    <m/>
    <x v="0"/>
    <n v="1.5"/>
  </r>
  <r>
    <s v="outbound"/>
    <d v="2025-02-12T11:13:00"/>
    <s v="production"/>
    <s v="preroll bulk"/>
    <x v="392"/>
    <s v="PR2501"/>
    <x v="84"/>
    <s v="driedflower_milled_bulk"/>
    <s v="NA"/>
    <n v="-1"/>
    <n v="-5870"/>
    <n v="0"/>
    <m/>
    <x v="1"/>
    <n v="0"/>
  </r>
  <r>
    <s v="outbound"/>
    <d v="2025-02-12T11:26:00"/>
    <s v="shipment"/>
    <s v="PO_1043-1"/>
    <x v="345"/>
    <s v="EX25010907G1"/>
    <x v="89"/>
    <s v="extract_inhaled_labelled"/>
    <d v="2025-01-09T00:00:00"/>
    <n v="-12"/>
    <n v="0"/>
    <n v="-12"/>
    <m/>
    <x v="0"/>
    <n v="1"/>
  </r>
  <r>
    <s v="outbound"/>
    <d v="2025-02-12T11:26:00"/>
    <s v="shipment"/>
    <s v="PO_1043-1"/>
    <x v="336"/>
    <s v="EX24111306G05"/>
    <x v="53"/>
    <s v="extract_inhaled_labelled"/>
    <d v="2024-11-27T00:00:00"/>
    <n v="-12"/>
    <n v="0"/>
    <n v="-6"/>
    <m/>
    <x v="0"/>
    <n v="0.5"/>
  </r>
  <r>
    <s v="outbound"/>
    <d v="2025-02-12T11:26:00"/>
    <s v="shipment"/>
    <s v="PO_1043-1"/>
    <x v="351"/>
    <s v="EX24111301G05"/>
    <x v="47"/>
    <s v="extract_inhaled_labelled"/>
    <d v="2024-12-16T00:00:00"/>
    <n v="-12"/>
    <n v="0"/>
    <n v="-6"/>
    <m/>
    <x v="0"/>
    <n v="0.5"/>
  </r>
  <r>
    <s v="outbound"/>
    <d v="2025-02-12T11:26:00"/>
    <s v="shipment"/>
    <s v="PO_1038"/>
    <x v="334"/>
    <s v="PR241104F5P3"/>
    <x v="18"/>
    <s v="preroll_labelled"/>
    <d v="2024-12-04T00:00:00"/>
    <n v="-24"/>
    <n v="0"/>
    <n v="-36"/>
    <m/>
    <x v="0"/>
    <n v="1.5"/>
  </r>
  <r>
    <s v="outbound"/>
    <d v="2025-02-12T11:52:00"/>
    <s v="shipment"/>
    <s v="PO_1038"/>
    <x v="293"/>
    <s v="EX24111302G05"/>
    <x v="46"/>
    <s v="extract_inhaled_labelled"/>
    <d v="2024-11-27T00:00:00"/>
    <n v="-12"/>
    <n v="0"/>
    <n v="-6"/>
    <m/>
    <x v="0"/>
    <n v="0.5"/>
  </r>
  <r>
    <s v="outbound"/>
    <d v="2025-02-12T11:52:00"/>
    <s v="shipment"/>
    <s v="PO_1038"/>
    <x v="272"/>
    <s v="EX24022302V30"/>
    <x v="72"/>
    <s v="extract_ingested_labelled"/>
    <d v="2024-10-23T00:00:00"/>
    <n v="-12"/>
    <n v="0"/>
    <n v="-331.20000000000005"/>
    <m/>
    <x v="0"/>
    <n v="27.6"/>
  </r>
  <r>
    <s v="outbound"/>
    <d v="2025-02-12T11:52:00"/>
    <s v="shipment"/>
    <s v="PO_1043-1"/>
    <x v="329"/>
    <s v="PR241105F5P3"/>
    <x v="17"/>
    <s v="preroll_labelled"/>
    <d v="2024-11-19T00:00:00"/>
    <n v="-12"/>
    <n v="0"/>
    <n v="-18"/>
    <m/>
    <x v="0"/>
    <n v="1.5"/>
  </r>
  <r>
    <s v="outbound"/>
    <d v="2025-02-12T12:01:00"/>
    <s v="shipment"/>
    <s v="PO_1040"/>
    <x v="329"/>
    <s v="PR241105F5P3"/>
    <x v="17"/>
    <s v="preroll_labelled"/>
    <d v="2024-11-19T00:00:00"/>
    <n v="-36"/>
    <n v="0"/>
    <n v="-54"/>
    <m/>
    <x v="0"/>
    <n v="1.5"/>
  </r>
  <r>
    <s v="outbound"/>
    <d v="2025-02-12T12:01:00"/>
    <s v="shipment"/>
    <s v="PO_1040"/>
    <x v="320"/>
    <s v="EX24101703G05"/>
    <x v="45"/>
    <s v="extract_inhaled_labelled"/>
    <d v="2024-11-07T00:00:00"/>
    <n v="-24"/>
    <n v="0"/>
    <n v="-12"/>
    <m/>
    <x v="0"/>
    <n v="0.5"/>
  </r>
  <r>
    <s v="outbound"/>
    <d v="2025-02-12T12:01:00"/>
    <s v="shipment"/>
    <s v="PO_1040"/>
    <x v="345"/>
    <s v="EX25010907G1"/>
    <x v="89"/>
    <s v="extract_inhaled_labelled"/>
    <d v="2025-01-09T00:00:00"/>
    <n v="-36"/>
    <n v="0"/>
    <n v="-36"/>
    <m/>
    <x v="0"/>
    <n v="1"/>
  </r>
  <r>
    <s v="outbound"/>
    <d v="2025-02-12T12:01:00"/>
    <s v="shipment"/>
    <s v="PO_1040"/>
    <x v="168"/>
    <s v="EX24082904G05"/>
    <x v="48"/>
    <s v="extract_inhaled_labelled"/>
    <d v="2024-09-20T00:00:00"/>
    <n v="-24"/>
    <n v="0"/>
    <n v="-12"/>
    <m/>
    <x v="0"/>
    <n v="0.5"/>
  </r>
  <r>
    <s v="outbound"/>
    <d v="2025-02-12T12:01:00"/>
    <s v="shipment"/>
    <s v="PO_1040"/>
    <x v="293"/>
    <s v="EX24111302G05"/>
    <x v="46"/>
    <s v="extract_inhaled_labelled"/>
    <d v="2024-11-27T00:00:00"/>
    <n v="-36"/>
    <n v="0"/>
    <n v="-18"/>
    <m/>
    <x v="0"/>
    <n v="0.5"/>
  </r>
  <r>
    <s v="outbound"/>
    <d v="2025-02-12T12:01:00"/>
    <s v="shipment"/>
    <s v="PO_1040"/>
    <x v="351"/>
    <s v="EX24111301G05"/>
    <x v="47"/>
    <s v="extract_inhaled_labelled"/>
    <d v="2024-12-16T00:00:00"/>
    <n v="-36"/>
    <n v="0"/>
    <n v="-18"/>
    <m/>
    <x v="0"/>
    <n v="0.5"/>
  </r>
  <r>
    <s v="outbound"/>
    <d v="2025-02-12T12:01:00"/>
    <s v="shipment"/>
    <s v="PO_1040"/>
    <x v="335"/>
    <s v="TP24120401G45"/>
    <x v="86"/>
    <s v="topical_labelled"/>
    <d v="2024-12-12T00:00:00"/>
    <n v="-36"/>
    <n v="0"/>
    <n v="-1620"/>
    <m/>
    <x v="0"/>
    <n v="45"/>
  </r>
  <r>
    <s v="outbound"/>
    <d v="2025-02-12T12:01:00"/>
    <s v="shipment"/>
    <s v="PO_1041"/>
    <x v="325"/>
    <s v="2024111801G7"/>
    <x v="83"/>
    <s v="driedflower_labelled"/>
    <d v="2024-12-05T00:00:00"/>
    <n v="-24"/>
    <n v="0"/>
    <n v="-168"/>
    <m/>
    <x v="0"/>
    <n v="7"/>
  </r>
  <r>
    <s v="outbound"/>
    <d v="2025-02-12T12:01:00"/>
    <s v="shipment"/>
    <s v="PO_1041"/>
    <x v="393"/>
    <s v="PR2407F5P3"/>
    <x v="31"/>
    <s v="preroll_labelled"/>
    <d v="2024-06-04T00:00:00"/>
    <n v="-48"/>
    <n v="0"/>
    <n v="-72"/>
    <m/>
    <x v="0"/>
    <n v="1.5"/>
  </r>
  <r>
    <s v="outbound"/>
    <d v="2025-02-12T12:01:00"/>
    <s v="shipment"/>
    <s v="PO_1042"/>
    <x v="325"/>
    <s v="2024111801G7"/>
    <x v="83"/>
    <s v="driedflower_labelled"/>
    <d v="2024-12-05T00:00:00"/>
    <n v="-12"/>
    <n v="0"/>
    <n v="-84"/>
    <m/>
    <x v="0"/>
    <n v="7"/>
  </r>
  <r>
    <s v="outbound"/>
    <d v="2025-02-12T14:01:00"/>
    <s v="shipment"/>
    <s v="PO_1044"/>
    <x v="325"/>
    <s v="2024111801G7"/>
    <x v="83"/>
    <s v="driedflower_labelled"/>
    <d v="2024-12-05T00:00:00"/>
    <n v="-24"/>
    <n v="0"/>
    <n v="-168"/>
    <m/>
    <x v="0"/>
    <n v="7"/>
  </r>
  <r>
    <s v="outbound"/>
    <d v="2025-02-13T11:07:00"/>
    <s v="shipment"/>
    <s v="PO_448124"/>
    <x v="330"/>
    <s v="PR241102F5P3"/>
    <x v="30"/>
    <s v="preroll_labelled"/>
    <d v="2025-01-03T00:00:00"/>
    <n v="-12"/>
    <n v="0"/>
    <n v="-18"/>
    <m/>
    <x v="0"/>
    <n v="1.5"/>
  </r>
  <r>
    <s v="outbound"/>
    <d v="2025-02-13T11:07:00"/>
    <s v="shipment"/>
    <s v="PO_448124"/>
    <x v="325"/>
    <s v="2024111801G7"/>
    <x v="83"/>
    <s v="driedflower_labelled"/>
    <d v="2024-12-05T00:00:00"/>
    <n v="-12"/>
    <n v="0"/>
    <n v="-84"/>
    <m/>
    <x v="0"/>
    <n v="7"/>
  </r>
  <r>
    <s v="outbound"/>
    <d v="2025-02-13T12:32:00"/>
    <s v="production"/>
    <s v="concord grape vape"/>
    <x v="394"/>
    <s v="EX25020601"/>
    <x v="98"/>
    <s v="extract_inhaled_bulk"/>
    <s v="NA"/>
    <n v="-1"/>
    <n v="-588.34"/>
    <n v="0"/>
    <m/>
    <x v="1"/>
    <n v="0"/>
  </r>
  <r>
    <s v="outbound"/>
    <d v="2025-02-13T15:58:00"/>
    <s v="production"/>
    <s v="filling"/>
    <x v="395"/>
    <s v="EX24111302"/>
    <x v="77"/>
    <s v="extract_inhaled_bulk"/>
    <s v="NA"/>
    <n v="-1"/>
    <n v="-589.24"/>
    <n v="0"/>
    <m/>
    <x v="1"/>
    <n v="0"/>
  </r>
  <r>
    <s v="outbound"/>
    <d v="2025-02-14T10:22:00"/>
    <s v="production"/>
    <s v="filling"/>
    <x v="396"/>
    <n v="2024120601"/>
    <x v="99"/>
    <s v="extract_inhaled_bulk"/>
    <s v="NA"/>
    <n v="-1"/>
    <n v="-1952"/>
    <n v="0"/>
    <m/>
    <x v="1"/>
    <n v="0"/>
  </r>
  <r>
    <s v="outbound"/>
    <d v="2025-02-14T12:36:00"/>
    <s v="production"/>
    <s v="filling"/>
    <x v="389"/>
    <n v="2025012801"/>
    <x v="26"/>
    <s v="extract_distillate_bulk"/>
    <s v="NA"/>
    <n v="-1"/>
    <n v="-2706"/>
    <n v="0"/>
    <m/>
    <x v="1"/>
    <n v="0"/>
  </r>
  <r>
    <s v="inbound"/>
    <d v="2025-02-14T12:36:00"/>
    <s v="production"/>
    <s v="sample 12 units "/>
    <x v="396"/>
    <n v="2024120601"/>
    <x v="99"/>
    <s v="extract_inhaled_bulk"/>
    <s v="NA"/>
    <n v="1"/>
    <n v="1940"/>
    <n v="0"/>
    <m/>
    <x v="1"/>
    <n v="0"/>
  </r>
  <r>
    <s v="outbound"/>
    <d v="2025-02-14T14:05:00"/>
    <s v="shipment"/>
    <s v="PO_446755"/>
    <x v="325"/>
    <s v="2024111801G7"/>
    <x v="83"/>
    <s v="driedflower_labelled"/>
    <d v="2024-12-05T00:00:00"/>
    <n v="-12"/>
    <n v="0"/>
    <n v="-84"/>
    <m/>
    <x v="0"/>
    <n v="7"/>
  </r>
  <r>
    <s v="outbound"/>
    <d v="2025-02-14T14:27:00"/>
    <s v="production"/>
    <s v="mixing"/>
    <x v="373"/>
    <s v="CPR22102001"/>
    <x v="94"/>
    <s v="driedflower_milled_bulk"/>
    <s v="NA"/>
    <n v="-1"/>
    <n v="-3328"/>
    <n v="0"/>
    <m/>
    <x v="1"/>
    <n v="0"/>
  </r>
  <r>
    <s v="outbound"/>
    <d v="2025-02-14T14:27:00"/>
    <s v="production"/>
    <s v="filling"/>
    <x v="247"/>
    <s v="PR2411"/>
    <x v="21"/>
    <s v="driedflower_milled_bulk"/>
    <s v="NA"/>
    <n v="-1"/>
    <n v="-2325"/>
    <n v="0"/>
    <m/>
    <x v="1"/>
    <n v="0"/>
  </r>
  <r>
    <s v="outbound"/>
    <d v="2025-02-14T14:27:00"/>
    <s v="production"/>
    <s v="mixing"/>
    <x v="377"/>
    <s v="CPR22102102"/>
    <x v="3"/>
    <s v="driedflower_milled_bulk"/>
    <s v="NA"/>
    <n v="-1"/>
    <n v="-2558"/>
    <n v="0"/>
    <m/>
    <x v="1"/>
    <n v="0"/>
  </r>
  <r>
    <s v="outbound"/>
    <d v="2025-02-14T14:27:00"/>
    <s v="production"/>
    <s v="mixing"/>
    <x v="397"/>
    <s v="CPR22102001"/>
    <x v="94"/>
    <s v="driedflower_milled_bulk"/>
    <s v="NA"/>
    <n v="-1"/>
    <n v="-3430"/>
    <n v="0"/>
    <m/>
    <x v="1"/>
    <n v="0"/>
  </r>
  <r>
    <s v="outbound"/>
    <d v="2025-02-14T14:27:00"/>
    <s v="production"/>
    <s v="mixing"/>
    <x v="373"/>
    <s v="CPR22102001"/>
    <x v="94"/>
    <s v="driedflower_milled_bulk"/>
    <s v="NA"/>
    <n v="-1"/>
    <n v="-3328"/>
    <n v="0"/>
    <m/>
    <x v="1"/>
    <n v="0"/>
  </r>
  <r>
    <s v="outbound"/>
    <d v="2025-02-14T15:35:00"/>
    <s v="sampling"/>
    <s v="rohan250214"/>
    <x v="179"/>
    <s v="PR241003F5P3"/>
    <x v="20"/>
    <s v="preroll_labelled"/>
    <d v="2024-10-10T00:00:00"/>
    <n v="-4"/>
    <n v="0"/>
    <n v="-6"/>
    <m/>
    <x v="0"/>
    <n v="1.5"/>
  </r>
  <r>
    <s v="outbound"/>
    <d v="2025-02-18T10:54:00"/>
    <s v="shipment"/>
    <s v="PO_00023005"/>
    <x v="36"/>
    <s v="EX23100401V30"/>
    <x v="25"/>
    <s v="extract_ingested_labelled"/>
    <d v="2024-07-15T00:00:00"/>
    <n v="-18"/>
    <n v="0"/>
    <n v="-496.8"/>
    <m/>
    <x v="0"/>
    <n v="27.6"/>
  </r>
  <r>
    <s v="outbound"/>
    <d v="2025-02-18T10:54:00"/>
    <s v="shipment"/>
    <s v="PO_00023005"/>
    <x v="287"/>
    <s v="TP24082901"/>
    <x v="6"/>
    <s v="topical_labelled"/>
    <d v="2024-10-04T00:00:00"/>
    <n v="-24"/>
    <n v="0"/>
    <n v="-2112"/>
    <m/>
    <x v="0"/>
    <n v="88"/>
  </r>
  <r>
    <s v="outbound"/>
    <d v="2025-02-18T10:54:00"/>
    <s v="shipment"/>
    <s v="PO_00023005"/>
    <x v="382"/>
    <s v="EX24100801V30"/>
    <x v="44"/>
    <s v="extract_ingested_labelled"/>
    <d v="2024-10-25T00:00:00"/>
    <n v="-12"/>
    <n v="0"/>
    <n v="-327.60000000000002"/>
    <m/>
    <x v="0"/>
    <n v="27.3"/>
  </r>
  <r>
    <s v="outbound"/>
    <d v="2025-02-18T10:54:00"/>
    <s v="shipment"/>
    <s v="PO_00023005"/>
    <x v="255"/>
    <s v="2022012401G28"/>
    <x v="69"/>
    <s v="driedflower_labelled"/>
    <d v="2024-10-29T00:00:00"/>
    <n v="-11"/>
    <n v="0"/>
    <n v="-308"/>
    <m/>
    <x v="0"/>
    <n v="28"/>
  </r>
  <r>
    <s v="outbound"/>
    <d v="2025-02-18T10:54:00"/>
    <s v="shipment"/>
    <s v="PO_00023005"/>
    <x v="355"/>
    <s v="2022012401G28"/>
    <x v="69"/>
    <s v="driedflower_labelled"/>
    <d v="2025-01-22T00:00:00"/>
    <n v="-45"/>
    <n v="0"/>
    <n v="-1260"/>
    <m/>
    <x v="0"/>
    <n v="28"/>
  </r>
  <r>
    <s v="outbound"/>
    <d v="2025-02-18T10:54:00"/>
    <s v="shipment"/>
    <s v="PO_03-021325"/>
    <x v="325"/>
    <s v="2024111801G7"/>
    <x v="83"/>
    <s v="driedflower_labelled"/>
    <d v="2024-12-05T00:00:00"/>
    <n v="-447"/>
    <n v="0"/>
    <n v="-3129"/>
    <m/>
    <x v="0"/>
    <n v="7"/>
  </r>
  <r>
    <s v="outbound"/>
    <d v="2025-02-18T13:05:00"/>
    <s v="shipment"/>
    <s v="labeling"/>
    <x v="231"/>
    <s v="EX24092601V50"/>
    <x v="41"/>
    <s v="extract_ingested_labelled"/>
    <d v="2024-10-11T00:00:00"/>
    <n v="-8"/>
    <n v="0"/>
    <n v="-400"/>
    <m/>
    <x v="0"/>
    <n v="50"/>
  </r>
  <r>
    <s v="outbound"/>
    <d v="2025-02-18T13:05:00"/>
    <s v="shipment"/>
    <s v="labeling"/>
    <x v="165"/>
    <s v="EX24092601V50"/>
    <x v="41"/>
    <s v="extract_ingested_labelled"/>
    <d v="2024-10-11T00:00:00"/>
    <n v="-4"/>
    <n v="0"/>
    <n v="-200"/>
    <m/>
    <x v="0"/>
    <n v="50"/>
  </r>
  <r>
    <s v="outbound"/>
    <d v="2025-02-18T13:05:00"/>
    <s v="shipment"/>
    <s v="PO_1045"/>
    <x v="345"/>
    <s v="EX25010907G1"/>
    <x v="89"/>
    <s v="extract_inhaled_labelled"/>
    <d v="2025-01-09T00:00:00"/>
    <n v="-24"/>
    <n v="0"/>
    <n v="-24"/>
    <m/>
    <x v="0"/>
    <n v="1"/>
  </r>
  <r>
    <s v="outbound"/>
    <d v="2025-02-18T13:05:00"/>
    <s v="shipment"/>
    <s v="PO_1045"/>
    <x v="351"/>
    <s v="EX24111301G05"/>
    <x v="47"/>
    <s v="extract_inhaled_labelled"/>
    <d v="2024-12-16T00:00:00"/>
    <n v="-24"/>
    <n v="0"/>
    <n v="-12"/>
    <m/>
    <x v="0"/>
    <n v="0.5"/>
  </r>
  <r>
    <s v="outbound"/>
    <d v="2025-02-18T13:05:00"/>
    <s v="shipment"/>
    <s v="PO_1045"/>
    <x v="336"/>
    <s v="EX24111306G05"/>
    <x v="53"/>
    <s v="extract_inhaled_labelled"/>
    <d v="2024-11-27T00:00:00"/>
    <n v="-24"/>
    <n v="0"/>
    <n v="-12"/>
    <m/>
    <x v="0"/>
    <n v="0.5"/>
  </r>
  <r>
    <s v="outbound"/>
    <d v="2025-02-19T10:05:00"/>
    <s v="production"/>
    <s v="max/extra strength rollon"/>
    <x v="398"/>
    <s v="TP24120401"/>
    <x v="15"/>
    <s v="topical_bulk"/>
    <s v="NA"/>
    <n v="-1"/>
    <n v="-7130"/>
    <n v="0"/>
    <m/>
    <x v="1"/>
    <n v="0"/>
  </r>
  <r>
    <s v="outbound"/>
    <d v="2025-02-19T10:05:00"/>
    <s v="production"/>
    <s v="max/extra strength rollon"/>
    <x v="399"/>
    <s v="TP24120401"/>
    <x v="15"/>
    <s v="topical_bulk"/>
    <s v="NA"/>
    <n v="-1"/>
    <n v="-24830"/>
    <n v="0"/>
    <m/>
    <x v="1"/>
    <n v="0"/>
  </r>
  <r>
    <s v="outbound"/>
    <d v="2025-02-19T10:05:00"/>
    <s v="production"/>
    <s v="max/extra strength rollon"/>
    <x v="400"/>
    <s v="TP24120401"/>
    <x v="15"/>
    <s v="topical_bulk"/>
    <s v="NA"/>
    <n v="-1"/>
    <n v="-26055"/>
    <n v="0"/>
    <m/>
    <x v="1"/>
    <n v="0"/>
  </r>
  <r>
    <s v="outbound"/>
    <d v="2025-02-19T10:05:00"/>
    <s v="production"/>
    <s v="max/extra strength rollon"/>
    <x v="401"/>
    <s v="TP24120401"/>
    <x v="15"/>
    <s v="topical_bulk"/>
    <s v="NA"/>
    <n v="-1"/>
    <n v="-24750"/>
    <n v="0"/>
    <m/>
    <x v="1"/>
    <n v="0"/>
  </r>
  <r>
    <s v="outbound"/>
    <d v="2025-02-19T10:05:00"/>
    <s v="production"/>
    <s v="max/extra strength rollon"/>
    <x v="402"/>
    <s v="TP24120401"/>
    <x v="15"/>
    <s v="topical_bulk"/>
    <s v="NA"/>
    <n v="-1"/>
    <n v="-26400"/>
    <n v="0"/>
    <m/>
    <x v="1"/>
    <n v="0"/>
  </r>
  <r>
    <s v="outbound"/>
    <d v="2025-02-19T10:29:00"/>
    <s v="production"/>
    <s v="labeling"/>
    <x v="387"/>
    <s v="EX25011501V50"/>
    <x v="97"/>
    <s v="extract_ingested_labelled"/>
    <d v="2025-02-04T00:00:00"/>
    <n v="-231"/>
    <n v="0"/>
    <n v="-11550"/>
    <m/>
    <x v="0"/>
    <n v="50"/>
  </r>
  <r>
    <s v="outbound"/>
    <d v="2025-02-19T10:29:00"/>
    <s v="shipment"/>
    <s v="PO_1042"/>
    <x v="336"/>
    <s v="EX24111306G05"/>
    <x v="53"/>
    <s v="extract_inhaled_labelled"/>
    <d v="2024-11-27T00:00:00"/>
    <n v="-12"/>
    <n v="0"/>
    <n v="-6"/>
    <m/>
    <x v="0"/>
    <n v="0.5"/>
  </r>
  <r>
    <s v="outbound"/>
    <d v="2025-02-19T10:29:00"/>
    <s v="shipment"/>
    <s v="PO_1042"/>
    <x v="293"/>
    <s v="EX24111302G05"/>
    <x v="46"/>
    <s v="extract_inhaled_labelled"/>
    <d v="2024-11-27T00:00:00"/>
    <n v="-3"/>
    <n v="0"/>
    <n v="-1.5"/>
    <m/>
    <x v="0"/>
    <n v="0.5"/>
  </r>
  <r>
    <s v="outbound"/>
    <d v="2025-02-19T14:51:00"/>
    <s v="shipment"/>
    <s v="PO_1042"/>
    <x v="390"/>
    <s v="EX24092601V50"/>
    <x v="41"/>
    <s v="extract_ingested_cased_BC"/>
    <d v="2024-10-11T00:00:00"/>
    <n v="-1"/>
    <n v="0"/>
    <n v="-600"/>
    <m/>
    <x v="0"/>
    <n v="600"/>
  </r>
  <r>
    <s v="outbound"/>
    <d v="2025-02-19T15:43:00"/>
    <s v="shipment"/>
    <s v="PO_03-021325"/>
    <x v="371"/>
    <s v="2024111801G7"/>
    <x v="83"/>
    <s v="driedflower_labelled"/>
    <d v="2024-12-05T00:00:00"/>
    <n v="-371"/>
    <n v="0"/>
    <n v="-2597"/>
    <m/>
    <x v="0"/>
    <n v="7"/>
  </r>
  <r>
    <s v="outbound"/>
    <d v="2025-02-19T16:43:00"/>
    <s v="shipment"/>
    <m/>
    <x v="336"/>
    <s v="EX24111306G05"/>
    <x v="53"/>
    <s v="extract_inhaled_labelled"/>
    <d v="2024-11-27T00:00:00"/>
    <n v="-24"/>
    <n v="0"/>
    <n v="-12"/>
    <m/>
    <x v="0"/>
    <n v="0.5"/>
  </r>
  <r>
    <s v="outbound"/>
    <d v="2025-02-19T16:43:00"/>
    <s v="shipment"/>
    <m/>
    <x v="390"/>
    <s v="EX24092601V50"/>
    <x v="41"/>
    <s v="extract_ingested_cased_BC"/>
    <d v="2024-10-11T00:00:00"/>
    <n v="-1"/>
    <n v="0"/>
    <n v="-600"/>
    <m/>
    <x v="0"/>
    <n v="600"/>
  </r>
  <r>
    <s v="outbound"/>
    <d v="2025-02-20T09:23:00"/>
    <s v="production"/>
    <m/>
    <x v="384"/>
    <n v="2025010201"/>
    <x v="96"/>
    <s v="driedflower_bulk_BURB"/>
    <s v="NA"/>
    <n v="-1"/>
    <n v="-4670"/>
    <n v="0"/>
    <m/>
    <x v="1"/>
    <n v="0"/>
  </r>
  <r>
    <s v="outbound"/>
    <d v="2025-02-20T11:59:00"/>
    <s v="shipment"/>
    <m/>
    <x v="6"/>
    <s v="EX24070901V50"/>
    <x v="41"/>
    <s v="extract_ingested_cased_BC"/>
    <d v="2024-07-30T00:00:00"/>
    <n v="-10"/>
    <n v="0"/>
    <n v="-500"/>
    <m/>
    <x v="0"/>
    <n v="50"/>
  </r>
  <r>
    <s v="outbound"/>
    <d v="2025-02-20T11:59:00"/>
    <s v="shipment"/>
    <m/>
    <x v="7"/>
    <s v="EX24092601V50"/>
    <x v="41"/>
    <s v="extract_ingested_cased_BC"/>
    <d v="2024-10-11T00:00:00"/>
    <n v="-2"/>
    <n v="0"/>
    <n v="-100"/>
    <m/>
    <x v="0"/>
    <n v="50"/>
  </r>
  <r>
    <s v="outbound"/>
    <d v="2025-02-20T11:59:00"/>
    <s v="sampling"/>
    <s v="jay250220"/>
    <x v="336"/>
    <s v="EX24111306G05"/>
    <x v="53"/>
    <s v="extract_inhaled_labelled"/>
    <d v="2024-11-27T00:00:00"/>
    <n v="-1"/>
    <n v="0"/>
    <n v="-0.5"/>
    <m/>
    <x v="0"/>
    <n v="0.5"/>
  </r>
  <r>
    <s v="outbound"/>
    <d v="2025-02-20T12:04:00"/>
    <s v="production"/>
    <m/>
    <x v="403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4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5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6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7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8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09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10"/>
    <n v="2024121801"/>
    <x v="100"/>
    <s v="driedflower_bulk"/>
    <s v="NA"/>
    <n v="-1"/>
    <n v="-1095"/>
    <n v="0"/>
    <m/>
    <x v="1"/>
    <n v="0"/>
  </r>
  <r>
    <s v="outbound"/>
    <d v="2025-02-20T12:04:00"/>
    <s v="production"/>
    <m/>
    <x v="411"/>
    <n v="2024121801"/>
    <x v="100"/>
    <s v="driedflower_bulk"/>
    <s v="NA"/>
    <n v="-1"/>
    <n v="-1095"/>
    <n v="0"/>
    <m/>
    <x v="1"/>
    <n v="0"/>
  </r>
  <r>
    <s v="outbound"/>
    <d v="2025-02-20T13:59:00"/>
    <s v="production"/>
    <m/>
    <x v="12"/>
    <s v="LR23032101"/>
    <x v="9"/>
    <s v="extract_inhaled_bulk"/>
    <s v="NA"/>
    <n v="0"/>
    <n v="-3.5"/>
    <n v="0"/>
    <m/>
    <x v="1"/>
    <n v="0"/>
  </r>
  <r>
    <s v="outbound"/>
    <d v="2025-02-20T14:01:00"/>
    <s v="production"/>
    <m/>
    <x v="243"/>
    <s v="EX24101705G05"/>
    <x v="49"/>
    <s v="extract_inhaled_labelled"/>
    <d v="2024-10-29T00:00:00"/>
    <n v="-2"/>
    <n v="0"/>
    <n v="-1"/>
    <m/>
    <x v="0"/>
    <n v="0.5"/>
  </r>
  <r>
    <s v="outbound"/>
    <d v="2025-02-21T10:33:00"/>
    <s v="shipment"/>
    <s v="PO_73650, PO_10013382, PO_0080827"/>
    <x v="329"/>
    <s v="PR241105F5P3"/>
    <x v="17"/>
    <s v="preroll_labelled"/>
    <d v="2024-11-19T00:00:00"/>
    <n v="-492"/>
    <n v="0"/>
    <n v="-738"/>
    <m/>
    <x v="0"/>
    <n v="1.5"/>
  </r>
  <r>
    <s v="outbound"/>
    <d v="2025-02-21T10:33:00"/>
    <s v="shipment"/>
    <s v="PO_73650"/>
    <x v="334"/>
    <s v="PR241104F5P3"/>
    <x v="18"/>
    <s v="preroll_labelled"/>
    <d v="2024-12-04T00:00:00"/>
    <n v="-561"/>
    <n v="0"/>
    <n v="-841.5"/>
    <m/>
    <x v="0"/>
    <n v="1.5"/>
  </r>
  <r>
    <s v="outbound"/>
    <d v="2025-02-21T10:33:00"/>
    <s v="shipment"/>
    <s v="PO_73650"/>
    <x v="238"/>
    <s v="PR2407F5P2"/>
    <x v="54"/>
    <s v="preroll_labelled"/>
    <d v="2024-10-23T00:00:00"/>
    <n v="-130"/>
    <n v="0"/>
    <n v="-130"/>
    <m/>
    <x v="0"/>
    <n v="1"/>
  </r>
  <r>
    <s v="outbound"/>
    <d v="2025-02-21T10:33:00"/>
    <s v="shipment"/>
    <s v="PO_73650"/>
    <x v="412"/>
    <s v="PR2407F5P2"/>
    <x v="54"/>
    <s v="preroll_packaged"/>
    <s v="NA"/>
    <n v="-2"/>
    <n v="0"/>
    <n v="-2"/>
    <m/>
    <x v="0"/>
    <n v="1"/>
  </r>
  <r>
    <s v="outbound"/>
    <d v="2025-02-21T10:33:00"/>
    <s v="shipment"/>
    <m/>
    <x v="351"/>
    <s v="EX24111301G05"/>
    <x v="47"/>
    <s v="extract_inhaled_labelled"/>
    <d v="2024-12-16T00:00:00"/>
    <n v="-530"/>
    <n v="0"/>
    <n v="-265"/>
    <m/>
    <x v="0"/>
    <n v="0.5"/>
  </r>
  <r>
    <s v="outbound"/>
    <d v="2025-02-21T10:33:00"/>
    <s v="production"/>
    <m/>
    <x v="320"/>
    <s v="EX24101703G05"/>
    <x v="45"/>
    <s v="extract_inhaled_labelled"/>
    <d v="2024-11-07T00:00:00"/>
    <n v="-523"/>
    <n v="0"/>
    <n v="-261.5"/>
    <m/>
    <x v="0"/>
    <n v="0.5"/>
  </r>
  <r>
    <s v="outbound"/>
    <d v="2025-02-21T10:33:00"/>
    <s v="shipment"/>
    <s v="PO_73650"/>
    <x v="413"/>
    <s v="PR2407F5P2"/>
    <x v="54"/>
    <s v="preroll_labelled"/>
    <d v="2024-11-20T00:00:00"/>
    <n v="-89"/>
    <n v="0"/>
    <n v="-89"/>
    <m/>
    <x v="0"/>
    <n v="1"/>
  </r>
  <r>
    <s v="outbound"/>
    <d v="2025-02-21T10:33:00"/>
    <s v="shipment"/>
    <s v="PO_73650"/>
    <x v="391"/>
    <s v="EX24101705G05"/>
    <x v="49"/>
    <s v="extract_inhaled_labelled"/>
    <d v="2024-12-03T00:00:00"/>
    <n v="-238"/>
    <n v="0"/>
    <n v="-119"/>
    <m/>
    <x v="0"/>
    <n v="0.5"/>
  </r>
  <r>
    <s v="outbound"/>
    <d v="2025-02-21T10:33:00"/>
    <s v="production"/>
    <m/>
    <x v="342"/>
    <s v="PR2416F5P10"/>
    <x v="88"/>
    <s v="preroll_labelled"/>
    <d v="2024-12-16T00:00:00"/>
    <n v="-1"/>
    <n v="0"/>
    <n v="-5"/>
    <m/>
    <x v="0"/>
    <n v="5"/>
  </r>
  <r>
    <s v="outbound"/>
    <d v="2025-02-21T10:33:00"/>
    <s v="production"/>
    <m/>
    <x v="1"/>
    <s v="PR2303"/>
    <x v="1"/>
    <s v="driedflower_milled_bulk"/>
    <s v="NA"/>
    <n v="-1"/>
    <n v="-4821.1000000000004"/>
    <n v="0"/>
    <m/>
    <x v="1"/>
    <n v="0"/>
  </r>
  <r>
    <s v="outbound"/>
    <d v="2025-02-21T15:01:00"/>
    <s v="production"/>
    <s v="packaging gelato 28g"/>
    <x v="353"/>
    <s v="2022012401R1"/>
    <x v="16"/>
    <s v="driedflower_bulk"/>
    <d v="2022-05-05T00:00:00"/>
    <n v="-1"/>
    <n v="-1024"/>
    <n v="0"/>
    <m/>
    <x v="1"/>
    <n v="0"/>
  </r>
  <r>
    <s v="outbound"/>
    <d v="2025-02-21T15:01:00"/>
    <s v="production"/>
    <s v="packaging gelato 28g"/>
    <x v="30"/>
    <s v="2022012401R1"/>
    <x v="16"/>
    <s v="driedflower_bulk"/>
    <d v="2022-05-05T00:00:00"/>
    <n v="-1"/>
    <n v="-934.6"/>
    <n v="0"/>
    <m/>
    <x v="1"/>
    <n v="0"/>
  </r>
  <r>
    <s v="outbound"/>
    <d v="2025-02-21T15:01:00"/>
    <s v="production"/>
    <s v="packaging gelato 28g"/>
    <x v="414"/>
    <s v="2022012401R1"/>
    <x v="16"/>
    <s v="driedflower_bulk"/>
    <d v="2023-06-02T00:00:00"/>
    <n v="-1"/>
    <n v="-1007.2"/>
    <n v="0"/>
    <m/>
    <x v="1"/>
    <n v="0"/>
  </r>
  <r>
    <s v="inbound"/>
    <d v="2025-02-21T15:01:00"/>
    <s v="storage"/>
    <m/>
    <x v="389"/>
    <n v="2025012801"/>
    <x v="26"/>
    <s v="extract_distillate_bulk"/>
    <s v="NA"/>
    <n v="1"/>
    <n v="2166.1999999999998"/>
    <n v="0"/>
    <m/>
    <x v="1"/>
    <n v="0"/>
  </r>
  <r>
    <s v="inbound"/>
    <d v="2025-02-21T15:01:00"/>
    <s v="storage"/>
    <m/>
    <x v="12"/>
    <s v="LR23032101"/>
    <x v="9"/>
    <s v="extract_inhaled_bulk"/>
    <s v="NA"/>
    <n v="1"/>
    <n v="1505.4"/>
    <n v="0"/>
    <m/>
    <x v="1"/>
    <n v="0"/>
  </r>
  <r>
    <s v="outbound"/>
    <d v="2025-02-24T09:28:00"/>
    <s v="shipment"/>
    <s v="PO_1048"/>
    <x v="242"/>
    <s v="EX24070901V50"/>
    <x v="41"/>
    <s v="extract_ingested_cased_BC"/>
    <d v="2024-07-30T00:00:00"/>
    <n v="-2"/>
    <n v="0"/>
    <n v="-1200"/>
    <m/>
    <x v="0"/>
    <n v="600"/>
  </r>
  <r>
    <s v="outbound"/>
    <d v="2025-02-24T09:28:00"/>
    <s v="shipment"/>
    <s v="PO_1048"/>
    <x v="36"/>
    <s v="EX23100401V30"/>
    <x v="25"/>
    <s v="extract_ingested_labelled"/>
    <d v="2024-07-15T00:00:00"/>
    <n v="-12"/>
    <n v="0"/>
    <n v="-331.20000000000005"/>
    <m/>
    <x v="0"/>
    <n v="27.6"/>
  </r>
  <r>
    <s v="outbound"/>
    <d v="2025-02-24T12:34:00"/>
    <s v="production"/>
    <s v="gelato 28g"/>
    <x v="415"/>
    <s v="2022012401R1"/>
    <x v="16"/>
    <s v="driedflower_bulk"/>
    <d v="2022-05-05T00:00:00"/>
    <n v="-1"/>
    <n v="-1020.4"/>
    <n v="0"/>
    <m/>
    <x v="1"/>
    <n v="0"/>
  </r>
  <r>
    <s v="outbound"/>
    <d v="2025-02-24T12:34:00"/>
    <s v="shipment"/>
    <s v="PO_1049"/>
    <x v="336"/>
    <s v="EX24111306G05"/>
    <x v="53"/>
    <s v="extract_inhaled_labelled"/>
    <d v="2024-11-27T00:00:00"/>
    <n v="-60"/>
    <n v="0"/>
    <n v="-30"/>
    <m/>
    <x v="0"/>
    <n v="0.5"/>
  </r>
  <r>
    <s v="outbound"/>
    <d v="2025-02-24T12:34:00"/>
    <s v="production"/>
    <s v="gelato 28g"/>
    <x v="416"/>
    <s v="2022012401R1"/>
    <x v="16"/>
    <s v="driedflower_bulk"/>
    <d v="2022-05-05T00:00:00"/>
    <n v="-1"/>
    <n v="-1025.7"/>
    <n v="0"/>
    <m/>
    <x v="1"/>
    <n v="0"/>
  </r>
  <r>
    <s v="outbound"/>
    <d v="2025-02-24T12:34:00"/>
    <s v="production"/>
    <s v="gelato 28g"/>
    <x v="417"/>
    <s v="2022012401R1"/>
    <x v="16"/>
    <s v="driedflower_bulk"/>
    <d v="2022-05-05T00:00:00"/>
    <n v="-1"/>
    <n v="-255"/>
    <n v="0"/>
    <m/>
    <x v="1"/>
    <n v="0"/>
  </r>
  <r>
    <s v="outbound"/>
    <d v="2025-02-24T12:34:00"/>
    <s v="production"/>
    <s v="gelato 28g"/>
    <x v="352"/>
    <s v="2022012401R1"/>
    <x v="16"/>
    <s v="driedflower_bulk"/>
    <d v="2022-05-05T00:00:00"/>
    <n v="-1"/>
    <n v="-320"/>
    <n v="0"/>
    <m/>
    <x v="1"/>
    <n v="0"/>
  </r>
  <r>
    <s v="outbound"/>
    <d v="2025-02-24T12:34:00"/>
    <s v="production"/>
    <s v="gelato 28g"/>
    <x v="20"/>
    <s v="2022012401R1"/>
    <x v="16"/>
    <s v="driedflower_bulk"/>
    <d v="2022-05-05T00:00:00"/>
    <n v="-1"/>
    <n v="-177.65"/>
    <n v="0"/>
    <m/>
    <x v="1"/>
    <n v="0"/>
  </r>
  <r>
    <s v="outbound"/>
    <d v="2025-02-24T13:05:00"/>
    <s v="shipment"/>
    <s v="PO_Terra_Jan15_2025"/>
    <x v="242"/>
    <s v="EX24070901V50"/>
    <x v="41"/>
    <s v="extract_ingested_cased_BC"/>
    <d v="2024-07-30T00:00:00"/>
    <n v="-1"/>
    <n v="0"/>
    <n v="-600"/>
    <m/>
    <x v="0"/>
    <n v="600"/>
  </r>
  <r>
    <s v="outbound"/>
    <d v="2025-02-24T14:19:00"/>
    <s v="production"/>
    <s v="KALEX25001"/>
    <x v="418"/>
    <n v="2024120901"/>
    <x v="26"/>
    <s v="extract_distillate_bulk_Kalista"/>
    <s v="NA"/>
    <n v="-1"/>
    <n v="-2148"/>
    <n v="0"/>
    <m/>
    <x v="1"/>
    <n v="0"/>
  </r>
  <r>
    <s v="outbound"/>
    <d v="2025-02-25T10:01:00"/>
    <s v="shipment"/>
    <s v="PO_0080827"/>
    <x v="257"/>
    <s v="PR241005F5P3"/>
    <x v="17"/>
    <s v="preroll_labelled"/>
    <d v="2024-10-10T00:00:00"/>
    <n v="-24"/>
    <n v="0"/>
    <n v="-36"/>
    <m/>
    <x v="0"/>
    <n v="1.5"/>
  </r>
  <r>
    <s v="outbound"/>
    <d v="2025-02-25T13:40:00"/>
    <s v="shipment"/>
    <s v="PO_73650"/>
    <x v="358"/>
    <s v="PR2401F5P2"/>
    <x v="54"/>
    <s v="preroll_labelled"/>
    <d v="2025-01-13T00:00:00"/>
    <n v="-36"/>
    <n v="0"/>
    <n v="-36"/>
    <m/>
    <x v="0"/>
    <n v="1"/>
  </r>
  <r>
    <s v="inbound"/>
    <d v="2025-02-25T13:40:00"/>
    <s v="storage"/>
    <m/>
    <x v="392"/>
    <s v="PR2501"/>
    <x v="84"/>
    <s v="driedflower_milled_bulk"/>
    <s v="NA"/>
    <n v="1"/>
    <n v="4908"/>
    <n v="0"/>
    <m/>
    <x v="1"/>
    <n v="0"/>
  </r>
  <r>
    <s v="inbound"/>
    <d v="2025-02-25T16:07:00"/>
    <s v="storage"/>
    <m/>
    <x v="379"/>
    <n v="2025010201"/>
    <x v="96"/>
    <s v="driedflower_bulk_BURB"/>
    <s v="NA"/>
    <n v="1"/>
    <n v="2590"/>
    <n v="0"/>
    <m/>
    <x v="1"/>
    <n v="0"/>
  </r>
  <r>
    <s v="inbound"/>
    <d v="2025-02-25T16:35:00"/>
    <s v="storage"/>
    <m/>
    <x v="334"/>
    <s v="PR241104F5P3"/>
    <x v="18"/>
    <s v="preroll_labelled"/>
    <d v="2024-12-04T00:00:00"/>
    <n v="320"/>
    <n v="0"/>
    <n v="480"/>
    <m/>
    <x v="0"/>
    <n v="1.5"/>
  </r>
  <r>
    <s v="inbound"/>
    <d v="2025-02-25T16:37:00"/>
    <s v="storage"/>
    <m/>
    <x v="255"/>
    <s v="2022012401G28"/>
    <x v="69"/>
    <s v="driedflower_labelled"/>
    <d v="2024-10-29T00:00:00"/>
    <n v="11"/>
    <n v="0"/>
    <n v="308"/>
    <m/>
    <x v="0"/>
    <n v="28"/>
  </r>
  <r>
    <s v="inbound"/>
    <d v="2025-02-25T16:37:00"/>
    <s v="storage"/>
    <m/>
    <x v="355"/>
    <s v="2022012401G28"/>
    <x v="69"/>
    <s v="driedflower_labelled"/>
    <d v="2025-01-22T00:00:00"/>
    <n v="9"/>
    <n v="0"/>
    <n v="252"/>
    <m/>
    <x v="0"/>
    <n v="28"/>
  </r>
  <r>
    <s v="inbound"/>
    <d v="2025-02-25T16:49:00"/>
    <s v="storage"/>
    <m/>
    <x v="413"/>
    <s v="PR2407F5P2"/>
    <x v="54"/>
    <s v="preroll_labelled"/>
    <d v="2024-11-20T00:00:00"/>
    <n v="5"/>
    <n v="0"/>
    <n v="5"/>
    <m/>
    <x v="0"/>
    <n v="1"/>
  </r>
  <r>
    <s v="inbound"/>
    <d v="2025-02-25T16:49:00"/>
    <s v="storage"/>
    <m/>
    <x v="391"/>
    <s v="EX24101705G05"/>
    <x v="49"/>
    <s v="extract_inhaled_labelled"/>
    <d v="2024-12-03T00:00:00"/>
    <n v="58"/>
    <n v="0"/>
    <n v="29"/>
    <m/>
    <x v="0"/>
    <n v="0.5"/>
  </r>
  <r>
    <s v="inbound"/>
    <d v="2025-02-25T16:49:00"/>
    <s v="storage"/>
    <m/>
    <x v="238"/>
    <s v="PR2407F5P2"/>
    <x v="54"/>
    <s v="preroll_labelled"/>
    <d v="2024-10-23T00:00:00"/>
    <n v="10"/>
    <n v="0"/>
    <n v="10"/>
    <m/>
    <x v="0"/>
    <n v="1"/>
  </r>
  <r>
    <s v="inbound"/>
    <d v="2025-02-25T16:49:00"/>
    <s v="storage"/>
    <m/>
    <x v="412"/>
    <s v="PR2407F5P2"/>
    <x v="54"/>
    <s v="preroll_packaged"/>
    <s v="NA"/>
    <n v="2"/>
    <n v="0"/>
    <n v="2"/>
    <m/>
    <x v="0"/>
    <n v="1"/>
  </r>
  <r>
    <s v="inbound"/>
    <d v="2025-02-25T16:50:00"/>
    <s v="storage"/>
    <m/>
    <x v="1"/>
    <s v="PR2303"/>
    <x v="1"/>
    <s v="driedflower_milled_bulk"/>
    <s v="NA"/>
    <n v="1"/>
    <n v="575"/>
    <n v="0"/>
    <m/>
    <x v="1"/>
    <n v="0"/>
  </r>
  <r>
    <s v="inbound"/>
    <d v="2025-02-26T11:19:00"/>
    <s v="storage"/>
    <m/>
    <x v="371"/>
    <s v="2024111801G7"/>
    <x v="83"/>
    <s v="driedflower_labelled"/>
    <d v="2024-12-05T00:00:00"/>
    <n v="49"/>
    <n v="0"/>
    <n v="343"/>
    <m/>
    <x v="0"/>
    <n v="7"/>
  </r>
  <r>
    <s v="inbound"/>
    <d v="2025-02-26T11:22:00"/>
    <s v="storage"/>
    <m/>
    <x v="329"/>
    <s v="PR241105F5P3"/>
    <x v="17"/>
    <s v="preroll_labelled"/>
    <d v="2024-11-19T00:00:00"/>
    <n v="24"/>
    <n v="0"/>
    <n v="36"/>
    <m/>
    <x v="0"/>
    <n v="1.5"/>
  </r>
  <r>
    <s v="inbound"/>
    <d v="2025-02-26T13:05:00"/>
    <s v="storage"/>
    <m/>
    <x v="419"/>
    <s v="PR21071201G1"/>
    <x v="11"/>
    <s v="preroll_labelled"/>
    <d v="2025-01-28T00:00:00"/>
    <n v="24"/>
    <n v="0"/>
    <n v="24"/>
    <m/>
    <x v="0"/>
    <n v="1"/>
  </r>
  <r>
    <s v="outbound"/>
    <d v="2025-02-26T14:16:00"/>
    <s v="production"/>
    <s v="labelling"/>
    <x v="420"/>
    <s v="EX25010907G1"/>
    <x v="89"/>
    <s v="extract_inhaled_labelled"/>
    <d v="2025-02-26T00:00:00"/>
    <n v="-240"/>
    <n v="0"/>
    <n v="-240"/>
    <m/>
    <x v="0"/>
    <n v="1"/>
  </r>
  <r>
    <s v="outbound"/>
    <d v="2025-02-26T14:16:00"/>
    <s v="sampling"/>
    <m/>
    <x v="252"/>
    <n v="2022051603"/>
    <x v="21"/>
    <s v="driedflower_bulk"/>
    <d v="2022-09-26T00:00:00"/>
    <n v="-1"/>
    <n v="-1010"/>
    <n v="0"/>
    <m/>
    <x v="1"/>
    <n v="0"/>
  </r>
  <r>
    <s v="inbound"/>
    <d v="2025-02-26T16:42:00"/>
    <s v="storage"/>
    <m/>
    <x v="373"/>
    <s v="CPR22102001"/>
    <x v="94"/>
    <s v="driedflower_milled_bulk"/>
    <s v="NA"/>
    <n v="1"/>
    <n v="3328"/>
    <n v="0"/>
    <m/>
    <x v="1"/>
    <n v="0"/>
  </r>
  <r>
    <s v="inbound"/>
    <d v="2025-02-26T16:42:00"/>
    <s v="storage"/>
    <m/>
    <x v="397"/>
    <s v="CPR22102001"/>
    <x v="94"/>
    <s v="driedflower_milled_bulk"/>
    <s v="NA"/>
    <n v="1"/>
    <n v="3430"/>
    <n v="0"/>
    <m/>
    <x v="1"/>
    <n v="0"/>
  </r>
  <r>
    <s v="inbound"/>
    <d v="2025-02-26T16:42:00"/>
    <s v="storage"/>
    <m/>
    <x v="377"/>
    <s v="CPR22102102"/>
    <x v="3"/>
    <s v="driedflower_milled_bulk"/>
    <s v="NA"/>
    <n v="1"/>
    <n v="2558"/>
    <n v="0"/>
    <m/>
    <x v="1"/>
    <n v="0"/>
  </r>
  <r>
    <s v="outbound"/>
    <d v="2025-02-26T16:46:00"/>
    <s v="sampling"/>
    <s v="S15"/>
    <x v="421"/>
    <s v="PR2507"/>
    <x v="101"/>
    <s v="driedflower_milled_bulk"/>
    <s v="NA"/>
    <n v="-1"/>
    <n v="-6518"/>
    <n v="0"/>
    <m/>
    <x v="1"/>
    <n v="0"/>
  </r>
  <r>
    <s v="inbound"/>
    <d v="2025-02-26T16:51:00"/>
    <s v="storage"/>
    <m/>
    <x v="352"/>
    <s v="2022012401R1"/>
    <x v="16"/>
    <s v="driedflower_bulk"/>
    <d v="2022-05-05T00:00:00"/>
    <n v="1"/>
    <n v="320"/>
    <n v="0"/>
    <m/>
    <x v="1"/>
    <n v="0"/>
  </r>
  <r>
    <s v="inbound"/>
    <d v="2025-02-26T16:51:00"/>
    <s v="storage"/>
    <m/>
    <x v="416"/>
    <s v="2022012401R1"/>
    <x v="16"/>
    <s v="driedflower_bulk"/>
    <d v="2022-05-05T00:00:00"/>
    <n v="1"/>
    <n v="1025.7"/>
    <n v="0"/>
    <m/>
    <x v="1"/>
    <n v="0"/>
  </r>
  <r>
    <s v="inbound"/>
    <d v="2025-02-26T16:51:00"/>
    <s v="storage"/>
    <m/>
    <x v="417"/>
    <s v="2022012401R1"/>
    <x v="16"/>
    <s v="driedflower_bulk"/>
    <d v="2022-05-05T00:00:00"/>
    <n v="1"/>
    <n v="255"/>
    <n v="0"/>
    <m/>
    <x v="1"/>
    <n v="0"/>
  </r>
  <r>
    <s v="inbound"/>
    <d v="2025-02-26T16:51:00"/>
    <s v="storage"/>
    <m/>
    <x v="415"/>
    <s v="2022012401R1"/>
    <x v="16"/>
    <s v="driedflower_bulk"/>
    <d v="2022-05-05T00:00:00"/>
    <n v="1"/>
    <n v="1625"/>
    <n v="0"/>
    <m/>
    <x v="1"/>
    <n v="0"/>
  </r>
  <r>
    <s v="inbound"/>
    <d v="2025-02-26T16:51:00"/>
    <s v="storage"/>
    <m/>
    <x v="30"/>
    <s v="2022012401R1"/>
    <x v="16"/>
    <s v="driedflower_bulk"/>
    <d v="2022-05-05T00:00:00"/>
    <n v="1"/>
    <n v="650"/>
    <n v="0"/>
    <m/>
    <x v="1"/>
    <n v="0"/>
  </r>
  <r>
    <s v="inbound"/>
    <d v="2025-02-26T16:56:00"/>
    <s v="storage"/>
    <m/>
    <x v="252"/>
    <n v="2022051603"/>
    <x v="21"/>
    <s v="driedflower_bulk"/>
    <d v="2022-09-26T00:00:00"/>
    <n v="1"/>
    <n v="1010"/>
    <n v="0"/>
    <m/>
    <x v="1"/>
    <n v="0"/>
  </r>
  <r>
    <s v="inbound"/>
    <d v="2025-02-26T16:56:00"/>
    <s v="storage"/>
    <m/>
    <x v="20"/>
    <s v="2022012401R1"/>
    <x v="16"/>
    <s v="driedflower_bulk"/>
    <d v="2022-05-05T00:00:00"/>
    <n v="1"/>
    <n v="177.65"/>
    <n v="0"/>
    <m/>
    <x v="1"/>
    <n v="0"/>
  </r>
  <r>
    <s v="outbound"/>
    <d v="2025-02-27T09:35:00"/>
    <s v="shipment"/>
    <s v="PO_1050"/>
    <x v="422"/>
    <s v="EX25011501V50"/>
    <x v="97"/>
    <s v="extract_ingested_cased_BC"/>
    <d v="2025-02-04T00:00:00"/>
    <n v="-1"/>
    <n v="0"/>
    <n v="-600"/>
    <m/>
    <x v="0"/>
    <n v="600"/>
  </r>
  <r>
    <s v="outbound"/>
    <d v="2025-02-27T09:35:00"/>
    <s v="shipment"/>
    <s v="PO_1050"/>
    <x v="81"/>
    <s v="PR2406F5P3"/>
    <x v="43"/>
    <s v="preroll_labelled"/>
    <d v="2024-06-14T00:00:00"/>
    <n v="-12"/>
    <n v="0"/>
    <n v="-18"/>
    <m/>
    <x v="0"/>
    <n v="1.5"/>
  </r>
  <r>
    <s v="outbound"/>
    <d v="2025-02-27T09:35:00"/>
    <s v="shipment"/>
    <s v="PO_1050"/>
    <x v="423"/>
    <s v="PR2501F5P10"/>
    <x v="88"/>
    <s v="preroll_labelled"/>
    <d v="2025-02-19T00:00:00"/>
    <n v="-36"/>
    <n v="0"/>
    <n v="-180"/>
    <m/>
    <x v="0"/>
    <n v="5"/>
  </r>
  <r>
    <s v="outbound"/>
    <d v="2025-02-27T09:35:00"/>
    <s v="shipment"/>
    <s v="PO_1050"/>
    <x v="80"/>
    <s v="PR2301F5P3"/>
    <x v="42"/>
    <s v="preroll_labelled"/>
    <d v="2024-06-14T00:00:00"/>
    <n v="-12"/>
    <n v="0"/>
    <n v="-18"/>
    <m/>
    <x v="0"/>
    <n v="1.5"/>
  </r>
  <r>
    <s v="outbound"/>
    <d v="2025-02-27T09:35:00"/>
    <s v="shipment"/>
    <s v="PO_1050"/>
    <x v="371"/>
    <s v="2024111801G7"/>
    <x v="83"/>
    <s v="driedflower_labelled"/>
    <d v="2024-12-05T00:00:00"/>
    <n v="-24"/>
    <n v="0"/>
    <n v="-168"/>
    <m/>
    <x v="0"/>
    <n v="7"/>
  </r>
  <r>
    <s v="inbound"/>
    <d v="2025-02-27T10:20:00"/>
    <s v="storage"/>
    <m/>
    <x v="320"/>
    <s v="EX24101703G05"/>
    <x v="45"/>
    <s v="extract_inhaled_labelled"/>
    <d v="2024-11-07T00:00:00"/>
    <n v="343"/>
    <n v="0"/>
    <n v="171.5"/>
    <m/>
    <x v="0"/>
    <n v="0.5"/>
  </r>
  <r>
    <s v="inbound"/>
    <d v="2025-02-27T10:23:00"/>
    <s v="storage"/>
    <m/>
    <x v="235"/>
    <s v="EX23060701V30"/>
    <x v="22"/>
    <s v="extract_ingested_labelled"/>
    <d v="2024-10-31T00:00:00"/>
    <n v="27"/>
    <n v="0"/>
    <n v="739.8"/>
    <m/>
    <x v="0"/>
    <n v="27.4"/>
  </r>
  <r>
    <s v="inbound"/>
    <d v="2025-02-27T10:29:00"/>
    <s v="storage"/>
    <m/>
    <x v="351"/>
    <s v="EX24111301G05"/>
    <x v="47"/>
    <s v="extract_inhaled_labelled"/>
    <d v="2024-12-16T00:00:00"/>
    <n v="314"/>
    <n v="0"/>
    <n v="157"/>
    <m/>
    <x v="0"/>
    <n v="0.5"/>
  </r>
  <r>
    <s v="outbound"/>
    <d v="2025-02-28T11:33:00"/>
    <s v="sampling"/>
    <m/>
    <x v="424"/>
    <n v="2025021301"/>
    <x v="102"/>
    <s v="driedflower_bulk"/>
    <s v="NA"/>
    <n v="-1"/>
    <n v="-620"/>
    <n v="0"/>
    <m/>
    <x v="1"/>
    <n v="0"/>
  </r>
  <r>
    <s v="inbound"/>
    <d v="2025-02-28T16:20:00"/>
    <s v="sampling"/>
    <m/>
    <x v="424"/>
    <n v="2025021301"/>
    <x v="102"/>
    <s v="driedflower_bulk"/>
    <s v="NA"/>
    <n v="1"/>
    <n v="620"/>
    <n v="0"/>
    <m/>
    <x v="1"/>
    <n v="0"/>
  </r>
  <r>
    <s v="outbound"/>
    <d v="2025-03-03T11:52:00"/>
    <s v="sampling"/>
    <s v="Danniel_testing"/>
    <x v="425"/>
    <s v="DI22110901V30"/>
    <x v="103"/>
    <s v="extract_ingested_labelled_WT"/>
    <d v="2022-12-12T00:00:00"/>
    <n v="-1"/>
    <n v="0"/>
    <n v="-1"/>
    <m/>
    <x v="0"/>
    <n v="1"/>
  </r>
  <r>
    <s v="outbound"/>
    <d v="2025-03-03T11:52:00"/>
    <s v="sampling"/>
    <s v="Danniel_testing"/>
    <x v="426"/>
    <s v="DI22120501V30"/>
    <x v="104"/>
    <s v="extract_ingested_labelled_WT"/>
    <d v="2023-01-28T00:00:00"/>
    <n v="-1"/>
    <n v="0"/>
    <n v="-27.8"/>
    <m/>
    <x v="0"/>
    <n v="27.8"/>
  </r>
  <r>
    <s v="inbound"/>
    <d v="2025-03-03T12:24:00"/>
    <s v="storage"/>
    <m/>
    <x v="408"/>
    <n v="2024121801"/>
    <x v="100"/>
    <s v="driedflower_bulk"/>
    <s v="NA"/>
    <n v="1"/>
    <n v="510"/>
    <n v="0"/>
    <m/>
    <x v="1"/>
    <n v="0"/>
  </r>
  <r>
    <s v="outbound"/>
    <d v="2025-03-03T12:24:00"/>
    <s v="shipment"/>
    <s v="PO_1051"/>
    <x v="371"/>
    <s v="2024111801G7"/>
    <x v="83"/>
    <s v="driedflower_labelled"/>
    <d v="2024-12-05T00:00:00"/>
    <n v="-12"/>
    <n v="0"/>
    <n v="-84"/>
    <m/>
    <x v="0"/>
    <n v="7"/>
  </r>
  <r>
    <s v="inbound"/>
    <d v="2025-03-03T13:14:00"/>
    <s v="storage"/>
    <m/>
    <x v="344"/>
    <s v="TP24101701"/>
    <x v="2"/>
    <s v="topical_labelled"/>
    <d v="2024-10-23T00:00:00"/>
    <n v="8"/>
    <n v="0"/>
    <n v="704"/>
    <m/>
    <x v="0"/>
    <n v="88"/>
  </r>
  <r>
    <s v="inbound"/>
    <d v="2025-03-03T14:00:00"/>
    <s v="storage"/>
    <m/>
    <x v="279"/>
    <s v="EX24101705"/>
    <x v="74"/>
    <s v="extract_inhaled_bulk"/>
    <s v="NA"/>
    <n v="1"/>
    <n v="419.41"/>
    <n v="0"/>
    <m/>
    <x v="1"/>
    <n v="0"/>
  </r>
  <r>
    <s v="outbound"/>
    <d v="2025-03-04T11:12:00"/>
    <s v="production"/>
    <s v="Burb repackaging"/>
    <x v="427"/>
    <s v="PR2506"/>
    <x v="105"/>
    <s v="driedflower_milled_bulk_BURB"/>
    <s v="NA"/>
    <n v="-1"/>
    <n v="-4738"/>
    <n v="0"/>
    <m/>
    <x v="1"/>
    <n v="0"/>
  </r>
  <r>
    <s v="outbound"/>
    <d v="2025-03-05T10:52:00"/>
    <s v="shipment"/>
    <s v="PO_0081218"/>
    <x v="318"/>
    <s v="EX24111801V50"/>
    <x v="33"/>
    <s v="extract_ingested_cased_ON"/>
    <d v="2024-11-28T00:00:00"/>
    <n v="-5"/>
    <n v="0"/>
    <n v="-3000"/>
    <m/>
    <x v="0"/>
    <n v="600"/>
  </r>
  <r>
    <s v="outbound"/>
    <d v="2025-03-05T13:11:00"/>
    <s v="production"/>
    <s v="packaging Midnight Kruntz 7g"/>
    <x v="306"/>
    <n v="2024111803"/>
    <x v="79"/>
    <s v="driedflower_bulk"/>
    <s v="NA"/>
    <n v="-1"/>
    <n v="-2930"/>
    <n v="0"/>
    <m/>
    <x v="1"/>
    <n v="0"/>
  </r>
  <r>
    <s v="inbound"/>
    <d v="2025-03-05T16:21:00"/>
    <s v="storage"/>
    <m/>
    <x v="306"/>
    <n v="2024111803"/>
    <x v="79"/>
    <s v="driedflower_bulk"/>
    <s v="NA"/>
    <n v="1"/>
    <n v="1315"/>
    <n v="0"/>
    <m/>
    <x v="1"/>
    <n v="0"/>
  </r>
  <r>
    <s v="outbound"/>
    <d v="2025-03-05T16:47:00"/>
    <s v="sampling"/>
    <s v="rohan250305"/>
    <x v="424"/>
    <n v="2025021301"/>
    <x v="102"/>
    <s v="driedflower_bulk"/>
    <s v="NA"/>
    <n v="0"/>
    <n v="-30"/>
    <n v="0"/>
    <m/>
    <x v="1"/>
    <n v="0"/>
  </r>
  <r>
    <s v="outbound"/>
    <d v="2025-03-05T16:47:00"/>
    <s v="sampling"/>
    <s v="rohan250305"/>
    <x v="307"/>
    <n v="2024111803"/>
    <x v="79"/>
    <s v="driedflower_bulk"/>
    <s v="NA"/>
    <n v="0"/>
    <n v="-30"/>
    <n v="0"/>
    <m/>
    <x v="1"/>
    <n v="0"/>
  </r>
  <r>
    <s v="outbound"/>
    <d v="2025-03-06T09:23:00"/>
    <s v="production"/>
    <s v="filling"/>
    <x v="428"/>
    <s v="EX25022105"/>
    <x v="74"/>
    <s v="extract_inhaled_bulk"/>
    <s v="NA"/>
    <n v="-1"/>
    <n v="-584.44000000000005"/>
    <n v="0"/>
    <m/>
    <x v="1"/>
    <n v="0"/>
  </r>
  <r>
    <s v="outbound"/>
    <d v="2025-03-06T10:13:00"/>
    <s v="shipment"/>
    <s v="PO_0080542"/>
    <x v="388"/>
    <s v="EX25011501V50"/>
    <x v="97"/>
    <s v="extract_ingested_labelled"/>
    <d v="2025-02-04T00:00:00"/>
    <n v="-231"/>
    <n v="0"/>
    <n v="-11550"/>
    <m/>
    <x v="0"/>
    <n v="50"/>
  </r>
  <r>
    <s v="outbound"/>
    <d v="2025-03-06T10:13:00"/>
    <s v="production"/>
    <s v="labelling"/>
    <x v="429"/>
    <s v="EX25011201V50"/>
    <x v="33"/>
    <s v="extract_ingested_packaged"/>
    <d v="2025-02-12T00:00:00"/>
    <n v="-168"/>
    <n v="0"/>
    <n v="-8400"/>
    <m/>
    <x v="0"/>
    <n v="50"/>
  </r>
  <r>
    <s v="outbound"/>
    <d v="2025-03-06T10:13:00"/>
    <s v="shipment"/>
    <s v="PO_0080542"/>
    <x v="386"/>
    <s v="EX25011501V50"/>
    <x v="97"/>
    <s v="extract_ingested_labelled"/>
    <d v="2025-02-04T00:00:00"/>
    <n v="-181"/>
    <n v="0"/>
    <n v="-9050"/>
    <m/>
    <x v="0"/>
    <n v="50"/>
  </r>
  <r>
    <s v="outbound"/>
    <d v="2025-03-06T10:19:00"/>
    <s v="production"/>
    <s v="labelling for BCDD"/>
    <x v="165"/>
    <s v="EX24092601V50"/>
    <x v="41"/>
    <s v="extract_ingested_labelled"/>
    <d v="2024-10-11T00:00:00"/>
    <n v="-217"/>
    <n v="0"/>
    <n v="-10850"/>
    <m/>
    <x v="0"/>
    <n v="50"/>
  </r>
  <r>
    <s v="outbound"/>
    <d v="2025-03-06T10:48:00"/>
    <s v="sampling"/>
    <s v="Steve250306"/>
    <x v="345"/>
    <s v="EX25010907G1"/>
    <x v="89"/>
    <s v="extract_inhaled_labelled"/>
    <d v="2025-01-09T00:00:00"/>
    <n v="-3"/>
    <n v="0"/>
    <n v="-3"/>
    <m/>
    <x v="0"/>
    <n v="1"/>
  </r>
  <r>
    <s v="outbound"/>
    <d v="2025-03-06T11:52:00"/>
    <s v="production"/>
    <m/>
    <x v="306"/>
    <n v="2024111803"/>
    <x v="79"/>
    <s v="driedflower_bulk"/>
    <s v="NA"/>
    <n v="-1"/>
    <n v="-1315"/>
    <n v="0"/>
    <m/>
    <x v="1"/>
    <n v="0"/>
  </r>
  <r>
    <s v="inbound"/>
    <d v="2025-03-06T14:52:00"/>
    <s v="storage"/>
    <m/>
    <x v="428"/>
    <s v="EX25022105"/>
    <x v="74"/>
    <s v="extract_inhaled_bulk"/>
    <s v="NA"/>
    <n v="1"/>
    <n v="490.92"/>
    <n v="0"/>
    <m/>
    <x v="1"/>
    <n v="0"/>
  </r>
  <r>
    <s v="inbound"/>
    <d v="2025-03-06T15:05:00"/>
    <s v="storage"/>
    <m/>
    <x v="306"/>
    <n v="2024111803"/>
    <x v="79"/>
    <s v="driedflower_bulk"/>
    <s v="NA"/>
    <n v="1"/>
    <n v="1210"/>
    <n v="0"/>
    <m/>
    <x v="1"/>
    <n v="0"/>
  </r>
  <r>
    <s v="outbound"/>
    <d v="2025-03-10T10:13:00"/>
    <s v="shipment"/>
    <s v="PO_73650 (replacing 120 units of 426-0)"/>
    <x v="358"/>
    <s v="PR2401F5P2"/>
    <x v="54"/>
    <s v="preroll_labelled"/>
    <d v="2025-01-13T00:00:00"/>
    <n v="-120"/>
    <n v="0"/>
    <n v="-120"/>
    <m/>
    <x v="0"/>
    <n v="1"/>
  </r>
  <r>
    <s v="outbound"/>
    <d v="2025-03-10T10:13:00"/>
    <s v="shipment"/>
    <s v="PO_4500862809"/>
    <x v="430"/>
    <s v="TP24041202"/>
    <x v="6"/>
    <s v="topical_cased_MB_RTV"/>
    <d v="2024-05-11T00:00:00"/>
    <n v="-4"/>
    <n v="0"/>
    <n v="-4224"/>
    <m/>
    <x v="0"/>
    <n v="1056"/>
  </r>
  <r>
    <s v="outbound"/>
    <d v="2025-03-10T10:13:00"/>
    <s v="shipment"/>
    <s v="PO_4500862809"/>
    <x v="431"/>
    <s v="TP23092501"/>
    <x v="6"/>
    <s v="topical_cased_SK_RTV"/>
    <d v="2023-10-14T00:00:00"/>
    <n v="-1"/>
    <n v="0"/>
    <n v="-1056"/>
    <m/>
    <x v="0"/>
    <n v="1056"/>
  </r>
  <r>
    <s v="outbound"/>
    <d v="2025-03-10T10:13:00"/>
    <s v="shipment"/>
    <s v="PO_4500862809"/>
    <x v="432"/>
    <s v="TP23092501"/>
    <x v="6"/>
    <s v="topical_cased_SK_RTV"/>
    <d v="2023-10-14T00:00:00"/>
    <n v="-2"/>
    <n v="0"/>
    <n v="-2112"/>
    <m/>
    <x v="0"/>
    <n v="1056"/>
  </r>
  <r>
    <s v="outbound"/>
    <d v="2025-03-10T10:13:00"/>
    <s v="shipment"/>
    <s v="PO_4500862809"/>
    <x v="433"/>
    <s v="TP24041202"/>
    <x v="6"/>
    <s v="topical_cased_ON_RTV"/>
    <d v="2024-05-11T00:00:00"/>
    <n v="-7"/>
    <n v="0"/>
    <n v="-7392"/>
    <m/>
    <x v="0"/>
    <n v="1056"/>
  </r>
  <r>
    <s v="outbound"/>
    <d v="2025-03-10T10:13:00"/>
    <s v="shipment"/>
    <s v="PO_4500862809"/>
    <x v="434"/>
    <s v="TP23071001"/>
    <x v="6"/>
    <s v="topical_cased_MB_RTV"/>
    <d v="2023-07-27T00:00:00"/>
    <n v="-15"/>
    <n v="0"/>
    <n v="-15840"/>
    <m/>
    <x v="0"/>
    <n v="1056"/>
  </r>
  <r>
    <s v="outbound"/>
    <d v="2025-03-10T10:13:00"/>
    <s v="shipment"/>
    <s v="PO_4500862809"/>
    <x v="435"/>
    <s v="TP23092501"/>
    <x v="6"/>
    <s v="topical_labelled"/>
    <d v="2024-08-19T00:00:00"/>
    <n v="-12"/>
    <n v="0"/>
    <n v="-1056"/>
    <m/>
    <x v="0"/>
    <n v="88"/>
  </r>
  <r>
    <s v="outbound"/>
    <d v="2025-03-11T09:29:00"/>
    <s v="production"/>
    <m/>
    <x v="436"/>
    <s v="PR2505"/>
    <x v="106"/>
    <s v="driedflower_milled_bulk_BURB"/>
    <s v="NA"/>
    <n v="-1"/>
    <n v="-5928"/>
    <n v="0"/>
    <m/>
    <x v="1"/>
    <n v="0"/>
  </r>
  <r>
    <s v="outbound"/>
    <d v="2025-03-11T11:05:00"/>
    <s v="shipment"/>
    <s v="PO_1052"/>
    <x v="437"/>
    <s v="EX25012101V50"/>
    <x v="33"/>
    <s v="extract_ingested_cased_BC"/>
    <d v="2025-02-12T00:00:00"/>
    <n v="-1"/>
    <n v="0"/>
    <n v="-600"/>
    <m/>
    <x v="0"/>
    <n v="600"/>
  </r>
  <r>
    <s v="outbound"/>
    <d v="2025-03-11T11:05:00"/>
    <s v="shipment"/>
    <s v="PO_1052"/>
    <x v="422"/>
    <s v="EX25011501V50"/>
    <x v="97"/>
    <s v="extract_ingested_cased_BC"/>
    <d v="2025-02-04T00:00:00"/>
    <n v="-1"/>
    <n v="0"/>
    <n v="-600"/>
    <m/>
    <x v="0"/>
    <n v="600"/>
  </r>
  <r>
    <s v="outbound"/>
    <d v="2025-03-11T11:05:00"/>
    <s v="shipment"/>
    <s v="PO_1052"/>
    <x v="345"/>
    <s v="EX25010907G1"/>
    <x v="89"/>
    <s v="extract_inhaled_labelled"/>
    <d v="2025-01-09T00:00:00"/>
    <n v="-12"/>
    <n v="0"/>
    <n v="-12"/>
    <m/>
    <x v="0"/>
    <n v="1"/>
  </r>
  <r>
    <s v="outbound"/>
    <d v="2025-03-11T11:05:00"/>
    <s v="shipment"/>
    <s v="PO_1052"/>
    <x v="438"/>
    <s v="EX25020601G1"/>
    <x v="107"/>
    <s v="extract_inhaled_labelled"/>
    <d v="2025-02-19T00:00:00"/>
    <n v="-12"/>
    <n v="0"/>
    <n v="-12"/>
    <m/>
    <x v="0"/>
    <n v="1"/>
  </r>
  <r>
    <s v="outbound"/>
    <d v="2025-03-11T11:05:00"/>
    <s v="shipment"/>
    <s v="PO_1052"/>
    <x v="74"/>
    <s v="EX24092601V50"/>
    <x v="41"/>
    <s v="extract_ingested_cased_BC"/>
    <d v="2024-10-11T00:00:00"/>
    <n v="-1"/>
    <n v="0"/>
    <n v="-50"/>
    <m/>
    <x v="0"/>
    <n v="50"/>
  </r>
  <r>
    <s v="outbound"/>
    <d v="2025-03-11T11:05:00"/>
    <s v="shipment"/>
    <s v="PO_1052"/>
    <x v="268"/>
    <s v="PR2407F5P3"/>
    <x v="31"/>
    <s v="preroll_labelled"/>
    <d v="2024-06-04T00:00:00"/>
    <n v="-24"/>
    <n v="0"/>
    <n v="-36"/>
    <m/>
    <x v="0"/>
    <n v="1.5"/>
  </r>
  <r>
    <s v="outbound"/>
    <d v="2025-03-11T11:05:00"/>
    <s v="shipment"/>
    <s v="PO_1052"/>
    <x v="80"/>
    <s v="PR2301F5P3"/>
    <x v="42"/>
    <s v="preroll_labelled"/>
    <d v="2024-06-14T00:00:00"/>
    <n v="-24"/>
    <n v="0"/>
    <n v="-36"/>
    <m/>
    <x v="0"/>
    <n v="1.5"/>
  </r>
  <r>
    <s v="outbound"/>
    <d v="2025-03-11T11:05:00"/>
    <s v="shipment"/>
    <s v="PO_1052"/>
    <x v="81"/>
    <s v="PR2406F5P3"/>
    <x v="43"/>
    <s v="preroll_labelled"/>
    <d v="2024-06-14T00:00:00"/>
    <n v="-24"/>
    <n v="0"/>
    <n v="-36"/>
    <m/>
    <x v="0"/>
    <n v="1.5"/>
  </r>
  <r>
    <s v="outbound"/>
    <d v="2025-03-11T11:05:00"/>
    <s v="shipment"/>
    <s v="PO_1052"/>
    <x v="419"/>
    <s v="PR21071201G1"/>
    <x v="11"/>
    <s v="preroll_labelled"/>
    <d v="2025-01-28T00:00:00"/>
    <n v="-24"/>
    <n v="0"/>
    <n v="-24"/>
    <m/>
    <x v="0"/>
    <n v="1"/>
  </r>
  <r>
    <s v="outbound"/>
    <d v="2025-03-11T11:05:00"/>
    <s v="shipment"/>
    <s v="PO_1052"/>
    <x v="16"/>
    <s v="PR2406F1P1"/>
    <x v="12"/>
    <s v="preroll_labelled"/>
    <d v="2024-06-19T00:00:00"/>
    <n v="-24"/>
    <n v="0"/>
    <n v="-24"/>
    <m/>
    <x v="0"/>
    <n v="1"/>
  </r>
  <r>
    <s v="outbound"/>
    <d v="2025-03-11T13:33:00"/>
    <s v="shipment"/>
    <s v="PO_1052"/>
    <x v="371"/>
    <s v="2024111801G7"/>
    <x v="83"/>
    <s v="driedflower_labelled"/>
    <d v="2024-12-05T00:00:00"/>
    <n v="-12"/>
    <n v="0"/>
    <n v="-84"/>
    <m/>
    <x v="0"/>
    <n v="7"/>
  </r>
  <r>
    <s v="outbound"/>
    <d v="2025-03-11T13:33:00"/>
    <s v="shipment"/>
    <s v="PO_1052"/>
    <x v="438"/>
    <s v="EX25020601G1"/>
    <x v="107"/>
    <s v="extract_inhaled_labelled"/>
    <d v="2025-02-19T00:00:00"/>
    <n v="-12"/>
    <n v="0"/>
    <n v="-12"/>
    <m/>
    <x v="0"/>
    <n v="1"/>
  </r>
  <r>
    <s v="outbound"/>
    <d v="2025-03-11T13:33:00"/>
    <s v="shipment"/>
    <s v="PO_1052"/>
    <x v="320"/>
    <s v="EX24101703G05"/>
    <x v="45"/>
    <s v="extract_inhaled_labelled"/>
    <d v="2024-11-07T00:00:00"/>
    <n v="-12"/>
    <n v="0"/>
    <n v="-6"/>
    <m/>
    <x v="0"/>
    <n v="0.5"/>
  </r>
  <r>
    <s v="outbound"/>
    <d v="2025-03-11T13:33:00"/>
    <s v="shipment"/>
    <s v="PO_1052"/>
    <x v="439"/>
    <s v="EX24111302G05"/>
    <x v="46"/>
    <s v="extract_inhaled_labelled"/>
    <d v="2025-02-19T00:00:00"/>
    <n v="-12"/>
    <n v="0"/>
    <n v="-6"/>
    <m/>
    <x v="0"/>
    <n v="0.5"/>
  </r>
  <r>
    <s v="outbound"/>
    <d v="2025-03-11T13:33:00"/>
    <s v="shipment"/>
    <s v="PO_1052"/>
    <x v="336"/>
    <s v="EX24111306G05"/>
    <x v="53"/>
    <s v="extract_inhaled_labelled"/>
    <d v="2024-11-27T00:00:00"/>
    <n v="-12"/>
    <n v="0"/>
    <n v="-6"/>
    <m/>
    <x v="0"/>
    <n v="0.5"/>
  </r>
  <r>
    <s v="outbound"/>
    <d v="2025-03-11T13:33:00"/>
    <s v="shipment"/>
    <s v="PO_1052"/>
    <x v="351"/>
    <s v="EX24111301G05"/>
    <x v="47"/>
    <s v="extract_inhaled_labelled"/>
    <d v="2024-12-16T00:00:00"/>
    <n v="-12"/>
    <n v="0"/>
    <n v="-6"/>
    <m/>
    <x v="0"/>
    <n v="0.5"/>
  </r>
  <r>
    <s v="outbound"/>
    <d v="2025-03-11T13:33:00"/>
    <s v="shipment"/>
    <s v="PO_1052"/>
    <x v="345"/>
    <s v="EX25010907G1"/>
    <x v="89"/>
    <s v="extract_inhaled_labelled"/>
    <d v="2025-01-09T00:00:00"/>
    <n v="-2"/>
    <n v="0"/>
    <n v="-2"/>
    <m/>
    <x v="0"/>
    <n v="1"/>
  </r>
  <r>
    <s v="outbound"/>
    <d v="2025-03-11T15:07:00"/>
    <s v="shipment"/>
    <s v="PO00001786"/>
    <x v="286"/>
    <s v="BS23101901G450"/>
    <x v="5"/>
    <s v="topical_labelled"/>
    <d v="2024-12-03T00:00:00"/>
    <n v="-95"/>
    <n v="0"/>
    <n v="-42750"/>
    <m/>
    <x v="0"/>
    <n v="450"/>
  </r>
  <r>
    <s v="outbound"/>
    <d v="2025-03-11T15:12:00"/>
    <s v="shipment"/>
    <s v="PO00001786"/>
    <x v="336"/>
    <s v="EX24111306G05"/>
    <x v="53"/>
    <s v="extract_inhaled_labelled"/>
    <d v="2024-11-27T00:00:00"/>
    <n v="-478"/>
    <n v="0"/>
    <n v="-239"/>
    <m/>
    <x v="0"/>
    <n v="0.5"/>
  </r>
  <r>
    <s v="outbound"/>
    <d v="2025-03-11T15:12:00"/>
    <s v="shipment"/>
    <s v="PO00001786"/>
    <x v="423"/>
    <s v="PR2501F5P10"/>
    <x v="88"/>
    <s v="preroll_labelled"/>
    <d v="2025-02-19T00:00:00"/>
    <n v="-204"/>
    <n v="0"/>
    <n v="-1020"/>
    <m/>
    <x v="0"/>
    <n v="5"/>
  </r>
  <r>
    <s v="outbound"/>
    <d v="2025-03-11T15:12:00"/>
    <s v="shipment"/>
    <s v="PO00001786"/>
    <x v="440"/>
    <s v="PR2501F5"/>
    <x v="108"/>
    <s v="preroll_bulk"/>
    <s v="NA"/>
    <n v="-12"/>
    <n v="0"/>
    <n v="-6"/>
    <m/>
    <x v="0"/>
    <n v="0.5"/>
  </r>
  <r>
    <s v="outbound"/>
    <d v="2025-03-11T15:12:00"/>
    <s v="shipment"/>
    <s v="PO00001786"/>
    <x v="351"/>
    <s v="EX24111301G05"/>
    <x v="47"/>
    <s v="extract_inhaled_labelled"/>
    <d v="2024-12-16T00:00:00"/>
    <n v="-302"/>
    <n v="0"/>
    <n v="-151"/>
    <m/>
    <x v="0"/>
    <n v="0.5"/>
  </r>
  <r>
    <s v="outbound"/>
    <d v="2025-03-11T15:12:00"/>
    <s v="shipment"/>
    <s v="PO00001786"/>
    <x v="441"/>
    <s v="TP24120401G45"/>
    <x v="86"/>
    <s v="topical_labelled"/>
    <d v="2024-12-12T00:00:00"/>
    <n v="-300"/>
    <n v="0"/>
    <n v="-13500"/>
    <m/>
    <x v="0"/>
    <n v="45"/>
  </r>
  <r>
    <s v="outbound"/>
    <d v="2025-03-11T15:12:00"/>
    <s v="shipment"/>
    <s v="PO00001786"/>
    <x v="439"/>
    <s v="EX24111302G05"/>
    <x v="46"/>
    <s v="extract_inhaled_labelled"/>
    <d v="2025-02-19T00:00:00"/>
    <n v="-511"/>
    <n v="0"/>
    <n v="-255.5"/>
    <m/>
    <x v="0"/>
    <n v="0.5"/>
  </r>
  <r>
    <s v="outbound"/>
    <d v="2025-03-11T15:12:00"/>
    <s v="shipment"/>
    <s v="PO00001786"/>
    <x v="420"/>
    <s v="EX25010907G1"/>
    <x v="89"/>
    <s v="extract_inhaled_labelled"/>
    <d v="2025-02-26T00:00:00"/>
    <n v="-240"/>
    <n v="0"/>
    <n v="-240"/>
    <m/>
    <x v="0"/>
    <n v="1"/>
  </r>
  <r>
    <s v="outbound"/>
    <d v="2025-03-11T15:12:00"/>
    <s v="shipment"/>
    <s v="PO00001786"/>
    <x v="442"/>
    <s v="EX25010601V30"/>
    <x v="71"/>
    <s v="extract_ingested_labelled"/>
    <d v="2025-01-17T00:00:00"/>
    <n v="-87"/>
    <n v="0"/>
    <n v="-208904.40000000002"/>
    <m/>
    <x v="0"/>
    <n v="2401.2000000000003"/>
  </r>
  <r>
    <s v="outbound"/>
    <d v="2025-03-11T15:12:00"/>
    <s v="shipment"/>
    <s v="PO00001786"/>
    <x v="284"/>
    <s v="EX24101802V30"/>
    <x v="71"/>
    <s v="extract_ingested_labelled"/>
    <d v="2024-10-23T00:00:00"/>
    <n v="-82"/>
    <n v="0"/>
    <n v="-2263.2000000000003"/>
    <m/>
    <x v="0"/>
    <n v="27.6"/>
  </r>
  <r>
    <s v="outbound"/>
    <d v="2025-03-11T16:53:00"/>
    <s v="production"/>
    <s v="Animal Mint for PO00001786"/>
    <x v="421"/>
    <s v="PR2507"/>
    <x v="101"/>
    <s v="driedflower_milled_bulk"/>
    <s v="NA"/>
    <n v="-1"/>
    <n v="-5915"/>
    <n v="0"/>
    <m/>
    <x v="1"/>
    <n v="0"/>
  </r>
  <r>
    <s v="outbound"/>
    <d v="2025-03-12T13:29:00"/>
    <s v="shipment"/>
    <s v="PO_1053"/>
    <x v="81"/>
    <s v="PR2406F5P3"/>
    <x v="43"/>
    <s v="preroll_labelled"/>
    <d v="2024-06-14T00:00:00"/>
    <n v="-12"/>
    <n v="0"/>
    <n v="-18"/>
    <m/>
    <x v="0"/>
    <n v="1.5"/>
  </r>
  <r>
    <s v="outbound"/>
    <d v="2025-03-12T13:29:00"/>
    <s v="shipment"/>
    <s v="PO_1053"/>
    <x v="419"/>
    <s v="PR21071201G1"/>
    <x v="11"/>
    <s v="preroll_labelled"/>
    <d v="2025-01-28T00:00:00"/>
    <n v="-12"/>
    <n v="0"/>
    <n v="-12"/>
    <m/>
    <x v="0"/>
    <n v="1"/>
  </r>
  <r>
    <s v="outbound"/>
    <d v="2025-03-12T13:29:00"/>
    <s v="shipment"/>
    <s v="PO_1053"/>
    <x v="268"/>
    <s v="PR2407F5P3"/>
    <x v="31"/>
    <s v="preroll_labelled"/>
    <d v="2024-06-04T00:00:00"/>
    <n v="-12"/>
    <n v="0"/>
    <n v="-18"/>
    <m/>
    <x v="0"/>
    <n v="1.5"/>
  </r>
  <r>
    <s v="outbound"/>
    <d v="2025-03-12T13:29:00"/>
    <s v="shipment"/>
    <s v="PO_1053"/>
    <x v="257"/>
    <s v="PR241005F5P3"/>
    <x v="17"/>
    <s v="preroll_labelled"/>
    <d v="2024-10-10T00:00:00"/>
    <n v="-12"/>
    <n v="0"/>
    <n v="-18"/>
    <m/>
    <x v="0"/>
    <n v="1.5"/>
  </r>
  <r>
    <s v="outbound"/>
    <d v="2025-03-12T13:29:00"/>
    <s v="shipment"/>
    <s v="PO_1053"/>
    <x v="179"/>
    <s v="PR241003F5P3"/>
    <x v="20"/>
    <s v="preroll_labelled"/>
    <d v="2024-10-10T00:00:00"/>
    <n v="-24"/>
    <n v="0"/>
    <n v="-36"/>
    <m/>
    <x v="0"/>
    <n v="1.5"/>
  </r>
  <r>
    <s v="outbound"/>
    <d v="2025-03-12T13:29:00"/>
    <s v="shipment"/>
    <s v="PO_1053"/>
    <x v="371"/>
    <s v="2024111801G7"/>
    <x v="83"/>
    <s v="driedflower_labelled"/>
    <d v="2024-12-05T00:00:00"/>
    <n v="-1"/>
    <n v="0"/>
    <n v="-7"/>
    <m/>
    <x v="0"/>
    <n v="7"/>
  </r>
  <r>
    <s v="outbound"/>
    <d v="2025-03-13T09:54:00"/>
    <s v="shipment"/>
    <s v="PO_1056"/>
    <x v="437"/>
    <s v="EX25012101V50"/>
    <x v="33"/>
    <s v="extract_ingested_cased_BC"/>
    <d v="2025-02-12T00:00:00"/>
    <n v="-1"/>
    <n v="0"/>
    <n v="-600"/>
    <m/>
    <x v="0"/>
    <n v="600"/>
  </r>
  <r>
    <s v="outbound"/>
    <d v="2025-03-13T09:54:00"/>
    <s v="shipment"/>
    <s v="PO_1056"/>
    <x v="242"/>
    <s v="EX24070901V50"/>
    <x v="41"/>
    <s v="extract_ingested_cased_BC"/>
    <d v="2024-07-30T00:00:00"/>
    <n v="-1"/>
    <n v="0"/>
    <n v="-600"/>
    <m/>
    <x v="0"/>
    <n v="600"/>
  </r>
  <r>
    <s v="outbound"/>
    <d v="2025-03-13T09:54:00"/>
    <s v="shipment"/>
    <s v="PO_1056"/>
    <x v="422"/>
    <s v="EX25011501V50"/>
    <x v="97"/>
    <s v="extract_ingested_cased_BC"/>
    <d v="2025-02-04T00:00:00"/>
    <n v="-1"/>
    <n v="0"/>
    <n v="-600"/>
    <m/>
    <x v="0"/>
    <n v="600"/>
  </r>
  <r>
    <s v="outbound"/>
    <d v="2025-03-13T09:54:00"/>
    <s v="shipment"/>
    <s v="PO_1056"/>
    <x v="443"/>
    <s v="PR21071201G1"/>
    <x v="11"/>
    <s v="preroll_cased_MB"/>
    <d v="2025-01-28T00:00:00"/>
    <n v="-1"/>
    <n v="0"/>
    <n v="-24"/>
    <m/>
    <x v="0"/>
    <n v="24"/>
  </r>
  <r>
    <s v="outbound"/>
    <d v="2025-03-13T09:54:00"/>
    <s v="shipment"/>
    <s v="PO_1056"/>
    <x v="16"/>
    <s v="PR2406F1P1"/>
    <x v="12"/>
    <s v="preroll_labelled"/>
    <d v="2024-06-19T00:00:00"/>
    <n v="-12"/>
    <n v="0"/>
    <n v="-12"/>
    <m/>
    <x v="0"/>
    <n v="1"/>
  </r>
  <r>
    <s v="outbound"/>
    <d v="2025-03-13T09:54:00"/>
    <s v="shipment"/>
    <s v="PO_1056"/>
    <x v="80"/>
    <s v="PR2301F5P3"/>
    <x v="42"/>
    <s v="preroll_labelled"/>
    <d v="2024-06-14T00:00:00"/>
    <n v="-12"/>
    <n v="0"/>
    <n v="-18"/>
    <m/>
    <x v="0"/>
    <n v="1.5"/>
  </r>
  <r>
    <s v="outbound"/>
    <d v="2025-03-13T09:54:00"/>
    <s v="shipment"/>
    <s v="PO_1056"/>
    <x v="393"/>
    <s v="PR2407F5P3"/>
    <x v="31"/>
    <s v="preroll_labelled"/>
    <d v="2024-06-04T00:00:00"/>
    <n v="-12"/>
    <n v="0"/>
    <n v="-18"/>
    <m/>
    <x v="0"/>
    <n v="1.5"/>
  </r>
  <r>
    <s v="outbound"/>
    <d v="2025-03-13T09:54:00"/>
    <s v="shipment"/>
    <s v="PO_1056"/>
    <x v="81"/>
    <s v="PR2406F5P3"/>
    <x v="43"/>
    <s v="preroll_labelled"/>
    <d v="2024-06-14T00:00:00"/>
    <n v="-12"/>
    <n v="0"/>
    <n v="-18"/>
    <m/>
    <x v="0"/>
    <n v="1.5"/>
  </r>
  <r>
    <s v="outbound"/>
    <d v="2025-03-13T09:59:00"/>
    <s v="shipment"/>
    <s v="PO00001786"/>
    <x v="444"/>
    <s v="2024111803G7"/>
    <x v="83"/>
    <s v="driedflower_labelled"/>
    <d v="2025-03-05T00:00:00"/>
    <n v="-225"/>
    <n v="0"/>
    <n v="-1575"/>
    <m/>
    <x v="0"/>
    <n v="7"/>
  </r>
  <r>
    <s v="outbound"/>
    <d v="2025-03-13T10:30:00"/>
    <s v="shipment"/>
    <s v="PO_1055"/>
    <x v="179"/>
    <s v="PR241003F5P3"/>
    <x v="20"/>
    <s v="preroll_labelled"/>
    <d v="2024-10-10T00:00:00"/>
    <n v="-12"/>
    <n v="0"/>
    <n v="-18"/>
    <m/>
    <x v="0"/>
    <n v="1.5"/>
  </r>
  <r>
    <s v="outbound"/>
    <d v="2025-03-13T10:30:00"/>
    <s v="shipment"/>
    <s v="PO_1055"/>
    <x v="334"/>
    <s v="PR241104F5P3"/>
    <x v="18"/>
    <s v="preroll_labelled"/>
    <d v="2024-12-04T00:00:00"/>
    <n v="-12"/>
    <n v="0"/>
    <n v="-18"/>
    <m/>
    <x v="0"/>
    <n v="1.5"/>
  </r>
  <r>
    <s v="outbound"/>
    <d v="2025-03-13T11:01:00"/>
    <s v="shipment"/>
    <s v="PO_1055"/>
    <x v="445"/>
    <s v="PR241101F5P3"/>
    <x v="19"/>
    <s v="preroll_labelled"/>
    <d v="2025-02-19T00:00:00"/>
    <n v="-11"/>
    <n v="0"/>
    <n v="-16.5"/>
    <m/>
    <x v="0"/>
    <n v="1.5"/>
  </r>
  <r>
    <s v="outbound"/>
    <d v="2025-03-13T11:01:00"/>
    <s v="shipment"/>
    <s v="PO_1055"/>
    <x v="376"/>
    <s v="PR241101F5P3"/>
    <x v="19"/>
    <s v="preroll_labelled"/>
    <d v="2024-10-09T00:00:00"/>
    <n v="-13"/>
    <n v="0"/>
    <n v="-19.5"/>
    <m/>
    <x v="0"/>
    <n v="1.5"/>
  </r>
  <r>
    <s v="outbound"/>
    <d v="2025-03-13T11:40:00"/>
    <s v="shipment"/>
    <s v="PO00001786"/>
    <x v="357"/>
    <s v="PR2301F35P12"/>
    <x v="90"/>
    <s v="preroll_labelled"/>
    <d v="2024-12-23T00:00:00"/>
    <n v="-192"/>
    <n v="0"/>
    <n v="-806.39999999999986"/>
    <m/>
    <x v="0"/>
    <n v="4.1999999999999993"/>
  </r>
  <r>
    <s v="outbound"/>
    <d v="2025-03-13T12:25:00"/>
    <s v="shipment"/>
    <s v="PO_1057"/>
    <x v="330"/>
    <s v="PR241102F5P3"/>
    <x v="30"/>
    <s v="preroll_labelled"/>
    <d v="2025-01-03T00:00:00"/>
    <n v="-24"/>
    <n v="0"/>
    <n v="-36"/>
    <m/>
    <x v="0"/>
    <n v="1.5"/>
  </r>
  <r>
    <s v="outbound"/>
    <d v="2025-03-13T12:25:00"/>
    <s v="shipment"/>
    <s v="PO_1057"/>
    <x v="80"/>
    <s v="PR2301F5P3"/>
    <x v="42"/>
    <s v="preroll_labelled"/>
    <d v="2024-06-14T00:00:00"/>
    <n v="-24"/>
    <n v="0"/>
    <n v="-36"/>
    <m/>
    <x v="0"/>
    <n v="1.5"/>
  </r>
  <r>
    <s v="outbound"/>
    <d v="2025-03-13T12:25:00"/>
    <s v="production"/>
    <s v="relabelling POD"/>
    <x v="16"/>
    <s v="PR2406F1P1"/>
    <x v="12"/>
    <s v="preroll_labelled"/>
    <d v="2024-06-19T00:00:00"/>
    <n v="-522"/>
    <n v="0"/>
    <n v="-522"/>
    <m/>
    <x v="0"/>
    <n v="1"/>
  </r>
  <r>
    <s v="outbound"/>
    <d v="2025-03-13T12:25:00"/>
    <s v="production"/>
    <s v="relabelling POD"/>
    <x v="80"/>
    <s v="PR2301F5P3"/>
    <x v="42"/>
    <s v="preroll_labelled"/>
    <d v="2024-06-14T00:00:00"/>
    <n v="-168"/>
    <n v="0"/>
    <n v="-252"/>
    <m/>
    <x v="0"/>
    <n v="1.5"/>
  </r>
  <r>
    <s v="outbound"/>
    <d v="2025-03-13T12:25:00"/>
    <s v="production"/>
    <s v="relabelling POD"/>
    <x v="81"/>
    <s v="PR2406F5P3"/>
    <x v="43"/>
    <s v="preroll_labelled"/>
    <d v="2024-06-14T00:00:00"/>
    <n v="-48"/>
    <n v="0"/>
    <n v="-72"/>
    <m/>
    <x v="0"/>
    <n v="1.5"/>
  </r>
  <r>
    <s v="outbound"/>
    <d v="2025-03-13T12:25:00"/>
    <s v="production"/>
    <s v="relabelling POD"/>
    <x v="393"/>
    <s v="PR2407F5P3"/>
    <x v="31"/>
    <s v="preroll_labelled"/>
    <d v="2024-06-04T00:00:00"/>
    <n v="-197"/>
    <n v="0"/>
    <n v="-295.5"/>
    <m/>
    <x v="0"/>
    <n v="1.5"/>
  </r>
  <r>
    <s v="outbound"/>
    <d v="2025-03-13T15:41:00"/>
    <s v="production"/>
    <s v="PO00001786"/>
    <x v="446"/>
    <s v="BS23090701G450"/>
    <x v="5"/>
    <s v="topical_labelled_RTV"/>
    <d v="2023-09-30T00:00:00"/>
    <n v="-120"/>
    <n v="0"/>
    <n v="-54000"/>
    <m/>
    <x v="0"/>
    <n v="450"/>
  </r>
  <r>
    <s v="outbound"/>
    <d v="2025-03-14T12:33:00"/>
    <s v="shipment"/>
    <s v="PO_1059"/>
    <x v="443"/>
    <s v="PR21071201G1"/>
    <x v="11"/>
    <s v="preroll_cased_MB"/>
    <d v="2025-01-28T00:00:00"/>
    <n v="-1"/>
    <n v="0"/>
    <n v="-24"/>
    <m/>
    <x v="0"/>
    <n v="24"/>
  </r>
  <r>
    <s v="outbound"/>
    <d v="2025-03-14T12:33:00"/>
    <s v="shipment"/>
    <s v="PO_1059"/>
    <x v="438"/>
    <s v="EX25020601G1"/>
    <x v="107"/>
    <s v="extract_inhaled_labelled"/>
    <d v="2025-02-19T00:00:00"/>
    <n v="-12"/>
    <n v="0"/>
    <n v="-12"/>
    <m/>
    <x v="0"/>
    <n v="1"/>
  </r>
  <r>
    <s v="outbound"/>
    <d v="2025-03-14T12:39:00"/>
    <s v="shipment"/>
    <s v="PO_00023087"/>
    <x v="257"/>
    <s v="PR241005F5P3"/>
    <x v="17"/>
    <s v="preroll_labelled"/>
    <d v="2024-10-10T00:00:00"/>
    <n v="-12"/>
    <n v="0"/>
    <n v="-18"/>
    <m/>
    <x v="0"/>
    <n v="1.5"/>
  </r>
  <r>
    <s v="outbound"/>
    <d v="2025-03-14T12:39:00"/>
    <s v="shipment"/>
    <s v="PO_00023087"/>
    <x v="445"/>
    <s v="PR241101F5P3"/>
    <x v="19"/>
    <s v="preroll_labelled"/>
    <d v="2025-02-19T00:00:00"/>
    <n v="-12"/>
    <n v="0"/>
    <n v="-18"/>
    <m/>
    <x v="0"/>
    <n v="1.5"/>
  </r>
  <r>
    <s v="outbound"/>
    <d v="2025-03-17T09:22:00"/>
    <s v="shipment"/>
    <s v="PO_1060"/>
    <x v="438"/>
    <s v="EX25020601G1"/>
    <x v="107"/>
    <s v="extract_inhaled_labelled"/>
    <d v="2025-02-19T00:00:00"/>
    <n v="-12"/>
    <n v="0"/>
    <n v="-12"/>
    <m/>
    <x v="0"/>
    <n v="1"/>
  </r>
  <r>
    <s v="outbound"/>
    <d v="2025-03-17T09:31:00"/>
    <s v="shipment"/>
    <s v="PO_1060"/>
    <x v="179"/>
    <s v="PR241003F5P3"/>
    <x v="20"/>
    <s v="preroll_labelled"/>
    <d v="2024-10-10T00:00:00"/>
    <n v="-24"/>
    <n v="0"/>
    <n v="-36"/>
    <m/>
    <x v="0"/>
    <n v="1.5"/>
  </r>
  <r>
    <s v="outbound"/>
    <d v="2025-03-17T10:02:00"/>
    <s v="production"/>
    <s v="test run_Kanishk"/>
    <x v="447"/>
    <n v="2025030701"/>
    <x v="109"/>
    <s v="driedflower_bulk_JEN"/>
    <s v="NA"/>
    <n v="-1"/>
    <n v="-895"/>
    <n v="0"/>
    <m/>
    <x v="1"/>
    <n v="0"/>
  </r>
  <r>
    <s v="outbound"/>
    <d v="2025-03-17T15:47:00"/>
    <s v="production"/>
    <s v="labelling"/>
    <x v="448"/>
    <s v="PR2507F1P2"/>
    <x v="110"/>
    <s v="preroll_labelled"/>
    <d v="2025-03-12T00:00:00"/>
    <n v="-252"/>
    <n v="0"/>
    <n v="-504"/>
    <m/>
    <x v="0"/>
    <n v="2"/>
  </r>
  <r>
    <s v="outbound"/>
    <d v="2025-03-17T15:47:00"/>
    <s v="production"/>
    <s v="labelling"/>
    <x v="449"/>
    <s v="EX25020601G05"/>
    <x v="111"/>
    <s v="extract_inhaled_packaged"/>
    <d v="2025-02-14T00:00:00"/>
    <n v="-546"/>
    <n v="0"/>
    <n v="-273"/>
    <m/>
    <x v="0"/>
    <n v="0.5"/>
  </r>
  <r>
    <s v="inbound"/>
    <d v="2025-03-18T13:56:00"/>
    <s v="storage"/>
    <m/>
    <x v="447"/>
    <n v="2025030701"/>
    <x v="109"/>
    <s v="driedflower_bulk_JEN"/>
    <s v="NA"/>
    <n v="1"/>
    <n v="698"/>
    <n v="0"/>
    <m/>
    <x v="1"/>
    <n v="0"/>
  </r>
  <r>
    <s v="inbound"/>
    <d v="2025-03-18T14:22:00"/>
    <s v="storage"/>
    <m/>
    <x v="427"/>
    <s v="PR2506"/>
    <x v="105"/>
    <s v="driedflower_milled_bulk_BURB"/>
    <s v="NA"/>
    <n v="1"/>
    <n v="1340"/>
    <n v="0"/>
    <m/>
    <x v="1"/>
    <n v="0"/>
  </r>
  <r>
    <s v="inbound"/>
    <d v="2025-03-18T14:22:00"/>
    <s v="storage"/>
    <m/>
    <x v="429"/>
    <s v="EX25012101V50"/>
    <x v="33"/>
    <s v="extract_ingested_packaged"/>
    <d v="2025-02-12T00:00:00"/>
    <n v="164"/>
    <n v="0"/>
    <n v="8200"/>
    <m/>
    <x v="0"/>
    <n v="50"/>
  </r>
  <r>
    <s v="inbound"/>
    <d v="2025-03-18T14:22:00"/>
    <s v="storage"/>
    <m/>
    <x v="388"/>
    <s v="EX25011501V50"/>
    <x v="97"/>
    <s v="extract_ingested_labelled"/>
    <d v="2025-02-04T00:00:00"/>
    <n v="36"/>
    <n v="0"/>
    <n v="1800"/>
    <m/>
    <x v="0"/>
    <n v="50"/>
  </r>
  <r>
    <s v="inbound"/>
    <d v="2025-03-18T14:22:00"/>
    <s v="storage"/>
    <m/>
    <x v="165"/>
    <s v="EX24092601V50"/>
    <x v="41"/>
    <s v="extract_ingested_labelled"/>
    <d v="2024-10-11T00:00:00"/>
    <n v="181"/>
    <n v="0"/>
    <n v="9050"/>
    <m/>
    <x v="0"/>
    <n v="50"/>
  </r>
  <r>
    <s v="outbound"/>
    <d v="2025-03-18T14:22:00"/>
    <s v="sampling"/>
    <s v="late recording for sampling for steve"/>
    <x v="450"/>
    <n v="2023110201"/>
    <x v="112"/>
    <s v="extract_distillate_bulk"/>
    <s v="NA"/>
    <n v="0"/>
    <n v="-4"/>
    <n v="0"/>
    <m/>
    <x v="1"/>
    <n v="0"/>
  </r>
  <r>
    <s v="inbound"/>
    <d v="2025-03-18T14:22:00"/>
    <s v="storage"/>
    <m/>
    <x v="441"/>
    <s v="TP24120401G45"/>
    <x v="86"/>
    <s v="topical_labelled"/>
    <d v="2024-12-12T00:00:00"/>
    <n v="144"/>
    <n v="0"/>
    <n v="6480"/>
    <m/>
    <x v="0"/>
    <n v="45"/>
  </r>
  <r>
    <s v="outbound"/>
    <d v="2025-03-18T15:04:00"/>
    <s v="sampling"/>
    <s v="late recording for sampling for steve"/>
    <x v="451"/>
    <n v="2025021303"/>
    <x v="113"/>
    <s v="infusedflower_bulk"/>
    <s v="NA"/>
    <n v="0"/>
    <n v="-4"/>
    <n v="0"/>
    <m/>
    <x v="1"/>
    <n v="0"/>
  </r>
  <r>
    <s v="outbound"/>
    <d v="2025-03-18T15:04:00"/>
    <s v="sampling"/>
    <s v="late recording for sampling for steve"/>
    <x v="424"/>
    <n v="2025021301"/>
    <x v="102"/>
    <s v="driedflower_bulk"/>
    <s v="NA"/>
    <n v="0"/>
    <n v="-8"/>
    <n v="0"/>
    <m/>
    <x v="1"/>
    <n v="0"/>
  </r>
  <r>
    <s v="outbound"/>
    <d v="2025-03-18T15:04:00"/>
    <s v="sampling"/>
    <s v="late recording for sampling for steve"/>
    <x v="1"/>
    <s v="PR2303"/>
    <x v="1"/>
    <s v="driedflower_milled_bulk"/>
    <s v="NA"/>
    <n v="0"/>
    <n v="-5"/>
    <n v="0"/>
    <m/>
    <x v="1"/>
    <n v="0"/>
  </r>
  <r>
    <s v="inbound"/>
    <d v="2025-03-18T15:08:00"/>
    <s v="production"/>
    <s v="PO00001786"/>
    <x v="442"/>
    <s v="EX25010601V30"/>
    <x v="71"/>
    <s v="extract_ingested_labelled"/>
    <d v="2025-01-17T00:00:00"/>
    <n v="27"/>
    <n v="0"/>
    <n v="64832.400000000009"/>
    <m/>
    <x v="0"/>
    <n v="2401.2000000000003"/>
  </r>
  <r>
    <s v="inbound"/>
    <d v="2025-03-18T15:09:00"/>
    <s v="production"/>
    <s v="PO00001786"/>
    <x v="284"/>
    <s v="EX24101802V30"/>
    <x v="71"/>
    <s v="extract_ingested_labelled"/>
    <d v="2024-10-23T00:00:00"/>
    <n v="22"/>
    <n v="0"/>
    <n v="607.20000000000005"/>
    <m/>
    <x v="0"/>
    <n v="27.6"/>
  </r>
  <r>
    <s v="inbound"/>
    <d v="2025-03-18T15:48:00"/>
    <s v="storage"/>
    <m/>
    <x v="436"/>
    <s v="PR2505"/>
    <x v="106"/>
    <s v="driedflower_milled_bulk_BURB"/>
    <s v="NA"/>
    <n v="1"/>
    <n v="2880"/>
    <n v="0"/>
    <m/>
    <x v="1"/>
    <n v="0"/>
  </r>
  <r>
    <s v="inbound"/>
    <d v="2025-03-18T15:48:00"/>
    <s v="storage"/>
    <m/>
    <x v="421"/>
    <s v="PR2507"/>
    <x v="101"/>
    <s v="driedflower_milled_bulk"/>
    <s v="NA"/>
    <n v="1"/>
    <n v="5706"/>
    <n v="0"/>
    <m/>
    <x v="1"/>
    <n v="0"/>
  </r>
  <r>
    <s v="inbound"/>
    <d v="2025-03-18T15:48:00"/>
    <s v="storage"/>
    <m/>
    <x v="345"/>
    <s v="EX25010907G1"/>
    <x v="89"/>
    <s v="extract_inhaled_labelled"/>
    <d v="2025-01-09T00:00:00"/>
    <n v="34"/>
    <n v="0"/>
    <n v="34"/>
    <m/>
    <x v="0"/>
    <n v="1"/>
  </r>
  <r>
    <s v="inbound"/>
    <d v="2025-03-18T15:48:00"/>
    <s v="storage"/>
    <m/>
    <x v="440"/>
    <s v="PR2501F5"/>
    <x v="108"/>
    <s v="preroll_bulk"/>
    <s v="NA"/>
    <n v="12"/>
    <n v="0"/>
    <n v="6"/>
    <m/>
    <x v="0"/>
    <n v="0.5"/>
  </r>
  <r>
    <s v="inbound"/>
    <d v="2025-03-18T15:48:00"/>
    <s v="storage"/>
    <m/>
    <x v="423"/>
    <s v="PR2501F5P10"/>
    <x v="88"/>
    <s v="preroll_labelled"/>
    <d v="2025-02-19T00:00:00"/>
    <n v="12"/>
    <n v="0"/>
    <n v="60"/>
    <m/>
    <x v="0"/>
    <n v="5"/>
  </r>
  <r>
    <s v="inbound"/>
    <d v="2025-03-18T15:48:00"/>
    <s v="storage"/>
    <m/>
    <x v="420"/>
    <s v="EX25010907G1"/>
    <x v="89"/>
    <s v="extract_inhaled_labelled"/>
    <d v="2025-02-26T00:00:00"/>
    <n v="60"/>
    <n v="0"/>
    <n v="60"/>
    <m/>
    <x v="0"/>
    <n v="1"/>
  </r>
  <r>
    <s v="inbound"/>
    <d v="2025-03-18T15:48:00"/>
    <s v="storage"/>
    <m/>
    <x v="351"/>
    <s v="EX24111301G05"/>
    <x v="47"/>
    <s v="extract_inhaled_labelled"/>
    <d v="2024-12-16T00:00:00"/>
    <n v="62"/>
    <n v="0"/>
    <n v="31"/>
    <m/>
    <x v="0"/>
    <n v="0.5"/>
  </r>
  <r>
    <s v="inbound"/>
    <d v="2025-03-18T15:48:00"/>
    <s v="storage"/>
    <m/>
    <x v="439"/>
    <s v="EX24111302G05"/>
    <x v="46"/>
    <s v="extract_inhaled_labelled"/>
    <d v="2025-02-19T00:00:00"/>
    <n v="367"/>
    <n v="0"/>
    <n v="183.5"/>
    <m/>
    <x v="0"/>
    <n v="0.5"/>
  </r>
  <r>
    <s v="inbound"/>
    <d v="2025-03-18T15:48:00"/>
    <s v="storage"/>
    <m/>
    <x v="444"/>
    <s v="2024111803G7"/>
    <x v="83"/>
    <s v="driedflower_labelled"/>
    <d v="2025-03-05T00:00:00"/>
    <n v="51"/>
    <n v="0"/>
    <n v="357"/>
    <m/>
    <x v="0"/>
    <n v="7"/>
  </r>
  <r>
    <s v="inbound"/>
    <d v="2025-03-18T15:48:00"/>
    <s v="storage"/>
    <m/>
    <x v="357"/>
    <s v="PR2301F35P12"/>
    <x v="90"/>
    <s v="preroll_labelled"/>
    <d v="2024-12-23T00:00:00"/>
    <n v="71"/>
    <n v="0"/>
    <n v="298.19999999999993"/>
    <m/>
    <x v="0"/>
    <n v="4.1999999999999993"/>
  </r>
  <r>
    <s v="inbound"/>
    <d v="2025-03-18T15:48:00"/>
    <s v="storage"/>
    <m/>
    <x v="448"/>
    <s v="PR2507F1P2"/>
    <x v="110"/>
    <s v="preroll_labelled"/>
    <d v="2025-03-12T00:00:00"/>
    <n v="228"/>
    <n v="0"/>
    <n v="456"/>
    <m/>
    <x v="0"/>
    <n v="2"/>
  </r>
  <r>
    <s v="inbound"/>
    <d v="2025-03-18T15:48:00"/>
    <s v="storage"/>
    <m/>
    <x v="80"/>
    <s v="PR2301F5P3"/>
    <x v="42"/>
    <s v="preroll_labelled"/>
    <d v="2024-06-14T00:00:00"/>
    <n v="142"/>
    <n v="0"/>
    <n v="213"/>
    <m/>
    <x v="0"/>
    <n v="1.5"/>
  </r>
  <r>
    <s v="inbound"/>
    <d v="2025-03-18T15:48:00"/>
    <s v="storage"/>
    <m/>
    <x v="16"/>
    <s v="PR2406F1P1"/>
    <x v="12"/>
    <s v="preroll_labelled"/>
    <d v="2024-06-19T00:00:00"/>
    <n v="482"/>
    <n v="0"/>
    <n v="482"/>
    <m/>
    <x v="0"/>
    <n v="1"/>
  </r>
  <r>
    <s v="inbound"/>
    <d v="2025-03-18T15:48:00"/>
    <s v="storage"/>
    <m/>
    <x v="393"/>
    <s v="PR2407F5P3"/>
    <x v="31"/>
    <s v="preroll_labelled"/>
    <d v="2024-06-04T00:00:00"/>
    <n v="155"/>
    <n v="0"/>
    <n v="232.5"/>
    <m/>
    <x v="0"/>
    <n v="1.5"/>
  </r>
  <r>
    <s v="inbound"/>
    <d v="2025-03-18T16:14:00"/>
    <s v="storage"/>
    <m/>
    <x v="81"/>
    <s v="PR2406F5P3"/>
    <x v="43"/>
    <s v="preroll_labelled"/>
    <d v="2024-06-14T00:00:00"/>
    <n v="13"/>
    <n v="0"/>
    <n v="19.5"/>
    <m/>
    <x v="0"/>
    <n v="1.5"/>
  </r>
  <r>
    <s v="outbound"/>
    <d v="2025-03-19T10:15:00"/>
    <s v="production"/>
    <s v="lot_rogex001g1"/>
    <x v="396"/>
    <n v="2024120601"/>
    <x v="99"/>
    <s v="extract_inhaled_bulk"/>
    <s v="NA"/>
    <n v="-1"/>
    <n v="-1940"/>
    <n v="0"/>
    <m/>
    <x v="1"/>
    <n v="0"/>
  </r>
  <r>
    <s v="outbound"/>
    <d v="2025-03-19T10:18:00"/>
    <s v="production"/>
    <m/>
    <x v="452"/>
    <s v="PR2301"/>
    <x v="85"/>
    <s v="driedflower_milled_bulk"/>
    <d v="2024-04-02T00:00:00"/>
    <n v="-1"/>
    <n v="-5745"/>
    <n v="0"/>
    <m/>
    <x v="1"/>
    <n v="0"/>
  </r>
  <r>
    <s v="outbound"/>
    <d v="2025-03-19T11:25:00"/>
    <s v="shipment"/>
    <s v="PO_1062 and PO_1063"/>
    <x v="382"/>
    <s v="EX24100801V30"/>
    <x v="44"/>
    <s v="extract_ingested_labelled"/>
    <d v="2024-10-25T00:00:00"/>
    <n v="-55"/>
    <n v="0"/>
    <n v="-1501.5"/>
    <m/>
    <x v="0"/>
    <n v="27.3"/>
  </r>
  <r>
    <s v="outbound"/>
    <d v="2025-03-19T11:25:00"/>
    <s v="shipment"/>
    <s v="PO_1063"/>
    <x v="448"/>
    <s v="PR2507F1P2"/>
    <x v="110"/>
    <s v="preroll_labelled"/>
    <d v="2025-03-12T00:00:00"/>
    <n v="-48"/>
    <n v="0"/>
    <n v="-96"/>
    <m/>
    <x v="0"/>
    <n v="2"/>
  </r>
  <r>
    <s v="outbound"/>
    <d v="2025-03-19T11:25:00"/>
    <s v="shipment"/>
    <s v="PO_1063"/>
    <x v="423"/>
    <s v="PR2501F5P10"/>
    <x v="88"/>
    <s v="preroll_labelled"/>
    <d v="2025-02-19T00:00:00"/>
    <n v="-12"/>
    <n v="0"/>
    <n v="-60"/>
    <m/>
    <x v="0"/>
    <n v="5"/>
  </r>
  <r>
    <s v="outbound"/>
    <d v="2025-03-19T11:37:00"/>
    <s v="shipment"/>
    <s v="PO_1063"/>
    <x v="453"/>
    <s v="EX24092601V50"/>
    <x v="41"/>
    <s v="extract_ingested_cased_BC"/>
    <d v="2024-10-11T00:00:00"/>
    <n v="-2"/>
    <n v="0"/>
    <n v="-1200"/>
    <m/>
    <x v="0"/>
    <n v="600"/>
  </r>
  <r>
    <s v="outbound"/>
    <d v="2025-03-19T11:39:00"/>
    <s v="shipment"/>
    <s v="PO_1062"/>
    <x v="444"/>
    <s v="2024111803G7"/>
    <x v="83"/>
    <s v="driedflower_labelled"/>
    <d v="2025-03-05T00:00:00"/>
    <n v="-51"/>
    <n v="0"/>
    <n v="-357"/>
    <m/>
    <x v="0"/>
    <n v="7"/>
  </r>
  <r>
    <s v="outbound"/>
    <d v="2025-03-19T11:58:00"/>
    <s v="production"/>
    <s v="PR2501F5"/>
    <x v="392"/>
    <s v="PR2501"/>
    <x v="84"/>
    <s v="driedflower_milled_bulk"/>
    <s v="NA"/>
    <n v="-1"/>
    <n v="-4908"/>
    <n v="0"/>
    <m/>
    <x v="1"/>
    <n v="0"/>
  </r>
  <r>
    <s v="outbound"/>
    <d v="2025-03-19T11:58:00"/>
    <s v="production"/>
    <s v="2024111803G7"/>
    <x v="306"/>
    <n v="2024111803"/>
    <x v="79"/>
    <s v="driedflower_bulk"/>
    <s v="NA"/>
    <n v="-1"/>
    <n v="-1210"/>
    <n v="0"/>
    <m/>
    <x v="1"/>
    <n v="0"/>
  </r>
  <r>
    <s v="outbound"/>
    <d v="2025-03-19T13:12:00"/>
    <s v="production"/>
    <s v="packaging"/>
    <x v="440"/>
    <s v="PR2501F5"/>
    <x v="108"/>
    <s v="preroll_bulk"/>
    <s v="NA"/>
    <n v="-12"/>
    <n v="0"/>
    <n v="-6"/>
    <m/>
    <x v="0"/>
    <n v="0.5"/>
  </r>
  <r>
    <s v="outbound"/>
    <d v="2025-03-19T13:12:00"/>
    <s v="sampling"/>
    <s v="Oksana showcase 1unit, will be returned"/>
    <x v="448"/>
    <s v="PR2507F1P2"/>
    <x v="110"/>
    <s v="preroll_labelled"/>
    <d v="2025-03-12T00:00:00"/>
    <n v="-1"/>
    <n v="0"/>
    <n v="-2"/>
    <m/>
    <x v="0"/>
    <n v="2"/>
  </r>
  <r>
    <s v="inbound"/>
    <d v="2025-03-19T13:12:00"/>
    <s v="storage"/>
    <s v="Oksana showcase 1unit, will be returned"/>
    <x v="423"/>
    <s v="PR2501F5P10"/>
    <x v="88"/>
    <s v="preroll_labelled"/>
    <d v="2025-02-19T00:00:00"/>
    <n v="47"/>
    <n v="0"/>
    <n v="235"/>
    <m/>
    <x v="0"/>
    <n v="5"/>
  </r>
  <r>
    <s v="outbound"/>
    <d v="2025-03-19T13:57:00"/>
    <s v="production"/>
    <s v="sampling for Rollon"/>
    <x v="454"/>
    <n v="2025021901"/>
    <x v="34"/>
    <s v="extract_distillate_bulk"/>
    <s v="NA"/>
    <n v="-1"/>
    <n v="-591.6"/>
    <n v="0"/>
    <m/>
    <x v="1"/>
    <n v="0"/>
  </r>
  <r>
    <s v="outbound"/>
    <d v="2025-03-19T14:04:00"/>
    <s v="shipment"/>
    <s v="PO_1064"/>
    <x v="9"/>
    <s v="TP24041202"/>
    <x v="6"/>
    <s v="topical_labelled"/>
    <d v="2024-05-11T00:00:00"/>
    <n v="-8"/>
    <n v="0"/>
    <n v="-704"/>
    <m/>
    <x v="0"/>
    <n v="88"/>
  </r>
  <r>
    <s v="outbound"/>
    <d v="2025-03-19T14:04:00"/>
    <s v="shipment"/>
    <s v="PO_1064"/>
    <x v="455"/>
    <s v="TP24082901"/>
    <x v="6"/>
    <s v="topical_labelled"/>
    <d v="2024-09-25T00:00:00"/>
    <n v="-16"/>
    <n v="0"/>
    <n v="-1408"/>
    <m/>
    <x v="0"/>
    <n v="88"/>
  </r>
  <r>
    <s v="outbound"/>
    <d v="2025-03-19T14:04:00"/>
    <s v="shipment"/>
    <s v="PO_1064"/>
    <x v="420"/>
    <s v="EX25010907G1"/>
    <x v="89"/>
    <s v="extract_inhaled_labelled"/>
    <d v="2025-02-26T00:00:00"/>
    <n v="-12"/>
    <n v="0"/>
    <n v="-12"/>
    <m/>
    <x v="0"/>
    <n v="1"/>
  </r>
  <r>
    <s v="outbound"/>
    <d v="2025-03-19T14:04:00"/>
    <s v="shipment"/>
    <s v="PO_1064"/>
    <x v="351"/>
    <s v="EX24111301G05"/>
    <x v="47"/>
    <s v="extract_inhaled_labelled"/>
    <d v="2024-12-16T00:00:00"/>
    <n v="-36"/>
    <n v="0"/>
    <n v="-18"/>
    <m/>
    <x v="0"/>
    <n v="0.5"/>
  </r>
  <r>
    <s v="outbound"/>
    <d v="2025-03-19T14:04:00"/>
    <s v="shipment"/>
    <s v="PO_1064"/>
    <x v="179"/>
    <s v="PR241003F5P3"/>
    <x v="20"/>
    <s v="preroll_labelled"/>
    <d v="2024-10-10T00:00:00"/>
    <n v="-36"/>
    <n v="0"/>
    <n v="-54"/>
    <m/>
    <x v="0"/>
    <n v="1.5"/>
  </r>
  <r>
    <s v="outbound"/>
    <d v="2025-03-19T14:04:00"/>
    <s v="shipment"/>
    <s v="PO_1064"/>
    <x v="456"/>
    <s v="PR2407F5P3"/>
    <x v="31"/>
    <s v="preroll_labelled"/>
    <d v="2025-03-12T00:00:00"/>
    <n v="-36"/>
    <n v="0"/>
    <n v="-54"/>
    <m/>
    <x v="0"/>
    <n v="1.5"/>
  </r>
  <r>
    <s v="outbound"/>
    <d v="2025-03-20T11:49:00"/>
    <s v="sampling"/>
    <s v="trinity250320"/>
    <x v="243"/>
    <s v="EX24101705G05"/>
    <x v="49"/>
    <s v="extract_inhaled_labelled"/>
    <d v="2024-10-29T00:00:00"/>
    <n v="-3"/>
    <n v="0"/>
    <n v="-1.5"/>
    <m/>
    <x v="0"/>
    <n v="0.5"/>
  </r>
  <r>
    <s v="outbound"/>
    <d v="2025-03-20T11:49:00"/>
    <s v="sampling"/>
    <s v="trinity250320"/>
    <x v="345"/>
    <s v="EX25010907G1"/>
    <x v="89"/>
    <s v="extract_inhaled_labelled"/>
    <d v="2025-01-09T00:00:00"/>
    <n v="-3"/>
    <n v="0"/>
    <n v="-3"/>
    <m/>
    <x v="0"/>
    <n v="1"/>
  </r>
  <r>
    <s v="outbound"/>
    <d v="2025-03-20T11:52:00"/>
    <s v="production"/>
    <s v="labeling 96 units of PR21071201G1"/>
    <x v="374"/>
    <s v="PR21071201G1"/>
    <x v="95"/>
    <s v="preroll_bulk"/>
    <s v="NA"/>
    <n v="-96"/>
    <n v="0"/>
    <n v="-96"/>
    <m/>
    <x v="0"/>
    <n v="1"/>
  </r>
  <r>
    <s v="outbound"/>
    <d v="2025-03-20T13:20:00"/>
    <s v="shipment"/>
    <s v="PO_1065"/>
    <x v="445"/>
    <s v="PR241101F5P3"/>
    <x v="19"/>
    <s v="preroll_labelled"/>
    <d v="2025-02-19T00:00:00"/>
    <n v="-12"/>
    <n v="0"/>
    <n v="-18"/>
    <m/>
    <x v="0"/>
    <n v="1.5"/>
  </r>
  <r>
    <s v="outbound"/>
    <d v="2025-03-20T13:20:00"/>
    <s v="shipment"/>
    <s v="PO_1065"/>
    <x v="330"/>
    <s v="PR241102F5P3"/>
    <x v="30"/>
    <s v="preroll_labelled"/>
    <d v="2025-01-03T00:00:00"/>
    <n v="-12"/>
    <n v="0"/>
    <n v="-18"/>
    <m/>
    <x v="0"/>
    <n v="1.5"/>
  </r>
  <r>
    <s v="outbound"/>
    <d v="2025-03-20T13:20:00"/>
    <s v="shipment"/>
    <s v="PO_1065"/>
    <x v="422"/>
    <s v="EX25011501V50"/>
    <x v="97"/>
    <s v="extract_ingested_cased_BC"/>
    <d v="2025-02-04T00:00:00"/>
    <n v="-3"/>
    <n v="0"/>
    <n v="-1800"/>
    <m/>
    <x v="0"/>
    <n v="600"/>
  </r>
  <r>
    <s v="outbound"/>
    <d v="2025-03-20T13:20:00"/>
    <s v="shipment"/>
    <s v="PO_1065"/>
    <x v="242"/>
    <s v="EX24070901V50"/>
    <x v="41"/>
    <s v="extract_ingested_cased_BC"/>
    <d v="2024-07-30T00:00:00"/>
    <n v="-1"/>
    <n v="0"/>
    <n v="-600"/>
    <m/>
    <x v="0"/>
    <n v="600"/>
  </r>
  <r>
    <s v="outbound"/>
    <d v="2025-03-20T13:43:00"/>
    <s v="production"/>
    <s v="sorting"/>
    <x v="457"/>
    <n v="2024121801"/>
    <x v="100"/>
    <s v="driedflower_bulk"/>
    <s v="NA"/>
    <n v="-1"/>
    <n v="-1090"/>
    <n v="0"/>
    <m/>
    <x v="1"/>
    <n v="0"/>
  </r>
  <r>
    <s v="outbound"/>
    <d v="2025-03-20T13:43:00"/>
    <s v="production"/>
    <s v="sorting"/>
    <x v="458"/>
    <n v="2024121801"/>
    <x v="100"/>
    <s v="driedflower_bulk"/>
    <s v="NA"/>
    <n v="-1"/>
    <n v="-1090"/>
    <n v="0"/>
    <m/>
    <x v="1"/>
    <n v="0"/>
  </r>
  <r>
    <s v="outbound"/>
    <d v="2025-03-20T13:43:00"/>
    <s v="production"/>
    <s v="sorting"/>
    <x v="459"/>
    <n v="2024121801"/>
    <x v="100"/>
    <s v="driedflower_bulk"/>
    <s v="NA"/>
    <n v="-1"/>
    <n v="-1090"/>
    <n v="0"/>
    <m/>
    <x v="1"/>
    <n v="0"/>
  </r>
  <r>
    <s v="outbound"/>
    <d v="2025-03-20T13:43:00"/>
    <s v="production"/>
    <s v="sorting"/>
    <x v="460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08"/>
    <n v="2024121801"/>
    <x v="100"/>
    <s v="driedflower_bulk"/>
    <s v="NA"/>
    <n v="-1"/>
    <n v="-510"/>
    <n v="0"/>
    <m/>
    <x v="1"/>
    <n v="0"/>
  </r>
  <r>
    <s v="outbound"/>
    <d v="2025-03-20T13:43:00"/>
    <s v="production"/>
    <s v="sorting"/>
    <x v="461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2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3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4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5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6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7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8"/>
    <n v="2024121801"/>
    <x v="100"/>
    <s v="driedflower_bulk"/>
    <s v="NA"/>
    <n v="-1"/>
    <n v="-1095"/>
    <n v="0"/>
    <m/>
    <x v="1"/>
    <n v="0"/>
  </r>
  <r>
    <s v="outbound"/>
    <d v="2025-03-20T13:43:00"/>
    <s v="production"/>
    <s v="sorting"/>
    <x v="469"/>
    <n v="2024121801"/>
    <x v="100"/>
    <s v="driedflower_bulk"/>
    <s v="NA"/>
    <n v="-1"/>
    <n v="-1226"/>
    <n v="0"/>
    <m/>
    <x v="1"/>
    <n v="0"/>
  </r>
  <r>
    <s v="outbound"/>
    <d v="2025-03-20T13:43:00"/>
    <s v="production"/>
    <s v="sorting"/>
    <x v="470"/>
    <n v="2024121801"/>
    <x v="100"/>
    <s v="driedflower_bulk"/>
    <s v="NA"/>
    <n v="-1"/>
    <n v="-1094"/>
    <n v="0"/>
    <m/>
    <x v="1"/>
    <n v="0"/>
  </r>
  <r>
    <s v="outbound"/>
    <d v="2025-03-20T13:43:00"/>
    <s v="production"/>
    <s v="sorting"/>
    <x v="471"/>
    <n v="2024121801"/>
    <x v="100"/>
    <s v="driedflower_bulk"/>
    <s v="NA"/>
    <n v="-1"/>
    <n v="-1094"/>
    <n v="0"/>
    <m/>
    <x v="1"/>
    <n v="0"/>
  </r>
  <r>
    <s v="outbound"/>
    <d v="2025-03-20T13:43:00"/>
    <s v="production"/>
    <s v="sorting"/>
    <x v="472"/>
    <n v="2024121801"/>
    <x v="100"/>
    <s v="driedflower_bulk"/>
    <s v="NA"/>
    <n v="-1"/>
    <n v="-1096"/>
    <n v="0"/>
    <m/>
    <x v="1"/>
    <n v="0"/>
  </r>
  <r>
    <s v="outbound"/>
    <d v="2025-03-20T13:43:00"/>
    <s v="production"/>
    <s v="sorting"/>
    <x v="473"/>
    <n v="2024121801"/>
    <x v="100"/>
    <s v="driedflower_bulk"/>
    <s v="NA"/>
    <n v="-1"/>
    <n v="-1092"/>
    <n v="0"/>
    <m/>
    <x v="1"/>
    <n v="0"/>
  </r>
  <r>
    <s v="outbound"/>
    <d v="2025-03-20T13:43:00"/>
    <s v="production"/>
    <s v="sorting"/>
    <x v="474"/>
    <n v="2024121801"/>
    <x v="100"/>
    <s v="driedflower_bulk"/>
    <s v="NA"/>
    <n v="-1"/>
    <n v="-1088"/>
    <n v="0"/>
    <m/>
    <x v="1"/>
    <n v="0"/>
  </r>
  <r>
    <s v="outbound"/>
    <d v="2025-03-20T13:43:00"/>
    <s v="production"/>
    <s v="sorting"/>
    <x v="475"/>
    <n v="2024121801"/>
    <x v="100"/>
    <s v="driedflower_bulk"/>
    <s v="NA"/>
    <n v="-1"/>
    <n v="-1094"/>
    <n v="0"/>
    <m/>
    <x v="1"/>
    <n v="0"/>
  </r>
  <r>
    <s v="outbound"/>
    <d v="2025-03-20T13:43:00"/>
    <s v="production"/>
    <s v="sorting"/>
    <x v="476"/>
    <n v="2024121801"/>
    <x v="100"/>
    <s v="driedflower_bulk"/>
    <s v="NA"/>
    <n v="-1"/>
    <n v="-1090"/>
    <n v="0"/>
    <m/>
    <x v="1"/>
    <n v="0"/>
  </r>
  <r>
    <s v="outbound"/>
    <d v="2025-03-20T13:43:00"/>
    <s v="production"/>
    <s v="sorting"/>
    <x v="477"/>
    <n v="2024121801"/>
    <x v="100"/>
    <s v="driedflower_bulk"/>
    <s v="NA"/>
    <n v="-1"/>
    <n v="-1096"/>
    <n v="0"/>
    <m/>
    <x v="1"/>
    <n v="0"/>
  </r>
  <r>
    <s v="outbound"/>
    <d v="2025-03-20T13:43:00"/>
    <s v="production"/>
    <s v="sorting"/>
    <x v="478"/>
    <n v="2024121801"/>
    <x v="100"/>
    <s v="driedflower_bulk"/>
    <s v="NA"/>
    <n v="-1"/>
    <n v="-1094"/>
    <n v="0"/>
    <m/>
    <x v="1"/>
    <n v="0"/>
  </r>
  <r>
    <s v="outbound"/>
    <d v="2025-03-20T13:43:00"/>
    <s v="production"/>
    <s v="sorting"/>
    <x v="479"/>
    <n v="2024121801"/>
    <x v="100"/>
    <s v="driedflower_bulk"/>
    <s v="NA"/>
    <n v="-1"/>
    <n v="-1086"/>
    <n v="0"/>
    <m/>
    <x v="1"/>
    <n v="0"/>
  </r>
  <r>
    <s v="outbound"/>
    <d v="2025-03-20T13:43:00"/>
    <s v="production"/>
    <s v="sorting"/>
    <x v="480"/>
    <n v="2024121801"/>
    <x v="100"/>
    <s v="driedflower_bulk"/>
    <s v="NA"/>
    <n v="-1"/>
    <n v="-1090"/>
    <n v="0"/>
    <m/>
    <x v="1"/>
    <n v="0"/>
  </r>
  <r>
    <s v="outbound"/>
    <d v="2025-03-20T13:43:00"/>
    <s v="production"/>
    <s v="sorting"/>
    <x v="481"/>
    <n v="2024121801"/>
    <x v="100"/>
    <s v="driedflower_bulk"/>
    <s v="NA"/>
    <n v="-1"/>
    <n v="-1020"/>
    <n v="0"/>
    <m/>
    <x v="1"/>
    <n v="0"/>
  </r>
  <r>
    <s v="outbound"/>
    <d v="2025-03-20T15:08:00"/>
    <s v="sampling"/>
    <s v="steve25320"/>
    <x v="424"/>
    <n v="2025021301"/>
    <x v="102"/>
    <s v="driedflower_bulk"/>
    <s v="NA"/>
    <n v="0"/>
    <n v="-77"/>
    <n v="0"/>
    <m/>
    <x v="1"/>
    <n v="0"/>
  </r>
  <r>
    <s v="outbound"/>
    <d v="2025-03-20T15:29:00"/>
    <s v="production"/>
    <s v="PO_00023087"/>
    <x v="170"/>
    <s v="BS23041701G180"/>
    <x v="0"/>
    <s v="topical_labelled"/>
    <d v="2024-08-19T00:00:00"/>
    <n v="-10"/>
    <n v="0"/>
    <n v="-1800"/>
    <m/>
    <x v="0"/>
    <n v="180"/>
  </r>
  <r>
    <s v="outbound"/>
    <d v="2025-03-20T15:34:00"/>
    <s v="production"/>
    <s v="PO_00023087"/>
    <x v="260"/>
    <s v="2021082601R1"/>
    <x v="40"/>
    <s v="driedflower_labelled_RTV"/>
    <d v="2024-11-20T00:00:00"/>
    <n v="-135"/>
    <n v="0"/>
    <n v="-472.5"/>
    <m/>
    <x v="0"/>
    <n v="3.5"/>
  </r>
  <r>
    <s v="inbound"/>
    <d v="2025-03-20T15:43:00"/>
    <s v="production"/>
    <s v="PO_00023087"/>
    <x v="444"/>
    <s v="2024111803G7"/>
    <x v="83"/>
    <s v="driedflower_labelled"/>
    <d v="2025-03-05T00:00:00"/>
    <n v="135"/>
    <n v="0"/>
    <n v="945"/>
    <m/>
    <x v="0"/>
    <n v="7"/>
  </r>
  <r>
    <s v="inbound"/>
    <d v="2025-03-20T15:45:00"/>
    <s v="storage"/>
    <m/>
    <x v="452"/>
    <s v="PR2301"/>
    <x v="85"/>
    <s v="driedflower_milled_bulk"/>
    <d v="2024-04-02T00:00:00"/>
    <n v="1"/>
    <n v="3980"/>
    <n v="0"/>
    <m/>
    <x v="1"/>
    <n v="0"/>
  </r>
  <r>
    <s v="outbound"/>
    <d v="2025-03-21T09:39:00"/>
    <s v="production"/>
    <s v="repackaging 14g flower"/>
    <x v="482"/>
    <s v="2021082601R1"/>
    <x v="40"/>
    <s v="driedflower_labelled_RTV"/>
    <d v="2022-03-26T00:00:00"/>
    <n v="-72"/>
    <n v="0"/>
    <n v="-252"/>
    <m/>
    <x v="0"/>
    <n v="3.5"/>
  </r>
  <r>
    <s v="outbound"/>
    <d v="2025-03-21T09:39:00"/>
    <s v="production"/>
    <s v="repackaging 14g flower"/>
    <x v="483"/>
    <s v="2021082601R1"/>
    <x v="40"/>
    <s v="driedflower_labelled_RTV"/>
    <d v="2022-03-26T00:00:00"/>
    <n v="-108"/>
    <n v="0"/>
    <n v="-378"/>
    <m/>
    <x v="0"/>
    <n v="3.5"/>
  </r>
  <r>
    <s v="outbound"/>
    <d v="2025-03-21T13:02:00"/>
    <s v="shipment"/>
    <s v="PO_1066"/>
    <x v="335"/>
    <s v="TP24120401G45"/>
    <x v="86"/>
    <s v="topical_labelled"/>
    <d v="2024-12-12T00:00:00"/>
    <n v="-12"/>
    <n v="0"/>
    <n v="-540"/>
    <m/>
    <x v="0"/>
    <n v="45"/>
  </r>
  <r>
    <s v="outbound"/>
    <d v="2025-03-21T13:02:00"/>
    <s v="shipment"/>
    <s v="PO_1066"/>
    <x v="272"/>
    <s v="EX24022302V30"/>
    <x v="72"/>
    <s v="extract_ingested_labelled"/>
    <d v="2024-10-23T00:00:00"/>
    <n v="-12"/>
    <n v="0"/>
    <n v="-331.20000000000005"/>
    <m/>
    <x v="0"/>
    <n v="27.6"/>
  </r>
  <r>
    <s v="outbound"/>
    <d v="2025-03-21T13:02:00"/>
    <s v="shipment"/>
    <s v="PO_1066"/>
    <x v="179"/>
    <s v="PR241003F5P3"/>
    <x v="20"/>
    <s v="preroll_labelled"/>
    <d v="2024-10-10T00:00:00"/>
    <n v="-12"/>
    <n v="0"/>
    <n v="-18"/>
    <m/>
    <x v="0"/>
    <n v="1.5"/>
  </r>
  <r>
    <s v="outbound"/>
    <d v="2025-03-21T13:02:00"/>
    <s v="shipment"/>
    <s v="PO_1066"/>
    <x v="445"/>
    <s v="PR241101F5P3"/>
    <x v="19"/>
    <s v="preroll_labelled"/>
    <d v="2025-02-19T00:00:00"/>
    <n v="-12"/>
    <n v="0"/>
    <n v="-18"/>
    <m/>
    <x v="0"/>
    <n v="1.5"/>
  </r>
  <r>
    <s v="outbound"/>
    <d v="2025-03-21T13:02:00"/>
    <s v="shipment"/>
    <s v="PO_1066"/>
    <x v="423"/>
    <s v="PR2501F5P10"/>
    <x v="88"/>
    <s v="preroll_labelled"/>
    <d v="2025-02-19T00:00:00"/>
    <n v="-12"/>
    <n v="0"/>
    <n v="-60"/>
    <m/>
    <x v="0"/>
    <n v="5"/>
  </r>
  <r>
    <s v="outbound"/>
    <d v="2025-03-21T13:02:00"/>
    <s v="shipment"/>
    <s v="PO_1066"/>
    <x v="444"/>
    <s v="2024111803G7"/>
    <x v="83"/>
    <s v="driedflower_labelled"/>
    <d v="2025-03-05T00:00:00"/>
    <n v="-12"/>
    <n v="0"/>
    <n v="-84"/>
    <m/>
    <x v="0"/>
    <n v="7"/>
  </r>
  <r>
    <s v="outbound"/>
    <d v="2025-03-21T13:02:00"/>
    <s v="shipment"/>
    <s v="PO_1066"/>
    <x v="448"/>
    <s v="PR2507F1P2"/>
    <x v="110"/>
    <s v="preroll_labelled"/>
    <d v="2025-03-12T00:00:00"/>
    <n v="-12"/>
    <n v="0"/>
    <n v="-24"/>
    <m/>
    <x v="0"/>
    <n v="2"/>
  </r>
  <r>
    <s v="outbound"/>
    <d v="2025-03-21T13:48:00"/>
    <s v="shipment"/>
    <s v="PO_0081913"/>
    <x v="484"/>
    <s v="EX24111801V50"/>
    <x v="33"/>
    <s v="extract_ingested_cased_ON_RTV"/>
    <d v="2024-11-28T00:00:00"/>
    <n v="-6"/>
    <n v="0"/>
    <n v="-3600"/>
    <m/>
    <x v="0"/>
    <n v="600"/>
  </r>
  <r>
    <s v="outbound"/>
    <d v="2025-03-21T13:48:00"/>
    <s v="production"/>
    <s v="sampling for Chantelle250321"/>
    <x v="12"/>
    <s v="LR23032101"/>
    <x v="9"/>
    <s v="extract_inhaled_bulk"/>
    <s v="NA"/>
    <n v="-1"/>
    <n v="-1505.4"/>
    <n v="0"/>
    <m/>
    <x v="1"/>
    <n v="0"/>
  </r>
  <r>
    <s v="outbound"/>
    <d v="2025-03-21T13:48:00"/>
    <s v="production"/>
    <s v="sampling for Chantelle250321"/>
    <x v="485"/>
    <s v="PR2507"/>
    <x v="101"/>
    <s v="driedflower_milled_bulk"/>
    <s v="NA"/>
    <n v="-1"/>
    <n v="-6472"/>
    <n v="0"/>
    <m/>
    <x v="1"/>
    <n v="0"/>
  </r>
  <r>
    <s v="outbound"/>
    <d v="2025-03-21T13:48:00"/>
    <s v="production"/>
    <s v="sampling for Chantelle250321"/>
    <x v="392"/>
    <s v="PR2501"/>
    <x v="84"/>
    <s v="driedflower_milled_bulk"/>
    <s v="NA"/>
    <n v="-1"/>
    <n v="-3916"/>
    <n v="0"/>
    <m/>
    <x v="1"/>
    <n v="0"/>
  </r>
  <r>
    <s v="outbound"/>
    <d v="2025-03-24T10:40:00"/>
    <s v="production"/>
    <s v="sampling for Chantelle250321_blaster"/>
    <x v="452"/>
    <s v="PR2301"/>
    <x v="85"/>
    <s v="driedflower_milled_bulk"/>
    <d v="2024-04-02T00:00:00"/>
    <n v="-1"/>
    <n v="-5747"/>
    <n v="0"/>
    <m/>
    <x v="1"/>
    <n v="0"/>
  </r>
  <r>
    <s v="outbound"/>
    <d v="2025-03-24T13:01:00"/>
    <s v="production"/>
    <s v="sampling for Chantelle250321"/>
    <x v="279"/>
    <s v="EX24101705"/>
    <x v="74"/>
    <s v="extract_inhaled_bulk"/>
    <s v="NA"/>
    <n v="-1"/>
    <n v="-419.41"/>
    <n v="0"/>
    <m/>
    <x v="1"/>
    <n v="0"/>
  </r>
  <r>
    <s v="outbound"/>
    <d v="2025-03-24T15:08:00"/>
    <s v="production"/>
    <s v="sampling for Chantelle250321_blaster"/>
    <x v="383"/>
    <s v="CPR22112801"/>
    <x v="85"/>
    <s v="driedflower_milled_bulk"/>
    <s v="NA"/>
    <n v="-1"/>
    <n v="-2920"/>
    <n v="0"/>
    <m/>
    <x v="1"/>
    <n v="0"/>
  </r>
  <r>
    <s v="outbound"/>
    <d v="2025-03-24T15:37:00"/>
    <s v="production"/>
    <s v="sampling for Chantelle250321_blaster"/>
    <x v="30"/>
    <s v="2022012401R1"/>
    <x v="16"/>
    <s v="driedflower_bulk"/>
    <d v="2022-05-05T00:00:00"/>
    <n v="-1"/>
    <n v="-650"/>
    <n v="0"/>
    <m/>
    <x v="1"/>
    <n v="0"/>
  </r>
  <r>
    <s v="outbound"/>
    <d v="2025-03-24T15:37:00"/>
    <s v="production"/>
    <s v="sampling for Chantelle250321_blaster"/>
    <x v="415"/>
    <s v="2022012401R1"/>
    <x v="16"/>
    <s v="driedflower_bulk"/>
    <d v="2022-05-05T00:00:00"/>
    <n v="-1"/>
    <n v="-1625"/>
    <n v="0"/>
    <m/>
    <x v="1"/>
    <n v="0"/>
  </r>
  <r>
    <s v="outbound"/>
    <d v="2025-03-24T15:37:00"/>
    <s v="production"/>
    <s v="sampling for Chantelle250321_blaster"/>
    <x v="416"/>
    <s v="2022012401R1"/>
    <x v="16"/>
    <s v="driedflower_bulk"/>
    <d v="2022-05-05T00:00:00"/>
    <n v="-1"/>
    <n v="-1025.7"/>
    <n v="0"/>
    <m/>
    <x v="1"/>
    <n v="0"/>
  </r>
  <r>
    <s v="outbound"/>
    <d v="2025-03-25T10:40:00"/>
    <s v="shipment"/>
    <s v="PO_1067"/>
    <x v="448"/>
    <s v="PR2507F1P2"/>
    <x v="110"/>
    <s v="preroll_labelled"/>
    <d v="2025-03-12T00:00:00"/>
    <n v="-36"/>
    <n v="0"/>
    <n v="-72"/>
    <m/>
    <x v="0"/>
    <n v="2"/>
  </r>
  <r>
    <s v="outbound"/>
    <d v="2025-03-25T13:15:00"/>
    <s v="production"/>
    <s v="sampling for Chantelle250321_concord grape"/>
    <x v="389"/>
    <n v="2025012801"/>
    <x v="26"/>
    <s v="extract_distillate_bulk"/>
    <s v="NA"/>
    <n v="-1"/>
    <n v="-2166.1999999999998"/>
    <n v="0"/>
    <m/>
    <x v="1"/>
    <n v="0"/>
  </r>
  <r>
    <s v="outbound"/>
    <d v="2025-03-25T13:57:00"/>
    <s v="production"/>
    <s v="milling"/>
    <x v="486"/>
    <n v="2025030702"/>
    <x v="114"/>
    <s v="driedflower_bulk_Rohan"/>
    <s v="NA"/>
    <n v="-1"/>
    <n v="-6602"/>
    <n v="0"/>
    <m/>
    <x v="1"/>
    <n v="0"/>
  </r>
  <r>
    <s v="outbound"/>
    <d v="2025-03-25T13:57:00"/>
    <s v="production"/>
    <s v="milling"/>
    <x v="486"/>
    <n v="2025030702"/>
    <x v="114"/>
    <s v="driedflower_bulk_Rohan"/>
    <s v="NA"/>
    <n v="-1"/>
    <n v="-5058"/>
    <n v="0"/>
    <m/>
    <x v="1"/>
    <n v="0"/>
  </r>
  <r>
    <s v="inbound"/>
    <d v="2025-03-25T14:23:00"/>
    <s v="storage"/>
    <m/>
    <x v="483"/>
    <s v="2021082601R1"/>
    <x v="40"/>
    <s v="driedflower_labelled_RTV"/>
    <d v="2022-03-26T00:00:00"/>
    <n v="10"/>
    <n v="0"/>
    <n v="35"/>
    <m/>
    <x v="0"/>
    <n v="3.5"/>
  </r>
  <r>
    <s v="inbound"/>
    <d v="2025-03-25T14:23:00"/>
    <s v="storage"/>
    <m/>
    <x v="279"/>
    <s v="EX24101705"/>
    <x v="74"/>
    <s v="extract_inhaled_bulk"/>
    <s v="NA"/>
    <n v="1"/>
    <n v="417.39"/>
    <n v="0"/>
    <m/>
    <x v="1"/>
    <n v="0"/>
  </r>
  <r>
    <s v="inbound"/>
    <d v="2025-03-25T14:23:00"/>
    <s v="storage"/>
    <m/>
    <x v="12"/>
    <s v="LR23032101"/>
    <x v="9"/>
    <s v="extract_inhaled_bulk"/>
    <s v="NA"/>
    <n v="1"/>
    <n v="1317.9"/>
    <n v="0"/>
    <m/>
    <x v="1"/>
    <n v="0"/>
  </r>
  <r>
    <s v="inbound"/>
    <d v="2025-03-25T14:23:00"/>
    <s v="storage"/>
    <m/>
    <x v="396"/>
    <n v="2024120601"/>
    <x v="99"/>
    <s v="extract_inhaled_bulk"/>
    <s v="NA"/>
    <n v="1"/>
    <n v="1445"/>
    <n v="0"/>
    <m/>
    <x v="1"/>
    <n v="0"/>
  </r>
  <r>
    <s v="inbound"/>
    <d v="2025-03-25T14:23:00"/>
    <s v="storage"/>
    <m/>
    <x v="454"/>
    <n v="2025021901"/>
    <x v="34"/>
    <s v="extract_distillate_bulk"/>
    <s v="NA"/>
    <n v="1"/>
    <n v="1200.9000000000001"/>
    <n v="0"/>
    <m/>
    <x v="1"/>
    <n v="0"/>
  </r>
  <r>
    <s v="outbound"/>
    <d v="2025-03-26T10:49:00"/>
    <s v="shipment"/>
    <s v="PO_0080542"/>
    <x v="388"/>
    <s v="EX25011501V50"/>
    <x v="97"/>
    <s v="extract_ingested_labelled"/>
    <d v="2025-02-04T00:00:00"/>
    <n v="-36"/>
    <n v="0"/>
    <n v="-1800"/>
    <m/>
    <x v="0"/>
    <n v="50"/>
  </r>
  <r>
    <s v="outbound"/>
    <d v="2025-03-26T10:49:00"/>
    <s v="shipment"/>
    <s v="PO_0080542"/>
    <x v="387"/>
    <s v="EX25011501V50"/>
    <x v="97"/>
    <s v="extract_ingested_labelled"/>
    <d v="2025-02-04T00:00:00"/>
    <n v="-111"/>
    <n v="0"/>
    <n v="-5550"/>
    <m/>
    <x v="0"/>
    <n v="50"/>
  </r>
  <r>
    <s v="outbound"/>
    <d v="2025-03-26T15:14:00"/>
    <s v="shipment"/>
    <s v="2025-03-25- INVMVT"/>
    <x v="487"/>
    <s v="RP23070701"/>
    <x v="115"/>
    <s v="extract_inhaled_bulk_WT"/>
    <s v="NA"/>
    <n v="-1"/>
    <n v="-1170"/>
    <n v="0"/>
    <m/>
    <x v="1"/>
    <n v="0"/>
  </r>
  <r>
    <s v="outbound"/>
    <d v="2025-03-26T15:14:00"/>
    <s v="shipment"/>
    <s v="2025-03-25- INVMVT"/>
    <x v="488"/>
    <s v="RP23070701D"/>
    <x v="115"/>
    <s v="extract_inhaled_bulk_WT"/>
    <s v="NA"/>
    <n v="-1"/>
    <n v="-2735"/>
    <n v="0"/>
    <m/>
    <x v="1"/>
    <n v="0"/>
  </r>
  <r>
    <s v="outbound"/>
    <d v="2025-03-26T15:14:00"/>
    <s v="production"/>
    <s v="midnight kruntz 7g flower"/>
    <x v="489"/>
    <n v="2024121801"/>
    <x v="100"/>
    <s v="driedflower_bulk_big"/>
    <s v="NA"/>
    <n v="-1"/>
    <n v="-5550"/>
    <n v="0"/>
    <m/>
    <x v="1"/>
    <n v="0"/>
  </r>
  <r>
    <s v="outbound"/>
    <d v="2025-03-26T15:14:00"/>
    <s v="shipment"/>
    <s v="PO_1068"/>
    <x v="456"/>
    <s v="PR2407F5P3"/>
    <x v="31"/>
    <s v="preroll_labelled"/>
    <d v="2025-03-12T00:00:00"/>
    <n v="-6"/>
    <n v="0"/>
    <n v="-9"/>
    <m/>
    <x v="0"/>
    <n v="1.5"/>
  </r>
  <r>
    <s v="outbound"/>
    <d v="2025-03-26T15:14:00"/>
    <s v="shipment"/>
    <s v="PO_1068"/>
    <x v="393"/>
    <s v="PR2407F5P3"/>
    <x v="31"/>
    <s v="preroll_labelled"/>
    <d v="2024-06-04T00:00:00"/>
    <n v="-18"/>
    <n v="0"/>
    <n v="-27"/>
    <m/>
    <x v="0"/>
    <n v="1.5"/>
  </r>
  <r>
    <s v="outbound"/>
    <d v="2025-03-26T15:14:00"/>
    <s v="shipment"/>
    <s v="PO_1068"/>
    <x v="490"/>
    <s v="PR2301F5P3"/>
    <x v="42"/>
    <s v="preroll_labelled"/>
    <d v="2025-03-12T00:00:00"/>
    <n v="-24"/>
    <n v="0"/>
    <n v="-36"/>
    <m/>
    <x v="0"/>
    <n v="1.5"/>
  </r>
  <r>
    <s v="outbound"/>
    <d v="2025-03-26T15:14:00"/>
    <s v="shipment"/>
    <s v="PO_1068"/>
    <x v="423"/>
    <s v="PR2501F5P10"/>
    <x v="88"/>
    <s v="preroll_labelled"/>
    <d v="2025-02-19T00:00:00"/>
    <n v="-12"/>
    <n v="0"/>
    <n v="-60"/>
    <m/>
    <x v="0"/>
    <n v="5"/>
  </r>
  <r>
    <s v="outbound"/>
    <d v="2025-03-26T15:14:00"/>
    <s v="shipment"/>
    <s v="PO_1068"/>
    <x v="351"/>
    <s v="EX24111301G05"/>
    <x v="47"/>
    <s v="extract_inhaled_labelled"/>
    <d v="2024-12-16T00:00:00"/>
    <n v="-12"/>
    <n v="0"/>
    <n v="-6"/>
    <m/>
    <x v="0"/>
    <n v="0.5"/>
  </r>
  <r>
    <s v="outbound"/>
    <d v="2025-03-26T15:14:00"/>
    <s v="shipment"/>
    <s v="PO_1068"/>
    <x v="336"/>
    <s v="EX24111306G05"/>
    <x v="53"/>
    <s v="extract_inhaled_labelled"/>
    <d v="2024-11-27T00:00:00"/>
    <n v="-12"/>
    <n v="0"/>
    <n v="-6"/>
    <m/>
    <x v="0"/>
    <n v="0.5"/>
  </r>
  <r>
    <s v="outbound"/>
    <d v="2025-03-26T15:14:00"/>
    <s v="shipment"/>
    <s v="PO_1068"/>
    <x v="438"/>
    <s v="EX25020601G1"/>
    <x v="107"/>
    <s v="extract_inhaled_labelled"/>
    <d v="2025-02-19T00:00:00"/>
    <n v="-12"/>
    <n v="0"/>
    <n v="-12"/>
    <m/>
    <x v="0"/>
    <n v="1"/>
  </r>
  <r>
    <s v="outbound"/>
    <d v="2025-03-26T15:41:00"/>
    <s v="sampling"/>
    <s v="sampling for Chantelle250321_blaster"/>
    <x v="265"/>
    <s v="PR241105F5"/>
    <x v="23"/>
    <s v="preroll_bulk"/>
    <s v="NA"/>
    <n v="-105"/>
    <n v="0"/>
    <n v="-52.5"/>
    <m/>
    <x v="0"/>
    <n v="0.5"/>
  </r>
  <r>
    <s v="outbound"/>
    <d v="2025-03-27T09:34:00"/>
    <s v="sampling"/>
    <s v="sampling Steve250327"/>
    <x v="491"/>
    <s v="EX25020601G05"/>
    <x v="111"/>
    <s v="extract_inhaled_labelled"/>
    <d v="2025-02-14T00:00:00"/>
    <n v="-1"/>
    <n v="0"/>
    <n v="-0.5"/>
    <m/>
    <x v="0"/>
    <n v="0.5"/>
  </r>
  <r>
    <s v="outbound"/>
    <d v="2025-03-27T10:28:00"/>
    <s v="shipment"/>
    <s v="PO-0080542"/>
    <x v="335"/>
    <s v="TP24120401G45"/>
    <x v="86"/>
    <s v="topical_labelled"/>
    <d v="2024-12-12T00:00:00"/>
    <n v="-64"/>
    <n v="0"/>
    <n v="-2880"/>
    <m/>
    <x v="0"/>
    <n v="45"/>
  </r>
  <r>
    <s v="outbound"/>
    <d v="2025-03-27T10:28:00"/>
    <s v="shipment"/>
    <s v="PO-0080542"/>
    <x v="441"/>
    <s v="TP24120401G45"/>
    <x v="86"/>
    <s v="topical_labelled"/>
    <d v="2024-12-12T00:00:00"/>
    <n v="-144"/>
    <n v="0"/>
    <n v="-6480"/>
    <m/>
    <x v="0"/>
    <n v="45"/>
  </r>
  <r>
    <s v="outbound"/>
    <d v="2025-03-27T11:09:00"/>
    <s v="shipment"/>
    <s v="PO-0080542"/>
    <x v="492"/>
    <s v="EX25011501V50"/>
    <x v="97"/>
    <s v="extract_ingested_cased_ON"/>
    <d v="2025-02-04T00:00:00"/>
    <n v="-32"/>
    <n v="0"/>
    <n v="-19200"/>
    <m/>
    <x v="0"/>
    <n v="600"/>
  </r>
  <r>
    <s v="outbound"/>
    <d v="2025-03-27T14:42:00"/>
    <s v="sampling"/>
    <s v="sampling for Chantelle250321_blaster"/>
    <x v="377"/>
    <s v="CPR22102102"/>
    <x v="3"/>
    <s v="driedflower_milled_bulk"/>
    <s v="NA"/>
    <n v="-1"/>
    <n v="-2558"/>
    <n v="0"/>
    <m/>
    <x v="1"/>
    <n v="0"/>
  </r>
  <r>
    <s v="inbound"/>
    <d v="2025-03-27T14:45:00"/>
    <s v="storage"/>
    <m/>
    <x v="422"/>
    <s v="EX25011501V50"/>
    <x v="97"/>
    <s v="extract_ingested_cased_BC"/>
    <d v="2025-02-04T00:00:00"/>
    <n v="2"/>
    <n v="0"/>
    <n v="1200"/>
    <m/>
    <x v="0"/>
    <n v="600"/>
  </r>
  <r>
    <s v="inbound"/>
    <d v="2025-03-27T14:45:00"/>
    <s v="storage"/>
    <m/>
    <x v="357"/>
    <s v="PR2301F35P12"/>
    <x v="90"/>
    <s v="preroll_labelled"/>
    <d v="2024-12-23T00:00:00"/>
    <n v="1"/>
    <n v="0"/>
    <n v="4.1999999999999993"/>
    <m/>
    <x v="0"/>
    <n v="4.1999999999999993"/>
  </r>
  <r>
    <s v="inbound"/>
    <d v="2025-03-27T14:45:00"/>
    <s v="storage"/>
    <m/>
    <x v="306"/>
    <n v="2024111803"/>
    <x v="79"/>
    <s v="driedflower_bulk"/>
    <s v="NA"/>
    <n v="1"/>
    <n v="1210"/>
    <n v="0"/>
    <m/>
    <x v="1"/>
    <n v="0"/>
  </r>
  <r>
    <s v="inbound"/>
    <d v="2025-03-27T14:45:00"/>
    <s v="storage"/>
    <m/>
    <x v="485"/>
    <s v="PR2507"/>
    <x v="101"/>
    <s v="driedflower_milled_bulk"/>
    <s v="NA"/>
    <n v="1"/>
    <n v="6396"/>
    <n v="0"/>
    <m/>
    <x v="1"/>
    <n v="0"/>
  </r>
  <r>
    <s v="inbound"/>
    <d v="2025-03-27T14:45:00"/>
    <s v="storage"/>
    <m/>
    <x v="389"/>
    <n v="2025012801"/>
    <x v="26"/>
    <s v="extract_distillate_bulk"/>
    <s v="NA"/>
    <n v="1"/>
    <n v="2164.1999999999998"/>
    <n v="0"/>
    <m/>
    <x v="1"/>
    <n v="0"/>
  </r>
  <r>
    <s v="inbound"/>
    <d v="2025-03-27T14:45:00"/>
    <s v="storage"/>
    <m/>
    <x v="383"/>
    <s v="CPR22112801"/>
    <x v="85"/>
    <s v="driedflower_milled_bulk"/>
    <s v="NA"/>
    <n v="1"/>
    <n v="2920"/>
    <n v="0"/>
    <m/>
    <x v="1"/>
    <n v="0"/>
  </r>
  <r>
    <s v="inbound"/>
    <d v="2025-03-27T14:45:00"/>
    <s v="storage"/>
    <m/>
    <x v="415"/>
    <s v="2022012401R1"/>
    <x v="16"/>
    <s v="driedflower_bulk"/>
    <d v="2022-05-05T00:00:00"/>
    <n v="1"/>
    <n v="1252"/>
    <n v="0"/>
    <m/>
    <x v="1"/>
    <n v="0"/>
  </r>
  <r>
    <s v="inbound"/>
    <d v="2025-03-27T14:45:00"/>
    <s v="storage"/>
    <m/>
    <x v="392"/>
    <s v="PR2501"/>
    <x v="84"/>
    <s v="driedflower_milled_bulk"/>
    <s v="NA"/>
    <n v="1"/>
    <n v="3846"/>
    <n v="0"/>
    <m/>
    <x v="1"/>
    <n v="0"/>
  </r>
  <r>
    <s v="inbound"/>
    <d v="2025-03-27T14:45:00"/>
    <s v="storage"/>
    <m/>
    <x v="416"/>
    <s v="2022012401R1"/>
    <x v="16"/>
    <s v="driedflower_bulk"/>
    <d v="2022-05-05T00:00:00"/>
    <n v="1"/>
    <n v="1025.7"/>
    <n v="0"/>
    <m/>
    <x v="1"/>
    <n v="0"/>
  </r>
  <r>
    <s v="inbound"/>
    <d v="2025-03-27T14:45:00"/>
    <s v="storage"/>
    <m/>
    <x v="388"/>
    <s v="EX25011501V50"/>
    <x v="97"/>
    <s v="extract_ingested_labelled"/>
    <d v="2025-02-04T00:00:00"/>
    <n v="3"/>
    <n v="0"/>
    <n v="150"/>
    <m/>
    <x v="0"/>
    <n v="50"/>
  </r>
  <r>
    <s v="outbound"/>
    <d v="2025-03-27T16:21:00"/>
    <s v="shipment"/>
    <s v="PO_0082545"/>
    <x v="330"/>
    <s v="PR241102F5P3"/>
    <x v="30"/>
    <s v="preroll_labelled"/>
    <d v="2025-01-03T00:00:00"/>
    <n v="-48"/>
    <n v="0"/>
    <n v="-72"/>
    <m/>
    <x v="0"/>
    <n v="1.5"/>
  </r>
  <r>
    <s v="outbound"/>
    <d v="2025-03-27T16:21:00"/>
    <s v="shipment"/>
    <s v="PO_0082545"/>
    <x v="257"/>
    <s v="PR241005F5P3"/>
    <x v="17"/>
    <s v="preroll_labelled"/>
    <d v="2024-10-10T00:00:00"/>
    <n v="-48"/>
    <n v="0"/>
    <n v="-72"/>
    <m/>
    <x v="0"/>
    <n v="1.5"/>
  </r>
  <r>
    <s v="outbound"/>
    <d v="2025-03-27T16:21:00"/>
    <s v="shipment"/>
    <s v="PO_0082545"/>
    <x v="179"/>
    <s v="PR241003F5P3"/>
    <x v="20"/>
    <s v="preroll_labelled"/>
    <d v="2024-10-10T00:00:00"/>
    <n v="-48"/>
    <n v="0"/>
    <n v="-72"/>
    <m/>
    <x v="0"/>
    <n v="1.5"/>
  </r>
  <r>
    <s v="outbound"/>
    <d v="2025-03-27T16:21:00"/>
    <s v="shipment"/>
    <s v="PO_0082545"/>
    <x v="445"/>
    <s v="PR241101F5P3"/>
    <x v="19"/>
    <s v="preroll_labelled"/>
    <d v="2025-02-19T00:00:00"/>
    <n v="-48"/>
    <n v="0"/>
    <n v="-72"/>
    <m/>
    <x v="0"/>
    <n v="1.5"/>
  </r>
  <r>
    <s v="outbound"/>
    <d v="2025-03-27T16:21:00"/>
    <s v="shipment"/>
    <s v="PO_0082545"/>
    <x v="423"/>
    <s v="PR2501F5P10"/>
    <x v="88"/>
    <s v="preroll_labelled"/>
    <d v="2025-02-19T00:00:00"/>
    <n v="-11"/>
    <n v="0"/>
    <n v="-55"/>
    <m/>
    <x v="0"/>
    <n v="5"/>
  </r>
  <r>
    <s v="outbound"/>
    <d v="2025-03-27T16:21:00"/>
    <s v="shipment"/>
    <s v="PO_0082545"/>
    <x v="442"/>
    <s v="EX25010601V30"/>
    <x v="71"/>
    <s v="extract_ingested_labelled"/>
    <d v="2025-01-17T00:00:00"/>
    <n v="-14"/>
    <n v="0"/>
    <n v="-33616.800000000003"/>
    <m/>
    <x v="0"/>
    <n v="2401.2000000000003"/>
  </r>
  <r>
    <s v="outbound"/>
    <d v="2025-03-27T16:21:00"/>
    <s v="shipment"/>
    <s v="PO_0082545"/>
    <x v="284"/>
    <s v="EX24101802V30"/>
    <x v="71"/>
    <s v="extract_ingested_labelled"/>
    <d v="2024-10-23T00:00:00"/>
    <n v="-22"/>
    <n v="0"/>
    <n v="-607.20000000000005"/>
    <m/>
    <x v="0"/>
    <n v="27.6"/>
  </r>
  <r>
    <s v="outbound"/>
    <d v="2025-03-27T16:21:00"/>
    <s v="shipment"/>
    <s v="PO_1069"/>
    <x v="422"/>
    <s v="EX25011501V50"/>
    <x v="97"/>
    <s v="extract_ingested_cased_BC"/>
    <d v="2025-02-04T00:00:00"/>
    <n v="-2"/>
    <n v="0"/>
    <n v="-1200"/>
    <m/>
    <x v="0"/>
    <n v="600"/>
  </r>
  <r>
    <s v="outbound"/>
    <d v="2025-03-27T16:21:00"/>
    <s v="shipment"/>
    <s v="PO_1069"/>
    <x v="493"/>
    <s v="PR2406F1P1"/>
    <x v="12"/>
    <s v="preroll_labelled"/>
    <d v="2025-03-12T00:00:00"/>
    <n v="-24"/>
    <n v="0"/>
    <n v="-24"/>
    <m/>
    <x v="0"/>
    <n v="1"/>
  </r>
  <r>
    <s v="outbound"/>
    <d v="2025-03-28T13:58:00"/>
    <s v="sampling"/>
    <s v="Rohan250328"/>
    <x v="494"/>
    <s v="ROGEX002"/>
    <x v="116"/>
    <s v="extract_inhaled_bulk_Rohan"/>
    <s v="NA"/>
    <n v="-1"/>
    <n v="-2813"/>
    <n v="0"/>
    <m/>
    <x v="1"/>
    <n v="0"/>
  </r>
  <r>
    <s v="outbound"/>
    <d v="2025-03-31T10:07:00"/>
    <s v="production"/>
    <s v="PR2514"/>
    <x v="379"/>
    <n v="2025010201"/>
    <x v="96"/>
    <s v="driedflower_bulk_BURB"/>
    <s v="NA"/>
    <n v="-1"/>
    <n v="-2590"/>
    <n v="0"/>
    <m/>
    <x v="1"/>
    <n v="0"/>
  </r>
  <r>
    <s v="outbound"/>
    <d v="2025-03-31T10:12:00"/>
    <s v="production"/>
    <s v="labeling"/>
    <x v="393"/>
    <s v="PR2407F5P3"/>
    <x v="31"/>
    <s v="preroll_labelled"/>
    <d v="2024-06-04T00:00:00"/>
    <n v="-155"/>
    <n v="0"/>
    <n v="-232.5"/>
    <m/>
    <x v="0"/>
    <n v="1.5"/>
  </r>
  <r>
    <s v="outbound"/>
    <d v="2025-03-31T10:25:00"/>
    <s v="production"/>
    <s v="labeling"/>
    <x v="80"/>
    <s v="PR2301F5P3"/>
    <x v="42"/>
    <s v="preroll_labelled"/>
    <d v="2024-06-14T00:00:00"/>
    <n v="-142"/>
    <n v="0"/>
    <n v="-213"/>
    <m/>
    <x v="0"/>
    <n v="1.5"/>
  </r>
  <r>
    <s v="outbound"/>
    <d v="2025-03-31T10:25:00"/>
    <s v="production"/>
    <s v="labeling"/>
    <x v="16"/>
    <s v="PR2406F1P1"/>
    <x v="12"/>
    <s v="preroll_labelled"/>
    <d v="2024-06-19T00:00:00"/>
    <n v="-482"/>
    <n v="0"/>
    <n v="-482"/>
    <m/>
    <x v="0"/>
    <n v="1"/>
  </r>
  <r>
    <s v="outbound"/>
    <d v="2025-03-31T10:25:00"/>
    <s v="production"/>
    <s v="labeling"/>
    <x v="493"/>
    <s v="PR2406F1P1"/>
    <x v="12"/>
    <s v="preroll_labelled"/>
    <d v="2025-03-12T00:00:00"/>
    <n v="-29"/>
    <n v="0"/>
    <n v="-29"/>
    <m/>
    <x v="0"/>
    <n v="1"/>
  </r>
  <r>
    <s v="outbound"/>
    <d v="2025-03-31T10:25:00"/>
    <s v="production"/>
    <s v="labeling"/>
    <x v="495"/>
    <s v="PR2406F5P3"/>
    <x v="43"/>
    <s v="preroll_packaged"/>
    <s v="NA"/>
    <n v="-174"/>
    <n v="0"/>
    <n v="-261"/>
    <m/>
    <x v="0"/>
    <n v="1.5"/>
  </r>
  <r>
    <s v="inbound"/>
    <d v="2025-03-31T11:33:00"/>
    <s v="storage"/>
    <m/>
    <x v="494"/>
    <s v="ROGEX002"/>
    <x v="116"/>
    <s v="extract_inhaled_bulk_Rohan"/>
    <s v="NA"/>
    <n v="1"/>
    <n v="2812"/>
    <n v="0"/>
    <m/>
    <x v="1"/>
    <n v="0"/>
  </r>
  <r>
    <s v="inbound"/>
    <d v="2025-03-31T11:33:00"/>
    <s v="storage"/>
    <m/>
    <x v="496"/>
    <n v="2025030702"/>
    <x v="114"/>
    <s v="driedflower_bulk_Rohan"/>
    <s v="NA"/>
    <n v="1"/>
    <n v="3070"/>
    <n v="0"/>
    <m/>
    <x v="1"/>
    <n v="0"/>
  </r>
  <r>
    <s v="inbound"/>
    <d v="2025-03-31T11:33:00"/>
    <s v="storage"/>
    <m/>
    <x v="489"/>
    <n v="2024121801"/>
    <x v="100"/>
    <s v="driedflower_bulk_big"/>
    <s v="NA"/>
    <n v="1"/>
    <n v="4728"/>
    <n v="0"/>
    <m/>
    <x v="1"/>
    <n v="0"/>
  </r>
  <r>
    <s v="outbound"/>
    <d v="2025-03-31T16:48:00"/>
    <s v="production"/>
    <s v="2024120501G28"/>
    <x v="370"/>
    <n v="2024120501"/>
    <x v="91"/>
    <s v="driedflower_bulk_BURB"/>
    <s v="NA"/>
    <n v="-1"/>
    <n v="-890.5"/>
    <n v="0"/>
    <m/>
    <x v="1"/>
    <n v="0"/>
  </r>
  <r>
    <s v="outbound"/>
    <d v="2025-03-31T16:48:00"/>
    <s v="production"/>
    <s v="2024120501G28"/>
    <x v="369"/>
    <n v="2024120501"/>
    <x v="91"/>
    <s v="driedflower_bulk_BURB"/>
    <s v="NA"/>
    <n v="-1"/>
    <n v="-615"/>
    <n v="0"/>
    <m/>
    <x v="1"/>
    <n v="0"/>
  </r>
  <r>
    <s v="outbound"/>
    <d v="2025-03-31T16:48:00"/>
    <s v="production"/>
    <s v="2024120501G28"/>
    <x v="497"/>
    <n v="2024120501"/>
    <x v="91"/>
    <s v="driedflower_bulk_BURB"/>
    <s v="NA"/>
    <n v="-1"/>
    <n v="-1000"/>
    <n v="0"/>
    <m/>
    <x v="1"/>
    <n v="0"/>
  </r>
  <r>
    <s v="outbound"/>
    <d v="2025-03-31T16:48:00"/>
    <s v="production"/>
    <s v="2024120501G28"/>
    <x v="498"/>
    <n v="2024120501"/>
    <x v="91"/>
    <s v="driedflower_bulk_BURB"/>
    <s v="NA"/>
    <n v="-1"/>
    <n v="-985"/>
    <n v="0"/>
    <m/>
    <x v="1"/>
    <n v="0"/>
  </r>
  <r>
    <s v="outbound"/>
    <d v="2025-03-31T16:48:00"/>
    <s v="production"/>
    <s v="2024110601G28"/>
    <x v="362"/>
    <n v="2024110601"/>
    <x v="92"/>
    <s v="driedflower_bulk_BURB"/>
    <s v="NA"/>
    <n v="-1"/>
    <n v="-2240"/>
    <n v="0"/>
    <m/>
    <x v="1"/>
    <n v="0"/>
  </r>
  <r>
    <s v="outbound"/>
    <d v="2025-03-31T16:48:00"/>
    <s v="production"/>
    <s v="2024110601G28"/>
    <x v="499"/>
    <n v="2024110601"/>
    <x v="92"/>
    <s v="driedflower_bulk_BURB"/>
    <s v="NA"/>
    <n v="-1"/>
    <n v="-3088"/>
    <n v="0"/>
    <m/>
    <x v="1"/>
    <n v="0"/>
  </r>
  <r>
    <s v="outbound"/>
    <d v="2025-03-31T16:48:00"/>
    <s v="production"/>
    <s v="2024110601G28"/>
    <x v="500"/>
    <n v="2024110601"/>
    <x v="92"/>
    <s v="driedflower_bulk_BURB"/>
    <s v="NA"/>
    <n v="-1"/>
    <n v="-1640"/>
    <n v="0"/>
    <m/>
    <x v="1"/>
    <n v="0"/>
  </r>
  <r>
    <s v="outbound"/>
    <d v="2025-04-01T10:31:00"/>
    <s v="production"/>
    <m/>
    <x v="257"/>
    <s v="PR241005F5P3"/>
    <x v="17"/>
    <s v="preroll_labelled"/>
    <d v="2024-10-10T00:00:00"/>
    <n v="-48"/>
    <n v="0"/>
    <n v="-72"/>
    <m/>
    <x v="0"/>
    <n v="1.5"/>
  </r>
  <r>
    <s v="outbound"/>
    <d v="2025-04-01T10:31:00"/>
    <s v="production"/>
    <m/>
    <x v="351"/>
    <s v="EX24111301G05"/>
    <x v="47"/>
    <s v="extract_inhaled_labelled"/>
    <d v="2024-12-16T00:00:00"/>
    <n v="-14"/>
    <n v="0"/>
    <n v="-7"/>
    <m/>
    <x v="0"/>
    <n v="0.5"/>
  </r>
  <r>
    <s v="outbound"/>
    <d v="2025-04-01T10:48:00"/>
    <s v="shipment"/>
    <s v="PO_1071"/>
    <x v="501"/>
    <s v="PR2501F5P10"/>
    <x v="88"/>
    <s v="preroll_labelled"/>
    <d v="2025-03-26T00:00:00"/>
    <n v="-12"/>
    <n v="0"/>
    <n v="-60"/>
    <m/>
    <x v="0"/>
    <n v="5"/>
  </r>
  <r>
    <s v="outbound"/>
    <d v="2025-04-01T10:48:00"/>
    <s v="shipment"/>
    <s v="PO_1071"/>
    <x v="502"/>
    <s v="2024121801G7"/>
    <x v="83"/>
    <s v="driedflower_labelled"/>
    <d v="2025-03-26T00:00:00"/>
    <n v="-11"/>
    <n v="0"/>
    <n v="-77"/>
    <m/>
    <x v="0"/>
    <n v="7"/>
  </r>
  <r>
    <s v="outbound"/>
    <d v="2025-04-01T10:48:00"/>
    <s v="shipment"/>
    <s v="PO_1070"/>
    <x v="448"/>
    <s v="PR2507F1P2"/>
    <x v="110"/>
    <s v="preroll_labelled"/>
    <d v="2025-03-12T00:00:00"/>
    <n v="-120"/>
    <n v="0"/>
    <n v="-240"/>
    <m/>
    <x v="0"/>
    <n v="2"/>
  </r>
  <r>
    <s v="outbound"/>
    <d v="2025-04-01T10:48:00"/>
    <s v="production"/>
    <s v="NN25040101"/>
    <x v="245"/>
    <n v="2024100401"/>
    <x v="26"/>
    <s v="extract_distillate_bulk"/>
    <d v="2024-10-30T00:00:00"/>
    <n v="-1"/>
    <n v="-1354"/>
    <n v="0"/>
    <m/>
    <x v="1"/>
    <n v="0"/>
  </r>
  <r>
    <s v="outbound"/>
    <d v="2025-04-01T10:48:00"/>
    <s v="production"/>
    <s v="vape filling"/>
    <x v="324"/>
    <s v="EX24111301"/>
    <x v="51"/>
    <s v="extract_inhaled_bulk"/>
    <s v="NA"/>
    <n v="-1"/>
    <n v="-734.2"/>
    <n v="0"/>
    <m/>
    <x v="1"/>
    <n v="0"/>
  </r>
  <r>
    <s v="outbound"/>
    <d v="2025-04-01T11:58:00"/>
    <s v="production"/>
    <s v="NN25040101"/>
    <x v="389"/>
    <n v="2025012801"/>
    <x v="26"/>
    <s v="extract_distillate_bulk"/>
    <s v="NA"/>
    <n v="-1"/>
    <n v="-2164.1999999999998"/>
    <n v="0"/>
    <m/>
    <x v="1"/>
    <n v="0"/>
  </r>
  <r>
    <s v="inbound"/>
    <d v="2025-04-01T15:01:00"/>
    <s v="storage"/>
    <m/>
    <x v="324"/>
    <s v="EX24111301"/>
    <x v="51"/>
    <s v="extract_inhaled_bulk"/>
    <s v="NA"/>
    <n v="1"/>
    <n v="665.7"/>
    <n v="0"/>
    <m/>
    <x v="1"/>
    <n v="0"/>
  </r>
  <r>
    <s v="outbound"/>
    <d v="2025-04-01T15:05:00"/>
    <s v="production"/>
    <s v="PR2507F1P2"/>
    <x v="421"/>
    <s v="PR2507"/>
    <x v="101"/>
    <s v="driedflower_milled_bulk"/>
    <s v="NA"/>
    <n v="-1"/>
    <n v="-5706"/>
    <n v="0"/>
    <m/>
    <x v="1"/>
    <n v="0"/>
  </r>
  <r>
    <s v="inbound"/>
    <d v="2025-04-01T15:47:00"/>
    <s v="storage"/>
    <m/>
    <x v="265"/>
    <s v="PR241105F5"/>
    <x v="23"/>
    <s v="preroll_bulk"/>
    <s v="NA"/>
    <n v="1"/>
    <n v="55"/>
    <n v="0.5"/>
    <m/>
    <x v="0"/>
    <n v="0.5"/>
  </r>
  <r>
    <s v="inbound"/>
    <d v="2025-04-01T16:35:00"/>
    <s v="storage"/>
    <m/>
    <x v="377"/>
    <s v="CPR22102102"/>
    <x v="3"/>
    <s v="driedflower_milled_bulk"/>
    <s v="NA"/>
    <n v="1"/>
    <n v="2510"/>
    <n v="0"/>
    <m/>
    <x v="1"/>
    <n v="0"/>
  </r>
  <r>
    <s v="inbound"/>
    <d v="2025-04-01T16:35:00"/>
    <s v="storage"/>
    <m/>
    <x v="452"/>
    <s v="PR2301"/>
    <x v="85"/>
    <s v="driedflower_milled_bulk"/>
    <d v="2024-04-02T00:00:00"/>
    <n v="1"/>
    <n v="4576"/>
    <n v="0"/>
    <m/>
    <x v="1"/>
    <n v="0"/>
  </r>
  <r>
    <s v="inbound"/>
    <d v="2025-04-01T16:55:00"/>
    <s v="storage"/>
    <m/>
    <x v="362"/>
    <n v="2024110601"/>
    <x v="92"/>
    <s v="driedflower_bulk_BURB"/>
    <s v="NA"/>
    <n v="1"/>
    <n v="1514"/>
    <n v="0"/>
    <m/>
    <x v="1"/>
    <n v="0"/>
  </r>
  <r>
    <s v="inbound"/>
    <d v="2025-04-01T16:55:00"/>
    <s v="storage"/>
    <m/>
    <x v="500"/>
    <n v="2024110601"/>
    <x v="92"/>
    <s v="driedflower_bulk_BURB"/>
    <s v="NA"/>
    <n v="1"/>
    <n v="724"/>
    <n v="0"/>
    <m/>
    <x v="1"/>
    <n v="0"/>
  </r>
  <r>
    <s v="inbound"/>
    <d v="2025-04-01T16:55:00"/>
    <s v="storage"/>
    <m/>
    <x v="370"/>
    <n v="2024120501"/>
    <x v="91"/>
    <s v="driedflower_bulk_BURB"/>
    <s v="NA"/>
    <n v="1"/>
    <n v="210"/>
    <n v="0"/>
    <m/>
    <x v="1"/>
    <n v="0"/>
  </r>
  <r>
    <s v="inbound"/>
    <d v="2025-04-01T16:55:00"/>
    <s v="storage"/>
    <m/>
    <x v="503"/>
    <s v="PR2301F5P3"/>
    <x v="42"/>
    <s v="preroll_labelled"/>
    <d v="2025-03-26T00:00:00"/>
    <n v="122"/>
    <n v="0"/>
    <n v="183"/>
    <m/>
    <x v="0"/>
    <n v="1.5"/>
  </r>
  <r>
    <s v="inbound"/>
    <d v="2025-04-01T16:55:00"/>
    <s v="storage"/>
    <m/>
    <x v="80"/>
    <s v="PR2301F5P3"/>
    <x v="42"/>
    <s v="preroll_labelled"/>
    <d v="2024-06-14T00:00:00"/>
    <n v="20"/>
    <n v="0"/>
    <n v="30"/>
    <m/>
    <x v="0"/>
    <n v="1.5"/>
  </r>
  <r>
    <s v="inbound"/>
    <d v="2025-04-01T16:56:00"/>
    <s v="storage"/>
    <m/>
    <x v="495"/>
    <s v="PR2406F5P3"/>
    <x v="43"/>
    <s v="preroll_packaged"/>
    <s v="NA"/>
    <n v="54"/>
    <n v="0"/>
    <n v="81"/>
    <m/>
    <x v="0"/>
    <n v="1.5"/>
  </r>
  <r>
    <s v="outbound"/>
    <d v="2025-04-02T10:06:00"/>
    <s v="shipment"/>
    <s v="CRA"/>
    <x v="444"/>
    <s v="2024111803G7"/>
    <x v="83"/>
    <s v="driedflower_labelled"/>
    <d v="2025-03-05T00:00:00"/>
    <n v="-12"/>
    <n v="0"/>
    <n v="-84"/>
    <m/>
    <x v="0"/>
    <n v="7"/>
  </r>
  <r>
    <s v="outbound"/>
    <d v="2025-04-02T10:54:00"/>
    <s v="shipment"/>
    <s v="PO_476527_OFDMB"/>
    <x v="501"/>
    <s v="PR2501F5P10"/>
    <x v="88"/>
    <s v="preroll_labelled"/>
    <d v="2025-03-26T00:00:00"/>
    <n v="-12"/>
    <n v="0"/>
    <n v="-60"/>
    <m/>
    <x v="0"/>
    <n v="5"/>
  </r>
  <r>
    <s v="inbound"/>
    <d v="2025-04-02T14:02:00"/>
    <s v="storage"/>
    <m/>
    <x v="382"/>
    <s v="EX24100801V30"/>
    <x v="44"/>
    <s v="extract_ingested_labelled"/>
    <d v="2024-10-25T00:00:00"/>
    <n v="19"/>
    <n v="0"/>
    <n v="518.70000000000005"/>
    <m/>
    <x v="0"/>
    <n v="27.3"/>
  </r>
  <r>
    <s v="inbound"/>
    <d v="2025-04-02T14:03:00"/>
    <s v="storage"/>
    <m/>
    <x v="441"/>
    <s v="TP24120401G45"/>
    <x v="86"/>
    <s v="topical_labelled"/>
    <d v="2024-12-12T00:00:00"/>
    <n v="112"/>
    <n v="0"/>
    <n v="5040"/>
    <m/>
    <x v="0"/>
    <n v="45"/>
  </r>
  <r>
    <s v="outbound"/>
    <d v="2025-04-03T09:28:00"/>
    <s v="sampling"/>
    <s v="PR2501IN"/>
    <x v="504"/>
    <n v="2025021301"/>
    <x v="102"/>
    <s v="driedflower_bulk"/>
    <s v="NA"/>
    <n v="-1"/>
    <n v="-624"/>
    <n v="0"/>
    <m/>
    <x v="1"/>
    <n v="0"/>
  </r>
  <r>
    <s v="outbound"/>
    <d v="2025-04-03T09:28:00"/>
    <s v="sampling"/>
    <s v="PR2501IN"/>
    <x v="450"/>
    <n v="2023110201"/>
    <x v="112"/>
    <s v="extract_distillate_bulk"/>
    <s v="NA"/>
    <n v="-1"/>
    <n v="-606"/>
    <n v="0"/>
    <m/>
    <x v="1"/>
    <n v="0"/>
  </r>
  <r>
    <s v="outbound"/>
    <d v="2025-04-03T09:28:00"/>
    <s v="sampling"/>
    <s v="PR2501IN"/>
    <x v="451"/>
    <n v="2025021303"/>
    <x v="113"/>
    <s v="infusedflower_bulk"/>
    <s v="NA"/>
    <n v="-1"/>
    <n v="-806"/>
    <n v="0"/>
    <m/>
    <x v="1"/>
    <n v="0"/>
  </r>
  <r>
    <s v="outbound"/>
    <d v="2025-04-03T09:38:00"/>
    <s v="shipment"/>
    <m/>
    <x v="448"/>
    <s v="PR2507F1P2"/>
    <x v="110"/>
    <s v="preroll_labelled"/>
    <d v="2025-03-12T00:00:00"/>
    <n v="-10"/>
    <n v="0"/>
    <n v="-20"/>
    <m/>
    <x v="0"/>
    <n v="2"/>
  </r>
  <r>
    <s v="outbound"/>
    <d v="2025-04-03T10:24:00"/>
    <s v="shipment"/>
    <m/>
    <x v="502"/>
    <s v="2024121801G7"/>
    <x v="83"/>
    <s v="driedflower_labelled"/>
    <d v="2025-03-26T00:00:00"/>
    <n v="-68"/>
    <n v="0"/>
    <n v="-476"/>
    <m/>
    <x v="0"/>
    <n v="7"/>
  </r>
  <r>
    <s v="outbound"/>
    <d v="2025-04-03T10:24:00"/>
    <s v="shipment"/>
    <m/>
    <x v="501"/>
    <s v="PR2501F5P10"/>
    <x v="88"/>
    <s v="preroll_labelled"/>
    <d v="2025-03-26T00:00:00"/>
    <n v="-36"/>
    <n v="0"/>
    <n v="-180"/>
    <m/>
    <x v="0"/>
    <n v="5"/>
  </r>
  <r>
    <s v="outbound"/>
    <d v="2025-04-03T14:35:00"/>
    <s v="shipment"/>
    <m/>
    <x v="429"/>
    <s v="EX25012101V50"/>
    <x v="33"/>
    <s v="extract_ingested_packaged"/>
    <d v="2025-02-12T00:00:00"/>
    <n v="-164"/>
    <n v="0"/>
    <n v="-8200"/>
    <m/>
    <x v="0"/>
    <n v="50"/>
  </r>
  <r>
    <s v="outbound"/>
    <d v="2025-04-03T14:35:00"/>
    <s v="shipment"/>
    <m/>
    <x v="165"/>
    <s v="EX24092601V50"/>
    <x v="41"/>
    <s v="extract_ingested_labelled"/>
    <d v="2024-10-11T00:00:00"/>
    <n v="-181"/>
    <n v="0"/>
    <n v="-9050"/>
    <m/>
    <x v="0"/>
    <n v="50"/>
  </r>
  <r>
    <s v="outbound"/>
    <d v="2025-04-03T14:35:00"/>
    <s v="shipment"/>
    <m/>
    <x v="501"/>
    <s v="PR2501F5P10"/>
    <x v="88"/>
    <s v="preroll_labelled"/>
    <d v="2025-03-26T00:00:00"/>
    <n v="-12"/>
    <n v="0"/>
    <n v="-60"/>
    <m/>
    <x v="0"/>
    <n v="5"/>
  </r>
  <r>
    <s v="outbound"/>
    <d v="2025-04-03T14:35:00"/>
    <s v="shipment"/>
    <m/>
    <x v="382"/>
    <s v="EX24100801V30"/>
    <x v="44"/>
    <s v="extract_ingested_labelled"/>
    <d v="2024-10-25T00:00:00"/>
    <n v="-12"/>
    <n v="0"/>
    <n v="-327.60000000000002"/>
    <m/>
    <x v="0"/>
    <n v="27.3"/>
  </r>
  <r>
    <s v="outbound"/>
    <d v="2025-04-03T14:35:00"/>
    <s v="shipment"/>
    <m/>
    <x v="505"/>
    <s v="DI22092601V60"/>
    <x v="117"/>
    <s v="extract_ingested_labelled"/>
    <d v="2023-07-03T00:00:00"/>
    <n v="-3"/>
    <n v="0"/>
    <n v="-164.39999999999998"/>
    <m/>
    <x v="0"/>
    <n v="54.8"/>
  </r>
  <r>
    <s v="outbound"/>
    <d v="2025-04-03T14:35:00"/>
    <s v="shipment"/>
    <m/>
    <x v="330"/>
    <s v="PR241102F5P3"/>
    <x v="30"/>
    <s v="preroll_labelled"/>
    <d v="2025-01-03T00:00:00"/>
    <n v="-12"/>
    <n v="0"/>
    <n v="-18"/>
    <m/>
    <x v="0"/>
    <n v="1.5"/>
  </r>
  <r>
    <s v="outbound"/>
    <d v="2025-04-03T14:35:00"/>
    <s v="shipment"/>
    <m/>
    <x v="179"/>
    <s v="PR241003F5P3"/>
    <x v="20"/>
    <s v="preroll_labelled"/>
    <d v="2024-10-10T00:00:00"/>
    <n v="-12"/>
    <n v="0"/>
    <n v="-18"/>
    <m/>
    <x v="0"/>
    <n v="1.5"/>
  </r>
  <r>
    <s v="outbound"/>
    <d v="2025-04-03T14:35:00"/>
    <s v="production"/>
    <m/>
    <x v="506"/>
    <s v="PR2511F5"/>
    <x v="118"/>
    <s v="preroll_bulk"/>
    <s v="NA"/>
    <n v="-517"/>
    <n v="0"/>
    <n v="-258.5"/>
    <m/>
    <x v="0"/>
    <n v="0.5"/>
  </r>
  <r>
    <s v="outbound"/>
    <d v="2025-04-03T14:35:00"/>
    <s v="production"/>
    <m/>
    <x v="507"/>
    <s v="PR2511F5"/>
    <x v="119"/>
    <s v="preroll_bulk"/>
    <s v="NA"/>
    <n v="-550"/>
    <n v="0"/>
    <n v="-275"/>
    <m/>
    <x v="0"/>
    <n v="0.5"/>
  </r>
  <r>
    <s v="outbound"/>
    <d v="2025-04-03T14:35:00"/>
    <s v="shipment"/>
    <m/>
    <x v="508"/>
    <s v="PR2406F1P1"/>
    <x v="12"/>
    <s v="preroll_labelled"/>
    <d v="2025-03-26T00:00:00"/>
    <n v="-12"/>
    <n v="0"/>
    <n v="-12"/>
    <m/>
    <x v="0"/>
    <n v="1"/>
  </r>
  <r>
    <s v="outbound"/>
    <d v="2025-04-03T14:35:00"/>
    <s v="sampling"/>
    <s v="shao250403"/>
    <x v="441"/>
    <s v="TP24120401G45"/>
    <x v="86"/>
    <s v="topical_labelled"/>
    <d v="2024-12-12T00:00:00"/>
    <n v="-1"/>
    <n v="0"/>
    <n v="-45"/>
    <m/>
    <x v="0"/>
    <n v="45"/>
  </r>
  <r>
    <s v="outbound"/>
    <d v="2025-04-03T14:35:00"/>
    <s v="sampling"/>
    <s v="shao250403"/>
    <x v="287"/>
    <s v="TP24082901"/>
    <x v="6"/>
    <s v="topical_labelled"/>
    <d v="2024-10-04T00:00:00"/>
    <n v="-1"/>
    <n v="0"/>
    <n v="-88"/>
    <m/>
    <x v="0"/>
    <n v="88"/>
  </r>
  <r>
    <s v="outbound"/>
    <d v="2025-04-03T14:35:00"/>
    <s v="sampling"/>
    <s v="shao250403"/>
    <x v="509"/>
    <s v="TP25021901"/>
    <x v="2"/>
    <s v="topical_labelled"/>
    <d v="2025-02-26T00:00:00"/>
    <n v="-1"/>
    <n v="0"/>
    <n v="-88"/>
    <m/>
    <x v="0"/>
    <n v="88"/>
  </r>
  <r>
    <s v="inbound"/>
    <d v="2025-04-03T15:50:00"/>
    <s v="storage"/>
    <m/>
    <x v="450"/>
    <n v="2023110201"/>
    <x v="112"/>
    <s v="extract_distillate_bulk"/>
    <s v="NA"/>
    <n v="1"/>
    <n v="516.13"/>
    <n v="0"/>
    <m/>
    <x v="1"/>
    <n v="0"/>
  </r>
  <r>
    <s v="inbound"/>
    <d v="2025-04-03T15:50:00"/>
    <s v="storage"/>
    <m/>
    <x v="504"/>
    <n v="2025021301"/>
    <x v="102"/>
    <s v="driedflower_bulk"/>
    <s v="NA"/>
    <n v="1"/>
    <n v="420"/>
    <n v="0"/>
    <m/>
    <x v="1"/>
    <n v="0"/>
  </r>
  <r>
    <s v="inbound"/>
    <d v="2025-04-03T15:50:00"/>
    <s v="storage"/>
    <m/>
    <x v="451"/>
    <n v="2025021303"/>
    <x v="113"/>
    <s v="infusedflower_bulk"/>
    <s v="NA"/>
    <n v="1"/>
    <n v="710"/>
    <n v="0"/>
    <m/>
    <x v="1"/>
    <n v="0"/>
  </r>
  <r>
    <s v="inbound"/>
    <d v="2025-04-03T15:50:00"/>
    <s v="storage"/>
    <m/>
    <x v="506"/>
    <s v="PR2511F5"/>
    <x v="118"/>
    <s v="preroll_bulk"/>
    <s v="NA"/>
    <n v="19"/>
    <n v="0"/>
    <n v="9.5"/>
    <m/>
    <x v="0"/>
    <n v="0.5"/>
  </r>
  <r>
    <s v="inbound"/>
    <d v="2025-04-03T15:50:00"/>
    <s v="storage"/>
    <m/>
    <x v="507"/>
    <s v="PR2511F5"/>
    <x v="119"/>
    <s v="preroll_bulk"/>
    <s v="NA"/>
    <n v="3"/>
    <n v="0"/>
    <n v="1.5"/>
    <m/>
    <x v="0"/>
    <n v="0.5"/>
  </r>
  <r>
    <s v="outbound"/>
    <d v="2025-04-03T15:50:00"/>
    <s v="shipment"/>
    <s v="PO_1076"/>
    <x v="334"/>
    <s v="PR241104F5P3"/>
    <x v="18"/>
    <s v="preroll_labelled"/>
    <d v="2024-12-04T00:00:00"/>
    <n v="-12"/>
    <n v="0"/>
    <n v="-18"/>
    <m/>
    <x v="0"/>
    <n v="1.5"/>
  </r>
  <r>
    <s v="outbound"/>
    <d v="2025-04-03T15:50:00"/>
    <s v="shipment"/>
    <s v="PO_1076"/>
    <x v="510"/>
    <s v="PR21071201G1"/>
    <x v="11"/>
    <s v="preroll_labelled"/>
    <d v="2025-03-19T00:00:00"/>
    <n v="-12"/>
    <n v="0"/>
    <n v="-12"/>
    <m/>
    <x v="0"/>
    <n v="1"/>
  </r>
  <r>
    <s v="outbound"/>
    <d v="2025-04-03T15:50:00"/>
    <s v="shipment"/>
    <s v="PO_1076"/>
    <x v="320"/>
    <s v="EX24101703G05"/>
    <x v="45"/>
    <s v="extract_inhaled_labelled"/>
    <d v="2024-11-07T00:00:00"/>
    <n v="-12"/>
    <n v="0"/>
    <n v="-6"/>
    <m/>
    <x v="0"/>
    <n v="0.5"/>
  </r>
  <r>
    <s v="outbound"/>
    <d v="2025-04-03T15:50:00"/>
    <s v="shipment"/>
    <s v="PO_1076"/>
    <x v="501"/>
    <s v="PR2501F5P10"/>
    <x v="88"/>
    <s v="preroll_labelled"/>
    <d v="2025-03-26T00:00:00"/>
    <n v="-12"/>
    <n v="0"/>
    <n v="-60"/>
    <m/>
    <x v="0"/>
    <n v="5"/>
  </r>
  <r>
    <s v="outbound"/>
    <d v="2025-04-03T15:50:00"/>
    <s v="shipment"/>
    <s v="PO_1076"/>
    <x v="329"/>
    <s v="PR241105F5P3"/>
    <x v="17"/>
    <s v="preroll_labelled"/>
    <d v="2024-11-19T00:00:00"/>
    <n v="-12"/>
    <n v="0"/>
    <n v="-18"/>
    <m/>
    <x v="0"/>
    <n v="1.5"/>
  </r>
  <r>
    <s v="outbound"/>
    <d v="2025-04-04T09:16:00"/>
    <s v="production"/>
    <s v="PR2514F5P5"/>
    <x v="511"/>
    <s v="PR2514"/>
    <x v="96"/>
    <s v="driedflower_milled_bulk_BURB"/>
    <s v="NA"/>
    <n v="-1"/>
    <n v="-4100"/>
    <n v="0"/>
    <m/>
    <x v="1"/>
    <n v="0"/>
  </r>
  <r>
    <s v="outbound"/>
    <d v="2025-04-04T09:52:00"/>
    <s v="storage"/>
    <m/>
    <x v="421"/>
    <s v="PR2507"/>
    <x v="101"/>
    <s v="driedflower_milled_bulk"/>
    <s v="NA"/>
    <n v="-1"/>
    <n v="-5188"/>
    <n v="0"/>
    <m/>
    <x v="1"/>
    <n v="0"/>
  </r>
  <r>
    <s v="inbound"/>
    <d v="2025-04-04T10:30:00"/>
    <s v="storage"/>
    <m/>
    <x v="165"/>
    <s v="EX24092601V50"/>
    <x v="41"/>
    <s v="extract_ingested_labelled"/>
    <d v="2024-10-11T00:00:00"/>
    <n v="68"/>
    <n v="0"/>
    <n v="3400"/>
    <m/>
    <x v="0"/>
    <n v="50"/>
  </r>
  <r>
    <s v="inbound"/>
    <d v="2025-04-04T10:32:00"/>
    <s v="storage"/>
    <m/>
    <x v="429"/>
    <s v="EX25012101V50"/>
    <x v="33"/>
    <s v="extract_ingested_packaged"/>
    <d v="2025-02-12T00:00:00"/>
    <n v="68"/>
    <n v="0"/>
    <n v="3400"/>
    <m/>
    <x v="0"/>
    <n v="50"/>
  </r>
  <r>
    <s v="inbound"/>
    <d v="2025-04-04T10:32:00"/>
    <s v="storage"/>
    <m/>
    <x v="484"/>
    <s v="EX24111801V50"/>
    <x v="33"/>
    <s v="extract_ingested_cased_ON_RTV"/>
    <d v="2024-11-28T00:00:00"/>
    <n v="5"/>
    <n v="0"/>
    <n v="3000"/>
    <m/>
    <x v="0"/>
    <n v="600"/>
  </r>
  <r>
    <s v="inbound"/>
    <d v="2025-04-04T10:36:00"/>
    <s v="storage"/>
    <m/>
    <x v="453"/>
    <s v="EX24092601V50"/>
    <x v="41"/>
    <s v="extract_ingested_cased_BC"/>
    <d v="2024-10-11T00:00:00"/>
    <n v="10"/>
    <n v="0"/>
    <n v="6000"/>
    <m/>
    <x v="0"/>
    <n v="600"/>
  </r>
  <r>
    <s v="inbound"/>
    <d v="2025-04-04T10:36:00"/>
    <s v="storage"/>
    <m/>
    <x v="437"/>
    <s v="EX25012101V50"/>
    <x v="33"/>
    <s v="extract_ingested_cased_BC"/>
    <d v="2025-02-12T00:00:00"/>
    <n v="5"/>
    <n v="0"/>
    <n v="3000"/>
    <m/>
    <x v="0"/>
    <n v="600"/>
  </r>
  <r>
    <s v="outbound"/>
    <d v="2025-04-04T13:50:00"/>
    <s v="production"/>
    <m/>
    <x v="512"/>
    <n v="2025030701"/>
    <x v="109"/>
    <s v="driedflower_bulk_JEN"/>
    <s v="NA"/>
    <n v="-1"/>
    <n v="-1025"/>
    <n v="0"/>
    <m/>
    <x v="1"/>
    <n v="0"/>
  </r>
  <r>
    <s v="outbound"/>
    <d v="2025-04-04T13:50:00"/>
    <s v="production"/>
    <m/>
    <x v="513"/>
    <n v="2025030701"/>
    <x v="109"/>
    <s v="driedflower_bulk_JEN"/>
    <s v="NA"/>
    <n v="-1"/>
    <n v="-1025"/>
    <n v="0"/>
    <m/>
    <x v="1"/>
    <n v="0"/>
  </r>
  <r>
    <s v="outbound"/>
    <d v="2025-04-04T13:50:00"/>
    <s v="production"/>
    <m/>
    <x v="514"/>
    <s v="PR2511"/>
    <x v="85"/>
    <s v="driedflower_milled_bulk"/>
    <s v="NA"/>
    <n v="-1"/>
    <n v="-2580"/>
    <n v="0"/>
    <m/>
    <x v="1"/>
    <n v="0"/>
  </r>
  <r>
    <s v="outbound"/>
    <d v="2025-04-04T13:50:00"/>
    <s v="shipment"/>
    <s v="PO_Burb2025040201"/>
    <x v="515"/>
    <s v="2024120501G28"/>
    <x v="120"/>
    <s v="driedflower_labelled"/>
    <d v="2025-03-28T00:00:00"/>
    <n v="-43"/>
    <n v="0"/>
    <n v="-1204"/>
    <m/>
    <x v="0"/>
    <n v="28"/>
  </r>
  <r>
    <s v="outbound"/>
    <d v="2025-04-04T13:50:00"/>
    <s v="shipment"/>
    <s v="PO_Burb2025040201"/>
    <x v="516"/>
    <s v="2024120501G28"/>
    <x v="120"/>
    <s v="driedflower_labelled"/>
    <d v="2025-03-28T00:00:00"/>
    <n v="-65"/>
    <n v="0"/>
    <n v="-1820"/>
    <m/>
    <x v="0"/>
    <n v="28"/>
  </r>
  <r>
    <s v="outbound"/>
    <d v="2025-04-04T13:50:00"/>
    <s v="shipment"/>
    <s v="PO_Burb2025040201"/>
    <x v="517"/>
    <s v="2024110601G28"/>
    <x v="121"/>
    <s v="driedflower_labelled"/>
    <d v="2025-03-28T00:00:00"/>
    <n v="-156"/>
    <n v="0"/>
    <n v="-4368"/>
    <m/>
    <x v="0"/>
    <n v="28"/>
  </r>
  <r>
    <s v="inbound"/>
    <d v="2025-04-07T12:29:00"/>
    <s v="storage"/>
    <m/>
    <x v="486"/>
    <n v="2025030702"/>
    <x v="114"/>
    <s v="driedflower_bulk_Rohan"/>
    <s v="NA"/>
    <n v="1"/>
    <n v="6602"/>
    <n v="0"/>
    <m/>
    <x v="1"/>
    <n v="0"/>
  </r>
  <r>
    <s v="inbound"/>
    <d v="2025-04-07T12:30:00"/>
    <s v="storage"/>
    <m/>
    <x v="502"/>
    <s v="2024121801G7"/>
    <x v="83"/>
    <s v="driedflower_labelled"/>
    <d v="2025-03-26T00:00:00"/>
    <n v="7"/>
    <n v="0"/>
    <n v="49"/>
    <m/>
    <x v="0"/>
    <n v="7"/>
  </r>
  <r>
    <s v="outbound"/>
    <d v="2025-04-07T14:02:00"/>
    <s v="sampling"/>
    <s v="rohan250407"/>
    <x v="265"/>
    <s v="PR241105F5"/>
    <x v="23"/>
    <s v="preroll_bulk"/>
    <s v="NA"/>
    <n v="-1"/>
    <n v="0"/>
    <n v="-0.5"/>
    <m/>
    <x v="0"/>
    <n v="0.5"/>
  </r>
  <r>
    <s v="outbound"/>
    <d v="2025-04-08T09:15:00"/>
    <s v="production"/>
    <m/>
    <x v="392"/>
    <s v="PR2501"/>
    <x v="84"/>
    <s v="driedflower_milled_bulk"/>
    <s v="NA"/>
    <n v="-1"/>
    <n v="-3802"/>
    <n v="0"/>
    <m/>
    <x v="1"/>
    <n v="0"/>
  </r>
  <r>
    <s v="outbound"/>
    <d v="2025-04-08T10:46:00"/>
    <s v="shipment"/>
    <s v="PO_1077 replacement"/>
    <x v="518"/>
    <s v="EX24111301G05"/>
    <x v="47"/>
    <s v="extract_inhaled_labelled"/>
    <d v="2025-04-02T00:00:00"/>
    <n v="-1"/>
    <n v="0"/>
    <n v="-0.5"/>
    <m/>
    <x v="0"/>
    <n v="0.5"/>
  </r>
  <r>
    <s v="outbound"/>
    <d v="2025-04-08T10:46:00"/>
    <s v="shipment"/>
    <s v="rohan250408_rockstar 0.5g"/>
    <x v="519"/>
    <s v="PR2512"/>
    <x v="122"/>
    <s v="diredflower_milled_bulk_Rohan"/>
    <s v="NA"/>
    <n v="-1"/>
    <n v="-3695"/>
    <n v="0"/>
    <m/>
    <x v="1"/>
    <n v="0"/>
  </r>
  <r>
    <s v="outbound"/>
    <d v="2025-04-08T10:46:00"/>
    <s v="shipment"/>
    <s v="PO_1077 "/>
    <x v="342"/>
    <s v="PR2416F5P10"/>
    <x v="88"/>
    <s v="preroll_labelled"/>
    <d v="2024-12-16T00:00:00"/>
    <n v="-10"/>
    <n v="0"/>
    <n v="-50"/>
    <m/>
    <x v="0"/>
    <n v="5"/>
  </r>
  <r>
    <s v="outbound"/>
    <d v="2025-04-08T11:11:00"/>
    <s v="shipment"/>
    <s v="PO_1078"/>
    <x v="520"/>
    <s v="ROGEX001G1"/>
    <x v="123"/>
    <s v="extract_inhaled_labelled_Rohan"/>
    <d v="2025-03-24T00:00:00"/>
    <n v="-36"/>
    <n v="0"/>
    <n v="-36"/>
    <m/>
    <x v="0"/>
    <n v="1"/>
  </r>
  <r>
    <s v="outbound"/>
    <d v="2025-04-08T11:11:00"/>
    <s v="shipment"/>
    <s v="PO_1078"/>
    <x v="179"/>
    <s v="PR241003F5P3"/>
    <x v="20"/>
    <s v="preroll_labelled"/>
    <d v="2024-10-10T00:00:00"/>
    <n v="-12"/>
    <n v="0"/>
    <n v="-18"/>
    <m/>
    <x v="0"/>
    <n v="1.5"/>
  </r>
  <r>
    <s v="outbound"/>
    <d v="2025-04-08T11:11:00"/>
    <s v="shipment"/>
    <s v="PO_1078"/>
    <x v="334"/>
    <s v="PR241104F5P3"/>
    <x v="18"/>
    <s v="preroll_labelled"/>
    <d v="2024-12-04T00:00:00"/>
    <n v="-12"/>
    <n v="0"/>
    <n v="-18"/>
    <m/>
    <x v="0"/>
    <n v="1.5"/>
  </r>
  <r>
    <s v="outbound"/>
    <d v="2025-04-08T11:11:00"/>
    <s v="shipment"/>
    <s v="PO_1078"/>
    <x v="257"/>
    <s v="PR241005F5P3"/>
    <x v="17"/>
    <s v="preroll_labelled"/>
    <d v="2024-10-10T00:00:00"/>
    <n v="-5"/>
    <n v="0"/>
    <n v="-7.5"/>
    <m/>
    <x v="0"/>
    <n v="1.5"/>
  </r>
  <r>
    <s v="outbound"/>
    <d v="2025-04-08T11:11:00"/>
    <s v="shipment"/>
    <s v="PO_1078"/>
    <x v="237"/>
    <s v="PR241105F5P3"/>
    <x v="17"/>
    <s v="preroll_labelled"/>
    <d v="2024-10-16T00:00:00"/>
    <n v="-7"/>
    <n v="0"/>
    <n v="-10.5"/>
    <m/>
    <x v="0"/>
    <n v="1.5"/>
  </r>
  <r>
    <s v="outbound"/>
    <d v="2025-04-08T11:11:00"/>
    <s v="shipment"/>
    <s v="PO_1078"/>
    <x v="438"/>
    <s v="EX25020601G1"/>
    <x v="107"/>
    <s v="extract_inhaled_labelled"/>
    <d v="2025-02-19T00:00:00"/>
    <n v="-12"/>
    <n v="0"/>
    <n v="-12"/>
    <m/>
    <x v="0"/>
    <n v="1"/>
  </r>
  <r>
    <s v="outbound"/>
    <d v="2025-04-08T11:11:00"/>
    <s v="shipment"/>
    <s v="PO_1078"/>
    <x v="521"/>
    <s v="PR2507F1P2"/>
    <x v="110"/>
    <s v="preroll_labelled"/>
    <d v="2025-04-02T00:00:00"/>
    <n v="-24"/>
    <n v="0"/>
    <n v="-48"/>
    <m/>
    <x v="0"/>
    <n v="2"/>
  </r>
  <r>
    <s v="outbound"/>
    <d v="2025-04-08T11:11:00"/>
    <s v="shipment"/>
    <s v="PO_1077"/>
    <x v="320"/>
    <s v="EX24101703G05"/>
    <x v="45"/>
    <s v="extract_inhaled_labelled"/>
    <d v="2024-11-07T00:00:00"/>
    <n v="-12"/>
    <n v="0"/>
    <n v="-6"/>
    <m/>
    <x v="0"/>
    <n v="0.5"/>
  </r>
  <r>
    <s v="outbound"/>
    <d v="2025-04-08T11:11:00"/>
    <s v="shipment"/>
    <s v="PO_1077"/>
    <x v="439"/>
    <s v="EX24111302G05"/>
    <x v="46"/>
    <s v="extract_inhaled_labelled"/>
    <d v="2025-02-19T00:00:00"/>
    <n v="-12"/>
    <n v="0"/>
    <n v="-6"/>
    <m/>
    <x v="0"/>
    <n v="0.5"/>
  </r>
  <r>
    <s v="outbound"/>
    <d v="2025-04-08T11:11:00"/>
    <s v="shipment"/>
    <s v="PO_1077"/>
    <x v="518"/>
    <s v="EX24111301G05"/>
    <x v="47"/>
    <s v="extract_inhaled_labelled"/>
    <d v="2025-04-02T00:00:00"/>
    <n v="-12"/>
    <n v="0"/>
    <n v="-6"/>
    <m/>
    <x v="0"/>
    <n v="0.5"/>
  </r>
  <r>
    <s v="outbound"/>
    <d v="2025-04-08T11:11:00"/>
    <s v="shipment"/>
    <s v="PO_1077"/>
    <x v="336"/>
    <s v="EX24111306G05"/>
    <x v="53"/>
    <s v="extract_inhaled_labelled"/>
    <d v="2024-11-27T00:00:00"/>
    <n v="-12"/>
    <n v="0"/>
    <n v="-6"/>
    <m/>
    <x v="0"/>
    <n v="0.5"/>
  </r>
  <r>
    <s v="outbound"/>
    <d v="2025-04-08T11:11:00"/>
    <s v="shipment"/>
    <s v="PO_1077"/>
    <x v="437"/>
    <s v="EX25012101V50"/>
    <x v="33"/>
    <s v="extract_ingested_cased_BC"/>
    <d v="2025-02-12T00:00:00"/>
    <n v="-2"/>
    <n v="0"/>
    <n v="-1200"/>
    <m/>
    <x v="0"/>
    <n v="600"/>
  </r>
  <r>
    <s v="outbound"/>
    <d v="2025-04-08T11:11:00"/>
    <s v="shipment"/>
    <s v="PO_1077"/>
    <x v="422"/>
    <s v="EX25011501V50"/>
    <x v="97"/>
    <s v="extract_ingested_cased_BC"/>
    <d v="2025-02-04T00:00:00"/>
    <n v="-2"/>
    <n v="0"/>
    <n v="-1200"/>
    <m/>
    <x v="0"/>
    <n v="600"/>
  </r>
  <r>
    <s v="outbound"/>
    <d v="2025-04-08T11:11:00"/>
    <s v="shipment"/>
    <s v="PO_1077"/>
    <x v="453"/>
    <s v="EX24092601V50"/>
    <x v="41"/>
    <s v="extract_ingested_cased_BC"/>
    <d v="2024-10-11T00:00:00"/>
    <n v="-1"/>
    <n v="0"/>
    <n v="-600"/>
    <m/>
    <x v="0"/>
    <n v="600"/>
  </r>
  <r>
    <s v="outbound"/>
    <d v="2025-04-08T11:11:00"/>
    <s v="shipment"/>
    <s v="PO_1077"/>
    <x v="503"/>
    <s v="PR2301F5P3"/>
    <x v="42"/>
    <s v="preroll_labelled"/>
    <d v="2025-03-26T00:00:00"/>
    <n v="-24"/>
    <n v="0"/>
    <n v="-36"/>
    <m/>
    <x v="0"/>
    <n v="1.5"/>
  </r>
  <r>
    <s v="outbound"/>
    <d v="2025-04-08T11:11:00"/>
    <s v="shipment"/>
    <s v="PO_1077"/>
    <x v="448"/>
    <s v="PR2507F1P2"/>
    <x v="110"/>
    <s v="preroll_labelled"/>
    <d v="2025-03-12T00:00:00"/>
    <n v="-24"/>
    <n v="0"/>
    <n v="-48"/>
    <m/>
    <x v="0"/>
    <n v="2"/>
  </r>
  <r>
    <s v="outbound"/>
    <d v="2025-04-08T11:11:00"/>
    <s v="shipment"/>
    <s v="PO_1079"/>
    <x v="520"/>
    <s v="ROGEX001G1"/>
    <x v="123"/>
    <s v="extract_inhaled_labelled_Rohan"/>
    <d v="2025-03-24T00:00:00"/>
    <n v="-24"/>
    <n v="0"/>
    <n v="-24"/>
    <m/>
    <x v="0"/>
    <n v="1"/>
  </r>
  <r>
    <s v="outbound"/>
    <d v="2025-04-08T11:40:00"/>
    <s v="shipment"/>
    <s v="PO_1080"/>
    <x v="320"/>
    <s v="EX24101703G05"/>
    <x v="45"/>
    <s v="extract_inhaled_labelled"/>
    <d v="2024-11-07T00:00:00"/>
    <n v="-12"/>
    <n v="0"/>
    <n v="-6"/>
    <m/>
    <x v="0"/>
    <n v="0.5"/>
  </r>
  <r>
    <s v="outbound"/>
    <d v="2025-04-08T11:40:00"/>
    <s v="shipment"/>
    <s v="PO_1080"/>
    <x v="438"/>
    <s v="EX25020601G1"/>
    <x v="107"/>
    <s v="extract_inhaled_labelled"/>
    <d v="2025-02-19T00:00:00"/>
    <n v="-12"/>
    <n v="0"/>
    <n v="-12"/>
    <m/>
    <x v="0"/>
    <n v="1"/>
  </r>
  <r>
    <s v="outbound"/>
    <d v="2025-04-08T11:40:00"/>
    <s v="shipment"/>
    <s v="PO_1080"/>
    <x v="518"/>
    <s v="EX24111301G05"/>
    <x v="47"/>
    <s v="extract_inhaled_labelled"/>
    <d v="2025-04-02T00:00:00"/>
    <n v="-12"/>
    <n v="0"/>
    <n v="-6"/>
    <m/>
    <x v="0"/>
    <n v="0.5"/>
  </r>
  <r>
    <s v="outbound"/>
    <d v="2025-04-08T11:40:00"/>
    <s v="shipment"/>
    <s v="PO_1080"/>
    <x v="439"/>
    <s v="EX24111302G05"/>
    <x v="46"/>
    <s v="extract_inhaled_labelled"/>
    <d v="2025-02-19T00:00:00"/>
    <n v="-12"/>
    <n v="0"/>
    <n v="-6"/>
    <m/>
    <x v="0"/>
    <n v="0.5"/>
  </r>
  <r>
    <s v="outbound"/>
    <d v="2025-04-08T11:40:00"/>
    <s v="shipment"/>
    <s v="PO_1080"/>
    <x v="336"/>
    <s v="EX24111306G05"/>
    <x v="53"/>
    <s v="extract_inhaled_labelled"/>
    <d v="2024-11-27T00:00:00"/>
    <n v="-10"/>
    <n v="0"/>
    <n v="-5"/>
    <m/>
    <x v="0"/>
    <n v="0.5"/>
  </r>
  <r>
    <s v="outbound"/>
    <d v="2025-04-08T11:40:00"/>
    <s v="shipment"/>
    <s v="PO_1080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08T12:24:00"/>
    <s v="shipment"/>
    <s v="PO_1081"/>
    <x v="522"/>
    <s v="EX24022302V30"/>
    <x v="72"/>
    <s v="extract_ingested_cased_AB"/>
    <d v="2024-03-03T00:00:00"/>
    <n v="-1"/>
    <n v="0"/>
    <n v="-165.60000000000002"/>
    <m/>
    <x v="0"/>
    <n v="165.60000000000002"/>
  </r>
  <r>
    <s v="outbound"/>
    <d v="2025-04-08T12:24:00"/>
    <s v="shipment"/>
    <s v="PO_1081"/>
    <x v="523"/>
    <s v="EX24061401V30"/>
    <x v="44"/>
    <s v="extract_ingested_labelled"/>
    <d v="2024-06-24T00:00:00"/>
    <n v="-12"/>
    <n v="0"/>
    <n v="-327.60000000000002"/>
    <m/>
    <x v="0"/>
    <n v="27.3"/>
  </r>
  <r>
    <s v="outbound"/>
    <d v="2025-04-08T12:24:00"/>
    <s v="shipment"/>
    <s v="PO_1081"/>
    <x v="442"/>
    <s v="EX25010601V30"/>
    <x v="71"/>
    <s v="extract_ingested_labelled"/>
    <d v="2025-01-17T00:00:00"/>
    <n v="-12"/>
    <n v="0"/>
    <n v="-28814.400000000001"/>
    <m/>
    <x v="0"/>
    <n v="2401.2000000000003"/>
  </r>
  <r>
    <s v="outbound"/>
    <d v="2025-04-08T12:24:00"/>
    <s v="shipment"/>
    <s v="PO_1081"/>
    <x v="272"/>
    <s v="EX24022302V30"/>
    <x v="72"/>
    <s v="extract_ingested_labelled"/>
    <d v="2024-10-23T00:00:00"/>
    <n v="-6"/>
    <n v="0"/>
    <n v="-165.60000000000002"/>
    <m/>
    <x v="0"/>
    <n v="27.6"/>
  </r>
  <r>
    <s v="outbound"/>
    <d v="2025-04-08T12:43:00"/>
    <s v="shipment"/>
    <s v="PO_479204"/>
    <x v="524"/>
    <s v="DI22110301V30"/>
    <x v="32"/>
    <s v="extract_ingested_labelled"/>
    <d v="2023-07-03T00:00:00"/>
    <n v="-24"/>
    <n v="0"/>
    <n v="-655.20000000000005"/>
    <m/>
    <x v="0"/>
    <n v="27.3"/>
  </r>
  <r>
    <s v="outbound"/>
    <d v="2025-04-08T12:43:00"/>
    <s v="shipment"/>
    <s v="PO_479204"/>
    <x v="509"/>
    <s v="TP25021901"/>
    <x v="2"/>
    <s v="topical_labelled"/>
    <d v="2025-02-26T00:00:00"/>
    <n v="-12"/>
    <n v="0"/>
    <n v="-1056"/>
    <m/>
    <x v="0"/>
    <n v="88"/>
  </r>
  <r>
    <s v="outbound"/>
    <d v="2025-04-08T15:13:00"/>
    <s v="production"/>
    <s v="PR2513F1"/>
    <x v="525"/>
    <s v="PR2513F1"/>
    <x v="124"/>
    <s v="preroll_bulk_JEN"/>
    <s v="NA"/>
    <n v="-85"/>
    <n v="0"/>
    <n v="-85"/>
    <m/>
    <x v="0"/>
    <n v="1"/>
  </r>
  <r>
    <s v="outbound"/>
    <d v="2025-04-08T15:13:00"/>
    <s v="production"/>
    <s v="PR2513F5"/>
    <x v="526"/>
    <s v="PR2513F5"/>
    <x v="125"/>
    <s v="preroll_bulk"/>
    <s v="NA"/>
    <n v="-89"/>
    <n v="0"/>
    <n v="-44.5"/>
    <m/>
    <x v="0"/>
    <n v="0.5"/>
  </r>
  <r>
    <s v="outbound"/>
    <d v="2025-04-08T15:13:00"/>
    <s v="production"/>
    <s v="PR2513F5 AND PR2513F5"/>
    <x v="527"/>
    <s v="PR2513"/>
    <x v="126"/>
    <s v="driedflower_milled_bulk_JEN"/>
    <s v="NA"/>
    <n v="-1"/>
    <n v="-3696"/>
    <n v="0"/>
    <m/>
    <x v="1"/>
    <n v="0"/>
  </r>
  <r>
    <s v="outbound"/>
    <d v="2025-04-09T00:00:00"/>
    <s v="shipment"/>
    <s v="PO_1085"/>
    <x v="521"/>
    <s v="PR2507F1P2"/>
    <x v="110"/>
    <s v="preroll_labelled"/>
    <d v="2025-04-02T00:00:00"/>
    <n v="-72"/>
    <n v="0"/>
    <n v="-144"/>
    <m/>
    <x v="0"/>
    <n v="2"/>
  </r>
  <r>
    <s v="outbound"/>
    <d v="2025-04-09T10:25:00"/>
    <s v="production"/>
    <s v="Canadian OG"/>
    <x v="275"/>
    <n v="2024111901"/>
    <x v="73"/>
    <s v="extract_inhaled_bulk"/>
    <s v="NA"/>
    <n v="-1"/>
    <n v="-1660"/>
    <n v="0"/>
    <m/>
    <x v="1"/>
    <n v="0"/>
  </r>
  <r>
    <s v="inbound"/>
    <d v="2025-04-09T11:06:00"/>
    <s v="storage"/>
    <m/>
    <x v="275"/>
    <n v="2024111901"/>
    <x v="73"/>
    <s v="extract_inhaled_bulk"/>
    <s v="NA"/>
    <n v="1"/>
    <n v="1590"/>
    <n v="0"/>
    <m/>
    <x v="1"/>
    <n v="0"/>
  </r>
  <r>
    <s v="outbound"/>
    <d v="2025-04-09T11:32:00"/>
    <s v="production"/>
    <s v="labeling"/>
    <x v="528"/>
    <s v="PR251108F5P12"/>
    <x v="127"/>
    <s v="preroll_labelled"/>
    <d v="2025-04-08T00:00:00"/>
    <n v="-167"/>
    <n v="0"/>
    <n v="-1002"/>
    <m/>
    <x v="0"/>
    <n v="6"/>
  </r>
  <r>
    <s v="outbound"/>
    <d v="2025-04-09T12:17:00"/>
    <s v="shipment"/>
    <s v="PO_1084"/>
    <x v="520"/>
    <s v="ROGEX001G1"/>
    <x v="123"/>
    <s v="extract_inhaled_labelled_Rohan"/>
    <d v="2025-03-24T00:00:00"/>
    <n v="-72"/>
    <n v="0"/>
    <n v="-72"/>
    <m/>
    <x v="0"/>
    <n v="1"/>
  </r>
  <r>
    <s v="outbound"/>
    <d v="2025-04-09T12:17:00"/>
    <s v="shipment"/>
    <s v="PO_1086"/>
    <x v="529"/>
    <s v="PR2501INF5P3"/>
    <x v="128"/>
    <s v="preroll_labelled"/>
    <d v="2025-04-09T00:00:00"/>
    <n v="-24"/>
    <n v="0"/>
    <n v="-36"/>
    <m/>
    <x v="0"/>
    <n v="1.5"/>
  </r>
  <r>
    <s v="outbound"/>
    <d v="2025-04-09T12:17:00"/>
    <s v="shipment"/>
    <s v="PO_1086"/>
    <x v="439"/>
    <s v="EX24111302G05"/>
    <x v="46"/>
    <s v="extract_inhaled_labelled"/>
    <d v="2025-02-19T00:00:00"/>
    <n v="-12"/>
    <n v="0"/>
    <n v="-6"/>
    <m/>
    <x v="0"/>
    <n v="0.5"/>
  </r>
  <r>
    <s v="outbound"/>
    <d v="2025-04-09T12:17:00"/>
    <s v="shipment"/>
    <s v="PO_1086"/>
    <x v="518"/>
    <s v="EX24111301G05"/>
    <x v="47"/>
    <s v="extract_inhaled_labelled"/>
    <d v="2025-04-02T00:00:00"/>
    <n v="-12"/>
    <n v="0"/>
    <n v="-6"/>
    <m/>
    <x v="0"/>
    <n v="0.5"/>
  </r>
  <r>
    <s v="outbound"/>
    <d v="2025-04-09T12:17:00"/>
    <s v="shipment"/>
    <s v="PO_1086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09T12:49:00"/>
    <s v="shipment"/>
    <s v="PO_1083"/>
    <x v="437"/>
    <s v="EX25012101V50"/>
    <x v="33"/>
    <s v="extract_ingested_cased_BC"/>
    <d v="2025-02-12T00:00:00"/>
    <n v="-1"/>
    <n v="0"/>
    <n v="-600"/>
    <m/>
    <x v="0"/>
    <n v="600"/>
  </r>
  <r>
    <s v="outbound"/>
    <d v="2025-04-09T12:49:00"/>
    <s v="shipment"/>
    <s v="PO_1083"/>
    <x v="344"/>
    <s v="TP24101701"/>
    <x v="2"/>
    <s v="topical_labelled"/>
    <d v="2024-10-23T00:00:00"/>
    <n v="-6"/>
    <n v="0"/>
    <n v="-528"/>
    <m/>
    <x v="0"/>
    <n v="88"/>
  </r>
  <r>
    <s v="outbound"/>
    <d v="2025-04-09T12:49:00"/>
    <s v="shipment"/>
    <s v="PO_1083"/>
    <x v="179"/>
    <s v="PR241003F5P3"/>
    <x v="20"/>
    <s v="preroll_labelled"/>
    <d v="2024-10-10T00:00:00"/>
    <n v="-12"/>
    <n v="0"/>
    <n v="-18"/>
    <m/>
    <x v="0"/>
    <n v="1.5"/>
  </r>
  <r>
    <s v="outbound"/>
    <d v="2025-04-09T12:49:00"/>
    <s v="shipment"/>
    <s v="PO_1083"/>
    <x v="445"/>
    <s v="PR241101F5P3"/>
    <x v="19"/>
    <s v="preroll_labelled"/>
    <d v="2025-02-19T00:00:00"/>
    <n v="-12"/>
    <n v="0"/>
    <n v="-18"/>
    <m/>
    <x v="0"/>
    <n v="1.5"/>
  </r>
  <r>
    <s v="outbound"/>
    <d v="2025-04-09T12:49:00"/>
    <s v="shipment"/>
    <s v="PO_1083"/>
    <x v="510"/>
    <s v="PR21071201G1"/>
    <x v="11"/>
    <s v="preroll_labelled"/>
    <d v="2025-03-19T00:00:00"/>
    <n v="-12"/>
    <n v="0"/>
    <n v="-12"/>
    <m/>
    <x v="0"/>
    <n v="1"/>
  </r>
  <r>
    <s v="outbound"/>
    <d v="2025-04-09T12:49:00"/>
    <s v="shipment"/>
    <s v="PO_1083"/>
    <x v="444"/>
    <s v="2024111803G7"/>
    <x v="83"/>
    <s v="driedflower_labelled"/>
    <d v="2025-03-05T00:00:00"/>
    <n v="-12"/>
    <n v="0"/>
    <n v="-84"/>
    <m/>
    <x v="0"/>
    <n v="7"/>
  </r>
  <r>
    <s v="outbound"/>
    <d v="2025-04-09T13:20:00"/>
    <s v="shipment"/>
    <s v="PO_1085"/>
    <x v="520"/>
    <s v="ROGEX001G1"/>
    <x v="123"/>
    <s v="extract_inhaled_labelled_Rohan"/>
    <d v="2025-03-24T00:00:00"/>
    <n v="-24"/>
    <n v="0"/>
    <n v="-24"/>
    <m/>
    <x v="0"/>
    <n v="1"/>
  </r>
  <r>
    <s v="outbound"/>
    <d v="2025-04-09T13:34:00"/>
    <s v="shipment"/>
    <s v="PO_1082"/>
    <x v="441"/>
    <s v="TP24120401G45"/>
    <x v="86"/>
    <s v="topical_labelled"/>
    <d v="2024-12-12T00:00:00"/>
    <n v="-12"/>
    <n v="0"/>
    <n v="-540"/>
    <m/>
    <x v="0"/>
    <n v="45"/>
  </r>
  <r>
    <s v="outbound"/>
    <d v="2025-04-09T13:34:00"/>
    <s v="shipment"/>
    <s v="PO_1082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09T13:34:00"/>
    <s v="shipment"/>
    <s v="PO_1087"/>
    <x v="518"/>
    <s v="EX24111301G05"/>
    <x v="47"/>
    <s v="extract_inhaled_labelled"/>
    <d v="2025-04-02T00:00:00"/>
    <n v="-48"/>
    <n v="0"/>
    <n v="-24"/>
    <m/>
    <x v="0"/>
    <n v="0.5"/>
  </r>
  <r>
    <s v="outbound"/>
    <d v="2025-04-09T13:34:00"/>
    <s v="shipment"/>
    <s v="PO_1087"/>
    <x v="520"/>
    <s v="ROGEX001G1"/>
    <x v="123"/>
    <s v="extract_inhaled_labelled_Rohan"/>
    <d v="2025-03-24T00:00:00"/>
    <n v="-24"/>
    <n v="0"/>
    <n v="-24"/>
    <m/>
    <x v="0"/>
    <n v="1"/>
  </r>
  <r>
    <s v="outbound"/>
    <d v="2025-04-09T16:45:00"/>
    <s v="production"/>
    <s v="LABELLING"/>
    <x v="521"/>
    <s v="PR2507F1P2"/>
    <x v="110"/>
    <s v="preroll_labelled"/>
    <d v="2025-04-02T00:00:00"/>
    <n v="-22"/>
    <n v="0"/>
    <n v="-44"/>
    <m/>
    <x v="0"/>
    <n v="2"/>
  </r>
  <r>
    <s v="outbound"/>
    <d v="2025-04-09T17:03:00"/>
    <s v="shipment"/>
    <s v="2025-04-08-INVMVT"/>
    <x v="530"/>
    <s v="DI24001"/>
    <x v="129"/>
    <s v="extract_inhaled_bulk_WT"/>
    <s v="NA"/>
    <n v="-1"/>
    <n v="-12845"/>
    <n v="0"/>
    <m/>
    <x v="1"/>
    <n v="0"/>
  </r>
  <r>
    <s v="outbound"/>
    <d v="2025-04-09T17:03:00"/>
    <s v="shipment"/>
    <s v="2025-04-08-INVMVT"/>
    <x v="531"/>
    <s v="DI24001"/>
    <x v="129"/>
    <s v="extract_inhaled_bulk_WT"/>
    <s v="NA"/>
    <n v="-1"/>
    <n v="-20310"/>
    <n v="0"/>
    <m/>
    <x v="1"/>
    <n v="0"/>
  </r>
  <r>
    <s v="outbound"/>
    <d v="2025-04-10T11:48:00"/>
    <s v="shipment"/>
    <s v="PO_1088"/>
    <x v="520"/>
    <s v="ROGEX001G1"/>
    <x v="123"/>
    <s v="extract_inhaled_labelled_Rohan"/>
    <d v="2025-03-24T00:00:00"/>
    <n v="-24"/>
    <n v="0"/>
    <n v="-24"/>
    <m/>
    <x v="0"/>
    <n v="1"/>
  </r>
  <r>
    <s v="outbound"/>
    <d v="2025-04-10T11:48:00"/>
    <s v="shipment"/>
    <s v="PO_1088"/>
    <x v="518"/>
    <s v="EX24111301G05"/>
    <x v="47"/>
    <s v="extract_inhaled_labelled"/>
    <d v="2025-04-02T00:00:00"/>
    <n v="-24"/>
    <n v="0"/>
    <n v="-12"/>
    <m/>
    <x v="0"/>
    <n v="0.5"/>
  </r>
  <r>
    <s v="outbound"/>
    <d v="2025-04-10T11:48:00"/>
    <s v="shipment"/>
    <s v="PO_1088"/>
    <x v="503"/>
    <s v="PR2301F5P3"/>
    <x v="42"/>
    <s v="preroll_labelled"/>
    <d v="2025-03-26T00:00:00"/>
    <n v="-24"/>
    <n v="0"/>
    <n v="-36"/>
    <m/>
    <x v="0"/>
    <n v="1.5"/>
  </r>
  <r>
    <s v="outbound"/>
    <d v="2025-04-10T11:48:00"/>
    <s v="shipment"/>
    <s v="PO_1088"/>
    <x v="510"/>
    <s v="PR21071201G1"/>
    <x v="11"/>
    <s v="preroll_labelled"/>
    <d v="2025-03-19T00:00:00"/>
    <n v="-36"/>
    <n v="0"/>
    <n v="-36"/>
    <m/>
    <x v="0"/>
    <n v="1"/>
  </r>
  <r>
    <s v="outbound"/>
    <d v="2025-04-10T16:21:00"/>
    <s v="production"/>
    <s v="PR241105F5, POD250416"/>
    <x v="532"/>
    <s v="PR241105F5"/>
    <x v="23"/>
    <s v="preroll_bulk"/>
    <s v="NA"/>
    <n v="-357"/>
    <n v="0"/>
    <n v="-178.5"/>
    <m/>
    <x v="0"/>
    <n v="0.5"/>
  </r>
  <r>
    <s v="outbound"/>
    <d v="2025-04-10T16:21:00"/>
    <s v="production"/>
    <s v="PR241105F5, POD250416"/>
    <x v="533"/>
    <s v="PR241105F5"/>
    <x v="23"/>
    <s v="preroll_bulk"/>
    <s v="NA"/>
    <n v="-242"/>
    <n v="0"/>
    <n v="-121"/>
    <m/>
    <x v="0"/>
    <n v="0.5"/>
  </r>
  <r>
    <s v="outbound"/>
    <d v="2025-04-10T16:21:00"/>
    <s v="production"/>
    <s v="PR241105F5, POD250416"/>
    <x v="299"/>
    <s v="PR241105F5"/>
    <x v="23"/>
    <s v="preroll_bulk"/>
    <s v="NA"/>
    <n v="-48"/>
    <n v="0"/>
    <n v="-24"/>
    <m/>
    <x v="0"/>
    <n v="0.5"/>
  </r>
  <r>
    <s v="outbound"/>
    <d v="2025-04-10T16:21:00"/>
    <s v="production"/>
    <s v="PR241105F5, POD250416"/>
    <x v="265"/>
    <s v="PR241105F5"/>
    <x v="23"/>
    <s v="preroll_bulk"/>
    <s v="NA"/>
    <n v="-55"/>
    <n v="0"/>
    <n v="-27.5"/>
    <m/>
    <x v="0"/>
    <n v="0.5"/>
  </r>
  <r>
    <s v="outbound"/>
    <d v="2025-04-11T13:03:00"/>
    <s v="shipment"/>
    <s v="PO_1080"/>
    <x v="444"/>
    <s v="2024111803G7"/>
    <x v="83"/>
    <s v="driedflower_labelled"/>
    <d v="2025-03-05T00:00:00"/>
    <n v="-12"/>
    <n v="0"/>
    <n v="-84"/>
    <m/>
    <x v="0"/>
    <n v="7"/>
  </r>
  <r>
    <s v="outbound"/>
    <d v="2025-04-11T13:03:00"/>
    <s v="shipment"/>
    <s v="PO_1080"/>
    <x v="534"/>
    <s v="PR2407F5P3"/>
    <x v="31"/>
    <s v="preroll_labelled"/>
    <d v="2025-03-26T00:00:00"/>
    <n v="-12"/>
    <n v="0"/>
    <n v="-18"/>
    <m/>
    <x v="0"/>
    <n v="1.5"/>
  </r>
  <r>
    <s v="outbound"/>
    <d v="2025-04-11T13:03:00"/>
    <s v="shipment"/>
    <s v="PO_1080"/>
    <x v="106"/>
    <s v="EX24061401V30"/>
    <x v="32"/>
    <s v="extract_ingested_labelled"/>
    <d v="2024-06-24T00:00:00"/>
    <n v="-6"/>
    <n v="0"/>
    <n v="-163.80000000000001"/>
    <m/>
    <x v="0"/>
    <n v="27.3"/>
  </r>
  <r>
    <s v="outbound"/>
    <d v="2025-04-11T13:03:00"/>
    <s v="shipment"/>
    <s v="PO_1080"/>
    <x v="382"/>
    <s v="EX24100801V30"/>
    <x v="44"/>
    <s v="extract_ingested_labelled"/>
    <d v="2024-10-25T00:00:00"/>
    <n v="-6"/>
    <n v="0"/>
    <n v="-163.80000000000001"/>
    <m/>
    <x v="0"/>
    <n v="27.3"/>
  </r>
  <r>
    <s v="outbound"/>
    <d v="2025-04-11T13:03:00"/>
    <s v="shipment"/>
    <s v="PO_1080"/>
    <x v="241"/>
    <s v="PR241104F5P3"/>
    <x v="18"/>
    <s v="preroll_labelled"/>
    <d v="2024-10-23T00:00:00"/>
    <n v="-12"/>
    <n v="0"/>
    <n v="-18"/>
    <m/>
    <x v="0"/>
    <n v="1.5"/>
  </r>
  <r>
    <s v="outbound"/>
    <d v="2025-04-11T13:03:00"/>
    <s v="shipment"/>
    <s v="PO_1080"/>
    <x v="445"/>
    <s v="PR241101F5P3"/>
    <x v="19"/>
    <s v="preroll_labelled"/>
    <d v="2025-02-19T00:00:00"/>
    <n v="-12"/>
    <n v="0"/>
    <n v="-18"/>
    <m/>
    <x v="0"/>
    <n v="1.5"/>
  </r>
  <r>
    <s v="outbound"/>
    <d v="2025-04-11T13:03:00"/>
    <s v="shipment"/>
    <s v="PO_1080"/>
    <x v="329"/>
    <s v="PR241105F5P3"/>
    <x v="17"/>
    <s v="preroll_labelled"/>
    <d v="2024-11-19T00:00:00"/>
    <n v="-12"/>
    <n v="0"/>
    <n v="-18"/>
    <m/>
    <x v="0"/>
    <n v="1.5"/>
  </r>
  <r>
    <s v="outbound"/>
    <d v="2025-04-11T13:03:00"/>
    <s v="shipment"/>
    <s v="PO_1080"/>
    <x v="330"/>
    <s v="PR241102F5P3"/>
    <x v="30"/>
    <s v="preroll_labelled"/>
    <d v="2025-01-03T00:00:00"/>
    <n v="-12"/>
    <n v="0"/>
    <n v="-18"/>
    <m/>
    <x v="0"/>
    <n v="1.5"/>
  </r>
  <r>
    <s v="outbound"/>
    <d v="2025-04-11T13:03:00"/>
    <s v="shipment"/>
    <s v="PO_1080"/>
    <x v="419"/>
    <s v="PR21071201G1"/>
    <x v="11"/>
    <s v="preroll_labelled"/>
    <d v="2025-01-28T00:00:00"/>
    <n v="-12"/>
    <n v="0"/>
    <n v="-12"/>
    <m/>
    <x v="0"/>
    <n v="1"/>
  </r>
  <r>
    <s v="outbound"/>
    <d v="2025-04-11T13:03:00"/>
    <s v="shipment"/>
    <s v="PO_1080"/>
    <x v="503"/>
    <s v="PR2301F5P3"/>
    <x v="42"/>
    <s v="preroll_labelled"/>
    <d v="2025-03-26T00:00:00"/>
    <n v="-12"/>
    <n v="0"/>
    <n v="-18"/>
    <m/>
    <x v="0"/>
    <n v="1.5"/>
  </r>
  <r>
    <s v="outbound"/>
    <d v="2025-04-11T13:03:00"/>
    <s v="shipment"/>
    <s v="PO_1080"/>
    <x v="520"/>
    <s v="ROGEX001G1"/>
    <x v="123"/>
    <s v="extract_inhaled_labelled_Rohan"/>
    <d v="2025-03-24T00:00:00"/>
    <n v="-36"/>
    <n v="0"/>
    <n v="-36"/>
    <m/>
    <x v="0"/>
    <n v="1"/>
  </r>
  <r>
    <s v="outbound"/>
    <d v="2025-04-11T14:55:00"/>
    <s v="production"/>
    <s v="packaging"/>
    <x v="489"/>
    <n v="2024121801"/>
    <x v="100"/>
    <s v="driedflower_bulk_big"/>
    <s v="NA"/>
    <n v="-1"/>
    <n v="-4728"/>
    <n v="0"/>
    <m/>
    <x v="1"/>
    <n v="0"/>
  </r>
  <r>
    <s v="outbound"/>
    <d v="2025-04-11T14:55:00"/>
    <s v="production"/>
    <s v="packaging"/>
    <x v="535"/>
    <n v="2024121801"/>
    <x v="100"/>
    <s v="driedflower_bulk_small"/>
    <s v="NA"/>
    <n v="-1"/>
    <n v="-7679"/>
    <n v="0"/>
    <m/>
    <x v="1"/>
    <n v="0"/>
  </r>
  <r>
    <s v="outbound"/>
    <d v="2025-04-11T14:58:00"/>
    <s v="production"/>
    <s v="PR241103F3P3, POD 250414"/>
    <x v="536"/>
    <s v="PR241103F5"/>
    <x v="27"/>
    <s v="preroll_bulk"/>
    <s v="NA"/>
    <n v="-676"/>
    <n v="0"/>
    <n v="-338"/>
    <m/>
    <x v="0"/>
    <n v="0.5"/>
  </r>
  <r>
    <s v="outbound"/>
    <d v="2025-04-11T15:06:00"/>
    <s v="production"/>
    <s v="PR21071201G1, POD 250319"/>
    <x v="374"/>
    <s v="PR21071201G1"/>
    <x v="95"/>
    <s v="preroll_bulk"/>
    <s v="NA"/>
    <n v="-318"/>
    <n v="0"/>
    <n v="-318"/>
    <m/>
    <x v="0"/>
    <n v="1"/>
  </r>
  <r>
    <s v="outbound"/>
    <d v="2025-04-11T15:06:00"/>
    <s v="production"/>
    <s v="PR21071201G1, POD 250319"/>
    <x v="419"/>
    <s v="PR21071201G1"/>
    <x v="11"/>
    <s v="preroll_labelled"/>
    <d v="2025-01-28T00:00:00"/>
    <n v="-15"/>
    <n v="0"/>
    <n v="-15"/>
    <m/>
    <x v="0"/>
    <n v="1"/>
  </r>
  <r>
    <s v="outbound"/>
    <d v="2025-04-11T16:46:00"/>
    <s v="shipment"/>
    <s v="PO_00023156"/>
    <x v="537"/>
    <s v="PR2302INF1"/>
    <x v="130"/>
    <s v="preroll_bulk"/>
    <s v="NA"/>
    <n v="-100"/>
    <n v="0"/>
    <n v="-100"/>
    <m/>
    <x v="0"/>
    <n v="1"/>
  </r>
  <r>
    <s v="outbound"/>
    <d v="2025-04-11T16:46:00"/>
    <s v="shipment"/>
    <s v="PO_00023156"/>
    <x v="67"/>
    <s v="2022012401R1G7"/>
    <x v="39"/>
    <s v="driedflower_labelled"/>
    <d v="2024-08-27T00:00:00"/>
    <n v="-24"/>
    <n v="0"/>
    <n v="-168"/>
    <m/>
    <x v="0"/>
    <n v="7"/>
  </r>
  <r>
    <s v="outbound"/>
    <d v="2025-04-11T16:46:00"/>
    <s v="shipment"/>
    <s v="PO_00023156"/>
    <x v="330"/>
    <s v="PR241102F5P3"/>
    <x v="30"/>
    <s v="preroll_labelled"/>
    <d v="2025-01-03T00:00:00"/>
    <n v="-36"/>
    <n v="0"/>
    <n v="-54"/>
    <m/>
    <x v="0"/>
    <n v="1.5"/>
  </r>
  <r>
    <s v="outbound"/>
    <d v="2025-04-11T16:46:00"/>
    <s v="shipment"/>
    <s v="PO_00023156"/>
    <x v="445"/>
    <s v="PR241101F5P3"/>
    <x v="19"/>
    <s v="preroll_labelled"/>
    <d v="2025-02-19T00:00:00"/>
    <n v="-36"/>
    <n v="0"/>
    <n v="-54"/>
    <m/>
    <x v="0"/>
    <n v="1.5"/>
  </r>
  <r>
    <s v="outbound"/>
    <d v="2025-04-11T16:46:00"/>
    <s v="shipment"/>
    <s v="PO_00023156"/>
    <x v="444"/>
    <s v="2024111803G7"/>
    <x v="83"/>
    <s v="driedflower_labelled"/>
    <d v="2025-03-05T00:00:00"/>
    <n v="-12"/>
    <n v="0"/>
    <n v="-84"/>
    <m/>
    <x v="0"/>
    <n v="7"/>
  </r>
  <r>
    <s v="inbound"/>
    <d v="2025-04-14T00:00:00"/>
    <s v="storage"/>
    <m/>
    <x v="528"/>
    <s v="PR251108F5P12"/>
    <x v="127"/>
    <s v="preroll_labelled"/>
    <d v="2025-04-08T00:00:00"/>
    <n v="143"/>
    <n v="0"/>
    <n v="858"/>
    <m/>
    <x v="0"/>
    <n v="6"/>
  </r>
  <r>
    <s v="outbound"/>
    <d v="2025-04-14T00:01:00"/>
    <s v="shipment"/>
    <s v="PO_1094"/>
    <x v="528"/>
    <s v="PR251108F5P12"/>
    <x v="127"/>
    <s v="preroll_labelled"/>
    <d v="2025-04-08T00:00:00"/>
    <n v="-12"/>
    <n v="0"/>
    <n v="-72"/>
    <m/>
    <x v="0"/>
    <n v="6"/>
  </r>
  <r>
    <s v="outbound"/>
    <d v="2025-04-14T09:30:00"/>
    <s v="production"/>
    <s v="milling"/>
    <x v="538"/>
    <n v="2024121801"/>
    <x v="100"/>
    <s v="driedflower_bulk_small"/>
    <s v="NA"/>
    <n v="-1"/>
    <n v="-10610"/>
    <n v="0"/>
    <m/>
    <x v="1"/>
    <n v="0"/>
  </r>
  <r>
    <s v="outbound"/>
    <d v="2025-04-14T10:34:00"/>
    <s v="production"/>
    <m/>
    <x v="454"/>
    <n v="2025021901"/>
    <x v="34"/>
    <s v="extract_distillate_bulk"/>
    <s v="NA"/>
    <n v="-1"/>
    <n v="-1200.9000000000001"/>
    <n v="0"/>
    <m/>
    <x v="1"/>
    <n v="0"/>
  </r>
  <r>
    <s v="inbound"/>
    <d v="2025-04-14T10:34:00"/>
    <s v="storage"/>
    <m/>
    <x v="521"/>
    <s v="PR2507F1P2"/>
    <x v="110"/>
    <s v="preroll_labelled"/>
    <d v="2025-04-02T00:00:00"/>
    <n v="70"/>
    <n v="0"/>
    <n v="140"/>
    <m/>
    <x v="0"/>
    <n v="2"/>
  </r>
  <r>
    <s v="outbound"/>
    <d v="2025-04-14T10:34:00"/>
    <s v="shipment"/>
    <s v="PO_1091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14T10:34:00"/>
    <s v="shipment"/>
    <s v="PO_1091"/>
    <x v="529"/>
    <s v="PR2501INF5P3"/>
    <x v="128"/>
    <s v="preroll_labelled"/>
    <d v="2025-04-09T00:00:00"/>
    <n v="-12"/>
    <n v="0"/>
    <n v="-18"/>
    <m/>
    <x v="0"/>
    <n v="1.5"/>
  </r>
  <r>
    <s v="outbound"/>
    <d v="2025-04-14T10:34:00"/>
    <s v="shipment"/>
    <s v="PO_1091"/>
    <x v="521"/>
    <s v="PR2507F1P2"/>
    <x v="110"/>
    <s v="preroll_labelled"/>
    <d v="2025-04-02T00:00:00"/>
    <n v="-36"/>
    <n v="0"/>
    <n v="-72"/>
    <m/>
    <x v="0"/>
    <n v="2"/>
  </r>
  <r>
    <s v="outbound"/>
    <d v="2025-04-14T10:34:00"/>
    <s v="shipment"/>
    <s v="PO_1092"/>
    <x v="438"/>
    <s v="EX25020601G1"/>
    <x v="107"/>
    <s v="extract_inhaled_labelled"/>
    <d v="2025-02-19T00:00:00"/>
    <n v="-12"/>
    <n v="0"/>
    <n v="-12"/>
    <m/>
    <x v="0"/>
    <n v="1"/>
  </r>
  <r>
    <s v="outbound"/>
    <d v="2025-04-14T10:34:00"/>
    <s v="shipment"/>
    <s v="PO_1092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14T10:34:00"/>
    <s v="shipment"/>
    <s v="PO_1092"/>
    <x v="441"/>
    <s v="TP24120401G45"/>
    <x v="86"/>
    <s v="topical_labelled"/>
    <d v="2024-12-12T00:00:00"/>
    <n v="-12"/>
    <n v="0"/>
    <n v="-540"/>
    <m/>
    <x v="0"/>
    <n v="45"/>
  </r>
  <r>
    <s v="outbound"/>
    <d v="2025-04-14T10:34:00"/>
    <s v="shipment"/>
    <s v="PO_1093"/>
    <x v="437"/>
    <s v="EX25012101V50"/>
    <x v="33"/>
    <s v="extract_ingested_cased_BC"/>
    <d v="2025-02-12T00:00:00"/>
    <n v="-2"/>
    <n v="0"/>
    <n v="-1200"/>
    <m/>
    <x v="0"/>
    <n v="600"/>
  </r>
  <r>
    <s v="outbound"/>
    <d v="2025-04-14T10:34:00"/>
    <s v="shipment"/>
    <s v="PO_1093"/>
    <x v="520"/>
    <s v="ROGEX001G1"/>
    <x v="123"/>
    <s v="extract_inhaled_labelled_Rohan"/>
    <d v="2025-03-24T00:00:00"/>
    <n v="-24"/>
    <n v="0"/>
    <n v="-24"/>
    <m/>
    <x v="0"/>
    <n v="1"/>
  </r>
  <r>
    <s v="outbound"/>
    <d v="2025-04-14T10:34:00"/>
    <s v="shipment"/>
    <s v="PO_1094"/>
    <x v="334"/>
    <s v="PR241104F5P3"/>
    <x v="18"/>
    <s v="preroll_labelled"/>
    <d v="2024-12-04T00:00:00"/>
    <n v="-12"/>
    <n v="0"/>
    <n v="-18"/>
    <m/>
    <x v="0"/>
    <n v="1.5"/>
  </r>
  <r>
    <s v="outbound"/>
    <d v="2025-04-14T10:34:00"/>
    <s v="shipment"/>
    <s v="PO_1094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14T10:34:00"/>
    <s v="shipment"/>
    <s v="PO_1094"/>
    <x v="529"/>
    <s v="PR2501INF5P3"/>
    <x v="128"/>
    <s v="preroll_labelled"/>
    <d v="2025-04-09T00:00:00"/>
    <n v="-24"/>
    <n v="0"/>
    <n v="-36"/>
    <m/>
    <x v="0"/>
    <n v="1.5"/>
  </r>
  <r>
    <s v="outbound"/>
    <d v="2025-04-15T09:16:00"/>
    <s v="production"/>
    <m/>
    <x v="324"/>
    <s v="EX24111301"/>
    <x v="51"/>
    <s v="extract_inhaled_bulk"/>
    <s v="NA"/>
    <n v="-1"/>
    <n v="-665.7"/>
    <n v="0"/>
    <m/>
    <x v="1"/>
    <n v="0"/>
  </r>
  <r>
    <s v="outbound"/>
    <d v="2025-04-15T09:34:00"/>
    <s v="production"/>
    <s v="PR2302INF1P1"/>
    <x v="537"/>
    <s v="PR2302INF1"/>
    <x v="130"/>
    <s v="preroll_bulk"/>
    <s v="NA"/>
    <n v="-100"/>
    <n v="0"/>
    <n v="-100"/>
    <m/>
    <x v="0"/>
    <n v="1"/>
  </r>
  <r>
    <s v="outbound"/>
    <d v="2025-04-15T10:45:00"/>
    <s v="production"/>
    <s v="PR2502F5P5"/>
    <x v="372"/>
    <s v="PR2502"/>
    <x v="93"/>
    <s v="driedflower_milled_bulk_BURB"/>
    <s v="NA"/>
    <n v="-1"/>
    <n v="-3420"/>
    <n v="0"/>
    <m/>
    <x v="1"/>
    <n v="0"/>
  </r>
  <r>
    <s v="outbound"/>
    <d v="2025-04-15T11:49:00"/>
    <s v="shipment"/>
    <s v="PO_1095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15T11:49:00"/>
    <s v="shipment"/>
    <s v="PO_1095"/>
    <x v="437"/>
    <s v="EX25012101V50"/>
    <x v="33"/>
    <s v="extract_ingested_cased_BC"/>
    <d v="2025-02-12T00:00:00"/>
    <n v="-2"/>
    <n v="0"/>
    <n v="-1200"/>
    <m/>
    <x v="0"/>
    <n v="600"/>
  </r>
  <r>
    <s v="outbound"/>
    <d v="2025-04-15T11:49:00"/>
    <s v="shipment"/>
    <s v="PO_1095"/>
    <x v="529"/>
    <s v="PR2501INF5P3"/>
    <x v="128"/>
    <s v="preroll_labelled"/>
    <d v="2025-04-09T00:00:00"/>
    <n v="-12"/>
    <n v="0"/>
    <n v="-18"/>
    <m/>
    <x v="0"/>
    <n v="1.5"/>
  </r>
  <r>
    <s v="outbound"/>
    <d v="2025-04-15T11:49:00"/>
    <s v="shipment"/>
    <s v="PO_1095"/>
    <x v="528"/>
    <s v="PR251108F5P12"/>
    <x v="127"/>
    <s v="preroll_labelled"/>
    <d v="2025-04-08T00:00:00"/>
    <n v="-12"/>
    <n v="0"/>
    <n v="-72"/>
    <m/>
    <x v="0"/>
    <n v="6"/>
  </r>
  <r>
    <s v="outbound"/>
    <d v="2025-04-15T11:49:00"/>
    <s v="shipment"/>
    <s v="PO_1095"/>
    <x v="503"/>
    <s v="PR2301F5P3"/>
    <x v="42"/>
    <s v="preroll_labelled"/>
    <d v="2025-03-26T00:00:00"/>
    <n v="-12"/>
    <n v="0"/>
    <n v="-18"/>
    <m/>
    <x v="0"/>
    <n v="1.5"/>
  </r>
  <r>
    <s v="outbound"/>
    <d v="2025-04-15T14:12:00"/>
    <s v="shipment"/>
    <s v="PO_483395"/>
    <x v="539"/>
    <s v="EX24022302V30"/>
    <x v="72"/>
    <s v="extract_ingested_cased_MB"/>
    <d v="2024-10-23T00:00:00"/>
    <n v="-1"/>
    <n v="0"/>
    <n v="-331.20000000000005"/>
    <m/>
    <x v="0"/>
    <n v="331.20000000000005"/>
  </r>
  <r>
    <s v="outbound"/>
    <d v="2025-04-16T09:59:00"/>
    <s v="shipment"/>
    <s v="PO_74167"/>
    <x v="540"/>
    <s v="PR241104F5P3"/>
    <x v="18"/>
    <s v="preroll_cased_ON"/>
    <d v="2024-10-23T00:00:00"/>
    <n v="-22"/>
    <n v="0"/>
    <n v="-396"/>
    <m/>
    <x v="0"/>
    <n v="18"/>
  </r>
  <r>
    <s v="outbound"/>
    <d v="2025-04-16T09:59:00"/>
    <s v="shipment"/>
    <s v="PO_74167"/>
    <x v="241"/>
    <s v="PR241104F5P3"/>
    <x v="18"/>
    <s v="preroll_labelled"/>
    <d v="2024-10-23T00:00:00"/>
    <n v="-80"/>
    <n v="0"/>
    <n v="-120"/>
    <m/>
    <x v="0"/>
    <n v="1.5"/>
  </r>
  <r>
    <s v="outbound"/>
    <d v="2025-04-16T09:59:00"/>
    <s v="shipment"/>
    <s v="PO_74167"/>
    <x v="358"/>
    <s v="PR2401F5P2"/>
    <x v="54"/>
    <s v="preroll_labelled"/>
    <d v="2025-01-13T00:00:00"/>
    <n v="-455"/>
    <n v="0"/>
    <n v="-455"/>
    <m/>
    <x v="0"/>
    <n v="1"/>
  </r>
  <r>
    <s v="outbound"/>
    <d v="2025-04-16T09:59:00"/>
    <s v="shipment"/>
    <s v="PO_74167"/>
    <x v="541"/>
    <s v="EX24101802V30"/>
    <x v="71"/>
    <s v="extract_ingested_cased_MB"/>
    <d v="2024-10-23T00:00:00"/>
    <n v="-9"/>
    <n v="0"/>
    <n v="-2980.8"/>
    <m/>
    <x v="0"/>
    <n v="331.20000000000005"/>
  </r>
  <r>
    <s v="outbound"/>
    <d v="2025-04-16T11:44:00"/>
    <s v="shipment"/>
    <s v="PO_0083524"/>
    <x v="429"/>
    <s v="EX25012101V50"/>
    <x v="33"/>
    <s v="extract_ingested_packaged"/>
    <d v="2025-02-12T00:00:00"/>
    <n v="-68"/>
    <n v="0"/>
    <n v="-3400"/>
    <m/>
    <x v="0"/>
    <n v="50"/>
  </r>
  <r>
    <s v="outbound"/>
    <d v="2025-04-16T11:44:00"/>
    <s v="shipment"/>
    <s v="PO_0083524"/>
    <x v="542"/>
    <s v="EX25012101V50"/>
    <x v="33"/>
    <s v="extract_ingested_labelled"/>
    <d v="2025-02-12T00:00:00"/>
    <n v="-264"/>
    <n v="0"/>
    <n v="-13200"/>
    <m/>
    <x v="0"/>
    <n v="50"/>
  </r>
  <r>
    <s v="outbound"/>
    <d v="2025-04-16T16:08:00"/>
    <s v="shipment"/>
    <m/>
    <x v="539"/>
    <s v="EX24022302V30"/>
    <x v="72"/>
    <s v="extract_ingested_cased_MB"/>
    <d v="2024-10-23T00:00:00"/>
    <n v="-1"/>
    <n v="0"/>
    <n v="-331.20000000000005"/>
    <m/>
    <x v="0"/>
    <n v="331.20000000000005"/>
  </r>
  <r>
    <s v="outbound"/>
    <d v="2025-04-16T16:43:00"/>
    <s v="shipment"/>
    <s v="PO_1096"/>
    <x v="320"/>
    <s v="EX24101703G05"/>
    <x v="45"/>
    <s v="extract_inhaled_labelled"/>
    <d v="2024-11-07T00:00:00"/>
    <n v="-24"/>
    <n v="0"/>
    <n v="-12"/>
    <m/>
    <x v="0"/>
    <n v="0.5"/>
  </r>
  <r>
    <s v="outbound"/>
    <d v="2025-04-16T16:43:00"/>
    <s v="shipment"/>
    <s v="PO_1096"/>
    <x v="438"/>
    <s v="EX25020601G1"/>
    <x v="107"/>
    <s v="extract_inhaled_labelled"/>
    <d v="2025-02-19T00:00:00"/>
    <n v="-24"/>
    <n v="0"/>
    <n v="-24"/>
    <m/>
    <x v="0"/>
    <n v="1"/>
  </r>
  <r>
    <s v="outbound"/>
    <d v="2025-04-16T16:43:00"/>
    <s v="shipment"/>
    <s v="PO_1096"/>
    <x v="237"/>
    <s v="PR241105F5P3"/>
    <x v="17"/>
    <s v="preroll_labelled"/>
    <d v="2024-10-16T00:00:00"/>
    <n v="-1"/>
    <n v="0"/>
    <n v="-1.5"/>
    <m/>
    <x v="0"/>
    <n v="1.5"/>
  </r>
  <r>
    <s v="outbound"/>
    <d v="2025-04-16T16:43:00"/>
    <s v="shipment"/>
    <s v="PO_1096"/>
    <x v="445"/>
    <s v="PR241101F5P3"/>
    <x v="19"/>
    <s v="preroll_labelled"/>
    <d v="2025-02-19T00:00:00"/>
    <n v="-17"/>
    <n v="0"/>
    <n v="-25.5"/>
    <m/>
    <x v="0"/>
    <n v="1.5"/>
  </r>
  <r>
    <s v="outbound"/>
    <d v="2025-04-17T11:06:00"/>
    <s v="production"/>
    <s v="PR2511"/>
    <x v="415"/>
    <s v="2022012401R1"/>
    <x v="16"/>
    <s v="driedflower_bulk"/>
    <d v="2022-05-05T00:00:00"/>
    <n v="-1"/>
    <n v="-1252"/>
    <n v="0"/>
    <m/>
    <x v="1"/>
    <n v="0"/>
  </r>
  <r>
    <s v="outbound"/>
    <d v="2025-04-17T11:06:00"/>
    <s v="production"/>
    <s v="PR2511"/>
    <x v="352"/>
    <s v="2022012401R1"/>
    <x v="16"/>
    <s v="driedflower_bulk"/>
    <d v="2022-05-05T00:00:00"/>
    <n v="-1"/>
    <n v="-320"/>
    <n v="0"/>
    <m/>
    <x v="1"/>
    <n v="0"/>
  </r>
  <r>
    <s v="outbound"/>
    <d v="2025-04-17T11:06:00"/>
    <s v="production"/>
    <s v="PR2511"/>
    <x v="416"/>
    <s v="2022012401R1"/>
    <x v="16"/>
    <s v="driedflower_bulk"/>
    <d v="2022-05-05T00:00:00"/>
    <n v="-1"/>
    <n v="-1025.7"/>
    <n v="0"/>
    <m/>
    <x v="1"/>
    <n v="0"/>
  </r>
  <r>
    <s v="outbound"/>
    <d v="2025-04-17T11:06:00"/>
    <s v="production"/>
    <s v="PR2511"/>
    <x v="328"/>
    <s v="PR2301"/>
    <x v="85"/>
    <s v="driedflower_milled_bulk"/>
    <d v="2021-01-10T00:00:00"/>
    <n v="-1"/>
    <n v="-4060"/>
    <n v="0"/>
    <m/>
    <x v="1"/>
    <n v="0"/>
  </r>
  <r>
    <s v="outbound"/>
    <d v="2025-04-17T11:10:00"/>
    <s v="shipment"/>
    <s v="PO_10013"/>
    <x v="437"/>
    <s v="EX25012101V50"/>
    <x v="33"/>
    <s v="extract_ingested_cased_BC"/>
    <d v="2025-02-12T00:00:00"/>
    <n v="-1"/>
    <n v="0"/>
    <n v="-600"/>
    <m/>
    <x v="0"/>
    <n v="600"/>
  </r>
  <r>
    <s v="outbound"/>
    <d v="2025-04-17T11:10:00"/>
    <s v="shipment"/>
    <s v="PO_10013"/>
    <x v="453"/>
    <s v="EX24092601V50"/>
    <x v="41"/>
    <s v="extract_ingested_cased_BC"/>
    <d v="2024-10-11T00:00:00"/>
    <n v="-1"/>
    <n v="0"/>
    <n v="-600"/>
    <m/>
    <x v="0"/>
    <n v="600"/>
  </r>
  <r>
    <s v="outbound"/>
    <d v="2025-04-17T11:10:00"/>
    <s v="shipment"/>
    <s v="PO_1097"/>
    <x v="521"/>
    <s v="PR2507F1P2"/>
    <x v="110"/>
    <s v="preroll_labelled"/>
    <d v="2025-04-02T00:00:00"/>
    <n v="-12"/>
    <n v="0"/>
    <n v="-24"/>
    <m/>
    <x v="0"/>
    <n v="2"/>
  </r>
  <r>
    <s v="outbound"/>
    <d v="2025-04-17T11:10:00"/>
    <s v="shipment"/>
    <s v="PO_1097"/>
    <x v="520"/>
    <s v="ROGEX001G1"/>
    <x v="123"/>
    <s v="extract_inhaled_labelled_Rohan"/>
    <d v="2025-03-24T00:00:00"/>
    <n v="-12"/>
    <n v="0"/>
    <n v="-12"/>
    <m/>
    <x v="0"/>
    <n v="1"/>
  </r>
  <r>
    <s v="outbound"/>
    <d v="2025-04-17T11:27:00"/>
    <s v="production"/>
    <m/>
    <x v="370"/>
    <n v="2024120501"/>
    <x v="91"/>
    <s v="driedflower_bulk_BURB"/>
    <s v="NA"/>
    <n v="-1"/>
    <n v="-210"/>
    <n v="0"/>
    <m/>
    <x v="1"/>
    <n v="0"/>
  </r>
  <r>
    <s v="outbound"/>
    <d v="2025-04-17T12:27:00"/>
    <s v="shipment"/>
    <s v="PO_484344"/>
    <x v="334"/>
    <s v="PR241104F5P3"/>
    <x v="18"/>
    <s v="preroll_labelled"/>
    <d v="2024-12-04T00:00:00"/>
    <n v="-12"/>
    <n v="0"/>
    <n v="-18"/>
    <m/>
    <x v="0"/>
    <n v="1.5"/>
  </r>
  <r>
    <s v="inbound"/>
    <d v="2025-04-17T15:28:00"/>
    <s v="storage"/>
    <m/>
    <x v="511"/>
    <s v="PR2514"/>
    <x v="96"/>
    <s v="driedflower_milled_bulk_BURB"/>
    <s v="NA"/>
    <n v="1"/>
    <n v="2888"/>
    <n v="0"/>
    <m/>
    <x v="1"/>
    <n v="0"/>
  </r>
  <r>
    <s v="inbound"/>
    <d v="2025-04-17T15:52:00"/>
    <s v="storage"/>
    <m/>
    <x v="454"/>
    <n v="2025021901"/>
    <x v="34"/>
    <s v="extract_distillate_bulk"/>
    <s v="NA"/>
    <n v="1"/>
    <n v="900.3"/>
    <n v="0"/>
    <m/>
    <x v="1"/>
    <n v="0"/>
  </r>
  <r>
    <s v="inbound"/>
    <d v="2025-04-17T15:52:00"/>
    <s v="storage"/>
    <m/>
    <x v="245"/>
    <n v="2024100401"/>
    <x v="26"/>
    <s v="extract_distillate_bulk"/>
    <d v="2024-10-30T00:00:00"/>
    <n v="1"/>
    <n v="1020"/>
    <n v="0"/>
    <m/>
    <x v="1"/>
    <n v="0"/>
  </r>
  <r>
    <s v="inbound"/>
    <d v="2025-04-17T15:52:00"/>
    <s v="storage"/>
    <m/>
    <x v="389"/>
    <n v="2025012801"/>
    <x v="26"/>
    <s v="extract_distillate_bulk"/>
    <s v="NA"/>
    <n v="1"/>
    <n v="1993"/>
    <n v="0"/>
    <m/>
    <x v="1"/>
    <n v="0"/>
  </r>
  <r>
    <s v="inbound"/>
    <d v="2025-04-17T15:52:00"/>
    <s v="storage"/>
    <m/>
    <x v="519"/>
    <s v="PR2512"/>
    <x v="122"/>
    <s v="diredflower_milled_bulk_Rohan"/>
    <s v="NA"/>
    <n v="1"/>
    <n v="3680"/>
    <n v="0"/>
    <m/>
    <x v="1"/>
    <n v="0"/>
  </r>
  <r>
    <s v="inbound"/>
    <d v="2025-04-17T15:52:00"/>
    <s v="storage"/>
    <m/>
    <x v="527"/>
    <s v="PR2513"/>
    <x v="126"/>
    <s v="driedflower_milled_bulk_JEN"/>
    <s v="NA"/>
    <n v="1"/>
    <n v="1832"/>
    <n v="0"/>
    <m/>
    <x v="1"/>
    <n v="0"/>
  </r>
  <r>
    <s v="inbound"/>
    <d v="2025-04-17T15:52:00"/>
    <s v="storage"/>
    <m/>
    <x v="542"/>
    <s v="EX25012101V50"/>
    <x v="33"/>
    <s v="extract_ingested_labelled"/>
    <d v="2025-02-12T00:00:00"/>
    <n v="278"/>
    <n v="0"/>
    <n v="13900"/>
    <m/>
    <x v="0"/>
    <n v="50"/>
  </r>
  <r>
    <s v="inbound"/>
    <d v="2025-04-17T15:52:00"/>
    <s v="storage"/>
    <m/>
    <x v="429"/>
    <s v="EX25012101V50"/>
    <x v="33"/>
    <s v="extract_ingested_packaged"/>
    <d v="2025-02-12T00:00:00"/>
    <n v="44"/>
    <n v="0"/>
    <n v="2200"/>
    <m/>
    <x v="0"/>
    <n v="50"/>
  </r>
  <r>
    <s v="inbound"/>
    <d v="2025-04-17T16:23:00"/>
    <s v="storage"/>
    <m/>
    <x v="241"/>
    <s v="PR241104F5P3"/>
    <x v="18"/>
    <s v="preroll_labelled"/>
    <d v="2024-10-23T00:00:00"/>
    <n v="44"/>
    <n v="0"/>
    <n v="66"/>
    <m/>
    <x v="0"/>
    <n v="1.5"/>
  </r>
  <r>
    <s v="inbound"/>
    <d v="2025-04-17T16:27:00"/>
    <s v="storage"/>
    <m/>
    <x v="358"/>
    <s v="PR2401F5P2"/>
    <x v="54"/>
    <s v="preroll_labelled"/>
    <d v="2025-01-13T00:00:00"/>
    <n v="275"/>
    <n v="0"/>
    <n v="275"/>
    <m/>
    <x v="0"/>
    <n v="1"/>
  </r>
  <r>
    <s v="outbound"/>
    <d v="2025-04-21T00:00:00"/>
    <s v="shipment"/>
    <s v="PO_PrairieDDwt20250416"/>
    <x v="543"/>
    <s v="CW20210507-01A"/>
    <x v="131"/>
    <s v="extract_inhaled_labelled_WT"/>
    <d v="2021-11-10T00:00:00"/>
    <n v="-30"/>
    <n v="0"/>
    <n v="-30"/>
    <m/>
    <x v="0"/>
    <n v="1"/>
  </r>
  <r>
    <s v="outbound"/>
    <d v="2025-04-21T00:00:00"/>
    <s v="shipment"/>
    <s v="PO_PrairieDDwt20250416"/>
    <x v="544"/>
    <s v="CW22011701"/>
    <x v="132"/>
    <s v="extract_inhaled_labelled_WT"/>
    <d v="2022-11-14T00:00:00"/>
    <n v="-30"/>
    <n v="0"/>
    <n v="-30"/>
    <m/>
    <x v="0"/>
    <n v="1"/>
  </r>
  <r>
    <s v="outbound"/>
    <d v="2025-04-21T00:00:00"/>
    <s v="shipment"/>
    <s v="PO_PrairieDDwt20250416"/>
    <x v="545"/>
    <s v="CW2103051"/>
    <x v="133"/>
    <s v="extract_inhaled_labelled_WT"/>
    <d v="2022-02-09T00:00:00"/>
    <n v="-30"/>
    <n v="0"/>
    <n v="-30"/>
    <m/>
    <x v="0"/>
    <n v="1"/>
  </r>
  <r>
    <s v="outbound"/>
    <d v="2025-04-21T00:00:00"/>
    <s v="shipment"/>
    <s v="PO_PrairieDDwt20250416"/>
    <x v="546"/>
    <s v="RP24001"/>
    <x v="134"/>
    <s v="extract_inhaled_labelled_WT"/>
    <d v="2024-09-08T00:00:00"/>
    <n v="-30"/>
    <n v="0"/>
    <n v="-30"/>
    <m/>
    <x v="0"/>
    <n v="1"/>
  </r>
  <r>
    <s v="outbound"/>
    <d v="2025-04-21T00:00:00"/>
    <s v="shipment"/>
    <s v="PO_PrairieDDwt20250416"/>
    <x v="547"/>
    <s v="FP23006"/>
    <x v="135"/>
    <s v="extract_inhaled_labelled_WT"/>
    <d v="2025-02-01T00:00:00"/>
    <n v="-18"/>
    <n v="0"/>
    <n v="-18"/>
    <m/>
    <x v="0"/>
    <n v="1"/>
  </r>
  <r>
    <s v="outbound"/>
    <d v="2025-04-21T00:00:00"/>
    <s v="shipment"/>
    <s v="PO_PrairieDDwt20250416"/>
    <x v="548"/>
    <s v="EX24092701V30"/>
    <x v="136"/>
    <s v="extract_ingested_packaged_WT"/>
    <d v="2024-12-07T00:00:00"/>
    <n v="-233"/>
    <n v="0"/>
    <n v="-6430.8"/>
    <m/>
    <x v="0"/>
    <n v="27.6"/>
  </r>
  <r>
    <s v="outbound"/>
    <d v="2025-04-21T00:00:00"/>
    <s v="shipment"/>
    <s v="PO_PrairieDDwt20250416"/>
    <x v="549"/>
    <s v="EX24092701V30"/>
    <x v="136"/>
    <s v="extract_ingested_packaged_WT"/>
    <d v="2024-12-07T00:00:00"/>
    <n v="-230"/>
    <n v="0"/>
    <n v="-6348"/>
    <m/>
    <x v="0"/>
    <n v="27.6"/>
  </r>
  <r>
    <s v="outbound"/>
    <d v="2025-04-21T00:00:00"/>
    <s v="shipment"/>
    <s v="PO_PrairieDDwt20250416"/>
    <x v="550"/>
    <s v="EX24092701V30"/>
    <x v="136"/>
    <s v="extract_ingested_packaged_WT"/>
    <s v="NA"/>
    <n v="-71"/>
    <n v="0"/>
    <n v="-1959.6000000000001"/>
    <m/>
    <x v="0"/>
    <n v="27.6"/>
  </r>
  <r>
    <s v="outbound"/>
    <d v="2025-04-21T00:00:00"/>
    <s v="shipment"/>
    <s v="PO_PrairieDDwt20250416"/>
    <x v="551"/>
    <s v="EX24092701V30"/>
    <x v="136"/>
    <s v="extract_ingested_packaged_WT"/>
    <d v="2024-12-07T00:00:00"/>
    <n v="-37"/>
    <n v="0"/>
    <n v="-1021.2"/>
    <m/>
    <x v="0"/>
    <n v="27.6"/>
  </r>
  <r>
    <s v="outbound"/>
    <d v="2025-05-01T10:07:00"/>
    <s v="production"/>
    <m/>
    <x v="452"/>
    <s v="PR2301"/>
    <x v="85"/>
    <s v="driedflower_milled_bulk"/>
    <d v="2024-04-02T00:00:00"/>
    <n v="-1"/>
    <n v="-4576"/>
    <n v="0"/>
    <m/>
    <x v="1"/>
    <n v="0"/>
  </r>
  <r>
    <s v="outbound"/>
    <d v="2025-05-01T11:37:00"/>
    <s v="shipment"/>
    <s v="PO_489905"/>
    <x v="241"/>
    <s v="PR241104F5P3"/>
    <x v="18"/>
    <s v="preroll_labelled"/>
    <d v="2024-10-23T00:00:00"/>
    <n v="-24"/>
    <n v="0"/>
    <n v="-36"/>
    <m/>
    <x v="0"/>
    <n v="1.5"/>
  </r>
  <r>
    <s v="outbound"/>
    <d v="2025-05-01T13:03:00"/>
    <s v="shipment"/>
    <m/>
    <x v="519"/>
    <s v="PR2512"/>
    <x v="122"/>
    <s v="diredflower_milled_bulk_Rohan"/>
    <s v="NA"/>
    <n v="-1"/>
    <n v="-3680"/>
    <n v="0"/>
    <m/>
    <x v="1"/>
    <n v="0"/>
  </r>
  <r>
    <s v="outbound"/>
    <d v="2025-05-01T13:03:00"/>
    <s v="sampling"/>
    <s v="Rohan250501"/>
    <x v="344"/>
    <s v="TP24101701"/>
    <x v="2"/>
    <s v="topical_labelled"/>
    <d v="2024-10-23T00:00:00"/>
    <n v="-1"/>
    <n v="0"/>
    <n v="-88"/>
    <m/>
    <x v="0"/>
    <n v="88"/>
  </r>
  <r>
    <s v="outbound"/>
    <d v="2025-05-01T14:59:00"/>
    <s v="shipment"/>
    <s v="PO_1106"/>
    <x v="444"/>
    <s v="2024111803G7"/>
    <x v="83"/>
    <s v="driedflower_labelled"/>
    <d v="2025-03-05T00:00:00"/>
    <n v="-36"/>
    <n v="0"/>
    <n v="-252"/>
    <m/>
    <x v="0"/>
    <n v="7"/>
  </r>
  <r>
    <s v="outbound"/>
    <d v="2025-05-01T14:59:00"/>
    <s v="shipment"/>
    <s v="PO_1105"/>
    <x v="520"/>
    <s v="ROGEX001G1"/>
    <x v="123"/>
    <s v="extract_inhaled_labelled_Rohan"/>
    <d v="2025-03-24T00:00:00"/>
    <n v="-12"/>
    <n v="0"/>
    <n v="-12"/>
    <m/>
    <x v="0"/>
    <n v="1"/>
  </r>
  <r>
    <s v="outbound"/>
    <d v="2025-05-01T14:59:00"/>
    <s v="shipment"/>
    <s v="PO_1105"/>
    <x v="552"/>
    <s v="PR2501F5P10"/>
    <x v="88"/>
    <s v="preroll_labelled"/>
    <d v="2025-04-08T00:00:00"/>
    <n v="-12"/>
    <n v="0"/>
    <n v="-60"/>
    <m/>
    <x v="0"/>
    <n v="5"/>
  </r>
  <r>
    <s v="outbound"/>
    <d v="2025-05-01T14:59:00"/>
    <s v="shipment"/>
    <s v="PO_1105"/>
    <x v="444"/>
    <s v="2024111803G7"/>
    <x v="83"/>
    <s v="driedflower_labelled"/>
    <d v="2025-03-05T00:00:00"/>
    <n v="-12"/>
    <n v="0"/>
    <n v="-84"/>
    <m/>
    <x v="0"/>
    <n v="7"/>
  </r>
  <r>
    <s v="outbound"/>
    <d v="2025-05-02T09:57:00"/>
    <s v="shipment"/>
    <s v="PO_486521"/>
    <x v="509"/>
    <s v="TP25021901"/>
    <x v="2"/>
    <s v="topical_labelled"/>
    <d v="2025-02-26T00:00:00"/>
    <n v="-12"/>
    <n v="0"/>
    <n v="-1056"/>
    <m/>
    <x v="0"/>
    <n v="88"/>
  </r>
  <r>
    <s v="outbound"/>
    <d v="2025-05-02T11:22:00"/>
    <s v="shipment"/>
    <s v="PO_486521"/>
    <x v="534"/>
    <s v="PR2407F5P3"/>
    <x v="31"/>
    <s v="preroll_labelled"/>
    <d v="2025-03-26T00:00:00"/>
    <n v="-12"/>
    <n v="0"/>
    <n v="-18"/>
    <m/>
    <x v="0"/>
    <n v="1.5"/>
  </r>
  <r>
    <s v="outbound"/>
    <d v="2025-05-02T11:40:00"/>
    <s v="production"/>
    <s v="gelato 3x0.5g"/>
    <x v="261"/>
    <s v="PR21071201G5"/>
    <x v="42"/>
    <s v="preroll_labelled"/>
    <d v="2023-05-05T00:00:00"/>
    <n v="-22"/>
    <n v="0"/>
    <n v="-22"/>
    <m/>
    <x v="0"/>
    <n v="1"/>
  </r>
  <r>
    <s v="outbound"/>
    <d v="2025-05-02T11:40:00"/>
    <s v="production"/>
    <s v="gelato 3x0.5g"/>
    <x v="553"/>
    <n v="2021042701"/>
    <x v="42"/>
    <s v="preroll_labelled"/>
    <d v="2021-04-28T00:00:00"/>
    <n v="-34"/>
    <n v="0"/>
    <n v="-34"/>
    <m/>
    <x v="0"/>
    <n v="1"/>
  </r>
  <r>
    <s v="outbound"/>
    <d v="2025-05-02T11:40:00"/>
    <s v="production"/>
    <s v="gelato 3x0.5g"/>
    <x v="554"/>
    <s v="2021042701G5"/>
    <x v="137"/>
    <s v="preroll_bulk"/>
    <d v="2023-07-05T00:00:00"/>
    <n v="-377"/>
    <n v="0"/>
    <n v="-188.5"/>
    <m/>
    <x v="0"/>
    <n v="0.5"/>
  </r>
  <r>
    <s v="outbound"/>
    <d v="2025-05-02T11:40:00"/>
    <s v="production"/>
    <s v="gelato 3x0.5g"/>
    <x v="555"/>
    <s v="PR21071201"/>
    <x v="138"/>
    <s v="preroll_bulk"/>
    <d v="2023-02-03T00:00:00"/>
    <n v="-46"/>
    <n v="0"/>
    <n v="-0.46"/>
    <m/>
    <x v="0"/>
    <n v="0.01"/>
  </r>
  <r>
    <s v="outbound"/>
    <d v="2025-05-02T13:11:00"/>
    <s v="production"/>
    <s v="PO_1108"/>
    <x v="502"/>
    <s v="2024121801G7"/>
    <x v="83"/>
    <s v="driedflower_labelled"/>
    <d v="2025-03-26T00:00:00"/>
    <n v="-7"/>
    <n v="0"/>
    <n v="-49"/>
    <m/>
    <x v="0"/>
    <n v="7"/>
  </r>
  <r>
    <s v="outbound"/>
    <d v="2025-05-02T13:11:00"/>
    <s v="production"/>
    <s v="PO_1108"/>
    <x v="320"/>
    <s v="EX24101703G05"/>
    <x v="45"/>
    <s v="extract_inhaled_labelled"/>
    <d v="2024-11-07T00:00:00"/>
    <n v="-12"/>
    <n v="0"/>
    <n v="-6"/>
    <m/>
    <x v="0"/>
    <n v="0.5"/>
  </r>
  <r>
    <s v="outbound"/>
    <d v="2025-05-02T13:11:00"/>
    <s v="production"/>
    <s v="PO_1108"/>
    <x v="556"/>
    <s v="EX25040806G05"/>
    <x v="53"/>
    <s v="extract_inhaled_labelled"/>
    <d v="2025-04-08T00:00:00"/>
    <n v="-12"/>
    <n v="0"/>
    <n v="-6"/>
    <m/>
    <x v="0"/>
    <n v="0.5"/>
  </r>
  <r>
    <s v="outbound"/>
    <d v="2025-05-02T13:28:00"/>
    <s v="shipment"/>
    <s v="PO_1107"/>
    <x v="508"/>
    <s v="PR2406F1P1"/>
    <x v="12"/>
    <s v="preroll_labelled"/>
    <d v="2025-03-26T00:00:00"/>
    <n v="-24"/>
    <n v="0"/>
    <n v="-24"/>
    <m/>
    <x v="0"/>
    <n v="1"/>
  </r>
  <r>
    <s v="outbound"/>
    <d v="2025-05-02T13:28:00"/>
    <s v="shipment"/>
    <s v="PO_1107"/>
    <x v="534"/>
    <s v="PR2407F5P3"/>
    <x v="31"/>
    <s v="preroll_labelled"/>
    <d v="2025-03-26T00:00:00"/>
    <n v="-36"/>
    <n v="0"/>
    <n v="-54"/>
    <m/>
    <x v="0"/>
    <n v="1.5"/>
  </r>
  <r>
    <s v="outbound"/>
    <d v="2025-05-02T13:28:00"/>
    <s v="shipment"/>
    <s v="PO_1107"/>
    <x v="419"/>
    <s v="PR21071201G1"/>
    <x v="11"/>
    <s v="preroll_labelled"/>
    <d v="2025-01-28T00:00:00"/>
    <n v="-12"/>
    <n v="0"/>
    <n v="-12"/>
    <m/>
    <x v="0"/>
    <n v="1"/>
  </r>
  <r>
    <s v="outbound"/>
    <d v="2025-05-02T13:28:00"/>
    <s v="shipment"/>
    <s v="PO_1107"/>
    <x v="444"/>
    <s v="2024111803G7"/>
    <x v="83"/>
    <s v="driedflower_labelled"/>
    <d v="2025-03-05T00:00:00"/>
    <n v="-30"/>
    <n v="0"/>
    <n v="-210"/>
    <m/>
    <x v="0"/>
    <n v="7"/>
  </r>
  <r>
    <s v="outbound"/>
    <d v="2025-05-02T13:28:00"/>
    <s v="shipment"/>
    <s v="PO_1107"/>
    <x v="520"/>
    <s v="ROGEX001G1"/>
    <x v="123"/>
    <s v="extract_inhaled_labelled_Rohan"/>
    <d v="2025-03-24T00:00:00"/>
    <n v="-12"/>
    <n v="0"/>
    <n v="-12"/>
    <m/>
    <x v="0"/>
    <n v="1"/>
  </r>
  <r>
    <s v="inbound"/>
    <d v="2025-05-02T16:17:00"/>
    <s v="storage"/>
    <m/>
    <x v="261"/>
    <s v="PR21071201G5"/>
    <x v="42"/>
    <s v="preroll_labelled"/>
    <d v="2023-05-05T00:00:00"/>
    <n v="10"/>
    <n v="0"/>
    <n v="10"/>
    <m/>
    <x v="0"/>
    <n v="1"/>
  </r>
  <r>
    <s v="inbound"/>
    <d v="2025-05-02T16:17:00"/>
    <s v="storage"/>
    <m/>
    <x v="553"/>
    <n v="2021042701"/>
    <x v="42"/>
    <s v="preroll_labelled"/>
    <d v="2021-04-28T00:00:00"/>
    <n v="34"/>
    <n v="0"/>
    <n v="34"/>
    <m/>
    <x v="0"/>
    <n v="1"/>
  </r>
  <r>
    <s v="outbound"/>
    <d v="2025-05-05T12:54:00"/>
    <s v="shipment"/>
    <s v="PO_1109"/>
    <x v="557"/>
    <s v="PR2501F5P10"/>
    <x v="88"/>
    <s v="preroll_labelled"/>
    <d v="2025-04-16T00:00:00"/>
    <n v="-7"/>
    <n v="0"/>
    <n v="-17.5"/>
    <m/>
    <x v="0"/>
    <n v="2.5"/>
  </r>
  <r>
    <s v="outbound"/>
    <d v="2025-05-05T12:54:00"/>
    <s v="shipment"/>
    <s v="PO_1109"/>
    <x v="558"/>
    <s v="PR2501INF5P3"/>
    <x v="128"/>
    <s v="preroll_labelled"/>
    <d v="2025-04-09T00:00:00"/>
    <n v="-24"/>
    <n v="0"/>
    <n v="-36"/>
    <m/>
    <x v="0"/>
    <n v="1.5"/>
  </r>
  <r>
    <s v="outbound"/>
    <d v="2025-05-05T12:54:00"/>
    <s v="shipment"/>
    <s v="PO_1109"/>
    <x v="559"/>
    <s v="PR2516F5P10"/>
    <x v="88"/>
    <s v="preroll_labelled"/>
    <d v="2025-04-25T00:00:00"/>
    <n v="-5"/>
    <n v="0"/>
    <n v="-25"/>
    <m/>
    <x v="0"/>
    <n v="5"/>
  </r>
  <r>
    <s v="outbound"/>
    <d v="2025-05-05T12:54:00"/>
    <s v="production"/>
    <m/>
    <x v="560"/>
    <s v="PR2516"/>
    <x v="84"/>
    <s v="driedflower_milled_bulk"/>
    <s v="NA"/>
    <n v="-1"/>
    <n v="-4496"/>
    <n v="0"/>
    <m/>
    <x v="1"/>
    <n v="0"/>
  </r>
  <r>
    <s v="outbound"/>
    <d v="2025-05-05T13:07:00"/>
    <s v="sampling"/>
    <s v="aviator_sampling250505"/>
    <x v="388"/>
    <s v="EX25011501V50"/>
    <x v="97"/>
    <s v="extract_ingested_labelled"/>
    <d v="2025-02-04T00:00:00"/>
    <n v="-3"/>
    <n v="0"/>
    <n v="-150"/>
    <m/>
    <x v="0"/>
    <n v="50"/>
  </r>
  <r>
    <s v="outbound"/>
    <d v="2025-05-06T09:40:00"/>
    <s v="shipment"/>
    <s v="PO_490740"/>
    <x v="509"/>
    <s v="TP25021901"/>
    <x v="2"/>
    <s v="topical_labelled"/>
    <d v="2025-02-26T00:00:00"/>
    <n v="-12"/>
    <n v="0"/>
    <n v="-1056"/>
    <m/>
    <x v="0"/>
    <n v="88"/>
  </r>
  <r>
    <s v="outbound"/>
    <d v="2025-05-06T11:24:00"/>
    <s v="production"/>
    <s v="multipack"/>
    <x v="514"/>
    <s v="PR2511"/>
    <x v="85"/>
    <s v="driedflower_milled_bulk"/>
    <s v="NA"/>
    <n v="-1"/>
    <n v="-2582"/>
    <n v="0"/>
    <m/>
    <x v="1"/>
    <n v="0"/>
  </r>
  <r>
    <s v="outbound"/>
    <d v="2025-05-06T11:24:00"/>
    <s v="production"/>
    <s v="multipack"/>
    <x v="561"/>
    <s v="PR2511"/>
    <x v="85"/>
    <s v="driedflower_milled_bulk"/>
    <s v="NA"/>
    <n v="-1"/>
    <n v="-3358"/>
    <n v="-1594"/>
    <m/>
    <x v="0"/>
    <n v="1594"/>
  </r>
  <r>
    <s v="outbound"/>
    <d v="2025-05-06T13:00:00"/>
    <s v="shipment"/>
    <s v="PO_492696"/>
    <x v="509"/>
    <s v="TP25021901"/>
    <x v="2"/>
    <s v="topical_labelled"/>
    <d v="2025-02-26T00:00:00"/>
    <n v="-12"/>
    <n v="0"/>
    <n v="-1056"/>
    <m/>
    <x v="0"/>
    <n v="88"/>
  </r>
  <r>
    <s v="outbound"/>
    <d v="2025-05-06T13:19:00"/>
    <s v="production"/>
    <m/>
    <x v="383"/>
    <s v="CPR22112801"/>
    <x v="85"/>
    <s v="driedflower_milled_bulk"/>
    <s v="NA"/>
    <n v="-1"/>
    <n v="-2920"/>
    <n v="0"/>
    <m/>
    <x v="1"/>
    <n v="0"/>
  </r>
  <r>
    <s v="outbound"/>
    <d v="2025-05-06T13:19:00"/>
    <s v="production"/>
    <m/>
    <x v="20"/>
    <s v="2022012401R1"/>
    <x v="16"/>
    <s v="driedflower_bulk"/>
    <d v="2022-05-05T00:00:00"/>
    <n v="-1"/>
    <n v="-177.65"/>
    <n v="0"/>
    <m/>
    <x v="1"/>
    <n v="0"/>
  </r>
  <r>
    <s v="outbound"/>
    <d v="2025-05-06T13:19:00"/>
    <s v="production"/>
    <m/>
    <x v="417"/>
    <s v="2022012401R1"/>
    <x v="16"/>
    <s v="driedflower_bulk"/>
    <d v="2022-05-05T00:00:00"/>
    <n v="-1"/>
    <n v="-255"/>
    <n v="0"/>
    <m/>
    <x v="1"/>
    <n v="0"/>
  </r>
  <r>
    <s v="inbound"/>
    <d v="2025-05-06T14:07:00"/>
    <s v="storage"/>
    <m/>
    <x v="489"/>
    <n v="2024121801"/>
    <x v="100"/>
    <s v="driedflower_bulk_big"/>
    <s v="NA"/>
    <n v="1"/>
    <n v="2038"/>
    <n v="0"/>
    <m/>
    <x v="1"/>
    <n v="0"/>
  </r>
  <r>
    <s v="inbound"/>
    <d v="2025-05-06T14:07:00"/>
    <s v="storage"/>
    <m/>
    <x v="535"/>
    <n v="2024121801"/>
    <x v="100"/>
    <s v="driedflower_bulk_small"/>
    <s v="NA"/>
    <n v="1"/>
    <n v="5426"/>
    <n v="0"/>
    <m/>
    <x v="1"/>
    <n v="0"/>
  </r>
  <r>
    <s v="inbound"/>
    <d v="2025-05-06T14:07:00"/>
    <s v="storage"/>
    <m/>
    <x v="562"/>
    <n v="2024121801"/>
    <x v="100"/>
    <s v="driedflower_bulk_big"/>
    <s v="NA"/>
    <n v="1"/>
    <n v="10250"/>
    <n v="0"/>
    <m/>
    <x v="1"/>
    <n v="0"/>
  </r>
  <r>
    <s v="inbound"/>
    <d v="2025-05-06T14:20:00"/>
    <s v="storage"/>
    <m/>
    <x v="445"/>
    <s v="PR241101F5P3"/>
    <x v="19"/>
    <s v="preroll_labelled"/>
    <d v="2025-02-19T00:00:00"/>
    <n v="17"/>
    <n v="0"/>
    <n v="25.5"/>
    <m/>
    <x v="0"/>
    <n v="1.5"/>
  </r>
  <r>
    <s v="inbound"/>
    <d v="2025-05-06T14:26:00"/>
    <s v="storage"/>
    <m/>
    <x v="419"/>
    <s v="PR21071201G1"/>
    <x v="11"/>
    <s v="preroll_labelled"/>
    <d v="2025-01-28T00:00:00"/>
    <n v="11"/>
    <n v="0"/>
    <n v="11"/>
    <m/>
    <x v="0"/>
    <n v="1"/>
  </r>
  <r>
    <s v="outbound"/>
    <d v="2025-05-07T09:58:00"/>
    <s v="storage"/>
    <m/>
    <x v="563"/>
    <s v="ROGEX002"/>
    <x v="116"/>
    <s v="extract_inhaled_bulk_Rohan"/>
    <s v="NA"/>
    <n v="-1"/>
    <n v="-4450"/>
    <n v="0"/>
    <m/>
    <x v="1"/>
    <n v="0"/>
  </r>
  <r>
    <s v="outbound"/>
    <d v="2025-05-07T14:12:00"/>
    <s v="production"/>
    <m/>
    <x v="564"/>
    <s v="2021082601R1"/>
    <x v="16"/>
    <s v="driedflower_bulk"/>
    <s v="NA"/>
    <n v="-1"/>
    <n v="-229"/>
    <n v="0"/>
    <m/>
    <x v="1"/>
    <n v="0"/>
  </r>
  <r>
    <s v="outbound"/>
    <d v="2025-05-07T14:12:00"/>
    <s v="production"/>
    <m/>
    <x v="483"/>
    <s v="2021082601R1"/>
    <x v="40"/>
    <s v="driedflower_labelled_RTV"/>
    <d v="2022-03-26T00:00:00"/>
    <n v="-10"/>
    <n v="0"/>
    <n v="-35"/>
    <m/>
    <x v="0"/>
    <n v="3.5"/>
  </r>
  <r>
    <s v="outbound"/>
    <d v="2025-05-07T14:12:00"/>
    <s v="production"/>
    <m/>
    <x v="256"/>
    <s v="2021082601R1"/>
    <x v="40"/>
    <s v="driedflower_labelled_RTV"/>
    <d v="2022-03-26T00:00:00"/>
    <n v="-22"/>
    <n v="0"/>
    <n v="-77"/>
    <m/>
    <x v="0"/>
    <n v="3.5"/>
  </r>
  <r>
    <s v="outbound"/>
    <d v="2025-05-07T14:12:00"/>
    <s v="production"/>
    <m/>
    <x v="565"/>
    <s v="2021082601R1"/>
    <x v="40"/>
    <s v="driedflower_labelled_RTV"/>
    <d v="2022-03-26T00:00:00"/>
    <n v="-250"/>
    <n v="0"/>
    <n v="-875"/>
    <m/>
    <x v="0"/>
    <n v="3.5"/>
  </r>
  <r>
    <s v="outbound"/>
    <d v="2025-05-07T14:12:00"/>
    <s v="production"/>
    <m/>
    <x v="566"/>
    <s v="2021082601R1"/>
    <x v="40"/>
    <s v="driedflower_labelled_RTV"/>
    <d v="2022-03-26T00:00:00"/>
    <n v="-250"/>
    <n v="0"/>
    <n v="-875"/>
    <m/>
    <x v="0"/>
    <n v="3.5"/>
  </r>
  <r>
    <s v="outbound"/>
    <d v="2025-05-07T14:12:00"/>
    <s v="production"/>
    <m/>
    <x v="567"/>
    <s v="2021082601R1"/>
    <x v="40"/>
    <s v="driedflower_labelled_RTV"/>
    <d v="2022-03-26T00:00:00"/>
    <n v="-250"/>
    <n v="0"/>
    <n v="-875"/>
    <m/>
    <x v="0"/>
    <n v="3.5"/>
  </r>
  <r>
    <s v="outbound"/>
    <d v="2025-05-08T13:13:00"/>
    <s v="production"/>
    <m/>
    <x v="568"/>
    <s v="PR251106F5"/>
    <x v="118"/>
    <s v="preroll_bulk"/>
    <s v="NA"/>
    <n v="-44"/>
    <n v="0"/>
    <n v="-22"/>
    <m/>
    <x v="0"/>
    <n v="0.5"/>
  </r>
  <r>
    <s v="outbound"/>
    <d v="2025-05-08T13:13:00"/>
    <s v="production"/>
    <m/>
    <x v="506"/>
    <s v="PR2511F5"/>
    <x v="118"/>
    <s v="preroll_bulk"/>
    <s v="NA"/>
    <n v="-19"/>
    <n v="0"/>
    <n v="-9.5"/>
    <m/>
    <x v="0"/>
    <n v="0.5"/>
  </r>
  <r>
    <s v="outbound"/>
    <d v="2025-05-09T10:23:00"/>
    <s v="shipment"/>
    <s v="PO_1110"/>
    <x v="521"/>
    <s v="PR2507F1P2"/>
    <x v="110"/>
    <s v="preroll_labelled"/>
    <d v="2025-04-02T00:00:00"/>
    <n v="-22"/>
    <n v="0"/>
    <n v="-44"/>
    <m/>
    <x v="0"/>
    <n v="2"/>
  </r>
  <r>
    <s v="outbound"/>
    <d v="2025-05-09T10:23:00"/>
    <s v="shipment"/>
    <s v="PO_1110"/>
    <x v="569"/>
    <s v="PR2507F1P2"/>
    <x v="110"/>
    <s v="preroll_labelled"/>
    <d v="2025-04-25T00:00:00"/>
    <n v="-98"/>
    <n v="0"/>
    <n v="-196"/>
    <m/>
    <x v="0"/>
    <n v="2"/>
  </r>
  <r>
    <s v="outbound"/>
    <d v="2025-05-09T10:23:00"/>
    <s v="shipment"/>
    <s v="PO_1110"/>
    <x v="570"/>
    <s v="EX25041401V30"/>
    <x v="44"/>
    <s v="extract_ingested_labelled"/>
    <d v="2025-04-30T00:00:00"/>
    <n v="-12"/>
    <n v="0"/>
    <n v="-327.60000000000002"/>
    <m/>
    <x v="0"/>
    <n v="27.3"/>
  </r>
  <r>
    <s v="outbound"/>
    <d v="2025-05-12T09:51:00"/>
    <s v="production"/>
    <s v="milling"/>
    <x v="571"/>
    <n v="2025050501"/>
    <x v="114"/>
    <s v="driedflower_bulk_Rohan"/>
    <s v="NA"/>
    <n v="-1"/>
    <n v="-3074"/>
    <n v="0"/>
    <m/>
    <x v="1"/>
    <n v="0"/>
  </r>
  <r>
    <s v="outbound"/>
    <d v="2025-05-12T09:51:00"/>
    <s v="production"/>
    <s v="milling"/>
    <x v="519"/>
    <s v="PR2512"/>
    <x v="122"/>
    <s v="diredflower_milled_bulk_Rohan"/>
    <s v="NA"/>
    <n v="-1"/>
    <n v="-2386"/>
    <n v="0"/>
    <m/>
    <x v="1"/>
    <n v="0"/>
  </r>
  <r>
    <s v="inbound"/>
    <d v="2025-05-12T11:28:00"/>
    <s v="storage"/>
    <m/>
    <x v="423"/>
    <s v="PR2501F5P10"/>
    <x v="88"/>
    <s v="preroll_labelled"/>
    <d v="2025-02-19T00:00:00"/>
    <n v="1"/>
    <n v="1878"/>
    <n v="5"/>
    <m/>
    <x v="0"/>
    <n v="5"/>
  </r>
  <r>
    <s v="outbound"/>
    <d v="2025-05-12T14:59:00"/>
    <s v="shipment"/>
    <m/>
    <x v="572"/>
    <s v="PR21071201G5"/>
    <x v="42"/>
    <s v="preroll_labelled"/>
    <d v="2025-05-02T00:00:00"/>
    <n v="-12"/>
    <n v="0"/>
    <n v="-18"/>
    <m/>
    <x v="0"/>
    <n v="1.5"/>
  </r>
  <r>
    <s v="outbound"/>
    <d v="2025-05-12T14:59:00"/>
    <s v="shipment"/>
    <m/>
    <x v="520"/>
    <s v="ROGEX001G1"/>
    <x v="123"/>
    <s v="extract_inhaled_labelled_Rohan"/>
    <d v="2025-03-24T00:00:00"/>
    <n v="-24"/>
    <n v="0"/>
    <n v="-24"/>
    <m/>
    <x v="0"/>
    <n v="1"/>
  </r>
  <r>
    <s v="outbound"/>
    <d v="2025-05-12T14:59:00"/>
    <s v="shipment"/>
    <m/>
    <x v="423"/>
    <s v="PR2501F5P10"/>
    <x v="88"/>
    <s v="preroll_labelled"/>
    <d v="2025-02-19T00:00:00"/>
    <n v="-12"/>
    <n v="0"/>
    <n v="-60"/>
    <m/>
    <x v="0"/>
    <n v="5"/>
  </r>
  <r>
    <s v="outbound"/>
    <d v="2025-05-12T14:59:00"/>
    <s v="shipment"/>
    <m/>
    <x v="569"/>
    <s v="PR2507F1P2"/>
    <x v="110"/>
    <s v="preroll_labelled"/>
    <d v="2025-04-25T00:00:00"/>
    <n v="-12"/>
    <n v="0"/>
    <n v="-24"/>
    <m/>
    <x v="0"/>
    <n v="2"/>
  </r>
  <r>
    <s v="outbound"/>
    <d v="2025-05-12T14:59:00"/>
    <s v="shipment"/>
    <m/>
    <x v="573"/>
    <s v="PR2303IN02F5P3"/>
    <x v="139"/>
    <s v="infusedpreroll_cased_AB_RTV"/>
    <d v="2024-07-05T00:00:00"/>
    <n v="-2"/>
    <n v="0"/>
    <n v="-18"/>
    <m/>
    <x v="0"/>
    <n v="9"/>
  </r>
  <r>
    <s v="outbound"/>
    <d v="2025-05-13T09:14:00"/>
    <s v="production"/>
    <m/>
    <x v="12"/>
    <s v="LR23032101"/>
    <x v="9"/>
    <s v="extract_inhaled_bulk"/>
    <s v="NA"/>
    <n v="-1"/>
    <n v="-1317.9"/>
    <n v="0"/>
    <m/>
    <x v="1"/>
    <n v="0"/>
  </r>
  <r>
    <s v="outbound"/>
    <d v="2025-05-13T11:16:00"/>
    <s v="production"/>
    <m/>
    <x v="574"/>
    <n v="2025030701"/>
    <x v="109"/>
    <s v="driedflower_bulk_JEN"/>
    <s v="NA"/>
    <n v="-1"/>
    <n v="-1025"/>
    <n v="0"/>
    <m/>
    <x v="1"/>
    <n v="0"/>
  </r>
  <r>
    <s v="outbound"/>
    <d v="2025-05-13T11:16:00"/>
    <s v="production"/>
    <m/>
    <x v="447"/>
    <n v="2025030701"/>
    <x v="109"/>
    <s v="driedflower_bulk_JEN"/>
    <s v="NA"/>
    <n v="-1"/>
    <n v="-698"/>
    <n v="0"/>
    <m/>
    <x v="1"/>
    <n v="0"/>
  </r>
  <r>
    <s v="outbound"/>
    <d v="2025-05-13T11:16:00"/>
    <s v="production"/>
    <m/>
    <x v="575"/>
    <n v="2025030701"/>
    <x v="109"/>
    <s v="driedflower_bulk_JEN"/>
    <s v="NA"/>
    <n v="-1"/>
    <n v="-1025"/>
    <n v="0"/>
    <m/>
    <x v="1"/>
    <n v="0"/>
  </r>
  <r>
    <s v="outbound"/>
    <d v="2025-05-13T12:39:00"/>
    <s v="shipment"/>
    <s v="PO_1112"/>
    <x v="569"/>
    <s v="PR2507F1P2"/>
    <x v="110"/>
    <s v="preroll_labelled"/>
    <d v="2025-04-25T00:00:00"/>
    <n v="-12"/>
    <n v="0"/>
    <n v="-24"/>
    <m/>
    <x v="0"/>
    <n v="2"/>
  </r>
  <r>
    <s v="outbound"/>
    <d v="2025-05-13T12:39:00"/>
    <s v="shipment"/>
    <s v="PO_1112"/>
    <x v="576"/>
    <s v="PR251108F5P12"/>
    <x v="127"/>
    <s v="preroll_labelled"/>
    <d v="2025-04-30T00:00:00"/>
    <n v="-12"/>
    <n v="0"/>
    <n v="-72"/>
    <m/>
    <x v="0"/>
    <n v="6"/>
  </r>
  <r>
    <s v="outbound"/>
    <d v="2025-05-13T12:39:00"/>
    <s v="shipment"/>
    <s v="PO_1112"/>
    <x v="577"/>
    <s v="PR241105F5P3"/>
    <x v="17"/>
    <s v="preroll_cased_SK_RTV"/>
    <d v="2024-10-16T00:00:00"/>
    <n v="-1"/>
    <n v="0"/>
    <n v="-1.5"/>
    <m/>
    <x v="0"/>
    <n v="1.5"/>
  </r>
  <r>
    <s v="outbound"/>
    <d v="2025-05-13T12:39:00"/>
    <s v="shipment"/>
    <s v="PO_1112"/>
    <x v="559"/>
    <s v="PR2516F5P10"/>
    <x v="88"/>
    <s v="preroll_labelled"/>
    <d v="2025-04-25T00:00:00"/>
    <n v="-12"/>
    <n v="0"/>
    <n v="-60"/>
    <m/>
    <x v="0"/>
    <n v="5"/>
  </r>
  <r>
    <s v="outbound"/>
    <d v="2025-05-13T12:39:00"/>
    <s v="sampling"/>
    <m/>
    <x v="504"/>
    <n v="2025021301"/>
    <x v="102"/>
    <s v="driedflower_bulk"/>
    <s v="NA"/>
    <n v="-1"/>
    <n v="-115"/>
    <n v="0"/>
    <m/>
    <x v="1"/>
    <n v="0"/>
  </r>
  <r>
    <s v="outbound"/>
    <d v="2025-05-13T12:39:00"/>
    <s v="sampling"/>
    <m/>
    <x v="451"/>
    <n v="2025021303"/>
    <x v="113"/>
    <s v="infusedflower_bulk"/>
    <s v="NA"/>
    <n v="-1"/>
    <n v="-555"/>
    <n v="0"/>
    <m/>
    <x v="1"/>
    <n v="0"/>
  </r>
  <r>
    <s v="outbound"/>
    <d v="2025-05-13T12:39:00"/>
    <s v="sampling"/>
    <m/>
    <x v="421"/>
    <s v="PR2507"/>
    <x v="101"/>
    <s v="driedflower_milled_bulk"/>
    <s v="NA"/>
    <n v="-1"/>
    <n v="-4150"/>
    <n v="0"/>
    <m/>
    <x v="1"/>
    <n v="0"/>
  </r>
  <r>
    <s v="inbound"/>
    <d v="2025-05-14T15:37:00"/>
    <s v="production"/>
    <m/>
    <x v="575"/>
    <n v="2025030701"/>
    <x v="109"/>
    <s v="driedflower_bulk_JEN"/>
    <s v="NA"/>
    <n v="1"/>
    <n v="632"/>
    <n v="0"/>
    <m/>
    <x v="1"/>
    <n v="0"/>
  </r>
  <r>
    <s v="inbound"/>
    <d v="2025-05-14T16:41:00"/>
    <s v="storage"/>
    <m/>
    <x v="421"/>
    <s v="PR2507"/>
    <x v="101"/>
    <s v="driedflower_milled_bulk"/>
    <s v="NA"/>
    <n v="1"/>
    <n v="1998"/>
    <n v="0"/>
    <m/>
    <x v="1"/>
    <n v="0"/>
  </r>
  <r>
    <s v="inbound"/>
    <d v="2025-05-14T17:00:00"/>
    <s v="storage"/>
    <m/>
    <x v="451"/>
    <n v="2025021303"/>
    <x v="113"/>
    <s v="infusedflower_bulk"/>
    <s v="NA"/>
    <n v="1"/>
    <n v="555"/>
    <n v="0"/>
    <m/>
    <x v="1"/>
    <n v="0"/>
  </r>
  <r>
    <s v="inbound"/>
    <d v="2025-05-14T17:03:00"/>
    <s v="storage"/>
    <m/>
    <x v="504"/>
    <n v="2025021301"/>
    <x v="102"/>
    <s v="driedflower_bulk"/>
    <s v="NA"/>
    <n v="1"/>
    <n v="108"/>
    <n v="0"/>
    <m/>
    <x v="1"/>
    <n v="0"/>
  </r>
  <r>
    <s v="outbound"/>
    <d v="2025-05-15T13:03:00"/>
    <s v="production"/>
    <m/>
    <x v="454"/>
    <n v="2025021901"/>
    <x v="34"/>
    <s v="extract_distillate_bulk"/>
    <s v="NA"/>
    <n v="-1"/>
    <n v="-900.3"/>
    <n v="0"/>
    <m/>
    <x v="1"/>
    <n v="0"/>
  </r>
  <r>
    <s v="outbound"/>
    <d v="2025-05-15T13:03:00"/>
    <s v="production"/>
    <m/>
    <x v="62"/>
    <n v="2024101701"/>
    <x v="34"/>
    <s v="extract_distillate_bulk"/>
    <d v="2024-08-19T00:00:00"/>
    <n v="-1"/>
    <n v="-1350"/>
    <n v="0"/>
    <m/>
    <x v="1"/>
    <n v="0"/>
  </r>
  <r>
    <s v="outbound"/>
    <d v="2025-05-15T13:03:00"/>
    <s v="production"/>
    <m/>
    <x v="302"/>
    <n v="2024120401"/>
    <x v="34"/>
    <s v="extract_distillate_bulk"/>
    <s v="NA"/>
    <n v="-1"/>
    <n v="-1756.5"/>
    <n v="0"/>
    <m/>
    <x v="1"/>
    <n v="0"/>
  </r>
  <r>
    <s v="outbound"/>
    <d v="2025-05-15T13:03:00"/>
    <s v="production"/>
    <m/>
    <x v="578"/>
    <n v="2025050101"/>
    <x v="34"/>
    <s v="extract_distillate_bulk"/>
    <s v="NA"/>
    <n v="-1"/>
    <n v="-6756"/>
    <n v="0"/>
    <m/>
    <x v="1"/>
    <n v="0"/>
  </r>
  <r>
    <s v="outbound"/>
    <d v="2025-05-15T13:03:00"/>
    <s v="production"/>
    <m/>
    <x v="389"/>
    <n v="2025012801"/>
    <x v="26"/>
    <s v="extract_distillate_bulk"/>
    <s v="NA"/>
    <n v="-1"/>
    <n v="-1993"/>
    <n v="0"/>
    <m/>
    <x v="1"/>
    <n v="0"/>
  </r>
  <r>
    <s v="outbound"/>
    <d v="2025-05-15T13:03:00"/>
    <s v="shipment"/>
    <m/>
    <x v="441"/>
    <s v="TP24120401G45"/>
    <x v="86"/>
    <s v="topical_labelled"/>
    <d v="2024-12-12T00:00:00"/>
    <n v="-12"/>
    <n v="0"/>
    <n v="-540"/>
    <m/>
    <x v="0"/>
    <n v="45"/>
  </r>
  <r>
    <s v="outbound"/>
    <d v="2025-05-15T13:03:00"/>
    <s v="production"/>
    <m/>
    <x v="279"/>
    <s v="EX24101705"/>
    <x v="74"/>
    <s v="extract_inhaled_bulk"/>
    <s v="NA"/>
    <n v="-1"/>
    <n v="-417.39"/>
    <n v="0"/>
    <m/>
    <x v="1"/>
    <n v="0"/>
  </r>
  <r>
    <s v="outbound"/>
    <d v="2025-05-15T13:03:00"/>
    <s v="production"/>
    <m/>
    <x v="428"/>
    <s v="EX25022105"/>
    <x v="74"/>
    <s v="extract_inhaled_bulk"/>
    <s v="NA"/>
    <n v="-1"/>
    <n v="-490.92"/>
    <n v="0"/>
    <m/>
    <x v="1"/>
    <n v="0"/>
  </r>
  <r>
    <s v="outbound"/>
    <d v="2025-05-16T00:00:00"/>
    <s v="shipment"/>
    <s v="PO_00023226"/>
    <x v="534"/>
    <s v="PR2407F5P3"/>
    <x v="31"/>
    <s v="preroll_labelled"/>
    <d v="2025-03-26T00:00:00"/>
    <n v="-12"/>
    <n v="0"/>
    <n v="-18"/>
    <m/>
    <x v="0"/>
    <n v="1.5"/>
  </r>
  <r>
    <s v="outbound"/>
    <d v="2025-05-16T00:00:00"/>
    <s v="shipment"/>
    <s v="PO_00023226"/>
    <x v="579"/>
    <s v="PR2302INF1P1"/>
    <x v="140"/>
    <s v="preroll_labelled"/>
    <d v="2025-04-16T00:00:00"/>
    <n v="-12"/>
    <n v="0"/>
    <n v="-12"/>
    <m/>
    <x v="0"/>
    <n v="1"/>
  </r>
  <r>
    <s v="outbound"/>
    <d v="2025-05-16T00:00:00"/>
    <s v="shipment"/>
    <s v="PO_00023226"/>
    <x v="259"/>
    <s v="CPR22102101G5"/>
    <x v="70"/>
    <s v="preroll_labelled"/>
    <d v="2024-08-06T00:00:00"/>
    <n v="-12"/>
    <n v="0"/>
    <n v="-12"/>
    <m/>
    <x v="0"/>
    <n v="1"/>
  </r>
  <r>
    <s v="outbound"/>
    <d v="2025-05-16T00:00:00"/>
    <s v="shipment"/>
    <s v="PO_00023226"/>
    <x v="65"/>
    <s v="PR22051901G1"/>
    <x v="37"/>
    <s v="preroll_labelled"/>
    <d v="2025-05-21T00:00:00"/>
    <n v="-24"/>
    <n v="0"/>
    <n v="-24"/>
    <m/>
    <x v="0"/>
    <n v="1"/>
  </r>
  <r>
    <s v="outbound"/>
    <d v="2025-05-16T00:00:00"/>
    <s v="shipment"/>
    <s v="PO_00023226"/>
    <x v="332"/>
    <s v="CPR22012001G5"/>
    <x v="80"/>
    <s v="preroll_labelled"/>
    <d v="2024-12-23T00:00:00"/>
    <n v="-24"/>
    <n v="0"/>
    <n v="-36"/>
    <m/>
    <x v="0"/>
    <n v="1.5"/>
  </r>
  <r>
    <s v="outbound"/>
    <d v="2025-05-16T00:00:00"/>
    <s v="shipment"/>
    <s v="PO_00023226"/>
    <x v="330"/>
    <s v="PR241102F5P3"/>
    <x v="30"/>
    <s v="preroll_labelled"/>
    <d v="2025-01-03T00:00:00"/>
    <n v="-24"/>
    <n v="0"/>
    <n v="-36"/>
    <m/>
    <x v="0"/>
    <n v="1.5"/>
  </r>
  <r>
    <s v="outbound"/>
    <d v="2025-05-16T00:00:00"/>
    <s v="shipment"/>
    <s v="PO_00023226"/>
    <x v="580"/>
    <s v="PR251105F5P3"/>
    <x v="17"/>
    <s v="preroll_labelled"/>
    <d v="2025-04-23T00:00:00"/>
    <n v="-84"/>
    <n v="0"/>
    <n v="-126"/>
    <m/>
    <x v="0"/>
    <n v="1.5"/>
  </r>
  <r>
    <s v="outbound"/>
    <d v="2025-05-16T00:00:00"/>
    <s v="shipment"/>
    <s v="PO_00023226"/>
    <x v="448"/>
    <s v="PR2507F1P2"/>
    <x v="110"/>
    <s v="preroll_labelled"/>
    <d v="2025-03-12T00:00:00"/>
    <n v="-24"/>
    <n v="0"/>
    <n v="-48"/>
    <m/>
    <x v="0"/>
    <n v="2"/>
  </r>
  <r>
    <s v="outbound"/>
    <d v="2025-05-16T00:00:00"/>
    <s v="shipment"/>
    <s v="PO_00023226"/>
    <x v="581"/>
    <s v="PR241103F5P3"/>
    <x v="20"/>
    <s v="preroll_labelled"/>
    <d v="2025-04-14T00:00:00"/>
    <n v="-24"/>
    <n v="0"/>
    <n v="-36"/>
    <m/>
    <x v="0"/>
    <n v="1.5"/>
  </r>
  <r>
    <s v="outbound"/>
    <d v="2025-05-16T00:00:00"/>
    <s v="shipment"/>
    <s v="PO_00023226"/>
    <x v="559"/>
    <s v="PR2516F5P10"/>
    <x v="88"/>
    <s v="preroll_labelled"/>
    <d v="2025-04-25T00:00:00"/>
    <n v="-12"/>
    <n v="0"/>
    <n v="-60"/>
    <m/>
    <x v="0"/>
    <n v="5"/>
  </r>
  <r>
    <s v="outbound"/>
    <d v="2025-05-16T00:00:00"/>
    <s v="shipment"/>
    <s v="PO_00023226"/>
    <x v="582"/>
    <s v="2024121801G7"/>
    <x v="83"/>
    <s v="driedflower_labelled"/>
    <d v="2025-04-16T00:00:00"/>
    <n v="-12"/>
    <n v="0"/>
    <n v="-84"/>
    <m/>
    <x v="0"/>
    <n v="7"/>
  </r>
  <r>
    <s v="outbound"/>
    <d v="2025-05-16T00:00:00"/>
    <s v="shipment"/>
    <s v="PO_00023226"/>
    <x v="357"/>
    <s v="PR2301F35P12"/>
    <x v="90"/>
    <s v="preroll_labelled"/>
    <d v="2024-12-23T00:00:00"/>
    <n v="-12"/>
    <n v="0"/>
    <n v="-50.399999999999991"/>
    <m/>
    <x v="0"/>
    <n v="4.1999999999999993"/>
  </r>
  <r>
    <s v="outbound"/>
    <d v="2025-05-20T12:00:00"/>
    <s v="shipment"/>
    <s v="PO_1113"/>
    <x v="583"/>
    <s v="LR23032101"/>
    <x v="141"/>
    <s v="extract_inhaled_labelled"/>
    <d v="2025-05-16T00:00:00"/>
    <n v="-6"/>
    <n v="0"/>
    <n v="-6"/>
    <m/>
    <x v="0"/>
    <n v="1"/>
  </r>
  <r>
    <s v="outbound"/>
    <d v="2025-05-20T12:00:00"/>
    <s v="shipment"/>
    <s v="PO_1113"/>
    <x v="573"/>
    <s v="PR2303IN02F5P3"/>
    <x v="139"/>
    <s v="infusedpreroll_cased_AB_RTV"/>
    <d v="2024-07-05T00:00:00"/>
    <n v="-1"/>
    <n v="0"/>
    <n v="-9"/>
    <m/>
    <x v="0"/>
    <n v="9"/>
  </r>
  <r>
    <s v="outbound"/>
    <d v="2025-05-20T12:00:00"/>
    <s v="shipment"/>
    <s v="PO_1113"/>
    <x v="584"/>
    <s v="EX24111306G05"/>
    <x v="53"/>
    <s v="extract_inhaled_cased_MB"/>
    <d v="2024-11-27T00:00:00"/>
    <n v="-1"/>
    <n v="0"/>
    <n v="-6"/>
    <m/>
    <x v="0"/>
    <n v="6"/>
  </r>
  <r>
    <s v="outbound"/>
    <d v="2025-05-20T12:00:00"/>
    <s v="shipment"/>
    <s v="PO_1114"/>
    <x v="573"/>
    <s v="PR2303IN02F5P3"/>
    <x v="139"/>
    <s v="infusedpreroll_cased_AB_RTV"/>
    <d v="2024-07-05T00:00:00"/>
    <n v="-1"/>
    <n v="0"/>
    <n v="-9"/>
    <m/>
    <x v="0"/>
    <n v="9"/>
  </r>
  <r>
    <s v="outbound"/>
    <d v="2025-05-20T12:00:00"/>
    <s v="shipment"/>
    <s v="PO_1114"/>
    <x v="441"/>
    <s v="TP24120401G45"/>
    <x v="86"/>
    <s v="topical_labelled"/>
    <d v="2024-12-12T00:00:00"/>
    <n v="-12"/>
    <n v="0"/>
    <n v="-540"/>
    <m/>
    <x v="0"/>
    <n v="45"/>
  </r>
  <r>
    <s v="outbound"/>
    <d v="2025-05-20T12:00:00"/>
    <s v="shipment"/>
    <s v="PO_1114"/>
    <x v="572"/>
    <s v="PR21071201G5"/>
    <x v="42"/>
    <s v="preroll_labelled"/>
    <d v="2025-05-02T00:00:00"/>
    <n v="-12"/>
    <n v="0"/>
    <n v="-18"/>
    <m/>
    <x v="0"/>
    <n v="1.5"/>
  </r>
  <r>
    <s v="outbound"/>
    <d v="2025-05-20T12:00:00"/>
    <s v="shipment"/>
    <s v="PO_1114"/>
    <x v="585"/>
    <s v="EX24111302G05"/>
    <x v="46"/>
    <s v="extract_inhaled_cased_SK_RTV"/>
    <d v="2024-11-27T00:00:00"/>
    <n v="-1"/>
    <n v="0"/>
    <n v="-6"/>
    <m/>
    <x v="0"/>
    <n v="6"/>
  </r>
  <r>
    <s v="outbound"/>
    <d v="2025-05-20T12:00:00"/>
    <s v="shipment"/>
    <s v="PO_1114"/>
    <x v="419"/>
    <s v="PR21071201G1"/>
    <x v="11"/>
    <s v="preroll_labelled"/>
    <d v="2025-01-28T00:00:00"/>
    <n v="-11"/>
    <n v="0"/>
    <n v="-11"/>
    <m/>
    <x v="0"/>
    <n v="1"/>
  </r>
  <r>
    <s v="outbound"/>
    <d v="2025-05-20T12:00:00"/>
    <s v="shipment"/>
    <s v="PO_1114"/>
    <x v="586"/>
    <s v="PR21071201G1"/>
    <x v="11"/>
    <s v="preroll_labelled"/>
    <d v="2025-03-19T00:00:00"/>
    <n v="-1"/>
    <n v="0"/>
    <n v="-1"/>
    <m/>
    <x v="0"/>
    <n v="1"/>
  </r>
  <r>
    <s v="outbound"/>
    <d v="2025-05-20T12:00:00"/>
    <s v="shipment"/>
    <s v="PO_1114"/>
    <x v="558"/>
    <s v="PR2501INF5P3"/>
    <x v="128"/>
    <s v="preroll_labelled"/>
    <d v="2025-04-09T00:00:00"/>
    <n v="-11"/>
    <n v="0"/>
    <n v="-16.5"/>
    <m/>
    <x v="0"/>
    <n v="1.5"/>
  </r>
  <r>
    <s v="outbound"/>
    <d v="2025-05-20T12:00:00"/>
    <s v="shipment"/>
    <s v="PO_1114"/>
    <x v="587"/>
    <s v="PR2501INF5P3"/>
    <x v="128"/>
    <s v="preroll_labelled"/>
    <d v="2025-05-01T00:00:00"/>
    <n v="-1"/>
    <n v="0"/>
    <n v="-1.5"/>
    <m/>
    <x v="0"/>
    <n v="1.5"/>
  </r>
  <r>
    <s v="outbound"/>
    <d v="2025-05-20T12:00:00"/>
    <s v="shipment"/>
    <s v="PO_1114"/>
    <x v="520"/>
    <s v="ROGEX001G1"/>
    <x v="123"/>
    <s v="extract_inhaled_labelled_Rohan"/>
    <d v="2025-03-24T00:00:00"/>
    <n v="-12"/>
    <n v="0"/>
    <n v="-12"/>
    <m/>
    <x v="0"/>
    <n v="1"/>
  </r>
  <r>
    <s v="outbound"/>
    <d v="2025-05-20T12:00:00"/>
    <s v="shipment"/>
    <s v="PO_1115"/>
    <x v="576"/>
    <s v="PR251108F5P12"/>
    <x v="127"/>
    <s v="preroll_labelled"/>
    <d v="2025-04-30T00:00:00"/>
    <n v="-24"/>
    <n v="0"/>
    <n v="-144"/>
    <m/>
    <x v="0"/>
    <n v="6"/>
  </r>
  <r>
    <s v="outbound"/>
    <d v="2025-05-20T12:00:00"/>
    <s v="shipment"/>
    <s v="PO_1115"/>
    <x v="583"/>
    <s v="LR23032101"/>
    <x v="141"/>
    <s v="extract_inhaled_labelled"/>
    <d v="2025-05-16T00:00:00"/>
    <n v="-12"/>
    <n v="0"/>
    <n v="-12"/>
    <m/>
    <x v="0"/>
    <n v="1"/>
  </r>
  <r>
    <s v="outbound"/>
    <d v="2025-05-20T12:00:00"/>
    <s v="shipment"/>
    <s v="PO_1115"/>
    <x v="330"/>
    <s v="PR241102F5P3"/>
    <x v="30"/>
    <s v="preroll_labelled"/>
    <d v="2025-01-03T00:00:00"/>
    <n v="-36"/>
    <n v="0"/>
    <n v="-54"/>
    <m/>
    <x v="0"/>
    <n v="1.5"/>
  </r>
  <r>
    <s v="outbound"/>
    <d v="2025-05-20T12:00:00"/>
    <s v="shipment"/>
    <s v="PO_1115"/>
    <x v="559"/>
    <s v="PR2516F5P10"/>
    <x v="88"/>
    <s v="preroll_labelled"/>
    <d v="2025-04-25T00:00:00"/>
    <n v="-36"/>
    <n v="0"/>
    <n v="-180"/>
    <m/>
    <x v="0"/>
    <n v="5"/>
  </r>
  <r>
    <s v="outbound"/>
    <d v="2025-05-20T12:00:00"/>
    <s v="shipment"/>
    <s v="PO_1115"/>
    <x v="588"/>
    <s v="EX24101701G05"/>
    <x v="47"/>
    <s v="extract_inhaled_cased_SK_RTV"/>
    <d v="2024-10-29T00:00:00"/>
    <n v="-2"/>
    <n v="0"/>
    <n v="-12"/>
    <m/>
    <x v="0"/>
    <n v="6"/>
  </r>
  <r>
    <s v="outbound"/>
    <d v="2025-05-20T12:00:00"/>
    <s v="shipment"/>
    <s v="PO_1116"/>
    <x v="337"/>
    <s v="2024101703G7"/>
    <x v="83"/>
    <s v="driedflower_labelled"/>
    <d v="2024-11-22T00:00:00"/>
    <n v="-12"/>
    <n v="0"/>
    <n v="-84"/>
    <m/>
    <x v="0"/>
    <n v="7"/>
  </r>
  <r>
    <s v="outbound"/>
    <d v="2025-05-20T12:00:00"/>
    <s v="shipment"/>
    <s v="PO_1116"/>
    <x v="569"/>
    <s v="PR2507F1P2"/>
    <x v="110"/>
    <s v="preroll_labelled"/>
    <d v="2025-04-25T00:00:00"/>
    <n v="-48"/>
    <n v="0"/>
    <n v="-96"/>
    <m/>
    <x v="0"/>
    <n v="2"/>
  </r>
  <r>
    <s v="outbound"/>
    <d v="2025-05-20T13:56:00"/>
    <s v="shipment"/>
    <s v="PO_1117"/>
    <x v="569"/>
    <s v="PR2507F1P2"/>
    <x v="110"/>
    <s v="preroll_labelled"/>
    <d v="2025-04-25T00:00:00"/>
    <n v="-12"/>
    <n v="0"/>
    <n v="-24"/>
    <m/>
    <x v="0"/>
    <n v="2"/>
  </r>
  <r>
    <s v="outbound"/>
    <d v="2025-05-20T13:56:00"/>
    <s v="shipment"/>
    <s v="PO_1117"/>
    <x v="508"/>
    <s v="PR2406F1P1"/>
    <x v="12"/>
    <s v="preroll_labelled"/>
    <d v="2025-03-26T00:00:00"/>
    <n v="-12"/>
    <n v="0"/>
    <n v="-12"/>
    <m/>
    <x v="0"/>
    <n v="1"/>
  </r>
  <r>
    <s v="outbound"/>
    <d v="2025-05-20T13:56:00"/>
    <s v="shipment"/>
    <s v="PO_1117"/>
    <x v="586"/>
    <s v="PR21071201G1"/>
    <x v="11"/>
    <s v="preroll_labelled"/>
    <d v="2025-03-19T00:00:00"/>
    <n v="-12"/>
    <n v="0"/>
    <n v="-12"/>
    <m/>
    <x v="0"/>
    <n v="1"/>
  </r>
  <r>
    <s v="outbound"/>
    <d v="2025-05-20T13:56:00"/>
    <s v="shipment"/>
    <s v="PO_1117"/>
    <x v="589"/>
    <s v="PR2406F5P3"/>
    <x v="43"/>
    <s v="preroll_labelled"/>
    <d v="2025-03-26T00:00:00"/>
    <n v="-12"/>
    <n v="0"/>
    <n v="-18"/>
    <m/>
    <x v="0"/>
    <n v="1.5"/>
  </r>
  <r>
    <s v="outbound"/>
    <d v="2025-05-20T13:56:00"/>
    <s v="shipment"/>
    <s v="PO_1117"/>
    <x v="572"/>
    <s v="PR21071201G5"/>
    <x v="42"/>
    <s v="preroll_labelled"/>
    <d v="2025-05-02T00:00:00"/>
    <n v="-12"/>
    <n v="0"/>
    <n v="-18"/>
    <m/>
    <x v="0"/>
    <n v="1.5"/>
  </r>
  <r>
    <s v="outbound"/>
    <d v="2025-05-20T13:56:00"/>
    <s v="shipment"/>
    <s v="PO_1117"/>
    <x v="534"/>
    <s v="PR2407F5P3"/>
    <x v="31"/>
    <s v="preroll_labelled"/>
    <d v="2025-03-26T00:00:00"/>
    <n v="-12"/>
    <n v="0"/>
    <n v="-18"/>
    <m/>
    <x v="0"/>
    <n v="1.5"/>
  </r>
  <r>
    <s v="outbound"/>
    <d v="2025-05-20T13:56:00"/>
    <s v="shipment"/>
    <s v="PO_1117"/>
    <x v="590"/>
    <s v="EX24111306G05"/>
    <x v="53"/>
    <s v="extract_inhaled_cased_SK_RTV"/>
    <d v="2024-11-27T00:00:00"/>
    <n v="-1"/>
    <n v="0"/>
    <n v="-6"/>
    <m/>
    <x v="0"/>
    <n v="6"/>
  </r>
  <r>
    <s v="outbound"/>
    <d v="2025-05-20T13:56:00"/>
    <s v="shipment"/>
    <s v="PO_1117"/>
    <x v="588"/>
    <s v="EX24101701G05"/>
    <x v="47"/>
    <s v="extract_inhaled_cased_SK_RTV"/>
    <d v="2024-10-29T00:00:00"/>
    <n v="-1"/>
    <n v="0"/>
    <n v="-6"/>
    <m/>
    <x v="0"/>
    <n v="6"/>
  </r>
  <r>
    <s v="outbound"/>
    <d v="2025-05-20T13:56:00"/>
    <s v="shipment"/>
    <s v="PO_1117"/>
    <x v="585"/>
    <s v="EX24111302G05"/>
    <x v="46"/>
    <s v="extract_inhaled_cased_SK_RTV"/>
    <d v="2024-11-27T00:00:00"/>
    <n v="-1"/>
    <n v="0"/>
    <n v="-6"/>
    <m/>
    <x v="0"/>
    <n v="6"/>
  </r>
  <r>
    <s v="outbound"/>
    <d v="2025-05-20T13:56:00"/>
    <s v="shipment"/>
    <s v="PO_1117"/>
    <x v="438"/>
    <s v="EX25020601G1"/>
    <x v="107"/>
    <s v="extract_inhaled_labelled"/>
    <d v="2025-02-19T00:00:00"/>
    <n v="-12"/>
    <n v="0"/>
    <n v="-12"/>
    <m/>
    <x v="0"/>
    <n v="1"/>
  </r>
  <r>
    <s v="outbound"/>
    <d v="2025-05-20T13:56:00"/>
    <s v="shipment"/>
    <s v="PO_1117"/>
    <x v="591"/>
    <s v="EX24101703G05"/>
    <x v="45"/>
    <s v="extract_inhaled_cased_SK_RTV"/>
    <d v="2024-11-07T00:00:00"/>
    <n v="-1"/>
    <n v="0"/>
    <n v="-6"/>
    <m/>
    <x v="0"/>
    <n v="6"/>
  </r>
  <r>
    <s v="outbound"/>
    <d v="2025-05-20T13:56:00"/>
    <s v="shipment"/>
    <s v="PO_1117"/>
    <x v="573"/>
    <s v="PR2303IN02F5P3"/>
    <x v="139"/>
    <s v="infusedpreroll_cased_AB_RTV"/>
    <d v="2024-07-05T00:00:00"/>
    <n v="-2"/>
    <n v="0"/>
    <n v="-18"/>
    <m/>
    <x v="0"/>
    <n v="9"/>
  </r>
  <r>
    <s v="outbound"/>
    <d v="2025-05-20T13:56:00"/>
    <s v="shipment"/>
    <s v="PO_1117"/>
    <x v="583"/>
    <s v="LR23032101"/>
    <x v="141"/>
    <s v="extract_inhaled_labelled"/>
    <d v="2025-05-16T00:00:00"/>
    <n v="-6"/>
    <n v="0"/>
    <n v="-6"/>
    <m/>
    <x v="0"/>
    <n v="1"/>
  </r>
  <r>
    <s v="outbound"/>
    <d v="2025-05-20T13:56:00"/>
    <s v="shipment"/>
    <s v="PO_1117"/>
    <x v="587"/>
    <s v="PR2501INF5P3"/>
    <x v="128"/>
    <s v="preroll_labelled"/>
    <d v="2025-05-01T00:00:00"/>
    <n v="-24"/>
    <n v="0"/>
    <n v="-36"/>
    <m/>
    <x v="0"/>
    <n v="1.5"/>
  </r>
  <r>
    <s v="inbound"/>
    <d v="2025-05-20T13:56:00"/>
    <s v="storage"/>
    <m/>
    <x v="563"/>
    <s v="ROGEX002"/>
    <x v="116"/>
    <s v="extract_inhaled_bulk_Rohan"/>
    <s v="NA"/>
    <n v="1"/>
    <n v="3230"/>
    <n v="0"/>
    <m/>
    <x v="1"/>
    <n v="0"/>
  </r>
  <r>
    <s v="inbound"/>
    <d v="2025-05-21T10:00:00"/>
    <s v="storage"/>
    <m/>
    <x v="583"/>
    <s v="LR23032101"/>
    <x v="141"/>
    <s v="extract_inhaled_labelled"/>
    <d v="2025-05-16T00:00:00"/>
    <n v="342"/>
    <n v="0"/>
    <n v="342"/>
    <m/>
    <x v="0"/>
    <n v="1"/>
  </r>
  <r>
    <s v="outbound"/>
    <d v="2025-05-21T10:00:00"/>
    <s v="production"/>
    <m/>
    <x v="592"/>
    <n v="2025030701"/>
    <x v="109"/>
    <s v="driedflower_bulk_JEN"/>
    <s v="NA"/>
    <n v="-1"/>
    <n v="-1025"/>
    <n v="0"/>
    <m/>
    <x v="1"/>
    <n v="0"/>
  </r>
  <r>
    <s v="outbound"/>
    <d v="2025-05-21T10:00:00"/>
    <s v="production"/>
    <s v="PO_1118"/>
    <x v="485"/>
    <s v="PR2507"/>
    <x v="101"/>
    <s v="driedflower_milled_bulk"/>
    <s v="NA"/>
    <n v="-1"/>
    <n v="-6396"/>
    <n v="0"/>
    <m/>
    <x v="1"/>
    <n v="0"/>
  </r>
  <r>
    <s v="outbound"/>
    <d v="2025-05-21T10:00:00"/>
    <s v="shipment"/>
    <s v="PO_1118"/>
    <x v="569"/>
    <s v="PR2507F1P2"/>
    <x v="110"/>
    <s v="preroll_labelled"/>
    <d v="2025-04-25T00:00:00"/>
    <n v="-92"/>
    <n v="0"/>
    <n v="-184"/>
    <m/>
    <x v="0"/>
    <n v="2"/>
  </r>
  <r>
    <s v="outbound"/>
    <d v="2025-05-21T10:00:00"/>
    <s v="production"/>
    <m/>
    <x v="593"/>
    <n v="2025051501"/>
    <x v="26"/>
    <s v="extract_distillate_bulk"/>
    <s v="NA"/>
    <n v="-1"/>
    <n v="-2992"/>
    <n v="0"/>
    <m/>
    <x v="1"/>
    <n v="0"/>
  </r>
  <r>
    <s v="outbound"/>
    <d v="2025-05-21T10:00:00"/>
    <s v="shipment"/>
    <s v="PO_1119"/>
    <x v="337"/>
    <s v="2024101703G7"/>
    <x v="83"/>
    <s v="driedflower_labelled"/>
    <d v="2024-11-22T00:00:00"/>
    <n v="-24"/>
    <n v="0"/>
    <n v="-168"/>
    <m/>
    <x v="0"/>
    <n v="7"/>
  </r>
  <r>
    <s v="inbound"/>
    <d v="2025-05-21T13:00:00"/>
    <s v="storage"/>
    <m/>
    <x v="594"/>
    <s v="EX25050501V50"/>
    <x v="97"/>
    <s v="extract_ingested_packaged"/>
    <s v="NA"/>
    <n v="86"/>
    <n v="0"/>
    <n v="4300"/>
    <m/>
    <x v="0"/>
    <n v="50"/>
  </r>
  <r>
    <s v="inbound"/>
    <d v="2025-05-21T13:00:00"/>
    <s v="storage"/>
    <m/>
    <x v="595"/>
    <s v="EX25050501V50"/>
    <x v="97"/>
    <s v="extract_ingested_packaged"/>
    <d v="2025-05-13T00:00:00"/>
    <n v="482"/>
    <n v="0"/>
    <n v="24100"/>
    <m/>
    <x v="0"/>
    <n v="50"/>
  </r>
  <r>
    <s v="outbound"/>
    <d v="2025-05-21T13:00:00"/>
    <s v="shipment"/>
    <s v="PO_500367"/>
    <x v="509"/>
    <s v="TP25021901"/>
    <x v="2"/>
    <s v="topical_labelled"/>
    <d v="2025-02-26T00:00:00"/>
    <n v="-12"/>
    <n v="0"/>
    <n v="-1056"/>
    <m/>
    <x v="0"/>
    <n v="88"/>
  </r>
  <r>
    <s v="outbound"/>
    <d v="2025-05-21T13:00:00"/>
    <s v="production"/>
    <s v="labelling POD"/>
    <x v="65"/>
    <s v="PR22051901G1"/>
    <x v="37"/>
    <s v="preroll_labelled"/>
    <d v="2025-05-21T00:00:00"/>
    <n v="-122"/>
    <n v="0"/>
    <n v="-122"/>
    <m/>
    <x v="0"/>
    <n v="1"/>
  </r>
  <r>
    <s v="outbound"/>
    <d v="2025-05-22T13:00:00"/>
    <s v="production"/>
    <m/>
    <x v="511"/>
    <s v="PR2514"/>
    <x v="96"/>
    <s v="driedflower_milled_bulk_BURB"/>
    <s v="NA"/>
    <n v="-1"/>
    <n v="-2888"/>
    <n v="0"/>
    <m/>
    <x v="1"/>
    <n v="0"/>
  </r>
  <r>
    <s v="outbound"/>
    <d v="2025-05-23T10:00:00"/>
    <s v="production"/>
    <m/>
    <x v="596"/>
    <s v="PR2517"/>
    <x v="85"/>
    <s v="driedflower_milled_bulk"/>
    <s v="NA"/>
    <n v="-1"/>
    <n v="-4070"/>
    <n v="0"/>
    <m/>
    <x v="1"/>
    <n v="0"/>
  </r>
  <r>
    <s v="outbound"/>
    <d v="2025-05-23T10:00:00"/>
    <s v="shipment"/>
    <s v="PO_10013478"/>
    <x v="444"/>
    <s v="2024111803G7"/>
    <x v="83"/>
    <s v="driedflower_labelled"/>
    <d v="2025-03-05T00:00:00"/>
    <n v="-12"/>
    <n v="0"/>
    <n v="-84"/>
    <m/>
    <x v="0"/>
    <n v="7"/>
  </r>
  <r>
    <s v="inbound"/>
    <d v="2025-05-23T10:00:00"/>
    <s v="shipment"/>
    <s v="PO_10013478"/>
    <x v="570"/>
    <s v="EX25041401V30"/>
    <x v="44"/>
    <s v="extract_ingested_labelled"/>
    <d v="2025-04-30T00:00:00"/>
    <n v="6"/>
    <n v="0"/>
    <n v="163.80000000000001"/>
    <m/>
    <x v="0"/>
    <n v="27.3"/>
  </r>
  <r>
    <s v="outbound"/>
    <d v="2025-05-23T10:00:00"/>
    <s v="shipment"/>
    <s v="PO_10013478"/>
    <x v="597"/>
    <s v="PR241102F5P3"/>
    <x v="30"/>
    <s v="preroll_cased_SK_RTV"/>
    <d v="2024-11-08T00:00:00"/>
    <n v="-6"/>
    <n v="0"/>
    <n v="-9"/>
    <m/>
    <x v="0"/>
    <n v="1.5"/>
  </r>
  <r>
    <s v="outbound"/>
    <d v="2025-05-23T10:00:00"/>
    <s v="shipment"/>
    <s v="PO_10013478"/>
    <x v="577"/>
    <s v="PR241105F5P3"/>
    <x v="17"/>
    <s v="preroll_cased_SK_RTV"/>
    <d v="2024-10-16T00:00:00"/>
    <n v="-6"/>
    <n v="0"/>
    <n v="-9"/>
    <m/>
    <x v="0"/>
    <n v="1.5"/>
  </r>
  <r>
    <s v="outbound"/>
    <d v="2025-05-23T10:00:00"/>
    <s v="shipment"/>
    <s v="PO_10013478"/>
    <x v="598"/>
    <s v="PR241003F5P3"/>
    <x v="20"/>
    <s v="preroll_cased_SK_RTV"/>
    <d v="2024-10-10T00:00:00"/>
    <n v="-6"/>
    <n v="0"/>
    <n v="-9"/>
    <m/>
    <x v="0"/>
    <n v="1.5"/>
  </r>
  <r>
    <s v="outbound"/>
    <d v="2025-05-23T10:00:00"/>
    <s v="shipment"/>
    <s v="PO_10013478"/>
    <x v="445"/>
    <s v="PR241101F5P3"/>
    <x v="19"/>
    <s v="preroll_labelled"/>
    <d v="2025-02-19T00:00:00"/>
    <n v="-12"/>
    <n v="0"/>
    <n v="-18"/>
    <m/>
    <x v="0"/>
    <n v="1.5"/>
  </r>
  <r>
    <s v="outbound"/>
    <d v="2025-05-23T10:00:00"/>
    <s v="shipment"/>
    <s v="PO_10013478"/>
    <x v="599"/>
    <s v="PR251101F5P3"/>
    <x v="19"/>
    <s v="preroll_labelled"/>
    <d v="2025-04-23T00:00:00"/>
    <n v="-36"/>
    <n v="0"/>
    <n v="-54"/>
    <m/>
    <x v="0"/>
    <n v="1.5"/>
  </r>
  <r>
    <s v="outbound"/>
    <d v="2025-05-23T10:00:00"/>
    <s v="shipment"/>
    <s v="PO_10013478"/>
    <x v="587"/>
    <s v="PR2501INF5P3"/>
    <x v="128"/>
    <s v="preroll_labelled"/>
    <d v="2025-05-01T00:00:00"/>
    <n v="-24"/>
    <n v="0"/>
    <n v="-36"/>
    <m/>
    <x v="0"/>
    <n v="1.5"/>
  </r>
  <r>
    <s v="outbound"/>
    <d v="2025-05-23T10:00:00"/>
    <s v="shipment"/>
    <s v="PO_10013478"/>
    <x v="576"/>
    <s v="PR251108F5P12"/>
    <x v="127"/>
    <s v="preroll_labelled"/>
    <d v="2025-04-30T00:00:00"/>
    <n v="-96"/>
    <n v="0"/>
    <n v="-576"/>
    <m/>
    <x v="0"/>
    <n v="6"/>
  </r>
  <r>
    <s v="outbound"/>
    <d v="2025-05-23T10:00:00"/>
    <s v="shipment"/>
    <s v="PO_10013478"/>
    <x v="600"/>
    <s v="EX25041401V30"/>
    <x v="44"/>
    <s v="extract_ingested_labelled"/>
    <d v="2025-04-30T00:00:00"/>
    <n v="-6"/>
    <n v="0"/>
    <n v="-163.80000000000001"/>
    <m/>
    <x v="0"/>
    <n v="27.3"/>
  </r>
  <r>
    <s v="outbound"/>
    <d v="2025-05-23T10:00:00"/>
    <s v="shipment"/>
    <s v="PO_10013478"/>
    <x v="274"/>
    <s v="EX23060701V30"/>
    <x v="22"/>
    <s v="extract_ingested_labelled"/>
    <d v="2025-04-30T00:00:00"/>
    <n v="-24"/>
    <n v="0"/>
    <n v="-657.59999999999991"/>
    <m/>
    <x v="0"/>
    <n v="27.4"/>
  </r>
  <r>
    <s v="outbound"/>
    <d v="2025-05-23T10:00:00"/>
    <s v="shipment"/>
    <s v="PO_1120"/>
    <x v="587"/>
    <s v="PR2501INF5P3"/>
    <x v="128"/>
    <s v="preroll_labelled"/>
    <d v="2025-05-01T00:00:00"/>
    <n v="-12"/>
    <n v="0"/>
    <n v="-18"/>
    <m/>
    <x v="0"/>
    <n v="1.5"/>
  </r>
  <r>
    <s v="outbound"/>
    <d v="2025-05-23T10:00:00"/>
    <s v="shipment"/>
    <s v="PO_1120"/>
    <x v="588"/>
    <s v="EX24101701G05"/>
    <x v="47"/>
    <s v="extract_inhaled_cased_SK_RTV"/>
    <d v="2024-10-29T00:00:00"/>
    <n v="-1"/>
    <n v="0"/>
    <n v="-6"/>
    <m/>
    <x v="0"/>
    <n v="6"/>
  </r>
  <r>
    <s v="outbound"/>
    <d v="2025-05-23T10:00:00"/>
    <s v="shipment"/>
    <s v="PO_1120"/>
    <x v="601"/>
    <s v="EX24082906G05"/>
    <x v="53"/>
    <s v="extract_inhaled_cased_MB"/>
    <d v="2024-10-16T00:00:00"/>
    <n v="-1"/>
    <n v="0"/>
    <n v="-6"/>
    <m/>
    <x v="0"/>
    <n v="6"/>
  </r>
  <r>
    <s v="outbound"/>
    <d v="2025-05-23T10:00:00"/>
    <s v="shipment"/>
    <s v="PO_1120"/>
    <x v="337"/>
    <s v="2024101703G7"/>
    <x v="83"/>
    <s v="driedflower_labelled"/>
    <d v="2024-11-22T00:00:00"/>
    <n v="-12"/>
    <n v="0"/>
    <n v="-84"/>
    <m/>
    <x v="0"/>
    <n v="7"/>
  </r>
  <r>
    <s v="outbound"/>
    <d v="2025-05-26T10:00:00"/>
    <s v="shipment"/>
    <s v="PO_1022"/>
    <x v="587"/>
    <s v="PR2501INF5P3"/>
    <x v="128"/>
    <s v="preroll_labelled"/>
    <d v="2025-05-01T00:00:00"/>
    <n v="-72"/>
    <n v="0"/>
    <n v="-108"/>
    <m/>
    <x v="0"/>
    <n v="1.5"/>
  </r>
  <r>
    <s v="outbound"/>
    <d v="2025-05-26T10:00:00"/>
    <s v="shipment"/>
    <s v="PO_1022"/>
    <x v="602"/>
    <s v="ROGEX001G1"/>
    <x v="123"/>
    <s v="extract_inhaled_labelled_Rohan"/>
    <d v="2025-04-25T00:00:00"/>
    <n v="-60"/>
    <n v="0"/>
    <n v="-60"/>
    <m/>
    <x v="0"/>
    <n v="1"/>
  </r>
  <r>
    <s v="outbound"/>
    <d v="2025-05-26T10:00:00"/>
    <s v="shipment"/>
    <s v="PO_1022"/>
    <x v="520"/>
    <s v="ROGEX001G1"/>
    <x v="123"/>
    <s v="extract_inhaled_labelled_Rohan"/>
    <d v="2025-03-24T00:00:00"/>
    <n v="-12"/>
    <n v="0"/>
    <n v="-12"/>
    <m/>
    <x v="0"/>
    <n v="1"/>
  </r>
  <r>
    <s v="outbound"/>
    <d v="2025-05-26T10:00:00"/>
    <s v="production"/>
    <m/>
    <x v="575"/>
    <n v="2025030701"/>
    <x v="109"/>
    <s v="driedflower_bulk_JEN"/>
    <s v="NA"/>
    <n v="0"/>
    <n v="-4"/>
    <n v="0"/>
    <m/>
    <x v="1"/>
    <n v="0"/>
  </r>
  <r>
    <s v="outbound"/>
    <d v="2025-05-26T10:00:00"/>
    <s v="production"/>
    <m/>
    <x v="427"/>
    <s v="PR2506"/>
    <x v="105"/>
    <s v="driedflower_milled_bulk_BURB"/>
    <s v="NA"/>
    <n v="-1"/>
    <n v="-3435"/>
    <n v="0"/>
    <m/>
    <x v="1"/>
    <n v="0"/>
  </r>
  <r>
    <s v="outbound"/>
    <d v="2025-05-26T10:00:00"/>
    <s v="production"/>
    <m/>
    <x v="372"/>
    <s v="PR2502"/>
    <x v="93"/>
    <s v="driedflower_milled_bulk_BURB"/>
    <s v="NA"/>
    <n v="-1"/>
    <n v="-2386"/>
    <n v="0"/>
    <m/>
    <x v="1"/>
    <n v="0"/>
  </r>
  <r>
    <s v="outbound"/>
    <d v="2025-05-26T13:00:00"/>
    <s v="shipment"/>
    <s v="PO_1121"/>
    <x v="559"/>
    <s v="PR2516F5P10"/>
    <x v="88"/>
    <s v="preroll_labelled"/>
    <d v="2025-04-25T00:00:00"/>
    <n v="-3"/>
    <n v="0"/>
    <n v="-15"/>
    <m/>
    <x v="0"/>
    <n v="5"/>
  </r>
  <r>
    <s v="outbound"/>
    <d v="2025-05-26T13:00:00"/>
    <s v="shipment"/>
    <s v="PO_1121"/>
    <x v="603"/>
    <s v="PR2406F5P3"/>
    <x v="43"/>
    <s v="preroll_labelled"/>
    <d v="2025-03-12T00:00:00"/>
    <n v="-24"/>
    <n v="0"/>
    <n v="-36"/>
    <m/>
    <x v="0"/>
    <n v="1.5"/>
  </r>
  <r>
    <s v="outbound"/>
    <d v="2025-05-26T13:00:00"/>
    <s v="shipment"/>
    <s v="PO_1121 AND PO_502181"/>
    <x v="588"/>
    <s v="EX24101701G05"/>
    <x v="47"/>
    <s v="extract_inhaled_cased_SK_RTV"/>
    <d v="2024-10-29T00:00:00"/>
    <n v="-2"/>
    <n v="0"/>
    <n v="-12"/>
    <m/>
    <x v="0"/>
    <n v="6"/>
  </r>
  <r>
    <s v="outbound"/>
    <d v="2025-05-26T13:00:00"/>
    <s v="shipment"/>
    <s v="PO_05-052225"/>
    <x v="597"/>
    <s v="PR241102F5P3"/>
    <x v="30"/>
    <s v="preroll_cased_SK_RTV"/>
    <d v="2024-11-08T00:00:00"/>
    <n v="-12"/>
    <n v="0"/>
    <n v="-18"/>
    <m/>
    <x v="0"/>
    <n v="1.5"/>
  </r>
  <r>
    <s v="outbound"/>
    <d v="2025-05-26T13:00:00"/>
    <s v="shipment"/>
    <s v="PO_05-052225"/>
    <x v="330"/>
    <s v="PR241102F5P3"/>
    <x v="30"/>
    <s v="preroll_labelled"/>
    <d v="2025-01-03T00:00:00"/>
    <n v="-36"/>
    <n v="0"/>
    <n v="-54"/>
    <m/>
    <x v="0"/>
    <n v="1.5"/>
  </r>
  <r>
    <s v="outbound"/>
    <d v="2025-05-26T13:00:00"/>
    <s v="shipment"/>
    <s v="PO_05-052225"/>
    <x v="576"/>
    <s v="PR251108F5P12"/>
    <x v="127"/>
    <s v="preroll_labelled"/>
    <d v="2025-04-30T00:00:00"/>
    <n v="-38"/>
    <n v="0"/>
    <n v="-228"/>
    <m/>
    <x v="0"/>
    <n v="6"/>
  </r>
  <r>
    <s v="outbound"/>
    <d v="2025-05-26T13:00:00"/>
    <s v="shipment"/>
    <s v="PO_05-052225"/>
    <x v="528"/>
    <s v="PR251108F5P12"/>
    <x v="127"/>
    <s v="preroll_labelled"/>
    <d v="2025-04-08T00:00:00"/>
    <n v="-119"/>
    <n v="0"/>
    <n v="-714"/>
    <m/>
    <x v="0"/>
    <n v="6"/>
  </r>
  <r>
    <s v="outbound"/>
    <d v="2025-05-26T16:00:00"/>
    <s v="shipment"/>
    <s v="PO_00001976"/>
    <x v="604"/>
    <s v="PR250703F5P3"/>
    <x v="142"/>
    <s v="preroll_labelled"/>
    <d v="2025-05-13T00:00:00"/>
    <n v="-168"/>
    <n v="0"/>
    <n v="-252"/>
    <m/>
    <x v="0"/>
    <n v="1.5"/>
  </r>
  <r>
    <s v="outbound"/>
    <d v="2025-05-26T16:00:00"/>
    <s v="shipment"/>
    <s v="PO_00001976"/>
    <x v="584"/>
    <s v="EX24111306G05"/>
    <x v="53"/>
    <s v="extract_inhaled_cased_MB"/>
    <d v="2024-11-27T00:00:00"/>
    <n v="-10"/>
    <n v="0"/>
    <n v="-60"/>
    <m/>
    <x v="0"/>
    <n v="6"/>
  </r>
  <r>
    <s v="outbound"/>
    <d v="2025-05-26T16:00:00"/>
    <s v="shipment"/>
    <s v="PO_00001976"/>
    <x v="601"/>
    <s v="EX24082906G05"/>
    <x v="53"/>
    <s v="extract_inhaled_cased_MB"/>
    <d v="2024-10-16T00:00:00"/>
    <n v="-2"/>
    <n v="0"/>
    <n v="-12"/>
    <m/>
    <x v="0"/>
    <n v="6"/>
  </r>
  <r>
    <s v="outbound"/>
    <d v="2025-05-26T16:00:00"/>
    <s v="shipment"/>
    <s v="PO_00001976"/>
    <x v="590"/>
    <s v="EX24111306G05"/>
    <x v="53"/>
    <s v="extract_inhaled_cased_SK_RTV"/>
    <d v="2024-11-27T00:00:00"/>
    <n v="-1"/>
    <n v="0"/>
    <n v="-6"/>
    <m/>
    <x v="0"/>
    <n v="6"/>
  </r>
  <r>
    <s v="outbound"/>
    <d v="2025-05-26T16:00:00"/>
    <s v="shipment"/>
    <s v="PO_00001976"/>
    <x v="605"/>
    <s v="TP24120401G45"/>
    <x v="86"/>
    <s v="topical_labelled"/>
    <d v="2024-12-12T00:00:00"/>
    <n v="-300"/>
    <n v="0"/>
    <n v="-13500"/>
    <m/>
    <x v="0"/>
    <n v="45"/>
  </r>
  <r>
    <s v="outbound"/>
    <d v="2025-05-26T16:00:00"/>
    <s v="shipment"/>
    <s v="PO_00001976"/>
    <x v="441"/>
    <s v="TP24120401G45"/>
    <x v="86"/>
    <s v="topical_labelled"/>
    <d v="2024-12-12T00:00:00"/>
    <n v="-51"/>
    <n v="0"/>
    <n v="-2295"/>
    <m/>
    <x v="0"/>
    <n v="45"/>
  </r>
  <r>
    <s v="outbound"/>
    <d v="2025-05-26T16:00:00"/>
    <s v="shipment"/>
    <s v="PO_503021"/>
    <x v="509"/>
    <s v="TP25021901"/>
    <x v="2"/>
    <s v="topical_labelled"/>
    <d v="2025-02-26T00:00:00"/>
    <n v="-12"/>
    <n v="0"/>
    <n v="-1056"/>
    <m/>
    <x v="0"/>
    <n v="88"/>
  </r>
  <r>
    <s v="outbound"/>
    <d v="2025-05-26T16:00:00"/>
    <s v="production"/>
    <m/>
    <x v="436"/>
    <s v="PR2505"/>
    <x v="106"/>
    <s v="driedflower_milled_bulk_BURB"/>
    <s v="NA"/>
    <n v="-1"/>
    <n v="-4170"/>
    <n v="0"/>
    <m/>
    <x v="1"/>
    <n v="0"/>
  </r>
  <r>
    <s v="outbound"/>
    <d v="2025-05-27T17:00:00"/>
    <s v="shipment"/>
    <s v="HUI250528"/>
    <x v="350"/>
    <s v="EX24101704G05"/>
    <x v="48"/>
    <s v="extract_inhaled_labelled"/>
    <d v="2024-11-29T00:00:00"/>
    <n v="-1"/>
    <n v="0"/>
    <n v="-0.5"/>
    <m/>
    <x v="0"/>
    <n v="0.5"/>
  </r>
  <r>
    <s v="outbound"/>
    <d v="2025-05-28T09:27:00"/>
    <s v="production"/>
    <s v="PR2502IN"/>
    <x v="606"/>
    <n v="2025052701"/>
    <x v="112"/>
    <s v="extract_distillate_bulk"/>
    <s v="NA"/>
    <n v="-1"/>
    <n v="-1938"/>
    <n v="0"/>
    <m/>
    <x v="1"/>
    <n v="0"/>
  </r>
  <r>
    <s v="outbound"/>
    <d v="2025-05-28T09:27:00"/>
    <s v="production"/>
    <s v="PR2502IN"/>
    <x v="607"/>
    <n v="2025021301"/>
    <x v="102"/>
    <s v="driedflower_bulk"/>
    <s v="NA"/>
    <n v="-1"/>
    <n v="-660"/>
    <n v="0"/>
    <m/>
    <x v="1"/>
    <n v="0"/>
  </r>
  <r>
    <s v="outbound"/>
    <d v="2025-05-28T09:27:00"/>
    <s v="production"/>
    <s v="PR2502IN"/>
    <x v="504"/>
    <n v="2025021301"/>
    <x v="102"/>
    <s v="driedflower_bulk"/>
    <s v="NA"/>
    <n v="-1"/>
    <n v="-108"/>
    <n v="0"/>
    <m/>
    <x v="1"/>
    <n v="0"/>
  </r>
  <r>
    <s v="outbound"/>
    <d v="2025-05-28T09:27:00"/>
    <s v="production"/>
    <s v="PR2502IN"/>
    <x v="608"/>
    <n v="2025021301"/>
    <x v="102"/>
    <s v="driedflower_bulk"/>
    <s v="NA"/>
    <n v="-1"/>
    <n v="-660"/>
    <n v="0"/>
    <m/>
    <x v="1"/>
    <n v="0"/>
  </r>
  <r>
    <s v="outbound"/>
    <d v="2025-05-28T09:27:00"/>
    <s v="production"/>
    <s v="PR2502IN"/>
    <x v="451"/>
    <n v="2025021303"/>
    <x v="113"/>
    <s v="infusedflower_bulk"/>
    <s v="NA"/>
    <n v="-1"/>
    <n v="-555"/>
    <n v="0"/>
    <m/>
    <x v="1"/>
    <n v="0"/>
  </r>
  <r>
    <s v="inbound"/>
    <d v="2025-05-28T09:27:00"/>
    <s v="storage"/>
    <m/>
    <x v="584"/>
    <s v="EX24111306G05"/>
    <x v="53"/>
    <s v="extract_inhaled_cased_MB"/>
    <d v="2024-11-27T00:00:00"/>
    <n v="1"/>
    <n v="0"/>
    <n v="6"/>
    <m/>
    <x v="0"/>
    <n v="6"/>
  </r>
  <r>
    <s v="inbound"/>
    <d v="2025-05-28T09:27:00"/>
    <s v="storage"/>
    <m/>
    <x v="601"/>
    <s v="EX24082906G05"/>
    <x v="53"/>
    <s v="extract_inhaled_cased_MB"/>
    <d v="2024-10-16T00:00:00"/>
    <n v="1"/>
    <n v="0"/>
    <n v="6"/>
    <m/>
    <x v="0"/>
    <n v="6"/>
  </r>
  <r>
    <s v="outbound"/>
    <d v="2025-05-28T09:27:00"/>
    <s v="production"/>
    <s v="PR2502IN"/>
    <x v="424"/>
    <n v="2025021301"/>
    <x v="102"/>
    <s v="driedflower_bulk"/>
    <s v="NA"/>
    <n v="-1"/>
    <n v="-980"/>
    <n v="0"/>
    <m/>
    <x v="1"/>
    <n v="0"/>
  </r>
  <r>
    <s v="outbound"/>
    <d v="2025-05-29T09:27:00"/>
    <s v="sampling"/>
    <s v="rohan250529"/>
    <x v="609"/>
    <s v="PR2518"/>
    <x v="122"/>
    <s v="driedflower_milled_bulk_Rohan"/>
    <s v="NA"/>
    <n v="0"/>
    <n v="-22"/>
    <n v="0"/>
    <m/>
    <x v="1"/>
    <n v="0"/>
  </r>
  <r>
    <s v="outbound"/>
    <d v="2025-05-29T09:27:00"/>
    <s v="sampling"/>
    <s v="rohan250529"/>
    <x v="172"/>
    <s v="EX24082902G05"/>
    <x v="46"/>
    <s v="extract_inhaled_labelled"/>
    <d v="2024-10-04T00:00:00"/>
    <n v="-1"/>
    <n v="0"/>
    <n v="-0.5"/>
    <m/>
    <x v="0"/>
    <n v="0.5"/>
  </r>
  <r>
    <s v="outbound"/>
    <d v="2025-05-29T09:27:00"/>
    <s v="sampling"/>
    <s v="rohan250529"/>
    <x v="491"/>
    <s v="EX25020601G05"/>
    <x v="111"/>
    <s v="extract_inhaled_labelled"/>
    <d v="2025-02-14T00:00:00"/>
    <n v="-1"/>
    <n v="0"/>
    <n v="-0.5"/>
    <m/>
    <x v="0"/>
    <n v="0.5"/>
  </r>
  <r>
    <s v="outbound"/>
    <d v="2025-05-29T09:27:00"/>
    <s v="sampling"/>
    <s v="rohan250529"/>
    <x v="320"/>
    <s v="EX24101703G05"/>
    <x v="45"/>
    <s v="extract_inhaled_labelled"/>
    <d v="2024-11-07T00:00:00"/>
    <n v="-1"/>
    <n v="0"/>
    <n v="-0.5"/>
    <m/>
    <x v="0"/>
    <n v="0.5"/>
  </r>
  <r>
    <s v="outbound"/>
    <d v="2025-05-29T09:27:00"/>
    <s v="sampling"/>
    <s v="rohan250529"/>
    <x v="295"/>
    <s v="EX24101701G05"/>
    <x v="47"/>
    <s v="extract_inhaled_labelled"/>
    <d v="2024-11-22T00:00:00"/>
    <n v="-1"/>
    <n v="0"/>
    <n v="-0.5"/>
    <m/>
    <x v="0"/>
    <n v="0.5"/>
  </r>
  <r>
    <s v="outbound"/>
    <d v="2025-05-29T09:27:00"/>
    <s v="shipment"/>
    <s v="PO_503981"/>
    <x v="509"/>
    <s v="TP25021901"/>
    <x v="2"/>
    <s v="topical_labelled"/>
    <d v="2025-02-26T00:00:00"/>
    <n v="-12"/>
    <n v="0"/>
    <n v="-1056"/>
    <m/>
    <x v="0"/>
    <n v="88"/>
  </r>
  <r>
    <s v="outbound"/>
    <d v="2025-05-29T09:27:00"/>
    <s v="shipment"/>
    <m/>
    <x v="610"/>
    <s v="TP24120401G45"/>
    <x v="86"/>
    <s v="topical_cased_AB_RTV"/>
    <d v="2024-12-12T00:00:00"/>
    <n v="-14"/>
    <n v="0"/>
    <n v="-7560"/>
    <m/>
    <x v="0"/>
    <n v="540"/>
  </r>
  <r>
    <s v="outbound"/>
    <d v="2025-05-29T09:27:00"/>
    <s v="shipment"/>
    <m/>
    <x v="611"/>
    <s v="TP24120401G45"/>
    <x v="86"/>
    <s v="topical_cased_AB_RTV"/>
    <d v="2024-12-12T00:00:00"/>
    <n v="-15"/>
    <n v="0"/>
    <n v="-8100"/>
    <m/>
    <x v="0"/>
    <n v="540"/>
  </r>
  <r>
    <s v="outbound"/>
    <d v="2025-05-30T09:27:00"/>
    <s v="shipment"/>
    <s v="swap with Craft Greenery PO for new POD"/>
    <x v="582"/>
    <s v="2024121801G7"/>
    <x v="83"/>
    <s v="driedflower_labelled"/>
    <d v="2025-04-16T00:00:00"/>
    <n v="-12"/>
    <n v="0"/>
    <n v="-84"/>
    <m/>
    <x v="0"/>
    <n v="7"/>
  </r>
  <r>
    <s v="outbound"/>
    <d v="2025-05-30T09:27:00"/>
    <s v="shipment"/>
    <s v="PO_1125"/>
    <x v="337"/>
    <s v="2024101703G7"/>
    <x v="83"/>
    <s v="driedflower_labelled"/>
    <d v="2024-11-22T00:00:00"/>
    <n v="-2"/>
    <n v="0"/>
    <n v="-14"/>
    <m/>
    <x v="0"/>
    <n v="7"/>
  </r>
  <r>
    <s v="outbound"/>
    <d v="2025-06-02T10:27:00"/>
    <s v="shipment"/>
    <s v="PO_1123"/>
    <x v="587"/>
    <s v="PR2501INF5P3"/>
    <x v="128"/>
    <s v="preroll_labelled"/>
    <d v="2025-05-01T00:00:00"/>
    <n v="-12"/>
    <n v="0"/>
    <n v="-18"/>
    <m/>
    <x v="0"/>
    <n v="1.5"/>
  </r>
  <r>
    <s v="outbound"/>
    <d v="2025-06-02T10:27:00"/>
    <s v="shipment"/>
    <s v="PO_1123"/>
    <x v="583"/>
    <s v="LR23032101"/>
    <x v="141"/>
    <s v="extract_inhaled_labelled"/>
    <d v="2025-05-16T00:00:00"/>
    <n v="-18"/>
    <n v="0"/>
    <n v="-18"/>
    <m/>
    <x v="0"/>
    <n v="1"/>
  </r>
  <r>
    <s v="outbound"/>
    <d v="2025-06-02T10:27:00"/>
    <s v="shipment"/>
    <s v="PO_1124"/>
    <x v="587"/>
    <s v="PR2501INF5P3"/>
    <x v="128"/>
    <s v="preroll_labelled"/>
    <d v="2025-05-01T00:00:00"/>
    <n v="-24"/>
    <n v="0"/>
    <n v="-36"/>
    <m/>
    <x v="0"/>
    <n v="1.5"/>
  </r>
  <r>
    <s v="outbound"/>
    <d v="2025-06-02T10:27:00"/>
    <s v="shipment"/>
    <s v="PO_1124"/>
    <x v="586"/>
    <s v="PR21071201G1"/>
    <x v="11"/>
    <s v="preroll_labelled"/>
    <d v="2025-03-19T00:00:00"/>
    <n v="-24"/>
    <n v="0"/>
    <n v="-24"/>
    <m/>
    <x v="0"/>
    <n v="1"/>
  </r>
  <r>
    <s v="outbound"/>
    <d v="2025-06-02T10:27:00"/>
    <s v="shipment"/>
    <s v="PO_1124"/>
    <x v="419"/>
    <s v="PR21071201G1"/>
    <x v="11"/>
    <s v="preroll_labelled"/>
    <d v="2025-01-28T00:00:00"/>
    <n v="-120"/>
    <n v="0"/>
    <n v="-120"/>
    <m/>
    <x v="0"/>
    <n v="1"/>
  </r>
  <r>
    <s v="outbound"/>
    <d v="2025-06-02T10:27:00"/>
    <s v="shipment"/>
    <s v="PO_1124"/>
    <x v="586"/>
    <s v="PR21071201G1"/>
    <x v="11"/>
    <s v="preroll_labelled"/>
    <d v="2025-03-19T00:00:00"/>
    <n v="-2"/>
    <n v="0"/>
    <n v="-2"/>
    <m/>
    <x v="0"/>
    <n v="1"/>
  </r>
  <r>
    <s v="inbound"/>
    <d v="2025-06-02T10:27:00"/>
    <s v="storage"/>
    <s v="RTV_PO_1120"/>
    <x v="582"/>
    <s v="2024121801G7"/>
    <x v="83"/>
    <s v="driedflower_labelled"/>
    <d v="2025-04-16T00:00:00"/>
    <n v="2"/>
    <n v="0"/>
    <n v="14"/>
    <m/>
    <x v="0"/>
    <n v="7"/>
  </r>
  <r>
    <s v="inbound"/>
    <d v="2025-06-03T10:27:00"/>
    <s v="storage"/>
    <m/>
    <x v="604"/>
    <s v="PR250703F5P3"/>
    <x v="142"/>
    <s v="preroll_labelled"/>
    <d v="2025-05-13T00:00:00"/>
    <n v="48"/>
    <n v="0"/>
    <n v="72"/>
    <m/>
    <x v="0"/>
    <n v="1.5"/>
  </r>
  <r>
    <s v="inbound"/>
    <d v="2025-06-03T15:27:00"/>
    <s v="storage"/>
    <m/>
    <x v="424"/>
    <n v="2025021301"/>
    <x v="102"/>
    <s v="driedflower_bulk"/>
    <s v="NA"/>
    <n v="1"/>
    <n v="798"/>
    <n v="0"/>
    <m/>
    <x v="1"/>
    <n v="0"/>
  </r>
  <r>
    <s v="outbound"/>
    <d v="2025-06-03T15:27:00"/>
    <s v="production"/>
    <s v="blueberry blaster"/>
    <x v="612"/>
    <s v="PR2517"/>
    <x v="85"/>
    <s v="driedflower_milled_bulk"/>
    <d v="2025-05-08T00:00:00"/>
    <n v="-1"/>
    <n v="-3546"/>
    <n v="0"/>
    <m/>
    <x v="1"/>
    <n v="0"/>
  </r>
  <r>
    <s v="inbound"/>
    <d v="2025-06-03T15:27:00"/>
    <s v="storage"/>
    <m/>
    <x v="606"/>
    <n v="2025052701"/>
    <x v="112"/>
    <s v="extract_distillate_bulk"/>
    <s v="NA"/>
    <n v="1"/>
    <n v="1285"/>
    <n v="0"/>
    <m/>
    <x v="1"/>
    <n v="0"/>
  </r>
  <r>
    <s v="inbound"/>
    <d v="2025-06-03T15:27:00"/>
    <s v="storage"/>
    <m/>
    <x v="593"/>
    <n v="2025051501"/>
    <x v="26"/>
    <s v="extract_distillate_bulk"/>
    <s v="NA"/>
    <n v="1"/>
    <n v="1724.2"/>
    <n v="0"/>
    <m/>
    <x v="1"/>
    <n v="0"/>
  </r>
  <r>
    <s v="inbound"/>
    <d v="2025-06-03T15:27:00"/>
    <s v="storage"/>
    <m/>
    <x v="485"/>
    <s v="PR2507"/>
    <x v="101"/>
    <s v="driedflower_milled_bulk"/>
    <s v="NA"/>
    <n v="1"/>
    <n v="4214"/>
    <n v="0"/>
    <m/>
    <x v="1"/>
    <n v="0"/>
  </r>
  <r>
    <s v="inbound"/>
    <d v="2025-06-03T15:27:00"/>
    <s v="storage"/>
    <m/>
    <x v="436"/>
    <s v="PR2505"/>
    <x v="106"/>
    <s v="driedflower_milled_bulk_BURB"/>
    <s v="NA"/>
    <n v="1"/>
    <n v="3648"/>
    <n v="0"/>
    <m/>
    <x v="1"/>
    <n v="0"/>
  </r>
  <r>
    <s v="inbound"/>
    <d v="2025-06-03T15:27:00"/>
    <s v="storage"/>
    <m/>
    <x v="65"/>
    <s v="PR22051901G1"/>
    <x v="37"/>
    <s v="preroll_labelled"/>
    <d v="2025-05-21T00:00:00"/>
    <n v="122"/>
    <n v="0"/>
    <n v="122"/>
    <m/>
    <x v="0"/>
    <n v="1"/>
  </r>
  <r>
    <s v="outbound"/>
    <d v="2025-06-04T15:27:00"/>
    <s v="shipment"/>
    <m/>
    <x v="602"/>
    <s v="ROGEX001G1"/>
    <x v="123"/>
    <s v="extract_inhaled_labelled_Rohan"/>
    <d v="2025-04-25T00:00:00"/>
    <n v="-12"/>
    <n v="0"/>
    <n v="-12"/>
    <m/>
    <x v="0"/>
    <n v="1"/>
  </r>
  <r>
    <s v="outbound"/>
    <d v="2025-06-04T15:27:00"/>
    <s v="shipment"/>
    <m/>
    <x v="587"/>
    <s v="PR2501INF5P3"/>
    <x v="128"/>
    <s v="preroll_labelled"/>
    <d v="2025-05-01T00:00:00"/>
    <n v="-12"/>
    <n v="0"/>
    <n v="-18"/>
    <m/>
    <x v="0"/>
    <n v="1.5"/>
  </r>
  <r>
    <s v="outbound"/>
    <d v="2025-06-04T15:27:00"/>
    <s v="shipment"/>
    <m/>
    <x v="573"/>
    <s v="PR2303IN02F5P3"/>
    <x v="139"/>
    <s v="infusedpreroll_cased_AB_RTV"/>
    <d v="2024-07-05T00:00:00"/>
    <n v="-1"/>
    <n v="0"/>
    <n v="-9"/>
    <m/>
    <x v="0"/>
    <n v="9"/>
  </r>
  <r>
    <s v="outbound"/>
    <d v="2025-06-04T15:27:00"/>
    <s v="shipment"/>
    <m/>
    <x v="583"/>
    <s v="LR23032101"/>
    <x v="141"/>
    <s v="extract_inhaled_labelled"/>
    <d v="2025-05-16T00:00:00"/>
    <n v="-12"/>
    <n v="0"/>
    <n v="-12"/>
    <m/>
    <x v="0"/>
    <n v="1"/>
  </r>
  <r>
    <s v="outbound"/>
    <d v="2025-06-04T15:27:00"/>
    <s v="shipment"/>
    <m/>
    <x v="590"/>
    <s v="EX24111306G05"/>
    <x v="53"/>
    <s v="extract_inhaled_cased_SK_RTV"/>
    <d v="2024-11-27T00:00:00"/>
    <n v="-1"/>
    <n v="0"/>
    <n v="-6"/>
    <m/>
    <x v="0"/>
    <n v="6"/>
  </r>
  <r>
    <s v="outbound"/>
    <d v="2025-06-04T15:27:00"/>
    <s v="shipment"/>
    <m/>
    <x v="570"/>
    <s v="EX25041401V30"/>
    <x v="44"/>
    <s v="extract_ingested_labelled"/>
    <d v="2025-04-30T00:00:00"/>
    <n v="-12"/>
    <n v="0"/>
    <n v="-327.60000000000002"/>
    <m/>
    <x v="0"/>
    <n v="27.3"/>
  </r>
  <r>
    <s v="outbound"/>
    <d v="2025-06-04T15:27:00"/>
    <s v="shipment"/>
    <m/>
    <x v="534"/>
    <s v="PR2407F5P3"/>
    <x v="31"/>
    <s v="preroll_labelled"/>
    <d v="2025-03-26T00:00:00"/>
    <n v="-12"/>
    <n v="0"/>
    <n v="-18"/>
    <m/>
    <x v="0"/>
    <n v="1.5"/>
  </r>
  <r>
    <s v="outbound"/>
    <d v="2025-06-04T15:27:00"/>
    <s v="shipment"/>
    <m/>
    <x v="503"/>
    <s v="PR2301F5P3"/>
    <x v="42"/>
    <s v="preroll_labelled"/>
    <d v="2025-03-26T00:00:00"/>
    <n v="-12"/>
    <n v="0"/>
    <n v="-18"/>
    <m/>
    <x v="0"/>
    <n v="1.5"/>
  </r>
  <r>
    <s v="outbound"/>
    <d v="2025-06-04T15:27:00"/>
    <s v="shipment"/>
    <m/>
    <x v="235"/>
    <s v="EX23060701V30"/>
    <x v="22"/>
    <s v="extract_ingested_labelled"/>
    <d v="2024-10-31T00:00:00"/>
    <n v="-12"/>
    <n v="0"/>
    <n v="-328.79999999999995"/>
    <m/>
    <x v="0"/>
    <n v="27.4"/>
  </r>
  <r>
    <s v="outbound"/>
    <d v="2025-06-04T15:27:00"/>
    <s v="shipment"/>
    <m/>
    <x v="613"/>
    <s v="PR2516F5P10"/>
    <x v="88"/>
    <s v="preroll_labelled"/>
    <d v="2025-05-06T00:00:00"/>
    <n v="-12"/>
    <n v="0"/>
    <n v="-60"/>
    <m/>
    <x v="0"/>
    <n v="5"/>
  </r>
  <r>
    <s v="outbound"/>
    <d v="2025-06-04T15:27:00"/>
    <s v="shipment"/>
    <m/>
    <x v="614"/>
    <s v="PR2507F1P2"/>
    <x v="110"/>
    <s v="preroll_labelled"/>
    <d v="2025-05-22T00:00:00"/>
    <n v="-865"/>
    <n v="0"/>
    <n v="-1730"/>
    <m/>
    <x v="0"/>
    <n v="2"/>
  </r>
  <r>
    <s v="outbound"/>
    <d v="2025-06-04T15:27:00"/>
    <s v="shipment"/>
    <m/>
    <x v="439"/>
    <s v="EX24111302G05"/>
    <x v="46"/>
    <s v="extract_inhaled_labelled"/>
    <d v="2025-02-19T00:00:00"/>
    <n v="-12"/>
    <n v="0"/>
    <n v="-6"/>
    <m/>
    <x v="0"/>
    <n v="0.5"/>
  </r>
  <r>
    <s v="outbound"/>
    <d v="2025-06-04T15:27:00"/>
    <s v="shipment"/>
    <m/>
    <x v="556"/>
    <s v="EX25040806G05"/>
    <x v="53"/>
    <s v="extract_inhaled_labelled"/>
    <d v="2025-04-08T00:00:00"/>
    <n v="-12"/>
    <n v="0"/>
    <n v="-6"/>
    <m/>
    <x v="0"/>
    <n v="0.5"/>
  </r>
  <r>
    <s v="outbound"/>
    <d v="2025-06-05T00:00:00"/>
    <s v="shipment"/>
    <m/>
    <x v="615"/>
    <n v="2025042201"/>
    <x v="91"/>
    <s v="driedflower_bulk_BURB"/>
    <s v="NA"/>
    <n v="-1"/>
    <n v="-1060"/>
    <n v="0"/>
    <m/>
    <x v="1"/>
    <n v="0"/>
  </r>
  <r>
    <s v="outbound"/>
    <d v="2025-06-05T00:00:00"/>
    <s v="shipment"/>
    <m/>
    <x v="616"/>
    <n v="2025042201"/>
    <x v="91"/>
    <s v="driedflower_bulk_BURB"/>
    <s v="NA"/>
    <n v="-1"/>
    <n v="-1198"/>
    <n v="0"/>
    <m/>
    <x v="1"/>
    <n v="0"/>
  </r>
  <r>
    <s v="outbound"/>
    <d v="2025-06-05T00:00:00"/>
    <s v="shipment"/>
    <m/>
    <x v="617"/>
    <n v="2025042201"/>
    <x v="91"/>
    <s v="driedflower_bulk_BURB"/>
    <s v="NA"/>
    <n v="-1"/>
    <n v="-1058"/>
    <n v="0"/>
    <m/>
    <x v="1"/>
    <n v="0"/>
  </r>
  <r>
    <s v="outbound"/>
    <d v="2025-06-05T00:00:00"/>
    <s v="shipment"/>
    <m/>
    <x v="618"/>
    <n v="2025042201"/>
    <x v="91"/>
    <s v="driedflower_bulk_BURB"/>
    <s v="NA"/>
    <n v="-1"/>
    <n v="-1058"/>
    <n v="0"/>
    <m/>
    <x v="1"/>
    <n v="0"/>
  </r>
  <r>
    <s v="outbound"/>
    <d v="2025-06-05T00:00:00"/>
    <s v="shipment"/>
    <m/>
    <x v="619"/>
    <n v="2025042201"/>
    <x v="91"/>
    <s v="driedflower_bulk_BURB"/>
    <s v="NA"/>
    <n v="-1"/>
    <n v="-1154"/>
    <n v="0"/>
    <m/>
    <x v="1"/>
    <n v="0"/>
  </r>
  <r>
    <s v="outbound"/>
    <d v="2025-06-05T00:00:00"/>
    <s v="sampling"/>
    <s v="ROHAN250605_20 prerolls"/>
    <x v="609"/>
    <s v="PR2518"/>
    <x v="122"/>
    <s v="driedflower_milled_bulk_Rohan"/>
    <s v="NA"/>
    <n v="-1"/>
    <n v="-3880"/>
    <n v="0"/>
    <m/>
    <x v="1"/>
    <n v="0"/>
  </r>
  <r>
    <s v="outbound"/>
    <d v="2025-06-05T00:00:00"/>
    <s v="shipment"/>
    <s v="PO_507848"/>
    <x v="334"/>
    <s v="PR241104F5P3"/>
    <x v="18"/>
    <s v="preroll_labelled"/>
    <d v="2024-12-04T00:00:00"/>
    <n v="-36"/>
    <n v="0"/>
    <n v="-54"/>
    <m/>
    <x v="0"/>
    <n v="1.5"/>
  </r>
  <r>
    <s v="outbound"/>
    <d v="2025-06-06T00:00:00"/>
    <s v="shipment"/>
    <s v="PO_00023299"/>
    <x v="330"/>
    <s v="PR241102F5P3"/>
    <x v="30"/>
    <s v="preroll_labelled"/>
    <d v="2025-01-03T00:00:00"/>
    <n v="-24"/>
    <n v="0"/>
    <n v="-36"/>
    <m/>
    <x v="0"/>
    <n v="1.5"/>
  </r>
  <r>
    <s v="outbound"/>
    <d v="2025-06-06T00:00:00"/>
    <s v="shipment"/>
    <s v="PO_00023299"/>
    <x v="620"/>
    <s v="PR251701F5P3"/>
    <x v="19"/>
    <s v="preroll_labelled"/>
    <d v="2025-05-23T00:00:00"/>
    <n v="-24"/>
    <n v="0"/>
    <n v="-36"/>
    <m/>
    <x v="0"/>
    <n v="1.5"/>
  </r>
  <r>
    <s v="outbound"/>
    <d v="2025-06-06T00:00:00"/>
    <s v="shipment"/>
    <s v="PO_00023299"/>
    <x v="581"/>
    <s v="PR241103F5P3"/>
    <x v="20"/>
    <s v="preroll_labelled"/>
    <d v="2025-04-14T00:00:00"/>
    <n v="-24"/>
    <n v="0"/>
    <n v="-36"/>
    <m/>
    <x v="0"/>
    <n v="1.5"/>
  </r>
  <r>
    <s v="outbound"/>
    <d v="2025-06-06T00:00:00"/>
    <s v="shipment"/>
    <s v="PO_00023299"/>
    <x v="621"/>
    <s v="EX24111301G05"/>
    <x v="47"/>
    <s v="extract_inhaled_labelled"/>
    <d v="2025-04-16T00:00:00"/>
    <n v="-12"/>
    <n v="0"/>
    <n v="-6"/>
    <m/>
    <x v="0"/>
    <n v="0.5"/>
  </r>
  <r>
    <s v="outbound"/>
    <d v="2025-06-06T00:00:00"/>
    <s v="shipment"/>
    <s v="PO_00023299"/>
    <x v="622"/>
    <s v="EX24111301G05"/>
    <x v="47"/>
    <s v="extract_inhaled_labelled"/>
    <d v="2025-04-09T00:00:00"/>
    <n v="-12"/>
    <n v="0"/>
    <n v="-6"/>
    <m/>
    <x v="0"/>
    <n v="0.5"/>
  </r>
  <r>
    <s v="outbound"/>
    <d v="2025-06-06T00:00:00"/>
    <s v="shipment"/>
    <s v="PO_00023299"/>
    <x v="613"/>
    <s v="PR2516F5P10"/>
    <x v="88"/>
    <s v="preroll_labelled"/>
    <d v="2025-05-06T00:00:00"/>
    <n v="-24"/>
    <n v="0"/>
    <n v="-120"/>
    <m/>
    <x v="0"/>
    <n v="5"/>
  </r>
  <r>
    <s v="outbound"/>
    <d v="2025-06-06T00:00:00"/>
    <s v="shipment"/>
    <s v="PO_00023299"/>
    <x v="582"/>
    <s v="2024121801G7"/>
    <x v="83"/>
    <s v="driedflower_labelled"/>
    <d v="2025-04-16T00:00:00"/>
    <n v="-24"/>
    <n v="0"/>
    <n v="-168"/>
    <m/>
    <x v="0"/>
    <n v="7"/>
  </r>
  <r>
    <s v="outbound"/>
    <d v="2025-06-06T00:00:00"/>
    <s v="shipment"/>
    <s v="PO_00023299"/>
    <x v="623"/>
    <s v="PR251108F5P12"/>
    <x v="127"/>
    <s v="preroll_labelled"/>
    <d v="2025-05-26T00:00:00"/>
    <n v="-24"/>
    <n v="0"/>
    <n v="-144"/>
    <m/>
    <x v="0"/>
    <n v="6"/>
  </r>
  <r>
    <s v="outbound"/>
    <d v="2025-06-06T00:00:00"/>
    <s v="production"/>
    <s v="PR2512"/>
    <x v="496"/>
    <n v="2025030702"/>
    <x v="114"/>
    <s v="driedflower_bulk_Rohan"/>
    <s v="NA"/>
    <n v="-1"/>
    <n v="-5080"/>
    <n v="0"/>
    <m/>
    <x v="1"/>
    <n v="0"/>
  </r>
  <r>
    <s v="outbound"/>
    <d v="2025-06-09T12:00:00"/>
    <s v="shipment"/>
    <s v="PO_1128"/>
    <x v="613"/>
    <s v="PR2516F5P10"/>
    <x v="88"/>
    <s v="preroll_labelled"/>
    <d v="2025-05-06T00:00:00"/>
    <n v="-12"/>
    <n v="0"/>
    <n v="-60"/>
    <m/>
    <x v="0"/>
    <n v="5"/>
  </r>
  <r>
    <s v="outbound"/>
    <d v="2025-06-09T12:00:00"/>
    <s v="shipment"/>
    <s v="PO_1128"/>
    <x v="445"/>
    <s v="PR241101F5P3"/>
    <x v="19"/>
    <s v="preroll_labelled"/>
    <d v="2025-02-19T00:00:00"/>
    <n v="-5"/>
    <n v="0"/>
    <n v="-7.5"/>
    <m/>
    <x v="0"/>
    <n v="1.5"/>
  </r>
  <r>
    <s v="outbound"/>
    <d v="2025-06-09T12:00:00"/>
    <s v="shipment"/>
    <s v="PO_1128"/>
    <x v="599"/>
    <s v="PR251101F5P3"/>
    <x v="19"/>
    <s v="preroll_labelled"/>
    <d v="2025-04-23T00:00:00"/>
    <n v="-9"/>
    <n v="0"/>
    <n v="-13.5"/>
    <m/>
    <x v="0"/>
    <n v="1.5"/>
  </r>
  <r>
    <s v="outbound"/>
    <d v="2025-06-09T12:00:00"/>
    <s v="shipment"/>
    <s v="PO_1128"/>
    <x v="620"/>
    <s v="PR251701F5P3"/>
    <x v="19"/>
    <s v="preroll_labelled"/>
    <d v="2025-05-23T00:00:00"/>
    <n v="-10"/>
    <n v="0"/>
    <n v="-15"/>
    <m/>
    <x v="0"/>
    <n v="1.5"/>
  </r>
  <r>
    <s v="outbound"/>
    <d v="2025-06-09T12:00:00"/>
    <s v="shipment"/>
    <s v="PO_1128"/>
    <x v="330"/>
    <s v="PR241102F5P3"/>
    <x v="30"/>
    <s v="preroll_labelled"/>
    <d v="2025-01-03T00:00:00"/>
    <n v="-24"/>
    <n v="0"/>
    <n v="-36"/>
    <m/>
    <x v="0"/>
    <n v="1.5"/>
  </r>
  <r>
    <s v="outbound"/>
    <d v="2025-06-09T12:00:00"/>
    <s v="shipment"/>
    <s v="PO_1128"/>
    <x v="334"/>
    <s v="PR241104F5P3"/>
    <x v="18"/>
    <s v="preroll_labelled"/>
    <d v="2024-12-04T00:00:00"/>
    <n v="-24"/>
    <n v="0"/>
    <n v="-36"/>
    <m/>
    <x v="0"/>
    <n v="1.5"/>
  </r>
  <r>
    <s v="outbound"/>
    <d v="2025-06-09T12:00:00"/>
    <s v="shipment"/>
    <s v="PO_1128"/>
    <x v="614"/>
    <s v="PR2507F1P2"/>
    <x v="110"/>
    <s v="preroll_labelled"/>
    <d v="2025-05-22T00:00:00"/>
    <n v="-36"/>
    <n v="0"/>
    <n v="-72"/>
    <m/>
    <x v="0"/>
    <n v="2"/>
  </r>
  <r>
    <s v="outbound"/>
    <d v="2025-06-09T12:00:00"/>
    <s v="shipment"/>
    <s v="PO_1129"/>
    <x v="503"/>
    <s v="PR2301F5P3"/>
    <x v="42"/>
    <s v="preroll_labelled"/>
    <d v="2025-03-26T00:00:00"/>
    <n v="-12"/>
    <n v="0"/>
    <n v="-18"/>
    <m/>
    <x v="0"/>
    <n v="1.5"/>
  </r>
  <r>
    <s v="outbound"/>
    <d v="2025-06-09T12:00:00"/>
    <s v="shipment"/>
    <s v="PO_1129"/>
    <x v="602"/>
    <s v="ROGEX001G1"/>
    <x v="123"/>
    <s v="extract_inhaled_labelled_Rohan"/>
    <d v="2025-04-25T00:00:00"/>
    <n v="-24"/>
    <n v="0"/>
    <n v="-24"/>
    <m/>
    <x v="0"/>
    <n v="1"/>
  </r>
  <r>
    <s v="outbound"/>
    <d v="2025-06-09T12:00:00"/>
    <s v="shipment"/>
    <s v="PO_1129"/>
    <x v="587"/>
    <s v="PR2501INF5P3"/>
    <x v="128"/>
    <s v="preroll_labelled"/>
    <d v="2025-05-01T00:00:00"/>
    <n v="-12"/>
    <n v="0"/>
    <n v="-18"/>
    <m/>
    <x v="0"/>
    <n v="1.5"/>
  </r>
  <r>
    <s v="outbound"/>
    <d v="2025-06-09T12:00:00"/>
    <s v="shipment"/>
    <s v="PO_1129"/>
    <x v="583"/>
    <s v="LR23032101"/>
    <x v="141"/>
    <s v="extract_inhaled_labelled"/>
    <d v="2025-05-16T00:00:00"/>
    <n v="-12"/>
    <n v="0"/>
    <n v="-12"/>
    <m/>
    <x v="0"/>
    <n v="1"/>
  </r>
  <r>
    <s v="outbound"/>
    <d v="2025-06-09T12:00:00"/>
    <s v="shipment"/>
    <s v="PO_508181"/>
    <x v="323"/>
    <s v="TP21121701"/>
    <x v="82"/>
    <s v="topical_labelled"/>
    <d v="2024-12-23T00:00:00"/>
    <n v="-12"/>
    <n v="0"/>
    <n v="-1440"/>
    <m/>
    <x v="0"/>
    <n v="120"/>
  </r>
  <r>
    <s v="outbound"/>
    <d v="2025-06-09T12:00:00"/>
    <s v="shipment"/>
    <s v="PO_508181"/>
    <x v="235"/>
    <s v="EX23060701V30"/>
    <x v="22"/>
    <s v="extract_ingested_labelled"/>
    <d v="2024-10-31T00:00:00"/>
    <n v="-12"/>
    <n v="0"/>
    <n v="-328.79999999999995"/>
    <m/>
    <x v="0"/>
    <n v="27.4"/>
  </r>
  <r>
    <s v="outbound"/>
    <d v="2025-06-09T12:00:00"/>
    <s v="shipment"/>
    <m/>
    <x v="613"/>
    <s v="PR2516F5P10"/>
    <x v="88"/>
    <s v="preroll_labelled"/>
    <d v="2025-05-06T00:00:00"/>
    <n v="-64"/>
    <n v="0"/>
    <n v="-320"/>
    <m/>
    <x v="0"/>
    <n v="5"/>
  </r>
  <r>
    <s v="outbound"/>
    <d v="2025-06-09T12:00:00"/>
    <s v="production"/>
    <m/>
    <x v="421"/>
    <s v="PR2507"/>
    <x v="101"/>
    <s v="driedflower_milled_bulk"/>
    <s v="NA"/>
    <n v="-1"/>
    <n v="-3868"/>
    <n v="0"/>
    <m/>
    <x v="1"/>
    <n v="0"/>
  </r>
  <r>
    <s v="outbound"/>
    <d v="2025-06-09T12:00:00"/>
    <s v="production"/>
    <m/>
    <x v="624"/>
    <s v="PR2516"/>
    <x v="84"/>
    <s v="driedflower_milled_bulk"/>
    <s v="NA"/>
    <n v="-1"/>
    <n v="-5770"/>
    <n v="0"/>
    <m/>
    <x v="1"/>
    <n v="0"/>
  </r>
  <r>
    <s v="outbound"/>
    <d v="2025-06-10T15:00:00"/>
    <s v="shipment"/>
    <s v="PO_1130"/>
    <x v="570"/>
    <s v="EX25041401V30"/>
    <x v="44"/>
    <s v="extract_ingested_labelled"/>
    <d v="2025-04-30T00:00:00"/>
    <n v="-12"/>
    <n v="0"/>
    <n v="-327.60000000000002"/>
    <m/>
    <x v="0"/>
    <n v="27.3"/>
  </r>
  <r>
    <s v="outbound"/>
    <d v="2025-06-10T15:00:00"/>
    <s v="shipment"/>
    <s v="PO_1130"/>
    <x v="337"/>
    <s v="2024101703G7"/>
    <x v="83"/>
    <s v="driedflower_labelled"/>
    <d v="2024-11-22T00:00:00"/>
    <n v="-10"/>
    <n v="0"/>
    <n v="-70"/>
    <m/>
    <x v="0"/>
    <n v="7"/>
  </r>
  <r>
    <s v="outbound"/>
    <d v="2025-06-10T15:00:00"/>
    <s v="shipment"/>
    <s v="PO_1130"/>
    <x v="625"/>
    <s v="2024121801G7"/>
    <x v="83"/>
    <s v="driedflower_labelled"/>
    <d v="2025-03-05T00:00:00"/>
    <n v="-2"/>
    <n v="0"/>
    <n v="-14"/>
    <m/>
    <x v="0"/>
    <n v="7"/>
  </r>
  <r>
    <s v="outbound"/>
    <d v="2025-06-10T15:00:00"/>
    <s v="shipment"/>
    <s v="PO_1131"/>
    <x v="587"/>
    <s v="PR2501INF5P3"/>
    <x v="128"/>
    <s v="preroll_labelled"/>
    <d v="2025-05-01T00:00:00"/>
    <n v="-36"/>
    <n v="0"/>
    <n v="-54"/>
    <m/>
    <x v="0"/>
    <n v="1.5"/>
  </r>
  <r>
    <s v="outbound"/>
    <d v="2025-06-10T15:00:00"/>
    <s v="shipment"/>
    <s v="PO_1131"/>
    <x v="602"/>
    <s v="ROGEX001G1"/>
    <x v="123"/>
    <s v="extract_inhaled_labelled_Rohan"/>
    <d v="2025-04-25T00:00:00"/>
    <n v="-12"/>
    <n v="0"/>
    <n v="-12"/>
    <m/>
    <x v="0"/>
    <n v="1"/>
  </r>
  <r>
    <s v="outbound"/>
    <d v="2025-06-11T15:00:00"/>
    <s v="sampling"/>
    <s v="OKSANA250610"/>
    <x v="438"/>
    <s v="EX25020601G1"/>
    <x v="107"/>
    <s v="extract_inhaled_labelled"/>
    <d v="2025-02-19T00:00:00"/>
    <n v="-1"/>
    <n v="0"/>
    <n v="-1"/>
    <m/>
    <x v="0"/>
    <n v="1"/>
  </r>
  <r>
    <s v="outbound"/>
    <d v="2025-06-11T15:00:00"/>
    <s v="sampling"/>
    <s v="OKSANA250610"/>
    <x v="344"/>
    <s v="TP24101701"/>
    <x v="2"/>
    <s v="topical_labelled"/>
    <d v="2024-10-23T00:00:00"/>
    <n v="-1"/>
    <n v="0"/>
    <n v="-88"/>
    <m/>
    <x v="0"/>
    <n v="88"/>
  </r>
  <r>
    <s v="outbound"/>
    <d v="2025-06-11T15:00:00"/>
    <s v="sampling"/>
    <s v="OKSANA250610"/>
    <x v="623"/>
    <s v="PR251108F5P12"/>
    <x v="127"/>
    <s v="preroll_labelled"/>
    <d v="2025-05-26T00:00:00"/>
    <n v="-1"/>
    <n v="0"/>
    <n v="-6"/>
    <m/>
    <x v="0"/>
    <n v="6"/>
  </r>
  <r>
    <s v="outbound"/>
    <d v="2025-06-11T15:00:00"/>
    <s v="sampling"/>
    <s v="OKSANA250610"/>
    <x v="625"/>
    <s v="2024121801G7"/>
    <x v="83"/>
    <s v="driedflower_labelled"/>
    <d v="2025-03-05T00:00:00"/>
    <n v="-1"/>
    <n v="0"/>
    <n v="-7"/>
    <m/>
    <x v="0"/>
    <n v="7"/>
  </r>
  <r>
    <s v="outbound"/>
    <d v="2025-06-11T15:00:00"/>
    <s v="sampling"/>
    <s v="OKSANA250610"/>
    <x v="626"/>
    <s v="PR251107F5"/>
    <x v="125"/>
    <s v="preroll_bulk"/>
    <s v="NA"/>
    <n v="-40"/>
    <n v="0"/>
    <n v="-20"/>
    <m/>
    <x v="0"/>
    <n v="0.5"/>
  </r>
  <r>
    <s v="outbound"/>
    <d v="2025-06-12T15:00:00"/>
    <s v="sampling"/>
    <s v="BIAO250612"/>
    <x v="509"/>
    <s v="TP25021901"/>
    <x v="2"/>
    <s v="topical_labelled"/>
    <d v="2025-02-26T00:00:00"/>
    <n v="-1"/>
    <n v="0"/>
    <n v="-88"/>
    <m/>
    <x v="0"/>
    <n v="88"/>
  </r>
  <r>
    <s v="outbound"/>
    <d v="2025-06-13T15:00:00"/>
    <s v="shipment"/>
    <s v="PO_1133"/>
    <x v="623"/>
    <s v="PR251108F5P12"/>
    <x v="127"/>
    <s v="preroll_labelled"/>
    <d v="2025-05-26T00:00:00"/>
    <n v="-48"/>
    <n v="0"/>
    <n v="-288"/>
    <m/>
    <x v="0"/>
    <n v="6"/>
  </r>
  <r>
    <s v="outbound"/>
    <d v="2025-06-13T15:00:00"/>
    <s v="production"/>
    <m/>
    <x v="560"/>
    <s v="PR2516"/>
    <x v="84"/>
    <s v="driedflower_milled_bulk"/>
    <s v="NA"/>
    <n v="-1"/>
    <n v="-1878"/>
    <n v="0"/>
    <m/>
    <x v="1"/>
    <n v="0"/>
  </r>
  <r>
    <s v="inbound"/>
    <d v="2025-06-13T15:00:00"/>
    <s v="storage"/>
    <m/>
    <x v="421"/>
    <s v="PR2507"/>
    <x v="101"/>
    <s v="driedflower_milled_bulk"/>
    <s v="NA"/>
    <n v="1"/>
    <n v="2064"/>
    <n v="0"/>
    <m/>
    <x v="1"/>
    <n v="0"/>
  </r>
  <r>
    <s v="inbound"/>
    <d v="2025-06-13T15:00:00"/>
    <s v="storage"/>
    <m/>
    <x v="617"/>
    <n v="2025042201"/>
    <x v="91"/>
    <s v="driedflower_bulk_BURB"/>
    <s v="NA"/>
    <n v="1"/>
    <n v="240"/>
    <n v="0"/>
    <m/>
    <x v="1"/>
    <n v="0"/>
  </r>
  <r>
    <s v="outbound"/>
    <d v="2025-06-16T15:00:00"/>
    <s v="shipment"/>
    <s v="PO_1133 AND PO_1134"/>
    <x v="582"/>
    <s v="2024121801G7"/>
    <x v="83"/>
    <s v="driedflower_labelled"/>
    <d v="2025-04-16T00:00:00"/>
    <n v="-24"/>
    <n v="0"/>
    <n v="-168"/>
    <m/>
    <x v="0"/>
    <n v="7"/>
  </r>
  <r>
    <s v="outbound"/>
    <d v="2025-06-16T15:00:00"/>
    <s v="production"/>
    <m/>
    <x v="627"/>
    <s v="PR251709F5"/>
    <x v="119"/>
    <s v="preroll_bulk"/>
    <s v="NA"/>
    <n v="-141"/>
    <n v="0"/>
    <n v="-70.5"/>
    <m/>
    <x v="0"/>
    <n v="0.5"/>
  </r>
  <r>
    <s v="outbound"/>
    <d v="2025-06-16T15:00:00"/>
    <s v="production"/>
    <m/>
    <x v="628"/>
    <s v="PR251706F5"/>
    <x v="118"/>
    <s v="preroll_bulk"/>
    <s v="NA"/>
    <n v="-62"/>
    <n v="0"/>
    <n v="-31"/>
    <m/>
    <x v="0"/>
    <n v="0.5"/>
  </r>
  <r>
    <s v="outbound"/>
    <d v="2025-06-16T15:00:00"/>
    <s v="shipment"/>
    <m/>
    <x v="629"/>
    <s v="EX25050501V50"/>
    <x v="97"/>
    <s v="extract_ingested_cased_ON"/>
    <d v="2025-05-13T00:00:00"/>
    <n v="-10"/>
    <n v="0"/>
    <n v="-6000"/>
    <m/>
    <x v="0"/>
    <n v="600"/>
  </r>
  <r>
    <s v="outbound"/>
    <d v="2025-06-16T15:00:00"/>
    <s v="shipment"/>
    <m/>
    <x v="595"/>
    <s v="EX25050501V50"/>
    <x v="97"/>
    <s v="extract_ingested_packaged"/>
    <d v="2025-05-13T00:00:00"/>
    <n v="-482"/>
    <n v="0"/>
    <n v="-24100"/>
    <m/>
    <x v="0"/>
    <n v="50"/>
  </r>
  <r>
    <s v="outbound"/>
    <d v="2025-06-16T15:00:00"/>
    <s v="shipment"/>
    <s v="PO_1136"/>
    <x v="583"/>
    <s v="LR23032101"/>
    <x v="141"/>
    <s v="extract_inhaled_labelled"/>
    <d v="2025-05-16T00:00:00"/>
    <n v="-12"/>
    <n v="0"/>
    <n v="-12"/>
    <m/>
    <x v="0"/>
    <n v="1"/>
  </r>
  <r>
    <s v="outbound"/>
    <d v="2025-06-16T15:00:00"/>
    <s v="shipment"/>
    <s v="PO_1136"/>
    <x v="600"/>
    <s v="EX25041401V30"/>
    <x v="44"/>
    <s v="extract_ingested_labelled"/>
    <d v="2025-04-30T00:00:00"/>
    <n v="-24"/>
    <n v="0"/>
    <n v="-655.20000000000005"/>
    <m/>
    <x v="0"/>
    <n v="27.3"/>
  </r>
  <r>
    <s v="outbound"/>
    <d v="2025-06-16T15:00:00"/>
    <s v="shipment"/>
    <s v="PO_512279"/>
    <x v="241"/>
    <s v="PR241104F5P3"/>
    <x v="18"/>
    <s v="preroll_labelled"/>
    <d v="2024-10-23T00:00:00"/>
    <n v="-12"/>
    <n v="0"/>
    <n v="-18"/>
    <m/>
    <x v="0"/>
    <n v="1.5"/>
  </r>
  <r>
    <s v="outbound"/>
    <d v="2025-06-16T15:00:00"/>
    <s v="production"/>
    <m/>
    <x v="630"/>
    <n v="2024121801"/>
    <x v="100"/>
    <s v="driedflower_bulk_small"/>
    <s v="NA"/>
    <n v="-1"/>
    <n v="-510"/>
    <n v="0"/>
    <m/>
    <x v="1"/>
    <n v="0"/>
  </r>
  <r>
    <s v="outbound"/>
    <d v="2025-06-16T15:00:00"/>
    <s v="production"/>
    <m/>
    <x v="489"/>
    <n v="2024121801"/>
    <x v="100"/>
    <s v="driedflower_bulk_big"/>
    <s v="NA"/>
    <n v="-1"/>
    <n v="-2038"/>
    <n v="0"/>
    <m/>
    <x v="1"/>
    <n v="0"/>
  </r>
  <r>
    <s v="outbound"/>
    <d v="2025-06-17T15:00:00"/>
    <s v="sampling"/>
    <s v="rohan20250613"/>
    <x v="631"/>
    <s v="PR2502INF5P3"/>
    <x v="128"/>
    <s v="preroll_labelled"/>
    <d v="2025-06-18T00:00:00"/>
    <n v="-4"/>
    <n v="0"/>
    <n v="-6"/>
    <m/>
    <x v="0"/>
    <n v="1.5"/>
  </r>
  <r>
    <s v="outbound"/>
    <d v="2025-06-17T15:00:00"/>
    <s v="sampling"/>
    <s v="rohan20250613"/>
    <x v="491"/>
    <s v="EX25020601G05"/>
    <x v="111"/>
    <s v="extract_inhaled_labelled"/>
    <d v="2025-02-14T00:00:00"/>
    <n v="-5"/>
    <n v="0"/>
    <n v="-2.5"/>
    <m/>
    <x v="0"/>
    <n v="0.5"/>
  </r>
  <r>
    <s v="inbound"/>
    <d v="2025-06-17T15:00:00"/>
    <s v="storage"/>
    <m/>
    <x v="486"/>
    <n v="2025030702"/>
    <x v="114"/>
    <s v="driedflower_bulk_Rohan"/>
    <s v="NA"/>
    <n v="1"/>
    <n v="3543"/>
    <n v="0"/>
    <m/>
    <x v="1"/>
    <n v="0"/>
  </r>
  <r>
    <s v="outbound"/>
    <d v="2025-06-17T15:00:00"/>
    <s v="production"/>
    <m/>
    <x v="421"/>
    <s v="PR2507"/>
    <x v="101"/>
    <s v="driedflower_milled_bulk"/>
    <s v="NA"/>
    <n v="0"/>
    <n v="-12"/>
    <n v="0"/>
    <m/>
    <x v="1"/>
    <n v="0"/>
  </r>
  <r>
    <s v="outbound"/>
    <d v="2025-06-17T15:00:00"/>
    <s v="production"/>
    <m/>
    <x v="632"/>
    <s v="PR2512"/>
    <x v="122"/>
    <s v="diredflower_milled_bulk_Rohan"/>
    <s v="NA"/>
    <n v="-1"/>
    <n v="-4366"/>
    <n v="0"/>
    <m/>
    <x v="1"/>
    <n v="0"/>
  </r>
  <r>
    <s v="inbound"/>
    <d v="2025-06-17T15:00:00"/>
    <s v="storage"/>
    <m/>
    <x v="613"/>
    <s v="PR2516F5P10"/>
    <x v="88"/>
    <s v="preroll_labelled"/>
    <d v="2025-05-06T00:00:00"/>
    <n v="52"/>
    <n v="0"/>
    <n v="260"/>
    <m/>
    <x v="0"/>
    <n v="5"/>
  </r>
  <r>
    <s v="inbound"/>
    <d v="2025-06-17T15:00:00"/>
    <s v="storage"/>
    <m/>
    <x v="595"/>
    <s v="EX25050501V50"/>
    <x v="97"/>
    <s v="extract_ingested_packaged"/>
    <d v="2025-05-13T00:00:00"/>
    <n v="338"/>
    <n v="0"/>
    <n v="16900"/>
    <m/>
    <x v="0"/>
    <n v="50"/>
  </r>
  <r>
    <s v="outbound"/>
    <d v="2025-06-18T00:00:00"/>
    <s v="production"/>
    <s v="labelling"/>
    <x v="631"/>
    <s v="PR2502INF5P3"/>
    <x v="128"/>
    <s v="preroll_labelled"/>
    <d v="2025-06-18T00:00:00"/>
    <n v="-1094"/>
    <n v="0"/>
    <n v="-1641"/>
    <m/>
    <x v="0"/>
    <n v="1.5"/>
  </r>
  <r>
    <s v="outbound"/>
    <d v="2025-06-18T00:00:00"/>
    <s v="shipment"/>
    <s v="PO_1137"/>
    <x v="602"/>
    <s v="ROGEX001G1"/>
    <x v="123"/>
    <s v="extract_inhaled_labelled_Rohan"/>
    <d v="2025-04-25T00:00:00"/>
    <n v="-12"/>
    <n v="0"/>
    <n v="-12"/>
    <m/>
    <x v="0"/>
    <n v="1"/>
  </r>
  <r>
    <s v="outbound"/>
    <d v="2025-06-18T00:00:00"/>
    <s v="shipment"/>
    <s v="PO_1137"/>
    <x v="613"/>
    <s v="PR2516F5P10"/>
    <x v="88"/>
    <s v="preroll_labelled"/>
    <d v="2025-05-06T00:00:00"/>
    <n v="-12"/>
    <n v="0"/>
    <n v="-60"/>
    <m/>
    <x v="0"/>
    <n v="5"/>
  </r>
  <r>
    <s v="outbound"/>
    <d v="2025-06-18T00:00:00"/>
    <s v="shipment"/>
    <s v="PO_1137"/>
    <x v="585"/>
    <s v="EX24111302G05"/>
    <x v="46"/>
    <s v="extract_inhaled_cased_SK_RTV"/>
    <d v="2024-11-27T00:00:00"/>
    <n v="-1"/>
    <n v="0"/>
    <n v="-6"/>
    <m/>
    <x v="0"/>
    <n v="6"/>
  </r>
  <r>
    <s v="outbound"/>
    <d v="2025-06-18T00:00:00"/>
    <s v="production"/>
    <m/>
    <x v="307"/>
    <n v="2024111803"/>
    <x v="79"/>
    <s v="driedflower_bulk"/>
    <s v="NA"/>
    <n v="-1"/>
    <n v="-2580"/>
    <n v="0"/>
    <m/>
    <x v="1"/>
    <n v="0"/>
  </r>
  <r>
    <s v="outbound"/>
    <d v="2025-06-18T00:00:00"/>
    <s v="production"/>
    <m/>
    <x v="306"/>
    <n v="2024111803"/>
    <x v="79"/>
    <s v="driedflower_bulk"/>
    <s v="NA"/>
    <n v="-1"/>
    <n v="-1210"/>
    <n v="0"/>
    <m/>
    <x v="1"/>
    <n v="0"/>
  </r>
  <r>
    <s v="outbound"/>
    <d v="2025-06-19T00:00:00"/>
    <s v="shipment"/>
    <s v="PO_1138"/>
    <x v="573"/>
    <s v="PR2303IN02F5P3"/>
    <x v="139"/>
    <s v="infusedpreroll_cased_AB_RTV"/>
    <d v="2024-07-05T00:00:00"/>
    <n v="-2"/>
    <n v="0"/>
    <n v="-18"/>
    <m/>
    <x v="0"/>
    <n v="9"/>
  </r>
  <r>
    <s v="outbound"/>
    <d v="2025-06-19T00:00:00"/>
    <s v="shipment"/>
    <s v="PO_1138"/>
    <x v="602"/>
    <s v="ROGEX001G1"/>
    <x v="123"/>
    <s v="extract_inhaled_labelled_Rohan"/>
    <d v="2025-04-25T00:00:00"/>
    <n v="-12"/>
    <n v="0"/>
    <n v="-12"/>
    <m/>
    <x v="0"/>
    <n v="1"/>
  </r>
  <r>
    <s v="outbound"/>
    <d v="2025-06-19T00:00:00"/>
    <s v="shipment"/>
    <s v="PO_1138"/>
    <x v="585"/>
    <s v="EX24111302G05"/>
    <x v="46"/>
    <s v="extract_inhaled_cased_SK_RTV"/>
    <d v="2024-11-27T00:00:00"/>
    <n v="-1"/>
    <n v="0"/>
    <n v="-6"/>
    <m/>
    <x v="0"/>
    <n v="6"/>
  </r>
  <r>
    <s v="outbound"/>
    <d v="2025-06-20T10:00:00"/>
    <s v="production"/>
    <m/>
    <x v="633"/>
    <s v="ROGEX003"/>
    <x v="116"/>
    <s v="extract_inhaled_bulk_Rohan"/>
    <s v="NA"/>
    <n v="-1"/>
    <n v="-3282"/>
    <n v="0"/>
    <m/>
    <x v="1"/>
    <n v="0"/>
  </r>
  <r>
    <s v="outbound"/>
    <d v="2025-06-20T10:00:00"/>
    <s v="shipment"/>
    <s v="PO_1139"/>
    <x v="585"/>
    <s v="EX24111302G05"/>
    <x v="46"/>
    <s v="extract_inhaled_cased_SK_RTV"/>
    <d v="2024-11-27T00:00:00"/>
    <n v="-3"/>
    <n v="0"/>
    <n v="-18"/>
    <m/>
    <x v="0"/>
    <n v="6"/>
  </r>
  <r>
    <s v="outbound"/>
    <d v="2025-06-20T10:00:00"/>
    <s v="shipment"/>
    <s v="PO_1139"/>
    <x v="572"/>
    <s v="PR21071201G5"/>
    <x v="42"/>
    <s v="preroll_labelled"/>
    <d v="2025-05-02T00:00:00"/>
    <n v="-24"/>
    <n v="0"/>
    <n v="-36"/>
    <m/>
    <x v="0"/>
    <n v="1.5"/>
  </r>
  <r>
    <s v="outbound"/>
    <d v="2025-06-20T10:00:00"/>
    <s v="shipment"/>
    <s v="PO_1139"/>
    <x v="584"/>
    <s v="EX24111306G05"/>
    <x v="53"/>
    <s v="extract_inhaled_cased_MB"/>
    <d v="2024-11-27T00:00:00"/>
    <n v="-1"/>
    <n v="0"/>
    <n v="-6"/>
    <m/>
    <x v="0"/>
    <n v="6"/>
  </r>
  <r>
    <s v="outbound"/>
    <d v="2025-06-20T10:00:00"/>
    <s v="shipment"/>
    <s v="PO_1139"/>
    <x v="601"/>
    <s v="EX24082906G05"/>
    <x v="53"/>
    <s v="extract_inhaled_cased_MB"/>
    <d v="2024-10-16T00:00:00"/>
    <n v="-1"/>
    <n v="0"/>
    <n v="-6"/>
    <m/>
    <x v="0"/>
    <n v="6"/>
  </r>
  <r>
    <s v="outbound"/>
    <d v="2025-06-20T10:00:00"/>
    <s v="shipment"/>
    <s v="PO_1139"/>
    <x v="590"/>
    <s v="EX24111306G05"/>
    <x v="53"/>
    <s v="extract_inhaled_cased_SK_RTV"/>
    <d v="2024-11-27T00:00:00"/>
    <n v="-1"/>
    <n v="0"/>
    <n v="-6"/>
    <m/>
    <x v="0"/>
    <n v="6"/>
  </r>
  <r>
    <s v="outbound"/>
    <d v="2025-06-20T10:00:00"/>
    <s v="shipment"/>
    <s v="PO_1139"/>
    <x v="634"/>
    <s v="PR2407F5P3"/>
    <x v="31"/>
    <s v="preroll_packaged"/>
    <s v="NA"/>
    <n v="-230"/>
    <n v="0"/>
    <n v="-345"/>
    <m/>
    <x v="0"/>
    <n v="1.5"/>
  </r>
  <r>
    <s v="outbound"/>
    <d v="2025-06-20T10:00:00"/>
    <s v="shipment"/>
    <s v="PO_75310"/>
    <x v="635"/>
    <s v="PR2516F5P10"/>
    <x v="88"/>
    <s v="preroll_labelled"/>
    <d v="2025-06-13T00:00:00"/>
    <n v="-577"/>
    <n v="0"/>
    <n v="-2885"/>
    <m/>
    <x v="0"/>
    <n v="5"/>
  </r>
  <r>
    <s v="outbound"/>
    <d v="2025-06-20T14:00:00"/>
    <s v="shipment"/>
    <m/>
    <x v="550"/>
    <s v="EX24092701V30"/>
    <x v="136"/>
    <s v="extract_ingested_packaged_WT"/>
    <s v="NA"/>
    <n v="-71"/>
    <n v="0"/>
    <n v="-1959.6000000000001"/>
    <m/>
    <x v="0"/>
    <n v="27.6"/>
  </r>
  <r>
    <s v="outbound"/>
    <d v="2025-06-20T14:00:00"/>
    <s v="shipment"/>
    <n v="549"/>
    <x v="551"/>
    <s v="EX24092701V30"/>
    <x v="136"/>
    <s v="extract_ingested_packaged_WT"/>
    <d v="2024-12-07T00:00:00"/>
    <n v="-37"/>
    <n v="0"/>
    <n v="-1021.2"/>
    <m/>
    <x v="0"/>
    <n v="27.6"/>
  </r>
  <r>
    <s v="outbound"/>
    <d v="2025-06-20T14:00:00"/>
    <s v="shipment"/>
    <m/>
    <x v="548"/>
    <s v="EX24092701V30"/>
    <x v="136"/>
    <s v="extract_ingested_packaged_WT"/>
    <d v="2024-12-07T00:00:00"/>
    <n v="-233"/>
    <n v="0"/>
    <n v="-6430.8"/>
    <m/>
    <x v="0"/>
    <n v="27.6"/>
  </r>
  <r>
    <s v="outbound"/>
    <d v="2025-06-20T14:00:00"/>
    <s v="shipment"/>
    <m/>
    <x v="549"/>
    <s v="EX24092701V30"/>
    <x v="136"/>
    <s v="extract_ingested_packaged_WT"/>
    <d v="2024-12-07T00:00:00"/>
    <n v="-230"/>
    <n v="0"/>
    <n v="-6348"/>
    <m/>
    <x v="0"/>
    <n v="27.6"/>
  </r>
  <r>
    <s v="outbound"/>
    <d v="2025-06-20T14:00:00"/>
    <s v="shipment"/>
    <s v="SKDD"/>
    <x v="547"/>
    <s v="FP23006"/>
    <x v="135"/>
    <s v="extract_inhaled_labelled_WT"/>
    <d v="2025-02-01T00:00:00"/>
    <n v="-18"/>
    <n v="0"/>
    <n v="-18"/>
    <m/>
    <x v="0"/>
    <n v="1"/>
  </r>
  <r>
    <s v="outbound"/>
    <d v="2025-06-20T14:00:00"/>
    <s v="shipment"/>
    <s v="SKDD"/>
    <x v="425"/>
    <s v="DI22110901V30"/>
    <x v="103"/>
    <s v="extract_ingested_labelled_WT"/>
    <d v="2022-12-12T00:00:00"/>
    <n v="-12"/>
    <n v="0"/>
    <n v="-12"/>
    <m/>
    <x v="0"/>
    <n v="1"/>
  </r>
  <r>
    <s v="outbound"/>
    <d v="2025-06-20T14:00:00"/>
    <s v="shipment"/>
    <s v="SKDD"/>
    <x v="545"/>
    <s v="CW2103051"/>
    <x v="133"/>
    <s v="extract_inhaled_labelled_WT"/>
    <d v="2022-02-09T00:00:00"/>
    <n v="-6"/>
    <n v="0"/>
    <n v="-6"/>
    <m/>
    <x v="0"/>
    <n v="1"/>
  </r>
  <r>
    <s v="outbound"/>
    <d v="2025-06-20T14:00:00"/>
    <s v="shipment"/>
    <s v="destru"/>
    <x v="636"/>
    <s v="EX24101601"/>
    <x v="143"/>
    <s v="extract_ingested_bulk_WT"/>
    <s v="NA"/>
    <n v="-1"/>
    <n v="-5640"/>
    <n v="0"/>
    <m/>
    <x v="1"/>
    <n v="0"/>
  </r>
  <r>
    <s v="outbound"/>
    <d v="2025-06-20T14:00:00"/>
    <s v="shipment"/>
    <s v="destru"/>
    <x v="637"/>
    <s v="EX24101601"/>
    <x v="143"/>
    <s v="extract_ingested_bulk_WT"/>
    <s v="NA"/>
    <n v="-1"/>
    <n v="-17450"/>
    <n v="0"/>
    <m/>
    <x v="1"/>
    <n v="0"/>
  </r>
  <r>
    <s v="outbound"/>
    <d v="2025-06-20T14:00:00"/>
    <s v="shipment"/>
    <s v="destru"/>
    <x v="638"/>
    <s v="EX24101601"/>
    <x v="143"/>
    <s v="extract_ingested_bulk_WT"/>
    <s v="NA"/>
    <n v="-1"/>
    <n v="-7845"/>
    <n v="0"/>
    <m/>
    <x v="1"/>
    <n v="0"/>
  </r>
  <r>
    <s v="outbound"/>
    <d v="2025-06-20T14:00:00"/>
    <s v="shipment"/>
    <m/>
    <x v="639"/>
    <s v="CW21032701"/>
    <x v="144"/>
    <s v="extract_inhaled_packaged_WT"/>
    <s v="NA"/>
    <n v="-353"/>
    <n v="0"/>
    <n v="-353"/>
    <m/>
    <x v="0"/>
    <n v="1"/>
  </r>
  <r>
    <s v="outbound"/>
    <d v="2025-06-20T14:00:00"/>
    <s v="shipment"/>
    <m/>
    <x v="640"/>
    <s v="RP24-001"/>
    <x v="145"/>
    <s v="extract_inhaled_bulk_WT"/>
    <s v="NA"/>
    <n v="-1"/>
    <n v="-1175"/>
    <n v="0"/>
    <m/>
    <x v="1"/>
    <n v="0"/>
  </r>
  <r>
    <s v="outbound"/>
    <d v="2025-06-20T14:00:00"/>
    <s v="shipment"/>
    <s v="SKDD"/>
    <x v="546"/>
    <s v="RP24001"/>
    <x v="134"/>
    <s v="extract_inhaled_labelled_WT"/>
    <d v="2024-09-08T00:00:00"/>
    <n v="-6"/>
    <n v="0"/>
    <n v="-6"/>
    <m/>
    <x v="0"/>
    <n v="1"/>
  </r>
  <r>
    <s v="outbound"/>
    <d v="2025-06-20T14:00:00"/>
    <s v="shipment"/>
    <m/>
    <x v="641"/>
    <s v="WX20210224-01A"/>
    <x v="146"/>
    <s v="extract_inhaled_labelled_WT"/>
    <d v="2021-08-07T00:00:00"/>
    <n v="-408"/>
    <n v="0"/>
    <n v="-408"/>
    <m/>
    <x v="0"/>
    <n v="1"/>
  </r>
  <r>
    <s v="outbound"/>
    <d v="2025-06-20T14:00:00"/>
    <s v="shipment"/>
    <m/>
    <x v="642"/>
    <s v="CW21042501"/>
    <x v="147"/>
    <s v="extract_inhaled_packaged_WT"/>
    <d v="2021-08-07T00:00:00"/>
    <n v="-211"/>
    <n v="0"/>
    <n v="-211"/>
    <m/>
    <x v="0"/>
    <n v="1"/>
  </r>
  <r>
    <s v="outbound"/>
    <d v="2025-06-20T14:00:00"/>
    <s v="shipment"/>
    <m/>
    <x v="643"/>
    <s v="BH201214"/>
    <x v="148"/>
    <s v="extract_inhaled_labelled_WT"/>
    <d v="2021-03-06T00:00:00"/>
    <n v="-733"/>
    <n v="0"/>
    <n v="-733"/>
    <m/>
    <x v="0"/>
    <n v="1"/>
  </r>
  <r>
    <s v="outbound"/>
    <d v="2025-06-20T14:00:00"/>
    <s v="shipment"/>
    <s v="SKDD"/>
    <x v="544"/>
    <s v="CW22011701"/>
    <x v="132"/>
    <s v="extract_inhaled_labelled_WT"/>
    <d v="2022-11-14T00:00:00"/>
    <n v="-387"/>
    <n v="0"/>
    <n v="-387"/>
    <m/>
    <x v="0"/>
    <n v="1"/>
  </r>
  <r>
    <s v="outbound"/>
    <d v="2025-06-20T14:00:00"/>
    <s v="shipment"/>
    <m/>
    <x v="644"/>
    <s v="WX2021021102A"/>
    <x v="149"/>
    <s v="extract_inhaled_packaged_WT"/>
    <s v="NA"/>
    <n v="-290"/>
    <n v="0"/>
    <n v="-290"/>
    <m/>
    <x v="0"/>
    <n v="1"/>
  </r>
  <r>
    <s v="outbound"/>
    <d v="2025-06-20T14:00:00"/>
    <s v="shipment"/>
    <s v="SKDD"/>
    <x v="426"/>
    <s v="DI22120501V30"/>
    <x v="104"/>
    <s v="extract_ingested_labelled_WT"/>
    <d v="2023-01-28T00:00:00"/>
    <n v="-12"/>
    <n v="0"/>
    <n v="-333.6"/>
    <m/>
    <x v="0"/>
    <n v="27.8"/>
  </r>
  <r>
    <s v="outbound"/>
    <d v="2025-06-20T14:00:00"/>
    <s v="shipment"/>
    <s v="PO_515049"/>
    <x v="334"/>
    <s v="PR241104F5P3"/>
    <x v="18"/>
    <s v="preroll_labelled"/>
    <d v="2024-12-04T00:00:00"/>
    <n v="-48"/>
    <n v="0"/>
    <n v="-72"/>
    <m/>
    <x v="0"/>
    <n v="1.5"/>
  </r>
  <r>
    <s v="outbound"/>
    <d v="2025-06-20T14:00:00"/>
    <s v="production"/>
    <s v="milling"/>
    <x v="645"/>
    <n v="2022051601"/>
    <x v="66"/>
    <s v="driedflower_bulk"/>
    <d v="2022-09-26T00:00:00"/>
    <n v="-1"/>
    <n v="-1126"/>
    <n v="0"/>
    <m/>
    <x v="1"/>
    <n v="0"/>
  </r>
  <r>
    <s v="outbound"/>
    <d v="2025-06-20T14:00:00"/>
    <s v="production"/>
    <s v="milling"/>
    <x v="646"/>
    <n v="2022051601"/>
    <x v="66"/>
    <s v="driedflower_bulk"/>
    <d v="2022-09-26T00:00:00"/>
    <n v="-1"/>
    <n v="-1044"/>
    <n v="0"/>
    <m/>
    <x v="1"/>
    <n v="0"/>
  </r>
  <r>
    <s v="outbound"/>
    <d v="2025-06-20T14:00:00"/>
    <s v="production"/>
    <s v="milling"/>
    <x v="647"/>
    <n v="2022051601"/>
    <x v="66"/>
    <s v="driedflower_bulk"/>
    <d v="2022-09-26T00:00:00"/>
    <n v="-1"/>
    <n v="-1039"/>
    <n v="0"/>
    <m/>
    <x v="1"/>
    <n v="0"/>
  </r>
  <r>
    <s v="outbound"/>
    <d v="2025-06-20T14:00:00"/>
    <s v="production"/>
    <s v="milling"/>
    <x v="648"/>
    <n v="2022051601"/>
    <x v="66"/>
    <s v="driedflower_bulk"/>
    <d v="2022-09-26T00:00:00"/>
    <n v="-1"/>
    <n v="-1046"/>
    <n v="0"/>
    <m/>
    <x v="1"/>
    <n v="0"/>
  </r>
  <r>
    <s v="outbound"/>
    <d v="2025-06-20T14:00:00"/>
    <s v="production"/>
    <s v="milling"/>
    <x v="649"/>
    <n v="2022051601"/>
    <x v="66"/>
    <s v="driedflower_bulk"/>
    <d v="2022-09-26T00:00:00"/>
    <n v="-1"/>
    <n v="-1048"/>
    <n v="0"/>
    <m/>
    <x v="1"/>
    <n v="0"/>
  </r>
  <r>
    <s v="outbound"/>
    <d v="2025-06-23T10:00:00"/>
    <s v="shipment"/>
    <s v="PO_1140"/>
    <x v="590"/>
    <s v="EX24111306G05"/>
    <x v="53"/>
    <s v="extract_inhaled_cased_SK_RTV"/>
    <d v="2024-11-27T00:00:00"/>
    <n v="-1"/>
    <n v="-2580"/>
    <n v="-6"/>
    <m/>
    <x v="0"/>
    <n v="6"/>
  </r>
  <r>
    <s v="outbound"/>
    <d v="2025-06-23T10:00:00"/>
    <s v="shipment"/>
    <s v="PO_1140"/>
    <x v="582"/>
    <s v="2024121801G7"/>
    <x v="83"/>
    <s v="driedflower_labelled"/>
    <d v="2025-04-16T00:00:00"/>
    <n v="-12"/>
    <n v="0"/>
    <n v="-84"/>
    <m/>
    <x v="0"/>
    <n v="7"/>
  </r>
  <r>
    <s v="outbound"/>
    <d v="2025-06-23T10:00:00"/>
    <s v="production"/>
    <m/>
    <x v="373"/>
    <s v="CPR22102001"/>
    <x v="94"/>
    <s v="driedflower_milled_bulk"/>
    <s v="NA"/>
    <n v="-1"/>
    <n v="-3328"/>
    <n v="0"/>
    <m/>
    <x v="1"/>
    <n v="0"/>
  </r>
  <r>
    <s v="outbound"/>
    <d v="2025-06-23T10:00:00"/>
    <s v="production"/>
    <m/>
    <x v="575"/>
    <n v="2025030701"/>
    <x v="109"/>
    <s v="driedflower_bulk_JEN"/>
    <s v="NA"/>
    <n v="-1"/>
    <n v="-628"/>
    <n v="0"/>
    <m/>
    <x v="1"/>
    <n v="0"/>
  </r>
  <r>
    <s v="outbound"/>
    <d v="2025-06-23T10:00:00"/>
    <s v="production"/>
    <m/>
    <x v="527"/>
    <s v="PR2513"/>
    <x v="126"/>
    <s v="driedflower_milled_bulk_JEN"/>
    <s v="NA"/>
    <n v="-1"/>
    <n v="-1832"/>
    <n v="0"/>
    <m/>
    <x v="1"/>
    <n v="0"/>
  </r>
  <r>
    <s v="outbound"/>
    <d v="2025-06-23T10:00:00"/>
    <s v="shipment"/>
    <m/>
    <x v="650"/>
    <s v="2025030701G28"/>
    <x v="150"/>
    <s v="diredflower_labelled_JEN"/>
    <d v="2025-05-09T00:00:00"/>
    <n v="-36"/>
    <n v="0"/>
    <n v="-1008"/>
    <m/>
    <x v="0"/>
    <n v="28"/>
  </r>
  <r>
    <s v="outbound"/>
    <d v="2025-06-23T10:00:00"/>
    <s v="shipment"/>
    <m/>
    <x v="651"/>
    <n v="2025030701"/>
    <x v="109"/>
    <s v="driedflower_bulk_JEN"/>
    <s v="NA"/>
    <n v="-1"/>
    <n v="-1025"/>
    <n v="0"/>
    <m/>
    <x v="1"/>
    <n v="0"/>
  </r>
  <r>
    <s v="outbound"/>
    <d v="2025-06-23T15:00:00"/>
    <s v="shipment"/>
    <m/>
    <x v="613"/>
    <s v="PR2516F5P10"/>
    <x v="88"/>
    <s v="preroll_labelled"/>
    <d v="2025-05-06T00:00:00"/>
    <n v="-24"/>
    <n v="0"/>
    <n v="-120"/>
    <m/>
    <x v="0"/>
    <n v="5"/>
  </r>
  <r>
    <s v="outbound"/>
    <d v="2025-06-24T15:00:00"/>
    <s v="shipment"/>
    <s v="highway250624"/>
    <x v="172"/>
    <s v="EX24082902G05"/>
    <x v="46"/>
    <s v="extract_inhaled_labelled"/>
    <d v="2024-10-04T00:00:00"/>
    <n v="-1"/>
    <n v="0"/>
    <n v="-0.5"/>
    <m/>
    <x v="0"/>
    <n v="0.5"/>
  </r>
  <r>
    <s v="outbound"/>
    <d v="2025-06-24T15:00:00"/>
    <s v="shipment"/>
    <s v="highway250624"/>
    <x v="295"/>
    <s v="EX24101701G05"/>
    <x v="47"/>
    <s v="extract_inhaled_labelled"/>
    <d v="2024-11-22T00:00:00"/>
    <n v="-1"/>
    <n v="0"/>
    <n v="-0.5"/>
    <m/>
    <x v="0"/>
    <n v="0.5"/>
  </r>
  <r>
    <s v="outbound"/>
    <d v="2025-06-25T15:00:00"/>
    <s v="sampling"/>
    <s v="rohan250526"/>
    <x v="421"/>
    <s v="PR2507"/>
    <x v="101"/>
    <s v="driedflower_milled_bulk"/>
    <s v="NA"/>
    <n v="-1"/>
    <n v="-2052"/>
    <n v="0"/>
    <m/>
    <x v="1"/>
    <n v="0"/>
  </r>
  <r>
    <s v="outbound"/>
    <d v="2025-06-25T15:00:00"/>
    <s v="production"/>
    <s v="PO_1143"/>
    <x v="330"/>
    <s v="PR241102F5P3"/>
    <x v="30"/>
    <s v="preroll_labelled"/>
    <d v="2025-01-03T00:00:00"/>
    <n v="-12"/>
    <n v="0"/>
    <n v="-18"/>
    <m/>
    <x v="0"/>
    <n v="1.5"/>
  </r>
  <r>
    <s v="outbound"/>
    <d v="2025-06-25T15:00:00"/>
    <s v="production"/>
    <s v="PO_1143"/>
    <x v="620"/>
    <s v="PR251701F5P3"/>
    <x v="19"/>
    <s v="preroll_labelled"/>
    <d v="2025-05-23T00:00:00"/>
    <n v="-12"/>
    <n v="0"/>
    <n v="-18"/>
    <m/>
    <x v="0"/>
    <n v="1.5"/>
  </r>
  <r>
    <s v="outbound"/>
    <d v="2025-06-25T15:00:00"/>
    <s v="production"/>
    <s v="PO_1143"/>
    <x v="652"/>
    <s v="PR251705F5P3"/>
    <x v="17"/>
    <s v="preroll_labelled"/>
    <d v="2025-05-27T00:00:00"/>
    <n v="-12"/>
    <n v="0"/>
    <n v="-18"/>
    <m/>
    <x v="0"/>
    <n v="1.5"/>
  </r>
  <r>
    <s v="outbound"/>
    <d v="2025-06-25T15:00:00"/>
    <s v="production"/>
    <s v="PO_1143"/>
    <x v="503"/>
    <s v="PR2301F5P3"/>
    <x v="42"/>
    <s v="preroll_labelled"/>
    <d v="2025-03-26T00:00:00"/>
    <n v="-12"/>
    <n v="0"/>
    <n v="-18"/>
    <m/>
    <x v="0"/>
    <n v="1.5"/>
  </r>
  <r>
    <s v="outbound"/>
    <d v="2025-06-25T15:00:00"/>
    <s v="production"/>
    <s v="PO_1143"/>
    <x v="590"/>
    <s v="EX24111306G05"/>
    <x v="53"/>
    <s v="extract_inhaled_cased_SK_RTV"/>
    <d v="2024-11-27T00:00:00"/>
    <n v="-24"/>
    <n v="0"/>
    <n v="-144"/>
    <m/>
    <x v="0"/>
    <n v="6"/>
  </r>
  <r>
    <s v="outbound"/>
    <d v="2025-06-25T15:00:00"/>
    <s v="production"/>
    <s v="PO_1142"/>
    <x v="583"/>
    <s v="LR23032101"/>
    <x v="141"/>
    <s v="extract_inhaled_labelled"/>
    <d v="2025-05-16T00:00:00"/>
    <n v="-6"/>
    <n v="0"/>
    <n v="-6"/>
    <m/>
    <x v="0"/>
    <n v="1"/>
  </r>
  <r>
    <s v="outbound"/>
    <d v="2025-06-25T15:00:00"/>
    <s v="production"/>
    <s v="PO_1142"/>
    <x v="582"/>
    <s v="2024121801G7"/>
    <x v="83"/>
    <s v="driedflower_labelled"/>
    <d v="2025-04-16T00:00:00"/>
    <n v="-12"/>
    <n v="0"/>
    <n v="-84"/>
    <m/>
    <x v="0"/>
    <n v="7"/>
  </r>
  <r>
    <s v="outbound"/>
    <d v="2025-06-27T15:00:00"/>
    <s v="shipment"/>
    <s v="PO_10013513"/>
    <x v="582"/>
    <s v="2024121801G7"/>
    <x v="83"/>
    <s v="driedflower_labelled"/>
    <d v="2025-04-16T00:00:00"/>
    <n v="-24"/>
    <n v="0"/>
    <n v="-168"/>
    <m/>
    <x v="0"/>
    <n v="7"/>
  </r>
  <r>
    <s v="outbound"/>
    <d v="2025-06-27T15:00:00"/>
    <s v="shipment"/>
    <s v="PO_10013513"/>
    <x v="330"/>
    <s v="PR241102F5P3"/>
    <x v="30"/>
    <s v="preroll_labelled"/>
    <d v="2025-01-03T00:00:00"/>
    <n v="-60"/>
    <n v="0"/>
    <n v="-90"/>
    <m/>
    <x v="0"/>
    <n v="1.5"/>
  </r>
  <r>
    <s v="outbound"/>
    <d v="2025-06-27T15:00:00"/>
    <s v="shipment"/>
    <s v="PO_10013513"/>
    <x v="652"/>
    <s v="PR251705F5P3"/>
    <x v="17"/>
    <s v="preroll_labelled"/>
    <d v="2025-05-27T00:00:00"/>
    <n v="-60"/>
    <n v="0"/>
    <n v="-90"/>
    <m/>
    <x v="0"/>
    <n v="1.5"/>
  </r>
  <r>
    <s v="outbound"/>
    <d v="2025-06-27T15:00:00"/>
    <s v="shipment"/>
    <s v="PO_10013513"/>
    <x v="598"/>
    <s v="PR241003F5P3"/>
    <x v="20"/>
    <s v="preroll_cased_SK_RTV"/>
    <d v="2024-10-10T00:00:00"/>
    <n v="-60"/>
    <n v="0"/>
    <n v="-90"/>
    <m/>
    <x v="0"/>
    <n v="1.5"/>
  </r>
  <r>
    <s v="outbound"/>
    <d v="2025-06-27T15:00:00"/>
    <s v="shipment"/>
    <s v="PO_10013513"/>
    <x v="622"/>
    <s v="EX24111301G05"/>
    <x v="47"/>
    <s v="extract_inhaled_labelled"/>
    <d v="2025-04-09T00:00:00"/>
    <n v="-48"/>
    <n v="0"/>
    <n v="-24"/>
    <m/>
    <x v="0"/>
    <n v="0.5"/>
  </r>
  <r>
    <s v="outbound"/>
    <d v="2025-06-27T15:00:00"/>
    <s v="shipment"/>
    <s v="PO_10013513"/>
    <x v="591"/>
    <s v="EX24101703G05"/>
    <x v="45"/>
    <s v="extract_inhaled_cased_SK_RTV"/>
    <d v="2024-11-07T00:00:00"/>
    <n v="-2"/>
    <n v="0"/>
    <n v="-288"/>
    <m/>
    <x v="0"/>
    <n v="6"/>
  </r>
  <r>
    <s v="outbound"/>
    <d v="2025-06-27T15:00:00"/>
    <s v="shipment"/>
    <s v="PO_10013513"/>
    <x v="320"/>
    <s v="EX24101703G05"/>
    <x v="45"/>
    <s v="extract_inhaled_labelled"/>
    <d v="2024-11-07T00:00:00"/>
    <n v="-24"/>
    <n v="0"/>
    <n v="-1"/>
    <m/>
    <x v="0"/>
    <n v="0.5"/>
  </r>
  <r>
    <s v="outbound"/>
    <d v="2025-06-27T15:00:00"/>
    <s v="shipment"/>
    <s v="PO_10013513"/>
    <x v="653"/>
    <s v="EX24102905G05"/>
    <x v="49"/>
    <s v="extract_inhaled_cased_SK_RTV"/>
    <d v="2024-10-29T00:00:00"/>
    <n v="-1"/>
    <n v="0"/>
    <n v="-144"/>
    <m/>
    <x v="0"/>
    <n v="6"/>
  </r>
  <r>
    <s v="outbound"/>
    <d v="2025-06-27T15:00:00"/>
    <s v="shipment"/>
    <s v="PO_10013513"/>
    <x v="585"/>
    <s v="EX24111302G05"/>
    <x v="46"/>
    <s v="extract_inhaled_cased_SK_RTV"/>
    <d v="2024-11-27T00:00:00"/>
    <n v="-2"/>
    <n v="0"/>
    <n v="-6"/>
    <m/>
    <x v="0"/>
    <n v="6"/>
  </r>
  <r>
    <s v="outbound"/>
    <d v="2025-06-27T15:00:00"/>
    <s v="shipment"/>
    <s v="PO_10013513"/>
    <x v="439"/>
    <s v="EX24111302G05"/>
    <x v="46"/>
    <s v="extract_inhaled_labelled"/>
    <d v="2025-02-19T00:00:00"/>
    <n v="-24"/>
    <n v="0"/>
    <n v="-1"/>
    <m/>
    <x v="0"/>
    <n v="0.5"/>
  </r>
  <r>
    <s v="outbound"/>
    <d v="2025-06-27T15:00:00"/>
    <s v="shipment"/>
    <s v="PO_10013513"/>
    <x v="654"/>
    <s v="EX24082904G05"/>
    <x v="48"/>
    <s v="extract_inhaled_cased_SK_RTV"/>
    <d v="2024-09-20T00:00:00"/>
    <n v="-1"/>
    <n v="0"/>
    <n v="-144"/>
    <m/>
    <x v="0"/>
    <n v="6"/>
  </r>
  <r>
    <s v="outbound"/>
    <d v="2025-06-27T15:00:00"/>
    <s v="shipment"/>
    <s v="PO_10013513"/>
    <x v="620"/>
    <s v="PR251701F5P3"/>
    <x v="19"/>
    <s v="preroll_labelled"/>
    <d v="2025-05-23T00:00:00"/>
    <n v="-60"/>
    <n v="0"/>
    <n v="-1.5"/>
    <m/>
    <x v="0"/>
    <n v="1.5"/>
  </r>
  <r>
    <s v="outbound"/>
    <d v="2025-06-27T15:00:00"/>
    <s v="shipment"/>
    <s v="PO_10013513"/>
    <x v="655"/>
    <s v="EX25010907G1"/>
    <x v="89"/>
    <s v="extract_inhaled_labelled"/>
    <d v="2025-03-26T00:00:00"/>
    <n v="-12"/>
    <n v="0"/>
    <n v="-60"/>
    <m/>
    <x v="0"/>
    <n v="1"/>
  </r>
  <r>
    <s v="outbound"/>
    <d v="2025-06-27T15:00:00"/>
    <s v="shipment"/>
    <s v="PO_10013513"/>
    <x v="438"/>
    <s v="EX25020601G1"/>
    <x v="107"/>
    <s v="extract_inhaled_labelled"/>
    <d v="2025-02-19T00:00:00"/>
    <n v="-12"/>
    <n v="0"/>
    <n v="-12"/>
    <m/>
    <x v="0"/>
    <n v="1"/>
  </r>
  <r>
    <s v="outbound"/>
    <d v="2025-06-27T15:00:00"/>
    <s v="shipment"/>
    <s v="PO_10013513"/>
    <x v="587"/>
    <s v="PR2501INF5P3"/>
    <x v="128"/>
    <s v="preroll_labelled"/>
    <d v="2025-05-01T00:00:00"/>
    <n v="-12"/>
    <n v="0"/>
    <n v="-18"/>
    <m/>
    <x v="0"/>
    <n v="1.5"/>
  </r>
  <r>
    <s v="outbound"/>
    <d v="2025-06-30T00:00:00"/>
    <s v="production"/>
    <s v="milling"/>
    <x v="656"/>
    <n v="2022051601"/>
    <x v="66"/>
    <s v="driedflower_bulk"/>
    <d v="2022-09-26T00:00:00"/>
    <n v="-1"/>
    <n v="-1044"/>
    <n v="0"/>
    <m/>
    <x v="1"/>
    <n v="0"/>
  </r>
  <r>
    <s v="outbound"/>
    <d v="2025-06-30T00:00:00"/>
    <s v="shipment"/>
    <m/>
    <x v="582"/>
    <s v="2024121801G7"/>
    <x v="83"/>
    <s v="driedflower_labelled"/>
    <d v="2025-04-16T00:00:00"/>
    <n v="-10"/>
    <n v="0"/>
    <n v="-70"/>
    <m/>
    <x v="0"/>
    <n v="7"/>
  </r>
  <r>
    <s v="outbound"/>
    <d v="2025-06-30T00:00:00"/>
    <s v="production"/>
    <s v="milling"/>
    <x v="535"/>
    <n v="2024121801"/>
    <x v="100"/>
    <s v="driedflower_bulk_small"/>
    <s v="NA"/>
    <n v="-1"/>
    <n v="-5426"/>
    <n v="0"/>
    <m/>
    <x v="1"/>
    <n v="0"/>
  </r>
  <r>
    <s v="outbound"/>
    <d v="2025-06-30T00:00:00"/>
    <s v="shipment"/>
    <s v="PO_1146"/>
    <x v="602"/>
    <s v="ROGEX001G1"/>
    <x v="123"/>
    <s v="extract_inhaled_labelled_Rohan"/>
    <d v="2025-04-25T00:00:00"/>
    <n v="-36"/>
    <n v="0"/>
    <n v="-36"/>
    <m/>
    <x v="0"/>
    <n v="1"/>
  </r>
  <r>
    <s v="outbound"/>
    <d v="2025-06-30T00:00:00"/>
    <s v="shipment"/>
    <s v="PO_1146"/>
    <x v="587"/>
    <s v="PR2501INF5P3"/>
    <x v="128"/>
    <s v="preroll_labelled"/>
    <d v="2025-05-01T00:00:00"/>
    <n v="-24"/>
    <n v="0"/>
    <n v="-36"/>
    <m/>
    <x v="0"/>
    <n v="1.5"/>
  </r>
  <r>
    <s v="outbound"/>
    <d v="2025-06-30T00:00:00"/>
    <s v="shipment"/>
    <s v="PO_1146"/>
    <x v="583"/>
    <s v="LR23032101"/>
    <x v="141"/>
    <s v="extract_inhaled_labelled"/>
    <d v="2025-05-16T00:00:00"/>
    <n v="-6"/>
    <n v="0"/>
    <n v="-6"/>
    <m/>
    <x v="0"/>
    <n v="1"/>
  </r>
  <r>
    <s v="outbound"/>
    <d v="2025-06-30T00:00:00"/>
    <s v="shipment"/>
    <s v="PO_1146"/>
    <x v="573"/>
    <s v="PR2303IN02F5P3"/>
    <x v="139"/>
    <s v="infusedpreroll_cased_AB_RTV"/>
    <d v="2024-07-05T00:00:00"/>
    <n v="-12"/>
    <n v="0"/>
    <n v="-108"/>
    <m/>
    <x v="0"/>
    <n v="9"/>
  </r>
  <r>
    <s v="outbound"/>
    <d v="2025-06-30T00:00:00"/>
    <s v="shipment"/>
    <s v="PO_1146"/>
    <x v="598"/>
    <s v="PR241003F5P3"/>
    <x v="20"/>
    <s v="preroll_cased_SK_RTV"/>
    <d v="2024-10-10T00:00:00"/>
    <n v="-12"/>
    <n v="0"/>
    <n v="-18"/>
    <m/>
    <x v="0"/>
    <n v="1.5"/>
  </r>
  <r>
    <s v="outbound"/>
    <d v="2025-06-30T00:00:00"/>
    <s v="shipment"/>
    <s v="PO_1146"/>
    <x v="320"/>
    <s v="EX24101703G05"/>
    <x v="45"/>
    <s v="extract_inhaled_labelled"/>
    <d v="2024-11-07T00:00:00"/>
    <n v="-12"/>
    <n v="0"/>
    <n v="-6"/>
    <m/>
    <x v="0"/>
    <n v="0.5"/>
  </r>
  <r>
    <s v="outbound"/>
    <d v="2025-06-30T00:00:00"/>
    <s v="shipment"/>
    <s v="PO_1146"/>
    <x v="654"/>
    <s v="EX24082904G05"/>
    <x v="48"/>
    <s v="extract_inhaled_cased_SK_RTV"/>
    <d v="2024-09-20T00:00:00"/>
    <n v="-1"/>
    <n v="0"/>
    <n v="-6"/>
    <m/>
    <x v="0"/>
    <n v="6"/>
  </r>
  <r>
    <s v="outbound"/>
    <d v="2025-06-30T00:00:00"/>
    <s v="shipment"/>
    <s v="PO_517602"/>
    <x v="165"/>
    <s v="EX24092601V50"/>
    <x v="41"/>
    <s v="extract_ingested_labelled"/>
    <d v="2024-10-11T00:00:00"/>
    <n v="-12"/>
    <n v="0"/>
    <n v="-600"/>
    <m/>
    <x v="0"/>
    <n v="50"/>
  </r>
  <r>
    <s v="outbound"/>
    <d v="2025-06-30T00:00:00"/>
    <s v="shipment"/>
    <s v="PO_517602"/>
    <x v="542"/>
    <s v="EX25012101V50"/>
    <x v="33"/>
    <s v="extract_ingested_labelled"/>
    <d v="2025-02-12T00:00:00"/>
    <n v="-12"/>
    <n v="0"/>
    <n v="-600"/>
    <m/>
    <x v="0"/>
    <n v="50"/>
  </r>
  <r>
    <s v="outbound"/>
    <d v="2025-06-30T00:00:00"/>
    <s v="shipment"/>
    <s v="PO_517602"/>
    <x v="323"/>
    <s v="TP21121701"/>
    <x v="82"/>
    <s v="topical_labelled"/>
    <d v="2024-12-23T00:00:00"/>
    <n v="-12"/>
    <n v="0"/>
    <n v="-1440"/>
    <m/>
    <x v="0"/>
    <n v="120"/>
  </r>
  <r>
    <s v="outbound"/>
    <d v="2025-06-30T00:00:00"/>
    <s v="shipment"/>
    <s v="PO_1146"/>
    <x v="439"/>
    <s v="EX24111302G05"/>
    <x v="46"/>
    <s v="extract_inhaled_labelled"/>
    <d v="2025-02-19T00:00:00"/>
    <n v="-24"/>
    <n v="0"/>
    <n v="-12"/>
    <m/>
    <x v="0"/>
    <n v="0.5"/>
  </r>
  <r>
    <s v="outbound"/>
    <d v="2025-06-30T00:00:00"/>
    <s v="shipment"/>
    <s v="PO_1146"/>
    <x v="590"/>
    <s v="EX24111306G05"/>
    <x v="53"/>
    <s v="extract_inhaled_cased_SK_RTV"/>
    <d v="2024-11-27T00:00:00"/>
    <n v="-1"/>
    <n v="0"/>
    <n v="-6"/>
    <m/>
    <x v="0"/>
    <n v="6"/>
  </r>
  <r>
    <s v="outbound"/>
    <d v="2025-06-30T00:00:00"/>
    <s v="shipment"/>
    <s v="PO_1146"/>
    <x v="393"/>
    <s v="PR2407F5P3"/>
    <x v="31"/>
    <s v="preroll_labelled"/>
    <d v="2024-06-04T00:00:00"/>
    <n v="-12"/>
    <n v="0"/>
    <n v="-18"/>
    <m/>
    <x v="0"/>
    <n v="1.5"/>
  </r>
  <r>
    <s v="outbound"/>
    <d v="2025-06-30T00:00:00"/>
    <s v="shipment"/>
    <s v="PO_1146"/>
    <x v="80"/>
    <s v="PR2301F5P3"/>
    <x v="42"/>
    <s v="preroll_labelled"/>
    <d v="2024-06-14T00:00:00"/>
    <n v="-20"/>
    <n v="0"/>
    <n v="-30"/>
    <m/>
    <x v="0"/>
    <n v="1.5"/>
  </r>
  <r>
    <s v="outbound"/>
    <d v="2025-06-30T00:00:00"/>
    <s v="shipment"/>
    <s v="PO_1146"/>
    <x v="261"/>
    <s v="PR21071201G5"/>
    <x v="42"/>
    <s v="preroll_labelled"/>
    <d v="2023-05-05T00:00:00"/>
    <n v="-2"/>
    <n v="0"/>
    <n v="-2"/>
    <m/>
    <x v="0"/>
    <n v="1"/>
  </r>
  <r>
    <s v="outbound"/>
    <d v="2025-06-30T00:00:00"/>
    <s v="shipment"/>
    <s v="PO_1146"/>
    <x v="503"/>
    <s v="PR2301F5P3"/>
    <x v="42"/>
    <s v="preroll_labelled"/>
    <d v="2025-03-26T00:00:00"/>
    <n v="-2"/>
    <n v="0"/>
    <n v="-3"/>
    <m/>
    <x v="0"/>
    <n v="1.5"/>
  </r>
  <r>
    <s v="outbound"/>
    <d v="2025-06-30T00:00:00"/>
    <s v="shipment"/>
    <s v="PO_1146"/>
    <x v="589"/>
    <s v="PR2406F5P3"/>
    <x v="43"/>
    <s v="preroll_labelled"/>
    <d v="2025-03-26T00:00:00"/>
    <n v="-24"/>
    <n v="0"/>
    <n v="-36"/>
    <m/>
    <x v="0"/>
    <n v="1.5"/>
  </r>
  <r>
    <s v="outbound"/>
    <d v="2025-06-30T00:00:00"/>
    <s v="shipment"/>
    <s v="PO_1146"/>
    <x v="657"/>
    <s v="PR21071201G1"/>
    <x v="11"/>
    <s v="preroll_packaged"/>
    <d v="2025-03-19T00:00:00"/>
    <n v="-24"/>
    <n v="0"/>
    <n v="-24"/>
    <m/>
    <x v="0"/>
    <n v="1"/>
  </r>
  <r>
    <s v="outbound"/>
    <d v="2025-07-02T11:00:00"/>
    <s v="shipment"/>
    <s v="PO_1147"/>
    <x v="652"/>
    <s v="PR251705F5P3"/>
    <x v="17"/>
    <s v="preroll_labelled"/>
    <d v="2025-05-27T00:00:00"/>
    <n v="-12"/>
    <n v="0"/>
    <n v="-18"/>
    <m/>
    <x v="0"/>
    <n v="1.5"/>
  </r>
  <r>
    <s v="outbound"/>
    <d v="2025-07-02T14:38:00"/>
    <s v="production"/>
    <s v="PO_50046309"/>
    <x v="658"/>
    <n v="2025062602"/>
    <x v="114"/>
    <s v="driedflower_bulk_Rohan"/>
    <s v="NA"/>
    <n v="0"/>
    <n v="-56"/>
    <n v="0"/>
    <m/>
    <x v="1"/>
    <n v="0"/>
  </r>
  <r>
    <s v="outbound"/>
    <d v="2025-07-02T14:38:00"/>
    <s v="production"/>
    <s v="PO_50046309"/>
    <x v="658"/>
    <n v="2025062602"/>
    <x v="114"/>
    <s v="driedflower_bulk_Rohan"/>
    <s v="NA"/>
    <n v="-1"/>
    <n v="-972"/>
    <n v="0"/>
    <m/>
    <x v="1"/>
    <n v="0"/>
  </r>
  <r>
    <s v="outbound"/>
    <d v="2025-07-02T14:38:00"/>
    <s v="production"/>
    <s v="PO_50046309"/>
    <x v="659"/>
    <n v="2025062602"/>
    <x v="114"/>
    <s v="driedflower_bulk_Rohan"/>
    <s v="NA"/>
    <n v="-1"/>
    <n v="-1030"/>
    <n v="0"/>
    <m/>
    <x v="1"/>
    <n v="0"/>
  </r>
  <r>
    <s v="outbound"/>
    <d v="2025-07-02T14:38:00"/>
    <s v="production"/>
    <s v="PO_50046309"/>
    <x v="660"/>
    <n v="2025062602"/>
    <x v="114"/>
    <s v="driedflower_bulk_Rohan"/>
    <s v="NA"/>
    <n v="-1"/>
    <n v="-1028"/>
    <n v="0"/>
    <m/>
    <x v="1"/>
    <n v="0"/>
  </r>
  <r>
    <s v="outbound"/>
    <d v="2025-07-02T14:38:00"/>
    <s v="production"/>
    <s v="PO_50046309"/>
    <x v="661"/>
    <n v="2025062602"/>
    <x v="114"/>
    <s v="driedflower_bulk_Rohan"/>
    <s v="NA"/>
    <n v="-1"/>
    <n v="-1028"/>
    <n v="0"/>
    <m/>
    <x v="1"/>
    <n v="0"/>
  </r>
  <r>
    <s v="outbound"/>
    <d v="2025-07-02T14:38:00"/>
    <s v="production"/>
    <s v="PO_50046309"/>
    <x v="662"/>
    <n v="2025050501"/>
    <x v="114"/>
    <s v="driedflower_bulk_Rohan"/>
    <s v="NA"/>
    <n v="-1"/>
    <n v="-1028"/>
    <n v="0"/>
    <m/>
    <x v="1"/>
    <n v="0"/>
  </r>
  <r>
    <s v="outbound"/>
    <d v="2025-07-02T14:38:00"/>
    <s v="production"/>
    <s v="PO_50046309"/>
    <x v="663"/>
    <n v="2025062602"/>
    <x v="114"/>
    <s v="driedflower_bulk_Rohan"/>
    <s v="NA"/>
    <n v="-1"/>
    <n v="-1032"/>
    <n v="0"/>
    <m/>
    <x v="1"/>
    <n v="0"/>
  </r>
  <r>
    <s v="outbound"/>
    <d v="2025-07-02T14:38:00"/>
    <s v="production"/>
    <s v="PO_50046309"/>
    <x v="664"/>
    <n v="2025062602"/>
    <x v="114"/>
    <s v="driedflower_bulk_Rohan"/>
    <s v="NA"/>
    <n v="-1"/>
    <n v="-9060"/>
    <n v="0"/>
    <m/>
    <x v="1"/>
    <n v="0"/>
  </r>
  <r>
    <s v="outbound"/>
    <d v="2025-07-02T14:38:00"/>
    <s v="production"/>
    <s v="PO_50046309"/>
    <x v="665"/>
    <n v="2025050501"/>
    <x v="114"/>
    <s v="driedflower_bulk_Rohan"/>
    <s v="NA"/>
    <n v="-1"/>
    <n v="-1032"/>
    <n v="0"/>
    <m/>
    <x v="1"/>
    <n v="0"/>
  </r>
  <r>
    <s v="outbound"/>
    <d v="2025-07-02T14:38:00"/>
    <s v="production"/>
    <s v="PO_50046309"/>
    <x v="666"/>
    <n v="2025050501"/>
    <x v="114"/>
    <s v="driedflower_bulk_Rohan"/>
    <s v="NA"/>
    <n v="-1"/>
    <n v="-1032"/>
    <n v="0"/>
    <m/>
    <x v="1"/>
    <n v="0"/>
  </r>
  <r>
    <s v="outbound"/>
    <d v="2025-07-02T14:38:00"/>
    <s v="production"/>
    <s v="PO_50046309"/>
    <x v="667"/>
    <n v="2025050501"/>
    <x v="114"/>
    <s v="driedflower_bulk_Rohan"/>
    <s v="NA"/>
    <n v="-1"/>
    <n v="-1032"/>
    <n v="0"/>
    <m/>
    <x v="1"/>
    <n v="0"/>
  </r>
  <r>
    <s v="outbound"/>
    <d v="2025-07-02T14:38:00"/>
    <s v="production"/>
    <s v="PO_50046309"/>
    <x v="668"/>
    <n v="2025050501"/>
    <x v="114"/>
    <s v="driedflower_bulk_Rohan"/>
    <s v="NA"/>
    <n v="-1"/>
    <n v="-1032"/>
    <n v="0"/>
    <m/>
    <x v="1"/>
    <n v="0"/>
  </r>
  <r>
    <s v="outbound"/>
    <d v="2025-07-02T14:38:00"/>
    <s v="production"/>
    <s v="PO_50046309"/>
    <x v="669"/>
    <n v="2025050501"/>
    <x v="114"/>
    <s v="driedflower_bulk_Rohan"/>
    <s v="NA"/>
    <n v="-1"/>
    <n v="-3074"/>
    <n v="0"/>
    <m/>
    <x v="1"/>
    <n v="0"/>
  </r>
  <r>
    <s v="outbound"/>
    <d v="2025-07-03T00:00:00"/>
    <s v="production"/>
    <s v="BCDD inv replenishment"/>
    <x v="595"/>
    <s v="EX25050501V50"/>
    <x v="97"/>
    <s v="extract_ingested_packaged"/>
    <d v="2025-05-13T00:00:00"/>
    <n v="-108"/>
    <n v="0"/>
    <n v="-5400"/>
    <m/>
    <x v="0"/>
    <n v="50"/>
  </r>
  <r>
    <s v="outbound"/>
    <d v="2025-07-03T00:00:00"/>
    <s v="production"/>
    <s v="BCDD inv replenishment"/>
    <x v="165"/>
    <s v="EX24092601V50"/>
    <x v="41"/>
    <s v="extract_ingested_labelled"/>
    <d v="2024-10-11T00:00:00"/>
    <n v="-48"/>
    <n v="0"/>
    <n v="-2400"/>
    <m/>
    <x v="0"/>
    <n v="50"/>
  </r>
  <r>
    <s v="outbound"/>
    <d v="2025-07-03T00:00:00"/>
    <s v="production"/>
    <s v="BCDD inv replenishment"/>
    <x v="542"/>
    <s v="EX25012101V50"/>
    <x v="33"/>
    <s v="extract_ingested_labelled"/>
    <d v="2025-02-12T00:00:00"/>
    <n v="-84"/>
    <n v="0"/>
    <n v="-4200"/>
    <m/>
    <x v="0"/>
    <n v="50"/>
  </r>
  <r>
    <s v="outbound"/>
    <d v="2025-07-03T00:00:00"/>
    <s v="shipment"/>
    <s v="PO_1146"/>
    <x v="393"/>
    <s v="PR2407F5P3"/>
    <x v="31"/>
    <s v="preroll_labelled"/>
    <d v="2024-06-04T00:00:00"/>
    <n v="-12"/>
    <n v="0"/>
    <n v="-18"/>
    <m/>
    <x v="0"/>
    <n v="1.5"/>
  </r>
  <r>
    <s v="outbound"/>
    <d v="2025-07-03T14:15:00"/>
    <s v="shipment"/>
    <s v="PO_1149"/>
    <x v="573"/>
    <s v="PR2303IN02F5P3"/>
    <x v="139"/>
    <s v="infusedpreroll_cased_AB_RTV"/>
    <d v="2024-07-05T00:00:00"/>
    <n v="-1"/>
    <n v="0"/>
    <n v="-9"/>
    <m/>
    <x v="0"/>
    <n v="9"/>
  </r>
  <r>
    <s v="outbound"/>
    <d v="2025-07-03T14:15:00"/>
    <s v="shipment"/>
    <s v="PO_1149"/>
    <x v="583"/>
    <s v="LR23032101"/>
    <x v="141"/>
    <s v="extract_inhaled_labelled"/>
    <d v="2025-05-16T00:00:00"/>
    <n v="-6"/>
    <n v="0"/>
    <n v="-6"/>
    <m/>
    <x v="0"/>
    <n v="1"/>
  </r>
  <r>
    <s v="outbound"/>
    <d v="2025-07-03T14:15:00"/>
    <s v="sampling"/>
    <m/>
    <x v="455"/>
    <s v="TP24082901"/>
    <x v="6"/>
    <s v="topical_labelled"/>
    <d v="2024-09-25T00:00:00"/>
    <n v="-1"/>
    <n v="0"/>
    <n v="-88"/>
    <m/>
    <x v="0"/>
    <n v="88"/>
  </r>
  <r>
    <s v="inbound"/>
    <d v="2025-07-04T14:15:00"/>
    <s v="storage"/>
    <m/>
    <x v="633"/>
    <s v="ROGEX003"/>
    <x v="116"/>
    <s v="extract_inhaled_bulk_Rohan"/>
    <s v="NA"/>
    <n v="1"/>
    <n v="2066"/>
    <n v="0"/>
    <m/>
    <x v="1"/>
    <n v="0"/>
  </r>
  <r>
    <s v="inbound"/>
    <d v="2025-07-04T14:15:00"/>
    <s v="storage"/>
    <m/>
    <x v="373"/>
    <s v="CPR22102001"/>
    <x v="94"/>
    <s v="driedflower_milled_bulk"/>
    <s v="NA"/>
    <n v="1"/>
    <n v="3328"/>
    <n v="0"/>
    <m/>
    <x v="1"/>
    <n v="0"/>
  </r>
  <r>
    <s v="inbound"/>
    <d v="2025-07-04T15:00:00"/>
    <s v="storage"/>
    <m/>
    <x v="54"/>
    <s v="PR2407F5P3"/>
    <x v="31"/>
    <s v="preroll_labelled"/>
    <d v="2024-07-25T00:00:00"/>
    <n v="98"/>
    <n v="0"/>
    <n v="147"/>
    <m/>
    <x v="0"/>
    <n v="1.5"/>
  </r>
  <r>
    <s v="inbound"/>
    <d v="2025-07-04T15:00:00"/>
    <s v="storage"/>
    <m/>
    <x v="634"/>
    <s v="PR2407F5P3"/>
    <x v="31"/>
    <s v="preroll_packaged"/>
    <s v="NA"/>
    <n v="108"/>
    <n v="0"/>
    <n v="162"/>
    <m/>
    <x v="0"/>
    <n v="1.5"/>
  </r>
  <r>
    <s v="inbound"/>
    <d v="2025-07-04T15:00:00"/>
    <s v="storage"/>
    <m/>
    <x v="421"/>
    <s v="PR2507"/>
    <x v="101"/>
    <s v="driedflower_milled_bulk"/>
    <s v="NA"/>
    <n v="1"/>
    <n v="166"/>
    <n v="0"/>
    <m/>
    <x v="1"/>
    <n v="0"/>
  </r>
  <r>
    <s v="inbound"/>
    <d v="2025-07-04T15:00:00"/>
    <s v="storage"/>
    <m/>
    <x v="632"/>
    <s v="PR2512"/>
    <x v="122"/>
    <s v="diredflower_milled_bulk_Rohan"/>
    <s v="NA"/>
    <n v="1"/>
    <n v="2104"/>
    <n v="0"/>
    <m/>
    <x v="1"/>
    <n v="0"/>
  </r>
  <r>
    <s v="inbound"/>
    <d v="2025-07-04T15:00:00"/>
    <s v="storage"/>
    <m/>
    <x v="631"/>
    <s v="PR2502INF5P3"/>
    <x v="128"/>
    <s v="preroll_labelled"/>
    <d v="2025-06-18T00:00:00"/>
    <n v="1072"/>
    <n v="0"/>
    <n v="1608"/>
    <m/>
    <x v="0"/>
    <n v="1.5"/>
  </r>
  <r>
    <s v="outbound"/>
    <d v="2025-07-07T10:00:00"/>
    <s v="shipment"/>
    <s v="PO_1150"/>
    <x v="598"/>
    <s v="PR241003F5P3"/>
    <x v="20"/>
    <s v="preroll_cased_SK_RTV"/>
    <d v="2024-10-10T00:00:00"/>
    <n v="-12"/>
    <n v="0"/>
    <n v="-18"/>
    <m/>
    <x v="0"/>
    <n v="1.5"/>
  </r>
  <r>
    <s v="outbound"/>
    <d v="2025-07-07T10:00:00"/>
    <s v="shipment"/>
    <s v="PO_1150"/>
    <x v="652"/>
    <s v="PR251705F5P3"/>
    <x v="17"/>
    <s v="preroll_labelled"/>
    <d v="2025-05-27T00:00:00"/>
    <n v="-12"/>
    <n v="0"/>
    <n v="-18"/>
    <m/>
    <x v="0"/>
    <n v="1.5"/>
  </r>
  <r>
    <s v="outbound"/>
    <d v="2025-07-07T10:00:00"/>
    <s v="shipment"/>
    <s v="PO_1150"/>
    <x v="620"/>
    <s v="PR251701F5P3"/>
    <x v="19"/>
    <s v="preroll_labelled"/>
    <d v="2025-05-23T00:00:00"/>
    <n v="-12"/>
    <n v="0"/>
    <n v="-18"/>
    <m/>
    <x v="0"/>
    <n v="1.5"/>
  </r>
  <r>
    <s v="outbound"/>
    <d v="2025-07-07T10:00:00"/>
    <s v="shipment"/>
    <s v="PO_1150"/>
    <x v="330"/>
    <s v="PR241102F5P3"/>
    <x v="30"/>
    <s v="preroll_labelled"/>
    <d v="2025-01-03T00:00:00"/>
    <n v="-12"/>
    <n v="0"/>
    <n v="-18"/>
    <m/>
    <x v="0"/>
    <n v="1.5"/>
  </r>
  <r>
    <s v="outbound"/>
    <d v="2025-07-07T10:00:00"/>
    <s v="production"/>
    <m/>
    <x v="670"/>
    <s v="2021082601R1"/>
    <x v="40"/>
    <s v="driedflower_labelled_RTV"/>
    <d v="2021-01-30T00:00:00"/>
    <n v="-15"/>
    <n v="0"/>
    <n v="-52.5"/>
    <m/>
    <x v="0"/>
    <n v="3.5"/>
  </r>
  <r>
    <s v="outbound"/>
    <d v="2025-07-07T10:00:00"/>
    <s v="production"/>
    <m/>
    <x v="273"/>
    <s v="2021082601R1"/>
    <x v="40"/>
    <s v="driedflower_labelled_RTV"/>
    <d v="2022-03-26T00:00:00"/>
    <n v="-128"/>
    <n v="0"/>
    <n v="-448"/>
    <m/>
    <x v="0"/>
    <n v="3.5"/>
  </r>
  <r>
    <s v="outbound"/>
    <d v="2025-07-07T10:00:00"/>
    <s v="production"/>
    <m/>
    <x v="671"/>
    <s v="2021082601R1"/>
    <x v="40"/>
    <s v="driedflower_labelled_RTV"/>
    <d v="2022-03-26T00:00:00"/>
    <n v="-250"/>
    <n v="0"/>
    <n v="-875"/>
    <m/>
    <x v="0"/>
    <n v="3.5"/>
  </r>
  <r>
    <s v="outbound"/>
    <d v="2025-07-07T10:00:00"/>
    <s v="production"/>
    <m/>
    <x v="672"/>
    <s v="2021082601R1"/>
    <x v="40"/>
    <s v="driedflower_labelled_RTV"/>
    <d v="2022-03-26T00:00:00"/>
    <n v="-144"/>
    <n v="0"/>
    <n v="-504"/>
    <m/>
    <x v="0"/>
    <n v="3.5"/>
  </r>
  <r>
    <s v="inbound"/>
    <d v="2025-07-07T11:00:00"/>
    <s v="storage"/>
    <m/>
    <x v="307"/>
    <n v="2024111803"/>
    <x v="79"/>
    <s v="driedflower_bulk"/>
    <s v="NA"/>
    <n v="1"/>
    <n v="1971"/>
    <n v="0"/>
    <m/>
    <x v="1"/>
    <n v="0"/>
  </r>
  <r>
    <s v="inbound"/>
    <d v="2025-07-07T11:00:00"/>
    <s v="storage"/>
    <m/>
    <x v="658"/>
    <n v="2025062602"/>
    <x v="114"/>
    <s v="driedflower_bulk_Rohan"/>
    <s v="NA"/>
    <n v="1"/>
    <n v="972"/>
    <n v="0"/>
    <m/>
    <x v="1"/>
    <n v="0"/>
  </r>
  <r>
    <s v="inbound"/>
    <d v="2025-07-07T11:00:00"/>
    <s v="storage"/>
    <m/>
    <x v="659"/>
    <n v="2025062602"/>
    <x v="114"/>
    <s v="driedflower_bulk_Rohan"/>
    <s v="NA"/>
    <n v="1"/>
    <n v="1000"/>
    <n v="0"/>
    <m/>
    <x v="1"/>
    <n v="0"/>
  </r>
  <r>
    <s v="inbound"/>
    <d v="2025-07-07T11:00:00"/>
    <s v="storage"/>
    <m/>
    <x v="661"/>
    <n v="2025062602"/>
    <x v="114"/>
    <s v="driedflower_bulk_Rohan"/>
    <s v="NA"/>
    <n v="1"/>
    <n v="1000"/>
    <n v="0"/>
    <m/>
    <x v="1"/>
    <n v="0"/>
  </r>
  <r>
    <s v="inbound"/>
    <d v="2025-07-07T11:00:00"/>
    <s v="storage"/>
    <m/>
    <x v="662"/>
    <n v="2025050501"/>
    <x v="114"/>
    <s v="driedflower_bulk_Rohan"/>
    <s v="NA"/>
    <n v="1"/>
    <n v="380"/>
    <n v="0"/>
    <m/>
    <x v="1"/>
    <n v="0"/>
  </r>
  <r>
    <s v="inbound"/>
    <d v="2025-07-07T11:00:00"/>
    <s v="storage"/>
    <m/>
    <x v="663"/>
    <n v="2025062602"/>
    <x v="114"/>
    <s v="driedflower_bulk_Rohan"/>
    <s v="NA"/>
    <n v="1"/>
    <n v="1000"/>
    <n v="0"/>
    <m/>
    <x v="1"/>
    <n v="0"/>
  </r>
  <r>
    <s v="inbound"/>
    <d v="2025-07-07T11:00:00"/>
    <s v="storage"/>
    <m/>
    <x v="664"/>
    <n v="2025062602"/>
    <x v="114"/>
    <s v="driedflower_bulk_Rohan"/>
    <s v="NA"/>
    <n v="1"/>
    <n v="6064"/>
    <n v="0"/>
    <m/>
    <x v="1"/>
    <n v="0"/>
  </r>
  <r>
    <s v="outbound"/>
    <d v="2025-07-08T10:00:00"/>
    <s v="production"/>
    <m/>
    <x v="485"/>
    <s v="PR2507"/>
    <x v="101"/>
    <s v="driedflower_milled_bulk"/>
    <s v="NA"/>
    <n v="-1"/>
    <n v="-2433"/>
    <n v="0"/>
    <m/>
    <x v="1"/>
    <n v="0"/>
  </r>
  <r>
    <s v="outbound"/>
    <d v="2025-07-08T13:00:00"/>
    <s v="production"/>
    <m/>
    <x v="421"/>
    <s v="PR2507"/>
    <x v="101"/>
    <s v="driedflower_milled_bulk"/>
    <s v="NA"/>
    <n v="-1"/>
    <n v="-166"/>
    <n v="0"/>
    <m/>
    <x v="1"/>
    <n v="0"/>
  </r>
  <r>
    <s v="outbound"/>
    <d v="2025-07-08T13:00:00"/>
    <s v="shipment"/>
    <s v="PO_1151"/>
    <x v="673"/>
    <s v="PR2516F1P2"/>
    <x v="151"/>
    <s v="preroll_labelled"/>
    <d v="2025-06-23T00:00:00"/>
    <n v="-24"/>
    <n v="0"/>
    <n v="-48"/>
    <m/>
    <x v="0"/>
    <n v="2"/>
  </r>
  <r>
    <s v="outbound"/>
    <d v="2025-07-08T13:00:00"/>
    <s v="shipment"/>
    <s v="PO_1151"/>
    <x v="602"/>
    <s v="ROGEX001G1"/>
    <x v="123"/>
    <s v="extract_inhaled_labelled_Rohan"/>
    <d v="2025-04-25T00:00:00"/>
    <n v="-12"/>
    <n v="0"/>
    <n v="-12"/>
    <m/>
    <x v="0"/>
    <n v="1"/>
  </r>
  <r>
    <s v="outbound"/>
    <d v="2025-07-08T13:00:00"/>
    <s v="shipment"/>
    <s v="PO_1151"/>
    <x v="674"/>
    <s v="EX25012101V50"/>
    <x v="33"/>
    <s v="extract_ingested_cased_BC"/>
    <d v="2025-02-12T00:00:00"/>
    <n v="-1"/>
    <n v="0"/>
    <n v="-50"/>
    <m/>
    <x v="0"/>
    <n v="50"/>
  </r>
  <r>
    <s v="outbound"/>
    <d v="2025-07-08T13:00:00"/>
    <s v="shipment"/>
    <s v="PO_1151"/>
    <x v="600"/>
    <s v="EX25041401V30"/>
    <x v="44"/>
    <s v="extract_ingested_labelled"/>
    <d v="2025-04-30T00:00:00"/>
    <n v="-12"/>
    <n v="0"/>
    <n v="-327.60000000000002"/>
    <m/>
    <x v="0"/>
    <n v="27.3"/>
  </r>
  <r>
    <s v="outbound"/>
    <d v="2025-07-08T13:00:00"/>
    <s v="shipment"/>
    <s v="PO_524578"/>
    <x v="675"/>
    <s v="PR251708F5P12"/>
    <x v="127"/>
    <s v="preroll_labelled"/>
    <d v="2025-06-17T00:00:00"/>
    <n v="-12"/>
    <n v="0"/>
    <n v="-72"/>
    <m/>
    <x v="0"/>
    <n v="6"/>
  </r>
  <r>
    <s v="outbound"/>
    <d v="2025-07-08T13:00:00"/>
    <s v="shipment"/>
    <s v="PO_75407"/>
    <x v="675"/>
    <s v="PR251708F5P12"/>
    <x v="127"/>
    <s v="preroll_labelled"/>
    <d v="2025-06-17T00:00:00"/>
    <n v="-156"/>
    <n v="0"/>
    <n v="-936"/>
    <m/>
    <x v="0"/>
    <n v="6"/>
  </r>
  <r>
    <s v="outbound"/>
    <d v="2025-07-09T13:00:00"/>
    <s v="shipment"/>
    <s v="PO_10011"/>
    <x v="676"/>
    <s v="EX24092601V50"/>
    <x v="41"/>
    <s v="extract_ingested_cased_BC"/>
    <d v="2024-10-11T00:00:00"/>
    <n v="-4"/>
    <n v="0"/>
    <n v="-200"/>
    <m/>
    <x v="0"/>
    <n v="50"/>
  </r>
  <r>
    <s v="outbound"/>
    <d v="2025-07-10T09:00:00"/>
    <s v="shipment"/>
    <s v="PO_75407"/>
    <x v="631"/>
    <s v="PR2502INF5P3"/>
    <x v="128"/>
    <s v="preroll_labelled"/>
    <d v="2025-06-18T00:00:00"/>
    <n v="-120"/>
    <n v="0"/>
    <n v="-180"/>
    <m/>
    <x v="0"/>
    <n v="1.5"/>
  </r>
  <r>
    <s v="outbound"/>
    <d v="2025-07-10T09:00:00"/>
    <s v="shipment"/>
    <s v="PO_1151"/>
    <x v="453"/>
    <s v="EX24092601V50"/>
    <x v="41"/>
    <s v="extract_ingested_cased_BC"/>
    <d v="2024-10-11T00:00:00"/>
    <n v="-1"/>
    <n v="0"/>
    <n v="-600"/>
    <m/>
    <x v="0"/>
    <n v="600"/>
  </r>
  <r>
    <s v="outbound"/>
    <d v="2025-07-10T10:00:00"/>
    <s v="shipment"/>
    <s v="PO_1152"/>
    <x v="674"/>
    <s v="EX25012101V50"/>
    <x v="33"/>
    <s v="extract_ingested_cased_BC"/>
    <d v="2025-02-12T00:00:00"/>
    <n v="-2"/>
    <n v="0"/>
    <n v="-100"/>
    <m/>
    <x v="0"/>
    <n v="50"/>
  </r>
  <r>
    <s v="outbound"/>
    <d v="2025-07-10T10:00:00"/>
    <s v="shipment"/>
    <s v="PO_1152"/>
    <x v="453"/>
    <s v="EX24092601V50"/>
    <x v="41"/>
    <s v="extract_ingested_cased_BC"/>
    <d v="2024-10-11T00:00:00"/>
    <n v="-2"/>
    <n v="0"/>
    <n v="-1200"/>
    <m/>
    <x v="0"/>
    <n v="600"/>
  </r>
  <r>
    <s v="outbound"/>
    <d v="2025-07-10T10:00:00"/>
    <s v="shipment"/>
    <s v="PO_1152"/>
    <x v="677"/>
    <s v="EX25050501V50"/>
    <x v="97"/>
    <s v="extract_ingested_cased_BC"/>
    <d v="2025-05-13T00:00:00"/>
    <n v="-2"/>
    <n v="0"/>
    <n v="-100"/>
    <m/>
    <x v="0"/>
    <n v="50"/>
  </r>
  <r>
    <s v="outbound"/>
    <d v="2025-07-10T10:00:00"/>
    <s v="shipment"/>
    <s v="PO_1152"/>
    <x v="631"/>
    <s v="PR2502INF5P3"/>
    <x v="128"/>
    <s v="preroll_labelled"/>
    <d v="2025-06-18T00:00:00"/>
    <n v="-12"/>
    <n v="0"/>
    <n v="-18"/>
    <m/>
    <x v="0"/>
    <n v="1.5"/>
  </r>
  <r>
    <s v="outbound"/>
    <d v="2025-07-10T10:00:00"/>
    <s v="shipment"/>
    <s v="PO_1152"/>
    <x v="678"/>
    <s v="PR2512F5P5"/>
    <x v="152"/>
    <s v="preroll_labelled"/>
    <d v="2025-06-25T00:00:00"/>
    <n v="-12"/>
    <n v="0"/>
    <n v="-30"/>
    <m/>
    <x v="0"/>
    <n v="2.5"/>
  </r>
  <r>
    <s v="outbound"/>
    <d v="2025-07-10T11:00:00"/>
    <s v="production"/>
    <m/>
    <x v="562"/>
    <n v="2024121801"/>
    <x v="100"/>
    <s v="driedflower_bulk_big"/>
    <s v="NA"/>
    <n v="-1"/>
    <n v="-10250"/>
    <n v="0"/>
    <m/>
    <x v="1"/>
    <n v="0"/>
  </r>
  <r>
    <s v="outbound"/>
    <d v="2025-07-10T11:00:00"/>
    <s v="shipment"/>
    <s v="PO_0087858, PO_0088438"/>
    <x v="679"/>
    <s v="TP25051501"/>
    <x v="2"/>
    <s v="topical_labelled"/>
    <d v="2025-05-28T00:00:00"/>
    <n v="-60"/>
    <n v="0"/>
    <n v="-5280"/>
    <m/>
    <x v="0"/>
    <n v="88"/>
  </r>
  <r>
    <s v="outbound"/>
    <d v="2025-07-10T15:00:00"/>
    <s v="shipment"/>
    <s v="PO_00002111"/>
    <x v="680"/>
    <s v="2024111803G7"/>
    <x v="83"/>
    <s v="driedflower_labelled"/>
    <d v="2025-06-18T00:00:00"/>
    <n v="-120"/>
    <n v="0"/>
    <n v="-840"/>
    <m/>
    <x v="0"/>
    <n v="7"/>
  </r>
  <r>
    <s v="outbound"/>
    <d v="2025-07-10T15:00:00"/>
    <s v="production"/>
    <m/>
    <x v="632"/>
    <s v="PR2512"/>
    <x v="122"/>
    <s v="diredflower_milled_bulk_Rohan"/>
    <s v="NA"/>
    <n v="-1"/>
    <n v="-2104"/>
    <n v="0"/>
    <m/>
    <x v="1"/>
    <n v="0"/>
  </r>
  <r>
    <s v="outbound"/>
    <d v="2025-07-11T10:00:00"/>
    <s v="shipment"/>
    <m/>
    <x v="330"/>
    <s v="PR241102F5P3"/>
    <x v="30"/>
    <s v="preroll_labelled"/>
    <d v="2025-01-03T00:00:00"/>
    <n v="-12"/>
    <n v="0"/>
    <n v="-18"/>
    <m/>
    <x v="0"/>
    <n v="1.5"/>
  </r>
  <r>
    <s v="outbound"/>
    <d v="2025-07-11T10:00:00"/>
    <s v="shipment"/>
    <m/>
    <x v="620"/>
    <s v="PR251701F5P3"/>
    <x v="19"/>
    <s v="preroll_labelled"/>
    <d v="2025-05-23T00:00:00"/>
    <n v="-48"/>
    <n v="0"/>
    <n v="-72"/>
    <m/>
    <x v="0"/>
    <n v="1.5"/>
  </r>
  <r>
    <s v="outbound"/>
    <d v="2025-07-11T10:00:00"/>
    <s v="shipment"/>
    <m/>
    <x v="655"/>
    <s v="EX25010907G1"/>
    <x v="89"/>
    <s v="extract_inhaled_labelled"/>
    <d v="2025-03-26T00:00:00"/>
    <n v="-12"/>
    <n v="0"/>
    <n v="-12"/>
    <m/>
    <x v="0"/>
    <n v="1"/>
  </r>
  <r>
    <s v="outbound"/>
    <d v="2025-07-11T10:00:00"/>
    <s v="shipment"/>
    <m/>
    <x v="652"/>
    <s v="PR251705F5P3"/>
    <x v="17"/>
    <s v="preroll_labelled"/>
    <d v="2025-05-27T00:00:00"/>
    <n v="-180"/>
    <n v="0"/>
    <n v="-270"/>
    <m/>
    <x v="0"/>
    <n v="1.5"/>
  </r>
  <r>
    <s v="outbound"/>
    <d v="2025-07-11T10:00:00"/>
    <s v="shipment"/>
    <m/>
    <x v="679"/>
    <s v="TP25051501"/>
    <x v="2"/>
    <s v="topical_labelled"/>
    <d v="2025-05-28T00:00:00"/>
    <n v="-329"/>
    <n v="0"/>
    <n v="-28952"/>
    <m/>
    <x v="0"/>
    <n v="88"/>
  </r>
  <r>
    <s v="outbound"/>
    <d v="2025-07-11T10:00:00"/>
    <s v="shipment"/>
    <m/>
    <x v="681"/>
    <s v="BS23090701G450"/>
    <x v="5"/>
    <s v="topical_labelled"/>
    <d v="2025-03-19T00:00:00"/>
    <n v="-95"/>
    <n v="0"/>
    <n v="-42750"/>
    <m/>
    <x v="0"/>
    <n v="450"/>
  </r>
  <r>
    <s v="outbound"/>
    <d v="2025-07-11T10:00:00"/>
    <s v="shipment"/>
    <m/>
    <x v="682"/>
    <s v="BS23101901G450"/>
    <x v="5"/>
    <s v="topical_cased_SK_RTV"/>
    <d v="2024-12-03T00:00:00"/>
    <n v="-2"/>
    <n v="0"/>
    <n v="-5400"/>
    <m/>
    <x v="0"/>
    <n v="2700"/>
  </r>
  <r>
    <s v="outbound"/>
    <d v="2025-07-11T10:00:00"/>
    <s v="shipment"/>
    <m/>
    <x v="683"/>
    <s v="BS23090701G450"/>
    <x v="5"/>
    <s v="topical_cased_SK_RTV"/>
    <d v="2024-12-04T00:00:00"/>
    <n v="-32"/>
    <n v="0"/>
    <n v="-86400"/>
    <m/>
    <x v="0"/>
    <n v="2700"/>
  </r>
  <r>
    <s v="outbound"/>
    <d v="2025-07-11T10:00:00"/>
    <s v="shipment"/>
    <m/>
    <x v="622"/>
    <s v="EX24111301G05"/>
    <x v="47"/>
    <s v="extract_inhaled_labelled"/>
    <d v="2025-04-09T00:00:00"/>
    <n v="-120"/>
    <n v="0"/>
    <n v="-60"/>
    <m/>
    <x v="0"/>
    <n v="0.5"/>
  </r>
  <r>
    <s v="outbound"/>
    <d v="2025-07-11T10:00:00"/>
    <s v="shipment"/>
    <m/>
    <x v="439"/>
    <s v="EX24111302G05"/>
    <x v="46"/>
    <s v="extract_inhaled_labelled"/>
    <d v="2025-02-19T00:00:00"/>
    <n v="-222"/>
    <n v="0"/>
    <n v="-111"/>
    <m/>
    <x v="0"/>
    <n v="0.5"/>
  </r>
  <r>
    <s v="outbound"/>
    <d v="2025-07-11T10:00:00"/>
    <s v="shipment"/>
    <m/>
    <x v="655"/>
    <s v="EX25010907G1"/>
    <x v="89"/>
    <s v="extract_inhaled_labelled"/>
    <d v="2025-03-26T00:00:00"/>
    <n v="-156"/>
    <n v="0"/>
    <n v="-156"/>
    <m/>
    <x v="0"/>
    <n v="1"/>
  </r>
  <r>
    <s v="outbound"/>
    <d v="2025-07-11T10:00:00"/>
    <s v="shipment"/>
    <m/>
    <x v="684"/>
    <s v="TP24120401G45"/>
    <x v="86"/>
    <s v="topical_labelled"/>
    <d v="2024-12-12T00:00:00"/>
    <n v="-300"/>
    <n v="0"/>
    <n v="-13500"/>
    <m/>
    <x v="0"/>
    <n v="45"/>
  </r>
  <r>
    <s v="outbound"/>
    <d v="2025-07-14T10:00:00"/>
    <s v="shipment"/>
    <m/>
    <x v="534"/>
    <s v="PR2407F5P3"/>
    <x v="31"/>
    <s v="preroll_labelled"/>
    <d v="2025-03-26T00:00:00"/>
    <n v="-6"/>
    <n v="0"/>
    <n v="-9"/>
    <m/>
    <x v="0"/>
    <n v="1.5"/>
  </r>
  <r>
    <s v="outbound"/>
    <d v="2025-07-14T10:00:00"/>
    <s v="shipment"/>
    <m/>
    <x v="393"/>
    <s v="PR2407F5P3"/>
    <x v="31"/>
    <s v="preroll_labelled"/>
    <d v="2024-06-04T00:00:00"/>
    <n v="-6"/>
    <n v="0"/>
    <n v="-9"/>
    <m/>
    <x v="0"/>
    <n v="1.5"/>
  </r>
  <r>
    <s v="outbound"/>
    <d v="2025-07-14T10:00:00"/>
    <s v="shipment"/>
    <m/>
    <x v="334"/>
    <s v="PR241104F5P3"/>
    <x v="18"/>
    <s v="preroll_labelled"/>
    <d v="2024-12-04T00:00:00"/>
    <n v="-12"/>
    <n v="0"/>
    <n v="-18"/>
    <m/>
    <x v="0"/>
    <n v="1.5"/>
  </r>
  <r>
    <s v="outbound"/>
    <d v="2025-07-14T13:40:00"/>
    <s v="shipment"/>
    <s v="PO_1153"/>
    <x v="685"/>
    <s v="PR2507F1P2"/>
    <x v="110"/>
    <s v="preroll_labelled"/>
    <d v="2025-06-10T00:00:00"/>
    <n v="-24"/>
    <n v="0"/>
    <n v="-48"/>
    <m/>
    <x v="0"/>
    <n v="2"/>
  </r>
  <r>
    <s v="outbound"/>
    <d v="2025-07-14T13:40:00"/>
    <s v="shipment"/>
    <s v="PO_1153"/>
    <x v="673"/>
    <s v="PR2516F1P2"/>
    <x v="151"/>
    <s v="preroll_labelled"/>
    <d v="2025-06-23T00:00:00"/>
    <n v="-24"/>
    <n v="0"/>
    <n v="-48"/>
    <m/>
    <x v="0"/>
    <n v="2"/>
  </r>
  <r>
    <s v="outbound"/>
    <d v="2025-07-14T13:40:00"/>
    <s v="shipment"/>
    <s v="PO_1154"/>
    <x v="589"/>
    <s v="PR2406F5P3"/>
    <x v="43"/>
    <s v="preroll_labelled"/>
    <d v="2025-03-26T00:00:00"/>
    <n v="-24"/>
    <n v="0"/>
    <n v="-36"/>
    <m/>
    <x v="0"/>
    <n v="1.5"/>
  </r>
  <r>
    <s v="inbound"/>
    <d v="2025-07-15T15:40:00"/>
    <s v="storage"/>
    <m/>
    <x v="686"/>
    <s v="LR25071001"/>
    <x v="9"/>
    <s v="extract_inhaled_bulk"/>
    <s v="NA"/>
    <n v="1"/>
    <n v="1480"/>
    <n v="0"/>
    <m/>
    <x v="1"/>
    <n v="0"/>
  </r>
  <r>
    <s v="inbound"/>
    <d v="2025-07-15T15:40:00"/>
    <s v="storage"/>
    <m/>
    <x v="632"/>
    <s v="PR2512"/>
    <x v="122"/>
    <s v="diredflower_milled_bulk_Rohan"/>
    <s v="NA"/>
    <n v="1"/>
    <n v="3646"/>
    <n v="0"/>
    <m/>
    <x v="1"/>
    <n v="0"/>
  </r>
  <r>
    <s v="inbound"/>
    <d v="2025-07-15T15:40:00"/>
    <s v="storage"/>
    <m/>
    <x v="439"/>
    <s v="EX24111302G05"/>
    <x v="46"/>
    <s v="extract_inhaled_labelled"/>
    <d v="2025-02-19T00:00:00"/>
    <n v="103"/>
    <n v="0"/>
    <n v="51.5"/>
    <m/>
    <x v="0"/>
    <n v="0.5"/>
  </r>
  <r>
    <s v="inbound"/>
    <d v="2025-07-15T15:40:00"/>
    <s v="storage"/>
    <m/>
    <x v="679"/>
    <s v="TP25051501"/>
    <x v="2"/>
    <s v="topical_labelled"/>
    <d v="2025-05-28T00:00:00"/>
    <n v="24"/>
    <n v="0"/>
    <n v="2112"/>
    <m/>
    <x v="0"/>
    <n v="88"/>
  </r>
  <r>
    <s v="inbound"/>
    <d v="2025-07-15T15:40:00"/>
    <s v="storage"/>
    <m/>
    <x v="622"/>
    <s v="EX24111301G05"/>
    <x v="47"/>
    <s v="extract_inhaled_labelled"/>
    <d v="2025-04-09T00:00:00"/>
    <n v="62"/>
    <n v="0"/>
    <n v="31"/>
    <m/>
    <x v="0"/>
    <n v="0.5"/>
  </r>
  <r>
    <s v="inbound"/>
    <d v="2025-07-15T15:40:00"/>
    <s v="storage"/>
    <m/>
    <x v="681"/>
    <s v="BS23090701G450"/>
    <x v="5"/>
    <s v="topical_labelled"/>
    <d v="2025-03-19T00:00:00"/>
    <n v="59"/>
    <n v="0"/>
    <n v="26550"/>
    <m/>
    <x v="0"/>
    <n v="450"/>
  </r>
  <r>
    <s v="inbound"/>
    <d v="2025-07-15T15:40:00"/>
    <s v="storage"/>
    <m/>
    <x v="562"/>
    <n v="2024121801"/>
    <x v="100"/>
    <s v="driedflower_bulk_big"/>
    <s v="NA"/>
    <n v="1"/>
    <n v="8972"/>
    <n v="0"/>
    <m/>
    <x v="1"/>
    <n v="0"/>
  </r>
  <r>
    <s v="inbound"/>
    <d v="2025-07-15T15:40:00"/>
    <s v="storage"/>
    <m/>
    <x v="561"/>
    <s v="PR2511"/>
    <x v="85"/>
    <s v="driedflower_milled_bulk"/>
    <s v="NA"/>
    <n v="165"/>
    <n v="0"/>
    <n v="263010"/>
    <m/>
    <x v="0"/>
    <n v="1594"/>
  </r>
  <r>
    <s v="outbound"/>
    <d v="2025-07-15T16:40:00"/>
    <s v="shipment"/>
    <m/>
    <x v="687"/>
    <s v="2021082601G14"/>
    <x v="153"/>
    <s v="driedflower_labelled"/>
    <d v="2025-06-14T00:00:00"/>
    <n v="-60"/>
    <n v="0"/>
    <n v="-840"/>
    <m/>
    <x v="0"/>
    <n v="14"/>
  </r>
  <r>
    <s v="outbound"/>
    <d v="2025-07-16T10:00:00"/>
    <s v="production"/>
    <m/>
    <x v="688"/>
    <s v="PR241102F5"/>
    <x v="29"/>
    <s v="preroll_bulk"/>
    <s v="NA"/>
    <n v="-573"/>
    <n v="0"/>
    <n v="-286.5"/>
    <m/>
    <x v="0"/>
    <n v="0.5"/>
  </r>
  <r>
    <s v="outbound"/>
    <d v="2025-07-16T10:00:00"/>
    <s v="production"/>
    <m/>
    <x v="689"/>
    <s v="PR241102F5"/>
    <x v="29"/>
    <s v="preroll_bulk"/>
    <s v="NA"/>
    <n v="-602"/>
    <n v="0"/>
    <n v="-301"/>
    <m/>
    <x v="0"/>
    <n v="0.5"/>
  </r>
  <r>
    <s v="outbound"/>
    <d v="2025-07-16T10:00:00"/>
    <s v="production"/>
    <m/>
    <x v="296"/>
    <s v="PR241102F5"/>
    <x v="29"/>
    <s v="preroll_bulk"/>
    <s v="NA"/>
    <n v="-55"/>
    <n v="0"/>
    <n v="-27.5"/>
    <m/>
    <x v="0"/>
    <n v="0.5"/>
  </r>
  <r>
    <s v="outbound"/>
    <d v="2025-07-16T10:00:00"/>
    <s v="production"/>
    <m/>
    <x v="595"/>
    <s v="EX25050501V50"/>
    <x v="97"/>
    <s v="extract_ingested_packaged"/>
    <d v="2025-05-13T00:00:00"/>
    <n v="-218"/>
    <n v="0"/>
    <n v="-10900"/>
    <m/>
    <x v="0"/>
    <n v="50"/>
  </r>
  <r>
    <s v="outbound"/>
    <d v="2025-07-16T10:00:00"/>
    <s v="production"/>
    <m/>
    <x v="429"/>
    <s v="EX25012101V50"/>
    <x v="33"/>
    <s v="extract_ingested_packaged"/>
    <d v="2025-02-12T00:00:00"/>
    <n v="-44"/>
    <n v="0"/>
    <n v="-2200"/>
    <m/>
    <x v="0"/>
    <n v="50"/>
  </r>
  <r>
    <s v="outbound"/>
    <d v="2025-07-16T10:00:00"/>
    <s v="production"/>
    <m/>
    <x v="690"/>
    <s v="EX25012101V50"/>
    <x v="33"/>
    <s v="extract_ingested_labelled"/>
    <d v="2025-02-12T00:00:00"/>
    <n v="-111"/>
    <n v="0"/>
    <n v="-5550"/>
    <m/>
    <x v="0"/>
    <n v="50"/>
  </r>
  <r>
    <s v="outbound"/>
    <d v="2025-07-16T13:00:00"/>
    <s v="production"/>
    <m/>
    <x v="562"/>
    <n v="2024121801"/>
    <x v="100"/>
    <s v="driedflower_bulk_big"/>
    <s v="NA"/>
    <n v="-1"/>
    <n v="-8972"/>
    <n v="0"/>
    <m/>
    <x v="1"/>
    <n v="0"/>
  </r>
  <r>
    <s v="outbound"/>
    <d v="2025-07-16T15:00:00"/>
    <s v="production"/>
    <m/>
    <x v="691"/>
    <s v="PR2519"/>
    <x v="94"/>
    <s v="driedflower_milled_bulk"/>
    <s v="NA"/>
    <n v="-1"/>
    <n v="-4214"/>
    <n v="0"/>
    <m/>
    <x v="1"/>
    <n v="0"/>
  </r>
  <r>
    <s v="outbound"/>
    <d v="2025-07-17T10:00:00"/>
    <s v="shipment"/>
    <m/>
    <x v="652"/>
    <s v="PR251705F5P3"/>
    <x v="17"/>
    <s v="preroll_labelled"/>
    <d v="2025-05-27T00:00:00"/>
    <n v="-120"/>
    <n v="0"/>
    <n v="-180"/>
    <m/>
    <x v="0"/>
    <n v="1.5"/>
  </r>
  <r>
    <s v="outbound"/>
    <d v="2025-07-17T10:00:00"/>
    <s v="shipment"/>
    <m/>
    <x v="692"/>
    <s v="PR251905F5P3"/>
    <x v="17"/>
    <s v="preroll_labelled"/>
    <d v="2025-07-08T00:00:00"/>
    <n v="-96"/>
    <n v="0"/>
    <n v="-144"/>
    <m/>
    <x v="0"/>
    <n v="1.5"/>
  </r>
  <r>
    <s v="outbound"/>
    <d v="2025-07-17T10:00:00"/>
    <s v="shipment"/>
    <m/>
    <x v="693"/>
    <s v="PR2516F5P10"/>
    <x v="88"/>
    <s v="preroll_labelled"/>
    <d v="2025-07-03T00:00:00"/>
    <n v="-139"/>
    <n v="0"/>
    <n v="-695"/>
    <m/>
    <x v="0"/>
    <n v="5"/>
  </r>
  <r>
    <s v="outbound"/>
    <d v="2025-07-17T10:00:00"/>
    <s v="shipment"/>
    <m/>
    <x v="694"/>
    <s v="2025050501G14"/>
    <x v="154"/>
    <s v="driedflower_labelled"/>
    <d v="2025-07-02T00:00:00"/>
    <n v="-55"/>
    <n v="0"/>
    <n v="-770"/>
    <m/>
    <x v="0"/>
    <n v="14"/>
  </r>
  <r>
    <s v="outbound"/>
    <d v="2025-07-17T10:00:00"/>
    <s v="production"/>
    <m/>
    <x v="664"/>
    <n v="2025062602"/>
    <x v="114"/>
    <s v="driedflower_bulk_Rohan"/>
    <s v="NA"/>
    <n v="-1"/>
    <n v="-6064"/>
    <n v="0"/>
    <m/>
    <x v="1"/>
    <n v="0"/>
  </r>
  <r>
    <s v="outbound"/>
    <d v="2025-07-17T10:00:00"/>
    <s v="production"/>
    <m/>
    <x v="658"/>
    <n v="2025062602"/>
    <x v="114"/>
    <s v="driedflower_bulk_Rohan"/>
    <s v="NA"/>
    <n v="-1"/>
    <n v="-972"/>
    <n v="0"/>
    <m/>
    <x v="1"/>
    <n v="0"/>
  </r>
  <r>
    <s v="outbound"/>
    <d v="2025-07-17T10:00:00"/>
    <s v="production"/>
    <m/>
    <x v="659"/>
    <n v="2025062602"/>
    <x v="114"/>
    <s v="driedflower_bulk_Rohan"/>
    <s v="NA"/>
    <n v="-1"/>
    <n v="-1000"/>
    <n v="0"/>
    <m/>
    <x v="1"/>
    <n v="0"/>
  </r>
  <r>
    <s v="outbound"/>
    <d v="2025-07-17T10:00:00"/>
    <s v="production"/>
    <m/>
    <x v="661"/>
    <n v="2025062602"/>
    <x v="114"/>
    <s v="driedflower_bulk_Rohan"/>
    <s v="NA"/>
    <n v="-1"/>
    <n v="-1000"/>
    <n v="0"/>
    <m/>
    <x v="1"/>
    <n v="0"/>
  </r>
  <r>
    <s v="outbound"/>
    <d v="2025-07-17T10:00:00"/>
    <s v="production"/>
    <m/>
    <x v="662"/>
    <n v="2025050501"/>
    <x v="114"/>
    <s v="driedflower_bulk_Rohan"/>
    <s v="NA"/>
    <n v="-1"/>
    <n v="-380"/>
    <n v="0"/>
    <m/>
    <x v="1"/>
    <n v="0"/>
  </r>
  <r>
    <s v="outbound"/>
    <d v="2025-07-17T10:00:00"/>
    <s v="production"/>
    <m/>
    <x v="663"/>
    <n v="2025062602"/>
    <x v="114"/>
    <s v="driedflower_bulk_Rohan"/>
    <s v="NA"/>
    <n v="-1"/>
    <n v="-1000"/>
    <n v="0"/>
    <m/>
    <x v="1"/>
    <n v="0"/>
  </r>
  <r>
    <s v="outbound"/>
    <d v="2025-07-17T10:00:00"/>
    <s v="shipment"/>
    <s v="OFDMB250716"/>
    <x v="391"/>
    <s v="EX24101705G05"/>
    <x v="49"/>
    <s v="extract_inhaled_labelled"/>
    <d v="2024-12-03T00:00:00"/>
    <n v="-58"/>
    <n v="0"/>
    <n v="-29"/>
    <m/>
    <x v="0"/>
    <n v="0.5"/>
  </r>
  <r>
    <s v="outbound"/>
    <d v="2025-07-17T10:00:00"/>
    <s v="shipment"/>
    <s v="OFDMB250716"/>
    <x v="320"/>
    <s v="EX24101703G05"/>
    <x v="45"/>
    <s v="extract_inhaled_labelled"/>
    <d v="2024-11-07T00:00:00"/>
    <n v="-451"/>
    <n v="0"/>
    <n v="-225.5"/>
    <m/>
    <x v="0"/>
    <n v="0.5"/>
  </r>
  <r>
    <s v="outbound"/>
    <d v="2025-07-17T10:00:00"/>
    <s v="shipment"/>
    <s v="OFDMB250716"/>
    <x v="695"/>
    <s v="EX24101704G05"/>
    <x v="48"/>
    <s v="extract_inhaled_labelled"/>
    <d v="2024-12-05T00:00:00"/>
    <n v="-518"/>
    <n v="0"/>
    <n v="-259"/>
    <m/>
    <x v="0"/>
    <n v="0.5"/>
  </r>
  <r>
    <s v="outbound"/>
    <d v="2025-07-17T10:00:00"/>
    <s v="shipment"/>
    <s v="OFDMB250716"/>
    <x v="439"/>
    <s v="EX24111302G05"/>
    <x v="46"/>
    <s v="extract_inhaled_labelled"/>
    <d v="2025-02-19T00:00:00"/>
    <n v="-103"/>
    <n v="0"/>
    <n v="-51.5"/>
    <m/>
    <x v="0"/>
    <n v="0.5"/>
  </r>
  <r>
    <s v="outbound"/>
    <d v="2025-07-17T10:00:00"/>
    <s v="shipment"/>
    <s v="OFDMB250716"/>
    <x v="334"/>
    <s v="PR241104F5P3"/>
    <x v="18"/>
    <s v="preroll_labelled"/>
    <d v="2024-12-04T00:00:00"/>
    <n v="-146"/>
    <n v="0"/>
    <n v="-219"/>
    <m/>
    <x v="0"/>
    <n v="1.5"/>
  </r>
  <r>
    <s v="outbound"/>
    <d v="2025-07-17T10:00:00"/>
    <s v="shipment"/>
    <s v="OFDMB250716"/>
    <x v="241"/>
    <s v="PR241104F5P3"/>
    <x v="18"/>
    <s v="preroll_labelled"/>
    <d v="2024-10-23T00:00:00"/>
    <n v="-8"/>
    <n v="0"/>
    <n v="-12"/>
    <m/>
    <x v="0"/>
    <n v="1.5"/>
  </r>
  <r>
    <s v="inbound"/>
    <d v="2025-07-17T10:00:00"/>
    <s v="storage"/>
    <m/>
    <x v="690"/>
    <s v="EX25012101V50"/>
    <x v="33"/>
    <s v="extract_ingested_labelled"/>
    <d v="2025-02-12T00:00:00"/>
    <n v="75"/>
    <n v="0"/>
    <n v="3750"/>
    <m/>
    <x v="0"/>
    <n v="50"/>
  </r>
  <r>
    <s v="inbound"/>
    <d v="2025-07-17T10:00:00"/>
    <s v="storage"/>
    <m/>
    <x v="595"/>
    <s v="EX25050501V50"/>
    <x v="97"/>
    <s v="extract_ingested_packaged"/>
    <d v="2025-05-13T00:00:00"/>
    <n v="130"/>
    <n v="0"/>
    <n v="6500"/>
    <m/>
    <x v="0"/>
    <n v="50"/>
  </r>
  <r>
    <s v="inbound"/>
    <d v="2025-07-17T10:00:00"/>
    <s v="storage"/>
    <m/>
    <x v="429"/>
    <s v="EX25012101V50"/>
    <x v="33"/>
    <s v="extract_ingested_packaged"/>
    <d v="2025-02-12T00:00:00"/>
    <n v="43"/>
    <n v="0"/>
    <n v="2150"/>
    <m/>
    <x v="0"/>
    <n v="50"/>
  </r>
  <r>
    <s v="outbound"/>
    <d v="2025-07-17T14:00:00"/>
    <s v="production"/>
    <m/>
    <x v="696"/>
    <s v="PR2516"/>
    <x v="84"/>
    <s v="driedflower_milled_bulk"/>
    <s v="NA"/>
    <n v="-1"/>
    <n v="-3238"/>
    <n v="0"/>
    <m/>
    <x v="1"/>
    <n v="0"/>
  </r>
  <r>
    <s v="outbound"/>
    <d v="2025-07-17T14:00:00"/>
    <s v="shipment"/>
    <s v="OFDMB250716"/>
    <x v="581"/>
    <s v="PR241103F5P3"/>
    <x v="20"/>
    <s v="preroll_labelled"/>
    <d v="2025-04-14T00:00:00"/>
    <n v="-44"/>
    <n v="0"/>
    <n v="-66"/>
    <m/>
    <x v="0"/>
    <n v="1.5"/>
  </r>
  <r>
    <s v="outbound"/>
    <d v="2025-07-17T14:00:00"/>
    <s v="shipment"/>
    <s v="OFDMB250716"/>
    <x v="179"/>
    <s v="PR241003F5P3"/>
    <x v="20"/>
    <s v="preroll_labelled"/>
    <d v="2024-10-10T00:00:00"/>
    <n v="-2"/>
    <n v="0"/>
    <n v="-3"/>
    <m/>
    <x v="0"/>
    <n v="1.5"/>
  </r>
  <r>
    <s v="outbound"/>
    <d v="2025-07-17T14:00:00"/>
    <s v="shipment"/>
    <s v="OFDMB250716"/>
    <x v="697"/>
    <s v="TP25051501"/>
    <x v="2"/>
    <s v="topical_labelled"/>
    <d v="2025-05-28T00:00:00"/>
    <n v="-451"/>
    <n v="0"/>
    <n v="-39688"/>
    <m/>
    <x v="0"/>
    <n v="88"/>
  </r>
  <r>
    <s v="outbound"/>
    <d v="2025-07-22T00:00:00"/>
    <s v="shipment"/>
    <m/>
    <x v="595"/>
    <s v="EX25050501V50"/>
    <x v="97"/>
    <s v="extract_ingested_packaged"/>
    <d v="2025-05-13T00:00:00"/>
    <n v="-130"/>
    <n v="0"/>
    <n v="-6500"/>
    <m/>
    <x v="0"/>
    <n v="50"/>
  </r>
  <r>
    <s v="outbound"/>
    <d v="2025-07-22T10:00:00"/>
    <s v="shipment"/>
    <s v="PO_75602"/>
    <x v="685"/>
    <s v="PR2507F1P2"/>
    <x v="110"/>
    <s v="preroll_labelled"/>
    <d v="2025-06-10T00:00:00"/>
    <n v="-384"/>
    <n v="0"/>
    <n v="-768"/>
    <m/>
    <x v="0"/>
    <n v="2"/>
  </r>
  <r>
    <s v="outbound"/>
    <d v="2025-07-22T10:00:00"/>
    <s v="shipment"/>
    <s v="PO_75602"/>
    <x v="698"/>
    <s v="PR2507F1P2"/>
    <x v="110"/>
    <s v="preroll_labelled"/>
    <d v="2025-07-10T00:00:00"/>
    <n v="-502"/>
    <n v="0"/>
    <n v="-1004"/>
    <m/>
    <x v="0"/>
    <n v="2"/>
  </r>
  <r>
    <s v="outbound"/>
    <d v="2025-07-22T10:00:00"/>
    <s v="shipment"/>
    <m/>
    <x v="679"/>
    <s v="TP25051501"/>
    <x v="2"/>
    <s v="topical_labelled"/>
    <d v="2025-05-28T00:00:00"/>
    <n v="-24"/>
    <n v="0"/>
    <n v="-2112"/>
    <m/>
    <x v="0"/>
    <n v="88"/>
  </r>
  <r>
    <s v="outbound"/>
    <d v="2025-07-22T10:00:00"/>
    <s v="shipment"/>
    <m/>
    <x v="699"/>
    <s v="TP25051501"/>
    <x v="2"/>
    <s v="topical_labelled"/>
    <d v="2025-05-28T00:00:00"/>
    <n v="-122"/>
    <n v="0"/>
    <n v="-10736"/>
    <m/>
    <x v="0"/>
    <n v="88"/>
  </r>
  <r>
    <s v="outbound"/>
    <d v="2025-07-22T10:00:00"/>
    <s v="production"/>
    <m/>
    <x v="700"/>
    <n v="2025072101"/>
    <x v="114"/>
    <s v="driedflower_bulk_Rohan"/>
    <s v="NA"/>
    <n v="-1"/>
    <n v="-5202"/>
    <n v="0"/>
    <m/>
    <x v="1"/>
    <n v="0"/>
  </r>
  <r>
    <s v="outbound"/>
    <d v="2025-07-22T10:00:00"/>
    <s v="production"/>
    <m/>
    <x v="701"/>
    <n v="2025072101"/>
    <x v="114"/>
    <s v="driedflower_bulk_Rohan"/>
    <s v="NA"/>
    <n v="-1"/>
    <n v="-5164"/>
    <n v="0"/>
    <m/>
    <x v="1"/>
    <n v="0"/>
  </r>
  <r>
    <s v="outbound"/>
    <d v="2025-07-22T10:00:00"/>
    <s v="production"/>
    <m/>
    <x v="702"/>
    <s v="TP25051501"/>
    <x v="2"/>
    <s v="topical_labelled"/>
    <d v="2025-05-28T00:00:00"/>
    <n v="-3"/>
    <n v="0"/>
    <n v="-264"/>
    <m/>
    <x v="0"/>
    <n v="88"/>
  </r>
  <r>
    <s v="outbound"/>
    <d v="2025-07-22T13:00:00"/>
    <s v="shipment"/>
    <s v="PO_1157"/>
    <x v="703"/>
    <s v="PR251908F5P12"/>
    <x v="127"/>
    <s v="preroll_labelled"/>
    <d v="2025-07-08T00:00:00"/>
    <n v="-14"/>
    <n v="0"/>
    <n v="-84"/>
    <m/>
    <x v="0"/>
    <n v="6"/>
  </r>
  <r>
    <s v="outbound"/>
    <d v="2025-07-22T13:00:00"/>
    <s v="shipment"/>
    <m/>
    <x v="350"/>
    <s v="EX24101704G05"/>
    <x v="48"/>
    <s v="extract_inhaled_labelled"/>
    <d v="2024-11-29T00:00:00"/>
    <n v="-12"/>
    <n v="0"/>
    <n v="-6"/>
    <m/>
    <x v="0"/>
    <n v="0.5"/>
  </r>
  <r>
    <s v="outbound"/>
    <d v="2025-07-22T13:00:00"/>
    <s v="shipment"/>
    <m/>
    <x v="587"/>
    <s v="PR2501INF5P3"/>
    <x v="128"/>
    <s v="preroll_labelled"/>
    <d v="2025-05-01T00:00:00"/>
    <n v="-12"/>
    <n v="0"/>
    <n v="-18"/>
    <m/>
    <x v="0"/>
    <n v="1.5"/>
  </r>
  <r>
    <s v="outbound"/>
    <d v="2025-07-22T13:00:00"/>
    <s v="shipment"/>
    <m/>
    <x v="620"/>
    <s v="PR251701F5P3"/>
    <x v="19"/>
    <s v="preroll_labelled"/>
    <d v="2025-05-23T00:00:00"/>
    <n v="-12"/>
    <n v="0"/>
    <n v="-18"/>
    <m/>
    <x v="0"/>
    <n v="1.5"/>
  </r>
  <r>
    <s v="outbound"/>
    <d v="2025-07-22T13:00:00"/>
    <s v="shipment"/>
    <m/>
    <x v="673"/>
    <s v="PR2516F1P2"/>
    <x v="151"/>
    <s v="preroll_labelled"/>
    <d v="2025-06-23T00:00:00"/>
    <n v="-12"/>
    <n v="0"/>
    <n v="-24"/>
    <m/>
    <x v="0"/>
    <n v="2"/>
  </r>
  <r>
    <s v="outbound"/>
    <d v="2025-07-22T13:00:00"/>
    <s v="shipment"/>
    <m/>
    <x v="600"/>
    <s v="EX25041401V30"/>
    <x v="44"/>
    <s v="extract_ingested_labelled"/>
    <d v="2025-04-30T00:00:00"/>
    <n v="-12"/>
    <n v="0"/>
    <n v="-327.60000000000002"/>
    <m/>
    <x v="0"/>
    <n v="27.3"/>
  </r>
  <r>
    <s v="outbound"/>
    <d v="2025-07-23T13:00:00"/>
    <s v="production"/>
    <m/>
    <x v="486"/>
    <n v="2025030702"/>
    <x v="114"/>
    <s v="driedflower_bulk_Rohan"/>
    <s v="NA"/>
    <n v="-1"/>
    <n v="-6602"/>
    <n v="0"/>
    <m/>
    <x v="1"/>
    <n v="0"/>
  </r>
  <r>
    <s v="outbound"/>
    <d v="2025-07-23T13:00:00"/>
    <s v="shipment"/>
    <m/>
    <x v="680"/>
    <s v="2024111803G7"/>
    <x v="83"/>
    <s v="driedflower_labelled"/>
    <d v="2025-06-18T00:00:00"/>
    <n v="-12"/>
    <n v="0"/>
    <n v="-84"/>
    <m/>
    <x v="0"/>
    <n v="7"/>
  </r>
  <r>
    <s v="outbound"/>
    <d v="2025-07-24T13:00:00"/>
    <s v="sampling"/>
    <m/>
    <x v="491"/>
    <s v="EX25020601G05"/>
    <x v="111"/>
    <s v="extract_inhaled_labelled"/>
    <d v="2025-02-14T00:00:00"/>
    <n v="-2"/>
    <n v="0"/>
    <n v="-1"/>
    <m/>
    <x v="0"/>
    <n v="0.5"/>
  </r>
  <r>
    <s v="outbound"/>
    <d v="2025-07-24T13:00:00"/>
    <s v="sampling"/>
    <m/>
    <x v="613"/>
    <s v="PR2516F5P10"/>
    <x v="88"/>
    <s v="preroll_labelled"/>
    <d v="2025-05-06T00:00:00"/>
    <n v="-3"/>
    <n v="0"/>
    <n v="-15"/>
    <m/>
    <x v="0"/>
    <n v="5"/>
  </r>
  <r>
    <s v="outbound"/>
    <d v="2025-07-25T13:10:07"/>
    <s v="production"/>
    <m/>
    <x v="704"/>
    <s v="CPR22112801G14"/>
    <x v="155"/>
    <s v="driedflower_milled_labelled"/>
    <d v="2023-01-15T00:00:00"/>
    <n v="-404"/>
    <n v="0"/>
    <n v="-5656"/>
    <m/>
    <x v="0"/>
    <n v="14"/>
  </r>
  <r>
    <s v="outbound"/>
    <d v="2025-07-25T13:11:04"/>
    <s v="production"/>
    <m/>
    <x v="66"/>
    <s v="CPR22112801G7"/>
    <x v="38"/>
    <s v="driedflower_milled_labelled"/>
    <d v="2023-01-15T00:00:00"/>
    <n v="-94"/>
    <n v="0"/>
    <n v="-658"/>
    <m/>
    <x v="0"/>
    <n v="7"/>
  </r>
  <r>
    <s v="inbound"/>
    <d v="2025-07-25T14:40:28"/>
    <s v="storage"/>
    <m/>
    <x v="696"/>
    <s v="PR2516"/>
    <x v="84"/>
    <s v="driedflower_milled_bulk"/>
    <s v="NA"/>
    <n v="1"/>
    <n v="1986"/>
    <n v="0"/>
    <m/>
    <x v="1"/>
    <n v="0"/>
  </r>
  <r>
    <s v="inbound"/>
    <d v="2025-07-25T14:58:44"/>
    <s v="storage"/>
    <m/>
    <x v="662"/>
    <n v="2025050501"/>
    <x v="114"/>
    <s v="driedflower_bulk_Rohan"/>
    <s v="NA"/>
    <n v="1"/>
    <n v="278"/>
    <n v="0"/>
    <m/>
    <x v="1"/>
    <n v="0"/>
  </r>
  <r>
    <s v="inbound"/>
    <d v="2025-07-25T15:08:06"/>
    <s v="storage"/>
    <m/>
    <x v="700"/>
    <n v="2025072101"/>
    <x v="114"/>
    <s v="driedflower_bulk_Rohan"/>
    <s v="NA"/>
    <n v="1"/>
    <n v="2968"/>
    <n v="0"/>
    <m/>
    <x v="1"/>
    <n v="0"/>
  </r>
  <r>
    <s v="inbound"/>
    <d v="2025-07-25T15:12:38"/>
    <s v="storage"/>
    <m/>
    <x v="701"/>
    <n v="2025072101"/>
    <x v="114"/>
    <s v="driedflower_bulk_Rohan"/>
    <s v="NA"/>
    <n v="1"/>
    <n v="4264"/>
    <n v="0"/>
    <m/>
    <x v="1"/>
    <n v="0"/>
  </r>
  <r>
    <s v="inbound"/>
    <d v="2025-07-25T15:12:38"/>
    <s v="storage"/>
    <m/>
    <x v="595"/>
    <s v="EX25050501V50"/>
    <x v="97"/>
    <s v="extract_ingested_packaged"/>
    <d v="2025-05-13T00:00:00"/>
    <n v="34"/>
    <n v="0"/>
    <n v="1700"/>
    <m/>
    <x v="0"/>
    <n v="50"/>
  </r>
  <r>
    <s v="outbound"/>
    <d v="2025-07-25T15:27:54"/>
    <s v="storage"/>
    <m/>
    <x v="698"/>
    <s v="PR2507F1P2"/>
    <x v="110"/>
    <s v="preroll_labelled"/>
    <d v="2025-07-10T00:00:00"/>
    <n v="-12"/>
    <n v="0"/>
    <n v="-24"/>
    <m/>
    <x v="0"/>
    <n v="2"/>
  </r>
  <r>
    <s v="inbound"/>
    <d v="2025-07-25T15:43:04"/>
    <s v="storage"/>
    <m/>
    <x v="562"/>
    <n v="2024121801"/>
    <x v="100"/>
    <s v="driedflower_bulk_big"/>
    <s v="NA"/>
    <n v="1"/>
    <n v="6950"/>
    <n v="0"/>
    <m/>
    <x v="1"/>
    <n v="0"/>
  </r>
  <r>
    <s v="inbound"/>
    <d v="2025-07-25T16:15:41"/>
    <s v="storage"/>
    <m/>
    <x v="391"/>
    <s v="EX24101705G05"/>
    <x v="49"/>
    <s v="extract_inhaled_labelled"/>
    <d v="2024-12-03T00:00:00"/>
    <n v="12"/>
    <n v="0"/>
    <n v="6"/>
    <m/>
    <x v="0"/>
    <n v="0.5"/>
  </r>
  <r>
    <s v="outbound"/>
    <d v="2025-07-28T10:23:12"/>
    <s v="shipment"/>
    <m/>
    <x v="705"/>
    <s v="LR22060701"/>
    <x v="156"/>
    <s v="extract_inhaled_labelled"/>
    <d v="2023-09-01T00:00:00"/>
    <n v="-170"/>
    <n v="0"/>
    <n v="-170"/>
    <m/>
    <x v="0"/>
    <n v="1"/>
  </r>
  <r>
    <s v="outbound"/>
    <d v="2025-07-28T10:23:12"/>
    <s v="shipment"/>
    <m/>
    <x v="706"/>
    <s v="PR241102F5P3"/>
    <x v="30"/>
    <s v="preroll_labelled"/>
    <d v="2025-07-16T00:00:00"/>
    <n v="-48"/>
    <n v="0"/>
    <n v="-72"/>
    <m/>
    <x v="0"/>
    <n v="1.5"/>
  </r>
  <r>
    <s v="outbound"/>
    <d v="2025-07-28T10:23:12"/>
    <s v="shipment"/>
    <m/>
    <x v="678"/>
    <s v="PR2512F5P5"/>
    <x v="152"/>
    <s v="preroll_labelled"/>
    <d v="2025-06-25T00:00:00"/>
    <n v="-12"/>
    <n v="0"/>
    <n v="-30"/>
    <m/>
    <x v="0"/>
    <n v="2.5"/>
  </r>
  <r>
    <s v="outbound"/>
    <d v="2025-07-28T10:23:12"/>
    <s v="shipment"/>
    <m/>
    <x v="620"/>
    <s v="PR251701F5P3"/>
    <x v="19"/>
    <s v="preroll_labelled"/>
    <d v="2025-05-23T00:00:00"/>
    <n v="-91"/>
    <n v="0"/>
    <n v="-136.5"/>
    <m/>
    <x v="0"/>
    <n v="1.5"/>
  </r>
  <r>
    <s v="outbound"/>
    <d v="2025-07-28T10:23:12"/>
    <s v="shipment"/>
    <m/>
    <x v="577"/>
    <s v="PR241105F5P3"/>
    <x v="17"/>
    <s v="preroll_cased_SK_RTV"/>
    <d v="2024-10-16T00:00:00"/>
    <n v="-5"/>
    <n v="0"/>
    <n v="-7.5"/>
    <m/>
    <x v="0"/>
    <n v="1.5"/>
  </r>
  <r>
    <s v="outbound"/>
    <d v="2025-07-28T10:23:12"/>
    <s v="shipment"/>
    <m/>
    <x v="707"/>
    <s v="PR2512F1P1"/>
    <x v="157"/>
    <s v="preroll_labelled"/>
    <d v="2025-07-23T00:00:00"/>
    <n v="-12"/>
    <n v="0"/>
    <n v="-12"/>
    <m/>
    <x v="0"/>
    <n v="1"/>
  </r>
  <r>
    <s v="outbound"/>
    <d v="2025-07-28T10:23:12"/>
    <s v="shipment"/>
    <m/>
    <x v="603"/>
    <s v="PR2406F5P3"/>
    <x v="43"/>
    <s v="preroll_labelled"/>
    <d v="2025-03-12T00:00:00"/>
    <n v="-12"/>
    <n v="0"/>
    <n v="-18"/>
    <m/>
    <x v="0"/>
    <n v="1.5"/>
  </r>
  <r>
    <s v="outbound"/>
    <d v="2025-07-28T10:23:12"/>
    <s v="shipment"/>
    <m/>
    <x v="287"/>
    <s v="TP24082901"/>
    <x v="6"/>
    <s v="topical_labelled"/>
    <d v="2024-10-04T00:00:00"/>
    <n v="-46"/>
    <n v="0"/>
    <n v="-4048"/>
    <m/>
    <x v="0"/>
    <n v="88"/>
  </r>
  <r>
    <s v="outbound"/>
    <d v="2025-07-28T10:23:12"/>
    <s v="shipment"/>
    <m/>
    <x v="455"/>
    <s v="TP24082901"/>
    <x v="6"/>
    <s v="topical_labelled"/>
    <d v="2024-09-25T00:00:00"/>
    <n v="-3"/>
    <n v="0"/>
    <n v="-264"/>
    <m/>
    <x v="0"/>
    <n v="88"/>
  </r>
  <r>
    <s v="outbound"/>
    <d v="2025-07-28T10:23:12"/>
    <s v="shipment"/>
    <m/>
    <x v="698"/>
    <s v="PR2507F1P2"/>
    <x v="110"/>
    <s v="preroll_labelled"/>
    <d v="2025-07-10T00:00:00"/>
    <n v="-12"/>
    <n v="0"/>
    <n v="-24"/>
    <m/>
    <x v="0"/>
    <n v="2"/>
  </r>
  <r>
    <s v="outbound"/>
    <d v="2025-07-28T10:23:12"/>
    <s v="shipment"/>
    <m/>
    <x v="678"/>
    <s v="PR2512F5P5"/>
    <x v="152"/>
    <s v="preroll_labelled"/>
    <d v="2025-06-25T00:00:00"/>
    <n v="-174"/>
    <n v="0"/>
    <n v="-435"/>
    <m/>
    <x v="0"/>
    <n v="2.5"/>
  </r>
  <r>
    <s v="outbound"/>
    <d v="2025-07-28T10:23:12"/>
    <s v="shipment"/>
    <m/>
    <x v="673"/>
    <s v="PR2516F1P2"/>
    <x v="151"/>
    <s v="preroll_labelled"/>
    <d v="2025-06-23T00:00:00"/>
    <n v="-24"/>
    <n v="0"/>
    <n v="-48"/>
    <m/>
    <x v="0"/>
    <n v="2"/>
  </r>
  <r>
    <s v="outbound"/>
    <d v="2025-07-28T10:23:12"/>
    <s v="shipment"/>
    <m/>
    <x v="631"/>
    <s v="PR2502INF5P3"/>
    <x v="128"/>
    <s v="preroll_labelled"/>
    <d v="2025-06-18T00:00:00"/>
    <n v="-940"/>
    <n v="0"/>
    <n v="-1410"/>
    <m/>
    <x v="0"/>
    <n v="1.5"/>
  </r>
  <r>
    <s v="outbound"/>
    <d v="2025-07-28T10:23:12"/>
    <s v="shipment"/>
    <m/>
    <x v="583"/>
    <s v="LR23032101"/>
    <x v="141"/>
    <s v="extract_inhaled_labelled"/>
    <d v="2025-05-16T00:00:00"/>
    <n v="-48"/>
    <n v="0"/>
    <n v="-48"/>
    <m/>
    <x v="0"/>
    <n v="1"/>
  </r>
  <r>
    <s v="outbound"/>
    <d v="2025-07-28T10:23:12"/>
    <s v="production"/>
    <m/>
    <x v="708"/>
    <n v="2022051601"/>
    <x v="66"/>
    <s v="driedflower_bulk"/>
    <d v="2022-09-26T00:00:00"/>
    <n v="-1"/>
    <n v="-1046"/>
    <n v="0"/>
    <m/>
    <x v="1"/>
    <n v="0"/>
  </r>
  <r>
    <s v="outbound"/>
    <d v="2025-07-28T10:23:12"/>
    <s v="production"/>
    <m/>
    <x v="709"/>
    <n v="2022051601"/>
    <x v="66"/>
    <s v="driedflower_bulk"/>
    <d v="2022-09-26T00:00:00"/>
    <n v="-1"/>
    <n v="-1045"/>
    <n v="0"/>
    <m/>
    <x v="1"/>
    <n v="0"/>
  </r>
  <r>
    <s v="outbound"/>
    <d v="2025-07-28T10:23:12"/>
    <s v="production"/>
    <m/>
    <x v="710"/>
    <n v="2022051601"/>
    <x v="66"/>
    <s v="driedflower_bulk"/>
    <d v="2022-09-26T00:00:00"/>
    <n v="-1"/>
    <n v="-1048"/>
    <n v="0"/>
    <m/>
    <x v="1"/>
    <n v="0"/>
  </r>
  <r>
    <s v="outbound"/>
    <d v="2025-07-28T10:23:12"/>
    <s v="production"/>
    <m/>
    <x v="711"/>
    <n v="2022051601"/>
    <x v="66"/>
    <s v="driedflower_bulk"/>
    <d v="2022-09-26T00:00:00"/>
    <n v="-1"/>
    <n v="-1047.0999999999999"/>
    <n v="0"/>
    <m/>
    <x v="1"/>
    <n v="0"/>
  </r>
  <r>
    <s v="outbound"/>
    <d v="2025-07-28T10:23:12"/>
    <s v="production"/>
    <m/>
    <x v="712"/>
    <n v="2022051601"/>
    <x v="66"/>
    <s v="driedflower_bulk"/>
    <d v="2022-09-26T00:00:00"/>
    <n v="-1"/>
    <n v="-1043"/>
    <n v="0"/>
    <m/>
    <x v="1"/>
    <n v="0"/>
  </r>
  <r>
    <s v="outbound"/>
    <d v="2025-07-28T10:23:12"/>
    <s v="production"/>
    <m/>
    <x v="713"/>
    <n v="2022051601"/>
    <x v="66"/>
    <s v="driedflower_bulk"/>
    <d v="2022-09-26T00:00:00"/>
    <n v="-1"/>
    <n v="-1046.4000000000001"/>
    <n v="0"/>
    <m/>
    <x v="1"/>
    <n v="0"/>
  </r>
  <r>
    <s v="outbound"/>
    <d v="2025-07-28T10:23:12"/>
    <s v="shipment"/>
    <m/>
    <x v="702"/>
    <s v="TP25051501"/>
    <x v="2"/>
    <s v="topical_labelled"/>
    <d v="2025-05-28T00:00:00"/>
    <n v="-279"/>
    <n v="0"/>
    <n v="-24552"/>
    <m/>
    <x v="0"/>
    <n v="88"/>
  </r>
  <r>
    <s v="outbound"/>
    <d v="2025-07-28T10:23:12"/>
    <s v="shipment"/>
    <m/>
    <x v="714"/>
    <s v="ROGEX003G1"/>
    <x v="116"/>
    <s v="extract_inhaled_bulk_Rohan"/>
    <d v="2025-06-20T00:00:00"/>
    <n v="-48"/>
    <n v="0"/>
    <n v="-48"/>
    <m/>
    <x v="0"/>
    <n v="1"/>
  </r>
  <r>
    <s v="outbound"/>
    <d v="2025-07-28T10:23:12"/>
    <s v="shipment"/>
    <m/>
    <x v="715"/>
    <s v="PR251908F5P12"/>
    <x v="127"/>
    <s v="preroll_labelled"/>
    <d v="2025-07-16T00:00:00"/>
    <n v="-36"/>
    <n v="0"/>
    <n v="-216"/>
    <m/>
    <x v="0"/>
    <n v="6"/>
  </r>
  <r>
    <s v="outbound"/>
    <d v="2025-07-28T10:23:12"/>
    <s v="shipment"/>
    <m/>
    <x v="655"/>
    <s v="EX25010907G1"/>
    <x v="89"/>
    <s v="extract_inhaled_labelled"/>
    <d v="2025-03-26T00:00:00"/>
    <n v="-36"/>
    <n v="0"/>
    <n v="-36"/>
    <m/>
    <x v="0"/>
    <n v="1"/>
  </r>
  <r>
    <s v="outbound"/>
    <d v="2025-07-28T10:23:12"/>
    <s v="shipment"/>
    <m/>
    <x v="716"/>
    <s v="PR2516F5P10"/>
    <x v="88"/>
    <s v="preroll_labelled"/>
    <d v="2025-07-21T00:00:00"/>
    <n v="-24"/>
    <n v="0"/>
    <n v="-120"/>
    <m/>
    <x v="0"/>
    <n v="5"/>
  </r>
  <r>
    <s v="outbound"/>
    <d v="2025-07-28T10:23:12"/>
    <s v="shipment"/>
    <m/>
    <x v="598"/>
    <s v="PR241003F5P3"/>
    <x v="20"/>
    <s v="preroll_cased_SK_RTV"/>
    <d v="2024-10-10T00:00:00"/>
    <n v="-4"/>
    <n v="0"/>
    <n v="-6"/>
    <m/>
    <x v="0"/>
    <n v="1.5"/>
  </r>
  <r>
    <s v="outbound"/>
    <d v="2025-07-28T10:23:12"/>
    <s v="shipment"/>
    <m/>
    <x v="715"/>
    <s v="PR251908F5P12"/>
    <x v="127"/>
    <s v="preroll_labelled"/>
    <d v="2025-07-16T00:00:00"/>
    <n v="-96"/>
    <n v="0"/>
    <n v="-576"/>
    <m/>
    <x v="0"/>
    <n v="6"/>
  </r>
  <r>
    <s v="outbound"/>
    <d v="2025-07-28T10:23:12"/>
    <s v="shipment"/>
    <m/>
    <x v="588"/>
    <s v="EX24101701G05"/>
    <x v="47"/>
    <s v="extract_inhaled_cased_SK_RTV"/>
    <d v="2024-10-29T00:00:00"/>
    <n v="-1"/>
    <n v="0"/>
    <n v="-6"/>
    <m/>
    <x v="0"/>
    <n v="6"/>
  </r>
  <r>
    <s v="outbound"/>
    <d v="2025-07-29T10:23:12"/>
    <s v="shipment"/>
    <m/>
    <x v="678"/>
    <s v="PR2512F5P5"/>
    <x v="152"/>
    <s v="preroll_labelled"/>
    <d v="2025-06-25T00:00:00"/>
    <n v="-174"/>
    <n v="0"/>
    <n v="-435"/>
    <m/>
    <x v="0"/>
    <n v="2.5"/>
  </r>
  <r>
    <s v="outbound"/>
    <d v="2025-07-29T10:23:12"/>
    <s v="production"/>
    <m/>
    <x v="680"/>
    <s v="2024111803G7"/>
    <x v="83"/>
    <s v="driedflower_labelled"/>
    <d v="2025-06-18T00:00:00"/>
    <n v="-12"/>
    <n v="0"/>
    <n v="-84"/>
    <m/>
    <x v="0"/>
    <n v="7"/>
  </r>
  <r>
    <s v="outbound"/>
    <d v="2025-07-29T10:23:12"/>
    <s v="production"/>
    <m/>
    <x v="553"/>
    <n v="2021042701"/>
    <x v="42"/>
    <s v="preroll_labelled"/>
    <d v="2021-04-28T00:00:00"/>
    <n v="-24"/>
    <n v="0"/>
    <n v="-24"/>
    <m/>
    <x v="0"/>
    <n v="1"/>
  </r>
  <r>
    <s v="outbound"/>
    <d v="2025-07-29T10:23:12"/>
    <s v="production"/>
    <m/>
    <x v="717"/>
    <s v="2024121801G7"/>
    <x v="83"/>
    <s v="driedflower_labelled"/>
    <d v="2025-07-11T00:00:00"/>
    <n v="-24"/>
    <n v="0"/>
    <n v="-168"/>
    <m/>
    <x v="0"/>
    <n v="7"/>
  </r>
  <r>
    <s v="outbound"/>
    <d v="2025-07-29T10:23:12"/>
    <s v="production"/>
    <m/>
    <x v="602"/>
    <s v="ROGEX001G1"/>
    <x v="123"/>
    <s v="extract_inhaled_labelled_Rohan"/>
    <d v="2025-04-25T00:00:00"/>
    <n v="-12"/>
    <n v="0"/>
    <n v="-12"/>
    <m/>
    <x v="0"/>
    <n v="1"/>
  </r>
  <r>
    <s v="inbound"/>
    <d v="2025-07-30T13:19:50"/>
    <s v="storage"/>
    <m/>
    <x v="578"/>
    <n v="2025050101"/>
    <x v="34"/>
    <s v="extract_distillate_bulk"/>
    <s v="NA"/>
    <n v="1"/>
    <n v="3625"/>
    <n v="0"/>
    <m/>
    <x v="1"/>
    <n v="0"/>
  </r>
  <r>
    <s v="inbound"/>
    <d v="2025-07-30T13:28:06"/>
    <s v="storage"/>
    <m/>
    <x v="678"/>
    <s v="PR2512F5P5"/>
    <x v="152"/>
    <s v="preroll_labelled"/>
    <d v="2025-06-25T00:00:00"/>
    <n v="41"/>
    <n v="0"/>
    <n v="102.5"/>
    <m/>
    <x v="0"/>
    <n v="2.5"/>
  </r>
  <r>
    <s v="outbound"/>
    <d v="2025-07-30T14:08:02"/>
    <s v="production"/>
    <m/>
    <x v="686"/>
    <s v="LR25071001"/>
    <x v="9"/>
    <s v="extract_inhaled_bulk"/>
    <s v="NA"/>
    <n v="-1"/>
    <n v="-1428"/>
    <n v="0"/>
    <m/>
    <x v="1"/>
    <n v="0"/>
  </r>
  <r>
    <s v="outbound"/>
    <d v="2025-07-30T17:00:56"/>
    <s v="shipment"/>
    <m/>
    <x v="673"/>
    <s v="PR2516F1P2"/>
    <x v="151"/>
    <s v="preroll_labelled"/>
    <d v="2025-06-23T00:00:00"/>
    <n v="-12"/>
    <n v="0"/>
    <n v="-24"/>
    <m/>
    <x v="0"/>
    <n v="2"/>
  </r>
  <r>
    <s v="outbound"/>
    <d v="2025-07-30T17:00:56"/>
    <s v="shipment"/>
    <m/>
    <x v="717"/>
    <s v="2024121801G7"/>
    <x v="83"/>
    <s v="driedflower_labelled"/>
    <d v="2025-07-11T00:00:00"/>
    <n v="-12"/>
    <n v="0"/>
    <n v="-84"/>
    <m/>
    <x v="0"/>
    <n v="7"/>
  </r>
  <r>
    <s v="outbound"/>
    <d v="2025-07-30T17:00:56"/>
    <s v="shipment"/>
    <m/>
    <x v="698"/>
    <s v="PR2507F1P2"/>
    <x v="110"/>
    <s v="preroll_labelled"/>
    <d v="2025-07-10T00:00:00"/>
    <n v="-12"/>
    <n v="0"/>
    <n v="-24"/>
    <m/>
    <x v="0"/>
    <n v="2"/>
  </r>
  <r>
    <s v="outbound"/>
    <d v="2025-07-14T10:00:00"/>
    <s v="shipment"/>
    <m/>
    <x v="684"/>
    <s v="TP24120401G45"/>
    <x v="86"/>
    <s v="topical_labelled"/>
    <d v="2024-12-12T00:00:00"/>
    <n v="-165"/>
    <n v="0"/>
    <n v="-7425"/>
    <m/>
    <x v="0"/>
    <n v="45"/>
  </r>
  <r>
    <s v="outbound"/>
    <d v="2025-07-31T13:19:33"/>
    <s v="shipment"/>
    <s v="PO_0089172"/>
    <x v="684"/>
    <s v="TP24120401G45"/>
    <x v="86"/>
    <s v="topical_labelled"/>
    <d v="2024-12-12T00:00:00"/>
    <n v="-12"/>
    <n v="0"/>
    <n v="-540"/>
    <m/>
    <x v="0"/>
    <n v="45"/>
  </r>
  <r>
    <s v="outbound"/>
    <d v="2025-07-31T13:31:52"/>
    <s v="shipment"/>
    <s v="PO_0089172"/>
    <x v="718"/>
    <s v="TP25051501"/>
    <x v="2"/>
    <s v="topical_labelled"/>
    <d v="2025-05-28T00:00:00"/>
    <n v="-24"/>
    <n v="0"/>
    <n v="-2112"/>
    <m/>
    <x v="0"/>
    <n v="88"/>
  </r>
  <r>
    <s v="inbound"/>
    <d v="2025-07-31T00:00:00"/>
    <s v="storage"/>
    <m/>
    <x v="719"/>
    <s v="EX23060701V30"/>
    <x v="22"/>
    <s v="extract_ingested_cased_MB_RTV"/>
    <d v="2024-10-31T00:00:00"/>
    <n v="5"/>
    <n v="0"/>
    <n v="1638"/>
    <m/>
    <x v="0"/>
    <n v="327.60000000000002"/>
  </r>
  <r>
    <s v="inbound"/>
    <d v="2025-07-31T00:00:00"/>
    <s v="storage"/>
    <m/>
    <x v="720"/>
    <s v="EX24111302G05"/>
    <x v="46"/>
    <s v="extract_inhaled_cased_MB_RTV"/>
    <d v="2024-11-27T00:00:00"/>
    <n v="4"/>
    <n v="0"/>
    <n v="24"/>
    <m/>
    <x v="0"/>
    <n v="6"/>
  </r>
  <r>
    <s v="inbound"/>
    <d v="2025-07-31T00:00:00"/>
    <s v="storage"/>
    <m/>
    <x v="721"/>
    <s v="PR21071201G1"/>
    <x v="11"/>
    <s v="preroll_cased_MB"/>
    <d v="2024-10-28T00:00:00"/>
    <n v="5"/>
    <n v="0"/>
    <n v="120"/>
    <m/>
    <x v="0"/>
    <n v="24"/>
  </r>
  <r>
    <s v="inbound"/>
    <d v="2025-07-31T00:00:00"/>
    <s v="storage"/>
    <m/>
    <x v="722"/>
    <s v="PR241102F5P3"/>
    <x v="30"/>
    <s v="preroll_cased_MB"/>
    <d v="2024-11-08T00:00:00"/>
    <n v="2"/>
    <n v="0"/>
    <n v="36"/>
    <m/>
    <x v="0"/>
    <n v="18"/>
  </r>
  <r>
    <s v="inbound"/>
    <d v="2025-07-31T00:00:00"/>
    <s v="storage"/>
    <m/>
    <x v="723"/>
    <s v="PR241102F5P3"/>
    <x v="30"/>
    <s v="preroll_cased_MB"/>
    <d v="2024-10-10T00:00:00"/>
    <n v="2"/>
    <n v="0"/>
    <n v="36"/>
    <m/>
    <x v="0"/>
    <n v="18"/>
  </r>
  <r>
    <s v="inbound"/>
    <d v="2025-07-31T00:00:00"/>
    <s v="storage"/>
    <m/>
    <x v="724"/>
    <s v="PR2407F5P3"/>
    <x v="31"/>
    <s v="preroll_cased_MB"/>
    <d v="2024-06-04T00:00:00"/>
    <n v="8"/>
    <n v="0"/>
    <n v="144"/>
    <m/>
    <x v="0"/>
    <n v="18"/>
  </r>
  <r>
    <s v="inbound"/>
    <d v="2025-07-31T00:00:00"/>
    <s v="storage"/>
    <m/>
    <x v="725"/>
    <s v="PR2407F5P2"/>
    <x v="54"/>
    <s v="preroll_cased_MB"/>
    <d v="2024-10-23T00:00:00"/>
    <n v="10"/>
    <n v="0"/>
    <n v="120"/>
    <m/>
    <x v="0"/>
    <n v="12"/>
  </r>
  <r>
    <s v="inbound"/>
    <d v="2025-07-31T00:00:00"/>
    <s v="storage"/>
    <m/>
    <x v="726"/>
    <s v="PR2407F5P2"/>
    <x v="54"/>
    <s v="preroll_cased_MB"/>
    <d v="2024-08-28T00:00:00"/>
    <n v="6"/>
    <n v="0"/>
    <n v="72"/>
    <m/>
    <x v="0"/>
    <n v="12"/>
  </r>
  <r>
    <s v="inbound"/>
    <d v="2025-07-31T00:00:00"/>
    <s v="storage"/>
    <m/>
    <x v="727"/>
    <s v="PR241005F5P3"/>
    <x v="17"/>
    <s v="preroll_cased_MB"/>
    <d v="2024-10-10T00:00:00"/>
    <n v="5"/>
    <n v="0"/>
    <n v="90"/>
    <m/>
    <x v="0"/>
    <n v="18"/>
  </r>
  <r>
    <s v="inbound"/>
    <d v="2025-07-31T00:00:00"/>
    <s v="storage"/>
    <m/>
    <x v="728"/>
    <s v="PR241005F5P3"/>
    <x v="17"/>
    <s v="preroll_cased_MB"/>
    <d v="2024-09-06T00:00:00"/>
    <n v="3"/>
    <n v="0"/>
    <n v="54"/>
    <m/>
    <x v="0"/>
    <n v="18"/>
  </r>
  <r>
    <s v="inbound"/>
    <d v="2025-07-31T00:00:00"/>
    <s v="storage"/>
    <m/>
    <x v="729"/>
    <s v="PR241101F5P3"/>
    <x v="19"/>
    <s v="preroll_cased_MB"/>
    <d v="2024-10-09T00:00:00"/>
    <n v="1"/>
    <n v="0"/>
    <n v="18"/>
    <m/>
    <x v="0"/>
    <n v="18"/>
  </r>
  <r>
    <s v="inbound"/>
    <d v="2025-07-31T00:00:00"/>
    <s v="storage"/>
    <m/>
    <x v="730"/>
    <s v="EX24082901G05"/>
    <x v="47"/>
    <s v="extract_inhaled_cased_SK_RTV"/>
    <d v="2024-09-25T00:00:00"/>
    <n v="2"/>
    <n v="0"/>
    <n v="12"/>
    <m/>
    <x v="0"/>
    <n v="6"/>
  </r>
  <r>
    <s v="inbound"/>
    <d v="2025-07-31T00:00:00"/>
    <s v="storage"/>
    <m/>
    <x v="731"/>
    <s v="EX2411302G05"/>
    <x v="46"/>
    <s v="extract_inhaled_cased_SK_RTV"/>
    <d v="2024-11-27T00:00:00"/>
    <n v="10"/>
    <n v="0"/>
    <n v="60"/>
    <m/>
    <x v="0"/>
    <n v="6"/>
  </r>
  <r>
    <s v="inbound"/>
    <d v="2025-07-31T00:00:00"/>
    <s v="storage"/>
    <m/>
    <x v="732"/>
    <s v="EX24101701G05"/>
    <x v="47"/>
    <s v="extract_inhaled_cased_SK_RTV"/>
    <d v="2024-11-22T00:00:00"/>
    <n v="15"/>
    <n v="0"/>
    <n v="90"/>
    <m/>
    <x v="0"/>
    <n v="6"/>
  </r>
  <r>
    <s v="outbound"/>
    <d v="2025-08-01T11:37:41"/>
    <s v="shipment"/>
    <s v="PO_1162"/>
    <x v="673"/>
    <s v="PR2516F1P2"/>
    <x v="151"/>
    <s v="preroll_labelled"/>
    <d v="2025-06-23T00:00:00"/>
    <n v="-12"/>
    <n v="0"/>
    <n v="-24"/>
    <m/>
    <x v="0"/>
    <n v="2"/>
  </r>
  <r>
    <s v="outbound"/>
    <d v="2025-08-01T11:41:42"/>
    <s v="production"/>
    <m/>
    <x v="696"/>
    <s v="PR2516"/>
    <x v="84"/>
    <s v="driedflower_milled_bulk"/>
    <s v="NA"/>
    <n v="-1"/>
    <n v="-1986"/>
    <n v="0"/>
    <m/>
    <x v="1"/>
    <n v="0"/>
  </r>
  <r>
    <s v="outbound"/>
    <d v="2025-08-01T11:41:42"/>
    <s v="production"/>
    <m/>
    <x v="733"/>
    <s v="PR2516"/>
    <x v="84"/>
    <s v="driedflower_milled_bulk"/>
    <s v="NA"/>
    <n v="-1"/>
    <n v="-3710"/>
    <n v="0"/>
    <m/>
    <x v="1"/>
    <n v="0"/>
  </r>
  <r>
    <s v="outbound"/>
    <d v="2025-08-01T11:50:59"/>
    <s v="shipment"/>
    <s v="PO_1162"/>
    <x v="706"/>
    <s v="PR241102F5P3"/>
    <x v="30"/>
    <s v="preroll_labelled"/>
    <d v="2025-07-16T00:00:00"/>
    <n v="-12"/>
    <n v="0"/>
    <n v="-18"/>
    <m/>
    <x v="0"/>
    <n v="1.5"/>
  </r>
  <r>
    <s v="outbound"/>
    <d v="2025-08-01T12:07:49"/>
    <s v="shipment"/>
    <s v="PO_1162"/>
    <x v="698"/>
    <s v="PR2507F1P2"/>
    <x v="110"/>
    <s v="preroll_labelled"/>
    <d v="2025-07-10T00:00:00"/>
    <n v="-12"/>
    <n v="0"/>
    <n v="-24"/>
    <m/>
    <x v="0"/>
    <n v="2"/>
  </r>
  <r>
    <s v="outbound"/>
    <d v="2025-08-01T13:01:08"/>
    <s v="shipment"/>
    <s v="PO_1162"/>
    <x v="717"/>
    <s v="2024121801G7"/>
    <x v="83"/>
    <s v="driedflower_labelled"/>
    <d v="2025-07-11T00:00:00"/>
    <n v="-12"/>
    <n v="0"/>
    <n v="-84"/>
    <m/>
    <x v="0"/>
    <n v="7"/>
  </r>
  <r>
    <s v="outbound"/>
    <d v="2025-08-01T13:06:30"/>
    <s v="shipment"/>
    <s v="PO_1163"/>
    <x v="677"/>
    <s v="EX25050501V50"/>
    <x v="97"/>
    <s v="extract_ingested_cased_BC"/>
    <d v="2025-05-13T00:00:00"/>
    <n v="-1"/>
    <n v="0"/>
    <n v="-50"/>
    <m/>
    <x v="0"/>
    <n v="50"/>
  </r>
  <r>
    <s v="outbound"/>
    <d v="2025-08-01T13:06:38"/>
    <s v="shipment"/>
    <s v="PO_1163"/>
    <x v="674"/>
    <s v="EX25012101V50"/>
    <x v="33"/>
    <s v="extract_ingested_cased_BC"/>
    <d v="2025-02-12T00:00:00"/>
    <n v="-1"/>
    <n v="0"/>
    <n v="-50"/>
    <m/>
    <x v="0"/>
    <n v="50"/>
  </r>
  <r>
    <s v="outbound"/>
    <d v="2025-08-01T13:13:01"/>
    <s v="shipment"/>
    <s v="PO_1163"/>
    <x v="453"/>
    <s v="EX24092601V50"/>
    <x v="41"/>
    <s v="extract_ingested_cased_BC"/>
    <d v="2024-10-11T00:00:00"/>
    <n v="-1"/>
    <n v="0"/>
    <n v="-600"/>
    <m/>
    <x v="0"/>
    <n v="600"/>
  </r>
  <r>
    <s v="outbound"/>
    <d v="2025-08-01T13:17:18"/>
    <s v="shipment"/>
    <s v="PO_1163"/>
    <x v="678"/>
    <s v="PR2512F5P5"/>
    <x v="152"/>
    <s v="preroll_labelled"/>
    <d v="2025-06-25T00:00:00"/>
    <n v="-12"/>
    <n v="0"/>
    <n v="-30"/>
    <m/>
    <x v="0"/>
    <n v="2.5"/>
  </r>
  <r>
    <s v="outbound"/>
    <d v="2025-08-01T13:17:18"/>
    <s v="shipment"/>
    <s v="PO_1163"/>
    <x v="583"/>
    <s v="LR23032101"/>
    <x v="141"/>
    <s v="extract_inhaled_labelled"/>
    <d v="2025-05-16T00:00:00"/>
    <n v="-6"/>
    <n v="0"/>
    <n v="-6"/>
    <m/>
    <x v="0"/>
    <n v="1"/>
  </r>
  <r>
    <s v="outbound"/>
    <d v="2025-08-01T13:17:18"/>
    <s v="shipment"/>
    <s v="PO_1162"/>
    <x v="583"/>
    <s v="LR23032101"/>
    <x v="141"/>
    <s v="extract_inhaled_labelled"/>
    <d v="2025-05-16T00:00:00"/>
    <n v="-6"/>
    <n v="0"/>
    <n v="-6"/>
    <m/>
    <x v="0"/>
    <n v="1"/>
  </r>
  <r>
    <s v="outbound"/>
    <d v="2025-08-01T14:52:21"/>
    <s v="shipment"/>
    <s v="PO_1162"/>
    <x v="573"/>
    <s v="PR2303IN02F5P3"/>
    <x v="139"/>
    <s v="infusedpreroll_cased_AB_RTV"/>
    <d v="2024-07-05T00:00:00"/>
    <n v="-1"/>
    <n v="0"/>
    <n v="-9"/>
    <m/>
    <x v="0"/>
    <n v="9"/>
  </r>
  <r>
    <s v="outbound"/>
    <d v="2025-08-05T11:50:33"/>
    <s v="shipment"/>
    <s v="PO_535049"/>
    <x v="719"/>
    <s v="EX23060701V30"/>
    <x v="22"/>
    <s v="extract_ingested_cased_MB_RTV"/>
    <d v="2024-10-31T00:00:00"/>
    <n v="-12"/>
    <n v="0"/>
    <n v="-3931.2000000000003"/>
    <m/>
    <x v="0"/>
    <n v="327.60000000000002"/>
  </r>
  <r>
    <s v="inbound"/>
    <d v="2025-08-05T12:40:13"/>
    <s v="storage"/>
    <m/>
    <x v="320"/>
    <s v="EX24101703G05"/>
    <x v="45"/>
    <s v="extract_inhaled_labelled"/>
    <d v="2024-11-07T00:00:00"/>
    <n v="361"/>
    <n v="0"/>
    <n v="180.5"/>
    <m/>
    <x v="0"/>
    <n v="0.5"/>
  </r>
  <r>
    <s v="inbound"/>
    <d v="2025-08-05T12:42:23"/>
    <s v="storage"/>
    <m/>
    <x v="695"/>
    <s v="EX24101704G05"/>
    <x v="48"/>
    <s v="extract_inhaled_labelled"/>
    <d v="2024-12-05T00:00:00"/>
    <n v="422"/>
    <n v="0"/>
    <n v="211"/>
    <m/>
    <x v="0"/>
    <n v="0.5"/>
  </r>
  <r>
    <s v="inbound"/>
    <d v="2025-08-05T12:42:23"/>
    <s v="storage"/>
    <m/>
    <x v="439"/>
    <s v="EX24111302G05"/>
    <x v="46"/>
    <s v="extract_inhaled_labelled"/>
    <d v="2025-02-19T00:00:00"/>
    <n v="91"/>
    <n v="0"/>
    <n v="45.5"/>
    <m/>
    <x v="0"/>
    <n v="0.5"/>
  </r>
  <r>
    <s v="outbound"/>
    <d v="2025-08-05T13:32:30"/>
    <s v="production"/>
    <m/>
    <x v="662"/>
    <n v="2025050501"/>
    <x v="114"/>
    <s v="driedflower_bulk_Rohan"/>
    <s v="NA"/>
    <n v="-1"/>
    <n v="-304"/>
    <n v="0"/>
    <m/>
    <x v="1"/>
    <n v="0"/>
  </r>
  <r>
    <s v="outbound"/>
    <d v="2025-08-05T13:32:30"/>
    <s v="production"/>
    <m/>
    <x v="734"/>
    <n v="2025050501"/>
    <x v="114"/>
    <s v="driedflower_bulk_Rohan"/>
    <s v="NA"/>
    <n v="-1"/>
    <n v="-8532"/>
    <n v="0"/>
    <m/>
    <x v="1"/>
    <n v="0"/>
  </r>
  <r>
    <s v="inbound"/>
    <d v="2025-08-05T14:05:02"/>
    <s v="storage"/>
    <m/>
    <x v="733"/>
    <s v="PR2516"/>
    <x v="84"/>
    <s v="driedflower_milled_bulk"/>
    <s v="NA"/>
    <n v="1"/>
    <n v="2968"/>
    <n v="0"/>
    <m/>
    <x v="1"/>
    <n v="0"/>
  </r>
  <r>
    <s v="inbound"/>
    <d v="2025-08-05T14:14:04"/>
    <s v="storage"/>
    <m/>
    <x v="705"/>
    <s v="LR22060701"/>
    <x v="156"/>
    <s v="extract_inhaled_labelled"/>
    <d v="2023-09-01T00:00:00"/>
    <n v="1"/>
    <n v="170"/>
    <n v="1"/>
    <m/>
    <x v="0"/>
    <n v="1"/>
  </r>
  <r>
    <s v="outbound"/>
    <d v="2025-08-05T14:14:04"/>
    <s v="shipment"/>
    <m/>
    <x v="717"/>
    <s v="2024121801G7"/>
    <x v="83"/>
    <s v="driedflower_labelled"/>
    <d v="2025-07-11T00:00:00"/>
    <n v="-12"/>
    <n v="0"/>
    <n v="-84"/>
    <m/>
    <x v="0"/>
    <n v="7"/>
  </r>
  <r>
    <s v="outbound"/>
    <d v="2025-08-05T14:14:04"/>
    <s v="shipment"/>
    <m/>
    <x v="716"/>
    <s v="PR2516F5P10"/>
    <x v="88"/>
    <s v="preroll_labelled"/>
    <d v="2025-07-21T00:00:00"/>
    <n v="-211"/>
    <n v="0"/>
    <n v="-1055"/>
    <m/>
    <x v="0"/>
    <n v="5"/>
  </r>
  <r>
    <s v="outbound"/>
    <d v="2025-08-05T14:14:04"/>
    <s v="shipment"/>
    <m/>
    <x v="727"/>
    <s v="PR241005F5P3"/>
    <x v="17"/>
    <s v="preroll_cased_MB"/>
    <d v="2024-10-10T00:00:00"/>
    <n v="-5"/>
    <n v="0"/>
    <n v="-90"/>
    <m/>
    <x v="0"/>
    <n v="18"/>
  </r>
  <r>
    <s v="outbound"/>
    <d v="2025-08-05T14:14:04"/>
    <s v="shipment"/>
    <m/>
    <x v="728"/>
    <s v="PR241005F5P3"/>
    <x v="17"/>
    <s v="preroll_cased_MB"/>
    <d v="2024-09-06T00:00:00"/>
    <n v="-3"/>
    <n v="0"/>
    <n v="-54"/>
    <m/>
    <x v="0"/>
    <n v="18"/>
  </r>
  <r>
    <s v="outbound"/>
    <d v="2025-08-05T14:14:04"/>
    <s v="production"/>
    <m/>
    <x v="562"/>
    <n v="2024121801"/>
    <x v="100"/>
    <s v="driedflower_bulk_big"/>
    <s v="NA"/>
    <n v="-1"/>
    <n v="-6950"/>
    <n v="0"/>
    <m/>
    <x v="1"/>
    <n v="0"/>
  </r>
  <r>
    <s v="inbound"/>
    <d v="2025-08-05T16:04:27"/>
    <s v="shipment"/>
    <m/>
    <x v="241"/>
    <s v="PR241104F5P3"/>
    <x v="18"/>
    <s v="preroll_labelled"/>
    <d v="2024-10-23T00:00:00"/>
    <n v="3"/>
    <n v="0"/>
    <n v="4.5"/>
    <m/>
    <x v="0"/>
    <n v="1.5"/>
  </r>
  <r>
    <s v="inbound"/>
    <d v="2025-08-05T16:04:27"/>
    <s v="shipment"/>
    <m/>
    <x v="581"/>
    <s v="PR241103F5P3"/>
    <x v="20"/>
    <s v="preroll_labelled"/>
    <d v="2025-04-14T00:00:00"/>
    <n v="10"/>
    <n v="0"/>
    <n v="15"/>
    <m/>
    <x v="0"/>
    <n v="1.5"/>
  </r>
  <r>
    <s v="outbound"/>
    <d v="2025-08-05T16:04:27"/>
    <s v="shipment"/>
    <s v="PO_1164"/>
    <x v="678"/>
    <s v="PR2512F5P5"/>
    <x v="152"/>
    <s v="preroll_labelled"/>
    <d v="2025-06-25T00:00:00"/>
    <n v="-29"/>
    <n v="0"/>
    <n v="-72.5"/>
    <m/>
    <x v="0"/>
    <n v="2.5"/>
  </r>
  <r>
    <s v="outbound"/>
    <d v="2025-08-05T16:04:27"/>
    <s v="shipment"/>
    <s v="PO_1164"/>
    <x v="735"/>
    <s v="EX25041401V30"/>
    <x v="44"/>
    <s v="extract_ingested_labelled"/>
    <d v="2025-04-30T00:00:00"/>
    <n v="-48"/>
    <n v="0"/>
    <n v="-1310.4000000000001"/>
    <m/>
    <x v="0"/>
    <n v="27.3"/>
  </r>
  <r>
    <s v="outbound"/>
    <d v="2025-08-06T08:59:42"/>
    <s v="production"/>
    <m/>
    <x v="736"/>
    <s v="PR2512"/>
    <x v="122"/>
    <s v="diredflower_milled_bulk_Rohan"/>
    <s v="NA"/>
    <n v="-1"/>
    <n v="-4772"/>
    <n v="0"/>
    <m/>
    <x v="1"/>
    <n v="0"/>
  </r>
  <r>
    <s v="outbound"/>
    <d v="2025-08-06T10:19:29"/>
    <s v="production"/>
    <m/>
    <x v="737"/>
    <n v="2025060401"/>
    <x v="158"/>
    <s v="driedflower_bulk"/>
    <s v="NA"/>
    <n v="-1"/>
    <n v="-7800"/>
    <n v="0"/>
    <m/>
    <x v="1"/>
    <n v="0"/>
  </r>
  <r>
    <s v="outbound"/>
    <d v="2025-08-06T13:10:01"/>
    <s v="shipment"/>
    <s v="PO_1165"/>
    <x v="573"/>
    <s v="PR2303IN02F5P3"/>
    <x v="139"/>
    <s v="infusedpreroll_cased_AB_RTV"/>
    <d v="2024-07-05T00:00:00"/>
    <n v="-24"/>
    <n v="0"/>
    <n v="-216"/>
    <m/>
    <x v="0"/>
    <n v="9"/>
  </r>
  <r>
    <s v="outbound"/>
    <d v="2025-08-06T13:10:01"/>
    <s v="shipment"/>
    <s v="PO_1165"/>
    <x v="715"/>
    <s v="PR251908F5P12"/>
    <x v="127"/>
    <s v="preroll_labelled"/>
    <d v="2025-07-16T00:00:00"/>
    <n v="-12"/>
    <n v="0"/>
    <n v="-72"/>
    <m/>
    <x v="0"/>
    <n v="6"/>
  </r>
  <r>
    <s v="inbound"/>
    <d v="2025-08-06T16:17:21"/>
    <s v="storage"/>
    <m/>
    <x v="736"/>
    <s v="PR2512"/>
    <x v="122"/>
    <s v="diredflower_milled_bulk_Rohan"/>
    <s v="NA"/>
    <n v="1"/>
    <n v="4416"/>
    <n v="0"/>
    <m/>
    <x v="1"/>
    <n v="0"/>
  </r>
  <r>
    <s v="outbound"/>
    <d v="2025-08-06T16:55:23"/>
    <s v="shipment"/>
    <s v="PO_1165"/>
    <x v="738"/>
    <s v="PR251905F5P3"/>
    <x v="17"/>
    <s v="preroll_labelled"/>
    <d v="2025-07-21T00:00:00"/>
    <n v="-24"/>
    <n v="0"/>
    <n v="-36"/>
    <m/>
    <x v="0"/>
    <n v="1.5"/>
  </r>
  <r>
    <s v="outbound"/>
    <d v="2025-08-06T16:57:45"/>
    <s v="shipment"/>
    <s v="PO_1165"/>
    <x v="706"/>
    <s v="PR241102F5P3"/>
    <x v="30"/>
    <s v="preroll_labelled"/>
    <d v="2025-07-16T00:00:00"/>
    <n v="-24"/>
    <n v="0"/>
    <n v="-36"/>
    <m/>
    <x v="0"/>
    <n v="1.5"/>
  </r>
  <r>
    <s v="outbound"/>
    <d v="2025-08-06T16:57:45"/>
    <s v="shipment"/>
    <s v="PO_1165"/>
    <x v="583"/>
    <s v="LR23032101"/>
    <x v="141"/>
    <s v="extract_inhaled_labelled"/>
    <d v="2025-05-16T00:00:00"/>
    <n v="-6"/>
    <n v="0"/>
    <n v="-6"/>
    <m/>
    <x v="0"/>
    <n v="1"/>
  </r>
  <r>
    <s v="outbound"/>
    <d v="2025-08-07T09:36:23"/>
    <s v="production"/>
    <m/>
    <x v="739"/>
    <n v="2025060401"/>
    <x v="158"/>
    <s v="driedflower_bulk"/>
    <s v="NA"/>
    <n v="-1"/>
    <n v="-5560"/>
    <n v="0"/>
    <m/>
    <x v="1"/>
    <n v="0"/>
  </r>
  <r>
    <s v="outbound"/>
    <d v="2025-08-07T11:33:25"/>
    <s v="shipment"/>
    <s v="PO-0089995-1"/>
    <x v="684"/>
    <s v="TP24120401G45"/>
    <x v="86"/>
    <s v="topical_labelled"/>
    <d v="2024-12-12T00:00:00"/>
    <n v="-12"/>
    <n v="0"/>
    <n v="-540"/>
    <m/>
    <x v="0"/>
    <n v="45"/>
  </r>
  <r>
    <s v="outbound"/>
    <d v="2025-08-07T14:35:47"/>
    <s v="shipment"/>
    <s v="PO_1166"/>
    <x v="677"/>
    <s v="EX25050501V50"/>
    <x v="97"/>
    <s v="extract_ingested_cased_BC"/>
    <d v="2025-05-13T00:00:00"/>
    <n v="-2"/>
    <n v="0"/>
    <n v="-100"/>
    <m/>
    <x v="0"/>
    <n v="50"/>
  </r>
  <r>
    <s v="outbound"/>
    <d v="2025-08-07T14:35:47"/>
    <s v="shipment"/>
    <s v="PO_1166"/>
    <x v="453"/>
    <s v="EX24092601V50"/>
    <x v="41"/>
    <s v="extract_ingested_cased_BC"/>
    <d v="2024-10-11T00:00:00"/>
    <n v="-2"/>
    <n v="0"/>
    <n v="-1200"/>
    <m/>
    <x v="0"/>
    <n v="600"/>
  </r>
  <r>
    <s v="outbound"/>
    <d v="2025-08-06T10:19:29"/>
    <s v="production"/>
    <m/>
    <x v="595"/>
    <s v="EX25050501V50"/>
    <x v="97"/>
    <s v="extract_ingested_packaged"/>
    <d v="2025-05-13T00:00:00"/>
    <n v="-34"/>
    <n v="0"/>
    <n v="-1700"/>
    <m/>
    <x v="0"/>
    <n v="50"/>
  </r>
  <r>
    <s v="outbound"/>
    <d v="2025-08-07T14:35:47"/>
    <s v="shipment"/>
    <s v="PO_1166"/>
    <x v="731"/>
    <s v="EX2411302G05"/>
    <x v="46"/>
    <s v="extract_inhaled_cased_SK_RTV"/>
    <d v="2024-11-27T00:00:00"/>
    <n v="-1"/>
    <n v="0"/>
    <n v="-6"/>
    <m/>
    <x v="0"/>
    <n v="6"/>
  </r>
  <r>
    <s v="outbound"/>
    <d v="2025-08-07T14:35:47"/>
    <s v="shipment"/>
    <s v="PO_1166"/>
    <x v="673"/>
    <s v="PR2516F1P2"/>
    <x v="151"/>
    <s v="preroll_labelled"/>
    <d v="2025-06-23T00:00:00"/>
    <n v="-24"/>
    <n v="0"/>
    <n v="-48"/>
    <m/>
    <x v="0"/>
    <n v="2"/>
  </r>
  <r>
    <s v="outbound"/>
    <d v="2025-08-07T14:35:47"/>
    <s v="shipment"/>
    <s v="PO_1166"/>
    <x v="437"/>
    <s v="EX25012101V50"/>
    <x v="33"/>
    <s v="extract_ingested_cased_BC"/>
    <d v="2025-02-12T00:00:00"/>
    <n v="-2"/>
    <n v="0"/>
    <n v="-1200"/>
    <m/>
    <x v="0"/>
    <n v="600"/>
  </r>
  <r>
    <s v="outbound"/>
    <d v="2025-08-07T14:35:47"/>
    <s v="shipment"/>
    <s v="PO_1166"/>
    <x v="587"/>
    <s v="PR2501INF5P3"/>
    <x v="128"/>
    <s v="preroll_labelled"/>
    <d v="2025-05-01T00:00:00"/>
    <n v="-24"/>
    <n v="0"/>
    <n v="-36"/>
    <m/>
    <x v="0"/>
    <n v="1.5"/>
  </r>
  <r>
    <s v="inbound"/>
    <d v="2025-08-07T15:37:12"/>
    <s v="storage"/>
    <m/>
    <x v="716"/>
    <s v="PR2516F5P10"/>
    <x v="88"/>
    <s v="preroll_labelled"/>
    <d v="2025-07-21T00:00:00"/>
    <n v="7"/>
    <n v="0"/>
    <n v="35"/>
    <m/>
    <x v="0"/>
    <n v="5"/>
  </r>
  <r>
    <s v="outbound"/>
    <d v="2025-08-07T16:09:22"/>
    <s v="production"/>
    <m/>
    <x v="733"/>
    <s v="PR2516"/>
    <x v="84"/>
    <s v="driedflower_milled_bulk"/>
    <s v="NA"/>
    <n v="-1"/>
    <n v="-2968"/>
    <n v="0"/>
    <m/>
    <x v="1"/>
    <n v="0"/>
  </r>
  <r>
    <s v="inbound"/>
    <d v="2025-08-07T16:49:22"/>
    <s v="storage"/>
    <m/>
    <x v="702"/>
    <s v="TP25051501"/>
    <x v="2"/>
    <s v="topical_labelled"/>
    <d v="2025-05-28T00:00:00"/>
    <n v="27"/>
    <n v="0"/>
    <n v="2376"/>
    <m/>
    <x v="0"/>
    <n v="88"/>
  </r>
  <r>
    <s v="inbound"/>
    <d v="2025-08-07T16:49:22"/>
    <s v="storage"/>
    <m/>
    <x v="734"/>
    <n v="2025050501"/>
    <x v="114"/>
    <s v="driedflower_bulk_Rohan"/>
    <s v="NA"/>
    <n v="1"/>
    <n v="5780"/>
    <n v="0"/>
    <m/>
    <x v="1"/>
    <n v="0"/>
  </r>
  <r>
    <s v="inbound"/>
    <d v="2025-08-07T16:49:22"/>
    <s v="storage"/>
    <m/>
    <x v="737"/>
    <n v="2025060401"/>
    <x v="158"/>
    <s v="driedflower_bulk"/>
    <s v="NA"/>
    <n v="1"/>
    <n v="7750"/>
    <n v="0"/>
    <m/>
    <x v="1"/>
    <n v="0"/>
  </r>
  <r>
    <s v="inbound"/>
    <d v="2025-08-08T08:57:14"/>
    <s v="storage"/>
    <m/>
    <x v="631"/>
    <s v="PR2502INF5P3"/>
    <x v="128"/>
    <s v="preroll_labelled"/>
    <d v="2025-06-18T00:00:00"/>
    <n v="700"/>
    <n v="0"/>
    <n v="1050"/>
    <m/>
    <x v="0"/>
    <n v="1.5"/>
  </r>
  <r>
    <s v="outbound"/>
    <d v="2025-08-08T09:44:17"/>
    <s v="sampling"/>
    <m/>
    <x v="740"/>
    <s v="ROGEX003G1"/>
    <x v="116"/>
    <s v="extract_inhaled_labelled_Rohan"/>
    <d v="2025-06-20T00:00:00"/>
    <n v="-11"/>
    <n v="0"/>
    <n v="-11"/>
    <m/>
    <x v="0"/>
    <n v="1"/>
  </r>
  <r>
    <s v="outbound"/>
    <d v="2025-08-08T09:44:17"/>
    <s v="sampling"/>
    <m/>
    <x v="602"/>
    <s v="ROGEX001G1"/>
    <x v="123"/>
    <s v="extract_inhaled_labelled_Rohan"/>
    <d v="2025-04-25T00:00:00"/>
    <n v="-6"/>
    <n v="0"/>
    <n v="-6"/>
    <m/>
    <x v="0"/>
    <n v="1"/>
  </r>
  <r>
    <s v="outbound"/>
    <d v="2025-08-08T09:44:17"/>
    <s v="sampling"/>
    <m/>
    <x v="491"/>
    <s v="EX25020601G05"/>
    <x v="111"/>
    <s v="extract_inhaled_labelled"/>
    <d v="2025-02-14T00:00:00"/>
    <n v="-2"/>
    <n v="0"/>
    <n v="-1"/>
    <m/>
    <x v="0"/>
    <n v="0.5"/>
  </r>
  <r>
    <s v="outbound"/>
    <d v="2025-08-08T09:44:17"/>
    <s v="sampling"/>
    <m/>
    <x v="391"/>
    <s v="EX24101705G05"/>
    <x v="49"/>
    <s v="extract_inhaled_labelled"/>
    <d v="2024-12-03T00:00:00"/>
    <n v="-2"/>
    <n v="0"/>
    <n v="-1"/>
    <m/>
    <x v="0"/>
    <n v="0.5"/>
  </r>
  <r>
    <s v="outbound"/>
    <d v="2025-08-08T09:44:17"/>
    <s v="sampling"/>
    <m/>
    <x v="621"/>
    <s v="EX24111301G05"/>
    <x v="47"/>
    <s v="extract_inhaled_labelled"/>
    <d v="2025-04-16T00:00:00"/>
    <n v="-2"/>
    <n v="0"/>
    <n v="-1"/>
    <m/>
    <x v="0"/>
    <n v="0.5"/>
  </r>
  <r>
    <s v="outbound"/>
    <d v="2025-08-08T15:02:54"/>
    <s v="shipment"/>
    <s v="PO_07-072825"/>
    <x v="631"/>
    <s v="PR2502INF5P3"/>
    <x v="128"/>
    <s v="preroll_labelled"/>
    <d v="2025-06-18T00:00:00"/>
    <n v="-180"/>
    <n v="0"/>
    <n v="-270"/>
    <m/>
    <x v="0"/>
    <n v="1.5"/>
  </r>
  <r>
    <s v="outbound"/>
    <d v="2025-08-08T15:02:54"/>
    <s v="shipment"/>
    <s v="PO_07-072825"/>
    <x v="583"/>
    <s v="LR23032101"/>
    <x v="141"/>
    <s v="extract_inhaled_labelled"/>
    <d v="2025-05-16T00:00:00"/>
    <n v="-60"/>
    <n v="0"/>
    <n v="-60"/>
    <m/>
    <x v="0"/>
    <n v="1"/>
  </r>
  <r>
    <s v="outbound"/>
    <d v="2025-08-08T15:02:54"/>
    <s v="shipment"/>
    <s v="PO_07-072825"/>
    <x v="714"/>
    <s v="ROGEX003G1"/>
    <x v="116"/>
    <s v="extract_inhaled_bulk_Rohan"/>
    <d v="2025-06-20T00:00:00"/>
    <n v="-60"/>
    <n v="0"/>
    <n v="-60"/>
    <m/>
    <x v="0"/>
    <n v="1"/>
  </r>
  <r>
    <s v="outbound"/>
    <d v="2025-08-08T15:02:54"/>
    <s v="shipment"/>
    <s v="PO_07-072825"/>
    <x v="718"/>
    <s v="TP25051501"/>
    <x v="2"/>
    <s v="topical_labelled"/>
    <d v="2025-05-28T00:00:00"/>
    <n v="-300"/>
    <n v="0"/>
    <n v="-26400"/>
    <m/>
    <x v="0"/>
    <n v="88"/>
  </r>
  <r>
    <s v="outbound"/>
    <d v="2025-08-11T13:05:30"/>
    <s v="production"/>
    <m/>
    <x v="307"/>
    <n v="2024111803"/>
    <x v="79"/>
    <s v="driedflower_bulk"/>
    <s v="NA"/>
    <n v="-1"/>
    <n v="-2056"/>
    <n v="0"/>
    <m/>
    <x v="1"/>
    <n v="0"/>
  </r>
  <r>
    <s v="outbound"/>
    <d v="2025-08-11T14:17:20"/>
    <s v="shipment"/>
    <s v="PO_23451"/>
    <x v="420"/>
    <s v="EX25010907G1"/>
    <x v="89"/>
    <s v="extract_inhaled_labelled"/>
    <d v="2025-02-26T00:00:00"/>
    <n v="-12"/>
    <n v="0"/>
    <n v="-12"/>
    <m/>
    <x v="0"/>
    <n v="1"/>
  </r>
  <r>
    <s v="outbound"/>
    <d v="2025-08-11T14:19:40"/>
    <s v="shipment"/>
    <s v="PO_23451"/>
    <x v="631"/>
    <s v="PR2502INF5P3"/>
    <x v="128"/>
    <s v="preroll_labelled"/>
    <d v="2025-06-18T00:00:00"/>
    <n v="-12"/>
    <n v="0"/>
    <n v="-18"/>
    <m/>
    <x v="0"/>
    <n v="1.5"/>
  </r>
  <r>
    <s v="outbound"/>
    <d v="2025-08-11T14:26:37"/>
    <s v="shipment"/>
    <s v="PO_23451"/>
    <x v="715"/>
    <s v="PR251908F5P12"/>
    <x v="127"/>
    <s v="preroll_labelled"/>
    <d v="2025-07-16T00:00:00"/>
    <n v="-12"/>
    <n v="0"/>
    <n v="-72"/>
    <m/>
    <x v="0"/>
    <n v="6"/>
  </r>
  <r>
    <s v="outbound"/>
    <d v="2025-08-11T14:36:31"/>
    <s v="shipment"/>
    <s v="PO_23451"/>
    <x v="67"/>
    <s v="2022012401R1G7"/>
    <x v="39"/>
    <s v="driedflower_labelled"/>
    <d v="2024-08-27T00:00:00"/>
    <n v="-12"/>
    <n v="0"/>
    <n v="-84"/>
    <m/>
    <x v="0"/>
    <n v="7"/>
  </r>
  <r>
    <s v="outbound"/>
    <d v="2025-08-11T14:41:35"/>
    <s v="shipment"/>
    <s v="PO_23451"/>
    <x v="706"/>
    <s v="PR241102F5P3"/>
    <x v="30"/>
    <s v="preroll_labelled"/>
    <d v="2025-07-16T00:00:00"/>
    <n v="-12"/>
    <n v="0"/>
    <n v="-18"/>
    <m/>
    <x v="0"/>
    <n v="1.5"/>
  </r>
  <r>
    <s v="outbound"/>
    <d v="2025-08-11T15:49:35"/>
    <s v="production"/>
    <m/>
    <x v="741"/>
    <s v="2021082601R1"/>
    <x v="16"/>
    <s v="driedflower_bulk"/>
    <s v="NA"/>
    <n v="-1"/>
    <n v="-3472"/>
    <n v="0"/>
    <m/>
    <x v="1"/>
    <n v="0"/>
  </r>
  <r>
    <s v="inbound"/>
    <d v="2025-08-11T17:02:08"/>
    <s v="storage"/>
    <m/>
    <x v="741"/>
    <s v="2021082601R1"/>
    <x v="16"/>
    <s v="driedflower_bulk"/>
    <s v="NA"/>
    <n v="1"/>
    <n v="3536"/>
    <n v="0"/>
    <m/>
    <x v="1"/>
    <n v="0"/>
  </r>
  <r>
    <s v="outbound"/>
    <d v="2025-08-12T09:45:28"/>
    <s v="shipment"/>
    <s v="PO_1168"/>
    <x v="453"/>
    <s v="EX24092601V50"/>
    <x v="41"/>
    <s v="extract_ingested_cased_BC"/>
    <d v="2024-10-11T00:00:00"/>
    <n v="-24"/>
    <n v="0"/>
    <n v="-14400"/>
    <m/>
    <x v="0"/>
    <n v="600"/>
  </r>
  <r>
    <s v="outbound"/>
    <d v="2025-08-12T09:46:13"/>
    <s v="production"/>
    <m/>
    <x v="436"/>
    <s v="PR2505"/>
    <x v="106"/>
    <s v="driedflower_milled_bulk_BURB"/>
    <s v="NA"/>
    <n v="-1"/>
    <n v="-3648"/>
    <n v="0"/>
    <m/>
    <x v="1"/>
    <n v="0"/>
  </r>
  <r>
    <s v="outbound"/>
    <d v="2025-08-12T09:47:49"/>
    <s v="production"/>
    <m/>
    <x v="742"/>
    <n v="2024110601"/>
    <x v="92"/>
    <s v="driedflower_bulk_BURB"/>
    <s v="NA"/>
    <n v="-1"/>
    <n v="-3090"/>
    <n v="0"/>
    <m/>
    <x v="1"/>
    <n v="0"/>
  </r>
  <r>
    <s v="outbound"/>
    <d v="2025-08-12T09:48:25"/>
    <s v="production"/>
    <m/>
    <x v="500"/>
    <n v="2024110601"/>
    <x v="92"/>
    <s v="driedflower_bulk_BURB"/>
    <s v="NA"/>
    <n v="-1"/>
    <n v="-734"/>
    <n v="0"/>
    <m/>
    <x v="1"/>
    <n v="0"/>
  </r>
  <r>
    <s v="outbound"/>
    <d v="2025-08-12T09:51:50"/>
    <s v="production"/>
    <m/>
    <x v="362"/>
    <n v="2024110601"/>
    <x v="92"/>
    <s v="driedflower_bulk_BURB"/>
    <s v="NA"/>
    <n v="-1"/>
    <n v="-1514"/>
    <n v="0"/>
    <m/>
    <x v="1"/>
    <n v="0"/>
  </r>
  <r>
    <s v="outbound"/>
    <d v="2025-08-12T09:59:43"/>
    <s v="shipment"/>
    <s v="PO_1168"/>
    <x v="735"/>
    <s v="EX25041401V30"/>
    <x v="44"/>
    <s v="extract_ingested_labelled"/>
    <d v="2025-04-30T00:00:00"/>
    <n v="-24"/>
    <n v="0"/>
    <n v="-655.20000000000005"/>
    <m/>
    <x v="0"/>
    <n v="27.3"/>
  </r>
  <r>
    <s v="outbound"/>
    <d v="2025-08-12T10:01:29"/>
    <s v="shipment"/>
    <s v="PO_1168"/>
    <x v="542"/>
    <s v="EX25012101V50"/>
    <x v="33"/>
    <s v="extract_ingested_labelled"/>
    <d v="2025-02-12T00:00:00"/>
    <n v="-24"/>
    <n v="0"/>
    <n v="-1200"/>
    <m/>
    <x v="0"/>
    <n v="50"/>
  </r>
  <r>
    <s v="outbound"/>
    <d v="2025-08-12T10:04:24"/>
    <s v="shipment"/>
    <s v="PO_1168"/>
    <x v="743"/>
    <s v="PR2512F5P5"/>
    <x v="152"/>
    <s v="preroll_labelled"/>
    <d v="2025-08-06T00:00:00"/>
    <n v="-24"/>
    <n v="0"/>
    <n v="-60"/>
    <m/>
    <x v="0"/>
    <n v="2.5"/>
  </r>
  <r>
    <s v="outbound"/>
    <d v="2025-08-12T10:04:24"/>
    <s v="shipment"/>
    <s v="PO_1168"/>
    <x v="673"/>
    <s v="PR2516F1P2"/>
    <x v="151"/>
    <s v="preroll_labelled"/>
    <d v="2025-06-23T00:00:00"/>
    <n v="-24"/>
    <n v="0"/>
    <n v="-48"/>
    <m/>
    <x v="0"/>
    <n v="2"/>
  </r>
  <r>
    <s v="outbound"/>
    <d v="2025-08-12T10:04:24"/>
    <s v="shipment"/>
    <s v="PO_1168"/>
    <x v="698"/>
    <s v="PR2507F1P2"/>
    <x v="110"/>
    <s v="preroll_labelled"/>
    <d v="2025-07-10T00:00:00"/>
    <n v="-72"/>
    <n v="0"/>
    <n v="-144"/>
    <m/>
    <x v="0"/>
    <n v="2"/>
  </r>
  <r>
    <s v="outbound"/>
    <d v="2025-08-12T11:12:20"/>
    <s v="shipment"/>
    <s v="PO_07-072825"/>
    <x v="706"/>
    <s v="PR241102F5P3"/>
    <x v="30"/>
    <s v="preroll_labelled"/>
    <d v="2025-07-16T00:00:00"/>
    <n v="-168"/>
    <n v="0"/>
    <n v="-252"/>
    <m/>
    <x v="0"/>
    <n v="1.5"/>
  </r>
  <r>
    <s v="outbound"/>
    <d v="2025-08-12T11:12:20"/>
    <s v="shipment"/>
    <s v="PO_07-072825"/>
    <x v="744"/>
    <s v="PR251902F5P3"/>
    <x v="30"/>
    <s v="preroll_labelled"/>
    <d v="2025-08-08T00:00:00"/>
    <n v="-12"/>
    <n v="0"/>
    <n v="-18"/>
    <m/>
    <x v="0"/>
    <n v="1.5"/>
  </r>
  <r>
    <s v="outbound"/>
    <d v="2025-08-12T13:28:21"/>
    <s v="shipment"/>
    <s v="PO_07-072825"/>
    <x v="745"/>
    <s v="PR2516F1P2"/>
    <x v="151"/>
    <s v="preroll_labelled"/>
    <d v="2025-08-11T00:00:00"/>
    <n v="-300"/>
    <n v="0"/>
    <n v="-450"/>
    <m/>
    <x v="0"/>
    <n v="1.5"/>
  </r>
  <r>
    <s v="outbound"/>
    <d v="2025-08-12T13:28:21"/>
    <s v="shipment"/>
    <s v="PO_07-072825"/>
    <x v="746"/>
    <s v="2024121801G7"/>
    <x v="83"/>
    <s v="driedflower_labelled"/>
    <d v="2025-08-06T00:00:00"/>
    <n v="-168"/>
    <n v="0"/>
    <n v="-1176"/>
    <m/>
    <x v="0"/>
    <n v="7"/>
  </r>
  <r>
    <s v="outbound"/>
    <d v="2025-08-12T13:28:21"/>
    <s v="shipment"/>
    <s v="PO_07-072825"/>
    <x v="747"/>
    <s v="PR2516F5P10"/>
    <x v="88"/>
    <s v="preroll_labelled"/>
    <d v="2025-08-08T00:00:00"/>
    <n v="-180"/>
    <n v="0"/>
    <n v="-900"/>
    <m/>
    <x v="0"/>
    <n v="5"/>
  </r>
  <r>
    <s v="outbound"/>
    <d v="2025-08-13T10:08:29"/>
    <s v="shipment"/>
    <s v="PO_1169"/>
    <x v="573"/>
    <s v="PR2303IN02F5P3"/>
    <x v="139"/>
    <s v="infusedpreroll_cased_AB_RTV"/>
    <d v="2024-07-05T00:00:00"/>
    <n v="-1"/>
    <n v="0"/>
    <n v="-9"/>
    <m/>
    <x v="0"/>
    <n v="9"/>
  </r>
  <r>
    <s v="outbound"/>
    <d v="2025-08-13T10:08:29"/>
    <s v="shipment"/>
    <s v="PO_1169"/>
    <x v="631"/>
    <s v="PR2502INF5P3"/>
    <x v="128"/>
    <s v="preroll_labelled"/>
    <d v="2025-06-18T00:00:00"/>
    <n v="-12"/>
    <n v="0"/>
    <n v="-18"/>
    <m/>
    <x v="0"/>
    <n v="1.5"/>
  </r>
  <r>
    <s v="outbound"/>
    <d v="2025-08-13T10:08:29"/>
    <s v="shipment"/>
    <s v="PO_1169"/>
    <x v="745"/>
    <s v="PR2516F1P2"/>
    <x v="151"/>
    <s v="preroll_labelled"/>
    <d v="2025-08-11T00:00:00"/>
    <n v="-12"/>
    <n v="0"/>
    <n v="-18"/>
    <m/>
    <x v="0"/>
    <n v="1.5"/>
  </r>
  <r>
    <s v="outbound"/>
    <d v="2025-08-13T10:08:29"/>
    <s v="shipment"/>
    <s v="PO_1169"/>
    <x v="698"/>
    <s v="PR2507F1P2"/>
    <x v="110"/>
    <s v="preroll_labelled"/>
    <d v="2025-07-10T00:00:00"/>
    <n v="-12"/>
    <n v="0"/>
    <n v="-24"/>
    <m/>
    <x v="0"/>
    <n v="2"/>
  </r>
  <r>
    <s v="outbound"/>
    <d v="2025-08-13T16:19:40"/>
    <s v="production"/>
    <m/>
    <x v="397"/>
    <s v="CPR22102001"/>
    <x v="94"/>
    <s v="driedflower_milled_bulk"/>
    <s v="NA"/>
    <n v="-1"/>
    <n v="-3430"/>
    <n v="0"/>
    <m/>
    <x v="1"/>
    <n v="0"/>
  </r>
  <r>
    <s v="outbound"/>
    <d v="2025-08-13T16:19:40"/>
    <s v="production"/>
    <m/>
    <x v="373"/>
    <s v="CPR22102001"/>
    <x v="94"/>
    <s v="driedflower_milled_bulk"/>
    <s v="NA"/>
    <n v="-1"/>
    <n v="-3328"/>
    <n v="0"/>
    <m/>
    <x v="1"/>
    <n v="0"/>
  </r>
  <r>
    <s v="outbound"/>
    <d v="2025-08-13T18:30:24"/>
    <s v="shipment"/>
    <s v="PO_75957"/>
    <x v="748"/>
    <s v="PR251905F5P3"/>
    <x v="17"/>
    <s v="preroll_labelled"/>
    <d v="2025-07-21T00:00:00"/>
    <n v="-199"/>
    <n v="0"/>
    <n v="-298.5"/>
    <m/>
    <x v="0"/>
    <n v="1.5"/>
  </r>
  <r>
    <s v="outbound"/>
    <d v="2025-08-13T18:30:24"/>
    <s v="shipment"/>
    <s v="PO_75957"/>
    <x v="738"/>
    <s v="PR251905F5P3"/>
    <x v="17"/>
    <s v="preroll_labelled"/>
    <d v="2025-07-21T00:00:00"/>
    <n v="-101"/>
    <n v="0"/>
    <n v="-151.5"/>
    <m/>
    <x v="0"/>
    <n v="1.5"/>
  </r>
  <r>
    <s v="outbound"/>
    <d v="2025-08-13T18:30:24"/>
    <s v="shipment"/>
    <s v="PO_75957"/>
    <x v="749"/>
    <s v="2024111803G7"/>
    <x v="83"/>
    <s v="driedflower_labelled"/>
    <d v="2025-08-12T00:00:00"/>
    <n v="-60"/>
    <n v="0"/>
    <n v="-420"/>
    <m/>
    <x v="0"/>
    <n v="7"/>
  </r>
  <r>
    <s v="outbound"/>
    <d v="2025-08-14T11:11:32"/>
    <s v="shipment"/>
    <s v="PO_1170"/>
    <x v="453"/>
    <s v="EX24092601V50"/>
    <x v="41"/>
    <s v="extract_ingested_cased_BC"/>
    <d v="2024-10-11T00:00:00"/>
    <n v="-1"/>
    <n v="0"/>
    <n v="-600"/>
    <m/>
    <x v="0"/>
    <n v="600"/>
  </r>
  <r>
    <s v="outbound"/>
    <d v="2025-08-14T11:11:32"/>
    <s v="shipment"/>
    <s v="PO_1170"/>
    <x v="677"/>
    <s v="EX25050501V50"/>
    <x v="97"/>
    <s v="extract_ingested_cased_BC"/>
    <d v="2025-05-13T00:00:00"/>
    <n v="-4"/>
    <n v="0"/>
    <n v="-200"/>
    <m/>
    <x v="0"/>
    <n v="50"/>
  </r>
  <r>
    <s v="outbound"/>
    <d v="2025-08-14T11:11:32"/>
    <s v="shipment"/>
    <s v="PO_1170"/>
    <x v="674"/>
    <s v="EX25012101V50"/>
    <x v="33"/>
    <s v="extract_ingested_cased_BC"/>
    <d v="2025-02-12T00:00:00"/>
    <n v="-3"/>
    <n v="0"/>
    <n v="-150"/>
    <m/>
    <x v="0"/>
    <n v="50"/>
  </r>
  <r>
    <s v="outbound"/>
    <d v="2025-08-15T09:22:27"/>
    <s v="production"/>
    <m/>
    <x v="593"/>
    <n v="2025051501"/>
    <x v="26"/>
    <s v="extract_distillate_bulk"/>
    <s v="NA"/>
    <n v="-1"/>
    <n v="-1724.2"/>
    <n v="0"/>
    <m/>
    <x v="1"/>
    <n v="0"/>
  </r>
  <r>
    <s v="inbound"/>
    <d v="2025-08-15T10:25:59"/>
    <s v="storage"/>
    <m/>
    <x v="593"/>
    <n v="2025051501"/>
    <x v="26"/>
    <s v="extract_distillate_bulk"/>
    <s v="NA"/>
    <n v="1"/>
    <n v="1724.2"/>
    <n v="0"/>
    <m/>
    <x v="1"/>
    <n v="0"/>
  </r>
  <r>
    <s v="inbound"/>
    <d v="2025-08-15T10:45:45"/>
    <s v="storage"/>
    <m/>
    <x v="500"/>
    <n v="2024110601"/>
    <x v="92"/>
    <s v="driedflower_bulk_BURB"/>
    <s v="NA"/>
    <n v="1"/>
    <n v="352"/>
    <n v="0"/>
    <m/>
    <x v="1"/>
    <n v="0"/>
  </r>
  <r>
    <s v="inbound"/>
    <d v="2025-08-15T10:45:45"/>
    <s v="storage"/>
    <m/>
    <x v="307"/>
    <n v="2024111803"/>
    <x v="79"/>
    <s v="driedflower_bulk"/>
    <s v="NA"/>
    <n v="1"/>
    <n v="434"/>
    <n v="0"/>
    <m/>
    <x v="1"/>
    <n v="0"/>
  </r>
  <r>
    <s v="inbound"/>
    <d v="2025-08-15T10:45:45"/>
    <s v="storage"/>
    <m/>
    <x v="436"/>
    <s v="PR2505"/>
    <x v="106"/>
    <s v="driedflower_milled_bulk_BURB"/>
    <s v="NA"/>
    <n v="1"/>
    <n v="2596"/>
    <n v="0"/>
    <m/>
    <x v="1"/>
    <n v="0"/>
  </r>
  <r>
    <s v="outbound"/>
    <d v="2025-08-15T11:22:38"/>
    <s v="shipment"/>
    <s v="PO_75957"/>
    <x v="750"/>
    <s v="PR251908F5P12"/>
    <x v="127"/>
    <s v="preroll_labelled"/>
    <d v="2025-08-08T00:00:00"/>
    <n v="-267"/>
    <n v="0"/>
    <n v="-1602"/>
    <m/>
    <x v="0"/>
    <n v="6"/>
  </r>
  <r>
    <s v="outbound"/>
    <d v="2025-08-15T13:52:13"/>
    <s v="shipment"/>
    <s v="PO_1171"/>
    <x v="583"/>
    <s v="LR23032101"/>
    <x v="141"/>
    <s v="extract_inhaled_labelled"/>
    <d v="2025-05-16T00:00:00"/>
    <n v="-6"/>
    <n v="0"/>
    <n v="-6"/>
    <m/>
    <x v="0"/>
    <n v="1"/>
  </r>
  <r>
    <s v="outbound"/>
    <d v="2025-08-15T13:52:13"/>
    <s v="shipment"/>
    <s v="PO_1171"/>
    <x v="751"/>
    <s v="PR251904F5P3"/>
    <x v="18"/>
    <s v="preroll_labelled"/>
    <d v="2025-08-01T00:00:00"/>
    <n v="-12"/>
    <n v="0"/>
    <n v="-18"/>
    <m/>
    <x v="0"/>
    <n v="1.5"/>
  </r>
  <r>
    <s v="outbound"/>
    <d v="2025-08-15T13:52:13"/>
    <s v="shipment"/>
    <s v="PO_1171"/>
    <x v="750"/>
    <s v="PR251908F5P12"/>
    <x v="127"/>
    <s v="preroll_labelled"/>
    <d v="2025-08-08T00:00:00"/>
    <n v="-12"/>
    <n v="0"/>
    <n v="-72"/>
    <m/>
    <x v="0"/>
    <n v="6"/>
  </r>
  <r>
    <s v="outbound"/>
    <d v="2025-08-15T13:52:13"/>
    <s v="shipment"/>
    <s v="PO_1171"/>
    <x v="716"/>
    <s v="PR2516F5P10"/>
    <x v="88"/>
    <s v="preroll_labelled"/>
    <d v="2025-07-21T00:00:00"/>
    <n v="-6"/>
    <n v="0"/>
    <n v="-30"/>
    <m/>
    <x v="0"/>
    <n v="5"/>
  </r>
  <r>
    <s v="outbound"/>
    <d v="2025-08-15T13:52:13"/>
    <s v="shipment"/>
    <s v="PO_1171"/>
    <x v="747"/>
    <s v="PR2516F5P10"/>
    <x v="88"/>
    <s v="preroll_labelled"/>
    <d v="2025-08-08T00:00:00"/>
    <n v="-6"/>
    <n v="0"/>
    <n v="-30"/>
    <m/>
    <x v="0"/>
    <n v="5"/>
  </r>
  <r>
    <s v="outbound"/>
    <d v="2025-08-15T13:52:13"/>
    <s v="shipment"/>
    <s v="PO_1171"/>
    <x v="698"/>
    <s v="PR2507F1P2"/>
    <x v="110"/>
    <s v="preroll_labelled"/>
    <d v="2025-07-10T00:00:00"/>
    <n v="-12"/>
    <n v="0"/>
    <n v="-24"/>
    <m/>
    <x v="0"/>
    <n v="2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  <r>
    <s v=""/>
    <m/>
    <m/>
    <m/>
    <x v="752"/>
    <s v=""/>
    <x v="159"/>
    <s v=""/>
    <s v=""/>
    <m/>
    <s v=""/>
    <s v=""/>
    <m/>
    <x v="2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576"/>
    <n v="0"/>
    <x v="0"/>
    <x v="0"/>
    <s v="T118EX"/>
    <s v="NA"/>
    <s v="T118EXNA"/>
    <s v="extract_inhaled_packaged"/>
    <x v="0"/>
    <x v="0"/>
    <x v="0"/>
    <n v="626"/>
    <s v="unit"/>
    <n v="0.5"/>
    <n v="0"/>
    <n v="0"/>
    <n v="313"/>
    <m/>
    <x v="0"/>
    <x v="0"/>
    <s v="November Rain Vape Canadian Thunder 0.5g Sativa_extract_inhaled_packaged"/>
    <n v="84"/>
  </r>
  <r>
    <n v="577"/>
    <n v="0"/>
    <x v="1"/>
    <x v="0"/>
    <s v="T013TP"/>
    <s v="NA"/>
    <s v="T013TPNA"/>
    <s v="topical_labelled"/>
    <x v="1"/>
    <x v="1"/>
    <x v="1"/>
    <n v="300"/>
    <s v="unit"/>
    <n v="45"/>
    <n v="0"/>
    <n v="0"/>
    <n v="13500"/>
    <m/>
    <x v="0"/>
    <x v="0"/>
    <s v="Maximum Strength Mini Roll-on 45g_topical_labelled"/>
    <n v="188"/>
  </r>
  <r>
    <n v="578"/>
    <n v="0"/>
    <x v="2"/>
    <x v="0"/>
    <s v="T014TP"/>
    <s v="NA"/>
    <s v="T014TPNA"/>
    <s v="topical_labelled"/>
    <x v="1"/>
    <x v="1"/>
    <x v="1"/>
    <n v="300"/>
    <s v="unit"/>
    <n v="45"/>
    <n v="0"/>
    <n v="0"/>
    <n v="13500"/>
    <m/>
    <x v="0"/>
    <x v="0"/>
    <s v="Maximum Strength Mini Roll-on 45g_topical_labelled"/>
    <n v="188"/>
  </r>
  <r>
    <n v="579"/>
    <n v="0"/>
    <x v="3"/>
    <x v="0"/>
    <s v="P012TP"/>
    <s v="NA"/>
    <s v="P012TPNA"/>
    <s v="topical_bulk"/>
    <x v="2"/>
    <x v="2"/>
    <x v="2"/>
    <n v="1"/>
    <s v="pail"/>
    <n v="23062"/>
    <n v="24830"/>
    <n v="1768"/>
    <n v="23062"/>
    <m/>
    <x v="0"/>
    <x v="1"/>
    <s v="Maximum Strength Roll-on_topical_bulk"/>
    <n v="71"/>
  </r>
  <r>
    <n v="580"/>
    <n v="0"/>
    <x v="4"/>
    <x v="0"/>
    <s v="P013TP"/>
    <s v="NA"/>
    <s v="P013TPNA"/>
    <s v="topical_bulk"/>
    <x v="2"/>
    <x v="2"/>
    <x v="2"/>
    <n v="1"/>
    <s v="pail"/>
    <n v="5192"/>
    <n v="7130"/>
    <n v="1938"/>
    <n v="5192"/>
    <m/>
    <x v="0"/>
    <x v="1"/>
    <s v="Maximum Strength Roll-on_topical_bulk"/>
    <n v="71"/>
  </r>
  <r>
    <n v="581"/>
    <n v="0"/>
    <x v="5"/>
    <x v="0"/>
    <s v="P014TP"/>
    <s v="NA"/>
    <s v="P014TPNA"/>
    <s v="topical_bulk"/>
    <x v="2"/>
    <x v="2"/>
    <x v="2"/>
    <n v="1"/>
    <s v="pail"/>
    <n v="22994"/>
    <n v="24750"/>
    <n v="1756"/>
    <n v="22994"/>
    <m/>
    <x v="0"/>
    <x v="1"/>
    <s v="Maximum Strength Roll-on_topical_bulk"/>
    <n v="71"/>
  </r>
  <r>
    <n v="582"/>
    <n v="0"/>
    <x v="6"/>
    <x v="0"/>
    <s v="P015TP"/>
    <s v="NA"/>
    <s v="P015TPNA"/>
    <s v="topical_bulk"/>
    <x v="2"/>
    <x v="2"/>
    <x v="2"/>
    <n v="1"/>
    <s v="pail"/>
    <n v="1756"/>
    <n v="26400"/>
    <n v="24644"/>
    <n v="1756"/>
    <m/>
    <x v="0"/>
    <x v="1"/>
    <s v="Maximum Strength Roll-on_topical_bulk"/>
    <n v="71"/>
  </r>
  <r>
    <n v="583"/>
    <n v="0"/>
    <x v="7"/>
    <x v="0"/>
    <s v="P016TP"/>
    <s v="NA"/>
    <s v="P016TPNA"/>
    <s v="topical_bulk"/>
    <x v="2"/>
    <x v="2"/>
    <x v="2"/>
    <n v="1"/>
    <s v="pail"/>
    <n v="1754"/>
    <n v="26055"/>
    <n v="24301"/>
    <n v="1754"/>
    <m/>
    <x v="0"/>
    <x v="1"/>
    <s v="Maximum Strength Roll-on_topical_bulk"/>
    <n v="71"/>
  </r>
  <r>
    <n v="585"/>
    <n v="0"/>
    <x v="8"/>
    <x v="0"/>
    <s v="T015TP"/>
    <s v="NA"/>
    <s v="T015TPNA"/>
    <s v="topical_labelled"/>
    <x v="1"/>
    <x v="1"/>
    <x v="1"/>
    <n v="300"/>
    <s v="unit"/>
    <n v="45"/>
    <n v="0"/>
    <n v="0"/>
    <n v="13500"/>
    <m/>
    <x v="1"/>
    <x v="0"/>
    <s v="Maximum Strength Mini Roll-on 45g_topical_labelled"/>
    <n v="188"/>
  </r>
  <r>
    <n v="586"/>
    <n v="0"/>
    <x v="9"/>
    <x v="0"/>
    <s v="T016TP"/>
    <s v="NA"/>
    <s v="T016TPNA"/>
    <s v="topical_labelled"/>
    <x v="1"/>
    <x v="1"/>
    <x v="1"/>
    <n v="138"/>
    <s v="unit"/>
    <n v="45"/>
    <n v="0"/>
    <n v="0"/>
    <n v="6210"/>
    <m/>
    <x v="1"/>
    <x v="0"/>
    <s v="Maximum Strength Mini Roll-on 45g_topical_labelled"/>
    <n v="188"/>
  </r>
  <r>
    <n v="587"/>
    <n v="0"/>
    <x v="10"/>
    <x v="0"/>
    <s v="B001DF"/>
    <s v="NA"/>
    <s v="B001DFNA"/>
    <s v="driedflower_bulk_BURB"/>
    <x v="3"/>
    <x v="3"/>
    <x v="2"/>
    <n v="1"/>
    <s v="bag"/>
    <n v="4360"/>
    <n v="4670"/>
    <n v="310"/>
    <n v="4360"/>
    <s v="high potency_14g central"/>
    <x v="1"/>
    <x v="1"/>
    <s v="Blue Gum Dried Flower _driedflower_bulk_BURB"/>
    <n v="244"/>
  </r>
  <r>
    <n v="588"/>
    <n v="0"/>
    <x v="11"/>
    <x v="0"/>
    <s v="B002DF"/>
    <s v="NA"/>
    <s v="B002DFNA"/>
    <s v="driedflower_bulk_BURB"/>
    <x v="3"/>
    <x v="3"/>
    <x v="2"/>
    <n v="1"/>
    <s v="bag"/>
    <n v="4360"/>
    <n v="4670"/>
    <n v="310"/>
    <n v="4360"/>
    <s v="high potency_14g central"/>
    <x v="1"/>
    <x v="1"/>
    <s v="Blue Gum Dried Flower _driedflower_bulk_BURB"/>
    <n v="244"/>
  </r>
  <r>
    <n v="589"/>
    <n v="0"/>
    <x v="12"/>
    <x v="0"/>
    <s v="B003DF"/>
    <s v="NA"/>
    <s v="B003DFNA"/>
    <s v="driedflower_bulk_BURB"/>
    <x v="3"/>
    <x v="3"/>
    <x v="2"/>
    <n v="1"/>
    <s v="bag"/>
    <n v="4360"/>
    <n v="4665"/>
    <n v="305"/>
    <n v="4360"/>
    <s v="high potency_14g central"/>
    <x v="1"/>
    <x v="1"/>
    <s v="Blue Gum Dried Flower _driedflower_bulk_BURB"/>
    <n v="244"/>
  </r>
  <r>
    <n v="590"/>
    <n v="0"/>
    <x v="13"/>
    <x v="0"/>
    <s v="B004DF"/>
    <s v="NA"/>
    <s v="B004DFNA"/>
    <s v="driedflower_bulk_BURB"/>
    <x v="3"/>
    <x v="3"/>
    <x v="2"/>
    <n v="1"/>
    <s v="bag"/>
    <n v="4360"/>
    <n v="4665"/>
    <n v="305"/>
    <n v="4360"/>
    <s v="high potency_14g central"/>
    <x v="1"/>
    <x v="1"/>
    <s v="Blue Gum Dried Flower _driedflower_bulk_BURB"/>
    <n v="244"/>
  </r>
  <r>
    <n v="591"/>
    <n v="0"/>
    <x v="14"/>
    <x v="0"/>
    <s v="B005DF"/>
    <s v="NA"/>
    <s v="B005DFNA"/>
    <s v="driedflower_bulk_BURB"/>
    <x v="3"/>
    <x v="3"/>
    <x v="2"/>
    <n v="1"/>
    <s v="bag"/>
    <n v="4360"/>
    <n v="4670"/>
    <n v="310"/>
    <n v="4360"/>
    <s v="high potency_14g central_small flower"/>
    <x v="1"/>
    <x v="1"/>
    <s v="Blue Gum Dried Flower _driedflower_bulk_BURB"/>
    <n v="244"/>
  </r>
  <r>
    <n v="440"/>
    <n v="0"/>
    <x v="15"/>
    <x v="1"/>
    <s v="NA"/>
    <s v="NA"/>
    <s v="OFDMB"/>
    <s v="extract_ingested_cased_MB"/>
    <x v="4"/>
    <x v="4"/>
    <x v="3"/>
    <n v="8"/>
    <s v="case"/>
    <n v="351.6"/>
    <n v="0"/>
    <n v="0"/>
    <n v="2812.8"/>
    <m/>
    <x v="2"/>
    <x v="0"/>
    <s v="THC CBD balanced 1:1 oil 27.6g_extract_ingested_cased_MB"/>
    <n v="164"/>
  </r>
  <r>
    <n v="3"/>
    <n v="0"/>
    <x v="16"/>
    <x v="0"/>
    <s v="T001ED"/>
    <s v="NA"/>
    <s v="T001EDNA"/>
    <s v="extract_inhaled_packaged"/>
    <x v="5"/>
    <x v="5"/>
    <x v="2"/>
    <n v="99"/>
    <s v="jar"/>
    <n v="1"/>
    <n v="0"/>
    <n v="0"/>
    <n v="99"/>
    <s v="Unlabelled"/>
    <x v="3"/>
    <x v="0"/>
    <s v="Phant THCA diamonds 1g_extract_inhaled_packaged"/>
    <n v="95"/>
  </r>
  <r>
    <n v="5"/>
    <n v="0"/>
    <x v="17"/>
    <x v="0"/>
    <s v="T001DF"/>
    <s v="NA"/>
    <s v="T001DFNA"/>
    <s v="driedflower_packaged"/>
    <x v="6"/>
    <x v="6"/>
    <x v="4"/>
    <n v="66"/>
    <s v="jar"/>
    <n v="3.5"/>
    <n v="0"/>
    <n v="0"/>
    <n v="231"/>
    <m/>
    <x v="3"/>
    <x v="0"/>
    <s v="Animal Cookies dried flower 3.5 g_driedflower_packaged"/>
    <n v="6"/>
  </r>
  <r>
    <n v="6"/>
    <n v="0"/>
    <x v="18"/>
    <x v="0"/>
    <s v="T002DF"/>
    <s v="NA"/>
    <s v="T002DFNA"/>
    <s v="driedflower_packaged"/>
    <x v="7"/>
    <x v="7"/>
    <x v="2"/>
    <n v="156"/>
    <s v="jar"/>
    <n v="3.5"/>
    <n v="0"/>
    <n v="0"/>
    <n v="546"/>
    <s v="Unlabelled"/>
    <x v="3"/>
    <x v="0"/>
    <s v="Cashew Breadth dried flower 3.5g_driedflower_packaged"/>
    <n v="16"/>
  </r>
  <r>
    <n v="7"/>
    <n v="0"/>
    <x v="19"/>
    <x v="0"/>
    <s v="T003DF"/>
    <s v="NA"/>
    <s v="T003DFNA"/>
    <s v="driedflower_packaged"/>
    <x v="7"/>
    <x v="7"/>
    <x v="2"/>
    <n v="319"/>
    <s v="jar"/>
    <n v="3.5"/>
    <n v="0"/>
    <n v="0"/>
    <n v="1116.5"/>
    <s v="Unlabelled"/>
    <x v="3"/>
    <x v="0"/>
    <s v="Cashew Breadth dried flower 3.5g_driedflower_packaged"/>
    <n v="16"/>
  </r>
  <r>
    <n v="8"/>
    <n v="0"/>
    <x v="20"/>
    <x v="0"/>
    <s v="T004DF"/>
    <s v="NA"/>
    <s v="T004DFNA"/>
    <s v="driedflower_packaged"/>
    <x v="8"/>
    <x v="8"/>
    <x v="5"/>
    <n v="82"/>
    <s v="pouch"/>
    <n v="14"/>
    <n v="0"/>
    <n v="0"/>
    <n v="1148"/>
    <m/>
    <x v="3"/>
    <x v="0"/>
    <s v="Gelato dried flower 14g_driedflower_packaged"/>
    <n v="116"/>
  </r>
  <r>
    <n v="9"/>
    <n v="0"/>
    <x v="21"/>
    <x v="0"/>
    <s v="T001MF"/>
    <s v="NA"/>
    <s v="T001MFNA"/>
    <s v="driedflower_milled_labelled"/>
    <x v="9"/>
    <x v="9"/>
    <x v="6"/>
    <n v="404"/>
    <s v="pouch"/>
    <n v="14"/>
    <n v="0"/>
    <n v="0"/>
    <n v="5656"/>
    <s v="AB stamped"/>
    <x v="3"/>
    <x v="0"/>
    <s v="Hara milled flower 14g_driedflower_milled_labelled"/>
    <n v="60"/>
  </r>
  <r>
    <n v="10"/>
    <n v="0"/>
    <x v="22"/>
    <x v="0"/>
    <s v="T002MF"/>
    <s v="NA"/>
    <s v="T002MFNA"/>
    <s v="driedflower_milled_labelled"/>
    <x v="10"/>
    <x v="10"/>
    <x v="6"/>
    <n v="106"/>
    <s v="pouch"/>
    <n v="7"/>
    <n v="0"/>
    <n v="0"/>
    <n v="742"/>
    <m/>
    <x v="3"/>
    <x v="0"/>
    <s v="Hara milled flower 7g_driedflower_milled_labelled"/>
    <n v="61"/>
  </r>
  <r>
    <n v="12"/>
    <n v="0"/>
    <x v="23"/>
    <x v="0"/>
    <s v="T003MF"/>
    <s v="B001MF"/>
    <s v="T003MFB001MF"/>
    <s v="driedflower_milled_bulk"/>
    <x v="11"/>
    <x v="11"/>
    <x v="7"/>
    <n v="1"/>
    <s v="bag"/>
    <n v="41.02"/>
    <n v="0"/>
    <n v="0"/>
    <n v="41.02"/>
    <m/>
    <x v="3"/>
    <x v="1"/>
    <s v="Gelato milled flower_driedflower_milled_bulk"/>
    <n v="41"/>
  </r>
  <r>
    <n v="13"/>
    <n v="0"/>
    <x v="24"/>
    <x v="0"/>
    <s v="T003MF"/>
    <s v="B002MF"/>
    <s v="T003MFB002MF"/>
    <s v="driedflower_milled_bulk"/>
    <x v="12"/>
    <x v="12"/>
    <x v="2"/>
    <n v="1"/>
    <s v="bag"/>
    <n v="169.94"/>
    <n v="179.18"/>
    <n v="9.24"/>
    <n v="169.94"/>
    <m/>
    <x v="3"/>
    <x v="1"/>
    <s v="milled flower_driedflower_milled_bulk"/>
    <n v="73"/>
  </r>
  <r>
    <n v="14"/>
    <n v="0"/>
    <x v="25"/>
    <x v="0"/>
    <s v="T003MF"/>
    <s v="B003MF"/>
    <s v="T003MFB003MF"/>
    <s v="driedflower_milled_bulk"/>
    <x v="13"/>
    <x v="13"/>
    <x v="2"/>
    <n v="1"/>
    <s v="bag"/>
    <n v="72.83"/>
    <n v="88.04"/>
    <n v="15.210000000000008"/>
    <n v="72.83"/>
    <m/>
    <x v="3"/>
    <x v="1"/>
    <s v="Berri Blunt milled flower_driedflower_milled_bulk"/>
    <n v="14"/>
  </r>
  <r>
    <n v="15"/>
    <n v="0"/>
    <x v="26"/>
    <x v="0"/>
    <s v="T003MF"/>
    <s v="B004MF"/>
    <s v="T003MFB004MF"/>
    <s v="driedflower_milled_bulk"/>
    <x v="14"/>
    <x v="14"/>
    <x v="2"/>
    <n v="1"/>
    <s v="bag"/>
    <n v="904.95"/>
    <n v="0"/>
    <n v="0"/>
    <n v="904.95"/>
    <s v="unknown lot"/>
    <x v="3"/>
    <x v="1"/>
    <s v="Rogue milled flower_driedflower_milled_bulk"/>
    <n v="101"/>
  </r>
  <r>
    <n v="16"/>
    <n v="0"/>
    <x v="27"/>
    <x v="0"/>
    <s v="T003MF"/>
    <s v="B005MF"/>
    <s v="T003MFB005MF"/>
    <s v="driedflower_milled_bulk"/>
    <x v="15"/>
    <x v="14"/>
    <x v="8"/>
    <n v="1"/>
    <s v="bag"/>
    <n v="132.01999999999998"/>
    <n v="143.26"/>
    <n v="11.24"/>
    <n v="132.01999999999998"/>
    <s v="unknown lot"/>
    <x v="3"/>
    <x v="1"/>
    <s v="Glactic Cake milled flower_driedflower_milled_bulk"/>
    <n v="47"/>
  </r>
  <r>
    <n v="17"/>
    <n v="0"/>
    <x v="28"/>
    <x v="0"/>
    <s v="T005DF"/>
    <s v="B001DF"/>
    <s v="T005DFB001DF"/>
    <s v="driedflower_packaged"/>
    <x v="16"/>
    <x v="15"/>
    <x v="9"/>
    <n v="37"/>
    <s v="bag"/>
    <n v="3.5"/>
    <n v="0"/>
    <n v="0"/>
    <n v="129.5"/>
    <m/>
    <x v="3"/>
    <x v="0"/>
    <s v="Platinum Cookies dried flower 3.5g_driedflower_packaged"/>
    <n v="96"/>
  </r>
  <r>
    <n v="18"/>
    <n v="0"/>
    <x v="29"/>
    <x v="0"/>
    <s v="T005DF"/>
    <s v="B002DF"/>
    <s v="T005DFB002DF"/>
    <s v="driedflower_packaged"/>
    <x v="17"/>
    <x v="16"/>
    <x v="10"/>
    <n v="27"/>
    <s v="bag"/>
    <n v="3.5"/>
    <n v="0"/>
    <n v="0"/>
    <n v="94.5"/>
    <m/>
    <x v="3"/>
    <x v="0"/>
    <s v="Super Sliver Haze dried flower 3.5g_driedflower_packaged"/>
    <n v="102"/>
  </r>
  <r>
    <n v="19"/>
    <n v="0"/>
    <x v="30"/>
    <x v="0"/>
    <s v="T005DF"/>
    <s v="B004DF"/>
    <s v="T005DFB004DF"/>
    <s v="driedflower_packaged"/>
    <x v="18"/>
    <x v="17"/>
    <x v="11"/>
    <n v="27"/>
    <s v="bag"/>
    <n v="3.5"/>
    <n v="0"/>
    <n v="0"/>
    <n v="94.5"/>
    <m/>
    <x v="3"/>
    <x v="0"/>
    <s v="Grandpa's Stash dried flower 3.5g_driedflower_packaged"/>
    <n v="54"/>
  </r>
  <r>
    <n v="20"/>
    <n v="0"/>
    <x v="31"/>
    <x v="0"/>
    <s v="T006DF"/>
    <s v="NA"/>
    <s v="T006DFNA"/>
    <s v="driedflower_packaged"/>
    <x v="19"/>
    <x v="18"/>
    <x v="12"/>
    <n v="423"/>
    <s v="bag"/>
    <n v="3.5"/>
    <n v="0"/>
    <n v="0"/>
    <n v="1480.5"/>
    <m/>
    <x v="3"/>
    <x v="0"/>
    <s v="Pemberton Craft Orr's Layer Cake dried flower 3.5g_driedflower_packaged"/>
    <n v="94"/>
  </r>
  <r>
    <n v="21"/>
    <n v="0"/>
    <x v="32"/>
    <x v="0"/>
    <s v="T007DF"/>
    <s v="NA"/>
    <s v="T007DFNA"/>
    <s v="driedflower_packaged"/>
    <x v="20"/>
    <x v="19"/>
    <x v="13"/>
    <n v="240"/>
    <s v="bag"/>
    <n v="14"/>
    <n v="0"/>
    <n v="0"/>
    <n v="3360"/>
    <s v="several MB stamped pouches"/>
    <x v="3"/>
    <x v="0"/>
    <s v="Tropicana Cookies dried flower 14g_driedflower_packaged"/>
    <n v="107"/>
  </r>
  <r>
    <n v="22"/>
    <n v="0"/>
    <x v="33"/>
    <x v="0"/>
    <s v="T009DF"/>
    <s v="B005DF"/>
    <s v="T009DFB005DF"/>
    <s v="driedflower_bulk"/>
    <x v="21"/>
    <x v="20"/>
    <x v="14"/>
    <n v="1"/>
    <s v="bag"/>
    <n v="477.4"/>
    <n v="502.4"/>
    <n v="25"/>
    <n v="477.4"/>
    <m/>
    <x v="3"/>
    <x v="1"/>
    <s v="Chronic Mint dried flower_driedflower_bulk"/>
    <n v="22"/>
  </r>
  <r>
    <n v="24"/>
    <n v="0"/>
    <x v="34"/>
    <x v="0"/>
    <s v="T008DF"/>
    <s v="B007DF"/>
    <s v="T008DFB007DF"/>
    <s v="driedflower_bulk"/>
    <x v="22"/>
    <x v="8"/>
    <x v="15"/>
    <n v="1"/>
    <s v="bag"/>
    <n v="446.6"/>
    <n v="471.6"/>
    <n v="25"/>
    <n v="446.6"/>
    <m/>
    <x v="3"/>
    <x v="1"/>
    <s v="Gelato dried flower_driedflower_bulk"/>
    <n v="37"/>
  </r>
  <r>
    <n v="25"/>
    <n v="0"/>
    <x v="35"/>
    <x v="0"/>
    <s v="T008DF"/>
    <s v="B008DF"/>
    <s v="T008DFB008DF"/>
    <s v="driedflower_bulk"/>
    <x v="22"/>
    <x v="8"/>
    <x v="15"/>
    <n v="1"/>
    <s v="bag"/>
    <n v="916"/>
    <n v="1007.2"/>
    <n v="91.200000000000045"/>
    <n v="916"/>
    <s v="small buds"/>
    <x v="3"/>
    <x v="1"/>
    <s v="Gelato dried flower_driedflower_bulk"/>
    <n v="37"/>
  </r>
  <r>
    <n v="26"/>
    <n v="0"/>
    <x v="36"/>
    <x v="1"/>
    <s v="T008DF"/>
    <s v="B009DF"/>
    <s v="T008DFB009DF"/>
    <s v="driedflower_bulk"/>
    <x v="22"/>
    <x v="8"/>
    <x v="16"/>
    <n v="1"/>
    <s v="bag"/>
    <n v="1000"/>
    <n v="1025.7"/>
    <n v="25.700000000000045"/>
    <n v="1000"/>
    <m/>
    <x v="3"/>
    <x v="1"/>
    <s v="Gelato dried flower_driedflower_bulk"/>
    <n v="37"/>
  </r>
  <r>
    <n v="27"/>
    <n v="0"/>
    <x v="37"/>
    <x v="1"/>
    <s v="T008DF"/>
    <s v="B013DF"/>
    <s v="T008DFB013DF"/>
    <s v="driedflower_bulk"/>
    <x v="22"/>
    <x v="8"/>
    <x v="16"/>
    <n v="1"/>
    <s v="bag"/>
    <n v="1000"/>
    <n v="1026.3"/>
    <n v="26.299999999999955"/>
    <n v="1000"/>
    <m/>
    <x v="3"/>
    <x v="1"/>
    <s v="Gelato dried flower_driedflower_bulk"/>
    <n v="37"/>
  </r>
  <r>
    <n v="28"/>
    <n v="0"/>
    <x v="38"/>
    <x v="1"/>
    <s v="T008DF"/>
    <s v="B010DF"/>
    <s v="T008DFB010DF"/>
    <s v="driedflower_bulk"/>
    <x v="22"/>
    <x v="8"/>
    <x v="16"/>
    <n v="1"/>
    <s v="bag"/>
    <n v="1000"/>
    <n v="1020.7"/>
    <n v="20.700000000000045"/>
    <n v="1000"/>
    <m/>
    <x v="3"/>
    <x v="1"/>
    <s v="Gelato dried flower_driedflower_bulk"/>
    <n v="37"/>
  </r>
  <r>
    <n v="29"/>
    <n v="0"/>
    <x v="39"/>
    <x v="1"/>
    <s v="T008DF"/>
    <s v="B012DF"/>
    <s v="T008DFB012DF"/>
    <s v="driedflower_bulk"/>
    <x v="22"/>
    <x v="8"/>
    <x v="16"/>
    <n v="1"/>
    <s v="bag"/>
    <n v="1000"/>
    <n v="1020.4"/>
    <n v="20.399999999999977"/>
    <n v="1000"/>
    <m/>
    <x v="3"/>
    <x v="1"/>
    <s v="Gelato dried flower_driedflower_bulk"/>
    <n v="37"/>
  </r>
  <r>
    <n v="30"/>
    <n v="0"/>
    <x v="40"/>
    <x v="1"/>
    <s v="T008DF"/>
    <s v="B011DF"/>
    <s v="T008DFB011DF"/>
    <s v="driedflower_bulk"/>
    <x v="22"/>
    <x v="8"/>
    <x v="16"/>
    <n v="1"/>
    <s v="bag"/>
    <n v="1000"/>
    <n v="1026.0999999999999"/>
    <n v="26.099999999999909"/>
    <n v="1000"/>
    <m/>
    <x v="3"/>
    <x v="1"/>
    <s v="Gelato dried flower_driedflower_bulk"/>
    <n v="37"/>
  </r>
  <r>
    <n v="31"/>
    <n v="0"/>
    <x v="41"/>
    <x v="0"/>
    <s v="T008DF"/>
    <s v="B016DF"/>
    <s v="T008DFB016DF"/>
    <s v="driedflower_bulk"/>
    <x v="22"/>
    <x v="8"/>
    <x v="16"/>
    <n v="1"/>
    <s v="bag"/>
    <n v="1000"/>
    <n v="1024"/>
    <n v="24"/>
    <n v="1000"/>
    <m/>
    <x v="3"/>
    <x v="1"/>
    <s v="Gelato dried flower_driedflower_bulk"/>
    <n v="37"/>
  </r>
  <r>
    <n v="32"/>
    <n v="0"/>
    <x v="42"/>
    <x v="0"/>
    <s v="T008DF"/>
    <s v="B015DF"/>
    <s v="T008DFB015DF"/>
    <s v="driedflower_bulk"/>
    <x v="22"/>
    <x v="8"/>
    <x v="16"/>
    <n v="1"/>
    <s v="bag"/>
    <n v="1000"/>
    <n v="1021.2"/>
    <n v="21.200000000000045"/>
    <n v="1000"/>
    <m/>
    <x v="3"/>
    <x v="1"/>
    <s v="Gelato dried flower_driedflower_bulk"/>
    <n v="37"/>
  </r>
  <r>
    <n v="33"/>
    <n v="0"/>
    <x v="43"/>
    <x v="0"/>
    <s v="T008DF"/>
    <s v="B014DF"/>
    <s v="T008DFB014DF"/>
    <s v="driedflower_bulk"/>
    <x v="22"/>
    <x v="8"/>
    <x v="16"/>
    <n v="1"/>
    <s v="bag"/>
    <n v="1000"/>
    <n v="1027.5999999999999"/>
    <n v="27.599999999999909"/>
    <n v="1000"/>
    <m/>
    <x v="3"/>
    <x v="1"/>
    <s v="Gelato dried flower_driedflower_bulk"/>
    <n v="37"/>
  </r>
  <r>
    <n v="34"/>
    <n v="0"/>
    <x v="44"/>
    <x v="0"/>
    <s v="T008DF"/>
    <s v="B018DF"/>
    <s v="T008DFB018DF"/>
    <s v="driedflower_bulk"/>
    <x v="22"/>
    <x v="8"/>
    <x v="16"/>
    <n v="1"/>
    <s v="bag"/>
    <n v="1000"/>
    <n v="1025"/>
    <n v="25"/>
    <n v="1000"/>
    <m/>
    <x v="3"/>
    <x v="1"/>
    <s v="Gelato dried flower_driedflower_bulk"/>
    <n v="37"/>
  </r>
  <r>
    <n v="35"/>
    <n v="0"/>
    <x v="45"/>
    <x v="0"/>
    <s v="T008DF"/>
    <s v="B017DF"/>
    <s v="T008DFB017DF"/>
    <s v="driedflower_bulk"/>
    <x v="22"/>
    <x v="8"/>
    <x v="16"/>
    <n v="1"/>
    <s v="bag"/>
    <n v="1000"/>
    <n v="1016.1"/>
    <n v="16.100000000000023"/>
    <n v="1000"/>
    <m/>
    <x v="3"/>
    <x v="1"/>
    <s v="Gelato dried flower_driedflower_bulk"/>
    <n v="37"/>
  </r>
  <r>
    <n v="36"/>
    <n v="0"/>
    <x v="46"/>
    <x v="0"/>
    <s v="T008DF"/>
    <s v="B019DF"/>
    <s v="T008DFB019DF"/>
    <s v="driedflower_bulk"/>
    <x v="22"/>
    <x v="8"/>
    <x v="16"/>
    <n v="1"/>
    <s v="bag"/>
    <n v="982.3"/>
    <n v="982.3"/>
    <n v="0"/>
    <n v="982.3"/>
    <m/>
    <x v="3"/>
    <x v="1"/>
    <s v="Gelato dried flower_driedflower_bulk"/>
    <n v="37"/>
  </r>
  <r>
    <n v="37"/>
    <n v="0"/>
    <x v="47"/>
    <x v="1"/>
    <s v="T008DF"/>
    <s v="B020DF"/>
    <s v="T008DFB020DF"/>
    <s v="driedflower_bulk"/>
    <x v="22"/>
    <x v="8"/>
    <x v="16"/>
    <n v="1"/>
    <s v="bag"/>
    <n v="426.8"/>
    <n v="450.8"/>
    <n v="24"/>
    <n v="426.8"/>
    <m/>
    <x v="3"/>
    <x v="1"/>
    <s v="Gelato dried flower_driedflower_bulk"/>
    <n v="37"/>
  </r>
  <r>
    <n v="38"/>
    <n v="0"/>
    <x v="48"/>
    <x v="0"/>
    <s v="T009DF"/>
    <s v="B021DF"/>
    <s v="T009DFB021DF"/>
    <s v="driedflower_bulk"/>
    <x v="21"/>
    <x v="20"/>
    <x v="14"/>
    <n v="1"/>
    <s v="bag"/>
    <n v="1000"/>
    <n v="1046.0999999999999"/>
    <n v="46.099999999999909"/>
    <n v="1000"/>
    <m/>
    <x v="3"/>
    <x v="1"/>
    <s v="Chronic Mint dried flower_driedflower_bulk"/>
    <n v="22"/>
  </r>
  <r>
    <n v="39"/>
    <n v="0"/>
    <x v="49"/>
    <x v="0"/>
    <s v="T009DF"/>
    <s v="B022DF"/>
    <s v="T009DFB022DF"/>
    <s v="driedflower_bulk"/>
    <x v="21"/>
    <x v="20"/>
    <x v="14"/>
    <n v="1"/>
    <s v="bag"/>
    <n v="1000"/>
    <n v="1047.0999999999999"/>
    <n v="47.099999999999909"/>
    <n v="1000"/>
    <m/>
    <x v="3"/>
    <x v="1"/>
    <s v="Chronic Mint dried flower_driedflower_bulk"/>
    <n v="22"/>
  </r>
  <r>
    <n v="40"/>
    <n v="0"/>
    <x v="50"/>
    <x v="0"/>
    <s v="T009DF"/>
    <s v="B023DF"/>
    <s v="T009DFB023DF"/>
    <s v="driedflower_bulk"/>
    <x v="21"/>
    <x v="20"/>
    <x v="14"/>
    <n v="1"/>
    <s v="bag"/>
    <n v="1000"/>
    <n v="1042.0999999999999"/>
    <n v="42.099999999999909"/>
    <n v="1000"/>
    <m/>
    <x v="3"/>
    <x v="1"/>
    <s v="Chronic Mint dried flower_driedflower_bulk"/>
    <n v="22"/>
  </r>
  <r>
    <n v="42"/>
    <n v="0"/>
    <x v="51"/>
    <x v="0"/>
    <s v="T009DF"/>
    <s v="B025DF"/>
    <s v="T009DFB025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43"/>
    <n v="0"/>
    <x v="52"/>
    <x v="0"/>
    <s v="T009DF"/>
    <s v="B026DF"/>
    <s v="T009DFB026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44"/>
    <n v="0"/>
    <x v="53"/>
    <x v="0"/>
    <s v="T009DF"/>
    <s v="B027DF"/>
    <s v="T009DFB027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45"/>
    <n v="0"/>
    <x v="54"/>
    <x v="0"/>
    <s v="T010DF"/>
    <s v="B028DF"/>
    <s v="T010DFB028DF"/>
    <s v="driedflower_bulk"/>
    <x v="23"/>
    <x v="21"/>
    <x v="14"/>
    <n v="1"/>
    <s v="bag"/>
    <n v="1000"/>
    <n v="1021"/>
    <n v="21"/>
    <n v="1000"/>
    <m/>
    <x v="3"/>
    <x v="1"/>
    <s v="Galactic Cake dried flower_driedflower_bulk"/>
    <n v="32"/>
  </r>
  <r>
    <n v="46"/>
    <n v="0"/>
    <x v="55"/>
    <x v="0"/>
    <s v="T010DF"/>
    <s v="B029DF"/>
    <s v="T010DFB029DF"/>
    <s v="driedflower_bulk"/>
    <x v="23"/>
    <x v="21"/>
    <x v="14"/>
    <n v="1"/>
    <s v="bag"/>
    <n v="1000"/>
    <n v="1025"/>
    <n v="25"/>
    <n v="1000"/>
    <m/>
    <x v="3"/>
    <x v="1"/>
    <s v="Galactic Cake dried flower_driedflower_bulk"/>
    <n v="32"/>
  </r>
  <r>
    <n v="47"/>
    <n v="0"/>
    <x v="56"/>
    <x v="0"/>
    <s v="T010DF"/>
    <s v="B030DF"/>
    <s v="T010DFB030DF"/>
    <s v="driedflower_bulk"/>
    <x v="23"/>
    <x v="21"/>
    <x v="14"/>
    <n v="1"/>
    <s v="bag"/>
    <n v="500"/>
    <n v="514"/>
    <n v="14"/>
    <n v="500"/>
    <m/>
    <x v="3"/>
    <x v="1"/>
    <s v="Galactic Cake dried flower_driedflower_bulk"/>
    <n v="32"/>
  </r>
  <r>
    <n v="48"/>
    <n v="0"/>
    <x v="57"/>
    <x v="0"/>
    <s v="T010DF"/>
    <s v="B031DF"/>
    <s v="T010DFB031DF"/>
    <s v="driedflower_bulk"/>
    <x v="23"/>
    <x v="21"/>
    <x v="14"/>
    <n v="1"/>
    <s v="bag"/>
    <n v="1000"/>
    <n v="1024"/>
    <n v="24"/>
    <n v="1000"/>
    <m/>
    <x v="3"/>
    <x v="1"/>
    <s v="Galactic Cake dried flower_driedflower_bulk"/>
    <n v="32"/>
  </r>
  <r>
    <n v="49"/>
    <n v="0"/>
    <x v="58"/>
    <x v="0"/>
    <s v="T010DF"/>
    <s v="B032DF"/>
    <s v="T010DFB032DF"/>
    <s v="driedflower_bulk"/>
    <x v="23"/>
    <x v="21"/>
    <x v="14"/>
    <n v="1"/>
    <s v="bag"/>
    <n v="1000"/>
    <n v="1028"/>
    <n v="28"/>
    <n v="1000"/>
    <m/>
    <x v="3"/>
    <x v="1"/>
    <s v="Galactic Cake dried flower_driedflower_bulk"/>
    <n v="32"/>
  </r>
  <r>
    <n v="50"/>
    <n v="0"/>
    <x v="59"/>
    <x v="0"/>
    <s v="T011DF"/>
    <s v="B033DF"/>
    <s v="T011DFB033DF"/>
    <s v="driedflower_bulk"/>
    <x v="21"/>
    <x v="20"/>
    <x v="14"/>
    <n v="1"/>
    <s v="bag"/>
    <n v="1000"/>
    <n v="1044"/>
    <n v="44"/>
    <n v="1000"/>
    <m/>
    <x v="3"/>
    <x v="1"/>
    <s v="Chronic Mint dried flower_driedflower_bulk"/>
    <n v="22"/>
  </r>
  <r>
    <n v="51"/>
    <n v="0"/>
    <x v="60"/>
    <x v="0"/>
    <s v="T011DF"/>
    <s v="B034DF"/>
    <s v="T011DFB034DF"/>
    <s v="driedflower_bulk"/>
    <x v="21"/>
    <x v="20"/>
    <x v="14"/>
    <n v="1"/>
    <s v="bag"/>
    <n v="1000"/>
    <n v="1050"/>
    <n v="50"/>
    <n v="1000"/>
    <m/>
    <x v="3"/>
    <x v="1"/>
    <s v="Chronic Mint dried flower_driedflower_bulk"/>
    <n v="22"/>
  </r>
  <r>
    <n v="52"/>
    <n v="0"/>
    <x v="61"/>
    <x v="0"/>
    <s v="T011DF"/>
    <s v="B035DF"/>
    <s v="T011DFB035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53"/>
    <n v="0"/>
    <x v="62"/>
    <x v="0"/>
    <s v="T011DF"/>
    <s v="B036DF"/>
    <s v="T011DFB036DF"/>
    <s v="driedflower_bulk"/>
    <x v="21"/>
    <x v="20"/>
    <x v="14"/>
    <n v="1"/>
    <s v="bag"/>
    <n v="1000"/>
    <n v="1044"/>
    <n v="44"/>
    <n v="1000"/>
    <m/>
    <x v="3"/>
    <x v="1"/>
    <s v="Chronic Mint dried flower_driedflower_bulk"/>
    <n v="22"/>
  </r>
  <r>
    <n v="54"/>
    <n v="0"/>
    <x v="63"/>
    <x v="0"/>
    <s v="T011DF"/>
    <s v="B037DF"/>
    <s v="T011DFB037DF"/>
    <s v="driedflower_bulk"/>
    <x v="21"/>
    <x v="20"/>
    <x v="14"/>
    <n v="1"/>
    <s v="bag"/>
    <n v="1000"/>
    <n v="1048"/>
    <n v="48"/>
    <n v="1000"/>
    <m/>
    <x v="3"/>
    <x v="1"/>
    <s v="Chronic Mint dried flower_driedflower_bulk"/>
    <n v="22"/>
  </r>
  <r>
    <n v="55"/>
    <n v="0"/>
    <x v="64"/>
    <x v="0"/>
    <s v="T011DF"/>
    <s v="B038DF"/>
    <s v="T011DFB038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56"/>
    <n v="0"/>
    <x v="65"/>
    <x v="0"/>
    <s v="T011DF"/>
    <s v="B039DF"/>
    <s v="T011DFB039DF"/>
    <s v="driedflower_bulk"/>
    <x v="21"/>
    <x v="20"/>
    <x v="14"/>
    <n v="1"/>
    <s v="bag"/>
    <n v="1000"/>
    <n v="1046"/>
    <n v="46"/>
    <n v="1000"/>
    <m/>
    <x v="3"/>
    <x v="1"/>
    <s v="Chronic Mint dried flower_driedflower_bulk"/>
    <n v="22"/>
  </r>
  <r>
    <n v="57"/>
    <n v="0"/>
    <x v="66"/>
    <x v="0"/>
    <s v="T011DF"/>
    <s v="B040DF"/>
    <s v="T011DFB040DF"/>
    <s v="driedflower_bulk"/>
    <x v="21"/>
    <x v="20"/>
    <x v="14"/>
    <n v="1"/>
    <s v="bag"/>
    <n v="1000"/>
    <n v="1048"/>
    <n v="48"/>
    <n v="1000"/>
    <m/>
    <x v="3"/>
    <x v="1"/>
    <s v="Chronic Mint dried flower_driedflower_bulk"/>
    <n v="22"/>
  </r>
  <r>
    <n v="58"/>
    <n v="0"/>
    <x v="67"/>
    <x v="0"/>
    <s v="T011DF"/>
    <s v="B041DF"/>
    <s v="T011DFB041DF"/>
    <s v="driedflower_bulk"/>
    <x v="21"/>
    <x v="20"/>
    <x v="14"/>
    <n v="1"/>
    <s v="bag"/>
    <n v="1000"/>
    <n v="1039"/>
    <n v="39"/>
    <n v="1000"/>
    <m/>
    <x v="3"/>
    <x v="1"/>
    <s v="Chronic Mint dried flower_driedflower_bulk"/>
    <n v="22"/>
  </r>
  <r>
    <n v="59"/>
    <n v="0"/>
    <x v="68"/>
    <x v="0"/>
    <s v="T011DF"/>
    <s v="B042DF"/>
    <s v="T011DFB042DF"/>
    <s v="driedflower_bulk"/>
    <x v="21"/>
    <x v="20"/>
    <x v="14"/>
    <n v="1"/>
    <s v="bag"/>
    <n v="1000"/>
    <n v="1126"/>
    <n v="126"/>
    <n v="1000"/>
    <m/>
    <x v="3"/>
    <x v="1"/>
    <s v="Chronic Mint dried flower_driedflower_bulk"/>
    <n v="22"/>
  </r>
  <r>
    <n v="60"/>
    <n v="0"/>
    <x v="69"/>
    <x v="0"/>
    <s v="T011DF"/>
    <s v="B043DF"/>
    <s v="T011DFB043DF"/>
    <s v="driedflower_bulk"/>
    <x v="21"/>
    <x v="20"/>
    <x v="14"/>
    <n v="1"/>
    <s v="bag"/>
    <n v="1000"/>
    <n v="1044"/>
    <n v="44"/>
    <n v="1000"/>
    <m/>
    <x v="3"/>
    <x v="1"/>
    <s v="Chronic Mint dried flower_driedflower_bulk"/>
    <n v="22"/>
  </r>
  <r>
    <n v="61"/>
    <n v="0"/>
    <x v="70"/>
    <x v="0"/>
    <s v="T012DF"/>
    <s v="B044DF"/>
    <s v="T012DFB044DF"/>
    <s v="driedflower_bulk"/>
    <x v="24"/>
    <x v="22"/>
    <x v="14"/>
    <n v="1"/>
    <s v="bag"/>
    <n v="1000"/>
    <n v="1046"/>
    <n v="46"/>
    <n v="1000"/>
    <m/>
    <x v="3"/>
    <x v="1"/>
    <s v="Gorilla Bomb dried flower_driedflower_bulk"/>
    <n v="48"/>
  </r>
  <r>
    <n v="62"/>
    <n v="0"/>
    <x v="71"/>
    <x v="0"/>
    <s v="T012DF"/>
    <s v="B045DF"/>
    <s v="T012DFB045DF"/>
    <s v="driedflower_bulk"/>
    <x v="24"/>
    <x v="22"/>
    <x v="14"/>
    <n v="1"/>
    <s v="bag"/>
    <n v="1000"/>
    <n v="1047"/>
    <n v="47"/>
    <n v="1000"/>
    <m/>
    <x v="3"/>
    <x v="1"/>
    <s v="Gorilla Bomb dried flower_driedflower_bulk"/>
    <n v="48"/>
  </r>
  <r>
    <n v="63"/>
    <n v="0"/>
    <x v="72"/>
    <x v="0"/>
    <s v="T012DF"/>
    <s v="B046DF"/>
    <s v="T012DFB046DF"/>
    <s v="driedflower_bulk"/>
    <x v="24"/>
    <x v="22"/>
    <x v="14"/>
    <n v="1"/>
    <s v="bag"/>
    <n v="1000"/>
    <n v="1042"/>
    <n v="42"/>
    <n v="1000"/>
    <m/>
    <x v="3"/>
    <x v="1"/>
    <s v="Gorilla Bomb dried flower_driedflower_bulk"/>
    <n v="48"/>
  </r>
  <r>
    <n v="64"/>
    <n v="0"/>
    <x v="73"/>
    <x v="0"/>
    <s v="T012DF"/>
    <s v="B047DF"/>
    <s v="T012DFB047DF"/>
    <s v="driedflower_bulk"/>
    <x v="24"/>
    <x v="22"/>
    <x v="14"/>
    <n v="1"/>
    <s v="bag"/>
    <n v="1000"/>
    <n v="1046"/>
    <n v="46"/>
    <n v="1000"/>
    <m/>
    <x v="3"/>
    <x v="1"/>
    <s v="Gorilla Bomb dried flower_driedflower_bulk"/>
    <n v="48"/>
  </r>
  <r>
    <n v="65"/>
    <n v="0"/>
    <x v="74"/>
    <x v="0"/>
    <s v="T012DF"/>
    <s v="B048DF"/>
    <s v="T012DFB048DF"/>
    <s v="driedflower_bulk"/>
    <x v="24"/>
    <x v="22"/>
    <x v="14"/>
    <n v="1"/>
    <s v="bag"/>
    <n v="1000"/>
    <n v="1045"/>
    <n v="45"/>
    <n v="1000"/>
    <m/>
    <x v="3"/>
    <x v="1"/>
    <s v="Gorilla Bomb dried flower_driedflower_bulk"/>
    <n v="48"/>
  </r>
  <r>
    <n v="66"/>
    <n v="0"/>
    <x v="75"/>
    <x v="0"/>
    <s v="T012DF"/>
    <s v="B049DF"/>
    <s v="T012DFB049DF"/>
    <s v="driedflower_bulk"/>
    <x v="24"/>
    <x v="22"/>
    <x v="14"/>
    <n v="1"/>
    <s v="bag"/>
    <n v="1000"/>
    <n v="1049"/>
    <n v="49"/>
    <n v="1000"/>
    <m/>
    <x v="3"/>
    <x v="1"/>
    <s v="Gorilla Bomb dried flower_driedflower_bulk"/>
    <n v="48"/>
  </r>
  <r>
    <n v="67"/>
    <n v="0"/>
    <x v="76"/>
    <x v="0"/>
    <s v="T012DF"/>
    <s v="B050DF"/>
    <s v="T012DFB050DF"/>
    <s v="driedflower_bulk"/>
    <x v="24"/>
    <x v="22"/>
    <x v="14"/>
    <n v="1"/>
    <s v="bag"/>
    <n v="480"/>
    <n v="513"/>
    <n v="33"/>
    <n v="480"/>
    <m/>
    <x v="3"/>
    <x v="1"/>
    <s v="Gorilla Bomb dried flower_driedflower_bulk"/>
    <n v="48"/>
  </r>
  <r>
    <n v="68"/>
    <n v="0"/>
    <x v="77"/>
    <x v="0"/>
    <s v="T012DF"/>
    <s v="B051DF"/>
    <s v="T012DFB051DF"/>
    <s v="driedflower_bulk"/>
    <x v="24"/>
    <x v="22"/>
    <x v="14"/>
    <n v="1"/>
    <s v="bag"/>
    <n v="366"/>
    <n v="404"/>
    <n v="38"/>
    <n v="366"/>
    <m/>
    <x v="3"/>
    <x v="1"/>
    <s v="Gorilla Bomb dried flower_driedflower_bulk"/>
    <n v="48"/>
  </r>
  <r>
    <n v="69"/>
    <n v="0"/>
    <x v="78"/>
    <x v="0"/>
    <s v="T012DF"/>
    <s v="B052DF"/>
    <s v="T012DFB052DF"/>
    <s v="driedflower_bulk"/>
    <x v="24"/>
    <x v="22"/>
    <x v="14"/>
    <n v="1"/>
    <s v="bag"/>
    <n v="1000"/>
    <n v="1042"/>
    <n v="42"/>
    <n v="1000"/>
    <m/>
    <x v="3"/>
    <x v="1"/>
    <s v="Gorilla Bomb dried flower_driedflower_bulk"/>
    <n v="48"/>
  </r>
  <r>
    <n v="70"/>
    <n v="0"/>
    <x v="79"/>
    <x v="0"/>
    <s v="T012DF"/>
    <s v="B053DF"/>
    <s v="T012DFB053DF"/>
    <s v="driedflower_bulk"/>
    <x v="24"/>
    <x v="22"/>
    <x v="14"/>
    <n v="1"/>
    <s v="bag"/>
    <n v="1000"/>
    <n v="1047"/>
    <n v="47"/>
    <n v="1000"/>
    <m/>
    <x v="3"/>
    <x v="1"/>
    <s v="Gorilla Bomb dried flower_driedflower_bulk"/>
    <n v="48"/>
  </r>
  <r>
    <n v="72"/>
    <n v="0"/>
    <x v="80"/>
    <x v="0"/>
    <s v="T010DF"/>
    <s v="B055DF"/>
    <s v="T010DFB055DF"/>
    <s v="driedflower_bulk"/>
    <x v="23"/>
    <x v="21"/>
    <x v="14"/>
    <n v="1"/>
    <s v="bag"/>
    <n v="994"/>
    <n v="994"/>
    <n v="0"/>
    <n v="994"/>
    <m/>
    <x v="3"/>
    <x v="1"/>
    <s v="Galactic Cake dried flower_driedflower_bulk"/>
    <n v="32"/>
  </r>
  <r>
    <n v="73"/>
    <n v="0"/>
    <x v="81"/>
    <x v="1"/>
    <s v="T003BS"/>
    <s v="NA"/>
    <s v="T003BSNA"/>
    <s v="topical_labelled"/>
    <x v="25"/>
    <x v="23"/>
    <x v="17"/>
    <n v="120"/>
    <s v="bag"/>
    <n v="180"/>
    <n v="0"/>
    <n v="0"/>
    <n v="21600"/>
    <m/>
    <x v="4"/>
    <x v="0"/>
    <s v="bath salt SPA 180 gram_topical_labelled"/>
    <n v="13"/>
  </r>
  <r>
    <n v="80"/>
    <n v="0"/>
    <x v="82"/>
    <x v="1"/>
    <s v="P002MF"/>
    <s v="NA"/>
    <s v="P002MFNA"/>
    <s v="driedflower_milled_bulk"/>
    <x v="26"/>
    <x v="24"/>
    <x v="2"/>
    <n v="1"/>
    <s v="pail"/>
    <n v="0"/>
    <n v="4175"/>
    <n v="1765"/>
    <n v="0"/>
    <s v="Tare weight is inaccurate"/>
    <x v="5"/>
    <x v="1"/>
    <s v="Galactic Cake milled flower_driedflower_milled_bulk"/>
    <n v="33"/>
  </r>
  <r>
    <n v="81"/>
    <n v="0"/>
    <x v="83"/>
    <x v="0"/>
    <s v="P003MF"/>
    <s v="NA"/>
    <s v="P003MFNA"/>
    <s v="driedflower_milled_bulk"/>
    <x v="27"/>
    <x v="25"/>
    <x v="18"/>
    <n v="1"/>
    <s v="pail"/>
    <n v="2705"/>
    <n v="4470"/>
    <n v="1765"/>
    <n v="2705"/>
    <m/>
    <x v="6"/>
    <x v="1"/>
    <s v="Grandpa's Stash milled flower_driedflower_milled_bulk"/>
    <n v="55"/>
  </r>
  <r>
    <n v="82"/>
    <n v="0"/>
    <x v="84"/>
    <x v="1"/>
    <s v="P001EX"/>
    <s v="NA"/>
    <s v="P001EXNA"/>
    <s v="extract_ingested_bulk"/>
    <x v="28"/>
    <x v="14"/>
    <x v="19"/>
    <n v="1"/>
    <s v="pail"/>
    <n v="11705"/>
    <n v="13470"/>
    <n v="1765"/>
    <n v="11705"/>
    <m/>
    <x v="6"/>
    <x v="1"/>
    <s v="Bacon CBD Extract_extract_ingested_bulk"/>
    <n v="9"/>
  </r>
  <r>
    <n v="83"/>
    <n v="0"/>
    <x v="85"/>
    <x v="1"/>
    <s v="P002EX"/>
    <s v="NA"/>
    <s v="P002EXNA"/>
    <s v="extract_ingested_bulk"/>
    <x v="28"/>
    <x v="26"/>
    <x v="20"/>
    <n v="1"/>
    <s v="pail"/>
    <n v="19130"/>
    <n v="20895"/>
    <n v="1765"/>
    <n v="19130"/>
    <m/>
    <x v="6"/>
    <x v="1"/>
    <s v="Bacon CBD Extract_extract_ingested_bulk"/>
    <n v="9"/>
  </r>
  <r>
    <n v="88"/>
    <n v="0"/>
    <x v="86"/>
    <x v="0"/>
    <s v="P004MF"/>
    <s v="NA"/>
    <s v="P004MFNA"/>
    <s v="driedflower_milled_bulk"/>
    <x v="29"/>
    <x v="27"/>
    <x v="21"/>
    <n v="1"/>
    <s v="pail"/>
    <n v="1025"/>
    <n v="2790"/>
    <n v="1765"/>
    <n v="1025"/>
    <m/>
    <x v="6"/>
    <x v="1"/>
    <s v="Citrique milled flower_driedflower_milled_bulk"/>
    <n v="27"/>
  </r>
  <r>
    <n v="89"/>
    <n v="0"/>
    <x v="87"/>
    <x v="0"/>
    <s v="P005MF"/>
    <s v="NA"/>
    <s v="P005MFNA"/>
    <s v="driedflower_milled_bulk"/>
    <x v="30"/>
    <x v="28"/>
    <x v="22"/>
    <n v="1"/>
    <s v="pail"/>
    <n v="1860"/>
    <n v="3625"/>
    <n v="1765"/>
    <n v="1860"/>
    <m/>
    <x v="6"/>
    <x v="1"/>
    <s v="Island Pink milled flower_driedflower_milled_bulk"/>
    <n v="68"/>
  </r>
  <r>
    <n v="91"/>
    <n v="0"/>
    <x v="88"/>
    <x v="0"/>
    <s v="P007EX"/>
    <s v="NA"/>
    <s v="P007EXNA"/>
    <s v="extract_ingested_bulk"/>
    <x v="31"/>
    <x v="29"/>
    <x v="23"/>
    <n v="1"/>
    <s v="pail"/>
    <n v="2385"/>
    <n v="4150"/>
    <n v="1765"/>
    <n v="2385"/>
    <m/>
    <x v="6"/>
    <x v="1"/>
    <s v="THC oil_extract_ingested_bulk"/>
    <n v="105"/>
  </r>
  <r>
    <n v="92"/>
    <n v="0"/>
    <x v="89"/>
    <x v="1"/>
    <s v="P008EX"/>
    <s v="NA"/>
    <s v="P008EXNA"/>
    <s v="extract_ingested_bulk"/>
    <x v="32"/>
    <x v="30"/>
    <x v="23"/>
    <n v="1"/>
    <s v="pail"/>
    <n v="2230"/>
    <n v="3995"/>
    <n v="1765"/>
    <n v="2230"/>
    <m/>
    <x v="6"/>
    <x v="1"/>
    <s v="THC CBD balanced 1:1 oil_extract_ingested_bulk"/>
    <n v="103"/>
  </r>
  <r>
    <n v="93"/>
    <n v="0"/>
    <x v="90"/>
    <x v="0"/>
    <s v="P008MF"/>
    <s v="NA"/>
    <s v="P008MFNA"/>
    <s v="driedflower_milled_bulk"/>
    <x v="33"/>
    <x v="31"/>
    <x v="24"/>
    <n v="1"/>
    <s v="pail"/>
    <n v="3770"/>
    <n v="5535"/>
    <n v="1765"/>
    <n v="3770"/>
    <m/>
    <x v="6"/>
    <x v="1"/>
    <s v="Tropicana Cookies milled flower_driedflower_milled_bulk"/>
    <n v="108"/>
  </r>
  <r>
    <n v="94"/>
    <n v="0"/>
    <x v="91"/>
    <x v="0"/>
    <s v="P009MF"/>
    <s v="NA"/>
    <s v="P009MFNA"/>
    <s v="driedflower_milled_bulk"/>
    <x v="27"/>
    <x v="25"/>
    <x v="21"/>
    <n v="1"/>
    <s v="pail"/>
    <n v="1540"/>
    <n v="3305"/>
    <n v="1765"/>
    <n v="1540"/>
    <m/>
    <x v="6"/>
    <x v="1"/>
    <s v="Grandpa's Stash milled flower_driedflower_milled_bulk"/>
    <n v="55"/>
  </r>
  <r>
    <n v="95"/>
    <n v="0"/>
    <x v="92"/>
    <x v="1"/>
    <s v="P001TP"/>
    <s v="NA"/>
    <s v="P001TPNA"/>
    <s v="topical_bulk"/>
    <x v="2"/>
    <x v="32"/>
    <x v="25"/>
    <n v="1"/>
    <s v="pail"/>
    <n v="16820"/>
    <n v="18585"/>
    <n v="1765"/>
    <n v="16820"/>
    <m/>
    <x v="6"/>
    <x v="1"/>
    <s v="Maximum Strength Roll-on_topical_bulk"/>
    <n v="71"/>
  </r>
  <r>
    <n v="96"/>
    <n v="0"/>
    <x v="93"/>
    <x v="0"/>
    <s v="P007MF"/>
    <s v="NA"/>
    <s v="P007MFNA"/>
    <s v="driedflower_milled_bulk"/>
    <x v="11"/>
    <x v="33"/>
    <x v="26"/>
    <n v="1"/>
    <s v="pail"/>
    <n v="3360"/>
    <n v="5125"/>
    <n v="1765"/>
    <n v="3360"/>
    <m/>
    <x v="6"/>
    <x v="1"/>
    <s v="Gelato milled flower_driedflower_milled_bulk"/>
    <n v="41"/>
  </r>
  <r>
    <n v="98"/>
    <n v="0"/>
    <x v="94"/>
    <x v="0"/>
    <s v="P011MF"/>
    <s v="NA"/>
    <s v="P011MFNA"/>
    <s v="driedflower_milled_bulk"/>
    <x v="34"/>
    <x v="34"/>
    <x v="2"/>
    <n v="1"/>
    <s v="pail"/>
    <n v="1665"/>
    <n v="3430"/>
    <n v="1765"/>
    <n v="1665"/>
    <m/>
    <x v="7"/>
    <x v="1"/>
    <s v="Chronic Mint milled flower_driedflower_milled_bulk"/>
    <n v="23"/>
  </r>
  <r>
    <n v="100"/>
    <n v="0"/>
    <x v="95"/>
    <x v="0"/>
    <s v="P013MF"/>
    <s v="NA"/>
    <s v="P013MFNA"/>
    <s v="driedflower_milled_bulk"/>
    <x v="26"/>
    <x v="35"/>
    <x v="2"/>
    <n v="1"/>
    <s v="pail"/>
    <n v="815"/>
    <n v="2580"/>
    <n v="1765"/>
    <n v="815"/>
    <m/>
    <x v="7"/>
    <x v="1"/>
    <s v="Galactic Cake milled flower_driedflower_milled_bulk"/>
    <n v="33"/>
  </r>
  <r>
    <n v="101"/>
    <n v="0"/>
    <x v="96"/>
    <x v="0"/>
    <s v="P014MF"/>
    <s v="NA"/>
    <s v="P014MFNA"/>
    <s v="driedflower_milled_bulk"/>
    <x v="27"/>
    <x v="25"/>
    <x v="18"/>
    <n v="1"/>
    <s v="pail"/>
    <n v="2595"/>
    <n v="4360"/>
    <n v="1765"/>
    <n v="2595"/>
    <m/>
    <x v="7"/>
    <x v="1"/>
    <s v="Grandpa's Stash milled flower_driedflower_milled_bulk"/>
    <n v="55"/>
  </r>
  <r>
    <n v="102"/>
    <n v="0"/>
    <x v="97"/>
    <x v="0"/>
    <s v="P015MF"/>
    <s v="NA"/>
    <s v="P015MFNA"/>
    <s v="driedflower_milled_bulk"/>
    <x v="35"/>
    <x v="36"/>
    <x v="27"/>
    <n v="1"/>
    <s v="pail"/>
    <n v="2935"/>
    <n v="4700"/>
    <n v="1765"/>
    <n v="2935"/>
    <m/>
    <x v="7"/>
    <x v="1"/>
    <s v="Lollipop milled flower_driedflower_milled_bulk"/>
    <n v="70"/>
  </r>
  <r>
    <n v="103"/>
    <n v="0"/>
    <x v="98"/>
    <x v="0"/>
    <s v="P016MF"/>
    <s v="NA"/>
    <s v="P016MFNA"/>
    <s v="driedflower_milled_bulk"/>
    <x v="33"/>
    <x v="31"/>
    <x v="2"/>
    <n v="1"/>
    <s v="pail"/>
    <n v="685"/>
    <n v="2450"/>
    <n v="1765"/>
    <n v="685"/>
    <m/>
    <x v="7"/>
    <x v="1"/>
    <s v="Tropicana Cookies milled flower_driedflower_milled_bulk"/>
    <n v="108"/>
  </r>
  <r>
    <n v="110"/>
    <n v="0"/>
    <x v="99"/>
    <x v="0"/>
    <s v="T005PR"/>
    <s v="NA"/>
    <s v="T005PRNA"/>
    <s v="preroll_packaged"/>
    <x v="36"/>
    <x v="37"/>
    <x v="2"/>
    <n v="700"/>
    <s v="unit"/>
    <n v="1.5"/>
    <n v="0"/>
    <n v="0"/>
    <n v="1050"/>
    <m/>
    <x v="8"/>
    <x v="0"/>
    <s v="Galactic Cake preroll 3 x 0.5g_preroll_packaged"/>
    <n v="115"/>
  </r>
  <r>
    <n v="111"/>
    <n v="0"/>
    <x v="100"/>
    <x v="0"/>
    <s v="T006PR"/>
    <s v="NA"/>
    <s v="T006PRNA"/>
    <s v="preroll_labelled"/>
    <x v="37"/>
    <x v="38"/>
    <x v="28"/>
    <n v="213"/>
    <s v="unit"/>
    <n v="1"/>
    <n v="0"/>
    <n v="0"/>
    <n v="213"/>
    <m/>
    <x v="8"/>
    <x v="0"/>
    <s v="Galactic Cake preroll 1 x 1g_preroll_labelled"/>
    <n v="34"/>
  </r>
  <r>
    <n v="112"/>
    <n v="0"/>
    <x v="101"/>
    <x v="0"/>
    <s v="T003PR"/>
    <s v="B001PR"/>
    <s v="T003PRB001PR"/>
    <s v="preroll_labelled"/>
    <x v="36"/>
    <x v="39"/>
    <x v="28"/>
    <n v="5"/>
    <s v="unit"/>
    <n v="1.5"/>
    <n v="0"/>
    <n v="0"/>
    <n v="7.5"/>
    <m/>
    <x v="8"/>
    <x v="0"/>
    <s v="Galactic Cake preroll 3 x 0.5g_preroll_labelled"/>
    <n v="36"/>
  </r>
  <r>
    <n v="113"/>
    <n v="0"/>
    <x v="102"/>
    <x v="0"/>
    <s v="T007PR"/>
    <s v="NA"/>
    <s v="T007PRNA"/>
    <s v="preroll_labelled"/>
    <x v="38"/>
    <x v="40"/>
    <x v="9"/>
    <n v="134"/>
    <s v="unit"/>
    <n v="1.5"/>
    <n v="0"/>
    <n v="0"/>
    <n v="201"/>
    <m/>
    <x v="8"/>
    <x v="0"/>
    <s v="Chronic Mint preroll 3 x 0.5g_preroll_labelled"/>
    <n v="26"/>
  </r>
  <r>
    <n v="117"/>
    <n v="0"/>
    <x v="103"/>
    <x v="0"/>
    <s v="T011PR"/>
    <s v="NA"/>
    <s v="T011PRNA"/>
    <s v="preroll_bulk"/>
    <x v="39"/>
    <x v="41"/>
    <x v="29"/>
    <n v="537"/>
    <s v="unit"/>
    <n v="1"/>
    <n v="0"/>
    <n v="0"/>
    <n v="537"/>
    <m/>
    <x v="8"/>
    <x v="0"/>
    <s v="Grease Monkey preroll 1g_preroll_bulk"/>
    <n v="58"/>
  </r>
  <r>
    <n v="118"/>
    <n v="0"/>
    <x v="104"/>
    <x v="0"/>
    <s v="T012PR"/>
    <s v="NA"/>
    <s v="T012PRNA"/>
    <s v="preroll_labelled"/>
    <x v="40"/>
    <x v="41"/>
    <x v="30"/>
    <n v="206"/>
    <s v="unit"/>
    <n v="1"/>
    <n v="0"/>
    <n v="0"/>
    <n v="206"/>
    <m/>
    <x v="8"/>
    <x v="0"/>
    <s v="Grease Monkey preroll 1 x 1g_preroll_labelled"/>
    <n v="57"/>
  </r>
  <r>
    <n v="120"/>
    <n v="0"/>
    <x v="105"/>
    <x v="0"/>
    <s v="T015PR"/>
    <s v="NA"/>
    <s v="T015PRNA"/>
    <s v="preroll_bulk"/>
    <x v="41"/>
    <x v="38"/>
    <x v="29"/>
    <n v="1545"/>
    <s v="unit"/>
    <n v="1"/>
    <n v="0"/>
    <n v="0"/>
    <n v="1545"/>
    <m/>
    <x v="8"/>
    <x v="0"/>
    <s v="Galactic Cake preroll 1g_preroll_bulk"/>
    <n v="35"/>
  </r>
  <r>
    <n v="123"/>
    <n v="0"/>
    <x v="106"/>
    <x v="0"/>
    <s v="T016PR"/>
    <s v="NA"/>
    <s v="T016PRNA"/>
    <s v="preroll_bulk"/>
    <x v="42"/>
    <x v="42"/>
    <x v="2"/>
    <n v="534"/>
    <s v="unit"/>
    <n v="1"/>
    <n v="0"/>
    <n v="0"/>
    <n v="534"/>
    <m/>
    <x v="9"/>
    <x v="0"/>
    <s v="Gelato preroll 1g_preroll_bulk"/>
    <n v="45"/>
  </r>
  <r>
    <n v="125"/>
    <n v="0"/>
    <x v="107"/>
    <x v="0"/>
    <s v="T018PR"/>
    <s v="NA"/>
    <s v="T018PRNA"/>
    <s v="preroll_labelled"/>
    <x v="43"/>
    <x v="43"/>
    <x v="31"/>
    <n v="34"/>
    <s v="unit"/>
    <n v="1"/>
    <n v="0"/>
    <n v="0"/>
    <n v="34"/>
    <m/>
    <x v="9"/>
    <x v="0"/>
    <s v="Gelato preroll 3 x 0.5g_preroll_labelled"/>
    <n v="46"/>
  </r>
  <r>
    <n v="127"/>
    <n v="0"/>
    <x v="108"/>
    <x v="0"/>
    <s v="T019PR"/>
    <s v="NA"/>
    <s v="T019PRNA"/>
    <s v="preroll_bulk"/>
    <x v="44"/>
    <x v="44"/>
    <x v="32"/>
    <n v="2659"/>
    <s v="unit"/>
    <n v="0.01"/>
    <n v="0"/>
    <n v="0"/>
    <n v="26.59"/>
    <s v="67 damaged; unknown individual weight"/>
    <x v="9"/>
    <x v="0"/>
    <s v="Gelato preroll _preroll_bulk"/>
    <n v="137"/>
  </r>
  <r>
    <n v="128"/>
    <n v="0"/>
    <x v="109"/>
    <x v="0"/>
    <s v="T019PR"/>
    <s v="NA"/>
    <s v="T019PRNA"/>
    <s v="preroll_bulk"/>
    <x v="45"/>
    <x v="45"/>
    <x v="33"/>
    <n v="377"/>
    <s v="unit"/>
    <n v="0.5"/>
    <n v="0"/>
    <n v="0"/>
    <n v="188.5"/>
    <m/>
    <x v="9"/>
    <x v="0"/>
    <s v="Gelato preroll 0.5g_preroll_bulk"/>
    <n v="43"/>
  </r>
  <r>
    <n v="129"/>
    <n v="0"/>
    <x v="110"/>
    <x v="0"/>
    <s v="T019PR"/>
    <s v="NA"/>
    <s v="T019PRNA"/>
    <s v="preroll_bulk"/>
    <x v="44"/>
    <x v="46"/>
    <x v="32"/>
    <n v="46"/>
    <s v="unit"/>
    <n v="0.01"/>
    <n v="0"/>
    <n v="0"/>
    <n v="0.46"/>
    <s v="unknown individual weight"/>
    <x v="9"/>
    <x v="0"/>
    <s v="Gelato preroll _preroll_bulk"/>
    <n v="137"/>
  </r>
  <r>
    <n v="130"/>
    <n v="0"/>
    <x v="111"/>
    <x v="0"/>
    <s v="T020PR"/>
    <s v="NA"/>
    <s v="T020PRNA"/>
    <s v="preroll_bulk"/>
    <x v="46"/>
    <x v="47"/>
    <x v="34"/>
    <n v="1252"/>
    <s v="unit"/>
    <n v="0.35"/>
    <n v="0"/>
    <n v="0"/>
    <n v="438.2"/>
    <m/>
    <x v="9"/>
    <x v="0"/>
    <s v="Diamond infused preroll 0.35g_preroll_bulk"/>
    <n v="29"/>
  </r>
  <r>
    <n v="131"/>
    <n v="0"/>
    <x v="112"/>
    <x v="0"/>
    <s v="T021PR"/>
    <s v="NA"/>
    <s v="T021PRNA"/>
    <s v="preroll_labelled"/>
    <x v="47"/>
    <x v="48"/>
    <x v="31"/>
    <n v="268"/>
    <s v="unit"/>
    <n v="1.5"/>
    <n v="0"/>
    <n v="0"/>
    <n v="402"/>
    <m/>
    <x v="9"/>
    <x v="0"/>
    <s v="Infused preroll 3 x 0.5g_preroll_labelled"/>
    <n v="66"/>
  </r>
  <r>
    <n v="132"/>
    <n v="0"/>
    <x v="113"/>
    <x v="0"/>
    <s v="T021PR"/>
    <s v="NA"/>
    <s v="T021PRNA"/>
    <s v="preroll_bulk"/>
    <x v="48"/>
    <x v="49"/>
    <x v="35"/>
    <n v="778"/>
    <s v="unit"/>
    <n v="0.5"/>
    <n v="0"/>
    <n v="0"/>
    <n v="389"/>
    <m/>
    <x v="9"/>
    <x v="0"/>
    <s v="Diamond infused preroll 0.5g_preroll_bulk"/>
    <n v="30"/>
  </r>
  <r>
    <n v="133"/>
    <n v="0"/>
    <x v="114"/>
    <x v="0"/>
    <s v="T021PR"/>
    <s v="NA"/>
    <s v="T021PRNA"/>
    <s v="preroll_labelled"/>
    <x v="49"/>
    <x v="50"/>
    <x v="36"/>
    <n v="3"/>
    <s v="unit"/>
    <n v="1"/>
    <n v="0"/>
    <n v="0"/>
    <n v="3"/>
    <m/>
    <x v="9"/>
    <x v="0"/>
    <s v="Infused preroll 1 x 1g_preroll_labelled"/>
    <n v="65"/>
  </r>
  <r>
    <n v="134"/>
    <n v="0"/>
    <x v="115"/>
    <x v="0"/>
    <s v="T022PR"/>
    <s v="NA"/>
    <s v="T022PRNA"/>
    <s v="preroll_bulk"/>
    <x v="50"/>
    <x v="51"/>
    <x v="2"/>
    <n v="1625"/>
    <s v="unit"/>
    <n v="1"/>
    <n v="0"/>
    <n v="0"/>
    <n v="1625"/>
    <m/>
    <x v="9"/>
    <x v="0"/>
    <s v="Infused preroll 1g_preroll_bulk"/>
    <n v="120"/>
  </r>
  <r>
    <n v="135"/>
    <n v="0"/>
    <x v="116"/>
    <x v="0"/>
    <s v="T022PR"/>
    <s v="NA"/>
    <s v="T022PRNA"/>
    <s v="preroll_bulk"/>
    <x v="51"/>
    <x v="49"/>
    <x v="2"/>
    <n v="104"/>
    <s v="unit"/>
    <n v="0.01"/>
    <n v="0"/>
    <n v="0"/>
    <n v="1.04"/>
    <s v="unknown individual weight"/>
    <x v="9"/>
    <x v="0"/>
    <s v="Infused preroll_preroll_bulk"/>
    <n v="64"/>
  </r>
  <r>
    <n v="136"/>
    <n v="0"/>
    <x v="117"/>
    <x v="0"/>
    <s v="T023PR"/>
    <s v="NA"/>
    <s v="T023PRNA"/>
    <s v="preroll_bulk"/>
    <x v="52"/>
    <x v="25"/>
    <x v="2"/>
    <n v="398"/>
    <s v="unit"/>
    <n v="1"/>
    <n v="0"/>
    <n v="0"/>
    <n v="398"/>
    <m/>
    <x v="9"/>
    <x v="0"/>
    <s v="Grandpa Stash preroll 1g_preroll_bulk"/>
    <n v="53"/>
  </r>
  <r>
    <n v="138"/>
    <n v="0"/>
    <x v="118"/>
    <x v="1"/>
    <s v="T024PR"/>
    <s v="NA"/>
    <s v="T024PRNA"/>
    <s v="preroll_bulk"/>
    <x v="53"/>
    <x v="52"/>
    <x v="2"/>
    <n v="221"/>
    <s v="unit"/>
    <n v="1"/>
    <n v="0"/>
    <n v="0"/>
    <n v="221"/>
    <m/>
    <x v="9"/>
    <x v="0"/>
    <s v="Gorilla Bomb preroll 1g_preroll_bulk"/>
    <n v="51"/>
  </r>
  <r>
    <n v="140"/>
    <n v="0"/>
    <x v="119"/>
    <x v="0"/>
    <s v="T025PR"/>
    <s v="NA"/>
    <s v="T025PRNA"/>
    <s v="preroll_bulk"/>
    <x v="54"/>
    <x v="12"/>
    <x v="2"/>
    <n v="185"/>
    <s v="unit"/>
    <n v="1"/>
    <n v="0"/>
    <n v="0"/>
    <n v="185"/>
    <m/>
    <x v="9"/>
    <x v="0"/>
    <s v="Gorilla Bomb preroll 0.5g_preroll_bulk"/>
    <n v="49"/>
  </r>
  <r>
    <n v="41"/>
    <n v="0"/>
    <x v="120"/>
    <x v="0"/>
    <s v="T009DF"/>
    <s v="B024DF"/>
    <s v="T009DFB024DF"/>
    <s v="driedflower_bulk"/>
    <x v="21"/>
    <x v="20"/>
    <x v="14"/>
    <n v="1"/>
    <s v="bag"/>
    <n v="678"/>
    <n v="711.1"/>
    <n v="38"/>
    <n v="678"/>
    <m/>
    <x v="10"/>
    <x v="1"/>
    <s v="Chronic Mint dried flower_driedflower_bulk"/>
    <n v="22"/>
  </r>
  <r>
    <n v="71"/>
    <n v="0"/>
    <x v="121"/>
    <x v="0"/>
    <s v="T008DF"/>
    <s v="B054DF"/>
    <s v="T008DFB054DF"/>
    <s v="driedflower_bulk"/>
    <x v="22"/>
    <x v="8"/>
    <x v="16"/>
    <n v="1"/>
    <s v="bag"/>
    <n v="565.6"/>
    <n v="603.6"/>
    <n v="38"/>
    <n v="565.6"/>
    <m/>
    <x v="10"/>
    <x v="1"/>
    <s v="Gelato dried flower_driedflower_bulk"/>
    <n v="37"/>
  </r>
  <r>
    <n v="76"/>
    <n v="0"/>
    <x v="122"/>
    <x v="1"/>
    <s v="T001TP"/>
    <s v="NA"/>
    <s v="T001TPNA"/>
    <s v="topical_labelled"/>
    <x v="55"/>
    <x v="32"/>
    <x v="25"/>
    <n v="0"/>
    <s v="unit"/>
    <n v="88"/>
    <n v="0"/>
    <n v="0"/>
    <n v="0"/>
    <m/>
    <x v="10"/>
    <x v="0"/>
    <s v="Maximum Strength Roll-on 88g_topical_labelled"/>
    <n v="72"/>
  </r>
  <r>
    <n v="87"/>
    <n v="0"/>
    <x v="123"/>
    <x v="1"/>
    <s v="P006EX"/>
    <s v="NA"/>
    <s v="P006EXNA"/>
    <s v="extract_ingested_bulk"/>
    <x v="56"/>
    <x v="14"/>
    <x v="37"/>
    <n v="0"/>
    <s v="pail"/>
    <n v="15770"/>
    <n v="16015"/>
    <n v="245"/>
    <n v="0"/>
    <m/>
    <x v="10"/>
    <x v="1"/>
    <s v="Pot Shot Tropical Fruits_extract_ingested_bulk"/>
    <n v="98"/>
  </r>
  <r>
    <n v="126"/>
    <n v="0"/>
    <x v="124"/>
    <x v="0"/>
    <s v="T018PR"/>
    <s v="NA"/>
    <s v="T018PRNA"/>
    <s v="preroll_labelled"/>
    <x v="43"/>
    <x v="53"/>
    <x v="38"/>
    <n v="34"/>
    <s v="unit"/>
    <n v="1"/>
    <n v="0"/>
    <n v="0"/>
    <n v="34"/>
    <m/>
    <x v="10"/>
    <x v="0"/>
    <s v="Gelato preroll 3 x 0.5g_preroll_labelled"/>
    <n v="46"/>
  </r>
  <r>
    <n v="141"/>
    <n v="0"/>
    <x v="125"/>
    <x v="1"/>
    <s v="T026PR"/>
    <s v="NA"/>
    <s v="T026PRNA"/>
    <s v="preroll_bulk"/>
    <x v="57"/>
    <x v="54"/>
    <x v="2"/>
    <n v="1354"/>
    <s v="unit"/>
    <n v="0.35"/>
    <n v="0"/>
    <n v="0"/>
    <n v="473.9"/>
    <m/>
    <x v="10"/>
    <x v="0"/>
    <s v="Gelato Preroll 0.35g_preroll_bulk"/>
    <n v="42"/>
  </r>
  <r>
    <n v="142"/>
    <n v="0"/>
    <x v="126"/>
    <x v="0"/>
    <s v="T027PR"/>
    <s v="NA"/>
    <s v="T027PRNA"/>
    <s v="preroll_bulk"/>
    <x v="58"/>
    <x v="31"/>
    <x v="2"/>
    <n v="2268"/>
    <s v="unit"/>
    <n v="0.5"/>
    <n v="0"/>
    <n v="0"/>
    <n v="1134"/>
    <m/>
    <x v="10"/>
    <x v="0"/>
    <s v="Tropicana Cookies preroll 0.5g_preroll_bulk"/>
    <n v="110"/>
  </r>
  <r>
    <n v="144"/>
    <n v="0"/>
    <x v="127"/>
    <x v="0"/>
    <s v="T029PR"/>
    <s v="NA"/>
    <s v="T029PRNA"/>
    <s v="preroll_labelled"/>
    <x v="59"/>
    <x v="55"/>
    <x v="39"/>
    <n v="156"/>
    <s v="unit"/>
    <n v="1.5"/>
    <n v="0"/>
    <n v="0"/>
    <n v="234"/>
    <s v="white tube"/>
    <x v="10"/>
    <x v="0"/>
    <s v="Grease Monkey preroll 3 x 0.5g_preroll_labelled"/>
    <n v="59"/>
  </r>
  <r>
    <n v="105"/>
    <n v="0"/>
    <x v="128"/>
    <x v="1"/>
    <s v="T001EX"/>
    <s v="NA"/>
    <s v="T001EXNA"/>
    <s v="extract_ingested_labelled"/>
    <x v="60"/>
    <x v="56"/>
    <x v="40"/>
    <n v="136"/>
    <s v="unit"/>
    <n v="27.6"/>
    <n v="0"/>
    <n v="0"/>
    <n v="3753.6000000000004"/>
    <m/>
    <x v="11"/>
    <x v="0"/>
    <s v="Bacon CBD Extract 27.6g_extract_ingested_labelled"/>
    <n v="10"/>
  </r>
  <r>
    <n v="107"/>
    <n v="0"/>
    <x v="129"/>
    <x v="0"/>
    <s v="T002PR"/>
    <s v="NA"/>
    <s v="T002PRNA"/>
    <s v="preroll_packaged"/>
    <x v="37"/>
    <x v="57"/>
    <x v="2"/>
    <n v="156"/>
    <s v="unit"/>
    <n v="1"/>
    <n v="0"/>
    <n v="0"/>
    <n v="156"/>
    <m/>
    <x v="11"/>
    <x v="0"/>
    <s v="Galactic Cake preroll 1 x 1g_preroll_packaged"/>
    <n v="114"/>
  </r>
  <r>
    <n v="146"/>
    <n v="0"/>
    <x v="130"/>
    <x v="0"/>
    <s v="T030PR"/>
    <s v="NA"/>
    <s v="T030PRNA"/>
    <s v="preroll_labelled"/>
    <x v="61"/>
    <x v="58"/>
    <x v="41"/>
    <n v="160"/>
    <s v="unit"/>
    <n v="1.5"/>
    <n v="0"/>
    <n v="0"/>
    <n v="240"/>
    <m/>
    <x v="11"/>
    <x v="0"/>
    <s v="November Rain Watermelon preroll 3 x 0.5g_preroll_labelled"/>
    <n v="92"/>
  </r>
  <r>
    <n v="150"/>
    <n v="0"/>
    <x v="131"/>
    <x v="0"/>
    <s v="RACK_B"/>
    <s v="GRID_2"/>
    <s v="RACK_BGRID_2"/>
    <s v="preroll_labelled"/>
    <x v="59"/>
    <x v="55"/>
    <x v="42"/>
    <n v="228"/>
    <s v="unit"/>
    <n v="1.5"/>
    <n v="0"/>
    <n v="0"/>
    <n v="342"/>
    <m/>
    <x v="11"/>
    <x v="0"/>
    <s v="Grease Monkey preroll 3 x 0.5g_preroll_labelled"/>
    <n v="59"/>
  </r>
  <r>
    <n v="151"/>
    <n v="0"/>
    <x v="132"/>
    <x v="0"/>
    <s v="RACK_B"/>
    <s v="GRID_2"/>
    <s v="RACK_BGRID_2"/>
    <s v="preroll_packaged"/>
    <x v="59"/>
    <x v="55"/>
    <x v="2"/>
    <n v="230"/>
    <s v="unit"/>
    <n v="1.5"/>
    <n v="0"/>
    <n v="0"/>
    <n v="345"/>
    <m/>
    <x v="11"/>
    <x v="0"/>
    <s v="Grease Monkey preroll 3 x 0.5g_preroll_packaged"/>
    <n v="119"/>
  </r>
  <r>
    <n v="154"/>
    <n v="0"/>
    <x v="133"/>
    <x v="0"/>
    <s v="T035PR"/>
    <s v="B003PR"/>
    <s v="T035PRB003PR"/>
    <s v="preroll_bulk"/>
    <x v="62"/>
    <x v="59"/>
    <x v="2"/>
    <n v="268"/>
    <s v="unit"/>
    <n v="0.5"/>
    <n v="0"/>
    <n v="0"/>
    <n v="134"/>
    <m/>
    <x v="11"/>
    <x v="0"/>
    <s v="November Rain Lemon Ice Tea preroll 0.5g_preroll_bulk"/>
    <n v="62"/>
  </r>
  <r>
    <n v="157"/>
    <n v="0"/>
    <x v="134"/>
    <x v="1"/>
    <s v="T003EX"/>
    <s v="NA"/>
    <s v="T003EXNA"/>
    <s v="extract_ingested_labelled"/>
    <x v="63"/>
    <x v="60"/>
    <x v="43"/>
    <n v="24"/>
    <s v="bottles"/>
    <n v="27.3"/>
    <n v="0"/>
    <n v="0"/>
    <n v="655.20000000000005"/>
    <m/>
    <x v="11"/>
    <x v="0"/>
    <s v="Bacon CBD extract 27.3g_extract_ingested_labelled"/>
    <n v="138"/>
  </r>
  <r>
    <n v="158"/>
    <n v="0"/>
    <x v="135"/>
    <x v="0"/>
    <s v="T004EX"/>
    <s v="NA"/>
    <s v="T004EXNA"/>
    <s v="extract_ingested_labelled"/>
    <x v="64"/>
    <x v="61"/>
    <x v="44"/>
    <n v="20"/>
    <s v="bottles"/>
    <n v="54.8"/>
    <n v="0"/>
    <n v="0"/>
    <n v="1096"/>
    <m/>
    <x v="11"/>
    <x v="0"/>
    <s v="Bacon CBD extract 54.8g_extract_ingested_labelled"/>
    <n v="12"/>
  </r>
  <r>
    <n v="159"/>
    <n v="0"/>
    <x v="136"/>
    <x v="1"/>
    <s v="T030PR"/>
    <s v="B004PR"/>
    <s v="T030PRB004PR"/>
    <s v="preroll_bulk"/>
    <x v="65"/>
    <x v="62"/>
    <x v="2"/>
    <n v="242"/>
    <s v="unit"/>
    <n v="0.5"/>
    <n v="0"/>
    <n v="0"/>
    <n v="121"/>
    <m/>
    <x v="11"/>
    <x v="0"/>
    <s v="Watermelon preroll 0.5g_preroll_bulk"/>
    <n v="112"/>
  </r>
  <r>
    <n v="160"/>
    <n v="0"/>
    <x v="137"/>
    <x v="1"/>
    <s v="T030PR"/>
    <s v="B005PR"/>
    <s v="T030PRB005PR"/>
    <s v="preroll_bulk"/>
    <x v="65"/>
    <x v="62"/>
    <x v="2"/>
    <n v="221"/>
    <s v="unit"/>
    <n v="0.5"/>
    <n v="0"/>
    <n v="0"/>
    <n v="110.5"/>
    <m/>
    <x v="11"/>
    <x v="0"/>
    <s v="Watermelon preroll 0.5g_preroll_bulk"/>
    <n v="112"/>
  </r>
  <r>
    <n v="161"/>
    <n v="0"/>
    <x v="138"/>
    <x v="1"/>
    <s v="T030PR"/>
    <s v="B006PR"/>
    <s v="T030PRB006PR"/>
    <s v="preroll_bulk"/>
    <x v="65"/>
    <x v="62"/>
    <x v="2"/>
    <n v="242"/>
    <s v="unit"/>
    <n v="0.5"/>
    <n v="0"/>
    <n v="0"/>
    <n v="121"/>
    <m/>
    <x v="11"/>
    <x v="0"/>
    <s v="Watermelon preroll 0.5g_preroll_bulk"/>
    <n v="112"/>
  </r>
  <r>
    <n v="153"/>
    <n v="0"/>
    <x v="139"/>
    <x v="0"/>
    <s v="T002EX"/>
    <s v="NA"/>
    <s v="T002EXNA"/>
    <s v="extract_ingested_labelled"/>
    <x v="63"/>
    <x v="63"/>
    <x v="44"/>
    <n v="26"/>
    <s v="bottles"/>
    <n v="27.3"/>
    <n v="0"/>
    <n v="0"/>
    <n v="709.80000000000007"/>
    <m/>
    <x v="12"/>
    <x v="0"/>
    <s v="Bacon CBD extract 27.3g_extract_ingested_labelled"/>
    <n v="138"/>
  </r>
  <r>
    <n v="78"/>
    <n v="0"/>
    <x v="140"/>
    <x v="1"/>
    <s v="T003TP"/>
    <s v="NA"/>
    <s v="T003TPNA"/>
    <s v="topical_labelled"/>
    <x v="66"/>
    <x v="64"/>
    <x v="45"/>
    <n v="57"/>
    <s v="unit"/>
    <n v="88"/>
    <n v="0"/>
    <n v="0"/>
    <n v="5016"/>
    <m/>
    <x v="13"/>
    <x v="0"/>
    <s v="Extra Strength Roll-on 88g_topical_labelled"/>
    <n v="31"/>
  </r>
  <r>
    <n v="79"/>
    <n v="0"/>
    <x v="141"/>
    <x v="0"/>
    <s v="P001MF"/>
    <s v="NA"/>
    <s v="P001MFNA"/>
    <s v="driedflower_milled_bulk"/>
    <x v="26"/>
    <x v="24"/>
    <x v="2"/>
    <n v="1"/>
    <s v="pail"/>
    <n v="1600"/>
    <n v="3365"/>
    <n v="1765"/>
    <n v="1600"/>
    <m/>
    <x v="13"/>
    <x v="1"/>
    <s v="Galactic Cake milled flower_driedflower_milled_bulk"/>
    <n v="33"/>
  </r>
  <r>
    <n v="86"/>
    <n v="0"/>
    <x v="142"/>
    <x v="1"/>
    <s v="P005EX"/>
    <s v="NA"/>
    <s v="P005EXNA"/>
    <s v="extract_ingested_bulk"/>
    <x v="56"/>
    <x v="14"/>
    <x v="37"/>
    <n v="1"/>
    <s v="pail"/>
    <n v="14380"/>
    <n v="16130"/>
    <n v="1750"/>
    <n v="14380"/>
    <s v="finished on 2024-08-21"/>
    <x v="14"/>
    <x v="1"/>
    <s v="Pot Shot Tropical Fruits_extract_ingested_bulk"/>
    <n v="98"/>
  </r>
  <r>
    <n v="162"/>
    <n v="0"/>
    <x v="143"/>
    <x v="1"/>
    <s v="P009EX"/>
    <s v="NA"/>
    <s v="P009EXNA"/>
    <s v="extract_ingested_bulk"/>
    <x v="56"/>
    <x v="14"/>
    <x v="2"/>
    <n v="1"/>
    <s v="pail"/>
    <n v="16805"/>
    <n v="18555"/>
    <n v="1750"/>
    <n v="16805"/>
    <s v="finished on 2024-08-21"/>
    <x v="15"/>
    <x v="1"/>
    <s v="Pot Shot Tropical Fruits_extract_ingested_bulk"/>
    <n v="98"/>
  </r>
  <r>
    <n v="165"/>
    <n v="0"/>
    <x v="144"/>
    <x v="1"/>
    <s v="B003EX"/>
    <s v="NA"/>
    <s v="B003EXNA"/>
    <s v="extract_ingested_cased_BC"/>
    <x v="67"/>
    <x v="65"/>
    <x v="46"/>
    <n v="4"/>
    <s v="unit"/>
    <n v="50"/>
    <n v="0"/>
    <n v="0"/>
    <n v="200"/>
    <m/>
    <x v="16"/>
    <x v="0"/>
    <s v="Pot Shot Citrus 151mg_extract_ingested_cased_BC"/>
    <n v="181"/>
  </r>
  <r>
    <n v="166"/>
    <n v="0"/>
    <x v="145"/>
    <x v="1"/>
    <s v="B004EX"/>
    <s v="NA"/>
    <s v="B004EXNA"/>
    <s v="extract_ingested_labelled"/>
    <x v="67"/>
    <x v="66"/>
    <x v="46"/>
    <n v="253"/>
    <s v="unit"/>
    <n v="50"/>
    <n v="0"/>
    <n v="0"/>
    <n v="12650"/>
    <m/>
    <x v="17"/>
    <x v="0"/>
    <s v="Pot Shot Citrus 151mg_extract_ingested_labelled"/>
    <n v="97"/>
  </r>
  <r>
    <n v="167"/>
    <n v="0"/>
    <x v="146"/>
    <x v="0"/>
    <s v="T037PR"/>
    <s v="NA"/>
    <s v="T037PRNA"/>
    <s v="preroll_bulk"/>
    <x v="68"/>
    <x v="31"/>
    <x v="2"/>
    <n v="1091"/>
    <s v="unit"/>
    <n v="0.01"/>
    <n v="0"/>
    <n v="0"/>
    <n v="10.91"/>
    <s v="unknown individual weight"/>
    <x v="18"/>
    <x v="0"/>
    <s v="Tropicana cookies preroll _preroll_bulk"/>
    <n v="109"/>
  </r>
  <r>
    <n v="168"/>
    <n v="0"/>
    <x v="147"/>
    <x v="0"/>
    <s v="T037PR"/>
    <s v="NA"/>
    <s v="T037PRNA"/>
    <s v="preroll_bulk"/>
    <x v="68"/>
    <x v="67"/>
    <x v="2"/>
    <n v="652"/>
    <s v="unit"/>
    <n v="0.01"/>
    <n v="0"/>
    <n v="0"/>
    <n v="6.5200000000000005"/>
    <s v="unknown individual weight"/>
    <x v="19"/>
    <x v="0"/>
    <s v="Tropicana cookies preroll _preroll_bulk"/>
    <n v="109"/>
  </r>
  <r>
    <n v="169"/>
    <n v="0"/>
    <x v="148"/>
    <x v="0"/>
    <s v="T038PR"/>
    <s v="NA"/>
    <s v="T038PRNA"/>
    <s v="preroll_labelled"/>
    <x v="69"/>
    <x v="68"/>
    <x v="28"/>
    <n v="179"/>
    <s v="unit"/>
    <n v="1.5"/>
    <n v="0"/>
    <n v="0"/>
    <n v="268.5"/>
    <m/>
    <x v="20"/>
    <x v="0"/>
    <s v="Tropicana cookies preroll 3 x 0.5g_preroll_labelled"/>
    <n v="111"/>
  </r>
  <r>
    <n v="148"/>
    <n v="0"/>
    <x v="149"/>
    <x v="1"/>
    <s v="T031PR"/>
    <s v="NA"/>
    <s v="T031PRNA"/>
    <s v="preroll_labelled"/>
    <x v="70"/>
    <x v="69"/>
    <x v="47"/>
    <n v="68"/>
    <s v="unit"/>
    <n v="1.5"/>
    <n v="0"/>
    <n v="0"/>
    <n v="102"/>
    <m/>
    <x v="21"/>
    <x v="0"/>
    <s v="November Rain Rose preroll 3 x 0.5g_preroll_labelled"/>
    <n v="79"/>
  </r>
  <r>
    <n v="183"/>
    <n v="0"/>
    <x v="150"/>
    <x v="1"/>
    <s v="P002DF"/>
    <s v="NA"/>
    <s v="P002DFNA"/>
    <s v="driedflower_bulk"/>
    <x v="23"/>
    <x v="70"/>
    <x v="2"/>
    <n v="1"/>
    <s v="pail"/>
    <n v="1498"/>
    <n v="3355"/>
    <n v="1857"/>
    <n v="1498"/>
    <m/>
    <x v="22"/>
    <x v="1"/>
    <s v="Galactic Cake dried flower_driedflower_bulk"/>
    <n v="32"/>
  </r>
  <r>
    <n v="170"/>
    <n v="0"/>
    <x v="151"/>
    <x v="1"/>
    <s v="T031PR"/>
    <s v="NA"/>
    <s v="T031PRNA"/>
    <s v="preroll_labelled"/>
    <x v="70"/>
    <x v="71"/>
    <x v="48"/>
    <n v="12"/>
    <s v="unit"/>
    <n v="1.5"/>
    <n v="0"/>
    <n v="0"/>
    <n v="18"/>
    <m/>
    <x v="23"/>
    <x v="0"/>
    <s v="November Rain Rose preroll 3 x 0.5g_preroll_labelled"/>
    <n v="79"/>
  </r>
  <r>
    <n v="184"/>
    <n v="0"/>
    <x v="152"/>
    <x v="1"/>
    <s v="T031PR"/>
    <s v="NA"/>
    <s v="T031PRNA"/>
    <s v="preroll_packaged"/>
    <x v="70"/>
    <x v="71"/>
    <x v="2"/>
    <n v="164"/>
    <s v="unit"/>
    <n v="1.5"/>
    <n v="0"/>
    <n v="0"/>
    <n v="246"/>
    <m/>
    <x v="23"/>
    <x v="0"/>
    <s v="November Rain Rose preroll 3 x 0.5g_preroll_packaged"/>
    <n v="124"/>
  </r>
  <r>
    <n v="185"/>
    <n v="0"/>
    <x v="153"/>
    <x v="0"/>
    <s v="P017MF"/>
    <s v="NA"/>
    <s v="P017MFNA"/>
    <s v="driedflower_milled_bulk"/>
    <x v="26"/>
    <x v="72"/>
    <x v="2"/>
    <n v="1"/>
    <s v="pail"/>
    <n v="3472"/>
    <n v="5655"/>
    <n v="2183"/>
    <n v="3472"/>
    <m/>
    <x v="24"/>
    <x v="1"/>
    <s v="Galactic Cake milled flower_driedflower_milled_bulk"/>
    <n v="33"/>
  </r>
  <r>
    <n v="186"/>
    <n v="0"/>
    <x v="154"/>
    <x v="1"/>
    <s v="T031PR"/>
    <s v="B007PR"/>
    <s v="T031PRB007PR"/>
    <s v="preroll_bulk"/>
    <x v="71"/>
    <x v="71"/>
    <x v="2"/>
    <n v="67"/>
    <s v="unit"/>
    <n v="0.5"/>
    <n v="0"/>
    <n v="0"/>
    <n v="33.5"/>
    <m/>
    <x v="25"/>
    <x v="0"/>
    <s v="November Rain Rose preroll 0.5g_preroll_bulk"/>
    <n v="78"/>
  </r>
  <r>
    <n v="188"/>
    <n v="0"/>
    <x v="155"/>
    <x v="1"/>
    <s v="T031PR"/>
    <s v="B009PR"/>
    <s v="T031PRB009PR"/>
    <s v="preroll_bulk"/>
    <x v="71"/>
    <x v="71"/>
    <x v="2"/>
    <n v="337"/>
    <s v="unit"/>
    <n v="0.5"/>
    <n v="0"/>
    <n v="0"/>
    <n v="168.5"/>
    <m/>
    <x v="25"/>
    <x v="0"/>
    <s v="November Rain Rose preroll 0.5g_preroll_bulk"/>
    <n v="78"/>
  </r>
  <r>
    <n v="189"/>
    <n v="0"/>
    <x v="156"/>
    <x v="1"/>
    <s v="T031PR"/>
    <s v="B010PR"/>
    <s v="T031PRB010PR"/>
    <s v="preroll_bulk"/>
    <x v="71"/>
    <x v="71"/>
    <x v="2"/>
    <n v="500"/>
    <s v="unit"/>
    <n v="0.5"/>
    <n v="0"/>
    <n v="0"/>
    <n v="250"/>
    <m/>
    <x v="26"/>
    <x v="0"/>
    <s v="November Rain Rose preroll 0.5g_preroll_bulk"/>
    <n v="78"/>
  </r>
  <r>
    <n v="190"/>
    <n v="0"/>
    <x v="157"/>
    <x v="1"/>
    <s v="T036PR"/>
    <s v="B011PR"/>
    <s v="T036PRB011PR"/>
    <s v="preroll_bulk"/>
    <x v="72"/>
    <x v="73"/>
    <x v="2"/>
    <n v="160"/>
    <s v="unit"/>
    <n v="0.5"/>
    <n v="0"/>
    <n v="0"/>
    <n v="80"/>
    <m/>
    <x v="26"/>
    <x v="0"/>
    <s v="November Rain Blueberry preroll 0.5g_preroll_bulk"/>
    <n v="75"/>
  </r>
  <r>
    <n v="191"/>
    <n v="0"/>
    <x v="158"/>
    <x v="1"/>
    <s v="T036PR"/>
    <s v="B012PR"/>
    <s v="T036PRB012PR"/>
    <s v="preroll_bulk"/>
    <x v="72"/>
    <x v="73"/>
    <x v="2"/>
    <n v="362"/>
    <s v="unit"/>
    <n v="0.5"/>
    <n v="0"/>
    <n v="0"/>
    <n v="181"/>
    <m/>
    <x v="26"/>
    <x v="0"/>
    <s v="November Rain Blueberry preroll 0.5g_preroll_bulk"/>
    <n v="75"/>
  </r>
  <r>
    <n v="192"/>
    <n v="0"/>
    <x v="159"/>
    <x v="1"/>
    <s v="T036PR"/>
    <s v="B013PR"/>
    <s v="T036PRB013PR"/>
    <s v="preroll_bulk"/>
    <x v="72"/>
    <x v="73"/>
    <x v="2"/>
    <n v="361"/>
    <s v="unit"/>
    <n v="0.5"/>
    <n v="0"/>
    <n v="0"/>
    <n v="180.5"/>
    <m/>
    <x v="26"/>
    <x v="0"/>
    <s v="November Rain Blueberry preroll 0.5g_preroll_bulk"/>
    <n v="75"/>
  </r>
  <r>
    <n v="193"/>
    <n v="0"/>
    <x v="160"/>
    <x v="1"/>
    <s v="T036PR"/>
    <s v="B014PR"/>
    <s v="T036PRB014PR"/>
    <s v="preroll_bulk"/>
    <x v="72"/>
    <x v="73"/>
    <x v="2"/>
    <n v="241"/>
    <s v="unit"/>
    <n v="0.5"/>
    <n v="0"/>
    <n v="0"/>
    <n v="120.5"/>
    <m/>
    <x v="26"/>
    <x v="0"/>
    <s v="November Rain Blueberry preroll 0.5g_preroll_bulk"/>
    <n v="75"/>
  </r>
  <r>
    <n v="194"/>
    <n v="0"/>
    <x v="161"/>
    <x v="1"/>
    <s v="T036PR"/>
    <s v="B015PR"/>
    <s v="T036PRB015PR"/>
    <s v="preroll_bulk"/>
    <x v="72"/>
    <x v="73"/>
    <x v="2"/>
    <n v="479"/>
    <s v="unit"/>
    <n v="0.5"/>
    <n v="0"/>
    <n v="0"/>
    <n v="239.5"/>
    <m/>
    <x v="26"/>
    <x v="0"/>
    <s v="November Rain Blueberry preroll 0.5g_preroll_bulk"/>
    <n v="75"/>
  </r>
  <r>
    <n v="196"/>
    <n v="0"/>
    <x v="162"/>
    <x v="1"/>
    <s v="T036PR"/>
    <s v="B017PR"/>
    <s v="T036PRB017PR"/>
    <s v="preroll_bulk"/>
    <x v="72"/>
    <x v="73"/>
    <x v="2"/>
    <n v="358"/>
    <s v="unit"/>
    <n v="0.5"/>
    <n v="0"/>
    <n v="0"/>
    <n v="179"/>
    <m/>
    <x v="26"/>
    <x v="0"/>
    <s v="November Rain Blueberry preroll 0.5g_preroll_bulk"/>
    <n v="75"/>
  </r>
  <r>
    <n v="198"/>
    <n v="0"/>
    <x v="163"/>
    <x v="1"/>
    <s v="T036PR"/>
    <s v="B019PR"/>
    <s v="T036PRB019PR"/>
    <s v="preroll_bulk"/>
    <x v="72"/>
    <x v="73"/>
    <x v="2"/>
    <n v="605"/>
    <s v="unit"/>
    <n v="0.5"/>
    <n v="0"/>
    <n v="0"/>
    <n v="302.5"/>
    <m/>
    <x v="26"/>
    <x v="0"/>
    <s v="November Rain Blueberry preroll 0.5g_preroll_bulk"/>
    <n v="75"/>
  </r>
  <r>
    <n v="199"/>
    <n v="0"/>
    <x v="164"/>
    <x v="0"/>
    <s v="T036PR"/>
    <s v="B020PR"/>
    <s v="T036PRB020PR"/>
    <s v="preroll_bulk"/>
    <x v="72"/>
    <x v="73"/>
    <x v="2"/>
    <n v="240"/>
    <s v="unit"/>
    <n v="0.5"/>
    <n v="0"/>
    <n v="0"/>
    <n v="120"/>
    <m/>
    <x v="26"/>
    <x v="0"/>
    <s v="November Rain Blueberry preroll 0.5g_preroll_bulk"/>
    <n v="75"/>
  </r>
  <r>
    <n v="201"/>
    <n v="0"/>
    <x v="165"/>
    <x v="0"/>
    <s v="T006EX"/>
    <s v="NA"/>
    <s v="T006EXNA"/>
    <s v="topical_labelled_RTV"/>
    <x v="73"/>
    <x v="74"/>
    <x v="49"/>
    <n v="210"/>
    <s v="unit"/>
    <n v="120"/>
    <n v="0"/>
    <n v="0"/>
    <n v="25200"/>
    <s v="AB"/>
    <x v="27"/>
    <x v="0"/>
    <s v="CBD Neem Cream 120g_topical_labelled_RTV"/>
    <n v="139"/>
  </r>
  <r>
    <n v="203"/>
    <n v="0"/>
    <x v="166"/>
    <x v="0"/>
    <s v="T007EX"/>
    <s v="NA"/>
    <s v="T007EXNA"/>
    <s v="topical_labelled_RTV"/>
    <x v="73"/>
    <x v="74"/>
    <x v="49"/>
    <n v="93"/>
    <s v="unit"/>
    <n v="14"/>
    <n v="0"/>
    <n v="0"/>
    <n v="1302"/>
    <s v="AB"/>
    <x v="28"/>
    <x v="0"/>
    <s v="CBD Neem Cream 120g_topical_labelled_RTV"/>
    <n v="139"/>
  </r>
  <r>
    <n v="204"/>
    <n v="0"/>
    <x v="167"/>
    <x v="0"/>
    <s v="T008EX"/>
    <s v="NA"/>
    <s v="T008EXNA"/>
    <s v="topical_labelled_RTV"/>
    <x v="73"/>
    <x v="74"/>
    <x v="49"/>
    <n v="269"/>
    <s v="unit"/>
    <n v="14"/>
    <n v="0"/>
    <n v="0"/>
    <n v="3766"/>
    <s v="AB"/>
    <x v="28"/>
    <x v="0"/>
    <s v="CBD Neem Cream 120g_topical_labelled_RTV"/>
    <n v="139"/>
  </r>
  <r>
    <n v="205"/>
    <n v="0"/>
    <x v="168"/>
    <x v="1"/>
    <s v="T009EX"/>
    <s v="NA"/>
    <s v="T009EXNA"/>
    <s v="extract_ingested_labelled"/>
    <x v="63"/>
    <x v="75"/>
    <x v="17"/>
    <n v="22"/>
    <s v="unit"/>
    <n v="27.3"/>
    <n v="0"/>
    <n v="0"/>
    <n v="600.6"/>
    <m/>
    <x v="29"/>
    <x v="0"/>
    <s v="Bacon CBD extract 27.3g_extract_ingested_labelled"/>
    <n v="138"/>
  </r>
  <r>
    <n v="206"/>
    <n v="0"/>
    <x v="169"/>
    <x v="1"/>
    <s v="T010EX"/>
    <s v="NA"/>
    <s v="T010EXNA"/>
    <s v="extract_ingested_labelled"/>
    <x v="74"/>
    <x v="76"/>
    <x v="50"/>
    <n v="9"/>
    <s v="unit"/>
    <n v="29.5"/>
    <n v="0"/>
    <n v="0"/>
    <n v="265.5"/>
    <m/>
    <x v="29"/>
    <x v="0"/>
    <s v="Bacon CBD extract 29.5g_extract_ingested_labelled"/>
    <n v="11"/>
  </r>
  <r>
    <n v="207"/>
    <n v="0"/>
    <x v="170"/>
    <x v="0"/>
    <s v="T011EX"/>
    <s v="NA"/>
    <s v="T011EXNA"/>
    <s v="extract_ingested_labelled"/>
    <x v="75"/>
    <x v="77"/>
    <x v="51"/>
    <n v="20"/>
    <s v="unit"/>
    <n v="29.5"/>
    <n v="0"/>
    <n v="0"/>
    <n v="590"/>
    <m/>
    <x v="30"/>
    <x v="0"/>
    <s v="20:1 Mango CBD:THC extract 29.5g_extract_ingested_labelled"/>
    <n v="2"/>
  </r>
  <r>
    <n v="208"/>
    <n v="0"/>
    <x v="171"/>
    <x v="0"/>
    <s v="T011EX"/>
    <s v="NA"/>
    <s v="T011EXNA"/>
    <s v="extract_ingested_labelled"/>
    <x v="76"/>
    <x v="78"/>
    <x v="52"/>
    <n v="24"/>
    <s v="unit"/>
    <n v="29.5"/>
    <n v="0"/>
    <n v="0"/>
    <n v="708"/>
    <m/>
    <x v="30"/>
    <x v="0"/>
    <s v="4:1 Black Cherry CBD:THC extract 29.5g_extract_ingested_labelled"/>
    <n v="3"/>
  </r>
  <r>
    <n v="211"/>
    <n v="0"/>
    <x v="172"/>
    <x v="1"/>
    <s v="T014EX"/>
    <s v="NA"/>
    <s v="T014EXNA"/>
    <s v="extract_ingested_labelled"/>
    <x v="77"/>
    <x v="79"/>
    <x v="53"/>
    <n v="47"/>
    <s v="unit"/>
    <n v="27.4"/>
    <n v="0"/>
    <n v="0"/>
    <n v="1287.8"/>
    <m/>
    <x v="30"/>
    <x v="0"/>
    <s v="Aum CBD oil 27.4g_extract_ingested_labelled"/>
    <n v="7"/>
  </r>
  <r>
    <n v="213"/>
    <n v="0"/>
    <x v="173"/>
    <x v="1"/>
    <s v="T016EX"/>
    <s v="NA"/>
    <s v="T016EXNA"/>
    <s v="extract_ingested_labelled"/>
    <x v="77"/>
    <x v="79"/>
    <x v="53"/>
    <n v="84"/>
    <s v="unit"/>
    <n v="27.4"/>
    <n v="0"/>
    <n v="0"/>
    <n v="2301.6"/>
    <m/>
    <x v="30"/>
    <x v="0"/>
    <s v="Aum CBD oil 27.4g_extract_ingested_labelled"/>
    <n v="7"/>
  </r>
  <r>
    <n v="216"/>
    <n v="0"/>
    <x v="174"/>
    <x v="1"/>
    <s v="T019EX"/>
    <s v="NA"/>
    <s v="T019EXNA"/>
    <s v="extract_ingested_labelled"/>
    <x v="78"/>
    <x v="80"/>
    <x v="54"/>
    <n v="15"/>
    <s v="unit"/>
    <n v="50"/>
    <n v="0"/>
    <n v="0"/>
    <n v="750"/>
    <m/>
    <x v="31"/>
    <x v="0"/>
    <s v="Pot Shot Tropical Fruits 151mg_extract_ingested_labelled"/>
    <n v="99"/>
  </r>
  <r>
    <n v="217"/>
    <n v="0"/>
    <x v="175"/>
    <x v="1"/>
    <s v="T019EX"/>
    <s v="B001EX"/>
    <s v="T019EXB001EX"/>
    <s v="extract_ingested_labelled"/>
    <x v="78"/>
    <x v="81"/>
    <x v="55"/>
    <n v="9"/>
    <s v="unit"/>
    <n v="50"/>
    <n v="0"/>
    <n v="0"/>
    <n v="450"/>
    <m/>
    <x v="31"/>
    <x v="0"/>
    <s v="Pot Shot Tropical Fruits 151mg_extract_ingested_labelled"/>
    <n v="99"/>
  </r>
  <r>
    <n v="218"/>
    <n v="0"/>
    <x v="176"/>
    <x v="0"/>
    <s v="T015DF"/>
    <s v="NA"/>
    <s v="T015DFNA"/>
    <s v="driedflower_bulk_unknown"/>
    <x v="79"/>
    <x v="82"/>
    <x v="56"/>
    <n v="0"/>
    <s v="unit"/>
    <n v="0"/>
    <n v="0"/>
    <n v="0"/>
    <n v="3355"/>
    <m/>
    <x v="32"/>
    <x v="0"/>
    <s v="Critique dried flower_driedflower_bulk_unknown"/>
    <n v="28"/>
  </r>
  <r>
    <n v="219"/>
    <n v="0"/>
    <x v="177"/>
    <x v="0"/>
    <s v="T015DF"/>
    <s v="NA"/>
    <s v="T015DFNA"/>
    <s v="driedflower_bulk_unknown"/>
    <x v="80"/>
    <x v="83"/>
    <x v="57"/>
    <n v="0"/>
    <s v="unit"/>
    <n v="0"/>
    <n v="0"/>
    <n v="0"/>
    <n v="6645"/>
    <m/>
    <x v="32"/>
    <x v="0"/>
    <s v="Tropicanna Cookies dried flower_driedflower_bulk_unknown"/>
    <s v=""/>
  </r>
  <r>
    <n v="220"/>
    <n v="0"/>
    <x v="178"/>
    <x v="0"/>
    <s v="T015DF"/>
    <s v="NA"/>
    <s v="T015DFNA"/>
    <s v="driedflower_bulk_unknown"/>
    <x v="81"/>
    <x v="84"/>
    <x v="2"/>
    <n v="0"/>
    <s v="unit"/>
    <n v="0"/>
    <n v="0"/>
    <n v="0"/>
    <n v="1100"/>
    <m/>
    <x v="32"/>
    <x v="0"/>
    <s v="unknown dried flower_driedflower_bulk_unknown"/>
    <s v=""/>
  </r>
  <r>
    <n v="221"/>
    <n v="0"/>
    <x v="179"/>
    <x v="0"/>
    <s v="T015DF"/>
    <s v="NA"/>
    <s v="T015DFNA"/>
    <s v="driedflower_bulk_unknown"/>
    <x v="22"/>
    <x v="85"/>
    <x v="2"/>
    <n v="0"/>
    <s v="unit"/>
    <n v="0"/>
    <n v="0"/>
    <n v="0"/>
    <n v="10"/>
    <m/>
    <x v="32"/>
    <x v="0"/>
    <s v="Gelato dried flower_driedflower_bulk_unknown"/>
    <s v=""/>
  </r>
  <r>
    <n v="222"/>
    <n v="0"/>
    <x v="180"/>
    <x v="0"/>
    <s v="T015DF"/>
    <s v="NA"/>
    <s v="T015DFNA"/>
    <s v="driedflower_trim_unknown_inferior"/>
    <x v="82"/>
    <x v="86"/>
    <x v="2"/>
    <n v="0"/>
    <s v="unit"/>
    <n v="0"/>
    <n v="0"/>
    <n v="0"/>
    <n v="60"/>
    <m/>
    <x v="32"/>
    <x v="0"/>
    <s v="shake _driedflower_trim_unknown_inferior"/>
    <s v=""/>
  </r>
  <r>
    <n v="223"/>
    <n v="0"/>
    <x v="181"/>
    <x v="0"/>
    <s v="T015DF"/>
    <s v="NA"/>
    <s v="T015DFNA"/>
    <s v="driedflower_bulk_unknown"/>
    <x v="81"/>
    <x v="17"/>
    <x v="2"/>
    <n v="0"/>
    <s v="unit"/>
    <n v="0"/>
    <n v="0"/>
    <n v="0"/>
    <n v="695"/>
    <m/>
    <x v="32"/>
    <x v="0"/>
    <s v="unknown dried flower_driedflower_bulk_unknown"/>
    <s v=""/>
  </r>
  <r>
    <n v="224"/>
    <n v="0"/>
    <x v="182"/>
    <x v="0"/>
    <s v="T015DF"/>
    <s v="NA"/>
    <s v="T015DFNA"/>
    <s v="driedflower_bulk_unknown"/>
    <x v="83"/>
    <x v="14"/>
    <x v="2"/>
    <n v="0"/>
    <s v="unit"/>
    <n v="0"/>
    <n v="0"/>
    <n v="0"/>
    <n v="236"/>
    <m/>
    <x v="32"/>
    <x v="0"/>
    <s v="#1_driedflower_bulk_unknown"/>
    <s v=""/>
  </r>
  <r>
    <n v="225"/>
    <n v="0"/>
    <x v="183"/>
    <x v="0"/>
    <s v="T015DF"/>
    <s v="NA"/>
    <s v="T015DFNA"/>
    <s v="driedflower_bulk_unknown"/>
    <x v="84"/>
    <x v="14"/>
    <x v="2"/>
    <n v="0"/>
    <s v="unit"/>
    <n v="0"/>
    <n v="0"/>
    <n v="0"/>
    <n v="275"/>
    <m/>
    <x v="32"/>
    <x v="0"/>
    <s v="Island Pink dried flower_driedflower_bulk_unknown"/>
    <s v=""/>
  </r>
  <r>
    <n v="226"/>
    <n v="0"/>
    <x v="184"/>
    <x v="0"/>
    <s v="T015DF"/>
    <s v="NA"/>
    <s v="T015DFNA"/>
    <s v="driedflower_bulk_unknown"/>
    <x v="81"/>
    <x v="87"/>
    <x v="2"/>
    <n v="0"/>
    <s v="unit"/>
    <n v="0"/>
    <n v="0"/>
    <n v="0"/>
    <n v="150"/>
    <m/>
    <x v="32"/>
    <x v="0"/>
    <s v="unknown dried flower_driedflower_bulk_unknown"/>
    <s v=""/>
  </r>
  <r>
    <n v="227"/>
    <n v="0"/>
    <x v="185"/>
    <x v="0"/>
    <s v="T015DF"/>
    <s v="NA"/>
    <s v="T015DFNA"/>
    <s v="driedflower_bulk_unknown"/>
    <x v="22"/>
    <x v="88"/>
    <x v="2"/>
    <n v="0"/>
    <s v="unit"/>
    <n v="0"/>
    <n v="0"/>
    <n v="0"/>
    <n v="40"/>
    <m/>
    <x v="32"/>
    <x v="0"/>
    <s v="Gelato dried flower_driedflower_bulk_unknown"/>
    <s v=""/>
  </r>
  <r>
    <n v="228"/>
    <n v="0"/>
    <x v="186"/>
    <x v="0"/>
    <s v="T016DF"/>
    <s v="NA"/>
    <s v="T016DFNA"/>
    <s v="driedflower_trim_unknown_inferior"/>
    <x v="85"/>
    <x v="89"/>
    <x v="58"/>
    <n v="0"/>
    <s v="unit"/>
    <n v="0"/>
    <n v="0"/>
    <n v="0"/>
    <n v="7105"/>
    <m/>
    <x v="33"/>
    <x v="0"/>
    <s v="unknown trim_driedflower_trim_unknown_inferior"/>
    <s v=""/>
  </r>
  <r>
    <n v="229"/>
    <n v="0"/>
    <x v="187"/>
    <x v="0"/>
    <s v="T016DF"/>
    <s v="NA"/>
    <s v="T016DFNA"/>
    <s v="driedflower_trim_unknown_inferior"/>
    <x v="86"/>
    <x v="14"/>
    <x v="2"/>
    <n v="0"/>
    <s v="unit"/>
    <n v="0"/>
    <n v="0"/>
    <n v="0"/>
    <n v="8855"/>
    <m/>
    <x v="33"/>
    <x v="0"/>
    <s v="Gelato trim_driedflower_trim_unknown_inferior"/>
    <s v=""/>
  </r>
  <r>
    <n v="230"/>
    <n v="0"/>
    <x v="188"/>
    <x v="0"/>
    <s v="T016DF"/>
    <s v="NA"/>
    <s v="T016DFNA"/>
    <s v="driedflower_trim_unknown_inferior"/>
    <x v="85"/>
    <x v="90"/>
    <x v="59"/>
    <n v="0"/>
    <s v="unit"/>
    <n v="0"/>
    <n v="0"/>
    <n v="0"/>
    <n v="2140"/>
    <m/>
    <x v="33"/>
    <x v="0"/>
    <s v="unknown trim_driedflower_trim_unknown_inferior"/>
    <s v=""/>
  </r>
  <r>
    <n v="231"/>
    <n v="0"/>
    <x v="189"/>
    <x v="0"/>
    <s v="T016DF"/>
    <s v="NA"/>
    <s v="T016DFNA"/>
    <s v="driedflower_trim_unknown_inferior"/>
    <x v="87"/>
    <x v="14"/>
    <x v="31"/>
    <n v="0"/>
    <s v="unit"/>
    <n v="0"/>
    <n v="0"/>
    <n v="0"/>
    <n v="100"/>
    <m/>
    <x v="33"/>
    <x v="0"/>
    <s v="sample trim _driedflower_trim_unknown_inferior"/>
    <s v=""/>
  </r>
  <r>
    <n v="232"/>
    <n v="0"/>
    <x v="190"/>
    <x v="0"/>
    <s v="T016DF"/>
    <s v="NA"/>
    <s v="T016DFNA"/>
    <s v="driedflower_trim_unknown_inferior"/>
    <x v="88"/>
    <x v="91"/>
    <x v="60"/>
    <n v="0"/>
    <s v="unit"/>
    <n v="0"/>
    <n v="0"/>
    <n v="0"/>
    <n v="24"/>
    <m/>
    <x v="33"/>
    <x v="0"/>
    <s v="Sour Chen trim _driedflower_trim_unknown_inferior"/>
    <s v=""/>
  </r>
  <r>
    <n v="233"/>
    <n v="0"/>
    <x v="191"/>
    <x v="0"/>
    <s v="T017DF"/>
    <s v="NA"/>
    <s v="T017DFNA"/>
    <s v="driedflower_trim_unknown_inferior"/>
    <x v="86"/>
    <x v="14"/>
    <x v="2"/>
    <n v="0"/>
    <s v="unit"/>
    <n v="0"/>
    <n v="0"/>
    <n v="0"/>
    <n v="11380"/>
    <m/>
    <x v="34"/>
    <x v="0"/>
    <s v="Gelato trim_driedflower_trim_unknown_inferior"/>
    <s v=""/>
  </r>
  <r>
    <n v="234"/>
    <n v="0"/>
    <x v="192"/>
    <x v="0"/>
    <s v="T018DF"/>
    <s v="NA"/>
    <s v="T018DFNA"/>
    <s v="driedflower_trim_unknown_inferior"/>
    <x v="86"/>
    <x v="14"/>
    <x v="2"/>
    <n v="0"/>
    <s v="unit"/>
    <n v="0"/>
    <n v="0"/>
    <n v="0"/>
    <n v="18195"/>
    <m/>
    <x v="35"/>
    <x v="0"/>
    <s v="Gelato trim_driedflower_trim_unknown_inferior"/>
    <s v=""/>
  </r>
  <r>
    <n v="235"/>
    <n v="0"/>
    <x v="193"/>
    <x v="0"/>
    <s v="T019DF"/>
    <s v="NA"/>
    <s v="T019DFNA"/>
    <s v="driedflower_trim_unknown_inferior"/>
    <x v="85"/>
    <x v="90"/>
    <x v="61"/>
    <n v="0"/>
    <s v="unit"/>
    <n v="0"/>
    <n v="0"/>
    <n v="0"/>
    <n v="5965"/>
    <m/>
    <x v="36"/>
    <x v="0"/>
    <s v="unknown trim_driedflower_trim_unknown_inferior"/>
    <s v=""/>
  </r>
  <r>
    <n v="236"/>
    <n v="0"/>
    <x v="194"/>
    <x v="0"/>
    <s v="T019DF"/>
    <s v="NA"/>
    <s v="T019DFNA"/>
    <s v="driedflower_trim_unknown_inferior"/>
    <x v="85"/>
    <x v="92"/>
    <x v="62"/>
    <n v="0"/>
    <s v="unit"/>
    <n v="0"/>
    <n v="0"/>
    <n v="0"/>
    <n v="6665"/>
    <m/>
    <x v="36"/>
    <x v="0"/>
    <s v="unknown trim_driedflower_trim_unknown_inferior"/>
    <s v=""/>
  </r>
  <r>
    <n v="237"/>
    <n v="0"/>
    <x v="195"/>
    <x v="0"/>
    <s v="T019DF"/>
    <s v="NA"/>
    <s v="T019DFNA"/>
    <s v="driedflower_trim_unknown_inferior"/>
    <x v="85"/>
    <x v="82"/>
    <x v="56"/>
    <n v="0"/>
    <s v="unit"/>
    <n v="0"/>
    <n v="0"/>
    <n v="0"/>
    <n v="1920"/>
    <m/>
    <x v="36"/>
    <x v="0"/>
    <s v="unknown trim_driedflower_trim_unknown_inferior"/>
    <s v=""/>
  </r>
  <r>
    <n v="238"/>
    <n v="0"/>
    <x v="196"/>
    <x v="0"/>
    <s v="T019DF"/>
    <s v="NA"/>
    <s v="T019DFNA"/>
    <s v="driedflower_trim_unknown_inferior"/>
    <x v="88"/>
    <x v="14"/>
    <x v="62"/>
    <n v="0"/>
    <s v="unit"/>
    <n v="0"/>
    <n v="0"/>
    <n v="0"/>
    <n v="645"/>
    <m/>
    <x v="36"/>
    <x v="0"/>
    <s v="Sour Chen trim _driedflower_trim_unknown_inferior"/>
    <s v=""/>
  </r>
  <r>
    <n v="239"/>
    <n v="0"/>
    <x v="197"/>
    <x v="0"/>
    <s v="T019DF"/>
    <s v="NA"/>
    <s v="T019DFNA"/>
    <s v="driedflower_trim_unknown_inferior"/>
    <x v="85"/>
    <x v="89"/>
    <x v="58"/>
    <n v="0"/>
    <s v="unit"/>
    <n v="0"/>
    <n v="0"/>
    <n v="0"/>
    <n v="1030"/>
    <m/>
    <x v="36"/>
    <x v="0"/>
    <s v="unknown trim_driedflower_trim_unknown_inferior"/>
    <s v=""/>
  </r>
  <r>
    <n v="240"/>
    <n v="0"/>
    <x v="198"/>
    <x v="0"/>
    <s v="T019DF"/>
    <s v="NA"/>
    <s v="T019DFNA"/>
    <s v="driedflower_trim_unknown_inferior"/>
    <x v="85"/>
    <x v="14"/>
    <x v="62"/>
    <n v="0"/>
    <s v="unit"/>
    <n v="0"/>
    <n v="0"/>
    <n v="0"/>
    <n v="430"/>
    <m/>
    <x v="36"/>
    <x v="0"/>
    <s v="unknown trim_driedflower_trim_unknown_inferior"/>
    <s v=""/>
  </r>
  <r>
    <n v="241"/>
    <n v="0"/>
    <x v="199"/>
    <x v="0"/>
    <s v="T020DF"/>
    <s v="NA"/>
    <s v="T020DFNA"/>
    <s v="driedflower_bulk_unknown"/>
    <x v="80"/>
    <x v="83"/>
    <x v="63"/>
    <n v="0"/>
    <s v="unit"/>
    <n v="0"/>
    <n v="0"/>
    <n v="0"/>
    <n v="8910"/>
    <m/>
    <x v="37"/>
    <x v="0"/>
    <s v="Tropicanna Cookies dried flower_driedflower_bulk_unknown"/>
    <s v=""/>
  </r>
  <r>
    <n v="242"/>
    <n v="0"/>
    <x v="200"/>
    <x v="0"/>
    <s v="T021DF"/>
    <s v="NA"/>
    <s v="T021DFNA"/>
    <s v="driedflower_labelled_RTV"/>
    <x v="89"/>
    <x v="93"/>
    <x v="64"/>
    <n v="128"/>
    <s v="unit"/>
    <n v="3.5"/>
    <n v="0"/>
    <n v="0"/>
    <n v="448"/>
    <s v="AB"/>
    <x v="38"/>
    <x v="0"/>
    <s v="Gelato dried flower 3.5g_driedflower_labelled_RTV"/>
    <n v="39"/>
  </r>
  <r>
    <n v="243"/>
    <n v="0"/>
    <x v="201"/>
    <x v="0"/>
    <s v="T022DF"/>
    <s v="NA"/>
    <s v="T022DFNA"/>
    <s v="driedflower_labelled_RTV"/>
    <x v="89"/>
    <x v="93"/>
    <x v="39"/>
    <n v="26"/>
    <s v="unit"/>
    <n v="3.5"/>
    <n v="0"/>
    <n v="0"/>
    <n v="91"/>
    <s v="AB"/>
    <x v="38"/>
    <x v="0"/>
    <s v="Gelato dried flower 3.5g_driedflower_labelled_RTV"/>
    <n v="39"/>
  </r>
  <r>
    <n v="244"/>
    <n v="0"/>
    <x v="202"/>
    <x v="0"/>
    <s v="T023DF"/>
    <s v="NA"/>
    <s v="T023DFNA"/>
    <s v="driedflower_labelled_RTV"/>
    <x v="89"/>
    <x v="93"/>
    <x v="64"/>
    <n v="250"/>
    <s v="unit"/>
    <n v="3.5"/>
    <n v="0"/>
    <n v="0"/>
    <n v="875"/>
    <s v="AB"/>
    <x v="38"/>
    <x v="0"/>
    <s v="Gelato dried flower 3.5g_driedflower_labelled_RTV"/>
    <n v="39"/>
  </r>
  <r>
    <n v="245"/>
    <n v="0"/>
    <x v="203"/>
    <x v="1"/>
    <s v="J003EX"/>
    <s v="NA"/>
    <s v="J003EXNA"/>
    <s v="extract_inhaled_bulk"/>
    <x v="90"/>
    <x v="94"/>
    <x v="65"/>
    <n v="1"/>
    <s v="container"/>
    <n v="77.8"/>
    <n v="123.6"/>
    <n v="45.8"/>
    <n v="77.8"/>
    <m/>
    <x v="39"/>
    <x v="1"/>
    <s v="Live Rosin_extract_inhaled_bulk"/>
    <s v=""/>
  </r>
  <r>
    <n v="247"/>
    <n v="0"/>
    <x v="204"/>
    <x v="1"/>
    <s v="J005EX"/>
    <s v="NA"/>
    <s v="J005EXNA"/>
    <s v="extract_distillate_bulk"/>
    <x v="91"/>
    <x v="95"/>
    <x v="2"/>
    <n v="1"/>
    <s v="container"/>
    <n v="156"/>
    <n v="641"/>
    <n v="485"/>
    <n v="156"/>
    <m/>
    <x v="39"/>
    <x v="1"/>
    <s v="CBD isolate_extract_distillate_bulk"/>
    <n v="18"/>
  </r>
  <r>
    <n v="147"/>
    <n v="0"/>
    <x v="205"/>
    <x v="0"/>
    <s v="T030PR"/>
    <s v="NA"/>
    <s v="T030PRNA"/>
    <s v="preroll_labelled"/>
    <x v="61"/>
    <x v="96"/>
    <x v="66"/>
    <n v="8"/>
    <s v="unit"/>
    <n v="1.5"/>
    <n v="0"/>
    <n v="0"/>
    <n v="12"/>
    <m/>
    <x v="40"/>
    <x v="0"/>
    <s v="November Rain Watermelon preroll 3 x 0.5g_preroll_labelled"/>
    <n v="92"/>
  </r>
  <r>
    <n v="1"/>
    <n v="0"/>
    <x v="206"/>
    <x v="0"/>
    <s v="T001BS"/>
    <s v="NA"/>
    <s v="T001BSNA"/>
    <s v="topical_labelled"/>
    <x v="25"/>
    <x v="23"/>
    <x v="17"/>
    <n v="44"/>
    <s v="pouch"/>
    <n v="180"/>
    <n v="0"/>
    <n v="0"/>
    <n v="7920"/>
    <m/>
    <x v="41"/>
    <x v="0"/>
    <s v="bath salt SPA 180 gram_topical_labelled"/>
    <n v="13"/>
  </r>
  <r>
    <n v="251"/>
    <n v="0"/>
    <x v="207"/>
    <x v="1"/>
    <s v="J009EX"/>
    <s v="NA"/>
    <s v="J009EXNA"/>
    <s v="extract_inhaled_bulk"/>
    <x v="90"/>
    <x v="97"/>
    <x v="2"/>
    <n v="1"/>
    <s v="jar"/>
    <n v="28.599999999999994"/>
    <n v="105.6"/>
    <n v="77"/>
    <n v="28.599999999999994"/>
    <m/>
    <x v="42"/>
    <x v="1"/>
    <s v="Live Rosin_extract_inhaled_bulk"/>
    <s v=""/>
  </r>
  <r>
    <n v="252"/>
    <n v="0"/>
    <x v="208"/>
    <x v="1"/>
    <s v="J010EX"/>
    <s v="NA"/>
    <s v="J010EXNA"/>
    <s v="extract_distillate_bulk"/>
    <x v="92"/>
    <x v="98"/>
    <x v="2"/>
    <n v="1"/>
    <s v="jar"/>
    <n v="38.320000000000007"/>
    <n v="117.51"/>
    <n v="79.19"/>
    <n v="38.320000000000007"/>
    <s v="same as #75"/>
    <x v="42"/>
    <x v="1"/>
    <s v="THC Distillate_extract_distillate_bulk"/>
    <n v="104"/>
  </r>
  <r>
    <n v="254"/>
    <n v="0"/>
    <x v="209"/>
    <x v="1"/>
    <s v="NA"/>
    <s v="NA"/>
    <s v="Orbis ON warehouse"/>
    <s v="extract_ingested_labelled"/>
    <x v="93"/>
    <x v="75"/>
    <x v="17"/>
    <n v="12"/>
    <s v="unit"/>
    <n v="27.3"/>
    <n v="0"/>
    <n v="0"/>
    <n v="224"/>
    <m/>
    <x v="43"/>
    <x v="0"/>
    <s v="CBD Bacon Oil 10 mg 27.3g_extract_ingested_labelled"/>
    <n v="17"/>
  </r>
  <r>
    <n v="104"/>
    <n v="0"/>
    <x v="210"/>
    <x v="0"/>
    <s v="T001PR"/>
    <s v="NA"/>
    <s v="T001PRNA"/>
    <s v="preroll_labelled"/>
    <x v="94"/>
    <x v="42"/>
    <x v="67"/>
    <n v="144"/>
    <s v="unit"/>
    <n v="1"/>
    <n v="0"/>
    <n v="0"/>
    <n v="144"/>
    <s v="144AB"/>
    <x v="44"/>
    <x v="0"/>
    <s v="Gelato preroll 1 x 1g_preroll_labelled"/>
    <n v="44"/>
  </r>
  <r>
    <n v="255"/>
    <n v="0"/>
    <x v="211"/>
    <x v="1"/>
    <s v="T020EX"/>
    <s v="NA"/>
    <s v="T020EXNA"/>
    <s v="extract_ingested_labelled"/>
    <x v="93"/>
    <x v="99"/>
    <x v="68"/>
    <n v="154"/>
    <s v="unit"/>
    <n v="151"/>
    <n v="0"/>
    <n v="0"/>
    <n v="23254"/>
    <m/>
    <x v="45"/>
    <x v="0"/>
    <s v="CBD Bacon Oil 10 mg 27.3g_extract_ingested_labelled"/>
    <n v="17"/>
  </r>
  <r>
    <n v="258"/>
    <n v="0"/>
    <x v="212"/>
    <x v="0"/>
    <s v="T008DF"/>
    <s v="B067DF"/>
    <s v="T008DFB067DF"/>
    <s v="driedflower_bulk"/>
    <x v="22"/>
    <x v="8"/>
    <x v="2"/>
    <n v="1"/>
    <s v="unit"/>
    <n v="63.49"/>
    <n v="89.9"/>
    <n v="26.410000000000004"/>
    <n v="63.49"/>
    <m/>
    <x v="46"/>
    <x v="1"/>
    <s v="Gelato dried flower_driedflower_bulk"/>
    <n v="37"/>
  </r>
  <r>
    <n v="259"/>
    <n v="0"/>
    <x v="213"/>
    <x v="1"/>
    <s v="T004TP"/>
    <s v="NA"/>
    <s v="T004TPNA"/>
    <s v="topical_labelled"/>
    <x v="55"/>
    <x v="32"/>
    <x v="69"/>
    <n v="182"/>
    <s v="unit"/>
    <n v="88"/>
    <n v="0"/>
    <n v="0"/>
    <n v="16016"/>
    <m/>
    <x v="46"/>
    <x v="0"/>
    <s v="Maximum Strength Roll-on 88g_topical_labelled"/>
    <n v="72"/>
  </r>
  <r>
    <n v="11"/>
    <n v="0"/>
    <x v="214"/>
    <x v="0"/>
    <s v="T005DF"/>
    <s v="B003DF"/>
    <s v="T005DFB003DF"/>
    <s v="driedflower_labelled"/>
    <x v="95"/>
    <x v="100"/>
    <x v="69"/>
    <n v="54"/>
    <s v="pouch"/>
    <n v="7"/>
    <n v="0"/>
    <n v="0"/>
    <n v="378"/>
    <m/>
    <x v="47"/>
    <x v="0"/>
    <s v="Gelato dried flower 7g_driedflower_labelled"/>
    <n v="40"/>
  </r>
  <r>
    <n v="262"/>
    <n v="0"/>
    <x v="215"/>
    <x v="0"/>
    <s v="T013PR"/>
    <s v="NA"/>
    <s v="T013PRNA"/>
    <s v="preroll_bulk_inferior"/>
    <x v="96"/>
    <x v="101"/>
    <x v="2"/>
    <n v="63"/>
    <s v="unit"/>
    <n v="0.5"/>
    <n v="0"/>
    <n v="0"/>
    <n v="31.5"/>
    <m/>
    <x v="48"/>
    <x v="0"/>
    <s v="Grease Monkey preroll 0.5g_preroll_bulk_inferior"/>
    <n v="118"/>
  </r>
  <r>
    <n v="264"/>
    <n v="0"/>
    <x v="216"/>
    <x v="1"/>
    <s v="T040PR"/>
    <s v="NA"/>
    <s v="T040PRNA"/>
    <s v="preroll_bulk"/>
    <x v="71"/>
    <x v="102"/>
    <x v="2"/>
    <n v="339"/>
    <s v="unit"/>
    <n v="0.5"/>
    <n v="0"/>
    <n v="0"/>
    <n v="169.5"/>
    <m/>
    <x v="48"/>
    <x v="0"/>
    <s v="November Rain Rose preroll 0.5g_preroll_bulk"/>
    <n v="78"/>
  </r>
  <r>
    <n v="265"/>
    <n v="0"/>
    <x v="217"/>
    <x v="0"/>
    <s v="T024PR"/>
    <s v="NA"/>
    <s v="T024PRNA"/>
    <s v="preroll_labelled"/>
    <x v="97"/>
    <x v="52"/>
    <x v="69"/>
    <n v="103"/>
    <s v="unit"/>
    <n v="1"/>
    <n v="0"/>
    <n v="0"/>
    <n v="103"/>
    <m/>
    <x v="49"/>
    <x v="0"/>
    <s v="Gorilla Bomb preroll 1 x 1g_preroll_labelled"/>
    <n v="50"/>
  </r>
  <r>
    <n v="266"/>
    <n v="0"/>
    <x v="218"/>
    <x v="0"/>
    <s v="T024PR"/>
    <s v="NA"/>
    <s v="T024PRNA"/>
    <s v="preroll_labelled"/>
    <x v="97"/>
    <x v="52"/>
    <x v="70"/>
    <n v="12"/>
    <s v="unit"/>
    <n v="1"/>
    <n v="0"/>
    <n v="0"/>
    <n v="12"/>
    <m/>
    <x v="49"/>
    <x v="0"/>
    <s v="Gorilla Bomb preroll 1 x 1g_preroll_labelled"/>
    <n v="50"/>
  </r>
  <r>
    <n v="137"/>
    <n v="0"/>
    <x v="219"/>
    <x v="0"/>
    <s v="T024PR"/>
    <s v="NA"/>
    <s v="T024PRNA"/>
    <s v="preroll_packaged"/>
    <x v="97"/>
    <x v="52"/>
    <x v="2"/>
    <n v="223"/>
    <s v="unit"/>
    <n v="1"/>
    <n v="0"/>
    <n v="0"/>
    <n v="223"/>
    <m/>
    <x v="50"/>
    <x v="0"/>
    <s v="Gorilla Bomb preroll 1 x 1g_preroll_packaged"/>
    <n v="117"/>
  </r>
  <r>
    <n v="267"/>
    <n v="0"/>
    <x v="220"/>
    <x v="1"/>
    <s v="T043PR"/>
    <s v="NA"/>
    <s v="T043PRNA"/>
    <s v="preroll_bulk"/>
    <x v="71"/>
    <x v="102"/>
    <x v="2"/>
    <n v="338"/>
    <s v="unit"/>
    <n v="0.5"/>
    <n v="0"/>
    <n v="0"/>
    <n v="169"/>
    <m/>
    <x v="51"/>
    <x v="0"/>
    <s v="November Rain Rose preroll 0.5g_preroll_bulk"/>
    <n v="78"/>
  </r>
  <r>
    <n v="268"/>
    <n v="0"/>
    <x v="221"/>
    <x v="1"/>
    <s v="T043PR"/>
    <s v="NA"/>
    <s v="T043PRNA"/>
    <s v="preroll_bulk"/>
    <x v="71"/>
    <x v="102"/>
    <x v="2"/>
    <n v="338"/>
    <s v="unit"/>
    <n v="0.5"/>
    <n v="0"/>
    <n v="0"/>
    <n v="169"/>
    <m/>
    <x v="52"/>
    <x v="0"/>
    <s v="November Rain Rose preroll 0.5g_preroll_bulk"/>
    <n v="78"/>
  </r>
  <r>
    <n v="269"/>
    <n v="0"/>
    <x v="222"/>
    <x v="1"/>
    <s v="T043PR"/>
    <s v="NA"/>
    <s v="T043PRNA"/>
    <s v="preroll_bulk"/>
    <x v="71"/>
    <x v="102"/>
    <x v="2"/>
    <n v="337"/>
    <s v="unit"/>
    <n v="0.5"/>
    <n v="0"/>
    <n v="0"/>
    <n v="168.5"/>
    <m/>
    <x v="52"/>
    <x v="0"/>
    <s v="November Rain Rose preroll 0.5g_preroll_bulk"/>
    <n v="78"/>
  </r>
  <r>
    <n v="270"/>
    <n v="0"/>
    <x v="223"/>
    <x v="1"/>
    <s v="T043PR"/>
    <s v="NA"/>
    <s v="T043PRNA"/>
    <s v="preroll_bulk"/>
    <x v="71"/>
    <x v="102"/>
    <x v="2"/>
    <n v="338"/>
    <s v="unit"/>
    <n v="0.5"/>
    <n v="0"/>
    <n v="0"/>
    <n v="169"/>
    <m/>
    <x v="52"/>
    <x v="0"/>
    <s v="November Rain Rose preroll 0.5g_preroll_bulk"/>
    <n v="78"/>
  </r>
  <r>
    <n v="271"/>
    <n v="0"/>
    <x v="224"/>
    <x v="0"/>
    <s v="T024DF"/>
    <s v="NA"/>
    <s v="T024DFNA"/>
    <s v="driedflower_labelled_RTV"/>
    <x v="89"/>
    <x v="93"/>
    <x v="64"/>
    <n v="144"/>
    <s v="unit"/>
    <n v="3.5"/>
    <n v="0"/>
    <n v="0"/>
    <n v="504"/>
    <m/>
    <x v="53"/>
    <x v="0"/>
    <s v="Gelato dried flower 3.5g_driedflower_labelled_RTV"/>
    <n v="39"/>
  </r>
  <r>
    <n v="272"/>
    <n v="0"/>
    <x v="225"/>
    <x v="0"/>
    <s v="T025DF"/>
    <s v="NA"/>
    <s v="T025DFNA"/>
    <s v="driedflower_labelled_RTV"/>
    <x v="89"/>
    <x v="93"/>
    <x v="64"/>
    <n v="71"/>
    <s v="unit"/>
    <n v="3.5"/>
    <n v="0"/>
    <n v="0"/>
    <n v="248.5"/>
    <m/>
    <x v="53"/>
    <x v="0"/>
    <s v="Gelato dried flower 3.5g_driedflower_labelled_RTV"/>
    <n v="39"/>
  </r>
  <r>
    <n v="275"/>
    <n v="0"/>
    <x v="226"/>
    <x v="1"/>
    <s v="J013EX"/>
    <s v="NA"/>
    <s v="J013EXNA"/>
    <s v="extract_ingested_bulk"/>
    <x v="56"/>
    <x v="103"/>
    <x v="2"/>
    <n v="1"/>
    <s v="pail"/>
    <n v="17470"/>
    <n v="18545"/>
    <n v="1075"/>
    <n v="17470"/>
    <m/>
    <x v="54"/>
    <x v="1"/>
    <s v="Pot Shot Tropical Fruits_extract_ingested_bulk"/>
    <n v="98"/>
  </r>
  <r>
    <n v="276"/>
    <n v="0"/>
    <x v="227"/>
    <x v="1"/>
    <s v="J014EX"/>
    <s v="NA"/>
    <s v="J014EXNA"/>
    <s v="extract_ingested_bulk"/>
    <x v="56"/>
    <x v="103"/>
    <x v="2"/>
    <n v="1"/>
    <s v="pail"/>
    <n v="17475"/>
    <n v="18545"/>
    <n v="1070"/>
    <n v="17475"/>
    <m/>
    <x v="54"/>
    <x v="1"/>
    <s v="Pot Shot Tropical Fruits_extract_ingested_bulk"/>
    <n v="98"/>
  </r>
  <r>
    <n v="278"/>
    <n v="0"/>
    <x v="228"/>
    <x v="1"/>
    <s v="T042PR"/>
    <s v="NA"/>
    <s v="T042PRNA"/>
    <s v="preroll_labelled"/>
    <x v="98"/>
    <x v="104"/>
    <x v="68"/>
    <n v="100"/>
    <s v="unit"/>
    <n v="1.5"/>
    <n v="0"/>
    <n v="0"/>
    <n v="150"/>
    <m/>
    <x v="55"/>
    <x v="0"/>
    <s v="November Rain Blueberry preroll 3 x 0.5g_preroll_labelled"/>
    <n v="76"/>
  </r>
  <r>
    <n v="279"/>
    <n v="0"/>
    <x v="229"/>
    <x v="1"/>
    <s v="T042PR"/>
    <s v="NA"/>
    <s v="T042PRNA"/>
    <s v="preroll_packaged"/>
    <x v="98"/>
    <x v="104"/>
    <x v="2"/>
    <n v="345"/>
    <s v="unit"/>
    <n v="1.5"/>
    <n v="0"/>
    <n v="0"/>
    <n v="517.5"/>
    <m/>
    <x v="55"/>
    <x v="0"/>
    <s v="November Rain Blueberry preroll 3 x 0.5g_preroll_packaged"/>
    <n v="123"/>
  </r>
  <r>
    <n v="280"/>
    <n v="0"/>
    <x v="230"/>
    <x v="1"/>
    <s v="T043PR"/>
    <s v="NA"/>
    <s v="T043PRNA"/>
    <s v="preroll_bulk"/>
    <x v="72"/>
    <x v="105"/>
    <x v="2"/>
    <n v="120"/>
    <s v="unit"/>
    <n v="1.5"/>
    <n v="0"/>
    <n v="0"/>
    <n v="180"/>
    <m/>
    <x v="55"/>
    <x v="0"/>
    <s v="November Rain Blueberry preroll 0.5g_preroll_bulk"/>
    <n v="75"/>
  </r>
  <r>
    <n v="281"/>
    <n v="0"/>
    <x v="231"/>
    <x v="1"/>
    <s v="T043PR"/>
    <s v="NA"/>
    <s v="T043PRNA"/>
    <s v="preroll_bulk"/>
    <x v="72"/>
    <x v="105"/>
    <x v="2"/>
    <n v="395"/>
    <s v="unit"/>
    <n v="1.5"/>
    <n v="0"/>
    <n v="0"/>
    <n v="592.5"/>
    <m/>
    <x v="55"/>
    <x v="0"/>
    <s v="November Rain Blueberry preroll 0.5g_preroll_bulk"/>
    <n v="75"/>
  </r>
  <r>
    <n v="282"/>
    <n v="0"/>
    <x v="232"/>
    <x v="1"/>
    <s v="T043PR"/>
    <s v="NA"/>
    <s v="T043PRNA"/>
    <s v="preroll_bulk"/>
    <x v="72"/>
    <x v="105"/>
    <x v="2"/>
    <n v="242"/>
    <s v="unit"/>
    <n v="1.5"/>
    <n v="0"/>
    <n v="0"/>
    <n v="363"/>
    <m/>
    <x v="55"/>
    <x v="0"/>
    <s v="November Rain Blueberry preroll 0.5g_preroll_bulk"/>
    <n v="75"/>
  </r>
  <r>
    <n v="283"/>
    <n v="0"/>
    <x v="233"/>
    <x v="1"/>
    <s v="T043PR"/>
    <s v="NA"/>
    <s v="T043PRNA"/>
    <s v="preroll_bulk"/>
    <x v="72"/>
    <x v="105"/>
    <x v="2"/>
    <n v="437"/>
    <s v="unit"/>
    <n v="1.5"/>
    <n v="0"/>
    <n v="0"/>
    <n v="655.5"/>
    <m/>
    <x v="55"/>
    <x v="0"/>
    <s v="November Rain Blueberry preroll 0.5g_preroll_bulk"/>
    <n v="75"/>
  </r>
  <r>
    <n v="284"/>
    <n v="0"/>
    <x v="234"/>
    <x v="1"/>
    <s v="T043PR"/>
    <s v="NA"/>
    <s v="T043PRNA"/>
    <s v="preroll_bulk"/>
    <x v="72"/>
    <x v="105"/>
    <x v="2"/>
    <n v="484"/>
    <s v="unit"/>
    <n v="1.5"/>
    <n v="0"/>
    <n v="0"/>
    <n v="726"/>
    <m/>
    <x v="55"/>
    <x v="0"/>
    <s v="November Rain Blueberry preroll 0.5g_preroll_bulk"/>
    <n v="75"/>
  </r>
  <r>
    <n v="197"/>
    <n v="0"/>
    <x v="235"/>
    <x v="1"/>
    <s v="T043PR"/>
    <s v="B018PR"/>
    <s v="T043PRB018PR"/>
    <s v="preroll_bulk"/>
    <x v="72"/>
    <x v="73"/>
    <x v="2"/>
    <n v="494"/>
    <s v="unit"/>
    <n v="0.5"/>
    <n v="0"/>
    <n v="0"/>
    <n v="247"/>
    <m/>
    <x v="56"/>
    <x v="0"/>
    <s v="November Rain Blueberry preroll 0.5g_preroll_bulk"/>
    <n v="75"/>
  </r>
  <r>
    <n v="187"/>
    <n v="0"/>
    <x v="236"/>
    <x v="1"/>
    <s v="T043PR"/>
    <s v="B008PR"/>
    <s v="T043PRB008PR"/>
    <s v="preroll_bulk"/>
    <x v="71"/>
    <x v="71"/>
    <x v="2"/>
    <n v="35"/>
    <s v="unit"/>
    <n v="0.5"/>
    <n v="0"/>
    <n v="0"/>
    <n v="17.5"/>
    <m/>
    <x v="57"/>
    <x v="0"/>
    <s v="November Rain Rose preroll 0.5g_preroll_bulk"/>
    <n v="78"/>
  </r>
  <r>
    <n v="288"/>
    <n v="0"/>
    <x v="237"/>
    <x v="0"/>
    <s v="T027DF"/>
    <s v="NA"/>
    <s v="T027DFNA"/>
    <s v="driedflower_labelled_RTV"/>
    <x v="89"/>
    <x v="93"/>
    <x v="64"/>
    <n v="250"/>
    <s v="unit"/>
    <n v="3.5"/>
    <n v="0"/>
    <n v="0"/>
    <n v="875"/>
    <s v="AB"/>
    <x v="58"/>
    <x v="0"/>
    <s v="Gelato dried flower 3.5g_driedflower_labelled_RTV"/>
    <n v="39"/>
  </r>
  <r>
    <n v="289"/>
    <n v="0"/>
    <x v="238"/>
    <x v="0"/>
    <s v="T028DF"/>
    <s v="NA"/>
    <s v="T028DFNA"/>
    <s v="driedflower_labelled_RTV"/>
    <x v="89"/>
    <x v="93"/>
    <x v="64"/>
    <n v="250"/>
    <s v="unit"/>
    <n v="3.5"/>
    <n v="0"/>
    <n v="0"/>
    <n v="875"/>
    <s v="AB"/>
    <x v="58"/>
    <x v="0"/>
    <s v="Gelato dried flower 3.5g_driedflower_labelled_RTV"/>
    <n v="39"/>
  </r>
  <r>
    <n v="290"/>
    <n v="0"/>
    <x v="239"/>
    <x v="0"/>
    <s v="T029DF"/>
    <s v="NA"/>
    <s v="T029DFNA"/>
    <s v="driedflower_labelled_RTV"/>
    <x v="89"/>
    <x v="93"/>
    <x v="64"/>
    <n v="250"/>
    <s v="unit"/>
    <n v="3.5"/>
    <n v="0"/>
    <n v="0"/>
    <n v="875"/>
    <s v="AB"/>
    <x v="58"/>
    <x v="0"/>
    <s v="Gelato dried flower 3.5g_driedflower_labelled_RTV"/>
    <n v="39"/>
  </r>
  <r>
    <n v="291"/>
    <n v="0"/>
    <x v="240"/>
    <x v="0"/>
    <s v="T030DF"/>
    <s v="NA"/>
    <s v="T030DFNA"/>
    <s v="driedflower_labelled_RTV"/>
    <x v="89"/>
    <x v="93"/>
    <x v="64"/>
    <n v="108"/>
    <s v="unit"/>
    <n v="3.5"/>
    <n v="0"/>
    <n v="0"/>
    <n v="378"/>
    <s v="AB"/>
    <x v="58"/>
    <x v="0"/>
    <s v="Gelato dried flower 3.5g_driedflower_labelled_RTV"/>
    <n v="39"/>
  </r>
  <r>
    <n v="292"/>
    <n v="0"/>
    <x v="241"/>
    <x v="0"/>
    <s v="T031DF"/>
    <s v="NA"/>
    <s v="T031DFNA"/>
    <s v="driedflower_labelled_RTV"/>
    <x v="89"/>
    <x v="93"/>
    <x v="64"/>
    <n v="72"/>
    <s v="unit"/>
    <n v="3.5"/>
    <n v="0"/>
    <n v="0"/>
    <n v="252"/>
    <s v="AB"/>
    <x v="58"/>
    <x v="0"/>
    <s v="Gelato dried flower 3.5g_driedflower_labelled_RTV"/>
    <n v="39"/>
  </r>
  <r>
    <n v="293"/>
    <n v="0"/>
    <x v="242"/>
    <x v="0"/>
    <s v="T032DF"/>
    <s v="NA"/>
    <s v="T032DFNA"/>
    <s v="driedflower_labelled_RTV"/>
    <x v="89"/>
    <x v="93"/>
    <x v="71"/>
    <n v="15"/>
    <s v="unit"/>
    <n v="3.5"/>
    <n v="0"/>
    <n v="0"/>
    <n v="52.5"/>
    <s v="BC"/>
    <x v="58"/>
    <x v="0"/>
    <s v="Gelato dried flower 3.5g_driedflower_labelled_RTV"/>
    <n v="39"/>
  </r>
  <r>
    <n v="295"/>
    <n v="0"/>
    <x v="243"/>
    <x v="1"/>
    <s v="T029EX"/>
    <s v="NA"/>
    <s v="T029EXNA"/>
    <s v="extract_inhaled_packaged"/>
    <x v="99"/>
    <x v="106"/>
    <x v="2"/>
    <n v="200"/>
    <s v="unit"/>
    <n v="0.5"/>
    <n v="0"/>
    <n v="0"/>
    <n v="100"/>
    <m/>
    <x v="59"/>
    <x v="0"/>
    <s v="November Rain Vape Tropical Meteor Shower 0.5g Sativa_extract_inhaled_packaged"/>
    <n v="91"/>
  </r>
  <r>
    <n v="302"/>
    <n v="0"/>
    <x v="244"/>
    <x v="0"/>
    <s v="T033DF"/>
    <s v="NA"/>
    <s v="T033DFNA"/>
    <s v="driedflower_bulk_unknown"/>
    <x v="80"/>
    <x v="83"/>
    <x v="2"/>
    <n v="1"/>
    <s v="bag"/>
    <n v="2369"/>
    <n v="2448"/>
    <n v="79"/>
    <n v="2369"/>
    <m/>
    <x v="59"/>
    <x v="1"/>
    <s v="Tropicanna Cookies dried flower_driedflower_bulk_unknown"/>
    <s v=""/>
  </r>
  <r>
    <n v="303"/>
    <n v="0"/>
    <x v="245"/>
    <x v="0"/>
    <s v="T033DF"/>
    <s v="NA"/>
    <s v="T033DFNA"/>
    <s v="driedflower_bulk_unknown"/>
    <x v="100"/>
    <x v="107"/>
    <x v="2"/>
    <n v="1"/>
    <s v="bag"/>
    <n v="436"/>
    <n v="484"/>
    <n v="48"/>
    <n v="436"/>
    <m/>
    <x v="59"/>
    <x v="1"/>
    <s v="Lotus Venture Kalifornia dried flower_driedflower_bulk_unknown"/>
    <s v=""/>
  </r>
  <r>
    <n v="304"/>
    <n v="0"/>
    <x v="246"/>
    <x v="0"/>
    <s v="T033DF"/>
    <s v="NA"/>
    <s v="T033DFNA"/>
    <s v="driedflower_trim_unknown_inferior"/>
    <x v="101"/>
    <x v="108"/>
    <x v="2"/>
    <n v="1"/>
    <s v="bag"/>
    <n v="1005"/>
    <n v="1038"/>
    <n v="33"/>
    <n v="1005"/>
    <m/>
    <x v="59"/>
    <x v="1"/>
    <s v="Atlas trims_driedflower_trim_unknown_inferior"/>
    <s v=""/>
  </r>
  <r>
    <n v="305"/>
    <n v="0"/>
    <x v="247"/>
    <x v="0"/>
    <s v="T033DF"/>
    <s v="NA"/>
    <s v="T033DFNA"/>
    <s v="driedflower_trim_unknown_inferior"/>
    <x v="102"/>
    <x v="109"/>
    <x v="2"/>
    <n v="1"/>
    <s v="bag"/>
    <n v="234.4"/>
    <n v="270"/>
    <n v="35.6"/>
    <n v="234.4"/>
    <m/>
    <x v="59"/>
    <x v="1"/>
    <s v="HHH _driedflower_trim_unknown_inferior"/>
    <s v=""/>
  </r>
  <r>
    <n v="306"/>
    <n v="0"/>
    <x v="248"/>
    <x v="0"/>
    <s v="T033DF"/>
    <s v="NA"/>
    <s v="T033DFNA"/>
    <s v="driedflower_trim_unknown_inferior"/>
    <x v="85"/>
    <x v="108"/>
    <x v="2"/>
    <n v="1"/>
    <s v="bag"/>
    <n v="620"/>
    <n v="644"/>
    <n v="24"/>
    <n v="620"/>
    <m/>
    <x v="59"/>
    <x v="1"/>
    <s v="unknown trim_driedflower_trim_unknown_inferior"/>
    <s v=""/>
  </r>
  <r>
    <n v="307"/>
    <n v="0"/>
    <x v="249"/>
    <x v="0"/>
    <s v="T033DF"/>
    <s v="NA"/>
    <s v="T033DFNA"/>
    <s v="driedflower_trim_unknown_inferior"/>
    <x v="101"/>
    <x v="108"/>
    <x v="2"/>
    <n v="1"/>
    <s v="bag"/>
    <n v="1005"/>
    <n v="1038"/>
    <n v="33"/>
    <n v="1005"/>
    <m/>
    <x v="59"/>
    <x v="1"/>
    <s v="Atlas trims_driedflower_trim_unknown_inferior"/>
    <s v=""/>
  </r>
  <r>
    <n v="308"/>
    <n v="0"/>
    <x v="250"/>
    <x v="0"/>
    <s v="T033DF"/>
    <s v="NA"/>
    <s v="T033DFNA"/>
    <s v="driedflower_trim_unknown_inferior"/>
    <x v="101"/>
    <x v="108"/>
    <x v="2"/>
    <n v="1"/>
    <s v="bag"/>
    <n v="1003"/>
    <n v="1036"/>
    <n v="33"/>
    <n v="1003"/>
    <m/>
    <x v="59"/>
    <x v="1"/>
    <s v="Atlas trims_driedflower_trim_unknown_inferior"/>
    <s v=""/>
  </r>
  <r>
    <n v="309"/>
    <n v="0"/>
    <x v="251"/>
    <x v="0"/>
    <s v="T033DF"/>
    <s v="NA"/>
    <s v="T033DFNA"/>
    <s v="driedflower_trim_unknown_inferior"/>
    <x v="85"/>
    <x v="110"/>
    <x v="2"/>
    <n v="1"/>
    <s v="bag"/>
    <n v="1828"/>
    <n v="1866"/>
    <n v="38"/>
    <n v="1828"/>
    <m/>
    <x v="59"/>
    <x v="1"/>
    <s v="unknown trim_driedflower_trim_unknown_inferior"/>
    <s v=""/>
  </r>
  <r>
    <n v="310"/>
    <n v="0"/>
    <x v="252"/>
    <x v="0"/>
    <s v="T033DF"/>
    <s v="NA"/>
    <s v="T033DFNA"/>
    <s v="driedflower_trim_unknown_inferior"/>
    <x v="101"/>
    <x v="108"/>
    <x v="2"/>
    <n v="1"/>
    <s v="bag"/>
    <n v="1007"/>
    <n v="1040"/>
    <n v="33"/>
    <n v="1007"/>
    <m/>
    <x v="59"/>
    <x v="1"/>
    <s v="Atlas trims_driedflower_trim_unknown_inferior"/>
    <s v=""/>
  </r>
  <r>
    <n v="311"/>
    <n v="0"/>
    <x v="253"/>
    <x v="0"/>
    <s v="T033DF"/>
    <s v="NA"/>
    <s v="T033DFNA"/>
    <s v="driedflower_trim_unknown_inferior"/>
    <x v="102"/>
    <x v="109"/>
    <x v="2"/>
    <n v="1"/>
    <s v="bag"/>
    <n v="300"/>
    <n v="336"/>
    <n v="36"/>
    <n v="300"/>
    <m/>
    <x v="59"/>
    <x v="1"/>
    <s v="HHH _driedflower_trim_unknown_inferior"/>
    <s v=""/>
  </r>
  <r>
    <n v="312"/>
    <n v="0"/>
    <x v="254"/>
    <x v="0"/>
    <s v="T033DF"/>
    <s v="NA"/>
    <s v="T033DFNA"/>
    <s v="driedflower_trim_unknown_inferior"/>
    <x v="86"/>
    <x v="90"/>
    <x v="2"/>
    <n v="1"/>
    <s v="bag"/>
    <n v="7451"/>
    <n v="7530"/>
    <n v="79"/>
    <n v="7451"/>
    <m/>
    <x v="59"/>
    <x v="1"/>
    <s v="gelato trim_driedflower_trim_unknown_inferior"/>
    <s v=""/>
  </r>
  <r>
    <n v="313"/>
    <n v="0"/>
    <x v="255"/>
    <x v="0"/>
    <s v="T018DF"/>
    <s v="NA"/>
    <s v="T018DFNA"/>
    <s v="driedflower_bulk_unknown"/>
    <x v="81"/>
    <x v="111"/>
    <x v="2"/>
    <n v="1"/>
    <s v="bag"/>
    <n v="500"/>
    <n v="530"/>
    <n v="30"/>
    <n v="500"/>
    <m/>
    <x v="60"/>
    <x v="1"/>
    <s v="unknown dried flower_driedflower_bulk_unknown"/>
    <s v=""/>
  </r>
  <r>
    <n v="314"/>
    <n v="0"/>
    <x v="256"/>
    <x v="0"/>
    <s v="T018DF"/>
    <s v="NA"/>
    <s v="T018DFNA"/>
    <s v="driedflower_trim_unknown_inferior"/>
    <x v="86"/>
    <x v="8"/>
    <x v="2"/>
    <n v="1"/>
    <s v="bag"/>
    <n v="758"/>
    <n v="824"/>
    <n v="66"/>
    <n v="758"/>
    <m/>
    <x v="60"/>
    <x v="1"/>
    <s v="gelato trim_driedflower_trim_unknown_inferior"/>
    <s v=""/>
  </r>
  <r>
    <n v="315"/>
    <n v="0"/>
    <x v="257"/>
    <x v="0"/>
    <s v="T018DF"/>
    <s v="NA"/>
    <s v="T018DFNA"/>
    <s v="driedflower_trim_unknown_inferior"/>
    <x v="103"/>
    <x v="112"/>
    <x v="2"/>
    <n v="1"/>
    <s v="bag"/>
    <n v="68"/>
    <n v="134"/>
    <n v="66"/>
    <n v="68"/>
    <m/>
    <x v="60"/>
    <x v="1"/>
    <s v="Choc lava cake trim_driedflower_trim_unknown_inferior"/>
    <n v="21"/>
  </r>
  <r>
    <n v="316"/>
    <n v="0"/>
    <x v="258"/>
    <x v="0"/>
    <s v="T018DF"/>
    <s v="NA"/>
    <s v="T018DFNA"/>
    <s v="driedflower_trim_unknown_inferior"/>
    <x v="104"/>
    <x v="18"/>
    <x v="2"/>
    <n v="1"/>
    <s v="bag"/>
    <n v="36.03"/>
    <n v="46"/>
    <n v="9.9699999999999989"/>
    <n v="36.03"/>
    <m/>
    <x v="61"/>
    <x v="1"/>
    <s v="Orr's layer cake trim_driedflower_trim_unknown_inferior"/>
    <s v=""/>
  </r>
  <r>
    <n v="317"/>
    <n v="0"/>
    <x v="259"/>
    <x v="0"/>
    <s v="T006TP"/>
    <s v="NA"/>
    <s v="T006TPNA"/>
    <s v="topical_labelled_RTV"/>
    <x v="105"/>
    <x v="113"/>
    <x v="18"/>
    <n v="550"/>
    <s v="unit"/>
    <n v="75"/>
    <n v="0"/>
    <n v="0"/>
    <n v="41250"/>
    <m/>
    <x v="62"/>
    <x v="0"/>
    <s v="Backforty Blends Glacial Gold Clay Face Mask_topical_labelled_RTV"/>
    <n v="8"/>
  </r>
  <r>
    <n v="318"/>
    <n v="0"/>
    <x v="260"/>
    <x v="1"/>
    <s v="NA"/>
    <s v="NA"/>
    <s v="Orbis ON warehouse"/>
    <s v="extract_ingested_labelled"/>
    <x v="78"/>
    <x v="99"/>
    <x v="68"/>
    <n v="0"/>
    <s v="unit"/>
    <n v="50"/>
    <n v="0"/>
    <n v="0"/>
    <n v="0"/>
    <s v="ON"/>
    <x v="63"/>
    <x v="0"/>
    <s v="Pot Shot Tropical Fruits 151mg_extract_ingested_labelled"/>
    <n v="99"/>
  </r>
  <r>
    <n v="321"/>
    <n v="0"/>
    <x v="261"/>
    <x v="1"/>
    <s v="T017PR"/>
    <s v="NA"/>
    <s v="T017PRNA"/>
    <s v="preroll_labelled"/>
    <x v="94"/>
    <x v="42"/>
    <x v="72"/>
    <n v="72"/>
    <s v="unit"/>
    <n v="1"/>
    <n v="0"/>
    <n v="0"/>
    <n v="72"/>
    <m/>
    <x v="64"/>
    <x v="0"/>
    <s v="Gelato preroll 1 x 1g_preroll_labelled"/>
    <n v="44"/>
  </r>
  <r>
    <n v="152"/>
    <n v="0"/>
    <x v="262"/>
    <x v="1"/>
    <s v="T035PR"/>
    <s v="NA"/>
    <s v="T035PRNA"/>
    <s v="preroll_labelled"/>
    <x v="106"/>
    <x v="114"/>
    <x v="73"/>
    <n v="114"/>
    <s v="unit"/>
    <n v="1.5"/>
    <n v="0"/>
    <n v="0"/>
    <n v="171"/>
    <m/>
    <x v="65"/>
    <x v="0"/>
    <s v="November Rain Lemon Ice Tea preroll 3 x 0.5g_preroll_labelled"/>
    <n v="77"/>
  </r>
  <r>
    <n v="155"/>
    <n v="0"/>
    <x v="263"/>
    <x v="1"/>
    <s v="T036PR"/>
    <s v="NA"/>
    <s v="T036PRNA"/>
    <s v="preroll_packaged"/>
    <x v="98"/>
    <x v="104"/>
    <x v="72"/>
    <n v="164"/>
    <s v="unit"/>
    <n v="1.5"/>
    <n v="0"/>
    <n v="0"/>
    <n v="246"/>
    <m/>
    <x v="66"/>
    <x v="0"/>
    <s v="November Rain Blueberry preroll 3 x 0.5g_preroll_packaged"/>
    <n v="123"/>
  </r>
  <r>
    <n v="325"/>
    <n v="0"/>
    <x v="264"/>
    <x v="1"/>
    <s v="T036EX"/>
    <s v="NA"/>
    <s v="T036EXNA"/>
    <s v="extract_inhaled_packaged"/>
    <x v="107"/>
    <x v="115"/>
    <x v="2"/>
    <n v="164"/>
    <s v="unit"/>
    <n v="0.5"/>
    <n v="0"/>
    <n v="0"/>
    <n v="104"/>
    <m/>
    <x v="67"/>
    <x v="0"/>
    <s v="November Rain Vape Strawberry Drizzle 0.5g Hybrid_extract_inhaled_packaged"/>
    <n v="88"/>
  </r>
  <r>
    <n v="163"/>
    <n v="0"/>
    <x v="265"/>
    <x v="1"/>
    <s v="B001EX"/>
    <s v="NA"/>
    <s v="B001EXNA"/>
    <s v="extract_ingested_labelled"/>
    <x v="78"/>
    <x v="116"/>
    <x v="46"/>
    <n v="7"/>
    <s v="unit"/>
    <n v="50"/>
    <n v="0"/>
    <n v="0"/>
    <n v="350"/>
    <m/>
    <x v="68"/>
    <x v="0"/>
    <s v="Pot Shot Tropical Fruits 151mg_extract_ingested_labelled"/>
    <n v="99"/>
  </r>
  <r>
    <n v="294"/>
    <n v="0"/>
    <x v="266"/>
    <x v="1"/>
    <s v="T028EX"/>
    <s v="NA"/>
    <s v="T028EXNA"/>
    <s v="extract_inhaled_labelled"/>
    <x v="99"/>
    <x v="117"/>
    <x v="74"/>
    <n v="31"/>
    <s v="unit"/>
    <n v="0.5"/>
    <n v="0"/>
    <n v="0"/>
    <n v="15.5"/>
    <m/>
    <x v="69"/>
    <x v="0"/>
    <s v="November Rain Vape Tropical Meteor Shower 0.5g Sativa_extract_inhaled_labelled"/>
    <n v="90"/>
  </r>
  <r>
    <n v="300"/>
    <n v="0"/>
    <x v="267"/>
    <x v="1"/>
    <s v="T034EX"/>
    <s v="NA"/>
    <s v="T034EXNA"/>
    <s v="extract_inhaled_labelled"/>
    <x v="108"/>
    <x v="118"/>
    <x v="74"/>
    <n v="93"/>
    <s v="unit"/>
    <n v="0.5"/>
    <n v="0"/>
    <n v="0"/>
    <n v="46.5"/>
    <m/>
    <x v="70"/>
    <x v="0"/>
    <s v="November Rain Vape Platinum Sunrise 0.5G Sativa_extract_inhaled_labelled"/>
    <n v="87"/>
  </r>
  <r>
    <n v="328"/>
    <n v="0"/>
    <x v="268"/>
    <x v="1"/>
    <s v="T039EX"/>
    <s v="NA"/>
    <s v="T039EXNA"/>
    <s v="extract_inhaled_labelled"/>
    <x v="108"/>
    <x v="118"/>
    <x v="74"/>
    <n v="11"/>
    <s v="unit"/>
    <n v="0.5"/>
    <n v="0"/>
    <n v="0"/>
    <n v="5.5"/>
    <m/>
    <x v="70"/>
    <x v="0"/>
    <s v="November Rain Vape Platinum Sunrise 0.5g Sativa_extract_inhaled_labelled"/>
    <n v="87"/>
  </r>
  <r>
    <n v="330"/>
    <n v="0"/>
    <x v="269"/>
    <x v="1"/>
    <s v="J016EX"/>
    <s v="NA"/>
    <s v="J016EXNA"/>
    <s v="extract_inhaled_bulk"/>
    <x v="109"/>
    <x v="106"/>
    <x v="2"/>
    <n v="1"/>
    <s v="unit"/>
    <n v="336.29999999999995"/>
    <n v="918.3"/>
    <n v="582"/>
    <n v="336.29999999999995"/>
    <m/>
    <x v="71"/>
    <x v="1"/>
    <s v="Tropical Meteor Shower Sativa Vape_extract_inhaled_bulk"/>
    <n v="106"/>
  </r>
  <r>
    <n v="331"/>
    <n v="0"/>
    <x v="270"/>
    <x v="1"/>
    <s v="T040EX"/>
    <s v="NA"/>
    <s v="T040EXNA"/>
    <s v="extract_inhaled_packaged"/>
    <x v="110"/>
    <x v="119"/>
    <x v="2"/>
    <n v="120"/>
    <s v="unit"/>
    <n v="0.5"/>
    <n v="0"/>
    <n v="0"/>
    <n v="60"/>
    <m/>
    <x v="71"/>
    <x v="0"/>
    <s v="November Rain Vape Canadian OG_extract_inhaled_packaged"/>
    <n v="81"/>
  </r>
  <r>
    <n v="77"/>
    <n v="0"/>
    <x v="271"/>
    <x v="1"/>
    <s v="T002TP"/>
    <s v="NA"/>
    <s v="T002TPNA"/>
    <s v="topical_labelled"/>
    <x v="55"/>
    <x v="32"/>
    <x v="25"/>
    <n v="142"/>
    <s v="unit"/>
    <n v="88"/>
    <n v="0"/>
    <n v="0"/>
    <n v="12496"/>
    <m/>
    <x v="72"/>
    <x v="0"/>
    <s v="Maximum Strength Roll-on 88g_topical_labelled"/>
    <n v="72"/>
  </r>
  <r>
    <n v="301"/>
    <n v="0"/>
    <x v="272"/>
    <x v="1"/>
    <s v="T035EX"/>
    <s v="NA"/>
    <s v="T035EXNA"/>
    <s v="extract_inhaled_labelled"/>
    <x v="108"/>
    <x v="118"/>
    <x v="74"/>
    <n v="73"/>
    <s v="unit"/>
    <n v="0.5"/>
    <n v="0"/>
    <n v="0"/>
    <n v="36.5"/>
    <m/>
    <x v="73"/>
    <x v="0"/>
    <s v="November Rain Vape Platinum Sunrise 0.5G Sativa_extract_inhaled_labelled"/>
    <n v="87"/>
  </r>
  <r>
    <n v="285"/>
    <n v="0"/>
    <x v="273"/>
    <x v="1"/>
    <s v="T022EX"/>
    <s v="NA"/>
    <s v="T022EXNA"/>
    <s v="extract_ingested_labelled"/>
    <x v="78"/>
    <x v="120"/>
    <x v="75"/>
    <n v="228"/>
    <s v="unit"/>
    <n v="50"/>
    <n v="0"/>
    <n v="0"/>
    <n v="11400"/>
    <m/>
    <x v="74"/>
    <x v="0"/>
    <s v="Pot Shot Tropical Fruits 151mg_extract_ingested_labelled"/>
    <n v="99"/>
  </r>
  <r>
    <n v="287"/>
    <n v="0"/>
    <x v="274"/>
    <x v="1"/>
    <s v="T024EX"/>
    <s v="NA"/>
    <s v="T024EXNA"/>
    <s v="extract_ingested_labelled"/>
    <x v="78"/>
    <x v="120"/>
    <x v="75"/>
    <n v="231"/>
    <s v="unit"/>
    <n v="50"/>
    <n v="0"/>
    <n v="0"/>
    <n v="11550"/>
    <m/>
    <x v="75"/>
    <x v="0"/>
    <s v="Pot Shot Tropical Fruits 151mg_extract_ingested_labelled"/>
    <n v="99"/>
  </r>
  <r>
    <n v="326"/>
    <n v="0"/>
    <x v="275"/>
    <x v="1"/>
    <s v="T037EX"/>
    <s v="NA"/>
    <s v="T037EXNA"/>
    <s v="extract_inhaled_labelled"/>
    <x v="107"/>
    <x v="115"/>
    <x v="74"/>
    <n v="84"/>
    <s v="unit"/>
    <n v="0.5"/>
    <n v="0"/>
    <n v="0"/>
    <n v="104"/>
    <m/>
    <x v="76"/>
    <x v="0"/>
    <s v="November Rain Vape Strawberry Drizzle 0.5g Hybrid_extract_inhaled_labelled"/>
    <n v="89"/>
  </r>
  <r>
    <n v="333"/>
    <n v="0"/>
    <x v="276"/>
    <x v="1"/>
    <s v="T042EX"/>
    <s v="NA"/>
    <s v="T042EXNA"/>
    <s v="extract_inhaled_labelled"/>
    <x v="107"/>
    <x v="115"/>
    <x v="74"/>
    <n v="204"/>
    <s v="unit"/>
    <n v="0.5"/>
    <n v="0"/>
    <n v="0"/>
    <n v="102"/>
    <m/>
    <x v="77"/>
    <x v="0"/>
    <s v="November Rain Vape Strawberry Drizzle 0.5g Hybrid_extract_inhaled_labelled"/>
    <n v="89"/>
  </r>
  <r>
    <n v="334"/>
    <n v="0"/>
    <x v="277"/>
    <x v="1"/>
    <s v="T043EX"/>
    <s v="NA"/>
    <s v="T043EXNA"/>
    <s v="extract_inhaled_labelled"/>
    <x v="99"/>
    <x v="117"/>
    <x v="74"/>
    <n v="149"/>
    <s v="unit"/>
    <n v="0.5"/>
    <n v="0"/>
    <n v="0"/>
    <n v="74.5"/>
    <m/>
    <x v="78"/>
    <x v="0"/>
    <s v="November Rain Vape Tropical Meteor Shower 0.5g Sativa_extract_inhaled_labelled"/>
    <n v="90"/>
  </r>
  <r>
    <n v="327"/>
    <n v="0"/>
    <x v="278"/>
    <x v="1"/>
    <s v="T038EX"/>
    <s v="NA"/>
    <s v="T038EXNA"/>
    <s v="extract_inhaled_labelled"/>
    <x v="107"/>
    <x v="115"/>
    <x v="74"/>
    <n v="108"/>
    <s v="unit"/>
    <n v="0.5"/>
    <n v="0"/>
    <n v="0"/>
    <n v="104"/>
    <m/>
    <x v="79"/>
    <x v="0"/>
    <s v="November Rain Vape Strawberry Drizzle 0.5g Hybrid_extract_inhaled_labelled"/>
    <n v="89"/>
  </r>
  <r>
    <n v="296"/>
    <n v="0"/>
    <x v="279"/>
    <x v="1"/>
    <s v="T030EX"/>
    <s v="NA"/>
    <s v="T030EXNA"/>
    <s v="extract_inhaled_labelled"/>
    <x v="99"/>
    <x v="117"/>
    <x v="74"/>
    <n v="87"/>
    <s v="unit"/>
    <n v="0.5"/>
    <n v="0"/>
    <n v="0"/>
    <n v="43.5"/>
    <m/>
    <x v="80"/>
    <x v="0"/>
    <s v="November Rain Vape Tropical Meteor Shower 0.5g Sativa_extract_inhaled_labelled"/>
    <n v="90"/>
  </r>
  <r>
    <n v="297"/>
    <n v="0"/>
    <x v="280"/>
    <x v="1"/>
    <s v="T031EX"/>
    <s v="NA"/>
    <s v="T031EXNA"/>
    <s v="extract_inhaled_labelled"/>
    <x v="111"/>
    <x v="121"/>
    <x v="74"/>
    <n v="9"/>
    <s v="unit"/>
    <n v="0.5"/>
    <n v="0"/>
    <n v="0"/>
    <n v="4.5"/>
    <m/>
    <x v="80"/>
    <x v="0"/>
    <s v="November Rain Vape Caribbean Breeze Hybrid 0.5g Live Rosin Disposable Bar_extract_inhaled_labelled"/>
    <n v="85"/>
  </r>
  <r>
    <n v="298"/>
    <n v="0"/>
    <x v="281"/>
    <x v="1"/>
    <s v="T032EX"/>
    <s v="NA"/>
    <s v="T032EXNA"/>
    <s v="extract_inhaled_labelled"/>
    <x v="0"/>
    <x v="122"/>
    <x v="74"/>
    <n v="17"/>
    <s v="unit"/>
    <n v="0.5"/>
    <n v="0"/>
    <n v="0"/>
    <n v="8.5"/>
    <m/>
    <x v="80"/>
    <x v="0"/>
    <s v="November Rain Vape Canadian Thunder 0.5g Sativa_extract_inhaled_labelled"/>
    <n v="83"/>
  </r>
  <r>
    <n v="335"/>
    <n v="0"/>
    <x v="282"/>
    <x v="1"/>
    <s v="T034DF"/>
    <s v="C-01041"/>
    <s v="T034DFC-01041"/>
    <s v="driedflower_bulk_BURB"/>
    <x v="112"/>
    <x v="123"/>
    <x v="2"/>
    <n v="1"/>
    <s v="unit"/>
    <n v="3000"/>
    <n v="3102"/>
    <n v="102"/>
    <n v="3000"/>
    <s v="LG A001"/>
    <x v="81"/>
    <x v="1"/>
    <s v="Abby Leaf Inc Licorish Gumball dried flower_driedflower_bulk_BURB"/>
    <n v="4"/>
  </r>
  <r>
    <n v="336"/>
    <n v="0"/>
    <x v="283"/>
    <x v="1"/>
    <s v="T034DF"/>
    <s v="C-01042"/>
    <s v="T034DFC-01042"/>
    <s v="driedflower_bulk_BURB"/>
    <x v="112"/>
    <x v="123"/>
    <x v="2"/>
    <n v="1"/>
    <s v="unit"/>
    <n v="2900"/>
    <n v="2994"/>
    <n v="94"/>
    <n v="2900"/>
    <s v="LG A001"/>
    <x v="81"/>
    <x v="1"/>
    <s v="Abby Leaf Inc Licorish Gumball dried flower_driedflower_bulk_BURB"/>
    <n v="4"/>
  </r>
  <r>
    <n v="337"/>
    <n v="0"/>
    <x v="284"/>
    <x v="1"/>
    <s v="T034DF"/>
    <s v="C-00962"/>
    <s v="T034DFC-00962"/>
    <s v="driedflower_bulk_BURB"/>
    <x v="113"/>
    <x v="124"/>
    <x v="2"/>
    <n v="1"/>
    <s v="unit"/>
    <n v="360"/>
    <n v="454"/>
    <n v="94"/>
    <n v="454"/>
    <s v="H001"/>
    <x v="81"/>
    <x v="1"/>
    <s v="Abby Leaf Inc Licorish Gumball dried flower Grade B_driedflower_bulk_BURB"/>
    <n v="141"/>
  </r>
  <r>
    <n v="338"/>
    <n v="0"/>
    <x v="285"/>
    <x v="1"/>
    <s v="T035DF"/>
    <s v="C-00955"/>
    <s v="T035DFC-00955"/>
    <s v="driedflower_bulk_BURB"/>
    <x v="114"/>
    <x v="124"/>
    <x v="2"/>
    <n v="1"/>
    <s v="unit"/>
    <n v="1500"/>
    <n v="1560"/>
    <n v="60"/>
    <n v="1560"/>
    <s v="H001"/>
    <x v="81"/>
    <x v="1"/>
    <s v="Abby Leaf Inc Licorish Gumball dried flower Grade A_driedflower_bulk_BURB"/>
    <n v="140"/>
  </r>
  <r>
    <n v="339"/>
    <n v="0"/>
    <x v="286"/>
    <x v="1"/>
    <s v="T035DF"/>
    <s v="C-00977"/>
    <s v="T035DFC-00977"/>
    <s v="driedflower_bulk_BURB"/>
    <x v="113"/>
    <x v="124"/>
    <x v="2"/>
    <n v="1"/>
    <s v="unit"/>
    <n v="2000"/>
    <n v="2072"/>
    <n v="72"/>
    <n v="2072"/>
    <s v="H001"/>
    <x v="81"/>
    <x v="1"/>
    <s v="Abby Leaf Inc Licorish Gumball dried flower Grade B_driedflower_bulk_BURB"/>
    <n v="141"/>
  </r>
  <r>
    <n v="340"/>
    <n v="0"/>
    <x v="287"/>
    <x v="1"/>
    <s v="T035DF"/>
    <s v="C-00956"/>
    <s v="T035DFC-00956"/>
    <s v="driedflower_bulk_BURB"/>
    <x v="114"/>
    <x v="124"/>
    <x v="2"/>
    <n v="1"/>
    <s v="unit"/>
    <n v="1500"/>
    <n v="1560"/>
    <n v="60"/>
    <n v="1560"/>
    <s v="H001"/>
    <x v="81"/>
    <x v="1"/>
    <s v="Abby Leaf Inc Licorish Gumball dried flower Grade A_driedflower_bulk_BURB"/>
    <n v="140"/>
  </r>
  <r>
    <n v="341"/>
    <n v="0"/>
    <x v="288"/>
    <x v="1"/>
    <s v="T035DF"/>
    <s v="C-00965"/>
    <s v="T035DFC-00965"/>
    <s v="driedflower_bulk_BURB"/>
    <x v="113"/>
    <x v="124"/>
    <x v="2"/>
    <n v="1"/>
    <s v="unit"/>
    <n v="3500"/>
    <n v="3596"/>
    <n v="96"/>
    <n v="3596"/>
    <s v="H001"/>
    <x v="81"/>
    <x v="1"/>
    <s v="Abby Leaf Inc Licorish Gumball dried flower Grade B_driedflower_bulk_BURB"/>
    <n v="141"/>
  </r>
  <r>
    <n v="342"/>
    <n v="0"/>
    <x v="289"/>
    <x v="1"/>
    <s v="T036DF"/>
    <s v="C-01036"/>
    <s v="T036DFC-01036"/>
    <s v="driedflower_bulk_BURB"/>
    <x v="115"/>
    <x v="125"/>
    <x v="2"/>
    <n v="1"/>
    <s v="unit"/>
    <n v="3800"/>
    <n v="3930"/>
    <n v="130"/>
    <n v="3930"/>
    <s v="F002"/>
    <x v="82"/>
    <x v="1"/>
    <s v="Abby Leaf Inc Unicorn Poop Grade B_driedflower_bulk_BURB"/>
    <n v="142"/>
  </r>
  <r>
    <n v="343"/>
    <n v="0"/>
    <x v="290"/>
    <x v="1"/>
    <s v="T036DF"/>
    <s v="C-01033"/>
    <s v="T036DFC-01033"/>
    <s v="driedflower_bulk_BURB"/>
    <x v="116"/>
    <x v="125"/>
    <x v="2"/>
    <n v="1"/>
    <s v="unit"/>
    <n v="3000"/>
    <n v="3100"/>
    <n v="100"/>
    <n v="3100"/>
    <s v="F002"/>
    <x v="82"/>
    <x v="1"/>
    <s v="Abby Leaf Inc Unicorn Poop Grade A_driedflower_bulk_BURB"/>
    <n v="143"/>
  </r>
  <r>
    <n v="344"/>
    <n v="0"/>
    <x v="291"/>
    <x v="1"/>
    <s v="T036DF"/>
    <s v="C-01032"/>
    <s v="T036DFC-01032"/>
    <s v="driedflower_bulk_BURB"/>
    <x v="116"/>
    <x v="125"/>
    <x v="2"/>
    <n v="1"/>
    <s v="unit"/>
    <n v="3000"/>
    <n v="3104"/>
    <n v="104"/>
    <n v="3104"/>
    <s v="F002"/>
    <x v="82"/>
    <x v="1"/>
    <s v="Abby Leaf Inc Unicorn Poop Grade A_driedflower_bulk_BURB"/>
    <n v="143"/>
  </r>
  <r>
    <n v="345"/>
    <n v="0"/>
    <x v="292"/>
    <x v="1"/>
    <s v="T036DF"/>
    <s v="C-01034"/>
    <s v="T036DFC-01034"/>
    <s v="driedflower_bulk_BURB"/>
    <x v="116"/>
    <x v="125"/>
    <x v="2"/>
    <n v="1"/>
    <s v="unit"/>
    <n v="2700"/>
    <n v="2868"/>
    <n v="168"/>
    <n v="2868"/>
    <s v="F002"/>
    <x v="82"/>
    <x v="1"/>
    <s v="Abby Leaf Inc Unicorn Poop Grade A_driedflower_bulk_BURB"/>
    <n v="143"/>
  </r>
  <r>
    <n v="346"/>
    <n v="0"/>
    <x v="293"/>
    <x v="1"/>
    <s v="T037DF"/>
    <s v="C-00959"/>
    <s v="T037DFC-00959"/>
    <s v="driedflower_bulk_BURB"/>
    <x v="114"/>
    <x v="124"/>
    <x v="2"/>
    <n v="1"/>
    <s v="unit"/>
    <n v="1500"/>
    <n v="1562"/>
    <n v="62"/>
    <n v="1562"/>
    <s v="H001"/>
    <x v="83"/>
    <x v="1"/>
    <s v="Abby Leaf Inc Licorish Gumball dried flower Grade A_driedflower_bulk_BURB"/>
    <n v="140"/>
  </r>
  <r>
    <n v="347"/>
    <n v="0"/>
    <x v="294"/>
    <x v="1"/>
    <s v="T037DF"/>
    <s v="C-00958"/>
    <s v="T037DFC-00958"/>
    <s v="driedflower_bulk_BURB"/>
    <x v="114"/>
    <x v="124"/>
    <x v="2"/>
    <n v="1"/>
    <s v="unit"/>
    <n v="2500"/>
    <n v="2616"/>
    <n v="116"/>
    <n v="2616"/>
    <s v="H001"/>
    <x v="83"/>
    <x v="1"/>
    <s v="Abby Leaf Inc Licorish Gumball dried flower Grade A_driedflower_bulk_BURB"/>
    <n v="140"/>
  </r>
  <r>
    <n v="348"/>
    <n v="0"/>
    <x v="295"/>
    <x v="1"/>
    <s v="T037DF"/>
    <s v="C-00976"/>
    <s v="T037DFC-00976"/>
    <s v="driedflower_bulk_BURB"/>
    <x v="114"/>
    <x v="124"/>
    <x v="2"/>
    <n v="1"/>
    <s v="unit"/>
    <n v="3500"/>
    <n v="3600"/>
    <n v="100"/>
    <n v="3600"/>
    <s v="H001"/>
    <x v="83"/>
    <x v="1"/>
    <s v="Abby Leaf Inc Licorish Gumball dried flower Grade A_driedflower_bulk_BURB"/>
    <n v="140"/>
  </r>
  <r>
    <n v="349"/>
    <n v="0"/>
    <x v="296"/>
    <x v="1"/>
    <s v="T044EX"/>
    <s v="NA"/>
    <s v="T044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0"/>
    <n v="0"/>
    <x v="297"/>
    <x v="1"/>
    <s v="T045EX"/>
    <s v="NA"/>
    <s v="T045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1"/>
    <n v="0"/>
    <x v="298"/>
    <x v="1"/>
    <s v="T046EX"/>
    <s v="NA"/>
    <s v="T046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2"/>
    <n v="0"/>
    <x v="299"/>
    <x v="1"/>
    <s v="T047EX"/>
    <s v="NA"/>
    <s v="T047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3"/>
    <n v="0"/>
    <x v="300"/>
    <x v="1"/>
    <s v="T048EX"/>
    <s v="NA"/>
    <s v="T048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4"/>
    <n v="0"/>
    <x v="301"/>
    <x v="1"/>
    <s v="T049EX"/>
    <s v="NA"/>
    <s v="T049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5"/>
    <n v="0"/>
    <x v="302"/>
    <x v="1"/>
    <s v="T050EX"/>
    <s v="NA"/>
    <s v="T050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6"/>
    <n v="0"/>
    <x v="303"/>
    <x v="1"/>
    <s v="T051EX"/>
    <s v="NA"/>
    <s v="T051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57"/>
    <n v="0"/>
    <x v="304"/>
    <x v="1"/>
    <s v="T052EX"/>
    <s v="NA"/>
    <s v="T052EXNA"/>
    <s v="extract_inhaled_packaged"/>
    <x v="0"/>
    <x v="122"/>
    <x v="2"/>
    <n v="100"/>
    <s v="unit"/>
    <n v="0.5"/>
    <n v="0"/>
    <n v="0"/>
    <n v="50"/>
    <m/>
    <x v="84"/>
    <x v="0"/>
    <s v="November Rain Vape Canadian Thunder 0.5g Sativa_extract_inhaled_packaged"/>
    <n v="84"/>
  </r>
  <r>
    <n v="360"/>
    <n v="0"/>
    <x v="305"/>
    <x v="1"/>
    <s v="T055EX"/>
    <s v="NA"/>
    <s v="T055EXNA"/>
    <s v="extract_inhaled_packaged"/>
    <x v="0"/>
    <x v="122"/>
    <x v="2"/>
    <n v="73"/>
    <s v="unit"/>
    <n v="0.5"/>
    <n v="0"/>
    <n v="0"/>
    <n v="36.5"/>
    <m/>
    <x v="84"/>
    <x v="0"/>
    <s v="November Rain Vape Canadian Thunder 0.5g Sativa_extract_inhaled_packaged"/>
    <n v="84"/>
  </r>
  <r>
    <n v="362"/>
    <n v="0"/>
    <x v="306"/>
    <x v="1"/>
    <s v="T057EX"/>
    <s v="NA"/>
    <s v="T057EXNA"/>
    <s v="extract_inhaled_packaged"/>
    <x v="111"/>
    <x v="121"/>
    <x v="2"/>
    <n v="100"/>
    <s v="unit"/>
    <n v="0.5"/>
    <n v="0"/>
    <n v="0"/>
    <n v="50"/>
    <m/>
    <x v="84"/>
    <x v="0"/>
    <s v="November Rain Vape Caribbean Breeze Hybrid 0.5g Live Rosin Disposable Bar_extract_inhaled_packaged"/>
    <n v="86"/>
  </r>
  <r>
    <n v="363"/>
    <n v="0"/>
    <x v="307"/>
    <x v="1"/>
    <s v="T058EX"/>
    <s v="NA"/>
    <s v="T058EXNA"/>
    <s v="extract_inhaled_packaged"/>
    <x v="111"/>
    <x v="121"/>
    <x v="2"/>
    <n v="100"/>
    <s v="unit"/>
    <n v="0.5"/>
    <n v="0"/>
    <n v="0"/>
    <n v="50"/>
    <m/>
    <x v="85"/>
    <x v="0"/>
    <s v="November Rain Vape Caribbean Breeze Hybrid 0.5g Live Rosin Disposable Bar_extract_inhaled_packaged"/>
    <n v="86"/>
  </r>
  <r>
    <n v="364"/>
    <n v="0"/>
    <x v="308"/>
    <x v="1"/>
    <s v="T059EX"/>
    <s v="NA"/>
    <s v="T059EXNA"/>
    <s v="extract_inhaled_labelled"/>
    <x v="99"/>
    <x v="117"/>
    <x v="74"/>
    <n v="141"/>
    <s v="unit"/>
    <n v="0.5"/>
    <n v="0"/>
    <n v="0"/>
    <n v="70.5"/>
    <m/>
    <x v="86"/>
    <x v="0"/>
    <s v="November Rain Vape Tropical Meteor Shower 0.5g Sativa_extract_inhaled_labelled"/>
    <n v="90"/>
  </r>
  <r>
    <n v="366"/>
    <n v="0"/>
    <x v="309"/>
    <x v="1"/>
    <s v="T061EX"/>
    <s v="NA"/>
    <s v="T061EXNA"/>
    <s v="extract_inhaled_packaged"/>
    <x v="99"/>
    <x v="117"/>
    <x v="2"/>
    <n v="200"/>
    <s v="unit"/>
    <n v="0.5"/>
    <n v="0"/>
    <n v="0"/>
    <n v="100"/>
    <m/>
    <x v="87"/>
    <x v="0"/>
    <s v="November Rain Vape Tropical Meteor Shower 0.5g Sativa_extract_inhaled_packaged"/>
    <n v="91"/>
  </r>
  <r>
    <n v="367"/>
    <n v="0"/>
    <x v="310"/>
    <x v="1"/>
    <s v="T062EX"/>
    <s v="NA"/>
    <s v="T062EXNA"/>
    <s v="extract_inhaled_packaged"/>
    <x v="99"/>
    <x v="117"/>
    <x v="2"/>
    <n v="200"/>
    <s v="unit"/>
    <n v="0.5"/>
    <n v="0"/>
    <n v="0"/>
    <n v="100"/>
    <m/>
    <x v="87"/>
    <x v="0"/>
    <s v="November Rain Vape Tropical Meteor Shower 0.5g Sativa_extract_inhaled_packaged"/>
    <n v="91"/>
  </r>
  <r>
    <n v="368"/>
    <n v="0"/>
    <x v="311"/>
    <x v="1"/>
    <s v="T063EX"/>
    <s v="NA"/>
    <s v="T063EXNA"/>
    <s v="extract_inhaled_packaged"/>
    <x v="99"/>
    <x v="117"/>
    <x v="2"/>
    <n v="200"/>
    <s v="unit"/>
    <n v="0.5"/>
    <n v="0"/>
    <n v="0"/>
    <n v="100"/>
    <m/>
    <x v="87"/>
    <x v="0"/>
    <s v="November Rain Vape Tropical Meteor Shower 0.5g Sativa_extract_inhaled_packaged"/>
    <n v="91"/>
  </r>
  <r>
    <n v="369"/>
    <n v="0"/>
    <x v="312"/>
    <x v="1"/>
    <s v="T064EX"/>
    <s v="NA"/>
    <s v="T064EXNA"/>
    <s v="extract_inhaled_packaged"/>
    <x v="107"/>
    <x v="115"/>
    <x v="2"/>
    <n v="200"/>
    <s v="unit"/>
    <n v="0.5"/>
    <n v="0"/>
    <n v="0"/>
    <n v="100"/>
    <m/>
    <x v="88"/>
    <x v="0"/>
    <s v="November Rain Vape Strawberry Drizzle 0.5g Hybrid_extract_inhaled_packaged"/>
    <n v="88"/>
  </r>
  <r>
    <n v="370"/>
    <n v="0"/>
    <x v="313"/>
    <x v="1"/>
    <s v="T065EX"/>
    <s v="NA"/>
    <s v="T065EXNA"/>
    <s v="extract_inhaled_packaged"/>
    <x v="107"/>
    <x v="115"/>
    <x v="2"/>
    <n v="200"/>
    <s v="unit"/>
    <n v="0.5"/>
    <n v="0"/>
    <n v="0"/>
    <n v="100"/>
    <m/>
    <x v="88"/>
    <x v="0"/>
    <s v="November Rain Vape Strawberry Drizzle 0.5g Hybrid_extract_inhaled_packaged"/>
    <n v="88"/>
  </r>
  <r>
    <n v="371"/>
    <n v="0"/>
    <x v="314"/>
    <x v="1"/>
    <s v="T066EX"/>
    <s v="NA"/>
    <s v="T066EXNA"/>
    <s v="extract_inhaled_packaged"/>
    <x v="107"/>
    <x v="115"/>
    <x v="2"/>
    <n v="200"/>
    <s v="unit"/>
    <n v="0.5"/>
    <n v="0"/>
    <n v="0"/>
    <n v="100"/>
    <m/>
    <x v="88"/>
    <x v="0"/>
    <s v="November Rain Vape Strawberry Drizzle 0.5g Hybrid_extract_inhaled_packaged"/>
    <n v="88"/>
  </r>
  <r>
    <n v="373"/>
    <n v="0"/>
    <x v="315"/>
    <x v="1"/>
    <s v="T068EX"/>
    <s v="NA"/>
    <s v="T068EXNA"/>
    <s v="extract_inhaled_labelled"/>
    <x v="117"/>
    <x v="126"/>
    <x v="76"/>
    <n v="83"/>
    <s v="unit"/>
    <n v="0.5"/>
    <n v="0"/>
    <n v="0"/>
    <n v="41.5"/>
    <m/>
    <x v="89"/>
    <x v="0"/>
    <s v="November Rain Vape Canadian OG Vape 0.5g_extract_inhaled_labelled"/>
    <n v="82"/>
  </r>
  <r>
    <n v="257"/>
    <n v="0"/>
    <x v="316"/>
    <x v="1"/>
    <s v="J012EX"/>
    <s v="NA"/>
    <s v="J012EXNA"/>
    <s v="extract_distillate_bulk"/>
    <x v="92"/>
    <x v="127"/>
    <x v="2"/>
    <n v="1"/>
    <s v="unit"/>
    <n v="142.50000000000003"/>
    <n v="355.1"/>
    <n v="212.6"/>
    <n v="142.50000000000003"/>
    <m/>
    <x v="90"/>
    <x v="1"/>
    <s v="THC distillate_extract_distillate_bulk"/>
    <n v="104"/>
  </r>
  <r>
    <n v="75"/>
    <n v="0"/>
    <x v="317"/>
    <x v="1"/>
    <s v="J001EX"/>
    <s v="NA"/>
    <s v="J001EXNA"/>
    <s v="extract_distillate_bulk"/>
    <x v="92"/>
    <x v="98"/>
    <x v="77"/>
    <n v="1"/>
    <s v="container"/>
    <n v="72.599999999999966"/>
    <n v="365.2"/>
    <n v="292.60000000000002"/>
    <n v="72.599999999999966"/>
    <m/>
    <x v="91"/>
    <x v="1"/>
    <s v="THC Distillate_extract_distillate_bulk"/>
    <n v="104"/>
  </r>
  <r>
    <n v="329"/>
    <n v="0"/>
    <x v="318"/>
    <x v="1"/>
    <s v="J015EX"/>
    <s v="NA"/>
    <s v="J015EXNA"/>
    <s v="extract_inhaled_bulk"/>
    <x v="118"/>
    <x v="128"/>
    <x v="2"/>
    <n v="1"/>
    <s v="unit"/>
    <n v="3.1000000000000227"/>
    <n v="588"/>
    <n v="584.9"/>
    <n v="3.1000000000000227"/>
    <m/>
    <x v="92"/>
    <x v="1"/>
    <s v="Canadian Thunder Rosin Vape_extract_inhaled_bulk"/>
    <n v="15"/>
  </r>
  <r>
    <n v="246"/>
    <n v="0"/>
    <x v="319"/>
    <x v="1"/>
    <s v="J004EX"/>
    <s v="NA"/>
    <s v="J004EXNA"/>
    <s v="extract_inhaled_bulk"/>
    <x v="90"/>
    <x v="94"/>
    <x v="65"/>
    <n v="1"/>
    <s v="container"/>
    <n v="649.90000000000009"/>
    <n v="1233.4000000000001"/>
    <n v="583.5"/>
    <n v="649.90000000000009"/>
    <m/>
    <x v="93"/>
    <x v="1"/>
    <s v="Live Rosin_extract_inhaled_bulk"/>
    <s v=""/>
  </r>
  <r>
    <n v="256"/>
    <n v="0"/>
    <x v="320"/>
    <x v="1"/>
    <s v="T021EX"/>
    <s v="NA"/>
    <s v="T021EXNA"/>
    <s v="extract_ingested_labelled_damaged"/>
    <x v="78"/>
    <x v="99"/>
    <x v="68"/>
    <n v="1"/>
    <s v="unit"/>
    <n v="50"/>
    <n v="0"/>
    <n v="0"/>
    <n v="50"/>
    <s v="damaged"/>
    <x v="94"/>
    <x v="0"/>
    <s v="Pot Shot Tropical Fruits 151mg_extract_ingested_labelled_damaged"/>
    <n v="126"/>
  </r>
  <r>
    <n v="323"/>
    <n v="0"/>
    <x v="321"/>
    <x v="1"/>
    <s v="T044PR"/>
    <s v="NA"/>
    <s v="T044PRNA"/>
    <s v="preroll_labelled"/>
    <x v="70"/>
    <x v="71"/>
    <x v="78"/>
    <n v="360"/>
    <s v="unit"/>
    <n v="1.5"/>
    <n v="0"/>
    <n v="0"/>
    <n v="540"/>
    <m/>
    <x v="95"/>
    <x v="0"/>
    <s v="November Rain Rose preroll 3 x 0.5g_preroll_labelled"/>
    <n v="79"/>
  </r>
  <r>
    <n v="324"/>
    <n v="0"/>
    <x v="322"/>
    <x v="1"/>
    <s v="T044PR"/>
    <s v="NA"/>
    <s v="T044PRNA"/>
    <s v="preroll_packaged"/>
    <x v="70"/>
    <x v="71"/>
    <x v="2"/>
    <n v="58"/>
    <s v="unit"/>
    <n v="1.5"/>
    <n v="0"/>
    <n v="0"/>
    <n v="87"/>
    <m/>
    <x v="95"/>
    <x v="0"/>
    <s v="November Rain Rose preroll 3 x 0.5g_preroll_packaged"/>
    <n v="124"/>
  </r>
  <r>
    <n v="358"/>
    <n v="0"/>
    <x v="323"/>
    <x v="1"/>
    <s v="T053EX"/>
    <s v="NA"/>
    <s v="T053EXNA"/>
    <s v="extract_inhaled_labelled"/>
    <x v="99"/>
    <x v="117"/>
    <x v="74"/>
    <n v="8"/>
    <s v="unit"/>
    <n v="0.5"/>
    <n v="0"/>
    <n v="0"/>
    <n v="4"/>
    <m/>
    <x v="96"/>
    <x v="0"/>
    <s v="November Rain Vape Tropical Meteor Shower 0.5g Sativa_extract_inhaled_labelled"/>
    <n v="90"/>
  </r>
  <r>
    <n v="365"/>
    <n v="0"/>
    <x v="324"/>
    <x v="0"/>
    <s v="T060EX"/>
    <s v="NA"/>
    <s v="T060EXNA"/>
    <s v="extract_inhaled_labelled"/>
    <x v="99"/>
    <x v="117"/>
    <x v="76"/>
    <n v="52"/>
    <s v="unit"/>
    <n v="0.5"/>
    <n v="0"/>
    <n v="0"/>
    <n v="26"/>
    <m/>
    <x v="97"/>
    <x v="0"/>
    <s v="November Rain Vape Tropical Meteor Shower 0.5g Sativa_extract_inhaled_labelled"/>
    <n v="90"/>
  </r>
  <r>
    <n v="384"/>
    <n v="0"/>
    <x v="325"/>
    <x v="1"/>
    <s v="T070EX"/>
    <s v="NA"/>
    <s v="T070EXNA"/>
    <s v="extract_inhaled_labelled"/>
    <x v="0"/>
    <x v="122"/>
    <x v="76"/>
    <n v="18"/>
    <s v="unit"/>
    <n v="0.5"/>
    <n v="0"/>
    <n v="0"/>
    <n v="9"/>
    <m/>
    <x v="98"/>
    <x v="0"/>
    <s v="November Rain Vape Canadian Thunder 0.5g Sativa_extract_inhaled_labelled"/>
    <n v="83"/>
  </r>
  <r>
    <n v="361"/>
    <n v="0"/>
    <x v="326"/>
    <x v="1"/>
    <s v="T056EX"/>
    <s v="NA"/>
    <s v="T056EXNA"/>
    <s v="extract_inhaled_packaged"/>
    <x v="111"/>
    <x v="121"/>
    <x v="2"/>
    <n v="6"/>
    <s v="unit"/>
    <n v="0.5"/>
    <n v="0"/>
    <n v="0"/>
    <n v="3"/>
    <m/>
    <x v="99"/>
    <x v="0"/>
    <s v="November Rain Vape Caribbean Breeze Hybrid 0.5g Live Rosin Disposable Bar_extract_inhaled_packaged"/>
    <n v="86"/>
  </r>
  <r>
    <n v="385"/>
    <n v="0"/>
    <x v="327"/>
    <x v="1"/>
    <s v="T071EX"/>
    <s v="NA"/>
    <s v="T071EXNA"/>
    <s v="extract_inhaled_labelled"/>
    <x v="107"/>
    <x v="115"/>
    <x v="74"/>
    <n v="24"/>
    <s v="unit"/>
    <n v="0.5"/>
    <n v="0"/>
    <n v="0"/>
    <n v="12"/>
    <m/>
    <x v="100"/>
    <x v="0"/>
    <s v="November Rain Vape Strawberry Drizzle 0.5g Hybrid_extract_inhaled_labelled"/>
    <n v="89"/>
  </r>
  <r>
    <n v="372"/>
    <n v="0"/>
    <x v="328"/>
    <x v="1"/>
    <s v="T067EX"/>
    <s v="NA"/>
    <s v="T067EXNA"/>
    <s v="extract_inhaled_labelled"/>
    <x v="107"/>
    <x v="115"/>
    <x v="76"/>
    <n v="47"/>
    <s v="unit"/>
    <n v="0.5"/>
    <n v="0"/>
    <n v="0"/>
    <n v="23.5"/>
    <m/>
    <x v="101"/>
    <x v="0"/>
    <s v="November Rain Vape Strawberry Drizzle 0.5g Hybrid_extract_inhaled_labelled"/>
    <n v="89"/>
  </r>
  <r>
    <n v="386"/>
    <n v="0"/>
    <x v="329"/>
    <x v="1"/>
    <s v="T072EX"/>
    <s v="NA"/>
    <s v="T072EXNA"/>
    <s v="extract_inhaled_labelled"/>
    <x v="107"/>
    <x v="115"/>
    <x v="76"/>
    <n v="122"/>
    <s v="unit"/>
    <n v="0.5"/>
    <n v="0"/>
    <n v="0"/>
    <n v="61"/>
    <m/>
    <x v="102"/>
    <x v="0"/>
    <s v="November Rain Vape Strawberry Drizzle 0.5g Hybrid_extract_inhaled_labelled"/>
    <n v="89"/>
  </r>
  <r>
    <n v="260"/>
    <n v="0"/>
    <x v="330"/>
    <x v="0"/>
    <s v="T039PR"/>
    <s v="NA"/>
    <s v="T039PRNA"/>
    <s v="preroll_labelled"/>
    <x v="61"/>
    <x v="58"/>
    <x v="68"/>
    <n v="5"/>
    <s v="unit"/>
    <n v="1.5"/>
    <n v="0"/>
    <n v="0"/>
    <n v="7.5"/>
    <m/>
    <x v="103"/>
    <x v="0"/>
    <s v="November Rain Watermelon preroll 3 x 0.5g_preroll_labelled"/>
    <n v="92"/>
  </r>
  <r>
    <n v="173"/>
    <n v="0"/>
    <x v="331"/>
    <x v="1"/>
    <s v="T013DF"/>
    <s v="B058DF"/>
    <s v="T013DFB058DF"/>
    <s v="driedflower_bulk"/>
    <x v="23"/>
    <x v="129"/>
    <x v="2"/>
    <n v="0"/>
    <s v="bag"/>
    <n v="1000.3000000000001"/>
    <n v="1103.7"/>
    <n v="103.4"/>
    <n v="0"/>
    <m/>
    <x v="104"/>
    <x v="1"/>
    <s v="Galactic Cake dried flower_driedflower_bulk"/>
    <n v="32"/>
  </r>
  <r>
    <n v="174"/>
    <n v="0"/>
    <x v="332"/>
    <x v="1"/>
    <s v="T013DF"/>
    <s v="B059DF"/>
    <s v="T013DFB059DF"/>
    <s v="driedflower_bulk"/>
    <x v="23"/>
    <x v="129"/>
    <x v="2"/>
    <n v="0"/>
    <s v="bag"/>
    <n v="994.19999999999993"/>
    <n v="1098.3"/>
    <n v="104.1"/>
    <n v="0"/>
    <m/>
    <x v="104"/>
    <x v="1"/>
    <s v="Galactic Cake dried flower_driedflower_bulk"/>
    <n v="32"/>
  </r>
  <r>
    <n v="175"/>
    <n v="0"/>
    <x v="333"/>
    <x v="1"/>
    <s v="T013DF"/>
    <s v="B060DF"/>
    <s v="T013DFB060DF"/>
    <s v="driedflower_bulk"/>
    <x v="23"/>
    <x v="129"/>
    <x v="2"/>
    <n v="0"/>
    <s v="bag"/>
    <n v="998.40000000000009"/>
    <n v="1104.2"/>
    <n v="105.8"/>
    <n v="0"/>
    <m/>
    <x v="104"/>
    <x v="1"/>
    <s v="Galactic Cake dried flower_driedflower_bulk"/>
    <n v="32"/>
  </r>
  <r>
    <n v="176"/>
    <n v="0"/>
    <x v="334"/>
    <x v="1"/>
    <s v="T013DF"/>
    <s v="B061DF"/>
    <s v="T013DFB061DF"/>
    <s v="driedflower_bulk"/>
    <x v="23"/>
    <x v="129"/>
    <x v="2"/>
    <n v="0"/>
    <s v="bag"/>
    <n v="998.9"/>
    <n v="1104"/>
    <n v="105.1"/>
    <n v="0"/>
    <m/>
    <x v="104"/>
    <x v="1"/>
    <s v="Galactic Cake dried flower_driedflower_bulk"/>
    <n v="32"/>
  </r>
  <r>
    <n v="177"/>
    <n v="0"/>
    <x v="335"/>
    <x v="1"/>
    <s v="T013DF"/>
    <s v="B062DF"/>
    <s v="T013DFB062DF"/>
    <s v="driedflower_bulk"/>
    <x v="23"/>
    <x v="129"/>
    <x v="2"/>
    <n v="0"/>
    <s v="bag"/>
    <n v="992.00000000000011"/>
    <n v="1096.4000000000001"/>
    <n v="104.4"/>
    <n v="0"/>
    <m/>
    <x v="104"/>
    <x v="1"/>
    <s v="Galactic Cake dried flower_driedflower_bulk"/>
    <n v="32"/>
  </r>
  <r>
    <n v="178"/>
    <n v="0"/>
    <x v="336"/>
    <x v="1"/>
    <s v="T013DF"/>
    <s v="B063DF"/>
    <s v="T013DFB063DF"/>
    <s v="driedflower_bulk"/>
    <x v="23"/>
    <x v="129"/>
    <x v="2"/>
    <n v="0"/>
    <s v="bag"/>
    <n v="999.2"/>
    <n v="1102"/>
    <n v="102.8"/>
    <n v="0"/>
    <m/>
    <x v="104"/>
    <x v="1"/>
    <s v="Galactic Cake dried flower_driedflower_bulk"/>
    <n v="32"/>
  </r>
  <r>
    <n v="179"/>
    <n v="0"/>
    <x v="337"/>
    <x v="1"/>
    <s v="T014DF"/>
    <s v="B064DF"/>
    <s v="T014DFB064DF"/>
    <s v="driedflower_bulk"/>
    <x v="23"/>
    <x v="129"/>
    <x v="2"/>
    <n v="0"/>
    <s v="bag"/>
    <n v="486.80000000000007"/>
    <n v="588.20000000000005"/>
    <n v="101.4"/>
    <n v="0"/>
    <m/>
    <x v="104"/>
    <x v="1"/>
    <s v="Galactic Cake dried flower_driedflower_bulk"/>
    <n v="32"/>
  </r>
  <r>
    <n v="180"/>
    <n v="0"/>
    <x v="338"/>
    <x v="1"/>
    <s v="T014DF"/>
    <s v="B065DF"/>
    <s v="T014DFB065DF"/>
    <s v="driedflower_bulk"/>
    <x v="23"/>
    <x v="129"/>
    <x v="2"/>
    <n v="0"/>
    <s v="bag"/>
    <n v="997.90000000000009"/>
    <n v="1107.2"/>
    <n v="109.3"/>
    <n v="0"/>
    <m/>
    <x v="104"/>
    <x v="1"/>
    <s v="Galactic Cake dried flower_driedflower_bulk"/>
    <n v="32"/>
  </r>
  <r>
    <n v="181"/>
    <n v="0"/>
    <x v="339"/>
    <x v="1"/>
    <s v="T014DF"/>
    <s v="B066DF"/>
    <s v="T014DFB066DF"/>
    <s v="driedflower_bulk"/>
    <x v="23"/>
    <x v="129"/>
    <x v="2"/>
    <n v="0"/>
    <s v="bag"/>
    <n v="991.59999999999991"/>
    <n v="1097.5999999999999"/>
    <n v="106"/>
    <n v="0"/>
    <m/>
    <x v="104"/>
    <x v="1"/>
    <s v="Galactic Cake dried flower_driedflower_bulk"/>
    <n v="32"/>
  </r>
  <r>
    <n v="387"/>
    <n v="0"/>
    <x v="340"/>
    <x v="1"/>
    <s v="T039PR"/>
    <s v="NA"/>
    <s v="T039PRNA"/>
    <s v="preroll_labelled"/>
    <x v="61"/>
    <x v="58"/>
    <x v="79"/>
    <n v="107"/>
    <s v="unit"/>
    <n v="1.5"/>
    <n v="0"/>
    <n v="0"/>
    <n v="160.5"/>
    <m/>
    <x v="105"/>
    <x v="0"/>
    <s v="November Rain Watermelon preroll 3 x 0.5g_preroll_labelled"/>
    <n v="92"/>
  </r>
  <r>
    <n v="263"/>
    <n v="0"/>
    <x v="341"/>
    <x v="1"/>
    <s v="T043PR"/>
    <s v="NA"/>
    <s v="T043PRNA"/>
    <s v="preroll_bulk"/>
    <x v="71"/>
    <x v="102"/>
    <x v="2"/>
    <n v="188"/>
    <s v="unit"/>
    <n v="0.5"/>
    <n v="0"/>
    <n v="0"/>
    <n v="94"/>
    <m/>
    <x v="106"/>
    <x v="0"/>
    <s v="November Rain Rose preroll 0.5g_preroll_bulk"/>
    <n v="78"/>
  </r>
  <r>
    <n v="149"/>
    <n v="0"/>
    <x v="342"/>
    <x v="0"/>
    <s v="T032PR"/>
    <s v="NA"/>
    <s v="T032PRNA"/>
    <s v="preroll_labelled"/>
    <x v="119"/>
    <x v="130"/>
    <x v="79"/>
    <n v="72"/>
    <s v="unit"/>
    <n v="1.5"/>
    <n v="0"/>
    <n v="0"/>
    <n v="108"/>
    <m/>
    <x v="107"/>
    <x v="0"/>
    <s v="November Rain Trident preroll 3 x 0.5g_preroll_labelled"/>
    <n v="80"/>
  </r>
  <r>
    <n v="389"/>
    <n v="0"/>
    <x v="343"/>
    <x v="0"/>
    <s v="T073EX"/>
    <s v="NA"/>
    <s v="T073EXNA"/>
    <s v="extract_ingested_labelled_ON"/>
    <x v="78"/>
    <x v="120"/>
    <x v="75"/>
    <n v="276"/>
    <s v="unit"/>
    <n v="50"/>
    <n v="0"/>
    <n v="0"/>
    <n v="13800"/>
    <m/>
    <x v="108"/>
    <x v="0"/>
    <s v="Pot Shot Tropical Fruits 151mg_extract_ingested_labelled_ON"/>
    <n v="127"/>
  </r>
  <r>
    <n v="374"/>
    <n v="0"/>
    <x v="344"/>
    <x v="1"/>
    <s v="T074EX"/>
    <s v="NA"/>
    <s v="T074EXNA"/>
    <s v="extract_ingested_packaged"/>
    <x v="67"/>
    <x v="14"/>
    <x v="2"/>
    <n v="231"/>
    <s v="unit"/>
    <n v="50"/>
    <n v="0"/>
    <n v="0"/>
    <n v="11550"/>
    <m/>
    <x v="109"/>
    <x v="0"/>
    <s v="Pot Shot Citrus 151mg_extract_ingested_packaged"/>
    <n v="125"/>
  </r>
  <r>
    <n v="391"/>
    <n v="0"/>
    <x v="345"/>
    <x v="1"/>
    <s v="T077EX"/>
    <s v="NA"/>
    <s v="T077EXNA"/>
    <s v="extract_inhaled_labelled"/>
    <x v="111"/>
    <x v="121"/>
    <x v="80"/>
    <n v="153"/>
    <s v="unit"/>
    <n v="0.5"/>
    <n v="0"/>
    <n v="0"/>
    <n v="76.5"/>
    <m/>
    <x v="110"/>
    <x v="0"/>
    <s v="November Rain Vape Caribbean Breeze Hybrid 0.5g Live Rosin Disposable Bar_extract_inhaled_labelled"/>
    <n v="85"/>
  </r>
  <r>
    <n v="172"/>
    <n v="0"/>
    <x v="346"/>
    <x v="1"/>
    <s v="T013DF"/>
    <s v="B057DF"/>
    <s v="T013DFB057DF"/>
    <s v="driedflower_milled_bulk"/>
    <x v="23"/>
    <x v="72"/>
    <x v="2"/>
    <n v="1"/>
    <s v="bag"/>
    <n v="2712"/>
    <n v="3058"/>
    <n v="346"/>
    <n v="2712"/>
    <m/>
    <x v="111"/>
    <x v="1"/>
    <s v="Galactic Cake dried flower_driedflower_milled_bulk"/>
    <n v="131"/>
  </r>
  <r>
    <n v="392"/>
    <n v="0"/>
    <x v="347"/>
    <x v="0"/>
    <s v="T007TP"/>
    <s v="NA"/>
    <s v="T007TPNA"/>
    <s v="topical_labelled"/>
    <x v="66"/>
    <x v="131"/>
    <x v="76"/>
    <n v="20"/>
    <s v="unit"/>
    <n v="88"/>
    <n v="0"/>
    <n v="0"/>
    <n v="1760"/>
    <m/>
    <x v="112"/>
    <x v="0"/>
    <s v="Extra Strength Roll-on 88g_topical_labelled"/>
    <n v="31"/>
  </r>
  <r>
    <n v="383"/>
    <n v="0"/>
    <x v="348"/>
    <x v="1"/>
    <s v="T069EX"/>
    <s v="NA"/>
    <s v="T069EXNA"/>
    <s v="extract_inhaled_labelled"/>
    <x v="99"/>
    <x v="117"/>
    <x v="76"/>
    <n v="0"/>
    <s v="unit"/>
    <n v="0.5"/>
    <n v="0"/>
    <n v="0"/>
    <n v="0"/>
    <m/>
    <x v="113"/>
    <x v="0"/>
    <s v="November Rain Vape Tropical Meteor Shower 0.5g Sativa_extract_inhaled_labelled"/>
    <n v="90"/>
  </r>
  <r>
    <n v="395"/>
    <n v="0"/>
    <x v="349"/>
    <x v="1"/>
    <s v="T035PR"/>
    <s v="NA"/>
    <s v="T035PRNA"/>
    <s v="preroll_labelled"/>
    <x v="106"/>
    <x v="114"/>
    <x v="81"/>
    <n v="226"/>
    <s v="unit"/>
    <n v="1.5"/>
    <n v="1.5"/>
    <n v="0"/>
    <n v="339"/>
    <m/>
    <x v="114"/>
    <x v="0"/>
    <s v="November Rain Lemon Ice Tea preroll 3 x 0.5g_preroll_labelled"/>
    <n v="77"/>
  </r>
  <r>
    <n v="396"/>
    <n v="0"/>
    <x v="350"/>
    <x v="1"/>
    <s v="T079EX"/>
    <s v="NA"/>
    <s v="T079EXNA"/>
    <s v="extract_inhaled_labelled"/>
    <x v="117"/>
    <x v="126"/>
    <x v="81"/>
    <n v="54"/>
    <s v="unit"/>
    <n v="0.5"/>
    <n v="0.5"/>
    <n v="0"/>
    <n v="27"/>
    <m/>
    <x v="115"/>
    <x v="0"/>
    <s v="November Rain Vape Canadian OG Vape 0.5g_extract_inhaled_labelled"/>
    <n v="82"/>
  </r>
  <r>
    <n v="397"/>
    <n v="0"/>
    <x v="351"/>
    <x v="0"/>
    <s v="T080EX"/>
    <s v="NA"/>
    <s v="T080EXNA"/>
    <s v="extract_inhaled_labelled"/>
    <x v="117"/>
    <x v="126"/>
    <x v="82"/>
    <n v="193"/>
    <s v="unit"/>
    <n v="0.5"/>
    <n v="0.5"/>
    <n v="0"/>
    <n v="96.5"/>
    <m/>
    <x v="116"/>
    <x v="0"/>
    <s v="November Rain Vape Canadian OG Vape 0.5g_extract_inhaled_labelled"/>
    <n v="82"/>
  </r>
  <r>
    <n v="156"/>
    <n v="0"/>
    <x v="352"/>
    <x v="1"/>
    <s v="T036PR"/>
    <s v="NA"/>
    <s v="T036PRNA"/>
    <s v="preroll_labelled"/>
    <x v="98"/>
    <x v="104"/>
    <x v="83"/>
    <n v="165"/>
    <s v="unit"/>
    <n v="1.5"/>
    <n v="0"/>
    <n v="0"/>
    <n v="247.5"/>
    <m/>
    <x v="117"/>
    <x v="0"/>
    <s v="November Rain Blueberry preroll 3 x 0.5g_preroll_labelled"/>
    <n v="76"/>
  </r>
  <r>
    <n v="400"/>
    <n v="0"/>
    <x v="353"/>
    <x v="1"/>
    <s v="T032PR"/>
    <s v="NA"/>
    <s v="T032PRNA"/>
    <s v="preroll_labelled"/>
    <x v="119"/>
    <x v="130"/>
    <x v="83"/>
    <n v="251"/>
    <s v="unit"/>
    <n v="1.5"/>
    <n v="1.5"/>
    <n v="0"/>
    <n v="376.5"/>
    <m/>
    <x v="118"/>
    <x v="0"/>
    <s v="November Rain Trident preroll 3 x 0.5g_preroll_labelled"/>
    <n v="80"/>
  </r>
  <r>
    <n v="401"/>
    <n v="0"/>
    <x v="354"/>
    <x v="1"/>
    <s v="T081EX"/>
    <s v="NA"/>
    <s v="T081EXNA"/>
    <s v="extract_distillate_bulk"/>
    <x v="91"/>
    <x v="132"/>
    <x v="2"/>
    <n v="1"/>
    <s v="pail"/>
    <n v="248"/>
    <n v="2098"/>
    <n v="1850"/>
    <n v="248"/>
    <m/>
    <x v="118"/>
    <x v="1"/>
    <s v="CBD isolate_extract_distillate_bulk"/>
    <n v="18"/>
  </r>
  <r>
    <n v="261"/>
    <n v="0"/>
    <x v="355"/>
    <x v="0"/>
    <s v="T039PR"/>
    <s v="NA"/>
    <s v="T039PRNA"/>
    <s v="preroll_labelled"/>
    <x v="61"/>
    <x v="133"/>
    <x v="83"/>
    <n v="180"/>
    <s v="unit"/>
    <n v="1.5"/>
    <n v="1.5"/>
    <n v="0"/>
    <n v="270"/>
    <m/>
    <x v="119"/>
    <x v="0"/>
    <s v="November Rain Watermelon preroll 3 x 0.5g_preroll_labelled"/>
    <n v="92"/>
  </r>
  <r>
    <n v="402"/>
    <n v="0"/>
    <x v="356"/>
    <x v="1"/>
    <s v="T039PR"/>
    <s v="NA"/>
    <s v="T039PRNA"/>
    <s v="preroll_labelled"/>
    <x v="61"/>
    <x v="58"/>
    <x v="83"/>
    <n v="34"/>
    <s v="unit"/>
    <n v="1.5"/>
    <n v="1.5"/>
    <n v="0"/>
    <n v="51"/>
    <m/>
    <x v="120"/>
    <x v="0"/>
    <s v="November Rain Watermelon preroll 3 x 0.5g_preroll_labelled"/>
    <n v="92"/>
  </r>
  <r>
    <n v="403"/>
    <n v="0"/>
    <x v="357"/>
    <x v="0"/>
    <s v="T047PR"/>
    <s v="NA"/>
    <s v="T047PRNA"/>
    <s v="preroll_labelled"/>
    <x v="106"/>
    <x v="114"/>
    <x v="82"/>
    <n v="180"/>
    <s v="unit"/>
    <n v="1.5"/>
    <n v="1.5"/>
    <n v="0"/>
    <n v="270"/>
    <m/>
    <x v="121"/>
    <x v="0"/>
    <s v="November Rain Lemon Ice Tea preroll 3 x 0.5g_preroll_labelled"/>
    <n v="77"/>
  </r>
  <r>
    <n v="404"/>
    <n v="0"/>
    <x v="358"/>
    <x v="1"/>
    <s v="T048PR"/>
    <s v="NA"/>
    <s v="T048PRNA"/>
    <s v="preroll_packaged"/>
    <x v="120"/>
    <x v="134"/>
    <x v="2"/>
    <n v="1668"/>
    <s v="unit"/>
    <n v="1"/>
    <n v="1"/>
    <n v="0"/>
    <n v="1668"/>
    <m/>
    <x v="122"/>
    <x v="0"/>
    <s v="Monkey King preroll 2 x 0.5g_preroll_packaged"/>
    <n v="121"/>
  </r>
  <r>
    <n v="359"/>
    <n v="0"/>
    <x v="359"/>
    <x v="0"/>
    <s v="T054EX"/>
    <s v="NA"/>
    <s v="T054EXNA"/>
    <s v="extract_inhaled_labelled"/>
    <x v="0"/>
    <x v="122"/>
    <x v="81"/>
    <n v="8"/>
    <s v="unit"/>
    <n v="0.5"/>
    <n v="0"/>
    <n v="0"/>
    <n v="4"/>
    <m/>
    <x v="123"/>
    <x v="0"/>
    <s v="November Rain Vape Canadian Thunder 0.5g Sativa_extract_inhaled_labelled"/>
    <n v="83"/>
  </r>
  <r>
    <n v="405"/>
    <n v="0"/>
    <x v="360"/>
    <x v="1"/>
    <s v="NA"/>
    <s v="NA"/>
    <s v="NANA"/>
    <s v="driedflower_bulk"/>
    <x v="121"/>
    <x v="135"/>
    <x v="2"/>
    <n v="1"/>
    <s v="unit"/>
    <n v="2000"/>
    <n v="2094"/>
    <n v="94"/>
    <n v="2000"/>
    <s v="C-01179"/>
    <x v="124"/>
    <x v="1"/>
    <s v="KZ F006 GRADE A_driedflower_bulk"/>
    <n v="132"/>
  </r>
  <r>
    <n v="406"/>
    <n v="0"/>
    <x v="361"/>
    <x v="1"/>
    <s v="NA"/>
    <s v="NA"/>
    <s v="NANA"/>
    <s v="driedflower_bulk"/>
    <x v="121"/>
    <x v="135"/>
    <x v="2"/>
    <n v="1"/>
    <s v="unit"/>
    <n v="3000"/>
    <n v="3090"/>
    <n v="90"/>
    <n v="3000"/>
    <s v="C-01175"/>
    <x v="124"/>
    <x v="1"/>
    <s v="KZ F006 GRADE A_driedflower_bulk"/>
    <n v="132"/>
  </r>
  <r>
    <n v="411"/>
    <n v="0"/>
    <x v="362"/>
    <x v="0"/>
    <s v="T049PR"/>
    <s v="NA"/>
    <s v="T049PRNA"/>
    <s v="preroll_packaged"/>
    <x v="119"/>
    <x v="130"/>
    <x v="2"/>
    <n v="644"/>
    <s v="unit"/>
    <n v="1.5"/>
    <n v="0"/>
    <n v="0"/>
    <n v="966"/>
    <m/>
    <x v="125"/>
    <x v="0"/>
    <s v="November Rain Trident preroll 3 x 0.5g_preroll_packaged"/>
    <n v="136"/>
  </r>
  <r>
    <n v="408"/>
    <n v="0"/>
    <x v="363"/>
    <x v="1"/>
    <s v="T038DF"/>
    <s v="NA"/>
    <s v="T038DFNA"/>
    <s v="driedflower_bulk"/>
    <x v="122"/>
    <x v="136"/>
    <x v="2"/>
    <n v="1"/>
    <s v="unit"/>
    <n v="899.1"/>
    <n v="942"/>
    <n v="42.899999999999977"/>
    <n v="899.1"/>
    <s v="LOT 1420240408"/>
    <x v="126"/>
    <x v="1"/>
    <s v="KEY LIME PIE (MINI)_driedflower_bulk"/>
    <n v="133"/>
  </r>
  <r>
    <n v="409"/>
    <n v="0"/>
    <x v="364"/>
    <x v="1"/>
    <s v="T038DF"/>
    <s v="NA"/>
    <s v="T038DFNA"/>
    <s v="driedflower_bulk"/>
    <x v="122"/>
    <x v="136"/>
    <x v="2"/>
    <n v="1"/>
    <s v="unit"/>
    <n v="1000"/>
    <n v="1056"/>
    <n v="56"/>
    <n v="1000"/>
    <s v="LOT 1420240408"/>
    <x v="126"/>
    <x v="1"/>
    <s v="KEY LIME PIE (MINI)_driedflower_bulk"/>
    <n v="133"/>
  </r>
  <r>
    <n v="410"/>
    <n v="0"/>
    <x v="365"/>
    <x v="1"/>
    <s v="T038DF"/>
    <s v="NA"/>
    <s v="T038DFNA"/>
    <s v="driedflower_bulk"/>
    <x v="122"/>
    <x v="136"/>
    <x v="2"/>
    <n v="1"/>
    <s v="unit"/>
    <n v="1000"/>
    <n v="1056"/>
    <n v="56"/>
    <n v="1000"/>
    <s v="LOT 1420240408"/>
    <x v="126"/>
    <x v="1"/>
    <s v="KEY LIME PIE (MINI)_driedflower_bulk"/>
    <n v="133"/>
  </r>
  <r>
    <n v="412"/>
    <n v="0"/>
    <x v="366"/>
    <x v="0"/>
    <s v="T039DF"/>
    <s v="NA"/>
    <s v="T039DFNA"/>
    <s v="driedflower_labelled_BC_BURB"/>
    <x v="123"/>
    <x v="125"/>
    <x v="82"/>
    <n v="88"/>
    <s v="unit"/>
    <n v="14"/>
    <n v="0"/>
    <n v="0"/>
    <n v="1232"/>
    <m/>
    <x v="127"/>
    <x v="0"/>
    <s v="Unicorn Poop dried flower 14g_driedflower_labelled_BC_BURB"/>
    <n v="134"/>
  </r>
  <r>
    <n v="413"/>
    <n v="0"/>
    <x v="367"/>
    <x v="0"/>
    <s v="T040DF"/>
    <s v="NA"/>
    <s v="T040DFNA"/>
    <s v="driedflower_labelled_BC_BURB"/>
    <x v="123"/>
    <x v="125"/>
    <x v="82"/>
    <n v="400"/>
    <s v="unit"/>
    <n v="14"/>
    <n v="0"/>
    <n v="0"/>
    <n v="5600"/>
    <m/>
    <x v="127"/>
    <x v="0"/>
    <s v="Unicorn Poop dried flower 14g_driedflower_labelled_BC_BURB"/>
    <n v="134"/>
  </r>
  <r>
    <n v="414"/>
    <n v="0"/>
    <x v="368"/>
    <x v="0"/>
    <s v="T041DF"/>
    <s v="NA"/>
    <s v="T041DFNA"/>
    <s v="driedflower_labelled_BC_BURB"/>
    <x v="123"/>
    <x v="125"/>
    <x v="82"/>
    <n v="400"/>
    <s v="unit"/>
    <n v="14"/>
    <n v="0"/>
    <n v="0"/>
    <n v="5600"/>
    <m/>
    <x v="127"/>
    <x v="0"/>
    <s v="Unicorn Poop dried flower 14g_driedflower_labelled_BC_BURB"/>
    <n v="134"/>
  </r>
  <r>
    <n v="415"/>
    <n v="0"/>
    <x v="369"/>
    <x v="0"/>
    <s v="T042DF"/>
    <s v="NA"/>
    <s v="T042DFNA"/>
    <s v="driedflower_labelled_BC_BURB"/>
    <x v="124"/>
    <x v="124"/>
    <x v="82"/>
    <n v="349"/>
    <s v="unit"/>
    <n v="14"/>
    <n v="0"/>
    <n v="0"/>
    <n v="4886"/>
    <m/>
    <x v="127"/>
    <x v="0"/>
    <s v="Licorice Gumball dried flower 14g_driedflower_labelled_BC_BURB"/>
    <n v="135"/>
  </r>
  <r>
    <n v="416"/>
    <n v="0"/>
    <x v="370"/>
    <x v="0"/>
    <s v="T043DF"/>
    <s v="NA"/>
    <s v="T043DFNA"/>
    <s v="driedflower_labelled_BC_BURB"/>
    <x v="124"/>
    <x v="124"/>
    <x v="82"/>
    <n v="400"/>
    <s v="unit"/>
    <n v="14"/>
    <n v="0"/>
    <n v="0"/>
    <n v="5600"/>
    <m/>
    <x v="127"/>
    <x v="0"/>
    <s v="Licorice Gumball dried flower 14g_driedflower_labelled_BC_BURB"/>
    <n v="135"/>
  </r>
  <r>
    <n v="417"/>
    <n v="0"/>
    <x v="371"/>
    <x v="0"/>
    <s v="T044DF"/>
    <s v="NA"/>
    <s v="T044DFNA"/>
    <s v="driedflower_labelled_BC_BURB"/>
    <x v="124"/>
    <x v="124"/>
    <x v="82"/>
    <n v="400"/>
    <s v="unit"/>
    <n v="14"/>
    <n v="0"/>
    <n v="0"/>
    <n v="5600"/>
    <m/>
    <x v="128"/>
    <x v="0"/>
    <s v="Licorice Gumball dried flower 14g_driedflower_labelled_BC_BURB"/>
    <n v="135"/>
  </r>
  <r>
    <n v="418"/>
    <n v="0"/>
    <x v="372"/>
    <x v="0"/>
    <s v="T045DF"/>
    <s v="NA"/>
    <s v="T045DFNA"/>
    <s v="driedflower_labelled_BC_BURB"/>
    <x v="124"/>
    <x v="123"/>
    <x v="82"/>
    <n v="411"/>
    <s v="unit"/>
    <n v="14"/>
    <n v="0"/>
    <n v="0"/>
    <n v="5754"/>
    <m/>
    <x v="129"/>
    <x v="0"/>
    <s v="Licorice Gumball dried flower 14g_driedflower_labelled_BC_BURB"/>
    <n v="135"/>
  </r>
  <r>
    <n v="419"/>
    <n v="0"/>
    <x v="373"/>
    <x v="0"/>
    <s v="T008TP"/>
    <s v="NA"/>
    <s v="T008TPNA"/>
    <s v="topical_labelled"/>
    <x v="66"/>
    <x v="131"/>
    <x v="80"/>
    <n v="362"/>
    <s v="unit"/>
    <n v="88"/>
    <n v="0"/>
    <n v="0"/>
    <n v="31856"/>
    <m/>
    <x v="130"/>
    <x v="0"/>
    <s v="Extra Strength Roll-on 88g_topical_labelled"/>
    <n v="31"/>
  </r>
  <r>
    <n v="421"/>
    <n v="0"/>
    <x v="374"/>
    <x v="0"/>
    <s v="NA"/>
    <s v="NA"/>
    <s v="NANA"/>
    <s v="extract_ingested_packaged"/>
    <x v="32"/>
    <x v="137"/>
    <x v="2"/>
    <n v="63"/>
    <s v="unit"/>
    <n v="27.5"/>
    <n v="0"/>
    <n v="0"/>
    <n v="1732.5"/>
    <m/>
    <x v="131"/>
    <x v="0"/>
    <s v="THC CBD balanced 1:1 oil_extract_ingested_packaged"/>
    <n v="145"/>
  </r>
  <r>
    <n v="422"/>
    <n v="0"/>
    <x v="375"/>
    <x v="0"/>
    <s v="NA"/>
    <s v="NA"/>
    <s v="NANA"/>
    <s v="extract_ingested_packaged"/>
    <x v="32"/>
    <x v="137"/>
    <x v="2"/>
    <n v="18"/>
    <s v="unit"/>
    <n v="27.5"/>
    <n v="0"/>
    <n v="0"/>
    <n v="495"/>
    <m/>
    <x v="131"/>
    <x v="0"/>
    <s v="THC CBD balanced 1:1 oil_extract_ingested_packaged"/>
    <n v="145"/>
  </r>
  <r>
    <n v="407"/>
    <n v="0"/>
    <x v="376"/>
    <x v="1"/>
    <s v="NA"/>
    <s v="NA"/>
    <s v="NANA"/>
    <s v="driedflower_bulk"/>
    <x v="121"/>
    <x v="135"/>
    <x v="2"/>
    <n v="1"/>
    <s v="unit"/>
    <n v="2988"/>
    <n v="3080"/>
    <n v="92"/>
    <n v="2988"/>
    <s v="C-01177"/>
    <x v="132"/>
    <x v="1"/>
    <s v="KZ F006 GRADE A_driedflower_bulk"/>
    <n v="132"/>
  </r>
  <r>
    <n v="424"/>
    <n v="0"/>
    <x v="377"/>
    <x v="1"/>
    <s v="J014EX"/>
    <s v="NA"/>
    <s v="J014EXNA"/>
    <s v="extract_inhaled_bulk"/>
    <x v="125"/>
    <x v="138"/>
    <x v="2"/>
    <n v="1"/>
    <s v="jar"/>
    <n v="234.49999999999994"/>
    <n v="543.04"/>
    <n v="308.54000000000002"/>
    <n v="234.49999999999994"/>
    <m/>
    <x v="133"/>
    <x v="1"/>
    <s v="Strawberry Drizzle Vape _extract_inhaled_bulk"/>
    <n v="146"/>
  </r>
  <r>
    <n v="425"/>
    <n v="0"/>
    <x v="378"/>
    <x v="1"/>
    <s v="J015EX"/>
    <s v="NA"/>
    <s v="J015EXNA"/>
    <s v="extract_inhaled_bulk"/>
    <x v="125"/>
    <x v="138"/>
    <x v="2"/>
    <n v="1"/>
    <s v="jar"/>
    <n v="214.70000000000005"/>
    <n v="523.6"/>
    <n v="308.89999999999998"/>
    <n v="214.70000000000005"/>
    <m/>
    <x v="134"/>
    <x v="1"/>
    <s v="Strawberry Drizzle Vape _extract_inhaled_bulk"/>
    <n v="146"/>
  </r>
  <r>
    <n v="427"/>
    <n v="0"/>
    <x v="379"/>
    <x v="0"/>
    <s v="T050PR"/>
    <s v="NA"/>
    <s v="T050PRNA"/>
    <s v="preroll_packaged"/>
    <x v="120"/>
    <x v="134"/>
    <x v="2"/>
    <n v="2"/>
    <s v="unit"/>
    <n v="1"/>
    <n v="0"/>
    <n v="0"/>
    <n v="2"/>
    <m/>
    <x v="135"/>
    <x v="0"/>
    <s v="Monkey King preroll 2 x 0.5g_preroll_packaged"/>
    <n v="121"/>
  </r>
  <r>
    <n v="428"/>
    <n v="0"/>
    <x v="380"/>
    <x v="0"/>
    <s v="P010EX"/>
    <s v="NA"/>
    <s v="P010EXNA"/>
    <s v="extract_ingested_bulk"/>
    <x v="56"/>
    <x v="14"/>
    <x v="2"/>
    <n v="1"/>
    <s v="pail"/>
    <n v="15013"/>
    <n v="16075"/>
    <n v="1062"/>
    <n v="15013"/>
    <m/>
    <x v="136"/>
    <x v="1"/>
    <s v="Pot Shot Tropical Fruits_extract_ingested_bulk"/>
    <n v="98"/>
  </r>
  <r>
    <n v="430"/>
    <n v="0"/>
    <x v="381"/>
    <x v="0"/>
    <s v="T082EX"/>
    <s v="NA"/>
    <s v="T082EXNA"/>
    <s v="extract_inhaled_labelled"/>
    <x v="117"/>
    <x v="126"/>
    <x v="81"/>
    <n v="43"/>
    <s v="unit"/>
    <n v="0.5"/>
    <n v="0"/>
    <n v="0"/>
    <n v="21.5"/>
    <m/>
    <x v="136"/>
    <x v="0"/>
    <s v="November Rain Vape Canadian OG Vape 0.5g_extract_inhaled_labelled"/>
    <n v="82"/>
  </r>
  <r>
    <n v="299"/>
    <n v="0"/>
    <x v="382"/>
    <x v="1"/>
    <s v="T033EX"/>
    <s v="NA"/>
    <s v="T033EXNA"/>
    <s v="extract_inhaled_labelled"/>
    <x v="108"/>
    <x v="118"/>
    <x v="74"/>
    <n v="117"/>
    <s v="unit"/>
    <n v="0.5"/>
    <n v="0"/>
    <n v="0"/>
    <n v="58.5"/>
    <m/>
    <x v="137"/>
    <x v="0"/>
    <s v="November Rain Vape Platinum Sunrise 0.5G Sativa_extract_inhaled_labelled"/>
    <n v="87"/>
  </r>
  <r>
    <n v="431"/>
    <n v="0"/>
    <x v="383"/>
    <x v="1"/>
    <s v="T010TP"/>
    <s v="NA"/>
    <s v="T010TPNA"/>
    <s v="topical_labelled"/>
    <x v="55"/>
    <x v="139"/>
    <x v="3"/>
    <n v="458"/>
    <s v="unit"/>
    <n v="88"/>
    <n v="0"/>
    <n v="0"/>
    <n v="40304"/>
    <m/>
    <x v="138"/>
    <x v="0"/>
    <s v="Maximum Strength Roll-on 88g_topical_labelled"/>
    <n v="72"/>
  </r>
  <r>
    <n v="23"/>
    <n v="0"/>
    <x v="384"/>
    <x v="0"/>
    <s v="T008DF"/>
    <s v="B006DF"/>
    <s v="T008DFB006DF"/>
    <s v="driedflower_bulk"/>
    <x v="22"/>
    <x v="8"/>
    <x v="16"/>
    <n v="1"/>
    <s v="bag"/>
    <n v="255"/>
    <n v="255"/>
    <n v="0"/>
    <n v="255"/>
    <m/>
    <x v="139"/>
    <x v="1"/>
    <s v="Gelato dried flower_driedflower_bulk"/>
    <n v="37"/>
  </r>
  <r>
    <n v="171"/>
    <n v="0"/>
    <x v="385"/>
    <x v="0"/>
    <s v="T003DF"/>
    <s v="B056DF"/>
    <s v="T003DFB056DF"/>
    <s v="driedflower_milled_bulk"/>
    <x v="23"/>
    <x v="72"/>
    <x v="2"/>
    <n v="1"/>
    <s v="bag"/>
    <n v="1574"/>
    <n v="1920"/>
    <n v="346"/>
    <n v="1574"/>
    <m/>
    <x v="140"/>
    <x v="1"/>
    <s v="Galactic Cake dried flower_driedflower_milled_bulk"/>
    <n v="131"/>
  </r>
  <r>
    <n v="433"/>
    <n v="0"/>
    <x v="386"/>
    <x v="1"/>
    <s v="J017EX"/>
    <s v="NA"/>
    <s v="J017EXNA"/>
    <s v="extract_inhaled_bulk"/>
    <x v="109"/>
    <x v="140"/>
    <x v="2"/>
    <n v="1"/>
    <s v="unit"/>
    <n v="279.69"/>
    <n v="588.61"/>
    <n v="308.92"/>
    <n v="279.69"/>
    <m/>
    <x v="141"/>
    <x v="1"/>
    <s v="Tropical Meteor Shower Sativa Vape_extract_inhaled_bulk"/>
    <n v="106"/>
  </r>
  <r>
    <n v="444"/>
    <n v="0"/>
    <x v="387"/>
    <x v="0"/>
    <s v="T048DF"/>
    <s v="NA"/>
    <s v="T048DFNA"/>
    <s v="preroll_labelled"/>
    <x v="126"/>
    <x v="141"/>
    <x v="84"/>
    <n v="36"/>
    <s v="unit"/>
    <n v="4.1999999999999993"/>
    <n v="0"/>
    <n v="0"/>
    <n v="151.19999999999999"/>
    <m/>
    <x v="142"/>
    <x v="0"/>
    <s v="Strawberry Drizzle Vape _preroll_labelled"/>
    <s v=""/>
  </r>
  <r>
    <n v="446"/>
    <n v="0"/>
    <x v="388"/>
    <x v="0"/>
    <s v="T084EX"/>
    <s v="NA"/>
    <s v="T084EXNA"/>
    <s v="extract_ingested_labelled"/>
    <x v="127"/>
    <x v="142"/>
    <x v="3"/>
    <n v="84"/>
    <s v="unit"/>
    <n v="27.6"/>
    <n v="0"/>
    <n v="0"/>
    <n v="2318.4"/>
    <m/>
    <x v="142"/>
    <x v="0"/>
    <s v="THC oil 27.6g_extract_ingested_labelled"/>
    <n v="129"/>
  </r>
  <r>
    <n v="447"/>
    <n v="0"/>
    <x v="389"/>
    <x v="1"/>
    <s v="T085EX"/>
    <s v="NA"/>
    <s v="T085EXNA"/>
    <s v="extract_ingested_labelled"/>
    <x v="93"/>
    <x v="143"/>
    <x v="85"/>
    <n v="84"/>
    <s v="unit"/>
    <n v="27.3"/>
    <n v="0"/>
    <n v="0"/>
    <n v="2293.2000000000003"/>
    <m/>
    <x v="143"/>
    <x v="0"/>
    <s v="CBD Bacon Oil 10 mg 27.3g_extract_ingested_labelled"/>
    <n v="17"/>
  </r>
  <r>
    <n v="450"/>
    <n v="0"/>
    <x v="390"/>
    <x v="1"/>
    <s v="T088EX"/>
    <s v="NA"/>
    <s v="T088EXNA"/>
    <s v="extract_inhaled_labelled"/>
    <x v="117"/>
    <x v="126"/>
    <x v="3"/>
    <n v="120"/>
    <s v="unit"/>
    <n v="0.5"/>
    <n v="0"/>
    <n v="0"/>
    <n v="60"/>
    <m/>
    <x v="144"/>
    <x v="0"/>
    <s v="November Rain Vape Canadian OG Vape 0.5g_extract_inhaled_labelled"/>
    <n v="82"/>
  </r>
  <r>
    <n v="451"/>
    <n v="0"/>
    <x v="391"/>
    <x v="1"/>
    <s v="T048DF"/>
    <s v="NA"/>
    <s v="T048DFNA"/>
    <s v="preroll_bulk"/>
    <x v="57"/>
    <x v="54"/>
    <x v="2"/>
    <n v="45"/>
    <s v="unit"/>
    <n v="0.35"/>
    <n v="0"/>
    <n v="0"/>
    <n v="15.749999999999998"/>
    <m/>
    <x v="145"/>
    <x v="0"/>
    <s v="Gelato Preroll 0.35g_preroll_bulk"/>
    <n v="42"/>
  </r>
  <r>
    <n v="452"/>
    <n v="0"/>
    <x v="392"/>
    <x v="0"/>
    <s v="T089EX"/>
    <s v="NA"/>
    <s v="T089EXNA"/>
    <s v="extract_inhaled_packaged"/>
    <x v="107"/>
    <x v="144"/>
    <x v="2"/>
    <n v="140"/>
    <s v="unit"/>
    <n v="0.5"/>
    <n v="0"/>
    <n v="0"/>
    <n v="70"/>
    <m/>
    <x v="146"/>
    <x v="0"/>
    <s v="November Rain Vape Strawberry Drizzle 0.5g Hybrid_extract_inhaled_packaged"/>
    <n v="88"/>
  </r>
  <r>
    <n v="453"/>
    <n v="0"/>
    <x v="393"/>
    <x v="0"/>
    <s v="T090EX"/>
    <s v="NA"/>
    <s v="T090EXNA"/>
    <s v="extract_inhaled_packaged"/>
    <x v="107"/>
    <x v="144"/>
    <x v="2"/>
    <n v="200"/>
    <s v="unit"/>
    <n v="0.5"/>
    <n v="0"/>
    <n v="0"/>
    <n v="100"/>
    <m/>
    <x v="146"/>
    <x v="0"/>
    <s v="November Rain Vape Strawberry Drizzle 0.5g Hybrid_extract_inhaled_packaged"/>
    <n v="88"/>
  </r>
  <r>
    <n v="454"/>
    <n v="0"/>
    <x v="394"/>
    <x v="0"/>
    <s v="T091EX"/>
    <s v="NA"/>
    <s v="T091EXNA"/>
    <s v="extract_inhaled_packaged"/>
    <x v="107"/>
    <x v="144"/>
    <x v="2"/>
    <n v="79"/>
    <s v="unit"/>
    <n v="0.5"/>
    <n v="0"/>
    <n v="0"/>
    <n v="39.5"/>
    <m/>
    <x v="146"/>
    <x v="0"/>
    <s v="November Rain Vape Strawberry Drizzle 0.5g Hybrid_extract_inhaled_packaged"/>
    <n v="88"/>
  </r>
  <r>
    <n v="455"/>
    <n v="0"/>
    <x v="395"/>
    <x v="1"/>
    <s v="T092EX"/>
    <s v="NA"/>
    <s v="T092EXNA"/>
    <s v="extract_ingested_labelled"/>
    <x v="93"/>
    <x v="143"/>
    <x v="85"/>
    <n v="84"/>
    <s v="unit"/>
    <n v="27.3"/>
    <n v="0"/>
    <n v="0"/>
    <n v="2293.2000000000003"/>
    <m/>
    <x v="147"/>
    <x v="0"/>
    <s v="CBD Bacon Oil 10 mg 27.3g_extract_ingested_labelled"/>
    <n v="17"/>
  </r>
  <r>
    <n v="456"/>
    <n v="0"/>
    <x v="396"/>
    <x v="0"/>
    <s v="T093EX"/>
    <s v="NA"/>
    <s v="T093EXNA"/>
    <s v="extract_ingested_labelled"/>
    <x v="4"/>
    <x v="4"/>
    <x v="3"/>
    <n v="5"/>
    <s v="unit"/>
    <n v="27.6"/>
    <n v="0"/>
    <n v="0"/>
    <n v="138"/>
    <m/>
    <x v="148"/>
    <x v="0"/>
    <s v="THC CBD balanced 1:1 oil 27.6g_extract_ingested_labelled"/>
    <n v="128"/>
  </r>
  <r>
    <n v="457"/>
    <n v="0"/>
    <x v="397"/>
    <x v="1"/>
    <s v="T094EX"/>
    <s v="NA"/>
    <s v="T094EXNA"/>
    <s v="extract_ingested_labelled"/>
    <x v="93"/>
    <x v="143"/>
    <x v="85"/>
    <n v="26"/>
    <s v="unit"/>
    <n v="27.3"/>
    <n v="0"/>
    <n v="0"/>
    <n v="709.80000000000007"/>
    <m/>
    <x v="149"/>
    <x v="0"/>
    <s v="CBD Bacon Oil 10 mg 27.3g_extract_ingested_labelled"/>
    <n v="17"/>
  </r>
  <r>
    <n v="459"/>
    <n v="0"/>
    <x v="398"/>
    <x v="1"/>
    <s v="T095EX"/>
    <s v="NA"/>
    <s v="T095EXNA"/>
    <s v="extract_ingested_cased_ON"/>
    <x v="78"/>
    <x v="145"/>
    <x v="86"/>
    <n v="1"/>
    <s v="case"/>
    <n v="600"/>
    <n v="0"/>
    <n v="0"/>
    <n v="600"/>
    <m/>
    <x v="150"/>
    <x v="0"/>
    <s v="Pot Shot Tropical Fruits 151mg_extract_ingested_cased_ON"/>
    <n v="219"/>
  </r>
  <r>
    <n v="460"/>
    <n v="0"/>
    <x v="399"/>
    <x v="0"/>
    <s v="RACK_B"/>
    <s v="GRID_2"/>
    <s v="RACK_BGRID_2"/>
    <s v="preroll_bulk"/>
    <x v="71"/>
    <x v="146"/>
    <x v="2"/>
    <n v="676"/>
    <s v="unit"/>
    <n v="0.5"/>
    <n v="0"/>
    <n v="0"/>
    <n v="338"/>
    <m/>
    <x v="151"/>
    <x v="0"/>
    <s v="November Rain Rose preroll 0.5g_preroll_bulk"/>
    <n v="78"/>
  </r>
  <r>
    <n v="461"/>
    <n v="0"/>
    <x v="400"/>
    <x v="0"/>
    <s v="RACK_B"/>
    <s v="GRID_2"/>
    <s v="RACK_BGRID_2"/>
    <s v="preroll_bulk"/>
    <x v="71"/>
    <x v="146"/>
    <x v="2"/>
    <n v="676"/>
    <s v="unit"/>
    <n v="0.5"/>
    <n v="0"/>
    <n v="0"/>
    <n v="338"/>
    <m/>
    <x v="151"/>
    <x v="0"/>
    <s v="November Rain Rose preroll 0.5g_preroll_bulk"/>
    <n v="78"/>
  </r>
  <r>
    <n v="465"/>
    <n v="0"/>
    <x v="401"/>
    <x v="1"/>
    <s v="J022EX"/>
    <s v="NA"/>
    <s v="J022EXNA"/>
    <s v="extract_inhaled_bulk"/>
    <x v="125"/>
    <x v="147"/>
    <x v="2"/>
    <n v="1"/>
    <s v="jar"/>
    <n v="399.71000000000004"/>
    <n v="708.6"/>
    <n v="308.89"/>
    <n v="399.71000000000004"/>
    <m/>
    <x v="152"/>
    <x v="1"/>
    <s v="Strawberry Drizzle Vape _extract_inhaled_bulk"/>
    <n v="146"/>
  </r>
  <r>
    <n v="467"/>
    <n v="0"/>
    <x v="402"/>
    <x v="1"/>
    <s v="J024EX"/>
    <s v="NA"/>
    <s v="J024EXNA"/>
    <s v="extract_inhaled_bulk"/>
    <x v="128"/>
    <x v="148"/>
    <x v="2"/>
    <n v="1"/>
    <s v="jar"/>
    <n v="299.96000000000004"/>
    <n v="609.1"/>
    <n v="309.14"/>
    <n v="299.96000000000004"/>
    <m/>
    <x v="152"/>
    <x v="1"/>
    <s v="Platinum Sunrise Vape_extract_inhaled_bulk"/>
    <n v="148"/>
  </r>
  <r>
    <n v="423"/>
    <n v="0"/>
    <x v="403"/>
    <x v="1"/>
    <s v="J013EX"/>
    <s v="NA"/>
    <s v="J013EXNA"/>
    <s v="extract_inhaled_bulk"/>
    <x v="118"/>
    <x v="149"/>
    <x v="2"/>
    <n v="1"/>
    <s v="jar"/>
    <n v="150.36000000000001"/>
    <n v="458.46"/>
    <n v="308.09999999999997"/>
    <n v="150.36000000000001"/>
    <m/>
    <x v="153"/>
    <x v="1"/>
    <s v="Canadian Thunder Rosin Vape_extract_inhaled_bulk"/>
    <n v="15"/>
  </r>
  <r>
    <n v="398"/>
    <n v="0"/>
    <x v="404"/>
    <x v="0"/>
    <s v="T046PR"/>
    <s v="NA"/>
    <s v="T046PRNA"/>
    <s v="preroll_labelled"/>
    <x v="98"/>
    <x v="105"/>
    <x v="82"/>
    <n v="92"/>
    <s v="unit"/>
    <n v="1.5"/>
    <n v="1.5"/>
    <n v="0"/>
    <n v="138"/>
    <m/>
    <x v="154"/>
    <x v="0"/>
    <s v="November Rain Blueberry preroll 3 x 0.5g_preroll_labelled"/>
    <n v="76"/>
  </r>
  <r>
    <n v="399"/>
    <n v="0"/>
    <x v="405"/>
    <x v="1"/>
    <s v="T046PR"/>
    <s v="NA"/>
    <s v="T046PRNA"/>
    <s v="preroll_packaged"/>
    <x v="98"/>
    <x v="105"/>
    <x v="2"/>
    <n v="0"/>
    <s v="unit"/>
    <n v="1.5"/>
    <n v="1.5"/>
    <n v="0"/>
    <n v="0"/>
    <m/>
    <x v="154"/>
    <x v="0"/>
    <s v="November Rain Blueberry preroll 3 x 0.5g_preroll_packaged"/>
    <n v="123"/>
  </r>
  <r>
    <n v="468"/>
    <n v="0"/>
    <x v="406"/>
    <x v="1"/>
    <s v="J025EX"/>
    <s v="NA"/>
    <s v="J025EXNA"/>
    <s v="extract_inhaled_bulk"/>
    <x v="128"/>
    <x v="148"/>
    <x v="2"/>
    <n v="1"/>
    <s v="jar"/>
    <n v="279.62000000000006"/>
    <n v="589.20000000000005"/>
    <n v="309.58"/>
    <n v="279.62000000000006"/>
    <m/>
    <x v="155"/>
    <x v="1"/>
    <s v="Platinum Sunrise Vape_extract_inhaled_bulk"/>
    <n v="148"/>
  </r>
  <r>
    <n v="469"/>
    <n v="0"/>
    <x v="407"/>
    <x v="0"/>
    <s v="T097EX"/>
    <s v="NA"/>
    <s v="T097EXNA"/>
    <s v="extract_inhaled_packaged"/>
    <x v="99"/>
    <x v="150"/>
    <x v="2"/>
    <n v="244"/>
    <s v="unit"/>
    <n v="0.5"/>
    <n v="589.20000000000005"/>
    <n v="309.58"/>
    <n v="122"/>
    <m/>
    <x v="155"/>
    <x v="0"/>
    <s v="November Rain Vape Tropical Meteor Shower 0.5g Sativa_extract_inhaled_packaged"/>
    <n v="91"/>
  </r>
  <r>
    <n v="471"/>
    <n v="0"/>
    <x v="408"/>
    <x v="1"/>
    <s v="T099EX"/>
    <s v="NA"/>
    <s v="T099EXNA"/>
    <s v="extract_inhaled_labelled"/>
    <x v="0"/>
    <x v="151"/>
    <x v="86"/>
    <n v="116"/>
    <s v="unit"/>
    <n v="0.5"/>
    <n v="589.20000000000005"/>
    <n v="309.58"/>
    <n v="58"/>
    <m/>
    <x v="156"/>
    <x v="0"/>
    <s v="November Rain Vape Canadian Thunder 0.5g Sativa_extract_inhaled_labelled"/>
    <n v="83"/>
  </r>
  <r>
    <n v="210"/>
    <n v="0"/>
    <x v="409"/>
    <x v="1"/>
    <s v="T013EX"/>
    <s v="NA"/>
    <s v="T013EXNA"/>
    <s v="extract_ingested_labelled"/>
    <x v="77"/>
    <x v="79"/>
    <x v="87"/>
    <n v="17"/>
    <s v="unit"/>
    <n v="27.4"/>
    <n v="0"/>
    <n v="0"/>
    <n v="465.79999999999995"/>
    <m/>
    <x v="157"/>
    <x v="0"/>
    <s v="Aum CBD oil 27.4g_extract_ingested_labelled"/>
    <n v="7"/>
  </r>
  <r>
    <n v="212"/>
    <n v="0"/>
    <x v="410"/>
    <x v="1"/>
    <s v="T015EX"/>
    <s v="NA"/>
    <s v="T015EXNA"/>
    <s v="extract_ingested_labelled"/>
    <x v="77"/>
    <x v="79"/>
    <x v="87"/>
    <n v="84"/>
    <s v="unit"/>
    <n v="27.4"/>
    <n v="0"/>
    <n v="0"/>
    <n v="2301.6"/>
    <m/>
    <x v="158"/>
    <x v="0"/>
    <s v="Aum CBD oil 27.4g_extract_ingested_labelled"/>
    <n v="7"/>
  </r>
  <r>
    <n v="215"/>
    <n v="0"/>
    <x v="411"/>
    <x v="1"/>
    <s v="T018EX"/>
    <s v="NA"/>
    <s v="T018EXNA"/>
    <s v="extract_ingested_labelled"/>
    <x v="77"/>
    <x v="79"/>
    <x v="87"/>
    <n v="84"/>
    <s v="unit"/>
    <n v="27.4"/>
    <n v="0"/>
    <n v="0"/>
    <n v="2301.6"/>
    <m/>
    <x v="158"/>
    <x v="0"/>
    <s v="Aum CBD oil 27.4g_extract_ingested_labelled"/>
    <n v="7"/>
  </r>
  <r>
    <n v="429"/>
    <n v="0"/>
    <x v="412"/>
    <x v="0"/>
    <s v="P011EX"/>
    <s v="NA"/>
    <s v="P011EXNA"/>
    <s v="extract_ingested_labelled"/>
    <x v="78"/>
    <x v="145"/>
    <x v="86"/>
    <n v="20"/>
    <s v="unit"/>
    <n v="14953"/>
    <n v="16015"/>
    <n v="1062"/>
    <n v="299060"/>
    <m/>
    <x v="159"/>
    <x v="0"/>
    <s v="Pot Shot Tropical Fruits 151mg_extract_ingested_labelled"/>
    <n v="99"/>
  </r>
  <r>
    <n v="474"/>
    <n v="0"/>
    <x v="413"/>
    <x v="0"/>
    <s v="RACK_B"/>
    <s v="GRID_2"/>
    <s v="RACK_BGRID_2"/>
    <s v="preroll_bulk"/>
    <x v="72"/>
    <x v="152"/>
    <x v="2"/>
    <n v="357"/>
    <s v="unit"/>
    <n v="0.5"/>
    <n v="589.20000000000005"/>
    <n v="309.58"/>
    <n v="178.5"/>
    <m/>
    <x v="160"/>
    <x v="0"/>
    <s v="November Rain Blueberry preroll 0.5g_preroll_bulk"/>
    <n v="75"/>
  </r>
  <r>
    <n v="475"/>
    <n v="0"/>
    <x v="414"/>
    <x v="0"/>
    <s v="RACK_B"/>
    <s v="GRID_2"/>
    <s v="RACK_BGRID_2"/>
    <s v="preroll_bulk"/>
    <x v="72"/>
    <x v="152"/>
    <x v="2"/>
    <n v="705"/>
    <s v="unit"/>
    <n v="0.5"/>
    <n v="589.20000000000005"/>
    <n v="309.58"/>
    <n v="352.5"/>
    <m/>
    <x v="160"/>
    <x v="0"/>
    <s v="November Rain Blueberry preroll 0.5g_preroll_bulk"/>
    <n v="75"/>
  </r>
  <r>
    <n v="476"/>
    <n v="0"/>
    <x v="415"/>
    <x v="1"/>
    <s v="RACK_B"/>
    <s v="GRID_2"/>
    <s v="RACK_BGRID_2"/>
    <s v="preroll_bulk"/>
    <x v="72"/>
    <x v="152"/>
    <x v="2"/>
    <n v="704"/>
    <s v="unit"/>
    <n v="0.5"/>
    <n v="589.20000000000005"/>
    <n v="309.58"/>
    <n v="352"/>
    <m/>
    <x v="160"/>
    <x v="0"/>
    <s v="November Rain Blueberry preroll 0.5g_preroll_bulk"/>
    <n v="75"/>
  </r>
  <r>
    <n v="477"/>
    <n v="0"/>
    <x v="416"/>
    <x v="1"/>
    <s v="RACK_B"/>
    <s v="GRID_2"/>
    <s v="RACK_BGRID_2"/>
    <s v="preroll_bulk"/>
    <x v="62"/>
    <x v="153"/>
    <x v="2"/>
    <n v="724"/>
    <s v="unit"/>
    <n v="0.5"/>
    <n v="589.20000000000005"/>
    <n v="309.58"/>
    <n v="362"/>
    <m/>
    <x v="161"/>
    <x v="0"/>
    <s v="November Rain Lemon Ice Tea preroll 0.5g_preroll_bulk"/>
    <n v="62"/>
  </r>
  <r>
    <n v="478"/>
    <n v="0"/>
    <x v="417"/>
    <x v="0"/>
    <s v="RACK_B"/>
    <s v="GRID_2"/>
    <s v="RACK_BGRID_2"/>
    <s v="preroll_bulk"/>
    <x v="65"/>
    <x v="154"/>
    <x v="2"/>
    <n v="707"/>
    <s v="unit"/>
    <n v="0.5"/>
    <n v="589.20000000000005"/>
    <n v="309.58"/>
    <n v="353.5"/>
    <m/>
    <x v="161"/>
    <x v="0"/>
    <s v="Watermelon preroll 0.5g_preroll_bulk"/>
    <n v="112"/>
  </r>
  <r>
    <n v="479"/>
    <n v="0"/>
    <x v="418"/>
    <x v="0"/>
    <s v="RACK_B"/>
    <s v="GRID_2"/>
    <s v="RACK_BGRID_2"/>
    <s v="preroll_bulk"/>
    <x v="65"/>
    <x v="154"/>
    <x v="2"/>
    <n v="55"/>
    <s v="unit"/>
    <n v="0.5"/>
    <n v="589.20000000000005"/>
    <n v="309.58"/>
    <n v="27.5"/>
    <m/>
    <x v="161"/>
    <x v="0"/>
    <s v="Watermelon preroll 0.5g_preroll_bulk"/>
    <n v="112"/>
  </r>
  <r>
    <n v="480"/>
    <n v="0"/>
    <x v="419"/>
    <x v="0"/>
    <s v="RACK_B"/>
    <s v="GRID_2"/>
    <s v="RACK_BGRID_2"/>
    <s v="preroll_bulk"/>
    <x v="65"/>
    <x v="154"/>
    <x v="2"/>
    <n v="573"/>
    <s v="unit"/>
    <n v="0.5"/>
    <n v="589.20000000000005"/>
    <n v="309.58"/>
    <n v="286.5"/>
    <m/>
    <x v="161"/>
    <x v="0"/>
    <s v="Watermelon preroll 0.5g_preroll_bulk"/>
    <n v="112"/>
  </r>
  <r>
    <n v="481"/>
    <n v="0"/>
    <x v="420"/>
    <x v="0"/>
    <s v="RACK_B"/>
    <s v="GRID_2"/>
    <s v="RACK_BGRID_2"/>
    <s v="preroll_bulk"/>
    <x v="65"/>
    <x v="154"/>
    <x v="2"/>
    <n v="602"/>
    <s v="unit"/>
    <n v="0.5"/>
    <n v="589.20000000000005"/>
    <n v="309.58"/>
    <n v="301"/>
    <m/>
    <x v="161"/>
    <x v="0"/>
    <s v="Watermelon preroll 0.5g_preroll_bulk"/>
    <n v="112"/>
  </r>
  <r>
    <n v="182"/>
    <n v="0"/>
    <x v="421"/>
    <x v="1"/>
    <s v="P001DF"/>
    <s v="NA"/>
    <s v="P001DFNA"/>
    <s v="driedflower_milled_bulk"/>
    <x v="23"/>
    <x v="72"/>
    <x v="2"/>
    <n v="1"/>
    <s v="pail"/>
    <n v="2004.7"/>
    <n v="3815"/>
    <n v="1810.3"/>
    <n v="2004.7"/>
    <m/>
    <x v="162"/>
    <x v="1"/>
    <s v="Galactic Cake dried flower_driedflower_milled_bulk"/>
    <n v="131"/>
  </r>
  <r>
    <n v="482"/>
    <n v="0"/>
    <x v="422"/>
    <x v="0"/>
    <s v="T039PR"/>
    <s v="NA"/>
    <s v="T039PRNA"/>
    <s v="preroll_labelled"/>
    <x v="61"/>
    <x v="133"/>
    <x v="88"/>
    <n v="60"/>
    <s v="unit"/>
    <n v="0.5"/>
    <n v="589.20000000000005"/>
    <n v="309.58"/>
    <n v="30"/>
    <m/>
    <x v="163"/>
    <x v="0"/>
    <s v="November Rain Watermelon preroll 3 x 0.5g_preroll_labelled"/>
    <n v="92"/>
  </r>
  <r>
    <n v="484"/>
    <n v="0"/>
    <x v="423"/>
    <x v="1"/>
    <s v="T101EX"/>
    <s v="NA"/>
    <s v="T101EXNA"/>
    <s v="extract_ingested_labelled"/>
    <x v="93"/>
    <x v="143"/>
    <x v="85"/>
    <n v="64"/>
    <s v="unit"/>
    <n v="27.3"/>
    <n v="0"/>
    <n v="0"/>
    <n v="1747.2"/>
    <m/>
    <x v="164"/>
    <x v="0"/>
    <s v="CBD Bacon Oil 10 mg 27.3g_extract_ingested_labelled"/>
    <n v="17"/>
  </r>
  <r>
    <n v="485"/>
    <n v="0"/>
    <x v="424"/>
    <x v="1"/>
    <s v="T102EX"/>
    <s v="NA"/>
    <s v="T102EXNA"/>
    <s v="extract_ingested_labelled"/>
    <x v="93"/>
    <x v="143"/>
    <x v="85"/>
    <n v="84"/>
    <s v="unit"/>
    <n v="27.3"/>
    <n v="0"/>
    <n v="0"/>
    <n v="2293.2000000000003"/>
    <m/>
    <x v="164"/>
    <x v="0"/>
    <s v="CBD Bacon Oil 10 mg 27.3g_extract_ingested_labelled"/>
    <n v="17"/>
  </r>
  <r>
    <n v="119"/>
    <n v="0"/>
    <x v="425"/>
    <x v="0"/>
    <s v="T013PR"/>
    <s v="NA"/>
    <s v="T013PRNA"/>
    <s v="preroll_bulk"/>
    <x v="96"/>
    <x v="101"/>
    <x v="89"/>
    <n v="1622"/>
    <s v="unit"/>
    <n v="0.5"/>
    <n v="0"/>
    <n v="0"/>
    <n v="811"/>
    <m/>
    <x v="165"/>
    <x v="0"/>
    <s v="Grease Monkey preroll 0.5g_preroll_bulk"/>
    <n v="56"/>
  </r>
  <r>
    <n v="487"/>
    <n v="0"/>
    <x v="426"/>
    <x v="1"/>
    <s v="RACK_B"/>
    <s v="GRID_2"/>
    <s v="RACK_BGRID_2"/>
    <s v="preroll_bulk"/>
    <x v="72"/>
    <x v="152"/>
    <x v="2"/>
    <n v="718"/>
    <s v="unit"/>
    <n v="0.5"/>
    <n v="0"/>
    <n v="0"/>
    <n v="359"/>
    <m/>
    <x v="166"/>
    <x v="0"/>
    <s v="November Rain Blueberry preroll 0.5g_preroll_bulk"/>
    <n v="75"/>
  </r>
  <r>
    <n v="488"/>
    <n v="0"/>
    <x v="427"/>
    <x v="0"/>
    <s v="RACK_B"/>
    <s v="GRID_2"/>
    <s v="RACK_BGRID_2"/>
    <s v="preroll_bulk"/>
    <x v="72"/>
    <x v="152"/>
    <x v="2"/>
    <n v="242"/>
    <s v="unit"/>
    <n v="0.5"/>
    <n v="0"/>
    <n v="0"/>
    <n v="121"/>
    <m/>
    <x v="166"/>
    <x v="0"/>
    <s v="November Rain Blueberry preroll 0.5g_preroll_bulk"/>
    <n v="75"/>
  </r>
  <r>
    <n v="489"/>
    <n v="0"/>
    <x v="428"/>
    <x v="1"/>
    <s v="RACK_B"/>
    <s v="GRID_2"/>
    <s v="RACK_BGRID_2"/>
    <s v="preroll_bulk"/>
    <x v="72"/>
    <x v="152"/>
    <x v="2"/>
    <n v="847"/>
    <s v="unit"/>
    <n v="0.5"/>
    <n v="0"/>
    <n v="0"/>
    <n v="423.5"/>
    <m/>
    <x v="166"/>
    <x v="0"/>
    <s v="November Rain Blueberry preroll 0.5g_preroll_bulk"/>
    <n v="75"/>
  </r>
  <r>
    <n v="214"/>
    <n v="0"/>
    <x v="429"/>
    <x v="0"/>
    <s v="T017EX"/>
    <s v="NA"/>
    <s v="T017EXNA"/>
    <s v="extract_ingested_labelled"/>
    <x v="77"/>
    <x v="79"/>
    <x v="87"/>
    <n v="84"/>
    <s v="unit"/>
    <n v="27.4"/>
    <n v="0"/>
    <n v="0"/>
    <n v="2301.6"/>
    <m/>
    <x v="167"/>
    <x v="0"/>
    <s v="Aum CBD oil 27.4g_extract_ingested_labelled"/>
    <n v="7"/>
  </r>
  <r>
    <n v="490"/>
    <n v="0"/>
    <x v="430"/>
    <x v="0"/>
    <s v="T104EX"/>
    <s v="NA"/>
    <s v="T104EXNA"/>
    <s v="extract_ingested_labelled"/>
    <x v="4"/>
    <x v="4"/>
    <x v="3"/>
    <n v="12"/>
    <s v="unit"/>
    <n v="27.6"/>
    <n v="0"/>
    <n v="0"/>
    <n v="331.20000000000005"/>
    <m/>
    <x v="168"/>
    <x v="0"/>
    <s v="THC CBD balanced 1:1 oil 27.6g_extract_ingested_labelled"/>
    <n v="128"/>
  </r>
  <r>
    <n v="492"/>
    <n v="0"/>
    <x v="431"/>
    <x v="0"/>
    <s v="NA"/>
    <s v="NA"/>
    <s v="NANA"/>
    <s v="driedflower_bulk_BURB"/>
    <x v="129"/>
    <x v="155"/>
    <x v="2"/>
    <n v="1"/>
    <s v="unit"/>
    <n v="3000"/>
    <n v="3095"/>
    <n v="95"/>
    <n v="3000"/>
    <s v="C-01209"/>
    <x v="169"/>
    <x v="1"/>
    <s v="Pressure Pie dried flower_driedflower_bulk_BURB"/>
    <n v="150"/>
  </r>
  <r>
    <n v="493"/>
    <n v="0"/>
    <x v="432"/>
    <x v="1"/>
    <s v="NA"/>
    <s v="NA"/>
    <s v="NANA"/>
    <s v="driedflower_bulk_BURB"/>
    <x v="129"/>
    <x v="155"/>
    <x v="2"/>
    <n v="1"/>
    <s v="unit"/>
    <n v="3000"/>
    <n v="3092"/>
    <n v="92"/>
    <n v="3000"/>
    <s v="C-01211"/>
    <x v="169"/>
    <x v="1"/>
    <s v="Pressure Pie dried flower_driedflower_bulk_BURB"/>
    <n v="150"/>
  </r>
  <r>
    <n v="494"/>
    <n v="0"/>
    <x v="433"/>
    <x v="0"/>
    <s v="NA"/>
    <s v="NA"/>
    <s v="NANA"/>
    <s v="driedflower_bulk_BURB"/>
    <x v="129"/>
    <x v="155"/>
    <x v="2"/>
    <n v="1"/>
    <s v="unit"/>
    <n v="3000"/>
    <n v="3090"/>
    <n v="90"/>
    <n v="3000"/>
    <s v="C-01210"/>
    <x v="169"/>
    <x v="1"/>
    <s v="Pressure Pie dried flower_driedflower_bulk_BURB"/>
    <n v="150"/>
  </r>
  <r>
    <n v="495"/>
    <n v="0"/>
    <x v="434"/>
    <x v="1"/>
    <s v="NA"/>
    <s v="NA"/>
    <s v="NANA"/>
    <s v="driedflower_bulk_BURB"/>
    <x v="129"/>
    <x v="155"/>
    <x v="2"/>
    <n v="1"/>
    <s v="unit"/>
    <n v="395"/>
    <n v="484"/>
    <n v="89"/>
    <n v="395"/>
    <s v="C-01212"/>
    <x v="169"/>
    <x v="1"/>
    <s v="Pressure Pie dried flower_driedflower_bulk_BURB"/>
    <n v="150"/>
  </r>
  <r>
    <n v="496"/>
    <n v="0"/>
    <x v="435"/>
    <x v="0"/>
    <s v="NA"/>
    <s v="NA"/>
    <s v="NANA"/>
    <s v="driedflower_bulk_BURB"/>
    <x v="129"/>
    <x v="155"/>
    <x v="2"/>
    <n v="1"/>
    <s v="unit"/>
    <n v="3000"/>
    <n v="3088"/>
    <n v="88"/>
    <n v="3000"/>
    <s v="C-01208"/>
    <x v="169"/>
    <x v="1"/>
    <s v="Pressure Pie dried flower_driedflower_bulk_BURB"/>
    <n v="150"/>
  </r>
  <r>
    <n v="497"/>
    <n v="0"/>
    <x v="436"/>
    <x v="1"/>
    <s v="NA"/>
    <s v="NA"/>
    <s v="NANA"/>
    <s v="driedflower_bulk_BURB"/>
    <x v="129"/>
    <x v="155"/>
    <x v="2"/>
    <n v="1"/>
    <s v="unit"/>
    <n v="1741"/>
    <n v="1834"/>
    <n v="93"/>
    <n v="1741"/>
    <s v="C-01216"/>
    <x v="169"/>
    <x v="1"/>
    <s v="Pressure Pie dried flower_driedflower_bulk_BURB"/>
    <n v="150"/>
  </r>
  <r>
    <n v="498"/>
    <n v="0"/>
    <x v="437"/>
    <x v="1"/>
    <s v="NA"/>
    <s v="NA"/>
    <s v="NANA"/>
    <s v="driedflower_bulk_BURB"/>
    <x v="129"/>
    <x v="155"/>
    <x v="2"/>
    <n v="1"/>
    <s v="unit"/>
    <n v="174"/>
    <n v="218"/>
    <n v="44"/>
    <n v="174"/>
    <s v="C-01474"/>
    <x v="169"/>
    <x v="1"/>
    <s v="Pressure Pie dried flower_driedflower_bulk_BURB"/>
    <n v="150"/>
  </r>
  <r>
    <n v="499"/>
    <n v="0"/>
    <x v="438"/>
    <x v="0"/>
    <s v="NA"/>
    <s v="NA"/>
    <s v="NANA"/>
    <s v="driedflower_bulk_BURB"/>
    <x v="129"/>
    <x v="155"/>
    <x v="2"/>
    <n v="1"/>
    <s v="unit"/>
    <n v="1553"/>
    <n v="1640"/>
    <n v="87"/>
    <n v="1553"/>
    <s v="C-01473"/>
    <x v="169"/>
    <x v="1"/>
    <s v="Pressure Pie dried flower_driedflower_bulk_BURB"/>
    <n v="150"/>
  </r>
  <r>
    <n v="501"/>
    <n v="0"/>
    <x v="439"/>
    <x v="1"/>
    <s v="J029EX"/>
    <s v="NA"/>
    <s v="J029EXNA"/>
    <s v="extract_inhaled_bulk"/>
    <x v="125"/>
    <x v="156"/>
    <x v="2"/>
    <n v="1"/>
    <s v="jar"/>
    <n v="1479"/>
    <n v="2071.9"/>
    <n v="592.9"/>
    <n v="1479"/>
    <m/>
    <x v="170"/>
    <x v="1"/>
    <s v="Strawberry Drizzle Vape _extract_inhaled_bulk"/>
    <n v="146"/>
  </r>
  <r>
    <n v="470"/>
    <n v="0"/>
    <x v="440"/>
    <x v="1"/>
    <s v="T098EX"/>
    <s v="NA"/>
    <s v="T098EXNA"/>
    <s v="extract_inhaled_labelled"/>
    <x v="99"/>
    <x v="150"/>
    <x v="90"/>
    <n v="360"/>
    <s v="unit"/>
    <n v="0.5"/>
    <n v="589.20000000000005"/>
    <n v="309.58"/>
    <n v="180"/>
    <m/>
    <x v="171"/>
    <x v="0"/>
    <s v="November Rain Vape Tropical Meteor Shower 0.5g Sativa_extract_inhaled_labelled"/>
    <n v="90"/>
  </r>
  <r>
    <n v="502"/>
    <n v="0"/>
    <x v="441"/>
    <x v="0"/>
    <s v="T046PR"/>
    <s v="NA"/>
    <s v="T046PRNA"/>
    <s v="preroll_labelled"/>
    <x v="98"/>
    <x v="104"/>
    <x v="83"/>
    <n v="282"/>
    <s v="unit"/>
    <n v="1.5"/>
    <n v="0"/>
    <n v="0"/>
    <n v="423"/>
    <m/>
    <x v="172"/>
    <x v="0"/>
    <s v="November Rain Blueberry preroll 3 x 0.5g_preroll_labelled"/>
    <n v="76"/>
  </r>
  <r>
    <n v="124"/>
    <n v="0"/>
    <x v="442"/>
    <x v="1"/>
    <s v="T017PR"/>
    <s v="NA"/>
    <s v="T017PRNA"/>
    <s v="preroll_labelled"/>
    <x v="94"/>
    <x v="42"/>
    <x v="91"/>
    <n v="99"/>
    <s v="unit"/>
    <n v="1"/>
    <n v="0"/>
    <n v="0"/>
    <n v="99"/>
    <m/>
    <x v="173"/>
    <x v="0"/>
    <s v="Gelato preroll 1 x 1g_preroll_labelled"/>
    <n v="44"/>
  </r>
  <r>
    <n v="504"/>
    <n v="0"/>
    <x v="443"/>
    <x v="1"/>
    <s v="T052PR"/>
    <s v="NA"/>
    <s v="T052PRNA"/>
    <s v="preroll_bulk"/>
    <x v="65"/>
    <x v="154"/>
    <x v="2"/>
    <n v="605"/>
    <s v="unit"/>
    <n v="0.5"/>
    <n v="0"/>
    <n v="0"/>
    <n v="302.5"/>
    <m/>
    <x v="174"/>
    <x v="0"/>
    <s v="Watermelon preroll 0.5g_preroll_bulk"/>
    <n v="112"/>
  </r>
  <r>
    <n v="273"/>
    <n v="0"/>
    <x v="444"/>
    <x v="0"/>
    <s v="T026DF"/>
    <s v="NA"/>
    <s v="T026DFNA"/>
    <s v="driedflower_labelled_RTV"/>
    <x v="89"/>
    <x v="93"/>
    <x v="92"/>
    <n v="135"/>
    <s v="unit"/>
    <n v="3.5"/>
    <n v="0"/>
    <n v="0"/>
    <n v="472.5"/>
    <m/>
    <x v="175"/>
    <x v="0"/>
    <s v="Gelato dried flower 3.5g_driedflower_labelled_RTV"/>
    <n v="39"/>
  </r>
  <r>
    <n v="519"/>
    <n v="0"/>
    <x v="445"/>
    <x v="1"/>
    <s v="J032EX"/>
    <s v="NA"/>
    <s v="J032EXNA"/>
    <s v="extract_inhaled_bulk"/>
    <x v="130"/>
    <x v="157"/>
    <x v="2"/>
    <n v="1"/>
    <s v="jar"/>
    <n v="300.63"/>
    <n v="608.5"/>
    <n v="307.87"/>
    <n v="300.63"/>
    <m/>
    <x v="176"/>
    <x v="1"/>
    <s v="Caribbean Breeze Vape_extract_inhaled_bulk"/>
    <n v="168"/>
  </r>
  <r>
    <n v="500"/>
    <n v="0"/>
    <x v="446"/>
    <x v="1"/>
    <s v="J028EX"/>
    <s v="NA"/>
    <s v="J028EXNA"/>
    <s v="extract_inhaled_bulk"/>
    <x v="128"/>
    <x v="158"/>
    <x v="2"/>
    <n v="1"/>
    <s v="jar"/>
    <n v="1472.8000000000002"/>
    <n v="2076.8000000000002"/>
    <n v="604"/>
    <n v="1472.8000000000002"/>
    <m/>
    <x v="177"/>
    <x v="1"/>
    <s v="Platinum Sunrise Vape_extract_inhaled_bulk"/>
    <n v="148"/>
  </r>
  <r>
    <n v="508"/>
    <n v="0"/>
    <x v="447"/>
    <x v="1"/>
    <s v="NA"/>
    <s v="NA"/>
    <s v="NANA"/>
    <s v="driedflower_bulk"/>
    <x v="121"/>
    <x v="159"/>
    <x v="2"/>
    <n v="1"/>
    <s v="bag"/>
    <n v="1945"/>
    <n v="2030"/>
    <n v="85"/>
    <n v="1945"/>
    <s v="C-01181"/>
    <x v="178"/>
    <x v="1"/>
    <s v="KZ F006 GRADE A_driedflower_bulk"/>
    <n v="132"/>
  </r>
  <r>
    <n v="509"/>
    <n v="0"/>
    <x v="448"/>
    <x v="1"/>
    <s v="NA"/>
    <s v="NA"/>
    <s v="NANA"/>
    <s v="driedflower_bulk"/>
    <x v="121"/>
    <x v="159"/>
    <x v="2"/>
    <n v="1"/>
    <s v="bag"/>
    <n v="3000"/>
    <n v="3085"/>
    <n v="85"/>
    <n v="3000"/>
    <s v="C-01180"/>
    <x v="178"/>
    <x v="1"/>
    <s v="KZ F006 GRADE A_driedflower_bulk"/>
    <n v="132"/>
  </r>
  <r>
    <n v="510"/>
    <n v="0"/>
    <x v="449"/>
    <x v="1"/>
    <s v="NA"/>
    <s v="NA"/>
    <s v="NANA"/>
    <s v="driedflower_bulk"/>
    <x v="121"/>
    <x v="159"/>
    <x v="2"/>
    <n v="1"/>
    <s v="bag"/>
    <n v="3000"/>
    <n v="3085"/>
    <n v="85"/>
    <n v="3000"/>
    <s v="C-01178"/>
    <x v="178"/>
    <x v="1"/>
    <s v="KZ F006 GRADE A_driedflower_bulk"/>
    <n v="132"/>
  </r>
  <r>
    <n v="511"/>
    <n v="0"/>
    <x v="450"/>
    <x v="1"/>
    <s v="NA"/>
    <s v="NA"/>
    <s v="NANA"/>
    <s v="driedflower_bulk"/>
    <x v="121"/>
    <x v="159"/>
    <x v="2"/>
    <n v="1"/>
    <s v="bag"/>
    <n v="3000"/>
    <n v="3085"/>
    <n v="85"/>
    <n v="3000"/>
    <s v="C-01176"/>
    <x v="178"/>
    <x v="1"/>
    <s v="KZ F006 GRADE A_driedflower_bulk"/>
    <n v="132"/>
  </r>
  <r>
    <n v="512"/>
    <n v="0"/>
    <x v="451"/>
    <x v="1"/>
    <s v="NA"/>
    <s v="NA"/>
    <s v="NANA"/>
    <s v="driedflower_bulk"/>
    <x v="131"/>
    <x v="160"/>
    <x v="2"/>
    <n v="1"/>
    <s v="bag"/>
    <n v="3000"/>
    <n v="3085"/>
    <n v="85"/>
    <n v="3000"/>
    <s v="C-01084"/>
    <x v="178"/>
    <x v="1"/>
    <s v="KRUNTZ B003 GRADE A_driedflower_bulk"/>
    <n v="170"/>
  </r>
  <r>
    <n v="513"/>
    <n v="0"/>
    <x v="452"/>
    <x v="0"/>
    <s v="NA"/>
    <s v="NA"/>
    <s v="NANA"/>
    <s v="driedflower_bulk"/>
    <x v="131"/>
    <x v="160"/>
    <x v="2"/>
    <n v="1"/>
    <s v="bag"/>
    <n v="3000"/>
    <n v="3085"/>
    <n v="85"/>
    <n v="3000"/>
    <s v="C-01082"/>
    <x v="178"/>
    <x v="1"/>
    <s v="KRUNTZ B003 GRADE A_driedflower_bulk"/>
    <n v="170"/>
  </r>
  <r>
    <n v="514"/>
    <n v="0"/>
    <x v="453"/>
    <x v="0"/>
    <s v="NA"/>
    <s v="NA"/>
    <s v="NANA"/>
    <s v="driedflower_bulk"/>
    <x v="131"/>
    <x v="160"/>
    <x v="2"/>
    <n v="1"/>
    <s v="bag"/>
    <n v="3000"/>
    <n v="3085"/>
    <n v="85"/>
    <n v="3000"/>
    <s v="C-01083"/>
    <x v="178"/>
    <x v="1"/>
    <s v="KRUNTZ B003 GRADE A_driedflower_bulk"/>
    <n v="170"/>
  </r>
  <r>
    <n v="515"/>
    <n v="0"/>
    <x v="454"/>
    <x v="1"/>
    <s v="NA"/>
    <s v="NA"/>
    <s v="NANA"/>
    <s v="driedflower_bulk"/>
    <x v="131"/>
    <x v="160"/>
    <x v="2"/>
    <n v="1"/>
    <s v="bag"/>
    <n v="3000"/>
    <n v="3085"/>
    <n v="85"/>
    <n v="3000"/>
    <s v="C-01087"/>
    <x v="178"/>
    <x v="1"/>
    <s v="KRUNTZ B003 GRADE A_driedflower_bulk"/>
    <n v="170"/>
  </r>
  <r>
    <n v="516"/>
    <n v="0"/>
    <x v="455"/>
    <x v="1"/>
    <s v="NA"/>
    <s v="NA"/>
    <s v="NANA"/>
    <s v="driedflower_bulk"/>
    <x v="131"/>
    <x v="160"/>
    <x v="2"/>
    <n v="1"/>
    <s v="bag"/>
    <n v="3159"/>
    <n v="3245"/>
    <n v="86"/>
    <n v="3159"/>
    <s v="C-01088"/>
    <x v="178"/>
    <x v="1"/>
    <s v="KRUNTZ B003 GRADE A_driedflower_bulk"/>
    <n v="170"/>
  </r>
  <r>
    <n v="517"/>
    <n v="0"/>
    <x v="456"/>
    <x v="0"/>
    <s v="NA"/>
    <s v="NA"/>
    <s v="NANA"/>
    <s v="driedflower_bulk"/>
    <x v="132"/>
    <x v="161"/>
    <x v="2"/>
    <n v="1"/>
    <s v="bag"/>
    <n v="938"/>
    <n v="1030"/>
    <n v="92"/>
    <n v="938"/>
    <s v="C-01128"/>
    <x v="178"/>
    <x v="1"/>
    <s v="KZ D005 GRADE A_driedflower_bulk"/>
    <n v="169"/>
  </r>
  <r>
    <n v="518"/>
    <n v="0"/>
    <x v="457"/>
    <x v="0"/>
    <s v="NA"/>
    <s v="NA"/>
    <s v="NANA"/>
    <s v="driedflower_bulk"/>
    <x v="132"/>
    <x v="161"/>
    <x v="2"/>
    <n v="1"/>
    <s v="bag"/>
    <n v="3000"/>
    <n v="3085"/>
    <n v="85"/>
    <n v="3000"/>
    <s v="C-01127"/>
    <x v="178"/>
    <x v="1"/>
    <s v="KZ D005 GRADE A_driedflower_bulk"/>
    <n v="169"/>
  </r>
  <r>
    <n v="466"/>
    <n v="0"/>
    <x v="458"/>
    <x v="1"/>
    <s v="J023EX"/>
    <s v="NA"/>
    <s v="J023EXNA"/>
    <s v="extract_inhaled_bulk"/>
    <x v="128"/>
    <x v="148"/>
    <x v="2"/>
    <n v="1"/>
    <s v="jar"/>
    <n v="65.899999999999977"/>
    <n v="374.9"/>
    <n v="309"/>
    <n v="65.899999999999977"/>
    <m/>
    <x v="179"/>
    <x v="1"/>
    <s v="Platinum Sunrise Vape_extract_inhaled_bulk"/>
    <n v="148"/>
  </r>
  <r>
    <n v="523"/>
    <n v="0"/>
    <x v="459"/>
    <x v="0"/>
    <s v="NA"/>
    <s v="NA"/>
    <s v="RTV SECTION"/>
    <s v="topical_labelled_RTV"/>
    <x v="133"/>
    <x v="162"/>
    <x v="93"/>
    <n v="348"/>
    <s v="unit"/>
    <n v="450"/>
    <n v="0"/>
    <n v="0"/>
    <n v="156600"/>
    <m/>
    <x v="180"/>
    <x v="0"/>
    <s v="NUDH bath salt 450 gram_topical_labelled_RTV"/>
    <n v="171"/>
  </r>
  <r>
    <n v="524"/>
    <n v="0"/>
    <x v="460"/>
    <x v="0"/>
    <s v="P002TP"/>
    <s v="NA"/>
    <s v="P002TPNA"/>
    <s v="topical_bulk"/>
    <x v="25"/>
    <x v="163"/>
    <x v="2"/>
    <n v="1"/>
    <s v="pail"/>
    <n v="26500"/>
    <n v="71400"/>
    <n v="44900"/>
    <n v="26500"/>
    <s v="gross weight inculudes rim's weight"/>
    <x v="181"/>
    <x v="1"/>
    <s v="bath salt SPA 180 gram_topical_bulk"/>
    <n v="172"/>
  </r>
  <r>
    <n v="449"/>
    <n v="0"/>
    <x v="461"/>
    <x v="0"/>
    <s v="T087EX"/>
    <s v="NA"/>
    <s v="T087EXNA"/>
    <s v="extract_inhaled_labelled"/>
    <x v="117"/>
    <x v="126"/>
    <x v="3"/>
    <n v="6"/>
    <s v="unit"/>
    <n v="0.5"/>
    <n v="0"/>
    <n v="0"/>
    <n v="3"/>
    <m/>
    <x v="182"/>
    <x v="0"/>
    <s v="November Rain Vape Canadian OG Vape 0.5g_extract_inhaled_labelled"/>
    <n v="82"/>
  </r>
  <r>
    <n v="525"/>
    <n v="0"/>
    <x v="462"/>
    <x v="1"/>
    <s v="T106EX"/>
    <s v="NA"/>
    <s v="T106EXNA"/>
    <s v="extract_inhaled_labelled"/>
    <x v="111"/>
    <x v="164"/>
    <x v="94"/>
    <n v="375"/>
    <s v="unit"/>
    <n v="0.5"/>
    <n v="0"/>
    <n v="0"/>
    <n v="187.5"/>
    <m/>
    <x v="183"/>
    <x v="0"/>
    <s v="November Rain Vape Caribbean Breeze Hybrid 0.5g Live Rosin Disposable Bar_extract_inhaled_labelled"/>
    <n v="85"/>
  </r>
  <r>
    <n v="491"/>
    <n v="0"/>
    <x v="463"/>
    <x v="0"/>
    <s v="T105EX"/>
    <s v="NA"/>
    <s v="T105EXNA"/>
    <s v="extract_ingested_labelled"/>
    <x v="4"/>
    <x v="4"/>
    <x v="3"/>
    <n v="41"/>
    <s v="unit"/>
    <n v="27.6"/>
    <n v="0"/>
    <n v="0"/>
    <n v="1131.6000000000001"/>
    <m/>
    <x v="184"/>
    <x v="0"/>
    <s v="THC CBD balanced 1:1 oil 27.6g_extract_ingested_labelled"/>
    <n v="128"/>
  </r>
  <r>
    <n v="529"/>
    <n v="0"/>
    <x v="464"/>
    <x v="1"/>
    <s v="T054PR"/>
    <s v="NA"/>
    <s v="T054PRNA"/>
    <s v="preroll_labelled"/>
    <x v="98"/>
    <x v="105"/>
    <x v="95"/>
    <n v="684"/>
    <s v="unit"/>
    <n v="1.5"/>
    <n v="0"/>
    <n v="0"/>
    <n v="1026"/>
    <m/>
    <x v="185"/>
    <x v="0"/>
    <s v="November Rain Blueberry preroll 3 x 0.5g_preroll_labelled"/>
    <n v="76"/>
  </r>
  <r>
    <n v="472"/>
    <n v="0"/>
    <x v="465"/>
    <x v="0"/>
    <s v="RACK_B"/>
    <s v="GRID_2"/>
    <s v="RACK_BGRID_2"/>
    <s v="preroll_bulk"/>
    <x v="72"/>
    <x v="152"/>
    <x v="2"/>
    <n v="95"/>
    <s v="unit"/>
    <n v="0.5"/>
    <n v="589.20000000000005"/>
    <n v="309.58"/>
    <n v="47.5"/>
    <m/>
    <x v="186"/>
    <x v="0"/>
    <s v="November Rain Blueberry preroll 0.5g_preroll_bulk"/>
    <n v="75"/>
  </r>
  <r>
    <n v="531"/>
    <n v="0"/>
    <x v="466"/>
    <x v="0"/>
    <s v="T050DF"/>
    <s v="NA"/>
    <s v="T050DFNA"/>
    <s v="preroll_cased_ON"/>
    <x v="119"/>
    <x v="130"/>
    <x v="3"/>
    <n v="22"/>
    <s v="case"/>
    <n v="18"/>
    <n v="0"/>
    <n v="0"/>
    <n v="396"/>
    <m/>
    <x v="187"/>
    <x v="0"/>
    <s v="November Rain Trident preroll 3 x 0.5g_preroll_cased_ON"/>
    <n v="174"/>
  </r>
  <r>
    <n v="116"/>
    <n v="0"/>
    <x v="467"/>
    <x v="0"/>
    <s v="T010PR"/>
    <s v="NA"/>
    <s v="T010PRNA"/>
    <s v="preroll_bulk"/>
    <x v="134"/>
    <x v="34"/>
    <x v="32"/>
    <n v="659"/>
    <s v="unit"/>
    <n v="1"/>
    <n v="0"/>
    <n v="0"/>
    <n v="659"/>
    <m/>
    <x v="188"/>
    <x v="0"/>
    <s v="Chronic Mint preroll 1g_preroll_bulk"/>
    <n v="25"/>
  </r>
  <r>
    <n v="445"/>
    <n v="0"/>
    <x v="468"/>
    <x v="0"/>
    <s v="T083EX"/>
    <s v="NA"/>
    <s v="T083EXNA"/>
    <s v="extract_ingested_labelled"/>
    <x v="127"/>
    <x v="142"/>
    <x v="3"/>
    <n v="10"/>
    <s v="unit"/>
    <n v="27.6"/>
    <n v="0"/>
    <n v="0"/>
    <n v="276"/>
    <m/>
    <x v="189"/>
    <x v="0"/>
    <s v="THC oil 27.6g_extract_ingested_labelled"/>
    <n v="129"/>
  </r>
  <r>
    <n v="533"/>
    <n v="0"/>
    <x v="469"/>
    <x v="0"/>
    <s v="T052DF"/>
    <s v="NA"/>
    <s v="T052DFNA"/>
    <s v="preroll_cased_AB"/>
    <x v="135"/>
    <x v="165"/>
    <x v="23"/>
    <n v="32"/>
    <s v="case"/>
    <n v="18"/>
    <n v="0"/>
    <n v="0"/>
    <n v="576"/>
    <m/>
    <x v="190"/>
    <x v="0"/>
    <s v="Sweet Fuel OG preroll 3x0.5g_preroll_cased_AB"/>
    <n v="175"/>
  </r>
  <r>
    <n v="534"/>
    <n v="0"/>
    <x v="470"/>
    <x v="0"/>
    <s v="T051DF"/>
    <s v="NA"/>
    <s v="T051DFNA"/>
    <s v="infusedpreroll_cased_AB_RTV"/>
    <x v="136"/>
    <x v="166"/>
    <x v="96"/>
    <n v="50"/>
    <s v="case"/>
    <n v="9"/>
    <n v="0"/>
    <n v="0"/>
    <n v="450"/>
    <m/>
    <x v="190"/>
    <x v="0"/>
    <s v="Rose Diamond Infused preroll 3x0.5g_infusedpreroll_cased_AB_RTV"/>
    <n v="218"/>
  </r>
  <r>
    <n v="535"/>
    <n v="0"/>
    <x v="471"/>
    <x v="0"/>
    <s v="T053DF"/>
    <s v="NA"/>
    <s v="T053DFNA"/>
    <s v="preroll_cased_AB"/>
    <x v="135"/>
    <x v="165"/>
    <x v="23"/>
    <n v="22"/>
    <s v="case"/>
    <n v="18"/>
    <n v="0"/>
    <n v="0"/>
    <n v="396"/>
    <m/>
    <x v="190"/>
    <x v="0"/>
    <s v="Sweet Fuel OG preroll 3x0.5g_preroll_cased_AB"/>
    <n v="175"/>
  </r>
  <r>
    <n v="537"/>
    <n v="0"/>
    <x v="472"/>
    <x v="0"/>
    <s v="NA"/>
    <s v="NA"/>
    <s v="NANA"/>
    <s v="driedflower_bulk_BURB"/>
    <x v="137"/>
    <x v="167"/>
    <x v="2"/>
    <n v="1"/>
    <s v="bag"/>
    <n v="930"/>
    <n v="985"/>
    <n v="55"/>
    <n v="930"/>
    <s v="BGD 001"/>
    <x v="191"/>
    <x v="1"/>
    <s v="Blue Gum Dried Flower Grade A_driedflower_bulk_BURB"/>
    <n v="177"/>
  </r>
  <r>
    <n v="538"/>
    <n v="0"/>
    <x v="473"/>
    <x v="1"/>
    <s v="NA"/>
    <s v="NA"/>
    <s v="NANA"/>
    <s v="driedflower_bulk_BURB"/>
    <x v="137"/>
    <x v="167"/>
    <x v="2"/>
    <n v="1"/>
    <s v="bag"/>
    <n v="560"/>
    <n v="615"/>
    <n v="55"/>
    <n v="560"/>
    <s v="BGD 001"/>
    <x v="191"/>
    <x v="1"/>
    <s v="Blue Gum Dried Flower Grade A_driedflower_bulk_BURB"/>
    <n v="177"/>
  </r>
  <r>
    <n v="539"/>
    <n v="0"/>
    <x v="474"/>
    <x v="1"/>
    <s v="NA"/>
    <s v="NA"/>
    <s v="NANA"/>
    <s v="driedflower_bulk_BURB"/>
    <x v="137"/>
    <x v="167"/>
    <x v="2"/>
    <n v="1"/>
    <s v="bag"/>
    <n v="1000"/>
    <n v="1060"/>
    <n v="60"/>
    <n v="1000"/>
    <s v="BGD 001"/>
    <x v="191"/>
    <x v="1"/>
    <s v="Blue Gum Dried Flower Grade A_driedflower_bulk_BURB"/>
    <n v="177"/>
  </r>
  <r>
    <n v="540"/>
    <n v="0"/>
    <x v="475"/>
    <x v="1"/>
    <s v="NA"/>
    <s v="NA"/>
    <s v="NANA"/>
    <s v="driedflower_bulk_BURB"/>
    <x v="137"/>
    <x v="167"/>
    <x v="2"/>
    <n v="1"/>
    <s v="bag"/>
    <n v="1000"/>
    <n v="1060"/>
    <n v="60"/>
    <n v="1000"/>
    <s v="BGD 001"/>
    <x v="191"/>
    <x v="1"/>
    <s v="Blue Gum Dried Flower Grade A_driedflower_bulk_BURB"/>
    <n v="177"/>
  </r>
  <r>
    <n v="541"/>
    <n v="0"/>
    <x v="476"/>
    <x v="1"/>
    <s v="NA"/>
    <s v="NA"/>
    <s v="NANA"/>
    <s v="driedflower_bulk_BURB"/>
    <x v="137"/>
    <x v="167"/>
    <x v="2"/>
    <n v="1"/>
    <s v="bag"/>
    <n v="1000"/>
    <n v="1060"/>
    <n v="60"/>
    <n v="1000"/>
    <s v="BGD 001"/>
    <x v="191"/>
    <x v="1"/>
    <s v="Blue Gum Dried Flower Grade A_driedflower_bulk_BURB"/>
    <n v="177"/>
  </r>
  <r>
    <n v="542"/>
    <n v="0"/>
    <x v="477"/>
    <x v="1"/>
    <s v="NA"/>
    <s v="NA"/>
    <s v="NANA"/>
    <s v="driedflower_bulk_BURB"/>
    <x v="137"/>
    <x v="167"/>
    <x v="2"/>
    <n v="1"/>
    <s v="bag"/>
    <n v="1000"/>
    <n v="1060"/>
    <n v="60"/>
    <n v="1000"/>
    <s v="BGD 001"/>
    <x v="191"/>
    <x v="1"/>
    <s v="Blue Gum Dried Flower Grade A_driedflower_bulk_BURB"/>
    <n v="177"/>
  </r>
  <r>
    <n v="544"/>
    <n v="0"/>
    <x v="478"/>
    <x v="0"/>
    <s v="NA"/>
    <s v="NA"/>
    <s v="NANA"/>
    <s v="driedflower_bulk_BURB"/>
    <x v="137"/>
    <x v="167"/>
    <x v="2"/>
    <n v="1"/>
    <s v="bag"/>
    <n v="940"/>
    <n v="1000"/>
    <n v="60"/>
    <n v="940"/>
    <s v="BGD 001"/>
    <x v="191"/>
    <x v="1"/>
    <s v="Blue Gum Dried Flower Grade A_driedflower_bulk_BURB"/>
    <n v="177"/>
  </r>
  <r>
    <n v="545"/>
    <n v="0"/>
    <x v="479"/>
    <x v="1"/>
    <s v="P013EX"/>
    <s v="NA"/>
    <s v="P013EXNA"/>
    <s v="extract_inhaled_bulk"/>
    <x v="138"/>
    <x v="168"/>
    <x v="2"/>
    <n v="1"/>
    <s v="pail"/>
    <n v="1000"/>
    <n v="1952"/>
    <n v="952"/>
    <n v="1000"/>
    <s v="2023-LRS-0018"/>
    <x v="192"/>
    <x v="1"/>
    <s v="Lemonade live resin_extract_inhaled_bulk"/>
    <n v="178"/>
  </r>
  <r>
    <n v="388"/>
    <n v="0"/>
    <x v="480"/>
    <x v="1"/>
    <s v="J019EX"/>
    <s v="NA"/>
    <s v="J019EXNA"/>
    <s v="extract_distillate_bulk"/>
    <x v="92"/>
    <x v="169"/>
    <x v="2"/>
    <n v="1"/>
    <s v="jar"/>
    <n v="509.99999999999989"/>
    <n v="1494.1"/>
    <n v="984.1"/>
    <n v="509.99999999999989"/>
    <m/>
    <x v="193"/>
    <x v="1"/>
    <s v="THC distillate_extract_distillate_bulk"/>
    <n v="104"/>
  </r>
  <r>
    <n v="463"/>
    <n v="0"/>
    <x v="481"/>
    <x v="0"/>
    <s v="J020EX"/>
    <s v="NA"/>
    <s v="J020EXNA"/>
    <s v="extract_distillate_bulk"/>
    <x v="92"/>
    <x v="169"/>
    <x v="97"/>
    <n v="1"/>
    <s v="pail"/>
    <n v="368"/>
    <n v="1354"/>
    <n v="986"/>
    <n v="368"/>
    <m/>
    <x v="193"/>
    <x v="1"/>
    <s v="THC Distillate_extract_distillate_bulk"/>
    <n v="104"/>
  </r>
  <r>
    <n v="483"/>
    <n v="0"/>
    <x v="482"/>
    <x v="0"/>
    <s v="J027EX"/>
    <s v="NA"/>
    <s v="J027EXNA"/>
    <s v="extract_distillate_bulk"/>
    <x v="92"/>
    <x v="170"/>
    <x v="2"/>
    <n v="1"/>
    <s v="jar"/>
    <n v="372.09999999999991"/>
    <n v="1326.1"/>
    <n v="954"/>
    <n v="372.09999999999991"/>
    <m/>
    <x v="194"/>
    <x v="1"/>
    <s v="THC Distillate_extract_distillate_bulk"/>
    <n v="104"/>
  </r>
  <r>
    <n v="532"/>
    <n v="0"/>
    <x v="483"/>
    <x v="0"/>
    <s v="P012EX"/>
    <s v="NA"/>
    <s v="P012EXNA"/>
    <s v="extract_distillate_bulk"/>
    <x v="91"/>
    <x v="171"/>
    <x v="2"/>
    <n v="1"/>
    <s v="pail"/>
    <n v="688.5"/>
    <n v="1756.5"/>
    <n v="1068"/>
    <n v="688.5"/>
    <m/>
    <x v="195"/>
    <x v="1"/>
    <s v="CBD isolate_extract_distillate_bulk"/>
    <n v="18"/>
  </r>
  <r>
    <n v="248"/>
    <n v="0"/>
    <x v="484"/>
    <x v="0"/>
    <s v="J006EX"/>
    <s v="NA"/>
    <s v="J006EXNA"/>
    <s v="extract_distillate_bulk"/>
    <x v="91"/>
    <x v="172"/>
    <x v="98"/>
    <n v="1"/>
    <s v="container"/>
    <n v="22"/>
    <n v="491.4"/>
    <n v="469.4"/>
    <n v="22"/>
    <m/>
    <x v="196"/>
    <x v="1"/>
    <s v="CBD isolate_extract_distillate_bulk"/>
    <n v="18"/>
  </r>
  <r>
    <n v="249"/>
    <n v="0"/>
    <x v="485"/>
    <x v="0"/>
    <s v="J007EX"/>
    <s v="NA"/>
    <s v="J007EXNA"/>
    <s v="extract_distillate_bulk"/>
    <x v="139"/>
    <x v="173"/>
    <x v="2"/>
    <n v="1"/>
    <s v="container"/>
    <n v="144.70000000000005"/>
    <n v="1093.2"/>
    <n v="948.5"/>
    <n v="144.70000000000005"/>
    <m/>
    <x v="196"/>
    <x v="1"/>
    <s v="CBD MCT Oil_extract_distillate_bulk"/>
    <n v="19"/>
  </r>
  <r>
    <n v="250"/>
    <n v="0"/>
    <x v="486"/>
    <x v="0"/>
    <s v="J008EX"/>
    <s v="NA"/>
    <s v="J008EXNA"/>
    <s v="extract_distillate_bulk"/>
    <x v="91"/>
    <x v="174"/>
    <x v="2"/>
    <n v="1"/>
    <s v="container"/>
    <n v="45.200000000000045"/>
    <n v="1003"/>
    <n v="957.8"/>
    <n v="45.200000000000045"/>
    <m/>
    <x v="196"/>
    <x v="1"/>
    <s v="CBD isolate_extract_distillate_bulk"/>
    <n v="18"/>
  </r>
  <r>
    <n v="253"/>
    <n v="0"/>
    <x v="487"/>
    <x v="0"/>
    <s v="J011EX"/>
    <s v="NA"/>
    <s v="J011EXNA"/>
    <s v="extract_distillate_bulk"/>
    <x v="91"/>
    <x v="132"/>
    <x v="68"/>
    <n v="1"/>
    <s v="pail"/>
    <n v="248"/>
    <n v="1350"/>
    <n v="1102"/>
    <n v="248"/>
    <m/>
    <x v="196"/>
    <x v="1"/>
    <s v="CBD isolate_extract_distillate_bulk"/>
    <n v="18"/>
  </r>
  <r>
    <n v="506"/>
    <n v="0"/>
    <x v="488"/>
    <x v="0"/>
    <s v="J031EX"/>
    <s v="NA"/>
    <s v="J031EXNA"/>
    <s v="extract_inhaled_bulk"/>
    <x v="140"/>
    <x v="175"/>
    <x v="2"/>
    <n v="1"/>
    <s v="jar"/>
    <n v="937"/>
    <n v="1660"/>
    <n v="723"/>
    <n v="937"/>
    <m/>
    <x v="197"/>
    <x v="1"/>
    <s v="white gold_extract_inhaled_bulk"/>
    <n v="167"/>
  </r>
  <r>
    <n v="464"/>
    <n v="0"/>
    <x v="489"/>
    <x v="0"/>
    <s v="J021EX"/>
    <s v="NA"/>
    <s v="J021EXNA"/>
    <s v="extract_inhaled_bulk"/>
    <x v="109"/>
    <x v="140"/>
    <x v="2"/>
    <n v="1"/>
    <s v="jar"/>
    <n v="299.93"/>
    <n v="609"/>
    <n v="309.07"/>
    <n v="299.93"/>
    <m/>
    <x v="198"/>
    <x v="1"/>
    <s v="Tropical Meteor Shower Sativa Vape_extract_inhaled_bulk"/>
    <n v="106"/>
  </r>
  <r>
    <n v="520"/>
    <n v="0"/>
    <x v="490"/>
    <x v="0"/>
    <s v="J033EX"/>
    <s v="NA"/>
    <s v="J033EXNA"/>
    <s v="extract_inhaled_bulk"/>
    <x v="118"/>
    <x v="176"/>
    <x v="2"/>
    <n v="1"/>
    <s v="jar"/>
    <n v="569.29999999999995"/>
    <n v="1034.8"/>
    <n v="465.5"/>
    <n v="569.29999999999995"/>
    <m/>
    <x v="198"/>
    <x v="1"/>
    <s v="Canadian Thunder Rosin Vape_extract_inhaled_bulk"/>
    <n v="15"/>
  </r>
  <r>
    <n v="521"/>
    <n v="0"/>
    <x v="491"/>
    <x v="0"/>
    <s v="J034EX"/>
    <s v="NA"/>
    <s v="J034EXNA"/>
    <s v="extract_inhaled_bulk"/>
    <x v="130"/>
    <x v="157"/>
    <x v="2"/>
    <n v="1"/>
    <s v="jar"/>
    <n v="280.59000000000003"/>
    <n v="589.24"/>
    <n v="308.64999999999998"/>
    <n v="280.59000000000003"/>
    <m/>
    <x v="198"/>
    <x v="1"/>
    <s v="Caribbean Breeze Vape_extract_inhaled_bulk"/>
    <n v="168"/>
  </r>
  <r>
    <n v="548"/>
    <n v="0"/>
    <x v="492"/>
    <x v="0"/>
    <s v="T112EX"/>
    <s v="NA"/>
    <s v="T112EXNA"/>
    <s v="extract_inhaled_labelled"/>
    <x v="108"/>
    <x v="177"/>
    <x v="99"/>
    <n v="19"/>
    <s v="unit"/>
    <n v="0.5"/>
    <n v="0"/>
    <n v="0"/>
    <n v="9.5"/>
    <m/>
    <x v="199"/>
    <x v="0"/>
    <s v="November Rain Vape Platinum Sunrise 0.5G Sativa_extract_inhaled_labelled"/>
    <n v="87"/>
  </r>
  <r>
    <n v="551"/>
    <n v="0"/>
    <x v="493"/>
    <x v="0"/>
    <s v="T113EX"/>
    <s v="NA"/>
    <s v="T113EXNA"/>
    <s v="extract_ingested_cased_BC"/>
    <x v="67"/>
    <x v="65"/>
    <x v="100"/>
    <n v="5"/>
    <s v="case"/>
    <n v="600"/>
    <n v="0"/>
    <n v="0"/>
    <n v="3000"/>
    <m/>
    <x v="200"/>
    <x v="0"/>
    <s v="Pot Shot Citrus 151mg_extract_ingested_cased_BC"/>
    <n v="181"/>
  </r>
  <r>
    <n v="552"/>
    <n v="0"/>
    <x v="494"/>
    <x v="0"/>
    <s v="NA"/>
    <s v="NA"/>
    <s v="NANA"/>
    <s v="extract_ingested_cased_AB"/>
    <x v="4"/>
    <x v="4"/>
    <x v="101"/>
    <n v="1"/>
    <s v="case"/>
    <n v="165.60000000000002"/>
    <n v="0"/>
    <n v="0"/>
    <n v="165.60000000000002"/>
    <m/>
    <x v="201"/>
    <x v="0"/>
    <s v="THC CBD balanced 1:1 oil 27.6g_extract_ingested_cased_AB"/>
    <n v="182"/>
  </r>
  <r>
    <n v="393"/>
    <n v="0"/>
    <x v="495"/>
    <x v="0"/>
    <s v="T078EX"/>
    <s v="NA"/>
    <s v="T078EXNA"/>
    <s v="extract_inhaled_labelled"/>
    <x v="111"/>
    <x v="121"/>
    <x v="80"/>
    <n v="7"/>
    <s v="unit"/>
    <n v="0.5"/>
    <n v="0"/>
    <n v="0"/>
    <n v="3.5"/>
    <m/>
    <x v="202"/>
    <x v="0"/>
    <s v="November Rain Vape Caribbean Breeze Hybrid 0.5g Live Rosin Disposable Bar_extract_inhaled_labelled"/>
    <n v="85"/>
  </r>
  <r>
    <n v="554"/>
    <n v="0"/>
    <x v="496"/>
    <x v="0"/>
    <s v="T115EX"/>
    <s v="NA"/>
    <s v="T115EXNA"/>
    <s v="extract_ingested_labelled"/>
    <x v="78"/>
    <x v="178"/>
    <x v="102"/>
    <n v="244"/>
    <s v="unit"/>
    <n v="50"/>
    <n v="0"/>
    <n v="0"/>
    <n v="12200"/>
    <m/>
    <x v="203"/>
    <x v="0"/>
    <s v="Pot Shot Tropical Fruits 151mg_extract_ingested_labelled"/>
    <n v="99"/>
  </r>
  <r>
    <n v="462"/>
    <n v="0"/>
    <x v="497"/>
    <x v="0"/>
    <s v="T096EX"/>
    <s v="NA"/>
    <s v="T096EXNA"/>
    <s v="extract_ingested_labelled"/>
    <x v="78"/>
    <x v="145"/>
    <x v="86"/>
    <n v="23"/>
    <s v="unit"/>
    <n v="50"/>
    <n v="0"/>
    <n v="0"/>
    <n v="1150"/>
    <m/>
    <x v="204"/>
    <x v="0"/>
    <s v="Pot Shot Tropical Fruits 151mg_extract_ingested_labelled"/>
    <n v="99"/>
  </r>
  <r>
    <n v="555"/>
    <n v="0"/>
    <x v="498"/>
    <x v="0"/>
    <s v="T054DF"/>
    <s v="NA"/>
    <s v="T054DFNA"/>
    <s v="preroll_labelled"/>
    <x v="119"/>
    <x v="130"/>
    <x v="103"/>
    <n v="669"/>
    <s v="unit"/>
    <n v="1.5"/>
    <n v="0"/>
    <n v="0"/>
    <n v="1003.5"/>
    <m/>
    <x v="205"/>
    <x v="0"/>
    <s v="November Rain Trident preroll 3 x 0.5g_preroll_labelled"/>
    <n v="80"/>
  </r>
  <r>
    <n v="375"/>
    <n v="0"/>
    <x v="499"/>
    <x v="0"/>
    <s v="T075EX"/>
    <s v="NA"/>
    <s v="T075EXNA"/>
    <s v="extract_ingested_labelled"/>
    <x v="67"/>
    <x v="65"/>
    <x v="100"/>
    <n v="221"/>
    <s v="unit"/>
    <n v="50"/>
    <n v="0"/>
    <n v="0"/>
    <n v="11050"/>
    <m/>
    <x v="206"/>
    <x v="0"/>
    <s v="Pot Shot Citrus 151mg_extract_ingested_labelled"/>
    <n v="97"/>
  </r>
  <r>
    <n v="379"/>
    <n v="0"/>
    <x v="500"/>
    <x v="1"/>
    <s v="NA"/>
    <s v="NA"/>
    <s v="OFDMB"/>
    <s v="preroll_cased_MB"/>
    <x v="70"/>
    <x v="71"/>
    <x v="72"/>
    <n v="9"/>
    <s v="case"/>
    <n v="18"/>
    <n v="0"/>
    <n v="0"/>
    <n v="162"/>
    <m/>
    <x v="206"/>
    <x v="0"/>
    <s v="November Rain Rose preroll 3 x 0.5g_preroll_cased_MB"/>
    <n v="156"/>
  </r>
  <r>
    <n v="561"/>
    <n v="0"/>
    <x v="501"/>
    <x v="1"/>
    <s v="NA"/>
    <s v="NA"/>
    <s v="OFDMB"/>
    <s v="extract_ingested_cased_MB"/>
    <x v="111"/>
    <x v="164"/>
    <x v="94"/>
    <n v="10"/>
    <s v="case"/>
    <n v="6"/>
    <n v="0"/>
    <n v="0"/>
    <n v="60"/>
    <m/>
    <x v="207"/>
    <x v="0"/>
    <s v="November Rain Vape Caribbean Breeze Hybrid 0.5g Live Rosin Disposable Bar_extract_ingested_cased_MB"/>
    <n v="186"/>
  </r>
  <r>
    <n v="562"/>
    <n v="0"/>
    <x v="502"/>
    <x v="1"/>
    <s v="NA"/>
    <s v="NA"/>
    <s v="OFDMB"/>
    <s v="extract_inhaled_cased_MB"/>
    <x v="117"/>
    <x v="179"/>
    <x v="94"/>
    <n v="10"/>
    <s v="case"/>
    <n v="6"/>
    <n v="0"/>
    <n v="0"/>
    <n v="60"/>
    <m/>
    <x v="207"/>
    <x v="0"/>
    <s v="November Rain Vape Canadian OG Vape 0.5g_extract_inhaled_cased_MB"/>
    <n v="166"/>
  </r>
  <r>
    <n v="564"/>
    <n v="0"/>
    <x v="503"/>
    <x v="1"/>
    <s v="NA"/>
    <s v="NA"/>
    <s v="OFDMB"/>
    <s v="preroll_cased_MB"/>
    <x v="120"/>
    <x v="134"/>
    <x v="3"/>
    <n v="10"/>
    <s v="case"/>
    <n v="12"/>
    <n v="0"/>
    <n v="0"/>
    <n v="120"/>
    <m/>
    <x v="207"/>
    <x v="0"/>
    <s v="Monkey King preroll 2 x 0.5g_preroll_cased_MB"/>
    <n v="159"/>
  </r>
  <r>
    <n v="565"/>
    <n v="0"/>
    <x v="504"/>
    <x v="1"/>
    <s v="NA"/>
    <s v="NA"/>
    <s v="OFDMB"/>
    <s v="preroll_cased_MB"/>
    <x v="61"/>
    <x v="133"/>
    <x v="88"/>
    <n v="5"/>
    <s v="case"/>
    <n v="18"/>
    <n v="0"/>
    <n v="0"/>
    <n v="90"/>
    <m/>
    <x v="207"/>
    <x v="0"/>
    <s v="November Rain Watermelon preroll 3 x 0.5g_preroll_cased_MB"/>
    <n v="158"/>
  </r>
  <r>
    <n v="566"/>
    <n v="0"/>
    <x v="505"/>
    <x v="1"/>
    <s v="NA"/>
    <s v="NA"/>
    <s v="OFDMB"/>
    <s v="preroll_cased_MB"/>
    <x v="61"/>
    <x v="133"/>
    <x v="83"/>
    <n v="5"/>
    <s v="case"/>
    <n v="18"/>
    <n v="0"/>
    <n v="0"/>
    <n v="90"/>
    <m/>
    <x v="207"/>
    <x v="0"/>
    <s v="November Rain Watermelon preroll 3 x 0.5g_preroll_cased_MB"/>
    <n v="158"/>
  </r>
  <r>
    <n v="567"/>
    <n v="0"/>
    <x v="506"/>
    <x v="1"/>
    <s v="NA"/>
    <s v="NA"/>
    <s v="OFDMB"/>
    <s v="preroll_cased_MB"/>
    <x v="106"/>
    <x v="114"/>
    <x v="73"/>
    <n v="10"/>
    <s v="case"/>
    <n v="18"/>
    <n v="0"/>
    <n v="0"/>
    <n v="180"/>
    <m/>
    <x v="207"/>
    <x v="0"/>
    <s v="November Rain Lemon Ice Tea preroll 3 x 0.5g_preroll_cased_MB"/>
    <n v="154"/>
  </r>
  <r>
    <n v="568"/>
    <n v="0"/>
    <x v="507"/>
    <x v="1"/>
    <s v="NA"/>
    <s v="NA"/>
    <s v="OFDMB"/>
    <s v="preroll_cased_MB"/>
    <x v="98"/>
    <x v="104"/>
    <x v="83"/>
    <n v="10"/>
    <s v="case"/>
    <n v="18"/>
    <n v="0"/>
    <n v="0"/>
    <n v="180"/>
    <m/>
    <x v="207"/>
    <x v="0"/>
    <s v="November Rain Blueberry preroll 3 x 0.5g_preroll_cased_MB"/>
    <n v="155"/>
  </r>
  <r>
    <n v="569"/>
    <n v="0"/>
    <x v="508"/>
    <x v="1"/>
    <s v="NA"/>
    <s v="NA"/>
    <s v="OFDMB"/>
    <s v="preroll_cased_MB"/>
    <x v="59"/>
    <x v="55"/>
    <x v="39"/>
    <n v="10"/>
    <s v="case"/>
    <n v="18"/>
    <n v="0"/>
    <n v="0"/>
    <n v="180"/>
    <m/>
    <x v="207"/>
    <x v="0"/>
    <s v="Grease Monkey preroll 3 x 0.5g_preroll_cased_MB"/>
    <n v="161"/>
  </r>
  <r>
    <n v="439"/>
    <n v="0"/>
    <x v="509"/>
    <x v="1"/>
    <s v="NA"/>
    <s v="NA"/>
    <s v="OFDMB"/>
    <s v="extract_ingested_cased_MB"/>
    <x v="127"/>
    <x v="142"/>
    <x v="3"/>
    <n v="9"/>
    <s v="case"/>
    <n v="351.6"/>
    <n v="0"/>
    <n v="0"/>
    <n v="3164.4"/>
    <m/>
    <x v="208"/>
    <x v="0"/>
    <s v="THC oil 27.6g_extract_ingested_cased_MB"/>
    <n v="163"/>
  </r>
  <r>
    <n v="320"/>
    <n v="0"/>
    <x v="510"/>
    <x v="1"/>
    <s v="NA"/>
    <s v="NA"/>
    <s v="OFDMB"/>
    <s v="extract_ingested_cased_MB"/>
    <x v="67"/>
    <x v="66"/>
    <x v="46"/>
    <n v="0"/>
    <s v="case"/>
    <n v="600"/>
    <n v="0"/>
    <n v="0"/>
    <n v="0"/>
    <s v="MB"/>
    <x v="209"/>
    <x v="0"/>
    <s v="Pot Shot Citrus 151mg_extract_ingested_cased_MB"/>
    <n v="152"/>
  </r>
  <r>
    <n v="441"/>
    <n v="0"/>
    <x v="511"/>
    <x v="1"/>
    <s v="NA"/>
    <s v="NA"/>
    <s v="OFDMB"/>
    <s v="extract_inhaled_cased_MB"/>
    <x v="108"/>
    <x v="118"/>
    <x v="74"/>
    <n v="10"/>
    <s v="case"/>
    <n v="6"/>
    <n v="0"/>
    <n v="0"/>
    <n v="60"/>
    <m/>
    <x v="210"/>
    <x v="0"/>
    <s v="November Rain Vape Platinum Sunrise 0.5G Sativa_extract_inhaled_cased_MB"/>
    <n v="165"/>
  </r>
  <r>
    <n v="380"/>
    <n v="0"/>
    <x v="512"/>
    <x v="1"/>
    <s v="NA"/>
    <s v="NA"/>
    <s v="OFDMB"/>
    <s v="preroll_cased_MB"/>
    <x v="119"/>
    <x v="134"/>
    <x v="104"/>
    <n v="0"/>
    <s v="case"/>
    <n v="18"/>
    <n v="0"/>
    <n v="0"/>
    <n v="0"/>
    <m/>
    <x v="211"/>
    <x v="0"/>
    <s v="November Rain Trident preroll 3 x 0.5g_preroll_cased_MB"/>
    <n v="157"/>
  </r>
  <r>
    <n v="381"/>
    <n v="0"/>
    <x v="513"/>
    <x v="1"/>
    <s v="NA"/>
    <s v="NA"/>
    <s v="OFDMB"/>
    <s v="preroll_cased_MB"/>
    <x v="61"/>
    <x v="58"/>
    <x v="68"/>
    <n v="1"/>
    <s v="case"/>
    <n v="18"/>
    <n v="0"/>
    <n v="0"/>
    <n v="18"/>
    <m/>
    <x v="212"/>
    <x v="0"/>
    <s v="November Rain Watermelon preroll 3 x 0.5g_preroll_cased_MB"/>
    <n v="158"/>
  </r>
  <r>
    <n v="382"/>
    <n v="0"/>
    <x v="514"/>
    <x v="1"/>
    <s v="NA"/>
    <s v="NA"/>
    <s v="OFDMB"/>
    <s v="preroll_cased_MB"/>
    <x v="120"/>
    <x v="134"/>
    <x v="104"/>
    <n v="6"/>
    <s v="case"/>
    <n v="12"/>
    <n v="0"/>
    <n v="0"/>
    <n v="72"/>
    <m/>
    <x v="212"/>
    <x v="0"/>
    <s v="Monkey King preroll 2 x 0.5g_preroll_cased_MB"/>
    <n v="159"/>
  </r>
  <r>
    <n v="377"/>
    <n v="0"/>
    <x v="515"/>
    <x v="1"/>
    <s v="NA"/>
    <s v="NA"/>
    <s v="OFDMB"/>
    <s v="preroll_cased_MB"/>
    <x v="106"/>
    <x v="114"/>
    <x v="73"/>
    <n v="1"/>
    <s v="case"/>
    <n v="18"/>
    <n v="0"/>
    <n v="0"/>
    <n v="18"/>
    <m/>
    <x v="213"/>
    <x v="0"/>
    <s v="November Rain Lemon Ice Tea preroll 3 x 0.5g_preroll_cased_MB"/>
    <n v="154"/>
  </r>
  <r>
    <n v="378"/>
    <n v="0"/>
    <x v="516"/>
    <x v="1"/>
    <s v="NA"/>
    <s v="NA"/>
    <s v="OFDMB"/>
    <s v="preroll_cased_MB"/>
    <x v="98"/>
    <x v="180"/>
    <x v="47"/>
    <n v="5"/>
    <s v="case"/>
    <n v="18"/>
    <n v="0"/>
    <n v="0"/>
    <n v="90"/>
    <m/>
    <x v="214"/>
    <x v="0"/>
    <s v="November Rain Blueberry preroll 3 x 0.5g_preroll_cased_MB"/>
    <n v="155"/>
  </r>
  <r>
    <n v="436"/>
    <n v="0"/>
    <x v="517"/>
    <x v="1"/>
    <s v="NA"/>
    <s v="NA"/>
    <s v="OFDMB"/>
    <s v="preroll_cased_MB"/>
    <x v="94"/>
    <x v="42"/>
    <x v="91"/>
    <n v="5"/>
    <s v="case"/>
    <n v="24"/>
    <n v="0"/>
    <n v="0"/>
    <n v="120"/>
    <m/>
    <x v="215"/>
    <x v="0"/>
    <s v="Gelato preroll 1 x 1g_preroll_cased_MB"/>
    <n v="160"/>
  </r>
  <r>
    <n v="442"/>
    <n v="0"/>
    <x v="518"/>
    <x v="1"/>
    <s v="NA"/>
    <s v="NA"/>
    <s v="OFDMB"/>
    <s v="extract_inhaled_cased_MB"/>
    <x v="117"/>
    <x v="126"/>
    <x v="82"/>
    <n v="4"/>
    <s v="case"/>
    <n v="6"/>
    <n v="0"/>
    <n v="0"/>
    <n v="24"/>
    <m/>
    <x v="216"/>
    <x v="0"/>
    <s v="November Rain Vape Canadian OG Vape 0.5g_extract_inhaled_cased_MB"/>
    <n v="166"/>
  </r>
  <r>
    <n v="443"/>
    <n v="0"/>
    <x v="519"/>
    <x v="1"/>
    <s v="NA"/>
    <s v="NA"/>
    <s v="OFDMB"/>
    <s v="extract_ingested_cased_MB"/>
    <x v="77"/>
    <x v="79"/>
    <x v="87"/>
    <n v="10"/>
    <s v="case"/>
    <n v="351.6"/>
    <n v="0"/>
    <n v="0"/>
    <n v="3516"/>
    <m/>
    <x v="216"/>
    <x v="0"/>
    <s v="Aum CBD oil 27.4g_extract_ingested_cased_MB"/>
    <n v="183"/>
  </r>
  <r>
    <n v="390"/>
    <n v="0"/>
    <x v="520"/>
    <x v="0"/>
    <s v="T076EX"/>
    <s v="NA"/>
    <s v="T076EXNA"/>
    <s v="extract_ingested_labelled"/>
    <x v="67"/>
    <x v="65"/>
    <x v="100"/>
    <n v="10"/>
    <s v="unit"/>
    <n v="50"/>
    <n v="0"/>
    <n v="0"/>
    <n v="500"/>
    <m/>
    <x v="217"/>
    <x v="0"/>
    <s v="Pot Shot Citrus 151mg_extract_ingested_labelled"/>
    <n v="97"/>
  </r>
  <r>
    <n v="570"/>
    <n v="0"/>
    <x v="521"/>
    <x v="0"/>
    <s v="T116EX"/>
    <s v="NA"/>
    <s v="T116EXNA"/>
    <s v="extract_ingested_labelled"/>
    <x v="78"/>
    <x v="178"/>
    <x v="102"/>
    <n v="165"/>
    <s v="unit"/>
    <n v="50"/>
    <n v="0"/>
    <n v="0"/>
    <n v="8250"/>
    <m/>
    <x v="218"/>
    <x v="0"/>
    <s v="Pot Shot Tropical Fruits 151mg_extract_ingested_labelled"/>
    <n v="99"/>
  </r>
  <r>
    <n v="571"/>
    <n v="0"/>
    <x v="522"/>
    <x v="1"/>
    <s v="T055DF"/>
    <s v="NA"/>
    <s v="T055DFNA"/>
    <s v="driedflower_labelled"/>
    <x v="141"/>
    <x v="181"/>
    <x v="105"/>
    <n v="489"/>
    <s v="unit"/>
    <n v="7"/>
    <n v="0"/>
    <n v="0"/>
    <n v="3423"/>
    <m/>
    <x v="219"/>
    <x v="0"/>
    <s v="Midnight Kruntz Dried Flower 7g_driedflower_labelled"/>
    <n v="173"/>
  </r>
  <r>
    <n v="274"/>
    <n v="0"/>
    <x v="523"/>
    <x v="0"/>
    <s v="T005TP"/>
    <s v="NA"/>
    <s v="T005TPNA"/>
    <s v="topical_labelled"/>
    <x v="25"/>
    <x v="23"/>
    <x v="68"/>
    <n v="20"/>
    <s v="unit"/>
    <n v="180"/>
    <n v="0"/>
    <n v="0"/>
    <n v="3600"/>
    <m/>
    <x v="220"/>
    <x v="0"/>
    <s v="bath salt SPA 180 gram_topical_labelled"/>
    <n v="13"/>
  </r>
  <r>
    <n v="74"/>
    <n v="0"/>
    <x v="524"/>
    <x v="1"/>
    <s v="T004BS"/>
    <s v="NA"/>
    <s v="T004BSNA"/>
    <s v="topical_labelled"/>
    <x v="133"/>
    <x v="182"/>
    <x v="106"/>
    <n v="19"/>
    <s v="bag"/>
    <n v="450"/>
    <n v="0"/>
    <n v="0"/>
    <n v="8550"/>
    <m/>
    <x v="221"/>
    <x v="0"/>
    <s v="NUDH bath salt 450 gram_topical_labelled"/>
    <n v="93"/>
  </r>
  <r>
    <n v="2"/>
    <n v="0"/>
    <x v="525"/>
    <x v="0"/>
    <s v="T002BS"/>
    <s v="NA"/>
    <s v="T002BSNA"/>
    <s v="topical_labelled"/>
    <x v="133"/>
    <x v="182"/>
    <x v="106"/>
    <n v="136"/>
    <s v="pouch"/>
    <n v="450"/>
    <n v="0"/>
    <n v="0"/>
    <n v="61200"/>
    <m/>
    <x v="222"/>
    <x v="0"/>
    <s v="NUDH bath salt 450 gram_topical_labelled"/>
    <n v="93"/>
  </r>
  <r>
    <n v="573"/>
    <n v="0"/>
    <x v="526"/>
    <x v="0"/>
    <s v="T117EX"/>
    <s v="NA"/>
    <s v="T117EXNA"/>
    <s v="extract_ingested_labelled"/>
    <x v="78"/>
    <x v="178"/>
    <x v="102"/>
    <n v="37"/>
    <s v="unit"/>
    <n v="50"/>
    <n v="0"/>
    <n v="0"/>
    <n v="1850"/>
    <m/>
    <x v="223"/>
    <x v="0"/>
    <s v="Pot Shot Tropical Fruits 151mg_extract_ingested_labelled"/>
    <n v="99"/>
  </r>
  <r>
    <n v="574"/>
    <n v="0"/>
    <x v="527"/>
    <x v="1"/>
    <s v="T057DF"/>
    <s v="NA"/>
    <s v="T057DFNA"/>
    <s v="driedflower_milled_bulk"/>
    <x v="142"/>
    <x v="183"/>
    <x v="2"/>
    <n v="1"/>
    <s v="pail"/>
    <n v="1930"/>
    <n v="4325"/>
    <n v="2395"/>
    <n v="1930"/>
    <m/>
    <x v="224"/>
    <x v="1"/>
    <s v="Midnight Kruntz milled flower_driedflower_milled_bulk"/>
    <n v="187"/>
  </r>
  <r>
    <n v="575"/>
    <n v="0"/>
    <x v="528"/>
    <x v="1"/>
    <s v="T058DF"/>
    <s v="NA"/>
    <s v="T058DFNA"/>
    <s v="driedflower_milled_bulk"/>
    <x v="142"/>
    <x v="183"/>
    <x v="2"/>
    <n v="1"/>
    <s v="pail"/>
    <n v="2735"/>
    <n v="5070"/>
    <n v="2335"/>
    <n v="2735"/>
    <m/>
    <x v="225"/>
    <x v="1"/>
    <s v="Midnight Kruntz milled flower_driedflower_milled_bulk"/>
    <n v="187"/>
  </r>
  <r>
    <n v="319"/>
    <n v="0"/>
    <x v="529"/>
    <x v="1"/>
    <s v="NA"/>
    <s v="NA"/>
    <s v="OFDMB"/>
    <s v="extract_ingested_cased_MB"/>
    <x v="78"/>
    <x v="99"/>
    <x v="68"/>
    <n v="0"/>
    <s v="case"/>
    <n v="600"/>
    <n v="0"/>
    <n v="0"/>
    <n v="0"/>
    <s v="MB"/>
    <x v="226"/>
    <x v="0"/>
    <s v="Pot Shot Tropical Fruits 151mg_extract_ingested_cased_MB"/>
    <n v="151"/>
  </r>
  <r>
    <n v="291"/>
    <n v="1"/>
    <x v="530"/>
    <x v="0"/>
    <s v="T030DF"/>
    <s v="B01"/>
    <s v="T030DFB01"/>
    <s v="driedflower_bulk"/>
    <x v="22"/>
    <x v="93"/>
    <x v="2"/>
    <n v="1"/>
    <s v="bag"/>
    <n v="210"/>
    <n v="229"/>
    <n v="19"/>
    <n v="210"/>
    <m/>
    <x v="227"/>
    <x v="1"/>
    <s v="Gelato dried flower_driedflower_bulk"/>
    <n v="37"/>
  </r>
  <r>
    <n v="529"/>
    <n v="1"/>
    <x v="531"/>
    <x v="0"/>
    <s v="T059DF"/>
    <s v="NA"/>
    <s v="T059DFNA"/>
    <s v="driedflower_bulk_small"/>
    <x v="143"/>
    <x v="184"/>
    <x v="2"/>
    <n v="1"/>
    <s v="tote"/>
    <n v="5162"/>
    <n v="7696"/>
    <n v="2534"/>
    <n v="5162"/>
    <s v="KZV001"/>
    <x v="227"/>
    <x v="1"/>
    <s v="Kruntz dried flower (Burb)_driedflower_bulk_small"/>
    <n v="190"/>
  </r>
  <r>
    <n v="529"/>
    <n v="2"/>
    <x v="532"/>
    <x v="0"/>
    <s v="T060DF"/>
    <s v="NA"/>
    <s v="T060DFNA"/>
    <s v="driedflower_bulk_small"/>
    <x v="143"/>
    <x v="184"/>
    <x v="2"/>
    <n v="1"/>
    <s v="tote"/>
    <n v="6904"/>
    <n v="10610"/>
    <n v="3706"/>
    <n v="6904"/>
    <s v="KZV001"/>
    <x v="227"/>
    <x v="1"/>
    <s v="Kruntz dried flower (Burb)_driedflower_bulk_small"/>
    <n v="190"/>
  </r>
  <r>
    <n v="529"/>
    <n v="3"/>
    <x v="533"/>
    <x v="0"/>
    <s v="T061DF"/>
    <s v="NA"/>
    <s v="T061DFNA"/>
    <s v="driedflower_bulk_big"/>
    <x v="143"/>
    <x v="184"/>
    <x v="2"/>
    <n v="1"/>
    <s v="tote"/>
    <n v="7620"/>
    <n v="13226"/>
    <n v="5606"/>
    <n v="7620"/>
    <s v="KZV001"/>
    <x v="227"/>
    <x v="1"/>
    <s v="Kruntz dried flower (Burb)_driedflower_bulk_big"/>
    <n v="262"/>
  </r>
  <r>
    <n v="529"/>
    <n v="4"/>
    <x v="534"/>
    <x v="0"/>
    <s v="T062DF"/>
    <s v="NA"/>
    <s v="T062DFNA"/>
    <s v="driedflower_bulk_big"/>
    <x v="143"/>
    <x v="184"/>
    <x v="2"/>
    <n v="1"/>
    <s v="tote"/>
    <n v="3588"/>
    <n v="5550"/>
    <n v="1962"/>
    <n v="3588"/>
    <s v="KZV001"/>
    <x v="227"/>
    <x v="1"/>
    <s v="Kruntz dried flower (Burb)_driedflower_bulk_big"/>
    <n v="262"/>
  </r>
  <r>
    <n v="592"/>
    <n v="0"/>
    <x v="535"/>
    <x v="0"/>
    <s v="T059DF"/>
    <s v="B068DF"/>
    <s v="T059DFB068DF"/>
    <s v="driedflower_bulk"/>
    <x v="143"/>
    <x v="184"/>
    <x v="2"/>
    <n v="1"/>
    <s v="bag"/>
    <n v="1000"/>
    <n v="1086"/>
    <n v="86"/>
    <n v="1000"/>
    <s v="KZV001"/>
    <x v="227"/>
    <x v="1"/>
    <s v="Kruntz dried flower (Burb)_driedflower_bulk"/>
    <n v="277"/>
  </r>
  <r>
    <n v="593"/>
    <n v="0"/>
    <x v="536"/>
    <x v="0"/>
    <s v="T059DF"/>
    <s v="B069DF"/>
    <s v="T059DFB069DF"/>
    <s v="driedflower_bulk"/>
    <x v="143"/>
    <x v="184"/>
    <x v="2"/>
    <n v="1"/>
    <s v="bag"/>
    <n v="1000"/>
    <n v="1094"/>
    <n v="94"/>
    <n v="1000"/>
    <s v="KZV001"/>
    <x v="227"/>
    <x v="1"/>
    <s v="Kruntz dried flower (Burb)_driedflower_bulk"/>
    <n v="277"/>
  </r>
  <r>
    <n v="594"/>
    <n v="0"/>
    <x v="537"/>
    <x v="0"/>
    <s v="T059DF"/>
    <s v="B070DF"/>
    <s v="T059DFB070DF"/>
    <s v="driedflower_bulk"/>
    <x v="143"/>
    <x v="184"/>
    <x v="2"/>
    <n v="1"/>
    <s v="bag"/>
    <n v="1000"/>
    <n v="1092"/>
    <n v="92"/>
    <n v="1000"/>
    <s v="KZV001"/>
    <x v="227"/>
    <x v="1"/>
    <s v="Kruntz dried flower (Burb)_driedflower_bulk"/>
    <n v="277"/>
  </r>
  <r>
    <n v="595"/>
    <n v="0"/>
    <x v="538"/>
    <x v="0"/>
    <s v="T059DF"/>
    <s v="B071DF"/>
    <s v="T059DFB071DF"/>
    <s v="driedflower_bulk"/>
    <x v="143"/>
    <x v="184"/>
    <x v="2"/>
    <n v="1"/>
    <s v="bag"/>
    <n v="1000"/>
    <n v="1096"/>
    <n v="96"/>
    <n v="1000"/>
    <s v="KZV001"/>
    <x v="227"/>
    <x v="1"/>
    <s v="Kruntz dried flower (Burb)_driedflower_bulk"/>
    <n v="277"/>
  </r>
  <r>
    <n v="596"/>
    <n v="0"/>
    <x v="539"/>
    <x v="0"/>
    <s v="T059DF"/>
    <s v="B072DF"/>
    <s v="T059DFB072DF"/>
    <s v="driedflower_bulk"/>
    <x v="143"/>
    <x v="184"/>
    <x v="2"/>
    <n v="1"/>
    <s v="bag"/>
    <n v="1000"/>
    <n v="1088"/>
    <n v="88"/>
    <n v="1000"/>
    <s v="KZV001"/>
    <x v="227"/>
    <x v="1"/>
    <s v="Kruntz dried flower (Burb)_driedflower_bulk"/>
    <n v="277"/>
  </r>
  <r>
    <n v="597"/>
    <n v="0"/>
    <x v="540"/>
    <x v="0"/>
    <s v="T059DF"/>
    <s v="B073DF"/>
    <s v="T059DFB073DF"/>
    <s v="driedflower_bulk"/>
    <x v="143"/>
    <x v="184"/>
    <x v="2"/>
    <n v="1"/>
    <s v="bag"/>
    <n v="1000"/>
    <n v="1096"/>
    <n v="96"/>
    <n v="1000"/>
    <s v="KZV001"/>
    <x v="227"/>
    <x v="1"/>
    <s v="Kruntz dried flower (Burb)_driedflower_bulk"/>
    <n v="277"/>
  </r>
  <r>
    <n v="598"/>
    <n v="0"/>
    <x v="541"/>
    <x v="0"/>
    <s v="T059DF"/>
    <s v="B074DF"/>
    <s v="T059DFB074DF"/>
    <s v="driedflower_bulk"/>
    <x v="143"/>
    <x v="184"/>
    <x v="2"/>
    <n v="1"/>
    <s v="bag"/>
    <n v="1000"/>
    <n v="1090"/>
    <n v="90"/>
    <n v="1000"/>
    <s v="KZV001"/>
    <x v="227"/>
    <x v="1"/>
    <s v="Kruntz dried flower (Burb)_driedflower_bulk"/>
    <n v="277"/>
  </r>
  <r>
    <n v="599"/>
    <n v="0"/>
    <x v="542"/>
    <x v="0"/>
    <s v="T059DF"/>
    <s v="B075DF"/>
    <s v="T059DFB075DF"/>
    <s v="driedflower_bulk"/>
    <x v="143"/>
    <x v="184"/>
    <x v="2"/>
    <n v="1"/>
    <s v="bag"/>
    <n v="1000"/>
    <n v="1094"/>
    <n v="94"/>
    <n v="1000"/>
    <s v="KZV001"/>
    <x v="227"/>
    <x v="1"/>
    <s v="Kruntz dried flower (Burb)_driedflower_bulk"/>
    <n v="277"/>
  </r>
  <r>
    <n v="600"/>
    <n v="0"/>
    <x v="543"/>
    <x v="0"/>
    <s v="T059DF"/>
    <s v="B076DF"/>
    <s v="T059DFB076DF"/>
    <s v="driedflower_bulk"/>
    <x v="143"/>
    <x v="184"/>
    <x v="2"/>
    <n v="1"/>
    <s v="bag"/>
    <n v="1133"/>
    <n v="1226"/>
    <n v="193"/>
    <n v="1133"/>
    <s v="KZV001"/>
    <x v="227"/>
    <x v="1"/>
    <s v="Kruntz dried flower (Burb)_driedflower_bulk"/>
    <n v="277"/>
  </r>
  <r>
    <n v="601"/>
    <n v="0"/>
    <x v="544"/>
    <x v="0"/>
    <s v="T059DF"/>
    <s v="B077DF"/>
    <s v="T059DFB077DF"/>
    <s v="driedflower_bulk"/>
    <x v="143"/>
    <x v="184"/>
    <x v="2"/>
    <n v="1"/>
    <s v="bag"/>
    <n v="1000"/>
    <n v="1094"/>
    <n v="94"/>
    <n v="1000"/>
    <s v="KZV001"/>
    <x v="227"/>
    <x v="1"/>
    <s v="Kruntz dried flower (Burb)_driedflower_bulk"/>
    <n v="277"/>
  </r>
  <r>
    <n v="602"/>
    <n v="0"/>
    <x v="545"/>
    <x v="0"/>
    <s v="T060DF"/>
    <s v="B078DF"/>
    <s v="T060DFB078DF"/>
    <s v="driedflower_bulk"/>
    <x v="143"/>
    <x v="184"/>
    <x v="2"/>
    <n v="1"/>
    <s v="bag"/>
    <n v="1000"/>
    <n v="1094"/>
    <n v="94"/>
    <n v="1000"/>
    <s v="KZV001"/>
    <x v="227"/>
    <x v="1"/>
    <s v="Kruntz dried flower (Burb)_driedflower_bulk"/>
    <n v="277"/>
  </r>
  <r>
    <n v="603"/>
    <n v="0"/>
    <x v="546"/>
    <x v="0"/>
    <s v="T060DF"/>
    <s v="B079DF"/>
    <s v="T060DFB079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04"/>
    <n v="0"/>
    <x v="547"/>
    <x v="0"/>
    <s v="T060DF"/>
    <s v="B080DF"/>
    <s v="T060DFB080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05"/>
    <n v="0"/>
    <x v="548"/>
    <x v="0"/>
    <s v="T060DF"/>
    <s v="B081DF"/>
    <s v="T060DFB081DF"/>
    <s v="driedflower_bulk"/>
    <x v="143"/>
    <x v="184"/>
    <x v="2"/>
    <n v="1"/>
    <s v="bag"/>
    <n v="995"/>
    <n v="1090"/>
    <n v="90"/>
    <n v="995"/>
    <s v="KZV001"/>
    <x v="227"/>
    <x v="1"/>
    <s v="Kruntz dried flower (Burb)_driedflower_bulk"/>
    <n v="277"/>
  </r>
  <r>
    <n v="606"/>
    <n v="0"/>
    <x v="549"/>
    <x v="0"/>
    <s v="T060DF"/>
    <s v="B082DF"/>
    <s v="T060DFB082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07"/>
    <n v="0"/>
    <x v="550"/>
    <x v="0"/>
    <s v="T060DF"/>
    <s v="B083DF"/>
    <s v="T060DFB083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08"/>
    <n v="0"/>
    <x v="551"/>
    <x v="0"/>
    <s v="T060DF"/>
    <s v="B084DF"/>
    <s v="T060DFB084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09"/>
    <n v="0"/>
    <x v="552"/>
    <x v="0"/>
    <s v="T060DF"/>
    <s v="B085DF"/>
    <s v="T060DFB085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10"/>
    <n v="0"/>
    <x v="553"/>
    <x v="0"/>
    <s v="T060DF"/>
    <s v="B086DF"/>
    <s v="T060DFB086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11"/>
    <n v="0"/>
    <x v="554"/>
    <x v="0"/>
    <s v="T060DF"/>
    <s v="B087DF"/>
    <s v="T060DFB087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612"/>
    <n v="0"/>
    <x v="555"/>
    <x v="0"/>
    <s v="T060DF"/>
    <s v="B088DF"/>
    <s v="T060DFB088DF"/>
    <s v="driedflower_bulk"/>
    <x v="143"/>
    <x v="184"/>
    <x v="2"/>
    <n v="1"/>
    <s v="bag"/>
    <n v="1000"/>
    <n v="1095"/>
    <n v="95"/>
    <n v="1000"/>
    <s v="KZV001"/>
    <x v="227"/>
    <x v="1"/>
    <s v="Kruntz dried flower (Burb)_driedflower_bulk"/>
    <n v="277"/>
  </r>
  <r>
    <n v="437"/>
    <n v="0"/>
    <x v="556"/>
    <x v="1"/>
    <s v="NA"/>
    <s v="NA"/>
    <s v="OFDMB"/>
    <s v="preroll_cased_MB"/>
    <x v="59"/>
    <x v="55"/>
    <x v="42"/>
    <n v="2"/>
    <s v="case"/>
    <n v="18"/>
    <n v="0"/>
    <n v="0"/>
    <n v="36"/>
    <m/>
    <x v="228"/>
    <x v="0"/>
    <s v="Grease Monkey preroll 3 x 0.5g_preroll_cased_MB"/>
    <n v="161"/>
  </r>
  <r>
    <n v="613"/>
    <n v="0"/>
    <x v="557"/>
    <x v="0"/>
    <s v="T061DF"/>
    <s v="B089DF"/>
    <s v="T061DFB089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14"/>
    <n v="0"/>
    <x v="558"/>
    <x v="0"/>
    <s v="T061DF"/>
    <s v="B090DF"/>
    <s v="T061DFB090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15"/>
    <n v="0"/>
    <x v="559"/>
    <x v="0"/>
    <s v="T061DF"/>
    <s v="B091DF"/>
    <s v="T061DFB091DF"/>
    <s v="driedflower_bulk"/>
    <x v="143"/>
    <x v="184"/>
    <x v="2"/>
    <n v="1"/>
    <s v="bag"/>
    <n v="1000"/>
    <n v="1090"/>
    <n v="90"/>
    <n v="1000"/>
    <s v="KZV001"/>
    <x v="229"/>
    <x v="1"/>
    <s v="Kruntz dried flower (Burb)_driedflower_bulk"/>
    <n v="277"/>
  </r>
  <r>
    <n v="616"/>
    <n v="0"/>
    <x v="560"/>
    <x v="0"/>
    <s v="T061DF"/>
    <s v="B092DF"/>
    <s v="T061DFB092DF"/>
    <s v="driedflower_bulk"/>
    <x v="143"/>
    <x v="184"/>
    <x v="2"/>
    <n v="1"/>
    <s v="bag"/>
    <n v="1000"/>
    <n v="1090"/>
    <n v="90"/>
    <n v="1000"/>
    <s v="KZV001"/>
    <x v="229"/>
    <x v="1"/>
    <s v="Kruntz dried flower (Burb)_driedflower_bulk"/>
    <n v="277"/>
  </r>
  <r>
    <n v="617"/>
    <n v="0"/>
    <x v="561"/>
    <x v="1"/>
    <s v="T062DF"/>
    <s v="B094DF"/>
    <s v="T062DFB094DF"/>
    <s v="driedflower_bulk"/>
    <x v="143"/>
    <x v="184"/>
    <x v="2"/>
    <n v="1"/>
    <s v="bag"/>
    <n v="1000"/>
    <n v="1090"/>
    <n v="90"/>
    <n v="1000"/>
    <s v="KZV001"/>
    <x v="229"/>
    <x v="1"/>
    <s v="Kruntz dried flower (Burb)_driedflower_bulk"/>
    <n v="277"/>
  </r>
  <r>
    <n v="618"/>
    <n v="0"/>
    <x v="562"/>
    <x v="0"/>
    <s v="T062DF"/>
    <s v="B095DF"/>
    <s v="T062DFB095DF"/>
    <s v="driedflower_bulk"/>
    <x v="143"/>
    <x v="184"/>
    <x v="2"/>
    <n v="1"/>
    <s v="bag"/>
    <n v="1000"/>
    <n v="1090"/>
    <n v="90"/>
    <n v="1000"/>
    <s v="KZV001"/>
    <x v="229"/>
    <x v="1"/>
    <s v="Kruntz dried flower (Burb)_driedflower_bulk"/>
    <n v="277"/>
  </r>
  <r>
    <n v="619"/>
    <n v="0"/>
    <x v="563"/>
    <x v="0"/>
    <s v="T062DF"/>
    <s v="B096DF"/>
    <s v="T062DFB096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0"/>
    <n v="0"/>
    <x v="564"/>
    <x v="0"/>
    <s v="T062DF"/>
    <s v="B097DF"/>
    <s v="T062DFB097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1"/>
    <n v="0"/>
    <x v="565"/>
    <x v="0"/>
    <s v="T062DF"/>
    <s v="B098DF"/>
    <s v="T062DFB098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2"/>
    <n v="0"/>
    <x v="566"/>
    <x v="0"/>
    <s v="T062DF"/>
    <s v="B099DF"/>
    <s v="T062DFB099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3"/>
    <n v="0"/>
    <x v="567"/>
    <x v="0"/>
    <s v="T062DF"/>
    <s v="B100DF"/>
    <s v="T062DFB100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4"/>
    <n v="0"/>
    <x v="568"/>
    <x v="0"/>
    <s v="T062DF"/>
    <s v="B100DF"/>
    <s v="T062DFB100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624"/>
    <n v="1"/>
    <x v="569"/>
    <x v="0"/>
    <s v="T062DF"/>
    <s v="B100DF"/>
    <s v="T062DFB100DF"/>
    <s v="driedflower_bulk_small"/>
    <x v="143"/>
    <x v="184"/>
    <x v="2"/>
    <n v="1"/>
    <s v="bag"/>
    <n v="500"/>
    <n v="510"/>
    <n v="10"/>
    <n v="500"/>
    <s v="KZV001"/>
    <x v="229"/>
    <x v="1"/>
    <s v="Kruntz dried flower (Burb)_driedflower_bulk_small"/>
    <n v="190"/>
  </r>
  <r>
    <n v="736"/>
    <n v="0"/>
    <x v="570"/>
    <x v="0"/>
    <s v="T062DF"/>
    <s v="B081DF"/>
    <s v="T062DFB081DF"/>
    <s v="driedflower_bulk"/>
    <x v="143"/>
    <x v="184"/>
    <x v="2"/>
    <n v="1"/>
    <s v="bag"/>
    <n v="1000"/>
    <n v="1095"/>
    <n v="95"/>
    <n v="1000"/>
    <s v="KZV001"/>
    <x v="229"/>
    <x v="1"/>
    <s v="Kruntz dried flower (Burb)_driedflower_bulk"/>
    <n v="277"/>
  </r>
  <r>
    <n v="560"/>
    <n v="0"/>
    <x v="571"/>
    <x v="1"/>
    <s v="NA"/>
    <s v="NA"/>
    <s v="OFDMB"/>
    <s v="extract_inhaled_cased_MB"/>
    <x v="107"/>
    <x v="144"/>
    <x v="86"/>
    <n v="8"/>
    <s v="case"/>
    <n v="6"/>
    <n v="0"/>
    <n v="0"/>
    <n v="48"/>
    <m/>
    <x v="230"/>
    <x v="0"/>
    <s v="November Rain Vape Strawberry Drizzle 0.5g Hybrid_extract_inhaled_cased_MB"/>
    <n v="185"/>
  </r>
  <r>
    <n v="559"/>
    <n v="0"/>
    <x v="572"/>
    <x v="1"/>
    <s v="NA"/>
    <s v="NA"/>
    <s v="OFDMB"/>
    <s v="extract_inhaled_cased_MB"/>
    <x v="99"/>
    <x v="150"/>
    <x v="90"/>
    <n v="8"/>
    <s v="case"/>
    <n v="6"/>
    <n v="0"/>
    <n v="0"/>
    <n v="48"/>
    <m/>
    <x v="231"/>
    <x v="0"/>
    <s v="November Rain Vape Tropical Meteor Shower 0.5g Sativa_extract_inhaled_cased_MB"/>
    <n v="184"/>
  </r>
  <r>
    <n v="376"/>
    <n v="0"/>
    <x v="573"/>
    <x v="1"/>
    <s v="NA"/>
    <s v="NA"/>
    <s v="OFDMB"/>
    <s v="topical_cased_MB"/>
    <x v="55"/>
    <x v="139"/>
    <x v="3"/>
    <n v="3"/>
    <s v="case"/>
    <n v="1056"/>
    <n v="0"/>
    <n v="0"/>
    <n v="3168"/>
    <m/>
    <x v="232"/>
    <x v="0"/>
    <s v="Maximum Strength Roll-on 88g_topical_cased_MB"/>
    <n v="153"/>
  </r>
  <r>
    <n v="438"/>
    <n v="0"/>
    <x v="574"/>
    <x v="1"/>
    <s v="NA"/>
    <s v="NA"/>
    <s v="OFDMB"/>
    <s v="topical_cased_MB"/>
    <x v="66"/>
    <x v="131"/>
    <x v="80"/>
    <n v="9"/>
    <s v="case"/>
    <n v="1056"/>
    <n v="0"/>
    <n v="0"/>
    <n v="9504"/>
    <m/>
    <x v="233"/>
    <x v="0"/>
    <s v="Extra Strength Roll-on 88g_topical_cased_MB"/>
    <n v="239"/>
  </r>
  <r>
    <n v="202"/>
    <n v="0"/>
    <x v="575"/>
    <x v="0"/>
    <s v="T004DF"/>
    <s v="NA"/>
    <s v="T004DFNA"/>
    <s v="driedflower_labelled"/>
    <x v="8"/>
    <x v="8"/>
    <x v="107"/>
    <n v="12"/>
    <s v="unit"/>
    <n v="14"/>
    <n v="0"/>
    <n v="0"/>
    <n v="168"/>
    <m/>
    <x v="234"/>
    <x v="0"/>
    <s v="Gelato dried flower 14g_driedflower_labelled"/>
    <n v="38"/>
  </r>
  <r>
    <n v="557"/>
    <n v="0"/>
    <x v="576"/>
    <x v="1"/>
    <s v="NA"/>
    <s v="NA"/>
    <s v="OFDMB"/>
    <s v="extract_ingested_cased_MB"/>
    <x v="78"/>
    <x v="120"/>
    <x v="75"/>
    <n v="16"/>
    <s v="case"/>
    <n v="600"/>
    <n v="0"/>
    <n v="0"/>
    <n v="9600"/>
    <m/>
    <x v="235"/>
    <x v="0"/>
    <s v="Pot Shot Tropical Fruits 151mg_extract_ingested_cased_MB"/>
    <n v="151"/>
  </r>
  <r>
    <n v="558"/>
    <n v="0"/>
    <x v="577"/>
    <x v="1"/>
    <s v="NA"/>
    <s v="NA"/>
    <s v="OFDMB"/>
    <s v="extract_ingested_cased_MB"/>
    <x v="67"/>
    <x v="65"/>
    <x v="100"/>
    <n v="15"/>
    <s v="case"/>
    <n v="600"/>
    <n v="0"/>
    <n v="0"/>
    <n v="9000"/>
    <m/>
    <x v="235"/>
    <x v="0"/>
    <s v="Pot Shot Citrus 151mg_extract_ingested_cased_MB"/>
    <n v="152"/>
  </r>
  <r>
    <n v="549"/>
    <n v="0"/>
    <x v="578"/>
    <x v="0"/>
    <s v="T095EX"/>
    <s v="NA"/>
    <s v="T095EXNA"/>
    <s v="extract_ingested_cased_ON"/>
    <x v="78"/>
    <x v="178"/>
    <x v="102"/>
    <n v="6"/>
    <s v="case"/>
    <n v="600"/>
    <n v="0"/>
    <n v="0"/>
    <n v="3600"/>
    <m/>
    <x v="236"/>
    <x v="0"/>
    <s v="Pot Shot Tropical Fruits 151mg_extract_ingested_cased_ON"/>
    <n v="219"/>
  </r>
  <r>
    <n v="435"/>
    <n v="0"/>
    <x v="579"/>
    <x v="0"/>
    <s v="T047DF"/>
    <s v="NA"/>
    <s v="T047DFNA"/>
    <s v="driedflower_labelled"/>
    <x v="144"/>
    <x v="185"/>
    <x v="86"/>
    <n v="11"/>
    <s v="unit"/>
    <n v="28"/>
    <n v="0"/>
    <n v="0"/>
    <n v="308"/>
    <m/>
    <x v="237"/>
    <x v="0"/>
    <s v="Gelato dried flower 28g_driedflower_labelled"/>
    <n v="147"/>
  </r>
  <r>
    <n v="627"/>
    <n v="0"/>
    <x v="580"/>
    <x v="0"/>
    <s v="T047DF"/>
    <s v="NA"/>
    <s v="T047DFNA"/>
    <s v="driedflower_labelled"/>
    <x v="144"/>
    <x v="185"/>
    <x v="108"/>
    <n v="45"/>
    <s v="unit"/>
    <n v="28"/>
    <n v="0"/>
    <n v="0"/>
    <n v="1260"/>
    <m/>
    <x v="237"/>
    <x v="0"/>
    <s v="Gelato dried flower 28g_driedflower_labelled"/>
    <n v="147"/>
  </r>
  <r>
    <n v="528"/>
    <n v="0"/>
    <x v="581"/>
    <x v="1"/>
    <s v="T049DF"/>
    <s v="NA"/>
    <s v="T049DFNA"/>
    <s v="driedflower_labelled"/>
    <x v="141"/>
    <x v="186"/>
    <x v="109"/>
    <n v="60"/>
    <s v="unit"/>
    <n v="7"/>
    <n v="0"/>
    <n v="0"/>
    <n v="420"/>
    <m/>
    <x v="238"/>
    <x v="0"/>
    <s v="Midnight Kruntz Dried Flower 7g_driedflower_labelled"/>
    <n v="173"/>
  </r>
  <r>
    <n v="628"/>
    <n v="0"/>
    <x v="582"/>
    <x v="0"/>
    <s v="T008PR"/>
    <s v="NA"/>
    <s v="T008PRNA"/>
    <s v="preroll_labelled"/>
    <x v="145"/>
    <x v="187"/>
    <x v="110"/>
    <n v="61"/>
    <s v="unit"/>
    <n v="1"/>
    <n v="0"/>
    <n v="0"/>
    <n v="224"/>
    <m/>
    <x v="239"/>
    <x v="0"/>
    <s v="Chronic Mint preroll 1 x 1g_preroll_labelled"/>
    <n v="24"/>
  </r>
  <r>
    <n v="114"/>
    <n v="0"/>
    <x v="583"/>
    <x v="0"/>
    <s v="T008PR"/>
    <s v="NA"/>
    <s v="T008PRNA"/>
    <s v="preroll_labelled"/>
    <x v="145"/>
    <x v="187"/>
    <x v="28"/>
    <n v="139"/>
    <s v="unit"/>
    <n v="1"/>
    <n v="0"/>
    <n v="0"/>
    <n v="224"/>
    <m/>
    <x v="240"/>
    <x v="0"/>
    <s v="Chronic Mint preroll 1 x 1g_preroll_labelled"/>
    <n v="24"/>
  </r>
  <r>
    <n v="115"/>
    <n v="0"/>
    <x v="584"/>
    <x v="0"/>
    <s v="T009PR"/>
    <s v="NA"/>
    <s v="T009PRNA"/>
    <s v="preroll_labelled"/>
    <x v="38"/>
    <x v="188"/>
    <x v="110"/>
    <n v="48"/>
    <s v="unit"/>
    <n v="1.5"/>
    <n v="0"/>
    <n v="0"/>
    <n v="72"/>
    <m/>
    <x v="241"/>
    <x v="0"/>
    <s v="Chronic Mint preroll 3 x 0.5g_preroll_labelled"/>
    <n v="26"/>
  </r>
  <r>
    <n v="200"/>
    <n v="0"/>
    <x v="585"/>
    <x v="0"/>
    <s v="T005EX"/>
    <s v="NA"/>
    <s v="T005EXNA"/>
    <s v="topical_labelled"/>
    <x v="73"/>
    <x v="74"/>
    <x v="110"/>
    <n v="48"/>
    <s v="unit"/>
    <n v="120"/>
    <n v="0"/>
    <n v="0"/>
    <n v="5760"/>
    <m/>
    <x v="242"/>
    <x v="0"/>
    <s v="CBD Neem Cream 120g_topical_labelled"/>
    <n v="249"/>
  </r>
  <r>
    <n v="563"/>
    <n v="0"/>
    <x v="586"/>
    <x v="1"/>
    <s v="NA"/>
    <s v="NA"/>
    <s v="OFDMB"/>
    <s v="preroll_cased_MB"/>
    <x v="119"/>
    <x v="130"/>
    <x v="3"/>
    <n v="5"/>
    <s v="case"/>
    <n v="18"/>
    <n v="0"/>
    <n v="0"/>
    <n v="90"/>
    <m/>
    <x v="243"/>
    <x v="0"/>
    <s v="November Rain Trident preroll 3 x 0.5g_preroll_cased_MB"/>
    <n v="157"/>
  </r>
  <r>
    <n v="507"/>
    <n v="0"/>
    <x v="587"/>
    <x v="1"/>
    <s v="T012TP"/>
    <s v="NA"/>
    <s v="T012TPNA"/>
    <s v="topical_labelled"/>
    <x v="55"/>
    <x v="139"/>
    <x v="3"/>
    <n v="458"/>
    <s v="unit"/>
    <n v="88"/>
    <n v="0"/>
    <n v="0"/>
    <n v="40304"/>
    <m/>
    <x v="244"/>
    <x v="0"/>
    <s v="Maximum Strength Roll-on 88g_topical_labelled"/>
    <n v="72"/>
  </r>
  <r>
    <n v="631"/>
    <n v="0"/>
    <x v="588"/>
    <x v="0"/>
    <s v="T004MF"/>
    <s v="NA"/>
    <s v="T004MFNA"/>
    <s v="driedflower_milled_bulk"/>
    <x v="142"/>
    <x v="189"/>
    <x v="2"/>
    <n v="1"/>
    <s v="pail"/>
    <n v="2769"/>
    <n v="5148"/>
    <n v="2379"/>
    <n v="2769"/>
    <m/>
    <x v="245"/>
    <x v="1"/>
    <s v="Midnight Kruntz milled flower_driedflower_milled_bulk"/>
    <n v="187"/>
  </r>
  <r>
    <n v="632"/>
    <n v="0"/>
    <x v="589"/>
    <x v="1"/>
    <s v="T005MF"/>
    <s v="NA"/>
    <s v="T005MFNA"/>
    <s v="driedflower_milled_bulk"/>
    <x v="142"/>
    <x v="189"/>
    <x v="2"/>
    <n v="1"/>
    <s v="pail"/>
    <n v="3093"/>
    <n v="5472"/>
    <n v="2379"/>
    <n v="3093"/>
    <m/>
    <x v="245"/>
    <x v="1"/>
    <s v="Midnight Kruntz milled flower_driedflower_milled_bulk"/>
    <n v="187"/>
  </r>
  <r>
    <n v="322"/>
    <n v="0"/>
    <x v="590"/>
    <x v="0"/>
    <s v="T035PR"/>
    <s v="NA"/>
    <s v="T035PRNA"/>
    <s v="preroll_labelled"/>
    <x v="106"/>
    <x v="114"/>
    <x v="81"/>
    <n v="25"/>
    <s v="unit"/>
    <n v="1.5"/>
    <n v="0"/>
    <n v="0"/>
    <n v="37.5"/>
    <m/>
    <x v="246"/>
    <x v="0"/>
    <s v="November Rain Lemon Ice Tea preroll 3 x 0.5g_preroll_labelled"/>
    <n v="77"/>
  </r>
  <r>
    <n v="635"/>
    <n v="0"/>
    <x v="591"/>
    <x v="0"/>
    <s v="T121EX"/>
    <s v="NA"/>
    <s v="T121EXNA"/>
    <s v="extract_ingested_labelled"/>
    <x v="127"/>
    <x v="190"/>
    <x v="111"/>
    <n v="87"/>
    <s v="unit"/>
    <n v="2401.2000000000003"/>
    <n v="4236"/>
    <n v="2379"/>
    <n v="208904.40000000002"/>
    <m/>
    <x v="247"/>
    <x v="0"/>
    <s v="THC oil 27.6g_extract_ingested_labelled"/>
    <n v="129"/>
  </r>
  <r>
    <n v="636"/>
    <n v="0"/>
    <x v="592"/>
    <x v="0"/>
    <s v="NA"/>
    <s v="NA"/>
    <s v="NANA"/>
    <s v="extract_distillate_bulk"/>
    <x v="92"/>
    <x v="191"/>
    <x v="2"/>
    <n v="1"/>
    <s v="pail"/>
    <n v="2005"/>
    <n v="2985"/>
    <n v="980"/>
    <n v="2005"/>
    <m/>
    <x v="248"/>
    <x v="1"/>
    <s v="THC Distillate_extract_distillate_bulk"/>
    <n v="104"/>
  </r>
  <r>
    <n v="637"/>
    <n v="0"/>
    <x v="593"/>
    <x v="1"/>
    <s v="T058PR"/>
    <s v="NA"/>
    <s v="T058PRNA"/>
    <s v="preroll_labelled"/>
    <x v="94"/>
    <x v="42"/>
    <x v="112"/>
    <n v="15"/>
    <s v="unit"/>
    <n v="1"/>
    <n v="0"/>
    <n v="0"/>
    <n v="15"/>
    <m/>
    <x v="249"/>
    <x v="0"/>
    <s v="Gelato preroll 1 x 1g_preroll_labelled"/>
    <n v="44"/>
  </r>
  <r>
    <n v="90"/>
    <n v="0"/>
    <x v="594"/>
    <x v="0"/>
    <s v="P006MF"/>
    <s v="NA"/>
    <s v="P006MFNA"/>
    <s v="driedflower_milled_bulk"/>
    <x v="11"/>
    <x v="192"/>
    <x v="2"/>
    <n v="1"/>
    <s v="pail"/>
    <n v="1155"/>
    <n v="2920"/>
    <n v="1765"/>
    <n v="1155"/>
    <m/>
    <x v="250"/>
    <x v="1"/>
    <s v="Gelato milled flower_driedflower_milled_bulk"/>
    <n v="41"/>
  </r>
  <r>
    <n v="638"/>
    <n v="0"/>
    <x v="595"/>
    <x v="0"/>
    <s v="T122EX"/>
    <s v="NA"/>
    <s v="T122EXNA"/>
    <s v="extract_ingested_labelled"/>
    <x v="146"/>
    <x v="193"/>
    <x v="113"/>
    <n v="227"/>
    <s v="unit"/>
    <n v="50"/>
    <n v="0"/>
    <n v="0"/>
    <n v="11350"/>
    <m/>
    <x v="251"/>
    <x v="0"/>
    <s v="Pot Shot Coconut Lime 151mg_extract_ingested_labelled"/>
    <n v="246"/>
  </r>
  <r>
    <n v="640"/>
    <n v="0"/>
    <x v="596"/>
    <x v="0"/>
    <s v="T124EX"/>
    <s v="NA"/>
    <s v="T124EXNA"/>
    <s v="extract_ingested_labelled"/>
    <x v="146"/>
    <x v="193"/>
    <x v="113"/>
    <n v="231"/>
    <s v="unit"/>
    <n v="50"/>
    <n v="0"/>
    <n v="0"/>
    <n v="11550"/>
    <m/>
    <x v="252"/>
    <x v="0"/>
    <s v="Pot Shot Coconut Lime 151mg_extract_ingested_labelled"/>
    <n v="246"/>
  </r>
  <r>
    <n v="553"/>
    <n v="0"/>
    <x v="597"/>
    <x v="0"/>
    <s v="T114EX"/>
    <s v="NA"/>
    <s v="T114EXNA"/>
    <s v="extract_ingested_labelled"/>
    <x v="78"/>
    <x v="178"/>
    <x v="102"/>
    <n v="6"/>
    <s v="unit"/>
    <n v="50"/>
    <n v="0"/>
    <n v="0"/>
    <n v="300"/>
    <m/>
    <x v="253"/>
    <x v="0"/>
    <s v="Pot Shot Tropical Fruits 151mg_extract_ingested_labelled"/>
    <n v="99"/>
  </r>
  <r>
    <n v="286"/>
    <n v="0"/>
    <x v="598"/>
    <x v="0"/>
    <s v="T023EX"/>
    <s v="NA"/>
    <s v="T023EXNA"/>
    <s v="extract_ingested_labelled"/>
    <x v="78"/>
    <x v="120"/>
    <x v="75"/>
    <n v="7"/>
    <s v="unit"/>
    <n v="50"/>
    <n v="0"/>
    <n v="0"/>
    <n v="350"/>
    <m/>
    <x v="254"/>
    <x v="0"/>
    <s v="Pot Shot Tropical Fruits 151mg_extract_ingested_labelled"/>
    <n v="99"/>
  </r>
  <r>
    <n v="550"/>
    <n v="0"/>
    <x v="599"/>
    <x v="1"/>
    <s v="T113EX"/>
    <s v="NA"/>
    <s v="T113EXNA"/>
    <s v="extract_ingested_cased_BC"/>
    <x v="78"/>
    <x v="178"/>
    <x v="102"/>
    <n v="1"/>
    <s v="case"/>
    <n v="600"/>
    <n v="0"/>
    <n v="0"/>
    <n v="600"/>
    <m/>
    <x v="255"/>
    <x v="0"/>
    <s v="Pot Shot Tropical Fruits 151mg_extract_ingested_cased_BC"/>
    <n v="180"/>
  </r>
  <r>
    <n v="458"/>
    <n v="0"/>
    <x v="600"/>
    <x v="0"/>
    <s v="T095EX"/>
    <s v="NA"/>
    <s v="T095EXNA"/>
    <s v="extract_ingested_cased_BC"/>
    <x v="67"/>
    <x v="66"/>
    <x v="46"/>
    <n v="5"/>
    <s v="case"/>
    <n v="600"/>
    <n v="0"/>
    <n v="0"/>
    <n v="3000"/>
    <m/>
    <x v="256"/>
    <x v="0"/>
    <s v="Pot Shot Citrus 151mg_extract_ingested_cased_BC"/>
    <n v="181"/>
  </r>
  <r>
    <n v="84"/>
    <n v="0"/>
    <x v="601"/>
    <x v="0"/>
    <s v="NA"/>
    <s v="NA"/>
    <s v="NANA"/>
    <s v="extract_ingested_cased_BC"/>
    <x v="67"/>
    <x v="66"/>
    <x v="46"/>
    <n v="10"/>
    <s v="unit"/>
    <n v="50"/>
    <n v="0"/>
    <n v="0"/>
    <n v="500"/>
    <m/>
    <x v="257"/>
    <x v="0"/>
    <s v="Pot Shot Citrus 151mg_extract_ingested_cased_BC"/>
    <n v="181"/>
  </r>
  <r>
    <n v="85"/>
    <n v="0"/>
    <x v="602"/>
    <x v="0"/>
    <s v="NA"/>
    <s v="NA"/>
    <s v="NANA"/>
    <s v="extract_ingested_cased_BC"/>
    <x v="67"/>
    <x v="65"/>
    <x v="100"/>
    <n v="2"/>
    <s v="unit"/>
    <n v="50"/>
    <n v="0"/>
    <n v="0"/>
    <n v="100"/>
    <m/>
    <x v="257"/>
    <x v="0"/>
    <s v="Pot Shot Citrus 151mg_extract_ingested_cased_BC"/>
    <n v="181"/>
  </r>
  <r>
    <n v="641"/>
    <n v="0"/>
    <x v="603"/>
    <x v="0"/>
    <s v="P018MF"/>
    <s v="NA"/>
    <s v="P018MFNA"/>
    <s v="driedflower_milled_bulk_BURB"/>
    <x v="147"/>
    <x v="194"/>
    <x v="2"/>
    <n v="1"/>
    <s v="pail"/>
    <n v="4188"/>
    <n v="5928"/>
    <n v="1740"/>
    <n v="4188"/>
    <m/>
    <x v="258"/>
    <x v="1"/>
    <s v="Licorice Gumball milled flower_driedflower_milled_bulk_BURB"/>
    <n v="194"/>
  </r>
  <r>
    <n v="642"/>
    <n v="0"/>
    <x v="604"/>
    <x v="0"/>
    <s v="P019MF"/>
    <s v="NA"/>
    <s v="P019MFNA"/>
    <s v="driedflower_milled_bulk_BURB"/>
    <x v="147"/>
    <x v="194"/>
    <x v="2"/>
    <n v="1"/>
    <s v="pail"/>
    <n v="2676"/>
    <n v="4426"/>
    <n v="1750"/>
    <n v="2676"/>
    <m/>
    <x v="258"/>
    <x v="1"/>
    <s v="Licorice Gumball milled flower_driedflower_milled_bulk_BURB"/>
    <n v="194"/>
  </r>
  <r>
    <n v="643"/>
    <n v="0"/>
    <x v="605"/>
    <x v="0"/>
    <s v="P020MF"/>
    <s v="NA"/>
    <s v="P020MFNA"/>
    <s v="driedflower_milled_bulk_BURB"/>
    <x v="147"/>
    <x v="194"/>
    <x v="2"/>
    <n v="1"/>
    <s v="pail"/>
    <n v="4153"/>
    <n v="5867"/>
    <n v="1714"/>
    <n v="4153"/>
    <m/>
    <x v="258"/>
    <x v="1"/>
    <s v="Licorice Gumball milled flower_driedflower_milled_bulk_BURB"/>
    <n v="194"/>
  </r>
  <r>
    <n v="644"/>
    <n v="0"/>
    <x v="606"/>
    <x v="0"/>
    <s v="P021MF"/>
    <s v="NA"/>
    <s v="P021MFNA"/>
    <s v="driedflower_milled_bulk_BURB"/>
    <x v="148"/>
    <x v="195"/>
    <x v="2"/>
    <n v="1"/>
    <s v="pail"/>
    <n v="1340"/>
    <n v="3435"/>
    <n v="2095"/>
    <n v="1340"/>
    <m/>
    <x v="258"/>
    <x v="1"/>
    <s v="Unicorn Poop milled flower_driedflower_milled_bulk_BURB"/>
    <n v="195"/>
  </r>
  <r>
    <n v="645"/>
    <n v="0"/>
    <x v="607"/>
    <x v="0"/>
    <s v="J035EX"/>
    <s v="NA"/>
    <s v="J035EXNA"/>
    <s v="extract_inhaled_bulk"/>
    <x v="149"/>
    <x v="196"/>
    <x v="2"/>
    <n v="1"/>
    <s v="jar"/>
    <n v="278.02000000000004"/>
    <n v="588.34"/>
    <n v="310.32"/>
    <n v="278.02000000000004"/>
    <m/>
    <x v="259"/>
    <x v="1"/>
    <s v="Concord Grape Vape_extract_inhaled_bulk"/>
    <n v="196"/>
  </r>
  <r>
    <n v="647"/>
    <n v="0"/>
    <x v="608"/>
    <x v="0"/>
    <s v="J036EX"/>
    <s v="NA"/>
    <s v="J036EXNA"/>
    <s v="extract_inhaled_bulk_Kalista"/>
    <x v="150"/>
    <x v="197"/>
    <x v="2"/>
    <n v="1"/>
    <s v="jar"/>
    <n v="225.32"/>
    <n v="533.64"/>
    <n v="308.32"/>
    <n v="225.32"/>
    <m/>
    <x v="260"/>
    <x v="1"/>
    <s v="Spotlight Vape_extract_inhaled_bulk_Kalista"/>
    <n v="197"/>
  </r>
  <r>
    <n v="648"/>
    <n v="0"/>
    <x v="609"/>
    <x v="0"/>
    <s v="J037EX"/>
    <s v="NA"/>
    <s v="J037EXNA"/>
    <s v="extract_inhaled_bulk_Kalista"/>
    <x v="150"/>
    <x v="197"/>
    <x v="2"/>
    <n v="1"/>
    <s v="jar"/>
    <n v="250.45999999999998"/>
    <n v="558.78"/>
    <n v="308.32"/>
    <n v="250.45999999999998"/>
    <m/>
    <x v="260"/>
    <x v="1"/>
    <s v="Spotlight Vape_extract_inhaled_bulk_Kalista"/>
    <n v="197"/>
  </r>
  <r>
    <n v="649"/>
    <n v="0"/>
    <x v="610"/>
    <x v="0"/>
    <s v="J038EX"/>
    <s v="NA"/>
    <s v="J038EXNA"/>
    <s v="extract_inhaled_bulk"/>
    <x v="125"/>
    <x v="198"/>
    <x v="2"/>
    <n v="1"/>
    <s v="jar"/>
    <n v="276.12000000000006"/>
    <n v="584.44000000000005"/>
    <n v="308.32"/>
    <n v="276.12000000000006"/>
    <m/>
    <x v="260"/>
    <x v="1"/>
    <s v="Strawberry Drizzle Vape _extract_inhaled_bulk"/>
    <n v="146"/>
  </r>
  <r>
    <n v="650"/>
    <n v="0"/>
    <x v="611"/>
    <x v="1"/>
    <s v="T059PR"/>
    <s v="NA"/>
    <s v="T059PRNA"/>
    <s v="preroll_labelled"/>
    <x v="151"/>
    <x v="199"/>
    <x v="114"/>
    <n v="240"/>
    <s v="unit"/>
    <n v="5"/>
    <n v="0"/>
    <n v="0"/>
    <n v="1200"/>
    <m/>
    <x v="260"/>
    <x v="0"/>
    <s v="Midnight Kruntz pre-roll 10x0.5g_preroll_labelled"/>
    <n v="189"/>
  </r>
  <r>
    <n v="651"/>
    <n v="0"/>
    <x v="612"/>
    <x v="0"/>
    <s v="T125EX"/>
    <s v="NA"/>
    <s v="T125EXNA"/>
    <s v="extract_ingested_labelled"/>
    <x v="78"/>
    <x v="200"/>
    <x v="115"/>
    <n v="111"/>
    <s v="unit"/>
    <n v="50"/>
    <n v="0"/>
    <n v="0"/>
    <n v="5550"/>
    <m/>
    <x v="260"/>
    <x v="0"/>
    <s v="Pot Shot Tropical Fruits 151mg_extract_ingested_labelled"/>
    <n v="99"/>
  </r>
  <r>
    <n v="652"/>
    <n v="0"/>
    <x v="613"/>
    <x v="0"/>
    <s v="T126EX"/>
    <s v="NA"/>
    <s v="T126EXNA"/>
    <s v="extract_ingested_labelled"/>
    <x v="78"/>
    <x v="200"/>
    <x v="115"/>
    <n v="264"/>
    <s v="unit"/>
    <n v="50"/>
    <n v="0"/>
    <n v="0"/>
    <n v="13200"/>
    <m/>
    <x v="260"/>
    <x v="0"/>
    <s v="Pot Shot Tropical Fruits 151mg_extract_ingested_labelled"/>
    <n v="99"/>
  </r>
  <r>
    <n v="653"/>
    <n v="0"/>
    <x v="614"/>
    <x v="0"/>
    <s v="T060PR"/>
    <s v="NA"/>
    <s v="T060PRNA"/>
    <s v="preroll_labelled"/>
    <x v="106"/>
    <x v="114"/>
    <x v="114"/>
    <n v="172"/>
    <s v="unit"/>
    <n v="1.5"/>
    <n v="0"/>
    <n v="0"/>
    <n v="258"/>
    <m/>
    <x v="260"/>
    <x v="0"/>
    <s v="November Rain Lemon Ice Tea preroll 3 x 0.5g_preroll_labelled"/>
    <n v="77"/>
  </r>
  <r>
    <n v="646"/>
    <n v="0"/>
    <x v="615"/>
    <x v="0"/>
    <s v="B005EX"/>
    <s v="NA"/>
    <s v="B005EXNA"/>
    <s v="extract_distillate_bulk"/>
    <x v="91"/>
    <x v="201"/>
    <x v="2"/>
    <n v="1"/>
    <s v="pail"/>
    <n v="591.6"/>
    <n v="1203"/>
    <n v="611.4"/>
    <n v="591.6"/>
    <m/>
    <x v="261"/>
    <x v="1"/>
    <s v="CBD isolate_extract_distillate_bulk"/>
    <n v="18"/>
  </r>
  <r>
    <n v="655"/>
    <n v="0"/>
    <x v="616"/>
    <x v="0"/>
    <s v="T128EX"/>
    <s v="NA"/>
    <s v="T128EXNA"/>
    <s v="extract_ingested_cased_BC"/>
    <x v="146"/>
    <x v="193"/>
    <x v="113"/>
    <n v="8"/>
    <s v="case"/>
    <n v="600"/>
    <n v="0"/>
    <n v="0"/>
    <n v="4800"/>
    <m/>
    <x v="262"/>
    <x v="0"/>
    <s v="Pot Shot Coconut Lime 151mg_extract_ingested_cased_BC"/>
    <n v="199"/>
  </r>
  <r>
    <n v="656"/>
    <n v="0"/>
    <x v="617"/>
    <x v="0"/>
    <s v="T129EX"/>
    <s v="NA"/>
    <s v="T129EXNA"/>
    <s v="extract_ingested_cased_BC"/>
    <x v="78"/>
    <x v="200"/>
    <x v="115"/>
    <n v="1"/>
    <s v="case"/>
    <n v="600"/>
    <n v="0"/>
    <n v="0"/>
    <n v="600"/>
    <m/>
    <x v="263"/>
    <x v="0"/>
    <s v="Pot Shot Tropical Fruits 151mg_extract_ingested_cased_BC"/>
    <n v="180"/>
  </r>
  <r>
    <n v="657"/>
    <n v="0"/>
    <x v="618"/>
    <x v="0"/>
    <s v="T130EX"/>
    <s v="NA"/>
    <s v="T130EXNA"/>
    <s v="extract_ingested_packaged"/>
    <x v="78"/>
    <x v="200"/>
    <x v="115"/>
    <n v="168"/>
    <s v="unit"/>
    <n v="50"/>
    <n v="0"/>
    <n v="0"/>
    <n v="8400"/>
    <m/>
    <x v="262"/>
    <x v="0"/>
    <s v="Pot Shot Tropical Fruits 151mg_extract_ingested_packaged"/>
    <n v="149"/>
  </r>
  <r>
    <n v="659"/>
    <n v="0"/>
    <x v="619"/>
    <x v="0"/>
    <s v="P023MF"/>
    <s v="NA"/>
    <s v="P023MFNA"/>
    <s v="driedflower_milled_bulk"/>
    <x v="152"/>
    <x v="202"/>
    <x v="2"/>
    <n v="1"/>
    <s v="pail"/>
    <n v="4692"/>
    <n v="6472"/>
    <n v="1780"/>
    <n v="4692"/>
    <m/>
    <x v="262"/>
    <x v="1"/>
    <s v="Animal Mint milled flower_driedflower_milled_bulk"/>
    <n v="20"/>
  </r>
  <r>
    <n v="660"/>
    <n v="0"/>
    <x v="620"/>
    <x v="0"/>
    <s v="P003DF"/>
    <s v="NA"/>
    <s v="P003DFNA"/>
    <s v="driedflower_bulk"/>
    <x v="153"/>
    <x v="203"/>
    <x v="2"/>
    <n v="1"/>
    <s v="pail"/>
    <n v="725"/>
    <n v="2485"/>
    <n v="1760"/>
    <n v="725"/>
    <m/>
    <x v="262"/>
    <x v="1"/>
    <s v="Animal Mint dried flower_driedflower_bulk"/>
    <n v="201"/>
  </r>
  <r>
    <n v="695"/>
    <n v="0"/>
    <x v="621"/>
    <x v="0"/>
    <s v="T144EX"/>
    <s v="NA"/>
    <s v="T144EXNA"/>
    <s v="extract_ingested_cased_ON_RTV"/>
    <x v="78"/>
    <x v="178"/>
    <x v="102"/>
    <n v="13"/>
    <s v="case"/>
    <n v="600"/>
    <n v="0"/>
    <n v="0"/>
    <n v="7800"/>
    <m/>
    <x v="262"/>
    <x v="0"/>
    <s v="Pot Shot Tropical Fruits 151mg_extract_ingested_cased_ON_RTV"/>
    <n v="219"/>
  </r>
  <r>
    <n v="164"/>
    <n v="0"/>
    <x v="622"/>
    <x v="0"/>
    <s v="B002EX"/>
    <s v="NA"/>
    <s v="B002EXNA"/>
    <s v="extract_ingested_cased_BC"/>
    <x v="67"/>
    <x v="65"/>
    <x v="100"/>
    <n v="1"/>
    <s v="case"/>
    <n v="50"/>
    <n v="0"/>
    <n v="0"/>
    <n v="50"/>
    <m/>
    <x v="264"/>
    <x v="0"/>
    <s v="Pot Shot Citrus 151mg_extract_ingested_cased_BC"/>
    <n v="181"/>
  </r>
  <r>
    <n v="639"/>
    <n v="0"/>
    <x v="623"/>
    <x v="0"/>
    <s v="T123EX"/>
    <s v="NA"/>
    <s v="T123EXNA"/>
    <s v="extract_ingested_labelled"/>
    <x v="146"/>
    <x v="193"/>
    <x v="113"/>
    <n v="111"/>
    <s v="unit"/>
    <n v="50"/>
    <n v="0"/>
    <n v="0"/>
    <n v="5550"/>
    <m/>
    <x v="265"/>
    <x v="0"/>
    <s v="Pot Shot Coconut Lime 151mg_extract_ingested_labelled"/>
    <n v="246"/>
  </r>
  <r>
    <n v="556"/>
    <n v="0"/>
    <x v="624"/>
    <x v="0"/>
    <s v="P014EX"/>
    <s v="NA"/>
    <s v="P014EXNA"/>
    <s v="extract_distillate_bulk_Kalista"/>
    <x v="92"/>
    <x v="204"/>
    <x v="2"/>
    <n v="1"/>
    <s v="pail"/>
    <n v="722.40000000000009"/>
    <n v="1691.4"/>
    <n v="969"/>
    <n v="722.40000000000009"/>
    <m/>
    <x v="266"/>
    <x v="1"/>
    <s v="THC Distillate_extract_distillate_bulk_Kalista"/>
    <n v="200"/>
  </r>
  <r>
    <n v="637"/>
    <n v="1"/>
    <x v="625"/>
    <x v="0"/>
    <s v="T058PR"/>
    <s v="NA"/>
    <s v="T058PRNA"/>
    <s v="preroll_labelled"/>
    <x v="94"/>
    <x v="42"/>
    <x v="116"/>
    <n v="72"/>
    <s v="unit"/>
    <n v="1"/>
    <n v="0"/>
    <n v="0"/>
    <n v="72"/>
    <m/>
    <x v="267"/>
    <x v="0"/>
    <s v="Gelato preroll 1 x 1g_preroll_labelled"/>
    <n v="44"/>
  </r>
  <r>
    <n v="661"/>
    <n v="0"/>
    <x v="626"/>
    <x v="0"/>
    <s v="T063DF"/>
    <s v="NA"/>
    <s v="T063DFNA"/>
    <s v="driedflower_labelled"/>
    <x v="144"/>
    <x v="185"/>
    <x v="114"/>
    <n v="36"/>
    <s v="unit"/>
    <n v="28"/>
    <n v="0"/>
    <n v="0"/>
    <n v="1008"/>
    <m/>
    <x v="267"/>
    <x v="0"/>
    <s v="Gelato dried flower 28g_driedflower_labelled"/>
    <n v="147"/>
  </r>
  <r>
    <n v="662"/>
    <n v="0"/>
    <x v="627"/>
    <x v="0"/>
    <s v="T058PR"/>
    <s v="NA"/>
    <s v="T058PRNA"/>
    <s v="preroll_cased_MB"/>
    <x v="94"/>
    <x v="42"/>
    <x v="112"/>
    <n v="2"/>
    <s v="case"/>
    <n v="24"/>
    <n v="0"/>
    <n v="0"/>
    <n v="48"/>
    <m/>
    <x v="267"/>
    <x v="0"/>
    <s v="Gelato preroll 1 x 1g_preroll_cased_MB"/>
    <n v="160"/>
  </r>
  <r>
    <n v="663"/>
    <n v="0"/>
    <x v="628"/>
    <x v="0"/>
    <s v="T059PR"/>
    <s v="NA"/>
    <s v="T059PRNA"/>
    <s v="preroll_bulk"/>
    <x v="154"/>
    <x v="205"/>
    <x v="2"/>
    <n v="12"/>
    <s v="unit"/>
    <n v="0.5"/>
    <n v="0"/>
    <n v="0"/>
    <n v="6"/>
    <m/>
    <x v="267"/>
    <x v="0"/>
    <s v="Midnight Kruntz pre-roll 0.5g_preroll_bulk"/>
    <n v="202"/>
  </r>
  <r>
    <n v="666"/>
    <n v="0"/>
    <x v="629"/>
    <x v="0"/>
    <s v="T133EX"/>
    <s v="NA"/>
    <s v="T133EXNA"/>
    <s v="extract_ingested_labelled_WT"/>
    <x v="155"/>
    <x v="206"/>
    <x v="117"/>
    <n v="126"/>
    <s v="unit"/>
    <n v="27.8"/>
    <n v="0"/>
    <n v="0"/>
    <n v="3502.8"/>
    <m/>
    <x v="267"/>
    <x v="0"/>
    <s v="EarthWolf Farms CBDa Oil 27.6g_extract_ingested_labelled_WT"/>
    <n v="204"/>
  </r>
  <r>
    <n v="667"/>
    <n v="0"/>
    <x v="630"/>
    <x v="0"/>
    <s v="T134EX"/>
    <s v="NA"/>
    <s v="T134EXNA"/>
    <s v="extract_inhaled_packaged"/>
    <x v="156"/>
    <x v="207"/>
    <x v="118"/>
    <n v="546"/>
    <s v="unit"/>
    <n v="0.5"/>
    <n v="0"/>
    <n v="0"/>
    <n v="273"/>
    <m/>
    <x v="267"/>
    <x v="0"/>
    <s v="November Rain Concord Grape vape 0.5g_extract_inhaled_packaged"/>
    <n v="205"/>
  </r>
  <r>
    <n v="668"/>
    <n v="0"/>
    <x v="631"/>
    <x v="0"/>
    <s v="T135EX"/>
    <s v="NA"/>
    <s v="T135EXNA"/>
    <s v="extract_inhaled_labelled_WT"/>
    <x v="157"/>
    <x v="208"/>
    <x v="119"/>
    <n v="21"/>
    <s v="unit"/>
    <n v="1"/>
    <n v="0"/>
    <n v="0"/>
    <n v="21"/>
    <m/>
    <x v="268"/>
    <x v="0"/>
    <s v="Afghan Hash 1g_extract_inhaled_labelled_WT"/>
    <n v="206"/>
  </r>
  <r>
    <n v="669"/>
    <n v="0"/>
    <x v="632"/>
    <x v="0"/>
    <s v="T136EX"/>
    <s v="NA"/>
    <s v="T136EXNA"/>
    <s v="extract_inhaled_labelled_WT"/>
    <x v="158"/>
    <x v="209"/>
    <x v="120"/>
    <n v="35"/>
    <s v="unit"/>
    <n v="1"/>
    <n v="0"/>
    <n v="0"/>
    <n v="35"/>
    <m/>
    <x v="269"/>
    <x v="0"/>
    <s v="Lillooet Gold Bubble Hash 1g_extract_inhaled_labelled_WT"/>
    <n v="207"/>
  </r>
  <r>
    <n v="670"/>
    <n v="0"/>
    <x v="633"/>
    <x v="0"/>
    <s v="T137EX"/>
    <s v="NA"/>
    <s v="T137EXNA"/>
    <s v="extract_inhaled_labelled_WT"/>
    <x v="159"/>
    <x v="210"/>
    <x v="121"/>
    <n v="72"/>
    <s v="unit"/>
    <n v="1"/>
    <n v="0"/>
    <n v="0"/>
    <n v="72"/>
    <m/>
    <x v="269"/>
    <x v="0"/>
    <s v="Romulan Grape God Bubble Hash 1g_extract_inhaled_labelled_WT"/>
    <n v="208"/>
  </r>
  <r>
    <n v="671"/>
    <n v="0"/>
    <x v="634"/>
    <x v="0"/>
    <s v="T138EX"/>
    <s v="NA"/>
    <s v="T138EXNA"/>
    <s v="extract_inhaled_labelled_WT"/>
    <x v="160"/>
    <x v="211"/>
    <x v="122"/>
    <n v="410"/>
    <s v="unit"/>
    <n v="1"/>
    <n v="0"/>
    <n v="0"/>
    <n v="410"/>
    <m/>
    <x v="269"/>
    <x v="0"/>
    <s v="Tundra Bubble Hash 1g_extract_inhaled_labelled_WT"/>
    <n v="209"/>
  </r>
  <r>
    <n v="672"/>
    <n v="0"/>
    <x v="635"/>
    <x v="0"/>
    <s v="T139EX"/>
    <s v="NA"/>
    <s v="T139EXNA"/>
    <s v="extract_inhaled_labelled_WT"/>
    <x v="161"/>
    <x v="212"/>
    <x v="123"/>
    <n v="166"/>
    <s v="unit"/>
    <n v="1"/>
    <n v="0"/>
    <n v="0"/>
    <n v="166"/>
    <m/>
    <x v="269"/>
    <x v="0"/>
    <s v="God's Space Needle Live Rosin 1g_extract_inhaled_labelled_WT"/>
    <n v="210"/>
  </r>
  <r>
    <n v="673"/>
    <n v="0"/>
    <x v="636"/>
    <x v="0"/>
    <s v="T140EX"/>
    <s v="NA"/>
    <s v="T140EXNA"/>
    <s v="extract_inhaled_labelled_WT"/>
    <x v="162"/>
    <x v="213"/>
    <x v="124"/>
    <n v="126"/>
    <s v="unit"/>
    <n v="1"/>
    <n v="0"/>
    <n v="0"/>
    <n v="126"/>
    <m/>
    <x v="269"/>
    <x v="0"/>
    <s v="God's Space Needle Bubble Hash 1g_extract_inhaled_labelled_WT"/>
    <n v="211"/>
  </r>
  <r>
    <n v="674"/>
    <n v="0"/>
    <x v="637"/>
    <x v="0"/>
    <s v="T141EX"/>
    <s v="NA"/>
    <s v="T141EXNA"/>
    <s v="extract_inhaled_labelled_WT"/>
    <x v="163"/>
    <x v="214"/>
    <x v="73"/>
    <n v="279"/>
    <s v="unit"/>
    <n v="1"/>
    <n v="0"/>
    <n v="0"/>
    <n v="279"/>
    <m/>
    <x v="269"/>
    <x v="0"/>
    <s v="Northern Apple Jaxx Live Rosin 1g_extract_inhaled_labelled_WT"/>
    <n v="212"/>
  </r>
  <r>
    <n v="675"/>
    <n v="0"/>
    <x v="638"/>
    <x v="0"/>
    <s v="T142EX"/>
    <s v="NA"/>
    <s v="T142EXNA"/>
    <s v="extract_ingested_labelled_WT"/>
    <x v="164"/>
    <x v="215"/>
    <x v="125"/>
    <n v="126"/>
    <s v="unit"/>
    <n v="1"/>
    <n v="0"/>
    <n v="0"/>
    <n v="126"/>
    <m/>
    <x v="269"/>
    <x v="0"/>
    <s v="God's Space Needle Oil 27.6g_extract_ingested_labelled_WT"/>
    <n v="213"/>
  </r>
  <r>
    <n v="676"/>
    <n v="0"/>
    <x v="639"/>
    <x v="0"/>
    <s v="T143EX"/>
    <s v="NA"/>
    <s v="T143EXNA"/>
    <s v="extract_inhaled_labelled_WT"/>
    <x v="165"/>
    <x v="216"/>
    <x v="126"/>
    <n v="123"/>
    <s v="unit"/>
    <n v="1"/>
    <n v="0"/>
    <n v="0"/>
    <n v="123"/>
    <m/>
    <x v="269"/>
    <x v="0"/>
    <s v="The live duo Mamba No.5/4sum Live Rosin 1g_extract_inhaled_labelled_WT"/>
    <n v="214"/>
  </r>
  <r>
    <n v="678"/>
    <n v="0"/>
    <x v="640"/>
    <x v="0"/>
    <s v="T064DF"/>
    <s v="B002IF"/>
    <s v="T064DFB002IF"/>
    <s v="infusedflower_bulk"/>
    <x v="153"/>
    <x v="217"/>
    <x v="2"/>
    <n v="1"/>
    <s v="bag"/>
    <n v="835"/>
    <n v="865"/>
    <n v="30"/>
    <n v="835"/>
    <m/>
    <x v="270"/>
    <x v="1"/>
    <s v="Animal Mint dried flower_infusedflower_bulk"/>
    <n v="215"/>
  </r>
  <r>
    <n v="679"/>
    <n v="0"/>
    <x v="641"/>
    <x v="0"/>
    <s v="T064DF"/>
    <s v="B003IF"/>
    <s v="T064DFB003IF"/>
    <s v="infusedflower_bulk"/>
    <x v="153"/>
    <x v="217"/>
    <x v="2"/>
    <n v="1"/>
    <s v="bag"/>
    <n v="899"/>
    <n v="930"/>
    <n v="31"/>
    <n v="899"/>
    <m/>
    <x v="270"/>
    <x v="1"/>
    <s v="Animal Mint dried flower_infusedflower_bulk"/>
    <n v="215"/>
  </r>
  <r>
    <n v="680"/>
    <n v="0"/>
    <x v="642"/>
    <x v="0"/>
    <s v="T065DF"/>
    <s v="B101DF"/>
    <s v="T065DFB101DF"/>
    <s v="driedflower_bulk"/>
    <x v="166"/>
    <x v="218"/>
    <x v="2"/>
    <n v="1"/>
    <s v="bag"/>
    <n v="587.5"/>
    <n v="620"/>
    <n v="32.5"/>
    <n v="587.5"/>
    <m/>
    <x v="270"/>
    <x v="1"/>
    <s v="Gastro Pop dried flower_driedflower_bulk"/>
    <n v="216"/>
  </r>
  <r>
    <n v="681"/>
    <n v="0"/>
    <x v="643"/>
    <x v="0"/>
    <s v="T065DF"/>
    <s v="B102DF"/>
    <s v="T065DFB102DF"/>
    <s v="driedflower_bulk"/>
    <x v="166"/>
    <x v="218"/>
    <x v="2"/>
    <n v="1"/>
    <s v="bag"/>
    <n v="592.29999999999995"/>
    <n v="625"/>
    <n v="32.700000000000003"/>
    <n v="592.29999999999995"/>
    <m/>
    <x v="270"/>
    <x v="1"/>
    <s v="Gastro Pop dried flower_driedflower_bulk"/>
    <n v="216"/>
  </r>
  <r>
    <n v="682"/>
    <n v="0"/>
    <x v="644"/>
    <x v="0"/>
    <s v="T065DF"/>
    <s v="B103DF"/>
    <s v="T065DFB103DF"/>
    <s v="driedflower_bulk"/>
    <x v="166"/>
    <x v="218"/>
    <x v="2"/>
    <n v="1"/>
    <s v="bag"/>
    <n v="592.5"/>
    <n v="625"/>
    <n v="32.5"/>
    <n v="592.5"/>
    <m/>
    <x v="270"/>
    <x v="1"/>
    <s v="Gastro Pop dried flower_driedflower_bulk"/>
    <n v="216"/>
  </r>
  <r>
    <n v="684"/>
    <n v="0"/>
    <x v="645"/>
    <x v="0"/>
    <s v="T065DF"/>
    <s v="B105DF"/>
    <s v="T065DFB105DF"/>
    <s v="driedflower_bulk"/>
    <x v="166"/>
    <x v="218"/>
    <x v="2"/>
    <n v="1"/>
    <s v="bag"/>
    <n v="627.5"/>
    <n v="660"/>
    <n v="32.5"/>
    <n v="627.5"/>
    <s v="SMALL FLOWER"/>
    <x v="270"/>
    <x v="1"/>
    <s v="Gastro Pop dried flower_driedflower_bulk"/>
    <n v="216"/>
  </r>
  <r>
    <n v="685"/>
    <n v="0"/>
    <x v="646"/>
    <x v="0"/>
    <s v="T065DF"/>
    <s v="B106DF"/>
    <s v="T065DFB106DF"/>
    <s v="driedflower_bulk"/>
    <x v="166"/>
    <x v="218"/>
    <x v="2"/>
    <n v="1"/>
    <s v="bag"/>
    <n v="607.5"/>
    <n v="640"/>
    <n v="32.5"/>
    <n v="607.5"/>
    <m/>
    <x v="270"/>
    <x v="1"/>
    <s v="Gastro Pop dried flower_driedflower_bulk"/>
    <n v="216"/>
  </r>
  <r>
    <n v="686"/>
    <n v="0"/>
    <x v="647"/>
    <x v="0"/>
    <s v="T065DF"/>
    <s v="B107DF"/>
    <s v="T065DFB107DF"/>
    <s v="driedflower_bulk"/>
    <x v="166"/>
    <x v="218"/>
    <x v="2"/>
    <n v="1"/>
    <s v="bag"/>
    <n v="497.5"/>
    <n v="530"/>
    <n v="32.5"/>
    <n v="497.5"/>
    <m/>
    <x v="270"/>
    <x v="1"/>
    <s v="Gastro Pop dried flower_driedflower_bulk"/>
    <n v="216"/>
  </r>
  <r>
    <n v="687"/>
    <n v="0"/>
    <x v="648"/>
    <x v="0"/>
    <s v="T065DF"/>
    <s v="B108DF"/>
    <s v="T065DFB108DF"/>
    <s v="driedflower_bulk"/>
    <x v="166"/>
    <x v="218"/>
    <x v="2"/>
    <n v="1"/>
    <s v="bag"/>
    <n v="697.5"/>
    <n v="730"/>
    <n v="32.5"/>
    <n v="697.5"/>
    <m/>
    <x v="270"/>
    <x v="1"/>
    <s v="Gastro Pop dried flower_driedflower_bulk"/>
    <n v="216"/>
  </r>
  <r>
    <n v="688"/>
    <n v="0"/>
    <x v="649"/>
    <x v="0"/>
    <s v="T065DF"/>
    <s v="B109DF"/>
    <s v="T065DFB109DF"/>
    <s v="driedflower_bulk"/>
    <x v="166"/>
    <x v="218"/>
    <x v="2"/>
    <n v="1"/>
    <s v="bag"/>
    <n v="612.5"/>
    <n v="645"/>
    <n v="32.5"/>
    <n v="612.5"/>
    <m/>
    <x v="270"/>
    <x v="1"/>
    <s v="Gastro Pop dried flower_driedflower_bulk"/>
    <n v="216"/>
  </r>
  <r>
    <n v="689"/>
    <n v="0"/>
    <x v="650"/>
    <x v="0"/>
    <s v="T065DF"/>
    <s v="B110DF"/>
    <s v="T065DFB110DF"/>
    <s v="driedflower_bulk"/>
    <x v="166"/>
    <x v="218"/>
    <x v="2"/>
    <n v="1"/>
    <s v="bag"/>
    <n v="253.25"/>
    <n v="280"/>
    <n v="26.75"/>
    <n v="253.25"/>
    <m/>
    <x v="270"/>
    <x v="1"/>
    <s v="Gastro Pop dried flower_driedflower_bulk"/>
    <n v="216"/>
  </r>
  <r>
    <n v="690"/>
    <n v="0"/>
    <x v="651"/>
    <x v="0"/>
    <s v="T065DF"/>
    <s v="B111DF"/>
    <s v="T065DFB111DF"/>
    <s v="driedflower_bulk"/>
    <x v="166"/>
    <x v="218"/>
    <x v="2"/>
    <n v="1"/>
    <s v="bag"/>
    <n v="597.5"/>
    <n v="630"/>
    <n v="32.5"/>
    <n v="597.5"/>
    <m/>
    <x v="270"/>
    <x v="1"/>
    <s v="Gastro Pop dried flower_driedflower_bulk"/>
    <n v="216"/>
  </r>
  <r>
    <n v="691"/>
    <n v="0"/>
    <x v="652"/>
    <x v="0"/>
    <s v="T065DF"/>
    <s v="B112DF"/>
    <s v="T065DFB112DF"/>
    <s v="driedflower_bulk"/>
    <x v="166"/>
    <x v="218"/>
    <x v="2"/>
    <n v="1"/>
    <s v="bag"/>
    <n v="497.5"/>
    <n v="530"/>
    <n v="32.5"/>
    <n v="497.5"/>
    <m/>
    <x v="270"/>
    <x v="1"/>
    <s v="Gastro Pop dried flower_driedflower_bulk"/>
    <n v="216"/>
  </r>
  <r>
    <n v="692"/>
    <n v="0"/>
    <x v="653"/>
    <x v="0"/>
    <s v="T065DF"/>
    <s v="B113DF"/>
    <s v="T065DFB113DF"/>
    <s v="driedflower_bulk"/>
    <x v="166"/>
    <x v="218"/>
    <x v="2"/>
    <n v="1"/>
    <s v="bag"/>
    <n v="202.5"/>
    <n v="235"/>
    <n v="32.5"/>
    <n v="202.5"/>
    <m/>
    <x v="270"/>
    <x v="1"/>
    <s v="Gastro Pop dried flower_driedflower_bulk"/>
    <n v="216"/>
  </r>
  <r>
    <n v="693"/>
    <n v="0"/>
    <x v="654"/>
    <x v="0"/>
    <s v="T065DF"/>
    <s v="B114DF"/>
    <s v="T065DFB114DF"/>
    <s v="driedflower_bulk"/>
    <x v="166"/>
    <x v="218"/>
    <x v="2"/>
    <n v="1"/>
    <s v="bag"/>
    <n v="497.5"/>
    <n v="530"/>
    <n v="32.5"/>
    <n v="497.5"/>
    <m/>
    <x v="270"/>
    <x v="1"/>
    <s v="Gastro Pop dried flower_driedflower_bulk"/>
    <n v="216"/>
  </r>
  <r>
    <n v="694"/>
    <n v="0"/>
    <x v="655"/>
    <x v="0"/>
    <s v="T035PR"/>
    <s v="NA"/>
    <s v="T035PRNA"/>
    <s v="infusedpreroll_labelled"/>
    <x v="167"/>
    <x v="219"/>
    <x v="127"/>
    <n v="11"/>
    <s v="unit"/>
    <n v="1.5"/>
    <n v="530"/>
    <n v="32.5"/>
    <n v="16.5"/>
    <m/>
    <x v="271"/>
    <x v="0"/>
    <s v="November Rain Infused blueberry preroll 3*0.5g_infusedpreroll_labelled"/>
    <n v="217"/>
  </r>
  <r>
    <n v="572"/>
    <n v="0"/>
    <x v="656"/>
    <x v="0"/>
    <s v="T056DF"/>
    <s v="NA"/>
    <s v="T056DFNA"/>
    <s v="driedflower_labelled"/>
    <x v="141"/>
    <x v="181"/>
    <x v="105"/>
    <n v="25"/>
    <s v="unit"/>
    <n v="7"/>
    <n v="0"/>
    <n v="0"/>
    <n v="175"/>
    <m/>
    <x v="272"/>
    <x v="0"/>
    <s v="Midnight Kruntz Dried Flower 7g_driedflower_labelled"/>
    <n v="173"/>
  </r>
  <r>
    <n v="696"/>
    <n v="0"/>
    <x v="657"/>
    <x v="0"/>
    <s v="P004DF"/>
    <s v="NA"/>
    <s v="P004DFNA"/>
    <s v="driedflower_bulk"/>
    <x v="153"/>
    <x v="203"/>
    <x v="2"/>
    <n v="1"/>
    <s v="pail"/>
    <n v="800"/>
    <n v="2730"/>
    <n v="1930"/>
    <n v="800"/>
    <m/>
    <x v="273"/>
    <x v="1"/>
    <s v="Animal Mint dried flower_driedflower_bulk"/>
    <n v="201"/>
  </r>
  <r>
    <n v="697"/>
    <n v="0"/>
    <x v="658"/>
    <x v="0"/>
    <s v="T017TP"/>
    <s v="NA"/>
    <s v="T017TPNA"/>
    <s v="topical_labelled"/>
    <x v="66"/>
    <x v="220"/>
    <x v="68"/>
    <n v="12"/>
    <s v="unit"/>
    <n v="88"/>
    <n v="0"/>
    <n v="0"/>
    <n v="1056"/>
    <m/>
    <x v="274"/>
    <x v="0"/>
    <s v="Extra Strength Roll-on 88g_topical_labelled"/>
    <n v="31"/>
  </r>
  <r>
    <n v="698"/>
    <n v="0"/>
    <x v="659"/>
    <x v="0"/>
    <s v="T145EX"/>
    <s v="NA"/>
    <s v="T145EXNA"/>
    <s v="extract_ingested_packaged_WT"/>
    <x v="168"/>
    <x v="221"/>
    <x v="128"/>
    <n v="233"/>
    <s v="unit"/>
    <n v="27.6"/>
    <n v="0"/>
    <n v="0"/>
    <n v="6430.8"/>
    <m/>
    <x v="275"/>
    <x v="0"/>
    <s v="Synergy Oil 27.6g_extract_ingested_packaged_WT"/>
    <n v="220"/>
  </r>
  <r>
    <n v="699"/>
    <n v="0"/>
    <x v="660"/>
    <x v="0"/>
    <s v="T146EX"/>
    <s v="NA"/>
    <s v="T146EXNA"/>
    <s v="extract_ingested_packaged_WT"/>
    <x v="168"/>
    <x v="221"/>
    <x v="128"/>
    <n v="230"/>
    <s v="unit"/>
    <n v="27.6"/>
    <n v="0"/>
    <n v="0"/>
    <n v="6348"/>
    <m/>
    <x v="275"/>
    <x v="0"/>
    <s v="Synergy Oil 27.6g_extract_ingested_packaged_WT"/>
    <n v="220"/>
  </r>
  <r>
    <n v="700"/>
    <n v="0"/>
    <x v="661"/>
    <x v="0"/>
    <s v="T147EX"/>
    <s v="NA"/>
    <s v="T147EXNA"/>
    <s v="extract_inhaled_packaged_WT"/>
    <x v="169"/>
    <x v="222"/>
    <x v="2"/>
    <n v="351"/>
    <s v="unit"/>
    <n v="1"/>
    <n v="0"/>
    <n v="0"/>
    <n v="351"/>
    <m/>
    <x v="275"/>
    <x v="0"/>
    <s v="Blueberry Punch Bubble Hash 1g_extract_inhaled_packaged_WT"/>
    <n v="221"/>
  </r>
  <r>
    <n v="701"/>
    <n v="0"/>
    <x v="662"/>
    <x v="0"/>
    <s v="T147EX"/>
    <s v="NA"/>
    <s v="T147EXNA"/>
    <s v="extract_inhaled_labelled_WT"/>
    <x v="169"/>
    <x v="222"/>
    <x v="129"/>
    <n v="42"/>
    <s v="unit"/>
    <n v="1"/>
    <n v="0"/>
    <n v="0"/>
    <n v="42"/>
    <m/>
    <x v="275"/>
    <x v="0"/>
    <s v="Blueberry Punch Bubble Hash 1g_extract_inhaled_labelled_WT"/>
    <n v="222"/>
  </r>
  <r>
    <n v="702"/>
    <n v="0"/>
    <x v="663"/>
    <x v="0"/>
    <s v="NA"/>
    <s v="NA"/>
    <s v="NANA"/>
    <s v="extract_inhaled_labelled_WT"/>
    <x v="170"/>
    <x v="223"/>
    <x v="129"/>
    <n v="408"/>
    <s v="unit"/>
    <n v="1"/>
    <n v="0"/>
    <n v="0"/>
    <n v="408"/>
    <m/>
    <x v="275"/>
    <x v="0"/>
    <s v="God's Green Trip Bubble Hash 1g_extract_inhaled_labelled_WT"/>
    <n v="223"/>
  </r>
  <r>
    <n v="703"/>
    <n v="0"/>
    <x v="664"/>
    <x v="0"/>
    <s v="NA"/>
    <s v="NA"/>
    <s v="NANA"/>
    <s v="extract_inhaled_packaged_WT"/>
    <x v="158"/>
    <x v="224"/>
    <x v="2"/>
    <n v="290"/>
    <s v="unit"/>
    <n v="1"/>
    <n v="0"/>
    <n v="0"/>
    <n v="290"/>
    <m/>
    <x v="275"/>
    <x v="0"/>
    <s v="Lillooet Gold Bubble Hash 1g_extract_inhaled_packaged_WT"/>
    <n v="242"/>
  </r>
  <r>
    <n v="704"/>
    <n v="0"/>
    <x v="665"/>
    <x v="0"/>
    <s v="NA"/>
    <s v="NA"/>
    <s v="NANA"/>
    <s v="extract_inhaled_packaged_WT"/>
    <x v="171"/>
    <x v="225"/>
    <x v="129"/>
    <n v="211"/>
    <s v="unit"/>
    <n v="1"/>
    <n v="0"/>
    <n v="0"/>
    <n v="211"/>
    <m/>
    <x v="275"/>
    <x v="0"/>
    <s v="Desert Haze Pressed Hash 1g_extract_inhaled_packaged_WT"/>
    <n v="243"/>
  </r>
  <r>
    <n v="705"/>
    <n v="0"/>
    <x v="666"/>
    <x v="0"/>
    <s v="NA"/>
    <s v="NA"/>
    <s v="NANA"/>
    <s v="extract_inhaled_labelled_WT"/>
    <x v="172"/>
    <x v="226"/>
    <x v="130"/>
    <n v="733"/>
    <s v="unit"/>
    <n v="1"/>
    <n v="0"/>
    <n v="0"/>
    <n v="733"/>
    <m/>
    <x v="275"/>
    <x v="0"/>
    <s v="Super M Bubble Hash 1g_extract_inhaled_labelled_WT"/>
    <n v="225"/>
  </r>
  <r>
    <n v="706"/>
    <n v="0"/>
    <x v="667"/>
    <x v="0"/>
    <s v="NA"/>
    <s v="NA"/>
    <s v="NANA"/>
    <s v="driedflower_labelled_BC"/>
    <x v="173"/>
    <x v="227"/>
    <x v="131"/>
    <n v="216"/>
    <s v="unit"/>
    <n v="3.5"/>
    <n v="0"/>
    <n v="0"/>
    <n v="756"/>
    <m/>
    <x v="275"/>
    <x v="0"/>
    <s v="Black Triangle 3.5g_driedflower_labelled_BC"/>
    <n v="226"/>
  </r>
  <r>
    <n v="707"/>
    <n v="0"/>
    <x v="668"/>
    <x v="0"/>
    <s v="T148EX"/>
    <s v="NA"/>
    <s v="T148EXNA"/>
    <s v="extract_ingested_packaged_WT"/>
    <x v="168"/>
    <x v="221"/>
    <x v="2"/>
    <n v="71"/>
    <s v="unit"/>
    <n v="27.6"/>
    <n v="0"/>
    <n v="0"/>
    <n v="1959.6000000000001"/>
    <m/>
    <x v="275"/>
    <x v="0"/>
    <s v="Synergy Oil 27.6g_extract_ingested_packaged_WT"/>
    <n v="220"/>
  </r>
  <r>
    <n v="708"/>
    <n v="0"/>
    <x v="669"/>
    <x v="0"/>
    <s v="NA"/>
    <s v="NA"/>
    <s v="NANA"/>
    <s v="extract_ingested_labelled_BC_WT"/>
    <x v="174"/>
    <x v="228"/>
    <x v="132"/>
    <n v="12"/>
    <s v="unit"/>
    <n v="27.6"/>
    <n v="0"/>
    <n v="0"/>
    <n v="331.20000000000005"/>
    <m/>
    <x v="275"/>
    <x v="0"/>
    <s v="Zen Oil 27.6g_extract_ingested_labelled_BC_WT"/>
    <n v="227"/>
  </r>
  <r>
    <n v="709"/>
    <n v="0"/>
    <x v="670"/>
    <x v="1"/>
    <s v="NA"/>
    <s v="NA"/>
    <s v="NANA"/>
    <s v="extract_ingested_labelled"/>
    <x v="93"/>
    <x v="75"/>
    <x v="17"/>
    <n v="12"/>
    <s v="unit"/>
    <n v="27.3"/>
    <n v="0"/>
    <n v="0"/>
    <n v="327.60000000000002"/>
    <m/>
    <x v="275"/>
    <x v="0"/>
    <s v="CBD Bacon Oil 10 mg 27.3g_extract_ingested_labelled"/>
    <n v="17"/>
  </r>
  <r>
    <n v="710"/>
    <n v="0"/>
    <x v="671"/>
    <x v="0"/>
    <s v="NA"/>
    <s v="NA"/>
    <s v="NANA"/>
    <s v="extract_inhaled_labelled_WT"/>
    <x v="175"/>
    <x v="229"/>
    <x v="133"/>
    <n v="3"/>
    <s v="unit"/>
    <n v="27.3"/>
    <n v="0"/>
    <n v="0"/>
    <n v="81.900000000000006"/>
    <m/>
    <x v="275"/>
    <x v="0"/>
    <s v="Super Sativa Oil 27.6g_extract_inhaled_labelled_WT"/>
    <n v="228"/>
  </r>
  <r>
    <n v="711"/>
    <n v="0"/>
    <x v="672"/>
    <x v="0"/>
    <s v="NA"/>
    <s v="NA"/>
    <s v="NANA"/>
    <s v="extract_ingested_packaged_WT"/>
    <x v="168"/>
    <x v="221"/>
    <x v="128"/>
    <n v="37"/>
    <s v="unit"/>
    <n v="27.6"/>
    <n v="0"/>
    <n v="0"/>
    <n v="1021.2"/>
    <m/>
    <x v="275"/>
    <x v="0"/>
    <s v="Synergy Oil 27.6g_extract_ingested_packaged_WT"/>
    <n v="220"/>
  </r>
  <r>
    <n v="712"/>
    <n v="0"/>
    <x v="673"/>
    <x v="0"/>
    <s v="T152EX"/>
    <s v="NA"/>
    <s v="T152EXNA"/>
    <s v="extract_inhaled_labelled"/>
    <x v="176"/>
    <x v="230"/>
    <x v="134"/>
    <n v="170"/>
    <s v="unit"/>
    <n v="1"/>
    <n v="0"/>
    <n v="0"/>
    <n v="170"/>
    <m/>
    <x v="275"/>
    <x v="0"/>
    <s v="Island KTL Live Resin 1g_extract_inhaled_labelled"/>
    <n v="229"/>
  </r>
  <r>
    <n v="713"/>
    <n v="0"/>
    <x v="674"/>
    <x v="0"/>
    <s v="NA"/>
    <s v="NA"/>
    <s v="NANA"/>
    <s v="extract_inhaled_bulk_WT"/>
    <x v="177"/>
    <x v="231"/>
    <x v="2"/>
    <n v="1"/>
    <s v="pail"/>
    <n v="215"/>
    <n v="1170"/>
    <n v="955"/>
    <n v="215"/>
    <m/>
    <x v="276"/>
    <x v="1"/>
    <s v="Blue Bandita Live Rosin_extract_inhaled_bulk_WT"/>
    <n v="230"/>
  </r>
  <r>
    <n v="714"/>
    <n v="0"/>
    <x v="675"/>
    <x v="0"/>
    <s v="NA"/>
    <s v="NA"/>
    <s v="NANA"/>
    <s v="extract_inhaled_bulk_WT"/>
    <x v="178"/>
    <x v="232"/>
    <x v="2"/>
    <n v="1"/>
    <s v="pail"/>
    <n v="217"/>
    <n v="1175"/>
    <n v="958"/>
    <n v="217"/>
    <m/>
    <x v="276"/>
    <x v="1"/>
    <s v="Northern Apple Jaxx Live Rosin_extract_inhaled_bulk_WT"/>
    <n v="231"/>
  </r>
  <r>
    <n v="715"/>
    <n v="0"/>
    <x v="676"/>
    <x v="0"/>
    <s v="NA"/>
    <s v="NA"/>
    <s v="NANA"/>
    <s v="extract_inhaled_bulk_WT"/>
    <x v="177"/>
    <x v="233"/>
    <x v="2"/>
    <n v="1"/>
    <s v="pail"/>
    <n v="1782.1"/>
    <n v="2735"/>
    <n v="952.9"/>
    <n v="1782.1"/>
    <m/>
    <x v="276"/>
    <x v="1"/>
    <s v="Blue Bandita Live Rosin_extract_inhaled_bulk_WT"/>
    <n v="230"/>
  </r>
  <r>
    <n v="716"/>
    <n v="0"/>
    <x v="677"/>
    <x v="0"/>
    <s v="NA"/>
    <s v="NA"/>
    <s v="NANA"/>
    <s v="extract_ingested_bulk_WT"/>
    <x v="179"/>
    <x v="234"/>
    <x v="2"/>
    <n v="1"/>
    <s v="pail"/>
    <n v="5754"/>
    <n v="7845"/>
    <n v="2091"/>
    <n v="5754"/>
    <m/>
    <x v="276"/>
    <x v="1"/>
    <s v="Zen Oil_extract_ingested_bulk_WT"/>
    <n v="232"/>
  </r>
  <r>
    <n v="717"/>
    <n v="0"/>
    <x v="678"/>
    <x v="0"/>
    <s v="NA"/>
    <s v="NA"/>
    <s v="NANA"/>
    <s v="extract_ingested_bulk_WT"/>
    <x v="179"/>
    <x v="234"/>
    <x v="2"/>
    <n v="1"/>
    <s v="pail"/>
    <n v="15014"/>
    <n v="17450"/>
    <n v="2436"/>
    <n v="15014"/>
    <m/>
    <x v="276"/>
    <x v="1"/>
    <s v="Zen Oil_extract_ingested_bulk_WT"/>
    <n v="232"/>
  </r>
  <r>
    <n v="718"/>
    <n v="0"/>
    <x v="679"/>
    <x v="0"/>
    <s v="NA"/>
    <s v="NA"/>
    <s v="NANA"/>
    <s v="extract_ingested_bulk_WT"/>
    <x v="179"/>
    <x v="234"/>
    <x v="2"/>
    <n v="1"/>
    <s v="pail"/>
    <n v="3696"/>
    <n v="5640"/>
    <n v="1944"/>
    <n v="3696"/>
    <m/>
    <x v="276"/>
    <x v="1"/>
    <s v="Zen Oil_extract_ingested_bulk_WT"/>
    <n v="232"/>
  </r>
  <r>
    <n v="719"/>
    <n v="0"/>
    <x v="680"/>
    <x v="0"/>
    <s v="NA"/>
    <s v="NA"/>
    <s v="NANA"/>
    <s v="extract_inhaled_bulk_WT"/>
    <x v="180"/>
    <x v="235"/>
    <x v="2"/>
    <n v="1"/>
    <s v="pail"/>
    <n v="10875"/>
    <n v="12845"/>
    <n v="1970"/>
    <n v="10875"/>
    <m/>
    <x v="276"/>
    <x v="1"/>
    <s v="Super Sativa Oil_extract_inhaled_bulk_WT"/>
    <n v="233"/>
  </r>
  <r>
    <n v="720"/>
    <n v="0"/>
    <x v="681"/>
    <x v="0"/>
    <s v="NA"/>
    <s v="NA"/>
    <s v="NANA"/>
    <s v="extract_inhaled_bulk_WT"/>
    <x v="180"/>
    <x v="235"/>
    <x v="2"/>
    <n v="1"/>
    <s v="pail"/>
    <n v="18890"/>
    <n v="20310"/>
    <n v="1420"/>
    <n v="18890"/>
    <m/>
    <x v="276"/>
    <x v="1"/>
    <s v="Super Sativa Oil_extract_inhaled_bulk_WT"/>
    <n v="233"/>
  </r>
  <r>
    <n v="721"/>
    <n v="0"/>
    <x v="682"/>
    <x v="0"/>
    <s v="NA"/>
    <s v="NA"/>
    <s v="NANA"/>
    <s v="extract_inhaled_packaged_WT"/>
    <x v="174"/>
    <x v="236"/>
    <x v="2"/>
    <n v="71"/>
    <s v="unit"/>
    <n v="27.6"/>
    <n v="20310"/>
    <n v="1420"/>
    <n v="1959.6000000000001"/>
    <m/>
    <x v="276"/>
    <x v="1"/>
    <s v="Zen Oil 27.6g_extract_inhaled_packaged_WT"/>
    <n v="251"/>
  </r>
  <r>
    <n v="723"/>
    <n v="0"/>
    <x v="683"/>
    <x v="0"/>
    <s v="NA"/>
    <s v="NA"/>
    <s v="NANA"/>
    <s v="extract_ingested_bulk_WT"/>
    <x v="179"/>
    <x v="237"/>
    <x v="135"/>
    <n v="1"/>
    <s v="bottle"/>
    <n v="323.8"/>
    <n v="825"/>
    <n v="501.2"/>
    <n v="323.8"/>
    <m/>
    <x v="276"/>
    <x v="1"/>
    <s v="Zen Oil_extract_ingested_bulk_WT"/>
    <n v="232"/>
  </r>
  <r>
    <n v="724"/>
    <n v="0"/>
    <x v="684"/>
    <x v="0"/>
    <s v="NA"/>
    <s v="NA"/>
    <s v="NANA"/>
    <s v="extract_inhaled_labelled_WT"/>
    <x v="174"/>
    <x v="236"/>
    <x v="136"/>
    <n v="17"/>
    <s v="unit"/>
    <n v="27.6"/>
    <n v="0"/>
    <n v="0"/>
    <n v="469.20000000000005"/>
    <m/>
    <x v="277"/>
    <x v="0"/>
    <s v="Zen Oil 27.6g_extract_inhaled_labelled_WT"/>
    <n v="252"/>
  </r>
  <r>
    <n v="725"/>
    <n v="0"/>
    <x v="685"/>
    <x v="0"/>
    <s v="NA"/>
    <s v="NA"/>
    <s v="NANA"/>
    <s v="extract_inhaled_cased_AB_RTV_WT"/>
    <x v="181"/>
    <x v="216"/>
    <x v="137"/>
    <n v="28"/>
    <s v="case"/>
    <n v="6"/>
    <n v="0"/>
    <n v="0"/>
    <n v="168"/>
    <m/>
    <x v="277"/>
    <x v="0"/>
    <s v="LIVE DUO 1g_extract_inhaled_cased_AB_RTV_WT"/>
    <n v="236"/>
  </r>
  <r>
    <n v="726"/>
    <n v="0"/>
    <x v="686"/>
    <x v="0"/>
    <s v="NA"/>
    <s v="NA"/>
    <s v="NANA"/>
    <s v="extract_inhaled_cased_ON_RTV_WT"/>
    <x v="182"/>
    <x v="238"/>
    <x v="138"/>
    <n v="48"/>
    <s v="case"/>
    <n v="18"/>
    <n v="0"/>
    <n v="0"/>
    <n v="864"/>
    <m/>
    <x v="277"/>
    <x v="0"/>
    <s v="The Fire Pack 1.5g_extract_inhaled_cased_ON_RTV_WT"/>
    <n v="237"/>
  </r>
  <r>
    <n v="727"/>
    <n v="0"/>
    <x v="687"/>
    <x v="0"/>
    <s v="NA"/>
    <s v="NA"/>
    <s v="NANA"/>
    <s v="extract_ingested_cased_ON_RTV_WT"/>
    <x v="164"/>
    <x v="215"/>
    <x v="125"/>
    <n v="6"/>
    <s v="case"/>
    <n v="331.20000000000005"/>
    <n v="0"/>
    <n v="0"/>
    <n v="1987.2000000000003"/>
    <m/>
    <x v="277"/>
    <x v="0"/>
    <s v="God's Space Needle Oil 27.6g_extract_ingested_cased_ON_RTV_WT"/>
    <n v="238"/>
  </r>
  <r>
    <n v="728"/>
    <n v="0"/>
    <x v="688"/>
    <x v="0"/>
    <s v="NA"/>
    <s v="NA"/>
    <s v="NANA"/>
    <s v="topical_cased_MB_RTV"/>
    <x v="66"/>
    <x v="64"/>
    <x v="45"/>
    <n v="4"/>
    <s v="case"/>
    <n v="1056"/>
    <n v="0"/>
    <n v="0"/>
    <n v="4224"/>
    <m/>
    <x v="277"/>
    <x v="0"/>
    <s v="Extra Strength Roll-on 88g_topical_cased_MB_RTV"/>
    <n v="239"/>
  </r>
  <r>
    <n v="729"/>
    <n v="0"/>
    <x v="689"/>
    <x v="0"/>
    <s v="NA"/>
    <s v="NA"/>
    <s v="NANA"/>
    <s v="topical_cased_SK_RTV"/>
    <x v="66"/>
    <x v="220"/>
    <x v="139"/>
    <n v="3"/>
    <s v="case"/>
    <n v="1056"/>
    <n v="0"/>
    <n v="0"/>
    <n v="3168"/>
    <m/>
    <x v="277"/>
    <x v="0"/>
    <s v="Extra Strength Roll-on 88g_topical_cased_SK_RTV"/>
    <n v="240"/>
  </r>
  <r>
    <n v="730"/>
    <n v="0"/>
    <x v="690"/>
    <x v="0"/>
    <s v="NA"/>
    <s v="NA"/>
    <s v="NANA"/>
    <s v="topical_cased_SK_RTV"/>
    <x v="66"/>
    <x v="220"/>
    <x v="139"/>
    <n v="1"/>
    <s v="case"/>
    <n v="1056"/>
    <n v="0"/>
    <n v="0"/>
    <n v="1056"/>
    <m/>
    <x v="277"/>
    <x v="0"/>
    <s v="Extra Strength Roll-on 88g_topical_cased_SK_RTV"/>
    <n v="240"/>
  </r>
  <r>
    <n v="731"/>
    <n v="0"/>
    <x v="691"/>
    <x v="0"/>
    <s v="NA"/>
    <s v="NA"/>
    <s v="NANA"/>
    <s v="topical_cased_ON_RTV"/>
    <x v="66"/>
    <x v="64"/>
    <x v="45"/>
    <n v="7"/>
    <s v="case"/>
    <n v="1056"/>
    <n v="0"/>
    <n v="0"/>
    <n v="7392"/>
    <m/>
    <x v="277"/>
    <x v="0"/>
    <s v="Extra Strength Roll-on 88g_topical_cased_ON_RTV"/>
    <n v="241"/>
  </r>
  <r>
    <n v="732"/>
    <n v="0"/>
    <x v="692"/>
    <x v="0"/>
    <s v="NA"/>
    <s v="NA"/>
    <s v="NANA"/>
    <s v="topical_cased_MB_RTV"/>
    <x v="66"/>
    <x v="239"/>
    <x v="140"/>
    <n v="15"/>
    <s v="case"/>
    <n v="1056"/>
    <n v="0"/>
    <n v="0"/>
    <n v="15840"/>
    <m/>
    <x v="277"/>
    <x v="0"/>
    <s v="Extra Strength Roll-on 88g_topical_cased_MB_RTV"/>
    <n v="239"/>
  </r>
  <r>
    <n v="4"/>
    <n v="0"/>
    <x v="693"/>
    <x v="0"/>
    <s v="T003MF"/>
    <s v="B001MFI"/>
    <s v="T003MFB001MFI"/>
    <s v="driedflower_milled_bulk"/>
    <x v="183"/>
    <x v="240"/>
    <x v="2"/>
    <n v="1"/>
    <s v="bag"/>
    <n v="475"/>
    <n v="575"/>
    <n v="100"/>
    <n v="475"/>
    <s v="Blood orange terpene "/>
    <x v="278"/>
    <x v="1"/>
    <s v="Infused milled flower_driedflower_milled_bulk"/>
    <n v="63"/>
  </r>
  <r>
    <n v="99"/>
    <n v="0"/>
    <x v="694"/>
    <x v="0"/>
    <s v="P012MF"/>
    <s v="NA"/>
    <s v="P012MFNA"/>
    <s v="driedflower_milled_bulk"/>
    <x v="34"/>
    <x v="34"/>
    <x v="2"/>
    <n v="1"/>
    <s v="pail"/>
    <n v="1563"/>
    <n v="3328"/>
    <n v="1765"/>
    <n v="1563"/>
    <m/>
    <x v="279"/>
    <x v="1"/>
    <s v="Chronic Mint milled flower_driedflower_milled_bulk"/>
    <n v="23"/>
  </r>
  <r>
    <n v="139"/>
    <n v="0"/>
    <x v="695"/>
    <x v="0"/>
    <s v="T025PR"/>
    <s v="NA"/>
    <s v="T025PRNA"/>
    <s v="preroll_labelled"/>
    <x v="184"/>
    <x v="241"/>
    <x v="107"/>
    <n v="12"/>
    <s v="unit"/>
    <n v="1"/>
    <n v="0"/>
    <n v="0"/>
    <n v="12"/>
    <m/>
    <x v="280"/>
    <x v="0"/>
    <s v="Gorilla Bomb preroll 3 x 0.5g_preroll_labelled"/>
    <n v="248"/>
  </r>
  <r>
    <n v="448"/>
    <n v="0"/>
    <x v="696"/>
    <x v="1"/>
    <s v="T086EX"/>
    <s v="NA"/>
    <s v="T086EXNA"/>
    <s v="extract_inhaled_labelled"/>
    <x v="107"/>
    <x v="144"/>
    <x v="86"/>
    <n v="5"/>
    <s v="unit"/>
    <n v="0.5"/>
    <n v="0"/>
    <n v="0"/>
    <n v="2.5"/>
    <m/>
    <x v="281"/>
    <x v="0"/>
    <s v="November Rain Vape Strawberry Drizzle 0.5g Hybrid_extract_inhaled_labelled"/>
    <n v="89"/>
  </r>
  <r>
    <n v="735"/>
    <n v="0"/>
    <x v="697"/>
    <x v="0"/>
    <s v="T061PR"/>
    <s v="NA"/>
    <s v="T061PRNA"/>
    <s v="preroll_labelled"/>
    <x v="185"/>
    <x v="242"/>
    <x v="141"/>
    <n v="252"/>
    <s v="unit"/>
    <n v="2"/>
    <n v="0"/>
    <n v="0"/>
    <n v="504"/>
    <m/>
    <x v="282"/>
    <x v="0"/>
    <s v="Animal Mint pre-roll 2 x 1g_preroll_labelled"/>
    <n v="265"/>
  </r>
  <r>
    <n v="733"/>
    <n v="0"/>
    <x v="698"/>
    <x v="0"/>
    <s v="NA"/>
    <s v="NA"/>
    <s v="NANA"/>
    <s v="extract_inhaled_labelled_WT"/>
    <x v="160"/>
    <x v="211"/>
    <x v="122"/>
    <n v="417"/>
    <s v="unit"/>
    <n v="1"/>
    <n v="0"/>
    <n v="0"/>
    <n v="417"/>
    <m/>
    <x v="283"/>
    <x v="0"/>
    <s v="Tundra Bubble Hash 1g_extract_inhaled_labelled_WT"/>
    <n v="209"/>
  </r>
  <r>
    <n v="625"/>
    <n v="0"/>
    <x v="699"/>
    <x v="1"/>
    <s v="T119EX"/>
    <s v="NA"/>
    <s v="T119EXNA"/>
    <s v="extract_inhaled_labelled"/>
    <x v="186"/>
    <x v="243"/>
    <x v="142"/>
    <n v="10"/>
    <s v="unit"/>
    <n v="1"/>
    <n v="0"/>
    <n v="0"/>
    <n v="10"/>
    <m/>
    <x v="284"/>
    <x v="0"/>
    <s v="November Rain White Widow Hybrid Full Spectrum vape 1g_extract_inhaled_labelled"/>
    <n v="191"/>
  </r>
  <r>
    <n v="536"/>
    <n v="0"/>
    <x v="700"/>
    <x v="0"/>
    <s v="NA"/>
    <s v="NA"/>
    <s v="NANA"/>
    <s v="driedflower_bulk_BURB"/>
    <x v="137"/>
    <x v="167"/>
    <x v="2"/>
    <n v="1"/>
    <s v="bag"/>
    <n v="830.5"/>
    <n v="890.5"/>
    <n v="60"/>
    <n v="830.5"/>
    <s v="BGD 001"/>
    <x v="285"/>
    <x v="1"/>
    <s v="Blue Gum Dried Flower Grade A_driedflower_bulk_BURB"/>
    <n v="177"/>
  </r>
  <r>
    <n v="543"/>
    <n v="0"/>
    <x v="701"/>
    <x v="0"/>
    <s v="NA"/>
    <s v="NA"/>
    <s v="NANA"/>
    <s v="driedflower_bulk_BURB"/>
    <x v="137"/>
    <x v="167"/>
    <x v="2"/>
    <n v="1"/>
    <s v="bag"/>
    <n v="555"/>
    <n v="615"/>
    <n v="60"/>
    <n v="555"/>
    <s v="BGD 001"/>
    <x v="286"/>
    <x v="1"/>
    <s v="Blue Gum Dried Flower Grade A_driedflower_bulk_BURB"/>
    <n v="177"/>
  </r>
  <r>
    <n v="737"/>
    <n v="1"/>
    <x v="702"/>
    <x v="0"/>
    <s v="T067DF"/>
    <s v="B01"/>
    <s v="T067DFB01"/>
    <s v="driedflower_bulk_JEN"/>
    <x v="187"/>
    <x v="244"/>
    <x v="2"/>
    <n v="1"/>
    <s v="bag"/>
    <n v="870"/>
    <n v="895"/>
    <n v="25"/>
    <n v="870"/>
    <m/>
    <x v="287"/>
    <x v="1"/>
    <s v="Pineapple Sour dried flower_driedflower_bulk_JEN"/>
    <n v="256"/>
  </r>
  <r>
    <n v="737"/>
    <n v="2"/>
    <x v="703"/>
    <x v="0"/>
    <s v="T067DF"/>
    <s v="B02"/>
    <s v="T067DFB02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37"/>
    <n v="3"/>
    <x v="704"/>
    <x v="1"/>
    <s v="T067DF"/>
    <s v="B03"/>
    <s v="T067DFB03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37"/>
    <n v="4"/>
    <x v="705"/>
    <x v="0"/>
    <s v="T067DF"/>
    <s v="B04"/>
    <s v="T067DFB04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37"/>
    <n v="5"/>
    <x v="706"/>
    <x v="0"/>
    <s v="T067DF"/>
    <s v="B05"/>
    <s v="T067DFB05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37"/>
    <n v="6"/>
    <x v="707"/>
    <x v="0"/>
    <s v="T067DF"/>
    <s v="B06"/>
    <s v="T067DFB06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37"/>
    <n v="7"/>
    <x v="708"/>
    <x v="0"/>
    <s v="T067DF"/>
    <s v="B07"/>
    <s v="T067DFB07"/>
    <s v="driedflower_bulk_JEN"/>
    <x v="187"/>
    <x v="244"/>
    <x v="2"/>
    <n v="1"/>
    <s v="bag"/>
    <n v="1000"/>
    <n v="1025"/>
    <n v="25"/>
    <n v="1000"/>
    <m/>
    <x v="287"/>
    <x v="1"/>
    <s v="Pineapple Sour dried flower_driedflower_bulk_JEN"/>
    <n v="256"/>
  </r>
  <r>
    <n v="740"/>
    <n v="1"/>
    <x v="709"/>
    <x v="0"/>
    <s v="NA"/>
    <s v="NA"/>
    <s v="RTV SECTION"/>
    <s v="topical_bulk"/>
    <x v="188"/>
    <x v="245"/>
    <x v="2"/>
    <n v="1"/>
    <s v="bag"/>
    <n v="384.5"/>
    <n v="384.5"/>
    <n v="0"/>
    <n v="384.5"/>
    <m/>
    <x v="288"/>
    <x v="1"/>
    <s v="NUDH bath salt _topical_bulk"/>
    <n v="259"/>
  </r>
  <r>
    <n v="458"/>
    <n v="1"/>
    <x v="710"/>
    <x v="0"/>
    <s v="T095EX"/>
    <s v="NA"/>
    <s v="T095EXNA"/>
    <s v="extract_ingested_cased_BC"/>
    <x v="67"/>
    <x v="65"/>
    <x v="100"/>
    <n v="3"/>
    <s v="case"/>
    <n v="600"/>
    <n v="0"/>
    <n v="0"/>
    <n v="1800"/>
    <m/>
    <x v="289"/>
    <x v="0"/>
    <s v="Pot Shot Citrus 151mg_extract_ingested_cased_BC"/>
    <n v="181"/>
  </r>
  <r>
    <n v="143"/>
    <n v="1"/>
    <x v="711"/>
    <x v="0"/>
    <s v="T073PR"/>
    <s v="NA"/>
    <s v="T073PRNA"/>
    <s v="preroll_labelled"/>
    <x v="43"/>
    <x v="246"/>
    <x v="141"/>
    <n v="26"/>
    <s v="unit"/>
    <n v="1.5"/>
    <n v="0"/>
    <n v="0"/>
    <n v="39"/>
    <m/>
    <x v="290"/>
    <x v="0"/>
    <s v="Gelato preroll 3 x 0.5g_preroll_labelled"/>
    <n v="46"/>
  </r>
  <r>
    <n v="108"/>
    <n v="1"/>
    <x v="712"/>
    <x v="0"/>
    <s v="T003PR"/>
    <s v="NA"/>
    <s v="T003PRNA"/>
    <s v="preroll_labelled"/>
    <x v="36"/>
    <x v="247"/>
    <x v="141"/>
    <n v="34"/>
    <s v="unit"/>
    <n v="1.5"/>
    <n v="0"/>
    <n v="0"/>
    <n v="51"/>
    <m/>
    <x v="291"/>
    <x v="0"/>
    <s v="Galactic Cake preroll 3 x 0.5g_preroll_labelled"/>
    <n v="36"/>
  </r>
  <r>
    <n v="741"/>
    <n v="1"/>
    <x v="713"/>
    <x v="1"/>
    <s v="T068DF"/>
    <s v="NA"/>
    <s v="NANA"/>
    <s v="driedflower_bulk_Rohan"/>
    <x v="189"/>
    <x v="248"/>
    <x v="2"/>
    <n v="1"/>
    <s v="bag"/>
    <n v="6543"/>
    <n v="6602"/>
    <n v="59"/>
    <n v="6543"/>
    <s v="20250212-B32-RS"/>
    <x v="292"/>
    <x v="1"/>
    <s v="Rockstar dried flower_driedflower_bulk_Rohan"/>
    <n v="260"/>
  </r>
  <r>
    <n v="741"/>
    <n v="2"/>
    <x v="714"/>
    <x v="0"/>
    <s v="T069DF"/>
    <s v="NA"/>
    <s v="NANA"/>
    <s v="driedflower_bulk_Rohan"/>
    <x v="189"/>
    <x v="248"/>
    <x v="2"/>
    <n v="1"/>
    <s v="bag"/>
    <n v="5000"/>
    <n v="5058"/>
    <n v="58"/>
    <n v="5000"/>
    <s v="20250212-B32-RS"/>
    <x v="292"/>
    <x v="1"/>
    <s v="Rockstar dried flower_driedflower_bulk_Rohan"/>
    <n v="260"/>
  </r>
  <r>
    <n v="734"/>
    <n v="0"/>
    <x v="715"/>
    <x v="0"/>
    <s v="T066DF"/>
    <s v="NA"/>
    <s v="T066DFNA"/>
    <s v="driedflower_labelled"/>
    <x v="141"/>
    <x v="249"/>
    <x v="143"/>
    <n v="123"/>
    <s v="unit"/>
    <n v="7"/>
    <n v="0"/>
    <n v="0"/>
    <n v="861"/>
    <m/>
    <x v="293"/>
    <x v="0"/>
    <s v="Midnight Kruntz Dried Flower 7g_driedflower_labelled"/>
    <n v="173"/>
  </r>
  <r>
    <n v="640"/>
    <n v="1"/>
    <x v="716"/>
    <x v="0"/>
    <s v="T149EX"/>
    <s v="NA"/>
    <s v="T149EXNA"/>
    <s v="extract_ingested_cased_ON"/>
    <x v="146"/>
    <x v="193"/>
    <x v="113"/>
    <n v="32"/>
    <s v="case"/>
    <n v="600"/>
    <n v="0"/>
    <n v="0"/>
    <n v="19200"/>
    <m/>
    <x v="294"/>
    <x v="0"/>
    <s v="Pot Shot Coconut Lime 151mg_extract_ingested_cased_ON"/>
    <n v="261"/>
  </r>
  <r>
    <n v="743"/>
    <n v="0"/>
    <x v="717"/>
    <x v="0"/>
    <s v="T151EX"/>
    <s v="NA"/>
    <s v="T151EXNA"/>
    <s v="extract_inhaled_bulk_Rohan"/>
    <x v="190"/>
    <x v="250"/>
    <x v="2"/>
    <n v="1"/>
    <s v="pail"/>
    <n v="38"/>
    <n v="851"/>
    <n v="813"/>
    <n v="38"/>
    <m/>
    <x v="295"/>
    <x v="1"/>
    <s v="Runtz Muffin Crumble (Rohan)_extract_inhaled_bulk_Rohan"/>
    <n v="264"/>
  </r>
  <r>
    <n v="650"/>
    <n v="1"/>
    <x v="718"/>
    <x v="1"/>
    <s v="T063PR"/>
    <s v="NA"/>
    <s v="T063PRNA"/>
    <s v="preroll_labelled"/>
    <x v="151"/>
    <x v="199"/>
    <x v="144"/>
    <n v="84"/>
    <s v="unit"/>
    <n v="5"/>
    <n v="0"/>
    <n v="0"/>
    <n v="420"/>
    <m/>
    <x v="296"/>
    <x v="0"/>
    <s v="Midnight Kruntz pre-roll 10x0.5g_preroll_labelled"/>
    <n v="189"/>
  </r>
  <r>
    <n v="734"/>
    <n v="1"/>
    <x v="719"/>
    <x v="0"/>
    <s v="T070DF"/>
    <s v="NA"/>
    <s v="T070DFNA"/>
    <s v="driedflower_labelled"/>
    <x v="141"/>
    <x v="251"/>
    <x v="144"/>
    <n v="79"/>
    <s v="unit"/>
    <n v="7"/>
    <n v="0"/>
    <n v="0"/>
    <n v="553"/>
    <m/>
    <x v="297"/>
    <x v="0"/>
    <s v="Midnight Kruntz Dried Flower 7g_driedflower_labelled"/>
    <n v="173"/>
  </r>
  <r>
    <n v="526"/>
    <n v="0"/>
    <x v="720"/>
    <x v="0"/>
    <s v="T107EX"/>
    <s v="NA"/>
    <s v="T107EXNA"/>
    <s v="extract_inhaled_labelled"/>
    <x v="117"/>
    <x v="179"/>
    <x v="94"/>
    <n v="22"/>
    <s v="unit"/>
    <n v="0.5"/>
    <n v="0"/>
    <n v="0"/>
    <n v="11"/>
    <m/>
    <x v="298"/>
    <x v="0"/>
    <s v="November Rain Vape Canadian OG Vape 0.5g_extract_inhaled_labelled"/>
    <n v="82"/>
  </r>
  <r>
    <n v="633"/>
    <n v="0"/>
    <x v="721"/>
    <x v="0"/>
    <s v="T007MF"/>
    <s v="NA"/>
    <s v="T007MFNA"/>
    <s v="driedflower_milled_bulk"/>
    <x v="142"/>
    <x v="189"/>
    <x v="2"/>
    <n v="1"/>
    <s v="pail"/>
    <n v="1423"/>
    <n v="3802"/>
    <n v="2379"/>
    <n v="1423"/>
    <m/>
    <x v="299"/>
    <x v="1"/>
    <s v="Midnight Kruntz milled flower_driedflower_milled_bulk"/>
    <n v="187"/>
  </r>
  <r>
    <n v="738"/>
    <n v="1"/>
    <x v="722"/>
    <x v="0"/>
    <s v="T067DF"/>
    <s v="B01"/>
    <s v="T067DFB01"/>
    <s v="preroll_bulk_JEN"/>
    <x v="191"/>
    <x v="252"/>
    <x v="2"/>
    <n v="85"/>
    <s v="unit"/>
    <n v="1"/>
    <n v="0"/>
    <n v="0"/>
    <n v="85"/>
    <m/>
    <x v="300"/>
    <x v="0"/>
    <s v="Pineapple Sour preroll 1g_preroll_bulk_JEN"/>
    <n v="257"/>
  </r>
  <r>
    <n v="739"/>
    <n v="1"/>
    <x v="723"/>
    <x v="0"/>
    <s v="T067DF"/>
    <s v="B01"/>
    <s v="T067DFB01"/>
    <s v="preroll_bulk"/>
    <x v="192"/>
    <x v="253"/>
    <x v="2"/>
    <n v="89"/>
    <s v="unit"/>
    <n v="0.5"/>
    <n v="0"/>
    <n v="0"/>
    <n v="44.5"/>
    <m/>
    <x v="300"/>
    <x v="0"/>
    <s v="Pineapple blaster preroll 0.5g_preroll_bulk"/>
    <n v="302"/>
  </r>
  <r>
    <n v="626"/>
    <n v="0"/>
    <x v="724"/>
    <x v="0"/>
    <s v="T120EX"/>
    <s v="NA"/>
    <s v="T120EXNA"/>
    <s v="extract_inhaled_labelled"/>
    <x v="0"/>
    <x v="0"/>
    <x v="0"/>
    <n v="14"/>
    <s v="unit"/>
    <n v="0.5"/>
    <n v="0"/>
    <n v="0"/>
    <n v="7"/>
    <m/>
    <x v="301"/>
    <x v="0"/>
    <s v="November Rain Vape Canadian Thunder 0.5g Sativa_extract_inhaled_labelled"/>
    <n v="83"/>
  </r>
  <r>
    <n v="591"/>
    <n v="1"/>
    <x v="725"/>
    <x v="0"/>
    <s v="P006DF"/>
    <s v="NA"/>
    <s v="P006DFNA"/>
    <s v="driedflower_milled_bulk_BURB"/>
    <x v="3"/>
    <x v="254"/>
    <x v="2"/>
    <n v="1"/>
    <s v="pail"/>
    <n v="2320"/>
    <n v="4100"/>
    <n v="1780"/>
    <n v="2320"/>
    <m/>
    <x v="302"/>
    <x v="1"/>
    <s v="Blue Gum Dried Flower _driedflower_milled_bulk_BURB"/>
    <n v="267"/>
  </r>
  <r>
    <n v="744"/>
    <n v="1"/>
    <x v="726"/>
    <x v="0"/>
    <s v="RACK_B"/>
    <s v="GRID_2"/>
    <s v="RACK_BGRID_2"/>
    <s v="preroll_bulk"/>
    <x v="193"/>
    <x v="255"/>
    <x v="2"/>
    <n v="484"/>
    <s v="unit"/>
    <n v="0.5"/>
    <n v="0"/>
    <n v="0"/>
    <n v="242"/>
    <m/>
    <x v="303"/>
    <x v="0"/>
    <s v="Mango preroll 0.5g_preroll_bulk"/>
    <n v="268"/>
  </r>
  <r>
    <n v="744"/>
    <n v="2"/>
    <x v="727"/>
    <x v="0"/>
    <s v="RACK_B"/>
    <s v="GRID_2"/>
    <s v="RACK_BGRID_2"/>
    <s v="preroll_bulk"/>
    <x v="193"/>
    <x v="256"/>
    <x v="2"/>
    <n v="517"/>
    <s v="unit"/>
    <n v="0.5"/>
    <n v="0"/>
    <n v="0"/>
    <n v="258.5"/>
    <m/>
    <x v="303"/>
    <x v="0"/>
    <s v="Mango preroll 0.5g_preroll_bulk"/>
    <n v="268"/>
  </r>
  <r>
    <n v="744"/>
    <n v="3"/>
    <x v="728"/>
    <x v="0"/>
    <s v="RACK_B"/>
    <s v="GRID_2"/>
    <s v="RACK_BGRID_2"/>
    <s v="preroll_bulk"/>
    <x v="194"/>
    <x v="256"/>
    <x v="2"/>
    <n v="550"/>
    <s v="unit"/>
    <n v="0.5"/>
    <n v="0"/>
    <n v="0"/>
    <n v="275"/>
    <m/>
    <x v="303"/>
    <x v="0"/>
    <s v="Strawberry preroll 0.5g_preroll_bulk"/>
    <n v="271"/>
  </r>
  <r>
    <n v="121"/>
    <n v="0"/>
    <x v="729"/>
    <x v="0"/>
    <s v="T014PR"/>
    <s v="NA"/>
    <s v="T014PRNA"/>
    <s v="preroll_labelled"/>
    <x v="37"/>
    <x v="257"/>
    <x v="145"/>
    <n v="350"/>
    <s v="unit"/>
    <n v="1"/>
    <n v="0"/>
    <n v="0"/>
    <n v="350"/>
    <m/>
    <x v="304"/>
    <x v="0"/>
    <s v="Galactic Cake preroll 1 x 1g_preroll_labelled"/>
    <n v="34"/>
  </r>
  <r>
    <n v="121"/>
    <n v="1"/>
    <x v="730"/>
    <x v="0"/>
    <s v="T014PR"/>
    <s v="NA"/>
    <s v="T014PRNA"/>
    <s v="preroll_labelled"/>
    <x v="37"/>
    <x v="257"/>
    <x v="141"/>
    <n v="29"/>
    <s v="unit"/>
    <n v="1"/>
    <n v="0"/>
    <n v="0"/>
    <n v="29"/>
    <m/>
    <x v="304"/>
    <x v="0"/>
    <s v="Galactic Cake preroll 1 x 1g_preroll_labelled"/>
    <n v="34"/>
  </r>
  <r>
    <n v="122"/>
    <n v="0"/>
    <x v="731"/>
    <x v="0"/>
    <s v="T014PR"/>
    <s v="B002PR"/>
    <s v="T014PRB002PR"/>
    <s v="preroll_bulk"/>
    <x v="41"/>
    <x v="258"/>
    <x v="146"/>
    <n v="144"/>
    <s v="unit"/>
    <n v="1"/>
    <n v="0"/>
    <n v="0"/>
    <n v="144"/>
    <m/>
    <x v="304"/>
    <x v="0"/>
    <s v="Galactic Cake preroll 1g_preroll_bulk"/>
    <n v="35"/>
  </r>
  <r>
    <n v="145"/>
    <n v="0"/>
    <x v="732"/>
    <x v="0"/>
    <s v="T029PR"/>
    <s v="NA"/>
    <s v="T029PRNA"/>
    <s v="preroll_labelled"/>
    <x v="59"/>
    <x v="55"/>
    <x v="39"/>
    <n v="35"/>
    <s v="unit"/>
    <n v="1.5"/>
    <n v="0"/>
    <n v="0"/>
    <n v="52.5"/>
    <s v="black tube"/>
    <x v="305"/>
    <x v="0"/>
    <s v="Grease Monkey preroll 3 x 0.5g_preroll_labelled"/>
    <n v="59"/>
  </r>
  <r>
    <n v="145"/>
    <n v="1"/>
    <x v="733"/>
    <x v="1"/>
    <s v="T029PR"/>
    <s v="NA"/>
    <s v="T029PRNA"/>
    <s v="preroll_labelled"/>
    <x v="59"/>
    <x v="55"/>
    <x v="141"/>
    <n v="0"/>
    <s v="unit"/>
    <n v="1.5"/>
    <n v="0"/>
    <n v="0"/>
    <n v="0"/>
    <m/>
    <x v="306"/>
    <x v="0"/>
    <s v="Grease Monkey preroll 3 x 0.5g_preroll_labelled"/>
    <n v="59"/>
  </r>
  <r>
    <n v="492"/>
    <n v="1"/>
    <x v="734"/>
    <x v="0"/>
    <s v="T073DF"/>
    <s v="NA"/>
    <s v="T073DFNA"/>
    <s v="driedflower_labelled"/>
    <x v="195"/>
    <x v="259"/>
    <x v="147"/>
    <n v="156"/>
    <s v="unit"/>
    <n v="28"/>
    <n v="0"/>
    <n v="0"/>
    <n v="4368"/>
    <m/>
    <x v="307"/>
    <x v="0"/>
    <s v="Pressure Pie dried flower 28g_driedflower_labelled"/>
    <n v="270"/>
  </r>
  <r>
    <n v="523"/>
    <n v="1"/>
    <x v="735"/>
    <x v="0"/>
    <s v="T005BS"/>
    <s v="NA"/>
    <s v="T005BSNA"/>
    <s v="topical_labelled"/>
    <x v="133"/>
    <x v="162"/>
    <x v="116"/>
    <n v="95"/>
    <s v="unit"/>
    <n v="450"/>
    <n v="0"/>
    <n v="0"/>
    <n v="42750"/>
    <m/>
    <x v="307"/>
    <x v="0"/>
    <s v="NUDH bath salt 450 gram_topical_labelled"/>
    <n v="93"/>
  </r>
  <r>
    <n v="536"/>
    <n v="1"/>
    <x v="736"/>
    <x v="0"/>
    <s v="T071DF"/>
    <s v="NA"/>
    <s v="T071DFNA"/>
    <s v="driedflower_labelled"/>
    <x v="196"/>
    <x v="260"/>
    <x v="147"/>
    <n v="43"/>
    <s v="unit"/>
    <n v="28"/>
    <n v="0"/>
    <n v="0"/>
    <n v="1204"/>
    <m/>
    <x v="307"/>
    <x v="0"/>
    <s v="Blue Gum Dried Flower 28g_driedflower_labelled"/>
    <n v="269"/>
  </r>
  <r>
    <n v="537"/>
    <n v="1"/>
    <x v="737"/>
    <x v="0"/>
    <s v="T072DF"/>
    <s v="NA"/>
    <s v="T072DFNA"/>
    <s v="driedflower_labelled"/>
    <x v="196"/>
    <x v="260"/>
    <x v="147"/>
    <n v="65"/>
    <s v="unit"/>
    <n v="28"/>
    <n v="0"/>
    <n v="0"/>
    <n v="1820"/>
    <m/>
    <x v="307"/>
    <x v="0"/>
    <s v="Blue Gum Dried Flower 28g_driedflower_labelled"/>
    <n v="269"/>
  </r>
  <r>
    <n v="745"/>
    <n v="2"/>
    <x v="738"/>
    <x v="1"/>
    <s v="T019TP"/>
    <s v="NA"/>
    <s v="T019TPNA"/>
    <s v="topical_labelled"/>
    <x v="55"/>
    <x v="261"/>
    <x v="127"/>
    <n v="418"/>
    <s v="unit"/>
    <n v="88"/>
    <n v="0"/>
    <n v="0"/>
    <n v="36784"/>
    <m/>
    <x v="308"/>
    <x v="0"/>
    <s v="Maximum Strength Roll-on 88g_topical_labelled"/>
    <n v="72"/>
  </r>
  <r>
    <n v="626"/>
    <n v="1"/>
    <x v="739"/>
    <x v="0"/>
    <s v="T154EX"/>
    <s v="NA"/>
    <s v="T154EXNA"/>
    <s v="extract_inhaled_labelled"/>
    <x v="0"/>
    <x v="0"/>
    <x v="148"/>
    <n v="120"/>
    <s v="unit"/>
    <n v="0.5"/>
    <n v="0"/>
    <n v="0"/>
    <n v="60"/>
    <m/>
    <x v="309"/>
    <x v="0"/>
    <s v="November Rain Vape Canadian Thunder 0.5g Sativa_extract_inhaled_labelled"/>
    <n v="83"/>
  </r>
  <r>
    <n v="584"/>
    <n v="0"/>
    <x v="740"/>
    <x v="0"/>
    <s v="T055PR"/>
    <s v="NA"/>
    <s v="T055PRNA"/>
    <s v="preroll_labelled"/>
    <x v="151"/>
    <x v="262"/>
    <x v="0"/>
    <n v="10"/>
    <s v="unit"/>
    <n v="5"/>
    <n v="0"/>
    <n v="0"/>
    <n v="50"/>
    <m/>
    <x v="310"/>
    <x v="0"/>
    <s v="Midnight Kruntz pre-roll 10x0.5g_preroll_labelled"/>
    <n v="189"/>
  </r>
  <r>
    <n v="738"/>
    <n v="0"/>
    <x v="741"/>
    <x v="0"/>
    <s v="T008MF"/>
    <s v="NA"/>
    <s v="T008MFNA"/>
    <s v="driedflower_milled_bulk_JEN"/>
    <x v="197"/>
    <x v="263"/>
    <x v="2"/>
    <n v="1"/>
    <s v="pail"/>
    <n v="1936"/>
    <n v="3696"/>
    <n v="1760"/>
    <n v="1936"/>
    <m/>
    <x v="311"/>
    <x v="1"/>
    <s v="Pineapple Sour milled flower_driedflower_milled_bulk_JEN"/>
    <n v="273"/>
  </r>
  <r>
    <n v="747"/>
    <n v="1"/>
    <x v="742"/>
    <x v="1"/>
    <s v="T155EX"/>
    <s v="NA"/>
    <s v="T155EXNA"/>
    <s v="preroll_labelled"/>
    <x v="198"/>
    <x v="264"/>
    <x v="149"/>
    <n v="85"/>
    <s v="unit"/>
    <n v="1.5"/>
    <n v="3696"/>
    <n v="1760"/>
    <n v="127.5"/>
    <m/>
    <x v="312"/>
    <x v="0"/>
    <s v="November Rain Gastro-pop Diamond Infused 3x0.5g Pre-Rolls_preroll_labelled"/>
    <n v="274"/>
  </r>
  <r>
    <n v="747"/>
    <n v="0"/>
    <x v="743"/>
    <x v="0"/>
    <s v="T155EX"/>
    <s v="NA"/>
    <s v="T155EXNA"/>
    <s v="infusedflower_bulk"/>
    <x v="199"/>
    <x v="265"/>
    <x v="2"/>
    <n v="1"/>
    <s v="bag"/>
    <n v="180"/>
    <n v="190"/>
    <n v="10"/>
    <n v="180"/>
    <m/>
    <x v="312"/>
    <x v="1"/>
    <s v="Gastro-pop Diamond infused dried flower_infusedflower_bulk"/>
    <n v="276"/>
  </r>
  <r>
    <n v="735"/>
    <n v="1"/>
    <x v="744"/>
    <x v="0"/>
    <s v="T065PR"/>
    <s v="NA"/>
    <s v="T065PRNA"/>
    <s v="preroll_labelled"/>
    <x v="185"/>
    <x v="242"/>
    <x v="148"/>
    <n v="22"/>
    <s v="unit"/>
    <n v="2"/>
    <n v="0"/>
    <n v="0"/>
    <n v="44"/>
    <m/>
    <x v="313"/>
    <x v="0"/>
    <s v="Animal Mint pre-roll 2 x 1g_preroll_labelled"/>
    <n v="265"/>
  </r>
  <r>
    <n v="748"/>
    <n v="2"/>
    <x v="745"/>
    <x v="0"/>
    <s v="T156EX"/>
    <s v="NA"/>
    <s v="T156EXNA"/>
    <s v="extract_inhaled_cased_MB"/>
    <x v="117"/>
    <x v="179"/>
    <x v="94"/>
    <n v="10"/>
    <s v="case"/>
    <n v="6"/>
    <n v="0"/>
    <n v="0"/>
    <n v="60"/>
    <m/>
    <x v="314"/>
    <x v="0"/>
    <s v="November Rain Vape Canadian OG Vape 0.5g_extract_inhaled_cased_MB"/>
    <n v="166"/>
  </r>
  <r>
    <n v="748"/>
    <n v="3"/>
    <x v="746"/>
    <x v="0"/>
    <s v="T157EX"/>
    <s v="NA"/>
    <s v="T157EXNA"/>
    <s v="extract_inhaled_cased_MB"/>
    <x v="117"/>
    <x v="126"/>
    <x v="82"/>
    <n v="3"/>
    <s v="case"/>
    <n v="6"/>
    <n v="0"/>
    <n v="0"/>
    <n v="18"/>
    <m/>
    <x v="314"/>
    <x v="0"/>
    <s v="November Rain Vape Canadian OG Vape 0.5g_extract_inhaled_cased_MB"/>
    <n v="166"/>
  </r>
  <r>
    <n v="748"/>
    <n v="4"/>
    <x v="747"/>
    <x v="0"/>
    <s v="T157EX"/>
    <s v="NA"/>
    <s v="T157EXNA"/>
    <s v="extract_ingested_cased_MB"/>
    <x v="127"/>
    <x v="142"/>
    <x v="3"/>
    <n v="9"/>
    <s v="case"/>
    <n v="331.20000000000005"/>
    <n v="0"/>
    <n v="0"/>
    <n v="2980.8"/>
    <m/>
    <x v="314"/>
    <x v="0"/>
    <s v="THC oil 27.6g_extract_ingested_cased_MB"/>
    <n v="163"/>
  </r>
  <r>
    <n v="748"/>
    <n v="1"/>
    <x v="748"/>
    <x v="1"/>
    <s v="T156EX"/>
    <s v="NA"/>
    <s v="T156EXNA"/>
    <s v="extract_ingested_cased_MB"/>
    <x v="4"/>
    <x v="4"/>
    <x v="3"/>
    <n v="7"/>
    <s v="case"/>
    <n v="331.20000000000005"/>
    <n v="0"/>
    <n v="0"/>
    <n v="2318.4000000000005"/>
    <m/>
    <x v="315"/>
    <x v="0"/>
    <s v="THC CBD balanced 1:1 oil 27.6g_extract_ingested_cased_MB"/>
    <n v="164"/>
  </r>
  <r>
    <n v="650"/>
    <n v="4"/>
    <x v="749"/>
    <x v="0"/>
    <s v="T009MF"/>
    <s v="NA"/>
    <s v="T009MFNA"/>
    <s v="driedflower_milled_bulk"/>
    <x v="142"/>
    <x v="266"/>
    <x v="2"/>
    <n v="1"/>
    <s v="pail"/>
    <n v="4028"/>
    <n v="5770"/>
    <n v="1742"/>
    <n v="4028"/>
    <m/>
    <x v="316"/>
    <x v="1"/>
    <s v="Midnight Kruntz milled flower_driedflower_milled_bulk"/>
    <n v="187"/>
  </r>
  <r>
    <n v="749"/>
    <n v="2"/>
    <x v="750"/>
    <x v="1"/>
    <s v="P016EX"/>
    <s v="NA"/>
    <s v="P016EXNA"/>
    <s v="extract_ingested_bulk"/>
    <x v="28"/>
    <x v="267"/>
    <x v="2"/>
    <n v="1"/>
    <s v="pail"/>
    <n v="15000"/>
    <n v="16935"/>
    <n v="1935"/>
    <n v="15000"/>
    <m/>
    <x v="316"/>
    <x v="1"/>
    <s v="Bacon CBD Extract_extract_ingested_bulk"/>
    <n v="9"/>
  </r>
  <r>
    <n v="109"/>
    <n v="0"/>
    <x v="751"/>
    <x v="0"/>
    <s v="T004PR"/>
    <s v="NA"/>
    <s v="T004PRNA"/>
    <s v="preroll_packaged"/>
    <x v="36"/>
    <x v="247"/>
    <x v="2"/>
    <n v="54"/>
    <s v="unit"/>
    <n v="1.5"/>
    <n v="0"/>
    <n v="0"/>
    <n v="81"/>
    <m/>
    <x v="317"/>
    <x v="0"/>
    <s v="Galactic Cake preroll 3 x 0.5g_preroll_packaged"/>
    <n v="115"/>
  </r>
  <r>
    <n v="109"/>
    <n v="1"/>
    <x v="752"/>
    <x v="0"/>
    <s v="T004PR"/>
    <s v="NA"/>
    <s v="T004PRNA"/>
    <s v="preroll_labelled"/>
    <x v="36"/>
    <x v="247"/>
    <x v="144"/>
    <n v="120"/>
    <s v="unit"/>
    <n v="1.5"/>
    <n v="0"/>
    <n v="0"/>
    <n v="180"/>
    <m/>
    <x v="317"/>
    <x v="0"/>
    <s v="Galactic Cake preroll 3 x 0.5g_preroll_labelled"/>
    <n v="36"/>
  </r>
  <r>
    <n v="121"/>
    <n v="2"/>
    <x v="753"/>
    <x v="0"/>
    <s v="T014PR"/>
    <s v="NA"/>
    <s v="T014PRNA"/>
    <s v="preroll_labelled"/>
    <x v="37"/>
    <x v="257"/>
    <x v="144"/>
    <n v="120"/>
    <s v="unit"/>
    <n v="1"/>
    <n v="0"/>
    <n v="0"/>
    <n v="120"/>
    <m/>
    <x v="317"/>
    <x v="0"/>
    <s v="Galactic Cake preroll 1 x 1g_preroll_labelled"/>
    <n v="34"/>
  </r>
  <r>
    <n v="143"/>
    <n v="0"/>
    <x v="754"/>
    <x v="0"/>
    <s v="T028PR"/>
    <s v="NA"/>
    <s v="T028PRNA"/>
    <s v="preroll_labelled"/>
    <x v="43"/>
    <x v="246"/>
    <x v="55"/>
    <n v="20"/>
    <s v="unit"/>
    <n v="1.5"/>
    <n v="0"/>
    <n v="0"/>
    <n v="30"/>
    <m/>
    <x v="317"/>
    <x v="0"/>
    <s v="Gelato preroll 3 x 0.5g_preroll_labelled"/>
    <n v="46"/>
  </r>
  <r>
    <n v="143"/>
    <n v="2"/>
    <x v="755"/>
    <x v="0"/>
    <s v="T073PR"/>
    <s v="NA"/>
    <s v="T073PRNA"/>
    <s v="preroll_labelled"/>
    <x v="43"/>
    <x v="246"/>
    <x v="144"/>
    <n v="38"/>
    <s v="unit"/>
    <n v="1.5"/>
    <n v="0"/>
    <n v="0"/>
    <n v="57"/>
    <m/>
    <x v="317"/>
    <x v="0"/>
    <s v="Gelato preroll 3 x 0.5g_preroll_labelled"/>
    <n v="46"/>
  </r>
  <r>
    <n v="145"/>
    <n v="2"/>
    <x v="756"/>
    <x v="0"/>
    <s v="T029PR"/>
    <s v="NA"/>
    <s v="T029PRNA"/>
    <s v="preroll_labelled"/>
    <x v="59"/>
    <x v="55"/>
    <x v="144"/>
    <n v="90"/>
    <s v="unit"/>
    <n v="1.5"/>
    <n v="0"/>
    <n v="0"/>
    <n v="135"/>
    <m/>
    <x v="317"/>
    <x v="0"/>
    <s v="Grease Monkey preroll 3 x 0.5g_preroll_labelled"/>
    <n v="59"/>
  </r>
  <r>
    <n v="277"/>
    <n v="0"/>
    <x v="757"/>
    <x v="0"/>
    <s v="T050PR"/>
    <s v="NA"/>
    <s v="T050PRNA"/>
    <s v="preroll_labelled"/>
    <x v="120"/>
    <x v="134"/>
    <x v="104"/>
    <n v="23"/>
    <s v="unit"/>
    <n v="1"/>
    <n v="0"/>
    <n v="0"/>
    <n v="23"/>
    <s v="12 BC stamped"/>
    <x v="317"/>
    <x v="0"/>
    <s v="Monkey King preroll 2 x 0.5g_preroll_labelled"/>
    <n v="74"/>
  </r>
  <r>
    <n v="332"/>
    <n v="0"/>
    <x v="758"/>
    <x v="0"/>
    <s v="T041EX"/>
    <s v="NA"/>
    <s v="T041EXNA"/>
    <s v="extract_inhaled_labelled"/>
    <x v="108"/>
    <x v="118"/>
    <x v="74"/>
    <n v="62"/>
    <s v="unit"/>
    <n v="0.5"/>
    <n v="0"/>
    <n v="0"/>
    <n v="31"/>
    <m/>
    <x v="317"/>
    <x v="0"/>
    <s v="November Rain Vape Platinum Sunrise 0.5g Sativa_extract_inhaled_labelled"/>
    <n v="87"/>
  </r>
  <r>
    <n v="394"/>
    <n v="0"/>
    <x v="759"/>
    <x v="0"/>
    <s v="T072PR"/>
    <s v="NA"/>
    <s v="T072PRNA"/>
    <s v="preroll_labelled"/>
    <x v="70"/>
    <x v="71"/>
    <x v="83"/>
    <n v="2"/>
    <s v="unit"/>
    <n v="1.5"/>
    <n v="1.5"/>
    <n v="0"/>
    <n v="3"/>
    <m/>
    <x v="317"/>
    <x v="0"/>
    <s v="November Rain Rose preroll 3 x 0.5g_preroll_labelled"/>
    <n v="79"/>
  </r>
  <r>
    <n v="426"/>
    <n v="1"/>
    <x v="760"/>
    <x v="1"/>
    <s v="T062PR"/>
    <s v="NA"/>
    <s v="T062PRNA"/>
    <s v="preroll_labelled"/>
    <x v="120"/>
    <x v="134"/>
    <x v="3"/>
    <n v="10"/>
    <s v="unit"/>
    <n v="1"/>
    <n v="0"/>
    <n v="0"/>
    <n v="10"/>
    <m/>
    <x v="317"/>
    <x v="0"/>
    <s v="Monkey King preroll 2 x 0.5g_preroll_labelled"/>
    <n v="74"/>
  </r>
  <r>
    <n v="503"/>
    <n v="0"/>
    <x v="761"/>
    <x v="0"/>
    <s v="T052PR"/>
    <s v="NA"/>
    <s v="T052PRNA"/>
    <s v="preroll_labelled"/>
    <x v="61"/>
    <x v="133"/>
    <x v="150"/>
    <n v="240"/>
    <s v="unit"/>
    <n v="1.5"/>
    <n v="0"/>
    <n v="0"/>
    <n v="360"/>
    <m/>
    <x v="317"/>
    <x v="0"/>
    <s v="November Rain Watermelon preroll 3 x 0.5g_preroll_labelled"/>
    <n v="92"/>
  </r>
  <r>
    <n v="530"/>
    <n v="0"/>
    <x v="762"/>
    <x v="0"/>
    <s v="T109EX"/>
    <s v="NA"/>
    <s v="T109EXNA"/>
    <s v="extract_inhaled_labelled"/>
    <x v="108"/>
    <x v="268"/>
    <x v="151"/>
    <n v="73"/>
    <s v="unit"/>
    <n v="0.5"/>
    <n v="0"/>
    <n v="0"/>
    <n v="36.5"/>
    <m/>
    <x v="317"/>
    <x v="0"/>
    <s v="November Rain Vape Platinum Sunrise 0.5G Sativa_extract_inhaled_labelled"/>
    <n v="87"/>
  </r>
  <r>
    <n v="546"/>
    <n v="0"/>
    <x v="763"/>
    <x v="0"/>
    <s v="T110EX"/>
    <s v="NA"/>
    <s v="T110EXNA"/>
    <s v="extract_inhaled_labelled"/>
    <x v="107"/>
    <x v="144"/>
    <x v="106"/>
    <n v="58"/>
    <s v="unit"/>
    <n v="0.5"/>
    <n v="0"/>
    <n v="0"/>
    <n v="29"/>
    <m/>
    <x v="317"/>
    <x v="0"/>
    <s v="November Rain Vape Strawberry Drizzle 0.5g Hybrid_extract_inhaled_labelled"/>
    <n v="89"/>
  </r>
  <r>
    <n v="547"/>
    <n v="0"/>
    <x v="764"/>
    <x v="0"/>
    <s v="T111EX"/>
    <s v="NA"/>
    <s v="T111EXNA"/>
    <s v="extract_inhaled_labelled"/>
    <x v="108"/>
    <x v="268"/>
    <x v="105"/>
    <n v="518"/>
    <s v="unit"/>
    <n v="0.5"/>
    <n v="0"/>
    <n v="0"/>
    <n v="259"/>
    <m/>
    <x v="317"/>
    <x v="0"/>
    <s v="November Rain Vape Platinum Sunrise 0.5G Sativa_extract_inhaled_labelled"/>
    <n v="87"/>
  </r>
  <r>
    <n v="630"/>
    <n v="0"/>
    <x v="765"/>
    <x v="0"/>
    <s v="RACK_B"/>
    <s v="GRID_1"/>
    <s v="RACK_B-GRID_1"/>
    <s v="preroll_labelled"/>
    <x v="120"/>
    <x v="269"/>
    <x v="152"/>
    <n v="275"/>
    <s v="unit"/>
    <n v="1"/>
    <n v="0"/>
    <n v="0"/>
    <n v="224"/>
    <m/>
    <x v="317"/>
    <x v="0"/>
    <s v="Monkey King preroll 2 x 0.5g_preroll_labelled"/>
    <n v="74"/>
  </r>
  <r>
    <n v="650"/>
    <n v="6"/>
    <x v="766"/>
    <x v="0"/>
    <s v="T067PR"/>
    <s v="NA"/>
    <s v="T067PRNA"/>
    <s v="preroll_labelled"/>
    <x v="151"/>
    <x v="199"/>
    <x v="153"/>
    <n v="24"/>
    <s v="unit"/>
    <n v="5"/>
    <n v="0"/>
    <n v="0"/>
    <n v="120"/>
    <m/>
    <x v="317"/>
    <x v="0"/>
    <s v="Midnight Kruntz pre-roll 10x0.5g_preroll_labelled"/>
    <n v="189"/>
  </r>
  <r>
    <n v="654"/>
    <n v="0"/>
    <x v="767"/>
    <x v="0"/>
    <s v="T127EX"/>
    <s v="NA"/>
    <s v="T127EXNA"/>
    <s v="extract_inhaled_labelled"/>
    <x v="200"/>
    <x v="270"/>
    <x v="114"/>
    <n v="142"/>
    <s v="unit"/>
    <n v="1"/>
    <n v="0"/>
    <n v="0"/>
    <n v="142"/>
    <m/>
    <x v="317"/>
    <x v="0"/>
    <s v="November Rain Concord Grape vape 1g_extract_inhaled_labelled"/>
    <n v="198"/>
  </r>
  <r>
    <n v="664"/>
    <n v="0"/>
    <x v="768"/>
    <x v="0"/>
    <s v="T131EX"/>
    <s v="NA"/>
    <s v="T131EXNA"/>
    <s v="extract_inhaled_labelled"/>
    <x v="186"/>
    <x v="243"/>
    <x v="127"/>
    <n v="48"/>
    <s v="unit"/>
    <n v="1"/>
    <n v="0"/>
    <n v="0"/>
    <n v="48"/>
    <m/>
    <x v="317"/>
    <x v="0"/>
    <s v="November Rain White Widow Hybrid Full Spectrum vape 1g_extract_inhaled_labelled"/>
    <n v="191"/>
  </r>
  <r>
    <n v="665"/>
    <n v="0"/>
    <x v="769"/>
    <x v="0"/>
    <s v="T132EX"/>
    <s v="NA"/>
    <s v="T132EXNA"/>
    <s v="extract_inhaled_labelled"/>
    <x v="111"/>
    <x v="164"/>
    <x v="114"/>
    <n v="271"/>
    <s v="unit"/>
    <n v="0.5"/>
    <n v="0"/>
    <n v="0"/>
    <n v="135.5"/>
    <m/>
    <x v="317"/>
    <x v="0"/>
    <s v="November Rain Vape Caribbean Breeze Hybrid 0.5g Live Rosin Disposable Bar_extract_inhaled_labelled"/>
    <n v="85"/>
  </r>
  <r>
    <n v="746"/>
    <n v="0"/>
    <x v="770"/>
    <x v="0"/>
    <s v="T064PR"/>
    <s v="NA"/>
    <s v="T064PRNA"/>
    <s v="preroll_labelled"/>
    <x v="201"/>
    <x v="271"/>
    <x v="153"/>
    <n v="119"/>
    <s v="unit"/>
    <n v="6"/>
    <n v="0"/>
    <n v="0"/>
    <n v="714"/>
    <m/>
    <x v="317"/>
    <x v="0"/>
    <s v="November Rain Blaster Multipack 0.5g*12_preroll_labelled"/>
    <n v="275"/>
  </r>
  <r>
    <n v="746"/>
    <n v="1"/>
    <x v="771"/>
    <x v="0"/>
    <s v="T065PR"/>
    <s v="NA"/>
    <s v="T065PRNA"/>
    <s v="preroll_labelled"/>
    <x v="201"/>
    <x v="271"/>
    <x v="154"/>
    <n v="170"/>
    <s v="unit"/>
    <n v="6"/>
    <n v="0"/>
    <n v="0"/>
    <n v="1020"/>
    <m/>
    <x v="317"/>
    <x v="0"/>
    <s v="November Rain Blaster Multipack 0.5g*12_preroll_labelled"/>
    <n v="275"/>
  </r>
  <r>
    <n v="747"/>
    <n v="2"/>
    <x v="772"/>
    <x v="1"/>
    <s v="NA"/>
    <s v="NA"/>
    <s v="NANA"/>
    <s v="preroll_labelled"/>
    <x v="198"/>
    <x v="264"/>
    <x v="149"/>
    <n v="31"/>
    <s v="unit"/>
    <n v="1.5"/>
    <n v="0"/>
    <n v="0"/>
    <n v="46.5"/>
    <m/>
    <x v="317"/>
    <x v="0"/>
    <s v="November Rain Gastro-pop Diamond Infused 3x0.5g Pre-Rolls_preroll_labelled"/>
    <n v="274"/>
  </r>
  <r>
    <n v="750"/>
    <n v="1"/>
    <x v="773"/>
    <x v="0"/>
    <s v="T158EX"/>
    <s v="NA"/>
    <s v="T158EXNA"/>
    <s v="extract_inhaled_labelled"/>
    <x v="117"/>
    <x v="272"/>
    <x v="153"/>
    <n v="34"/>
    <s v="unit"/>
    <n v="0.5"/>
    <n v="0"/>
    <n v="0"/>
    <n v="17"/>
    <m/>
    <x v="317"/>
    <x v="0"/>
    <s v="November Rain Vape Canadian OG Vape 0.5g_extract_inhaled_labelled"/>
    <n v="82"/>
  </r>
  <r>
    <n v="751"/>
    <n v="1"/>
    <x v="774"/>
    <x v="0"/>
    <s v="T159EX"/>
    <s v="NA"/>
    <s v="T159EXNA"/>
    <s v="extract_inhaled_labelled"/>
    <x v="0"/>
    <x v="0"/>
    <x v="155"/>
    <n v="14"/>
    <s v="unit"/>
    <n v="0.5"/>
    <n v="0"/>
    <n v="0"/>
    <n v="7"/>
    <m/>
    <x v="317"/>
    <x v="0"/>
    <s v="November Rain Vape Canadian Thunder 0.5g Sativa_extract_inhaled_labelled"/>
    <n v="83"/>
  </r>
  <r>
    <n v="473"/>
    <n v="0"/>
    <x v="775"/>
    <x v="0"/>
    <s v="T100EX"/>
    <s v="NA"/>
    <s v="T100EXNA"/>
    <s v="extract_inhaled_labelled"/>
    <x v="99"/>
    <x v="150"/>
    <x v="90"/>
    <n v="495"/>
    <s v="unit"/>
    <n v="0.5"/>
    <n v="589.20000000000005"/>
    <n v="309.58"/>
    <n v="247.5"/>
    <m/>
    <x v="318"/>
    <x v="0"/>
    <s v="November Rain Vape Tropical Meteor Shower 0.5g Sativa_extract_inhaled_labelled"/>
    <n v="90"/>
  </r>
  <r>
    <n v="742"/>
    <n v="0"/>
    <x v="776"/>
    <x v="0"/>
    <s v="T150EX"/>
    <s v="NA"/>
    <s v="T150EXNA"/>
    <s v="extract_inhaled_labelled_Rohan"/>
    <x v="202"/>
    <x v="273"/>
    <x v="156"/>
    <n v="82"/>
    <s v="unit"/>
    <n v="1"/>
    <n v="0"/>
    <n v="0"/>
    <n v="82"/>
    <m/>
    <x v="319"/>
    <x v="0"/>
    <s v="Rogworld Lemonade Octane vape 1g_extract_inhaled_labelled_Rohan"/>
    <n v="263"/>
  </r>
  <r>
    <n v="667"/>
    <n v="1"/>
    <x v="777"/>
    <x v="0"/>
    <s v="T134EX"/>
    <s v="NA"/>
    <s v="T134EXNA"/>
    <s v="extract_inhaled_labelled"/>
    <x v="156"/>
    <x v="207"/>
    <x v="118"/>
    <n v="421"/>
    <s v="unit"/>
    <n v="0.5"/>
    <n v="0"/>
    <n v="0"/>
    <n v="210.5"/>
    <m/>
    <x v="320"/>
    <x v="0"/>
    <s v="November Rain Concord Grape vape 0.5g_extract_inhaled_labelled"/>
    <n v="253"/>
  </r>
  <r>
    <n v="108"/>
    <n v="0"/>
    <x v="778"/>
    <x v="0"/>
    <s v="T003PR"/>
    <s v="NA"/>
    <s v="T003PRNA"/>
    <s v="preroll_labelled"/>
    <x v="36"/>
    <x v="247"/>
    <x v="55"/>
    <n v="12"/>
    <s v="unit"/>
    <n v="1.5"/>
    <n v="0"/>
    <n v="0"/>
    <n v="18"/>
    <m/>
    <x v="321"/>
    <x v="0"/>
    <s v="Galactic Cake preroll 3 x 0.5g_preroll_labelled"/>
    <n v="36"/>
  </r>
  <r>
    <n v="97"/>
    <n v="1"/>
    <x v="779"/>
    <x v="0"/>
    <s v="T007MF"/>
    <s v="NA"/>
    <s v="T007MFNA"/>
    <s v="driedflower_milled_bulk"/>
    <x v="11"/>
    <x v="274"/>
    <x v="2"/>
    <n v="1"/>
    <s v="pail"/>
    <n v="822"/>
    <n v="2582"/>
    <n v="1760"/>
    <n v="822"/>
    <m/>
    <x v="322"/>
    <x v="1"/>
    <s v="Gelato milled flower_driedflower_milled_bulk"/>
    <n v="41"/>
  </r>
  <r>
    <n v="106"/>
    <n v="0"/>
    <x v="780"/>
    <x v="0"/>
    <s v="J002EX"/>
    <s v="NA"/>
    <s v="J002EXNA"/>
    <s v="extract_inhaled_bulk"/>
    <x v="203"/>
    <x v="275"/>
    <x v="2"/>
    <n v="1"/>
    <s v="pail"/>
    <n v="597.90000000000009"/>
    <n v="1317.9"/>
    <n v="720"/>
    <n v="597.90000000000009"/>
    <m/>
    <x v="322"/>
    <x v="1"/>
    <s v="White widow_extract_inhaled_bulk"/>
    <n v="247"/>
  </r>
  <r>
    <n v="129"/>
    <n v="1"/>
    <x v="781"/>
    <x v="0"/>
    <s v="T073PR"/>
    <s v="NA"/>
    <s v="T073PRNA"/>
    <s v="preroll_labelled"/>
    <x v="43"/>
    <x v="43"/>
    <x v="157"/>
    <n v="108"/>
    <s v="unit"/>
    <n v="1.5"/>
    <n v="0"/>
    <n v="0"/>
    <n v="162"/>
    <m/>
    <x v="322"/>
    <x v="0"/>
    <s v="Gelato preroll 3 x 0.5g_preroll_labelled"/>
    <n v="46"/>
  </r>
  <r>
    <n v="129"/>
    <n v="2"/>
    <x v="782"/>
    <x v="0"/>
    <s v="T073PR"/>
    <s v="NA"/>
    <s v="T073PRNA"/>
    <s v="preroll_bulk"/>
    <x v="43"/>
    <x v="43"/>
    <x v="2"/>
    <n v="6"/>
    <s v="unit"/>
    <n v="1.5"/>
    <n v="0"/>
    <n v="0"/>
    <n v="9"/>
    <m/>
    <x v="322"/>
    <x v="0"/>
    <s v="Gelato preroll 3 x 0.5g_preroll_bulk"/>
    <n v="278"/>
  </r>
  <r>
    <n v="134"/>
    <n v="1"/>
    <x v="783"/>
    <x v="0"/>
    <s v="T074PR"/>
    <s v="NA"/>
    <s v="T074PRNA"/>
    <s v="preroll_labelled"/>
    <x v="49"/>
    <x v="276"/>
    <x v="155"/>
    <n v="53"/>
    <s v="unit"/>
    <n v="1"/>
    <n v="0"/>
    <n v="0"/>
    <n v="53"/>
    <m/>
    <x v="322"/>
    <x v="0"/>
    <s v="Infused preroll 1 x 1g_preroll_labelled"/>
    <n v="65"/>
  </r>
  <r>
    <n v="134"/>
    <n v="2"/>
    <x v="784"/>
    <x v="0"/>
    <s v="T074PR"/>
    <s v="NA"/>
    <s v="T074PRNA"/>
    <s v="preroll_packaged"/>
    <x v="49"/>
    <x v="276"/>
    <x v="2"/>
    <n v="31"/>
    <s v="unit"/>
    <n v="1"/>
    <n v="0"/>
    <n v="0"/>
    <n v="31"/>
    <m/>
    <x v="322"/>
    <x v="0"/>
    <s v="Infused preroll 1 x 1g_preroll_packaged"/>
    <n v="279"/>
  </r>
  <r>
    <n v="432"/>
    <n v="0"/>
    <x v="785"/>
    <x v="0"/>
    <s v="T011TP"/>
    <s v="NA"/>
    <s v="T011TPNA"/>
    <s v="topical_labelled"/>
    <x v="55"/>
    <x v="139"/>
    <x v="3"/>
    <n v="1"/>
    <s v="unit"/>
    <n v="88"/>
    <n v="0"/>
    <n v="0"/>
    <n v="88"/>
    <m/>
    <x v="322"/>
    <x v="0"/>
    <s v="Maximum Strength Roll-on 88g_topical_labelled"/>
    <n v="72"/>
  </r>
  <r>
    <n v="486"/>
    <n v="0"/>
    <x v="786"/>
    <x v="0"/>
    <s v="T103EX"/>
    <s v="NA"/>
    <s v="T103EXNA"/>
    <s v="extract_ingested_labelled"/>
    <x v="93"/>
    <x v="143"/>
    <x v="85"/>
    <n v="7"/>
    <s v="unit"/>
    <n v="27.3"/>
    <n v="0"/>
    <n v="0"/>
    <n v="191.1"/>
    <m/>
    <x v="322"/>
    <x v="0"/>
    <s v="CBD Bacon Oil 10 mg 27.3g_extract_ingested_labelled"/>
    <n v="17"/>
  </r>
  <r>
    <n v="629"/>
    <n v="0"/>
    <x v="787"/>
    <x v="0"/>
    <s v="T056PR"/>
    <s v="NA"/>
    <s v="T056PRNA"/>
    <s v="preroll_labelled"/>
    <x v="204"/>
    <x v="141"/>
    <x v="110"/>
    <n v="72"/>
    <s v="unit"/>
    <n v="4.1999999999999993"/>
    <n v="0"/>
    <n v="0"/>
    <n v="224"/>
    <m/>
    <x v="322"/>
    <x v="0"/>
    <s v="Gelato preroll 12 x 0.35g _preroll_labelled"/>
    <n v="192"/>
  </r>
  <r>
    <n v="634"/>
    <n v="0"/>
    <x v="788"/>
    <x v="0"/>
    <s v="T006MF"/>
    <s v="NA"/>
    <s v="T006MFNA"/>
    <s v="driedflower_milled_bulk_BURB"/>
    <x v="205"/>
    <x v="277"/>
    <x v="2"/>
    <n v="1"/>
    <s v="pail"/>
    <n v="7"/>
    <n v="2386"/>
    <n v="2379"/>
    <n v="7"/>
    <m/>
    <x v="322"/>
    <x v="1"/>
    <s v="Pressure Pie milled flower_driedflower_milled_bulk_BURB"/>
    <n v="245"/>
  </r>
  <r>
    <n v="637"/>
    <n v="2"/>
    <x v="789"/>
    <x v="1"/>
    <s v="T058PR"/>
    <s v="NA"/>
    <s v="T058PRNA"/>
    <s v="preroll_labelled"/>
    <x v="94"/>
    <x v="42"/>
    <x v="116"/>
    <n v="39"/>
    <s v="unit"/>
    <n v="1"/>
    <n v="0"/>
    <n v="0"/>
    <n v="39"/>
    <m/>
    <x v="322"/>
    <x v="0"/>
    <s v="Gelato preroll 1 x 1g_preroll_labelled"/>
    <n v="44"/>
  </r>
  <r>
    <n v="650"/>
    <n v="2"/>
    <x v="790"/>
    <x v="0"/>
    <s v="T066PR"/>
    <s v="NA"/>
    <s v="T066PRNA"/>
    <s v="preroll_labelled"/>
    <x v="151"/>
    <x v="199"/>
    <x v="155"/>
    <n v="7"/>
    <s v="unit"/>
    <n v="2.5"/>
    <n v="0"/>
    <n v="0"/>
    <n v="17.5"/>
    <m/>
    <x v="322"/>
    <x v="0"/>
    <s v="Midnight Kruntz pre-roll 10x0.5g_preroll_labelled"/>
    <n v="189"/>
  </r>
  <r>
    <n v="650"/>
    <n v="3"/>
    <x v="791"/>
    <x v="1"/>
    <s v="T066PR"/>
    <s v="NA"/>
    <s v="T066PRNA"/>
    <s v="preroll_labelled"/>
    <x v="151"/>
    <x v="199"/>
    <x v="2"/>
    <n v="0"/>
    <s v="unit"/>
    <n v="2.5"/>
    <n v="0"/>
    <n v="0"/>
    <n v="0"/>
    <m/>
    <x v="322"/>
    <x v="0"/>
    <s v="Midnight Kruntz pre-roll 10x0.5g_preroll_labelled"/>
    <n v="189"/>
  </r>
  <r>
    <n v="650"/>
    <n v="5"/>
    <x v="792"/>
    <x v="0"/>
    <s v="T010MF"/>
    <s v="NA"/>
    <s v="T010MFNA"/>
    <s v="driedflower_milled_bulk"/>
    <x v="142"/>
    <x v="266"/>
    <x v="2"/>
    <n v="1"/>
    <s v="pail"/>
    <n v="2726"/>
    <n v="4496"/>
    <n v="1770"/>
    <n v="2726"/>
    <m/>
    <x v="322"/>
    <x v="1"/>
    <s v="Midnight Kruntz milled flower_driedflower_milled_bulk"/>
    <n v="187"/>
  </r>
  <r>
    <n v="677"/>
    <n v="0"/>
    <x v="793"/>
    <x v="0"/>
    <s v="T064DF"/>
    <s v="B001IF"/>
    <s v="T064DFB001IF"/>
    <s v="infusedflower_bulk"/>
    <x v="153"/>
    <x v="217"/>
    <x v="2"/>
    <n v="1"/>
    <s v="bag"/>
    <n v="527"/>
    <n v="555"/>
    <n v="28"/>
    <n v="527"/>
    <m/>
    <x v="322"/>
    <x v="1"/>
    <s v="Animal Mint dried flower_infusedflower_bulk"/>
    <n v="215"/>
  </r>
  <r>
    <n v="683"/>
    <n v="0"/>
    <x v="794"/>
    <x v="0"/>
    <s v="T065DF"/>
    <s v="B104DF"/>
    <s v="T065DFB104DF"/>
    <s v="driedflower_bulk"/>
    <x v="166"/>
    <x v="218"/>
    <x v="2"/>
    <n v="1"/>
    <s v="bag"/>
    <n v="82.5"/>
    <n v="115"/>
    <n v="32.5"/>
    <n v="82.5"/>
    <m/>
    <x v="322"/>
    <x v="1"/>
    <s v="Gastro Pop dried flower_driedflower_bulk"/>
    <n v="216"/>
  </r>
  <r>
    <n v="722"/>
    <n v="0"/>
    <x v="795"/>
    <x v="0"/>
    <s v="NA"/>
    <s v="NA"/>
    <s v="NANA"/>
    <s v="extract_distillate_bulk"/>
    <x v="206"/>
    <x v="278"/>
    <x v="2"/>
    <n v="1"/>
    <s v="pail"/>
    <n v="96"/>
    <n v="366"/>
    <n v="270"/>
    <n v="96"/>
    <m/>
    <x v="322"/>
    <x v="1"/>
    <s v="THCA Diamond_extract_distillate_bulk"/>
    <n v="234"/>
  </r>
  <r>
    <n v="734"/>
    <n v="3"/>
    <x v="796"/>
    <x v="0"/>
    <s v="T070DF"/>
    <s v="NA"/>
    <s v="T070DFNA"/>
    <s v="driedflower_labelled"/>
    <x v="141"/>
    <x v="251"/>
    <x v="143"/>
    <n v="3"/>
    <s v="unit"/>
    <n v="7"/>
    <n v="0"/>
    <n v="0"/>
    <n v="21"/>
    <m/>
    <x v="322"/>
    <x v="0"/>
    <s v="Midnight Kruntz Dried Flower 7g_driedflower_labelled"/>
    <n v="173"/>
  </r>
  <r>
    <n v="741"/>
    <n v="3"/>
    <x v="797"/>
    <x v="0"/>
    <s v="P005DF"/>
    <s v="NA"/>
    <s v="P005DFNA"/>
    <s v="diredflower_milled_bulk_Rohan"/>
    <x v="207"/>
    <x v="279"/>
    <x v="2"/>
    <n v="1"/>
    <s v="pail"/>
    <n v="621"/>
    <n v="2386"/>
    <n v="1765"/>
    <n v="621"/>
    <s v="20250212-B32-RS"/>
    <x v="322"/>
    <x v="1"/>
    <s v="Rockstar milled flower_diredflower_milled_bulk_Rohan"/>
    <n v="266"/>
  </r>
  <r>
    <n v="742"/>
    <n v="1"/>
    <x v="798"/>
    <x v="0"/>
    <s v="T161EX"/>
    <s v="NA"/>
    <s v="T161EXNA"/>
    <s v="extract_inhaled_labelled_Rohan"/>
    <x v="202"/>
    <x v="273"/>
    <x v="158"/>
    <n v="480"/>
    <s v="unit"/>
    <n v="1"/>
    <n v="0"/>
    <n v="0"/>
    <n v="480"/>
    <m/>
    <x v="322"/>
    <x v="0"/>
    <s v="Rogworld Lemonade Octane vape 1g_extract_inhaled_labelled_Rohan"/>
    <n v="263"/>
  </r>
  <r>
    <n v="744"/>
    <n v="4"/>
    <x v="799"/>
    <x v="0"/>
    <s v="T043PR"/>
    <s v="B02"/>
    <s v="T043PRB02"/>
    <s v="preroll_bulk"/>
    <x v="193"/>
    <x v="280"/>
    <x v="2"/>
    <n v="44"/>
    <s v="unit"/>
    <n v="0.5"/>
    <n v="0"/>
    <n v="0"/>
    <n v="22"/>
    <m/>
    <x v="322"/>
    <x v="0"/>
    <s v="Mango preroll 0.5g_preroll_bulk"/>
    <n v="268"/>
  </r>
  <r>
    <n v="749"/>
    <n v="1"/>
    <x v="800"/>
    <x v="1"/>
    <s v="P015EX"/>
    <s v="NA"/>
    <s v="P015EXNA"/>
    <s v="extract_ingested_bulk"/>
    <x v="28"/>
    <x v="267"/>
    <x v="2"/>
    <n v="1"/>
    <s v="pail"/>
    <n v="8010"/>
    <n v="9965"/>
    <n v="1955"/>
    <n v="8010"/>
    <m/>
    <x v="322"/>
    <x v="1"/>
    <s v="Bacon CBD Extract_extract_ingested_bulk"/>
    <n v="9"/>
  </r>
  <r>
    <n v="751"/>
    <n v="2"/>
    <x v="801"/>
    <x v="0"/>
    <s v="T162EX"/>
    <s v="NA"/>
    <s v="T162EXNA"/>
    <s v="extract_inhaled_labelled"/>
    <x v="0"/>
    <x v="0"/>
    <x v="149"/>
    <n v="254"/>
    <s v="unit"/>
    <n v="0.5"/>
    <n v="0"/>
    <n v="0"/>
    <n v="127"/>
    <m/>
    <x v="322"/>
    <x v="0"/>
    <s v="November Rain Vape Canadian Thunder 0.5g Sativa_extract_inhaled_labelled"/>
    <n v="83"/>
  </r>
  <r>
    <n v="753"/>
    <n v="0"/>
    <x v="802"/>
    <x v="0"/>
    <s v="T068PR"/>
    <s v="NA"/>
    <s v="T068PRNA"/>
    <s v="preroll_labelled"/>
    <x v="106"/>
    <x v="281"/>
    <x v="159"/>
    <n v="69"/>
    <s v="unit"/>
    <n v="1.5"/>
    <n v="0"/>
    <n v="0"/>
    <n v="103.5"/>
    <m/>
    <x v="322"/>
    <x v="0"/>
    <s v="November Rain Lemon Ice Tea preroll 3 x 0.5g_preroll_labelled"/>
    <n v="77"/>
  </r>
  <r>
    <n v="754"/>
    <n v="1"/>
    <x v="803"/>
    <x v="0"/>
    <s v="RACK_B"/>
    <s v="GRID_2"/>
    <s v="RACK_BGRID_2"/>
    <s v="preroll_labelled"/>
    <x v="98"/>
    <x v="105"/>
    <x v="149"/>
    <n v="1"/>
    <s v="unit"/>
    <n v="1.5"/>
    <n v="0"/>
    <n v="0"/>
    <n v="1.5"/>
    <m/>
    <x v="322"/>
    <x v="0"/>
    <s v="November Rain Blueberry preroll 3 x 0.5g_preroll_labelled"/>
    <n v="76"/>
  </r>
  <r>
    <n v="754"/>
    <n v="2"/>
    <x v="804"/>
    <x v="0"/>
    <s v="RACK_B"/>
    <s v="GRID_2"/>
    <s v="RACK_BGRID_2"/>
    <s v="preroll_packaged"/>
    <x v="98"/>
    <x v="105"/>
    <x v="2"/>
    <n v="21"/>
    <s v="unit"/>
    <n v="1.5"/>
    <n v="0"/>
    <n v="0"/>
    <n v="31.5"/>
    <m/>
    <x v="322"/>
    <x v="0"/>
    <s v="November Rain Blueberry preroll 3 x 0.5g_preroll_packaged"/>
    <n v="123"/>
  </r>
  <r>
    <n v="755"/>
    <n v="0"/>
    <x v="805"/>
    <x v="0"/>
    <s v="NA"/>
    <s v="NA"/>
    <s v="NANA"/>
    <s v="driedflower_milled_bulk"/>
    <x v="11"/>
    <x v="274"/>
    <x v="2"/>
    <n v="1"/>
    <s v="pail"/>
    <n v="1594"/>
    <n v="3358"/>
    <n v="1764"/>
    <n v="1594"/>
    <m/>
    <x v="322"/>
    <x v="0"/>
    <s v="Gelato milled flower_driedflower_milled_bulk"/>
    <n v="41"/>
  </r>
  <r>
    <n v="756"/>
    <n v="1"/>
    <x v="806"/>
    <x v="0"/>
    <s v="T070PR"/>
    <s v="NA"/>
    <s v="T070PRNA"/>
    <s v="preroll_labelled"/>
    <x v="151"/>
    <x v="282"/>
    <x v="158"/>
    <n v="68"/>
    <s v="unit"/>
    <n v="5"/>
    <n v="0"/>
    <n v="0"/>
    <n v="340"/>
    <m/>
    <x v="322"/>
    <x v="0"/>
    <s v="Midnight Kruntz pre-roll 10x0.5g_preroll_labelled"/>
    <n v="189"/>
  </r>
  <r>
    <n v="757"/>
    <n v="0"/>
    <x v="807"/>
    <x v="0"/>
    <s v="T071PR"/>
    <s v="NA"/>
    <s v="T071PRNA"/>
    <s v="preroll_labelled"/>
    <x v="185"/>
    <x v="242"/>
    <x v="158"/>
    <n v="276"/>
    <s v="unit"/>
    <n v="2"/>
    <n v="0"/>
    <n v="0"/>
    <n v="552"/>
    <m/>
    <x v="322"/>
    <x v="0"/>
    <s v="Animal Mint pre-roll 2 x 1g_preroll_labelled"/>
    <n v="265"/>
  </r>
  <r>
    <n v="758"/>
    <n v="0"/>
    <x v="808"/>
    <x v="0"/>
    <s v="T072PR"/>
    <s v="NA"/>
    <s v="T072PRNA"/>
    <s v="preroll_labelled"/>
    <x v="70"/>
    <x v="283"/>
    <x v="160"/>
    <n v="92"/>
    <s v="unit"/>
    <n v="1.5"/>
    <n v="0"/>
    <n v="0"/>
    <n v="138"/>
    <m/>
    <x v="322"/>
    <x v="0"/>
    <s v="November Rain Rose preroll 3 x 0.5g_preroll_labelled"/>
    <n v="79"/>
  </r>
  <r>
    <n v="752"/>
    <n v="1"/>
    <x v="809"/>
    <x v="0"/>
    <s v="T160EX"/>
    <s v="NA"/>
    <s v="T160EXNA"/>
    <s v="extract_ingested_labelled"/>
    <x v="93"/>
    <x v="284"/>
    <x v="154"/>
    <n v="30"/>
    <s v="unit"/>
    <n v="27.3"/>
    <n v="0"/>
    <n v="0"/>
    <n v="819"/>
    <m/>
    <x v="323"/>
    <x v="0"/>
    <s v="CBD Bacon Oil 10 mg 27.3g_extract_ingested_labelled"/>
    <n v="17"/>
  </r>
  <r>
    <n v="752"/>
    <n v="2"/>
    <x v="810"/>
    <x v="0"/>
    <s v="T160EX"/>
    <s v="NA"/>
    <s v="T160EXNA"/>
    <s v="extract_ingested_labelled"/>
    <x v="93"/>
    <x v="284"/>
    <x v="154"/>
    <n v="84"/>
    <s v="unit"/>
    <n v="27.3"/>
    <n v="0"/>
    <n v="0"/>
    <n v="2293.2000000000003"/>
    <m/>
    <x v="323"/>
    <x v="0"/>
    <s v="CBD Bacon Oil 10 mg 27.3g_extract_ingested_labelled"/>
    <n v="17"/>
  </r>
  <r>
    <n v="752"/>
    <n v="3"/>
    <x v="811"/>
    <x v="0"/>
    <s v="T160EX"/>
    <s v="NA"/>
    <s v="T160EXNA"/>
    <s v="extract_ingested_labelled"/>
    <x v="93"/>
    <x v="284"/>
    <x v="154"/>
    <n v="84"/>
    <s v="unit"/>
    <n v="27.3"/>
    <n v="0"/>
    <n v="0"/>
    <n v="2293.2000000000003"/>
    <m/>
    <x v="323"/>
    <x v="0"/>
    <s v="CBD Bacon Oil 10 mg 27.3g_extract_ingested_labelled"/>
    <n v="17"/>
  </r>
  <r>
    <n v="420"/>
    <n v="0"/>
    <x v="812"/>
    <x v="0"/>
    <s v="T009TP"/>
    <s v="NA"/>
    <s v="T009TPNA"/>
    <s v="topical_labelled"/>
    <x v="66"/>
    <x v="131"/>
    <x v="80"/>
    <n v="46"/>
    <s v="unit"/>
    <n v="88"/>
    <n v="0"/>
    <n v="0"/>
    <n v="4048"/>
    <m/>
    <x v="324"/>
    <x v="0"/>
    <s v="Extra Strength Roll-on 88g_topical_labelled"/>
    <n v="31"/>
  </r>
  <r>
    <n v="745"/>
    <n v="1"/>
    <x v="813"/>
    <x v="0"/>
    <s v="T018TP"/>
    <s v="NA"/>
    <s v="T018TPNA"/>
    <s v="topical_labelled"/>
    <x v="55"/>
    <x v="261"/>
    <x v="127"/>
    <n v="59"/>
    <s v="unit"/>
    <n v="88"/>
    <n v="0"/>
    <n v="0"/>
    <n v="5192"/>
    <m/>
    <x v="325"/>
    <x v="0"/>
    <s v="Maximum Strength Roll-on 88g_topical_labelled"/>
    <n v="72"/>
  </r>
  <r>
    <n v="743"/>
    <n v="1"/>
    <x v="814"/>
    <x v="0"/>
    <s v="P017EX"/>
    <s v="NA"/>
    <s v="P017EXNA"/>
    <s v="extract_inhaled_bulk_Rohan"/>
    <x v="190"/>
    <x v="250"/>
    <x v="2"/>
    <n v="1"/>
    <s v="pail"/>
    <n v="2000"/>
    <n v="4450"/>
    <n v="2450"/>
    <n v="2000"/>
    <s v="250009LF"/>
    <x v="326"/>
    <x v="1"/>
    <s v="Runtz Muffin Crumble (Rohan)_extract_inhaled_bulk_Rohan"/>
    <n v="264"/>
  </r>
  <r>
    <n v="759"/>
    <n v="0"/>
    <x v="815"/>
    <x v="0"/>
    <s v="T074DF"/>
    <s v="NA"/>
    <s v="T074DFNA"/>
    <s v="driedflower_bulk_Rohan"/>
    <x v="189"/>
    <x v="285"/>
    <x v="2"/>
    <n v="1"/>
    <s v="bag"/>
    <n v="3000"/>
    <n v="3074"/>
    <n v="74"/>
    <n v="3000"/>
    <s v="SMALL FLOWER"/>
    <x v="327"/>
    <x v="1"/>
    <s v="Rockstar dried flower_driedflower_bulk_Rohan"/>
    <n v="260"/>
  </r>
  <r>
    <n v="759"/>
    <n v="1"/>
    <x v="816"/>
    <x v="0"/>
    <s v="T074DF"/>
    <s v="NA"/>
    <s v="T074DFNA"/>
    <s v="driedflower_bulk_Rohan"/>
    <x v="189"/>
    <x v="285"/>
    <x v="2"/>
    <n v="1"/>
    <s v="bag"/>
    <n v="3000"/>
    <n v="3074"/>
    <n v="74"/>
    <n v="3000"/>
    <s v="MEDIUM FLOWER"/>
    <x v="327"/>
    <x v="1"/>
    <s v="Rockstar dried flower_driedflower_bulk_Rohan"/>
    <n v="260"/>
  </r>
  <r>
    <n v="759"/>
    <n v="2"/>
    <x v="817"/>
    <x v="0"/>
    <s v="T075DF"/>
    <s v="NA"/>
    <s v="T075DFNA"/>
    <s v="driedflower_bulk_Rohan"/>
    <x v="189"/>
    <x v="285"/>
    <x v="2"/>
    <n v="1"/>
    <s v="bag"/>
    <n v="1000"/>
    <n v="1032"/>
    <n v="32"/>
    <n v="1000"/>
    <s v="BIG FLOWER"/>
    <x v="327"/>
    <x v="1"/>
    <s v="Rockstar dried flower_driedflower_bulk_Rohan"/>
    <n v="260"/>
  </r>
  <r>
    <n v="759"/>
    <n v="3"/>
    <x v="818"/>
    <x v="0"/>
    <s v="T075DF"/>
    <s v="NA"/>
    <s v="T075DFNA"/>
    <s v="driedflower_bulk_Rohan"/>
    <x v="189"/>
    <x v="285"/>
    <x v="2"/>
    <n v="1"/>
    <s v="bag"/>
    <n v="1000"/>
    <n v="1032"/>
    <n v="32"/>
    <n v="1000"/>
    <s v="BIG FLOWER"/>
    <x v="327"/>
    <x v="1"/>
    <s v="Rockstar dried flower_driedflower_bulk_Rohan"/>
    <n v="260"/>
  </r>
  <r>
    <n v="759"/>
    <n v="4"/>
    <x v="819"/>
    <x v="0"/>
    <s v="T075DF"/>
    <s v="NA"/>
    <s v="T075DFNA"/>
    <s v="driedflower_bulk_Rohan"/>
    <x v="189"/>
    <x v="285"/>
    <x v="2"/>
    <n v="1"/>
    <s v="bag"/>
    <n v="1000"/>
    <n v="1032"/>
    <n v="32"/>
    <n v="1000"/>
    <s v="BIG FLOWER"/>
    <x v="327"/>
    <x v="1"/>
    <s v="Rockstar dried flower_driedflower_bulk_Rohan"/>
    <n v="260"/>
  </r>
  <r>
    <n v="759"/>
    <n v="5"/>
    <x v="820"/>
    <x v="0"/>
    <s v="T075DF"/>
    <s v="NA"/>
    <s v="T075DFNA"/>
    <s v="driedflower_bulk_Rohan"/>
    <x v="189"/>
    <x v="285"/>
    <x v="2"/>
    <n v="1"/>
    <s v="bag"/>
    <n v="1000"/>
    <n v="1032"/>
    <n v="32"/>
    <n v="1000"/>
    <s v="BIG FLOWER"/>
    <x v="327"/>
    <x v="1"/>
    <s v="Rockstar dried flower_driedflower_bulk_Rohan"/>
    <n v="260"/>
  </r>
  <r>
    <n v="646"/>
    <n v="1"/>
    <x v="821"/>
    <x v="0"/>
    <s v="P018EX"/>
    <s v="NA"/>
    <s v="P018EXNA"/>
    <s v="extract_distillate_bulk"/>
    <x v="91"/>
    <x v="286"/>
    <x v="2"/>
    <n v="1"/>
    <s v="pail"/>
    <n v="5000"/>
    <n v="6756"/>
    <n v="1756"/>
    <n v="5000"/>
    <m/>
    <x v="328"/>
    <x v="1"/>
    <s v="CBD isolate_extract_distillate_bulk"/>
    <n v="18"/>
  </r>
  <r>
    <n v="760"/>
    <n v="0"/>
    <x v="822"/>
    <x v="0"/>
    <s v="T076DF"/>
    <s v="B01"/>
    <s v="T076DFB01"/>
    <s v="driedflower_bulk_BURB"/>
    <x v="137"/>
    <x v="287"/>
    <x v="2"/>
    <n v="1"/>
    <s v="bag"/>
    <n v="1000"/>
    <n v="1058"/>
    <n v="58"/>
    <n v="1000"/>
    <m/>
    <x v="328"/>
    <x v="1"/>
    <s v="Blue Gum Dried Flower Grade A_driedflower_bulk_BURB"/>
    <n v="177"/>
  </r>
  <r>
    <n v="760"/>
    <n v="1"/>
    <x v="823"/>
    <x v="0"/>
    <s v="T076DF"/>
    <s v="B02"/>
    <s v="T076DFB02"/>
    <s v="driedflower_bulk_BURB"/>
    <x v="137"/>
    <x v="287"/>
    <x v="2"/>
    <n v="1"/>
    <s v="bag"/>
    <n v="1000"/>
    <n v="1060"/>
    <n v="60"/>
    <n v="1000"/>
    <m/>
    <x v="328"/>
    <x v="1"/>
    <s v="Blue Gum Dried Flower Grade A_driedflower_bulk_BURB"/>
    <n v="177"/>
  </r>
  <r>
    <n v="760"/>
    <n v="2"/>
    <x v="824"/>
    <x v="0"/>
    <s v="T076DF"/>
    <s v="B03"/>
    <s v="T076DFB03"/>
    <s v="driedflower_bulk_BURB"/>
    <x v="137"/>
    <x v="287"/>
    <x v="2"/>
    <n v="1"/>
    <s v="bag"/>
    <n v="1100"/>
    <n v="1198"/>
    <n v="98"/>
    <n v="1100"/>
    <m/>
    <x v="328"/>
    <x v="1"/>
    <s v="Blue Gum Dried Flower Grade A_driedflower_bulk_BURB"/>
    <n v="177"/>
  </r>
  <r>
    <n v="760"/>
    <n v="3"/>
    <x v="825"/>
    <x v="0"/>
    <s v="T076DF"/>
    <s v="B04"/>
    <s v="T076DFB04"/>
    <s v="driedflower_bulk_BURB"/>
    <x v="137"/>
    <x v="287"/>
    <x v="2"/>
    <n v="1"/>
    <s v="bag"/>
    <n v="1100"/>
    <n v="1154"/>
    <n v="54"/>
    <n v="1100"/>
    <m/>
    <x v="328"/>
    <x v="1"/>
    <s v="Blue Gum Dried Flower Grade A_driedflower_bulk_BURB"/>
    <n v="177"/>
  </r>
  <r>
    <n v="760"/>
    <n v="4"/>
    <x v="826"/>
    <x v="0"/>
    <s v="T076DF"/>
    <s v="B05"/>
    <s v="T076DFB05"/>
    <s v="driedflower_bulk_BURB"/>
    <x v="137"/>
    <x v="287"/>
    <x v="2"/>
    <n v="1"/>
    <s v="bag"/>
    <n v="1000"/>
    <n v="1058"/>
    <n v="58"/>
    <n v="1000"/>
    <m/>
    <x v="328"/>
    <x v="1"/>
    <s v="Blue Gum Dried Flower Grade A_driedflower_bulk_BURB"/>
    <n v="177"/>
  </r>
  <r>
    <n v="505"/>
    <n v="0"/>
    <x v="827"/>
    <x v="0"/>
    <s v="J030EX"/>
    <s v="NA"/>
    <s v="J030EXNA"/>
    <s v="extract_distillate_bulk"/>
    <x v="92"/>
    <x v="170"/>
    <x v="2"/>
    <n v="1"/>
    <s v="unit"/>
    <n v="74.300000000000011"/>
    <n v="269.98"/>
    <n v="195.68"/>
    <n v="74.300000000000011"/>
    <m/>
    <x v="329"/>
    <x v="1"/>
    <s v="THC Distillate_extract_distillate_bulk"/>
    <n v="104"/>
  </r>
  <r>
    <n v="761"/>
    <n v="1"/>
    <x v="828"/>
    <x v="0"/>
    <s v="T077DF"/>
    <s v="NA"/>
    <s v="T077DFNA"/>
    <s v="preroll_cased_SK_RTV"/>
    <x v="98"/>
    <x v="105"/>
    <x v="82"/>
    <n v="19"/>
    <s v="case"/>
    <n v="1.5"/>
    <n v="0"/>
    <n v="0"/>
    <n v="28.5"/>
    <m/>
    <x v="330"/>
    <x v="0"/>
    <s v="November Rain Blueberry preroll 3 x 0.5g_preroll_cased_SK_RTV"/>
    <n v="281"/>
  </r>
  <r>
    <n v="761"/>
    <n v="2"/>
    <x v="829"/>
    <x v="0"/>
    <s v="T077DF"/>
    <s v="NA"/>
    <s v="T077DFNA"/>
    <s v="preroll_cased_SK_RTV"/>
    <x v="120"/>
    <x v="134"/>
    <x v="3"/>
    <n v="12"/>
    <s v="case"/>
    <n v="1"/>
    <n v="0"/>
    <n v="0"/>
    <n v="12"/>
    <m/>
    <x v="330"/>
    <x v="0"/>
    <s v="Monkey King preroll 2 x 0.5g_preroll_cased_SK_RTV"/>
    <n v="282"/>
  </r>
  <r>
    <n v="761"/>
    <n v="3"/>
    <x v="830"/>
    <x v="0"/>
    <s v="T163EX"/>
    <s v="NA"/>
    <s v="T163EXNA"/>
    <s v="extract_inhaled_cased_SK_RTV"/>
    <x v="108"/>
    <x v="118"/>
    <x v="74"/>
    <n v="9"/>
    <s v="case"/>
    <n v="6"/>
    <n v="0"/>
    <n v="0"/>
    <n v="54"/>
    <m/>
    <x v="330"/>
    <x v="0"/>
    <s v="November Rain Vape Platinum Sunrise 0.5G Sativa_extract_inhaled_cased_SK_RTV"/>
    <n v="283"/>
  </r>
  <r>
    <n v="761"/>
    <n v="4"/>
    <x v="831"/>
    <x v="0"/>
    <s v="T163EX"/>
    <s v="NA"/>
    <s v="T163EXNA"/>
    <s v="extract_inhaled_cased_SK_RTV"/>
    <x v="107"/>
    <x v="288"/>
    <x v="86"/>
    <n v="8"/>
    <s v="case"/>
    <n v="6"/>
    <n v="0"/>
    <n v="0"/>
    <n v="48"/>
    <m/>
    <x v="330"/>
    <x v="0"/>
    <s v="November Rain Vape Strawberry Drizzle 0.5g Hybrid_extract_inhaled_cased_SK_RTV"/>
    <n v="284"/>
  </r>
  <r>
    <n v="761"/>
    <n v="5"/>
    <x v="832"/>
    <x v="0"/>
    <s v="T163EX"/>
    <s v="NA"/>
    <s v="T163EXNA"/>
    <s v="extract_inhaled_cased_SK_RTV"/>
    <x v="0"/>
    <x v="151"/>
    <x v="86"/>
    <n v="7"/>
    <s v="case"/>
    <n v="6"/>
    <n v="0"/>
    <n v="0"/>
    <n v="42"/>
    <m/>
    <x v="330"/>
    <x v="0"/>
    <s v="November Rain Vape Canadian Thunder 0.5g Sativa_extract_inhaled_cased_SK_RTV"/>
    <n v="285"/>
  </r>
  <r>
    <n v="761"/>
    <n v="6"/>
    <x v="833"/>
    <x v="0"/>
    <s v="T163EX"/>
    <s v="NA"/>
    <s v="T163EXNA"/>
    <s v="extract_inhaled_cased_SK_RTV"/>
    <x v="117"/>
    <x v="179"/>
    <x v="94"/>
    <n v="10"/>
    <s v="case"/>
    <n v="6"/>
    <n v="0"/>
    <n v="0"/>
    <n v="60"/>
    <m/>
    <x v="330"/>
    <x v="0"/>
    <s v="November Rain Vape Canadian OG Vape 0.5g_extract_inhaled_cased_SK_RTV"/>
    <n v="286"/>
  </r>
  <r>
    <n v="761"/>
    <n v="7"/>
    <x v="834"/>
    <x v="0"/>
    <s v="T163EX"/>
    <s v="NA"/>
    <s v="T163EXNA"/>
    <s v="extract_inhaled_cased_SK_RTV"/>
    <x v="111"/>
    <x v="164"/>
    <x v="94"/>
    <n v="9"/>
    <s v="case"/>
    <n v="6"/>
    <n v="0"/>
    <n v="0"/>
    <n v="54"/>
    <m/>
    <x v="330"/>
    <x v="0"/>
    <s v="November Rain Vape Caribbean Breeze Hybrid 0.5g Live Rosin Disposable Bar_extract_inhaled_cased_SK_RTV"/>
    <n v="287"/>
  </r>
  <r>
    <n v="761"/>
    <n v="8"/>
    <x v="835"/>
    <x v="0"/>
    <s v="T163EX"/>
    <s v="NA"/>
    <s v="T163EXNA"/>
    <s v="extract_inhaled_cased_SK_RTV"/>
    <x v="99"/>
    <x v="150"/>
    <x v="90"/>
    <n v="3"/>
    <s v="case"/>
    <n v="6"/>
    <n v="0"/>
    <n v="0"/>
    <n v="18"/>
    <m/>
    <x v="330"/>
    <x v="0"/>
    <s v="November Rain Vape Tropical Meteor Shower 0.5g Sativa_extract_inhaled_cased_SK_RTV"/>
    <n v="288"/>
  </r>
  <r>
    <n v="761"/>
    <n v="9"/>
    <x v="836"/>
    <x v="0"/>
    <s v="T078DF"/>
    <s v="NA"/>
    <s v="T078DFNA"/>
    <s v="preroll_cased_SK_RTV"/>
    <x v="61"/>
    <x v="133"/>
    <x v="88"/>
    <n v="18"/>
    <s v="case"/>
    <n v="1.5"/>
    <n v="0"/>
    <n v="0"/>
    <n v="27"/>
    <m/>
    <x v="330"/>
    <x v="0"/>
    <s v="November Rain Watermelon preroll 3 x 0.5g_preroll_cased_SK_RTV"/>
    <n v="289"/>
  </r>
  <r>
    <n v="761"/>
    <n v="10"/>
    <x v="837"/>
    <x v="0"/>
    <s v="T078DF"/>
    <s v="NA"/>
    <s v="T078DFNA"/>
    <s v="preroll_cased_SK_RTV"/>
    <x v="70"/>
    <x v="71"/>
    <x v="83"/>
    <n v="17"/>
    <s v="case"/>
    <n v="1.5"/>
    <n v="0"/>
    <n v="0"/>
    <n v="25.5"/>
    <m/>
    <x v="330"/>
    <x v="0"/>
    <s v="November Rain Rose preroll 3 x 0.5g_preroll_cased_SK_RTV"/>
    <n v="290"/>
  </r>
  <r>
    <n v="761"/>
    <n v="11"/>
    <x v="838"/>
    <x v="0"/>
    <s v="NA"/>
    <s v="NA"/>
    <s v="NANA"/>
    <s v="topical_cased_SK_RTV"/>
    <x v="133"/>
    <x v="182"/>
    <x v="106"/>
    <n v="2"/>
    <s v="case"/>
    <n v="2700"/>
    <n v="0"/>
    <n v="0"/>
    <n v="5400"/>
    <m/>
    <x v="330"/>
    <x v="0"/>
    <s v="NUDH bath salt 450 gram_topical_cased_SK_RTV"/>
    <n v="291"/>
  </r>
  <r>
    <n v="761"/>
    <n v="12"/>
    <x v="839"/>
    <x v="0"/>
    <s v="NA"/>
    <s v="NA"/>
    <s v="NANA"/>
    <s v="topical_cased_SK_RTV"/>
    <x v="133"/>
    <x v="162"/>
    <x v="103"/>
    <n v="32"/>
    <s v="case"/>
    <n v="2700"/>
    <n v="0"/>
    <n v="0"/>
    <n v="86400"/>
    <m/>
    <x v="330"/>
    <x v="0"/>
    <s v="NUDH bath salt 450 gram_topical_cased_SK_RTV"/>
    <n v="291"/>
  </r>
  <r>
    <n v="747"/>
    <n v="3"/>
    <x v="840"/>
    <x v="0"/>
    <s v="RACK_B"/>
    <s v="GRID_1"/>
    <s v="RACK_B-GRID_1"/>
    <s v="preroll_labelled"/>
    <x v="198"/>
    <x v="264"/>
    <x v="161"/>
    <n v="353"/>
    <s v="unit"/>
    <n v="1.5"/>
    <n v="0"/>
    <n v="0"/>
    <n v="529.5"/>
    <m/>
    <x v="331"/>
    <x v="0"/>
    <s v="November Rain Gastro-pop Diamond Infused 3x0.5g Pre-Rolls_preroll_labelled"/>
    <n v="274"/>
  </r>
  <r>
    <n v="586"/>
    <n v="1"/>
    <x v="841"/>
    <x v="0"/>
    <s v="T020TP"/>
    <s v="NA"/>
    <s v="T020TPNA"/>
    <s v="topical_cased_AB_RTV"/>
    <x v="1"/>
    <x v="1"/>
    <x v="1"/>
    <n v="14"/>
    <s v="case"/>
    <n v="540"/>
    <n v="0"/>
    <n v="0"/>
    <n v="7560"/>
    <m/>
    <x v="332"/>
    <x v="0"/>
    <s v="Maximum Strength Mini Roll-on 45g_topical_cased_AB_RTV"/>
    <n v="292"/>
  </r>
  <r>
    <n v="586"/>
    <n v="2"/>
    <x v="842"/>
    <x v="0"/>
    <s v="T021TP"/>
    <s v="NA"/>
    <s v="T021TPNA"/>
    <s v="topical_cased_AB_RTV"/>
    <x v="1"/>
    <x v="1"/>
    <x v="1"/>
    <n v="15"/>
    <s v="case"/>
    <n v="540"/>
    <n v="0"/>
    <n v="0"/>
    <n v="8100"/>
    <m/>
    <x v="332"/>
    <x v="0"/>
    <s v="Maximum Strength Mini Roll-on 45g_topical_cased_AB_RTV"/>
    <n v="292"/>
  </r>
  <r>
    <n v="762"/>
    <n v="0"/>
    <x v="843"/>
    <x v="0"/>
    <s v="RACK_D"/>
    <s v="GRID_1"/>
    <s v="RACK_DGRID_1"/>
    <s v="extract_inhaled_labelled"/>
    <x v="208"/>
    <x v="275"/>
    <x v="162"/>
    <n v="104"/>
    <s v="unit"/>
    <n v="1"/>
    <n v="0"/>
    <n v="0"/>
    <n v="104"/>
    <m/>
    <x v="333"/>
    <x v="0"/>
    <s v="White widow Live Resin 1g_extract_inhaled_labelled"/>
    <n v="293"/>
  </r>
  <r>
    <n v="744"/>
    <n v="5"/>
    <x v="844"/>
    <x v="0"/>
    <s v="T043PR"/>
    <s v="B05"/>
    <s v="T043PRB05"/>
    <s v="preroll_bulk"/>
    <x v="193"/>
    <x v="289"/>
    <x v="2"/>
    <n v="62"/>
    <s v="unit"/>
    <n v="0.5"/>
    <n v="0"/>
    <n v="0"/>
    <n v="31"/>
    <m/>
    <x v="334"/>
    <x v="0"/>
    <s v="Mango preroll 0.5g_preroll_bulk"/>
    <n v="268"/>
  </r>
  <r>
    <n v="744"/>
    <n v="6"/>
    <x v="845"/>
    <x v="0"/>
    <s v="T043PR"/>
    <s v="B04"/>
    <s v="T043PRB04"/>
    <s v="preroll_bulk"/>
    <x v="194"/>
    <x v="290"/>
    <x v="2"/>
    <n v="141"/>
    <s v="unit"/>
    <n v="0.5"/>
    <n v="0"/>
    <n v="0"/>
    <n v="70.5"/>
    <m/>
    <x v="335"/>
    <x v="0"/>
    <s v="Strawberry preroll 0.5g_preroll_bulk"/>
    <n v="271"/>
  </r>
  <r>
    <n v="739"/>
    <n v="2"/>
    <x v="846"/>
    <x v="0"/>
    <s v="T067DF"/>
    <s v="B08"/>
    <s v="T067DFB08"/>
    <s v="preroll_bulk"/>
    <x v="192"/>
    <x v="291"/>
    <x v="2"/>
    <n v="108"/>
    <s v="unit"/>
    <n v="0.5"/>
    <n v="0"/>
    <n v="0"/>
    <n v="54"/>
    <m/>
    <x v="336"/>
    <x v="0"/>
    <s v="Pineapple blaster preroll 0.5g_preroll_bulk"/>
    <n v="302"/>
  </r>
  <r>
    <n v="489"/>
    <n v="1"/>
    <x v="847"/>
    <x v="0"/>
    <s v="RACK_B"/>
    <s v="GRID_2"/>
    <s v="RACK_BGRID_2"/>
    <s v="preroll_bulk"/>
    <x v="72"/>
    <x v="292"/>
    <x v="2"/>
    <n v="1"/>
    <s v="unit"/>
    <n v="0.5"/>
    <n v="0"/>
    <n v="0"/>
    <n v="0.5"/>
    <m/>
    <x v="337"/>
    <x v="0"/>
    <s v="November Rain Blueberry preroll 0.5g_preroll_bulk"/>
    <n v="75"/>
  </r>
  <r>
    <n v="764"/>
    <n v="0"/>
    <x v="848"/>
    <x v="0"/>
    <s v="P0123MF"/>
    <s v="NA"/>
    <s v="P0123MFNA"/>
    <s v="driedflower_milled_bulk"/>
    <x v="11"/>
    <x v="293"/>
    <x v="163"/>
    <n v="1"/>
    <s v="pail"/>
    <n v="1782"/>
    <n v="3546"/>
    <n v="1764"/>
    <n v="1782"/>
    <m/>
    <x v="338"/>
    <x v="1"/>
    <s v="Gelato milled flower_driedflower_milled_bulk"/>
    <n v="41"/>
  </r>
  <r>
    <n v="763"/>
    <n v="0"/>
    <x v="849"/>
    <x v="0"/>
    <s v="P030MF"/>
    <s v="NA"/>
    <s v="P030MFNA"/>
    <s v="driedflower_milled_bulk_Rohan"/>
    <x v="207"/>
    <x v="294"/>
    <x v="2"/>
    <n v="1"/>
    <s v="pail"/>
    <n v="2138"/>
    <n v="3902"/>
    <n v="1764"/>
    <n v="2138"/>
    <m/>
    <x v="339"/>
    <x v="1"/>
    <s v="Rockstar milled flower_driedflower_milled_bulk_Rohan"/>
    <n v="294"/>
  </r>
  <r>
    <n v="765"/>
    <n v="0"/>
    <x v="850"/>
    <x v="0"/>
    <s v="P019EX"/>
    <s v="NA"/>
    <s v="P019EXNA"/>
    <s v="extract_distillate_bulk"/>
    <x v="92"/>
    <x v="295"/>
    <x v="2"/>
    <n v="1"/>
    <s v="pail"/>
    <n v="3000"/>
    <n v="4002"/>
    <n v="1002"/>
    <n v="3000"/>
    <m/>
    <x v="340"/>
    <x v="1"/>
    <s v="THC Distillate_extract_distillate_bulk"/>
    <n v="104"/>
  </r>
  <r>
    <n v="754"/>
    <n v="0"/>
    <x v="851"/>
    <x v="0"/>
    <s v="T069PR"/>
    <s v="NA"/>
    <s v="T069PRNA"/>
    <s v="preroll_labelled"/>
    <x v="98"/>
    <x v="296"/>
    <x v="159"/>
    <n v="16"/>
    <s v="unit"/>
    <n v="1.5"/>
    <n v="0"/>
    <n v="0"/>
    <n v="24"/>
    <m/>
    <x v="341"/>
    <x v="0"/>
    <s v="November Rain Blueberry preroll 3 x 0.5g_preroll_labelled"/>
    <n v="76"/>
  </r>
  <r>
    <n v="97"/>
    <n v="0"/>
    <x v="852"/>
    <x v="0"/>
    <s v="P010MF"/>
    <s v="NA"/>
    <s v="P010MFNA"/>
    <s v="driedflower_milled_bulk"/>
    <x v="11"/>
    <x v="33"/>
    <x v="164"/>
    <n v="1"/>
    <s v="pail"/>
    <n v="1781"/>
    <n v="3546"/>
    <n v="1765"/>
    <n v="1781"/>
    <m/>
    <x v="342"/>
    <x v="1"/>
    <s v="Gelato milled flower_driedflower_milled_bulk"/>
    <n v="41"/>
  </r>
  <r>
    <n v="658"/>
    <n v="0"/>
    <x v="853"/>
    <x v="0"/>
    <s v="P022MF"/>
    <s v="NA"/>
    <s v="P022MFNA"/>
    <s v="driedflower_milled_bulk"/>
    <x v="152"/>
    <x v="202"/>
    <x v="2"/>
    <n v="1"/>
    <s v="pail"/>
    <n v="1998"/>
    <n v="3868"/>
    <n v="1870"/>
    <n v="1998"/>
    <m/>
    <x v="343"/>
    <x v="1"/>
    <s v="Animal Mint milled flower_driedflower_milled_bulk"/>
    <n v="20"/>
  </r>
  <r>
    <n v="741"/>
    <n v="4"/>
    <x v="854"/>
    <x v="0"/>
    <s v="P032MF"/>
    <s v="NA"/>
    <s v="P032MFNA"/>
    <s v="diredflower_milled_bulk_Rohan"/>
    <x v="207"/>
    <x v="279"/>
    <x v="2"/>
    <n v="1"/>
    <s v="pail"/>
    <n v="4366"/>
    <n v="4366"/>
    <n v="1570"/>
    <n v="4366"/>
    <m/>
    <x v="344"/>
    <x v="1"/>
    <s v="Rockstar milled flower_diredflower_milled_bulk_Rohan"/>
    <n v="266"/>
  </r>
  <r>
    <n v="501"/>
    <n v="1"/>
    <x v="855"/>
    <x v="0"/>
    <s v="J029EX"/>
    <s v="NA"/>
    <s v="J029EXNA"/>
    <s v="extract_inhaled_bulk"/>
    <x v="125"/>
    <x v="297"/>
    <x v="2"/>
    <n v="1"/>
    <s v="pail"/>
    <n v="105"/>
    <n v="1085"/>
    <n v="980"/>
    <n v="105"/>
    <m/>
    <x v="345"/>
    <x v="1"/>
    <s v="Strawberry Drizzle Vape _extract_inhaled_bulk"/>
    <n v="146"/>
  </r>
  <r>
    <n v="764"/>
    <n v="1"/>
    <x v="856"/>
    <x v="0"/>
    <s v="P031MF"/>
    <s v="NA"/>
    <s v="P031MFNA"/>
    <s v="driedflower_milled_bulk"/>
    <x v="11"/>
    <x v="293"/>
    <x v="2"/>
    <n v="1"/>
    <s v="pail"/>
    <n v="2310"/>
    <n v="4070"/>
    <n v="1760"/>
    <n v="2310"/>
    <m/>
    <x v="345"/>
    <x v="1"/>
    <s v="Gelato milled flower_driedflower_milled_bulk"/>
    <n v="41"/>
  </r>
  <r>
    <n v="766"/>
    <n v="1"/>
    <x v="857"/>
    <x v="0"/>
    <s v="T077PR"/>
    <s v="NA"/>
    <s v="T077PRNA"/>
    <s v="preroll_labelled"/>
    <x v="209"/>
    <x v="298"/>
    <x v="165"/>
    <n v="168"/>
    <s v="unit"/>
    <n v="1.5"/>
    <n v="0"/>
    <n v="0"/>
    <n v="252"/>
    <m/>
    <x v="345"/>
    <x v="0"/>
    <s v="November Rain Preroll Rose Mintz 3x0.5g_preroll_labelled"/>
    <n v="295"/>
  </r>
  <r>
    <n v="398"/>
    <n v="1"/>
    <x v="858"/>
    <x v="0"/>
    <s v="RACK_B"/>
    <s v="GRID_2"/>
    <s v="RACK_BGRID_2"/>
    <s v="preroll_labelled"/>
    <x v="98"/>
    <x v="105"/>
    <x v="82"/>
    <n v="1"/>
    <s v="unit"/>
    <n v="1.5"/>
    <n v="1.5"/>
    <n v="0"/>
    <n v="1.5"/>
    <m/>
    <x v="345"/>
    <x v="0"/>
    <s v="November Rain Blueberry preroll 3 x 0.5g_preroll_labelled"/>
    <n v="76"/>
  </r>
  <r>
    <n v="143"/>
    <n v="3"/>
    <x v="859"/>
    <x v="0"/>
    <s v="T073PR"/>
    <s v="NA"/>
    <s v="T073PRNA"/>
    <s v="preroll_packaged"/>
    <x v="43"/>
    <x v="246"/>
    <x v="2"/>
    <n v="288"/>
    <s v="unit"/>
    <n v="1.5"/>
    <n v="0"/>
    <n v="0"/>
    <n v="432"/>
    <m/>
    <x v="345"/>
    <x v="0"/>
    <s v="Gelato preroll 3 x 0.5g_preroll_packaged"/>
    <n v="298"/>
  </r>
  <r>
    <n v="434"/>
    <n v="0"/>
    <x v="860"/>
    <x v="0"/>
    <s v="T054PR"/>
    <s v="NA"/>
    <s v="T054PRNA"/>
    <s v="preroll_labelled"/>
    <x v="119"/>
    <x v="130"/>
    <x v="3"/>
    <n v="20"/>
    <s v="unit"/>
    <n v="1.5"/>
    <n v="588.61"/>
    <n v="308.92"/>
    <n v="30"/>
    <m/>
    <x v="346"/>
    <x v="0"/>
    <s v="November Rain Trident preroll 3 x 0.5g_preroll_labelled"/>
    <n v="80"/>
  </r>
  <r>
    <n v="426"/>
    <n v="0"/>
    <x v="861"/>
    <x v="0"/>
    <s v="T050PR"/>
    <s v="NA"/>
    <s v="T050PRNA"/>
    <s v="preroll_labelled"/>
    <x v="120"/>
    <x v="134"/>
    <x v="3"/>
    <n v="130"/>
    <s v="unit"/>
    <n v="1"/>
    <n v="0"/>
    <n v="0"/>
    <n v="130"/>
    <m/>
    <x v="347"/>
    <x v="0"/>
    <s v="Monkey King preroll 2 x 0.5g_preroll_labelled"/>
    <n v="74"/>
  </r>
  <r>
    <n v="522"/>
    <n v="0"/>
    <x v="862"/>
    <x v="0"/>
    <s v="T050PR"/>
    <s v="NA"/>
    <s v="T050PRNA"/>
    <s v="preroll_labelled"/>
    <x v="120"/>
    <x v="134"/>
    <x v="92"/>
    <n v="5"/>
    <s v="unit"/>
    <n v="1"/>
    <n v="0"/>
    <n v="0"/>
    <n v="5"/>
    <m/>
    <x v="347"/>
    <x v="0"/>
    <s v="Monkey King preroll 2 x 0.5g_preroll_labelled"/>
    <n v="74"/>
  </r>
  <r>
    <n v="767"/>
    <n v="1"/>
    <x v="863"/>
    <x v="0"/>
    <s v="NA"/>
    <s v="NA"/>
    <s v="NA"/>
    <s v="topical_cased_ON"/>
    <x v="1"/>
    <x v="1"/>
    <x v="1"/>
    <n v="1"/>
    <s v="case"/>
    <n v="540"/>
    <n v="0"/>
    <n v="0"/>
    <n v="540"/>
    <s v="12 per case"/>
    <x v="348"/>
    <x v="0"/>
    <s v="Maximum Strength Mini Roll-on 45g_topical_cased_ON"/>
    <n v="296"/>
  </r>
  <r>
    <n v="767"/>
    <n v="2"/>
    <x v="864"/>
    <x v="0"/>
    <s v="NA"/>
    <s v="NA"/>
    <s v="NA"/>
    <s v="extract_ingested_cased_ON"/>
    <x v="146"/>
    <x v="299"/>
    <x v="165"/>
    <n v="10"/>
    <s v="case"/>
    <n v="600"/>
    <n v="0"/>
    <n v="0"/>
    <n v="6000"/>
    <s v="12 per case"/>
    <x v="348"/>
    <x v="0"/>
    <s v="Pot Shot Coconut Lime 151mg_extract_ingested_cased_ON"/>
    <n v="261"/>
  </r>
  <r>
    <n v="765"/>
    <n v="1"/>
    <x v="865"/>
    <x v="0"/>
    <s v="P020EX"/>
    <s v="NA"/>
    <s v="P020EXNA"/>
    <s v="extract_distillate_bulk"/>
    <x v="92"/>
    <x v="295"/>
    <x v="2"/>
    <n v="1"/>
    <s v="pail"/>
    <n v="2000"/>
    <n v="2992"/>
    <n v="992"/>
    <n v="2000"/>
    <m/>
    <x v="348"/>
    <x v="1"/>
    <s v="THC Distillate_extract_distillate_bulk"/>
    <n v="104"/>
  </r>
  <r>
    <n v="768"/>
    <n v="1"/>
    <x v="866"/>
    <x v="0"/>
    <s v="T165EX"/>
    <s v="NA"/>
    <s v="T165EXNA"/>
    <s v="extract_ingested_packaged"/>
    <x v="146"/>
    <x v="299"/>
    <x v="2"/>
    <n v="86"/>
    <s v="unit"/>
    <n v="50"/>
    <n v="0"/>
    <n v="0"/>
    <n v="4300"/>
    <m/>
    <x v="348"/>
    <x v="0"/>
    <s v="Pot Shot Coconut Lime 151mg_extract_ingested_packaged"/>
    <n v="193"/>
  </r>
  <r>
    <n v="768"/>
    <n v="2"/>
    <x v="867"/>
    <x v="0"/>
    <s v="T166EX"/>
    <s v="NA"/>
    <s v="T166EXNA"/>
    <s v="extract_ingested_packaged"/>
    <x v="146"/>
    <x v="299"/>
    <x v="165"/>
    <n v="482"/>
    <s v="unit"/>
    <n v="50"/>
    <n v="0"/>
    <n v="0"/>
    <n v="24100"/>
    <m/>
    <x v="348"/>
    <x v="0"/>
    <s v="Pot Shot Coconut Lime 151mg_extract_ingested_packaged"/>
    <n v="193"/>
  </r>
  <r>
    <n v="195"/>
    <n v="0"/>
    <x v="868"/>
    <x v="0"/>
    <s v="RACK_B"/>
    <s v="GRID_2"/>
    <s v="RACK_BGRID_2"/>
    <s v="preroll_bulk"/>
    <x v="72"/>
    <x v="73"/>
    <x v="2"/>
    <n v="49"/>
    <s v="unit"/>
    <n v="0.5"/>
    <n v="0"/>
    <n v="0"/>
    <n v="24.5"/>
    <m/>
    <x v="349"/>
    <x v="0"/>
    <s v="November Rain Blueberry preroll 0.5g_preroll_bulk"/>
    <n v="75"/>
  </r>
  <r>
    <n v="209"/>
    <n v="0"/>
    <x v="869"/>
    <x v="0"/>
    <s v="T012EX"/>
    <s v="NA"/>
    <s v="T012EXNA"/>
    <s v="extract_ingested_labelled"/>
    <x v="77"/>
    <x v="79"/>
    <x v="154"/>
    <n v="27"/>
    <s v="unit"/>
    <n v="27.4"/>
    <n v="0"/>
    <n v="0"/>
    <n v="739.8"/>
    <m/>
    <x v="350"/>
    <x v="0"/>
    <s v="Aum CBD oil 27.4g_extract_ingested_labelled"/>
    <n v="7"/>
  </r>
  <r>
    <n v="667"/>
    <n v="2"/>
    <x v="870"/>
    <x v="0"/>
    <s v="P021EX"/>
    <s v="NA"/>
    <s v="P021EXNA"/>
    <s v="extract_inhaled_bulk"/>
    <x v="149"/>
    <x v="300"/>
    <x v="2"/>
    <n v="1"/>
    <s v="pail"/>
    <n v="108.39999999999998"/>
    <n v="1096.4000000000001"/>
    <n v="988.00000000000011"/>
    <n v="108.39999999999998"/>
    <m/>
    <x v="351"/>
    <x v="1"/>
    <s v="Concord Grape Vape_extract_inhaled_bulk"/>
    <n v="196"/>
  </r>
  <r>
    <n v="769"/>
    <n v="0"/>
    <x v="871"/>
    <x v="0"/>
    <s v="P022EX"/>
    <s v="NA"/>
    <s v="P022EXNA"/>
    <s v="extract_distillate_bulk"/>
    <x v="206"/>
    <x v="301"/>
    <x v="2"/>
    <n v="1"/>
    <s v="pail"/>
    <n v="1000"/>
    <n v="1938"/>
    <n v="938"/>
    <n v="1000"/>
    <m/>
    <x v="352"/>
    <x v="1"/>
    <s v="THCA Diamond_extract_distillate_bulk"/>
    <n v="234"/>
  </r>
  <r>
    <n v="770"/>
    <n v="1"/>
    <x v="872"/>
    <x v="0"/>
    <s v="T078PR"/>
    <s v="NA"/>
    <s v="T078PRNA"/>
    <s v="preroll_labelled"/>
    <x v="106"/>
    <x v="302"/>
    <x v="166"/>
    <n v="271"/>
    <s v="unit"/>
    <n v="1.5"/>
    <n v="0"/>
    <n v="0"/>
    <n v="406.5"/>
    <m/>
    <x v="353"/>
    <x v="0"/>
    <s v="November Rain Lemon Ice Tea preroll 3 x 0.5g_preroll_labelled"/>
    <n v="77"/>
  </r>
  <r>
    <n v="746"/>
    <n v="2"/>
    <x v="873"/>
    <x v="0"/>
    <s v="T079PR"/>
    <s v="NA"/>
    <s v="T079PRNA"/>
    <s v="preroll_labelled"/>
    <x v="201"/>
    <x v="271"/>
    <x v="167"/>
    <n v="98"/>
    <s v="unit"/>
    <n v="6"/>
    <n v="0"/>
    <n v="0"/>
    <n v="588"/>
    <m/>
    <x v="353"/>
    <x v="0"/>
    <s v="November Rain Blaster Multipack 0.5g*12_preroll_labelled"/>
    <n v="275"/>
  </r>
  <r>
    <n v="756"/>
    <n v="2"/>
    <x v="874"/>
    <x v="0"/>
    <s v="T080PR"/>
    <s v="NA"/>
    <s v="T080PRNA"/>
    <s v="preroll_labelled"/>
    <x v="151"/>
    <x v="282"/>
    <x v="168"/>
    <n v="112"/>
    <s v="unit"/>
    <n v="5"/>
    <n v="0"/>
    <n v="0"/>
    <n v="560"/>
    <m/>
    <x v="353"/>
    <x v="0"/>
    <s v="Midnight Kruntz pre-roll 10x0.5g_preroll_labelled"/>
    <n v="189"/>
  </r>
  <r>
    <n v="737"/>
    <n v="8"/>
    <x v="875"/>
    <x v="0"/>
    <s v="T079DF"/>
    <s v="NA"/>
    <s v="T079DFNA"/>
    <s v="diredflower_labelled_JEN"/>
    <x v="210"/>
    <x v="303"/>
    <x v="169"/>
    <n v="36"/>
    <s v="unit"/>
    <n v="28"/>
    <n v="0"/>
    <n v="0"/>
    <n v="1008"/>
    <m/>
    <x v="353"/>
    <x v="0"/>
    <s v="Pineapple Sour dired flower 28g_diredflower_labelled_JEN"/>
    <n v="299"/>
  </r>
  <r>
    <n v="757"/>
    <n v="1"/>
    <x v="876"/>
    <x v="0"/>
    <s v="T081PR"/>
    <s v="NA"/>
    <s v="T081PRNA"/>
    <s v="preroll_labelled"/>
    <x v="185"/>
    <x v="242"/>
    <x v="170"/>
    <n v="895"/>
    <s v="unit"/>
    <n v="2"/>
    <n v="0"/>
    <n v="0"/>
    <n v="1790"/>
    <m/>
    <x v="353"/>
    <x v="0"/>
    <s v="Animal Mint pre-roll 2 x 1g_preroll_labelled"/>
    <n v="265"/>
  </r>
  <r>
    <n v="756"/>
    <n v="3"/>
    <x v="877"/>
    <x v="0"/>
    <s v="T083PR"/>
    <s v="NA"/>
    <s v="T083PRNA"/>
    <s v="preroll_labelled"/>
    <x v="151"/>
    <x v="282"/>
    <x v="171"/>
    <n v="577"/>
    <s v="unit"/>
    <n v="5"/>
    <n v="0"/>
    <n v="0"/>
    <n v="2885"/>
    <m/>
    <x v="353"/>
    <x v="0"/>
    <s v="Midnight Kruntz pre-roll 10x0.5g_preroll_labelled"/>
    <n v="189"/>
  </r>
  <r>
    <n v="527"/>
    <n v="0"/>
    <x v="878"/>
    <x v="0"/>
    <s v="T108EX"/>
    <s v="NA"/>
    <s v="T108EXNA"/>
    <s v="extract_inhaled_labelled"/>
    <x v="0"/>
    <x v="151"/>
    <x v="109"/>
    <n v="2"/>
    <s v="unit"/>
    <n v="0.5"/>
    <n v="0"/>
    <n v="0"/>
    <n v="1"/>
    <m/>
    <x v="354"/>
    <x v="0"/>
    <s v="November Rain Vape Canadian Thunder 0.5g Sativa_extract_inhaled_labelled"/>
    <n v="83"/>
  </r>
  <r>
    <n v="637"/>
    <n v="3"/>
    <x v="879"/>
    <x v="0"/>
    <s v="RACK_B"/>
    <s v="GRID_1"/>
    <s v="RACK_B-GRID_1"/>
    <s v="preroll_packaged"/>
    <x v="94"/>
    <x v="42"/>
    <x v="116"/>
    <n v="223"/>
    <s v="unit"/>
    <n v="1"/>
    <n v="0"/>
    <n v="0"/>
    <n v="223"/>
    <m/>
    <x v="355"/>
    <x v="0"/>
    <s v="Gelato preroll 1 x 1g_preroll_packaged"/>
    <n v="280"/>
  </r>
  <r>
    <n v="771"/>
    <n v="0"/>
    <x v="880"/>
    <x v="0"/>
    <s v="T080DF"/>
    <s v="B1"/>
    <s v="T080DFB1"/>
    <s v="driedflower_bulk"/>
    <x v="211"/>
    <x v="304"/>
    <x v="2"/>
    <n v="1"/>
    <s v="bag"/>
    <n v="743.2"/>
    <n v="772"/>
    <n v="28.799999999999955"/>
    <n v="743.2"/>
    <m/>
    <x v="355"/>
    <x v="1"/>
    <s v="Dream Catcher Kush dired flower_driedflower_bulk"/>
    <n v="300"/>
  </r>
  <r>
    <n v="771"/>
    <n v="1"/>
    <x v="881"/>
    <x v="0"/>
    <s v="T080DF"/>
    <s v="B2"/>
    <s v="T080DFB2"/>
    <s v="driedflower_bulk"/>
    <x v="211"/>
    <x v="304"/>
    <x v="2"/>
    <n v="1"/>
    <s v="bag"/>
    <n v="351.89"/>
    <n v="368"/>
    <n v="16.110000000000014"/>
    <n v="351.89"/>
    <m/>
    <x v="355"/>
    <x v="1"/>
    <s v="Dream Catcher Kush dired flower_driedflower_bulk"/>
    <n v="300"/>
  </r>
  <r>
    <n v="771"/>
    <n v="2"/>
    <x v="882"/>
    <x v="0"/>
    <s v="T080DF"/>
    <s v="B3"/>
    <s v="T080DFB3"/>
    <s v="driedflower_bulk"/>
    <x v="211"/>
    <x v="304"/>
    <x v="2"/>
    <n v="1"/>
    <s v="bag"/>
    <n v="799.19"/>
    <n v="828"/>
    <n v="28.809999999999945"/>
    <n v="799.19"/>
    <m/>
    <x v="355"/>
    <x v="1"/>
    <s v="Dream Catcher Kush dired flower_driedflower_bulk"/>
    <n v="300"/>
  </r>
  <r>
    <n v="771"/>
    <n v="3"/>
    <x v="883"/>
    <x v="0"/>
    <s v="T080DF"/>
    <s v="B4"/>
    <s v="T080DFB4"/>
    <s v="driedflower_bulk"/>
    <x v="211"/>
    <x v="304"/>
    <x v="2"/>
    <n v="1"/>
    <s v="bag"/>
    <n v="743.2"/>
    <n v="770"/>
    <n v="26.799999999999955"/>
    <n v="743.2"/>
    <m/>
    <x v="355"/>
    <x v="1"/>
    <s v="Dream Catcher Kush dired flower_driedflower_bulk"/>
    <n v="300"/>
  </r>
  <r>
    <n v="771"/>
    <n v="4"/>
    <x v="884"/>
    <x v="0"/>
    <s v="T080DF"/>
    <s v="B5"/>
    <s v="T080DFB5"/>
    <s v="driedflower_bulk"/>
    <x v="211"/>
    <x v="304"/>
    <x v="2"/>
    <n v="1"/>
    <s v="bag"/>
    <n v="712.89"/>
    <n v="740"/>
    <n v="27.110000000000014"/>
    <n v="712.89"/>
    <m/>
    <x v="355"/>
    <x v="1"/>
    <s v="Dream Catcher Kush dired flower_driedflower_bulk"/>
    <n v="300"/>
  </r>
  <r>
    <n v="771"/>
    <n v="5"/>
    <x v="885"/>
    <x v="0"/>
    <s v="T080DF"/>
    <s v="B6"/>
    <s v="T080DFB6"/>
    <s v="driedflower_bulk"/>
    <x v="211"/>
    <x v="304"/>
    <x v="2"/>
    <n v="1"/>
    <s v="bag"/>
    <n v="876.64"/>
    <n v="906"/>
    <n v="29.360000000000014"/>
    <n v="876.64"/>
    <m/>
    <x v="355"/>
    <x v="1"/>
    <s v="Dream Catcher Kush dired flower_driedflower_bulk"/>
    <n v="300"/>
  </r>
  <r>
    <n v="771"/>
    <n v="6"/>
    <x v="886"/>
    <x v="0"/>
    <s v="T080DF"/>
    <s v="B7"/>
    <s v="T080DFB7"/>
    <s v="driedflower_bulk"/>
    <x v="211"/>
    <x v="304"/>
    <x v="2"/>
    <n v="1"/>
    <s v="bag"/>
    <n v="746.43"/>
    <n v="774"/>
    <n v="27.57000000000005"/>
    <n v="746.43"/>
    <m/>
    <x v="355"/>
    <x v="1"/>
    <s v="Dream Catcher Kush dired flower_driedflower_bulk"/>
    <n v="300"/>
  </r>
  <r>
    <n v="771"/>
    <n v="7"/>
    <x v="887"/>
    <x v="0"/>
    <s v="T080DF"/>
    <s v="B8"/>
    <s v="T080DFB8"/>
    <s v="driedflower_bulk"/>
    <x v="211"/>
    <x v="304"/>
    <x v="2"/>
    <n v="1"/>
    <s v="bag"/>
    <n v="901.33"/>
    <n v="912"/>
    <n v="10.669999999999959"/>
    <n v="901.33"/>
    <m/>
    <x v="355"/>
    <x v="1"/>
    <s v="Dream Catcher Kush dired flower_driedflower_bulk"/>
    <n v="300"/>
  </r>
  <r>
    <n v="772"/>
    <n v="0"/>
    <x v="888"/>
    <x v="0"/>
    <s v="T081DF"/>
    <s v="NA"/>
    <s v="T081DFNA"/>
    <s v="driedflower_bulk"/>
    <x v="212"/>
    <x v="305"/>
    <x v="2"/>
    <n v="1"/>
    <s v="bag"/>
    <n v="4654"/>
    <n v="7800"/>
    <n v="3146"/>
    <n v="4654"/>
    <m/>
    <x v="355"/>
    <x v="1"/>
    <s v="White Runtz dried flower_driedflower_bulk"/>
    <n v="301"/>
  </r>
  <r>
    <n v="772"/>
    <n v="1"/>
    <x v="889"/>
    <x v="0"/>
    <s v="T082DF"/>
    <s v="NA"/>
    <s v="T082DFNA"/>
    <s v="driedflower_bulk"/>
    <x v="212"/>
    <x v="305"/>
    <x v="2"/>
    <n v="1"/>
    <s v="bag"/>
    <n v="3484"/>
    <n v="6534"/>
    <n v="3050"/>
    <n v="3484"/>
    <m/>
    <x v="356"/>
    <x v="1"/>
    <s v="White Runtz dried flower_driedflower_bulk"/>
    <n v="301"/>
  </r>
  <r>
    <n v="772"/>
    <n v="2"/>
    <x v="890"/>
    <x v="0"/>
    <s v="T083DF"/>
    <s v="NA"/>
    <s v="T083DFNA"/>
    <s v="driedflower_bulk"/>
    <x v="212"/>
    <x v="305"/>
    <x v="2"/>
    <n v="1"/>
    <s v="bag"/>
    <n v="3650"/>
    <n v="6538"/>
    <n v="2888"/>
    <n v="3650"/>
    <m/>
    <x v="356"/>
    <x v="1"/>
    <s v="White Runtz dried flower_driedflower_bulk"/>
    <n v="301"/>
  </r>
  <r>
    <n v="772"/>
    <n v="3"/>
    <x v="891"/>
    <x v="0"/>
    <s v="T084DF"/>
    <s v="NA"/>
    <s v="T084DFNA"/>
    <s v="driedflower_bulk"/>
    <x v="212"/>
    <x v="305"/>
    <x v="2"/>
    <n v="1"/>
    <s v="bag"/>
    <n v="3158"/>
    <n v="5884"/>
    <n v="2726"/>
    <n v="3158"/>
    <m/>
    <x v="356"/>
    <x v="1"/>
    <s v="White Runtz dried flower_driedflower_bulk"/>
    <n v="301"/>
  </r>
  <r>
    <n v="772"/>
    <n v="5"/>
    <x v="892"/>
    <x v="0"/>
    <s v="T086DF"/>
    <s v="NA"/>
    <s v="T086DFNA"/>
    <s v="driedflower_bulk"/>
    <x v="212"/>
    <x v="305"/>
    <x v="2"/>
    <n v="1"/>
    <s v="bag"/>
    <n v="3608"/>
    <n v="6522"/>
    <n v="2914"/>
    <n v="3608"/>
    <m/>
    <x v="356"/>
    <x v="1"/>
    <s v="White Runtz dried flower_driedflower_bulk"/>
    <n v="301"/>
  </r>
  <r>
    <n v="772"/>
    <n v="6"/>
    <x v="893"/>
    <x v="0"/>
    <s v="T087DF"/>
    <s v="NA"/>
    <s v="T087DFNA"/>
    <s v="driedflower_bulk"/>
    <x v="212"/>
    <x v="305"/>
    <x v="2"/>
    <n v="1"/>
    <s v="bag"/>
    <n v="2650"/>
    <n v="5560"/>
    <n v="2910"/>
    <n v="2650"/>
    <m/>
    <x v="356"/>
    <x v="1"/>
    <s v="White Runtz dried flower_driedflower_bulk"/>
    <n v="301"/>
  </r>
  <r>
    <n v="772"/>
    <n v="7"/>
    <x v="894"/>
    <x v="0"/>
    <s v="T088DF"/>
    <s v="NA"/>
    <s v="T088DFNA"/>
    <s v="driedflower_bulk"/>
    <x v="212"/>
    <x v="305"/>
    <x v="2"/>
    <n v="1"/>
    <s v="bag"/>
    <n v="4054"/>
    <n v="6980"/>
    <n v="2926"/>
    <n v="4054"/>
    <m/>
    <x v="356"/>
    <x v="1"/>
    <s v="White Runtz dried flower_driedflower_bulk"/>
    <n v="301"/>
  </r>
  <r>
    <n v="773"/>
    <n v="1"/>
    <x v="895"/>
    <x v="0"/>
    <s v="RACK_B"/>
    <s v="GRID_1"/>
    <s v="RACK_B-GRID_1"/>
    <s v="preroll_labelled"/>
    <x v="198"/>
    <x v="306"/>
    <x v="172"/>
    <n v="1098"/>
    <s v="unit"/>
    <n v="1.5"/>
    <n v="0"/>
    <n v="0"/>
    <n v="1647"/>
    <m/>
    <x v="357"/>
    <x v="0"/>
    <s v="November Rain Gastro-pop Diamond Infused 3x0.5g Pre-Rolls_preroll_labelled"/>
    <n v="274"/>
  </r>
  <r>
    <n v="774"/>
    <n v="1"/>
    <x v="896"/>
    <x v="0"/>
    <s v="T083PR"/>
    <s v="NA"/>
    <s v="T083PRNA"/>
    <s v="preroll_labelled"/>
    <x v="98"/>
    <x v="307"/>
    <x v="173"/>
    <n v="408"/>
    <s v="unit"/>
    <n v="1.5"/>
    <n v="0"/>
    <n v="0"/>
    <n v="612"/>
    <m/>
    <x v="357"/>
    <x v="0"/>
    <s v="November Rain Blueberry preroll 3 x 0.5g_preroll_labelled"/>
    <n v="76"/>
  </r>
  <r>
    <n v="775"/>
    <n v="0"/>
    <x v="897"/>
    <x v="0"/>
    <s v="P023EX"/>
    <s v="NA"/>
    <s v="P023EXNA"/>
    <s v="extract_inhaled_bulk_Rohan"/>
    <x v="190"/>
    <x v="308"/>
    <x v="2"/>
    <n v="1"/>
    <s v="pail"/>
    <n v="2000"/>
    <n v="3282"/>
    <n v="1282"/>
    <n v="2000"/>
    <m/>
    <x v="358"/>
    <x v="1"/>
    <s v="Runtz Muffin Crumble (Rohan)_extract_inhaled_bulk_Rohan"/>
    <n v="264"/>
  </r>
  <r>
    <n v="776"/>
    <n v="1"/>
    <x v="898"/>
    <x v="0"/>
    <s v="T022TP"/>
    <s v="NA"/>
    <s v="T022TPNA"/>
    <s v="topical_labelled"/>
    <x v="55"/>
    <x v="309"/>
    <x v="174"/>
    <n v="384"/>
    <s v="unit"/>
    <n v="88"/>
    <n v="3282"/>
    <n v="1282"/>
    <n v="33792"/>
    <m/>
    <x v="359"/>
    <x v="0"/>
    <s v="Maximum Strength Roll-on 88g_topical_labelled"/>
    <n v="72"/>
  </r>
  <r>
    <n v="776"/>
    <n v="2"/>
    <x v="899"/>
    <x v="0"/>
    <s v="T023TP"/>
    <s v="NA"/>
    <s v="T023TPNA"/>
    <s v="topical_labelled"/>
    <x v="55"/>
    <x v="309"/>
    <x v="174"/>
    <n v="122"/>
    <s v="unit"/>
    <n v="88"/>
    <n v="3282"/>
    <n v="1282"/>
    <n v="10736"/>
    <m/>
    <x v="359"/>
    <x v="0"/>
    <s v="Maximum Strength Roll-on 88g_topical_labelled"/>
    <n v="72"/>
  </r>
  <r>
    <n v="776"/>
    <n v="3"/>
    <x v="900"/>
    <x v="0"/>
    <s v="T024TP"/>
    <s v="NA"/>
    <s v="T024TPNA"/>
    <s v="topical_labelled"/>
    <x v="55"/>
    <x v="309"/>
    <x v="174"/>
    <n v="282"/>
    <s v="unit"/>
    <n v="88"/>
    <n v="3282"/>
    <n v="1282"/>
    <n v="24816"/>
    <m/>
    <x v="359"/>
    <x v="0"/>
    <s v="Maximum Strength Roll-on 88g_topical_labelled"/>
    <n v="72"/>
  </r>
  <r>
    <n v="776"/>
    <n v="4"/>
    <x v="901"/>
    <x v="0"/>
    <s v="T025TP"/>
    <s v="NA"/>
    <s v="T025TPNA"/>
    <s v="topical_labelled"/>
    <x v="55"/>
    <x v="309"/>
    <x v="174"/>
    <n v="520"/>
    <s v="unit"/>
    <n v="88"/>
    <n v="3282"/>
    <n v="1282"/>
    <n v="45760"/>
    <m/>
    <x v="359"/>
    <x v="0"/>
    <s v="Maximum Strength Roll-on 88g_topical_labelled"/>
    <n v="72"/>
  </r>
  <r>
    <n v="776"/>
    <n v="5"/>
    <x v="902"/>
    <x v="0"/>
    <s v="T026TP"/>
    <s v="NA"/>
    <s v="T026TPNA"/>
    <s v="topical_labelled"/>
    <x v="55"/>
    <x v="309"/>
    <x v="174"/>
    <n v="451"/>
    <s v="unit"/>
    <n v="88"/>
    <n v="3282"/>
    <n v="1282"/>
    <n v="39688"/>
    <m/>
    <x v="359"/>
    <x v="0"/>
    <s v="Maximum Strength Roll-on 88g_topical_labelled"/>
    <n v="72"/>
  </r>
  <r>
    <n v="777"/>
    <n v="0"/>
    <x v="903"/>
    <x v="0"/>
    <s v="T089DF"/>
    <s v="NA"/>
    <s v="T089DFNA"/>
    <s v="driedflower_bulk_Rohan"/>
    <x v="189"/>
    <x v="285"/>
    <x v="2"/>
    <n v="1"/>
    <s v="bag"/>
    <n v="5480"/>
    <n v="8532"/>
    <n v="3052"/>
    <n v="5480"/>
    <s v="SMALL FLOWER"/>
    <x v="360"/>
    <x v="1"/>
    <s v="Rockstar dried flower_driedflower_bulk_Rohan"/>
    <n v="260"/>
  </r>
  <r>
    <n v="777"/>
    <n v="1"/>
    <x v="904"/>
    <x v="0"/>
    <s v="T090DF"/>
    <s v="NA"/>
    <s v="T090DFNA"/>
    <s v="driedflower_bulk_Rohan"/>
    <x v="189"/>
    <x v="310"/>
    <x v="2"/>
    <n v="1"/>
    <s v="bag"/>
    <n v="1000"/>
    <n v="1028"/>
    <n v="28"/>
    <n v="1000"/>
    <m/>
    <x v="360"/>
    <x v="1"/>
    <s v="Rockstar dried flower_driedflower_bulk_Rohan"/>
    <n v="260"/>
  </r>
  <r>
    <n v="777"/>
    <n v="2"/>
    <x v="905"/>
    <x v="0"/>
    <s v="T090DF"/>
    <s v="B01"/>
    <s v="T090DFB01"/>
    <s v="driedflower_bulk_Rohan"/>
    <x v="189"/>
    <x v="310"/>
    <x v="2"/>
    <n v="1"/>
    <s v="bag"/>
    <n v="1000"/>
    <n v="1030"/>
    <n v="30"/>
    <n v="1000"/>
    <m/>
    <x v="360"/>
    <x v="1"/>
    <s v="Rockstar dried flower_driedflower_bulk_Rohan"/>
    <n v="260"/>
  </r>
  <r>
    <n v="777"/>
    <n v="3"/>
    <x v="906"/>
    <x v="0"/>
    <s v="T090DF"/>
    <s v="B02"/>
    <s v="T090DFB02"/>
    <s v="driedflower_bulk_Rohan"/>
    <x v="189"/>
    <x v="310"/>
    <x v="2"/>
    <n v="1"/>
    <s v="bag"/>
    <n v="1000"/>
    <n v="1028"/>
    <n v="28"/>
    <n v="1000"/>
    <m/>
    <x v="360"/>
    <x v="1"/>
    <s v="Rockstar dried flower_driedflower_bulk_Rohan"/>
    <n v="260"/>
  </r>
  <r>
    <n v="777"/>
    <n v="4"/>
    <x v="907"/>
    <x v="0"/>
    <s v="T090DF"/>
    <s v="B03"/>
    <s v="T090DFB03"/>
    <s v="driedflower_bulk_Rohan"/>
    <x v="189"/>
    <x v="310"/>
    <x v="2"/>
    <n v="1"/>
    <s v="bag"/>
    <n v="1000"/>
    <n v="1028"/>
    <n v="28"/>
    <n v="1000"/>
    <m/>
    <x v="360"/>
    <x v="1"/>
    <s v="Rockstar dried flower_driedflower_bulk_Rohan"/>
    <n v="260"/>
  </r>
  <r>
    <n v="777"/>
    <n v="5"/>
    <x v="908"/>
    <x v="0"/>
    <s v="T090DF"/>
    <s v="B04"/>
    <s v="T090DFB04"/>
    <s v="driedflower_bulk_Rohan"/>
    <x v="189"/>
    <x v="285"/>
    <x v="2"/>
    <n v="1"/>
    <s v="bag"/>
    <n v="1000"/>
    <n v="1028"/>
    <n v="28"/>
    <n v="1000"/>
    <m/>
    <x v="360"/>
    <x v="1"/>
    <s v="Rockstar dried flower_driedflower_bulk_Rohan"/>
    <n v="260"/>
  </r>
  <r>
    <n v="777"/>
    <n v="6"/>
    <x v="909"/>
    <x v="0"/>
    <s v="T090DF"/>
    <s v="B05"/>
    <s v="T090DFB05"/>
    <s v="driedflower_bulk_Rohan"/>
    <x v="189"/>
    <x v="310"/>
    <x v="2"/>
    <n v="1"/>
    <s v="bag"/>
    <n v="1000"/>
    <n v="1034"/>
    <n v="34"/>
    <n v="1000"/>
    <m/>
    <x v="360"/>
    <x v="1"/>
    <s v="Rockstar dried flower_driedflower_bulk_Rohan"/>
    <n v="260"/>
  </r>
  <r>
    <n v="777"/>
    <n v="7"/>
    <x v="910"/>
    <x v="0"/>
    <s v="T090DF"/>
    <s v="B06"/>
    <s v="T090DFB06"/>
    <s v="driedflower_bulk_Rohan"/>
    <x v="189"/>
    <x v="310"/>
    <x v="2"/>
    <n v="1"/>
    <s v="bag"/>
    <n v="6000"/>
    <n v="9060"/>
    <n v="3060"/>
    <n v="6000"/>
    <s v="MEDIUM FLOWER"/>
    <x v="360"/>
    <x v="1"/>
    <s v="Rockstar dried flower_driedflower_bulk_Rohan"/>
    <n v="260"/>
  </r>
  <r>
    <n v="778"/>
    <n v="0"/>
    <x v="911"/>
    <x v="0"/>
    <s v="P024EX"/>
    <s v="NA"/>
    <s v="P024EXNA"/>
    <s v="extract_inhaled_bulk"/>
    <x v="203"/>
    <x v="311"/>
    <x v="2"/>
    <n v="1"/>
    <s v="pail"/>
    <n v="1000"/>
    <n v="1590"/>
    <n v="590"/>
    <n v="1000"/>
    <m/>
    <x v="360"/>
    <x v="1"/>
    <s v="White widow_extract_inhaled_bulk"/>
    <n v="247"/>
  </r>
  <r>
    <n v="734"/>
    <n v="2"/>
    <x v="912"/>
    <x v="0"/>
    <s v="T070DF"/>
    <s v="NA"/>
    <s v="T070DFNA"/>
    <s v="driedflower_labelled"/>
    <x v="141"/>
    <x v="251"/>
    <x v="155"/>
    <n v="10"/>
    <s v="unit"/>
    <n v="7"/>
    <n v="0"/>
    <n v="0"/>
    <n v="70"/>
    <m/>
    <x v="361"/>
    <x v="0"/>
    <s v="Midnight Kruntz Dried Flower 7g_driedflower_labelled"/>
    <n v="173"/>
  </r>
  <r>
    <n v="779"/>
    <n v="0"/>
    <x v="913"/>
    <x v="0"/>
    <s v="T084PR"/>
    <s v="NA"/>
    <s v="T084PRNA"/>
    <s v="preroll_labelled"/>
    <x v="213"/>
    <x v="312"/>
    <x v="175"/>
    <n v="180"/>
    <s v="unit"/>
    <n v="2"/>
    <n v="0"/>
    <n v="0"/>
    <n v="360"/>
    <m/>
    <x v="362"/>
    <x v="0"/>
    <s v="Midnight Kruntz pre-roll 2x1g_preroll_labelled"/>
    <n v="303"/>
  </r>
  <r>
    <n v="780"/>
    <n v="0"/>
    <x v="914"/>
    <x v="1"/>
    <s v="T085PR"/>
    <s v="NA"/>
    <s v="T085PRNA"/>
    <s v="preroll_labelled"/>
    <x v="214"/>
    <x v="313"/>
    <x v="176"/>
    <n v="198"/>
    <s v="unit"/>
    <n v="2.5"/>
    <n v="0"/>
    <n v="0"/>
    <n v="495"/>
    <m/>
    <x v="362"/>
    <x v="0"/>
    <s v="Rogworld-Bong Guru Rockstar-5X0.5g pre-rolls_preroll_labelled"/>
    <n v="304"/>
  </r>
  <r>
    <n v="746"/>
    <n v="3"/>
    <x v="915"/>
    <x v="0"/>
    <s v="T086PR"/>
    <s v="NA"/>
    <s v="T086PRNA"/>
    <s v="preroll_labelled"/>
    <x v="201"/>
    <x v="314"/>
    <x v="177"/>
    <n v="168"/>
    <s v="unit"/>
    <n v="6"/>
    <n v="0"/>
    <n v="0"/>
    <n v="1008"/>
    <m/>
    <x v="362"/>
    <x v="0"/>
    <s v="November Rain Blaster Multipack 0.5g*12_preroll_labelled"/>
    <n v="275"/>
  </r>
  <r>
    <n v="734"/>
    <n v="4"/>
    <x v="916"/>
    <x v="0"/>
    <s v="T091DF"/>
    <s v="NA"/>
    <s v="T091DFNA"/>
    <s v="driedflower_labelled"/>
    <x v="141"/>
    <x v="249"/>
    <x v="172"/>
    <n v="154"/>
    <s v="unit"/>
    <n v="7"/>
    <n v="0"/>
    <n v="0"/>
    <n v="1078"/>
    <m/>
    <x v="362"/>
    <x v="0"/>
    <s v="Midnight Kruntz Dried Flower 7g_driedflower_labelled"/>
    <n v="173"/>
  </r>
  <r>
    <n v="781"/>
    <n v="0"/>
    <x v="917"/>
    <x v="0"/>
    <s v="T087PR"/>
    <s v="NA"/>
    <s v="T087PRNA"/>
    <s v="preroll_labelled"/>
    <x v="185"/>
    <x v="242"/>
    <x v="178"/>
    <n v="408"/>
    <s v="unit"/>
    <n v="2"/>
    <n v="0"/>
    <n v="0"/>
    <n v="816"/>
    <m/>
    <x v="362"/>
    <x v="0"/>
    <s v="Animal Mint pre-roll 2 x 1g_preroll_labelled"/>
    <n v="265"/>
  </r>
  <r>
    <n v="782"/>
    <n v="0"/>
    <x v="918"/>
    <x v="0"/>
    <s v="T092DF"/>
    <s v="NA"/>
    <s v="T092DFNA"/>
    <s v="driedflower_labelled"/>
    <x v="215"/>
    <x v="315"/>
    <x v="179"/>
    <n v="55"/>
    <s v="unit"/>
    <n v="14"/>
    <n v="0"/>
    <n v="0"/>
    <n v="770"/>
    <m/>
    <x v="363"/>
    <x v="0"/>
    <s v="Rogworld-Bong Guru Rockstar-14g_driedflower_labelled"/>
    <s v=""/>
  </r>
  <r>
    <n v="783"/>
    <n v="0"/>
    <x v="919"/>
    <x v="0"/>
    <s v="T167EX"/>
    <s v="NA"/>
    <s v="T167EXNA"/>
    <s v="extract_ingested_cased_BC"/>
    <x v="67"/>
    <x v="65"/>
    <x v="100"/>
    <n v="4"/>
    <s v="case"/>
    <n v="50"/>
    <n v="0"/>
    <n v="0"/>
    <n v="200"/>
    <m/>
    <x v="364"/>
    <x v="0"/>
    <s v="Pot Shot Citrus 151mg_extract_ingested_cased_BC"/>
    <n v="181"/>
  </r>
  <r>
    <n v="783"/>
    <n v="1"/>
    <x v="920"/>
    <x v="0"/>
    <s v="T167EX"/>
    <s v="NA"/>
    <s v="T167EXNA"/>
    <s v="extract_ingested_cased_BC"/>
    <x v="78"/>
    <x v="200"/>
    <x v="115"/>
    <n v="7"/>
    <s v="case"/>
    <n v="50"/>
    <n v="0"/>
    <n v="0"/>
    <n v="350"/>
    <m/>
    <x v="364"/>
    <x v="0"/>
    <s v="Pot Shot Tropical Fruits 151mg_extract_ingested_cased_BC"/>
    <n v="180"/>
  </r>
  <r>
    <n v="783"/>
    <n v="2"/>
    <x v="921"/>
    <x v="0"/>
    <s v="T167EX"/>
    <s v="NA"/>
    <s v="T167EXNA"/>
    <s v="extract_ingested_cased_BC"/>
    <x v="146"/>
    <x v="299"/>
    <x v="165"/>
    <n v="9"/>
    <s v="case"/>
    <n v="50"/>
    <n v="0"/>
    <n v="0"/>
    <n v="450"/>
    <m/>
    <x v="364"/>
    <x v="0"/>
    <s v="Pot Shot Coconut Lime 151mg_extract_ingested_cased_BC"/>
    <n v="199"/>
  </r>
  <r>
    <n v="665"/>
    <n v="1"/>
    <x v="922"/>
    <x v="0"/>
    <s v="T153EX"/>
    <s v="NA"/>
    <s v="T153EXNA"/>
    <s v="extract_inhaled_labelled"/>
    <x v="186"/>
    <x v="243"/>
    <x v="144"/>
    <n v="36"/>
    <s v="unit"/>
    <n v="1"/>
    <n v="0"/>
    <n v="0"/>
    <n v="36"/>
    <m/>
    <x v="365"/>
    <x v="0"/>
    <s v="November Rain White Widow Hybrid Full Spectrum vape 1g_extract_inhaled_labelled"/>
    <n v="191"/>
  </r>
  <r>
    <n v="784"/>
    <n v="0"/>
    <x v="923"/>
    <x v="0"/>
    <s v="P025EX"/>
    <s v="NA"/>
    <s v="P025EXNA"/>
    <s v="extract_inhaled_bulk"/>
    <x v="203"/>
    <x v="316"/>
    <x v="2"/>
    <n v="1"/>
    <s v="pail"/>
    <n v="190"/>
    <n v="1480"/>
    <n v="1290"/>
    <n v="190"/>
    <m/>
    <x v="365"/>
    <x v="1"/>
    <s v="White widow_extract_inhaled_bulk"/>
    <n v="247"/>
  </r>
  <r>
    <n v="650"/>
    <n v="7"/>
    <x v="924"/>
    <x v="0"/>
    <s v="T011MF"/>
    <s v="NA"/>
    <s v="T011MFNA"/>
    <s v="driedflower_milled_bulk"/>
    <x v="142"/>
    <x v="266"/>
    <x v="2"/>
    <n v="1"/>
    <s v="pail"/>
    <n v="1473"/>
    <n v="3238"/>
    <n v="1765"/>
    <n v="1473"/>
    <m/>
    <x v="365"/>
    <x v="1"/>
    <s v="Midnight Kruntz milled flower_driedflower_milled_bulk"/>
    <n v="187"/>
  </r>
  <r>
    <n v="60"/>
    <n v="1"/>
    <x v="925"/>
    <x v="0"/>
    <s v="T012MF"/>
    <s v="NA"/>
    <s v="T012MFNA"/>
    <s v="driedflower_milled_bulk"/>
    <x v="34"/>
    <x v="317"/>
    <x v="2"/>
    <n v="1"/>
    <s v="pail"/>
    <n v="2449"/>
    <n v="4214"/>
    <n v="1765"/>
    <n v="2449"/>
    <m/>
    <x v="365"/>
    <x v="1"/>
    <s v="Chronic Mint milled flower_driedflower_milled_bulk"/>
    <n v="23"/>
  </r>
  <r>
    <n v="785"/>
    <n v="0"/>
    <x v="926"/>
    <x v="0"/>
    <s v="T088PR"/>
    <s v="NA"/>
    <s v="T088PRNA"/>
    <s v="preroll_labelled"/>
    <x v="201"/>
    <x v="318"/>
    <x v="180"/>
    <n v="14"/>
    <s v="unit"/>
    <n v="6"/>
    <n v="0"/>
    <n v="0"/>
    <n v="84"/>
    <m/>
    <x v="365"/>
    <x v="0"/>
    <s v="November Rain Blaster Multipack 0.5g*12_preroll_labelled"/>
    <n v="275"/>
  </r>
  <r>
    <n v="756"/>
    <n v="4"/>
    <x v="927"/>
    <x v="0"/>
    <s v="T089PR"/>
    <s v="NA"/>
    <s v="T089PRNA"/>
    <s v="preroll_labelled"/>
    <x v="151"/>
    <x v="282"/>
    <x v="181"/>
    <n v="139"/>
    <s v="unit"/>
    <n v="5"/>
    <n v="0"/>
    <n v="0"/>
    <n v="695"/>
    <m/>
    <x v="365"/>
    <x v="0"/>
    <s v="Midnight Kruntz pre-roll 10x0.5g_preroll_labelled"/>
    <n v="189"/>
  </r>
  <r>
    <n v="786"/>
    <n v="1"/>
    <x v="928"/>
    <x v="0"/>
    <s v="T090PR"/>
    <s v="NA"/>
    <s v="T090PRNA"/>
    <s v="preroll_labelled"/>
    <x v="98"/>
    <x v="319"/>
    <x v="180"/>
    <n v="96"/>
    <s v="unit"/>
    <n v="1.5"/>
    <n v="0"/>
    <n v="0"/>
    <n v="144"/>
    <m/>
    <x v="365"/>
    <x v="0"/>
    <s v="November Rain Blueberry preroll 3 x 0.5g_preroll_labelled"/>
    <n v="76"/>
  </r>
  <r>
    <n v="787"/>
    <n v="0"/>
    <x v="929"/>
    <x v="0"/>
    <s v="T093DF"/>
    <s v="NA"/>
    <s v="T093DFNA"/>
    <s v="driedflower_labelled"/>
    <x v="216"/>
    <x v="320"/>
    <x v="182"/>
    <n v="60"/>
    <s v="unit"/>
    <n v="14"/>
    <n v="0"/>
    <n v="0"/>
    <n v="840"/>
    <m/>
    <x v="365"/>
    <x v="0"/>
    <s v="Apothecary Botanicals Gelato 14g dried flower_driedflower_labelled"/>
    <n v="308"/>
  </r>
  <r>
    <n v="757"/>
    <n v="2"/>
    <x v="930"/>
    <x v="0"/>
    <s v="RACK_B"/>
    <s v="GRID_2"/>
    <s v="RACK_BGRID_2"/>
    <s v="preroll_labelled"/>
    <x v="185"/>
    <x v="242"/>
    <x v="183"/>
    <n v="786"/>
    <s v="unit"/>
    <n v="2"/>
    <n v="0"/>
    <n v="0"/>
    <n v="1572"/>
    <m/>
    <x v="365"/>
    <x v="0"/>
    <s v="Animal Mint pre-roll 2 x 1g_preroll_labelled"/>
    <n v="265"/>
  </r>
  <r>
    <n v="787"/>
    <n v="1"/>
    <x v="931"/>
    <x v="0"/>
    <s v="T094DF"/>
    <s v="NA"/>
    <s v="T094DFNA"/>
    <s v="driedflower_bulk"/>
    <x v="22"/>
    <x v="93"/>
    <x v="2"/>
    <n v="1"/>
    <s v="tote"/>
    <n v="942"/>
    <n v="3472"/>
    <n v="2530"/>
    <n v="942"/>
    <m/>
    <x v="365"/>
    <x v="1"/>
    <s v="Gelato dried flower_driedflower_bulk"/>
    <n v="37"/>
  </r>
  <r>
    <n v="788"/>
    <n v="1"/>
    <x v="932"/>
    <x v="0"/>
    <s v="NA"/>
    <s v="B01"/>
    <s v="NAB01"/>
    <s v="driedflower_bulk_Rohan"/>
    <x v="189"/>
    <x v="321"/>
    <x v="2"/>
    <n v="1"/>
    <s v="bag"/>
    <n v="5000"/>
    <n v="5202"/>
    <n v="202"/>
    <n v="5000"/>
    <s v="large flower"/>
    <x v="366"/>
    <x v="1"/>
    <s v="Rockstar dried flower_driedflower_bulk_Rohan"/>
    <n v="260"/>
  </r>
  <r>
    <n v="788"/>
    <n v="2"/>
    <x v="933"/>
    <x v="0"/>
    <s v="NA"/>
    <s v="B02"/>
    <s v="NAB02"/>
    <s v="driedflower_bulk_Rohan"/>
    <x v="189"/>
    <x v="321"/>
    <x v="2"/>
    <n v="1"/>
    <s v="bag"/>
    <n v="5000"/>
    <n v="5164"/>
    <n v="164"/>
    <n v="5000"/>
    <s v="MEDIUM FLOWER"/>
    <x v="366"/>
    <x v="1"/>
    <s v="Rockstar dried flower_driedflower_bulk_Rohan"/>
    <n v="260"/>
  </r>
  <r>
    <n v="788"/>
    <n v="3"/>
    <x v="934"/>
    <x v="0"/>
    <s v="NA"/>
    <s v="B03"/>
    <s v="NAB03"/>
    <s v="driedflower_bulk_Rohan"/>
    <x v="189"/>
    <x v="321"/>
    <x v="2"/>
    <n v="1"/>
    <s v="bag"/>
    <n v="5000"/>
    <n v="5148"/>
    <n v="148"/>
    <n v="5000"/>
    <s v="SMALL FLOWER"/>
    <x v="366"/>
    <x v="1"/>
    <s v="Rockstar dried flower_driedflower_bulk_Rohan"/>
    <n v="260"/>
  </r>
  <r>
    <n v="789"/>
    <n v="0"/>
    <x v="935"/>
    <x v="0"/>
    <s v="NA"/>
    <s v="NA"/>
    <s v="NANA"/>
    <s v="preroll_labelled"/>
    <x v="98"/>
    <x v="319"/>
    <x v="184"/>
    <n v="157"/>
    <s v="unit"/>
    <n v="1.5"/>
    <n v="0"/>
    <n v="0"/>
    <n v="235.5"/>
    <m/>
    <x v="367"/>
    <x v="0"/>
    <s v="November Rain Blueberry preroll 3 x 0.5g_preroll_labelled"/>
    <n v="76"/>
  </r>
  <r>
    <n v="741"/>
    <n v="5"/>
    <x v="936"/>
    <x v="0"/>
    <s v="NA"/>
    <s v="NA"/>
    <s v="NANA"/>
    <s v="diredflower_milled_bulk_Rohan"/>
    <x v="207"/>
    <x v="279"/>
    <x v="2"/>
    <n v="1"/>
    <s v="pail"/>
    <n v="3002"/>
    <n v="4772"/>
    <n v="1770"/>
    <n v="3002"/>
    <m/>
    <x v="368"/>
    <x v="1"/>
    <s v="Rockstar milled flower_diredflower_milled_bulk_Rohan"/>
    <n v="266"/>
  </r>
  <r>
    <n v="650"/>
    <n v="8"/>
    <x v="937"/>
    <x v="0"/>
    <s v="NA"/>
    <s v="NA"/>
    <s v="NANA"/>
    <s v="driedflower_milled_bulk"/>
    <x v="142"/>
    <x v="266"/>
    <x v="2"/>
    <n v="1"/>
    <s v="pail"/>
    <n v="1968"/>
    <n v="3710"/>
    <n v="1742"/>
    <n v="1968"/>
    <m/>
    <x v="369"/>
    <x v="1"/>
    <s v="Midnight Kruntz milled flower_driedflower_milled_bulk"/>
    <n v="187"/>
  </r>
  <r>
    <n v="785"/>
    <n v="1"/>
    <x v="938"/>
    <x v="0"/>
    <s v="NA"/>
    <s v="NA"/>
    <s v="NANA"/>
    <s v="preroll_labelled"/>
    <x v="201"/>
    <x v="318"/>
    <x v="185"/>
    <n v="159"/>
    <s v="unit"/>
    <n v="6"/>
    <n v="0"/>
    <n v="0"/>
    <n v="954"/>
    <m/>
    <x v="370"/>
    <x v="0"/>
    <s v="November Rain Blaster Multipack 0.5g*12_preroll_labelled"/>
    <n v="275"/>
  </r>
  <r>
    <n v="734"/>
    <n v="5"/>
    <x v="939"/>
    <x v="0"/>
    <s v="NA"/>
    <s v="NA"/>
    <s v="NANA"/>
    <s v="driedflower_labelled"/>
    <x v="141"/>
    <x v="251"/>
    <x v="186"/>
    <n v="61"/>
    <s v="unit"/>
    <n v="7"/>
    <n v="0"/>
    <n v="0"/>
    <n v="427"/>
    <m/>
    <x v="371"/>
    <x v="0"/>
    <s v="Midnight Kruntz Dried Flower 7g_driedflower_labelled"/>
    <n v="173"/>
  </r>
  <r>
    <n v="775"/>
    <n v="1"/>
    <x v="940"/>
    <x v="0"/>
    <s v="RACK_D"/>
    <s v="GRID_0"/>
    <s v="RACK_DGRID_0"/>
    <s v="extract_inhaled_labelled_Rohan"/>
    <x v="190"/>
    <x v="322"/>
    <x v="187"/>
    <n v="300"/>
    <s v="unit"/>
    <n v="1"/>
    <n v="0"/>
    <n v="0"/>
    <n v="300"/>
    <m/>
    <x v="372"/>
    <x v="0"/>
    <s v="Runtz Muffin Crumble (Rohan)_extract_inhaled_labelled_Rohan"/>
    <s v=""/>
  </r>
  <r>
    <n v="780"/>
    <n v="1"/>
    <x v="941"/>
    <x v="0"/>
    <s v="NA"/>
    <s v="NA"/>
    <s v="NANA"/>
    <s v="preroll_labelled"/>
    <x v="217"/>
    <x v="323"/>
    <x v="188"/>
    <n v="36"/>
    <s v="unit"/>
    <n v="1"/>
    <n v="0"/>
    <n v="0"/>
    <n v="36"/>
    <m/>
    <x v="373"/>
    <x v="0"/>
    <s v="Rogworld-Bong Guru Rockstar-1g pre-roll_preroll_labelled"/>
    <n v="310"/>
  </r>
  <r>
    <n v="761"/>
    <n v="13"/>
    <x v="942"/>
    <x v="1"/>
    <s v="RACK_B"/>
    <s v="GRID_3"/>
    <s v="RACK_BGRID_3"/>
    <s v="preroll_labelled"/>
    <x v="61"/>
    <x v="133"/>
    <x v="185"/>
    <n v="300"/>
    <s v="unit"/>
    <n v="1.5"/>
    <n v="0"/>
    <n v="0"/>
    <n v="450"/>
    <m/>
    <x v="374"/>
    <x v="0"/>
    <s v="November Rain Watermelon preroll 3 x 0.5g_preroll_labelled"/>
    <n v="92"/>
  </r>
  <r>
    <n v="775"/>
    <n v="2"/>
    <x v="943"/>
    <x v="0"/>
    <s v="RACK_D"/>
    <s v="GRID_0"/>
    <s v="RACK_DGRID_0"/>
    <s v="extract_inhaled_bulk_Rohan"/>
    <x v="190"/>
    <x v="322"/>
    <x v="187"/>
    <n v="250"/>
    <s v="unit"/>
    <n v="1"/>
    <n v="0"/>
    <n v="0"/>
    <n v="250"/>
    <m/>
    <x v="375"/>
    <x v="0"/>
    <s v="Runtz Muffin Crumble (Rohan)_extract_inhaled_bulk_Rohan"/>
    <n v="264"/>
  </r>
  <r>
    <n v="756"/>
    <n v="5"/>
    <x v="944"/>
    <x v="0"/>
    <s v="NA"/>
    <s v="NA"/>
    <s v="NANA"/>
    <s v="preroll_labelled"/>
    <x v="151"/>
    <x v="282"/>
    <x v="184"/>
    <n v="235"/>
    <s v="unit"/>
    <n v="5"/>
    <n v="0"/>
    <n v="0"/>
    <n v="1175"/>
    <m/>
    <x v="376"/>
    <x v="0"/>
    <s v="Midnight Kruntz pre-roll 10x0.5g_preroll_labelled"/>
    <n v="189"/>
  </r>
  <r>
    <n v="790"/>
    <n v="0"/>
    <x v="945"/>
    <x v="0"/>
    <s v="NA"/>
    <s v="NA"/>
    <s v="NANA"/>
    <s v="preroll_labelled"/>
    <x v="204"/>
    <x v="324"/>
    <x v="189"/>
    <n v="87"/>
    <s v="unit"/>
    <n v="4.2"/>
    <n v="0"/>
    <n v="0"/>
    <n v="365.40000000000003"/>
    <m/>
    <x v="377"/>
    <x v="0"/>
    <s v="Gelato preroll 12 x 0.35g _preroll_labelled"/>
    <n v="192"/>
  </r>
  <r>
    <n v="791"/>
    <n v="1"/>
    <x v="946"/>
    <x v="0"/>
    <s v="T001RTV"/>
    <s v="NA"/>
    <s v="T001RTVNA"/>
    <s v="extract_ingested_cased_MB_RTV"/>
    <x v="77"/>
    <x v="79"/>
    <x v="87"/>
    <n v="5"/>
    <s v="case"/>
    <n v="327.60000000000002"/>
    <n v="0"/>
    <n v="0"/>
    <n v="1638"/>
    <m/>
    <x v="378"/>
    <x v="0"/>
    <s v="Aum CBD oil 27.4g_extract_ingested_cased_MB_RTV"/>
    <n v="183"/>
  </r>
  <r>
    <n v="791"/>
    <n v="2"/>
    <x v="947"/>
    <x v="0"/>
    <s v="T002RTV"/>
    <s v="NA"/>
    <s v="T002RTVNA"/>
    <s v="extract_inhaled_cased_MB_RTV"/>
    <x v="111"/>
    <x v="164"/>
    <x v="94"/>
    <n v="4"/>
    <s v="case"/>
    <n v="6"/>
    <n v="0"/>
    <n v="0"/>
    <n v="24"/>
    <m/>
    <x v="378"/>
    <x v="0"/>
    <s v="November Rain Vape Caribbean Breeze Hybrid 0.5g Live Rosin Disposable Bar_extract_inhaled_cased_MB_RTV"/>
    <s v=""/>
  </r>
  <r>
    <n v="791"/>
    <n v="3"/>
    <x v="948"/>
    <x v="0"/>
    <s v="RACK_B"/>
    <s v="GRID_1"/>
    <s v="RACK_B-GRID_1"/>
    <s v="preroll_cased_MB"/>
    <x v="94"/>
    <x v="42"/>
    <x v="91"/>
    <n v="5"/>
    <s v="case"/>
    <n v="24"/>
    <n v="0"/>
    <n v="0"/>
    <n v="120"/>
    <m/>
    <x v="378"/>
    <x v="0"/>
    <s v="Gelato preroll 1 x 1g_preroll_cased_MB"/>
    <n v="160"/>
  </r>
  <r>
    <n v="791"/>
    <n v="4"/>
    <x v="949"/>
    <x v="0"/>
    <s v="RACK_B"/>
    <s v="GRID_2"/>
    <s v="RACK_BGRID_2"/>
    <s v="preroll_cased_MB"/>
    <x v="61"/>
    <x v="133"/>
    <x v="88"/>
    <n v="2"/>
    <s v="case"/>
    <n v="18"/>
    <n v="0"/>
    <n v="0"/>
    <n v="36"/>
    <m/>
    <x v="378"/>
    <x v="0"/>
    <s v="November Rain Watermelon preroll 3 x 0.5g_preroll_cased_MB"/>
    <n v="158"/>
  </r>
  <r>
    <n v="791"/>
    <n v="5"/>
    <x v="950"/>
    <x v="0"/>
    <s v="RACK_B"/>
    <s v="GRID_2"/>
    <s v="RACK_BGRID_2"/>
    <s v="preroll_cased_MB"/>
    <x v="61"/>
    <x v="133"/>
    <x v="83"/>
    <n v="2"/>
    <s v="case"/>
    <n v="18"/>
    <n v="0"/>
    <n v="0"/>
    <n v="36"/>
    <m/>
    <x v="378"/>
    <x v="0"/>
    <s v="November Rain Watermelon preroll 3 x 0.5g_preroll_cased_MB"/>
    <n v="158"/>
  </r>
  <r>
    <n v="791"/>
    <n v="6"/>
    <x v="951"/>
    <x v="0"/>
    <s v="RACK_B"/>
    <s v="GRID_2"/>
    <s v="RACK_BGRID_2"/>
    <s v="preroll_cased_MB"/>
    <x v="59"/>
    <x v="55"/>
    <x v="39"/>
    <n v="8"/>
    <s v="case"/>
    <n v="18"/>
    <n v="0"/>
    <n v="0"/>
    <n v="144"/>
    <m/>
    <x v="378"/>
    <x v="0"/>
    <s v="Grease Monkey preroll 3 x 0.5g_preroll_cased_MB"/>
    <n v="161"/>
  </r>
  <r>
    <n v="791"/>
    <n v="7"/>
    <x v="952"/>
    <x v="0"/>
    <s v="RACK_B"/>
    <s v="GRID_2"/>
    <s v="RACK_BGRID_2"/>
    <s v="preroll_cased_MB"/>
    <x v="120"/>
    <x v="134"/>
    <x v="3"/>
    <n v="10"/>
    <s v="case"/>
    <n v="12"/>
    <n v="0"/>
    <n v="0"/>
    <n v="120"/>
    <m/>
    <x v="378"/>
    <x v="0"/>
    <s v="Monkey King preroll 2 x 0.5g_preroll_cased_MB"/>
    <n v="159"/>
  </r>
  <r>
    <n v="791"/>
    <n v="8"/>
    <x v="953"/>
    <x v="0"/>
    <s v="RACK_B"/>
    <s v="GRID_2"/>
    <s v="RACK_BGRID_2"/>
    <s v="preroll_cased_MB"/>
    <x v="120"/>
    <x v="134"/>
    <x v="104"/>
    <n v="6"/>
    <s v="case"/>
    <n v="12"/>
    <n v="0"/>
    <n v="0"/>
    <n v="72"/>
    <m/>
    <x v="378"/>
    <x v="0"/>
    <s v="Monkey King preroll 2 x 0.5g_preroll_cased_MB"/>
    <n v="159"/>
  </r>
  <r>
    <n v="791"/>
    <n v="9"/>
    <x v="954"/>
    <x v="0"/>
    <s v="RACK_B"/>
    <s v="GRID_2"/>
    <s v="RACK_BGRID_2"/>
    <s v="preroll_cased_MB"/>
    <x v="98"/>
    <x v="104"/>
    <x v="83"/>
    <n v="5"/>
    <s v="case"/>
    <n v="18"/>
    <n v="0"/>
    <n v="0"/>
    <n v="90"/>
    <m/>
    <x v="378"/>
    <x v="0"/>
    <s v="November Rain Blueberry preroll 3 x 0.5g_preroll_cased_MB"/>
    <n v="155"/>
  </r>
  <r>
    <n v="791"/>
    <n v="10"/>
    <x v="955"/>
    <x v="0"/>
    <s v="RACK_B"/>
    <s v="GRID_2"/>
    <s v="RACK_BGRID_2"/>
    <s v="preroll_cased_MB"/>
    <x v="98"/>
    <x v="104"/>
    <x v="72"/>
    <n v="3"/>
    <s v="case"/>
    <n v="18"/>
    <n v="0"/>
    <n v="0"/>
    <n v="54"/>
    <m/>
    <x v="378"/>
    <x v="0"/>
    <s v="November Rain Blueberry preroll 3 x 0.5g_preroll_cased_MB"/>
    <n v="155"/>
  </r>
  <r>
    <n v="791"/>
    <n v="11"/>
    <x v="956"/>
    <x v="0"/>
    <s v="RACK_B"/>
    <s v="GRID_2"/>
    <s v="RACK_BGRID_2"/>
    <s v="preroll_cased_MB"/>
    <x v="106"/>
    <x v="114"/>
    <x v="81"/>
    <n v="1"/>
    <s v="case"/>
    <n v="18"/>
    <n v="0"/>
    <n v="0"/>
    <n v="18"/>
    <m/>
    <x v="378"/>
    <x v="0"/>
    <s v="November Rain Lemon Ice Tea preroll 3 x 0.5g_preroll_cased_MB"/>
    <n v="154"/>
  </r>
  <r>
    <n v="792"/>
    <n v="1"/>
    <x v="957"/>
    <x v="0"/>
    <s v="T005RTV"/>
    <s v="NA"/>
    <s v="T005RTVNA"/>
    <s v="extract_inhaled_cased_SK_RTV"/>
    <x v="0"/>
    <x v="122"/>
    <x v="76"/>
    <n v="2"/>
    <s v="case"/>
    <n v="6"/>
    <n v="0"/>
    <n v="0"/>
    <n v="12"/>
    <m/>
    <x v="378"/>
    <x v="0"/>
    <s v="November Rain Vape Canadian Thunder 0.5g Sativa_extract_inhaled_cased_SK_RTV"/>
    <n v="285"/>
  </r>
  <r>
    <n v="792"/>
    <n v="2"/>
    <x v="958"/>
    <x v="0"/>
    <s v="T005RTV"/>
    <s v="NA"/>
    <s v="T005RTVNA"/>
    <s v="extract_inhaled_cased_SK_RTV"/>
    <x v="111"/>
    <x v="325"/>
    <x v="94"/>
    <n v="10"/>
    <s v="case"/>
    <n v="6"/>
    <n v="0"/>
    <n v="0"/>
    <n v="60"/>
    <m/>
    <x v="378"/>
    <x v="0"/>
    <s v="November Rain Vape Caribbean Breeze Hybrid 0.5g Live Rosin Disposable Bar_extract_inhaled_cased_SK_RTV"/>
    <n v="287"/>
  </r>
  <r>
    <n v="792"/>
    <n v="3"/>
    <x v="959"/>
    <x v="0"/>
    <s v="T005RTV"/>
    <s v="NA"/>
    <s v="T005RTVNA"/>
    <s v="extract_inhaled_cased_SK_RTV"/>
    <x v="0"/>
    <x v="151"/>
    <x v="109"/>
    <n v="15"/>
    <s v="case"/>
    <n v="6"/>
    <n v="0"/>
    <n v="0"/>
    <n v="90"/>
    <m/>
    <x v="378"/>
    <x v="0"/>
    <s v="November Rain Vape Canadian Thunder 0.5g Sativa_extract_inhaled_cased_SK_RTV"/>
    <n v="285"/>
  </r>
  <r>
    <n v="793"/>
    <n v="0"/>
    <x v="960"/>
    <x v="0"/>
    <s v="RACK_A"/>
    <m/>
    <s v="RACK_A-"/>
    <s v="extract_ingested_packaged"/>
    <x v="146"/>
    <x v="326"/>
    <x v="62"/>
    <n v="501"/>
    <s v="unit"/>
    <n v="151"/>
    <n v="0"/>
    <n v="0"/>
    <n v="75651"/>
    <m/>
    <x v="379"/>
    <x v="0"/>
    <s v="Pot Shot Coconut Lime 151mg_extract_ingested_packaged"/>
    <n v="193"/>
  </r>
  <r>
    <n v="793"/>
    <n v="1"/>
    <x v="961"/>
    <x v="0"/>
    <s v="RACK_A"/>
    <m/>
    <s v="RACK_A-"/>
    <s v="extract_ingested_labelled"/>
    <x v="146"/>
    <x v="299"/>
    <x v="165"/>
    <n v="9"/>
    <s v="unit"/>
    <n v="151"/>
    <n v="0"/>
    <n v="0"/>
    <n v="1359"/>
    <m/>
    <x v="379"/>
    <x v="0"/>
    <s v="Pot Shot Coconut Lime 151mg_extract_ingested_labelled"/>
    <n v="246"/>
  </r>
  <r>
    <n v="784"/>
    <n v="1"/>
    <x v="962"/>
    <x v="0"/>
    <s v="RACK_C"/>
    <s v="_BACK"/>
    <s v="RACK_C_BACK"/>
    <s v="extract_inhaled_labelled"/>
    <x v="186"/>
    <x v="327"/>
    <x v="190"/>
    <n v="106"/>
    <s v="unit"/>
    <n v="1"/>
    <n v="0"/>
    <n v="0"/>
    <n v="106"/>
    <m/>
    <x v="365"/>
    <x v="0"/>
    <s v="November Rain White Widow Hybrid Full Spectrum vape 1g_extract_inhaled_labelled"/>
    <n v="191"/>
  </r>
  <r>
    <n v="794"/>
    <n v="0"/>
    <x v="963"/>
    <x v="0"/>
    <s v="RACK_E"/>
    <s v="_PAILS"/>
    <s v="RACK_E-_PAILS"/>
    <s v="driedflower_milled_bulk"/>
    <x v="218"/>
    <x v="328"/>
    <x v="2"/>
    <n v="1"/>
    <s v="pail"/>
    <n v="2184"/>
    <n v="3956"/>
    <n v="1772"/>
    <n v="2184"/>
    <m/>
    <x v="380"/>
    <x v="1"/>
    <s v="Hara milled flower - Gelato_driedflower_milled_bulk"/>
    <n v="311"/>
  </r>
  <r>
    <n v="794"/>
    <n v="1"/>
    <x v="964"/>
    <x v="0"/>
    <s v="RACK_E"/>
    <s v="_PAILS"/>
    <s v="RACK_E-_PAILS"/>
    <s v="driedflower_milled_bulk"/>
    <x v="218"/>
    <x v="328"/>
    <x v="2"/>
    <n v="1"/>
    <s v="pail"/>
    <n v="1994"/>
    <n v="3739"/>
    <n v="1745"/>
    <n v="1994"/>
    <m/>
    <x v="380"/>
    <x v="1"/>
    <s v="Hara milled flower - Gelato_driedflower_milled_bulk"/>
    <n v="311"/>
  </r>
  <r>
    <n v="795"/>
    <n v="0"/>
    <x v="965"/>
    <x v="0"/>
    <s v="RACK_B"/>
    <s v="GRID_1"/>
    <s v="RACK_B-GRID_1"/>
    <s v="preroll_labelled"/>
    <x v="214"/>
    <x v="313"/>
    <x v="191"/>
    <n v="77"/>
    <s v="unit"/>
    <n v="2.5"/>
    <n v="0"/>
    <n v="0"/>
    <n v="192.5"/>
    <m/>
    <x v="381"/>
    <x v="0"/>
    <s v="Rogworld-Bong Guru Rockstar-5X0.5g pre-rolls_preroll_labelled"/>
    <n v="304"/>
  </r>
  <r>
    <n v="796"/>
    <n v="0"/>
    <x v="966"/>
    <x v="0"/>
    <s v="RACK_B"/>
    <s v="GRID_3"/>
    <s v="RACK_B-GRID_3"/>
    <s v="preroll_labelled"/>
    <x v="70"/>
    <x v="329"/>
    <x v="190"/>
    <n v="384"/>
    <s v="unit"/>
    <n v="1.5"/>
    <n v="0"/>
    <n v="0"/>
    <n v="576"/>
    <m/>
    <x v="382"/>
    <x v="0"/>
    <s v="November Rain Rose preroll 3 x 0.5g_preroll_labelled"/>
    <n v="79"/>
  </r>
  <r>
    <n v="796"/>
    <n v="1"/>
    <x v="967"/>
    <x v="0"/>
    <s v="RACK_B"/>
    <s v="GRID_1"/>
    <s v="RACK_B-GRID_1"/>
    <s v="preroll_labelled"/>
    <x v="98"/>
    <x v="104"/>
    <x v="191"/>
    <n v="96"/>
    <s v="unit"/>
    <n v="1.5"/>
    <n v="0"/>
    <n v="0"/>
    <n v="144"/>
    <m/>
    <x v="382"/>
    <x v="0"/>
    <s v="November Rain Blueberry preroll 3 x 0.5g_preroll_labelled"/>
    <n v="76"/>
  </r>
  <r>
    <n v="796"/>
    <n v="2"/>
    <x v="968"/>
    <x v="0"/>
    <s v="RACK_B"/>
    <s v="GRID_7"/>
    <s v="RACK_B-GRID_7"/>
    <s v="preroll_labelled"/>
    <x v="119"/>
    <x v="330"/>
    <x v="190"/>
    <n v="552"/>
    <s v="unit"/>
    <n v="1.5"/>
    <n v="0"/>
    <n v="0"/>
    <n v="828"/>
    <m/>
    <x v="383"/>
    <x v="0"/>
    <s v="November Rain Trident preroll 3 x 0.5g_preroll_labelled"/>
    <n v="80"/>
  </r>
  <r>
    <n v="796"/>
    <n v="3"/>
    <x v="969"/>
    <x v="0"/>
    <s v="RACK_B"/>
    <s v="GRID_7"/>
    <s v="RACK_B-GRID_7"/>
    <s v="preroll_labelled"/>
    <x v="98"/>
    <x v="319"/>
    <x v="184"/>
    <n v="199"/>
    <s v="unit"/>
    <n v="1.5"/>
    <n v="0"/>
    <n v="0"/>
    <n v="298.5"/>
    <m/>
    <x v="384"/>
    <x v="0"/>
    <s v="November Rain Blueberry preroll 3 x 0.5g_preroll_labelled"/>
    <n v="76"/>
  </r>
  <r>
    <n v="796"/>
    <n v="4"/>
    <x v="970"/>
    <x v="0"/>
    <s v="RACK_B"/>
    <s v="GRID_7"/>
    <s v="RACK_B-GRID_7"/>
    <s v="preroll_labelled"/>
    <x v="106"/>
    <x v="331"/>
    <x v="190"/>
    <n v="460"/>
    <s v="unit"/>
    <n v="1.5"/>
    <n v="0"/>
    <n v="0"/>
    <n v="690"/>
    <m/>
    <x v="385"/>
    <x v="0"/>
    <s v="November Rain Lemon Ice Tea preroll 3 x 0.5g_preroll_labelled"/>
    <n v="77"/>
  </r>
  <r>
    <n v="796"/>
    <n v="5"/>
    <x v="971"/>
    <x v="0"/>
    <s v="RACK_B"/>
    <s v="GRID_7"/>
    <s v="RACK_B-GRID_7"/>
    <s v="driedflower_labelled"/>
    <x v="141"/>
    <x v="251"/>
    <x v="191"/>
    <n v="175"/>
    <s v="unit"/>
    <n v="7"/>
    <n v="0"/>
    <n v="0"/>
    <n v="1225"/>
    <m/>
    <x v="386"/>
    <x v="0"/>
    <s v="Midnight Kruntz Dried Flower 7g_driedflower_labelled"/>
    <n v="173"/>
  </r>
  <r>
    <n v="796"/>
    <n v="6"/>
    <x v="972"/>
    <x v="0"/>
    <s v="RACK_B"/>
    <s v="GRID_7"/>
    <s v="RACK_B-GRID_7"/>
    <s v="preroll_labelled"/>
    <x v="61"/>
    <x v="332"/>
    <x v="192"/>
    <n v="114"/>
    <s v="unit"/>
    <n v="1.5"/>
    <n v="0"/>
    <n v="0"/>
    <n v="171"/>
    <m/>
    <x v="387"/>
    <x v="0"/>
    <s v="November Rain Watermelon preroll 3 x 0.5g_preroll_labelled"/>
    <n v="92"/>
  </r>
  <r>
    <n v="796"/>
    <n v="7"/>
    <x v="973"/>
    <x v="0"/>
    <s v="RACK_B"/>
    <s v="GRID_7"/>
    <s v="RACK_B-GRID_7"/>
    <s v="preroll_labelled"/>
    <x v="213"/>
    <x v="312"/>
    <x v="193"/>
    <n v="588"/>
    <s v="unit"/>
    <n v="1.5"/>
    <n v="0"/>
    <n v="0"/>
    <n v="882"/>
    <m/>
    <x v="388"/>
    <x v="0"/>
    <s v="Midnight Kruntz pre-roll 2x1g_preroll_labelled"/>
    <n v="303"/>
  </r>
  <r>
    <n v="797"/>
    <n v="0"/>
    <x v="974"/>
    <x v="0"/>
    <s v="RACK_B"/>
    <s v="GRID_1"/>
    <s v="RACK_B-GRID_1"/>
    <s v="preroll_labelled"/>
    <x v="151"/>
    <x v="282"/>
    <x v="192"/>
    <n v="186"/>
    <s v="unit"/>
    <n v="5"/>
    <n v="0"/>
    <n v="0"/>
    <n v="930"/>
    <m/>
    <x v="389"/>
    <x v="0"/>
    <s v="Midnight Kruntz pre-roll 10x0.5g_preroll_labelled"/>
    <n v="189"/>
  </r>
  <r>
    <n v="797"/>
    <n v="1"/>
    <x v="975"/>
    <x v="0"/>
    <s v="RACK_B"/>
    <s v="GRID_1"/>
    <s v="RACK_B-GRID_1"/>
    <s v="preroll_labelled"/>
    <x v="201"/>
    <x v="318"/>
    <x v="192"/>
    <n v="279"/>
    <s v="unit"/>
    <n v="6"/>
    <n v="0"/>
    <n v="0"/>
    <n v="1674"/>
    <m/>
    <x v="390"/>
    <x v="0"/>
    <s v="November Rain Blaster Multipack 0.5g*12_preroll_labelled"/>
    <n v="275"/>
  </r>
  <r>
    <n v="797"/>
    <n v="2"/>
    <x v="976"/>
    <x v="0"/>
    <s v="RACK_A"/>
    <m/>
    <m/>
    <s v="driedflower_labelled"/>
    <x v="141"/>
    <x v="249"/>
    <x v="194"/>
    <n v="153"/>
    <s v="unit"/>
    <n v="7"/>
    <n v="0"/>
    <n v="0"/>
    <n v="1071"/>
    <m/>
    <x v="391"/>
    <x v="0"/>
    <s v="Midnight Kruntz Dried Flower 7g_driedflower_labelled"/>
    <n v="173"/>
  </r>
  <r>
    <n v="797"/>
    <n v="3"/>
    <x v="977"/>
    <x v="0"/>
    <s v="RACK_B"/>
    <s v="GRID_1"/>
    <s v="RACK_B-GRID_1"/>
    <s v="preroll_labelled"/>
    <x v="219"/>
    <x v="333"/>
    <x v="195"/>
    <n v="24"/>
    <s v="unit"/>
    <n v="2.5"/>
    <n v="0"/>
    <n v="0"/>
    <n v="60"/>
    <m/>
    <x v="392"/>
    <x v="0"/>
    <s v="Licorice Gumball pre-roll 5 x 0.5g_preroll_labelled"/>
    <s v=""/>
  </r>
  <r>
    <n v="797"/>
    <n v="4"/>
    <x v="978"/>
    <x v="0"/>
    <s v="RACK_D"/>
    <s v="_PAILS"/>
    <s v="RACK_D-_PAILS"/>
    <s v="extract_distillate_bulk"/>
    <x v="91"/>
    <x v="334"/>
    <x v="191"/>
    <n v="1"/>
    <s v="pail"/>
    <n v="6000"/>
    <n v="6089"/>
    <n v="89"/>
    <n v="6000"/>
    <m/>
    <x v="393"/>
    <x v="1"/>
    <s v="CBD isolate_extract_distillate_bulk"/>
    <n v="18"/>
  </r>
  <r>
    <n v="797"/>
    <n v="5"/>
    <x v="979"/>
    <x v="0"/>
    <s v="RACK_E"/>
    <s v="_PAILS"/>
    <s v="RACK_E-_PAILS"/>
    <s v="driedflower_milled_bulk"/>
    <x v="142"/>
    <x v="335"/>
    <x v="2"/>
    <n v="1"/>
    <s v="pail"/>
    <n v="1478"/>
    <n v="3248"/>
    <n v="1770"/>
    <n v="1478"/>
    <m/>
    <x v="393"/>
    <x v="1"/>
    <s v="Midnight Kruntz milled flower_driedflower_milled_bulk"/>
    <n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C4269-1762-4CD5-A309-550A8ACD5D5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10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161">
        <item x="159"/>
        <item x="60"/>
        <item x="58"/>
        <item x="59"/>
        <item x="56"/>
        <item x="57"/>
        <item x="113"/>
        <item x="101"/>
        <item x="110"/>
        <item x="153"/>
        <item x="22"/>
        <item x="55"/>
        <item x="32"/>
        <item x="25"/>
        <item x="117"/>
        <item x="0"/>
        <item x="115"/>
        <item x="96"/>
        <item x="120"/>
        <item x="91"/>
        <item x="144"/>
        <item x="51"/>
        <item x="77"/>
        <item x="44"/>
        <item x="34"/>
        <item x="82"/>
        <item x="66"/>
        <item x="94"/>
        <item x="81"/>
        <item x="75"/>
        <item x="80"/>
        <item x="98"/>
        <item x="147"/>
        <item x="104"/>
        <item x="6"/>
        <item x="21"/>
        <item x="3"/>
        <item x="12"/>
        <item x="43"/>
        <item x="102"/>
        <item x="16"/>
        <item x="14"/>
        <item x="69"/>
        <item x="40"/>
        <item x="39"/>
        <item x="85"/>
        <item x="138"/>
        <item x="62"/>
        <item x="137"/>
        <item x="11"/>
        <item x="68"/>
        <item x="90"/>
        <item x="95"/>
        <item x="42"/>
        <item x="146"/>
        <item x="131"/>
        <item x="103"/>
        <item x="35"/>
        <item x="36"/>
        <item x="70"/>
        <item x="24"/>
        <item x="37"/>
        <item x="31"/>
        <item x="155"/>
        <item x="38"/>
        <item x="1"/>
        <item x="140"/>
        <item x="130"/>
        <item x="156"/>
        <item x="61"/>
        <item x="78"/>
        <item x="100"/>
        <item x="79"/>
        <item x="65"/>
        <item x="99"/>
        <item x="64"/>
        <item x="106"/>
        <item x="149"/>
        <item x="28"/>
        <item x="118"/>
        <item x="86"/>
        <item x="15"/>
        <item x="2"/>
        <item x="83"/>
        <item x="84"/>
        <item x="108"/>
        <item x="88"/>
        <item x="151"/>
        <item x="54"/>
        <item x="145"/>
        <item x="134"/>
        <item x="127"/>
        <item x="23"/>
        <item x="17"/>
        <item x="111"/>
        <item x="107"/>
        <item x="128"/>
        <item x="13"/>
        <item x="19"/>
        <item x="142"/>
        <item x="27"/>
        <item x="20"/>
        <item x="18"/>
        <item x="50"/>
        <item x="53"/>
        <item x="47"/>
        <item x="46"/>
        <item x="48"/>
        <item x="49"/>
        <item x="45"/>
        <item x="30"/>
        <item x="89"/>
        <item x="5"/>
        <item x="125"/>
        <item x="150"/>
        <item x="109"/>
        <item x="126"/>
        <item x="124"/>
        <item x="76"/>
        <item x="4"/>
        <item x="41"/>
        <item x="97"/>
        <item x="10"/>
        <item x="33"/>
        <item x="92"/>
        <item x="121"/>
        <item x="93"/>
        <item x="114"/>
        <item x="122"/>
        <item x="123"/>
        <item x="154"/>
        <item x="157"/>
        <item x="152"/>
        <item x="133"/>
        <item x="139"/>
        <item x="116"/>
        <item x="74"/>
        <item x="119"/>
        <item x="148"/>
        <item x="129"/>
        <item x="87"/>
        <item x="136"/>
        <item x="8"/>
        <item x="72"/>
        <item x="26"/>
        <item x="7"/>
        <item x="71"/>
        <item x="112"/>
        <item x="135"/>
        <item x="52"/>
        <item x="132"/>
        <item x="63"/>
        <item x="105"/>
        <item x="67"/>
        <item x="29"/>
        <item x="73"/>
        <item x="158"/>
        <item x="9"/>
        <item x="141"/>
        <item x="14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2"/>
        <item h="1" x="1"/>
        <item x="0"/>
        <item t="default"/>
      </items>
    </pivotField>
    <pivotField showAll="0"/>
  </pivotFields>
  <rowFields count="1">
    <field x="6"/>
  </rowFields>
  <rowItems count="107">
    <i>
      <x/>
    </i>
    <i>
      <x v="8"/>
    </i>
    <i>
      <x v="9"/>
    </i>
    <i>
      <x v="10"/>
    </i>
    <i>
      <x v="12"/>
    </i>
    <i>
      <x v="13"/>
    </i>
    <i>
      <x v="14"/>
    </i>
    <i>
      <x v="15"/>
    </i>
    <i>
      <x v="18"/>
    </i>
    <i>
      <x v="20"/>
    </i>
    <i>
      <x v="23"/>
    </i>
    <i>
      <x v="25"/>
    </i>
    <i>
      <x v="28"/>
    </i>
    <i>
      <x v="29"/>
    </i>
    <i>
      <x v="30"/>
    </i>
    <i>
      <x v="32"/>
    </i>
    <i>
      <x v="33"/>
    </i>
    <i>
      <x v="34"/>
    </i>
    <i>
      <x v="37"/>
    </i>
    <i>
      <x v="38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75"/>
    </i>
    <i>
      <x v="77"/>
    </i>
    <i>
      <x v="79"/>
    </i>
    <i>
      <x v="80"/>
    </i>
    <i>
      <x v="82"/>
    </i>
    <i>
      <x v="83"/>
    </i>
    <i>
      <x v="85"/>
    </i>
    <i>
      <x v="86"/>
    </i>
    <i>
      <x v="87"/>
    </i>
    <i>
      <x v="88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7"/>
    </i>
    <i>
      <x v="120"/>
    </i>
    <i>
      <x v="121"/>
    </i>
    <i>
      <x v="123"/>
    </i>
    <i>
      <x v="125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0"/>
    </i>
    <i>
      <x v="141"/>
    </i>
    <i>
      <x v="142"/>
    </i>
    <i>
      <x v="143"/>
    </i>
    <i>
      <x v="146"/>
    </i>
    <i>
      <x v="148"/>
    </i>
    <i>
      <x v="150"/>
    </i>
    <i>
      <x v="151"/>
    </i>
    <i>
      <x v="154"/>
    </i>
    <i>
      <x v="158"/>
    </i>
    <i t="grand">
      <x/>
    </i>
  </rowItems>
  <colItems count="1">
    <i/>
  </colItems>
  <pageFields count="1">
    <pageField fld="13" hier="-1"/>
  </pageFields>
  <dataFields count="1">
    <dataField name="Sum of quantity_change_un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1FD0C-DF7F-4E7C-A512-3215E30CC15A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O62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161">
        <item x="159"/>
        <item x="60"/>
        <item x="58"/>
        <item x="59"/>
        <item x="56"/>
        <item x="57"/>
        <item x="113"/>
        <item x="101"/>
        <item x="110"/>
        <item x="153"/>
        <item x="22"/>
        <item x="55"/>
        <item x="32"/>
        <item x="25"/>
        <item x="117"/>
        <item x="0"/>
        <item x="115"/>
        <item x="96"/>
        <item x="120"/>
        <item x="91"/>
        <item x="144"/>
        <item x="51"/>
        <item x="77"/>
        <item x="44"/>
        <item x="34"/>
        <item x="82"/>
        <item x="66"/>
        <item x="94"/>
        <item x="81"/>
        <item x="75"/>
        <item x="80"/>
        <item x="98"/>
        <item x="147"/>
        <item x="104"/>
        <item x="6"/>
        <item x="21"/>
        <item x="3"/>
        <item x="12"/>
        <item x="43"/>
        <item x="102"/>
        <item x="16"/>
        <item x="14"/>
        <item x="69"/>
        <item x="40"/>
        <item x="39"/>
        <item x="85"/>
        <item x="138"/>
        <item x="62"/>
        <item x="137"/>
        <item x="11"/>
        <item x="68"/>
        <item x="90"/>
        <item x="95"/>
        <item x="42"/>
        <item x="146"/>
        <item x="131"/>
        <item x="103"/>
        <item x="35"/>
        <item x="36"/>
        <item x="70"/>
        <item x="24"/>
        <item x="37"/>
        <item x="31"/>
        <item x="155"/>
        <item x="38"/>
        <item x="1"/>
        <item x="140"/>
        <item x="130"/>
        <item x="156"/>
        <item x="61"/>
        <item x="78"/>
        <item x="100"/>
        <item x="79"/>
        <item x="65"/>
        <item x="99"/>
        <item x="64"/>
        <item x="106"/>
        <item x="149"/>
        <item x="28"/>
        <item x="118"/>
        <item x="86"/>
        <item x="15"/>
        <item x="2"/>
        <item x="83"/>
        <item x="84"/>
        <item x="108"/>
        <item x="88"/>
        <item x="151"/>
        <item x="54"/>
        <item x="145"/>
        <item x="134"/>
        <item x="127"/>
        <item x="23"/>
        <item x="17"/>
        <item x="111"/>
        <item x="107"/>
        <item x="128"/>
        <item x="13"/>
        <item x="19"/>
        <item x="142"/>
        <item x="27"/>
        <item x="20"/>
        <item x="18"/>
        <item x="50"/>
        <item x="53"/>
        <item x="47"/>
        <item x="46"/>
        <item x="48"/>
        <item x="49"/>
        <item x="45"/>
        <item x="30"/>
        <item x="89"/>
        <item x="5"/>
        <item x="125"/>
        <item x="150"/>
        <item x="109"/>
        <item x="126"/>
        <item x="124"/>
        <item x="76"/>
        <item x="4"/>
        <item x="41"/>
        <item x="97"/>
        <item x="10"/>
        <item x="33"/>
        <item x="92"/>
        <item x="121"/>
        <item x="93"/>
        <item x="114"/>
        <item x="122"/>
        <item x="123"/>
        <item x="154"/>
        <item x="157"/>
        <item x="152"/>
        <item x="133"/>
        <item x="139"/>
        <item x="116"/>
        <item x="74"/>
        <item x="119"/>
        <item x="148"/>
        <item x="129"/>
        <item x="87"/>
        <item x="136"/>
        <item x="8"/>
        <item x="72"/>
        <item x="26"/>
        <item x="7"/>
        <item x="71"/>
        <item x="112"/>
        <item x="135"/>
        <item x="52"/>
        <item x="132"/>
        <item x="63"/>
        <item x="105"/>
        <item x="67"/>
        <item x="29"/>
        <item x="73"/>
        <item x="158"/>
        <item x="9"/>
        <item x="141"/>
        <item x="14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/>
  </pivotFields>
  <rowFields count="1">
    <field x="6"/>
  </rowFields>
  <rowItems count="59">
    <i>
      <x v="1"/>
    </i>
    <i>
      <x v="2"/>
    </i>
    <i>
      <x v="3"/>
    </i>
    <i>
      <x v="4"/>
    </i>
    <i>
      <x v="5"/>
    </i>
    <i>
      <x v="6"/>
    </i>
    <i>
      <x v="7"/>
    </i>
    <i>
      <x v="11"/>
    </i>
    <i>
      <x v="15"/>
    </i>
    <i>
      <x v="16"/>
    </i>
    <i>
      <x v="17"/>
    </i>
    <i>
      <x v="19"/>
    </i>
    <i>
      <x v="21"/>
    </i>
    <i>
      <x v="22"/>
    </i>
    <i>
      <x v="24"/>
    </i>
    <i>
      <x v="26"/>
    </i>
    <i>
      <x v="27"/>
    </i>
    <i>
      <x v="31"/>
    </i>
    <i>
      <x v="35"/>
    </i>
    <i>
      <x v="36"/>
    </i>
    <i>
      <x v="39"/>
    </i>
    <i>
      <x v="40"/>
    </i>
    <i>
      <x v="45"/>
    </i>
    <i>
      <x v="65"/>
    </i>
    <i>
      <x v="69"/>
    </i>
    <i>
      <x v="70"/>
    </i>
    <i>
      <x v="71"/>
    </i>
    <i>
      <x v="72"/>
    </i>
    <i>
      <x v="73"/>
    </i>
    <i>
      <x v="74"/>
    </i>
    <i>
      <x v="76"/>
    </i>
    <i>
      <x v="78"/>
    </i>
    <i>
      <x v="81"/>
    </i>
    <i>
      <x v="84"/>
    </i>
    <i>
      <x v="89"/>
    </i>
    <i>
      <x v="115"/>
    </i>
    <i>
      <x v="116"/>
    </i>
    <i>
      <x v="118"/>
    </i>
    <i>
      <x v="119"/>
    </i>
    <i>
      <x v="122"/>
    </i>
    <i>
      <x v="124"/>
    </i>
    <i>
      <x v="126"/>
    </i>
    <i>
      <x v="127"/>
    </i>
    <i>
      <x v="128"/>
    </i>
    <i>
      <x v="135"/>
    </i>
    <i>
      <x v="136"/>
    </i>
    <i>
      <x v="139"/>
    </i>
    <i>
      <x v="142"/>
    </i>
    <i>
      <x v="144"/>
    </i>
    <i>
      <x v="145"/>
    </i>
    <i>
      <x v="147"/>
    </i>
    <i>
      <x v="149"/>
    </i>
    <i>
      <x v="152"/>
    </i>
    <i>
      <x v="153"/>
    </i>
    <i>
      <x v="155"/>
    </i>
    <i>
      <x v="156"/>
    </i>
    <i>
      <x v="157"/>
    </i>
    <i>
      <x v="159"/>
    </i>
    <i t="grand">
      <x/>
    </i>
  </rowItems>
  <colItems count="1">
    <i/>
  </colItems>
  <pageFields count="1">
    <pageField fld="13" hier="-1"/>
  </pageFields>
  <dataFields count="1">
    <dataField name="Sum of quantity_change_gross_weigh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376B8-663B-4C5D-AA30-B7F95E5857A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86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2">
        <item x="83"/>
        <item x="75"/>
        <item x="76"/>
        <item x="112"/>
        <item x="114"/>
        <item x="113"/>
        <item x="116"/>
        <item x="115"/>
        <item x="157"/>
        <item x="6"/>
        <item x="153"/>
        <item x="152"/>
        <item x="185"/>
        <item x="216"/>
        <item x="101"/>
        <item x="77"/>
        <item x="105"/>
        <item x="28"/>
        <item x="63"/>
        <item x="60"/>
        <item x="74"/>
        <item x="64"/>
        <item x="25"/>
        <item x="13"/>
        <item x="173"/>
        <item x="177"/>
        <item x="3"/>
        <item x="196"/>
        <item x="137"/>
        <item x="169"/>
        <item x="118"/>
        <item x="130"/>
        <item x="7"/>
        <item x="93"/>
        <item x="91"/>
        <item x="139"/>
        <item x="73"/>
        <item x="103"/>
        <item x="21"/>
        <item x="34"/>
        <item x="145"/>
        <item x="134"/>
        <item x="38"/>
        <item x="29"/>
        <item x="149"/>
        <item x="79"/>
        <item x="171"/>
        <item x="46"/>
        <item x="48"/>
        <item x="211"/>
        <item x="155"/>
        <item x="66"/>
        <item x="23"/>
        <item x="26"/>
        <item x="37"/>
        <item x="41"/>
        <item x="36"/>
        <item x="166"/>
        <item x="199"/>
        <item x="22"/>
        <item x="8"/>
        <item x="144"/>
        <item x="89"/>
        <item x="95"/>
        <item x="11"/>
        <item x="44"/>
        <item x="57"/>
        <item x="45"/>
        <item x="94"/>
        <item x="126"/>
        <item x="204"/>
        <item x="42"/>
        <item x="43"/>
        <item x="86"/>
        <item x="15"/>
        <item x="170"/>
        <item x="162"/>
        <item x="161"/>
        <item x="164"/>
        <item x="24"/>
        <item x="54"/>
        <item x="97"/>
        <item x="53"/>
        <item x="184"/>
        <item x="52"/>
        <item x="18"/>
        <item x="27"/>
        <item x="96"/>
        <item x="40"/>
        <item x="39"/>
        <item x="59"/>
        <item x="218"/>
        <item x="9"/>
        <item x="10"/>
        <item x="102"/>
        <item x="183"/>
        <item x="51"/>
        <item x="49"/>
        <item x="50"/>
        <item x="47"/>
        <item x="176"/>
        <item x="84"/>
        <item x="30"/>
        <item x="122"/>
        <item x="131"/>
        <item x="143"/>
        <item x="132"/>
        <item x="121"/>
        <item x="138"/>
        <item x="124"/>
        <item x="147"/>
        <item x="219"/>
        <item x="158"/>
        <item x="181"/>
        <item x="90"/>
        <item x="35"/>
        <item x="100"/>
        <item x="193"/>
        <item x="1"/>
        <item x="2"/>
        <item x="55"/>
        <item x="141"/>
        <item x="142"/>
        <item x="154"/>
        <item x="151"/>
        <item x="213"/>
        <item x="12"/>
        <item x="120"/>
        <item x="178"/>
        <item x="163"/>
        <item x="201"/>
        <item x="72"/>
        <item x="98"/>
        <item x="156"/>
        <item x="200"/>
        <item x="198"/>
        <item x="167"/>
        <item x="62"/>
        <item x="106"/>
        <item x="209"/>
        <item x="71"/>
        <item x="70"/>
        <item x="119"/>
        <item x="110"/>
        <item x="117"/>
        <item x="0"/>
        <item x="111"/>
        <item x="108"/>
        <item x="107"/>
        <item x="99"/>
        <item x="61"/>
        <item x="186"/>
        <item x="188"/>
        <item x="133"/>
        <item x="104"/>
        <item x="19"/>
        <item x="5"/>
        <item x="192"/>
        <item x="210"/>
        <item x="187"/>
        <item x="197"/>
        <item x="191"/>
        <item x="16"/>
        <item x="128"/>
        <item x="67"/>
        <item x="146"/>
        <item x="56"/>
        <item x="78"/>
        <item x="129"/>
        <item x="195"/>
        <item x="205"/>
        <item x="189"/>
        <item x="207"/>
        <item x="14"/>
        <item x="202"/>
        <item x="215"/>
        <item x="217"/>
        <item x="214"/>
        <item x="159"/>
        <item x="136"/>
        <item x="190"/>
        <item x="87"/>
        <item x="82"/>
        <item x="88"/>
        <item x="150"/>
        <item x="125"/>
        <item x="194"/>
        <item x="172"/>
        <item x="180"/>
        <item x="175"/>
        <item x="17"/>
        <item x="135"/>
        <item x="168"/>
        <item x="32"/>
        <item x="4"/>
        <item x="92"/>
        <item x="31"/>
        <item x="127"/>
        <item x="206"/>
        <item x="182"/>
        <item x="165"/>
        <item x="109"/>
        <item x="20"/>
        <item x="33"/>
        <item x="68"/>
        <item x="58"/>
        <item x="69"/>
        <item x="80"/>
        <item x="160"/>
        <item x="123"/>
        <item x="148"/>
        <item x="81"/>
        <item x="85"/>
        <item x="65"/>
        <item x="140"/>
        <item x="212"/>
        <item x="203"/>
        <item x="208"/>
        <item x="179"/>
        <item x="174"/>
        <item m="1" x="220"/>
        <item t="default"/>
      </items>
    </pivotField>
    <pivotField showAll="0"/>
    <pivotField showAll="0"/>
    <pivotField numFmtId="177" showAll="0"/>
    <pivotField showAll="0"/>
    <pivotField numFmtId="178" showAll="0"/>
    <pivotField dataField="1" numFmtId="178" showAll="0"/>
    <pivotField numFmtId="178" showAll="0"/>
    <pivotField numFmtId="178" showAll="0"/>
    <pivotField showAll="0"/>
    <pivotField numFmtId="179" showAl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263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showAll="0"/>
    <pivotField showAll="0"/>
  </pivotFields>
  <rowFields count="1">
    <field x="8"/>
  </rowFields>
  <rowItems count="83">
    <i>
      <x v="3"/>
    </i>
    <i>
      <x v="4"/>
    </i>
    <i>
      <x v="5"/>
    </i>
    <i>
      <x v="6"/>
    </i>
    <i>
      <x v="7"/>
    </i>
    <i>
      <x v="10"/>
    </i>
    <i>
      <x v="11"/>
    </i>
    <i>
      <x v="14"/>
    </i>
    <i>
      <x v="17"/>
    </i>
    <i>
      <x v="22"/>
    </i>
    <i>
      <x v="23"/>
    </i>
    <i>
      <x v="25"/>
    </i>
    <i>
      <x v="26"/>
    </i>
    <i>
      <x v="28"/>
    </i>
    <i>
      <x v="30"/>
    </i>
    <i>
      <x v="31"/>
    </i>
    <i>
      <x v="34"/>
    </i>
    <i>
      <x v="35"/>
    </i>
    <i>
      <x v="37"/>
    </i>
    <i>
      <x v="38"/>
    </i>
    <i>
      <x v="39"/>
    </i>
    <i>
      <x v="43"/>
    </i>
    <i>
      <x v="44"/>
    </i>
    <i>
      <x v="49"/>
    </i>
    <i>
      <x v="52"/>
    </i>
    <i>
      <x v="53"/>
    </i>
    <i>
      <x v="57"/>
    </i>
    <i>
      <x v="58"/>
    </i>
    <i>
      <x v="59"/>
    </i>
    <i>
      <x v="64"/>
    </i>
    <i>
      <x v="73"/>
    </i>
    <i>
      <x v="74"/>
    </i>
    <i>
      <x v="79"/>
    </i>
    <i>
      <x v="86"/>
    </i>
    <i>
      <x v="91"/>
    </i>
    <i>
      <x v="94"/>
    </i>
    <i>
      <x v="95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4"/>
    </i>
    <i>
      <x v="115"/>
    </i>
    <i>
      <x v="116"/>
    </i>
    <i>
      <x v="119"/>
    </i>
    <i>
      <x v="122"/>
    </i>
    <i>
      <x v="126"/>
    </i>
    <i>
      <x v="128"/>
    </i>
    <i>
      <x v="152"/>
    </i>
    <i>
      <x v="154"/>
    </i>
    <i>
      <x v="159"/>
    </i>
    <i>
      <x v="160"/>
    </i>
    <i>
      <x v="163"/>
    </i>
    <i>
      <x v="166"/>
    </i>
    <i>
      <x v="168"/>
    </i>
    <i>
      <x v="170"/>
    </i>
    <i>
      <x v="171"/>
    </i>
    <i>
      <x v="172"/>
    </i>
    <i>
      <x v="173"/>
    </i>
    <i>
      <x v="180"/>
    </i>
    <i>
      <x v="184"/>
    </i>
    <i>
      <x v="185"/>
    </i>
    <i>
      <x v="188"/>
    </i>
    <i>
      <x v="193"/>
    </i>
    <i>
      <x v="195"/>
    </i>
    <i>
      <x v="196"/>
    </i>
    <i>
      <x v="198"/>
    </i>
    <i>
      <x v="201"/>
    </i>
    <i>
      <x v="203"/>
    </i>
    <i>
      <x v="207"/>
    </i>
    <i>
      <x v="210"/>
    </i>
    <i>
      <x v="211"/>
    </i>
    <i>
      <x v="212"/>
    </i>
    <i>
      <x v="214"/>
    </i>
    <i>
      <x v="215"/>
    </i>
    <i>
      <x v="216"/>
    </i>
    <i>
      <x v="218"/>
    </i>
    <i>
      <x v="219"/>
    </i>
    <i t="grand">
      <x/>
    </i>
  </rowItems>
  <colItems count="1">
    <i/>
  </colItems>
  <pageFields count="1">
    <pageField fld="19" item="0" hier="-1"/>
  </pageFields>
  <dataFields count="1">
    <dataField name="Sum of gross_weight" fld="14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3C41C-514C-47E8-81BE-F1F5DA334DA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2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2">
        <item x="83"/>
        <item x="75"/>
        <item x="76"/>
        <item x="112"/>
        <item x="114"/>
        <item x="113"/>
        <item x="116"/>
        <item x="115"/>
        <item x="157"/>
        <item x="6"/>
        <item x="153"/>
        <item x="152"/>
        <item x="185"/>
        <item x="216"/>
        <item x="101"/>
        <item x="77"/>
        <item x="105"/>
        <item x="28"/>
        <item x="63"/>
        <item x="60"/>
        <item x="74"/>
        <item x="64"/>
        <item x="25"/>
        <item x="13"/>
        <item x="173"/>
        <item x="177"/>
        <item x="3"/>
        <item x="196"/>
        <item x="137"/>
        <item x="169"/>
        <item x="118"/>
        <item x="130"/>
        <item x="7"/>
        <item x="93"/>
        <item x="91"/>
        <item x="139"/>
        <item x="73"/>
        <item x="103"/>
        <item x="21"/>
        <item x="34"/>
        <item x="145"/>
        <item x="134"/>
        <item x="38"/>
        <item x="29"/>
        <item x="149"/>
        <item x="79"/>
        <item x="171"/>
        <item x="46"/>
        <item x="48"/>
        <item x="211"/>
        <item x="155"/>
        <item x="66"/>
        <item x="23"/>
        <item x="26"/>
        <item x="37"/>
        <item x="41"/>
        <item x="36"/>
        <item x="166"/>
        <item x="199"/>
        <item x="22"/>
        <item x="8"/>
        <item x="144"/>
        <item x="89"/>
        <item x="95"/>
        <item x="11"/>
        <item x="44"/>
        <item x="57"/>
        <item x="45"/>
        <item x="94"/>
        <item x="126"/>
        <item x="204"/>
        <item x="42"/>
        <item x="43"/>
        <item x="86"/>
        <item x="15"/>
        <item x="170"/>
        <item x="162"/>
        <item x="161"/>
        <item x="164"/>
        <item x="24"/>
        <item x="54"/>
        <item x="97"/>
        <item x="53"/>
        <item x="184"/>
        <item x="52"/>
        <item x="18"/>
        <item x="27"/>
        <item x="96"/>
        <item x="40"/>
        <item x="39"/>
        <item x="59"/>
        <item x="218"/>
        <item x="9"/>
        <item x="10"/>
        <item x="102"/>
        <item x="183"/>
        <item x="51"/>
        <item x="49"/>
        <item x="50"/>
        <item x="47"/>
        <item x="176"/>
        <item x="84"/>
        <item x="30"/>
        <item x="122"/>
        <item x="131"/>
        <item x="143"/>
        <item x="132"/>
        <item x="121"/>
        <item x="138"/>
        <item x="124"/>
        <item x="147"/>
        <item x="219"/>
        <item x="158"/>
        <item x="181"/>
        <item x="90"/>
        <item x="35"/>
        <item x="100"/>
        <item x="193"/>
        <item x="1"/>
        <item x="2"/>
        <item x="55"/>
        <item x="141"/>
        <item x="142"/>
        <item x="154"/>
        <item x="151"/>
        <item x="213"/>
        <item x="12"/>
        <item x="120"/>
        <item x="178"/>
        <item x="163"/>
        <item x="201"/>
        <item x="72"/>
        <item x="98"/>
        <item x="156"/>
        <item x="200"/>
        <item x="198"/>
        <item x="167"/>
        <item x="62"/>
        <item x="106"/>
        <item x="209"/>
        <item x="71"/>
        <item x="70"/>
        <item x="119"/>
        <item x="110"/>
        <item x="117"/>
        <item x="0"/>
        <item x="111"/>
        <item x="108"/>
        <item x="107"/>
        <item x="99"/>
        <item x="61"/>
        <item x="186"/>
        <item x="188"/>
        <item x="133"/>
        <item x="104"/>
        <item x="19"/>
        <item x="5"/>
        <item x="192"/>
        <item x="210"/>
        <item x="187"/>
        <item x="197"/>
        <item x="191"/>
        <item x="16"/>
        <item x="128"/>
        <item x="67"/>
        <item x="146"/>
        <item x="56"/>
        <item x="78"/>
        <item x="129"/>
        <item x="195"/>
        <item x="205"/>
        <item x="189"/>
        <item x="207"/>
        <item x="14"/>
        <item x="202"/>
        <item x="215"/>
        <item x="217"/>
        <item x="214"/>
        <item x="159"/>
        <item x="136"/>
        <item x="190"/>
        <item x="87"/>
        <item x="82"/>
        <item x="88"/>
        <item x="150"/>
        <item x="125"/>
        <item x="194"/>
        <item x="172"/>
        <item x="180"/>
        <item x="175"/>
        <item x="17"/>
        <item x="135"/>
        <item x="168"/>
        <item x="32"/>
        <item x="4"/>
        <item x="92"/>
        <item x="31"/>
        <item x="127"/>
        <item x="206"/>
        <item x="182"/>
        <item x="165"/>
        <item x="109"/>
        <item x="20"/>
        <item x="33"/>
        <item x="68"/>
        <item x="58"/>
        <item x="69"/>
        <item x="80"/>
        <item x="160"/>
        <item x="123"/>
        <item x="148"/>
        <item x="81"/>
        <item x="85"/>
        <item x="65"/>
        <item x="140"/>
        <item x="212"/>
        <item x="203"/>
        <item x="208"/>
        <item x="179"/>
        <item x="174"/>
        <item m="1" x="220"/>
        <item t="default"/>
      </items>
    </pivotField>
    <pivotField showAll="0"/>
    <pivotField showAll="0"/>
    <pivotField dataField="1" numFmtId="177" showAll="0"/>
    <pivotField showAll="0"/>
    <pivotField numFmtId="178" showAll="0"/>
    <pivotField numFmtId="178" showAll="0"/>
    <pivotField numFmtId="178" showAll="0"/>
    <pivotField numFmtId="178" showAll="0"/>
    <pivotField showAll="0"/>
    <pivotField numFmtId="179" showAl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263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axis="axisPage" multipleItemSelectionAllowed="1" showAll="0">
      <items count="4">
        <item h="1" x="1"/>
        <item x="0"/>
        <item m="1" x="2"/>
        <item t="default"/>
      </items>
    </pivotField>
    <pivotField showAll="0"/>
    <pivotField showAll="0"/>
  </pivotFields>
  <rowFields count="1">
    <field x="8"/>
  </rowFields>
  <rowItems count="149">
    <i>
      <x/>
    </i>
    <i>
      <x v="1"/>
    </i>
    <i>
      <x v="2"/>
    </i>
    <i>
      <x v="8"/>
    </i>
    <i>
      <x v="9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4"/>
    </i>
    <i>
      <x v="27"/>
    </i>
    <i>
      <x v="29"/>
    </i>
    <i>
      <x v="32"/>
    </i>
    <i>
      <x v="33"/>
    </i>
    <i>
      <x v="36"/>
    </i>
    <i>
      <x v="40"/>
    </i>
    <i>
      <x v="41"/>
    </i>
    <i>
      <x v="42"/>
    </i>
    <i>
      <x v="45"/>
    </i>
    <i>
      <x v="46"/>
    </i>
    <i>
      <x v="47"/>
    </i>
    <i>
      <x v="48"/>
    </i>
    <i>
      <x v="50"/>
    </i>
    <i>
      <x v="51"/>
    </i>
    <i>
      <x v="54"/>
    </i>
    <i>
      <x v="55"/>
    </i>
    <i>
      <x v="56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89"/>
    </i>
    <i>
      <x v="90"/>
    </i>
    <i>
      <x v="92"/>
    </i>
    <i>
      <x v="93"/>
    </i>
    <i>
      <x v="96"/>
    </i>
    <i>
      <x v="97"/>
    </i>
    <i>
      <x v="98"/>
    </i>
    <i>
      <x v="99"/>
    </i>
    <i>
      <x v="100"/>
    </i>
    <i>
      <x v="101"/>
    </i>
    <i>
      <x v="109"/>
    </i>
    <i>
      <x v="111"/>
    </i>
    <i>
      <x v="112"/>
    </i>
    <i>
      <x v="113"/>
    </i>
    <i>
      <x v="117"/>
    </i>
    <i>
      <x v="118"/>
    </i>
    <i>
      <x v="120"/>
    </i>
    <i>
      <x v="121"/>
    </i>
    <i>
      <x v="123"/>
    </i>
    <i>
      <x v="124"/>
    </i>
    <i>
      <x v="125"/>
    </i>
    <i>
      <x v="127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3"/>
    </i>
    <i>
      <x v="155"/>
    </i>
    <i>
      <x v="156"/>
    </i>
    <i>
      <x v="157"/>
    </i>
    <i>
      <x v="158"/>
    </i>
    <i>
      <x v="161"/>
    </i>
    <i>
      <x v="162"/>
    </i>
    <i>
      <x v="164"/>
    </i>
    <i>
      <x v="165"/>
    </i>
    <i>
      <x v="167"/>
    </i>
    <i>
      <x v="169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6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9"/>
    </i>
    <i>
      <x v="200"/>
    </i>
    <i>
      <x v="202"/>
    </i>
    <i>
      <x v="204"/>
    </i>
    <i>
      <x v="205"/>
    </i>
    <i>
      <x v="206"/>
    </i>
    <i>
      <x v="207"/>
    </i>
    <i>
      <x v="208"/>
    </i>
    <i>
      <x v="209"/>
    </i>
    <i>
      <x v="211"/>
    </i>
    <i>
      <x v="212"/>
    </i>
    <i>
      <x v="213"/>
    </i>
    <i>
      <x v="217"/>
    </i>
    <i>
      <x v="219"/>
    </i>
    <i t="grand">
      <x/>
    </i>
  </rowItems>
  <colItems count="1">
    <i/>
  </colItems>
  <pageFields count="1">
    <pageField fld="19" hier="-1"/>
  </pageFields>
  <dataFields count="1">
    <dataField name="Sum of number_of_unit" fld="11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7FBD9-C026-4451-BDAC-20ACE4547CF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0:N21" firstHeaderRow="1" firstDataRow="1" firstDataCol="1"/>
  <pivotFields count="7">
    <pivotField axis="axisRow" multipleItemSelectionAllowed="1" showAll="0">
      <items count="11">
        <item x="9"/>
        <item x="8"/>
        <item x="6"/>
        <item x="4"/>
        <item x="5"/>
        <item x="0"/>
        <item x="1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9">
        <item x="4"/>
        <item x="3"/>
        <item x="1"/>
        <item x="2"/>
        <item x="0"/>
        <item x="7"/>
        <item x="5"/>
        <item x="6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_un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3991E-C9C4-437F-9BC6-5E3AB749551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4:N45" firstHeaderRow="1" firstDataRow="1" firstDataCol="1"/>
  <pivotFields count="8">
    <pivotField axis="axisRow" showAll="0">
      <items count="11">
        <item x="9"/>
        <item x="8"/>
        <item x="6"/>
        <item x="4"/>
        <item x="5"/>
        <item x="0"/>
        <item x="1"/>
        <item x="2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5"/>
        <item x="4"/>
        <item x="3"/>
        <item x="2"/>
        <item x="1"/>
        <item x="0"/>
        <item t="default"/>
      </items>
    </pivotField>
  </pivotFields>
  <rowFields count="2">
    <field x="0"/>
    <field x="7"/>
  </rowFields>
  <rowItems count="2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3"/>
    </i>
    <i>
      <x v="5"/>
    </i>
    <i r="1">
      <x v="5"/>
    </i>
    <i>
      <x v="6"/>
    </i>
    <i r="1">
      <x v="5"/>
    </i>
    <i>
      <x v="7"/>
    </i>
    <i r="1">
      <x v="5"/>
    </i>
    <i>
      <x v="8"/>
    </i>
    <i r="1">
      <x v="1"/>
    </i>
    <i>
      <x v="9"/>
    </i>
    <i r="1">
      <x v="4"/>
    </i>
    <i t="grand">
      <x/>
    </i>
  </rowItems>
  <colItems count="1">
    <i/>
  </colItems>
  <dataFields count="1">
    <dataField name="Sum of quantity_un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F6072-01C4-4A97-A177-761618D71280}" name="Table28" displayName="Table28" ref="A1:G884" totalsRowShown="0" headerRowDxfId="425">
  <autoFilter ref="A1:G884" xr:uid="{E38F6072-01C4-4A97-A177-761618D71280}"/>
  <tableColumns count="7">
    <tableColumn id="1" xr3:uid="{77A2DBBC-9AE5-45F3-9C6E-64DBC1106177}" name="Client ID " dataDxfId="424"/>
    <tableColumn id="2" xr3:uid="{2840C88D-E3C5-44F8-A9C3-72A3EF9AF71C}" name="Business Type " dataDxfId="423"/>
    <tableColumn id="3" xr3:uid="{D6F80A1A-8AC4-4CFA-B7D2-D0F651E59C77}" name="Name " dataDxfId="422"/>
    <tableColumn id="4" xr3:uid="{B6162333-D813-4F2D-B0D5-F4283C160AB4}" name="Address "/>
    <tableColumn id="5" xr3:uid="{A3FAF2ED-D690-43CB-ABB0-6CF0AD05D757}" name="City "/>
    <tableColumn id="6" xr3:uid="{30A93E74-107D-44A7-9F63-730ED8E0C6E4}" name="Province "/>
    <tableColumn id="7" xr3:uid="{67F3B424-890E-4DCF-81DB-80A972274BAB}" name="Postal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E0B382-F183-42E7-B1B3-09AD3E3D8C95}" name="Table1" displayName="Table1" ref="A1:V982" totalsRowShown="0" headerRowDxfId="421" headerRowBorderDxfId="420" tableBorderDxfId="419">
  <tableColumns count="22">
    <tableColumn id="1" xr3:uid="{6801F1B2-1072-4BF0-BF87-48851C9141EC}" name="inventory_id_head" dataDxfId="418" totalsRowDxfId="417"/>
    <tableColumn id="21" xr3:uid="{98ED2CEB-5269-48FF-84E7-3ABA77D1CE43}" name="inventory_id_tail" dataDxfId="416" totalsRowDxfId="415"/>
    <tableColumn id="22" xr3:uid="{77F7B497-A348-42B5-834D-BCA981E0098E}" name="inventory_id" dataDxfId="414" totalsRowDxfId="413">
      <calculatedColumnFormula>Table1[[#This Row],[inventory_id_head]]&amp;"-"&amp;Table1[[#This Row],[inventory_id_tail]]</calculatedColumnFormula>
    </tableColumn>
    <tableColumn id="2" xr3:uid="{130F977F-3AD3-4C79-8725-7A5B90592F2E}" name="status" dataDxfId="412" totalsRowDxfId="411"/>
    <tableColumn id="3" xr3:uid="{A53BF241-92B1-4354-A758-809077BC6434}" name="tote_number" dataDxfId="410" totalsRowDxfId="409"/>
    <tableColumn id="4" xr3:uid="{43572F1B-5D97-4006-BF45-C54B7D995DD1}" name="bag_number" dataDxfId="408" totalsRowDxfId="407"/>
    <tableColumn id="5" xr3:uid="{9AAF3A01-ACF6-4A4A-9D94-08781CD0EE0B}" name="location" dataDxfId="406" totalsRowDxfId="405"/>
    <tableColumn id="6" xr3:uid="{0D6230B8-1162-4BC7-A5F9-5ADB596D34D6}" name="stage" dataDxfId="404" totalsRowDxfId="403"/>
    <tableColumn id="7" xr3:uid="{85ED764F-C1C1-4A1B-8622-D67AF709908B}" name="product_description" dataDxfId="402" totalsRowDxfId="401"/>
    <tableColumn id="8" xr3:uid="{069F3560-78BE-489A-8981-B8ABBB8AF02F}" name="lot_number" dataDxfId="400" totalsRowDxfId="399"/>
    <tableColumn id="9" xr3:uid="{21B616F7-DCA7-4685-B329-8038D0F24B8E}" name="pack_on_date" dataDxfId="398" totalsRowDxfId="397"/>
    <tableColumn id="10" xr3:uid="{A5D60924-83E1-4736-87D4-323F54176130}" name="number_of_unit" dataDxfId="396" totalsRowDxfId="395"/>
    <tableColumn id="11" xr3:uid="{BD33C3E2-EF5A-4173-86AF-A6401A764E7A}" name="unit" dataDxfId="394" totalsRowDxfId="393"/>
    <tableColumn id="12" xr3:uid="{E1E94F92-9FF2-4628-BA23-58CF15E07F86}" name="net_weight_per_unit" dataDxfId="392" totalsRowDxfId="391"/>
    <tableColumn id="13" xr3:uid="{D56C45EA-C069-4DC4-B03D-44D26E5060FD}" name="gross_weight" dataDxfId="390" totalsRowDxfId="389"/>
    <tableColumn id="14" xr3:uid="{533F895C-057D-49E1-8AD2-E74941619087}" name="tare_weight" dataDxfId="388" totalsRowDxfId="387"/>
    <tableColumn id="15" xr3:uid="{40D6691E-5F52-476E-ABA6-9571FD88879D}" name="quantity_gram" dataDxfId="386" totalsRowDxfId="385"/>
    <tableColumn id="16" xr3:uid="{9DBC8DC1-9302-403F-911A-2D8849C31271}" name="note" dataDxfId="384" totalsRowDxfId="383"/>
    <tableColumn id="17" xr3:uid="{9934434A-ED1E-4549-8BF6-9B511D6B8DDD}" name="time" dataDxfId="382" totalsRowDxfId="381"/>
    <tableColumn id="18" xr3:uid="{0502744B-57E8-4CD7-9803-7E4F2C023B8E}" name="calculation_method" dataDxfId="380" totalsRowDxfId="379"/>
    <tableColumn id="19" xr3:uid="{C6EE54E9-842E-4663-86D5-B8AF404E2457}" name="product_description_stage" dataDxfId="378" totalsRowDxfId="377"/>
    <tableColumn id="20" xr3:uid="{E4D7D194-8AC6-48AF-8C34-FF06678FFD67}" name="internal_cansku" dataDxfId="376" totalsRowDxfId="375">
      <calculatedColumnFormula>IF(U2="_","",_xlfn.XLOOKUP(U2,internal_cansku_inventory!D:D,internal_cansku_inventory!E:E,"",0,1))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04A92F-E272-4CAA-A199-18FF23613563}" name="Table2" displayName="Table2" ref="A1:O2493" totalsRowShown="0" headerRowBorderDxfId="374" tableBorderDxfId="373">
  <autoFilter ref="A1:O2493" xr:uid="{1904A92F-E272-4CAA-A199-18FF23613563}"/>
  <tableColumns count="15">
    <tableColumn id="1" xr3:uid="{EC9631CC-FFC1-4A70-A1F4-D6575AE0101A}" name="movement" dataDxfId="372" totalsRowDxfId="371">
      <calculatedColumnFormula>IF(ISBLANK(J2),"",IF(J2+K2+L2&lt;0,"outbound","inbound"))</calculatedColumnFormula>
    </tableColumn>
    <tableColumn id="2" xr3:uid="{C01BD305-C16B-4FB3-9233-C9C5CF7BAE77}" name="time" dataDxfId="370" totalsRowDxfId="369"/>
    <tableColumn id="3" xr3:uid="{462CB784-FFB0-473E-AECC-445995685C08}" name="purpose" dataDxfId="368" totalsRowDxfId="367"/>
    <tableColumn id="4" xr3:uid="{7BEDFCA7-ADF7-456A-AB9A-343EDFF0599B}" name="purpose_description" dataDxfId="366" totalsRowDxfId="365"/>
    <tableColumn id="5" xr3:uid="{E94488CE-6C1B-4AE0-896D-7DC78B369F3C}" name="inventory_id" dataDxfId="364" totalsRowDxfId="363"/>
    <tableColumn id="6" xr3:uid="{0B338FC7-B0A2-4284-A9E2-5FA0A60DC712}" name="lot_number" dataDxfId="362" totalsRowDxfId="361">
      <calculatedColumnFormula>IF(ISBLANK(E2),"",_xlfn.XLOOKUP(E2,[3]cannabis_log!A:A,[3]cannabis_log!J:J,"",0,))</calculatedColumnFormula>
    </tableColumn>
    <tableColumn id="7" xr3:uid="{6FC3FB44-4F4C-481A-9414-7A9F6969F24E}" name="product_name" dataDxfId="360" totalsRowDxfId="359"/>
    <tableColumn id="8" xr3:uid="{E609C2FF-59C2-4CCC-BDAD-316C0468E89A}" name="stage" dataDxfId="358" totalsRowDxfId="357">
      <calculatedColumnFormula>IF(ISBLANK(E2),"",_xlfn.XLOOKUP(E2,cannabis_log!C:C,cannabis_log!H:H,"",0,1))</calculatedColumnFormula>
    </tableColumn>
    <tableColumn id="9" xr3:uid="{9EF38472-445B-43BC-A45A-05EBAA70D9A7}" name="pack_on_date" dataDxfId="356" totalsRowDxfId="355">
      <calculatedColumnFormula>IF(ISBLANK(E2),"",_xlfn.XLOOKUP(E2,[3]cannabis_log!A:A,[3]cannabis_log!K:K,"NOT FOUND",0,1))</calculatedColumnFormula>
    </tableColumn>
    <tableColumn id="10" xr3:uid="{7EAF591A-CCA4-4B63-BECB-7F587005C269}" name="quantity_change_unit" dataDxfId="354" totalsRowDxfId="353"/>
    <tableColumn id="11" xr3:uid="{6DC231EC-167A-4004-8B3E-1952C9C45600}" name="quantity_change_gross_weight" dataDxfId="352" totalsRowDxfId="351">
      <calculatedColumnFormula>IF(N2="net",0,"")</calculatedColumnFormula>
    </tableColumn>
    <tableColumn id="12" xr3:uid="{DF3F9780-C616-4D16-8593-B7BD912E74F8}" name="quantity_change_net_weight" dataDxfId="350" totalsRowDxfId="349">
      <calculatedColumnFormula>IFERROR(J2*O2,"")</calculatedColumnFormula>
    </tableColumn>
    <tableColumn id="13" xr3:uid="{D420E2DC-8CB6-4072-A980-661458E6D625}" name="note" dataDxfId="348" totalsRowDxfId="347"/>
    <tableColumn id="14" xr3:uid="{0D85D95A-D309-45F1-9DD7-80AF03550570}" name="calculation_method" dataDxfId="346" totalsRowDxfId="345">
      <calculatedColumnFormula>IF(ISBLANK(E2),"",_xlfn.XLOOKUP(E2,[3]cannabis_log!A:A,[3]cannabis_log!T:T,"Not Found",0,))</calculatedColumnFormula>
    </tableColumn>
    <tableColumn id="15" xr3:uid="{432D5920-8C08-4291-8675-A00BC1115589}" name="netweight_for_netmethod" dataDxfId="344" totalsRowDxfId="343">
      <calculatedColumnFormula>IF(N2="net",_xlfn.XLOOKUP(E2,[3]cannabis_log!A:A,[3]cannabis_log!N:N,"NOT FOUND",0,1),IF(N2="gross",0,""))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450F7-4B17-4CC4-BBE3-04636B501FB2}" name="Table26" displayName="Table26" ref="A1:AK2604" headerRowDxfId="342" totalsRowDxfId="339" headerRowBorderDxfId="341" tableBorderDxfId="340">
  <autoFilter ref="A1:AK2604" xr:uid="{F64450F7-4B17-4CC4-BBE3-04636B501FB2}"/>
  <tableColumns count="37">
    <tableColumn id="37" xr3:uid="{5DD380AD-0661-47C8-A17B-4B1CF6AE0D97}" name="Sequence" dataDxfId="338" totalsRowDxfId="337"/>
    <tableColumn id="1" xr3:uid="{2D067ECB-D2F2-4CF2-8D25-DB47AFF8A76E}" name="Payment status" dataDxfId="336" totalsRowDxfId="335"/>
    <tableColumn id="2" xr3:uid="{7836FAF5-E794-4F67-B056-C5FE96F74734}" name="Status" dataDxfId="334" totalsRowDxfId="333"/>
    <tableColumn id="3" xr3:uid="{ACF33A70-6CBE-4E69-88A6-D33769964690}" name="po_shipdate" dataDxfId="332" totalsRowDxfId="331"/>
    <tableColumn id="4" xr3:uid="{95BB6630-2941-4FB8-8E20-FCD97C372879}" name="Appointment date" dataDxfId="330" totalsRowDxfId="329"/>
    <tableColumn id="5" xr3:uid="{B72888E6-A2D0-489F-88CB-5B74DC268C49}" name="Appointment #" dataDxfId="328" totalsRowDxfId="327"/>
    <tableColumn id="6" xr3:uid="{620AC783-C540-4843-8C70-C92D3E1C5169}" name="Tracking_number" dataDxfId="326" totalsRowDxfId="325"/>
    <tableColumn id="7" xr3:uid="{7A640C30-22D2-40F7-A28D-5F313E72572E}" name="Released (Y/N)" dataDxfId="324" totalsRowDxfId="323"/>
    <tableColumn id="8" xr3:uid="{81A421F0-F62F-4377-8A24-0F04693ECA52}" name="PO_date" dataDxfId="322" totalsRowDxfId="321"/>
    <tableColumn id="9" xr3:uid="{D7CBB6D1-3C33-43C9-8DF5-079A600A42AF}" name="sales_stream" dataDxfId="320" totalsRowDxfId="319"/>
    <tableColumn id="10" xr3:uid="{2C37EF94-D50C-41C1-9BA4-E5853E741F31}" name="Shipping date" dataDxfId="318" totalsRowDxfId="317"/>
    <tableColumn id="11" xr3:uid="{58C819EB-57C4-4D1F-89F9-DB88C39D8F69}" name="distributor_stream" dataDxfId="316" totalsRowDxfId="315"/>
    <tableColumn id="12" xr3:uid="{C8B35736-D4E3-44D0-8820-5EFD39E7E54B}" name="po_number" totalsRowLabel="PO-0089995-1" dataDxfId="314" totalsRowDxfId="313"/>
    <tableColumn id="36" xr3:uid="{8D7F327D-ED92-4694-A3F1-74CB82FE70A9}" name="po_and_line" dataDxfId="312" totalsRowDxfId="311">
      <calculatedColumnFormula>Table26[[#This Row],[po_number]]&amp;"-"&amp;Table26[[#This Row],[po_line]]</calculatedColumnFormula>
    </tableColumn>
    <tableColumn id="31" xr3:uid="{4C159BEB-61FD-4FB7-B138-7CCA6EB5E9C5}" name="po_line" totalsRowLabel="4" dataDxfId="310" totalsRowDxfId="309"/>
    <tableColumn id="13" xr3:uid="{0C6F88B3-AC39-454C-8E52-2F883D0E6CF3}" name="Product_name" totalsRowFunction="custom" dataDxfId="308" totalsRowDxfId="307">
      <totalsRowFormula>IF(ISBLANK(Table26[[#This Row],[customerSKU]]),"",_xlfn.XLOOKUP(Table26[[#This Row],[customerSKU]],Table27[customer_SKU],Table27[product_name],"",0,1))</totalsRowFormula>
    </tableColumn>
    <tableColumn id="14" xr3:uid="{8625C989-26EC-4CFA-8B3B-734B1B312100}" name="ProductLot#" totalsRowLabel="EX25073101" dataDxfId="306" totalsRowDxfId="305"/>
    <tableColumn id="15" xr3:uid="{1DF9537F-CB8D-4542-B497-5584610FCE4F}" name="Excised(Yes/No)" dataDxfId="304" totalsRowDxfId="303"/>
    <tableColumn id="16" xr3:uid="{9C5B6875-50D8-4943-8FE4-E2E93727A289}" name="Excisedfor" totalsRowFunction="custom" dataDxfId="302" totalsRowDxfId="301">
      <totalsRowFormula>IF(Table26[[#This Row],[customerSKU]]="","",_xlfn.XLOOKUP(Table26[[#This Row],[customerSKU]],customerSKU!G:G,customerSKU!N:N,"NOT FOUND",0,1))</totalsRowFormula>
    </tableColumn>
    <tableColumn id="17" xr3:uid="{735B0D52-F447-4BD1-A384-4F6808A55EEF}" name="packondate_labelled" dataDxfId="300" totalsRowDxfId="299"/>
    <tableColumn id="18" xr3:uid="{668AFE59-B7C2-484D-8041-A7D274822745}" name="quantity_unit" totalsRowLabel="60" dataDxfId="298" totalsRowDxfId="297"/>
    <tableColumn id="19" xr3:uid="{372DAD95-0E2B-4F0E-BF07-C70493367A2E}" name="unitpercase" totalsRowFunction="custom" dataDxfId="296" totalsRowDxfId="295">
      <totalsRowFormula>IF(ISBLANK(Table26[[#This Row],[customerSKU]]),"",_xlfn.XLOOKUP(Table26[[#This Row],[customerSKU]],Table27[customer_SKU],Table27[case_size],"",0,1))</totalsRowFormula>
    </tableColumn>
    <tableColumn id="20" xr3:uid="{CFB38149-9651-42BC-A87C-6C48D9CB119C}" name="cases" dataDxfId="294" totalsRowDxfId="293">
      <calculatedColumnFormula>IFERROR(U2/V2, "")</calculatedColumnFormula>
    </tableColumn>
    <tableColumn id="21" xr3:uid="{D563FC75-F700-4AB8-AAA9-DF407DCF7B8F}" name="cannabis_netweight_gram" dataDxfId="292" totalsRowDxfId="291"/>
    <tableColumn id="22" xr3:uid="{AFB9C377-0364-46AC-AB92-9459E0F4BA8C}" name=" productGTIN" totalsRowFunction="custom" dataDxfId="290" totalsRowDxfId="289">
      <totalsRowFormula>IF(Table26[[#This Row],[customerSKU]]="","",_xlfn.XLOOKUP(Table26[[#This Row],[customerSKU]],Table27[customer_SKU],Table27[product_GTIN],"",0,1))</totalsRowFormula>
    </tableColumn>
    <tableColumn id="23" xr3:uid="{548479CB-97DE-4519-9F57-D77366F07A90}" name="customerSKU" totalsRowLabel="110982" dataDxfId="288" totalsRowDxfId="287"/>
    <tableColumn id="24" xr3:uid="{2221DBCE-D05F-4D50-B14B-00945983FB4D}" name="ProductWeightIdentifier" dataDxfId="286" totalsRowDxfId="285">
      <calculatedColumnFormula array="1">IF(P2="", "", _xlfn.XLOOKUP(P2,#REF!,#REF!,NA,0,-1))</calculatedColumnFormula>
    </tableColumn>
    <tableColumn id="25" xr3:uid="{4631F68A-19BA-48D8-A8E8-128A2816B356}" name="Pre-excisedorDutyPaidProduct?" dataDxfId="284" totalsRowDxfId="283"/>
    <tableColumn id="26" xr3:uid="{7B149F36-BC8F-4A52-9E4E-D048D76EA7FF}" name="shipto" dataDxfId="282" totalsRowDxfId="281"/>
    <tableColumn id="27" xr3:uid="{6CA942B2-C4E7-4FD2-B58C-B6688F2DBF83}" name="address" dataDxfId="280" totalsRowDxfId="279">
      <calculatedColumnFormula>IF($AC2="","",_xlfn.XLOOKUP($AC2,'[2]Client Info'!$C$2:$C$2535,'[2]Client Info'!$D$2:$D$2535))</calculatedColumnFormula>
    </tableColumn>
    <tableColumn id="28" xr3:uid="{D6CAE83A-6860-4446-8E83-4F592FBF9DD3}" name="city" dataDxfId="278" totalsRowDxfId="277"/>
    <tableColumn id="29" xr3:uid="{B6F41853-C811-4611-B788-8ACB90A614C5}" name="province" dataDxfId="276" totalsRowDxfId="275"/>
    <tableColumn id="30" xr3:uid="{66CB615B-D2FD-43A3-AB05-1CD23BF460D4}" name="billto" dataDxfId="274" totalsRowDxfId="273"/>
    <tableColumn id="32" xr3:uid="{8FAEDF54-1AEB-4E15-9D59-7F7E726C9976}" name="unitprice" dataDxfId="272" totalsRowDxfId="271"/>
    <tableColumn id="33" xr3:uid="{25A96543-2EFD-4520-A6BF-FB46B2AF5806}" name="Partner" dataDxfId="270" totalsRowDxfId="269"/>
    <tableColumn id="34" xr3:uid="{D5419A65-5A07-4DD0-9D6F-397E49131321}" name="Product Price" dataDxfId="268" totalsRowDxfId="267">
      <calculatedColumnFormula>Table26[[#This Row],[unitprice]]*Table26[[#This Row],[quantity_unit]]</calculatedColumnFormula>
    </tableColumn>
    <tableColumn id="35" xr3:uid="{762C534B-F909-442F-982F-4F2867FC57E2}" name="PO_price" dataDxfId="266" totalsRowDxfId="265">
      <calculatedColumnFormula array="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calculatedColumnFormula>
    </tableColumn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6FECD8-C638-4C17-8914-B557AA458B10}" name="Table27" displayName="Table27" ref="A1:O456" totalsRowShown="0" dataDxfId="264">
  <tableColumns count="15">
    <tableColumn id="16" xr3:uid="{E2162BCF-CDDD-4FD5-A631-9BA934523D89}" name="sales_stream" dataDxfId="263"/>
    <tableColumn id="12" xr3:uid="{EDD65F59-9C3A-4D72-B9AB-0B6B355A918F}" name="distributor_stream" dataDxfId="262"/>
    <tableColumn id="15" xr3:uid="{96270BAD-53AC-4073-8570-2ED7AF9B2B7D}" name="shipto" dataDxfId="261"/>
    <tableColumn id="14" xr3:uid="{0D0CC1E0-8984-42C8-B45F-A7850272D96D}" name="billto" dataDxfId="260"/>
    <tableColumn id="2" xr3:uid="{6A8B0A5C-1F3F-46A5-AF8F-4F587695B020}" name="product_name" dataDxfId="259"/>
    <tableColumn id="4" xr3:uid="{C7842B66-68D8-4E29-ABCF-BE1E2B5C4D7C}" name="product_GTIN" dataDxfId="258"/>
    <tableColumn id="3" xr3:uid="{41C82745-C094-4F1A-A964-22856D66E025}" name="customer_SKU" dataDxfId="257"/>
    <tableColumn id="5" xr3:uid="{52A8614B-83BE-431A-9A23-72AFFD59ACDD}" name="case_GTIN" dataDxfId="256"/>
    <tableColumn id="6" xr3:uid="{8FA68FC7-354B-4C92-9071-6667C2A3185C}" name="case_size" dataDxfId="255"/>
    <tableColumn id="7" xr3:uid="{128113CC-1432-457A-BAA2-534150E6C628}" name="case_price" dataDxfId="254"/>
    <tableColumn id="8" xr3:uid="{D84AC152-9C74-4570-B9C0-1DECF7903BC2}" name="unit_price" dataDxfId="253"/>
    <tableColumn id="9" xr3:uid="{5AC5F095-2ED7-405E-B54C-3EE203C18AA5}" name="case_dimension" dataDxfId="252"/>
    <tableColumn id="10" xr3:uid="{840B99EB-7F00-4A66-B150-E6E01A1883C8}" name="ship_weight" dataDxfId="251"/>
    <tableColumn id="13" xr3:uid="{025FDC8F-F625-4DF7-A959-530C68AE5271}" name="CRA" dataDxfId="250"/>
    <tableColumn id="1" xr3:uid="{DFB9E2CA-3B59-47C2-A1C7-58D48F18A339}" name="brand" dataDxfId="249">
      <calculatedColumnFormula>_xlfn.XLOOKUP(Table27[[#This Row],[product_name]],'[2]Products Details'!H:H,'[2]Products Details'!D:D,"NF",0,1)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urolator.com/en/shipping/tracker?pin=335584232813&amp;sdate=2025-07-1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https://booking.datadocks.com/locations/39/appointments/1357112/edit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booking.datadocks.com/locations/39/appointments/1357109/edit" TargetMode="External"/><Relationship Id="rId1" Type="http://schemas.openxmlformats.org/officeDocument/2006/relationships/hyperlink" Target="https://booking.datadocks.com/locations/39/appointments/1357109/edit" TargetMode="External"/><Relationship Id="rId6" Type="http://schemas.openxmlformats.org/officeDocument/2006/relationships/hyperlink" Target="https://booking.datadocks.com/locations/39/appointments/1399144/edit" TargetMode="External"/><Relationship Id="rId11" Type="http://schemas.microsoft.com/office/2019/04/relationships/namedSheetView" Target="../namedSheetViews/namedSheetView1.xml"/><Relationship Id="rId5" Type="http://schemas.openxmlformats.org/officeDocument/2006/relationships/hyperlink" Target="https://booking.datadocks.com/locations/39/appointments/1399144/edit" TargetMode="External"/><Relationship Id="rId10" Type="http://schemas.openxmlformats.org/officeDocument/2006/relationships/comments" Target="../comments4.xml"/><Relationship Id="rId4" Type="http://schemas.openxmlformats.org/officeDocument/2006/relationships/hyperlink" Target="https://booking.datadocks.com/locations/39/appointments/1357112/edit" TargetMode="External"/><Relationship Id="rId9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875"/>
  <sheetViews>
    <sheetView zoomScale="130" zoomScaleNormal="130" workbookViewId="0">
      <selection activeCell="C9" sqref="C9"/>
    </sheetView>
  </sheetViews>
  <sheetFormatPr defaultColWidth="8.44140625" defaultRowHeight="13.8"/>
  <cols>
    <col min="1" max="1" width="14.109375" style="4" customWidth="1"/>
    <col min="2" max="2" width="21.109375" style="5" customWidth="1"/>
    <col min="3" max="3" width="42.44140625" style="5" customWidth="1"/>
    <col min="4" max="4" width="30.109375" customWidth="1"/>
    <col min="5" max="5" width="21.44140625" customWidth="1"/>
    <col min="6" max="6" width="11.44140625" customWidth="1"/>
    <col min="7" max="7" width="13.44140625" customWidth="1"/>
  </cols>
  <sheetData>
    <row r="1" spans="1:7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10000</v>
      </c>
      <c r="B2" t="s">
        <v>7</v>
      </c>
      <c r="C2" s="5" t="s">
        <v>8</v>
      </c>
    </row>
    <row r="3" spans="1:7">
      <c r="A3" s="4">
        <v>20007</v>
      </c>
      <c r="B3" s="5" t="s">
        <v>26</v>
      </c>
      <c r="C3" s="5" t="s">
        <v>27</v>
      </c>
      <c r="D3" t="s">
        <v>28</v>
      </c>
      <c r="E3" s="5" t="s">
        <v>29</v>
      </c>
      <c r="F3" t="s">
        <v>21</v>
      </c>
      <c r="G3" s="5" t="s">
        <v>30</v>
      </c>
    </row>
    <row r="4" spans="1:7">
      <c r="E4" s="5"/>
      <c r="G4" s="5"/>
    </row>
    <row r="5" spans="1:7">
      <c r="E5" s="5"/>
      <c r="G5" s="5"/>
    </row>
    <row r="6" spans="1:7">
      <c r="E6" s="5"/>
      <c r="G6" s="5"/>
    </row>
    <row r="7" spans="1:7">
      <c r="E7" s="5"/>
      <c r="G7" s="5"/>
    </row>
    <row r="8" spans="1:7">
      <c r="E8" s="5"/>
      <c r="G8" s="5"/>
    </row>
    <row r="9" spans="1:7">
      <c r="C9" s="8"/>
      <c r="E9" s="5"/>
      <c r="G9" s="5"/>
    </row>
    <row r="10" spans="1:7">
      <c r="E10" s="5"/>
      <c r="G10" s="5"/>
    </row>
    <row r="12" spans="1:7">
      <c r="E12" s="5"/>
      <c r="G12" s="5"/>
    </row>
    <row r="13" spans="1:7">
      <c r="E13" s="5"/>
      <c r="G13" s="5"/>
    </row>
    <row r="14" spans="1:7">
      <c r="C14" s="9"/>
      <c r="E14" s="5"/>
      <c r="G14" s="5"/>
    </row>
    <row r="15" spans="1:7">
      <c r="C15" s="9"/>
      <c r="E15" s="5"/>
      <c r="G15" s="5"/>
    </row>
    <row r="16" spans="1:7">
      <c r="C16" s="9"/>
      <c r="E16" s="5"/>
      <c r="G16" s="5"/>
    </row>
    <row r="17" spans="3:7">
      <c r="C17" s="9"/>
      <c r="E17" s="5"/>
      <c r="G17" s="5"/>
    </row>
    <row r="18" spans="3:7">
      <c r="C18" s="9"/>
      <c r="E18" s="5"/>
      <c r="G18" s="5"/>
    </row>
    <row r="19" spans="3:7">
      <c r="C19" s="9"/>
      <c r="E19" s="5"/>
      <c r="G19" s="5"/>
    </row>
    <row r="20" spans="3:7">
      <c r="C20" s="9"/>
      <c r="E20" s="5"/>
      <c r="G20" s="5"/>
    </row>
    <row r="21" spans="3:7">
      <c r="C21" s="9"/>
      <c r="E21" s="5"/>
    </row>
    <row r="22" spans="3:7">
      <c r="C22" s="9"/>
      <c r="E22" s="5"/>
      <c r="G22" s="5"/>
    </row>
    <row r="25" spans="3:7">
      <c r="C25" s="9"/>
      <c r="E25" s="5"/>
      <c r="G25" s="5"/>
    </row>
    <row r="26" spans="3:7">
      <c r="C26" s="9"/>
      <c r="E26" s="5"/>
      <c r="G26" s="5"/>
    </row>
    <row r="27" spans="3:7">
      <c r="C27" s="9"/>
      <c r="E27" s="5"/>
      <c r="G27" s="5"/>
    </row>
    <row r="28" spans="3:7">
      <c r="C28" s="9"/>
      <c r="E28" s="5"/>
      <c r="G28" s="5"/>
    </row>
    <row r="29" spans="3:7">
      <c r="C29" s="9"/>
      <c r="E29" s="5"/>
      <c r="G29" s="5"/>
    </row>
    <row r="30" spans="3:7">
      <c r="C30" s="9"/>
      <c r="E30" s="5"/>
      <c r="G30" s="5"/>
    </row>
    <row r="31" spans="3:7">
      <c r="C31" s="9"/>
      <c r="E31" s="5"/>
      <c r="G31" s="5"/>
    </row>
    <row r="32" spans="3:7">
      <c r="C32" s="9"/>
      <c r="E32" s="5"/>
      <c r="G32" s="5"/>
    </row>
    <row r="33" spans="3:7">
      <c r="C33" s="9"/>
      <c r="E33" s="5"/>
      <c r="G33" s="5"/>
    </row>
    <row r="34" spans="3:7">
      <c r="C34" s="9"/>
      <c r="E34" s="5"/>
      <c r="G34" s="5"/>
    </row>
    <row r="35" spans="3:7">
      <c r="C35" s="9"/>
      <c r="E35" s="5"/>
      <c r="G35" s="5"/>
    </row>
    <row r="36" spans="3:7">
      <c r="C36" s="9"/>
      <c r="E36" s="5"/>
      <c r="G36" s="5"/>
    </row>
    <row r="37" spans="3:7">
      <c r="C37" s="9"/>
      <c r="E37" s="5"/>
      <c r="G37" s="5"/>
    </row>
    <row r="38" spans="3:7">
      <c r="C38" s="9"/>
      <c r="E38" s="5"/>
      <c r="G38" s="5"/>
    </row>
    <row r="39" spans="3:7">
      <c r="C39" s="9"/>
      <c r="G39" s="5"/>
    </row>
    <row r="40" spans="3:7">
      <c r="C40" s="9"/>
      <c r="G40" s="5"/>
    </row>
    <row r="41" spans="3:7">
      <c r="C41" s="9"/>
      <c r="G41" s="5"/>
    </row>
    <row r="42" spans="3:7">
      <c r="C42" s="9"/>
      <c r="G42" s="5"/>
    </row>
    <row r="43" spans="3:7">
      <c r="C43" s="9"/>
      <c r="G43" s="5"/>
    </row>
    <row r="44" spans="3:7">
      <c r="C44" s="9"/>
      <c r="G44" s="5"/>
    </row>
    <row r="45" spans="3:7">
      <c r="C45" s="9"/>
      <c r="G45" s="5"/>
    </row>
    <row r="46" spans="3:7">
      <c r="C46" s="9"/>
      <c r="G46" s="5"/>
    </row>
    <row r="47" spans="3:7">
      <c r="C47" s="9"/>
      <c r="G47" s="5"/>
    </row>
    <row r="48" spans="3:7">
      <c r="C48" s="9"/>
      <c r="G48" s="5"/>
    </row>
    <row r="49" spans="3:7">
      <c r="C49" s="9"/>
      <c r="G49" s="5"/>
    </row>
    <row r="50" spans="3:7">
      <c r="C50" s="9"/>
      <c r="G50" s="5"/>
    </row>
    <row r="51" spans="3:7">
      <c r="C51" s="9"/>
      <c r="G51" s="5"/>
    </row>
    <row r="52" spans="3:7">
      <c r="C52" s="9"/>
      <c r="G52" s="5"/>
    </row>
    <row r="53" spans="3:7">
      <c r="C53" s="9"/>
      <c r="G53" s="5"/>
    </row>
    <row r="54" spans="3:7" ht="15">
      <c r="C54" s="9"/>
      <c r="E54" s="10"/>
      <c r="G54" s="5"/>
    </row>
    <row r="55" spans="3:7">
      <c r="C55" s="9"/>
      <c r="G55" s="5"/>
    </row>
    <row r="56" spans="3:7">
      <c r="C56" s="9"/>
      <c r="G56" s="5"/>
    </row>
    <row r="57" spans="3:7">
      <c r="C57" s="9"/>
      <c r="G57" s="5"/>
    </row>
    <row r="58" spans="3:7">
      <c r="C58" s="9"/>
      <c r="G58" s="5"/>
    </row>
    <row r="59" spans="3:7">
      <c r="C59" s="9"/>
      <c r="G59" s="5"/>
    </row>
    <row r="60" spans="3:7">
      <c r="C60" s="9"/>
      <c r="G60" s="5"/>
    </row>
    <row r="61" spans="3:7">
      <c r="C61" s="9"/>
      <c r="G61" s="5"/>
    </row>
    <row r="62" spans="3:7">
      <c r="C62" s="9"/>
      <c r="G62" s="5"/>
    </row>
    <row r="63" spans="3:7">
      <c r="C63" s="9"/>
      <c r="G63" s="5"/>
    </row>
    <row r="64" spans="3:7" ht="14.4">
      <c r="C64" s="9"/>
      <c r="E64" s="6"/>
      <c r="G64" s="5"/>
    </row>
    <row r="65" spans="3:7">
      <c r="C65" s="9"/>
      <c r="G65" s="5"/>
    </row>
    <row r="66" spans="3:7">
      <c r="C66" s="9"/>
      <c r="G66" s="5"/>
    </row>
    <row r="67" spans="3:7">
      <c r="C67" s="9"/>
      <c r="G67" s="5"/>
    </row>
    <row r="68" spans="3:7">
      <c r="C68" s="9"/>
      <c r="G68" s="5"/>
    </row>
    <row r="69" spans="3:7">
      <c r="C69" s="9"/>
      <c r="G69" s="5"/>
    </row>
    <row r="70" spans="3:7">
      <c r="C70" s="9"/>
      <c r="G70" s="5"/>
    </row>
    <row r="71" spans="3:7">
      <c r="C71" s="9"/>
      <c r="G71" s="5"/>
    </row>
    <row r="72" spans="3:7">
      <c r="C72" s="9"/>
      <c r="G72" s="5"/>
    </row>
    <row r="73" spans="3:7">
      <c r="C73" s="9"/>
      <c r="G73" s="5"/>
    </row>
    <row r="74" spans="3:7">
      <c r="C74" s="9"/>
      <c r="G74" s="5"/>
    </row>
    <row r="75" spans="3:7">
      <c r="C75" s="9"/>
      <c r="G75" s="5"/>
    </row>
    <row r="76" spans="3:7">
      <c r="C76" s="9"/>
      <c r="G76" s="5"/>
    </row>
    <row r="103" spans="6:6" ht="17.25" customHeight="1">
      <c r="F103" s="5"/>
    </row>
    <row r="121" spans="3:6">
      <c r="C121"/>
    </row>
    <row r="126" spans="3:6">
      <c r="E126" s="5"/>
      <c r="F126" s="5"/>
    </row>
    <row r="163" spans="3:7">
      <c r="C163"/>
    </row>
    <row r="168" spans="3:7">
      <c r="C168" s="11"/>
    </row>
    <row r="172" spans="3:7" ht="14.4">
      <c r="C172" s="12"/>
      <c r="E172" s="12"/>
      <c r="G172" s="12"/>
    </row>
    <row r="177" spans="4:4" ht="13.95" customHeight="1"/>
    <row r="182" spans="4:4">
      <c r="D182" s="5"/>
    </row>
    <row r="235" spans="3:3" ht="15.6">
      <c r="C235" s="91"/>
    </row>
    <row r="259" spans="3:7">
      <c r="D259" s="5"/>
      <c r="E259" s="5"/>
      <c r="F259" s="5"/>
      <c r="G259" s="5"/>
    </row>
    <row r="265" spans="3:7">
      <c r="C265" s="13"/>
      <c r="D265" s="13"/>
      <c r="E265" s="13"/>
      <c r="G265" s="13"/>
    </row>
    <row r="266" spans="3:7">
      <c r="C266" s="13"/>
      <c r="D266" s="13"/>
      <c r="E266" s="13"/>
      <c r="G266" s="13"/>
    </row>
    <row r="267" spans="3:7">
      <c r="C267" s="13"/>
      <c r="D267" s="13"/>
      <c r="E267" s="13"/>
      <c r="G267" s="13"/>
    </row>
    <row r="268" spans="3:7">
      <c r="C268" s="13"/>
      <c r="D268" s="13"/>
      <c r="E268" s="13"/>
      <c r="G268" s="13"/>
    </row>
    <row r="269" spans="3:7">
      <c r="C269" s="13"/>
      <c r="D269" s="13"/>
      <c r="E269" s="13"/>
      <c r="G269" s="13"/>
    </row>
    <row r="270" spans="3:7" ht="26.7" customHeight="1">
      <c r="C270" s="13"/>
      <c r="D270" s="13"/>
      <c r="E270" s="13"/>
      <c r="G270" s="13"/>
    </row>
    <row r="271" spans="3:7">
      <c r="C271" s="13"/>
      <c r="D271" s="13"/>
      <c r="E271" s="13"/>
      <c r="G271" s="13"/>
    </row>
    <row r="272" spans="3:7">
      <c r="C272" s="13"/>
      <c r="D272" s="13"/>
      <c r="E272" s="13"/>
      <c r="G272" s="13"/>
    </row>
    <row r="273" spans="3:7">
      <c r="C273" s="13"/>
      <c r="D273" s="13"/>
      <c r="E273" s="13"/>
      <c r="G273" s="13"/>
    </row>
    <row r="274" spans="3:7">
      <c r="C274" s="13"/>
      <c r="D274" s="13"/>
      <c r="E274" s="13"/>
      <c r="G274" s="13"/>
    </row>
    <row r="275" spans="3:7">
      <c r="C275" s="13"/>
      <c r="D275" s="13"/>
      <c r="E275" s="13"/>
      <c r="G275" s="13"/>
    </row>
    <row r="276" spans="3:7">
      <c r="C276" s="13"/>
      <c r="D276" s="13"/>
      <c r="E276" s="13"/>
      <c r="G276" s="13"/>
    </row>
    <row r="277" spans="3:7">
      <c r="C277" s="13"/>
      <c r="D277" s="13"/>
      <c r="E277" s="13"/>
      <c r="G277" s="13"/>
    </row>
    <row r="278" spans="3:7">
      <c r="C278" s="13"/>
      <c r="D278" s="13"/>
      <c r="E278" s="13"/>
      <c r="G278" s="13"/>
    </row>
    <row r="279" spans="3:7">
      <c r="C279" s="13"/>
      <c r="D279" s="13"/>
      <c r="E279" s="13"/>
      <c r="G279" s="13"/>
    </row>
    <row r="280" spans="3:7">
      <c r="C280" s="13"/>
      <c r="D280" s="13"/>
      <c r="E280" s="13"/>
      <c r="G280" s="13"/>
    </row>
    <row r="281" spans="3:7">
      <c r="C281" s="13"/>
      <c r="D281" s="13"/>
      <c r="E281" s="13"/>
      <c r="G281" s="13"/>
    </row>
    <row r="282" spans="3:7">
      <c r="C282" s="13"/>
      <c r="D282" s="13"/>
      <c r="E282" s="13"/>
      <c r="G282" s="13"/>
    </row>
    <row r="283" spans="3:7">
      <c r="C283" s="13"/>
      <c r="D283" s="13"/>
      <c r="E283" s="13"/>
      <c r="G283" s="13"/>
    </row>
    <row r="284" spans="3:7">
      <c r="C284" s="13"/>
      <c r="D284" s="13"/>
      <c r="E284" s="13"/>
      <c r="G284" s="13"/>
    </row>
    <row r="285" spans="3:7">
      <c r="C285" s="13"/>
      <c r="D285" s="13"/>
      <c r="E285" s="13"/>
      <c r="G285" s="13"/>
    </row>
    <row r="286" spans="3:7">
      <c r="C286" s="13"/>
      <c r="D286" s="13"/>
      <c r="E286" s="13"/>
      <c r="G286" s="13"/>
    </row>
    <row r="287" spans="3:7">
      <c r="C287" s="13"/>
      <c r="D287" s="13"/>
      <c r="E287" s="13"/>
      <c r="G287" s="13"/>
    </row>
    <row r="288" spans="3:7">
      <c r="C288" s="13"/>
      <c r="D288" s="13"/>
      <c r="E288" s="13"/>
      <c r="G288" s="13"/>
    </row>
    <row r="289" spans="3:7">
      <c r="C289" s="13"/>
      <c r="D289" s="13"/>
      <c r="E289" s="13"/>
      <c r="G289" s="13"/>
    </row>
    <row r="290" spans="3:7">
      <c r="C290" s="13"/>
      <c r="D290" s="13"/>
      <c r="E290" s="13"/>
      <c r="G290" s="13"/>
    </row>
    <row r="291" spans="3:7">
      <c r="C291" s="13"/>
      <c r="D291" s="13"/>
      <c r="E291" s="13"/>
      <c r="G291" s="13"/>
    </row>
    <row r="292" spans="3:7">
      <c r="C292" s="13"/>
      <c r="D292" s="13"/>
      <c r="E292" s="13"/>
      <c r="G292" s="13"/>
    </row>
    <row r="293" spans="3:7">
      <c r="C293" s="13"/>
      <c r="D293" s="13"/>
      <c r="E293" s="13"/>
      <c r="G293" s="13"/>
    </row>
    <row r="294" spans="3:7">
      <c r="C294" s="13"/>
      <c r="D294" s="13"/>
      <c r="E294" s="13"/>
      <c r="G294" s="13"/>
    </row>
    <row r="295" spans="3:7">
      <c r="C295" s="13"/>
      <c r="D295" s="13"/>
      <c r="E295" s="13"/>
      <c r="G295" s="13"/>
    </row>
    <row r="296" spans="3:7">
      <c r="C296" s="13"/>
      <c r="D296" s="13"/>
      <c r="E296" s="13"/>
      <c r="G296" s="13"/>
    </row>
    <row r="297" spans="3:7">
      <c r="C297" s="13"/>
      <c r="D297" s="13"/>
      <c r="E297" s="13"/>
      <c r="G297" s="13"/>
    </row>
    <row r="298" spans="3:7">
      <c r="C298" s="13"/>
      <c r="D298" s="13"/>
      <c r="E298" s="13"/>
      <c r="G298" s="13"/>
    </row>
    <row r="299" spans="3:7">
      <c r="C299" s="13"/>
      <c r="D299" s="13"/>
      <c r="E299" s="13"/>
      <c r="G299" s="13"/>
    </row>
    <row r="300" spans="3:7">
      <c r="C300" s="13"/>
      <c r="D300" s="13"/>
      <c r="E300" s="13"/>
      <c r="G300" s="13"/>
    </row>
    <row r="301" spans="3:7">
      <c r="C301" s="13"/>
      <c r="D301" s="13"/>
      <c r="E301" s="13"/>
      <c r="G301" s="13"/>
    </row>
    <row r="302" spans="3:7">
      <c r="C302" s="13"/>
      <c r="D302" s="13"/>
      <c r="E302" s="13"/>
      <c r="G302" s="13"/>
    </row>
    <row r="303" spans="3:7">
      <c r="C303" s="13"/>
      <c r="D303" s="13"/>
      <c r="E303" s="13"/>
      <c r="G303" s="13"/>
    </row>
    <row r="304" spans="3:7">
      <c r="C304" s="13"/>
      <c r="D304" s="13"/>
      <c r="E304" s="13"/>
      <c r="G304" s="13"/>
    </row>
    <row r="305" spans="3:7">
      <c r="C305" s="13"/>
      <c r="D305" s="13"/>
      <c r="E305" s="13"/>
      <c r="G305" s="13"/>
    </row>
    <row r="306" spans="3:7">
      <c r="C306" s="13"/>
      <c r="D306" s="13"/>
      <c r="E306" s="13"/>
      <c r="G306" s="13"/>
    </row>
    <row r="307" spans="3:7">
      <c r="C307" s="13"/>
      <c r="D307" s="13"/>
      <c r="E307" s="13"/>
      <c r="G307" s="13"/>
    </row>
    <row r="308" spans="3:7">
      <c r="C308" s="13"/>
      <c r="D308" s="13"/>
      <c r="E308" s="13"/>
      <c r="G308" s="13"/>
    </row>
    <row r="309" spans="3:7">
      <c r="C309" s="13"/>
      <c r="D309" s="13"/>
      <c r="E309" s="13"/>
      <c r="G309" s="13"/>
    </row>
    <row r="310" spans="3:7">
      <c r="C310" s="13"/>
      <c r="D310" s="13"/>
      <c r="E310" s="13"/>
      <c r="G310" s="13"/>
    </row>
    <row r="311" spans="3:7">
      <c r="C311" s="13"/>
      <c r="D311" s="13"/>
      <c r="E311" s="13"/>
      <c r="G311" s="13"/>
    </row>
    <row r="312" spans="3:7">
      <c r="C312" s="13"/>
      <c r="D312" s="13"/>
      <c r="E312" s="13"/>
      <c r="G312" s="13"/>
    </row>
    <row r="313" spans="3:7">
      <c r="C313" s="13"/>
      <c r="D313" s="13"/>
      <c r="E313" s="13"/>
      <c r="G313" s="13"/>
    </row>
    <row r="314" spans="3:7">
      <c r="C314" s="13"/>
      <c r="D314" s="13"/>
      <c r="E314" s="13"/>
      <c r="G314" s="13"/>
    </row>
    <row r="315" spans="3:7">
      <c r="C315" s="13"/>
      <c r="D315" s="13"/>
      <c r="E315" s="13"/>
      <c r="G315" s="13"/>
    </row>
    <row r="316" spans="3:7">
      <c r="C316" s="13"/>
      <c r="D316" s="13"/>
      <c r="E316" s="13"/>
      <c r="G316" s="13"/>
    </row>
    <row r="317" spans="3:7">
      <c r="C317" s="13"/>
      <c r="D317" s="13"/>
      <c r="E317" s="13"/>
      <c r="G317" s="13"/>
    </row>
    <row r="318" spans="3:7">
      <c r="C318" s="13"/>
      <c r="D318" s="13"/>
      <c r="E318" s="13"/>
      <c r="G318" s="13"/>
    </row>
    <row r="319" spans="3:7">
      <c r="C319" s="13"/>
      <c r="D319" s="13"/>
      <c r="E319" s="13"/>
      <c r="G319" s="13"/>
    </row>
    <row r="320" spans="3:7">
      <c r="C320" s="13"/>
      <c r="D320" s="13"/>
      <c r="E320" s="13"/>
      <c r="G320" s="13"/>
    </row>
    <row r="321" spans="3:7">
      <c r="C321" s="13"/>
      <c r="D321" s="13"/>
      <c r="E321" s="13"/>
      <c r="G321" s="13"/>
    </row>
    <row r="322" spans="3:7">
      <c r="C322" s="13"/>
      <c r="D322" s="13"/>
      <c r="E322" s="13"/>
      <c r="G322" s="13"/>
    </row>
    <row r="323" spans="3:7">
      <c r="C323" s="13"/>
      <c r="D323" s="13"/>
      <c r="E323" s="13"/>
      <c r="G323" s="13"/>
    </row>
    <row r="324" spans="3:7">
      <c r="C324" s="13"/>
      <c r="D324" s="13"/>
      <c r="E324" s="13"/>
      <c r="G324" s="13"/>
    </row>
    <row r="325" spans="3:7">
      <c r="C325" s="13"/>
      <c r="D325" s="13"/>
      <c r="E325" s="13"/>
      <c r="G325" s="13"/>
    </row>
    <row r="326" spans="3:7">
      <c r="C326" s="13"/>
      <c r="D326" s="13"/>
      <c r="E326" s="13"/>
      <c r="G326" s="13"/>
    </row>
    <row r="327" spans="3:7">
      <c r="C327" s="13"/>
      <c r="D327" s="13"/>
      <c r="E327" s="13"/>
      <c r="G327" s="13"/>
    </row>
    <row r="328" spans="3:7">
      <c r="C328" s="13"/>
      <c r="D328" s="13"/>
      <c r="E328" s="13"/>
      <c r="G328" s="13"/>
    </row>
    <row r="329" spans="3:7">
      <c r="C329" s="13"/>
      <c r="D329" s="13"/>
      <c r="E329" s="13"/>
      <c r="G329" s="13"/>
    </row>
    <row r="330" spans="3:7">
      <c r="C330" s="13"/>
      <c r="D330" s="13"/>
      <c r="E330" s="13"/>
      <c r="G330" s="13"/>
    </row>
    <row r="331" spans="3:7">
      <c r="C331" s="13"/>
      <c r="D331" s="13"/>
      <c r="E331" s="13"/>
      <c r="G331" s="13"/>
    </row>
    <row r="332" spans="3:7">
      <c r="C332" s="13"/>
      <c r="D332" s="13"/>
      <c r="E332" s="13"/>
      <c r="G332" s="13"/>
    </row>
    <row r="333" spans="3:7">
      <c r="C333" s="13"/>
      <c r="D333" s="13"/>
      <c r="E333" s="13"/>
      <c r="G333" s="13"/>
    </row>
    <row r="334" spans="3:7">
      <c r="C334" s="13"/>
      <c r="D334" s="13"/>
      <c r="E334" s="13"/>
      <c r="G334" s="13"/>
    </row>
    <row r="335" spans="3:7">
      <c r="C335" s="13"/>
      <c r="D335" s="13"/>
      <c r="E335" s="13"/>
      <c r="G335" s="13"/>
    </row>
    <row r="336" spans="3:7">
      <c r="C336" s="13"/>
      <c r="D336" s="13"/>
      <c r="E336" s="13"/>
      <c r="G336" s="13"/>
    </row>
    <row r="337" spans="3:7">
      <c r="C337" s="13"/>
      <c r="D337" s="13"/>
      <c r="E337" s="13"/>
      <c r="G337" s="13"/>
    </row>
    <row r="338" spans="3:7">
      <c r="C338" s="13"/>
      <c r="D338" s="13"/>
      <c r="E338" s="13"/>
      <c r="G338" s="13"/>
    </row>
    <row r="339" spans="3:7">
      <c r="C339" s="13"/>
      <c r="D339" s="13"/>
      <c r="E339" s="13"/>
      <c r="G339" s="13"/>
    </row>
    <row r="340" spans="3:7">
      <c r="C340" s="13"/>
      <c r="D340" s="13"/>
      <c r="E340" s="13"/>
      <c r="G340" s="13"/>
    </row>
    <row r="341" spans="3:7">
      <c r="C341" s="13"/>
      <c r="D341" s="13"/>
      <c r="E341" s="13"/>
      <c r="G341" s="13"/>
    </row>
    <row r="342" spans="3:7">
      <c r="C342" s="13"/>
      <c r="D342" s="13"/>
      <c r="E342" s="13"/>
      <c r="G342" s="13"/>
    </row>
    <row r="343" spans="3:7">
      <c r="C343" s="13"/>
      <c r="D343" s="13"/>
      <c r="E343" s="13"/>
      <c r="G343" s="13"/>
    </row>
    <row r="344" spans="3:7">
      <c r="C344" s="13"/>
      <c r="D344" s="13"/>
      <c r="E344" s="13"/>
      <c r="G344" s="13"/>
    </row>
    <row r="345" spans="3:7">
      <c r="C345" s="13"/>
      <c r="D345" s="13"/>
      <c r="E345" s="13"/>
      <c r="G345" s="13"/>
    </row>
    <row r="346" spans="3:7">
      <c r="C346" s="13"/>
      <c r="D346" s="13"/>
      <c r="E346" s="13"/>
      <c r="G346" s="13"/>
    </row>
    <row r="347" spans="3:7">
      <c r="C347" s="13"/>
      <c r="D347" s="13"/>
      <c r="E347" s="13"/>
      <c r="G347" s="13"/>
    </row>
    <row r="348" spans="3:7">
      <c r="C348" s="13"/>
      <c r="D348" s="13"/>
      <c r="E348" s="13"/>
      <c r="G348" s="13"/>
    </row>
    <row r="349" spans="3:7">
      <c r="C349" s="13"/>
      <c r="D349" s="13"/>
      <c r="E349" s="13"/>
      <c r="G349" s="13"/>
    </row>
    <row r="350" spans="3:7">
      <c r="C350" s="13"/>
      <c r="D350" s="13"/>
      <c r="E350" s="13"/>
      <c r="G350" s="13"/>
    </row>
    <row r="351" spans="3:7">
      <c r="C351" s="13"/>
      <c r="D351" s="13"/>
      <c r="E351" s="13"/>
      <c r="G351" s="13"/>
    </row>
    <row r="352" spans="3:7">
      <c r="C352" s="13"/>
      <c r="D352" s="13"/>
      <c r="E352" s="13"/>
      <c r="G352" s="13"/>
    </row>
    <row r="353" spans="3:7">
      <c r="C353" s="13"/>
      <c r="D353" s="13"/>
      <c r="E353" s="13"/>
      <c r="G353" s="13"/>
    </row>
    <row r="354" spans="3:7">
      <c r="C354" s="13"/>
      <c r="D354" s="13"/>
      <c r="E354" s="13"/>
      <c r="G354" s="13"/>
    </row>
    <row r="355" spans="3:7">
      <c r="C355" s="13"/>
      <c r="D355" s="13"/>
      <c r="E355" s="13"/>
      <c r="G355" s="13"/>
    </row>
    <row r="356" spans="3:7">
      <c r="C356" s="13"/>
      <c r="D356" s="13"/>
      <c r="E356" s="13"/>
      <c r="G356" s="13"/>
    </row>
    <row r="357" spans="3:7">
      <c r="C357" s="13"/>
      <c r="D357" s="13"/>
      <c r="E357" s="13"/>
      <c r="G357" s="13"/>
    </row>
    <row r="358" spans="3:7">
      <c r="C358" s="13"/>
      <c r="D358" s="13"/>
      <c r="E358" s="13"/>
      <c r="G358" s="13"/>
    </row>
    <row r="359" spans="3:7">
      <c r="C359" s="13"/>
      <c r="D359" s="13"/>
      <c r="E359" s="13"/>
      <c r="G359" s="13"/>
    </row>
    <row r="360" spans="3:7">
      <c r="C360" s="13"/>
      <c r="D360" s="13"/>
      <c r="E360" s="13"/>
      <c r="G360" s="13"/>
    </row>
    <row r="361" spans="3:7">
      <c r="C361" s="13"/>
      <c r="D361" s="13"/>
      <c r="E361" s="13"/>
      <c r="G361" s="13"/>
    </row>
    <row r="362" spans="3:7">
      <c r="C362" s="13"/>
      <c r="D362" s="13"/>
      <c r="E362" s="13"/>
      <c r="G362" s="13"/>
    </row>
    <row r="363" spans="3:7">
      <c r="C363" s="13"/>
      <c r="D363" s="13"/>
      <c r="E363" s="13"/>
      <c r="G363" s="13"/>
    </row>
    <row r="364" spans="3:7">
      <c r="C364" s="13"/>
      <c r="D364" s="13"/>
      <c r="E364" s="13"/>
      <c r="G364" s="13"/>
    </row>
    <row r="365" spans="3:7">
      <c r="C365" s="13"/>
      <c r="D365" s="13"/>
      <c r="E365" s="13"/>
      <c r="G365" s="13"/>
    </row>
    <row r="366" spans="3:7">
      <c r="C366" s="13"/>
      <c r="D366" s="13"/>
      <c r="E366" s="13"/>
      <c r="G366" s="13"/>
    </row>
    <row r="367" spans="3:7">
      <c r="C367" s="13"/>
      <c r="D367" s="13"/>
      <c r="E367" s="13"/>
      <c r="G367" s="13"/>
    </row>
    <row r="368" spans="3:7">
      <c r="C368" s="13"/>
      <c r="D368" s="13"/>
      <c r="E368" s="13"/>
      <c r="G368" s="13"/>
    </row>
    <row r="369" spans="3:7">
      <c r="C369" s="13"/>
      <c r="D369" s="13"/>
      <c r="E369" s="13"/>
      <c r="G369" s="13"/>
    </row>
    <row r="370" spans="3:7">
      <c r="C370" s="13"/>
      <c r="D370" s="13"/>
      <c r="E370" s="13"/>
      <c r="G370" s="13"/>
    </row>
    <row r="371" spans="3:7">
      <c r="C371" s="13"/>
      <c r="D371" s="13"/>
      <c r="E371" s="13"/>
      <c r="G371" s="13"/>
    </row>
    <row r="372" spans="3:7">
      <c r="C372" s="13"/>
      <c r="D372" s="13"/>
      <c r="E372" s="13"/>
      <c r="G372" s="13"/>
    </row>
    <row r="373" spans="3:7">
      <c r="C373" s="13"/>
      <c r="D373" s="13"/>
      <c r="E373" s="13"/>
      <c r="G373" s="13"/>
    </row>
    <row r="374" spans="3:7">
      <c r="C374" s="13"/>
      <c r="D374" s="13"/>
      <c r="E374" s="13"/>
      <c r="G374" s="13"/>
    </row>
    <row r="375" spans="3:7">
      <c r="C375" s="13"/>
      <c r="D375" s="13"/>
      <c r="E375" s="13"/>
      <c r="G375" s="13"/>
    </row>
    <row r="376" spans="3:7">
      <c r="C376" s="13"/>
      <c r="D376" s="13"/>
      <c r="E376" s="13"/>
      <c r="G376" s="13"/>
    </row>
    <row r="377" spans="3:7">
      <c r="C377" s="13"/>
      <c r="D377" s="13"/>
      <c r="E377" s="13"/>
      <c r="G377" s="13"/>
    </row>
    <row r="378" spans="3:7">
      <c r="C378" s="13"/>
      <c r="D378" s="13"/>
      <c r="E378" s="13"/>
      <c r="G378" s="13"/>
    </row>
    <row r="379" spans="3:7">
      <c r="C379" s="13"/>
      <c r="D379" s="13"/>
      <c r="E379" s="13"/>
      <c r="G379" s="13"/>
    </row>
    <row r="380" spans="3:7">
      <c r="C380" s="13"/>
      <c r="D380" s="13"/>
      <c r="E380" s="13"/>
      <c r="G380" s="13"/>
    </row>
    <row r="381" spans="3:7">
      <c r="C381" s="13"/>
      <c r="D381" s="13"/>
      <c r="E381" s="13"/>
      <c r="G381" s="13"/>
    </row>
    <row r="382" spans="3:7">
      <c r="C382" s="13"/>
      <c r="D382" s="13"/>
      <c r="E382" s="13"/>
      <c r="G382" s="13"/>
    </row>
    <row r="383" spans="3:7">
      <c r="C383" s="13"/>
      <c r="D383" s="13"/>
      <c r="E383" s="13"/>
      <c r="G383" s="13"/>
    </row>
    <row r="384" spans="3:7">
      <c r="C384" s="13"/>
      <c r="D384" s="13"/>
      <c r="E384" s="13"/>
      <c r="G384" s="13"/>
    </row>
    <row r="385" spans="3:7">
      <c r="C385" s="13"/>
      <c r="D385" s="13"/>
      <c r="E385" s="13"/>
      <c r="G385" s="13"/>
    </row>
    <row r="386" spans="3:7">
      <c r="C386" s="13"/>
      <c r="D386" s="13"/>
      <c r="E386" s="13"/>
      <c r="G386" s="13"/>
    </row>
    <row r="387" spans="3:7">
      <c r="C387" s="13"/>
      <c r="D387" s="13"/>
      <c r="E387" s="13"/>
      <c r="G387" s="13"/>
    </row>
    <row r="388" spans="3:7">
      <c r="C388" s="13"/>
      <c r="D388" s="13"/>
      <c r="E388" s="13"/>
      <c r="G388" s="13"/>
    </row>
    <row r="389" spans="3:7">
      <c r="C389" s="13"/>
      <c r="D389" s="13"/>
      <c r="E389" s="13"/>
      <c r="G389" s="13"/>
    </row>
    <row r="390" spans="3:7">
      <c r="C390" s="13"/>
      <c r="D390" s="13"/>
      <c r="E390" s="13"/>
      <c r="G390" s="13"/>
    </row>
    <row r="391" spans="3:7">
      <c r="C391" s="13"/>
      <c r="D391" s="13"/>
      <c r="E391" s="13"/>
      <c r="G391" s="13"/>
    </row>
    <row r="392" spans="3:7">
      <c r="C392" s="13"/>
      <c r="D392" s="13"/>
      <c r="E392" s="13"/>
      <c r="G392" s="13"/>
    </row>
    <row r="393" spans="3:7">
      <c r="C393" s="13"/>
      <c r="D393" s="13"/>
      <c r="E393" s="13"/>
      <c r="G393" s="13"/>
    </row>
    <row r="394" spans="3:7">
      <c r="C394" s="13"/>
      <c r="D394" s="13"/>
      <c r="E394" s="13"/>
      <c r="G394" s="13"/>
    </row>
    <row r="395" spans="3:7">
      <c r="C395" s="13"/>
      <c r="D395" s="13"/>
      <c r="E395" s="13"/>
      <c r="G395" s="13"/>
    </row>
    <row r="396" spans="3:7">
      <c r="C396" s="13"/>
      <c r="D396" s="13"/>
      <c r="E396" s="13"/>
      <c r="G396" s="13"/>
    </row>
    <row r="397" spans="3:7">
      <c r="C397" s="13"/>
      <c r="D397" s="13"/>
      <c r="E397" s="13"/>
      <c r="G397" s="13"/>
    </row>
    <row r="398" spans="3:7">
      <c r="C398" s="13"/>
      <c r="D398" s="13"/>
      <c r="E398" s="13"/>
      <c r="G398" s="13"/>
    </row>
    <row r="399" spans="3:7">
      <c r="C399" s="13"/>
      <c r="D399" s="13"/>
      <c r="E399" s="13"/>
      <c r="G399" s="13"/>
    </row>
    <row r="400" spans="3:7">
      <c r="C400" s="13"/>
      <c r="D400" s="13"/>
      <c r="E400" s="13"/>
      <c r="G400" s="13"/>
    </row>
    <row r="401" spans="3:7">
      <c r="C401" s="13"/>
      <c r="D401" s="13"/>
      <c r="E401" s="13"/>
      <c r="G401" s="13"/>
    </row>
    <row r="402" spans="3:7">
      <c r="C402" s="13"/>
      <c r="D402" s="13"/>
      <c r="E402" s="13"/>
      <c r="G402" s="13"/>
    </row>
    <row r="403" spans="3:7">
      <c r="C403" s="13"/>
      <c r="D403" s="13"/>
      <c r="E403" s="13"/>
      <c r="G403" s="13"/>
    </row>
    <row r="404" spans="3:7">
      <c r="C404" s="13"/>
      <c r="D404" s="13"/>
      <c r="E404" s="13"/>
      <c r="G404" s="13"/>
    </row>
    <row r="405" spans="3:7">
      <c r="C405" s="13"/>
      <c r="D405" s="13"/>
      <c r="E405" s="13"/>
      <c r="G405" s="13"/>
    </row>
    <row r="406" spans="3:7">
      <c r="C406" s="13"/>
      <c r="D406" s="13"/>
      <c r="E406" s="13"/>
      <c r="G406" s="13"/>
    </row>
    <row r="407" spans="3:7">
      <c r="C407" s="13"/>
      <c r="D407" s="13"/>
      <c r="E407" s="13"/>
      <c r="G407" s="13"/>
    </row>
    <row r="408" spans="3:7">
      <c r="C408" s="13"/>
      <c r="D408" s="13"/>
      <c r="E408" s="13"/>
      <c r="G408" s="13"/>
    </row>
    <row r="409" spans="3:7">
      <c r="C409" s="13"/>
      <c r="D409" s="13"/>
      <c r="E409" s="13"/>
      <c r="G409" s="13"/>
    </row>
    <row r="410" spans="3:7">
      <c r="C410" s="13"/>
      <c r="D410" s="13"/>
      <c r="E410" s="13"/>
      <c r="G410" s="13"/>
    </row>
    <row r="411" spans="3:7">
      <c r="C411" s="13"/>
      <c r="D411" s="13"/>
      <c r="E411" s="13"/>
      <c r="G411" s="13"/>
    </row>
    <row r="412" spans="3:7">
      <c r="C412" s="13"/>
      <c r="D412" s="13"/>
      <c r="E412" s="13"/>
      <c r="G412" s="13"/>
    </row>
    <row r="413" spans="3:7">
      <c r="C413" s="13"/>
      <c r="D413" s="13"/>
      <c r="E413" s="13"/>
      <c r="G413" s="13"/>
    </row>
    <row r="414" spans="3:7">
      <c r="C414" s="13"/>
      <c r="D414" s="13"/>
      <c r="E414" s="13"/>
      <c r="G414" s="13"/>
    </row>
    <row r="415" spans="3:7">
      <c r="C415" s="13"/>
      <c r="D415" s="13"/>
      <c r="E415" s="13"/>
      <c r="G415" s="13"/>
    </row>
    <row r="416" spans="3:7">
      <c r="C416" s="13"/>
      <c r="D416" s="13"/>
      <c r="E416" s="13"/>
      <c r="G416" s="13"/>
    </row>
    <row r="417" spans="3:7">
      <c r="C417" s="13"/>
      <c r="D417" s="13"/>
      <c r="E417" s="13"/>
      <c r="G417" s="13"/>
    </row>
    <row r="418" spans="3:7">
      <c r="C418" s="13"/>
      <c r="D418" s="13"/>
      <c r="E418" s="13"/>
      <c r="G418" s="13"/>
    </row>
    <row r="419" spans="3:7">
      <c r="C419" s="13"/>
      <c r="D419" s="13"/>
      <c r="E419" s="13"/>
      <c r="G419" s="13"/>
    </row>
    <row r="420" spans="3:7">
      <c r="C420" s="13"/>
      <c r="D420" s="13"/>
      <c r="E420" s="13"/>
      <c r="G420" s="13"/>
    </row>
    <row r="421" spans="3:7">
      <c r="C421" s="13"/>
      <c r="D421" s="13"/>
      <c r="E421" s="13"/>
      <c r="G421" s="13"/>
    </row>
    <row r="422" spans="3:7">
      <c r="C422" s="13"/>
      <c r="D422" s="13"/>
      <c r="E422" s="13"/>
      <c r="G422" s="13"/>
    </row>
    <row r="423" spans="3:7">
      <c r="C423" s="13"/>
      <c r="D423" s="13"/>
      <c r="E423" s="13"/>
      <c r="G423" s="13"/>
    </row>
    <row r="424" spans="3:7">
      <c r="C424" s="13"/>
      <c r="D424" s="13"/>
      <c r="E424" s="13"/>
      <c r="G424" s="13"/>
    </row>
    <row r="425" spans="3:7">
      <c r="C425" s="13"/>
      <c r="D425" s="13"/>
      <c r="E425" s="13"/>
      <c r="G425" s="13"/>
    </row>
    <row r="426" spans="3:7">
      <c r="C426" s="13"/>
      <c r="D426" s="13"/>
      <c r="E426" s="13"/>
      <c r="G426" s="13"/>
    </row>
    <row r="427" spans="3:7">
      <c r="C427" s="13"/>
      <c r="D427" s="13"/>
      <c r="E427" s="13"/>
      <c r="G427" s="13"/>
    </row>
    <row r="428" spans="3:7">
      <c r="C428" s="13"/>
      <c r="D428" s="13"/>
      <c r="E428" s="13"/>
      <c r="G428" s="13"/>
    </row>
    <row r="429" spans="3:7">
      <c r="C429" s="13"/>
      <c r="D429" s="13"/>
      <c r="E429" s="13"/>
      <c r="G429" s="13"/>
    </row>
    <row r="430" spans="3:7">
      <c r="C430" s="13"/>
      <c r="D430" s="13"/>
      <c r="E430" s="13"/>
      <c r="G430" s="13"/>
    </row>
    <row r="431" spans="3:7">
      <c r="C431" s="13"/>
      <c r="D431" s="13"/>
      <c r="E431" s="13"/>
      <c r="G431" s="13"/>
    </row>
    <row r="432" spans="3:7">
      <c r="C432" s="13"/>
      <c r="D432" s="13"/>
      <c r="E432" s="13"/>
      <c r="G432" s="13"/>
    </row>
    <row r="433" spans="3:7">
      <c r="C433" s="13"/>
      <c r="D433" s="13"/>
      <c r="E433" s="13"/>
      <c r="G433" s="13"/>
    </row>
    <row r="434" spans="3:7">
      <c r="C434" s="13"/>
      <c r="D434" s="13"/>
      <c r="E434" s="13"/>
      <c r="G434" s="13"/>
    </row>
    <row r="435" spans="3:7">
      <c r="C435" s="13"/>
      <c r="D435" s="13"/>
      <c r="E435" s="13"/>
      <c r="G435" s="13"/>
    </row>
    <row r="436" spans="3:7">
      <c r="C436" s="13"/>
      <c r="D436" s="13"/>
      <c r="E436" s="13"/>
      <c r="G436" s="13"/>
    </row>
    <row r="437" spans="3:7">
      <c r="C437" s="13"/>
      <c r="D437" s="13"/>
      <c r="E437" s="13"/>
      <c r="G437" s="13"/>
    </row>
    <row r="438" spans="3:7">
      <c r="C438" s="13"/>
      <c r="D438" s="13"/>
      <c r="E438" s="13"/>
      <c r="G438" s="13"/>
    </row>
    <row r="439" spans="3:7">
      <c r="C439" s="13"/>
      <c r="D439" s="13"/>
      <c r="E439" s="13"/>
      <c r="G439" s="13"/>
    </row>
    <row r="440" spans="3:7">
      <c r="C440" s="13"/>
      <c r="D440" s="13"/>
      <c r="E440" s="13"/>
      <c r="G440" s="13"/>
    </row>
    <row r="441" spans="3:7">
      <c r="C441" s="13"/>
      <c r="D441" s="13"/>
      <c r="E441" s="13"/>
      <c r="G441" s="13"/>
    </row>
    <row r="442" spans="3:7">
      <c r="C442" s="13"/>
      <c r="D442" s="13"/>
      <c r="E442" s="13"/>
      <c r="G442" s="13"/>
    </row>
    <row r="443" spans="3:7">
      <c r="C443" s="13"/>
      <c r="D443" s="13"/>
      <c r="E443" s="13"/>
      <c r="G443" s="13"/>
    </row>
    <row r="444" spans="3:7">
      <c r="C444" s="13"/>
      <c r="D444" s="13"/>
      <c r="E444" s="13"/>
      <c r="G444" s="13"/>
    </row>
    <row r="445" spans="3:7">
      <c r="C445" s="13"/>
      <c r="D445" s="13"/>
      <c r="E445" s="13"/>
      <c r="G445" s="13"/>
    </row>
    <row r="446" spans="3:7">
      <c r="C446" s="13"/>
      <c r="D446" s="13"/>
      <c r="E446" s="13"/>
      <c r="G446" s="13"/>
    </row>
    <row r="447" spans="3:7">
      <c r="C447" s="13"/>
      <c r="D447" s="13"/>
      <c r="E447" s="13"/>
      <c r="G447" s="13"/>
    </row>
    <row r="448" spans="3:7">
      <c r="C448" s="13"/>
      <c r="D448" s="13"/>
      <c r="E448" s="13"/>
      <c r="G448" s="13"/>
    </row>
    <row r="449" spans="3:7">
      <c r="C449" s="13"/>
      <c r="D449" s="13"/>
      <c r="E449" s="13"/>
      <c r="G449" s="13"/>
    </row>
    <row r="450" spans="3:7">
      <c r="C450" s="13"/>
      <c r="D450" s="13"/>
      <c r="E450" s="13"/>
      <c r="G450" s="13"/>
    </row>
    <row r="451" spans="3:7">
      <c r="C451" s="13"/>
      <c r="D451" s="13"/>
      <c r="E451" s="13"/>
      <c r="G451" s="13"/>
    </row>
    <row r="452" spans="3:7">
      <c r="C452" s="13"/>
      <c r="D452" s="13"/>
      <c r="E452" s="13"/>
      <c r="G452" s="13"/>
    </row>
    <row r="453" spans="3:7">
      <c r="C453" s="13"/>
      <c r="D453" s="13"/>
      <c r="E453" s="13"/>
      <c r="G453" s="13"/>
    </row>
    <row r="454" spans="3:7">
      <c r="C454" s="13"/>
      <c r="D454" s="13"/>
      <c r="E454" s="13"/>
      <c r="G454" s="13"/>
    </row>
    <row r="455" spans="3:7">
      <c r="C455" s="13"/>
      <c r="D455" s="13"/>
      <c r="E455" s="13"/>
      <c r="G455" s="13"/>
    </row>
    <row r="456" spans="3:7">
      <c r="C456" s="13"/>
      <c r="D456" s="13"/>
      <c r="E456" s="13"/>
      <c r="G456" s="13"/>
    </row>
    <row r="457" spans="3:7">
      <c r="C457" s="13"/>
      <c r="D457" s="13"/>
      <c r="E457" s="13"/>
      <c r="G457" s="13"/>
    </row>
    <row r="458" spans="3:7">
      <c r="C458" s="13"/>
      <c r="D458" s="13"/>
      <c r="E458" s="13"/>
      <c r="G458" s="13"/>
    </row>
    <row r="459" spans="3:7">
      <c r="C459" s="13"/>
      <c r="D459" s="13"/>
      <c r="E459" s="13"/>
      <c r="G459" s="13"/>
    </row>
    <row r="460" spans="3:7">
      <c r="C460" s="13"/>
      <c r="D460" s="13"/>
      <c r="E460" s="13"/>
      <c r="G460" s="13"/>
    </row>
    <row r="461" spans="3:7">
      <c r="C461" s="13"/>
      <c r="D461" s="13"/>
      <c r="E461" s="13"/>
      <c r="G461" s="13"/>
    </row>
    <row r="462" spans="3:7">
      <c r="C462" s="13"/>
      <c r="D462" s="13"/>
      <c r="E462" s="13"/>
      <c r="G462" s="13"/>
    </row>
    <row r="463" spans="3:7">
      <c r="C463" s="13"/>
      <c r="D463" s="13"/>
      <c r="E463" s="13"/>
      <c r="G463" s="13"/>
    </row>
    <row r="464" spans="3:7">
      <c r="C464" s="13"/>
      <c r="D464" s="13"/>
      <c r="E464" s="13"/>
      <c r="G464" s="13"/>
    </row>
    <row r="465" spans="3:7">
      <c r="C465" s="13"/>
      <c r="D465" s="13"/>
      <c r="E465" s="13"/>
      <c r="G465" s="13"/>
    </row>
    <row r="466" spans="3:7">
      <c r="C466" s="13"/>
      <c r="D466" s="13"/>
      <c r="E466" s="13"/>
      <c r="G466" s="13"/>
    </row>
    <row r="467" spans="3:7">
      <c r="C467" s="13"/>
      <c r="D467" s="13"/>
      <c r="E467" s="13"/>
      <c r="G467" s="13"/>
    </row>
    <row r="468" spans="3:7">
      <c r="C468" s="13"/>
      <c r="D468" s="13"/>
      <c r="E468" s="13"/>
      <c r="G468" s="13"/>
    </row>
    <row r="469" spans="3:7">
      <c r="C469" s="13"/>
      <c r="D469" s="13"/>
      <c r="E469" s="13"/>
      <c r="G469" s="13"/>
    </row>
    <row r="470" spans="3:7">
      <c r="C470" s="13"/>
      <c r="D470" s="13"/>
      <c r="E470" s="13"/>
      <c r="G470" s="13"/>
    </row>
    <row r="471" spans="3:7">
      <c r="C471" s="13"/>
      <c r="D471" s="13"/>
      <c r="E471" s="13"/>
      <c r="G471" s="13"/>
    </row>
    <row r="472" spans="3:7">
      <c r="C472" s="13"/>
      <c r="D472" s="13"/>
      <c r="E472" s="13"/>
      <c r="G472" s="13"/>
    </row>
    <row r="473" spans="3:7">
      <c r="C473" s="13"/>
      <c r="D473" s="13"/>
      <c r="E473" s="13"/>
      <c r="G473" s="13"/>
    </row>
    <row r="474" spans="3:7">
      <c r="C474" s="13"/>
      <c r="D474" s="13"/>
      <c r="E474" s="13"/>
      <c r="G474" s="13"/>
    </row>
    <row r="475" spans="3:7">
      <c r="C475" s="13"/>
      <c r="D475" s="13"/>
      <c r="E475" s="13"/>
      <c r="G475" s="13"/>
    </row>
    <row r="476" spans="3:7">
      <c r="C476" s="13"/>
      <c r="D476" s="13"/>
      <c r="E476" s="13"/>
      <c r="G476" s="13"/>
    </row>
    <row r="477" spans="3:7">
      <c r="C477" s="13"/>
      <c r="D477" s="13"/>
      <c r="E477" s="13"/>
      <c r="G477" s="13"/>
    </row>
    <row r="478" spans="3:7">
      <c r="C478" s="13"/>
      <c r="D478" s="13"/>
      <c r="E478" s="13"/>
      <c r="G478" s="13"/>
    </row>
    <row r="479" spans="3:7">
      <c r="C479" s="13"/>
      <c r="D479" s="13"/>
      <c r="E479" s="13"/>
      <c r="G479" s="13"/>
    </row>
    <row r="480" spans="3:7">
      <c r="C480" s="13"/>
      <c r="D480" s="13"/>
      <c r="E480" s="13"/>
      <c r="G480" s="13"/>
    </row>
    <row r="481" spans="3:7">
      <c r="C481" s="13"/>
      <c r="D481" s="13"/>
      <c r="E481" s="13"/>
      <c r="G481" s="13"/>
    </row>
    <row r="482" spans="3:7">
      <c r="C482" s="13"/>
      <c r="D482" s="13"/>
      <c r="E482" s="13"/>
      <c r="G482" s="13"/>
    </row>
    <row r="483" spans="3:7">
      <c r="C483" s="13"/>
      <c r="D483" s="13"/>
      <c r="E483" s="13"/>
      <c r="G483" s="13"/>
    </row>
    <row r="484" spans="3:7">
      <c r="C484" s="13"/>
      <c r="D484" s="13"/>
      <c r="E484" s="13"/>
      <c r="G484" s="13"/>
    </row>
    <row r="485" spans="3:7">
      <c r="C485" s="13"/>
      <c r="D485" s="13"/>
      <c r="E485" s="13"/>
      <c r="G485" s="13"/>
    </row>
    <row r="486" spans="3:7">
      <c r="C486" s="13"/>
      <c r="D486" s="13"/>
      <c r="E486" s="13"/>
      <c r="G486" s="13"/>
    </row>
    <row r="487" spans="3:7">
      <c r="C487" s="13"/>
      <c r="D487" s="13"/>
      <c r="E487" s="13"/>
      <c r="G487" s="13"/>
    </row>
    <row r="488" spans="3:7">
      <c r="C488" s="13"/>
      <c r="D488" s="13"/>
      <c r="E488" s="13"/>
      <c r="G488" s="13"/>
    </row>
    <row r="489" spans="3:7">
      <c r="C489" s="13"/>
      <c r="D489" s="13"/>
      <c r="E489" s="13"/>
      <c r="G489" s="13"/>
    </row>
    <row r="490" spans="3:7">
      <c r="C490" s="13"/>
      <c r="D490" s="13"/>
      <c r="E490" s="13"/>
      <c r="G490" s="13"/>
    </row>
    <row r="491" spans="3:7">
      <c r="C491" s="13"/>
      <c r="D491" s="13"/>
      <c r="E491" s="13"/>
      <c r="G491" s="13"/>
    </row>
    <row r="492" spans="3:7">
      <c r="C492" s="13"/>
      <c r="D492" s="13"/>
      <c r="E492" s="13"/>
      <c r="G492" s="13"/>
    </row>
    <row r="493" spans="3:7">
      <c r="C493" s="13"/>
      <c r="D493" s="13"/>
      <c r="E493" s="13"/>
      <c r="G493" s="13"/>
    </row>
    <row r="494" spans="3:7">
      <c r="C494" s="13"/>
      <c r="D494" s="13"/>
      <c r="E494" s="13"/>
      <c r="G494" s="13"/>
    </row>
    <row r="495" spans="3:7">
      <c r="C495" s="13"/>
      <c r="D495" s="13"/>
      <c r="E495" s="13"/>
      <c r="G495" s="13"/>
    </row>
    <row r="496" spans="3:7">
      <c r="C496" s="13"/>
      <c r="D496" s="13"/>
      <c r="E496" s="13"/>
      <c r="G496" s="13"/>
    </row>
    <row r="497" spans="3:7">
      <c r="C497" s="13"/>
      <c r="D497" s="13"/>
      <c r="E497" s="13"/>
      <c r="G497" s="13"/>
    </row>
    <row r="498" spans="3:7">
      <c r="C498" s="13"/>
      <c r="D498" s="13"/>
      <c r="E498" s="13"/>
      <c r="G498" s="13"/>
    </row>
    <row r="499" spans="3:7">
      <c r="C499" s="13"/>
      <c r="D499" s="13"/>
      <c r="E499" s="13"/>
      <c r="G499" s="13"/>
    </row>
    <row r="500" spans="3:7">
      <c r="C500" s="13"/>
      <c r="D500" s="13"/>
      <c r="E500" s="13"/>
      <c r="G500" s="13"/>
    </row>
    <row r="501" spans="3:7">
      <c r="C501" s="13"/>
      <c r="D501" s="92"/>
      <c r="E501" s="92"/>
      <c r="G501" s="92"/>
    </row>
    <row r="502" spans="3:7">
      <c r="C502" s="13"/>
      <c r="D502" s="13"/>
      <c r="E502" s="13"/>
      <c r="G502" s="13"/>
    </row>
    <row r="503" spans="3:7">
      <c r="C503" s="13"/>
      <c r="D503" s="13"/>
      <c r="E503" s="13"/>
      <c r="G503" s="13"/>
    </row>
    <row r="504" spans="3:7">
      <c r="C504" s="13"/>
      <c r="D504" s="13"/>
      <c r="E504" s="13"/>
      <c r="G504" s="13"/>
    </row>
    <row r="505" spans="3:7">
      <c r="C505" s="13"/>
      <c r="D505" s="13"/>
      <c r="E505" s="13"/>
      <c r="G505" s="13"/>
    </row>
    <row r="506" spans="3:7">
      <c r="C506" s="13"/>
      <c r="D506" s="13"/>
      <c r="E506" s="13"/>
      <c r="G506" s="13"/>
    </row>
    <row r="507" spans="3:7">
      <c r="C507" s="13"/>
      <c r="D507" s="13"/>
      <c r="E507" s="13"/>
      <c r="G507" s="13"/>
    </row>
    <row r="508" spans="3:7">
      <c r="C508" s="13"/>
      <c r="D508" s="13"/>
      <c r="E508" s="13"/>
      <c r="G508" s="13"/>
    </row>
    <row r="509" spans="3:7">
      <c r="C509" s="13"/>
      <c r="D509" s="13"/>
      <c r="E509" s="13"/>
      <c r="G509" s="13"/>
    </row>
    <row r="510" spans="3:7">
      <c r="C510" s="13"/>
      <c r="D510" s="13"/>
      <c r="E510" s="13"/>
      <c r="G510" s="13"/>
    </row>
    <row r="511" spans="3:7">
      <c r="C511" s="13"/>
      <c r="D511" s="13"/>
      <c r="E511" s="13"/>
      <c r="G511" s="13"/>
    </row>
    <row r="512" spans="3:7">
      <c r="C512" s="13"/>
      <c r="D512" s="13"/>
      <c r="E512" s="13"/>
      <c r="G512" s="13"/>
    </row>
    <row r="513" spans="3:7">
      <c r="C513" s="13"/>
      <c r="D513" s="13"/>
      <c r="E513" s="13"/>
      <c r="G513" s="13"/>
    </row>
    <row r="514" spans="3:7">
      <c r="C514" s="13"/>
      <c r="D514" s="13"/>
      <c r="E514" s="13"/>
      <c r="G514" s="13"/>
    </row>
    <row r="515" spans="3:7">
      <c r="C515" s="13"/>
      <c r="D515" s="13"/>
      <c r="E515" s="13"/>
      <c r="G515" s="13"/>
    </row>
    <row r="516" spans="3:7">
      <c r="C516" s="13"/>
      <c r="D516" s="13"/>
      <c r="E516" s="13"/>
      <c r="G516" s="13"/>
    </row>
    <row r="517" spans="3:7">
      <c r="C517" s="13"/>
      <c r="D517" s="13"/>
      <c r="E517" s="13"/>
      <c r="G517" s="13"/>
    </row>
    <row r="518" spans="3:7">
      <c r="C518" s="13"/>
      <c r="D518" s="13"/>
      <c r="E518" s="13"/>
      <c r="G518" s="13"/>
    </row>
    <row r="519" spans="3:7">
      <c r="C519" s="13"/>
      <c r="D519" s="13"/>
      <c r="E519" s="13"/>
      <c r="G519" s="13"/>
    </row>
    <row r="520" spans="3:7">
      <c r="C520" s="13"/>
      <c r="D520" s="13"/>
      <c r="E520" s="13"/>
      <c r="G520" s="13"/>
    </row>
    <row r="521" spans="3:7">
      <c r="C521" s="13"/>
      <c r="D521" s="13"/>
      <c r="E521" s="13"/>
      <c r="G521" s="13"/>
    </row>
    <row r="522" spans="3:7">
      <c r="C522" s="13"/>
      <c r="D522" s="13"/>
      <c r="E522" s="13"/>
      <c r="G522" s="13"/>
    </row>
    <row r="523" spans="3:7">
      <c r="C523" s="13"/>
      <c r="D523" s="13"/>
      <c r="E523" s="13"/>
      <c r="G523" s="13"/>
    </row>
    <row r="524" spans="3:7">
      <c r="C524" s="13"/>
      <c r="D524" s="13"/>
      <c r="E524" s="13"/>
      <c r="G524" s="13"/>
    </row>
    <row r="525" spans="3:7">
      <c r="C525" s="13"/>
      <c r="D525" s="13"/>
      <c r="E525" s="13"/>
      <c r="G525" s="13"/>
    </row>
    <row r="526" spans="3:7">
      <c r="C526" s="13"/>
      <c r="D526" s="13"/>
      <c r="E526" s="13"/>
      <c r="G526" s="13"/>
    </row>
    <row r="527" spans="3:7">
      <c r="C527" s="13"/>
      <c r="D527" s="13"/>
      <c r="E527" s="13"/>
      <c r="G527" s="13"/>
    </row>
    <row r="528" spans="3:7">
      <c r="C528" s="13"/>
      <c r="D528" s="13"/>
      <c r="E528" s="13"/>
      <c r="G528" s="13"/>
    </row>
    <row r="529" spans="3:7">
      <c r="C529" s="13"/>
      <c r="D529" s="13"/>
      <c r="E529" s="13"/>
      <c r="G529" s="13"/>
    </row>
    <row r="530" spans="3:7">
      <c r="C530" s="13"/>
      <c r="D530" s="13"/>
      <c r="E530" s="13"/>
      <c r="G530" s="13"/>
    </row>
    <row r="531" spans="3:7">
      <c r="C531" s="13"/>
      <c r="D531" s="13"/>
      <c r="E531" s="13"/>
      <c r="G531" s="13"/>
    </row>
    <row r="532" spans="3:7">
      <c r="C532" s="13"/>
      <c r="D532" s="13"/>
      <c r="E532" s="13"/>
      <c r="G532" s="13"/>
    </row>
    <row r="533" spans="3:7">
      <c r="C533" s="13"/>
      <c r="D533" s="13"/>
      <c r="E533" s="13"/>
      <c r="G533" s="13"/>
    </row>
    <row r="534" spans="3:7">
      <c r="C534" s="13"/>
      <c r="D534" s="13"/>
      <c r="E534" s="13"/>
      <c r="G534" s="13"/>
    </row>
    <row r="535" spans="3:7">
      <c r="C535" s="13"/>
      <c r="D535" s="13"/>
      <c r="E535" s="13"/>
      <c r="G535" s="13"/>
    </row>
    <row r="536" spans="3:7">
      <c r="C536" s="13"/>
      <c r="D536" s="13"/>
      <c r="E536" s="13"/>
      <c r="G536" s="13"/>
    </row>
    <row r="537" spans="3:7">
      <c r="C537" s="13"/>
      <c r="D537" s="13"/>
      <c r="E537" s="13"/>
      <c r="G537" s="13"/>
    </row>
    <row r="538" spans="3:7">
      <c r="C538" s="13"/>
      <c r="D538" s="13"/>
      <c r="E538" s="13"/>
      <c r="G538" s="13"/>
    </row>
    <row r="539" spans="3:7">
      <c r="C539" s="13"/>
      <c r="D539" s="13"/>
      <c r="E539" s="13"/>
      <c r="G539" s="13"/>
    </row>
    <row r="540" spans="3:7">
      <c r="C540" s="13"/>
      <c r="D540" s="13"/>
      <c r="E540" s="13"/>
      <c r="G540" s="13"/>
    </row>
    <row r="541" spans="3:7">
      <c r="C541" s="13"/>
      <c r="D541" s="13"/>
      <c r="E541" s="13"/>
      <c r="G541" s="13"/>
    </row>
    <row r="542" spans="3:7">
      <c r="C542" s="13"/>
      <c r="D542" s="13"/>
      <c r="E542" s="13"/>
      <c r="G542" s="13"/>
    </row>
    <row r="543" spans="3:7">
      <c r="C543" s="13"/>
      <c r="D543" s="13"/>
      <c r="E543" s="13"/>
      <c r="G543" s="13"/>
    </row>
    <row r="544" spans="3:7">
      <c r="C544" s="13"/>
      <c r="D544" s="13"/>
      <c r="E544" s="13"/>
      <c r="G544" s="13"/>
    </row>
    <row r="545" spans="3:7">
      <c r="C545" s="13"/>
      <c r="D545" s="13"/>
      <c r="E545" s="13"/>
      <c r="G545" s="13"/>
    </row>
    <row r="546" spans="3:7">
      <c r="C546" s="13"/>
      <c r="D546" s="13"/>
      <c r="E546" s="13"/>
      <c r="G546" s="13"/>
    </row>
    <row r="547" spans="3:7">
      <c r="C547" s="13"/>
      <c r="D547" s="13"/>
      <c r="E547" s="13"/>
      <c r="G547" s="13"/>
    </row>
    <row r="548" spans="3:7">
      <c r="C548" s="13"/>
      <c r="D548" s="13"/>
      <c r="E548" s="13"/>
      <c r="G548" s="13"/>
    </row>
    <row r="549" spans="3:7">
      <c r="C549" s="13"/>
      <c r="D549" s="13"/>
      <c r="E549" s="13"/>
      <c r="G549" s="13"/>
    </row>
    <row r="550" spans="3:7">
      <c r="C550" s="13"/>
      <c r="D550" s="13"/>
      <c r="E550" s="13"/>
      <c r="G550" s="13"/>
    </row>
    <row r="551" spans="3:7">
      <c r="C551" s="13"/>
      <c r="D551" s="13"/>
      <c r="E551" s="13"/>
      <c r="G551" s="13"/>
    </row>
    <row r="552" spans="3:7">
      <c r="C552" s="13"/>
      <c r="D552" s="13"/>
      <c r="E552" s="13"/>
      <c r="G552" s="13"/>
    </row>
    <row r="553" spans="3:7">
      <c r="C553" s="13"/>
      <c r="D553" s="13"/>
      <c r="E553" s="13"/>
      <c r="G553" s="13"/>
    </row>
    <row r="554" spans="3:7">
      <c r="C554" s="13"/>
      <c r="D554" s="13"/>
      <c r="E554" s="13"/>
      <c r="G554" s="13"/>
    </row>
    <row r="555" spans="3:7">
      <c r="C555" s="13"/>
      <c r="D555" s="13"/>
      <c r="E555" s="13"/>
      <c r="G555" s="13"/>
    </row>
    <row r="556" spans="3:7">
      <c r="C556" s="13"/>
      <c r="D556" s="13"/>
      <c r="E556" s="13"/>
      <c r="G556" s="13"/>
    </row>
    <row r="557" spans="3:7">
      <c r="C557" s="13"/>
      <c r="D557" s="13"/>
      <c r="E557" s="13"/>
      <c r="G557" s="13"/>
    </row>
    <row r="558" spans="3:7">
      <c r="C558" s="13"/>
      <c r="D558" s="13"/>
      <c r="E558" s="13"/>
      <c r="G558" s="13"/>
    </row>
    <row r="559" spans="3:7">
      <c r="C559" s="13"/>
      <c r="D559" s="13"/>
      <c r="E559" s="13"/>
      <c r="G559" s="13"/>
    </row>
    <row r="560" spans="3:7">
      <c r="C560" s="13"/>
      <c r="D560" s="13"/>
      <c r="E560" s="13"/>
      <c r="G560" s="13"/>
    </row>
    <row r="561" spans="3:7">
      <c r="C561" s="13"/>
      <c r="D561" s="13"/>
      <c r="E561" s="13"/>
      <c r="G561" s="13"/>
    </row>
    <row r="562" spans="3:7">
      <c r="C562" s="13"/>
      <c r="D562" s="13"/>
      <c r="E562" s="13"/>
      <c r="G562" s="13"/>
    </row>
    <row r="563" spans="3:7">
      <c r="C563" s="13"/>
      <c r="D563" s="13"/>
      <c r="E563" s="13"/>
      <c r="G563" s="13"/>
    </row>
    <row r="564" spans="3:7">
      <c r="C564" s="13"/>
      <c r="D564" s="13"/>
      <c r="E564" s="13"/>
      <c r="G564" s="13"/>
    </row>
    <row r="565" spans="3:7">
      <c r="C565" s="13"/>
      <c r="D565" s="13"/>
      <c r="E565" s="13"/>
      <c r="G565" s="13"/>
    </row>
    <row r="566" spans="3:7">
      <c r="C566" s="13"/>
      <c r="D566" s="13"/>
      <c r="E566" s="13"/>
      <c r="G566" s="13"/>
    </row>
    <row r="567" spans="3:7">
      <c r="C567" s="13"/>
      <c r="D567" s="13"/>
      <c r="E567" s="13"/>
      <c r="G567" s="13"/>
    </row>
    <row r="568" spans="3:7">
      <c r="C568" s="13"/>
      <c r="D568" s="13"/>
      <c r="E568" s="13"/>
      <c r="G568" s="13"/>
    </row>
    <row r="569" spans="3:7">
      <c r="C569" s="13"/>
      <c r="D569" s="13"/>
      <c r="E569" s="13"/>
      <c r="G569" s="13"/>
    </row>
    <row r="570" spans="3:7">
      <c r="C570" s="13"/>
      <c r="D570" s="13"/>
      <c r="E570" s="13"/>
      <c r="G570" s="13"/>
    </row>
    <row r="571" spans="3:7">
      <c r="C571" s="13"/>
      <c r="D571" s="13"/>
      <c r="E571" s="13"/>
      <c r="G571" s="13"/>
    </row>
    <row r="572" spans="3:7">
      <c r="C572" s="13"/>
      <c r="D572" s="13"/>
      <c r="E572" s="13"/>
      <c r="G572" s="13"/>
    </row>
    <row r="573" spans="3:7">
      <c r="C573" s="13"/>
      <c r="D573" s="13"/>
      <c r="E573" s="13"/>
      <c r="G573" s="13"/>
    </row>
    <row r="574" spans="3:7">
      <c r="C574" s="13"/>
      <c r="D574" s="13"/>
      <c r="E574" s="13"/>
      <c r="G574" s="13"/>
    </row>
    <row r="575" spans="3:7">
      <c r="C575" s="13"/>
      <c r="D575" s="13"/>
      <c r="E575" s="13"/>
      <c r="G575" s="13"/>
    </row>
    <row r="576" spans="3:7">
      <c r="C576" s="13"/>
      <c r="D576" s="13"/>
      <c r="E576" s="13"/>
      <c r="G576" s="13"/>
    </row>
    <row r="577" spans="3:7">
      <c r="C577" s="13"/>
      <c r="D577" s="13"/>
      <c r="E577" s="13"/>
      <c r="G577" s="13"/>
    </row>
    <row r="578" spans="3:7">
      <c r="C578" s="13"/>
      <c r="D578" s="13"/>
      <c r="E578" s="13"/>
      <c r="G578" s="13"/>
    </row>
    <row r="579" spans="3:7">
      <c r="C579" s="13"/>
      <c r="D579" s="13"/>
      <c r="E579" s="13"/>
      <c r="G579" s="13"/>
    </row>
    <row r="580" spans="3:7">
      <c r="C580" s="13"/>
      <c r="D580" s="13"/>
      <c r="E580" s="13"/>
      <c r="G580" s="13"/>
    </row>
    <row r="581" spans="3:7">
      <c r="C581" s="13"/>
      <c r="D581" s="13"/>
      <c r="E581" s="13"/>
      <c r="G581" s="13"/>
    </row>
    <row r="582" spans="3:7">
      <c r="C582" s="13"/>
      <c r="D582" s="13"/>
      <c r="E582" s="13"/>
      <c r="G582" s="13"/>
    </row>
    <row r="583" spans="3:7">
      <c r="C583" s="13"/>
      <c r="D583" s="13"/>
      <c r="E583" s="13"/>
      <c r="G583" s="13"/>
    </row>
    <row r="584" spans="3:7">
      <c r="C584" s="13"/>
      <c r="D584" s="13"/>
      <c r="E584" s="13"/>
      <c r="G584" s="13"/>
    </row>
    <row r="585" spans="3:7">
      <c r="C585" s="13"/>
      <c r="D585" s="13"/>
      <c r="E585" s="13"/>
      <c r="G585" s="13"/>
    </row>
    <row r="586" spans="3:7">
      <c r="C586" s="13"/>
      <c r="D586" s="13"/>
      <c r="E586" s="13"/>
      <c r="G586" s="13"/>
    </row>
    <row r="587" spans="3:7">
      <c r="C587" s="13"/>
      <c r="D587" s="13"/>
      <c r="E587" s="13"/>
      <c r="G587" s="13"/>
    </row>
    <row r="588" spans="3:7">
      <c r="C588" s="13"/>
      <c r="D588" s="13"/>
      <c r="E588" s="13"/>
      <c r="G588" s="13"/>
    </row>
    <row r="589" spans="3:7">
      <c r="C589" s="13"/>
      <c r="D589" s="13"/>
      <c r="E589" s="13"/>
      <c r="G589" s="13"/>
    </row>
    <row r="590" spans="3:7">
      <c r="C590" s="13"/>
      <c r="D590" s="13"/>
      <c r="E590" s="13"/>
      <c r="G590" s="13"/>
    </row>
    <row r="591" spans="3:7">
      <c r="C591" s="13"/>
      <c r="D591" s="13"/>
      <c r="E591" s="13"/>
      <c r="G591" s="13"/>
    </row>
    <row r="592" spans="3:7">
      <c r="C592" s="13"/>
      <c r="D592" s="13"/>
      <c r="E592" s="13"/>
      <c r="G592" s="13"/>
    </row>
    <row r="593" spans="3:7">
      <c r="C593" s="13"/>
      <c r="D593" s="13"/>
      <c r="E593" s="13"/>
      <c r="G593" s="13"/>
    </row>
    <row r="594" spans="3:7">
      <c r="C594" s="13"/>
      <c r="D594" s="13"/>
      <c r="E594" s="13"/>
      <c r="G594" s="13"/>
    </row>
    <row r="595" spans="3:7">
      <c r="C595" s="13"/>
      <c r="D595" s="13"/>
      <c r="E595" s="13"/>
      <c r="G595" s="13"/>
    </row>
    <row r="596" spans="3:7">
      <c r="C596" s="13"/>
      <c r="D596" s="13"/>
      <c r="E596" s="13"/>
      <c r="G596" s="13"/>
    </row>
    <row r="597" spans="3:7">
      <c r="C597" s="13"/>
      <c r="D597" s="13"/>
      <c r="E597" s="13"/>
      <c r="G597" s="13"/>
    </row>
    <row r="598" spans="3:7">
      <c r="C598" s="13"/>
      <c r="D598" s="13"/>
      <c r="E598" s="13"/>
      <c r="G598" s="13"/>
    </row>
    <row r="599" spans="3:7">
      <c r="C599" s="13"/>
      <c r="D599" s="13"/>
      <c r="E599" s="13"/>
      <c r="G599" s="13"/>
    </row>
    <row r="600" spans="3:7">
      <c r="C600" s="13"/>
      <c r="D600" s="13"/>
      <c r="E600" s="13"/>
      <c r="G600" s="13"/>
    </row>
    <row r="601" spans="3:7">
      <c r="C601" s="13"/>
      <c r="D601" s="13"/>
      <c r="E601" s="13"/>
      <c r="G601" s="13"/>
    </row>
    <row r="602" spans="3:7">
      <c r="C602" s="13"/>
      <c r="D602" s="13"/>
      <c r="E602" s="13"/>
      <c r="G602" s="13"/>
    </row>
    <row r="603" spans="3:7">
      <c r="C603" s="13"/>
      <c r="D603" s="13"/>
      <c r="E603" s="13"/>
      <c r="G603" s="13"/>
    </row>
    <row r="604" spans="3:7">
      <c r="C604" s="13"/>
      <c r="D604" s="13"/>
      <c r="E604" s="13"/>
      <c r="G604" s="13"/>
    </row>
    <row r="605" spans="3:7">
      <c r="C605" s="13"/>
      <c r="D605" s="13"/>
      <c r="E605" s="13"/>
      <c r="G605" s="13"/>
    </row>
    <row r="606" spans="3:7">
      <c r="C606" s="13"/>
      <c r="D606" s="13"/>
      <c r="E606" s="13"/>
      <c r="G606" s="13"/>
    </row>
    <row r="607" spans="3:7">
      <c r="C607" s="13"/>
      <c r="D607" s="13"/>
      <c r="E607" s="13"/>
      <c r="G607" s="13"/>
    </row>
    <row r="608" spans="3:7">
      <c r="C608" s="13"/>
      <c r="D608" s="13"/>
      <c r="E608" s="13"/>
      <c r="G608" s="13"/>
    </row>
    <row r="609" spans="3:7">
      <c r="C609" s="13"/>
      <c r="D609" s="13"/>
      <c r="E609" s="13"/>
      <c r="G609" s="13"/>
    </row>
    <row r="610" spans="3:7">
      <c r="C610" s="13"/>
      <c r="D610" s="13"/>
      <c r="E610" s="13"/>
      <c r="G610" s="13"/>
    </row>
    <row r="611" spans="3:7">
      <c r="C611" s="13"/>
      <c r="D611" s="13"/>
      <c r="E611" s="13"/>
      <c r="G611" s="13"/>
    </row>
    <row r="612" spans="3:7">
      <c r="C612" s="13"/>
      <c r="D612" s="13"/>
      <c r="E612" s="13"/>
      <c r="G612" s="13"/>
    </row>
    <row r="613" spans="3:7">
      <c r="C613" s="13"/>
      <c r="D613" s="13"/>
      <c r="E613" s="13"/>
      <c r="G613" s="13"/>
    </row>
    <row r="614" spans="3:7">
      <c r="C614" s="13"/>
      <c r="D614" s="13"/>
      <c r="E614" s="13"/>
      <c r="G614" s="13"/>
    </row>
    <row r="615" spans="3:7">
      <c r="C615" s="13"/>
      <c r="D615" s="13"/>
      <c r="E615" s="13"/>
      <c r="G615" s="13"/>
    </row>
    <row r="616" spans="3:7">
      <c r="C616" s="13"/>
      <c r="D616" s="13"/>
      <c r="E616" s="13"/>
      <c r="G616" s="13"/>
    </row>
    <row r="617" spans="3:7">
      <c r="C617" s="13"/>
      <c r="D617" s="13"/>
      <c r="E617" s="13"/>
      <c r="G617" s="13"/>
    </row>
    <row r="618" spans="3:7">
      <c r="C618" s="13"/>
      <c r="D618" s="13"/>
      <c r="E618" s="13"/>
      <c r="G618" s="13"/>
    </row>
    <row r="619" spans="3:7">
      <c r="C619" s="13"/>
      <c r="D619" s="13"/>
      <c r="E619" s="13"/>
      <c r="G619" s="13"/>
    </row>
    <row r="620" spans="3:7">
      <c r="C620" s="13"/>
      <c r="D620" s="13"/>
      <c r="E620" s="13"/>
      <c r="G620" s="13"/>
    </row>
    <row r="621" spans="3:7">
      <c r="C621" s="13"/>
      <c r="D621" s="13"/>
      <c r="E621" s="13"/>
      <c r="G621" s="13"/>
    </row>
    <row r="622" spans="3:7">
      <c r="C622" s="13"/>
      <c r="D622" s="13"/>
      <c r="E622" s="13"/>
      <c r="G622" s="13"/>
    </row>
    <row r="623" spans="3:7">
      <c r="C623" s="13"/>
      <c r="D623" s="13"/>
      <c r="E623" s="13"/>
      <c r="G623" s="13"/>
    </row>
    <row r="624" spans="3:7">
      <c r="C624" s="13"/>
      <c r="D624" s="13"/>
      <c r="E624" s="13"/>
      <c r="G624" s="13"/>
    </row>
    <row r="625" spans="3:7">
      <c r="C625" s="13"/>
      <c r="D625" s="13"/>
      <c r="E625" s="13"/>
      <c r="G625" s="13"/>
    </row>
    <row r="626" spans="3:7">
      <c r="C626" s="13"/>
      <c r="D626" s="13"/>
      <c r="E626" s="13"/>
      <c r="G626" s="13"/>
    </row>
    <row r="627" spans="3:7">
      <c r="C627" s="13"/>
      <c r="D627" s="13"/>
      <c r="E627" s="13"/>
      <c r="G627" s="13"/>
    </row>
    <row r="628" spans="3:7">
      <c r="C628" s="13"/>
      <c r="D628" s="13"/>
      <c r="E628" s="13"/>
      <c r="G628" s="13"/>
    </row>
    <row r="629" spans="3:7">
      <c r="C629" s="13"/>
      <c r="D629" s="13"/>
      <c r="E629" s="13"/>
      <c r="G629" s="13"/>
    </row>
    <row r="630" spans="3:7">
      <c r="C630" s="13"/>
      <c r="D630" s="13"/>
      <c r="E630" s="13"/>
      <c r="G630" s="13"/>
    </row>
    <row r="631" spans="3:7">
      <c r="C631" s="13"/>
      <c r="D631" s="13"/>
      <c r="E631" s="13"/>
      <c r="G631" s="13"/>
    </row>
    <row r="632" spans="3:7">
      <c r="C632" s="13"/>
      <c r="D632" s="13"/>
      <c r="E632" s="13"/>
      <c r="G632" s="13"/>
    </row>
    <row r="633" spans="3:7">
      <c r="C633" s="13"/>
      <c r="D633" s="13"/>
      <c r="E633" s="13"/>
      <c r="G633" s="13"/>
    </row>
    <row r="634" spans="3:7">
      <c r="C634" s="13"/>
      <c r="D634" s="13"/>
      <c r="E634" s="13"/>
      <c r="G634" s="13"/>
    </row>
    <row r="635" spans="3:7">
      <c r="C635" s="13"/>
      <c r="D635" s="13"/>
      <c r="E635" s="13"/>
      <c r="G635" s="13"/>
    </row>
    <row r="636" spans="3:7">
      <c r="C636" s="13"/>
      <c r="D636" s="13"/>
      <c r="E636" s="13"/>
      <c r="G636" s="13"/>
    </row>
    <row r="637" spans="3:7">
      <c r="C637" s="13"/>
      <c r="D637" s="13"/>
      <c r="E637" s="13"/>
      <c r="G637" s="13"/>
    </row>
    <row r="638" spans="3:7">
      <c r="C638" s="13"/>
      <c r="D638" s="13"/>
      <c r="E638" s="13"/>
      <c r="G638" s="13"/>
    </row>
    <row r="639" spans="3:7">
      <c r="C639" s="13"/>
      <c r="D639" s="13"/>
      <c r="E639" s="13"/>
      <c r="G639" s="13"/>
    </row>
    <row r="640" spans="3:7">
      <c r="C640" s="13"/>
      <c r="D640" s="13"/>
      <c r="E640" s="13"/>
      <c r="G640" s="13"/>
    </row>
    <row r="641" spans="3:7">
      <c r="C641" s="13"/>
      <c r="D641" s="13"/>
      <c r="E641" s="13"/>
      <c r="G641" s="13"/>
    </row>
    <row r="642" spans="3:7">
      <c r="C642" s="13"/>
      <c r="D642" s="13"/>
      <c r="E642" s="13"/>
      <c r="G642" s="13"/>
    </row>
    <row r="643" spans="3:7">
      <c r="C643" s="13"/>
      <c r="D643" s="13"/>
      <c r="E643" s="13"/>
      <c r="G643" s="13"/>
    </row>
    <row r="644" spans="3:7">
      <c r="C644" s="13"/>
      <c r="D644" s="13"/>
      <c r="E644" s="13"/>
      <c r="G644" s="13"/>
    </row>
    <row r="645" spans="3:7">
      <c r="C645" s="13"/>
      <c r="D645" s="13"/>
      <c r="E645" s="13"/>
      <c r="G645" s="13"/>
    </row>
    <row r="646" spans="3:7">
      <c r="C646" s="13"/>
      <c r="D646" s="13"/>
      <c r="E646" s="13"/>
      <c r="G646" s="13"/>
    </row>
    <row r="647" spans="3:7">
      <c r="C647" s="13"/>
      <c r="D647" s="13"/>
      <c r="E647" s="13"/>
      <c r="G647" s="13"/>
    </row>
    <row r="648" spans="3:7">
      <c r="C648" s="13"/>
      <c r="D648" s="13"/>
      <c r="E648" s="13"/>
      <c r="G648" s="13"/>
    </row>
    <row r="649" spans="3:7">
      <c r="C649" s="13"/>
      <c r="D649" s="13"/>
      <c r="E649" s="13"/>
      <c r="G649" s="13"/>
    </row>
    <row r="650" spans="3:7">
      <c r="C650" s="13"/>
      <c r="D650" s="13"/>
      <c r="E650" s="13"/>
      <c r="G650" s="13"/>
    </row>
    <row r="651" spans="3:7">
      <c r="C651" s="13"/>
      <c r="D651" s="13"/>
      <c r="E651" s="13"/>
      <c r="G651" s="13"/>
    </row>
    <row r="652" spans="3:7">
      <c r="C652" s="13"/>
      <c r="D652" s="13"/>
      <c r="E652" s="13"/>
      <c r="G652" s="13"/>
    </row>
    <row r="653" spans="3:7">
      <c r="C653" s="13"/>
      <c r="D653" s="13"/>
      <c r="E653" s="13"/>
      <c r="G653" s="13"/>
    </row>
    <row r="654" spans="3:7">
      <c r="C654" s="13"/>
      <c r="D654" s="13"/>
      <c r="E654" s="13"/>
      <c r="G654" s="13"/>
    </row>
    <row r="655" spans="3:7">
      <c r="C655" s="13"/>
      <c r="D655" s="13"/>
      <c r="E655" s="13"/>
      <c r="G655" s="13"/>
    </row>
    <row r="656" spans="3:7">
      <c r="C656" s="13"/>
      <c r="D656" s="13"/>
      <c r="E656" s="13"/>
      <c r="G656" s="13"/>
    </row>
    <row r="657" spans="3:7">
      <c r="C657" s="13"/>
      <c r="D657" s="13"/>
      <c r="E657" s="13"/>
      <c r="G657" s="13"/>
    </row>
    <row r="658" spans="3:7">
      <c r="C658" s="13"/>
      <c r="D658" s="13"/>
      <c r="E658" s="13"/>
      <c r="G658" s="13"/>
    </row>
    <row r="659" spans="3:7">
      <c r="C659" s="13"/>
      <c r="D659" s="13"/>
      <c r="E659" s="13"/>
      <c r="G659" s="13"/>
    </row>
    <row r="660" spans="3:7">
      <c r="C660" s="13"/>
      <c r="D660" s="13"/>
      <c r="E660" s="13"/>
      <c r="G660" s="13"/>
    </row>
    <row r="661" spans="3:7">
      <c r="C661" s="13"/>
      <c r="D661" s="13"/>
      <c r="E661" s="13"/>
      <c r="G661" s="13"/>
    </row>
    <row r="662" spans="3:7">
      <c r="C662" s="13"/>
      <c r="D662" s="13"/>
      <c r="E662" s="13"/>
      <c r="G662" s="13"/>
    </row>
    <row r="663" spans="3:7">
      <c r="C663" s="13"/>
      <c r="D663" s="13"/>
      <c r="E663" s="13"/>
      <c r="G663" s="13"/>
    </row>
    <row r="664" spans="3:7">
      <c r="C664" s="13"/>
      <c r="D664" s="13"/>
      <c r="E664" s="13"/>
      <c r="G664" s="13"/>
    </row>
    <row r="665" spans="3:7">
      <c r="C665" s="13"/>
      <c r="D665" s="13"/>
      <c r="E665" s="13"/>
      <c r="G665" s="13"/>
    </row>
    <row r="666" spans="3:7">
      <c r="C666" s="13"/>
      <c r="D666" s="13"/>
      <c r="E666" s="13"/>
      <c r="G666" s="13"/>
    </row>
    <row r="667" spans="3:7">
      <c r="C667" s="13"/>
      <c r="D667" s="13"/>
      <c r="E667" s="13"/>
      <c r="G667" s="13"/>
    </row>
    <row r="668" spans="3:7">
      <c r="C668" s="13"/>
      <c r="D668" s="13"/>
      <c r="E668" s="13"/>
      <c r="G668" s="13"/>
    </row>
    <row r="669" spans="3:7">
      <c r="C669" s="13"/>
      <c r="D669" s="13"/>
      <c r="E669" s="13"/>
      <c r="G669" s="13"/>
    </row>
    <row r="670" spans="3:7">
      <c r="C670" s="13"/>
      <c r="D670" s="13"/>
      <c r="E670" s="13"/>
      <c r="G670" s="13"/>
    </row>
    <row r="671" spans="3:7">
      <c r="C671" s="13"/>
      <c r="D671" s="13"/>
      <c r="E671" s="13"/>
      <c r="G671" s="13"/>
    </row>
    <row r="672" spans="3:7">
      <c r="C672" s="13"/>
      <c r="D672" s="13"/>
      <c r="E672" s="13"/>
      <c r="G672" s="13"/>
    </row>
    <row r="673" spans="3:7">
      <c r="C673" s="13"/>
      <c r="D673" s="13"/>
      <c r="E673" s="13"/>
      <c r="G673" s="13"/>
    </row>
    <row r="674" spans="3:7">
      <c r="C674" s="13"/>
      <c r="D674" s="13"/>
      <c r="E674" s="13"/>
      <c r="G674" s="13"/>
    </row>
    <row r="675" spans="3:7">
      <c r="C675" s="13"/>
      <c r="D675" s="13"/>
      <c r="E675" s="13"/>
      <c r="G675" s="13"/>
    </row>
    <row r="676" spans="3:7">
      <c r="C676" s="13"/>
      <c r="D676" s="13"/>
      <c r="E676" s="13"/>
      <c r="G676" s="13"/>
    </row>
    <row r="677" spans="3:7">
      <c r="C677" s="13"/>
      <c r="D677" s="13"/>
      <c r="E677" s="13"/>
      <c r="G677" s="13"/>
    </row>
    <row r="678" spans="3:7">
      <c r="C678" s="13"/>
      <c r="D678" s="13"/>
      <c r="E678" s="13"/>
      <c r="G678" s="13"/>
    </row>
    <row r="679" spans="3:7">
      <c r="C679" s="13"/>
      <c r="D679" s="13"/>
      <c r="E679" s="13"/>
      <c r="G679" s="13"/>
    </row>
    <row r="680" spans="3:7">
      <c r="C680" s="13"/>
      <c r="D680" s="13"/>
      <c r="E680" s="13"/>
      <c r="G680" s="13"/>
    </row>
    <row r="681" spans="3:7">
      <c r="C681" s="13"/>
      <c r="D681" s="13"/>
      <c r="E681" s="13"/>
      <c r="G681" s="13"/>
    </row>
    <row r="682" spans="3:7">
      <c r="C682" s="13"/>
      <c r="D682" s="13"/>
      <c r="E682" s="13"/>
      <c r="G682" s="13"/>
    </row>
    <row r="683" spans="3:7">
      <c r="C683" s="13"/>
      <c r="D683" s="13"/>
      <c r="E683" s="13"/>
      <c r="G683" s="13"/>
    </row>
    <row r="684" spans="3:7">
      <c r="C684" s="13"/>
      <c r="D684" s="13"/>
      <c r="E684" s="13"/>
      <c r="G684" s="13"/>
    </row>
    <row r="685" spans="3:7">
      <c r="C685" s="13"/>
      <c r="D685" s="13"/>
      <c r="E685" s="13"/>
      <c r="G685" s="13"/>
    </row>
    <row r="686" spans="3:7">
      <c r="C686" s="13"/>
      <c r="D686" s="13"/>
      <c r="E686" s="13"/>
      <c r="G686" s="13"/>
    </row>
    <row r="687" spans="3:7">
      <c r="C687" s="13"/>
      <c r="D687" s="13"/>
      <c r="E687" s="13"/>
      <c r="G687" s="13"/>
    </row>
    <row r="688" spans="3:7">
      <c r="C688" s="13"/>
      <c r="D688" s="13"/>
      <c r="E688" s="13"/>
      <c r="G688" s="13"/>
    </row>
    <row r="689" spans="3:7">
      <c r="C689" s="13"/>
      <c r="D689" s="13"/>
      <c r="E689" s="13"/>
      <c r="G689" s="13"/>
    </row>
    <row r="690" spans="3:7">
      <c r="C690" s="13"/>
      <c r="D690" s="13"/>
      <c r="E690" s="13"/>
      <c r="G690" s="13"/>
    </row>
    <row r="691" spans="3:7">
      <c r="C691" s="13"/>
      <c r="D691" s="13"/>
      <c r="E691" s="13"/>
      <c r="G691" s="13"/>
    </row>
    <row r="692" spans="3:7">
      <c r="C692" s="13"/>
      <c r="D692" s="13"/>
      <c r="E692" s="13"/>
      <c r="G692" s="13"/>
    </row>
    <row r="693" spans="3:7">
      <c r="C693" s="13"/>
      <c r="D693" s="13"/>
      <c r="E693" s="13"/>
      <c r="G693" s="13"/>
    </row>
    <row r="694" spans="3:7">
      <c r="C694" s="13"/>
      <c r="D694" s="13"/>
      <c r="E694" s="13"/>
      <c r="G694" s="13"/>
    </row>
    <row r="695" spans="3:7">
      <c r="C695" s="13"/>
      <c r="D695" s="13"/>
      <c r="E695" s="13"/>
      <c r="G695" s="13"/>
    </row>
    <row r="696" spans="3:7">
      <c r="C696" s="13"/>
      <c r="D696" s="13"/>
      <c r="E696" s="13"/>
      <c r="G696" s="13"/>
    </row>
    <row r="697" spans="3:7">
      <c r="C697" s="13"/>
      <c r="D697" s="13"/>
      <c r="E697" s="13"/>
      <c r="G697" s="13"/>
    </row>
    <row r="698" spans="3:7">
      <c r="C698" s="13"/>
      <c r="D698" s="13"/>
      <c r="E698" s="13"/>
      <c r="G698" s="13"/>
    </row>
    <row r="699" spans="3:7">
      <c r="C699" s="13"/>
      <c r="D699" s="13"/>
      <c r="E699" s="13"/>
      <c r="G699" s="13"/>
    </row>
    <row r="700" spans="3:7">
      <c r="C700" s="13"/>
      <c r="D700" s="13"/>
      <c r="E700" s="13"/>
      <c r="G700" s="13"/>
    </row>
    <row r="701" spans="3:7">
      <c r="C701" s="13"/>
      <c r="D701" s="13"/>
      <c r="E701" s="13"/>
      <c r="G701" s="13"/>
    </row>
    <row r="702" spans="3:7">
      <c r="C702" s="13"/>
      <c r="D702" s="13"/>
      <c r="E702" s="13"/>
      <c r="G702" s="13"/>
    </row>
    <row r="703" spans="3:7">
      <c r="C703" s="13"/>
      <c r="D703" s="13"/>
      <c r="E703" s="13"/>
      <c r="G703" s="13"/>
    </row>
    <row r="704" spans="3:7">
      <c r="C704" s="13"/>
      <c r="D704" s="13"/>
      <c r="E704" s="13"/>
      <c r="G704" s="13"/>
    </row>
    <row r="705" spans="3:7">
      <c r="C705" s="13"/>
      <c r="D705" s="13"/>
      <c r="E705" s="13"/>
      <c r="G705" s="13"/>
    </row>
    <row r="706" spans="3:7">
      <c r="C706" s="13"/>
      <c r="D706" s="13"/>
      <c r="E706" s="13"/>
      <c r="G706" s="13"/>
    </row>
    <row r="707" spans="3:7">
      <c r="C707" s="13"/>
      <c r="D707" s="13"/>
      <c r="E707" s="13"/>
      <c r="G707" s="13"/>
    </row>
    <row r="708" spans="3:7">
      <c r="C708" s="13"/>
      <c r="D708" s="13"/>
      <c r="E708" s="13"/>
      <c r="G708" s="13"/>
    </row>
    <row r="709" spans="3:7">
      <c r="C709" s="13"/>
      <c r="D709" s="13"/>
      <c r="E709" s="13"/>
      <c r="G709" s="13"/>
    </row>
    <row r="710" spans="3:7">
      <c r="C710" s="13"/>
      <c r="D710" s="13"/>
      <c r="E710" s="13"/>
      <c r="G710" s="13"/>
    </row>
    <row r="711" spans="3:7">
      <c r="C711" s="13"/>
      <c r="D711" s="13"/>
      <c r="E711" s="13"/>
      <c r="G711" s="13"/>
    </row>
    <row r="712" spans="3:7">
      <c r="C712" s="13"/>
      <c r="D712" s="13"/>
      <c r="E712" s="13"/>
      <c r="G712" s="13"/>
    </row>
    <row r="713" spans="3:7">
      <c r="C713" s="13"/>
      <c r="D713" s="13"/>
      <c r="E713" s="13"/>
      <c r="G713" s="13"/>
    </row>
    <row r="714" spans="3:7">
      <c r="C714" s="23"/>
      <c r="D714" s="13"/>
      <c r="E714" s="13"/>
      <c r="G714" s="13"/>
    </row>
    <row r="715" spans="3:7">
      <c r="C715" s="13"/>
      <c r="D715" s="13"/>
      <c r="E715" s="13"/>
      <c r="G715" s="13"/>
    </row>
    <row r="716" spans="3:7">
      <c r="C716" s="13"/>
      <c r="D716" s="13"/>
      <c r="E716" s="13"/>
      <c r="G716" s="13"/>
    </row>
    <row r="717" spans="3:7">
      <c r="C717" s="13"/>
      <c r="D717" s="13"/>
      <c r="E717" s="13"/>
      <c r="G717" s="13"/>
    </row>
    <row r="718" spans="3:7">
      <c r="C718" s="13"/>
      <c r="D718" s="13"/>
      <c r="E718" s="13"/>
      <c r="G718" s="13"/>
    </row>
    <row r="719" spans="3:7">
      <c r="C719" s="13"/>
      <c r="D719" s="13"/>
      <c r="E719" s="13"/>
      <c r="G719" s="13"/>
    </row>
    <row r="720" spans="3:7">
      <c r="C720" s="13"/>
      <c r="D720" s="13"/>
      <c r="E720" s="13"/>
      <c r="G720" s="13"/>
    </row>
    <row r="721" spans="3:7">
      <c r="C721" s="13"/>
      <c r="D721" s="13"/>
      <c r="E721" s="13"/>
      <c r="G721" s="13"/>
    </row>
    <row r="722" spans="3:7">
      <c r="C722" s="13"/>
      <c r="D722" s="13"/>
      <c r="E722" s="13"/>
      <c r="G722" s="13"/>
    </row>
    <row r="723" spans="3:7">
      <c r="C723" s="13"/>
      <c r="D723" s="13"/>
      <c r="E723" s="13"/>
      <c r="G723" s="13"/>
    </row>
    <row r="724" spans="3:7">
      <c r="C724" s="13"/>
      <c r="D724" s="13"/>
      <c r="E724" s="13"/>
      <c r="G724" s="13"/>
    </row>
    <row r="725" spans="3:7">
      <c r="C725" s="13"/>
      <c r="D725" s="13"/>
      <c r="E725" s="13"/>
      <c r="G725" s="13"/>
    </row>
    <row r="726" spans="3:7">
      <c r="C726" s="13"/>
      <c r="D726" s="13"/>
      <c r="E726" s="13"/>
      <c r="G726" s="13"/>
    </row>
    <row r="727" spans="3:7">
      <c r="C727" s="13"/>
      <c r="D727" s="13"/>
      <c r="E727" s="13"/>
      <c r="G727" s="13"/>
    </row>
    <row r="728" spans="3:7">
      <c r="C728" s="13"/>
      <c r="D728" s="13"/>
      <c r="E728" s="13"/>
      <c r="G728" s="13"/>
    </row>
    <row r="729" spans="3:7">
      <c r="C729" s="13"/>
      <c r="D729" s="13"/>
      <c r="E729" s="13"/>
      <c r="G729" s="13"/>
    </row>
    <row r="730" spans="3:7">
      <c r="C730" s="13"/>
      <c r="D730" s="13"/>
      <c r="E730" s="13"/>
      <c r="G730" s="13"/>
    </row>
    <row r="731" spans="3:7">
      <c r="C731" s="13"/>
      <c r="D731" s="13"/>
      <c r="E731" s="13"/>
      <c r="G731" s="13"/>
    </row>
    <row r="732" spans="3:7">
      <c r="C732" s="13"/>
      <c r="D732" s="13"/>
      <c r="E732" s="13"/>
      <c r="G732" s="13"/>
    </row>
    <row r="733" spans="3:7">
      <c r="C733" s="13"/>
      <c r="D733" s="13"/>
      <c r="E733" s="13"/>
      <c r="G733" s="13"/>
    </row>
    <row r="734" spans="3:7">
      <c r="C734" s="13"/>
      <c r="D734" s="13"/>
      <c r="E734" s="13"/>
      <c r="G734" s="13"/>
    </row>
    <row r="735" spans="3:7">
      <c r="C735" s="13"/>
      <c r="D735" s="13"/>
      <c r="E735" s="13"/>
      <c r="G735" s="13"/>
    </row>
    <row r="736" spans="3:7">
      <c r="C736" s="13"/>
      <c r="D736" s="13"/>
      <c r="E736" s="13"/>
      <c r="G736" s="13"/>
    </row>
    <row r="737" spans="3:7">
      <c r="C737" s="13"/>
      <c r="D737" s="13"/>
      <c r="E737" s="13"/>
      <c r="G737" s="13"/>
    </row>
    <row r="738" spans="3:7">
      <c r="C738" s="13"/>
      <c r="D738" s="13"/>
      <c r="E738" s="13"/>
      <c r="G738" s="13"/>
    </row>
    <row r="739" spans="3:7">
      <c r="C739" s="13"/>
      <c r="D739" s="13"/>
      <c r="E739" s="13"/>
      <c r="G739" s="13"/>
    </row>
    <row r="740" spans="3:7">
      <c r="C740" s="13"/>
      <c r="D740" s="13"/>
      <c r="E740" s="13"/>
      <c r="G740" s="13"/>
    </row>
    <row r="741" spans="3:7">
      <c r="C741" s="13"/>
      <c r="D741" s="13"/>
      <c r="E741" s="13"/>
      <c r="G741" s="13"/>
    </row>
    <row r="742" spans="3:7">
      <c r="C742" s="13"/>
      <c r="D742" s="13"/>
      <c r="E742" s="13"/>
      <c r="G742" s="13"/>
    </row>
    <row r="743" spans="3:7">
      <c r="C743" s="13"/>
      <c r="D743" s="13"/>
      <c r="E743" s="13"/>
      <c r="G743" s="13"/>
    </row>
    <row r="744" spans="3:7">
      <c r="C744" s="13"/>
      <c r="D744" s="13"/>
      <c r="E744" s="13"/>
      <c r="G744" s="13"/>
    </row>
    <row r="745" spans="3:7">
      <c r="C745" s="13"/>
      <c r="D745" s="13"/>
      <c r="E745" s="13"/>
      <c r="G745" s="13"/>
    </row>
    <row r="746" spans="3:7">
      <c r="C746" s="13"/>
      <c r="D746" s="13"/>
      <c r="E746" s="13"/>
      <c r="G746" s="13"/>
    </row>
    <row r="747" spans="3:7">
      <c r="C747" s="13"/>
      <c r="D747" s="13"/>
      <c r="E747" s="13"/>
      <c r="G747" s="13"/>
    </row>
    <row r="748" spans="3:7">
      <c r="C748" s="13"/>
      <c r="D748" s="13"/>
      <c r="E748" s="13"/>
      <c r="G748" s="13"/>
    </row>
    <row r="749" spans="3:7">
      <c r="C749" s="13"/>
      <c r="D749" s="13"/>
      <c r="E749" s="13"/>
      <c r="G749" s="13"/>
    </row>
    <row r="750" spans="3:7">
      <c r="C750" s="13"/>
      <c r="D750" s="13"/>
      <c r="E750" s="13"/>
      <c r="G750" s="13"/>
    </row>
    <row r="751" spans="3:7">
      <c r="C751" s="13"/>
      <c r="D751" s="13"/>
      <c r="E751" s="13"/>
      <c r="G751" s="13"/>
    </row>
    <row r="752" spans="3:7">
      <c r="C752" s="13"/>
      <c r="D752" s="13"/>
      <c r="E752" s="13"/>
      <c r="G752" s="13"/>
    </row>
    <row r="753" spans="3:7">
      <c r="C753" s="13"/>
      <c r="D753" s="13"/>
      <c r="E753" s="13"/>
      <c r="G753" s="13"/>
    </row>
    <row r="754" spans="3:7">
      <c r="C754" s="13"/>
      <c r="D754" s="13"/>
      <c r="E754" s="13"/>
      <c r="G754" s="13"/>
    </row>
    <row r="755" spans="3:7">
      <c r="C755" s="13"/>
      <c r="D755" s="13"/>
      <c r="E755" s="13"/>
      <c r="G755" s="13"/>
    </row>
    <row r="756" spans="3:7">
      <c r="C756" s="13"/>
      <c r="D756" s="13"/>
      <c r="E756" s="13"/>
      <c r="G756" s="13"/>
    </row>
    <row r="757" spans="3:7">
      <c r="C757" s="13"/>
      <c r="D757" s="13"/>
      <c r="E757" s="13"/>
      <c r="G757" s="13"/>
    </row>
    <row r="758" spans="3:7">
      <c r="C758" s="13"/>
      <c r="D758" s="13"/>
      <c r="E758" s="13"/>
      <c r="G758" s="13"/>
    </row>
    <row r="759" spans="3:7">
      <c r="C759" s="13"/>
      <c r="D759" s="13"/>
      <c r="E759" s="13"/>
      <c r="G759" s="13"/>
    </row>
    <row r="760" spans="3:7">
      <c r="C760" s="13"/>
      <c r="D760" s="13"/>
      <c r="E760" s="13"/>
      <c r="G760" s="13"/>
    </row>
    <row r="761" spans="3:7">
      <c r="C761" s="13"/>
      <c r="D761" s="13"/>
      <c r="E761" s="13"/>
      <c r="G761" s="13"/>
    </row>
    <row r="762" spans="3:7">
      <c r="C762" s="13"/>
      <c r="D762" s="13"/>
      <c r="E762" s="13"/>
      <c r="G762" s="13"/>
    </row>
    <row r="763" spans="3:7">
      <c r="C763" s="13"/>
      <c r="D763" s="13"/>
      <c r="E763" s="13"/>
      <c r="G763" s="13"/>
    </row>
    <row r="764" spans="3:7">
      <c r="C764" s="13"/>
      <c r="D764" s="13"/>
      <c r="E764" s="13"/>
      <c r="G764" s="13"/>
    </row>
    <row r="765" spans="3:7">
      <c r="C765" s="13"/>
      <c r="D765" s="13"/>
      <c r="E765" s="13"/>
      <c r="G765" s="13"/>
    </row>
    <row r="766" spans="3:7">
      <c r="C766" s="13"/>
      <c r="D766" s="13"/>
      <c r="E766" s="13"/>
      <c r="G766" s="13"/>
    </row>
    <row r="767" spans="3:7">
      <c r="C767" s="13"/>
      <c r="D767" s="13"/>
      <c r="E767" s="13"/>
      <c r="G767" s="13"/>
    </row>
    <row r="768" spans="3:7">
      <c r="C768" s="13"/>
      <c r="D768" s="13"/>
      <c r="E768" s="13"/>
      <c r="G768" s="13"/>
    </row>
    <row r="769" spans="3:7">
      <c r="C769" s="13"/>
      <c r="D769" s="13"/>
      <c r="E769" s="13"/>
      <c r="G769" s="13"/>
    </row>
    <row r="770" spans="3:7">
      <c r="C770" s="13"/>
      <c r="D770" s="13"/>
      <c r="E770" s="13"/>
      <c r="G770" s="13"/>
    </row>
    <row r="771" spans="3:7">
      <c r="C771" s="13"/>
      <c r="D771" s="13"/>
      <c r="E771" s="13"/>
      <c r="G771" s="13"/>
    </row>
    <row r="772" spans="3:7">
      <c r="C772" s="13"/>
      <c r="D772" s="13"/>
      <c r="E772" s="13"/>
      <c r="G772" s="13"/>
    </row>
    <row r="773" spans="3:7">
      <c r="C773" s="13"/>
      <c r="D773" s="13"/>
      <c r="E773" s="13"/>
      <c r="G773" s="13"/>
    </row>
    <row r="774" spans="3:7">
      <c r="C774" s="13"/>
      <c r="D774" s="13"/>
      <c r="E774" s="13"/>
      <c r="G774" s="13"/>
    </row>
    <row r="775" spans="3:7">
      <c r="C775" s="13"/>
      <c r="D775" s="13"/>
      <c r="E775" s="13"/>
      <c r="G775" s="13"/>
    </row>
    <row r="776" spans="3:7">
      <c r="C776" s="13"/>
      <c r="D776" s="13"/>
      <c r="E776" s="13"/>
      <c r="G776" s="13"/>
    </row>
    <row r="777" spans="3:7">
      <c r="C777" s="13"/>
      <c r="D777" s="13"/>
      <c r="E777" s="13"/>
      <c r="G777" s="13"/>
    </row>
    <row r="778" spans="3:7">
      <c r="C778" s="13"/>
      <c r="D778" s="13"/>
      <c r="E778" s="13"/>
      <c r="G778" s="13"/>
    </row>
    <row r="779" spans="3:7">
      <c r="C779" s="13"/>
      <c r="D779" s="13"/>
      <c r="E779" s="13"/>
      <c r="G779" s="13"/>
    </row>
    <row r="780" spans="3:7">
      <c r="C780" s="13"/>
      <c r="D780" s="13"/>
      <c r="E780" s="13"/>
      <c r="G780" s="13"/>
    </row>
    <row r="781" spans="3:7">
      <c r="C781" s="13"/>
      <c r="D781" s="13"/>
      <c r="E781" s="13"/>
      <c r="G781" s="13"/>
    </row>
    <row r="782" spans="3:7">
      <c r="C782" s="13"/>
      <c r="D782" s="13"/>
      <c r="E782" s="13"/>
      <c r="G782" s="13"/>
    </row>
    <row r="783" spans="3:7">
      <c r="C783" s="13"/>
      <c r="D783" s="13"/>
      <c r="E783" s="13"/>
      <c r="G783" s="13"/>
    </row>
    <row r="784" spans="3:7">
      <c r="C784" s="13"/>
      <c r="D784" s="13"/>
      <c r="E784" s="13"/>
      <c r="G784" s="13"/>
    </row>
    <row r="785" spans="3:7">
      <c r="C785" s="13"/>
      <c r="D785" s="13"/>
      <c r="E785" s="13"/>
      <c r="G785" s="13"/>
    </row>
    <row r="786" spans="3:7">
      <c r="C786" s="13"/>
      <c r="D786" s="13"/>
      <c r="E786" s="13"/>
      <c r="G786" s="13"/>
    </row>
    <row r="787" spans="3:7">
      <c r="C787" s="13"/>
      <c r="D787" s="13"/>
      <c r="E787" s="13"/>
      <c r="G787" s="13"/>
    </row>
    <row r="788" spans="3:7">
      <c r="C788" s="13"/>
      <c r="D788" s="13"/>
      <c r="E788" s="13"/>
      <c r="G788" s="13"/>
    </row>
    <row r="807" spans="3:7">
      <c r="G807" s="7"/>
    </row>
    <row r="812" spans="3:7">
      <c r="C812" s="15"/>
    </row>
    <row r="814" spans="3:7">
      <c r="C814" s="23"/>
    </row>
    <row r="815" spans="3:7">
      <c r="C815" s="23"/>
    </row>
    <row r="816" spans="3:7">
      <c r="C816" s="23"/>
    </row>
    <row r="817" spans="3:7">
      <c r="C817" s="92"/>
      <c r="D817" s="92"/>
      <c r="E817" s="92"/>
      <c r="G817" s="92"/>
    </row>
    <row r="821" spans="3:7">
      <c r="C821" s="23"/>
    </row>
    <row r="826" spans="3:7">
      <c r="G826" s="7"/>
    </row>
    <row r="842" spans="3:7" ht="15.6">
      <c r="C842" s="91"/>
    </row>
    <row r="844" spans="3:7">
      <c r="C844" s="9"/>
      <c r="E844" s="5"/>
      <c r="G844" s="5"/>
    </row>
    <row r="845" spans="3:7">
      <c r="C845" s="23"/>
      <c r="E845" s="5"/>
      <c r="G845" s="5"/>
    </row>
    <row r="847" spans="3:7">
      <c r="C847" s="13"/>
      <c r="D847" s="13"/>
      <c r="E847" s="13"/>
      <c r="G847" s="13"/>
    </row>
    <row r="849" spans="3:7">
      <c r="C849" s="15"/>
    </row>
    <row r="851" spans="3:7">
      <c r="C851" s="9"/>
      <c r="G851" s="5"/>
    </row>
    <row r="852" spans="3:7">
      <c r="C852" s="23"/>
    </row>
    <row r="854" spans="3:7">
      <c r="C854" s="15"/>
    </row>
    <row r="855" spans="3:7">
      <c r="C855" s="23"/>
    </row>
    <row r="856" spans="3:7">
      <c r="C856" s="23"/>
    </row>
    <row r="859" spans="3:7" ht="14.4">
      <c r="C859" s="6"/>
      <c r="D859" s="6"/>
    </row>
    <row r="860" spans="3:7" ht="14.4">
      <c r="D860" s="6"/>
    </row>
    <row r="861" spans="3:7" ht="14.4">
      <c r="C861" s="6"/>
      <c r="D861" s="6"/>
    </row>
    <row r="862" spans="3:7" ht="14.4">
      <c r="C862" s="23"/>
      <c r="D862" s="6"/>
    </row>
    <row r="863" spans="3:7">
      <c r="C863" s="290"/>
    </row>
    <row r="864" spans="3:7">
      <c r="C864"/>
    </row>
    <row r="865" spans="3:4">
      <c r="C865" s="23"/>
    </row>
    <row r="866" spans="3:4">
      <c r="C866" s="23"/>
    </row>
    <row r="867" spans="3:4">
      <c r="C867" s="23"/>
    </row>
    <row r="868" spans="3:4">
      <c r="C868" s="291"/>
    </row>
    <row r="869" spans="3:4">
      <c r="C869" s="23"/>
    </row>
    <row r="870" spans="3:4" ht="15.6">
      <c r="C870" s="55"/>
    </row>
    <row r="871" spans="3:4">
      <c r="C871" s="23"/>
      <c r="D871" s="92"/>
    </row>
    <row r="872" spans="3:4">
      <c r="C872" s="23"/>
      <c r="D872" s="92"/>
    </row>
    <row r="873" spans="3:4">
      <c r="C873" s="291"/>
      <c r="D873" s="92"/>
    </row>
    <row r="874" spans="3:4">
      <c r="C874" s="23"/>
      <c r="D874" s="92"/>
    </row>
    <row r="875" spans="3:4">
      <c r="C875" s="291"/>
      <c r="D875" s="92"/>
    </row>
  </sheetData>
  <protectedRanges>
    <protectedRange algorithmName="SHA-512" hashValue="0MX2HNVIrjO4B8P2J9XDr3kLs3KDiFqKjWCCKh5VVgUaDhGUp36NC8PfPNFOBK3LzN/jD6R9QKvyDBm3EuZYmQ==" saltValue="JXQNO2vu76darqOxQxKefA==" spinCount="100000" sqref="C168" name="Range1_1"/>
  </protectedRanges>
  <phoneticPr fontId="19" type="noConversion"/>
  <conditionalFormatting sqref="A106:A125 A1:A104 A127:A1048576">
    <cfRule type="duplicateValues" dxfId="248" priority="9"/>
  </conditionalFormatting>
  <conditionalFormatting sqref="C168">
    <cfRule type="expression" dxfId="247" priority="5">
      <formula>#REF!="THIS PO HAS BEEN SHIPPED BEFORE, PLEASE CHECK BEFORE PROCEEDING"</formula>
    </cfRule>
  </conditionalFormatting>
  <conditionalFormatting sqref="C802">
    <cfRule type="duplicateValues" dxfId="246" priority="3"/>
    <cfRule type="duplicateValues" dxfId="245" priority="4"/>
  </conditionalFormatting>
  <conditionalFormatting sqref="C818">
    <cfRule type="duplicateValues" dxfId="244" priority="1"/>
    <cfRule type="duplicateValues" dxfId="243" priority="2"/>
  </conditionalFormatting>
  <conditionalFormatting sqref="C876:C1048576 C1:C4 C11 C77:C102 C106:C120 C122:C125 E3 G3 C127:C162 C164:C167 C169:C181 C182:D182 C183:C234 C260:C713 D259:F259 C803:C811 C813 C819 C822:C841 C715:C801 C236:C258 C843 C846:C848 C850 C853 C857:C858">
    <cfRule type="duplicateValues" dxfId="242" priority="793"/>
  </conditionalFormatting>
  <conditionalFormatting sqref="C876:C1048576 C164:C167 C1:C22 C25:C162 C169:C181 C182:D182 C183:C234 C260:C713 D259:F259 C803:C811 C813 C819 C822:C841 C715:C801 C236:C258 C843:C844 C846:C848 C850:C851 C853 C857:C858">
    <cfRule type="duplicateValues" dxfId="241" priority="6"/>
  </conditionalFormatting>
  <conditionalFormatting sqref="G164:G236 G238:G500 G1:G22 G25:G162 G818:G1048576 G502:G816">
    <cfRule type="duplicateValues" dxfId="240" priority="7"/>
  </conditionalFormatting>
  <dataValidations count="6">
    <dataValidation allowBlank="1" showInputMessage="1" showErrorMessage="1" error=" " promptTitle="Lookup" prompt="This Establishment record must already exist in Microsoft Dynamics 365 or in this source file." sqref="C265:C713 C715:C749 C847" xr:uid="{6F0C0FF1-2BA8-4A34-8C8F-24BF4EA68CB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G847 D502:D788 D847 D265:D500 G265:G500 G502:G788" xr:uid="{D7ADC194-D21D-42E1-B28B-F9B659B68A3D}">
      <formula1>100</formula1>
    </dataValidation>
    <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E847 E265:E500 E502:E788" xr:uid="{8FBF52AE-0987-4C64-A9B3-DC05521CBBD9}">
      <formula1>30</formula1>
    </dataValidation>
    <dataValidation type="textLength" operator="lessThanOrEqual" showInputMessage="1" showErrorMessage="1" errorTitle="Length Exceeded" error="This value must be less than or equal to 250 characters long." promptTitle="Text (required)" prompt="Maximum Length: 250 characters." sqref="C750:C788" xr:uid="{494FC105-E037-4D87-B6C7-B4E55C33DAF2}">
      <formula1>250</formula1>
    </dataValidation>
    <dataValidation type="list" allowBlank="1" showInputMessage="1" showErrorMessage="1" sqref="B25:B125 C860 B127:B1048576 B1:B23" xr:uid="{DAE6C8F7-1758-45D4-BDA4-C5DA13BA0586}">
      <formula1>"B2B -LPs, Provincial Distributor, Provincial Retailer "</formula1>
    </dataValidation>
    <dataValidation allowBlank="1" showInputMessage="1" showErrorMessage="1" sqref="C125 C83:C85" xr:uid="{5CBD66F2-3404-4F19-AE7C-BB0D1B65C801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8772-695C-4B73-84E9-B6B7658C5FFB}">
  <sheetPr published="0" codeName="Sheet6"/>
  <dimension ref="A1:CD92"/>
  <sheetViews>
    <sheetView workbookViewId="0">
      <pane ySplit="1" topLeftCell="A2" activePane="bottomLeft" state="frozen"/>
      <selection activeCell="C11" sqref="C11:C17"/>
      <selection pane="bottomLeft" activeCell="E14" sqref="E14"/>
    </sheetView>
  </sheetViews>
  <sheetFormatPr defaultColWidth="8.44140625" defaultRowHeight="13.8"/>
  <cols>
    <col min="1" max="1" width="42.44140625" style="24" customWidth="1"/>
    <col min="2" max="2" width="72.44140625" style="24" bestFit="1" customWidth="1"/>
    <col min="3" max="3" width="26.44140625" style="24" bestFit="1" customWidth="1"/>
    <col min="4" max="4" width="95.44140625" style="24" bestFit="1" customWidth="1"/>
    <col min="5" max="5" width="16" style="36" bestFit="1" customWidth="1"/>
    <col min="6" max="6" width="17" style="36" bestFit="1" customWidth="1"/>
    <col min="7" max="8" width="20.44140625" style="37" bestFit="1" customWidth="1"/>
  </cols>
  <sheetData>
    <row r="1" spans="1:82" s="5" customFormat="1">
      <c r="A1" s="30" t="s">
        <v>294</v>
      </c>
      <c r="B1" s="30" t="s">
        <v>295</v>
      </c>
      <c r="C1" s="30" t="s">
        <v>296</v>
      </c>
      <c r="D1" s="30" t="s">
        <v>297</v>
      </c>
      <c r="E1" s="35" t="s">
        <v>298</v>
      </c>
      <c r="F1" s="35" t="s">
        <v>299</v>
      </c>
      <c r="G1" s="35" t="s">
        <v>300</v>
      </c>
      <c r="H1" s="35" t="s">
        <v>301</v>
      </c>
    </row>
    <row r="2" spans="1:82">
      <c r="A2" s="24" t="s">
        <v>215</v>
      </c>
      <c r="B2" s="24" t="s">
        <v>302</v>
      </c>
      <c r="C2" s="24" t="s">
        <v>303</v>
      </c>
      <c r="D2" s="24" t="str">
        <f>B2&amp;"_"&amp;C2</f>
        <v>bath salt SPA 180 gram_topical_labelled</v>
      </c>
      <c r="E2" s="36">
        <v>13</v>
      </c>
      <c r="H2" s="37">
        <v>172</v>
      </c>
    </row>
    <row r="3" spans="1:82">
      <c r="A3" s="24" t="s">
        <v>236</v>
      </c>
      <c r="B3" s="24" t="s">
        <v>236</v>
      </c>
      <c r="C3" s="24" t="s">
        <v>304</v>
      </c>
      <c r="D3" s="24" t="str">
        <f>B3&amp;"_"&amp;C3</f>
        <v>CBD Bacon Oil 10 mg 27.3g_extract_ingested_labelled</v>
      </c>
      <c r="E3" s="36">
        <v>17</v>
      </c>
    </row>
    <row r="4" spans="1:82">
      <c r="A4" s="24" t="s">
        <v>218</v>
      </c>
      <c r="B4" s="24" t="s">
        <v>305</v>
      </c>
      <c r="C4" s="24" t="s">
        <v>306</v>
      </c>
      <c r="D4" s="24" t="str">
        <f>B4&amp;"_"&amp;C4</f>
        <v>CBD Neem Cream 120g_extract_topical_labelled_RTV</v>
      </c>
      <c r="E4" s="36">
        <v>139</v>
      </c>
    </row>
    <row r="5" spans="1:82">
      <c r="A5" s="24" t="s">
        <v>240</v>
      </c>
      <c r="B5" s="24" t="s">
        <v>307</v>
      </c>
      <c r="C5" s="24" t="s">
        <v>308</v>
      </c>
      <c r="D5" s="24" t="str">
        <f>B5&amp;"_"&amp;C5</f>
        <v>Chronic Mint preroll 1 x 1g_preroll_labelled</v>
      </c>
      <c r="E5" s="36">
        <v>24</v>
      </c>
      <c r="H5" s="37">
        <v>25</v>
      </c>
    </row>
    <row r="6" spans="1:82">
      <c r="A6" s="24" t="s">
        <v>223</v>
      </c>
      <c r="B6" s="24" t="s">
        <v>309</v>
      </c>
      <c r="C6" s="24" t="s">
        <v>308</v>
      </c>
      <c r="D6" s="24" t="str">
        <f>B6&amp;"_"&amp;C6</f>
        <v>Chronic Mint preroll 3 x 0.5g_preroll_labelled</v>
      </c>
      <c r="E6" s="36">
        <v>26</v>
      </c>
    </row>
    <row r="7" spans="1:82">
      <c r="A7" s="24" t="s">
        <v>234</v>
      </c>
      <c r="B7" s="24" t="s">
        <v>310</v>
      </c>
      <c r="C7" s="24" t="s">
        <v>303</v>
      </c>
      <c r="D7" s="24" t="str">
        <f>B7&amp;"_"&amp;C7</f>
        <v>Extra Strength Roll-on 88g_topical_labelled</v>
      </c>
      <c r="E7" s="36">
        <v>31</v>
      </c>
    </row>
    <row r="8" spans="1:82">
      <c r="A8" s="24" t="s">
        <v>230</v>
      </c>
      <c r="B8" s="24" t="s">
        <v>311</v>
      </c>
      <c r="C8" s="24" t="s">
        <v>308</v>
      </c>
      <c r="D8" s="24" t="str">
        <f>B8&amp;"_"&amp;C8</f>
        <v>Galactic Cake preroll 1 x 1g_preroll_labelled</v>
      </c>
      <c r="E8" s="36">
        <v>34</v>
      </c>
      <c r="F8" s="36">
        <v>114</v>
      </c>
      <c r="H8" s="37">
        <v>35</v>
      </c>
    </row>
    <row r="9" spans="1:82">
      <c r="A9" s="24" t="s">
        <v>225</v>
      </c>
      <c r="B9" s="24" t="s">
        <v>312</v>
      </c>
      <c r="C9" s="24" t="s">
        <v>308</v>
      </c>
      <c r="D9" s="24" t="str">
        <f>B9&amp;"_"&amp;C9</f>
        <v>Galactic Cake preroll 3 x 0.5g_preroll_labelled</v>
      </c>
      <c r="E9" s="36">
        <v>36</v>
      </c>
      <c r="F9" s="36">
        <v>115</v>
      </c>
    </row>
    <row r="10" spans="1:82">
      <c r="A10" s="24" t="s">
        <v>233</v>
      </c>
      <c r="B10" s="24" t="s">
        <v>313</v>
      </c>
      <c r="C10" s="24" t="s">
        <v>314</v>
      </c>
      <c r="D10" s="24" t="str">
        <f>B10&amp;"_"&amp;C10</f>
        <v>Gelato dried flower 14g_driedflower_labelled</v>
      </c>
      <c r="E10" s="36">
        <v>38</v>
      </c>
      <c r="F10" s="36">
        <v>116</v>
      </c>
      <c r="H10" s="37">
        <v>37</v>
      </c>
    </row>
    <row r="11" spans="1:82">
      <c r="A11" s="24" t="s">
        <v>217</v>
      </c>
      <c r="B11" s="24" t="s">
        <v>315</v>
      </c>
      <c r="C11" s="24" t="s">
        <v>308</v>
      </c>
      <c r="D11" s="24" t="str">
        <f>B11&amp;"_"&amp;C11</f>
        <v>Gelato preroll 1 x 1g_preroll_labelled</v>
      </c>
      <c r="E11" s="36">
        <v>44</v>
      </c>
      <c r="H11" s="37">
        <v>45</v>
      </c>
    </row>
    <row r="12" spans="1:82">
      <c r="A12" s="24" t="s">
        <v>241</v>
      </c>
      <c r="B12" s="24" t="s">
        <v>316</v>
      </c>
      <c r="C12" s="24" t="s">
        <v>308</v>
      </c>
      <c r="D12" s="24" t="str">
        <f>B12&amp;"_"&amp;C12</f>
        <v>Gelato preroll 3 x 0.5g_preroll_labelled</v>
      </c>
      <c r="E12" s="36">
        <v>46</v>
      </c>
      <c r="H12" s="37">
        <v>43</v>
      </c>
    </row>
    <row r="13" spans="1:82">
      <c r="A13" s="24" t="s">
        <v>224</v>
      </c>
      <c r="B13" s="24" t="s">
        <v>317</v>
      </c>
      <c r="C13" s="24" t="s">
        <v>308</v>
      </c>
      <c r="D13" s="24" t="str">
        <f>B13&amp;"_"&amp;C13</f>
        <v>Gorilla Bomb preroll 0.5g_preroll_labelled</v>
      </c>
      <c r="E13" s="36">
        <v>130</v>
      </c>
      <c r="F13" s="36">
        <v>52</v>
      </c>
      <c r="H13" s="37">
        <v>49</v>
      </c>
    </row>
    <row r="14" spans="1:82">
      <c r="A14" s="24" t="s">
        <v>232</v>
      </c>
      <c r="B14" s="24" t="s">
        <v>318</v>
      </c>
      <c r="C14" s="24" t="s">
        <v>308</v>
      </c>
      <c r="D14" s="24" t="str">
        <f>B14&amp;"_"&amp;C14</f>
        <v>Gorilla Bomb preroll 1 x 1g_preroll_labelled</v>
      </c>
      <c r="E14" s="36">
        <v>50</v>
      </c>
      <c r="F14" s="36">
        <v>117</v>
      </c>
      <c r="H14" s="37">
        <v>51</v>
      </c>
    </row>
    <row r="15" spans="1:82" s="24" customFormat="1">
      <c r="A15" s="24" t="s">
        <v>228</v>
      </c>
      <c r="B15" s="24" t="s">
        <v>319</v>
      </c>
      <c r="C15" s="24" t="s">
        <v>308</v>
      </c>
      <c r="D15" s="24" t="str">
        <f>B15&amp;"_"&amp;C15</f>
        <v>Grease Monkey preroll 1 x 1g_preroll_labelled</v>
      </c>
      <c r="E15" s="36">
        <v>57</v>
      </c>
      <c r="F15" s="36"/>
      <c r="G15" s="37"/>
      <c r="H15" s="37">
        <v>58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</row>
    <row r="16" spans="1:82" s="24" customFormat="1">
      <c r="A16" s="24" t="s">
        <v>226</v>
      </c>
      <c r="B16" s="24" t="s">
        <v>320</v>
      </c>
      <c r="C16" s="24" t="s">
        <v>308</v>
      </c>
      <c r="D16" s="24" t="str">
        <f>B16&amp;"_"&amp;C16</f>
        <v>Grease Monkey preroll 3 x 0.5g_preroll_labelled</v>
      </c>
      <c r="E16" s="36">
        <v>59</v>
      </c>
      <c r="F16" s="36">
        <v>119</v>
      </c>
      <c r="G16" s="37"/>
      <c r="H16" s="37">
        <v>56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 spans="5:82" s="24" customFormat="1">
      <c r="E17" s="36"/>
      <c r="F17" s="36"/>
      <c r="G17" s="37"/>
      <c r="H17" s="3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</row>
    <row r="18" spans="5:82" s="24" customFormat="1">
      <c r="E18" s="36"/>
      <c r="F18" s="36"/>
      <c r="G18" s="37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 spans="5:82" s="24" customFormat="1">
      <c r="E19" s="36"/>
      <c r="F19" s="36"/>
      <c r="G19" s="37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 spans="5:82" s="24" customFormat="1">
      <c r="E20" s="36"/>
      <c r="F20" s="36"/>
      <c r="G20" s="37"/>
      <c r="H20" s="3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</row>
    <row r="32" spans="5:82" s="24" customFormat="1">
      <c r="E32" s="36"/>
      <c r="F32" s="36"/>
      <c r="G32" s="37"/>
      <c r="H32" s="3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</row>
    <row r="33" spans="2:82" s="24" customFormat="1">
      <c r="B33" s="34"/>
      <c r="E33" s="36"/>
      <c r="F33" s="36"/>
      <c r="G33" s="37"/>
      <c r="H33" s="3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</row>
    <row r="34" spans="2:82" s="24" customFormat="1">
      <c r="E34" s="36"/>
      <c r="F34" s="36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</row>
    <row r="35" spans="2:82" s="24" customFormat="1">
      <c r="E35" s="36"/>
      <c r="F35" s="36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</row>
    <row r="36" spans="2:82" s="24" customFormat="1">
      <c r="E36" s="36"/>
      <c r="F36" s="36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</row>
    <row r="37" spans="2:82" s="24" customFormat="1">
      <c r="E37" s="36"/>
      <c r="F37" s="36"/>
      <c r="G37" s="37"/>
      <c r="H37" s="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</row>
    <row r="38" spans="2:82" s="24" customFormat="1">
      <c r="E38" s="36"/>
      <c r="F38" s="36"/>
      <c r="G38" s="37"/>
      <c r="H38" s="37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 spans="2:82" s="24" customFormat="1">
      <c r="E39" s="36"/>
      <c r="F39" s="36"/>
      <c r="G39" s="37"/>
      <c r="H39" s="37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 spans="2:82" s="24" customFormat="1">
      <c r="E40" s="36"/>
      <c r="F40" s="36"/>
      <c r="G40" s="37"/>
      <c r="H40" s="37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 spans="2:82" s="24" customFormat="1">
      <c r="E41" s="36"/>
      <c r="F41" s="36"/>
      <c r="G41" s="37"/>
      <c r="H41" s="37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 spans="2:82" s="24" customFormat="1">
      <c r="E42" s="36"/>
      <c r="F42" s="36"/>
      <c r="G42" s="37"/>
      <c r="H42" s="37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 spans="2:82" s="24" customFormat="1">
      <c r="E43" s="36"/>
      <c r="F43" s="36"/>
      <c r="G43" s="37"/>
      <c r="H43" s="37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 spans="2:82" s="24" customFormat="1">
      <c r="E44" s="36"/>
      <c r="F44" s="36"/>
      <c r="G44" s="37"/>
      <c r="H44" s="37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2:82" s="24" customFormat="1">
      <c r="E45" s="36"/>
      <c r="F45" s="36"/>
      <c r="G45" s="37"/>
      <c r="H45" s="37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 spans="2:82" s="24" customFormat="1">
      <c r="E46" s="36"/>
      <c r="F46" s="36"/>
      <c r="G46" s="37"/>
      <c r="H46" s="37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 spans="2:82" s="24" customFormat="1">
      <c r="E47" s="36"/>
      <c r="F47" s="36"/>
      <c r="G47" s="37"/>
      <c r="H47" s="3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 spans="2:82" s="24" customFormat="1">
      <c r="E48" s="36"/>
      <c r="F48" s="36"/>
      <c r="G48" s="37"/>
      <c r="H48" s="37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 spans="5:82" s="24" customFormat="1">
      <c r="E49" s="36"/>
      <c r="F49" s="36"/>
      <c r="G49" s="37"/>
      <c r="H49" s="37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 spans="5:82" s="24" customFormat="1">
      <c r="E50" s="36"/>
      <c r="F50" s="36"/>
      <c r="G50" s="37"/>
      <c r="H50" s="37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89" spans="8:8">
      <c r="H89" s="36"/>
    </row>
    <row r="90" spans="8:8">
      <c r="H90" s="36"/>
    </row>
    <row r="92" spans="8:8">
      <c r="H92" s="36"/>
    </row>
  </sheetData>
  <phoneticPr fontId="19" type="noConversion"/>
  <conditionalFormatting sqref="A1:A32 A34:A1048576">
    <cfRule type="duplicateValues" dxfId="239" priority="3"/>
  </conditionalFormatting>
  <conditionalFormatting sqref="H1:H1048576 F1:F1048576 E1:E88 E100:E1048576 E91 D1:D93 D95:D1048576">
    <cfRule type="duplicateValues" dxfId="238" priority="330"/>
  </conditionalFormatting>
  <conditionalFormatting sqref="G1:G1048576">
    <cfRule type="duplicateValues" dxfId="237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37FB64-209C-4CBC-B4BB-53B5F60E4FED}">
          <x14:formula1>
            <xm:f>#REF!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4F57-84C7-4E92-9A58-08AAD8EA13F5}">
  <sheetPr published="0"/>
  <dimension ref="A1:I317"/>
  <sheetViews>
    <sheetView workbookViewId="0">
      <pane ySplit="1" topLeftCell="A2" activePane="bottomLeft" state="frozen"/>
      <selection activeCell="C1" sqref="C1"/>
      <selection pane="bottomLeft" activeCell="B12" sqref="B12"/>
    </sheetView>
  </sheetViews>
  <sheetFormatPr defaultRowHeight="13.8"/>
  <cols>
    <col min="1" max="1" width="29.44140625" style="24" customWidth="1"/>
    <col min="2" max="2" width="72.77734375" style="24" bestFit="1" customWidth="1"/>
    <col min="3" max="3" width="34.109375" style="24" bestFit="1" customWidth="1"/>
    <col min="4" max="4" width="59.109375" style="24" customWidth="1"/>
    <col min="5" max="5" width="15.109375" style="24" bestFit="1" customWidth="1"/>
  </cols>
  <sheetData>
    <row r="1" spans="1:5" s="5" customFormat="1">
      <c r="A1" s="30" t="s">
        <v>284</v>
      </c>
      <c r="B1" s="30" t="s">
        <v>335</v>
      </c>
      <c r="C1" s="30" t="s">
        <v>336</v>
      </c>
      <c r="D1" s="30" t="s">
        <v>297</v>
      </c>
      <c r="E1" s="30" t="s">
        <v>337</v>
      </c>
    </row>
    <row r="2" spans="1:5">
      <c r="B2" s="24" t="s">
        <v>338</v>
      </c>
      <c r="C2" s="24" t="s">
        <v>339</v>
      </c>
      <c r="D2" s="24" t="str">
        <f>B2&amp;"_"&amp;C2</f>
        <v>unknown dried flower_driedflower_unknown</v>
      </c>
      <c r="E2" s="24">
        <v>1</v>
      </c>
    </row>
    <row r="3" spans="1:5">
      <c r="B3" s="24" t="s">
        <v>340</v>
      </c>
      <c r="C3" s="24" t="s">
        <v>304</v>
      </c>
      <c r="D3" s="24" t="str">
        <f t="shared" ref="D3:D13" si="0">B3&amp;"_"&amp;C3</f>
        <v>20:1 Mango CBD:THC extract 29.5g_extract_ingested_labelled</v>
      </c>
      <c r="E3" s="24">
        <v>2</v>
      </c>
    </row>
    <row r="4" spans="1:5">
      <c r="B4" s="24" t="s">
        <v>341</v>
      </c>
      <c r="C4" s="24" t="s">
        <v>304</v>
      </c>
      <c r="D4" s="24" t="str">
        <f t="shared" si="0"/>
        <v>4:1 Black Cherry CBD:THC extract 29.5g_extract_ingested_labelled</v>
      </c>
      <c r="E4" s="24">
        <v>3</v>
      </c>
    </row>
    <row r="5" spans="1:5">
      <c r="B5" s="24" t="s">
        <v>342</v>
      </c>
      <c r="C5" s="24" t="s">
        <v>343</v>
      </c>
      <c r="D5" s="24" t="str">
        <f t="shared" si="0"/>
        <v>Abby Leaf Inc Licorish Gumball dried flower_driedflower_bulk_BURB</v>
      </c>
      <c r="E5" s="24">
        <v>4</v>
      </c>
    </row>
    <row r="6" spans="1:5">
      <c r="B6" s="24" t="s">
        <v>344</v>
      </c>
      <c r="C6" s="24" t="s">
        <v>343</v>
      </c>
      <c r="D6" s="24" t="str">
        <f t="shared" si="0"/>
        <v>Abby Leaf Inc Unicorn Poop Grade _driedflower_bulk_BURB</v>
      </c>
      <c r="E6" s="24">
        <v>5</v>
      </c>
    </row>
    <row r="7" spans="1:5">
      <c r="B7" s="24" t="s">
        <v>345</v>
      </c>
      <c r="C7" s="24" t="s">
        <v>346</v>
      </c>
      <c r="D7" s="24" t="str">
        <f t="shared" si="0"/>
        <v>Animal Cookies dried flower 3.5 g_driedflower_packaged</v>
      </c>
      <c r="E7" s="24">
        <v>6</v>
      </c>
    </row>
    <row r="8" spans="1:5">
      <c r="B8" s="24" t="s">
        <v>347</v>
      </c>
      <c r="C8" s="24" t="s">
        <v>304</v>
      </c>
      <c r="D8" s="24" t="str">
        <f t="shared" si="0"/>
        <v>Aum CBD oil 27.4g_extract_ingested_labelled</v>
      </c>
      <c r="E8" s="24">
        <v>7</v>
      </c>
    </row>
    <row r="9" spans="1:5">
      <c r="B9" s="24" t="s">
        <v>348</v>
      </c>
      <c r="C9" s="24" t="s">
        <v>349</v>
      </c>
      <c r="D9" s="24" t="str">
        <f t="shared" si="0"/>
        <v>Backforty Blends Glacial Gold Clay Face Mask_topical_labelled_RTV</v>
      </c>
      <c r="E9" s="24">
        <v>8</v>
      </c>
    </row>
    <row r="10" spans="1:5">
      <c r="B10" s="24" t="s">
        <v>350</v>
      </c>
      <c r="C10" s="24" t="s">
        <v>351</v>
      </c>
      <c r="D10" s="24" t="str">
        <f t="shared" si="0"/>
        <v>Bacon CBD Extract_extract_ingested_bulk</v>
      </c>
      <c r="E10" s="24">
        <v>9</v>
      </c>
    </row>
    <row r="11" spans="1:5">
      <c r="B11" s="24" t="s">
        <v>352</v>
      </c>
      <c r="C11" s="24" t="s">
        <v>304</v>
      </c>
      <c r="D11" s="24" t="str">
        <f t="shared" si="0"/>
        <v>Bacon CBD Extract 27.6g_extract_ingested_labelled</v>
      </c>
      <c r="E11" s="24">
        <v>10</v>
      </c>
    </row>
    <row r="12" spans="1:5">
      <c r="B12" s="24" t="s">
        <v>353</v>
      </c>
      <c r="C12" s="24" t="s">
        <v>304</v>
      </c>
      <c r="D12" s="24" t="str">
        <f t="shared" si="0"/>
        <v>Bacon CBD extract 29.5g_extract_ingested_labelled</v>
      </c>
      <c r="E12" s="24">
        <v>11</v>
      </c>
    </row>
    <row r="13" spans="1:5">
      <c r="B13" s="24" t="s">
        <v>354</v>
      </c>
      <c r="C13" s="24" t="s">
        <v>304</v>
      </c>
      <c r="D13" s="24" t="str">
        <f t="shared" si="0"/>
        <v>Bacon CBD extract 54.8g_extract_ingested_labelled</v>
      </c>
      <c r="E13" s="24">
        <v>12</v>
      </c>
    </row>
    <row r="125" s="24" customFormat="1"/>
    <row r="126" s="24" customFormat="1"/>
    <row r="127" s="24" customFormat="1"/>
    <row r="128" s="24" customFormat="1"/>
    <row r="129" spans="1:2" s="24" customFormat="1"/>
    <row r="130" spans="1:2" s="24" customFormat="1"/>
    <row r="131" spans="1:2" s="24" customFormat="1"/>
    <row r="132" spans="1:2" s="24" customFormat="1"/>
    <row r="133" spans="1:2" s="24" customFormat="1">
      <c r="B133" s="18"/>
    </row>
    <row r="134" spans="1:2" s="24" customFormat="1"/>
    <row r="135" spans="1:2" s="24" customFormat="1">
      <c r="B135" s="18"/>
    </row>
    <row r="136" spans="1:2" s="24" customFormat="1"/>
    <row r="137" spans="1:2" s="24" customFormat="1"/>
    <row r="138" spans="1:2" s="24" customFormat="1"/>
    <row r="139" spans="1:2" s="24" customFormat="1"/>
    <row r="140" spans="1:2" s="24" customFormat="1"/>
    <row r="141" spans="1:2" s="24" customFormat="1"/>
    <row r="142" spans="1:2" s="24" customFormat="1"/>
    <row r="143" spans="1:2" s="24" customFormat="1"/>
    <row r="144" spans="1:2">
      <c r="A144" s="133"/>
    </row>
    <row r="147" spans="2:9">
      <c r="B147" s="133"/>
      <c r="C147" s="133"/>
    </row>
    <row r="148" spans="2:9">
      <c r="C148" s="133"/>
    </row>
    <row r="149" spans="2:9">
      <c r="C149" s="198"/>
      <c r="I149" s="24"/>
    </row>
    <row r="150" spans="2:9">
      <c r="C150" s="198"/>
      <c r="I150" s="24"/>
    </row>
    <row r="151" spans="2:9">
      <c r="C151" s="198"/>
      <c r="I151" s="24"/>
    </row>
    <row r="152" spans="2:9">
      <c r="C152" s="198"/>
      <c r="I152" s="24"/>
    </row>
    <row r="153" spans="2:9">
      <c r="C153" s="198"/>
      <c r="I153" s="24"/>
    </row>
    <row r="154" spans="2:9">
      <c r="C154" s="198"/>
      <c r="I154" s="24"/>
    </row>
    <row r="155" spans="2:9">
      <c r="C155" s="198"/>
      <c r="I155" s="24"/>
    </row>
    <row r="156" spans="2:9">
      <c r="C156" s="198"/>
      <c r="I156" s="24"/>
    </row>
    <row r="157" spans="2:9">
      <c r="C157" s="198"/>
      <c r="I157" s="24"/>
    </row>
    <row r="158" spans="2:9">
      <c r="C158" s="198"/>
      <c r="I158" s="24"/>
    </row>
    <row r="159" spans="2:9">
      <c r="C159" s="198"/>
      <c r="I159" s="24"/>
    </row>
    <row r="160" spans="2:9">
      <c r="C160" s="198"/>
      <c r="I160" s="24"/>
    </row>
    <row r="161" spans="2:9">
      <c r="C161" s="198"/>
      <c r="I161" s="24"/>
    </row>
    <row r="162" spans="2:9">
      <c r="C162" s="198"/>
      <c r="I162" s="24"/>
    </row>
    <row r="163" spans="2:9">
      <c r="C163" s="198"/>
      <c r="I163" s="24"/>
    </row>
    <row r="171" spans="2:9">
      <c r="B171" s="133"/>
      <c r="C171" s="133"/>
    </row>
    <row r="175" spans="2:9">
      <c r="C175" s="133"/>
    </row>
    <row r="176" spans="2:9">
      <c r="C176" s="133"/>
    </row>
    <row r="177" spans="3:3">
      <c r="C177" s="133"/>
    </row>
    <row r="178" spans="3:3">
      <c r="C178" s="133"/>
    </row>
    <row r="179" spans="3:3">
      <c r="C179" s="133"/>
    </row>
    <row r="180" spans="3:3">
      <c r="C180" s="133"/>
    </row>
    <row r="181" spans="3:3">
      <c r="C181" s="133"/>
    </row>
    <row r="182" spans="3:3">
      <c r="C182" s="133"/>
    </row>
    <row r="185" spans="3:3">
      <c r="C185" s="133"/>
    </row>
    <row r="186" spans="3:3">
      <c r="C186" s="133"/>
    </row>
    <row r="187" spans="3:3">
      <c r="C187" s="133"/>
    </row>
    <row r="188" spans="3:3">
      <c r="C188" s="133"/>
    </row>
    <row r="189" spans="3:3">
      <c r="C189" s="133"/>
    </row>
    <row r="190" spans="3:3">
      <c r="C190" s="133"/>
    </row>
    <row r="191" spans="3:3">
      <c r="C191" s="133"/>
    </row>
    <row r="192" spans="3:3">
      <c r="C192" s="133"/>
    </row>
    <row r="193" spans="3:9">
      <c r="C193" s="133"/>
    </row>
    <row r="194" spans="3:9">
      <c r="C194" s="133"/>
    </row>
    <row r="195" spans="3:9">
      <c r="C195" s="133"/>
    </row>
    <row r="196" spans="3:9">
      <c r="C196" s="133"/>
    </row>
    <row r="197" spans="3:9">
      <c r="C197" s="133"/>
    </row>
    <row r="198" spans="3:9">
      <c r="C198" s="133"/>
      <c r="I198" t="str">
        <f>C198&amp;"_RTV"</f>
        <v>_RTV</v>
      </c>
    </row>
    <row r="199" spans="3:9">
      <c r="C199" s="133"/>
      <c r="I199" t="str">
        <f t="shared" ref="I199:I203" si="1">C199&amp;"_RTV"</f>
        <v>_RTV</v>
      </c>
    </row>
    <row r="200" spans="3:9">
      <c r="C200" s="199"/>
      <c r="I200" t="str">
        <f t="shared" si="1"/>
        <v>_RTV</v>
      </c>
    </row>
    <row r="201" spans="3:9">
      <c r="C201" s="133"/>
      <c r="I201" t="str">
        <f t="shared" si="1"/>
        <v>_RTV</v>
      </c>
    </row>
    <row r="202" spans="3:9">
      <c r="C202" s="199"/>
      <c r="I202" t="str">
        <f t="shared" si="1"/>
        <v>_RTV</v>
      </c>
    </row>
    <row r="203" spans="3:9">
      <c r="C203" s="133"/>
      <c r="I203" t="str">
        <f t="shared" si="1"/>
        <v>_RTV</v>
      </c>
    </row>
    <row r="216" spans="2:9">
      <c r="C216" s="133"/>
      <c r="I216" t="str">
        <f>C216&amp;"_RTV"</f>
        <v>_RTV</v>
      </c>
    </row>
    <row r="220" spans="2:9">
      <c r="B220" s="200"/>
    </row>
    <row r="221" spans="2:9">
      <c r="B221" s="200"/>
    </row>
    <row r="231" spans="2:9">
      <c r="C231" s="200"/>
    </row>
    <row r="236" spans="2:9">
      <c r="B236" s="200"/>
      <c r="I236" t="str">
        <f>C236&amp;"_RTV"</f>
        <v>_RTV</v>
      </c>
    </row>
    <row r="257" spans="3:3">
      <c r="C257" s="133"/>
    </row>
    <row r="258" spans="3:3">
      <c r="C258" s="133"/>
    </row>
    <row r="259" spans="3:3">
      <c r="C259" s="133"/>
    </row>
    <row r="279" spans="2:3">
      <c r="B279" s="207"/>
    </row>
    <row r="283" spans="2:3">
      <c r="B283" s="199"/>
      <c r="C283" s="199"/>
    </row>
    <row r="284" spans="2:3">
      <c r="B284" s="200"/>
    </row>
    <row r="285" spans="2:3">
      <c r="B285" s="207"/>
      <c r="C285" s="199"/>
    </row>
    <row r="291" spans="2:3">
      <c r="C291" s="199"/>
    </row>
    <row r="295" spans="2:3">
      <c r="B295" s="207"/>
    </row>
    <row r="296" spans="2:3">
      <c r="B296" s="207"/>
      <c r="C296" s="207"/>
    </row>
    <row r="297" spans="2:3">
      <c r="C297" s="199"/>
    </row>
    <row r="298" spans="2:3">
      <c r="B298" s="207"/>
      <c r="C298" s="199"/>
    </row>
    <row r="310" spans="2:3">
      <c r="B310" s="133"/>
    </row>
    <row r="314" spans="2:3">
      <c r="B314" s="199"/>
      <c r="C314" s="199"/>
    </row>
    <row r="315" spans="2:3">
      <c r="B315" s="133"/>
      <c r="C315" s="199"/>
    </row>
    <row r="316" spans="2:3">
      <c r="B316" s="199"/>
      <c r="C316" s="199"/>
    </row>
    <row r="317" spans="2:3">
      <c r="B317" s="133"/>
      <c r="C317" s="199"/>
    </row>
  </sheetData>
  <autoFilter ref="A1:E327" xr:uid="{DF7A4F57-84C7-4E92-9A58-08AAD8EA13F5}"/>
  <phoneticPr fontId="19" type="noConversion"/>
  <conditionalFormatting sqref="A129">
    <cfRule type="duplicateValues" dxfId="236" priority="6"/>
  </conditionalFormatting>
  <conditionalFormatting sqref="A130">
    <cfRule type="duplicateValues" dxfId="235" priority="4"/>
  </conditionalFormatting>
  <conditionalFormatting sqref="B175:B197 D1:D168 B169 D173:D1048576">
    <cfRule type="duplicateValues" dxfId="234" priority="564"/>
  </conditionalFormatting>
  <conditionalFormatting sqref="B218">
    <cfRule type="duplicateValues" dxfId="233" priority="2"/>
  </conditionalFormatting>
  <conditionalFormatting sqref="B292">
    <cfRule type="duplicateValues" dxfId="232" priority="1"/>
  </conditionalFormatting>
  <conditionalFormatting sqref="C130">
    <cfRule type="duplicateValues" dxfId="231" priority="5"/>
  </conditionalFormatting>
  <conditionalFormatting sqref="E1:E1048576">
    <cfRule type="duplicateValues" dxfId="230" priority="7"/>
  </conditionalFormatting>
  <dataValidations count="2">
    <dataValidation type="list" allowBlank="1" showInputMessage="1" showErrorMessage="1" sqref="B295:B296 B310 B298 B220:B221 B279 B236 B283:B285 B314:B317 A144 B135 B147 B171" xr:uid="{0C10201E-37AE-4085-A450-FC8E65706266}">
      <formula1>$B:$B</formula1>
    </dataValidation>
    <dataValidation type="list" allowBlank="1" showInputMessage="1" showErrorMessage="1" sqref="C296:C298 C257:C259 C216 C231 C283 C285 C291 C314:C317 C185:C203 C147:C148 C175:C182 C171" xr:uid="{D340B31A-5EDC-4598-B55D-368C281F4CBD}">
      <formula1>$C:$C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A184-9D0D-4F90-B710-1A267191C562}">
  <sheetPr published="0"/>
  <dimension ref="A1:BY64"/>
  <sheetViews>
    <sheetView showGridLines="0" topLeftCell="X1" zoomScaleNormal="100" workbookViewId="0">
      <selection activeCell="D10" sqref="D10"/>
    </sheetView>
  </sheetViews>
  <sheetFormatPr defaultRowHeight="13.8"/>
  <cols>
    <col min="1" max="1" width="20.21875" bestFit="1" customWidth="1"/>
    <col min="2" max="2" width="22.88671875" bestFit="1" customWidth="1"/>
    <col min="3" max="3" width="25.44140625" bestFit="1" customWidth="1"/>
    <col min="4" max="4" width="21.88671875" bestFit="1" customWidth="1"/>
    <col min="5" max="5" width="21.88671875" customWidth="1"/>
    <col min="9" max="9" width="14.21875" bestFit="1" customWidth="1"/>
    <col min="11" max="11" width="11.77734375" style="204" bestFit="1" customWidth="1"/>
    <col min="12" max="12" width="20.88671875" bestFit="1" customWidth="1"/>
    <col min="13" max="13" width="11.77734375" style="204" bestFit="1" customWidth="1"/>
    <col min="14" max="17" width="25.44140625" bestFit="1" customWidth="1"/>
    <col min="20" max="20" width="32.44140625" customWidth="1"/>
    <col min="21" max="21" width="25.44140625" bestFit="1" customWidth="1"/>
    <col min="22" max="22" width="11.77734375" bestFit="1" customWidth="1"/>
    <col min="23" max="23" width="25.44140625" bestFit="1" customWidth="1"/>
    <col min="24" max="24" width="21.88671875" bestFit="1" customWidth="1"/>
    <col min="25" max="25" width="25.44140625" bestFit="1" customWidth="1"/>
    <col min="26" max="26" width="30" bestFit="1" customWidth="1"/>
    <col min="27" max="27" width="46.77734375" bestFit="1" customWidth="1"/>
    <col min="28" max="28" width="10.109375" bestFit="1" customWidth="1"/>
    <col min="29" max="29" width="19.109375" bestFit="1" customWidth="1"/>
    <col min="30" max="30" width="11.77734375" bestFit="1" customWidth="1"/>
    <col min="31" max="31" width="11.77734375" customWidth="1"/>
    <col min="32" max="32" width="25.44140625" bestFit="1" customWidth="1"/>
    <col min="33" max="33" width="21.88671875" bestFit="1" customWidth="1"/>
    <col min="34" max="34" width="11.77734375" style="212" customWidth="1"/>
    <col min="43" max="43" width="20.88671875" bestFit="1" customWidth="1"/>
    <col min="44" max="44" width="11.77734375" bestFit="1" customWidth="1"/>
    <col min="45" max="45" width="22.88671875" bestFit="1" customWidth="1"/>
    <col min="46" max="46" width="25.44140625" bestFit="1" customWidth="1"/>
    <col min="53" max="53" width="11.77734375" bestFit="1" customWidth="1"/>
    <col min="55" max="55" width="16" bestFit="1" customWidth="1"/>
    <col min="58" max="58" width="11.77734375" bestFit="1" customWidth="1"/>
    <col min="60" max="60" width="11.77734375" bestFit="1" customWidth="1"/>
    <col min="62" max="62" width="21" bestFit="1" customWidth="1"/>
    <col min="63" max="63" width="80.77734375" bestFit="1" customWidth="1"/>
  </cols>
  <sheetData>
    <row r="1" spans="1:77" ht="27.6">
      <c r="A1" s="202" t="s">
        <v>474</v>
      </c>
      <c r="B1" s="202" t="s">
        <v>475</v>
      </c>
      <c r="C1" s="202" t="s">
        <v>198</v>
      </c>
      <c r="D1" s="202" t="s">
        <v>476</v>
      </c>
      <c r="E1" t="s">
        <v>477</v>
      </c>
      <c r="K1" s="284" t="s">
        <v>478</v>
      </c>
      <c r="L1" s="202" t="s">
        <v>474</v>
      </c>
      <c r="M1" s="284" t="s">
        <v>475</v>
      </c>
      <c r="N1" s="202" t="s">
        <v>198</v>
      </c>
      <c r="O1" s="202" t="s">
        <v>476</v>
      </c>
      <c r="P1" s="202" t="s">
        <v>479</v>
      </c>
      <c r="Q1" s="202" t="s">
        <v>480</v>
      </c>
      <c r="R1" s="210" t="s">
        <v>481</v>
      </c>
      <c r="AB1" s="202" t="s">
        <v>482</v>
      </c>
      <c r="AC1" s="202" t="s">
        <v>483</v>
      </c>
      <c r="AD1" s="202" t="s">
        <v>484</v>
      </c>
      <c r="AE1" s="202" t="s">
        <v>485</v>
      </c>
      <c r="AF1" s="202" t="s">
        <v>486</v>
      </c>
      <c r="AG1" s="202" t="s">
        <v>487</v>
      </c>
      <c r="AH1" s="210" t="s">
        <v>488</v>
      </c>
    </row>
    <row r="2" spans="1:77" ht="15.6">
      <c r="A2" s="90" t="s">
        <v>489</v>
      </c>
      <c r="B2" s="19">
        <v>45797</v>
      </c>
      <c r="C2" s="49" t="s">
        <v>490</v>
      </c>
      <c r="D2" s="22" t="s">
        <v>491</v>
      </c>
      <c r="E2">
        <v>1</v>
      </c>
      <c r="H2" t="s">
        <v>492</v>
      </c>
      <c r="I2">
        <f>56*5.5*5.5</f>
        <v>1694</v>
      </c>
      <c r="K2" s="285" t="s">
        <v>475</v>
      </c>
      <c r="L2" s="90" t="s">
        <v>198</v>
      </c>
      <c r="M2" s="285" t="s">
        <v>476</v>
      </c>
      <c r="N2" s="49" t="s">
        <v>284</v>
      </c>
      <c r="O2" s="22" t="s">
        <v>493</v>
      </c>
      <c r="P2" s="43" t="s">
        <v>494</v>
      </c>
      <c r="Q2" s="22" t="s">
        <v>495</v>
      </c>
      <c r="R2" s="22" t="s">
        <v>496</v>
      </c>
      <c r="AA2" t="str">
        <f>AF2&amp;AG2</f>
        <v>PO_0082726_legacy250403-1Aviator Cannabis Co.</v>
      </c>
      <c r="AB2" s="220">
        <v>45747</v>
      </c>
      <c r="AC2" s="221" t="s">
        <v>497</v>
      </c>
      <c r="AD2" s="220">
        <v>45750</v>
      </c>
      <c r="AE2" s="221" t="s">
        <v>490</v>
      </c>
      <c r="AF2" s="221" t="s">
        <v>498</v>
      </c>
      <c r="AG2" s="221" t="s">
        <v>66</v>
      </c>
      <c r="AH2" s="218" cm="1">
        <f t="array" ref="AH2:AH23">SUMIF(S2:S57,AA2:AA23,R2:R57)</f>
        <v>0</v>
      </c>
    </row>
    <row r="3" spans="1:77" ht="15.6">
      <c r="A3" s="90" t="s">
        <v>499</v>
      </c>
      <c r="B3" s="19">
        <v>45799</v>
      </c>
      <c r="C3" s="49" t="s">
        <v>490</v>
      </c>
      <c r="D3" s="22" t="s">
        <v>500</v>
      </c>
      <c r="E3">
        <v>2</v>
      </c>
      <c r="H3" t="s">
        <v>501</v>
      </c>
      <c r="I3">
        <v>1375</v>
      </c>
      <c r="K3" s="285">
        <v>45790</v>
      </c>
      <c r="L3" s="90" t="s">
        <v>490</v>
      </c>
      <c r="M3" s="285" t="s">
        <v>502</v>
      </c>
      <c r="N3" s="49" t="s">
        <v>251</v>
      </c>
      <c r="O3" s="22"/>
      <c r="P3" s="43"/>
      <c r="Q3" s="22" t="s">
        <v>21</v>
      </c>
      <c r="R3" s="22"/>
      <c r="AA3" t="str">
        <f t="shared" ref="AA3:AA23" si="0">AF3&amp;AG3</f>
        <v xml:space="preserve">PO_0082726_legacy250403-1Apothecary Botanicals </v>
      </c>
      <c r="AB3" s="220">
        <v>45747</v>
      </c>
      <c r="AC3" s="221" t="s">
        <v>497</v>
      </c>
      <c r="AD3" s="220">
        <v>45750</v>
      </c>
      <c r="AE3" s="221" t="s">
        <v>490</v>
      </c>
      <c r="AF3" s="221" t="s">
        <v>498</v>
      </c>
      <c r="AG3" s="221" t="s">
        <v>209</v>
      </c>
      <c r="AH3" s="218">
        <v>0</v>
      </c>
    </row>
    <row r="4" spans="1:77" ht="41.4">
      <c r="A4" s="90" t="s">
        <v>503</v>
      </c>
      <c r="B4" s="203">
        <v>45797</v>
      </c>
      <c r="C4" s="49" t="s">
        <v>504</v>
      </c>
      <c r="D4" s="22" t="s">
        <v>505</v>
      </c>
      <c r="E4">
        <v>3</v>
      </c>
      <c r="H4" t="s">
        <v>506</v>
      </c>
      <c r="I4">
        <v>825</v>
      </c>
      <c r="K4" s="285">
        <v>45791</v>
      </c>
      <c r="L4" s="90" t="s">
        <v>504</v>
      </c>
      <c r="M4" s="285" t="s">
        <v>507</v>
      </c>
      <c r="N4" s="49" t="s">
        <v>249</v>
      </c>
      <c r="O4" s="22"/>
      <c r="P4" s="43"/>
      <c r="Q4" s="22" t="s">
        <v>21</v>
      </c>
      <c r="R4" s="22"/>
      <c r="AA4" t="str">
        <f t="shared" si="0"/>
        <v xml:space="preserve">PO_1071Apothecary Botanicals </v>
      </c>
      <c r="AB4" s="220">
        <v>45747</v>
      </c>
      <c r="AC4" s="221" t="s">
        <v>503</v>
      </c>
      <c r="AD4" s="220">
        <v>45748</v>
      </c>
      <c r="AE4" s="221" t="s">
        <v>504</v>
      </c>
      <c r="AF4" s="221" t="s">
        <v>508</v>
      </c>
      <c r="AG4" s="221" t="s">
        <v>209</v>
      </c>
      <c r="AH4" s="218">
        <v>0</v>
      </c>
      <c r="BA4" s="202" t="s">
        <v>509</v>
      </c>
      <c r="BB4" s="202" t="s">
        <v>510</v>
      </c>
      <c r="BC4" s="202" t="s">
        <v>511</v>
      </c>
      <c r="BD4" s="202" t="s">
        <v>197</v>
      </c>
      <c r="BE4" s="202" t="s">
        <v>512</v>
      </c>
      <c r="BF4" s="202" t="s">
        <v>513</v>
      </c>
      <c r="BG4" s="202" t="s">
        <v>474</v>
      </c>
      <c r="BH4" s="202" t="s">
        <v>475</v>
      </c>
      <c r="BI4" s="202" t="s">
        <v>198</v>
      </c>
      <c r="BJ4" s="202" t="s">
        <v>476</v>
      </c>
      <c r="BK4" s="202" t="s">
        <v>284</v>
      </c>
      <c r="BL4" s="202" t="s">
        <v>493</v>
      </c>
      <c r="BM4" s="202" t="s">
        <v>494</v>
      </c>
      <c r="BN4" s="202" t="s">
        <v>495</v>
      </c>
      <c r="BO4" s="202" t="s">
        <v>496</v>
      </c>
      <c r="BP4" s="202" t="s">
        <v>514</v>
      </c>
      <c r="BQ4" s="202" t="s">
        <v>515</v>
      </c>
      <c r="BR4" s="202" t="s">
        <v>516</v>
      </c>
      <c r="BV4" s="277" t="s">
        <v>517</v>
      </c>
      <c r="BW4" s="278" t="s">
        <v>518</v>
      </c>
      <c r="BX4" s="279">
        <v>44510</v>
      </c>
      <c r="BY4" s="280">
        <v>30</v>
      </c>
    </row>
    <row r="5" spans="1:77" ht="15.6">
      <c r="A5" s="90" t="s">
        <v>503</v>
      </c>
      <c r="B5" s="203">
        <v>45797</v>
      </c>
      <c r="C5" s="49" t="s">
        <v>504</v>
      </c>
      <c r="D5" s="22" t="s">
        <v>519</v>
      </c>
      <c r="E5">
        <v>3</v>
      </c>
      <c r="H5" t="s">
        <v>520</v>
      </c>
      <c r="I5">
        <v>825</v>
      </c>
      <c r="K5" s="285">
        <v>45790</v>
      </c>
      <c r="L5" s="24" t="s">
        <v>490</v>
      </c>
      <c r="M5" s="286" t="s">
        <v>521</v>
      </c>
      <c r="N5" s="49" t="s">
        <v>253</v>
      </c>
      <c r="O5" s="22"/>
      <c r="P5" s="43"/>
      <c r="Q5" s="22" t="s">
        <v>21</v>
      </c>
      <c r="R5" s="22"/>
      <c r="AA5" t="str">
        <f t="shared" si="0"/>
        <v xml:space="preserve">PO_1070Apothecary Botanicals </v>
      </c>
      <c r="AB5" s="220">
        <v>45747</v>
      </c>
      <c r="AC5" s="221" t="s">
        <v>503</v>
      </c>
      <c r="AD5" s="220">
        <v>45748</v>
      </c>
      <c r="AE5" s="221" t="s">
        <v>504</v>
      </c>
      <c r="AF5" s="221" t="s">
        <v>522</v>
      </c>
      <c r="AG5" s="221" t="s">
        <v>209</v>
      </c>
      <c r="AH5" s="218">
        <v>0</v>
      </c>
      <c r="BA5" s="20">
        <v>45792</v>
      </c>
      <c r="BB5" s="20"/>
      <c r="BC5" s="22" t="s">
        <v>523</v>
      </c>
      <c r="BD5" s="93"/>
      <c r="BE5" s="22"/>
      <c r="BF5" s="19">
        <v>45749</v>
      </c>
      <c r="BG5" s="90" t="s">
        <v>22</v>
      </c>
      <c r="BH5" s="19"/>
      <c r="BI5" s="49" t="s">
        <v>490</v>
      </c>
      <c r="BJ5" s="22" t="s">
        <v>524</v>
      </c>
      <c r="BK5" s="50" t="s">
        <v>243</v>
      </c>
      <c r="BL5" s="22" t="s">
        <v>525</v>
      </c>
      <c r="BM5" s="22" t="s">
        <v>435</v>
      </c>
      <c r="BN5" s="90" t="s">
        <v>447</v>
      </c>
      <c r="BO5" s="20">
        <v>45588</v>
      </c>
      <c r="BP5" s="94">
        <v>108</v>
      </c>
      <c r="BQ5" s="22">
        <v>6</v>
      </c>
      <c r="BR5" s="117">
        <v>18</v>
      </c>
      <c r="BV5" s="277" t="s">
        <v>526</v>
      </c>
      <c r="BW5" s="278" t="s">
        <v>527</v>
      </c>
      <c r="BX5" s="279">
        <v>44879</v>
      </c>
      <c r="BY5" s="280">
        <v>30</v>
      </c>
    </row>
    <row r="6" spans="1:77" ht="15.6">
      <c r="A6" s="90" t="s">
        <v>528</v>
      </c>
      <c r="B6" s="203">
        <v>45797</v>
      </c>
      <c r="C6" s="49" t="s">
        <v>504</v>
      </c>
      <c r="D6" s="22" t="s">
        <v>519</v>
      </c>
      <c r="E6">
        <v>4</v>
      </c>
      <c r="H6" t="s">
        <v>529</v>
      </c>
      <c r="I6">
        <v>750</v>
      </c>
      <c r="K6" s="285">
        <v>45791</v>
      </c>
      <c r="L6" s="24" t="s">
        <v>504</v>
      </c>
      <c r="M6" s="24" t="s">
        <v>530</v>
      </c>
      <c r="N6" s="49" t="s">
        <v>256</v>
      </c>
      <c r="O6" s="22" t="s">
        <v>531</v>
      </c>
      <c r="P6" s="43" t="s">
        <v>532</v>
      </c>
      <c r="Q6" s="22" t="s">
        <v>13</v>
      </c>
      <c r="R6" s="22">
        <v>45478</v>
      </c>
      <c r="AA6" t="str">
        <f t="shared" si="0"/>
        <v xml:space="preserve">PO_475927_OFDMBApothecary Botanicals </v>
      </c>
      <c r="AB6" s="220">
        <v>45748</v>
      </c>
      <c r="AC6" s="221" t="s">
        <v>533</v>
      </c>
      <c r="AD6" s="220">
        <v>45748</v>
      </c>
      <c r="AE6" s="221" t="s">
        <v>490</v>
      </c>
      <c r="AF6" s="221" t="s">
        <v>534</v>
      </c>
      <c r="AG6" s="221" t="s">
        <v>209</v>
      </c>
      <c r="AH6" s="218">
        <v>0</v>
      </c>
      <c r="BA6" s="20">
        <v>45792</v>
      </c>
      <c r="BB6" s="20"/>
      <c r="BC6" s="22" t="s">
        <v>523</v>
      </c>
      <c r="BD6" s="93"/>
      <c r="BE6" s="22"/>
      <c r="BF6" s="19">
        <v>45749</v>
      </c>
      <c r="BG6" s="90" t="s">
        <v>22</v>
      </c>
      <c r="BH6" s="19"/>
      <c r="BI6" s="49" t="s">
        <v>490</v>
      </c>
      <c r="BJ6" s="22" t="s">
        <v>524</v>
      </c>
      <c r="BK6" s="50" t="s">
        <v>261</v>
      </c>
      <c r="BL6" s="22" t="s">
        <v>535</v>
      </c>
      <c r="BM6" s="22" t="s">
        <v>326</v>
      </c>
      <c r="BN6" s="90" t="s">
        <v>536</v>
      </c>
      <c r="BO6" s="20">
        <v>45588</v>
      </c>
      <c r="BP6" s="94">
        <v>300</v>
      </c>
      <c r="BQ6" s="22">
        <v>12</v>
      </c>
      <c r="BR6" s="117">
        <v>25</v>
      </c>
      <c r="BV6" s="277" t="s">
        <v>537</v>
      </c>
      <c r="BW6" s="278" t="s">
        <v>538</v>
      </c>
      <c r="BX6" s="279">
        <v>44806</v>
      </c>
      <c r="BY6" s="280">
        <v>30</v>
      </c>
    </row>
    <row r="7" spans="1:77" ht="15.6">
      <c r="A7" s="90" t="s">
        <v>503</v>
      </c>
      <c r="B7" s="203">
        <v>45797</v>
      </c>
      <c r="C7" s="49" t="s">
        <v>504</v>
      </c>
      <c r="D7" s="22" t="s">
        <v>539</v>
      </c>
      <c r="E7">
        <v>5</v>
      </c>
      <c r="H7" t="s">
        <v>540</v>
      </c>
      <c r="I7">
        <v>625</v>
      </c>
      <c r="K7" s="285">
        <v>45792</v>
      </c>
      <c r="L7" s="24" t="s">
        <v>504</v>
      </c>
      <c r="M7" s="24" t="s">
        <v>541</v>
      </c>
      <c r="N7" s="49" t="s">
        <v>542</v>
      </c>
      <c r="O7" s="22" t="s">
        <v>543</v>
      </c>
      <c r="P7" s="43" t="s">
        <v>532</v>
      </c>
      <c r="Q7" s="22" t="s">
        <v>13</v>
      </c>
      <c r="R7" s="22">
        <v>45793</v>
      </c>
      <c r="AA7" t="str">
        <f t="shared" si="0"/>
        <v xml:space="preserve">PO_1072Apothecary Botanicals </v>
      </c>
      <c r="AB7" s="220">
        <v>45748</v>
      </c>
      <c r="AC7" s="221" t="s">
        <v>503</v>
      </c>
      <c r="AD7" s="220">
        <v>45750</v>
      </c>
      <c r="AE7" s="221" t="s">
        <v>504</v>
      </c>
      <c r="AF7" s="221" t="s">
        <v>544</v>
      </c>
      <c r="AG7" s="221" t="s">
        <v>209</v>
      </c>
      <c r="AH7" s="218">
        <v>0</v>
      </c>
      <c r="BA7" s="20">
        <v>45792</v>
      </c>
      <c r="BB7" s="20"/>
      <c r="BC7" s="22" t="s">
        <v>523</v>
      </c>
      <c r="BD7" s="93"/>
      <c r="BE7" s="22"/>
      <c r="BF7" s="19">
        <v>45749</v>
      </c>
      <c r="BG7" s="90" t="s">
        <v>22</v>
      </c>
      <c r="BH7" s="19"/>
      <c r="BI7" s="49" t="s">
        <v>490</v>
      </c>
      <c r="BJ7" s="22" t="s">
        <v>524</v>
      </c>
      <c r="BK7" s="50" t="s">
        <v>259</v>
      </c>
      <c r="BL7" s="22" t="s">
        <v>545</v>
      </c>
      <c r="BM7" s="22" t="s">
        <v>322</v>
      </c>
      <c r="BN7" s="90" t="s">
        <v>308</v>
      </c>
      <c r="BO7" s="20">
        <v>45670</v>
      </c>
      <c r="BP7" s="94">
        <v>180</v>
      </c>
      <c r="BQ7" s="22">
        <v>12</v>
      </c>
      <c r="BR7" s="117">
        <v>15</v>
      </c>
      <c r="BV7" s="277" t="s">
        <v>546</v>
      </c>
      <c r="BW7" s="278" t="s">
        <v>547</v>
      </c>
      <c r="BX7" s="279">
        <v>45739</v>
      </c>
      <c r="BY7" s="280">
        <v>30</v>
      </c>
    </row>
    <row r="8" spans="1:77" ht="15.6">
      <c r="A8" s="90" t="s">
        <v>503</v>
      </c>
      <c r="B8" s="203">
        <v>45797</v>
      </c>
      <c r="C8" s="49" t="s">
        <v>504</v>
      </c>
      <c r="D8" s="22" t="s">
        <v>548</v>
      </c>
      <c r="E8">
        <v>6</v>
      </c>
      <c r="H8" t="s">
        <v>549</v>
      </c>
      <c r="I8">
        <v>574.75</v>
      </c>
      <c r="K8" s="285">
        <v>45791</v>
      </c>
      <c r="L8" s="24" t="s">
        <v>201</v>
      </c>
      <c r="M8" s="24" t="s">
        <v>550</v>
      </c>
      <c r="N8" s="49" t="s">
        <v>241</v>
      </c>
      <c r="O8" s="22" t="s">
        <v>551</v>
      </c>
      <c r="P8" s="43" t="s">
        <v>532</v>
      </c>
      <c r="Q8" s="22" t="s">
        <v>13</v>
      </c>
      <c r="R8" s="22">
        <v>45779</v>
      </c>
      <c r="AA8" t="str">
        <f t="shared" si="0"/>
        <v xml:space="preserve">PO_476527Apothecary Botanicals </v>
      </c>
      <c r="AB8" s="220">
        <v>45749</v>
      </c>
      <c r="AC8" s="221" t="s">
        <v>533</v>
      </c>
      <c r="AD8" s="220">
        <v>45749</v>
      </c>
      <c r="AE8" s="221" t="s">
        <v>490</v>
      </c>
      <c r="AF8" s="221" t="s">
        <v>552</v>
      </c>
      <c r="AG8" s="221" t="s">
        <v>209</v>
      </c>
      <c r="AH8" s="218">
        <v>0</v>
      </c>
      <c r="BA8" s="20">
        <v>45792</v>
      </c>
      <c r="BB8" s="20"/>
      <c r="BC8" s="22" t="s">
        <v>523</v>
      </c>
      <c r="BD8" s="93"/>
      <c r="BE8" s="22"/>
      <c r="BF8" s="19">
        <v>45749</v>
      </c>
      <c r="BG8" s="90" t="s">
        <v>22</v>
      </c>
      <c r="BH8" s="19"/>
      <c r="BI8" s="49" t="s">
        <v>490</v>
      </c>
      <c r="BJ8" s="22" t="s">
        <v>524</v>
      </c>
      <c r="BK8" s="50" t="s">
        <v>251</v>
      </c>
      <c r="BL8" s="22"/>
      <c r="BM8" s="22"/>
      <c r="BN8" s="90" t="s">
        <v>18</v>
      </c>
      <c r="BO8" s="20"/>
      <c r="BP8" s="94">
        <v>210</v>
      </c>
      <c r="BQ8" s="22">
        <v>6</v>
      </c>
      <c r="BR8" s="117">
        <v>35</v>
      </c>
      <c r="BV8" s="277" t="s">
        <v>553</v>
      </c>
      <c r="BW8" s="278" t="s">
        <v>554</v>
      </c>
      <c r="BX8" s="279">
        <v>45605</v>
      </c>
      <c r="BY8" s="280">
        <v>30</v>
      </c>
    </row>
    <row r="9" spans="1:77" ht="15.6">
      <c r="A9" s="90" t="s">
        <v>503</v>
      </c>
      <c r="B9" s="203">
        <v>45797</v>
      </c>
      <c r="C9" s="49" t="s">
        <v>504</v>
      </c>
      <c r="D9" s="22" t="s">
        <v>555</v>
      </c>
      <c r="E9">
        <v>6</v>
      </c>
      <c r="H9" t="s">
        <v>556</v>
      </c>
      <c r="K9" s="285">
        <v>45793</v>
      </c>
      <c r="L9" s="24" t="s">
        <v>490</v>
      </c>
      <c r="M9" s="24" t="s">
        <v>557</v>
      </c>
      <c r="N9" s="49" t="s">
        <v>558</v>
      </c>
      <c r="O9" s="22" t="s">
        <v>559</v>
      </c>
      <c r="P9" s="43" t="s">
        <v>532</v>
      </c>
      <c r="Q9" s="22" t="s">
        <v>13</v>
      </c>
      <c r="R9" s="22">
        <v>45740</v>
      </c>
      <c r="AA9" t="str">
        <f t="shared" si="0"/>
        <v xml:space="preserve">PO_1073Apothecary Botanicals </v>
      </c>
      <c r="AB9" s="220">
        <v>45748</v>
      </c>
      <c r="AC9" s="221" t="s">
        <v>503</v>
      </c>
      <c r="AD9" s="220">
        <v>45750</v>
      </c>
      <c r="AE9" s="221" t="s">
        <v>504</v>
      </c>
      <c r="AF9" s="221" t="s">
        <v>560</v>
      </c>
      <c r="AG9" s="221" t="s">
        <v>209</v>
      </c>
      <c r="AH9" s="218">
        <v>0</v>
      </c>
      <c r="BA9" s="20">
        <v>45792</v>
      </c>
      <c r="BB9" s="20"/>
      <c r="BC9" s="22" t="s">
        <v>523</v>
      </c>
      <c r="BD9" s="93"/>
      <c r="BE9" s="22"/>
      <c r="BF9" s="19">
        <v>45749</v>
      </c>
      <c r="BG9" s="90" t="s">
        <v>22</v>
      </c>
      <c r="BH9" s="19"/>
      <c r="BI9" s="49" t="s">
        <v>490</v>
      </c>
      <c r="BJ9" s="22" t="s">
        <v>524</v>
      </c>
      <c r="BK9" s="50" t="s">
        <v>291</v>
      </c>
      <c r="BL9" s="22"/>
      <c r="BM9" s="22"/>
      <c r="BN9" s="90" t="s">
        <v>18</v>
      </c>
      <c r="BO9" s="20"/>
      <c r="BP9" s="94">
        <v>300</v>
      </c>
      <c r="BQ9" s="22">
        <v>6</v>
      </c>
      <c r="BR9" s="117">
        <v>50</v>
      </c>
      <c r="BV9" s="277" t="s">
        <v>561</v>
      </c>
      <c r="BW9" s="278" t="s">
        <v>562</v>
      </c>
      <c r="BX9" s="279">
        <v>45689</v>
      </c>
      <c r="BY9" s="280">
        <v>18</v>
      </c>
    </row>
    <row r="10" spans="1:77" ht="16.2" thickBot="1">
      <c r="A10" s="90" t="s">
        <v>533</v>
      </c>
      <c r="B10" s="203">
        <v>45797</v>
      </c>
      <c r="C10" s="49" t="s">
        <v>490</v>
      </c>
      <c r="D10" s="22" t="s">
        <v>563</v>
      </c>
      <c r="E10">
        <v>7</v>
      </c>
      <c r="K10"/>
      <c r="M10"/>
      <c r="N10" s="49" t="s">
        <v>564</v>
      </c>
      <c r="O10" s="22" t="s">
        <v>565</v>
      </c>
      <c r="P10" s="43" t="s">
        <v>532</v>
      </c>
      <c r="Q10" s="22" t="s">
        <v>13</v>
      </c>
      <c r="R10" s="22">
        <v>45707</v>
      </c>
      <c r="AA10" t="str">
        <f t="shared" si="0"/>
        <v xml:space="preserve">PO_74167Apothecary Botanicals </v>
      </c>
      <c r="AB10" s="220">
        <v>45749</v>
      </c>
      <c r="AC10" s="221" t="s">
        <v>22</v>
      </c>
      <c r="AD10" s="220"/>
      <c r="AE10" s="221" t="s">
        <v>490</v>
      </c>
      <c r="AF10" s="221" t="s">
        <v>566</v>
      </c>
      <c r="AG10" s="221" t="s">
        <v>209</v>
      </c>
      <c r="AH10" s="218">
        <v>0</v>
      </c>
      <c r="BA10" s="20">
        <v>45803</v>
      </c>
      <c r="BB10" s="20"/>
      <c r="BC10" s="22" t="s">
        <v>523</v>
      </c>
      <c r="BD10" s="93"/>
      <c r="BE10" s="22"/>
      <c r="BF10" s="19">
        <v>45757</v>
      </c>
      <c r="BG10" s="90" t="s">
        <v>22</v>
      </c>
      <c r="BH10" s="19"/>
      <c r="BI10" s="49" t="s">
        <v>490</v>
      </c>
      <c r="BJ10" s="22" t="s">
        <v>567</v>
      </c>
      <c r="BK10" s="50" t="s">
        <v>251</v>
      </c>
      <c r="BL10" s="22" t="s">
        <v>568</v>
      </c>
      <c r="BM10" s="22" t="s">
        <v>569</v>
      </c>
      <c r="BN10" s="90" t="s">
        <v>18</v>
      </c>
      <c r="BO10" s="20">
        <v>45763</v>
      </c>
      <c r="BP10" s="94">
        <v>600</v>
      </c>
      <c r="BQ10" s="22">
        <v>6</v>
      </c>
      <c r="BR10" s="117">
        <v>100</v>
      </c>
      <c r="BV10" s="281" t="s">
        <v>570</v>
      </c>
      <c r="BW10" s="282" t="s">
        <v>571</v>
      </c>
      <c r="BX10" s="283">
        <v>45640</v>
      </c>
      <c r="BY10" s="276"/>
    </row>
    <row r="11" spans="1:77" ht="15.6">
      <c r="A11" s="90" t="s">
        <v>503</v>
      </c>
      <c r="B11" s="19">
        <v>45799</v>
      </c>
      <c r="C11" s="49" t="s">
        <v>504</v>
      </c>
      <c r="D11" s="22" t="s">
        <v>572</v>
      </c>
      <c r="E11">
        <v>8</v>
      </c>
      <c r="K11"/>
      <c r="M11"/>
      <c r="N11" s="49" t="s">
        <v>573</v>
      </c>
      <c r="O11" s="22" t="s">
        <v>574</v>
      </c>
      <c r="P11" s="43" t="s">
        <v>532</v>
      </c>
      <c r="Q11" s="22" t="s">
        <v>13</v>
      </c>
      <c r="R11" s="22">
        <v>45772</v>
      </c>
      <c r="AA11" t="str">
        <f t="shared" si="0"/>
        <v>PO_Burb2025040201BURB</v>
      </c>
      <c r="AB11" s="220">
        <v>45750</v>
      </c>
      <c r="AC11" s="221" t="s">
        <v>575</v>
      </c>
      <c r="AD11" s="220">
        <v>45751</v>
      </c>
      <c r="AE11" s="221" t="s">
        <v>504</v>
      </c>
      <c r="AF11" s="221" t="s">
        <v>576</v>
      </c>
      <c r="AG11" s="221" t="s">
        <v>274</v>
      </c>
      <c r="AH11" s="218">
        <v>0</v>
      </c>
      <c r="BA11" s="20"/>
      <c r="BB11" s="20"/>
      <c r="BC11" s="22" t="s">
        <v>210</v>
      </c>
      <c r="BD11" s="93"/>
      <c r="BE11" s="22"/>
      <c r="BF11" s="19">
        <v>45762</v>
      </c>
      <c r="BG11" s="90" t="s">
        <v>503</v>
      </c>
      <c r="BH11" s="19">
        <v>45764</v>
      </c>
      <c r="BI11" s="49" t="s">
        <v>504</v>
      </c>
      <c r="BJ11" s="22" t="s">
        <v>577</v>
      </c>
      <c r="BK11" s="50" t="s">
        <v>245</v>
      </c>
      <c r="BL11" s="22" t="s">
        <v>578</v>
      </c>
      <c r="BM11" s="22" t="s">
        <v>569</v>
      </c>
      <c r="BN11" s="90" t="s">
        <v>13</v>
      </c>
      <c r="BO11" s="20">
        <v>45700</v>
      </c>
      <c r="BP11" s="94">
        <v>24</v>
      </c>
      <c r="BQ11" s="22">
        <v>12</v>
      </c>
      <c r="BR11" s="117">
        <v>2</v>
      </c>
    </row>
    <row r="12" spans="1:77" ht="15.6">
      <c r="A12" s="90" t="s">
        <v>503</v>
      </c>
      <c r="B12" s="19">
        <v>45799</v>
      </c>
      <c r="C12" s="49" t="s">
        <v>504</v>
      </c>
      <c r="D12" s="22" t="s">
        <v>579</v>
      </c>
      <c r="E12">
        <v>9</v>
      </c>
      <c r="K12"/>
      <c r="M12"/>
      <c r="N12" s="14" t="s">
        <v>245</v>
      </c>
      <c r="O12" s="24"/>
      <c r="P12" s="43"/>
      <c r="Q12" s="22" t="s">
        <v>21</v>
      </c>
      <c r="R12" s="22"/>
      <c r="AA12" t="str">
        <f t="shared" si="0"/>
        <v xml:space="preserve">PO_1075Apothecary Botanicals </v>
      </c>
      <c r="AB12" s="220">
        <v>45750</v>
      </c>
      <c r="AC12" s="221" t="s">
        <v>503</v>
      </c>
      <c r="AD12" s="220">
        <v>45750</v>
      </c>
      <c r="AE12" s="221" t="s">
        <v>504</v>
      </c>
      <c r="AF12" s="221" t="s">
        <v>580</v>
      </c>
      <c r="AG12" s="221" t="s">
        <v>209</v>
      </c>
      <c r="AH12" s="218">
        <v>0</v>
      </c>
      <c r="BA12" s="20"/>
      <c r="BB12" s="20"/>
      <c r="BC12" s="22" t="s">
        <v>210</v>
      </c>
      <c r="BD12" s="93"/>
      <c r="BE12" s="22"/>
      <c r="BF12" s="19">
        <v>45762</v>
      </c>
      <c r="BG12" s="90" t="s">
        <v>503</v>
      </c>
      <c r="BH12" s="19">
        <v>45764</v>
      </c>
      <c r="BI12" s="49" t="s">
        <v>504</v>
      </c>
      <c r="BJ12" s="22" t="s">
        <v>577</v>
      </c>
      <c r="BK12" s="50" t="s">
        <v>581</v>
      </c>
      <c r="BL12" s="22" t="s">
        <v>582</v>
      </c>
      <c r="BM12" s="22" t="s">
        <v>569</v>
      </c>
      <c r="BN12" s="90" t="s">
        <v>13</v>
      </c>
      <c r="BO12" s="20">
        <v>45756</v>
      </c>
      <c r="BP12" s="94">
        <v>12</v>
      </c>
      <c r="BQ12" s="22">
        <v>12</v>
      </c>
      <c r="BR12" s="117">
        <v>1</v>
      </c>
    </row>
    <row r="13" spans="1:77" ht="15.6">
      <c r="A13" s="90" t="s">
        <v>533</v>
      </c>
      <c r="B13" s="203">
        <v>45798</v>
      </c>
      <c r="C13" s="49" t="s">
        <v>490</v>
      </c>
      <c r="D13" s="22" t="s">
        <v>583</v>
      </c>
      <c r="E13">
        <v>10</v>
      </c>
      <c r="K13"/>
      <c r="M13"/>
      <c r="N13" t="s">
        <v>573</v>
      </c>
      <c r="O13" t="s">
        <v>574</v>
      </c>
      <c r="P13" s="43" t="s">
        <v>532</v>
      </c>
      <c r="Q13" s="22" t="s">
        <v>13</v>
      </c>
      <c r="R13" s="22">
        <v>45772</v>
      </c>
      <c r="AA13" t="str">
        <f t="shared" si="0"/>
        <v xml:space="preserve">PO_1076Apothecary Botanicals </v>
      </c>
      <c r="AB13" s="220">
        <v>45750</v>
      </c>
      <c r="AC13" s="221" t="s">
        <v>503</v>
      </c>
      <c r="AD13" s="220">
        <v>45751</v>
      </c>
      <c r="AE13" s="221" t="s">
        <v>504</v>
      </c>
      <c r="AF13" s="221" t="s">
        <v>584</v>
      </c>
      <c r="AG13" s="221" t="s">
        <v>209</v>
      </c>
      <c r="AH13" s="218">
        <v>0</v>
      </c>
      <c r="BA13" s="20"/>
      <c r="BB13" s="20"/>
      <c r="BC13" s="22" t="s">
        <v>210</v>
      </c>
      <c r="BD13" s="93"/>
      <c r="BE13" s="22"/>
      <c r="BF13" s="19">
        <v>45762</v>
      </c>
      <c r="BG13" s="90" t="s">
        <v>503</v>
      </c>
      <c r="BH13" s="19">
        <v>45764</v>
      </c>
      <c r="BI13" s="49" t="s">
        <v>504</v>
      </c>
      <c r="BJ13" s="22" t="s">
        <v>577</v>
      </c>
      <c r="BK13" s="50" t="s">
        <v>278</v>
      </c>
      <c r="BL13" s="22" t="s">
        <v>585</v>
      </c>
      <c r="BM13" s="22" t="s">
        <v>569</v>
      </c>
      <c r="BN13" s="90" t="s">
        <v>13</v>
      </c>
      <c r="BO13" s="20">
        <v>45755</v>
      </c>
      <c r="BP13" s="94">
        <v>12</v>
      </c>
      <c r="BQ13" s="22">
        <v>12</v>
      </c>
      <c r="BR13" s="117">
        <v>1</v>
      </c>
    </row>
    <row r="14" spans="1:77" ht="15.6">
      <c r="A14" s="90" t="s">
        <v>533</v>
      </c>
      <c r="B14" s="19">
        <v>45799</v>
      </c>
      <c r="C14" s="49" t="s">
        <v>490</v>
      </c>
      <c r="D14" s="22" t="s">
        <v>586</v>
      </c>
      <c r="E14">
        <v>11</v>
      </c>
      <c r="K14"/>
      <c r="M14"/>
      <c r="N14" t="s">
        <v>278</v>
      </c>
      <c r="O14" t="s">
        <v>585</v>
      </c>
      <c r="P14" s="43" t="s">
        <v>532</v>
      </c>
      <c r="Q14" s="22" t="s">
        <v>13</v>
      </c>
      <c r="R14" s="22">
        <v>45777</v>
      </c>
      <c r="AA14" t="str">
        <f t="shared" si="0"/>
        <v/>
      </c>
      <c r="AB14" s="204"/>
      <c r="AD14" s="204"/>
      <c r="AE14" s="204"/>
      <c r="AF14" s="201"/>
      <c r="AG14" s="201"/>
      <c r="AH14" s="219">
        <v>594522</v>
      </c>
      <c r="BA14" s="20"/>
      <c r="BB14" s="20"/>
      <c r="BC14" s="22" t="s">
        <v>210</v>
      </c>
      <c r="BD14" s="93"/>
      <c r="BE14" s="22"/>
      <c r="BF14" s="19">
        <v>45762</v>
      </c>
      <c r="BG14" s="90" t="s">
        <v>503</v>
      </c>
      <c r="BH14" s="19">
        <v>45764</v>
      </c>
      <c r="BI14" s="49" t="s">
        <v>504</v>
      </c>
      <c r="BJ14" s="22" t="s">
        <v>577</v>
      </c>
      <c r="BK14" s="50" t="s">
        <v>241</v>
      </c>
      <c r="BL14" s="22" t="s">
        <v>587</v>
      </c>
      <c r="BM14" s="22" t="s">
        <v>569</v>
      </c>
      <c r="BN14" s="90" t="s">
        <v>13</v>
      </c>
      <c r="BO14" s="20">
        <v>45742</v>
      </c>
      <c r="BP14" s="94">
        <v>12</v>
      </c>
      <c r="BQ14" s="22">
        <v>12</v>
      </c>
      <c r="BR14" s="117">
        <v>1</v>
      </c>
    </row>
    <row r="15" spans="1:77" ht="15.6">
      <c r="A15" s="90" t="s">
        <v>503</v>
      </c>
      <c r="B15" s="203">
        <v>45800</v>
      </c>
      <c r="C15" s="49" t="s">
        <v>504</v>
      </c>
      <c r="D15" s="22" t="s">
        <v>588</v>
      </c>
      <c r="K15"/>
      <c r="M15"/>
      <c r="N15" t="s">
        <v>542</v>
      </c>
      <c r="O15" t="s">
        <v>543</v>
      </c>
      <c r="P15" s="43" t="s">
        <v>532</v>
      </c>
      <c r="Q15" s="22" t="s">
        <v>13</v>
      </c>
      <c r="R15" s="22">
        <v>45793</v>
      </c>
      <c r="AA15" t="str">
        <f t="shared" si="0"/>
        <v/>
      </c>
      <c r="AB15" s="204"/>
      <c r="AD15" s="204"/>
      <c r="AE15" s="204"/>
      <c r="AF15" s="24"/>
      <c r="AG15" s="24"/>
      <c r="AH15" s="211">
        <v>594522</v>
      </c>
      <c r="BA15" s="20"/>
      <c r="BB15" s="20"/>
      <c r="BC15" s="22" t="s">
        <v>210</v>
      </c>
      <c r="BD15" s="93"/>
      <c r="BE15" s="22"/>
      <c r="BF15" s="19">
        <v>45762</v>
      </c>
      <c r="BG15" s="90" t="s">
        <v>528</v>
      </c>
      <c r="BH15" s="19">
        <v>45764</v>
      </c>
      <c r="BI15" s="49" t="s">
        <v>504</v>
      </c>
      <c r="BJ15" s="22" t="s">
        <v>577</v>
      </c>
      <c r="BK15" s="50" t="s">
        <v>558</v>
      </c>
      <c r="BL15" s="22" t="s">
        <v>559</v>
      </c>
      <c r="BM15" s="22" t="s">
        <v>569</v>
      </c>
      <c r="BN15" s="90" t="s">
        <v>13</v>
      </c>
      <c r="BO15" s="20">
        <v>45740</v>
      </c>
      <c r="BP15" s="94">
        <v>12</v>
      </c>
      <c r="BQ15" s="22">
        <v>12</v>
      </c>
      <c r="BR15" s="117">
        <v>1</v>
      </c>
    </row>
    <row r="16" spans="1:77" ht="15.6">
      <c r="A16" s="24"/>
      <c r="B16" s="24"/>
      <c r="C16" s="14"/>
      <c r="D16" s="24"/>
      <c r="K16"/>
      <c r="M16"/>
      <c r="N16" t="s">
        <v>251</v>
      </c>
      <c r="O16" t="s">
        <v>589</v>
      </c>
      <c r="P16" s="43" t="s">
        <v>532</v>
      </c>
      <c r="Q16" s="22" t="s">
        <v>13</v>
      </c>
      <c r="R16" s="22">
        <v>45581</v>
      </c>
      <c r="AA16" t="str">
        <f t="shared" si="0"/>
        <v/>
      </c>
      <c r="AB16" s="204"/>
      <c r="AD16" s="204"/>
      <c r="AE16" s="204"/>
      <c r="AF16" s="24"/>
      <c r="AG16" s="24"/>
      <c r="AH16" s="211">
        <v>594522</v>
      </c>
      <c r="BA16" s="20">
        <v>45779</v>
      </c>
      <c r="BB16" s="20"/>
      <c r="BC16" s="22" t="s">
        <v>210</v>
      </c>
      <c r="BD16" s="93"/>
      <c r="BE16" s="22"/>
      <c r="BF16" s="19">
        <v>45758</v>
      </c>
      <c r="BG16" s="90" t="s">
        <v>24</v>
      </c>
      <c r="BH16" s="19"/>
      <c r="BI16" s="49" t="s">
        <v>490</v>
      </c>
      <c r="BJ16" s="22" t="s">
        <v>590</v>
      </c>
      <c r="BK16" s="50" t="s">
        <v>247</v>
      </c>
      <c r="BL16" s="22"/>
      <c r="BM16" s="22"/>
      <c r="BN16" s="90" t="s">
        <v>13</v>
      </c>
      <c r="BO16" s="20"/>
      <c r="BP16" s="94">
        <v>600</v>
      </c>
      <c r="BQ16" s="22">
        <v>12</v>
      </c>
      <c r="BR16" s="117">
        <v>50</v>
      </c>
    </row>
    <row r="17" spans="11:70" ht="15.6">
      <c r="K17"/>
      <c r="M17"/>
      <c r="N17" t="s">
        <v>564</v>
      </c>
      <c r="O17" t="s">
        <v>591</v>
      </c>
      <c r="P17" s="43" t="s">
        <v>532</v>
      </c>
      <c r="Q17" s="22" t="s">
        <v>13</v>
      </c>
      <c r="R17" s="22">
        <v>45772</v>
      </c>
      <c r="AA17" t="str">
        <f t="shared" si="0"/>
        <v/>
      </c>
      <c r="AB17" s="204"/>
      <c r="AD17" s="204"/>
      <c r="AE17" s="204"/>
      <c r="AF17" s="24"/>
      <c r="AG17" s="24"/>
      <c r="AH17" s="211">
        <v>594522</v>
      </c>
      <c r="BA17" s="20">
        <v>45792</v>
      </c>
      <c r="BB17" s="20"/>
      <c r="BC17" s="22" t="s">
        <v>210</v>
      </c>
      <c r="BD17" s="93"/>
      <c r="BE17" s="22"/>
      <c r="BF17" s="19">
        <v>45757</v>
      </c>
      <c r="BG17" s="90" t="s">
        <v>592</v>
      </c>
      <c r="BH17" s="19"/>
      <c r="BI17" s="49" t="s">
        <v>490</v>
      </c>
      <c r="BJ17" s="22" t="s">
        <v>593</v>
      </c>
      <c r="BK17" s="50" t="s">
        <v>279</v>
      </c>
      <c r="BL17" s="22"/>
      <c r="BM17" s="22"/>
      <c r="BN17" s="90" t="s">
        <v>13</v>
      </c>
      <c r="BO17" s="20"/>
      <c r="BP17" s="94">
        <v>1800</v>
      </c>
      <c r="BQ17" s="22">
        <v>12</v>
      </c>
      <c r="BR17" s="117">
        <v>150</v>
      </c>
    </row>
    <row r="18" spans="11:70" ht="15.6">
      <c r="K18"/>
      <c r="M18"/>
      <c r="N18" t="s">
        <v>594</v>
      </c>
      <c r="O18" t="s">
        <v>595</v>
      </c>
      <c r="P18" s="43" t="s">
        <v>532</v>
      </c>
      <c r="Q18" s="22" t="s">
        <v>13</v>
      </c>
      <c r="R18" s="22">
        <v>45786</v>
      </c>
      <c r="AA18" t="str">
        <f t="shared" si="0"/>
        <v/>
      </c>
      <c r="AB18" s="204"/>
      <c r="AD18" s="204"/>
      <c r="AE18" s="204"/>
      <c r="AF18" s="24"/>
      <c r="AG18" s="24"/>
      <c r="AH18" s="211">
        <v>594522</v>
      </c>
      <c r="BA18" s="20">
        <v>45768</v>
      </c>
      <c r="BB18" s="20"/>
      <c r="BC18" s="22" t="s">
        <v>210</v>
      </c>
      <c r="BD18" s="93"/>
      <c r="BE18" s="19"/>
      <c r="BF18" s="19">
        <v>45754</v>
      </c>
      <c r="BG18" s="90" t="s">
        <v>489</v>
      </c>
      <c r="BH18" s="19"/>
      <c r="BI18" s="49" t="s">
        <v>490</v>
      </c>
      <c r="BJ18" s="22" t="s">
        <v>596</v>
      </c>
      <c r="BK18" s="50" t="s">
        <v>242</v>
      </c>
      <c r="BL18" s="22"/>
      <c r="BM18" s="22"/>
      <c r="BN18" s="90" t="s">
        <v>13</v>
      </c>
      <c r="BO18" s="20"/>
      <c r="BP18" s="94">
        <v>420</v>
      </c>
      <c r="BQ18" s="22">
        <v>6</v>
      </c>
      <c r="BR18" s="117">
        <v>70</v>
      </c>
    </row>
    <row r="19" spans="11:70" ht="15.6">
      <c r="K19"/>
      <c r="M19"/>
      <c r="N19" t="s">
        <v>597</v>
      </c>
      <c r="O19" t="s">
        <v>598</v>
      </c>
      <c r="P19" s="43" t="s">
        <v>532</v>
      </c>
      <c r="Q19" s="22" t="s">
        <v>12</v>
      </c>
      <c r="R19" s="22">
        <v>45772</v>
      </c>
      <c r="AA19" t="str">
        <f t="shared" si="0"/>
        <v/>
      </c>
      <c r="AB19" s="204"/>
      <c r="AD19" s="204"/>
      <c r="AE19" s="204"/>
      <c r="AF19" s="24"/>
      <c r="AG19" s="24"/>
      <c r="AH19" s="211">
        <v>594522</v>
      </c>
      <c r="BA19" s="20"/>
      <c r="BB19" s="20"/>
      <c r="BC19" s="22" t="s">
        <v>210</v>
      </c>
      <c r="BD19" s="93"/>
      <c r="BE19" s="22"/>
      <c r="BF19" s="19">
        <v>45761</v>
      </c>
      <c r="BG19" s="90" t="s">
        <v>599</v>
      </c>
      <c r="BH19" s="19"/>
      <c r="BI19" s="49" t="s">
        <v>201</v>
      </c>
      <c r="BJ19" s="22" t="s">
        <v>600</v>
      </c>
      <c r="BK19" s="50" t="s">
        <v>597</v>
      </c>
      <c r="BL19" s="22"/>
      <c r="BM19" s="22"/>
      <c r="BN19" s="90" t="s">
        <v>18</v>
      </c>
      <c r="BO19" s="20"/>
      <c r="BP19" s="94"/>
      <c r="BQ19" s="22">
        <v>12</v>
      </c>
      <c r="BR19" s="117">
        <v>0</v>
      </c>
    </row>
    <row r="20" spans="11:70" ht="15.6">
      <c r="K20"/>
      <c r="M20"/>
      <c r="N20" t="s">
        <v>245</v>
      </c>
      <c r="P20" s="43"/>
      <c r="Q20" s="22" t="s">
        <v>21</v>
      </c>
      <c r="R20" s="22"/>
      <c r="AA20" t="str">
        <f t="shared" si="0"/>
        <v/>
      </c>
      <c r="AB20" s="204"/>
      <c r="AD20" s="204"/>
      <c r="AE20" s="204"/>
      <c r="AF20" s="24"/>
      <c r="AG20" s="24"/>
      <c r="AH20" s="211">
        <v>594522</v>
      </c>
      <c r="BA20" s="20"/>
      <c r="BB20" s="20"/>
      <c r="BC20" s="25"/>
      <c r="BD20" s="93"/>
      <c r="BE20" s="22"/>
      <c r="BF20" s="19">
        <v>45735</v>
      </c>
      <c r="BG20" s="90" t="s">
        <v>601</v>
      </c>
      <c r="BH20" s="19"/>
      <c r="BI20" s="49" t="s">
        <v>504</v>
      </c>
      <c r="BJ20" s="22" t="s">
        <v>602</v>
      </c>
      <c r="BK20" s="50" t="s">
        <v>273</v>
      </c>
      <c r="BL20" s="22"/>
      <c r="BM20" s="22"/>
      <c r="BN20" s="90" t="s">
        <v>13</v>
      </c>
      <c r="BO20" s="20"/>
      <c r="BP20" s="94">
        <v>12</v>
      </c>
      <c r="BQ20" s="22">
        <v>6</v>
      </c>
      <c r="BR20" s="117">
        <v>2</v>
      </c>
    </row>
    <row r="21" spans="11:70" ht="15.6">
      <c r="K21"/>
      <c r="M21"/>
      <c r="P21" s="43"/>
      <c r="Q21" s="22"/>
      <c r="R21" s="22"/>
      <c r="S21" t="str">
        <f t="shared" ref="S21:S57" si="1">O21&amp;P21</f>
        <v/>
      </c>
      <c r="AA21" t="str">
        <f t="shared" si="0"/>
        <v/>
      </c>
      <c r="AB21" s="204"/>
      <c r="AD21" s="204"/>
      <c r="AE21" s="204"/>
      <c r="AF21" s="24"/>
      <c r="AG21" s="24"/>
      <c r="AH21" s="211">
        <v>594522</v>
      </c>
      <c r="BA21" s="20">
        <v>45778</v>
      </c>
      <c r="BB21" s="20"/>
      <c r="BC21" s="22" t="s">
        <v>523</v>
      </c>
      <c r="BD21" s="93"/>
      <c r="BE21" s="22"/>
      <c r="BF21" s="19">
        <v>45757</v>
      </c>
      <c r="BG21" s="90" t="s">
        <v>603</v>
      </c>
      <c r="BH21" s="19"/>
      <c r="BI21" s="49" t="s">
        <v>490</v>
      </c>
      <c r="BJ21" s="22" t="s">
        <v>604</v>
      </c>
      <c r="BK21" s="50" t="s">
        <v>605</v>
      </c>
      <c r="BL21" s="22"/>
      <c r="BM21" s="22"/>
      <c r="BN21" s="90" t="s">
        <v>12</v>
      </c>
      <c r="BO21" s="20"/>
      <c r="BP21" s="94">
        <v>84</v>
      </c>
      <c r="BQ21" s="22">
        <v>12</v>
      </c>
      <c r="BR21" s="117">
        <v>7</v>
      </c>
    </row>
    <row r="22" spans="11:70" ht="15.6" customHeight="1">
      <c r="K22"/>
      <c r="M22"/>
      <c r="P22" s="43"/>
      <c r="Q22" s="22"/>
      <c r="R22" s="22"/>
      <c r="S22" t="str">
        <f t="shared" si="1"/>
        <v/>
      </c>
      <c r="AA22" t="str">
        <f t="shared" si="0"/>
        <v/>
      </c>
      <c r="AB22" s="204"/>
      <c r="AD22" s="204"/>
      <c r="AE22" s="204"/>
      <c r="AF22" s="24"/>
      <c r="AG22" s="24"/>
      <c r="AH22" s="211">
        <v>594522</v>
      </c>
      <c r="AN22" s="202" t="s">
        <v>513</v>
      </c>
      <c r="AO22" s="202" t="s">
        <v>474</v>
      </c>
      <c r="AP22" s="202" t="s">
        <v>475</v>
      </c>
      <c r="AQ22" s="202" t="s">
        <v>476</v>
      </c>
      <c r="BA22" s="20">
        <v>45778</v>
      </c>
      <c r="BB22" s="20"/>
      <c r="BC22" s="22" t="s">
        <v>523</v>
      </c>
      <c r="BD22" s="93"/>
      <c r="BE22" s="22"/>
      <c r="BF22" s="19">
        <v>45757</v>
      </c>
      <c r="BG22" s="90" t="s">
        <v>603</v>
      </c>
      <c r="BH22" s="19"/>
      <c r="BI22" s="49" t="s">
        <v>490</v>
      </c>
      <c r="BJ22" s="22" t="s">
        <v>604</v>
      </c>
      <c r="BK22" s="50" t="s">
        <v>271</v>
      </c>
      <c r="BL22" s="22"/>
      <c r="BM22" s="22"/>
      <c r="BN22" s="90" t="s">
        <v>12</v>
      </c>
      <c r="BO22" s="20"/>
      <c r="BP22" s="94">
        <v>12</v>
      </c>
      <c r="BQ22" s="22">
        <v>12</v>
      </c>
      <c r="BR22" s="117">
        <v>1</v>
      </c>
    </row>
    <row r="23" spans="11:70" ht="15.6">
      <c r="K23"/>
      <c r="M23"/>
      <c r="P23" s="43"/>
      <c r="Q23" s="22"/>
      <c r="R23" s="22"/>
      <c r="S23" t="str">
        <f t="shared" si="1"/>
        <v/>
      </c>
      <c r="AA23" t="str">
        <f t="shared" si="0"/>
        <v/>
      </c>
      <c r="AH23" s="212">
        <v>594522</v>
      </c>
      <c r="AN23" s="22"/>
      <c r="AO23" s="90" t="s">
        <v>489</v>
      </c>
      <c r="AP23" s="19">
        <v>45744</v>
      </c>
      <c r="AQ23" s="22" t="s">
        <v>606</v>
      </c>
      <c r="BA23" s="20">
        <v>45778</v>
      </c>
      <c r="BB23" s="20"/>
      <c r="BC23" s="22" t="s">
        <v>523</v>
      </c>
      <c r="BD23" s="93"/>
      <c r="BE23" s="22"/>
      <c r="BF23" s="19">
        <v>45757</v>
      </c>
      <c r="BG23" s="90" t="s">
        <v>603</v>
      </c>
      <c r="BH23" s="19"/>
      <c r="BI23" s="49" t="s">
        <v>490</v>
      </c>
      <c r="BJ23" s="22" t="s">
        <v>607</v>
      </c>
      <c r="BK23" s="50" t="s">
        <v>247</v>
      </c>
      <c r="BL23" s="22"/>
      <c r="BM23" s="22"/>
      <c r="BN23" s="90" t="s">
        <v>12</v>
      </c>
      <c r="BO23" s="20"/>
      <c r="BP23" s="94">
        <v>108</v>
      </c>
      <c r="BQ23" s="22">
        <v>12</v>
      </c>
      <c r="BR23" s="117">
        <v>9</v>
      </c>
    </row>
    <row r="24" spans="11:70" ht="15.6">
      <c r="K24"/>
      <c r="M24"/>
      <c r="P24" s="43"/>
      <c r="Q24" s="22"/>
      <c r="R24" s="22"/>
      <c r="S24" t="str">
        <f t="shared" si="1"/>
        <v/>
      </c>
      <c r="AN24" s="22"/>
      <c r="AO24" s="90" t="s">
        <v>19</v>
      </c>
      <c r="AP24" s="19">
        <v>45744</v>
      </c>
      <c r="AQ24" s="22" t="s">
        <v>608</v>
      </c>
      <c r="BA24" s="20">
        <v>45764</v>
      </c>
      <c r="BB24" s="20"/>
      <c r="BC24" s="22" t="s">
        <v>523</v>
      </c>
      <c r="BD24" s="93"/>
      <c r="BE24" s="22"/>
      <c r="BF24" s="19">
        <v>45761</v>
      </c>
      <c r="BG24" s="90" t="s">
        <v>603</v>
      </c>
      <c r="BH24" s="19">
        <v>45764</v>
      </c>
      <c r="BI24" s="49" t="s">
        <v>490</v>
      </c>
      <c r="BJ24" s="22" t="s">
        <v>609</v>
      </c>
      <c r="BK24" s="50" t="s">
        <v>245</v>
      </c>
      <c r="BL24" s="22" t="s">
        <v>610</v>
      </c>
      <c r="BM24" s="22" t="s">
        <v>569</v>
      </c>
      <c r="BN24" s="90" t="s">
        <v>12</v>
      </c>
      <c r="BO24" s="20">
        <v>45700</v>
      </c>
      <c r="BP24" s="94">
        <v>60</v>
      </c>
      <c r="BQ24" s="22">
        <v>12</v>
      </c>
      <c r="BR24" s="117">
        <v>5</v>
      </c>
    </row>
    <row r="25" spans="11:70" ht="15.6">
      <c r="K25"/>
      <c r="M25"/>
      <c r="P25" s="43"/>
      <c r="Q25" s="22"/>
      <c r="R25" s="22"/>
      <c r="S25" t="str">
        <f t="shared" si="1"/>
        <v/>
      </c>
      <c r="AQ25" s="22"/>
      <c r="AR25" s="90" t="s">
        <v>603</v>
      </c>
      <c r="AS25" s="19">
        <v>45743</v>
      </c>
      <c r="AT25" s="22" t="s">
        <v>611</v>
      </c>
      <c r="BA25" s="20">
        <v>45764</v>
      </c>
      <c r="BB25" s="20"/>
      <c r="BC25" s="22" t="s">
        <v>523</v>
      </c>
      <c r="BD25" s="93"/>
      <c r="BE25" s="22"/>
      <c r="BF25" s="19">
        <v>45761</v>
      </c>
      <c r="BG25" s="90" t="s">
        <v>603</v>
      </c>
      <c r="BH25" s="19">
        <v>45764</v>
      </c>
      <c r="BI25" s="49" t="s">
        <v>490</v>
      </c>
      <c r="BJ25" s="22" t="s">
        <v>609</v>
      </c>
      <c r="BK25" s="50" t="s">
        <v>251</v>
      </c>
      <c r="BL25" s="22" t="s">
        <v>612</v>
      </c>
      <c r="BM25" s="22" t="s">
        <v>569</v>
      </c>
      <c r="BN25" s="90" t="s">
        <v>12</v>
      </c>
      <c r="BO25" s="20">
        <v>45756</v>
      </c>
      <c r="BP25" s="94">
        <v>24</v>
      </c>
      <c r="BQ25" s="22">
        <v>12</v>
      </c>
      <c r="BR25" s="117">
        <v>2</v>
      </c>
    </row>
    <row r="26" spans="11:70" ht="15.6">
      <c r="K26"/>
      <c r="M26"/>
      <c r="P26" s="43"/>
      <c r="Q26" s="22"/>
      <c r="R26" s="22"/>
      <c r="S26" t="str">
        <f t="shared" si="1"/>
        <v/>
      </c>
      <c r="AQ26" s="22"/>
      <c r="AR26" s="90" t="s">
        <v>489</v>
      </c>
      <c r="AS26" s="19">
        <v>45744</v>
      </c>
      <c r="AT26" s="22" t="s">
        <v>613</v>
      </c>
      <c r="BA26" s="20">
        <v>45764</v>
      </c>
      <c r="BB26" s="20"/>
      <c r="BC26" s="22" t="s">
        <v>523</v>
      </c>
      <c r="BD26" s="93"/>
      <c r="BE26" s="22"/>
      <c r="BF26" s="19">
        <v>45761</v>
      </c>
      <c r="BG26" s="90" t="s">
        <v>603</v>
      </c>
      <c r="BH26" s="19">
        <v>45764</v>
      </c>
      <c r="BI26" s="49" t="s">
        <v>490</v>
      </c>
      <c r="BJ26" s="22" t="s">
        <v>609</v>
      </c>
      <c r="BK26" s="50" t="s">
        <v>267</v>
      </c>
      <c r="BL26" s="22" t="s">
        <v>614</v>
      </c>
      <c r="BM26" s="22" t="s">
        <v>569</v>
      </c>
      <c r="BN26" s="90" t="s">
        <v>12</v>
      </c>
      <c r="BO26" s="20">
        <v>45749</v>
      </c>
      <c r="BP26" s="94">
        <v>12</v>
      </c>
      <c r="BQ26" s="22">
        <v>12</v>
      </c>
      <c r="BR26" s="117">
        <v>1</v>
      </c>
    </row>
    <row r="27" spans="11:70" ht="15.6">
      <c r="K27"/>
      <c r="M27"/>
      <c r="P27" s="43"/>
      <c r="Q27" s="22"/>
      <c r="R27" s="22"/>
      <c r="S27" t="str">
        <f t="shared" si="1"/>
        <v/>
      </c>
      <c r="AQ27" s="22"/>
      <c r="AR27" s="90" t="s">
        <v>489</v>
      </c>
      <c r="AS27" s="19">
        <v>45744</v>
      </c>
      <c r="AT27" s="22" t="s">
        <v>615</v>
      </c>
      <c r="BA27" s="20">
        <v>45776</v>
      </c>
      <c r="BB27" s="20"/>
      <c r="BC27" s="22" t="s">
        <v>210</v>
      </c>
      <c r="BD27" s="93"/>
      <c r="BE27" s="19"/>
      <c r="BF27" s="19">
        <v>45754</v>
      </c>
      <c r="BG27" s="90" t="s">
        <v>616</v>
      </c>
      <c r="BH27" s="19"/>
      <c r="BI27" s="49" t="s">
        <v>201</v>
      </c>
      <c r="BJ27" s="22" t="s">
        <v>617</v>
      </c>
      <c r="BK27" s="50" t="s">
        <v>291</v>
      </c>
      <c r="BL27" s="22"/>
      <c r="BM27" s="22"/>
      <c r="BN27" s="90" t="s">
        <v>14</v>
      </c>
      <c r="BO27" s="20"/>
      <c r="BP27" s="94">
        <v>360</v>
      </c>
      <c r="BQ27" s="22">
        <v>12</v>
      </c>
      <c r="BR27" s="117">
        <v>30</v>
      </c>
    </row>
    <row r="28" spans="11:70" ht="15.6">
      <c r="K28"/>
      <c r="M28"/>
      <c r="P28" s="43"/>
      <c r="Q28" s="22"/>
      <c r="R28" s="22"/>
      <c r="S28" t="str">
        <f t="shared" si="1"/>
        <v/>
      </c>
      <c r="U28" s="204" t="str" cm="1">
        <f t="array" ref="U28:Z46">_xlfn.UNIQUE(K1:P57)</f>
        <v>PO_date</v>
      </c>
      <c r="V28" t="str">
        <v>sales_stream</v>
      </c>
      <c r="W28" t="str">
        <v>Shipping date</v>
      </c>
      <c r="X28" t="str">
        <v>distributor_stream</v>
      </c>
      <c r="Y28" t="str">
        <v>po_number</v>
      </c>
      <c r="Z28" t="str">
        <v>Partner</v>
      </c>
      <c r="AH28" s="213"/>
      <c r="AQ28" s="19">
        <v>45743</v>
      </c>
      <c r="AR28" s="90" t="s">
        <v>618</v>
      </c>
      <c r="AS28" s="19">
        <v>45743</v>
      </c>
      <c r="AT28" s="22" t="s">
        <v>619</v>
      </c>
      <c r="BA28" s="20">
        <v>45776</v>
      </c>
      <c r="BB28" s="20"/>
      <c r="BC28" s="22" t="s">
        <v>210</v>
      </c>
      <c r="BD28" s="93"/>
      <c r="BE28" s="19"/>
      <c r="BF28" s="19">
        <v>45754</v>
      </c>
      <c r="BG28" s="90" t="s">
        <v>616</v>
      </c>
      <c r="BH28" s="19"/>
      <c r="BI28" s="49" t="s">
        <v>201</v>
      </c>
      <c r="BJ28" s="22" t="s">
        <v>617</v>
      </c>
      <c r="BK28" s="50" t="s">
        <v>564</v>
      </c>
      <c r="BL28" s="22"/>
      <c r="BM28" s="22"/>
      <c r="BN28" s="90" t="s">
        <v>14</v>
      </c>
      <c r="BO28" s="20"/>
      <c r="BP28" s="94">
        <v>180</v>
      </c>
      <c r="BQ28" s="22">
        <v>12</v>
      </c>
      <c r="BR28" s="117">
        <v>15</v>
      </c>
    </row>
    <row r="29" spans="11:70" ht="15.6">
      <c r="K29"/>
      <c r="M29"/>
      <c r="P29" s="43"/>
      <c r="Q29" s="22"/>
      <c r="R29" s="22"/>
      <c r="S29" t="str">
        <f t="shared" si="1"/>
        <v/>
      </c>
      <c r="U29" s="204" t="str">
        <v>Shipping date</v>
      </c>
      <c r="V29" t="str">
        <v>distributor_stream</v>
      </c>
      <c r="W29" s="204" t="str">
        <v>po_number</v>
      </c>
      <c r="X29" t="str">
        <v>product_name</v>
      </c>
      <c r="Y29" t="str">
        <v>ProductLot#</v>
      </c>
      <c r="Z29" t="str">
        <v>Excised(Yes/No)</v>
      </c>
      <c r="AQ29" s="19">
        <v>45741</v>
      </c>
      <c r="AR29" s="90" t="s">
        <v>533</v>
      </c>
      <c r="AS29" s="19">
        <v>45743</v>
      </c>
      <c r="AT29" s="22" t="s">
        <v>620</v>
      </c>
      <c r="BA29" s="20"/>
      <c r="BB29" s="20"/>
      <c r="BC29" s="22" t="s">
        <v>210</v>
      </c>
      <c r="BD29" s="93"/>
      <c r="BE29" s="22"/>
      <c r="BF29" s="19">
        <v>45763</v>
      </c>
      <c r="BG29" s="90" t="s">
        <v>503</v>
      </c>
      <c r="BH29" s="19"/>
      <c r="BI29" s="49" t="s">
        <v>504</v>
      </c>
      <c r="BJ29" s="22" t="s">
        <v>621</v>
      </c>
      <c r="BK29" s="50" t="s">
        <v>264</v>
      </c>
      <c r="BL29" s="22" t="s">
        <v>622</v>
      </c>
      <c r="BM29" s="22" t="s">
        <v>264</v>
      </c>
      <c r="BN29" s="90" t="s">
        <v>328</v>
      </c>
      <c r="BO29" s="20">
        <v>45603</v>
      </c>
      <c r="BP29" s="94">
        <v>24</v>
      </c>
      <c r="BQ29" s="22">
        <v>12</v>
      </c>
      <c r="BR29" s="117">
        <v>2</v>
      </c>
    </row>
    <row r="30" spans="11:70" ht="15.6">
      <c r="K30"/>
      <c r="M30"/>
      <c r="P30" s="43"/>
      <c r="Q30" s="22"/>
      <c r="R30" s="22"/>
      <c r="S30" t="str">
        <f t="shared" si="1"/>
        <v/>
      </c>
      <c r="U30" s="204">
        <v>45790</v>
      </c>
      <c r="V30" t="str">
        <v>Provincial Distribution</v>
      </c>
      <c r="W30" s="204" t="str">
        <v>PO_494609_OFDMB</v>
      </c>
      <c r="X30" t="str">
        <v>November Rain Blast Pre-Roll - Blueberry-3 x 0.5g Pre-Roll</v>
      </c>
      <c r="Y30">
        <v>0</v>
      </c>
      <c r="Z30">
        <v>0</v>
      </c>
      <c r="AQ30" s="19">
        <v>45743</v>
      </c>
      <c r="AR30" s="90" t="s">
        <v>623</v>
      </c>
      <c r="AS30" s="19">
        <v>45744</v>
      </c>
      <c r="AT30" s="22" t="s">
        <v>624</v>
      </c>
      <c r="BA30" s="20"/>
      <c r="BB30" s="20"/>
      <c r="BC30" s="22" t="s">
        <v>210</v>
      </c>
      <c r="BD30" s="93"/>
      <c r="BE30" s="22"/>
      <c r="BF30" s="19">
        <v>45763</v>
      </c>
      <c r="BG30" s="90" t="s">
        <v>503</v>
      </c>
      <c r="BH30" s="19"/>
      <c r="BI30" s="49" t="s">
        <v>504</v>
      </c>
      <c r="BJ30" s="22" t="s">
        <v>621</v>
      </c>
      <c r="BK30" s="50" t="s">
        <v>280</v>
      </c>
      <c r="BL30" s="22" t="s">
        <v>625</v>
      </c>
      <c r="BM30" s="22" t="s">
        <v>626</v>
      </c>
      <c r="BN30" s="90" t="s">
        <v>328</v>
      </c>
      <c r="BO30" s="20">
        <v>45707</v>
      </c>
      <c r="BP30" s="94">
        <v>24</v>
      </c>
      <c r="BQ30" s="22">
        <v>12</v>
      </c>
      <c r="BR30" s="117">
        <v>2</v>
      </c>
    </row>
    <row r="31" spans="11:70" ht="15.6">
      <c r="K31"/>
      <c r="M31"/>
      <c r="P31" s="43"/>
      <c r="Q31" s="22"/>
      <c r="R31" s="22"/>
      <c r="S31" t="str">
        <f t="shared" si="1"/>
        <v/>
      </c>
      <c r="U31" s="204">
        <v>45791</v>
      </c>
      <c r="V31" t="str">
        <v>Retail</v>
      </c>
      <c r="W31" s="204" t="str">
        <v>PO_1111</v>
      </c>
      <c r="X31" t="str">
        <v>November Rain Blast Pre-Roll - Watermelon-3 x 0.5g Pre-Roll</v>
      </c>
      <c r="Y31">
        <v>0</v>
      </c>
      <c r="Z31">
        <v>0</v>
      </c>
      <c r="AQ31" s="19">
        <v>45743</v>
      </c>
      <c r="AR31" s="90" t="s">
        <v>503</v>
      </c>
      <c r="AS31" s="19">
        <v>45744</v>
      </c>
      <c r="AT31" s="22" t="s">
        <v>627</v>
      </c>
      <c r="BA31" s="20"/>
      <c r="BB31" s="20"/>
      <c r="BC31" s="22"/>
      <c r="BD31" s="93"/>
      <c r="BE31" s="22"/>
      <c r="BF31" s="19">
        <v>45763</v>
      </c>
      <c r="BG31" s="90" t="s">
        <v>503</v>
      </c>
      <c r="BH31" s="19"/>
      <c r="BI31" s="49" t="s">
        <v>504</v>
      </c>
      <c r="BJ31" s="22" t="s">
        <v>621</v>
      </c>
      <c r="BK31" s="50" t="s">
        <v>251</v>
      </c>
      <c r="BL31" s="22" t="s">
        <v>589</v>
      </c>
      <c r="BM31" s="22" t="s">
        <v>323</v>
      </c>
      <c r="BN31" s="90" t="s">
        <v>308</v>
      </c>
      <c r="BO31" s="20">
        <v>45581</v>
      </c>
      <c r="BP31" s="94">
        <v>1</v>
      </c>
      <c r="BQ31" s="22">
        <v>12</v>
      </c>
      <c r="BR31" s="117">
        <v>8.3333333333333329E-2</v>
      </c>
    </row>
    <row r="32" spans="11:70" ht="15.6">
      <c r="K32"/>
      <c r="M32"/>
      <c r="P32" s="43"/>
      <c r="Q32" s="22"/>
      <c r="R32" s="22"/>
      <c r="S32" t="str">
        <f t="shared" si="1"/>
        <v/>
      </c>
      <c r="U32" s="204">
        <v>45790</v>
      </c>
      <c r="V32" t="str">
        <v>Provincial Distribution</v>
      </c>
      <c r="W32" s="204" t="str">
        <v>PO_495906_OFDMB</v>
      </c>
      <c r="X32" t="str">
        <v>November Rain Pre-Roll - Rose-3 x 0.5g Pre-Roll</v>
      </c>
      <c r="Y32">
        <v>0</v>
      </c>
      <c r="Z32">
        <v>0</v>
      </c>
      <c r="AQ32" s="22"/>
      <c r="AR32" s="90" t="s">
        <v>503</v>
      </c>
      <c r="AS32" s="19">
        <v>45748</v>
      </c>
      <c r="AT32" s="22" t="s">
        <v>628</v>
      </c>
      <c r="BA32" s="20"/>
      <c r="BB32" s="20"/>
      <c r="BC32" s="22" t="s">
        <v>210</v>
      </c>
      <c r="BD32" s="93"/>
      <c r="BE32" s="22"/>
      <c r="BF32" s="19">
        <v>45763</v>
      </c>
      <c r="BG32" s="90" t="s">
        <v>503</v>
      </c>
      <c r="BH32" s="19"/>
      <c r="BI32" s="49" t="s">
        <v>504</v>
      </c>
      <c r="BJ32" s="22" t="s">
        <v>621</v>
      </c>
      <c r="BK32" s="50" t="s">
        <v>251</v>
      </c>
      <c r="BL32" s="22"/>
      <c r="BM32" s="22"/>
      <c r="BN32" s="22"/>
      <c r="BO32" s="20"/>
      <c r="BP32" s="94">
        <v>35</v>
      </c>
      <c r="BQ32" s="22">
        <v>12</v>
      </c>
      <c r="BR32" s="117">
        <v>2.9166666666666665</v>
      </c>
    </row>
    <row r="33" spans="11:70" ht="15.6">
      <c r="K33"/>
      <c r="M33"/>
      <c r="P33" s="43"/>
      <c r="Q33" s="22"/>
      <c r="R33" s="22"/>
      <c r="S33" t="str">
        <f t="shared" si="1"/>
        <v/>
      </c>
      <c r="U33" s="204">
        <v>45791</v>
      </c>
      <c r="V33" t="str">
        <v>Retail</v>
      </c>
      <c r="W33" s="204" t="str">
        <v>PO_1112</v>
      </c>
      <c r="X33" t="str">
        <v>November Rain Infused Pre-Roll - Rose-3 x 0.5g Pre-Roll</v>
      </c>
      <c r="Y33" t="str">
        <v>PR2303IN02F5P3</v>
      </c>
      <c r="Z33" t="str">
        <v>YES</v>
      </c>
      <c r="AQ33" s="22"/>
      <c r="AR33" s="90" t="s">
        <v>503</v>
      </c>
      <c r="AS33" s="19">
        <v>45748</v>
      </c>
      <c r="AT33" s="22" t="s">
        <v>629</v>
      </c>
      <c r="BA33" s="20"/>
      <c r="BB33" s="20"/>
      <c r="BC33" s="22" t="s">
        <v>210</v>
      </c>
      <c r="BD33" s="93"/>
      <c r="BE33" s="22"/>
      <c r="BF33" s="19">
        <v>45763</v>
      </c>
      <c r="BG33" s="90" t="s">
        <v>503</v>
      </c>
      <c r="BH33" s="19"/>
      <c r="BI33" s="49" t="s">
        <v>504</v>
      </c>
      <c r="BJ33" s="22" t="s">
        <v>621</v>
      </c>
      <c r="BK33" s="50" t="s">
        <v>258</v>
      </c>
      <c r="BL33" s="22" t="s">
        <v>630</v>
      </c>
      <c r="BM33" s="22" t="s">
        <v>324</v>
      </c>
      <c r="BN33" s="90" t="s">
        <v>308</v>
      </c>
      <c r="BO33" s="20">
        <v>45707</v>
      </c>
      <c r="BP33" s="94">
        <v>17</v>
      </c>
      <c r="BQ33" s="22">
        <v>12</v>
      </c>
      <c r="BR33" s="117">
        <v>1.4166666666666667</v>
      </c>
    </row>
    <row r="34" spans="11:70" ht="15.6">
      <c r="K34"/>
      <c r="M34"/>
      <c r="P34" s="43"/>
      <c r="Q34" s="22"/>
      <c r="R34" s="117"/>
      <c r="S34" t="str">
        <f t="shared" si="1"/>
        <v/>
      </c>
      <c r="U34" s="204">
        <v>45792</v>
      </c>
      <c r="V34" t="str">
        <v>Retail</v>
      </c>
      <c r="W34" s="204" t="str">
        <v>PO_DD_Weeds2025051401</v>
      </c>
      <c r="X34" t="str">
        <v>November Rain- White Widow Live Resin Extract 1G LTO!</v>
      </c>
      <c r="Y34" t="str">
        <v>LR23032101</v>
      </c>
      <c r="Z34" t="str">
        <v>YES</v>
      </c>
      <c r="AQ34" s="22"/>
      <c r="AR34" s="90" t="s">
        <v>533</v>
      </c>
      <c r="AS34" s="19">
        <v>45749</v>
      </c>
      <c r="AT34" s="22" t="s">
        <v>631</v>
      </c>
      <c r="BA34" s="20"/>
      <c r="BB34" s="20"/>
      <c r="BC34" s="22" t="s">
        <v>210</v>
      </c>
      <c r="BD34" s="93"/>
      <c r="BE34" s="22"/>
      <c r="BF34" s="19">
        <v>45763</v>
      </c>
      <c r="BG34" s="90" t="s">
        <v>503</v>
      </c>
      <c r="BH34" s="19"/>
      <c r="BI34" s="49" t="s">
        <v>504</v>
      </c>
      <c r="BJ34" s="22" t="s">
        <v>621</v>
      </c>
      <c r="BK34" s="50" t="s">
        <v>258</v>
      </c>
      <c r="BL34" s="22"/>
      <c r="BM34" s="22"/>
      <c r="BN34" s="90" t="s">
        <v>13</v>
      </c>
      <c r="BO34" s="20"/>
      <c r="BP34" s="94">
        <v>19</v>
      </c>
      <c r="BQ34" s="22">
        <v>12</v>
      </c>
      <c r="BR34" s="117">
        <v>1.5833333333333333</v>
      </c>
    </row>
    <row r="35" spans="11:70" ht="15.6">
      <c r="K35"/>
      <c r="M35"/>
      <c r="P35" s="43"/>
      <c r="Q35" s="22"/>
      <c r="R35" s="117"/>
      <c r="S35" t="str">
        <f t="shared" si="1"/>
        <v/>
      </c>
      <c r="U35" s="204">
        <v>45791</v>
      </c>
      <c r="V35" t="str">
        <v>Intra Industry</v>
      </c>
      <c r="W35" s="204" t="str">
        <v>PO_02279</v>
      </c>
      <c r="X35" t="str">
        <v>Gelato Prerolls 3x0.5g</v>
      </c>
      <c r="Y35" t="str">
        <v>PR21071201G5</v>
      </c>
      <c r="Z35" t="str">
        <v>YES</v>
      </c>
      <c r="BA35" s="20"/>
      <c r="BB35" s="20"/>
      <c r="BC35" s="22" t="s">
        <v>210</v>
      </c>
      <c r="BD35" s="93"/>
      <c r="BE35" s="22"/>
      <c r="BF35" s="19">
        <v>45764</v>
      </c>
      <c r="BG35" s="90" t="s">
        <v>503</v>
      </c>
      <c r="BH35" s="19">
        <v>45764</v>
      </c>
      <c r="BI35" s="49" t="s">
        <v>504</v>
      </c>
      <c r="BJ35" s="22" t="s">
        <v>632</v>
      </c>
      <c r="BK35" s="50" t="s">
        <v>573</v>
      </c>
      <c r="BL35" s="22"/>
      <c r="BM35" s="22"/>
      <c r="BN35" s="90" t="s">
        <v>13</v>
      </c>
      <c r="BO35" s="20"/>
      <c r="BP35" s="94">
        <v>12</v>
      </c>
      <c r="BQ35" s="22">
        <v>12</v>
      </c>
      <c r="BR35" s="117">
        <v>1</v>
      </c>
    </row>
    <row r="36" spans="11:70" ht="15.6">
      <c r="K36"/>
      <c r="M36"/>
      <c r="P36" s="43"/>
      <c r="Q36" s="22"/>
      <c r="R36" s="117"/>
      <c r="S36" t="str">
        <f t="shared" si="1"/>
        <v/>
      </c>
      <c r="U36" s="204">
        <v>45793</v>
      </c>
      <c r="V36" t="str">
        <v>Provincial Distribution</v>
      </c>
      <c r="W36" s="204" t="str">
        <v>PO_498186_OFDMB</v>
      </c>
      <c r="X36" t="str">
        <v>ROGWORLD-Lemonade Octane Live Resin Biodegradable Hemp Vape Pen 1g</v>
      </c>
      <c r="Y36" t="str">
        <v>ROGEX001G1</v>
      </c>
      <c r="Z36" t="str">
        <v>YES</v>
      </c>
      <c r="BA36" s="20"/>
      <c r="BB36" s="20"/>
      <c r="BC36" s="22" t="s">
        <v>210</v>
      </c>
      <c r="BD36" s="93"/>
      <c r="BE36" s="22"/>
      <c r="BF36" s="19">
        <v>45764</v>
      </c>
      <c r="BG36" s="90" t="s">
        <v>528</v>
      </c>
      <c r="BH36" s="19">
        <v>45764</v>
      </c>
      <c r="BI36" s="49" t="s">
        <v>504</v>
      </c>
      <c r="BJ36" s="22" t="s">
        <v>632</v>
      </c>
      <c r="BK36" s="50" t="s">
        <v>558</v>
      </c>
      <c r="BL36" s="22"/>
      <c r="BM36" s="22"/>
      <c r="BN36" s="90" t="s">
        <v>13</v>
      </c>
      <c r="BO36" s="20"/>
      <c r="BP36" s="94">
        <v>12</v>
      </c>
      <c r="BQ36" s="22">
        <v>12</v>
      </c>
      <c r="BR36" s="117">
        <v>1</v>
      </c>
    </row>
    <row r="37" spans="11:70" ht="15.6">
      <c r="K37"/>
      <c r="M37"/>
      <c r="P37" s="43"/>
      <c r="Q37" s="22"/>
      <c r="R37" s="117"/>
      <c r="S37" t="str">
        <f t="shared" si="1"/>
        <v/>
      </c>
      <c r="U37" s="204">
        <v>0</v>
      </c>
      <c r="V37">
        <v>0</v>
      </c>
      <c r="W37" s="204">
        <v>0</v>
      </c>
      <c r="X37" t="str">
        <v>Midnight Kruntz 10x0.5g preroll</v>
      </c>
      <c r="Y37" t="str">
        <v>PR2501F5P10</v>
      </c>
      <c r="Z37" t="str">
        <v>YES</v>
      </c>
      <c r="BA37" s="20"/>
      <c r="BB37" s="20"/>
      <c r="BC37" s="22" t="s">
        <v>210</v>
      </c>
      <c r="BD37" s="93"/>
      <c r="BE37" s="22"/>
      <c r="BF37" s="19">
        <v>45763</v>
      </c>
      <c r="BG37" s="90" t="s">
        <v>503</v>
      </c>
      <c r="BH37" s="19">
        <v>45764</v>
      </c>
      <c r="BI37" s="49" t="s">
        <v>504</v>
      </c>
      <c r="BJ37" s="22" t="s">
        <v>633</v>
      </c>
      <c r="BK37" s="50" t="s">
        <v>245</v>
      </c>
      <c r="BL37" s="22"/>
      <c r="BM37" s="22"/>
      <c r="BN37" s="90" t="s">
        <v>13</v>
      </c>
      <c r="BO37" s="20"/>
      <c r="BP37" s="94">
        <v>12</v>
      </c>
      <c r="BQ37" s="22">
        <v>12</v>
      </c>
      <c r="BR37" s="117">
        <v>1</v>
      </c>
    </row>
    <row r="38" spans="11:70" ht="15.6">
      <c r="K38"/>
      <c r="M38"/>
      <c r="P38" s="43"/>
      <c r="Q38" s="22"/>
      <c r="R38" s="117"/>
      <c r="S38" t="str">
        <f t="shared" si="1"/>
        <v/>
      </c>
      <c r="U38" s="204">
        <v>0</v>
      </c>
      <c r="V38">
        <v>0</v>
      </c>
      <c r="W38" s="204">
        <v>0</v>
      </c>
      <c r="X38" t="str">
        <v xml:space="preserve">November Rain Pre-roll - Animal Mintz 2x1g </v>
      </c>
      <c r="Y38" t="str">
        <v>PR2507F1P2</v>
      </c>
      <c r="Z38" t="str">
        <v>YES</v>
      </c>
      <c r="BA38" s="20"/>
      <c r="BB38" s="20"/>
      <c r="BC38" s="22" t="s">
        <v>210</v>
      </c>
      <c r="BD38" s="93"/>
      <c r="BE38" s="22"/>
      <c r="BF38" s="19">
        <v>45763</v>
      </c>
      <c r="BG38" s="90" t="s">
        <v>503</v>
      </c>
      <c r="BH38" s="19">
        <v>45764</v>
      </c>
      <c r="BI38" s="49" t="s">
        <v>504</v>
      </c>
      <c r="BJ38" s="22" t="s">
        <v>633</v>
      </c>
      <c r="BK38" s="50" t="s">
        <v>290</v>
      </c>
      <c r="BL38" s="22"/>
      <c r="BM38" s="22"/>
      <c r="BN38" s="90" t="s">
        <v>13</v>
      </c>
      <c r="BO38" s="20"/>
      <c r="BP38" s="94">
        <v>12</v>
      </c>
      <c r="BQ38" s="22">
        <v>12</v>
      </c>
      <c r="BR38" s="117">
        <v>1</v>
      </c>
    </row>
    <row r="39" spans="11:70" ht="15.6">
      <c r="K39"/>
      <c r="M39"/>
      <c r="P39" s="43"/>
      <c r="Q39" s="22"/>
      <c r="R39" s="117"/>
      <c r="S39" t="str">
        <f t="shared" si="1"/>
        <v/>
      </c>
      <c r="U39" s="204">
        <v>0</v>
      </c>
      <c r="V39">
        <v>0</v>
      </c>
      <c r="W39" s="204">
        <v>0</v>
      </c>
      <c r="X39" t="str">
        <v>Pot Shot- Tropical Fruit</v>
      </c>
      <c r="Y39">
        <v>0</v>
      </c>
      <c r="Z39">
        <v>0</v>
      </c>
    </row>
    <row r="40" spans="11:70" ht="15.6">
      <c r="K40"/>
      <c r="M40"/>
      <c r="P40" s="43"/>
      <c r="Q40" s="22"/>
      <c r="R40" s="117"/>
      <c r="S40" t="str">
        <f t="shared" si="1"/>
        <v/>
      </c>
      <c r="U40" s="204">
        <v>0</v>
      </c>
      <c r="V40">
        <v>0</v>
      </c>
      <c r="W40" s="204">
        <v>0</v>
      </c>
      <c r="X40" t="str">
        <v>Blaster Multi Pack Prerolls 12x0.5g</v>
      </c>
      <c r="Y40" t="str">
        <v>PR251108F5P12</v>
      </c>
      <c r="Z40" t="str">
        <v>YES</v>
      </c>
    </row>
    <row r="41" spans="11:70" ht="15.6">
      <c r="K41"/>
      <c r="M41"/>
      <c r="P41" s="43"/>
      <c r="Q41" s="22"/>
      <c r="R41" s="117"/>
      <c r="S41" t="str">
        <f t="shared" si="1"/>
        <v/>
      </c>
      <c r="U41" s="204">
        <v>0</v>
      </c>
      <c r="V41">
        <v>0</v>
      </c>
      <c r="W41" s="204">
        <v>0</v>
      </c>
      <c r="X41" t="str">
        <v>November Rain- White Widow Live Resin Extract 1G LTO!</v>
      </c>
      <c r="Y41" t="str">
        <v>LR23032101</v>
      </c>
      <c r="Z41" t="str">
        <v>YES</v>
      </c>
    </row>
    <row r="42" spans="11:70" ht="15.6">
      <c r="K42"/>
      <c r="M42"/>
      <c r="P42" s="43"/>
      <c r="Q42" s="22"/>
      <c r="R42" s="117"/>
      <c r="S42" t="str">
        <f t="shared" si="1"/>
        <v/>
      </c>
      <c r="U42" s="204">
        <v>0</v>
      </c>
      <c r="V42">
        <v>0</v>
      </c>
      <c r="W42" s="204">
        <v>0</v>
      </c>
      <c r="X42" t="str">
        <v>November Rain Blast Pre-Roll - Blueberry-3 x 0.5g Pre-Roll</v>
      </c>
      <c r="Y42" t="str">
        <v>PR241105F5P3</v>
      </c>
      <c r="Z42" t="str">
        <v>YES</v>
      </c>
    </row>
    <row r="43" spans="11:70" ht="15.6">
      <c r="K43"/>
      <c r="M43"/>
      <c r="P43" s="43"/>
      <c r="Q43" s="22"/>
      <c r="R43" s="117"/>
      <c r="S43" t="str">
        <f t="shared" si="1"/>
        <v/>
      </c>
      <c r="U43" s="204">
        <v>0</v>
      </c>
      <c r="V43">
        <v>0</v>
      </c>
      <c r="W43" s="204">
        <v>0</v>
      </c>
      <c r="X43" t="str">
        <v>Midnight Kruntz 10x0.5g preroll</v>
      </c>
      <c r="Y43" t="str">
        <v>PR2516F5P10</v>
      </c>
      <c r="Z43" t="str">
        <v>YES</v>
      </c>
    </row>
    <row r="44" spans="11:70" ht="15.6">
      <c r="K44"/>
      <c r="M44"/>
      <c r="P44" s="43"/>
      <c r="Q44" s="22"/>
      <c r="R44" s="117"/>
      <c r="S44" t="str">
        <f t="shared" si="1"/>
        <v/>
      </c>
      <c r="U44" s="204">
        <v>0</v>
      </c>
      <c r="V44">
        <v>0</v>
      </c>
      <c r="W44" s="204">
        <v>0</v>
      </c>
      <c r="X44" t="str">
        <v>WEEDS-PINEAPPLE SOUR-28G</v>
      </c>
      <c r="Y44" t="str">
        <v>2025030701G28</v>
      </c>
      <c r="Z44" t="str">
        <v>YES</v>
      </c>
    </row>
    <row r="45" spans="11:70" ht="15.6">
      <c r="K45"/>
      <c r="M45"/>
      <c r="P45" s="43"/>
      <c r="Q45" s="22"/>
      <c r="R45" s="117"/>
      <c r="S45" t="str">
        <f t="shared" si="1"/>
        <v/>
      </c>
      <c r="U45" s="204">
        <v>0</v>
      </c>
      <c r="V45">
        <v>0</v>
      </c>
      <c r="W45" s="204">
        <v>0</v>
      </c>
      <c r="X45" t="str">
        <v xml:space="preserve">Rilaxe The One Night Stand Blunt 1x1g </v>
      </c>
      <c r="Y45" t="str">
        <v>PR2515F1P1</v>
      </c>
      <c r="Z45" t="str">
        <v>YES</v>
      </c>
    </row>
    <row r="46" spans="11:70" ht="15.6">
      <c r="K46"/>
      <c r="M46"/>
      <c r="P46" s="43"/>
      <c r="Q46" s="22"/>
      <c r="R46" s="117"/>
      <c r="S46" t="str">
        <f t="shared" si="1"/>
        <v/>
      </c>
      <c r="U46" s="204">
        <v>0</v>
      </c>
      <c r="V46">
        <v>0</v>
      </c>
      <c r="W46" s="204">
        <v>0</v>
      </c>
      <c r="X46">
        <v>0</v>
      </c>
      <c r="Y46">
        <v>0</v>
      </c>
      <c r="Z46">
        <v>0</v>
      </c>
    </row>
    <row r="47" spans="11:70" ht="15.6">
      <c r="K47"/>
      <c r="M47"/>
      <c r="P47" s="43"/>
      <c r="Q47" s="22"/>
      <c r="R47" s="117"/>
      <c r="S47" t="str">
        <f t="shared" si="1"/>
        <v/>
      </c>
      <c r="U47" s="204"/>
      <c r="W47" s="204"/>
    </row>
    <row r="48" spans="11:70" ht="15.6">
      <c r="K48"/>
      <c r="M48"/>
      <c r="P48" s="43"/>
      <c r="Q48" s="22"/>
      <c r="R48" s="117"/>
      <c r="S48" t="str">
        <f t="shared" si="1"/>
        <v/>
      </c>
      <c r="U48" s="204"/>
      <c r="W48" s="204"/>
    </row>
    <row r="49" spans="11:23" ht="15.6">
      <c r="K49"/>
      <c r="M49"/>
      <c r="P49" s="43"/>
      <c r="Q49" s="22"/>
      <c r="R49" s="117"/>
      <c r="S49" t="str">
        <f t="shared" si="1"/>
        <v/>
      </c>
      <c r="U49" s="204"/>
      <c r="W49" s="204"/>
    </row>
    <row r="50" spans="11:23" ht="15.6">
      <c r="K50"/>
      <c r="M50"/>
      <c r="P50" s="43"/>
      <c r="Q50" s="22"/>
      <c r="R50" s="117"/>
      <c r="S50" t="str">
        <f t="shared" si="1"/>
        <v/>
      </c>
    </row>
    <row r="51" spans="11:23" ht="15.6">
      <c r="K51"/>
      <c r="M51"/>
      <c r="P51" s="43"/>
      <c r="Q51" s="22"/>
      <c r="R51" s="117"/>
      <c r="S51" t="str">
        <f t="shared" si="1"/>
        <v/>
      </c>
    </row>
    <row r="52" spans="11:23" ht="15.6">
      <c r="K52"/>
      <c r="M52"/>
      <c r="P52" s="43"/>
      <c r="Q52" s="22"/>
      <c r="R52" s="117"/>
      <c r="S52" t="str">
        <f t="shared" si="1"/>
        <v/>
      </c>
    </row>
    <row r="53" spans="11:23" ht="15.6">
      <c r="K53"/>
      <c r="M53"/>
      <c r="P53" s="43"/>
      <c r="Q53" s="22"/>
      <c r="R53" s="22"/>
      <c r="S53" t="str">
        <f t="shared" si="1"/>
        <v/>
      </c>
    </row>
    <row r="54" spans="11:23" ht="15.6">
      <c r="K54"/>
      <c r="M54"/>
      <c r="P54" s="43"/>
      <c r="Q54" s="22"/>
      <c r="R54" s="22"/>
      <c r="S54" t="str">
        <f t="shared" si="1"/>
        <v/>
      </c>
    </row>
    <row r="55" spans="11:23" ht="15.6">
      <c r="K55"/>
      <c r="M55"/>
      <c r="P55" s="43"/>
      <c r="Q55" s="22"/>
      <c r="R55" s="22"/>
      <c r="S55" t="str">
        <f t="shared" si="1"/>
        <v/>
      </c>
    </row>
    <row r="56" spans="11:23" ht="15.6">
      <c r="K56"/>
      <c r="M56"/>
      <c r="P56" s="43"/>
      <c r="Q56" s="22"/>
      <c r="R56" s="22"/>
      <c r="S56" t="str">
        <f t="shared" si="1"/>
        <v/>
      </c>
    </row>
    <row r="57" spans="11:23" ht="15.6">
      <c r="K57"/>
      <c r="M57"/>
      <c r="P57" s="43"/>
      <c r="Q57" s="22"/>
      <c r="R57" s="22"/>
      <c r="S57" t="str">
        <f t="shared" si="1"/>
        <v/>
      </c>
    </row>
    <row r="58" spans="11:23">
      <c r="K58"/>
      <c r="M58"/>
    </row>
    <row r="59" spans="11:23">
      <c r="K59"/>
      <c r="M59"/>
    </row>
    <row r="60" spans="11:23">
      <c r="K60"/>
      <c r="M60"/>
    </row>
    <row r="61" spans="11:23" ht="13.95" customHeight="1">
      <c r="K61"/>
      <c r="M61"/>
    </row>
    <row r="62" spans="11:23" ht="13.95" customHeight="1">
      <c r="K62"/>
      <c r="M62"/>
    </row>
    <row r="63" spans="11:23" ht="13.95" customHeight="1">
      <c r="K63"/>
      <c r="M63"/>
    </row>
    <row r="64" spans="11:23" ht="15.6" customHeight="1">
      <c r="K64"/>
      <c r="M64"/>
    </row>
  </sheetData>
  <protectedRanges>
    <protectedRange algorithmName="SHA-512" hashValue="0MX2HNVIrjO4B8P2J9XDr3kLs3KDiFqKjWCCKh5VVgUaDhGUp36NC8PfPNFOBK3LzN/jD6R9QKvyDBm3EuZYmQ==" saltValue="JXQNO2vu76darqOxQxKefA==" spinCount="100000" sqref="AN22:AO22" name="Range1_5_3"/>
    <protectedRange algorithmName="SHA-512" hashValue="0MX2HNVIrjO4B8P2J9XDr3kLs3KDiFqKjWCCKh5VVgUaDhGUp36NC8PfPNFOBK3LzN/jD6R9QKvyDBm3EuZYmQ==" saltValue="JXQNO2vu76darqOxQxKefA==" spinCount="100000" sqref="K1:L1" name="Range1_5_1"/>
    <protectedRange algorithmName="SHA-512" hashValue="0MX2HNVIrjO4B8P2J9XDr3kLs3KDiFqKjWCCKh5VVgUaDhGUp36NC8PfPNFOBK3LzN/jD6R9QKvyDBm3EuZYmQ==" saltValue="JXQNO2vu76darqOxQxKefA==" spinCount="100000" sqref="BF4:BG4" name="Range1_5"/>
    <protectedRange algorithmName="SHA-512" hashValue="0MX2HNVIrjO4B8P2J9XDr3kLs3KDiFqKjWCCKh5VVgUaDhGUp36NC8PfPNFOBK3LzN/jD6R9QKvyDBm3EuZYmQ==" saltValue="JXQNO2vu76darqOxQxKefA==" spinCount="100000" sqref="A1" name="Range1_5_2"/>
  </protectedRanges>
  <sortState xmlns:xlrd2="http://schemas.microsoft.com/office/spreadsheetml/2017/richdata2" ref="A2:E12">
    <sortCondition ref="E1:E12"/>
  </sortState>
  <phoneticPr fontId="19" type="noConversion"/>
  <conditionalFormatting sqref="D1">
    <cfRule type="duplicateValues" dxfId="229" priority="1"/>
    <cfRule type="expression" dxfId="228" priority="2">
      <formula>AC:AC="THIS PO HAS BEEN SHIPPED BEFORE, PLEASE CHECK BEFORE PROCEEDING"</formula>
    </cfRule>
  </conditionalFormatting>
  <conditionalFormatting sqref="O1">
    <cfRule type="expression" dxfId="227" priority="423">
      <formula>#REF!="THIS PO HAS BEEN SHIPPED BEFORE, PLEASE CHECK BEFORE PROCEEDING"</formula>
    </cfRule>
  </conditionalFormatting>
  <conditionalFormatting sqref="O1:O2 O7:O12">
    <cfRule type="duplicateValues" dxfId="226" priority="11"/>
  </conditionalFormatting>
  <conditionalFormatting sqref="O3:O6">
    <cfRule type="duplicateValues" dxfId="225" priority="10"/>
  </conditionalFormatting>
  <conditionalFormatting sqref="AF1:AH1">
    <cfRule type="expression" dxfId="224" priority="47">
      <formula>AA:AA="THIS PO HAS BEEN SHIPPED BEFORE, PLEASE CHECK BEFORE PROCEEDING"</formula>
    </cfRule>
    <cfRule type="duplicateValues" dxfId="223" priority="383"/>
  </conditionalFormatting>
  <conditionalFormatting sqref="AQ22">
    <cfRule type="expression" dxfId="222" priority="424">
      <formula>BS:BS="THIS PO HAS BEEN SHIPPED BEFORE, PLEASE CHECK BEFORE PROCEEDING"</formula>
    </cfRule>
  </conditionalFormatting>
  <conditionalFormatting sqref="AT25:AT34 AQ22:AQ24">
    <cfRule type="duplicateValues" dxfId="221" priority="13"/>
  </conditionalFormatting>
  <conditionalFormatting sqref="BC4:BC38">
    <cfRule type="containsText" dxfId="220" priority="3" operator="containsText" text="NEED BOOKING">
      <formula>NOT(ISERROR(SEARCH("NEED BOOKING",BC4)))</formula>
    </cfRule>
  </conditionalFormatting>
  <conditionalFormatting sqref="BC5:BC38">
    <cfRule type="containsText" dxfId="219" priority="4" operator="containsText" text="Not Booked">
      <formula>NOT(ISERROR(SEARCH("Not Booked",BC5)))</formula>
    </cfRule>
    <cfRule type="containsText" dxfId="218" priority="5" operator="containsText" text="Booked ">
      <formula>NOT(ISERROR(SEARCH("Booked ",BC5)))</formula>
    </cfRule>
  </conditionalFormatting>
  <conditionalFormatting sqref="BE4">
    <cfRule type="expression" dxfId="217" priority="8">
      <formula>#REF!="THIS PO HAS BEEN SHIPPED BEFORE, PLEASE CHECK BEFORE PROCEEDING"</formula>
    </cfRule>
  </conditionalFormatting>
  <conditionalFormatting sqref="BJ4">
    <cfRule type="duplicateValues" dxfId="216" priority="6"/>
    <cfRule type="expression" dxfId="215" priority="9">
      <formula>CI:CI="THIS PO HAS BEEN SHIPPED BEFORE, PLEASE CHECK BEFORE PROCEEDING"</formula>
    </cfRule>
  </conditionalFormatting>
  <dataValidations count="3">
    <dataValidation type="list" allowBlank="1" showInputMessage="1" showErrorMessage="1" sqref="BI5:BI38 N2:N11 C2:C16" xr:uid="{23243F41-6A46-45DF-AA1E-8B2774697107}">
      <formula1>"Intra Industry, Provincial Distribution, Retail, Return, Sample"</formula1>
    </dataValidation>
    <dataValidation type="list" allowBlank="1" showInputMessage="1" showErrorMessage="1" sqref="BE4" xr:uid="{6981EF98-F7A2-41B9-BB09-B8B672CC602A}">
      <formula1>"Y, N"</formula1>
    </dataValidation>
    <dataValidation allowBlank="1" showInputMessage="1" showErrorMessage="1" errorTitle="Ediiting not allowed" error="Ediiting not allowed. If problem occurs, check product details or contact QA" sqref="BR4" xr:uid="{598E5C09-BB44-4FAA-A20E-6ED73649AAD6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B3C0-2204-4112-8B18-7D6F18FFF6DB}">
  <sheetPr published="0"/>
  <dimension ref="A1:Y55"/>
  <sheetViews>
    <sheetView topLeftCell="D1" workbookViewId="0">
      <selection activeCell="W30" sqref="W30"/>
    </sheetView>
  </sheetViews>
  <sheetFormatPr defaultRowHeight="13.8"/>
  <cols>
    <col min="1" max="1" width="25.5546875" bestFit="1" customWidth="1"/>
    <col min="2" max="2" width="44.109375" bestFit="1" customWidth="1"/>
    <col min="3" max="3" width="15.88671875" bestFit="1" customWidth="1"/>
    <col min="4" max="4" width="8.77734375" bestFit="1" customWidth="1"/>
    <col min="6" max="6" width="11.21875" bestFit="1" customWidth="1"/>
    <col min="10" max="10" width="8.77734375" bestFit="1" customWidth="1"/>
    <col min="11" max="11" width="8.77734375" customWidth="1"/>
    <col min="12" max="12" width="14.21875" bestFit="1" customWidth="1"/>
    <col min="13" max="13" width="13.77734375" bestFit="1" customWidth="1"/>
    <col min="14" max="14" width="14.109375" bestFit="1" customWidth="1"/>
    <col min="15" max="15" width="21" bestFit="1" customWidth="1"/>
    <col min="16" max="16" width="16.88671875" bestFit="1" customWidth="1"/>
    <col min="18" max="18" width="28.21875" bestFit="1" customWidth="1"/>
    <col min="19" max="19" width="10" style="320" bestFit="1" customWidth="1"/>
    <col min="20" max="20" width="26.88671875" bestFit="1" customWidth="1"/>
    <col min="21" max="21" width="20" bestFit="1" customWidth="1"/>
  </cols>
  <sheetData>
    <row r="1" spans="1:11" ht="55.2">
      <c r="A1" s="202" t="s">
        <v>476</v>
      </c>
      <c r="B1" s="202" t="s">
        <v>284</v>
      </c>
      <c r="C1" s="202" t="s">
        <v>493</v>
      </c>
      <c r="D1" s="202" t="s">
        <v>494</v>
      </c>
      <c r="E1" s="202" t="s">
        <v>495</v>
      </c>
      <c r="F1" s="202" t="s">
        <v>496</v>
      </c>
      <c r="G1" s="202" t="s">
        <v>514</v>
      </c>
      <c r="H1" s="202" t="s">
        <v>515</v>
      </c>
      <c r="I1" s="202" t="s">
        <v>516</v>
      </c>
      <c r="J1" s="202" t="s">
        <v>3287</v>
      </c>
      <c r="K1" s="314"/>
    </row>
    <row r="2" spans="1:11" ht="15.6">
      <c r="A2" s="90" t="s">
        <v>3288</v>
      </c>
      <c r="B2" s="50" t="s">
        <v>3289</v>
      </c>
      <c r="C2" s="90" t="s">
        <v>3290</v>
      </c>
      <c r="D2" s="90" t="s">
        <v>569</v>
      </c>
      <c r="E2" s="90" t="s">
        <v>13</v>
      </c>
      <c r="F2" s="235">
        <v>45685</v>
      </c>
      <c r="G2" s="236">
        <v>324</v>
      </c>
      <c r="H2" s="90">
        <v>12</v>
      </c>
      <c r="I2" s="237">
        <v>27</v>
      </c>
      <c r="J2" s="90">
        <v>810</v>
      </c>
      <c r="K2" s="4"/>
    </row>
    <row r="3" spans="1:11" ht="15.6">
      <c r="A3" s="22" t="s">
        <v>3291</v>
      </c>
      <c r="B3" s="50" t="s">
        <v>3289</v>
      </c>
      <c r="C3" s="22" t="s">
        <v>2868</v>
      </c>
      <c r="D3" s="22" t="s">
        <v>569</v>
      </c>
      <c r="E3" s="90" t="s">
        <v>13</v>
      </c>
      <c r="F3" s="20">
        <v>45765</v>
      </c>
      <c r="G3" s="94">
        <v>480</v>
      </c>
      <c r="H3" s="22">
        <v>12</v>
      </c>
      <c r="I3" s="117">
        <v>40</v>
      </c>
      <c r="J3" s="22">
        <v>1200</v>
      </c>
      <c r="K3" s="4"/>
    </row>
    <row r="4" spans="1:11" ht="15.6">
      <c r="A4" s="22" t="s">
        <v>3292</v>
      </c>
      <c r="B4" s="50" t="s">
        <v>3289</v>
      </c>
      <c r="C4" s="22" t="s">
        <v>3293</v>
      </c>
      <c r="D4" s="22" t="s">
        <v>532</v>
      </c>
      <c r="E4" s="90" t="s">
        <v>13</v>
      </c>
      <c r="F4" s="20">
        <v>45814</v>
      </c>
      <c r="G4" s="94">
        <v>408</v>
      </c>
      <c r="H4" s="22">
        <v>12</v>
      </c>
      <c r="I4" s="117">
        <v>34</v>
      </c>
      <c r="J4" s="22">
        <v>1020</v>
      </c>
      <c r="K4" s="110"/>
    </row>
    <row r="5" spans="1:11" ht="15.6">
      <c r="A5" s="90" t="s">
        <v>2574</v>
      </c>
      <c r="B5" s="234" t="s">
        <v>276</v>
      </c>
      <c r="C5" s="90" t="s">
        <v>3294</v>
      </c>
      <c r="D5" s="90" t="s">
        <v>569</v>
      </c>
      <c r="E5" s="90" t="s">
        <v>13</v>
      </c>
      <c r="F5" s="235">
        <v>45693</v>
      </c>
      <c r="G5" s="236">
        <v>750</v>
      </c>
      <c r="H5" s="90">
        <v>6</v>
      </c>
      <c r="I5" s="237">
        <v>125</v>
      </c>
      <c r="J5" s="90">
        <v>10500</v>
      </c>
      <c r="K5" s="4"/>
    </row>
    <row r="6" spans="1:11" ht="15.6">
      <c r="A6" s="22" t="s">
        <v>3295</v>
      </c>
      <c r="B6" s="50" t="s">
        <v>276</v>
      </c>
      <c r="C6" s="22" t="s">
        <v>3294</v>
      </c>
      <c r="D6" s="22" t="s">
        <v>569</v>
      </c>
      <c r="E6" s="90" t="s">
        <v>13</v>
      </c>
      <c r="F6" s="20">
        <v>45709</v>
      </c>
      <c r="G6" s="94">
        <v>600</v>
      </c>
      <c r="H6" s="22">
        <v>6</v>
      </c>
      <c r="I6" s="117">
        <v>100</v>
      </c>
      <c r="J6" s="22">
        <v>8400</v>
      </c>
      <c r="K6" s="110"/>
    </row>
    <row r="7" spans="1:11" ht="15.6">
      <c r="A7" s="90" t="s">
        <v>3296</v>
      </c>
      <c r="B7" s="234" t="s">
        <v>275</v>
      </c>
      <c r="C7" s="90" t="s">
        <v>1619</v>
      </c>
      <c r="D7" s="90" t="s">
        <v>569</v>
      </c>
      <c r="E7" s="90" t="s">
        <v>13</v>
      </c>
      <c r="F7" s="235">
        <v>45682</v>
      </c>
      <c r="G7" s="236">
        <v>144</v>
      </c>
      <c r="H7" s="90">
        <v>12</v>
      </c>
      <c r="I7" s="237">
        <v>12</v>
      </c>
      <c r="J7" s="90">
        <v>4032</v>
      </c>
      <c r="K7" s="4"/>
    </row>
    <row r="8" spans="1:11" ht="15.6">
      <c r="A8" s="22" t="s">
        <v>2873</v>
      </c>
      <c r="B8" s="50" t="s">
        <v>275</v>
      </c>
      <c r="C8" s="22" t="s">
        <v>3297</v>
      </c>
      <c r="D8" s="22" t="s">
        <v>569</v>
      </c>
      <c r="E8" s="90" t="s">
        <v>13</v>
      </c>
      <c r="F8" s="20">
        <v>45744</v>
      </c>
      <c r="G8" s="94">
        <v>108</v>
      </c>
      <c r="H8" s="22">
        <v>12</v>
      </c>
      <c r="I8" s="117">
        <v>9</v>
      </c>
      <c r="J8" s="22">
        <v>3024</v>
      </c>
      <c r="K8" s="4"/>
    </row>
    <row r="9" spans="1:11" ht="15.6">
      <c r="A9" s="22" t="s">
        <v>3292</v>
      </c>
      <c r="B9" s="50" t="s">
        <v>275</v>
      </c>
      <c r="C9" s="22" t="s">
        <v>3298</v>
      </c>
      <c r="D9" s="22" t="s">
        <v>532</v>
      </c>
      <c r="E9" s="90" t="s">
        <v>13</v>
      </c>
      <c r="F9" s="20">
        <v>45805</v>
      </c>
      <c r="G9" s="94">
        <v>180</v>
      </c>
      <c r="H9" s="22">
        <v>12</v>
      </c>
      <c r="I9" s="117">
        <v>15</v>
      </c>
      <c r="J9" s="22">
        <v>5040</v>
      </c>
      <c r="K9" s="4">
        <f>SUM(J2:J9)</f>
        <v>34026</v>
      </c>
    </row>
    <row r="10" spans="1:11" ht="15.6">
      <c r="A10" s="22" t="s">
        <v>3299</v>
      </c>
      <c r="B10" s="50" t="s">
        <v>3300</v>
      </c>
      <c r="C10" s="22" t="s">
        <v>3301</v>
      </c>
      <c r="D10" s="22" t="s">
        <v>3302</v>
      </c>
      <c r="E10" s="90" t="s">
        <v>13</v>
      </c>
      <c r="F10" s="20">
        <v>45707</v>
      </c>
      <c r="G10" s="94">
        <v>300</v>
      </c>
      <c r="H10" s="22">
        <v>12</v>
      </c>
      <c r="I10" s="117">
        <v>25</v>
      </c>
      <c r="J10" s="22">
        <v>8400</v>
      </c>
      <c r="K10" s="4"/>
    </row>
    <row r="11" spans="1:11" ht="15.6">
      <c r="A11" s="22" t="s">
        <v>3303</v>
      </c>
      <c r="B11" s="50" t="s">
        <v>3304</v>
      </c>
      <c r="C11" s="22" t="s">
        <v>3305</v>
      </c>
      <c r="D11" s="22" t="s">
        <v>569</v>
      </c>
      <c r="E11" s="90" t="s">
        <v>13</v>
      </c>
      <c r="F11" s="20">
        <v>45730</v>
      </c>
      <c r="G11" s="94">
        <v>492</v>
      </c>
      <c r="H11" s="22">
        <v>12</v>
      </c>
      <c r="I11" s="117">
        <v>41</v>
      </c>
      <c r="J11" s="22">
        <v>1230</v>
      </c>
      <c r="K11" s="4"/>
    </row>
    <row r="12" spans="1:11" ht="15.6">
      <c r="A12" s="22" t="s">
        <v>3292</v>
      </c>
      <c r="B12" s="50" t="s">
        <v>3304</v>
      </c>
      <c r="C12" s="22" t="s">
        <v>3306</v>
      </c>
      <c r="D12" s="22" t="s">
        <v>532</v>
      </c>
      <c r="E12" s="90" t="s">
        <v>13</v>
      </c>
      <c r="F12" s="20">
        <v>45814</v>
      </c>
      <c r="G12" s="94">
        <v>360</v>
      </c>
      <c r="H12" s="22">
        <v>12</v>
      </c>
      <c r="I12" s="117">
        <v>30</v>
      </c>
      <c r="J12" s="22">
        <v>900</v>
      </c>
      <c r="K12" s="110"/>
    </row>
    <row r="13" spans="1:11" ht="15.6">
      <c r="A13" s="90" t="s">
        <v>3307</v>
      </c>
      <c r="B13" s="234" t="s">
        <v>269</v>
      </c>
      <c r="C13" s="90">
        <v>2024092002</v>
      </c>
      <c r="D13" s="90" t="s">
        <v>569</v>
      </c>
      <c r="E13" s="90" t="s">
        <v>13</v>
      </c>
      <c r="F13" s="235">
        <v>45581</v>
      </c>
      <c r="G13" s="236">
        <v>1149</v>
      </c>
      <c r="H13" s="90">
        <v>12</v>
      </c>
      <c r="I13" s="237">
        <v>95.75</v>
      </c>
      <c r="J13" s="90">
        <v>16086</v>
      </c>
      <c r="K13" s="110"/>
    </row>
    <row r="14" spans="1:11" ht="15.6">
      <c r="A14" s="90" t="s">
        <v>3307</v>
      </c>
      <c r="B14" s="234" t="s">
        <v>269</v>
      </c>
      <c r="C14" s="90">
        <v>2024092003</v>
      </c>
      <c r="D14" s="90" t="s">
        <v>569</v>
      </c>
      <c r="E14" s="90" t="s">
        <v>13</v>
      </c>
      <c r="F14" s="235">
        <v>45581</v>
      </c>
      <c r="G14" s="236">
        <v>411</v>
      </c>
      <c r="H14" s="90">
        <v>12</v>
      </c>
      <c r="I14" s="237">
        <v>34.25</v>
      </c>
      <c r="J14" s="90">
        <v>5754</v>
      </c>
      <c r="K14" s="110">
        <f>SUM(J11:J14)</f>
        <v>23970</v>
      </c>
    </row>
    <row r="15" spans="1:11" ht="15.6">
      <c r="A15" s="90" t="s">
        <v>3296</v>
      </c>
      <c r="B15" s="234" t="s">
        <v>3308</v>
      </c>
      <c r="C15" s="90" t="s">
        <v>1615</v>
      </c>
      <c r="D15" s="90" t="s">
        <v>569</v>
      </c>
      <c r="E15" s="90" t="s">
        <v>13</v>
      </c>
      <c r="F15" s="235">
        <v>45682</v>
      </c>
      <c r="G15" s="236">
        <v>144</v>
      </c>
      <c r="H15" s="90">
        <v>12</v>
      </c>
      <c r="I15" s="237">
        <v>12</v>
      </c>
      <c r="J15" s="90">
        <v>4032</v>
      </c>
      <c r="K15" s="4"/>
    </row>
    <row r="16" spans="1:11" ht="15.6">
      <c r="A16" s="22" t="s">
        <v>2873</v>
      </c>
      <c r="B16" s="50" t="s">
        <v>3308</v>
      </c>
      <c r="C16" s="22" t="s">
        <v>3309</v>
      </c>
      <c r="D16" s="22" t="s">
        <v>569</v>
      </c>
      <c r="E16" s="90" t="s">
        <v>13</v>
      </c>
      <c r="F16" s="20">
        <v>45744</v>
      </c>
      <c r="G16" s="94">
        <v>156</v>
      </c>
      <c r="H16" s="22">
        <v>12</v>
      </c>
      <c r="I16" s="117">
        <v>13</v>
      </c>
      <c r="J16" s="22">
        <v>4368</v>
      </c>
      <c r="K16" s="4">
        <f>SUM(J15:J16)+SUM(J20:J22)</f>
        <v>10260</v>
      </c>
    </row>
    <row r="17" spans="1:25" ht="15.6">
      <c r="A17" s="22" t="s">
        <v>3303</v>
      </c>
      <c r="B17" s="50" t="s">
        <v>3310</v>
      </c>
      <c r="C17" s="22" t="s">
        <v>3311</v>
      </c>
      <c r="D17" s="22" t="s">
        <v>569</v>
      </c>
      <c r="E17" s="90" t="s">
        <v>13</v>
      </c>
      <c r="F17" s="20">
        <v>45723</v>
      </c>
      <c r="G17" s="94">
        <v>492</v>
      </c>
      <c r="H17" s="22">
        <v>12</v>
      </c>
      <c r="I17" s="117">
        <v>41</v>
      </c>
      <c r="J17" s="22">
        <v>1230</v>
      </c>
      <c r="K17" s="4"/>
    </row>
    <row r="18" spans="1:25" ht="15.6">
      <c r="A18" s="22" t="s">
        <v>3292</v>
      </c>
      <c r="B18" s="50" t="s">
        <v>3310</v>
      </c>
      <c r="C18" s="22" t="s">
        <v>3312</v>
      </c>
      <c r="D18" s="22" t="s">
        <v>532</v>
      </c>
      <c r="E18" s="90" t="s">
        <v>13</v>
      </c>
      <c r="F18" s="20">
        <v>45814</v>
      </c>
      <c r="G18" s="94">
        <v>516</v>
      </c>
      <c r="H18" s="22">
        <v>12</v>
      </c>
      <c r="I18" s="117">
        <v>43</v>
      </c>
      <c r="J18" s="22">
        <v>1290</v>
      </c>
      <c r="K18" s="110"/>
    </row>
    <row r="19" spans="1:25" ht="15.6">
      <c r="A19" s="90" t="s">
        <v>3307</v>
      </c>
      <c r="B19" s="234" t="s">
        <v>270</v>
      </c>
      <c r="C19" s="90">
        <v>2024092001</v>
      </c>
      <c r="D19" s="90" t="s">
        <v>569</v>
      </c>
      <c r="E19" s="90" t="s">
        <v>13</v>
      </c>
      <c r="F19" s="235">
        <v>45581</v>
      </c>
      <c r="G19" s="236">
        <v>888</v>
      </c>
      <c r="H19" s="90">
        <v>12</v>
      </c>
      <c r="I19" s="237">
        <v>74</v>
      </c>
      <c r="J19" s="90">
        <v>12432</v>
      </c>
      <c r="K19" s="90">
        <f>SUM(J17:J19)</f>
        <v>14952</v>
      </c>
    </row>
    <row r="20" spans="1:25" ht="15.6">
      <c r="A20" s="53" t="s">
        <v>3313</v>
      </c>
      <c r="B20" s="50" t="s">
        <v>3314</v>
      </c>
      <c r="C20" s="90" t="s">
        <v>2935</v>
      </c>
      <c r="D20" s="90" t="s">
        <v>569</v>
      </c>
      <c r="E20" s="90" t="s">
        <v>13</v>
      </c>
      <c r="F20" s="235">
        <v>45685</v>
      </c>
      <c r="G20" s="236">
        <v>336</v>
      </c>
      <c r="H20" s="90">
        <v>12</v>
      </c>
      <c r="I20" s="237">
        <v>28</v>
      </c>
      <c r="J20" s="90">
        <v>840</v>
      </c>
      <c r="K20" s="4"/>
    </row>
    <row r="21" spans="1:25" ht="15.6">
      <c r="A21" s="22" t="s">
        <v>3291</v>
      </c>
      <c r="B21" s="50" t="s">
        <v>3314</v>
      </c>
      <c r="C21" s="22" t="s">
        <v>2935</v>
      </c>
      <c r="D21" s="22" t="s">
        <v>569</v>
      </c>
      <c r="E21" s="90" t="s">
        <v>13</v>
      </c>
      <c r="F21" s="20">
        <v>45765</v>
      </c>
      <c r="G21" s="94">
        <v>396</v>
      </c>
      <c r="H21" s="22">
        <v>12</v>
      </c>
      <c r="I21" s="117">
        <v>33</v>
      </c>
      <c r="J21" s="22">
        <v>990</v>
      </c>
    </row>
    <row r="22" spans="1:25" ht="15.6">
      <c r="A22" s="22" t="s">
        <v>3292</v>
      </c>
      <c r="B22" s="307" t="s">
        <v>3314</v>
      </c>
      <c r="C22" s="22" t="s">
        <v>3315</v>
      </c>
      <c r="D22" s="22" t="s">
        <v>532</v>
      </c>
      <c r="E22" s="90" t="s">
        <v>13</v>
      </c>
      <c r="F22" s="20">
        <v>45814</v>
      </c>
      <c r="G22" s="94">
        <v>12</v>
      </c>
      <c r="H22" s="22">
        <v>12</v>
      </c>
      <c r="I22" s="117">
        <v>1</v>
      </c>
      <c r="J22" s="22">
        <v>30</v>
      </c>
    </row>
    <row r="23" spans="1:25" ht="14.4" thickBot="1"/>
    <row r="24" spans="1:25" ht="14.4" thickBot="1">
      <c r="L24" s="324" t="s">
        <v>3316</v>
      </c>
      <c r="M24" s="331" t="s">
        <v>3317</v>
      </c>
      <c r="N24" s="331" t="s">
        <v>3318</v>
      </c>
      <c r="O24" s="331" t="s">
        <v>3319</v>
      </c>
      <c r="P24" s="331" t="s">
        <v>3320</v>
      </c>
      <c r="Q24" s="332" t="s">
        <v>3321</v>
      </c>
      <c r="R24" s="324" t="s">
        <v>3322</v>
      </c>
      <c r="S24" s="333" t="s">
        <v>3323</v>
      </c>
      <c r="U24" t="s">
        <v>3324</v>
      </c>
      <c r="V24" t="s">
        <v>3325</v>
      </c>
      <c r="W24" t="s">
        <v>3326</v>
      </c>
      <c r="X24" t="s">
        <v>3327</v>
      </c>
      <c r="Y24" t="s">
        <v>3328</v>
      </c>
    </row>
    <row r="25" spans="1:25">
      <c r="L25" s="328">
        <f>K9</f>
        <v>34026</v>
      </c>
      <c r="M25" s="201" t="s">
        <v>3329</v>
      </c>
      <c r="N25" s="201">
        <f>8300+21800+5240</f>
        <v>35340</v>
      </c>
      <c r="O25" s="201">
        <f>N25-L25</f>
        <v>1314</v>
      </c>
      <c r="P25" s="329">
        <f>L55</f>
        <v>182</v>
      </c>
      <c r="Q25" s="330">
        <f>P25-O25</f>
        <v>-1132</v>
      </c>
      <c r="R25" s="309">
        <f>0.05*N25</f>
        <v>1767</v>
      </c>
      <c r="S25" s="321">
        <f>Q25/N25</f>
        <v>-3.2031692133559705E-2</v>
      </c>
      <c r="U25">
        <v>41073.5</v>
      </c>
      <c r="V25">
        <v>20</v>
      </c>
      <c r="W25" s="321">
        <f>(U25-N25)/N25/V25</f>
        <v>8.1119128466327108E-3</v>
      </c>
      <c r="X25">
        <f>U25-L25</f>
        <v>7047.5</v>
      </c>
      <c r="Y25" s="321">
        <f>X25/V25/N25</f>
        <v>9.9709960384833044E-3</v>
      </c>
    </row>
    <row r="26" spans="1:25">
      <c r="L26" s="316"/>
      <c r="M26" t="s">
        <v>3330</v>
      </c>
      <c r="Q26" s="310"/>
      <c r="R26" s="309"/>
      <c r="S26" s="321"/>
      <c r="W26" s="321"/>
    </row>
    <row r="27" spans="1:25">
      <c r="L27" s="309"/>
      <c r="Q27" s="310"/>
      <c r="R27" s="309"/>
      <c r="S27" s="321"/>
      <c r="W27" s="321"/>
    </row>
    <row r="28" spans="1:25">
      <c r="L28" s="309"/>
      <c r="Q28" s="310"/>
      <c r="R28" s="309"/>
      <c r="S28" s="321"/>
      <c r="W28" s="321"/>
    </row>
    <row r="29" spans="1:25">
      <c r="L29" s="309"/>
      <c r="Q29" s="310"/>
      <c r="R29" s="309"/>
      <c r="S29" s="321"/>
      <c r="W29" s="321"/>
    </row>
    <row r="30" spans="1:25">
      <c r="L30" s="318">
        <f>K14</f>
        <v>23970</v>
      </c>
      <c r="M30" s="24" t="s">
        <v>3331</v>
      </c>
      <c r="N30" s="24">
        <f>16000+5900</f>
        <v>21900</v>
      </c>
      <c r="O30" s="24">
        <f>N30-L30</f>
        <v>-2070</v>
      </c>
      <c r="P30" s="198">
        <f>L53</f>
        <v>7447</v>
      </c>
      <c r="Q30" s="317">
        <f>P30-O30</f>
        <v>9517</v>
      </c>
      <c r="R30" s="309">
        <f>0.05*N30</f>
        <v>1095</v>
      </c>
      <c r="S30" s="322">
        <f>Q30/N30</f>
        <v>0.43456621004566209</v>
      </c>
      <c r="T30" t="s">
        <v>3332</v>
      </c>
      <c r="U30">
        <v>22416</v>
      </c>
      <c r="V30">
        <v>10</v>
      </c>
      <c r="W30" s="321">
        <f>(U30-N30)/N30/V30</f>
        <v>2.3561643835616438E-3</v>
      </c>
      <c r="X30">
        <f>U30-L30</f>
        <v>-1554</v>
      </c>
      <c r="Y30" s="321">
        <f>X30/V30/N30</f>
        <v>-7.0958904109589046E-3</v>
      </c>
    </row>
    <row r="31" spans="1:25">
      <c r="L31" s="309"/>
      <c r="Q31" s="310"/>
      <c r="R31" s="309"/>
      <c r="S31" s="321"/>
      <c r="W31" s="321"/>
    </row>
    <row r="32" spans="1:25">
      <c r="L32" s="318">
        <f>K16</f>
        <v>10260</v>
      </c>
      <c r="M32" s="24" t="s">
        <v>3333</v>
      </c>
      <c r="N32" s="24">
        <v>15863</v>
      </c>
      <c r="O32" s="24">
        <f>N32-L32</f>
        <v>5603</v>
      </c>
      <c r="P32" s="24">
        <f>L50</f>
        <v>5056</v>
      </c>
      <c r="Q32" s="317">
        <f>P32-O32</f>
        <v>-547</v>
      </c>
      <c r="R32" s="309">
        <f>0.05*N32</f>
        <v>793.15000000000009</v>
      </c>
      <c r="S32" s="321">
        <f>Q32/N32</f>
        <v>-3.4482758620689655E-2</v>
      </c>
      <c r="U32">
        <v>11213</v>
      </c>
      <c r="V32">
        <v>7</v>
      </c>
      <c r="W32" s="321">
        <f>(U32-N32)/N32/V32</f>
        <v>-4.1876424023558866E-2</v>
      </c>
      <c r="X32">
        <f>U32-L32</f>
        <v>953</v>
      </c>
      <c r="Y32" s="321">
        <f>X32/V32/N32</f>
        <v>8.5824155041831392E-3</v>
      </c>
    </row>
    <row r="33" spans="12:25">
      <c r="L33" s="309"/>
      <c r="Q33" s="310"/>
      <c r="R33" s="309"/>
      <c r="S33" s="321"/>
      <c r="W33" s="321"/>
    </row>
    <row r="34" spans="12:25">
      <c r="L34" s="309"/>
      <c r="Q34" s="310"/>
      <c r="R34" s="309"/>
      <c r="S34" s="321"/>
      <c r="W34" s="321"/>
    </row>
    <row r="35" spans="12:25">
      <c r="L35" s="318">
        <f>K19</f>
        <v>14952</v>
      </c>
      <c r="M35" s="24" t="s">
        <v>3334</v>
      </c>
      <c r="N35" s="24">
        <v>12500</v>
      </c>
      <c r="O35" s="315">
        <f>N35-L35</f>
        <v>-2452</v>
      </c>
      <c r="P35" s="24">
        <f>L54</f>
        <v>-3398</v>
      </c>
      <c r="Q35" s="317">
        <f>P35-O35</f>
        <v>-946</v>
      </c>
      <c r="R35" s="309">
        <f>0.05*N35</f>
        <v>625</v>
      </c>
      <c r="S35" s="321">
        <f>Q35/N35</f>
        <v>-7.5679999999999997E-2</v>
      </c>
      <c r="T35" t="s">
        <v>3335</v>
      </c>
      <c r="U35">
        <v>13002</v>
      </c>
      <c r="V35">
        <v>4</v>
      </c>
      <c r="W35" s="321">
        <f>(U35-N35)/N35/V35</f>
        <v>1.004E-2</v>
      </c>
      <c r="X35">
        <f>U35-L35</f>
        <v>-1950</v>
      </c>
      <c r="Y35" s="321">
        <f>X35/V35/N35</f>
        <v>-3.9E-2</v>
      </c>
    </row>
    <row r="36" spans="12:25">
      <c r="L36" s="309"/>
      <c r="Q36" s="310"/>
      <c r="R36" s="309"/>
      <c r="S36" s="321"/>
      <c r="W36" s="321"/>
    </row>
    <row r="37" spans="12:25" ht="14.4" thickBot="1">
      <c r="L37" s="309"/>
      <c r="Q37" s="310"/>
      <c r="R37" s="309"/>
      <c r="S37" s="321"/>
      <c r="W37" s="321"/>
    </row>
    <row r="38" spans="12:25" ht="14.4" thickBot="1">
      <c r="L38" s="324">
        <f>SUM(L25:L35)</f>
        <v>83208</v>
      </c>
      <c r="M38" s="335" t="s">
        <v>3336</v>
      </c>
      <c r="N38" s="326">
        <f>SUM(N25:N35)</f>
        <v>85603</v>
      </c>
      <c r="O38" s="334">
        <f>SUM(O25:O35)</f>
        <v>2395</v>
      </c>
      <c r="P38" s="323">
        <f>SUM(P25:P35)</f>
        <v>9287</v>
      </c>
      <c r="Q38" s="326">
        <f>P38-O38</f>
        <v>6892</v>
      </c>
      <c r="R38" s="324">
        <f>0.05*N38</f>
        <v>4280.1500000000005</v>
      </c>
      <c r="S38" s="325">
        <f>Q38/N38</f>
        <v>8.0511197037487006E-2</v>
      </c>
      <c r="T38" t="s">
        <v>3335</v>
      </c>
      <c r="U38">
        <f>SUM(U25:U37)</f>
        <v>87704.5</v>
      </c>
      <c r="V38">
        <f>SUM(V25:V37)</f>
        <v>41</v>
      </c>
      <c r="W38" s="321">
        <f>(U38-N38)/N38/V38</f>
        <v>5.9876520169825371E-4</v>
      </c>
      <c r="X38">
        <f>U38-L38</f>
        <v>4496.5</v>
      </c>
      <c r="Y38" s="321">
        <f>X38/V38/N38</f>
        <v>1.2811552364673793E-3</v>
      </c>
    </row>
    <row r="39" spans="12:25" ht="14.4" thickBot="1">
      <c r="L39" s="311"/>
      <c r="M39" s="336" t="s">
        <v>3337</v>
      </c>
      <c r="N39" s="337">
        <f>N38-L38</f>
        <v>2395</v>
      </c>
      <c r="O39" s="312"/>
      <c r="P39" s="327"/>
      <c r="Q39" s="313"/>
    </row>
    <row r="40" spans="12:25" ht="14.4" thickBot="1">
      <c r="M40" s="311" t="s">
        <v>3338</v>
      </c>
      <c r="N40" s="338">
        <f>N39/N38</f>
        <v>2.797799142553415E-2</v>
      </c>
    </row>
    <row r="47" spans="12:25">
      <c r="L47" t="s">
        <v>3339</v>
      </c>
      <c r="M47" t="s">
        <v>335</v>
      </c>
      <c r="N47" t="s">
        <v>641</v>
      </c>
      <c r="O47" t="s">
        <v>642</v>
      </c>
      <c r="P47" t="s">
        <v>514</v>
      </c>
      <c r="Q47" t="s">
        <v>199</v>
      </c>
      <c r="R47" t="s">
        <v>646</v>
      </c>
      <c r="S47" s="320" t="s">
        <v>3340</v>
      </c>
      <c r="T47" t="s">
        <v>3341</v>
      </c>
    </row>
    <row r="48" spans="12:25">
      <c r="M48" t="s">
        <v>1224</v>
      </c>
      <c r="N48">
        <v>2024110601</v>
      </c>
      <c r="O48" t="s">
        <v>55</v>
      </c>
      <c r="P48">
        <v>1</v>
      </c>
      <c r="Q48" t="s">
        <v>644</v>
      </c>
      <c r="R48">
        <v>1514</v>
      </c>
      <c r="S48" s="320">
        <v>1419</v>
      </c>
      <c r="T48" s="308">
        <v>45748.704861111109</v>
      </c>
    </row>
    <row r="49" spans="12:20">
      <c r="M49" t="s">
        <v>1224</v>
      </c>
      <c r="N49">
        <v>2024110601</v>
      </c>
      <c r="O49" t="s">
        <v>55</v>
      </c>
      <c r="P49">
        <v>1</v>
      </c>
      <c r="Q49" t="s">
        <v>644</v>
      </c>
      <c r="R49">
        <v>3090</v>
      </c>
      <c r="S49" s="320">
        <v>3000</v>
      </c>
      <c r="T49" s="308">
        <v>45609.686805555553</v>
      </c>
    </row>
    <row r="50" spans="12:20">
      <c r="L50">
        <f>SUM(S48:S50)</f>
        <v>5056</v>
      </c>
      <c r="M50" t="s">
        <v>1224</v>
      </c>
      <c r="N50">
        <v>2024110601</v>
      </c>
      <c r="O50" t="s">
        <v>55</v>
      </c>
      <c r="P50">
        <v>1</v>
      </c>
      <c r="Q50" t="s">
        <v>644</v>
      </c>
      <c r="R50">
        <v>724</v>
      </c>
      <c r="S50" s="320">
        <v>637</v>
      </c>
      <c r="T50" s="308">
        <v>45748.704861111109</v>
      </c>
    </row>
    <row r="51" spans="12:20">
      <c r="M51" t="s">
        <v>1406</v>
      </c>
      <c r="N51" t="s">
        <v>3342</v>
      </c>
      <c r="O51" t="s">
        <v>55</v>
      </c>
      <c r="P51">
        <v>1</v>
      </c>
      <c r="Q51" t="s">
        <v>663</v>
      </c>
      <c r="R51">
        <v>2358</v>
      </c>
      <c r="S51" s="320">
        <v>618</v>
      </c>
      <c r="T51" s="308">
        <v>45811.643750000003</v>
      </c>
    </row>
    <row r="52" spans="12:20">
      <c r="M52" t="s">
        <v>1406</v>
      </c>
      <c r="N52" t="s">
        <v>3342</v>
      </c>
      <c r="O52" t="s">
        <v>55</v>
      </c>
      <c r="P52">
        <v>1</v>
      </c>
      <c r="Q52" t="s">
        <v>663</v>
      </c>
      <c r="R52">
        <v>4426</v>
      </c>
      <c r="S52" s="320">
        <v>2676</v>
      </c>
      <c r="T52" s="308">
        <v>45698.634722222225</v>
      </c>
    </row>
    <row r="53" spans="12:20">
      <c r="L53">
        <f>SUM(S51:S53)</f>
        <v>7447</v>
      </c>
      <c r="M53" t="s">
        <v>1406</v>
      </c>
      <c r="N53" t="s">
        <v>3342</v>
      </c>
      <c r="O53" t="s">
        <v>55</v>
      </c>
      <c r="P53">
        <v>1</v>
      </c>
      <c r="Q53" t="s">
        <v>663</v>
      </c>
      <c r="R53">
        <v>5867</v>
      </c>
      <c r="S53" s="320">
        <v>4153</v>
      </c>
      <c r="T53" s="308">
        <v>45698.634722222225</v>
      </c>
    </row>
    <row r="54" spans="12:20">
      <c r="L54">
        <v>-3398</v>
      </c>
      <c r="M54" t="s">
        <v>1411</v>
      </c>
      <c r="N54" t="s">
        <v>3343</v>
      </c>
      <c r="O54" t="s">
        <v>55</v>
      </c>
      <c r="P54">
        <v>0</v>
      </c>
      <c r="Q54" t="s">
        <v>663</v>
      </c>
      <c r="R54">
        <v>-3398</v>
      </c>
      <c r="S54" s="320" t="s">
        <v>3344</v>
      </c>
      <c r="T54" s="308">
        <v>45803.416666666664</v>
      </c>
    </row>
    <row r="55" spans="12:20">
      <c r="L55">
        <v>182</v>
      </c>
      <c r="M55" t="s">
        <v>1276</v>
      </c>
      <c r="N55">
        <v>2025042201</v>
      </c>
      <c r="O55" t="s">
        <v>55</v>
      </c>
      <c r="P55">
        <v>1</v>
      </c>
      <c r="Q55" t="s">
        <v>673</v>
      </c>
      <c r="R55">
        <v>240</v>
      </c>
      <c r="S55" s="320">
        <v>182</v>
      </c>
      <c r="T55" s="308">
        <v>45821.625</v>
      </c>
    </row>
  </sheetData>
  <sortState xmlns:xlrd2="http://schemas.microsoft.com/office/spreadsheetml/2017/richdata2" ref="A2:J55">
    <sortCondition ref="B1:B55"/>
  </sortState>
  <phoneticPr fontId="19" type="noConversion"/>
  <conditionalFormatting sqref="A1">
    <cfRule type="expression" dxfId="214" priority="1">
      <formula>AA:AA="THIS PO HAS BEEN SHIPPED BEFORE, PLEASE CHECK BEFORE PROCEEDING"</formula>
    </cfRule>
  </conditionalFormatting>
  <conditionalFormatting sqref="A1:A4">
    <cfRule type="duplicateValues" dxfId="213" priority="2"/>
  </conditionalFormatting>
  <dataValidations count="1">
    <dataValidation allowBlank="1" showInputMessage="1" showErrorMessage="1" errorTitle="Ediiting not allowed" error="Ediiting not allowed. If problem occurs, check product details or contact QA" sqref="I1" xr:uid="{EDF3A7AD-5C44-4068-987F-016EFE525A1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91F4BC-7762-4878-837B-3318F4FCD995}">
          <x14:formula1>
            <xm:f>#REF!</xm:f>
          </x14:formula1>
          <xm:sqref>B2:B22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E811-38B4-4B44-AABC-8BD076A80573}">
  <sheetPr published="0"/>
  <dimension ref="A1:G53"/>
  <sheetViews>
    <sheetView workbookViewId="0">
      <pane ySplit="1" topLeftCell="A16" activePane="bottomLeft" state="frozen"/>
      <selection pane="bottomLeft" activeCell="D52" sqref="D52"/>
    </sheetView>
  </sheetViews>
  <sheetFormatPr defaultRowHeight="13.8"/>
  <cols>
    <col min="1" max="1" width="22.77734375" bestFit="1" customWidth="1"/>
    <col min="6" max="6" width="20.88671875" bestFit="1" customWidth="1"/>
  </cols>
  <sheetData>
    <row r="1" spans="1:7">
      <c r="A1" t="s">
        <v>1872</v>
      </c>
      <c r="B1" t="s">
        <v>1873</v>
      </c>
      <c r="C1" t="s">
        <v>1874</v>
      </c>
      <c r="D1" t="s">
        <v>1875</v>
      </c>
      <c r="E1" t="s">
        <v>1876</v>
      </c>
      <c r="F1" t="s">
        <v>1877</v>
      </c>
      <c r="G1" t="s">
        <v>1878</v>
      </c>
    </row>
    <row r="2" spans="1:7">
      <c r="B2">
        <v>3</v>
      </c>
      <c r="C2">
        <v>6</v>
      </c>
      <c r="D2">
        <v>6</v>
      </c>
      <c r="E2">
        <v>6</v>
      </c>
      <c r="F2">
        <v>335446020356</v>
      </c>
      <c r="G2">
        <v>43.69</v>
      </c>
    </row>
    <row r="3" spans="1:7">
      <c r="A3" t="s">
        <v>1879</v>
      </c>
      <c r="B3">
        <v>3</v>
      </c>
      <c r="C3">
        <v>6</v>
      </c>
      <c r="D3">
        <v>6</v>
      </c>
      <c r="E3">
        <v>6</v>
      </c>
      <c r="F3">
        <v>335459704466</v>
      </c>
      <c r="G3">
        <v>58</v>
      </c>
    </row>
    <row r="4" spans="1:7">
      <c r="A4" t="s">
        <v>1880</v>
      </c>
      <c r="B4">
        <v>2</v>
      </c>
      <c r="C4">
        <v>8</v>
      </c>
      <c r="D4">
        <v>6</v>
      </c>
      <c r="E4">
        <v>4</v>
      </c>
      <c r="F4">
        <v>335460761315</v>
      </c>
      <c r="G4">
        <v>40.299999999999997</v>
      </c>
    </row>
    <row r="5" spans="1:7">
      <c r="A5" t="s">
        <v>1881</v>
      </c>
      <c r="B5">
        <v>3</v>
      </c>
      <c r="C5">
        <v>6</v>
      </c>
      <c r="D5">
        <v>6</v>
      </c>
      <c r="E5">
        <v>6</v>
      </c>
      <c r="F5">
        <v>335468042262</v>
      </c>
      <c r="G5">
        <v>42</v>
      </c>
    </row>
    <row r="6" spans="1:7">
      <c r="A6" s="22" t="s">
        <v>1882</v>
      </c>
      <c r="B6">
        <v>61</v>
      </c>
      <c r="C6">
        <v>22</v>
      </c>
      <c r="D6">
        <v>22</v>
      </c>
      <c r="E6">
        <v>22</v>
      </c>
      <c r="F6" s="118">
        <v>335470535790</v>
      </c>
      <c r="G6">
        <v>204.44</v>
      </c>
    </row>
    <row r="7" spans="1:7">
      <c r="A7" s="22" t="s">
        <v>1882</v>
      </c>
      <c r="B7">
        <v>15.8</v>
      </c>
      <c r="C7">
        <v>22</v>
      </c>
      <c r="D7">
        <v>10</v>
      </c>
      <c r="E7">
        <v>6</v>
      </c>
      <c r="F7" s="118">
        <v>335470535790</v>
      </c>
      <c r="G7">
        <v>204.44</v>
      </c>
    </row>
    <row r="8" spans="1:7">
      <c r="A8" s="22" t="s">
        <v>1882</v>
      </c>
      <c r="B8">
        <v>15.8</v>
      </c>
      <c r="C8">
        <v>22</v>
      </c>
      <c r="D8">
        <v>10</v>
      </c>
      <c r="E8">
        <v>6</v>
      </c>
      <c r="F8" s="118">
        <v>335470535790</v>
      </c>
      <c r="G8">
        <v>204.44</v>
      </c>
    </row>
    <row r="9" spans="1:7">
      <c r="A9" t="s">
        <v>1883</v>
      </c>
      <c r="B9">
        <v>3</v>
      </c>
      <c r="C9">
        <v>6</v>
      </c>
      <c r="D9">
        <v>6</v>
      </c>
      <c r="E9">
        <v>6</v>
      </c>
      <c r="F9">
        <v>335470838434</v>
      </c>
      <c r="G9">
        <v>43.92</v>
      </c>
    </row>
    <row r="10" spans="1:7">
      <c r="A10" s="4" t="s">
        <v>1884</v>
      </c>
      <c r="B10">
        <v>3</v>
      </c>
      <c r="C10">
        <v>6</v>
      </c>
      <c r="D10">
        <v>6</v>
      </c>
      <c r="E10">
        <v>6</v>
      </c>
      <c r="F10" s="118">
        <v>335478543960</v>
      </c>
      <c r="G10">
        <v>40.47</v>
      </c>
    </row>
    <row r="11" spans="1:7">
      <c r="A11" s="4" t="s">
        <v>1885</v>
      </c>
      <c r="F11" s="118">
        <v>335489377077</v>
      </c>
      <c r="G11">
        <v>38.42</v>
      </c>
    </row>
    <row r="12" spans="1:7">
      <c r="A12" s="4" t="s">
        <v>1886</v>
      </c>
      <c r="B12">
        <v>3</v>
      </c>
      <c r="C12">
        <v>6</v>
      </c>
      <c r="D12">
        <v>6</v>
      </c>
      <c r="E12">
        <v>6</v>
      </c>
      <c r="F12" s="118">
        <v>335489416180</v>
      </c>
      <c r="G12">
        <v>38.880000000000003</v>
      </c>
    </row>
    <row r="13" spans="1:7">
      <c r="A13" s="4" t="s">
        <v>1887</v>
      </c>
      <c r="B13">
        <v>3</v>
      </c>
      <c r="C13">
        <v>6</v>
      </c>
      <c r="D13">
        <v>6</v>
      </c>
      <c r="E13">
        <v>6</v>
      </c>
      <c r="F13" s="118">
        <v>335489430561</v>
      </c>
      <c r="G13">
        <v>38.880000000000003</v>
      </c>
    </row>
    <row r="14" spans="1:7" ht="22.8">
      <c r="A14" s="4" t="s">
        <v>1888</v>
      </c>
      <c r="B14">
        <v>16</v>
      </c>
      <c r="C14">
        <v>24</v>
      </c>
      <c r="D14">
        <v>12</v>
      </c>
      <c r="E14">
        <v>16</v>
      </c>
      <c r="F14" s="292">
        <v>335493026348</v>
      </c>
      <c r="G14">
        <v>136.26</v>
      </c>
    </row>
    <row r="15" spans="1:7">
      <c r="A15" s="4" t="s">
        <v>1889</v>
      </c>
      <c r="B15">
        <v>13</v>
      </c>
      <c r="C15">
        <v>13</v>
      </c>
      <c r="D15">
        <v>13</v>
      </c>
      <c r="E15">
        <v>9</v>
      </c>
      <c r="F15" s="118">
        <v>335493961981</v>
      </c>
      <c r="G15">
        <v>50.14</v>
      </c>
    </row>
    <row r="16" spans="1:7">
      <c r="A16" s="4" t="s">
        <v>1890</v>
      </c>
      <c r="B16">
        <v>45</v>
      </c>
      <c r="C16">
        <v>24</v>
      </c>
      <c r="D16">
        <v>19</v>
      </c>
      <c r="E16">
        <v>12</v>
      </c>
      <c r="F16" s="118">
        <v>335494035876</v>
      </c>
      <c r="G16">
        <v>87.85</v>
      </c>
    </row>
    <row r="17" spans="1:7">
      <c r="A17" s="4" t="s">
        <v>1891</v>
      </c>
      <c r="B17">
        <v>6</v>
      </c>
      <c r="C17">
        <v>14</v>
      </c>
      <c r="D17">
        <v>14</v>
      </c>
      <c r="E17">
        <v>6</v>
      </c>
      <c r="F17" s="118">
        <v>335499234102</v>
      </c>
      <c r="G17">
        <v>35.89</v>
      </c>
    </row>
    <row r="18" spans="1:7">
      <c r="A18" s="4" t="s">
        <v>1892</v>
      </c>
      <c r="B18">
        <v>12</v>
      </c>
      <c r="C18">
        <v>22</v>
      </c>
      <c r="D18">
        <v>17</v>
      </c>
      <c r="E18">
        <v>8</v>
      </c>
      <c r="F18" s="118">
        <v>335506475243</v>
      </c>
      <c r="G18" t="s">
        <v>1893</v>
      </c>
    </row>
    <row r="19" spans="1:7">
      <c r="A19" s="4" t="s">
        <v>1892</v>
      </c>
      <c r="B19">
        <v>18</v>
      </c>
      <c r="C19">
        <v>22</v>
      </c>
      <c r="D19">
        <v>17</v>
      </c>
      <c r="E19">
        <v>12</v>
      </c>
      <c r="F19" s="118">
        <v>335506475243</v>
      </c>
      <c r="G19" t="s">
        <v>1893</v>
      </c>
    </row>
    <row r="20" spans="1:7">
      <c r="A20" s="4" t="s">
        <v>1892</v>
      </c>
      <c r="B20">
        <v>90</v>
      </c>
      <c r="C20">
        <v>22</v>
      </c>
      <c r="D20">
        <v>22</v>
      </c>
      <c r="E20">
        <v>22</v>
      </c>
      <c r="F20" s="118">
        <v>335506475243</v>
      </c>
      <c r="G20" t="s">
        <v>1893</v>
      </c>
    </row>
    <row r="21" spans="1:7">
      <c r="A21" s="4" t="s">
        <v>1894</v>
      </c>
      <c r="B21">
        <v>1</v>
      </c>
      <c r="C21">
        <v>4</v>
      </c>
      <c r="D21">
        <v>3</v>
      </c>
      <c r="E21">
        <v>2</v>
      </c>
      <c r="F21" s="118">
        <v>335511282345</v>
      </c>
      <c r="G21">
        <v>40</v>
      </c>
    </row>
    <row r="22" spans="1:7">
      <c r="A22" t="s">
        <v>1895</v>
      </c>
      <c r="B22">
        <v>3</v>
      </c>
      <c r="C22">
        <v>12</v>
      </c>
      <c r="D22">
        <v>10</v>
      </c>
      <c r="E22">
        <v>6</v>
      </c>
      <c r="F22">
        <v>335514537778</v>
      </c>
    </row>
    <row r="23" spans="1:7">
      <c r="A23" s="4" t="s">
        <v>1896</v>
      </c>
      <c r="B23">
        <v>4</v>
      </c>
      <c r="C23">
        <v>5</v>
      </c>
      <c r="D23">
        <v>13</v>
      </c>
      <c r="E23">
        <v>10</v>
      </c>
      <c r="F23" s="118">
        <v>335520160920</v>
      </c>
      <c r="G23">
        <v>20.68</v>
      </c>
    </row>
    <row r="24" spans="1:7">
      <c r="A24" s="4" t="s">
        <v>1897</v>
      </c>
      <c r="B24">
        <v>3</v>
      </c>
      <c r="C24">
        <v>6</v>
      </c>
      <c r="D24">
        <v>12</v>
      </c>
      <c r="E24">
        <v>12</v>
      </c>
      <c r="F24" s="118">
        <v>335520177619</v>
      </c>
      <c r="G24">
        <v>19.07</v>
      </c>
    </row>
    <row r="25" spans="1:7">
      <c r="A25" s="4" t="s">
        <v>1898</v>
      </c>
      <c r="B25">
        <v>3</v>
      </c>
      <c r="C25">
        <v>8</v>
      </c>
      <c r="D25">
        <v>11</v>
      </c>
      <c r="E25">
        <v>4</v>
      </c>
      <c r="F25" s="118">
        <v>335523600518</v>
      </c>
      <c r="G25">
        <v>30.4</v>
      </c>
    </row>
    <row r="26" spans="1:7">
      <c r="A26" s="4" t="s">
        <v>1899</v>
      </c>
      <c r="B26">
        <v>1</v>
      </c>
      <c r="C26">
        <v>2</v>
      </c>
      <c r="D26">
        <v>4</v>
      </c>
      <c r="E26">
        <v>7</v>
      </c>
      <c r="F26" s="118">
        <v>335529225724</v>
      </c>
      <c r="G26">
        <v>34</v>
      </c>
    </row>
    <row r="27" spans="1:7">
      <c r="A27" s="4" t="s">
        <v>1900</v>
      </c>
      <c r="B27">
        <v>3</v>
      </c>
      <c r="C27">
        <v>12</v>
      </c>
      <c r="D27">
        <v>12</v>
      </c>
      <c r="E27">
        <v>12</v>
      </c>
      <c r="F27" s="118">
        <v>335535301782</v>
      </c>
      <c r="G27">
        <v>30</v>
      </c>
    </row>
    <row r="28" spans="1:7">
      <c r="A28" s="4" t="s">
        <v>1901</v>
      </c>
      <c r="B28">
        <v>18</v>
      </c>
      <c r="C28">
        <v>24</v>
      </c>
      <c r="D28">
        <v>12</v>
      </c>
      <c r="E28">
        <v>18</v>
      </c>
      <c r="F28" s="118">
        <v>335539111070</v>
      </c>
      <c r="G28">
        <v>79.14</v>
      </c>
    </row>
    <row r="29" spans="1:7">
      <c r="A29" s="4" t="s">
        <v>1902</v>
      </c>
      <c r="B29">
        <v>2</v>
      </c>
      <c r="C29">
        <v>6</v>
      </c>
      <c r="D29">
        <v>6</v>
      </c>
      <c r="E29">
        <v>6</v>
      </c>
      <c r="F29" s="118">
        <v>335550586440</v>
      </c>
      <c r="G29">
        <v>41.43</v>
      </c>
    </row>
    <row r="30" spans="1:7">
      <c r="A30" s="4" t="s">
        <v>1903</v>
      </c>
      <c r="B30">
        <v>2</v>
      </c>
      <c r="C30">
        <v>6</v>
      </c>
      <c r="D30">
        <v>6</v>
      </c>
      <c r="E30">
        <v>6</v>
      </c>
      <c r="F30" s="118">
        <v>335550589048</v>
      </c>
      <c r="G30">
        <v>38.42</v>
      </c>
    </row>
    <row r="31" spans="1:7">
      <c r="A31" s="4" t="s">
        <v>1904</v>
      </c>
      <c r="B31">
        <v>1</v>
      </c>
      <c r="C31">
        <v>8</v>
      </c>
      <c r="D31">
        <v>6</v>
      </c>
      <c r="E31">
        <v>5</v>
      </c>
      <c r="F31" s="118">
        <v>335563652130</v>
      </c>
      <c r="G31">
        <v>38</v>
      </c>
    </row>
    <row r="32" spans="1:7">
      <c r="A32" s="4" t="s">
        <v>1905</v>
      </c>
      <c r="B32">
        <v>16</v>
      </c>
      <c r="C32">
        <v>12</v>
      </c>
      <c r="D32">
        <v>12</v>
      </c>
      <c r="E32">
        <v>12</v>
      </c>
      <c r="F32" s="306">
        <v>335566393450</v>
      </c>
      <c r="G32">
        <v>95.26</v>
      </c>
    </row>
    <row r="33" spans="1:7">
      <c r="A33" s="4" t="s">
        <v>1906</v>
      </c>
      <c r="B33">
        <v>50</v>
      </c>
      <c r="C33">
        <v>20</v>
      </c>
      <c r="D33">
        <v>16</v>
      </c>
      <c r="E33">
        <v>8</v>
      </c>
      <c r="G33">
        <v>765.14</v>
      </c>
    </row>
    <row r="34" spans="1:7">
      <c r="A34" s="4" t="s">
        <v>1906</v>
      </c>
      <c r="B34">
        <v>100.8</v>
      </c>
      <c r="C34">
        <v>22</v>
      </c>
      <c r="D34">
        <v>18</v>
      </c>
      <c r="E34">
        <v>10</v>
      </c>
      <c r="G34">
        <v>765.14</v>
      </c>
    </row>
    <row r="35" spans="1:7">
      <c r="A35" s="4" t="s">
        <v>1906</v>
      </c>
      <c r="B35">
        <v>12</v>
      </c>
      <c r="C35">
        <v>22</v>
      </c>
      <c r="D35">
        <v>10</v>
      </c>
      <c r="E35">
        <v>6</v>
      </c>
      <c r="G35">
        <v>765.14</v>
      </c>
    </row>
    <row r="36" spans="1:7">
      <c r="A36" s="4" t="s">
        <v>1906</v>
      </c>
      <c r="B36">
        <v>11</v>
      </c>
      <c r="C36">
        <v>22</v>
      </c>
      <c r="D36">
        <v>10</v>
      </c>
      <c r="E36">
        <v>6</v>
      </c>
      <c r="G36">
        <v>765.14</v>
      </c>
    </row>
    <row r="37" spans="1:7">
      <c r="A37" s="4" t="s">
        <v>1906</v>
      </c>
      <c r="B37">
        <v>6</v>
      </c>
      <c r="C37">
        <v>22</v>
      </c>
      <c r="D37">
        <v>10</v>
      </c>
      <c r="E37">
        <v>6</v>
      </c>
      <c r="G37">
        <v>765.14</v>
      </c>
    </row>
    <row r="38" spans="1:7">
      <c r="A38" s="4" t="s">
        <v>1906</v>
      </c>
      <c r="B38">
        <v>11</v>
      </c>
      <c r="C38">
        <v>22</v>
      </c>
      <c r="D38">
        <v>10</v>
      </c>
      <c r="E38">
        <v>6</v>
      </c>
      <c r="G38">
        <v>765.14</v>
      </c>
    </row>
    <row r="39" spans="1:7">
      <c r="A39" s="4" t="s">
        <v>1906</v>
      </c>
      <c r="B39">
        <v>8.6999999999999993</v>
      </c>
      <c r="C39">
        <v>12</v>
      </c>
      <c r="D39">
        <v>12</v>
      </c>
      <c r="E39">
        <v>6</v>
      </c>
      <c r="G39">
        <v>765.14</v>
      </c>
    </row>
    <row r="40" spans="1:7">
      <c r="A40" s="4" t="s">
        <v>1906</v>
      </c>
      <c r="B40">
        <v>11</v>
      </c>
      <c r="C40">
        <v>22</v>
      </c>
      <c r="D40">
        <v>10</v>
      </c>
      <c r="E40">
        <v>6</v>
      </c>
      <c r="G40">
        <v>765.14</v>
      </c>
    </row>
    <row r="41" spans="1:7">
      <c r="A41" s="4" t="s">
        <v>1906</v>
      </c>
      <c r="B41">
        <v>11</v>
      </c>
      <c r="C41">
        <v>22</v>
      </c>
      <c r="D41">
        <v>10</v>
      </c>
      <c r="E41">
        <v>6</v>
      </c>
      <c r="G41">
        <v>765.14</v>
      </c>
    </row>
    <row r="42" spans="1:7">
      <c r="A42" s="4" t="s">
        <v>1906</v>
      </c>
      <c r="B42">
        <v>11</v>
      </c>
      <c r="C42">
        <v>22</v>
      </c>
      <c r="D42">
        <v>10</v>
      </c>
      <c r="E42">
        <v>6</v>
      </c>
      <c r="G42">
        <v>765.14</v>
      </c>
    </row>
    <row r="43" spans="1:7">
      <c r="A43" s="4" t="s">
        <v>1906</v>
      </c>
      <c r="B43">
        <v>97</v>
      </c>
      <c r="C43">
        <v>22</v>
      </c>
      <c r="D43">
        <v>18</v>
      </c>
      <c r="E43">
        <v>10</v>
      </c>
      <c r="G43">
        <v>765.14</v>
      </c>
    </row>
    <row r="44" spans="1:7">
      <c r="A44" s="4" t="s">
        <v>1906</v>
      </c>
      <c r="B44">
        <v>5.7</v>
      </c>
      <c r="C44">
        <v>22</v>
      </c>
      <c r="D44">
        <v>10</v>
      </c>
      <c r="E44">
        <v>6</v>
      </c>
      <c r="G44">
        <v>765.14</v>
      </c>
    </row>
    <row r="45" spans="1:7">
      <c r="A45" s="4" t="s">
        <v>1906</v>
      </c>
      <c r="B45">
        <v>3</v>
      </c>
      <c r="C45">
        <v>22</v>
      </c>
      <c r="D45">
        <v>10</v>
      </c>
      <c r="E45">
        <v>6</v>
      </c>
      <c r="G45">
        <v>765.14</v>
      </c>
    </row>
    <row r="46" spans="1:7">
      <c r="A46" s="4" t="s">
        <v>1906</v>
      </c>
      <c r="B46">
        <v>3</v>
      </c>
      <c r="C46">
        <v>22</v>
      </c>
      <c r="D46">
        <v>10</v>
      </c>
      <c r="E46">
        <v>6</v>
      </c>
      <c r="G46">
        <v>765.14</v>
      </c>
    </row>
    <row r="47" spans="1:7">
      <c r="A47" s="4" t="s">
        <v>1906</v>
      </c>
      <c r="B47">
        <v>26</v>
      </c>
      <c r="C47">
        <v>22</v>
      </c>
      <c r="D47">
        <v>10</v>
      </c>
      <c r="E47">
        <v>6</v>
      </c>
      <c r="G47">
        <v>765.14</v>
      </c>
    </row>
    <row r="48" spans="1:7">
      <c r="A48" s="4" t="s">
        <v>1906</v>
      </c>
      <c r="B48">
        <v>26</v>
      </c>
      <c r="C48">
        <v>22</v>
      </c>
      <c r="D48">
        <v>10</v>
      </c>
      <c r="E48">
        <v>6</v>
      </c>
      <c r="G48">
        <v>765.14</v>
      </c>
    </row>
    <row r="49" spans="1:7">
      <c r="A49" s="4" t="s">
        <v>1907</v>
      </c>
      <c r="B49">
        <v>38</v>
      </c>
      <c r="C49">
        <v>22</v>
      </c>
      <c r="D49">
        <v>22</v>
      </c>
      <c r="E49">
        <v>22</v>
      </c>
      <c r="F49" s="319" t="s">
        <v>1908</v>
      </c>
      <c r="G49">
        <v>22</v>
      </c>
    </row>
    <row r="50" spans="1:7">
      <c r="A50" s="4" t="s">
        <v>1909</v>
      </c>
      <c r="B50">
        <v>60</v>
      </c>
      <c r="C50">
        <v>24</v>
      </c>
      <c r="D50">
        <v>18</v>
      </c>
      <c r="E50">
        <v>12</v>
      </c>
    </row>
    <row r="51" spans="1:7">
      <c r="A51" s="4" t="s">
        <v>1909</v>
      </c>
      <c r="B51">
        <v>55</v>
      </c>
      <c r="C51">
        <v>18</v>
      </c>
      <c r="D51">
        <v>18</v>
      </c>
      <c r="E51">
        <v>12</v>
      </c>
    </row>
    <row r="52" spans="1:7">
      <c r="A52" s="4" t="s">
        <v>1910</v>
      </c>
      <c r="B52">
        <v>2</v>
      </c>
      <c r="C52">
        <v>8</v>
      </c>
      <c r="D52">
        <v>6</v>
      </c>
      <c r="E52">
        <v>4</v>
      </c>
      <c r="F52">
        <v>335603103391</v>
      </c>
      <c r="G52">
        <v>38</v>
      </c>
    </row>
    <row r="53" spans="1:7">
      <c r="A53" s="4" t="s">
        <v>1911</v>
      </c>
      <c r="B53">
        <v>1</v>
      </c>
      <c r="C53">
        <v>6</v>
      </c>
      <c r="D53">
        <v>4</v>
      </c>
      <c r="E53">
        <v>4</v>
      </c>
      <c r="F53">
        <v>335603168659</v>
      </c>
      <c r="G53">
        <v>40.47</v>
      </c>
    </row>
  </sheetData>
  <phoneticPr fontId="19" type="noConversion"/>
  <hyperlinks>
    <hyperlink ref="F49" r:id="rId1" xr:uid="{662EDD14-2D1C-4D05-B338-51FF9A37634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6A60-9E21-4F06-AA4E-CBBEC7196481}">
  <sheetPr published="0"/>
  <dimension ref="A1:O222"/>
  <sheetViews>
    <sheetView workbookViewId="0">
      <selection activeCell="B86" sqref="B86"/>
    </sheetView>
  </sheetViews>
  <sheetFormatPr defaultRowHeight="13.8"/>
  <cols>
    <col min="1" max="1" width="64.77734375" bestFit="1" customWidth="1"/>
    <col min="2" max="2" width="21.5546875" bestFit="1" customWidth="1"/>
    <col min="6" max="6" width="64.77734375" bestFit="1" customWidth="1"/>
    <col min="7" max="7" width="26.44140625" bestFit="1" customWidth="1"/>
    <col min="9" max="9" width="43.77734375" bestFit="1" customWidth="1"/>
    <col min="10" max="10" width="18.77734375" bestFit="1" customWidth="1"/>
    <col min="14" max="14" width="43.77734375" bestFit="1" customWidth="1"/>
    <col min="15" max="15" width="34.21875" bestFit="1" customWidth="1"/>
  </cols>
  <sheetData>
    <row r="1" spans="1:15">
      <c r="A1" s="373" t="s">
        <v>651</v>
      </c>
      <c r="B1" t="s">
        <v>670</v>
      </c>
      <c r="F1" s="373" t="s">
        <v>651</v>
      </c>
      <c r="G1" t="s">
        <v>4276</v>
      </c>
      <c r="I1" s="373" t="s">
        <v>651</v>
      </c>
      <c r="J1" t="s">
        <v>664</v>
      </c>
      <c r="N1" s="373" t="s">
        <v>651</v>
      </c>
      <c r="O1" t="s">
        <v>664</v>
      </c>
    </row>
    <row r="3" spans="1:15">
      <c r="A3" s="373" t="s">
        <v>4241</v>
      </c>
      <c r="B3" t="s">
        <v>4256</v>
      </c>
      <c r="F3" s="373" t="s">
        <v>4241</v>
      </c>
      <c r="G3" t="s">
        <v>4257</v>
      </c>
      <c r="I3" s="373" t="s">
        <v>4241</v>
      </c>
      <c r="J3" t="s">
        <v>4277</v>
      </c>
      <c r="N3" s="373" t="s">
        <v>4241</v>
      </c>
      <c r="O3" t="s">
        <v>4278</v>
      </c>
    </row>
    <row r="4" spans="1:15">
      <c r="A4" s="4" t="s">
        <v>4242</v>
      </c>
      <c r="B4" s="212">
        <v>0</v>
      </c>
      <c r="C4" t="e">
        <f>VLOOKUP(A4,F:G,2,0)</f>
        <v>#N/A</v>
      </c>
      <c r="D4" s="374">
        <f>IF(ISERROR(C4),B4,B4+C4)</f>
        <v>0</v>
      </c>
      <c r="E4" s="374"/>
      <c r="F4" s="4"/>
      <c r="I4" s="4" t="s">
        <v>342</v>
      </c>
      <c r="J4" s="379">
        <v>6096</v>
      </c>
      <c r="K4">
        <f>VLOOKUP(I4,N:O,2,0)</f>
        <v>-5396</v>
      </c>
      <c r="L4" s="374">
        <f>IF(ISERROR(K4),J4,J4+K4)</f>
        <v>700</v>
      </c>
      <c r="M4" s="374"/>
      <c r="N4" s="4" t="s">
        <v>342</v>
      </c>
      <c r="O4">
        <v>-5396</v>
      </c>
    </row>
    <row r="5" spans="1:15">
      <c r="A5" s="4" t="s">
        <v>340</v>
      </c>
      <c r="B5" s="212">
        <v>20</v>
      </c>
      <c r="C5" t="e">
        <f t="shared" ref="C5:C68" si="0">VLOOKUP(A5,F:G,2,0)</f>
        <v>#N/A</v>
      </c>
      <c r="D5" s="374">
        <f t="shared" ref="D5:D68" si="1">IF(ISERROR(C5),B5,B5+C5)</f>
        <v>20</v>
      </c>
      <c r="E5" s="374"/>
      <c r="F5" s="4" t="s">
        <v>458</v>
      </c>
      <c r="G5">
        <v>-2646</v>
      </c>
      <c r="I5" s="4" t="s">
        <v>431</v>
      </c>
      <c r="J5" s="379">
        <v>10898</v>
      </c>
      <c r="K5">
        <f t="shared" ref="K5:K68" si="2">VLOOKUP(I5,N:O,2,0)</f>
        <v>-10898</v>
      </c>
      <c r="L5" s="374">
        <f t="shared" ref="L5:L68" si="3">IF(ISERROR(K5),J5,J5+K5)</f>
        <v>0</v>
      </c>
      <c r="M5" s="374"/>
      <c r="N5" s="4" t="s">
        <v>431</v>
      </c>
      <c r="O5">
        <v>-10898</v>
      </c>
    </row>
    <row r="6" spans="1:15">
      <c r="A6" s="4" t="s">
        <v>341</v>
      </c>
      <c r="B6" s="212">
        <v>24</v>
      </c>
      <c r="C6" t="e">
        <f t="shared" si="0"/>
        <v>#N/A</v>
      </c>
      <c r="D6" s="374">
        <f t="shared" si="1"/>
        <v>24</v>
      </c>
      <c r="E6" s="374"/>
      <c r="F6" s="4" t="s">
        <v>471</v>
      </c>
      <c r="G6">
        <v>-60</v>
      </c>
      <c r="I6" s="4" t="s">
        <v>432</v>
      </c>
      <c r="J6" s="379">
        <v>6122</v>
      </c>
      <c r="K6">
        <f t="shared" si="2"/>
        <v>-6122</v>
      </c>
      <c r="L6" s="374">
        <f t="shared" si="3"/>
        <v>0</v>
      </c>
      <c r="M6" s="374"/>
      <c r="N6" s="4" t="s">
        <v>432</v>
      </c>
      <c r="O6">
        <v>-6122</v>
      </c>
    </row>
    <row r="7" spans="1:15">
      <c r="A7" s="4" t="s">
        <v>1454</v>
      </c>
      <c r="B7" s="212">
        <v>21</v>
      </c>
      <c r="C7" t="e">
        <f t="shared" si="0"/>
        <v>#N/A</v>
      </c>
      <c r="D7" s="374">
        <f t="shared" si="1"/>
        <v>21</v>
      </c>
      <c r="E7" s="374"/>
      <c r="F7" s="4" t="s">
        <v>347</v>
      </c>
      <c r="G7">
        <v>-703</v>
      </c>
      <c r="I7" s="4" t="s">
        <v>434</v>
      </c>
      <c r="J7" s="379">
        <v>9072</v>
      </c>
      <c r="K7">
        <f t="shared" si="2"/>
        <v>-9070</v>
      </c>
      <c r="L7" s="374">
        <f t="shared" si="3"/>
        <v>2</v>
      </c>
      <c r="M7" s="374"/>
      <c r="N7" s="4" t="s">
        <v>434</v>
      </c>
      <c r="O7">
        <v>-9070</v>
      </c>
    </row>
    <row r="8" spans="1:15">
      <c r="A8" s="4" t="s">
        <v>345</v>
      </c>
      <c r="B8" s="212">
        <v>66</v>
      </c>
      <c r="C8" t="e">
        <f t="shared" si="0"/>
        <v>#N/A</v>
      </c>
      <c r="D8" s="374">
        <f t="shared" si="1"/>
        <v>66</v>
      </c>
      <c r="E8" s="374"/>
      <c r="F8" s="4" t="s">
        <v>430</v>
      </c>
      <c r="G8">
        <v>-70</v>
      </c>
      <c r="I8" s="4" t="s">
        <v>433</v>
      </c>
      <c r="J8" s="379">
        <v>3930</v>
      </c>
      <c r="K8">
        <f t="shared" si="2"/>
        <v>-3932</v>
      </c>
      <c r="L8" s="374">
        <f t="shared" si="3"/>
        <v>-2</v>
      </c>
      <c r="M8" s="374"/>
      <c r="N8" s="4" t="s">
        <v>433</v>
      </c>
      <c r="O8">
        <v>-3932</v>
      </c>
    </row>
    <row r="9" spans="1:15">
      <c r="A9" s="4" t="s">
        <v>458</v>
      </c>
      <c r="B9" s="212">
        <v>2639</v>
      </c>
      <c r="C9">
        <f t="shared" si="0"/>
        <v>-2646</v>
      </c>
      <c r="D9" s="374">
        <f t="shared" si="1"/>
        <v>-7</v>
      </c>
      <c r="E9" s="374"/>
      <c r="F9" s="4" t="s">
        <v>352</v>
      </c>
      <c r="G9">
        <v>-127</v>
      </c>
      <c r="I9" s="4" t="s">
        <v>1437</v>
      </c>
      <c r="J9" s="379">
        <v>7565</v>
      </c>
      <c r="K9">
        <f t="shared" si="2"/>
        <v>-655</v>
      </c>
      <c r="L9" s="374">
        <f t="shared" si="3"/>
        <v>6910</v>
      </c>
      <c r="M9" s="374"/>
      <c r="N9" s="4" t="s">
        <v>1437</v>
      </c>
      <c r="O9">
        <v>-655</v>
      </c>
    </row>
    <row r="10" spans="1:15">
      <c r="A10" s="4" t="s">
        <v>471</v>
      </c>
      <c r="B10" s="212">
        <v>60</v>
      </c>
      <c r="C10">
        <f t="shared" si="0"/>
        <v>-60</v>
      </c>
      <c r="D10" s="374">
        <f t="shared" si="1"/>
        <v>0</v>
      </c>
      <c r="E10" s="374"/>
      <c r="F10" s="4" t="s">
        <v>354</v>
      </c>
      <c r="G10">
        <v>-3</v>
      </c>
      <c r="I10" s="4" t="s">
        <v>1434</v>
      </c>
      <c r="J10" s="379">
        <v>10340</v>
      </c>
      <c r="K10">
        <f t="shared" si="2"/>
        <v>-28332</v>
      </c>
      <c r="L10" s="374">
        <f t="shared" si="3"/>
        <v>-17992</v>
      </c>
      <c r="M10" s="374"/>
      <c r="N10" s="4" t="s">
        <v>1434</v>
      </c>
      <c r="O10">
        <v>-28332</v>
      </c>
    </row>
    <row r="11" spans="1:15">
      <c r="A11" s="4" t="s">
        <v>347</v>
      </c>
      <c r="B11" s="212">
        <v>442</v>
      </c>
      <c r="C11">
        <f t="shared" si="0"/>
        <v>-703</v>
      </c>
      <c r="D11" s="374">
        <f t="shared" si="1"/>
        <v>-261</v>
      </c>
      <c r="E11" s="374"/>
      <c r="F11" s="4" t="s">
        <v>302</v>
      </c>
      <c r="G11">
        <v>-220</v>
      </c>
      <c r="I11" s="4" t="s">
        <v>4243</v>
      </c>
      <c r="J11" s="379">
        <v>4152</v>
      </c>
      <c r="K11" t="e">
        <f t="shared" si="2"/>
        <v>#N/A</v>
      </c>
      <c r="L11" s="374">
        <f t="shared" si="3"/>
        <v>4152</v>
      </c>
      <c r="M11" s="374"/>
      <c r="N11" s="4" t="s">
        <v>350</v>
      </c>
      <c r="O11">
        <v>-13470</v>
      </c>
    </row>
    <row r="12" spans="1:15">
      <c r="A12" s="4" t="s">
        <v>348</v>
      </c>
      <c r="B12" s="212">
        <v>550</v>
      </c>
      <c r="C12" t="e">
        <f t="shared" si="0"/>
        <v>#N/A</v>
      </c>
      <c r="D12" s="374">
        <f t="shared" si="1"/>
        <v>550</v>
      </c>
      <c r="E12" s="374"/>
      <c r="F12" s="4" t="s">
        <v>1618</v>
      </c>
      <c r="G12">
        <v>-108</v>
      </c>
      <c r="I12" s="4" t="s">
        <v>350</v>
      </c>
      <c r="J12" s="379">
        <v>61265</v>
      </c>
      <c r="K12">
        <f t="shared" si="2"/>
        <v>-13470</v>
      </c>
      <c r="L12" s="374">
        <f t="shared" si="3"/>
        <v>47795</v>
      </c>
      <c r="M12" s="374"/>
      <c r="N12" s="4" t="s">
        <v>302</v>
      </c>
      <c r="O12">
        <v>-71400</v>
      </c>
    </row>
    <row r="13" spans="1:15">
      <c r="A13" s="4" t="s">
        <v>430</v>
      </c>
      <c r="B13" s="212">
        <v>72</v>
      </c>
      <c r="C13">
        <f t="shared" si="0"/>
        <v>-70</v>
      </c>
      <c r="D13" s="374">
        <f t="shared" si="1"/>
        <v>2</v>
      </c>
      <c r="E13" s="374"/>
      <c r="F13" s="4" t="s">
        <v>1511</v>
      </c>
      <c r="G13">
        <v>-353</v>
      </c>
      <c r="I13" s="4" t="s">
        <v>302</v>
      </c>
      <c r="J13" s="379">
        <v>71400</v>
      </c>
      <c r="K13">
        <f t="shared" si="2"/>
        <v>-71400</v>
      </c>
      <c r="L13" s="374">
        <f t="shared" si="3"/>
        <v>0</v>
      </c>
      <c r="M13" s="374"/>
      <c r="N13" s="4" t="s">
        <v>239</v>
      </c>
      <c r="O13">
        <v>-3905</v>
      </c>
    </row>
    <row r="14" spans="1:15">
      <c r="A14" s="4" t="s">
        <v>352</v>
      </c>
      <c r="B14" s="212">
        <v>136</v>
      </c>
      <c r="C14">
        <f t="shared" si="0"/>
        <v>-127</v>
      </c>
      <c r="D14" s="374">
        <f t="shared" si="1"/>
        <v>9</v>
      </c>
      <c r="E14" s="374"/>
      <c r="F14" s="4" t="s">
        <v>236</v>
      </c>
      <c r="G14">
        <v>-629</v>
      </c>
      <c r="I14" s="4" t="s">
        <v>355</v>
      </c>
      <c r="J14" s="379">
        <v>88.04</v>
      </c>
      <c r="K14" t="e">
        <f t="shared" si="2"/>
        <v>#N/A</v>
      </c>
      <c r="L14" s="374">
        <f t="shared" si="3"/>
        <v>88.04</v>
      </c>
      <c r="M14" s="374"/>
      <c r="N14" s="4" t="s">
        <v>455</v>
      </c>
      <c r="O14">
        <v>-27440</v>
      </c>
    </row>
    <row r="15" spans="1:15">
      <c r="A15" s="4" t="s">
        <v>353</v>
      </c>
      <c r="B15" s="212">
        <v>9</v>
      </c>
      <c r="C15" t="e">
        <f t="shared" si="0"/>
        <v>#N/A</v>
      </c>
      <c r="D15" s="374">
        <f t="shared" si="1"/>
        <v>9</v>
      </c>
      <c r="E15" s="374"/>
      <c r="F15" s="4" t="s">
        <v>305</v>
      </c>
      <c r="G15">
        <v>-60</v>
      </c>
      <c r="I15" s="4" t="s">
        <v>239</v>
      </c>
      <c r="J15" s="379">
        <v>3905</v>
      </c>
      <c r="K15">
        <f t="shared" si="2"/>
        <v>-3905</v>
      </c>
      <c r="L15" s="374">
        <f t="shared" si="3"/>
        <v>0</v>
      </c>
      <c r="M15" s="374"/>
      <c r="N15" s="4" t="s">
        <v>1276</v>
      </c>
      <c r="O15">
        <v>-14058</v>
      </c>
    </row>
    <row r="16" spans="1:15">
      <c r="A16" s="4" t="s">
        <v>354</v>
      </c>
      <c r="B16" s="212">
        <v>20</v>
      </c>
      <c r="C16">
        <f t="shared" si="0"/>
        <v>-3</v>
      </c>
      <c r="D16" s="374">
        <f t="shared" si="1"/>
        <v>17</v>
      </c>
      <c r="E16" s="374"/>
      <c r="F16" s="4" t="s">
        <v>307</v>
      </c>
      <c r="G16">
        <v>-12</v>
      </c>
      <c r="I16" s="4" t="s">
        <v>455</v>
      </c>
      <c r="J16" s="379">
        <v>27440</v>
      </c>
      <c r="K16">
        <f t="shared" si="2"/>
        <v>-27440</v>
      </c>
      <c r="L16" s="374">
        <f t="shared" si="3"/>
        <v>0</v>
      </c>
      <c r="M16" s="374"/>
      <c r="N16" s="4" t="s">
        <v>357</v>
      </c>
      <c r="O16">
        <v>-2355.54</v>
      </c>
    </row>
    <row r="17" spans="1:15">
      <c r="A17" s="4" t="s">
        <v>302</v>
      </c>
      <c r="B17" s="212">
        <v>184</v>
      </c>
      <c r="C17">
        <f t="shared" si="0"/>
        <v>-220</v>
      </c>
      <c r="D17" s="374">
        <f t="shared" si="1"/>
        <v>-36</v>
      </c>
      <c r="E17" s="374"/>
      <c r="F17" s="4" t="s">
        <v>367</v>
      </c>
      <c r="G17">
        <v>-168</v>
      </c>
      <c r="I17" s="4" t="s">
        <v>1276</v>
      </c>
      <c r="J17" s="379">
        <v>13873.5</v>
      </c>
      <c r="K17">
        <f t="shared" si="2"/>
        <v>-14058</v>
      </c>
      <c r="L17" s="374">
        <f t="shared" si="3"/>
        <v>-184.5</v>
      </c>
      <c r="M17" s="374"/>
      <c r="N17" s="4" t="s">
        <v>1239</v>
      </c>
      <c r="O17">
        <v>-1197.74</v>
      </c>
    </row>
    <row r="18" spans="1:15">
      <c r="A18" s="4" t="s">
        <v>1519</v>
      </c>
      <c r="B18" s="212">
        <v>216</v>
      </c>
      <c r="C18" t="e">
        <f t="shared" si="0"/>
        <v>#N/A</v>
      </c>
      <c r="D18" s="374">
        <f t="shared" si="1"/>
        <v>216</v>
      </c>
      <c r="E18" s="374"/>
      <c r="F18" s="4" t="s">
        <v>309</v>
      </c>
      <c r="G18">
        <v>-48</v>
      </c>
      <c r="I18" s="4" t="s">
        <v>357</v>
      </c>
      <c r="J18" s="379">
        <v>2081.2599999999998</v>
      </c>
      <c r="K18">
        <f t="shared" si="2"/>
        <v>-2355.54</v>
      </c>
      <c r="L18" s="374">
        <f t="shared" si="3"/>
        <v>-274.2800000000002</v>
      </c>
      <c r="M18" s="374"/>
      <c r="N18" s="4" t="s">
        <v>360</v>
      </c>
      <c r="O18">
        <v>-5885.5999999999995</v>
      </c>
    </row>
    <row r="19" spans="1:15">
      <c r="A19" s="4" t="s">
        <v>1618</v>
      </c>
      <c r="B19" s="212">
        <v>108</v>
      </c>
      <c r="C19">
        <f t="shared" si="0"/>
        <v>-108</v>
      </c>
      <c r="D19" s="374">
        <f t="shared" si="1"/>
        <v>0</v>
      </c>
      <c r="E19" s="374"/>
      <c r="F19" s="4" t="s">
        <v>454</v>
      </c>
      <c r="G19">
        <v>-211</v>
      </c>
      <c r="I19" s="4" t="s">
        <v>1239</v>
      </c>
      <c r="J19" s="379">
        <v>1197.74</v>
      </c>
      <c r="K19">
        <f t="shared" si="2"/>
        <v>-1197.74</v>
      </c>
      <c r="L19" s="374">
        <f t="shared" si="3"/>
        <v>0</v>
      </c>
      <c r="M19" s="374"/>
      <c r="N19" s="4" t="s">
        <v>364</v>
      </c>
      <c r="O19">
        <v>-12638.5</v>
      </c>
    </row>
    <row r="20" spans="1:15">
      <c r="A20" s="4" t="s">
        <v>1511</v>
      </c>
      <c r="B20" s="212">
        <v>393</v>
      </c>
      <c r="C20">
        <f t="shared" si="0"/>
        <v>-353</v>
      </c>
      <c r="D20" s="374">
        <f t="shared" si="1"/>
        <v>40</v>
      </c>
      <c r="E20" s="374"/>
      <c r="F20" s="4" t="s">
        <v>1448</v>
      </c>
      <c r="G20">
        <v>-13</v>
      </c>
      <c r="I20" s="4" t="s">
        <v>360</v>
      </c>
      <c r="J20" s="379">
        <v>21387.9</v>
      </c>
      <c r="K20">
        <f t="shared" si="2"/>
        <v>-5885.5999999999995</v>
      </c>
      <c r="L20" s="374">
        <f t="shared" si="3"/>
        <v>15502.300000000003</v>
      </c>
      <c r="M20" s="374"/>
      <c r="N20" s="4" t="s">
        <v>366</v>
      </c>
      <c r="O20">
        <v>-17672</v>
      </c>
    </row>
    <row r="21" spans="1:15">
      <c r="A21" s="4" t="s">
        <v>359</v>
      </c>
      <c r="B21" s="212">
        <v>475</v>
      </c>
      <c r="C21" t="e">
        <f t="shared" si="0"/>
        <v>#N/A</v>
      </c>
      <c r="D21" s="374">
        <f t="shared" si="1"/>
        <v>475</v>
      </c>
      <c r="E21" s="374"/>
      <c r="F21" s="4" t="s">
        <v>310</v>
      </c>
      <c r="G21">
        <v>-1162</v>
      </c>
      <c r="I21" s="4" t="s">
        <v>362</v>
      </c>
      <c r="J21" s="379">
        <v>1093.2</v>
      </c>
      <c r="K21" t="e">
        <f t="shared" si="2"/>
        <v>#N/A</v>
      </c>
      <c r="L21" s="374">
        <f t="shared" si="3"/>
        <v>1093.2</v>
      </c>
      <c r="M21" s="374"/>
      <c r="N21" s="4" t="s">
        <v>1414</v>
      </c>
      <c r="O21">
        <v>-588.34</v>
      </c>
    </row>
    <row r="22" spans="1:15">
      <c r="A22" s="4" t="s">
        <v>236</v>
      </c>
      <c r="B22" s="212">
        <v>725</v>
      </c>
      <c r="C22">
        <f t="shared" si="0"/>
        <v>-629</v>
      </c>
      <c r="D22" s="374">
        <f t="shared" si="1"/>
        <v>96</v>
      </c>
      <c r="E22" s="374"/>
      <c r="F22" s="4" t="s">
        <v>311</v>
      </c>
      <c r="G22">
        <v>-881</v>
      </c>
      <c r="I22" s="4" t="s">
        <v>363</v>
      </c>
      <c r="J22" s="379">
        <v>134</v>
      </c>
      <c r="K22" t="e">
        <f t="shared" si="2"/>
        <v>#N/A</v>
      </c>
      <c r="L22" s="374">
        <f t="shared" si="3"/>
        <v>134</v>
      </c>
      <c r="M22" s="374"/>
      <c r="N22" s="4" t="s">
        <v>373</v>
      </c>
      <c r="O22">
        <v>-22707.199999999997</v>
      </c>
    </row>
    <row r="23" spans="1:15">
      <c r="A23" s="4" t="s">
        <v>305</v>
      </c>
      <c r="B23" s="212">
        <v>620</v>
      </c>
      <c r="C23">
        <f t="shared" si="0"/>
        <v>-60</v>
      </c>
      <c r="D23" s="374">
        <f t="shared" si="1"/>
        <v>560</v>
      </c>
      <c r="E23" s="374"/>
      <c r="F23" s="4" t="s">
        <v>312</v>
      </c>
      <c r="G23">
        <v>-359</v>
      </c>
      <c r="I23" s="4" t="s">
        <v>364</v>
      </c>
      <c r="J23" s="379">
        <v>19067.8</v>
      </c>
      <c r="K23">
        <f t="shared" si="2"/>
        <v>-12638.5</v>
      </c>
      <c r="L23" s="374">
        <f t="shared" si="3"/>
        <v>6429.2999999999993</v>
      </c>
      <c r="M23" s="374"/>
      <c r="N23" s="4" t="s">
        <v>374</v>
      </c>
      <c r="O23">
        <v>-16900</v>
      </c>
    </row>
    <row r="24" spans="1:15">
      <c r="A24" s="4" t="s">
        <v>307</v>
      </c>
      <c r="B24" s="212">
        <v>200</v>
      </c>
      <c r="C24">
        <f t="shared" si="0"/>
        <v>-12</v>
      </c>
      <c r="D24" s="374">
        <f t="shared" si="1"/>
        <v>188</v>
      </c>
      <c r="E24" s="374"/>
      <c r="F24" s="4" t="s">
        <v>313</v>
      </c>
      <c r="G24">
        <v>-109</v>
      </c>
      <c r="I24" s="4" t="s">
        <v>366</v>
      </c>
      <c r="J24" s="379">
        <v>10972</v>
      </c>
      <c r="K24">
        <f t="shared" si="2"/>
        <v>-17672</v>
      </c>
      <c r="L24" s="374">
        <f t="shared" si="3"/>
        <v>-6700</v>
      </c>
      <c r="M24" s="374"/>
      <c r="N24" s="4" t="s">
        <v>1483</v>
      </c>
      <c r="O24">
        <v>-1936</v>
      </c>
    </row>
    <row r="25" spans="1:15">
      <c r="A25" s="4" t="s">
        <v>367</v>
      </c>
      <c r="B25" s="212">
        <v>659</v>
      </c>
      <c r="C25">
        <f t="shared" si="0"/>
        <v>-168</v>
      </c>
      <c r="D25" s="374">
        <f t="shared" si="1"/>
        <v>491</v>
      </c>
      <c r="E25" s="374"/>
      <c r="F25" s="4" t="s">
        <v>334</v>
      </c>
      <c r="G25">
        <v>-4</v>
      </c>
      <c r="I25" s="4" t="s">
        <v>369</v>
      </c>
      <c r="J25" s="379">
        <v>2790</v>
      </c>
      <c r="K25" t="e">
        <f t="shared" si="2"/>
        <v>#N/A</v>
      </c>
      <c r="L25" s="374">
        <f t="shared" si="3"/>
        <v>2790</v>
      </c>
      <c r="M25" s="374"/>
      <c r="N25" s="4" t="s">
        <v>377</v>
      </c>
      <c r="O25">
        <v>-14182.7</v>
      </c>
    </row>
    <row r="26" spans="1:15">
      <c r="A26" s="4" t="s">
        <v>309</v>
      </c>
      <c r="B26" s="212">
        <v>182</v>
      </c>
      <c r="C26">
        <f t="shared" si="0"/>
        <v>-48</v>
      </c>
      <c r="D26" s="374">
        <f t="shared" si="1"/>
        <v>134</v>
      </c>
      <c r="E26" s="374"/>
      <c r="F26" s="4" t="s">
        <v>378</v>
      </c>
      <c r="G26">
        <v>-1672</v>
      </c>
      <c r="I26" s="4" t="s">
        <v>1414</v>
      </c>
      <c r="J26" s="379">
        <v>1684.7400000000002</v>
      </c>
      <c r="K26">
        <f t="shared" si="2"/>
        <v>-588.34</v>
      </c>
      <c r="L26" s="374">
        <f t="shared" si="3"/>
        <v>1096.4000000000001</v>
      </c>
      <c r="M26" s="374"/>
      <c r="N26" s="4" t="s">
        <v>380</v>
      </c>
      <c r="O26">
        <v>-25415</v>
      </c>
    </row>
    <row r="27" spans="1:15">
      <c r="A27" s="4" t="s">
        <v>370</v>
      </c>
      <c r="B27" s="212">
        <v>0</v>
      </c>
      <c r="C27" t="e">
        <f t="shared" si="0"/>
        <v>#N/A</v>
      </c>
      <c r="D27" s="374">
        <f t="shared" si="1"/>
        <v>0</v>
      </c>
      <c r="E27" s="374"/>
      <c r="F27" s="4" t="s">
        <v>379</v>
      </c>
      <c r="G27">
        <v>-45</v>
      </c>
      <c r="I27" s="4" t="s">
        <v>465</v>
      </c>
      <c r="J27" s="379">
        <v>6070</v>
      </c>
      <c r="K27" t="e">
        <f t="shared" si="2"/>
        <v>#N/A</v>
      </c>
      <c r="L27" s="374">
        <f t="shared" si="3"/>
        <v>6070</v>
      </c>
      <c r="M27" s="374"/>
      <c r="N27" s="4" t="s">
        <v>396</v>
      </c>
      <c r="O27">
        <v>-4260</v>
      </c>
    </row>
    <row r="28" spans="1:15">
      <c r="A28" s="4" t="s">
        <v>454</v>
      </c>
      <c r="B28" s="212">
        <v>211</v>
      </c>
      <c r="C28">
        <f t="shared" si="0"/>
        <v>-211</v>
      </c>
      <c r="D28" s="374">
        <f t="shared" si="1"/>
        <v>0</v>
      </c>
      <c r="E28" s="374"/>
      <c r="F28" s="4" t="s">
        <v>380</v>
      </c>
      <c r="G28">
        <v>164</v>
      </c>
      <c r="I28" s="4" t="s">
        <v>373</v>
      </c>
      <c r="J28" s="379">
        <v>27155.599999999999</v>
      </c>
      <c r="K28">
        <f t="shared" si="2"/>
        <v>-22707.199999999997</v>
      </c>
      <c r="L28" s="374">
        <f t="shared" si="3"/>
        <v>4448.4000000000015</v>
      </c>
      <c r="M28" s="374"/>
      <c r="N28" s="4" t="s">
        <v>1150</v>
      </c>
      <c r="O28">
        <v>-2899.1</v>
      </c>
    </row>
    <row r="29" spans="1:15">
      <c r="A29" s="4" t="s">
        <v>371</v>
      </c>
      <c r="B29" s="212">
        <v>1252</v>
      </c>
      <c r="C29" t="e">
        <f t="shared" si="0"/>
        <v>#N/A</v>
      </c>
      <c r="D29" s="374">
        <f t="shared" si="1"/>
        <v>1252</v>
      </c>
      <c r="E29" s="374"/>
      <c r="F29" s="4" t="s">
        <v>429</v>
      </c>
      <c r="G29">
        <v>-46</v>
      </c>
      <c r="I29" s="4" t="s">
        <v>374</v>
      </c>
      <c r="J29" s="379">
        <v>15775</v>
      </c>
      <c r="K29">
        <f t="shared" si="2"/>
        <v>-16900</v>
      </c>
      <c r="L29" s="374">
        <f t="shared" si="3"/>
        <v>-1125</v>
      </c>
      <c r="M29" s="374"/>
      <c r="N29" s="4" t="s">
        <v>437</v>
      </c>
      <c r="O29">
        <v>-15585</v>
      </c>
    </row>
    <row r="30" spans="1:15">
      <c r="A30" s="4" t="s">
        <v>372</v>
      </c>
      <c r="B30" s="212">
        <v>778</v>
      </c>
      <c r="C30" t="e">
        <f t="shared" si="0"/>
        <v>#N/A</v>
      </c>
      <c r="D30" s="374">
        <f t="shared" si="1"/>
        <v>778</v>
      </c>
      <c r="E30" s="374"/>
      <c r="F30" s="4" t="s">
        <v>381</v>
      </c>
      <c r="G30">
        <v>-1399</v>
      </c>
      <c r="I30" s="4" t="s">
        <v>1483</v>
      </c>
      <c r="J30" s="379">
        <v>7395</v>
      </c>
      <c r="K30">
        <f t="shared" si="2"/>
        <v>-1936</v>
      </c>
      <c r="L30" s="374">
        <f t="shared" si="3"/>
        <v>5459</v>
      </c>
      <c r="M30" s="374"/>
      <c r="N30" s="4" t="s">
        <v>450</v>
      </c>
      <c r="O30">
        <v>-61589</v>
      </c>
    </row>
    <row r="31" spans="1:15">
      <c r="A31" s="4" t="s">
        <v>1448</v>
      </c>
      <c r="B31" s="212">
        <v>126</v>
      </c>
      <c r="C31">
        <f t="shared" si="0"/>
        <v>-13</v>
      </c>
      <c r="D31" s="374">
        <f t="shared" si="1"/>
        <v>113</v>
      </c>
      <c r="E31" s="374"/>
      <c r="F31" s="4" t="s">
        <v>382</v>
      </c>
      <c r="G31">
        <v>-377</v>
      </c>
      <c r="I31" s="4" t="s">
        <v>1634</v>
      </c>
      <c r="J31" s="379">
        <v>190</v>
      </c>
      <c r="K31" t="e">
        <f t="shared" si="2"/>
        <v>#N/A</v>
      </c>
      <c r="L31" s="374">
        <f t="shared" si="3"/>
        <v>190</v>
      </c>
      <c r="M31" s="374"/>
      <c r="N31" s="4" t="s">
        <v>1251</v>
      </c>
      <c r="O31">
        <v>-3766</v>
      </c>
    </row>
    <row r="32" spans="1:15">
      <c r="A32" s="4" t="s">
        <v>310</v>
      </c>
      <c r="B32" s="212">
        <v>536</v>
      </c>
      <c r="C32">
        <f t="shared" si="0"/>
        <v>-1162</v>
      </c>
      <c r="D32" s="374">
        <f t="shared" si="1"/>
        <v>-626</v>
      </c>
      <c r="E32" s="374"/>
      <c r="F32" s="4" t="s">
        <v>315</v>
      </c>
      <c r="G32">
        <v>-849</v>
      </c>
      <c r="I32" s="4" t="s">
        <v>377</v>
      </c>
      <c r="J32" s="379">
        <v>17794.5</v>
      </c>
      <c r="K32">
        <f t="shared" si="2"/>
        <v>-14182.7</v>
      </c>
      <c r="L32" s="374">
        <f t="shared" si="3"/>
        <v>3611.7999999999993</v>
      </c>
      <c r="M32" s="374"/>
      <c r="N32" s="4" t="s">
        <v>1145</v>
      </c>
      <c r="O32">
        <v>-19449</v>
      </c>
    </row>
    <row r="33" spans="1:15">
      <c r="A33" s="4" t="s">
        <v>311</v>
      </c>
      <c r="B33" s="212">
        <v>868</v>
      </c>
      <c r="C33">
        <f t="shared" si="0"/>
        <v>-881</v>
      </c>
      <c r="D33" s="374">
        <f t="shared" si="1"/>
        <v>-13</v>
      </c>
      <c r="E33" s="374"/>
      <c r="F33" s="4" t="s">
        <v>4244</v>
      </c>
      <c r="G33">
        <v>-36</v>
      </c>
      <c r="I33" s="4" t="s">
        <v>380</v>
      </c>
      <c r="J33" s="379">
        <v>21789</v>
      </c>
      <c r="K33">
        <f t="shared" si="2"/>
        <v>-25415</v>
      </c>
      <c r="L33" s="374">
        <f t="shared" si="3"/>
        <v>-3626</v>
      </c>
      <c r="M33" s="374"/>
      <c r="N33" s="4" t="s">
        <v>1279</v>
      </c>
      <c r="O33">
        <v>-507</v>
      </c>
    </row>
    <row r="34" spans="1:15">
      <c r="A34" s="4" t="s">
        <v>376</v>
      </c>
      <c r="B34" s="212">
        <v>1689</v>
      </c>
      <c r="C34" t="e">
        <f t="shared" si="0"/>
        <v>#N/A</v>
      </c>
      <c r="D34" s="374">
        <f t="shared" si="1"/>
        <v>1689</v>
      </c>
      <c r="E34" s="374"/>
      <c r="F34" s="4" t="s">
        <v>1686</v>
      </c>
      <c r="G34">
        <v>60</v>
      </c>
      <c r="I34" s="4" t="s">
        <v>4245</v>
      </c>
      <c r="J34" s="379">
        <v>8354</v>
      </c>
      <c r="K34" t="e">
        <f t="shared" si="2"/>
        <v>#N/A</v>
      </c>
      <c r="L34" s="374">
        <f t="shared" si="3"/>
        <v>8354</v>
      </c>
      <c r="M34" s="374"/>
      <c r="N34" s="4" t="s">
        <v>1406</v>
      </c>
      <c r="O34">
        <v>-4622</v>
      </c>
    </row>
    <row r="35" spans="1:15">
      <c r="A35" s="4" t="s">
        <v>312</v>
      </c>
      <c r="B35" s="212">
        <v>925</v>
      </c>
      <c r="C35">
        <f t="shared" si="0"/>
        <v>-359</v>
      </c>
      <c r="D35" s="374">
        <f t="shared" si="1"/>
        <v>566</v>
      </c>
      <c r="E35" s="374"/>
      <c r="F35" s="4" t="s">
        <v>383</v>
      </c>
      <c r="G35">
        <v>-534</v>
      </c>
      <c r="I35" s="4" t="s">
        <v>384</v>
      </c>
      <c r="J35" s="379">
        <v>143.26</v>
      </c>
      <c r="K35" t="e">
        <f t="shared" si="2"/>
        <v>#N/A</v>
      </c>
      <c r="L35" s="374">
        <f t="shared" si="3"/>
        <v>143.26</v>
      </c>
      <c r="M35" s="374"/>
      <c r="N35" s="4" t="s">
        <v>214</v>
      </c>
      <c r="O35">
        <v>-6178.07</v>
      </c>
    </row>
    <row r="36" spans="1:15">
      <c r="A36" s="4" t="s">
        <v>377</v>
      </c>
      <c r="B36" s="212">
        <v>0</v>
      </c>
      <c r="C36" t="e">
        <f t="shared" si="0"/>
        <v>#N/A</v>
      </c>
      <c r="D36" s="374">
        <f t="shared" si="1"/>
        <v>0</v>
      </c>
      <c r="E36" s="374"/>
      <c r="F36" s="4" t="s">
        <v>316</v>
      </c>
      <c r="G36">
        <v>-482</v>
      </c>
      <c r="I36" s="4" t="s">
        <v>385</v>
      </c>
      <c r="J36" s="379">
        <v>9281</v>
      </c>
      <c r="K36" t="e">
        <f t="shared" si="2"/>
        <v>#N/A</v>
      </c>
      <c r="L36" s="374">
        <f t="shared" si="3"/>
        <v>9281</v>
      </c>
      <c r="M36" s="374"/>
      <c r="N36" s="4" t="s">
        <v>403</v>
      </c>
      <c r="O36">
        <v>-127750</v>
      </c>
    </row>
    <row r="37" spans="1:15">
      <c r="A37" s="4" t="s">
        <v>313</v>
      </c>
      <c r="B37" s="212">
        <v>94</v>
      </c>
      <c r="C37">
        <f t="shared" si="0"/>
        <v>-109</v>
      </c>
      <c r="D37" s="374">
        <f t="shared" si="1"/>
        <v>-15</v>
      </c>
      <c r="E37" s="374"/>
      <c r="F37" s="4" t="s">
        <v>1513</v>
      </c>
      <c r="G37">
        <v>-408</v>
      </c>
      <c r="I37" s="4" t="s">
        <v>390</v>
      </c>
      <c r="J37" s="379">
        <v>12135</v>
      </c>
      <c r="K37" t="e">
        <f t="shared" si="2"/>
        <v>#N/A</v>
      </c>
      <c r="L37" s="374">
        <f t="shared" si="3"/>
        <v>12135</v>
      </c>
      <c r="M37" s="374"/>
      <c r="N37" s="4" t="s">
        <v>1328</v>
      </c>
      <c r="O37">
        <v>-43701</v>
      </c>
    </row>
    <row r="38" spans="1:15">
      <c r="A38" s="4" t="s">
        <v>334</v>
      </c>
      <c r="B38" s="212">
        <v>92</v>
      </c>
      <c r="C38">
        <f t="shared" si="0"/>
        <v>-4</v>
      </c>
      <c r="D38" s="374">
        <f t="shared" si="1"/>
        <v>88</v>
      </c>
      <c r="E38" s="374"/>
      <c r="F38" s="4" t="s">
        <v>1467</v>
      </c>
      <c r="G38">
        <v>-30</v>
      </c>
      <c r="I38" s="4" t="s">
        <v>473</v>
      </c>
      <c r="J38" s="379">
        <v>7695</v>
      </c>
      <c r="K38" t="e">
        <f t="shared" si="2"/>
        <v>#N/A</v>
      </c>
      <c r="L38" s="374">
        <f t="shared" si="3"/>
        <v>7695</v>
      </c>
      <c r="M38" s="374"/>
      <c r="N38" s="4" t="s">
        <v>553</v>
      </c>
      <c r="O38">
        <v>-1175</v>
      </c>
    </row>
    <row r="39" spans="1:15">
      <c r="A39" s="4" t="s">
        <v>378</v>
      </c>
      <c r="B39" s="212">
        <v>1699</v>
      </c>
      <c r="C39">
        <f t="shared" si="0"/>
        <v>-1672</v>
      </c>
      <c r="D39" s="374">
        <f t="shared" si="1"/>
        <v>27</v>
      </c>
      <c r="E39" s="374"/>
      <c r="F39" s="4" t="s">
        <v>238</v>
      </c>
      <c r="G39">
        <v>-13</v>
      </c>
      <c r="I39" s="4" t="s">
        <v>4246</v>
      </c>
      <c r="J39" s="379">
        <v>606</v>
      </c>
      <c r="K39" t="e">
        <f t="shared" si="2"/>
        <v>#N/A</v>
      </c>
      <c r="L39" s="374">
        <f t="shared" si="3"/>
        <v>606</v>
      </c>
      <c r="M39" s="374"/>
      <c r="N39" s="4" t="s">
        <v>1562</v>
      </c>
      <c r="O39">
        <v>-7045</v>
      </c>
    </row>
    <row r="40" spans="1:15">
      <c r="A40" s="4" t="s">
        <v>379</v>
      </c>
      <c r="B40" s="212">
        <v>54</v>
      </c>
      <c r="C40">
        <f t="shared" si="0"/>
        <v>-45</v>
      </c>
      <c r="D40" s="374">
        <f t="shared" si="1"/>
        <v>9</v>
      </c>
      <c r="E40" s="374"/>
      <c r="F40" s="4" t="s">
        <v>318</v>
      </c>
      <c r="G40">
        <v>-173</v>
      </c>
      <c r="I40" s="4" t="s">
        <v>396</v>
      </c>
      <c r="J40" s="379">
        <v>575</v>
      </c>
      <c r="K40">
        <f t="shared" si="2"/>
        <v>-4260</v>
      </c>
      <c r="L40" s="374">
        <f t="shared" si="3"/>
        <v>-3685</v>
      </c>
      <c r="M40" s="374"/>
      <c r="N40" s="4" t="s">
        <v>1628</v>
      </c>
      <c r="O40">
        <v>-3696</v>
      </c>
    </row>
    <row r="41" spans="1:15">
      <c r="A41" s="4" t="s">
        <v>380</v>
      </c>
      <c r="B41" s="212">
        <v>1</v>
      </c>
      <c r="C41">
        <f t="shared" si="0"/>
        <v>164</v>
      </c>
      <c r="D41" s="374">
        <f t="shared" si="1"/>
        <v>165</v>
      </c>
      <c r="E41" s="374"/>
      <c r="F41" s="4" t="s">
        <v>386</v>
      </c>
      <c r="G41">
        <v>-221</v>
      </c>
      <c r="I41" s="4" t="s">
        <v>401</v>
      </c>
      <c r="J41" s="379">
        <v>3625</v>
      </c>
      <c r="K41" t="e">
        <f t="shared" si="2"/>
        <v>#N/A</v>
      </c>
      <c r="L41" s="374">
        <f t="shared" si="3"/>
        <v>3625</v>
      </c>
      <c r="M41" s="374"/>
      <c r="N41" s="4" t="s">
        <v>1200</v>
      </c>
      <c r="O41">
        <v>-4146.78</v>
      </c>
    </row>
    <row r="42" spans="1:15">
      <c r="A42" s="4" t="s">
        <v>429</v>
      </c>
      <c r="B42" s="212">
        <v>2705</v>
      </c>
      <c r="C42">
        <f t="shared" si="0"/>
        <v>-46</v>
      </c>
      <c r="D42" s="374">
        <f t="shared" si="1"/>
        <v>2659</v>
      </c>
      <c r="E42" s="374"/>
      <c r="F42" s="4" t="s">
        <v>387</v>
      </c>
      <c r="G42">
        <v>-48</v>
      </c>
      <c r="I42" s="4" t="s">
        <v>1150</v>
      </c>
      <c r="J42" s="379">
        <v>3054</v>
      </c>
      <c r="K42">
        <f t="shared" si="2"/>
        <v>-2899.1</v>
      </c>
      <c r="L42" s="374">
        <f t="shared" si="3"/>
        <v>154.90000000000009</v>
      </c>
      <c r="M42" s="374"/>
      <c r="N42" s="4" t="s">
        <v>415</v>
      </c>
      <c r="O42">
        <v>-30620</v>
      </c>
    </row>
    <row r="43" spans="1:15">
      <c r="A43" s="4" t="s">
        <v>381</v>
      </c>
      <c r="B43" s="212">
        <v>1399</v>
      </c>
      <c r="C43">
        <f t="shared" si="0"/>
        <v>-1399</v>
      </c>
      <c r="D43" s="374">
        <f t="shared" si="1"/>
        <v>0</v>
      </c>
      <c r="E43" s="374"/>
      <c r="F43" s="4" t="s">
        <v>391</v>
      </c>
      <c r="G43">
        <v>-8956</v>
      </c>
      <c r="I43" s="4" t="s">
        <v>437</v>
      </c>
      <c r="J43" s="379">
        <v>15585</v>
      </c>
      <c r="K43">
        <f t="shared" si="2"/>
        <v>-15585</v>
      </c>
      <c r="L43" s="374">
        <f t="shared" si="3"/>
        <v>0</v>
      </c>
      <c r="M43" s="374"/>
      <c r="N43" s="4" t="s">
        <v>414</v>
      </c>
      <c r="O43">
        <v>-136280</v>
      </c>
    </row>
    <row r="44" spans="1:15">
      <c r="A44" s="4" t="s">
        <v>382</v>
      </c>
      <c r="B44" s="212">
        <v>377</v>
      </c>
      <c r="C44">
        <f t="shared" si="0"/>
        <v>-377</v>
      </c>
      <c r="D44" s="374">
        <f t="shared" si="1"/>
        <v>0</v>
      </c>
      <c r="E44" s="374"/>
      <c r="F44" s="4" t="s">
        <v>319</v>
      </c>
      <c r="G44">
        <v>-72</v>
      </c>
      <c r="I44" s="4" t="s">
        <v>450</v>
      </c>
      <c r="J44" s="379">
        <v>74902</v>
      </c>
      <c r="K44">
        <f t="shared" si="2"/>
        <v>-61589</v>
      </c>
      <c r="L44" s="374">
        <f t="shared" si="3"/>
        <v>13313</v>
      </c>
      <c r="M44" s="374"/>
      <c r="N44" s="4" t="s">
        <v>1224</v>
      </c>
      <c r="O44">
        <v>-16199</v>
      </c>
    </row>
    <row r="45" spans="1:15">
      <c r="A45" s="4" t="s">
        <v>315</v>
      </c>
      <c r="B45" s="212">
        <v>676</v>
      </c>
      <c r="C45">
        <f t="shared" si="0"/>
        <v>-849</v>
      </c>
      <c r="D45" s="374">
        <f t="shared" si="1"/>
        <v>-173</v>
      </c>
      <c r="E45" s="374"/>
      <c r="F45" s="4" t="s">
        <v>320</v>
      </c>
      <c r="G45">
        <v>-849</v>
      </c>
      <c r="I45" s="4" t="s">
        <v>1251</v>
      </c>
      <c r="J45" s="379">
        <v>4115</v>
      </c>
      <c r="K45">
        <f t="shared" si="2"/>
        <v>-3766</v>
      </c>
      <c r="L45" s="374">
        <f t="shared" si="3"/>
        <v>349</v>
      </c>
      <c r="M45" s="374"/>
      <c r="N45" s="4" t="s">
        <v>1688</v>
      </c>
      <c r="O45">
        <v>-6622</v>
      </c>
    </row>
    <row r="46" spans="1:15">
      <c r="A46" s="4" t="s">
        <v>4244</v>
      </c>
      <c r="B46" s="212">
        <v>36</v>
      </c>
      <c r="C46">
        <f t="shared" si="0"/>
        <v>-36</v>
      </c>
      <c r="D46" s="374">
        <f t="shared" si="1"/>
        <v>0</v>
      </c>
      <c r="E46" s="374"/>
      <c r="F46" s="4" t="s">
        <v>393</v>
      </c>
      <c r="G46">
        <v>-404</v>
      </c>
      <c r="I46" s="4" t="s">
        <v>1145</v>
      </c>
      <c r="J46" s="379">
        <v>19549</v>
      </c>
      <c r="K46">
        <f t="shared" si="2"/>
        <v>-19449</v>
      </c>
      <c r="L46" s="374">
        <f t="shared" si="3"/>
        <v>100</v>
      </c>
      <c r="M46" s="374"/>
      <c r="N46" s="4" t="s">
        <v>1579</v>
      </c>
      <c r="O46">
        <v>-41549</v>
      </c>
    </row>
    <row r="47" spans="1:15">
      <c r="A47" s="4" t="s">
        <v>1686</v>
      </c>
      <c r="B47" s="212">
        <v>159</v>
      </c>
      <c r="C47">
        <f t="shared" si="0"/>
        <v>60</v>
      </c>
      <c r="D47" s="374">
        <f t="shared" si="1"/>
        <v>219</v>
      </c>
      <c r="E47" s="374"/>
      <c r="F47" s="4" t="s">
        <v>394</v>
      </c>
      <c r="G47">
        <v>-106</v>
      </c>
      <c r="I47" s="4" t="s">
        <v>1279</v>
      </c>
      <c r="J47" s="379">
        <v>1952</v>
      </c>
      <c r="K47">
        <f t="shared" si="2"/>
        <v>-507</v>
      </c>
      <c r="L47" s="374">
        <f t="shared" si="3"/>
        <v>1445</v>
      </c>
      <c r="M47" s="374"/>
      <c r="N47" s="4" t="s">
        <v>459</v>
      </c>
      <c r="O47">
        <v>-11059</v>
      </c>
    </row>
    <row r="48" spans="1:15">
      <c r="A48" s="4" t="s">
        <v>383</v>
      </c>
      <c r="B48" s="212">
        <v>534</v>
      </c>
      <c r="C48">
        <f t="shared" si="0"/>
        <v>-534</v>
      </c>
      <c r="D48" s="374">
        <f t="shared" si="1"/>
        <v>0</v>
      </c>
      <c r="E48" s="374"/>
      <c r="F48" s="4" t="s">
        <v>398</v>
      </c>
      <c r="G48">
        <v>-12</v>
      </c>
      <c r="I48" s="4" t="s">
        <v>1406</v>
      </c>
      <c r="J48" s="379">
        <v>16221</v>
      </c>
      <c r="K48">
        <f t="shared" si="2"/>
        <v>-4622</v>
      </c>
      <c r="L48" s="374">
        <f t="shared" si="3"/>
        <v>11599</v>
      </c>
      <c r="M48" s="374"/>
      <c r="N48" s="4" t="s">
        <v>1587</v>
      </c>
      <c r="O48">
        <v>-2437</v>
      </c>
    </row>
    <row r="49" spans="1:15">
      <c r="A49" s="4" t="s">
        <v>316</v>
      </c>
      <c r="B49" s="212">
        <v>554</v>
      </c>
      <c r="C49">
        <f t="shared" si="0"/>
        <v>-482</v>
      </c>
      <c r="D49" s="374">
        <f t="shared" si="1"/>
        <v>72</v>
      </c>
      <c r="E49" s="374"/>
      <c r="F49" s="4" t="s">
        <v>399</v>
      </c>
      <c r="G49">
        <v>-200</v>
      </c>
      <c r="I49" s="4" t="s">
        <v>214</v>
      </c>
      <c r="J49" s="379">
        <v>1462.6000000000001</v>
      </c>
      <c r="K49">
        <f t="shared" si="2"/>
        <v>-6178.07</v>
      </c>
      <c r="L49" s="374">
        <f t="shared" si="3"/>
        <v>-4715.4699999999993</v>
      </c>
      <c r="M49" s="374"/>
      <c r="N49" s="4" t="s">
        <v>1165</v>
      </c>
      <c r="O49">
        <v>-3364.95</v>
      </c>
    </row>
    <row r="50" spans="1:15">
      <c r="A50" s="4" t="s">
        <v>4245</v>
      </c>
      <c r="B50" s="212">
        <v>0</v>
      </c>
      <c r="C50" t="e">
        <f t="shared" si="0"/>
        <v>#N/A</v>
      </c>
      <c r="D50" s="374">
        <f t="shared" si="1"/>
        <v>0</v>
      </c>
      <c r="E50" s="374"/>
      <c r="F50" s="4" t="s">
        <v>1526</v>
      </c>
      <c r="G50">
        <v>-169</v>
      </c>
      <c r="I50" s="4" t="s">
        <v>402</v>
      </c>
      <c r="J50" s="379">
        <v>4700</v>
      </c>
      <c r="K50" t="e">
        <f t="shared" si="2"/>
        <v>#N/A</v>
      </c>
      <c r="L50" s="374">
        <f t="shared" si="3"/>
        <v>4700</v>
      </c>
      <c r="M50" s="374"/>
      <c r="N50" s="4" t="s">
        <v>1535</v>
      </c>
      <c r="O50">
        <v>-33155</v>
      </c>
    </row>
    <row r="51" spans="1:15">
      <c r="A51" s="4" t="s">
        <v>1513</v>
      </c>
      <c r="B51" s="212">
        <v>408</v>
      </c>
      <c r="C51">
        <f t="shared" si="0"/>
        <v>-408</v>
      </c>
      <c r="D51" s="374">
        <f t="shared" si="1"/>
        <v>0</v>
      </c>
      <c r="E51" s="374"/>
      <c r="F51" s="4" t="s">
        <v>1157</v>
      </c>
      <c r="G51">
        <v>-1560</v>
      </c>
      <c r="I51" s="4" t="s">
        <v>4248</v>
      </c>
      <c r="J51" s="379">
        <v>484</v>
      </c>
      <c r="K51" t="e">
        <f t="shared" si="2"/>
        <v>#N/A</v>
      </c>
      <c r="L51" s="374">
        <f t="shared" si="3"/>
        <v>484</v>
      </c>
      <c r="M51" s="374"/>
      <c r="N51" s="4" t="s">
        <v>333</v>
      </c>
      <c r="O51">
        <v>-3990</v>
      </c>
    </row>
    <row r="52" spans="1:15">
      <c r="A52" s="4" t="s">
        <v>1467</v>
      </c>
      <c r="B52" s="212">
        <v>126</v>
      </c>
      <c r="C52">
        <f t="shared" si="0"/>
        <v>-30</v>
      </c>
      <c r="D52" s="374">
        <f t="shared" si="1"/>
        <v>96</v>
      </c>
      <c r="E52" s="374"/>
      <c r="F52" s="4" t="s">
        <v>211</v>
      </c>
      <c r="G52">
        <v>-290</v>
      </c>
      <c r="I52" s="4" t="s">
        <v>403</v>
      </c>
      <c r="J52" s="379">
        <v>127750</v>
      </c>
      <c r="K52">
        <f t="shared" si="2"/>
        <v>-127750</v>
      </c>
      <c r="L52" s="374">
        <f t="shared" si="3"/>
        <v>0</v>
      </c>
      <c r="M52" s="374"/>
      <c r="N52" s="4" t="s">
        <v>418</v>
      </c>
      <c r="O52">
        <v>-16025.490000000002</v>
      </c>
    </row>
    <row r="53" spans="1:15">
      <c r="A53" s="4" t="s">
        <v>1464</v>
      </c>
      <c r="B53" s="212">
        <v>166</v>
      </c>
      <c r="C53" t="e">
        <f t="shared" si="0"/>
        <v>#N/A</v>
      </c>
      <c r="D53" s="374">
        <f t="shared" si="1"/>
        <v>166</v>
      </c>
      <c r="E53" s="374"/>
      <c r="F53" s="4" t="s">
        <v>1604</v>
      </c>
      <c r="G53">
        <v>-623</v>
      </c>
      <c r="I53" s="4" t="s">
        <v>1328</v>
      </c>
      <c r="J53" s="379">
        <v>44279</v>
      </c>
      <c r="K53">
        <f t="shared" si="2"/>
        <v>-43701</v>
      </c>
      <c r="L53" s="374">
        <f t="shared" si="3"/>
        <v>578</v>
      </c>
      <c r="M53" s="374"/>
      <c r="N53" s="4" t="s">
        <v>419</v>
      </c>
      <c r="O53">
        <v>-4150</v>
      </c>
    </row>
    <row r="54" spans="1:15">
      <c r="A54" s="4" t="s">
        <v>238</v>
      </c>
      <c r="B54" s="212">
        <v>132</v>
      </c>
      <c r="C54">
        <f t="shared" si="0"/>
        <v>-13</v>
      </c>
      <c r="D54" s="374">
        <f t="shared" si="1"/>
        <v>119</v>
      </c>
      <c r="E54" s="374"/>
      <c r="F54" s="4" t="s">
        <v>446</v>
      </c>
      <c r="G54">
        <v>-1244</v>
      </c>
      <c r="I54" s="4" t="s">
        <v>405</v>
      </c>
      <c r="J54" s="379">
        <v>179.18</v>
      </c>
      <c r="K54" t="e">
        <f t="shared" si="2"/>
        <v>#N/A</v>
      </c>
      <c r="L54" s="374">
        <f t="shared" si="3"/>
        <v>179.18</v>
      </c>
      <c r="M54" s="374"/>
      <c r="N54" s="4" t="s">
        <v>1696</v>
      </c>
      <c r="O54">
        <v>-746.87</v>
      </c>
    </row>
    <row r="55" spans="1:15">
      <c r="A55" s="4" t="s">
        <v>317</v>
      </c>
      <c r="B55" s="212">
        <v>185</v>
      </c>
      <c r="C55" t="e">
        <f t="shared" si="0"/>
        <v>#N/A</v>
      </c>
      <c r="D55" s="374">
        <f t="shared" si="1"/>
        <v>185</v>
      </c>
      <c r="E55" s="374"/>
      <c r="F55" s="4" t="s">
        <v>321</v>
      </c>
      <c r="G55">
        <v>-3561</v>
      </c>
      <c r="I55" s="4" t="s">
        <v>553</v>
      </c>
      <c r="J55" s="379">
        <v>1175</v>
      </c>
      <c r="K55">
        <f t="shared" si="2"/>
        <v>-1175</v>
      </c>
      <c r="L55" s="374">
        <f t="shared" si="3"/>
        <v>0</v>
      </c>
      <c r="M55" s="374"/>
      <c r="N55" s="4" t="s">
        <v>420</v>
      </c>
      <c r="O55">
        <v>-336.3</v>
      </c>
    </row>
    <row r="56" spans="1:15">
      <c r="A56" s="4" t="s">
        <v>318</v>
      </c>
      <c r="B56" s="212">
        <v>338</v>
      </c>
      <c r="C56">
        <f t="shared" si="0"/>
        <v>-173</v>
      </c>
      <c r="D56" s="374">
        <f t="shared" si="1"/>
        <v>165</v>
      </c>
      <c r="E56" s="374"/>
      <c r="F56" s="4" t="s">
        <v>1320</v>
      </c>
      <c r="G56">
        <v>-2116</v>
      </c>
      <c r="I56" s="4" t="s">
        <v>1570</v>
      </c>
      <c r="J56" s="379">
        <v>384.5</v>
      </c>
      <c r="K56" t="e">
        <f t="shared" si="2"/>
        <v>#N/A</v>
      </c>
      <c r="L56" s="374">
        <f t="shared" si="3"/>
        <v>384.5</v>
      </c>
      <c r="M56" s="374"/>
      <c r="N56" s="4" t="s">
        <v>1411</v>
      </c>
      <c r="O56">
        <v>-6833</v>
      </c>
    </row>
    <row r="57" spans="1:15">
      <c r="A57" s="4" t="s">
        <v>386</v>
      </c>
      <c r="B57" s="212">
        <v>221</v>
      </c>
      <c r="C57">
        <f t="shared" si="0"/>
        <v>-221</v>
      </c>
      <c r="D57" s="374">
        <f t="shared" si="1"/>
        <v>0</v>
      </c>
      <c r="E57" s="374"/>
      <c r="F57" s="4" t="s">
        <v>1445</v>
      </c>
      <c r="G57">
        <v>-12</v>
      </c>
      <c r="I57" s="4" t="s">
        <v>4249</v>
      </c>
      <c r="J57" s="379">
        <v>46</v>
      </c>
      <c r="K57" t="e">
        <f t="shared" si="2"/>
        <v>#N/A</v>
      </c>
      <c r="L57" s="374">
        <f t="shared" si="3"/>
        <v>46</v>
      </c>
      <c r="M57" s="374"/>
      <c r="N57" s="4" t="s">
        <v>338</v>
      </c>
      <c r="O57">
        <v>-17.399999999999977</v>
      </c>
    </row>
    <row r="58" spans="1:15">
      <c r="A58" s="4" t="s">
        <v>387</v>
      </c>
      <c r="B58" s="212">
        <v>12</v>
      </c>
      <c r="C58">
        <f t="shared" si="0"/>
        <v>-48</v>
      </c>
      <c r="D58" s="374">
        <f t="shared" si="1"/>
        <v>-36</v>
      </c>
      <c r="E58" s="374"/>
      <c r="F58" s="4" t="s">
        <v>449</v>
      </c>
      <c r="G58">
        <v>-1687</v>
      </c>
      <c r="I58" s="4" t="s">
        <v>1562</v>
      </c>
      <c r="J58" s="379">
        <v>7045</v>
      </c>
      <c r="K58">
        <f t="shared" si="2"/>
        <v>-7045</v>
      </c>
      <c r="L58" s="374">
        <f t="shared" si="3"/>
        <v>0</v>
      </c>
      <c r="M58" s="374"/>
      <c r="N58" s="4" t="s">
        <v>1290</v>
      </c>
      <c r="O58">
        <v>-2115</v>
      </c>
    </row>
    <row r="59" spans="1:15">
      <c r="A59" s="4" t="s">
        <v>388</v>
      </c>
      <c r="B59" s="212">
        <v>398</v>
      </c>
      <c r="C59" t="e">
        <f t="shared" si="0"/>
        <v>#N/A</v>
      </c>
      <c r="D59" s="374">
        <f t="shared" si="1"/>
        <v>398</v>
      </c>
      <c r="E59" s="374"/>
      <c r="F59" s="4" t="s">
        <v>468</v>
      </c>
      <c r="G59">
        <v>-468</v>
      </c>
      <c r="I59" s="4" t="s">
        <v>1628</v>
      </c>
      <c r="J59" s="379">
        <v>3696</v>
      </c>
      <c r="K59">
        <f t="shared" si="2"/>
        <v>-3696</v>
      </c>
      <c r="L59" s="374">
        <f t="shared" si="3"/>
        <v>0</v>
      </c>
      <c r="M59" s="374"/>
      <c r="N59" s="4" t="s">
        <v>466</v>
      </c>
      <c r="O59">
        <v>-5610</v>
      </c>
    </row>
    <row r="60" spans="1:15">
      <c r="A60" s="4" t="s">
        <v>389</v>
      </c>
      <c r="B60" s="212">
        <v>27</v>
      </c>
      <c r="C60" t="e">
        <f t="shared" si="0"/>
        <v>#N/A</v>
      </c>
      <c r="D60" s="374">
        <f t="shared" si="1"/>
        <v>27</v>
      </c>
      <c r="E60" s="374"/>
      <c r="F60" s="4" t="s">
        <v>322</v>
      </c>
      <c r="G60">
        <v>-563</v>
      </c>
      <c r="I60" s="4" t="s">
        <v>1200</v>
      </c>
      <c r="J60" s="379">
        <v>3650.0000000000005</v>
      </c>
      <c r="K60">
        <f t="shared" si="2"/>
        <v>-4146.78</v>
      </c>
      <c r="L60" s="374">
        <f t="shared" si="3"/>
        <v>-496.77999999999929</v>
      </c>
      <c r="M60" s="374"/>
      <c r="N60" s="4" t="s">
        <v>427</v>
      </c>
      <c r="O60">
        <v>-764.7</v>
      </c>
    </row>
    <row r="61" spans="1:15">
      <c r="A61" s="4" t="s">
        <v>391</v>
      </c>
      <c r="B61" s="212">
        <v>1685</v>
      </c>
      <c r="C61">
        <f t="shared" si="0"/>
        <v>-8956</v>
      </c>
      <c r="D61" s="374">
        <f t="shared" si="1"/>
        <v>-7271</v>
      </c>
      <c r="E61" s="374"/>
      <c r="F61" s="4" t="s">
        <v>1470</v>
      </c>
      <c r="G61">
        <v>-36</v>
      </c>
      <c r="I61" s="4" t="s">
        <v>414</v>
      </c>
      <c r="J61" s="379">
        <v>103865</v>
      </c>
      <c r="K61">
        <f t="shared" si="2"/>
        <v>-136280</v>
      </c>
      <c r="L61" s="374">
        <f t="shared" si="3"/>
        <v>-32415</v>
      </c>
      <c r="M61" s="374"/>
      <c r="N61" s="4" t="s">
        <v>1533</v>
      </c>
      <c r="O61">
        <v>-30935</v>
      </c>
    </row>
    <row r="62" spans="1:15">
      <c r="A62" s="4" t="s">
        <v>319</v>
      </c>
      <c r="B62" s="212">
        <v>206</v>
      </c>
      <c r="C62">
        <f t="shared" si="0"/>
        <v>-72</v>
      </c>
      <c r="D62" s="374">
        <f t="shared" si="1"/>
        <v>134</v>
      </c>
      <c r="E62" s="374"/>
      <c r="F62" s="4" t="s">
        <v>1666</v>
      </c>
      <c r="G62">
        <v>-1027</v>
      </c>
      <c r="I62" s="4" t="s">
        <v>1224</v>
      </c>
      <c r="J62" s="379">
        <v>16541</v>
      </c>
      <c r="K62">
        <f t="shared" si="2"/>
        <v>-16199</v>
      </c>
      <c r="L62" s="374">
        <f t="shared" si="3"/>
        <v>342</v>
      </c>
      <c r="M62" s="374"/>
      <c r="N62" s="4" t="s">
        <v>4255</v>
      </c>
      <c r="O62">
        <v>-975335.28</v>
      </c>
    </row>
    <row r="63" spans="1:15">
      <c r="A63" s="4" t="s">
        <v>392</v>
      </c>
      <c r="B63" s="212">
        <v>537</v>
      </c>
      <c r="C63" t="e">
        <f t="shared" si="0"/>
        <v>#N/A</v>
      </c>
      <c r="D63" s="374">
        <f t="shared" si="1"/>
        <v>537</v>
      </c>
      <c r="E63" s="374"/>
      <c r="F63" s="4" t="s">
        <v>406</v>
      </c>
      <c r="G63">
        <v>-9783</v>
      </c>
      <c r="I63" s="4" t="s">
        <v>1688</v>
      </c>
      <c r="J63" s="379">
        <v>2386</v>
      </c>
      <c r="K63">
        <f t="shared" si="2"/>
        <v>-6622</v>
      </c>
      <c r="L63" s="374">
        <f t="shared" si="3"/>
        <v>-4236</v>
      </c>
      <c r="M63" s="374"/>
    </row>
    <row r="64" spans="1:15">
      <c r="A64" s="4" t="s">
        <v>320</v>
      </c>
      <c r="B64" s="212">
        <v>759</v>
      </c>
      <c r="C64">
        <f t="shared" si="0"/>
        <v>-849</v>
      </c>
      <c r="D64" s="374">
        <f t="shared" si="1"/>
        <v>-90</v>
      </c>
      <c r="E64" s="374"/>
      <c r="F64" s="4" t="s">
        <v>323</v>
      </c>
      <c r="G64">
        <v>-3406</v>
      </c>
      <c r="I64" s="4" t="s">
        <v>1579</v>
      </c>
      <c r="J64" s="379">
        <v>61218</v>
      </c>
      <c r="K64">
        <f t="shared" si="2"/>
        <v>-41549</v>
      </c>
      <c r="L64" s="374">
        <f t="shared" si="3"/>
        <v>19669</v>
      </c>
      <c r="M64" s="374"/>
    </row>
    <row r="65" spans="1:13">
      <c r="A65" s="4" t="s">
        <v>393</v>
      </c>
      <c r="B65" s="212">
        <v>404</v>
      </c>
      <c r="C65">
        <f t="shared" si="0"/>
        <v>-404</v>
      </c>
      <c r="D65" s="374">
        <f t="shared" si="1"/>
        <v>0</v>
      </c>
      <c r="E65" s="374"/>
      <c r="F65" s="4" t="s">
        <v>1451</v>
      </c>
      <c r="G65">
        <v>-557</v>
      </c>
      <c r="I65" s="4" t="s">
        <v>459</v>
      </c>
      <c r="J65" s="379">
        <v>15426</v>
      </c>
      <c r="K65">
        <f t="shared" si="2"/>
        <v>-11059</v>
      </c>
      <c r="L65" s="374">
        <f t="shared" si="3"/>
        <v>4367</v>
      </c>
      <c r="M65" s="374"/>
    </row>
    <row r="66" spans="1:13">
      <c r="A66" s="4" t="s">
        <v>394</v>
      </c>
      <c r="B66" s="212">
        <v>106</v>
      </c>
      <c r="C66">
        <f t="shared" si="0"/>
        <v>-106</v>
      </c>
      <c r="D66" s="374">
        <f t="shared" si="1"/>
        <v>0</v>
      </c>
      <c r="E66" s="374"/>
      <c r="F66" s="4" t="s">
        <v>626</v>
      </c>
      <c r="G66">
        <v>-145</v>
      </c>
      <c r="I66" s="4" t="s">
        <v>416</v>
      </c>
      <c r="J66" s="379">
        <v>0</v>
      </c>
      <c r="K66" t="e">
        <f t="shared" si="2"/>
        <v>#N/A</v>
      </c>
      <c r="L66" s="374">
        <f t="shared" si="3"/>
        <v>0</v>
      </c>
      <c r="M66" s="374"/>
    </row>
    <row r="67" spans="1:13">
      <c r="A67" s="4" t="s">
        <v>397</v>
      </c>
      <c r="B67" s="212">
        <v>104</v>
      </c>
      <c r="C67" t="e">
        <f t="shared" si="0"/>
        <v>#N/A</v>
      </c>
      <c r="D67" s="374">
        <f t="shared" si="1"/>
        <v>104</v>
      </c>
      <c r="E67" s="374"/>
      <c r="F67" s="4" t="s">
        <v>1631</v>
      </c>
      <c r="G67">
        <v>-1010</v>
      </c>
      <c r="I67" s="4" t="s">
        <v>1587</v>
      </c>
      <c r="J67" s="379">
        <v>8583</v>
      </c>
      <c r="K67">
        <f t="shared" si="2"/>
        <v>-2437</v>
      </c>
      <c r="L67" s="374">
        <f t="shared" si="3"/>
        <v>6146</v>
      </c>
      <c r="M67" s="374"/>
    </row>
    <row r="68" spans="1:13">
      <c r="A68" s="4" t="s">
        <v>398</v>
      </c>
      <c r="B68" s="212">
        <v>87</v>
      </c>
      <c r="C68">
        <f t="shared" si="0"/>
        <v>-12</v>
      </c>
      <c r="D68" s="374">
        <f t="shared" si="1"/>
        <v>75</v>
      </c>
      <c r="E68" s="374"/>
      <c r="F68" s="4" t="s">
        <v>395</v>
      </c>
      <c r="G68">
        <v>-992</v>
      </c>
      <c r="I68" s="4" t="s">
        <v>1418</v>
      </c>
      <c r="J68" s="379">
        <v>1092.42</v>
      </c>
      <c r="K68" t="e">
        <f t="shared" si="2"/>
        <v>#N/A</v>
      </c>
      <c r="L68" s="374">
        <f t="shared" si="3"/>
        <v>1092.42</v>
      </c>
      <c r="M68" s="374"/>
    </row>
    <row r="69" spans="1:13">
      <c r="A69" s="4" t="s">
        <v>399</v>
      </c>
      <c r="B69" s="212">
        <v>1625</v>
      </c>
      <c r="C69">
        <f t="shared" ref="C69:C132" si="4">VLOOKUP(A69,F:G,2,0)</f>
        <v>-200</v>
      </c>
      <c r="D69" s="374">
        <f t="shared" ref="D69:D132" si="5">IF(ISERROR(C69),B69,B69+C69)</f>
        <v>1425</v>
      </c>
      <c r="E69" s="374"/>
      <c r="F69" s="4" t="s">
        <v>324</v>
      </c>
      <c r="G69">
        <v>-1152</v>
      </c>
      <c r="I69" s="4" t="s">
        <v>1165</v>
      </c>
      <c r="J69" s="379">
        <v>5516.5800000000008</v>
      </c>
      <c r="K69">
        <f t="shared" ref="K69:K132" si="6">VLOOKUP(I69,N:O,2,0)</f>
        <v>-3364.95</v>
      </c>
      <c r="L69" s="374">
        <f t="shared" ref="L69:L132" si="7">IF(ISERROR(K69),J69,J69+K69)</f>
        <v>2151.630000000001</v>
      </c>
      <c r="M69" s="374"/>
    </row>
    <row r="70" spans="1:13">
      <c r="A70" s="4" t="s">
        <v>400</v>
      </c>
      <c r="B70" s="212">
        <v>268</v>
      </c>
      <c r="C70" t="e">
        <f t="shared" si="4"/>
        <v>#N/A</v>
      </c>
      <c r="D70" s="374">
        <f t="shared" si="5"/>
        <v>268</v>
      </c>
      <c r="E70" s="374"/>
      <c r="F70" s="4" t="s">
        <v>461</v>
      </c>
      <c r="G70">
        <v>-120</v>
      </c>
      <c r="I70" s="4" t="s">
        <v>1535</v>
      </c>
      <c r="J70" s="379">
        <v>33155</v>
      </c>
      <c r="K70">
        <f t="shared" si="6"/>
        <v>-33155</v>
      </c>
      <c r="L70" s="374">
        <f t="shared" si="7"/>
        <v>0</v>
      </c>
      <c r="M70" s="374"/>
    </row>
    <row r="71" spans="1:13">
      <c r="A71" s="4" t="s">
        <v>1526</v>
      </c>
      <c r="B71" s="212">
        <v>170</v>
      </c>
      <c r="C71">
        <f t="shared" si="4"/>
        <v>-169</v>
      </c>
      <c r="D71" s="374">
        <f t="shared" si="5"/>
        <v>1</v>
      </c>
      <c r="E71" s="374"/>
      <c r="F71" s="4" t="s">
        <v>407</v>
      </c>
      <c r="G71">
        <v>-4052</v>
      </c>
      <c r="I71" s="4" t="s">
        <v>333</v>
      </c>
      <c r="J71" s="379">
        <v>3995</v>
      </c>
      <c r="K71">
        <f t="shared" si="6"/>
        <v>-3990</v>
      </c>
      <c r="L71" s="374">
        <f t="shared" si="7"/>
        <v>5</v>
      </c>
      <c r="M71" s="374"/>
    </row>
    <row r="72" spans="1:13">
      <c r="A72" s="4" t="s">
        <v>4247</v>
      </c>
      <c r="B72" s="212">
        <v>0</v>
      </c>
      <c r="C72" t="e">
        <f t="shared" si="4"/>
        <v>#N/A</v>
      </c>
      <c r="D72" s="374">
        <f t="shared" si="5"/>
        <v>0</v>
      </c>
      <c r="E72" s="374"/>
      <c r="F72" s="4" t="s">
        <v>325</v>
      </c>
      <c r="G72">
        <v>-2128</v>
      </c>
      <c r="I72" s="4" t="s">
        <v>418</v>
      </c>
      <c r="J72" s="379">
        <v>16952.39</v>
      </c>
      <c r="K72">
        <f t="shared" si="6"/>
        <v>-16025.490000000002</v>
      </c>
      <c r="L72" s="374">
        <f t="shared" si="7"/>
        <v>926.89999999999782</v>
      </c>
      <c r="M72" s="374"/>
    </row>
    <row r="73" spans="1:13">
      <c r="A73" s="4" t="s">
        <v>1157</v>
      </c>
      <c r="B73" s="212">
        <v>1560</v>
      </c>
      <c r="C73">
        <f t="shared" si="4"/>
        <v>-1560</v>
      </c>
      <c r="D73" s="374">
        <f t="shared" si="5"/>
        <v>0</v>
      </c>
      <c r="E73" s="374"/>
      <c r="F73" s="4" t="s">
        <v>326</v>
      </c>
      <c r="G73">
        <v>-2426</v>
      </c>
      <c r="I73" s="4" t="s">
        <v>419</v>
      </c>
      <c r="J73" s="379">
        <v>4150</v>
      </c>
      <c r="K73">
        <f t="shared" si="6"/>
        <v>-4150</v>
      </c>
      <c r="L73" s="374">
        <f t="shared" si="7"/>
        <v>0</v>
      </c>
      <c r="M73" s="374"/>
    </row>
    <row r="74" spans="1:13">
      <c r="A74" s="4" t="s">
        <v>4284</v>
      </c>
      <c r="B74" s="212">
        <v>24</v>
      </c>
      <c r="C74" t="e">
        <f t="shared" si="4"/>
        <v>#N/A</v>
      </c>
      <c r="D74" s="374">
        <f t="shared" si="5"/>
        <v>24</v>
      </c>
      <c r="E74" s="374"/>
      <c r="F74" s="4" t="s">
        <v>408</v>
      </c>
      <c r="G74">
        <v>-120</v>
      </c>
      <c r="I74" s="4" t="s">
        <v>1696</v>
      </c>
      <c r="J74" s="379">
        <v>2304</v>
      </c>
      <c r="K74">
        <f t="shared" si="6"/>
        <v>-746.87</v>
      </c>
      <c r="L74" s="374">
        <f t="shared" si="7"/>
        <v>1557.13</v>
      </c>
      <c r="M74" s="374"/>
    </row>
    <row r="75" spans="1:13">
      <c r="A75" s="4" t="s">
        <v>211</v>
      </c>
      <c r="B75" s="212">
        <v>325</v>
      </c>
      <c r="C75">
        <f t="shared" si="4"/>
        <v>-290</v>
      </c>
      <c r="D75" s="374">
        <f t="shared" si="5"/>
        <v>35</v>
      </c>
      <c r="E75" s="374"/>
      <c r="F75" s="4" t="s">
        <v>327</v>
      </c>
      <c r="G75">
        <v>-1312</v>
      </c>
      <c r="I75" s="4" t="s">
        <v>420</v>
      </c>
      <c r="J75" s="379">
        <v>2115.91</v>
      </c>
      <c r="K75">
        <f t="shared" si="6"/>
        <v>-336.3</v>
      </c>
      <c r="L75" s="374">
        <f t="shared" si="7"/>
        <v>1779.61</v>
      </c>
      <c r="M75" s="374"/>
    </row>
    <row r="76" spans="1:13">
      <c r="A76" s="4" t="s">
        <v>1541</v>
      </c>
      <c r="B76" s="212">
        <v>28</v>
      </c>
      <c r="C76" t="e">
        <f t="shared" si="4"/>
        <v>#N/A</v>
      </c>
      <c r="D76" s="374">
        <f t="shared" si="5"/>
        <v>28</v>
      </c>
      <c r="E76" s="374"/>
      <c r="F76" s="4" t="s">
        <v>267</v>
      </c>
      <c r="G76">
        <v>-3139</v>
      </c>
      <c r="I76" s="4" t="s">
        <v>422</v>
      </c>
      <c r="J76" s="379">
        <v>7985</v>
      </c>
      <c r="K76" t="e">
        <f t="shared" si="6"/>
        <v>#N/A</v>
      </c>
      <c r="L76" s="374">
        <f t="shared" si="7"/>
        <v>7985</v>
      </c>
      <c r="M76" s="374"/>
    </row>
    <row r="77" spans="1:13">
      <c r="A77" s="4" t="s">
        <v>1604</v>
      </c>
      <c r="B77" s="212">
        <v>1107</v>
      </c>
      <c r="C77">
        <f t="shared" si="4"/>
        <v>-623</v>
      </c>
      <c r="D77" s="374">
        <f t="shared" si="5"/>
        <v>484</v>
      </c>
      <c r="E77" s="374"/>
      <c r="F77" s="4" t="s">
        <v>268</v>
      </c>
      <c r="G77">
        <v>-1269</v>
      </c>
      <c r="I77" s="4" t="s">
        <v>4253</v>
      </c>
      <c r="J77" s="379">
        <v>2448</v>
      </c>
      <c r="K77" t="e">
        <f t="shared" si="6"/>
        <v>#N/A</v>
      </c>
      <c r="L77" s="374">
        <f t="shared" si="7"/>
        <v>2448</v>
      </c>
      <c r="M77" s="374"/>
    </row>
    <row r="78" spans="1:13">
      <c r="A78" s="4" t="s">
        <v>446</v>
      </c>
      <c r="B78" s="212">
        <v>1068</v>
      </c>
      <c r="C78">
        <f t="shared" si="4"/>
        <v>-1244</v>
      </c>
      <c r="D78" s="374">
        <f t="shared" si="5"/>
        <v>-176</v>
      </c>
      <c r="E78" s="374"/>
      <c r="F78" s="4" t="s">
        <v>265</v>
      </c>
      <c r="G78">
        <v>-966</v>
      </c>
      <c r="I78" s="4" t="s">
        <v>1411</v>
      </c>
      <c r="J78" s="379">
        <v>3435</v>
      </c>
      <c r="K78">
        <f t="shared" si="6"/>
        <v>-6833</v>
      </c>
      <c r="L78" s="374">
        <f t="shared" si="7"/>
        <v>-3398</v>
      </c>
      <c r="M78" s="374"/>
    </row>
    <row r="79" spans="1:13">
      <c r="A79" s="4" t="s">
        <v>321</v>
      </c>
      <c r="B79" s="212">
        <v>3480</v>
      </c>
      <c r="C79">
        <f t="shared" si="4"/>
        <v>-3561</v>
      </c>
      <c r="D79" s="374">
        <f t="shared" si="5"/>
        <v>-81</v>
      </c>
      <c r="E79" s="374"/>
      <c r="F79" s="4" t="s">
        <v>266</v>
      </c>
      <c r="G79">
        <v>-1830</v>
      </c>
      <c r="I79" s="4" t="s">
        <v>338</v>
      </c>
      <c r="J79" s="379">
        <v>530</v>
      </c>
      <c r="K79">
        <f t="shared" si="6"/>
        <v>-17.399999999999977</v>
      </c>
      <c r="L79" s="374">
        <f t="shared" si="7"/>
        <v>512.6</v>
      </c>
      <c r="M79" s="374"/>
    </row>
    <row r="80" spans="1:13">
      <c r="A80" s="4" t="s">
        <v>1320</v>
      </c>
      <c r="B80" s="212">
        <v>1332</v>
      </c>
      <c r="C80">
        <f t="shared" si="4"/>
        <v>-2116</v>
      </c>
      <c r="D80" s="374">
        <f t="shared" si="5"/>
        <v>-784</v>
      </c>
      <c r="E80" s="374"/>
      <c r="F80" s="4" t="s">
        <v>264</v>
      </c>
      <c r="G80">
        <v>-2740</v>
      </c>
      <c r="I80" s="4" t="s">
        <v>4254</v>
      </c>
      <c r="J80" s="379">
        <v>2510</v>
      </c>
      <c r="K80" t="e">
        <f t="shared" si="6"/>
        <v>#N/A</v>
      </c>
      <c r="L80" s="374">
        <f t="shared" si="7"/>
        <v>2510</v>
      </c>
      <c r="M80" s="374"/>
    </row>
    <row r="81" spans="1:13">
      <c r="A81" s="4" t="s">
        <v>1445</v>
      </c>
      <c r="B81" s="212">
        <v>12</v>
      </c>
      <c r="C81">
        <f t="shared" si="4"/>
        <v>-12</v>
      </c>
      <c r="D81" s="374">
        <f t="shared" si="5"/>
        <v>0</v>
      </c>
      <c r="E81" s="374"/>
      <c r="F81" s="4" t="s">
        <v>329</v>
      </c>
      <c r="G81">
        <v>-2303</v>
      </c>
      <c r="I81" s="4" t="s">
        <v>1290</v>
      </c>
      <c r="J81" s="379">
        <v>1660</v>
      </c>
      <c r="K81">
        <f t="shared" si="6"/>
        <v>-2115</v>
      </c>
      <c r="L81" s="374">
        <f t="shared" si="7"/>
        <v>-455</v>
      </c>
      <c r="M81" s="374"/>
    </row>
    <row r="82" spans="1:13">
      <c r="A82" s="4" t="s">
        <v>449</v>
      </c>
      <c r="B82" s="212">
        <v>1682</v>
      </c>
      <c r="C82">
        <f t="shared" si="4"/>
        <v>-1687</v>
      </c>
      <c r="D82" s="374">
        <f t="shared" si="5"/>
        <v>-5</v>
      </c>
      <c r="E82" s="374"/>
      <c r="F82" s="4" t="s">
        <v>272</v>
      </c>
      <c r="G82">
        <v>-793</v>
      </c>
      <c r="I82" s="4" t="s">
        <v>466</v>
      </c>
      <c r="J82" s="379">
        <v>45818</v>
      </c>
      <c r="K82">
        <f t="shared" si="6"/>
        <v>-5610</v>
      </c>
      <c r="L82" s="374">
        <f t="shared" si="7"/>
        <v>40208</v>
      </c>
      <c r="M82" s="374"/>
    </row>
    <row r="83" spans="1:13">
      <c r="A83" s="4" t="s">
        <v>468</v>
      </c>
      <c r="B83" s="212">
        <v>768</v>
      </c>
      <c r="C83">
        <f t="shared" si="4"/>
        <v>-468</v>
      </c>
      <c r="D83" s="374">
        <f t="shared" si="5"/>
        <v>300</v>
      </c>
      <c r="E83" s="374"/>
      <c r="F83" s="4" t="s">
        <v>330</v>
      </c>
      <c r="G83">
        <v>-466</v>
      </c>
      <c r="I83" s="4" t="s">
        <v>427</v>
      </c>
      <c r="J83" s="379">
        <v>4387.8999999999996</v>
      </c>
      <c r="K83">
        <f t="shared" si="6"/>
        <v>-764.7</v>
      </c>
      <c r="L83" s="374">
        <f t="shared" si="7"/>
        <v>3623.2</v>
      </c>
      <c r="M83" s="374"/>
    </row>
    <row r="84" spans="1:13">
      <c r="A84" s="4" t="s">
        <v>322</v>
      </c>
      <c r="B84" s="212">
        <v>2157</v>
      </c>
      <c r="C84">
        <f t="shared" si="4"/>
        <v>-563</v>
      </c>
      <c r="D84" s="374">
        <f t="shared" si="5"/>
        <v>1594</v>
      </c>
      <c r="E84" s="374"/>
      <c r="F84" s="4" t="s">
        <v>467</v>
      </c>
      <c r="G84">
        <v>-129</v>
      </c>
      <c r="I84" s="4" t="s">
        <v>1533</v>
      </c>
      <c r="J84" s="379">
        <v>31760</v>
      </c>
      <c r="K84">
        <f t="shared" si="6"/>
        <v>-30935</v>
      </c>
      <c r="L84" s="374">
        <f t="shared" si="7"/>
        <v>825</v>
      </c>
      <c r="M84" s="374"/>
    </row>
    <row r="85" spans="1:13">
      <c r="A85" s="4" t="s">
        <v>1470</v>
      </c>
      <c r="B85" s="212">
        <v>279</v>
      </c>
      <c r="C85">
        <f t="shared" si="4"/>
        <v>-36</v>
      </c>
      <c r="D85" s="374">
        <f t="shared" si="5"/>
        <v>243</v>
      </c>
      <c r="E85" s="374"/>
      <c r="F85" s="4" t="s">
        <v>463</v>
      </c>
      <c r="G85">
        <v>-36</v>
      </c>
      <c r="I85" s="4" t="s">
        <v>456</v>
      </c>
      <c r="J85" s="379">
        <v>20310</v>
      </c>
      <c r="K85" t="e">
        <f t="shared" si="6"/>
        <v>#N/A</v>
      </c>
      <c r="L85" s="374">
        <f t="shared" si="7"/>
        <v>20310</v>
      </c>
      <c r="M85" s="374"/>
    </row>
    <row r="86" spans="1:13">
      <c r="A86" s="4" t="s">
        <v>1666</v>
      </c>
      <c r="B86" s="212">
        <v>1007</v>
      </c>
      <c r="C86">
        <f t="shared" si="4"/>
        <v>-1027</v>
      </c>
      <c r="D86" s="374">
        <f t="shared" si="5"/>
        <v>-20</v>
      </c>
      <c r="E86" s="374"/>
      <c r="F86" s="4" t="s">
        <v>1597</v>
      </c>
      <c r="G86">
        <v>-85</v>
      </c>
      <c r="I86" s="4" t="s">
        <v>4255</v>
      </c>
      <c r="J86" s="379">
        <v>1163512.02</v>
      </c>
      <c r="K86">
        <f t="shared" si="6"/>
        <v>-975335.28</v>
      </c>
      <c r="L86" s="374">
        <f t="shared" si="7"/>
        <v>188176.74</v>
      </c>
      <c r="M86" s="374"/>
    </row>
    <row r="87" spans="1:13">
      <c r="A87" s="4" t="s">
        <v>406</v>
      </c>
      <c r="B87" s="212">
        <v>8696</v>
      </c>
      <c r="C87">
        <f t="shared" si="4"/>
        <v>-9783</v>
      </c>
      <c r="D87" s="374">
        <f t="shared" si="5"/>
        <v>-1087</v>
      </c>
      <c r="E87" s="374"/>
      <c r="F87" s="4" t="s">
        <v>331</v>
      </c>
      <c r="G87">
        <v>-1366</v>
      </c>
      <c r="K87" t="e">
        <f t="shared" si="6"/>
        <v>#N/A</v>
      </c>
      <c r="L87" s="374">
        <f t="shared" si="7"/>
        <v>0</v>
      </c>
      <c r="M87" s="374"/>
    </row>
    <row r="88" spans="1:13">
      <c r="A88" s="4" t="s">
        <v>323</v>
      </c>
      <c r="B88" s="212">
        <v>2869</v>
      </c>
      <c r="C88">
        <f t="shared" si="4"/>
        <v>-3406</v>
      </c>
      <c r="D88" s="374">
        <f t="shared" si="5"/>
        <v>-537</v>
      </c>
      <c r="E88" s="374"/>
      <c r="F88" s="4" t="s">
        <v>440</v>
      </c>
      <c r="G88">
        <v>-751</v>
      </c>
      <c r="K88" t="e">
        <f t="shared" si="6"/>
        <v>#N/A</v>
      </c>
      <c r="L88" s="374">
        <f t="shared" si="7"/>
        <v>0</v>
      </c>
      <c r="M88" s="374"/>
    </row>
    <row r="89" spans="1:13">
      <c r="A89" s="4" t="s">
        <v>1451</v>
      </c>
      <c r="B89" s="212">
        <v>967</v>
      </c>
      <c r="C89">
        <f t="shared" si="4"/>
        <v>-557</v>
      </c>
      <c r="D89" s="374">
        <f t="shared" si="5"/>
        <v>410</v>
      </c>
      <c r="E89" s="374"/>
      <c r="F89" s="4" t="s">
        <v>332</v>
      </c>
      <c r="G89">
        <v>-2406</v>
      </c>
      <c r="K89" t="e">
        <f t="shared" si="6"/>
        <v>#N/A</v>
      </c>
      <c r="L89" s="374">
        <f t="shared" si="7"/>
        <v>0</v>
      </c>
      <c r="M89" s="374"/>
    </row>
    <row r="90" spans="1:13">
      <c r="A90" s="4" t="s">
        <v>626</v>
      </c>
      <c r="B90" s="212">
        <v>142</v>
      </c>
      <c r="C90">
        <f t="shared" si="4"/>
        <v>-145</v>
      </c>
      <c r="D90" s="374">
        <f t="shared" si="5"/>
        <v>-3</v>
      </c>
      <c r="E90" s="374"/>
      <c r="F90" s="4" t="s">
        <v>1614</v>
      </c>
      <c r="G90">
        <v>-156</v>
      </c>
      <c r="K90" t="e">
        <f t="shared" si="6"/>
        <v>#N/A</v>
      </c>
      <c r="L90" s="374">
        <f t="shared" si="7"/>
        <v>0</v>
      </c>
      <c r="M90" s="374"/>
    </row>
    <row r="91" spans="1:13">
      <c r="A91" s="4" t="s">
        <v>1631</v>
      </c>
      <c r="B91" s="212">
        <v>1567</v>
      </c>
      <c r="C91">
        <f t="shared" si="4"/>
        <v>-1010</v>
      </c>
      <c r="D91" s="374">
        <f t="shared" si="5"/>
        <v>557</v>
      </c>
      <c r="E91" s="374"/>
      <c r="F91" s="4" t="s">
        <v>1675</v>
      </c>
      <c r="G91">
        <v>-630</v>
      </c>
      <c r="K91" t="e">
        <f t="shared" si="6"/>
        <v>#N/A</v>
      </c>
      <c r="L91" s="374">
        <f t="shared" si="7"/>
        <v>0</v>
      </c>
      <c r="M91" s="374"/>
    </row>
    <row r="92" spans="1:13">
      <c r="A92" s="4" t="s">
        <v>1499</v>
      </c>
      <c r="B92" s="212">
        <v>11</v>
      </c>
      <c r="C92" t="e">
        <f t="shared" si="4"/>
        <v>#N/A</v>
      </c>
      <c r="D92" s="374">
        <f t="shared" si="5"/>
        <v>11</v>
      </c>
      <c r="E92" s="374"/>
      <c r="F92" s="4" t="s">
        <v>470</v>
      </c>
      <c r="G92">
        <v>-55</v>
      </c>
      <c r="K92" t="e">
        <f t="shared" si="6"/>
        <v>#N/A</v>
      </c>
      <c r="L92" s="374">
        <f t="shared" si="7"/>
        <v>0</v>
      </c>
      <c r="M92" s="374"/>
    </row>
    <row r="93" spans="1:13">
      <c r="A93" s="4" t="s">
        <v>395</v>
      </c>
      <c r="B93" s="212">
        <v>992</v>
      </c>
      <c r="C93">
        <f t="shared" si="4"/>
        <v>-992</v>
      </c>
      <c r="D93" s="374">
        <f t="shared" si="5"/>
        <v>0</v>
      </c>
      <c r="E93" s="374"/>
      <c r="F93" s="4" t="s">
        <v>472</v>
      </c>
      <c r="G93">
        <v>-12</v>
      </c>
      <c r="K93" t="e">
        <f t="shared" si="6"/>
        <v>#N/A</v>
      </c>
      <c r="L93" s="374">
        <f t="shared" si="7"/>
        <v>0</v>
      </c>
      <c r="M93" s="374"/>
    </row>
    <row r="94" spans="1:13">
      <c r="A94" s="4" t="s">
        <v>324</v>
      </c>
      <c r="B94" s="212">
        <v>1529</v>
      </c>
      <c r="C94">
        <f t="shared" si="4"/>
        <v>-1152</v>
      </c>
      <c r="D94" s="374">
        <f t="shared" si="5"/>
        <v>377</v>
      </c>
      <c r="E94" s="374"/>
      <c r="F94" s="4" t="s">
        <v>469</v>
      </c>
      <c r="G94">
        <v>-396</v>
      </c>
      <c r="K94" t="e">
        <f t="shared" si="6"/>
        <v>#N/A</v>
      </c>
      <c r="L94" s="374">
        <f t="shared" si="7"/>
        <v>0</v>
      </c>
      <c r="M94" s="374"/>
    </row>
    <row r="95" spans="1:13">
      <c r="A95" s="4" t="s">
        <v>461</v>
      </c>
      <c r="B95" s="212">
        <v>168</v>
      </c>
      <c r="C95">
        <f t="shared" si="4"/>
        <v>-120</v>
      </c>
      <c r="D95" s="374">
        <f t="shared" si="5"/>
        <v>48</v>
      </c>
      <c r="E95" s="374"/>
      <c r="F95" s="4" t="s">
        <v>213</v>
      </c>
      <c r="G95">
        <v>-36</v>
      </c>
      <c r="K95" t="e">
        <f t="shared" si="6"/>
        <v>#N/A</v>
      </c>
      <c r="L95" s="374">
        <f t="shared" si="7"/>
        <v>0</v>
      </c>
      <c r="M95" s="374"/>
    </row>
    <row r="96" spans="1:13">
      <c r="A96" s="4" t="s">
        <v>407</v>
      </c>
      <c r="B96" s="212">
        <v>4169</v>
      </c>
      <c r="C96">
        <f t="shared" si="4"/>
        <v>-4052</v>
      </c>
      <c r="D96" s="374">
        <f t="shared" si="5"/>
        <v>117</v>
      </c>
      <c r="E96" s="374"/>
      <c r="F96" s="4" t="s">
        <v>441</v>
      </c>
      <c r="G96">
        <v>-48</v>
      </c>
      <c r="K96" t="e">
        <f t="shared" si="6"/>
        <v>#N/A</v>
      </c>
      <c r="L96" s="374">
        <f t="shared" si="7"/>
        <v>0</v>
      </c>
      <c r="M96" s="374"/>
    </row>
    <row r="97" spans="1:13">
      <c r="A97" s="4" t="s">
        <v>325</v>
      </c>
      <c r="B97" s="212">
        <v>1166</v>
      </c>
      <c r="C97">
        <f t="shared" si="4"/>
        <v>-2128</v>
      </c>
      <c r="D97" s="374">
        <f t="shared" si="5"/>
        <v>-962</v>
      </c>
      <c r="E97" s="374"/>
      <c r="F97" s="4" t="s">
        <v>1587</v>
      </c>
      <c r="G97">
        <v>-119</v>
      </c>
      <c r="K97" t="e">
        <f t="shared" si="6"/>
        <v>#N/A</v>
      </c>
      <c r="L97" s="374">
        <f t="shared" si="7"/>
        <v>0</v>
      </c>
      <c r="M97" s="374"/>
    </row>
    <row r="98" spans="1:13">
      <c r="A98" s="4" t="s">
        <v>326</v>
      </c>
      <c r="B98" s="212">
        <v>2235</v>
      </c>
      <c r="C98">
        <f t="shared" si="4"/>
        <v>-2426</v>
      </c>
      <c r="D98" s="374">
        <f t="shared" si="5"/>
        <v>-191</v>
      </c>
      <c r="E98" s="374"/>
      <c r="F98" s="4" t="s">
        <v>1607</v>
      </c>
      <c r="G98">
        <v>-688</v>
      </c>
      <c r="K98" t="e">
        <f t="shared" si="6"/>
        <v>#N/A</v>
      </c>
      <c r="L98" s="374">
        <f t="shared" si="7"/>
        <v>0</v>
      </c>
      <c r="M98" s="374"/>
    </row>
    <row r="99" spans="1:13">
      <c r="A99" s="4" t="s">
        <v>408</v>
      </c>
      <c r="B99" s="212">
        <v>120</v>
      </c>
      <c r="C99">
        <f t="shared" si="4"/>
        <v>-120</v>
      </c>
      <c r="D99" s="374">
        <f t="shared" si="5"/>
        <v>0</v>
      </c>
      <c r="E99" s="374"/>
      <c r="F99" s="4" t="s">
        <v>212</v>
      </c>
      <c r="G99">
        <v>-733</v>
      </c>
      <c r="K99" t="e">
        <f t="shared" si="6"/>
        <v>#N/A</v>
      </c>
      <c r="L99" s="374">
        <f t="shared" si="7"/>
        <v>0</v>
      </c>
      <c r="M99" s="374"/>
    </row>
    <row r="100" spans="1:13">
      <c r="A100" s="4" t="s">
        <v>327</v>
      </c>
      <c r="B100" s="212">
        <v>592</v>
      </c>
      <c r="C100">
        <f t="shared" si="4"/>
        <v>-1312</v>
      </c>
      <c r="D100" s="374">
        <f t="shared" si="5"/>
        <v>-720</v>
      </c>
      <c r="E100" s="374"/>
      <c r="F100" s="4" t="s">
        <v>1270</v>
      </c>
      <c r="G100">
        <v>-54</v>
      </c>
      <c r="K100" t="e">
        <f t="shared" si="6"/>
        <v>#N/A</v>
      </c>
      <c r="L100" s="374">
        <f t="shared" si="7"/>
        <v>0</v>
      </c>
      <c r="M100" s="374"/>
    </row>
    <row r="101" spans="1:13">
      <c r="A101" s="4" t="s">
        <v>267</v>
      </c>
      <c r="B101" s="212">
        <v>2186</v>
      </c>
      <c r="C101">
        <f t="shared" si="4"/>
        <v>-3139</v>
      </c>
      <c r="D101" s="374">
        <f t="shared" si="5"/>
        <v>-953</v>
      </c>
      <c r="E101" s="374"/>
      <c r="F101" s="4" t="s">
        <v>1507</v>
      </c>
      <c r="G101">
        <v>-1142</v>
      </c>
      <c r="K101" t="e">
        <f t="shared" si="6"/>
        <v>#N/A</v>
      </c>
      <c r="L101" s="374">
        <f t="shared" si="7"/>
        <v>0</v>
      </c>
      <c r="M101" s="374"/>
    </row>
    <row r="102" spans="1:13">
      <c r="A102" s="4" t="s">
        <v>268</v>
      </c>
      <c r="B102" s="212">
        <v>1054</v>
      </c>
      <c r="C102">
        <f t="shared" si="4"/>
        <v>-1269</v>
      </c>
      <c r="D102" s="374">
        <f t="shared" si="5"/>
        <v>-215</v>
      </c>
      <c r="E102" s="374"/>
      <c r="F102" s="4" t="s">
        <v>333</v>
      </c>
      <c r="G102">
        <v>-81</v>
      </c>
      <c r="K102" t="e">
        <f t="shared" si="6"/>
        <v>#N/A</v>
      </c>
      <c r="L102" s="374">
        <f t="shared" si="7"/>
        <v>0</v>
      </c>
      <c r="M102" s="374"/>
    </row>
    <row r="103" spans="1:13">
      <c r="A103" s="4" t="s">
        <v>265</v>
      </c>
      <c r="B103" s="212">
        <v>985</v>
      </c>
      <c r="C103">
        <f t="shared" si="4"/>
        <v>-966</v>
      </c>
      <c r="D103" s="374">
        <f t="shared" si="5"/>
        <v>19</v>
      </c>
      <c r="E103" s="374"/>
      <c r="F103" s="4" t="s">
        <v>436</v>
      </c>
      <c r="G103">
        <v>-146</v>
      </c>
      <c r="K103" t="e">
        <f t="shared" si="6"/>
        <v>#N/A</v>
      </c>
      <c r="L103" s="374">
        <f t="shared" si="7"/>
        <v>0</v>
      </c>
      <c r="M103" s="374"/>
    </row>
    <row r="104" spans="1:13">
      <c r="A104" s="4" t="s">
        <v>266</v>
      </c>
      <c r="B104" s="212">
        <v>1851</v>
      </c>
      <c r="C104">
        <f t="shared" si="4"/>
        <v>-1830</v>
      </c>
      <c r="D104" s="374">
        <f t="shared" si="5"/>
        <v>21</v>
      </c>
      <c r="E104" s="374"/>
      <c r="F104" s="4" t="s">
        <v>435</v>
      </c>
      <c r="G104">
        <v>-249</v>
      </c>
      <c r="K104" t="e">
        <f t="shared" si="6"/>
        <v>#N/A</v>
      </c>
      <c r="L104" s="374">
        <f t="shared" si="7"/>
        <v>0</v>
      </c>
      <c r="M104" s="374"/>
    </row>
    <row r="105" spans="1:13">
      <c r="A105" s="4" t="s">
        <v>264</v>
      </c>
      <c r="B105" s="212">
        <v>2378</v>
      </c>
      <c r="C105">
        <f t="shared" si="4"/>
        <v>-2740</v>
      </c>
      <c r="D105" s="374">
        <f t="shared" si="5"/>
        <v>-362</v>
      </c>
      <c r="E105" s="374"/>
      <c r="F105" s="4" t="s">
        <v>1475</v>
      </c>
      <c r="G105">
        <v>-36</v>
      </c>
      <c r="K105" t="e">
        <f t="shared" si="6"/>
        <v>#N/A</v>
      </c>
      <c r="L105" s="374">
        <f t="shared" si="7"/>
        <v>0</v>
      </c>
      <c r="M105" s="374"/>
    </row>
    <row r="106" spans="1:13">
      <c r="A106" s="4" t="s">
        <v>329</v>
      </c>
      <c r="B106" s="212">
        <v>1241</v>
      </c>
      <c r="C106">
        <f t="shared" si="4"/>
        <v>-2303</v>
      </c>
      <c r="D106" s="374">
        <f t="shared" si="5"/>
        <v>-1062</v>
      </c>
      <c r="E106" s="374"/>
      <c r="F106" s="4" t="s">
        <v>1461</v>
      </c>
      <c r="G106">
        <v>-417</v>
      </c>
      <c r="K106" t="e">
        <f t="shared" si="6"/>
        <v>#N/A</v>
      </c>
      <c r="L106" s="374">
        <f t="shared" si="7"/>
        <v>0</v>
      </c>
      <c r="M106" s="374"/>
    </row>
    <row r="107" spans="1:13">
      <c r="A107" s="4" t="s">
        <v>272</v>
      </c>
      <c r="B107" s="212">
        <v>200</v>
      </c>
      <c r="C107">
        <f t="shared" si="4"/>
        <v>-793</v>
      </c>
      <c r="D107" s="374">
        <f t="shared" si="5"/>
        <v>-593</v>
      </c>
      <c r="E107" s="374"/>
      <c r="F107" s="4" t="s">
        <v>1153</v>
      </c>
      <c r="G107">
        <v>-888</v>
      </c>
      <c r="K107" t="e">
        <f t="shared" si="6"/>
        <v>#N/A</v>
      </c>
      <c r="L107" s="374">
        <f t="shared" si="7"/>
        <v>0</v>
      </c>
      <c r="M107" s="374"/>
    </row>
    <row r="108" spans="1:13">
      <c r="A108" s="4" t="s">
        <v>330</v>
      </c>
      <c r="B108" s="212">
        <v>632</v>
      </c>
      <c r="C108">
        <f t="shared" si="4"/>
        <v>-466</v>
      </c>
      <c r="D108" s="374">
        <f t="shared" si="5"/>
        <v>166</v>
      </c>
      <c r="E108" s="374"/>
      <c r="F108" s="4" t="s">
        <v>426</v>
      </c>
      <c r="G108">
        <v>-3191</v>
      </c>
      <c r="K108" t="e">
        <f t="shared" si="6"/>
        <v>#N/A</v>
      </c>
      <c r="L108" s="374">
        <f t="shared" si="7"/>
        <v>0</v>
      </c>
      <c r="M108" s="374"/>
    </row>
    <row r="109" spans="1:13">
      <c r="A109" s="4" t="s">
        <v>410</v>
      </c>
      <c r="B109" s="212">
        <v>423</v>
      </c>
      <c r="C109" t="e">
        <f t="shared" si="4"/>
        <v>#N/A</v>
      </c>
      <c r="D109" s="374">
        <f t="shared" si="5"/>
        <v>423</v>
      </c>
      <c r="E109" s="374"/>
      <c r="F109" s="4" t="s">
        <v>1745</v>
      </c>
      <c r="G109">
        <v>114</v>
      </c>
      <c r="K109" t="e">
        <f t="shared" si="6"/>
        <v>#N/A</v>
      </c>
      <c r="L109" s="374">
        <f t="shared" si="7"/>
        <v>0</v>
      </c>
      <c r="M109" s="374"/>
    </row>
    <row r="110" spans="1:13">
      <c r="A110" s="4" t="s">
        <v>411</v>
      </c>
      <c r="B110" s="212">
        <v>99</v>
      </c>
      <c r="C110" t="e">
        <f t="shared" si="4"/>
        <v>#N/A</v>
      </c>
      <c r="D110" s="374">
        <f t="shared" si="5"/>
        <v>99</v>
      </c>
      <c r="E110" s="374"/>
      <c r="F110" s="4" t="s">
        <v>4255</v>
      </c>
      <c r="G110">
        <v>-92455</v>
      </c>
      <c r="K110" t="e">
        <f t="shared" si="6"/>
        <v>#N/A</v>
      </c>
      <c r="L110" s="374">
        <f t="shared" si="7"/>
        <v>0</v>
      </c>
      <c r="M110" s="374"/>
    </row>
    <row r="111" spans="1:13">
      <c r="A111" s="4" t="s">
        <v>467</v>
      </c>
      <c r="B111" s="212">
        <v>197</v>
      </c>
      <c r="C111">
        <f t="shared" si="4"/>
        <v>-129</v>
      </c>
      <c r="D111" s="374">
        <f t="shared" si="5"/>
        <v>68</v>
      </c>
      <c r="E111" s="374"/>
      <c r="K111" t="e">
        <f t="shared" si="6"/>
        <v>#N/A</v>
      </c>
      <c r="L111" s="374">
        <f t="shared" si="7"/>
        <v>0</v>
      </c>
      <c r="M111" s="374"/>
    </row>
    <row r="112" spans="1:13">
      <c r="A112" s="4" t="s">
        <v>463</v>
      </c>
      <c r="B112" s="212">
        <v>36</v>
      </c>
      <c r="C112">
        <f t="shared" si="4"/>
        <v>-36</v>
      </c>
      <c r="D112" s="374">
        <f t="shared" si="5"/>
        <v>0</v>
      </c>
      <c r="E112" s="374"/>
      <c r="K112" t="e">
        <f t="shared" si="6"/>
        <v>#N/A</v>
      </c>
      <c r="L112" s="374">
        <f t="shared" si="7"/>
        <v>0</v>
      </c>
      <c r="M112" s="374"/>
    </row>
    <row r="113" spans="1:13">
      <c r="A113" s="4" t="s">
        <v>1597</v>
      </c>
      <c r="B113" s="212">
        <v>85</v>
      </c>
      <c r="C113">
        <f t="shared" si="4"/>
        <v>-85</v>
      </c>
      <c r="D113" s="374">
        <f t="shared" si="5"/>
        <v>0</v>
      </c>
      <c r="E113" s="374"/>
      <c r="K113" t="e">
        <f t="shared" si="6"/>
        <v>#N/A</v>
      </c>
      <c r="L113" s="374">
        <f t="shared" si="7"/>
        <v>0</v>
      </c>
      <c r="M113" s="374"/>
    </row>
    <row r="114" spans="1:13">
      <c r="A114" s="4" t="s">
        <v>412</v>
      </c>
      <c r="B114" s="212">
        <v>37</v>
      </c>
      <c r="C114" t="e">
        <f t="shared" si="4"/>
        <v>#N/A</v>
      </c>
      <c r="D114" s="374">
        <f t="shared" si="5"/>
        <v>37</v>
      </c>
      <c r="E114" s="374"/>
      <c r="K114" t="e">
        <f t="shared" si="6"/>
        <v>#N/A</v>
      </c>
      <c r="L114" s="374">
        <f t="shared" si="7"/>
        <v>0</v>
      </c>
      <c r="M114" s="374"/>
    </row>
    <row r="115" spans="1:13">
      <c r="A115" s="4" t="s">
        <v>331</v>
      </c>
      <c r="B115" s="212">
        <v>764</v>
      </c>
      <c r="C115">
        <f t="shared" si="4"/>
        <v>-1366</v>
      </c>
      <c r="D115" s="374">
        <f t="shared" si="5"/>
        <v>-602</v>
      </c>
      <c r="E115" s="374"/>
      <c r="K115" t="e">
        <f t="shared" si="6"/>
        <v>#N/A</v>
      </c>
      <c r="L115" s="374">
        <f t="shared" si="7"/>
        <v>0</v>
      </c>
      <c r="M115" s="374"/>
    </row>
    <row r="116" spans="1:13">
      <c r="A116" s="4" t="s">
        <v>440</v>
      </c>
      <c r="B116" s="212">
        <v>1706</v>
      </c>
      <c r="C116">
        <f t="shared" si="4"/>
        <v>-751</v>
      </c>
      <c r="D116" s="374">
        <f t="shared" si="5"/>
        <v>955</v>
      </c>
      <c r="E116" s="374"/>
      <c r="K116" t="e">
        <f t="shared" si="6"/>
        <v>#N/A</v>
      </c>
      <c r="L116" s="374">
        <f t="shared" si="7"/>
        <v>0</v>
      </c>
      <c r="M116" s="374"/>
    </row>
    <row r="117" spans="1:13">
      <c r="A117" s="4" t="s">
        <v>332</v>
      </c>
      <c r="B117" s="212">
        <v>1857</v>
      </c>
      <c r="C117">
        <f t="shared" si="4"/>
        <v>-2406</v>
      </c>
      <c r="D117" s="374">
        <f t="shared" si="5"/>
        <v>-549</v>
      </c>
      <c r="E117" s="374"/>
      <c r="K117" t="e">
        <f t="shared" si="6"/>
        <v>#N/A</v>
      </c>
      <c r="L117" s="374">
        <f t="shared" si="7"/>
        <v>0</v>
      </c>
      <c r="M117" s="374"/>
    </row>
    <row r="118" spans="1:13">
      <c r="A118" s="4" t="s">
        <v>1614</v>
      </c>
      <c r="B118" s="212">
        <v>156</v>
      </c>
      <c r="C118">
        <f t="shared" si="4"/>
        <v>-156</v>
      </c>
      <c r="D118" s="374">
        <f t="shared" si="5"/>
        <v>0</v>
      </c>
      <c r="E118" s="374"/>
      <c r="K118" t="e">
        <f t="shared" si="6"/>
        <v>#N/A</v>
      </c>
      <c r="L118" s="374">
        <f t="shared" si="7"/>
        <v>0</v>
      </c>
      <c r="M118" s="374"/>
    </row>
    <row r="119" spans="1:13">
      <c r="A119" s="4" t="s">
        <v>1675</v>
      </c>
      <c r="B119" s="212">
        <v>562</v>
      </c>
      <c r="C119">
        <f t="shared" si="4"/>
        <v>-630</v>
      </c>
      <c r="D119" s="374">
        <f t="shared" si="5"/>
        <v>-68</v>
      </c>
      <c r="E119" s="374"/>
      <c r="K119" t="e">
        <f t="shared" si="6"/>
        <v>#N/A</v>
      </c>
      <c r="L119" s="374">
        <f t="shared" si="7"/>
        <v>0</v>
      </c>
      <c r="M119" s="374"/>
    </row>
    <row r="120" spans="1:13">
      <c r="A120" s="4" t="s">
        <v>470</v>
      </c>
      <c r="B120" s="212">
        <v>55</v>
      </c>
      <c r="C120">
        <f t="shared" si="4"/>
        <v>-55</v>
      </c>
      <c r="D120" s="374">
        <f t="shared" si="5"/>
        <v>0</v>
      </c>
      <c r="E120" s="374"/>
      <c r="K120" t="e">
        <f t="shared" si="6"/>
        <v>#N/A</v>
      </c>
      <c r="L120" s="374">
        <f t="shared" si="7"/>
        <v>0</v>
      </c>
      <c r="M120" s="374"/>
    </row>
    <row r="121" spans="1:13">
      <c r="A121" s="4" t="s">
        <v>472</v>
      </c>
      <c r="B121" s="212">
        <v>36</v>
      </c>
      <c r="C121">
        <f t="shared" si="4"/>
        <v>-12</v>
      </c>
      <c r="D121" s="374">
        <f t="shared" si="5"/>
        <v>24</v>
      </c>
      <c r="E121" s="374"/>
      <c r="K121" t="e">
        <f t="shared" si="6"/>
        <v>#N/A</v>
      </c>
      <c r="L121" s="374">
        <f t="shared" si="7"/>
        <v>0</v>
      </c>
      <c r="M121" s="374"/>
    </row>
    <row r="122" spans="1:13">
      <c r="A122" s="4" t="s">
        <v>469</v>
      </c>
      <c r="B122" s="212">
        <v>275</v>
      </c>
      <c r="C122">
        <f t="shared" si="4"/>
        <v>-396</v>
      </c>
      <c r="D122" s="374">
        <f t="shared" si="5"/>
        <v>-121</v>
      </c>
      <c r="E122" s="374"/>
      <c r="K122" t="e">
        <f t="shared" si="6"/>
        <v>#N/A</v>
      </c>
      <c r="L122" s="374">
        <f t="shared" si="7"/>
        <v>0</v>
      </c>
      <c r="M122" s="374"/>
    </row>
    <row r="123" spans="1:13">
      <c r="A123" s="4" t="s">
        <v>213</v>
      </c>
      <c r="B123" s="212">
        <v>72</v>
      </c>
      <c r="C123">
        <f t="shared" si="4"/>
        <v>-36</v>
      </c>
      <c r="D123" s="374">
        <f t="shared" si="5"/>
        <v>36</v>
      </c>
      <c r="E123" s="374"/>
      <c r="K123" t="e">
        <f t="shared" si="6"/>
        <v>#N/A</v>
      </c>
      <c r="L123" s="374">
        <f t="shared" si="7"/>
        <v>0</v>
      </c>
      <c r="M123" s="374"/>
    </row>
    <row r="124" spans="1:13">
      <c r="A124" s="4" t="s">
        <v>441</v>
      </c>
      <c r="B124" s="212">
        <v>50</v>
      </c>
      <c r="C124">
        <f t="shared" si="4"/>
        <v>-48</v>
      </c>
      <c r="D124" s="374">
        <f t="shared" si="5"/>
        <v>2</v>
      </c>
      <c r="E124" s="374"/>
      <c r="K124" t="e">
        <f t="shared" si="6"/>
        <v>#N/A</v>
      </c>
      <c r="L124" s="374">
        <f t="shared" si="7"/>
        <v>0</v>
      </c>
      <c r="M124" s="374"/>
    </row>
    <row r="125" spans="1:13">
      <c r="A125" s="4" t="s">
        <v>1587</v>
      </c>
      <c r="B125" s="212">
        <v>550</v>
      </c>
      <c r="C125">
        <f t="shared" si="4"/>
        <v>-119</v>
      </c>
      <c r="D125" s="374">
        <f t="shared" si="5"/>
        <v>431</v>
      </c>
      <c r="E125" s="374"/>
      <c r="K125" t="e">
        <f t="shared" si="6"/>
        <v>#N/A</v>
      </c>
      <c r="L125" s="374">
        <f t="shared" si="7"/>
        <v>0</v>
      </c>
      <c r="M125" s="374"/>
    </row>
    <row r="126" spans="1:13">
      <c r="A126" s="4" t="s">
        <v>4250</v>
      </c>
      <c r="B126" s="212">
        <v>0</v>
      </c>
      <c r="C126" t="e">
        <f t="shared" si="4"/>
        <v>#N/A</v>
      </c>
      <c r="D126" s="374">
        <f t="shared" si="5"/>
        <v>0</v>
      </c>
      <c r="E126" s="374"/>
      <c r="K126" t="e">
        <f t="shared" si="6"/>
        <v>#N/A</v>
      </c>
      <c r="L126" s="374">
        <f t="shared" si="7"/>
        <v>0</v>
      </c>
      <c r="M126" s="374"/>
    </row>
    <row r="127" spans="1:13">
      <c r="A127" s="4" t="s">
        <v>4251</v>
      </c>
      <c r="B127" s="212">
        <v>0</v>
      </c>
      <c r="C127" t="e">
        <f t="shared" si="4"/>
        <v>#N/A</v>
      </c>
      <c r="D127" s="374">
        <f t="shared" si="5"/>
        <v>0</v>
      </c>
      <c r="E127" s="374"/>
      <c r="K127" t="e">
        <f t="shared" si="6"/>
        <v>#N/A</v>
      </c>
      <c r="L127" s="374">
        <f t="shared" si="7"/>
        <v>0</v>
      </c>
      <c r="M127" s="374"/>
    </row>
    <row r="128" spans="1:13">
      <c r="A128" s="4" t="s">
        <v>4252</v>
      </c>
      <c r="B128" s="212">
        <v>0</v>
      </c>
      <c r="C128" t="e">
        <f t="shared" si="4"/>
        <v>#N/A</v>
      </c>
      <c r="D128" s="374">
        <f t="shared" si="5"/>
        <v>0</v>
      </c>
      <c r="E128" s="374"/>
      <c r="K128" t="e">
        <f t="shared" si="6"/>
        <v>#N/A</v>
      </c>
      <c r="L128" s="374">
        <f t="shared" si="7"/>
        <v>0</v>
      </c>
      <c r="M128" s="374"/>
    </row>
    <row r="129" spans="1:13">
      <c r="A129" s="4" t="s">
        <v>1607</v>
      </c>
      <c r="B129" s="212">
        <v>691</v>
      </c>
      <c r="C129">
        <f t="shared" si="4"/>
        <v>-688</v>
      </c>
      <c r="D129" s="374">
        <f t="shared" si="5"/>
        <v>3</v>
      </c>
      <c r="E129" s="374"/>
      <c r="K129" t="e">
        <f t="shared" si="6"/>
        <v>#N/A</v>
      </c>
      <c r="L129" s="374">
        <f t="shared" si="7"/>
        <v>0</v>
      </c>
      <c r="M129" s="374"/>
    </row>
    <row r="130" spans="1:13">
      <c r="A130" s="4" t="s">
        <v>212</v>
      </c>
      <c r="B130" s="212">
        <v>733</v>
      </c>
      <c r="C130">
        <f t="shared" si="4"/>
        <v>-733</v>
      </c>
      <c r="D130" s="374">
        <f t="shared" si="5"/>
        <v>0</v>
      </c>
      <c r="E130" s="374"/>
      <c r="K130" t="e">
        <f t="shared" si="6"/>
        <v>#N/A</v>
      </c>
      <c r="L130" s="374">
        <f t="shared" si="7"/>
        <v>0</v>
      </c>
      <c r="M130" s="374"/>
    </row>
    <row r="131" spans="1:13">
      <c r="A131" s="4" t="s">
        <v>1523</v>
      </c>
      <c r="B131" s="212">
        <v>3</v>
      </c>
      <c r="C131" t="e">
        <f t="shared" si="4"/>
        <v>#N/A</v>
      </c>
      <c r="D131" s="374">
        <f t="shared" si="5"/>
        <v>3</v>
      </c>
      <c r="E131" s="374"/>
      <c r="K131" t="e">
        <f t="shared" si="6"/>
        <v>#N/A</v>
      </c>
      <c r="L131" s="374">
        <f t="shared" si="7"/>
        <v>0</v>
      </c>
      <c r="M131" s="374"/>
    </row>
    <row r="132" spans="1:13">
      <c r="A132" s="4" t="s">
        <v>417</v>
      </c>
      <c r="B132" s="212">
        <v>27</v>
      </c>
      <c r="C132" t="e">
        <f t="shared" si="4"/>
        <v>#N/A</v>
      </c>
      <c r="D132" s="374">
        <f t="shared" si="5"/>
        <v>27</v>
      </c>
      <c r="E132" s="374"/>
      <c r="K132" t="e">
        <f t="shared" si="6"/>
        <v>#N/A</v>
      </c>
      <c r="L132" s="374">
        <f t="shared" si="7"/>
        <v>0</v>
      </c>
      <c r="M132" s="374"/>
    </row>
    <row r="133" spans="1:13">
      <c r="A133" s="4" t="s">
        <v>1270</v>
      </c>
      <c r="B133" s="212">
        <v>54</v>
      </c>
      <c r="C133">
        <f t="shared" ref="C133:C196" si="8">VLOOKUP(A133,F:G,2,0)</f>
        <v>-54</v>
      </c>
      <c r="D133" s="374">
        <f t="shared" ref="D133:D196" si="9">IF(ISERROR(C133),B133,B133+C133)</f>
        <v>0</v>
      </c>
      <c r="E133" s="374"/>
      <c r="K133" t="e">
        <f t="shared" ref="K133:K196" si="10">VLOOKUP(I133,N:O,2,0)</f>
        <v>#N/A</v>
      </c>
      <c r="L133" s="374">
        <f t="shared" ref="L133:L196" si="11">IF(ISERROR(K133),J133,J133+K133)</f>
        <v>0</v>
      </c>
      <c r="M133" s="374"/>
    </row>
    <row r="134" spans="1:13">
      <c r="A134" s="4" t="s">
        <v>1507</v>
      </c>
      <c r="B134" s="212">
        <v>571</v>
      </c>
      <c r="C134">
        <f t="shared" si="8"/>
        <v>-1142</v>
      </c>
      <c r="D134" s="374">
        <f t="shared" si="9"/>
        <v>-571</v>
      </c>
      <c r="E134" s="374"/>
      <c r="K134" t="e">
        <f t="shared" si="10"/>
        <v>#N/A</v>
      </c>
      <c r="L134" s="374">
        <f t="shared" si="11"/>
        <v>0</v>
      </c>
      <c r="M134" s="374"/>
    </row>
    <row r="135" spans="1:13">
      <c r="A135" s="4" t="s">
        <v>333</v>
      </c>
      <c r="B135" s="212">
        <v>81</v>
      </c>
      <c r="C135">
        <f t="shared" si="8"/>
        <v>-81</v>
      </c>
      <c r="D135" s="374">
        <f t="shared" si="9"/>
        <v>0</v>
      </c>
      <c r="E135" s="374"/>
      <c r="K135" t="e">
        <f t="shared" si="10"/>
        <v>#N/A</v>
      </c>
      <c r="L135" s="374">
        <f t="shared" si="11"/>
        <v>0</v>
      </c>
      <c r="M135" s="374"/>
    </row>
    <row r="136" spans="1:13">
      <c r="A136" s="4" t="s">
        <v>436</v>
      </c>
      <c r="B136" s="212">
        <v>74</v>
      </c>
      <c r="C136">
        <f t="shared" si="8"/>
        <v>-146</v>
      </c>
      <c r="D136" s="374">
        <f t="shared" si="9"/>
        <v>-72</v>
      </c>
      <c r="E136" s="374"/>
      <c r="K136" t="e">
        <f t="shared" si="10"/>
        <v>#N/A</v>
      </c>
      <c r="L136" s="374">
        <f t="shared" si="11"/>
        <v>0</v>
      </c>
      <c r="M136" s="374"/>
    </row>
    <row r="137" spans="1:13">
      <c r="A137" s="4" t="s">
        <v>435</v>
      </c>
      <c r="B137" s="212">
        <v>199</v>
      </c>
      <c r="C137">
        <f t="shared" si="8"/>
        <v>-249</v>
      </c>
      <c r="D137" s="374">
        <f t="shared" si="9"/>
        <v>-50</v>
      </c>
      <c r="E137" s="374"/>
      <c r="K137" t="e">
        <f t="shared" si="10"/>
        <v>#N/A</v>
      </c>
      <c r="L137" s="374">
        <f t="shared" si="11"/>
        <v>0</v>
      </c>
      <c r="M137" s="374"/>
    </row>
    <row r="138" spans="1:13">
      <c r="A138" s="4" t="s">
        <v>1543</v>
      </c>
      <c r="B138" s="212">
        <v>48</v>
      </c>
      <c r="C138" t="e">
        <f t="shared" si="8"/>
        <v>#N/A</v>
      </c>
      <c r="D138" s="374">
        <f t="shared" si="9"/>
        <v>48</v>
      </c>
      <c r="E138" s="374"/>
      <c r="K138" t="e">
        <f t="shared" si="10"/>
        <v>#N/A</v>
      </c>
      <c r="L138" s="374">
        <f t="shared" si="11"/>
        <v>0</v>
      </c>
      <c r="M138" s="374"/>
    </row>
    <row r="139" spans="1:13">
      <c r="A139" s="4" t="s">
        <v>1475</v>
      </c>
      <c r="B139" s="212">
        <v>123</v>
      </c>
      <c r="C139">
        <f t="shared" si="8"/>
        <v>-36</v>
      </c>
      <c r="D139" s="374">
        <f t="shared" si="9"/>
        <v>87</v>
      </c>
      <c r="E139" s="374"/>
      <c r="K139" t="e">
        <f t="shared" si="10"/>
        <v>#N/A</v>
      </c>
      <c r="L139" s="374">
        <f t="shared" si="11"/>
        <v>0</v>
      </c>
      <c r="M139" s="374"/>
    </row>
    <row r="140" spans="1:13">
      <c r="A140" s="4" t="s">
        <v>421</v>
      </c>
      <c r="B140" s="212">
        <v>240</v>
      </c>
      <c r="C140" t="e">
        <f t="shared" si="8"/>
        <v>#N/A</v>
      </c>
      <c r="D140" s="374">
        <f t="shared" si="9"/>
        <v>240</v>
      </c>
      <c r="E140" s="374"/>
      <c r="K140" t="e">
        <f t="shared" si="10"/>
        <v>#N/A</v>
      </c>
      <c r="L140" s="374">
        <f t="shared" si="11"/>
        <v>0</v>
      </c>
      <c r="M140" s="374"/>
    </row>
    <row r="141" spans="1:13">
      <c r="A141" s="4" t="s">
        <v>423</v>
      </c>
      <c r="B141" s="212">
        <v>1743</v>
      </c>
      <c r="C141" t="e">
        <f t="shared" si="8"/>
        <v>#N/A</v>
      </c>
      <c r="D141" s="374">
        <f t="shared" si="9"/>
        <v>1743</v>
      </c>
      <c r="E141" s="374"/>
      <c r="K141" t="e">
        <f t="shared" si="10"/>
        <v>#N/A</v>
      </c>
      <c r="L141" s="374">
        <f t="shared" si="11"/>
        <v>0</v>
      </c>
      <c r="M141" s="374"/>
    </row>
    <row r="142" spans="1:13">
      <c r="A142" s="4" t="s">
        <v>424</v>
      </c>
      <c r="B142" s="212">
        <v>2268</v>
      </c>
      <c r="C142" t="e">
        <f t="shared" si="8"/>
        <v>#N/A</v>
      </c>
      <c r="D142" s="374">
        <f t="shared" si="9"/>
        <v>2268</v>
      </c>
      <c r="E142" s="374"/>
      <c r="K142" t="e">
        <f t="shared" si="10"/>
        <v>#N/A</v>
      </c>
      <c r="L142" s="374">
        <f t="shared" si="11"/>
        <v>0</v>
      </c>
      <c r="M142" s="374"/>
    </row>
    <row r="143" spans="1:13">
      <c r="A143" s="4" t="s">
        <v>425</v>
      </c>
      <c r="B143" s="212">
        <v>179</v>
      </c>
      <c r="C143" t="e">
        <f t="shared" si="8"/>
        <v>#N/A</v>
      </c>
      <c r="D143" s="374">
        <f t="shared" si="9"/>
        <v>179</v>
      </c>
      <c r="E143" s="374"/>
      <c r="K143" t="e">
        <f t="shared" si="10"/>
        <v>#N/A</v>
      </c>
      <c r="L143" s="374">
        <f t="shared" si="11"/>
        <v>0</v>
      </c>
      <c r="M143" s="374"/>
    </row>
    <row r="144" spans="1:13">
      <c r="A144" s="4" t="s">
        <v>4253</v>
      </c>
      <c r="B144" s="212">
        <v>0</v>
      </c>
      <c r="C144" t="e">
        <f t="shared" si="8"/>
        <v>#N/A</v>
      </c>
      <c r="D144" s="374">
        <f t="shared" si="9"/>
        <v>0</v>
      </c>
      <c r="E144" s="374"/>
      <c r="K144" t="e">
        <f t="shared" si="10"/>
        <v>#N/A</v>
      </c>
      <c r="L144" s="374">
        <f t="shared" si="11"/>
        <v>0</v>
      </c>
      <c r="M144" s="374"/>
    </row>
    <row r="145" spans="1:13">
      <c r="A145" s="4" t="s">
        <v>1461</v>
      </c>
      <c r="B145" s="212">
        <v>827</v>
      </c>
      <c r="C145">
        <f t="shared" si="8"/>
        <v>-417</v>
      </c>
      <c r="D145" s="374">
        <f t="shared" si="9"/>
        <v>410</v>
      </c>
      <c r="E145" s="374"/>
      <c r="K145" t="e">
        <f t="shared" si="10"/>
        <v>#N/A</v>
      </c>
      <c r="L145" s="374">
        <f t="shared" si="11"/>
        <v>0</v>
      </c>
      <c r="M145" s="374"/>
    </row>
    <row r="146" spans="1:13">
      <c r="A146" s="4" t="s">
        <v>1153</v>
      </c>
      <c r="B146" s="212">
        <v>888</v>
      </c>
      <c r="C146">
        <f t="shared" si="8"/>
        <v>-888</v>
      </c>
      <c r="D146" s="374">
        <f t="shared" si="9"/>
        <v>0</v>
      </c>
      <c r="E146" s="374"/>
      <c r="K146" t="e">
        <f t="shared" si="10"/>
        <v>#N/A</v>
      </c>
      <c r="L146" s="374">
        <f t="shared" si="11"/>
        <v>0</v>
      </c>
      <c r="M146" s="374"/>
    </row>
    <row r="147" spans="1:13">
      <c r="A147" s="4" t="s">
        <v>338</v>
      </c>
      <c r="B147" s="212">
        <v>0</v>
      </c>
      <c r="C147" t="e">
        <f t="shared" si="8"/>
        <v>#N/A</v>
      </c>
      <c r="D147" s="374">
        <f t="shared" si="9"/>
        <v>0</v>
      </c>
      <c r="E147" s="374"/>
      <c r="K147" t="e">
        <f t="shared" si="10"/>
        <v>#N/A</v>
      </c>
      <c r="L147" s="374">
        <f t="shared" si="11"/>
        <v>0</v>
      </c>
      <c r="M147" s="374"/>
    </row>
    <row r="148" spans="1:13">
      <c r="A148" s="4" t="s">
        <v>4254</v>
      </c>
      <c r="B148" s="212">
        <v>0</v>
      </c>
      <c r="C148" t="e">
        <f t="shared" si="8"/>
        <v>#N/A</v>
      </c>
      <c r="D148" s="374">
        <f t="shared" si="9"/>
        <v>0</v>
      </c>
      <c r="E148" s="374"/>
      <c r="K148" t="e">
        <f t="shared" si="10"/>
        <v>#N/A</v>
      </c>
      <c r="L148" s="374">
        <f t="shared" si="11"/>
        <v>0</v>
      </c>
      <c r="M148" s="374"/>
    </row>
    <row r="149" spans="1:13">
      <c r="A149" s="4" t="s">
        <v>426</v>
      </c>
      <c r="B149" s="212">
        <v>3247</v>
      </c>
      <c r="C149">
        <f t="shared" si="8"/>
        <v>-3191</v>
      </c>
      <c r="D149" s="374">
        <f t="shared" si="9"/>
        <v>56</v>
      </c>
      <c r="E149" s="374"/>
      <c r="K149" t="e">
        <f t="shared" si="10"/>
        <v>#N/A</v>
      </c>
      <c r="L149" s="374">
        <f t="shared" si="11"/>
        <v>0</v>
      </c>
      <c r="M149" s="374"/>
    </row>
    <row r="150" spans="1:13">
      <c r="A150" s="4" t="s">
        <v>1745</v>
      </c>
      <c r="B150" s="212">
        <v>104</v>
      </c>
      <c r="C150">
        <f t="shared" si="8"/>
        <v>114</v>
      </c>
      <c r="D150" s="374">
        <f t="shared" si="9"/>
        <v>218</v>
      </c>
      <c r="E150" s="374"/>
      <c r="K150" t="e">
        <f t="shared" si="10"/>
        <v>#N/A</v>
      </c>
      <c r="L150" s="374">
        <f t="shared" si="11"/>
        <v>0</v>
      </c>
      <c r="M150" s="374"/>
    </row>
    <row r="151" spans="1:13">
      <c r="A151" s="4" t="s">
        <v>456</v>
      </c>
      <c r="B151" s="212">
        <v>29</v>
      </c>
      <c r="C151" t="e">
        <f t="shared" si="8"/>
        <v>#N/A</v>
      </c>
      <c r="D151" s="374">
        <f t="shared" si="9"/>
        <v>29</v>
      </c>
      <c r="E151" s="374"/>
      <c r="K151" t="e">
        <f t="shared" si="10"/>
        <v>#N/A</v>
      </c>
      <c r="L151" s="374">
        <f t="shared" si="11"/>
        <v>0</v>
      </c>
      <c r="M151" s="374"/>
    </row>
    <row r="152" spans="1:13">
      <c r="A152" s="4" t="s">
        <v>4255</v>
      </c>
      <c r="B152" s="212">
        <v>100218</v>
      </c>
      <c r="C152">
        <f t="shared" si="8"/>
        <v>-92455</v>
      </c>
      <c r="D152" s="374">
        <f t="shared" si="9"/>
        <v>7763</v>
      </c>
      <c r="E152" s="374"/>
      <c r="K152" t="e">
        <f t="shared" si="10"/>
        <v>#N/A</v>
      </c>
      <c r="L152" s="374">
        <f t="shared" si="11"/>
        <v>0</v>
      </c>
      <c r="M152" s="374"/>
    </row>
    <row r="153" spans="1:13">
      <c r="C153" t="e">
        <f t="shared" si="8"/>
        <v>#N/A</v>
      </c>
      <c r="D153" s="374">
        <f t="shared" si="9"/>
        <v>0</v>
      </c>
      <c r="E153" s="374"/>
      <c r="K153" t="e">
        <f t="shared" si="10"/>
        <v>#N/A</v>
      </c>
      <c r="L153" s="374">
        <f t="shared" si="11"/>
        <v>0</v>
      </c>
      <c r="M153" s="374"/>
    </row>
    <row r="154" spans="1:13">
      <c r="C154" t="e">
        <f t="shared" si="8"/>
        <v>#N/A</v>
      </c>
      <c r="D154" s="374">
        <f t="shared" si="9"/>
        <v>0</v>
      </c>
      <c r="E154" s="374"/>
      <c r="K154" t="e">
        <f t="shared" si="10"/>
        <v>#N/A</v>
      </c>
      <c r="L154" s="374">
        <f t="shared" si="11"/>
        <v>0</v>
      </c>
      <c r="M154" s="374"/>
    </row>
    <row r="155" spans="1:13">
      <c r="C155" t="e">
        <f t="shared" si="8"/>
        <v>#N/A</v>
      </c>
      <c r="D155" s="374">
        <f t="shared" si="9"/>
        <v>0</v>
      </c>
      <c r="E155" s="374"/>
      <c r="K155" t="e">
        <f t="shared" si="10"/>
        <v>#N/A</v>
      </c>
      <c r="L155" s="374">
        <f t="shared" si="11"/>
        <v>0</v>
      </c>
      <c r="M155" s="374"/>
    </row>
    <row r="156" spans="1:13">
      <c r="C156" t="e">
        <f t="shared" si="8"/>
        <v>#N/A</v>
      </c>
      <c r="D156" s="374">
        <f t="shared" si="9"/>
        <v>0</v>
      </c>
      <c r="E156" s="374"/>
      <c r="K156" t="e">
        <f t="shared" si="10"/>
        <v>#N/A</v>
      </c>
      <c r="L156" s="374">
        <f t="shared" si="11"/>
        <v>0</v>
      </c>
      <c r="M156" s="374"/>
    </row>
    <row r="157" spans="1:13">
      <c r="C157" t="e">
        <f t="shared" si="8"/>
        <v>#N/A</v>
      </c>
      <c r="D157" s="374">
        <f t="shared" si="9"/>
        <v>0</v>
      </c>
      <c r="E157" s="374"/>
      <c r="K157" t="e">
        <f t="shared" si="10"/>
        <v>#N/A</v>
      </c>
      <c r="L157" s="374">
        <f t="shared" si="11"/>
        <v>0</v>
      </c>
      <c r="M157" s="374"/>
    </row>
    <row r="158" spans="1:13">
      <c r="C158" t="e">
        <f t="shared" si="8"/>
        <v>#N/A</v>
      </c>
      <c r="D158" s="374">
        <f t="shared" si="9"/>
        <v>0</v>
      </c>
      <c r="E158" s="374"/>
      <c r="K158" t="e">
        <f t="shared" si="10"/>
        <v>#N/A</v>
      </c>
      <c r="L158" s="374">
        <f t="shared" si="11"/>
        <v>0</v>
      </c>
      <c r="M158" s="374"/>
    </row>
    <row r="159" spans="1:13">
      <c r="C159" t="e">
        <f t="shared" si="8"/>
        <v>#N/A</v>
      </c>
      <c r="D159" s="374">
        <f t="shared" si="9"/>
        <v>0</v>
      </c>
      <c r="E159" s="374"/>
      <c r="K159" t="e">
        <f t="shared" si="10"/>
        <v>#N/A</v>
      </c>
      <c r="L159" s="374">
        <f t="shared" si="11"/>
        <v>0</v>
      </c>
      <c r="M159" s="374"/>
    </row>
    <row r="160" spans="1:13">
      <c r="C160" t="e">
        <f t="shared" si="8"/>
        <v>#N/A</v>
      </c>
      <c r="D160" s="374">
        <f t="shared" si="9"/>
        <v>0</v>
      </c>
      <c r="E160" s="374"/>
      <c r="K160" t="e">
        <f t="shared" si="10"/>
        <v>#N/A</v>
      </c>
      <c r="L160" s="374">
        <f t="shared" si="11"/>
        <v>0</v>
      </c>
      <c r="M160" s="374"/>
    </row>
    <row r="161" spans="3:13">
      <c r="C161" t="e">
        <f t="shared" si="8"/>
        <v>#N/A</v>
      </c>
      <c r="D161" s="374">
        <f t="shared" si="9"/>
        <v>0</v>
      </c>
      <c r="E161" s="374"/>
      <c r="K161" t="e">
        <f t="shared" si="10"/>
        <v>#N/A</v>
      </c>
      <c r="L161" s="374">
        <f t="shared" si="11"/>
        <v>0</v>
      </c>
      <c r="M161" s="374"/>
    </row>
    <row r="162" spans="3:13">
      <c r="C162" t="e">
        <f t="shared" si="8"/>
        <v>#N/A</v>
      </c>
      <c r="D162" s="374">
        <f t="shared" si="9"/>
        <v>0</v>
      </c>
      <c r="E162" s="374"/>
      <c r="K162" t="e">
        <f t="shared" si="10"/>
        <v>#N/A</v>
      </c>
      <c r="L162" s="374">
        <f t="shared" si="11"/>
        <v>0</v>
      </c>
      <c r="M162" s="374"/>
    </row>
    <row r="163" spans="3:13">
      <c r="C163" t="e">
        <f t="shared" si="8"/>
        <v>#N/A</v>
      </c>
      <c r="D163" s="374">
        <f t="shared" si="9"/>
        <v>0</v>
      </c>
      <c r="E163" s="374"/>
      <c r="K163" t="e">
        <f t="shared" si="10"/>
        <v>#N/A</v>
      </c>
      <c r="L163" s="374">
        <f t="shared" si="11"/>
        <v>0</v>
      </c>
      <c r="M163" s="374"/>
    </row>
    <row r="164" spans="3:13">
      <c r="C164" t="e">
        <f t="shared" si="8"/>
        <v>#N/A</v>
      </c>
      <c r="D164" s="374">
        <f t="shared" si="9"/>
        <v>0</v>
      </c>
      <c r="E164" s="374"/>
      <c r="K164" t="e">
        <f t="shared" si="10"/>
        <v>#N/A</v>
      </c>
      <c r="L164" s="374">
        <f t="shared" si="11"/>
        <v>0</v>
      </c>
      <c r="M164" s="374"/>
    </row>
    <row r="165" spans="3:13">
      <c r="C165" t="e">
        <f t="shared" si="8"/>
        <v>#N/A</v>
      </c>
      <c r="D165" s="374">
        <f t="shared" si="9"/>
        <v>0</v>
      </c>
      <c r="E165" s="374"/>
      <c r="K165" t="e">
        <f t="shared" si="10"/>
        <v>#N/A</v>
      </c>
      <c r="L165" s="374">
        <f t="shared" si="11"/>
        <v>0</v>
      </c>
      <c r="M165" s="374"/>
    </row>
    <row r="166" spans="3:13">
      <c r="C166" t="e">
        <f t="shared" si="8"/>
        <v>#N/A</v>
      </c>
      <c r="D166" s="374">
        <f t="shared" si="9"/>
        <v>0</v>
      </c>
      <c r="E166" s="374"/>
      <c r="K166" t="e">
        <f t="shared" si="10"/>
        <v>#N/A</v>
      </c>
      <c r="L166" s="374">
        <f t="shared" si="11"/>
        <v>0</v>
      </c>
      <c r="M166" s="374"/>
    </row>
    <row r="167" spans="3:13">
      <c r="C167" t="e">
        <f t="shared" si="8"/>
        <v>#N/A</v>
      </c>
      <c r="D167" s="374">
        <f t="shared" si="9"/>
        <v>0</v>
      </c>
      <c r="E167" s="374"/>
      <c r="K167" t="e">
        <f t="shared" si="10"/>
        <v>#N/A</v>
      </c>
      <c r="L167" s="374">
        <f t="shared" si="11"/>
        <v>0</v>
      </c>
      <c r="M167" s="374"/>
    </row>
    <row r="168" spans="3:13">
      <c r="C168" t="e">
        <f t="shared" si="8"/>
        <v>#N/A</v>
      </c>
      <c r="D168" s="374">
        <f t="shared" si="9"/>
        <v>0</v>
      </c>
      <c r="E168" s="374"/>
      <c r="K168" t="e">
        <f t="shared" si="10"/>
        <v>#N/A</v>
      </c>
      <c r="L168" s="374">
        <f t="shared" si="11"/>
        <v>0</v>
      </c>
      <c r="M168" s="374"/>
    </row>
    <row r="169" spans="3:13">
      <c r="C169" t="e">
        <f t="shared" si="8"/>
        <v>#N/A</v>
      </c>
      <c r="D169" s="374">
        <f t="shared" si="9"/>
        <v>0</v>
      </c>
      <c r="E169" s="374"/>
      <c r="K169" t="e">
        <f t="shared" si="10"/>
        <v>#N/A</v>
      </c>
      <c r="L169" s="374">
        <f t="shared" si="11"/>
        <v>0</v>
      </c>
      <c r="M169" s="374"/>
    </row>
    <row r="170" spans="3:13">
      <c r="C170" t="e">
        <f t="shared" si="8"/>
        <v>#N/A</v>
      </c>
      <c r="D170" s="374">
        <f t="shared" si="9"/>
        <v>0</v>
      </c>
      <c r="E170" s="374"/>
      <c r="K170" t="e">
        <f t="shared" si="10"/>
        <v>#N/A</v>
      </c>
      <c r="L170" s="374">
        <f t="shared" si="11"/>
        <v>0</v>
      </c>
      <c r="M170" s="374"/>
    </row>
    <row r="171" spans="3:13">
      <c r="C171" t="e">
        <f t="shared" si="8"/>
        <v>#N/A</v>
      </c>
      <c r="D171" s="374">
        <f t="shared" si="9"/>
        <v>0</v>
      </c>
      <c r="E171" s="374"/>
      <c r="K171" t="e">
        <f t="shared" si="10"/>
        <v>#N/A</v>
      </c>
      <c r="L171" s="374">
        <f t="shared" si="11"/>
        <v>0</v>
      </c>
      <c r="M171" s="374"/>
    </row>
    <row r="172" spans="3:13">
      <c r="C172" t="e">
        <f t="shared" si="8"/>
        <v>#N/A</v>
      </c>
      <c r="D172" s="374">
        <f t="shared" si="9"/>
        <v>0</v>
      </c>
      <c r="E172" s="374"/>
      <c r="K172" t="e">
        <f t="shared" si="10"/>
        <v>#N/A</v>
      </c>
      <c r="L172" s="374">
        <f t="shared" si="11"/>
        <v>0</v>
      </c>
      <c r="M172" s="374"/>
    </row>
    <row r="173" spans="3:13">
      <c r="C173" t="e">
        <f t="shared" si="8"/>
        <v>#N/A</v>
      </c>
      <c r="D173" s="374">
        <f t="shared" si="9"/>
        <v>0</v>
      </c>
      <c r="E173" s="374"/>
      <c r="K173" t="e">
        <f t="shared" si="10"/>
        <v>#N/A</v>
      </c>
      <c r="L173" s="374">
        <f t="shared" si="11"/>
        <v>0</v>
      </c>
      <c r="M173" s="374"/>
    </row>
    <row r="174" spans="3:13">
      <c r="C174" t="e">
        <f t="shared" si="8"/>
        <v>#N/A</v>
      </c>
      <c r="D174" s="374">
        <f t="shared" si="9"/>
        <v>0</v>
      </c>
      <c r="E174" s="374"/>
      <c r="K174" t="e">
        <f t="shared" si="10"/>
        <v>#N/A</v>
      </c>
      <c r="L174" s="374">
        <f t="shared" si="11"/>
        <v>0</v>
      </c>
      <c r="M174" s="374"/>
    </row>
    <row r="175" spans="3:13">
      <c r="C175" t="e">
        <f t="shared" si="8"/>
        <v>#N/A</v>
      </c>
      <c r="D175" s="374">
        <f t="shared" si="9"/>
        <v>0</v>
      </c>
      <c r="E175" s="374"/>
      <c r="K175" t="e">
        <f t="shared" si="10"/>
        <v>#N/A</v>
      </c>
      <c r="L175" s="374">
        <f t="shared" si="11"/>
        <v>0</v>
      </c>
      <c r="M175" s="374"/>
    </row>
    <row r="176" spans="3:13">
      <c r="C176" t="e">
        <f t="shared" si="8"/>
        <v>#N/A</v>
      </c>
      <c r="D176" s="374">
        <f t="shared" si="9"/>
        <v>0</v>
      </c>
      <c r="E176" s="374"/>
      <c r="K176" t="e">
        <f t="shared" si="10"/>
        <v>#N/A</v>
      </c>
      <c r="L176" s="374">
        <f t="shared" si="11"/>
        <v>0</v>
      </c>
      <c r="M176" s="374"/>
    </row>
    <row r="177" spans="3:13">
      <c r="C177" t="e">
        <f t="shared" si="8"/>
        <v>#N/A</v>
      </c>
      <c r="D177" s="374">
        <f t="shared" si="9"/>
        <v>0</v>
      </c>
      <c r="E177" s="374"/>
      <c r="K177" t="e">
        <f t="shared" si="10"/>
        <v>#N/A</v>
      </c>
      <c r="L177" s="374">
        <f t="shared" si="11"/>
        <v>0</v>
      </c>
      <c r="M177" s="374"/>
    </row>
    <row r="178" spans="3:13">
      <c r="C178" t="e">
        <f t="shared" si="8"/>
        <v>#N/A</v>
      </c>
      <c r="D178" s="374">
        <f t="shared" si="9"/>
        <v>0</v>
      </c>
      <c r="E178" s="374"/>
      <c r="K178" t="e">
        <f t="shared" si="10"/>
        <v>#N/A</v>
      </c>
      <c r="L178" s="374">
        <f t="shared" si="11"/>
        <v>0</v>
      </c>
      <c r="M178" s="374"/>
    </row>
    <row r="179" spans="3:13">
      <c r="C179" t="e">
        <f t="shared" si="8"/>
        <v>#N/A</v>
      </c>
      <c r="D179" s="374">
        <f t="shared" si="9"/>
        <v>0</v>
      </c>
      <c r="E179" s="374"/>
      <c r="K179" t="e">
        <f t="shared" si="10"/>
        <v>#N/A</v>
      </c>
      <c r="L179" s="374">
        <f t="shared" si="11"/>
        <v>0</v>
      </c>
      <c r="M179" s="374"/>
    </row>
    <row r="180" spans="3:13">
      <c r="C180" t="e">
        <f t="shared" si="8"/>
        <v>#N/A</v>
      </c>
      <c r="D180" s="374">
        <f t="shared" si="9"/>
        <v>0</v>
      </c>
      <c r="E180" s="374"/>
      <c r="K180" t="e">
        <f t="shared" si="10"/>
        <v>#N/A</v>
      </c>
      <c r="L180" s="374">
        <f t="shared" si="11"/>
        <v>0</v>
      </c>
      <c r="M180" s="374"/>
    </row>
    <row r="181" spans="3:13">
      <c r="C181" t="e">
        <f t="shared" si="8"/>
        <v>#N/A</v>
      </c>
      <c r="D181" s="374">
        <f t="shared" si="9"/>
        <v>0</v>
      </c>
      <c r="E181" s="374"/>
      <c r="K181" t="e">
        <f t="shared" si="10"/>
        <v>#N/A</v>
      </c>
      <c r="L181" s="374">
        <f t="shared" si="11"/>
        <v>0</v>
      </c>
      <c r="M181" s="374"/>
    </row>
    <row r="182" spans="3:13">
      <c r="C182" t="e">
        <f t="shared" si="8"/>
        <v>#N/A</v>
      </c>
      <c r="D182" s="374">
        <f t="shared" si="9"/>
        <v>0</v>
      </c>
      <c r="E182" s="374"/>
      <c r="K182" t="e">
        <f t="shared" si="10"/>
        <v>#N/A</v>
      </c>
      <c r="L182" s="374">
        <f t="shared" si="11"/>
        <v>0</v>
      </c>
      <c r="M182" s="374"/>
    </row>
    <row r="183" spans="3:13">
      <c r="C183" t="e">
        <f t="shared" si="8"/>
        <v>#N/A</v>
      </c>
      <c r="D183" s="374">
        <f t="shared" si="9"/>
        <v>0</v>
      </c>
      <c r="E183" s="374"/>
      <c r="K183" t="e">
        <f t="shared" si="10"/>
        <v>#N/A</v>
      </c>
      <c r="L183" s="374">
        <f t="shared" si="11"/>
        <v>0</v>
      </c>
      <c r="M183" s="374"/>
    </row>
    <row r="184" spans="3:13">
      <c r="C184" t="e">
        <f t="shared" si="8"/>
        <v>#N/A</v>
      </c>
      <c r="D184" s="374">
        <f t="shared" si="9"/>
        <v>0</v>
      </c>
      <c r="E184" s="374"/>
      <c r="K184" t="e">
        <f t="shared" si="10"/>
        <v>#N/A</v>
      </c>
      <c r="L184" s="374">
        <f t="shared" si="11"/>
        <v>0</v>
      </c>
      <c r="M184" s="374"/>
    </row>
    <row r="185" spans="3:13">
      <c r="C185" t="e">
        <f t="shared" si="8"/>
        <v>#N/A</v>
      </c>
      <c r="D185" s="374">
        <f t="shared" si="9"/>
        <v>0</v>
      </c>
      <c r="E185" s="374"/>
      <c r="K185" t="e">
        <f t="shared" si="10"/>
        <v>#N/A</v>
      </c>
      <c r="L185" s="374">
        <f t="shared" si="11"/>
        <v>0</v>
      </c>
      <c r="M185" s="374"/>
    </row>
    <row r="186" spans="3:13">
      <c r="C186" t="e">
        <f t="shared" si="8"/>
        <v>#N/A</v>
      </c>
      <c r="D186" s="374">
        <f t="shared" si="9"/>
        <v>0</v>
      </c>
      <c r="E186" s="374"/>
      <c r="K186" t="e">
        <f t="shared" si="10"/>
        <v>#N/A</v>
      </c>
      <c r="L186" s="374">
        <f t="shared" si="11"/>
        <v>0</v>
      </c>
      <c r="M186" s="374"/>
    </row>
    <row r="187" spans="3:13">
      <c r="C187" t="e">
        <f t="shared" si="8"/>
        <v>#N/A</v>
      </c>
      <c r="D187" s="374">
        <f t="shared" si="9"/>
        <v>0</v>
      </c>
      <c r="E187" s="374"/>
      <c r="K187" t="e">
        <f t="shared" si="10"/>
        <v>#N/A</v>
      </c>
      <c r="L187" s="374">
        <f t="shared" si="11"/>
        <v>0</v>
      </c>
      <c r="M187" s="374"/>
    </row>
    <row r="188" spans="3:13">
      <c r="C188" t="e">
        <f t="shared" si="8"/>
        <v>#N/A</v>
      </c>
      <c r="D188" s="374">
        <f t="shared" si="9"/>
        <v>0</v>
      </c>
      <c r="E188" s="374"/>
      <c r="K188" t="e">
        <f t="shared" si="10"/>
        <v>#N/A</v>
      </c>
      <c r="L188" s="374">
        <f t="shared" si="11"/>
        <v>0</v>
      </c>
      <c r="M188" s="374"/>
    </row>
    <row r="189" spans="3:13">
      <c r="C189" t="e">
        <f t="shared" si="8"/>
        <v>#N/A</v>
      </c>
      <c r="D189" s="374">
        <f t="shared" si="9"/>
        <v>0</v>
      </c>
      <c r="E189" s="374"/>
      <c r="K189" t="e">
        <f t="shared" si="10"/>
        <v>#N/A</v>
      </c>
      <c r="L189" s="374">
        <f t="shared" si="11"/>
        <v>0</v>
      </c>
      <c r="M189" s="374"/>
    </row>
    <row r="190" spans="3:13">
      <c r="C190" t="e">
        <f t="shared" si="8"/>
        <v>#N/A</v>
      </c>
      <c r="D190" s="374">
        <f t="shared" si="9"/>
        <v>0</v>
      </c>
      <c r="E190" s="374"/>
      <c r="K190" t="e">
        <f t="shared" si="10"/>
        <v>#N/A</v>
      </c>
      <c r="L190" s="374">
        <f t="shared" si="11"/>
        <v>0</v>
      </c>
      <c r="M190" s="374"/>
    </row>
    <row r="191" spans="3:13">
      <c r="C191" t="e">
        <f t="shared" si="8"/>
        <v>#N/A</v>
      </c>
      <c r="D191" s="374">
        <f t="shared" si="9"/>
        <v>0</v>
      </c>
      <c r="E191" s="374"/>
      <c r="K191" t="e">
        <f t="shared" si="10"/>
        <v>#N/A</v>
      </c>
      <c r="L191" s="374">
        <f t="shared" si="11"/>
        <v>0</v>
      </c>
      <c r="M191" s="374"/>
    </row>
    <row r="192" spans="3:13">
      <c r="C192" t="e">
        <f t="shared" si="8"/>
        <v>#N/A</v>
      </c>
      <c r="D192" s="374">
        <f t="shared" si="9"/>
        <v>0</v>
      </c>
      <c r="E192" s="374"/>
      <c r="K192" t="e">
        <f t="shared" si="10"/>
        <v>#N/A</v>
      </c>
      <c r="L192" s="374">
        <f t="shared" si="11"/>
        <v>0</v>
      </c>
      <c r="M192" s="374"/>
    </row>
    <row r="193" spans="3:13">
      <c r="C193" t="e">
        <f t="shared" si="8"/>
        <v>#N/A</v>
      </c>
      <c r="D193" s="374">
        <f t="shared" si="9"/>
        <v>0</v>
      </c>
      <c r="E193" s="374"/>
      <c r="K193" t="e">
        <f t="shared" si="10"/>
        <v>#N/A</v>
      </c>
      <c r="L193" s="374">
        <f t="shared" si="11"/>
        <v>0</v>
      </c>
      <c r="M193" s="374"/>
    </row>
    <row r="194" spans="3:13">
      <c r="C194" t="e">
        <f t="shared" si="8"/>
        <v>#N/A</v>
      </c>
      <c r="D194" s="374">
        <f t="shared" si="9"/>
        <v>0</v>
      </c>
      <c r="E194" s="374"/>
      <c r="K194" t="e">
        <f t="shared" si="10"/>
        <v>#N/A</v>
      </c>
      <c r="L194" s="374">
        <f t="shared" si="11"/>
        <v>0</v>
      </c>
      <c r="M194" s="374"/>
    </row>
    <row r="195" spans="3:13">
      <c r="C195" t="e">
        <f t="shared" si="8"/>
        <v>#N/A</v>
      </c>
      <c r="D195" s="374">
        <f t="shared" si="9"/>
        <v>0</v>
      </c>
      <c r="E195" s="374"/>
      <c r="K195" t="e">
        <f t="shared" si="10"/>
        <v>#N/A</v>
      </c>
      <c r="L195" s="374">
        <f t="shared" si="11"/>
        <v>0</v>
      </c>
      <c r="M195" s="374"/>
    </row>
    <row r="196" spans="3:13">
      <c r="C196" t="e">
        <f t="shared" si="8"/>
        <v>#N/A</v>
      </c>
      <c r="D196" s="374">
        <f t="shared" si="9"/>
        <v>0</v>
      </c>
      <c r="E196" s="374"/>
      <c r="K196" t="e">
        <f t="shared" si="10"/>
        <v>#N/A</v>
      </c>
      <c r="L196" s="374">
        <f t="shared" si="11"/>
        <v>0</v>
      </c>
      <c r="M196" s="374"/>
    </row>
    <row r="197" spans="3:13">
      <c r="C197" t="e">
        <f t="shared" ref="C197:C222" si="12">VLOOKUP(A197,F:G,2,0)</f>
        <v>#N/A</v>
      </c>
      <c r="D197" s="374">
        <f t="shared" ref="D197:D222" si="13">IF(ISERROR(C197),B197,B197+C197)</f>
        <v>0</v>
      </c>
      <c r="E197" s="374"/>
      <c r="K197" t="e">
        <f t="shared" ref="K197:K222" si="14">VLOOKUP(I197,N:O,2,0)</f>
        <v>#N/A</v>
      </c>
      <c r="L197" s="374">
        <f t="shared" ref="L197:L222" si="15">IF(ISERROR(K197),J197,J197+K197)</f>
        <v>0</v>
      </c>
      <c r="M197" s="374"/>
    </row>
    <row r="198" spans="3:13">
      <c r="C198" t="e">
        <f t="shared" si="12"/>
        <v>#N/A</v>
      </c>
      <c r="D198" s="374">
        <f t="shared" si="13"/>
        <v>0</v>
      </c>
      <c r="E198" s="374"/>
      <c r="K198" t="e">
        <f t="shared" si="14"/>
        <v>#N/A</v>
      </c>
      <c r="L198" s="374">
        <f t="shared" si="15"/>
        <v>0</v>
      </c>
      <c r="M198" s="374"/>
    </row>
    <row r="199" spans="3:13">
      <c r="C199" t="e">
        <f t="shared" si="12"/>
        <v>#N/A</v>
      </c>
      <c r="D199" s="374">
        <f t="shared" si="13"/>
        <v>0</v>
      </c>
      <c r="E199" s="374"/>
      <c r="K199" t="e">
        <f t="shared" si="14"/>
        <v>#N/A</v>
      </c>
      <c r="L199" s="374">
        <f t="shared" si="15"/>
        <v>0</v>
      </c>
      <c r="M199" s="374"/>
    </row>
    <row r="200" spans="3:13">
      <c r="C200" t="e">
        <f t="shared" si="12"/>
        <v>#N/A</v>
      </c>
      <c r="D200" s="374">
        <f t="shared" si="13"/>
        <v>0</v>
      </c>
      <c r="E200" s="374"/>
      <c r="K200" t="e">
        <f t="shared" si="14"/>
        <v>#N/A</v>
      </c>
      <c r="L200" s="374">
        <f t="shared" si="15"/>
        <v>0</v>
      </c>
      <c r="M200" s="374"/>
    </row>
    <row r="201" spans="3:13">
      <c r="C201" t="e">
        <f t="shared" si="12"/>
        <v>#N/A</v>
      </c>
      <c r="D201" s="374">
        <f t="shared" si="13"/>
        <v>0</v>
      </c>
      <c r="E201" s="374"/>
      <c r="K201" t="e">
        <f t="shared" si="14"/>
        <v>#N/A</v>
      </c>
      <c r="L201" s="374">
        <f t="shared" si="15"/>
        <v>0</v>
      </c>
      <c r="M201" s="374"/>
    </row>
    <row r="202" spans="3:13">
      <c r="C202" t="e">
        <f t="shared" si="12"/>
        <v>#N/A</v>
      </c>
      <c r="D202" s="374">
        <f t="shared" si="13"/>
        <v>0</v>
      </c>
      <c r="E202" s="374"/>
      <c r="K202" t="e">
        <f t="shared" si="14"/>
        <v>#N/A</v>
      </c>
      <c r="L202" s="374">
        <f t="shared" si="15"/>
        <v>0</v>
      </c>
      <c r="M202" s="374"/>
    </row>
    <row r="203" spans="3:13">
      <c r="C203" t="e">
        <f t="shared" si="12"/>
        <v>#N/A</v>
      </c>
      <c r="D203" s="374">
        <f t="shared" si="13"/>
        <v>0</v>
      </c>
      <c r="E203" s="374"/>
      <c r="K203" t="e">
        <f t="shared" si="14"/>
        <v>#N/A</v>
      </c>
      <c r="L203" s="374">
        <f t="shared" si="15"/>
        <v>0</v>
      </c>
      <c r="M203" s="374"/>
    </row>
    <row r="204" spans="3:13">
      <c r="C204" t="e">
        <f t="shared" si="12"/>
        <v>#N/A</v>
      </c>
      <c r="D204" s="374">
        <f t="shared" si="13"/>
        <v>0</v>
      </c>
      <c r="E204" s="374"/>
      <c r="K204" t="e">
        <f t="shared" si="14"/>
        <v>#N/A</v>
      </c>
      <c r="L204" s="374">
        <f t="shared" si="15"/>
        <v>0</v>
      </c>
      <c r="M204" s="374"/>
    </row>
    <row r="205" spans="3:13">
      <c r="C205" t="e">
        <f t="shared" si="12"/>
        <v>#N/A</v>
      </c>
      <c r="D205" s="374">
        <f t="shared" si="13"/>
        <v>0</v>
      </c>
      <c r="E205" s="374"/>
      <c r="K205" t="e">
        <f t="shared" si="14"/>
        <v>#N/A</v>
      </c>
      <c r="L205" s="374">
        <f t="shared" si="15"/>
        <v>0</v>
      </c>
      <c r="M205" s="374"/>
    </row>
    <row r="206" spans="3:13">
      <c r="C206" t="e">
        <f t="shared" si="12"/>
        <v>#N/A</v>
      </c>
      <c r="D206" s="374">
        <f t="shared" si="13"/>
        <v>0</v>
      </c>
      <c r="E206" s="374"/>
      <c r="K206" t="e">
        <f t="shared" si="14"/>
        <v>#N/A</v>
      </c>
      <c r="L206" s="374">
        <f t="shared" si="15"/>
        <v>0</v>
      </c>
      <c r="M206" s="374"/>
    </row>
    <row r="207" spans="3:13">
      <c r="C207" t="e">
        <f t="shared" si="12"/>
        <v>#N/A</v>
      </c>
      <c r="D207" s="374">
        <f t="shared" si="13"/>
        <v>0</v>
      </c>
      <c r="E207" s="374"/>
      <c r="K207" t="e">
        <f t="shared" si="14"/>
        <v>#N/A</v>
      </c>
      <c r="L207" s="374">
        <f t="shared" si="15"/>
        <v>0</v>
      </c>
      <c r="M207" s="374"/>
    </row>
    <row r="208" spans="3:13">
      <c r="C208" t="e">
        <f t="shared" si="12"/>
        <v>#N/A</v>
      </c>
      <c r="D208" s="374">
        <f t="shared" si="13"/>
        <v>0</v>
      </c>
      <c r="E208" s="374"/>
      <c r="K208" t="e">
        <f t="shared" si="14"/>
        <v>#N/A</v>
      </c>
      <c r="L208" s="374">
        <f t="shared" si="15"/>
        <v>0</v>
      </c>
      <c r="M208" s="374"/>
    </row>
    <row r="209" spans="3:13">
      <c r="C209" t="e">
        <f t="shared" si="12"/>
        <v>#N/A</v>
      </c>
      <c r="D209" s="374">
        <f t="shared" si="13"/>
        <v>0</v>
      </c>
      <c r="E209" s="374"/>
      <c r="K209" t="e">
        <f t="shared" si="14"/>
        <v>#N/A</v>
      </c>
      <c r="L209" s="374">
        <f t="shared" si="15"/>
        <v>0</v>
      </c>
      <c r="M209" s="374"/>
    </row>
    <row r="210" spans="3:13">
      <c r="C210" t="e">
        <f t="shared" si="12"/>
        <v>#N/A</v>
      </c>
      <c r="D210" s="374">
        <f t="shared" si="13"/>
        <v>0</v>
      </c>
      <c r="E210" s="374"/>
      <c r="K210" t="e">
        <f t="shared" si="14"/>
        <v>#N/A</v>
      </c>
      <c r="L210" s="374">
        <f t="shared" si="15"/>
        <v>0</v>
      </c>
      <c r="M210" s="374"/>
    </row>
    <row r="211" spans="3:13">
      <c r="C211" t="e">
        <f t="shared" si="12"/>
        <v>#N/A</v>
      </c>
      <c r="D211" s="374">
        <f t="shared" si="13"/>
        <v>0</v>
      </c>
      <c r="E211" s="374"/>
      <c r="K211" t="e">
        <f t="shared" si="14"/>
        <v>#N/A</v>
      </c>
      <c r="L211" s="374">
        <f t="shared" si="15"/>
        <v>0</v>
      </c>
      <c r="M211" s="374"/>
    </row>
    <row r="212" spans="3:13">
      <c r="C212" t="e">
        <f t="shared" si="12"/>
        <v>#N/A</v>
      </c>
      <c r="D212" s="374">
        <f t="shared" si="13"/>
        <v>0</v>
      </c>
      <c r="E212" s="374"/>
      <c r="K212" t="e">
        <f t="shared" si="14"/>
        <v>#N/A</v>
      </c>
      <c r="L212" s="374">
        <f t="shared" si="15"/>
        <v>0</v>
      </c>
      <c r="M212" s="374"/>
    </row>
    <row r="213" spans="3:13">
      <c r="C213" t="e">
        <f t="shared" si="12"/>
        <v>#N/A</v>
      </c>
      <c r="D213" s="374">
        <f t="shared" si="13"/>
        <v>0</v>
      </c>
      <c r="E213" s="374"/>
      <c r="K213" t="e">
        <f t="shared" si="14"/>
        <v>#N/A</v>
      </c>
      <c r="L213" s="374">
        <f t="shared" si="15"/>
        <v>0</v>
      </c>
      <c r="M213" s="374"/>
    </row>
    <row r="214" spans="3:13">
      <c r="C214" t="e">
        <f t="shared" si="12"/>
        <v>#N/A</v>
      </c>
      <c r="D214" s="374">
        <f t="shared" si="13"/>
        <v>0</v>
      </c>
      <c r="E214" s="374"/>
      <c r="K214" t="e">
        <f t="shared" si="14"/>
        <v>#N/A</v>
      </c>
      <c r="L214" s="374">
        <f t="shared" si="15"/>
        <v>0</v>
      </c>
      <c r="M214" s="374"/>
    </row>
    <row r="215" spans="3:13">
      <c r="C215" t="e">
        <f t="shared" si="12"/>
        <v>#N/A</v>
      </c>
      <c r="D215" s="374">
        <f t="shared" si="13"/>
        <v>0</v>
      </c>
      <c r="E215" s="374"/>
      <c r="K215" t="e">
        <f t="shared" si="14"/>
        <v>#N/A</v>
      </c>
      <c r="L215" s="374">
        <f t="shared" si="15"/>
        <v>0</v>
      </c>
      <c r="M215" s="374"/>
    </row>
    <row r="216" spans="3:13">
      <c r="C216" t="e">
        <f t="shared" si="12"/>
        <v>#N/A</v>
      </c>
      <c r="D216" s="374">
        <f t="shared" si="13"/>
        <v>0</v>
      </c>
      <c r="E216" s="374"/>
      <c r="K216" t="e">
        <f t="shared" si="14"/>
        <v>#N/A</v>
      </c>
      <c r="L216" s="374">
        <f t="shared" si="15"/>
        <v>0</v>
      </c>
      <c r="M216" s="374"/>
    </row>
    <row r="217" spans="3:13">
      <c r="C217" t="e">
        <f t="shared" si="12"/>
        <v>#N/A</v>
      </c>
      <c r="D217" s="374">
        <f t="shared" si="13"/>
        <v>0</v>
      </c>
      <c r="E217" s="374"/>
      <c r="K217" t="e">
        <f t="shared" si="14"/>
        <v>#N/A</v>
      </c>
      <c r="L217" s="374">
        <f t="shared" si="15"/>
        <v>0</v>
      </c>
      <c r="M217" s="374"/>
    </row>
    <row r="218" spans="3:13">
      <c r="C218" t="e">
        <f t="shared" si="12"/>
        <v>#N/A</v>
      </c>
      <c r="D218" s="374">
        <f t="shared" si="13"/>
        <v>0</v>
      </c>
      <c r="E218" s="374"/>
      <c r="K218" t="e">
        <f t="shared" si="14"/>
        <v>#N/A</v>
      </c>
      <c r="L218" s="374">
        <f t="shared" si="15"/>
        <v>0</v>
      </c>
      <c r="M218" s="374"/>
    </row>
    <row r="219" spans="3:13">
      <c r="C219" t="e">
        <f t="shared" si="12"/>
        <v>#N/A</v>
      </c>
      <c r="D219" s="374">
        <f t="shared" si="13"/>
        <v>0</v>
      </c>
      <c r="E219" s="374"/>
      <c r="K219" t="e">
        <f t="shared" si="14"/>
        <v>#N/A</v>
      </c>
      <c r="L219" s="374">
        <f t="shared" si="15"/>
        <v>0</v>
      </c>
      <c r="M219" s="374"/>
    </row>
    <row r="220" spans="3:13">
      <c r="C220" t="e">
        <f t="shared" si="12"/>
        <v>#N/A</v>
      </c>
      <c r="D220" s="374">
        <f t="shared" si="13"/>
        <v>0</v>
      </c>
      <c r="E220" s="374"/>
      <c r="K220" t="e">
        <f t="shared" si="14"/>
        <v>#N/A</v>
      </c>
      <c r="L220" s="374">
        <f t="shared" si="15"/>
        <v>0</v>
      </c>
      <c r="M220" s="374"/>
    </row>
    <row r="221" spans="3:13">
      <c r="C221" t="e">
        <f t="shared" si="12"/>
        <v>#N/A</v>
      </c>
      <c r="D221" s="374">
        <f t="shared" si="13"/>
        <v>0</v>
      </c>
      <c r="E221" s="374"/>
      <c r="K221" t="e">
        <f t="shared" si="14"/>
        <v>#N/A</v>
      </c>
      <c r="L221" s="374">
        <f t="shared" si="15"/>
        <v>0</v>
      </c>
      <c r="M221" s="374"/>
    </row>
    <row r="222" spans="3:13">
      <c r="C222" t="e">
        <f t="shared" si="12"/>
        <v>#N/A</v>
      </c>
      <c r="D222" s="374">
        <f t="shared" si="13"/>
        <v>0</v>
      </c>
      <c r="E222" s="374"/>
      <c r="K222" t="e">
        <f t="shared" si="14"/>
        <v>#N/A</v>
      </c>
      <c r="L222" s="374">
        <f t="shared" si="15"/>
        <v>0</v>
      </c>
      <c r="M222" s="374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1C12-152D-4B0D-A083-AAE996FC6B37}">
  <sheetPr>
    <pageSetUpPr fitToPage="1"/>
  </sheetPr>
  <dimension ref="A1:V982"/>
  <sheetViews>
    <sheetView tabSelected="1" topLeftCell="A946" zoomScaleNormal="100" workbookViewId="0">
      <selection activeCell="I11" sqref="I11"/>
    </sheetView>
  </sheetViews>
  <sheetFormatPr defaultRowHeight="12.45" customHeight="1"/>
  <cols>
    <col min="1" max="1" width="4.21875" style="159" customWidth="1"/>
    <col min="2" max="2" width="4.88671875" style="159" customWidth="1"/>
    <col min="3" max="3" width="6.44140625" style="159" customWidth="1"/>
    <col min="4" max="4" width="9.109375" style="24" customWidth="1"/>
    <col min="5" max="6" width="12.44140625" style="18" customWidth="1"/>
    <col min="7" max="7" width="14" style="24" customWidth="1"/>
    <col min="8" max="8" width="26.21875" style="18" customWidth="1"/>
    <col min="9" max="9" width="40.21875" style="18" customWidth="1"/>
    <col min="10" max="10" width="17.44140625" style="22" bestFit="1" customWidth="1"/>
    <col min="11" max="11" width="13.44140625" style="19" customWidth="1"/>
    <col min="12" max="12" width="7.88671875" style="160" customWidth="1"/>
    <col min="13" max="13" width="6.88671875" style="24" customWidth="1"/>
    <col min="14" max="14" width="12" style="161" customWidth="1"/>
    <col min="15" max="15" width="13" style="161" customWidth="1"/>
    <col min="16" max="16" width="11.77734375" style="161" customWidth="1"/>
    <col min="17" max="17" width="13.88671875" style="162" customWidth="1"/>
    <col min="18" max="18" width="27.44140625" style="24" customWidth="1"/>
    <col min="19" max="19" width="20" style="163" customWidth="1"/>
    <col min="20" max="20" width="18.88671875" style="24" bestFit="1" customWidth="1"/>
    <col min="21" max="21" width="97.21875" bestFit="1" customWidth="1"/>
    <col min="22" max="22" width="15" style="164" customWidth="1"/>
  </cols>
  <sheetData>
    <row r="1" spans="1:22" s="131" customFormat="1" ht="12.45" customHeight="1">
      <c r="A1" s="129" t="s">
        <v>634</v>
      </c>
      <c r="B1" s="129" t="s">
        <v>635</v>
      </c>
      <c r="C1" s="129" t="s">
        <v>636</v>
      </c>
      <c r="D1" s="130" t="s">
        <v>637</v>
      </c>
      <c r="E1" s="130" t="s">
        <v>638</v>
      </c>
      <c r="F1" s="130" t="s">
        <v>639</v>
      </c>
      <c r="G1" s="130" t="s">
        <v>640</v>
      </c>
      <c r="H1" s="130" t="s">
        <v>336</v>
      </c>
      <c r="I1" s="130" t="s">
        <v>335</v>
      </c>
      <c r="J1" s="130" t="s">
        <v>641</v>
      </c>
      <c r="K1" s="130" t="s">
        <v>642</v>
      </c>
      <c r="L1" s="130" t="s">
        <v>643</v>
      </c>
      <c r="M1" s="130" t="s">
        <v>644</v>
      </c>
      <c r="N1" s="130" t="s">
        <v>645</v>
      </c>
      <c r="O1" s="130" t="s">
        <v>646</v>
      </c>
      <c r="P1" s="130" t="s">
        <v>647</v>
      </c>
      <c r="Q1" s="130" t="s">
        <v>648</v>
      </c>
      <c r="R1" s="130" t="s">
        <v>649</v>
      </c>
      <c r="S1" s="130" t="s">
        <v>650</v>
      </c>
      <c r="T1" s="130" t="s">
        <v>651</v>
      </c>
      <c r="U1" s="130" t="s">
        <v>297</v>
      </c>
      <c r="V1" s="140" t="s">
        <v>652</v>
      </c>
    </row>
    <row r="2" spans="1:22" ht="12.45" customHeight="1">
      <c r="A2" s="132">
        <v>576</v>
      </c>
      <c r="B2" s="132">
        <v>0</v>
      </c>
      <c r="C2" s="132" t="str">
        <f>Table1[[#This Row],[inventory_id_head]]&amp;"-"&amp;Table1[[#This Row],[inventory_id_tail]]</f>
        <v>576-0</v>
      </c>
      <c r="D2" s="133" t="s">
        <v>653</v>
      </c>
      <c r="E2" s="133" t="s">
        <v>654</v>
      </c>
      <c r="F2" s="133" t="s">
        <v>655</v>
      </c>
      <c r="G2" s="133" t="str">
        <f t="shared" ref="G2:G16" si="0">E2&amp;F2</f>
        <v>T118EXNA</v>
      </c>
      <c r="H2" s="133" t="s">
        <v>409</v>
      </c>
      <c r="I2" s="133"/>
      <c r="J2" s="133" t="s">
        <v>656</v>
      </c>
      <c r="K2" s="134">
        <v>45642</v>
      </c>
      <c r="L2" s="135">
        <v>626</v>
      </c>
      <c r="M2" s="133" t="s">
        <v>644</v>
      </c>
      <c r="N2" s="136">
        <v>0.5</v>
      </c>
      <c r="O2" s="136">
        <v>0</v>
      </c>
      <c r="P2" s="136">
        <v>0</v>
      </c>
      <c r="Q2" s="137">
        <f t="shared" ref="Q2:Q33" si="1">L2*N2</f>
        <v>313</v>
      </c>
      <c r="R2" s="133"/>
      <c r="S2" s="138">
        <v>45293.571527777778</v>
      </c>
      <c r="T2" s="133" t="s">
        <v>657</v>
      </c>
      <c r="U2" s="139" t="str">
        <f t="shared" ref="U2:U65" si="2">I2&amp;"_"&amp;H2</f>
        <v>_extract_inhaled_packaged</v>
      </c>
      <c r="V2" s="140" t="str">
        <f>IF(U2="_","",_xlfn.XLOOKUP(U2,internal_cansku_inventory!D:D,internal_cansku_inventory!E:E,"",0,1))</f>
        <v/>
      </c>
    </row>
    <row r="3" spans="1:22" ht="12.45" customHeight="1">
      <c r="A3" s="132">
        <v>577</v>
      </c>
      <c r="B3" s="132">
        <v>0</v>
      </c>
      <c r="C3" s="132" t="str">
        <f>Table1[[#This Row],[inventory_id_head]]&amp;"-"&amp;Table1[[#This Row],[inventory_id_tail]]</f>
        <v>577-0</v>
      </c>
      <c r="D3" s="133" t="s">
        <v>653</v>
      </c>
      <c r="E3" s="133" t="s">
        <v>658</v>
      </c>
      <c r="F3" s="133" t="s">
        <v>655</v>
      </c>
      <c r="G3" s="133" t="str">
        <f t="shared" si="0"/>
        <v>T013TPNA</v>
      </c>
      <c r="H3" s="133" t="s">
        <v>303</v>
      </c>
      <c r="I3" s="133"/>
      <c r="J3" s="133" t="s">
        <v>659</v>
      </c>
      <c r="K3" s="134">
        <v>45638</v>
      </c>
      <c r="L3" s="135">
        <v>300</v>
      </c>
      <c r="M3" s="133" t="s">
        <v>644</v>
      </c>
      <c r="N3" s="136">
        <v>45</v>
      </c>
      <c r="O3" s="136">
        <v>0</v>
      </c>
      <c r="P3" s="136">
        <v>0</v>
      </c>
      <c r="Q3" s="137">
        <f t="shared" si="1"/>
        <v>13500</v>
      </c>
      <c r="R3" s="133"/>
      <c r="S3" s="138">
        <v>45293.571527777778</v>
      </c>
      <c r="T3" s="133" t="s">
        <v>657</v>
      </c>
      <c r="U3" s="139" t="str">
        <f t="shared" si="2"/>
        <v>_topical_labelled</v>
      </c>
      <c r="V3" s="140" t="str">
        <f>IF(U3="_","",_xlfn.XLOOKUP(U3,internal_cansku_inventory!D:D,internal_cansku_inventory!E:E,"",0,1))</f>
        <v/>
      </c>
    </row>
    <row r="4" spans="1:22" ht="12.45" customHeight="1">
      <c r="A4" s="132">
        <v>578</v>
      </c>
      <c r="B4" s="132">
        <v>0</v>
      </c>
      <c r="C4" s="132" t="str">
        <f>Table1[[#This Row],[inventory_id_head]]&amp;"-"&amp;Table1[[#This Row],[inventory_id_tail]]</f>
        <v>578-0</v>
      </c>
      <c r="D4" s="133" t="s">
        <v>653</v>
      </c>
      <c r="E4" s="133" t="s">
        <v>660</v>
      </c>
      <c r="F4" s="133" t="s">
        <v>655</v>
      </c>
      <c r="G4" s="133" t="str">
        <f t="shared" si="0"/>
        <v>T014TPNA</v>
      </c>
      <c r="H4" s="133" t="s">
        <v>303</v>
      </c>
      <c r="I4" s="133"/>
      <c r="J4" s="133" t="s">
        <v>659</v>
      </c>
      <c r="K4" s="134">
        <v>45638</v>
      </c>
      <c r="L4" s="135">
        <v>300</v>
      </c>
      <c r="M4" s="133" t="s">
        <v>644</v>
      </c>
      <c r="N4" s="136">
        <v>45</v>
      </c>
      <c r="O4" s="136">
        <v>0</v>
      </c>
      <c r="P4" s="136">
        <v>0</v>
      </c>
      <c r="Q4" s="137">
        <f t="shared" si="1"/>
        <v>13500</v>
      </c>
      <c r="R4" s="133"/>
      <c r="S4" s="138">
        <v>45293.571527777778</v>
      </c>
      <c r="T4" s="133" t="s">
        <v>657</v>
      </c>
      <c r="U4" s="139" t="str">
        <f t="shared" si="2"/>
        <v>_topical_labelled</v>
      </c>
      <c r="V4" s="140" t="str">
        <f>IF(U4="_","",_xlfn.XLOOKUP(U4,internal_cansku_inventory!D:D,internal_cansku_inventory!E:E,"",0,1))</f>
        <v/>
      </c>
    </row>
    <row r="5" spans="1:22" ht="12.45" customHeight="1">
      <c r="A5" s="132">
        <v>579</v>
      </c>
      <c r="B5" s="132">
        <v>0</v>
      </c>
      <c r="C5" s="132" t="str">
        <f>Table1[[#This Row],[inventory_id_head]]&amp;"-"&amp;Table1[[#This Row],[inventory_id_tail]]</f>
        <v>579-0</v>
      </c>
      <c r="D5" s="133" t="s">
        <v>653</v>
      </c>
      <c r="E5" s="133" t="s">
        <v>661</v>
      </c>
      <c r="F5" s="133" t="s">
        <v>655</v>
      </c>
      <c r="G5" s="133" t="str">
        <f t="shared" si="0"/>
        <v>P012TPNA</v>
      </c>
      <c r="H5" s="133" t="s">
        <v>404</v>
      </c>
      <c r="I5" s="133"/>
      <c r="J5" s="133" t="s">
        <v>662</v>
      </c>
      <c r="K5" s="134" t="s">
        <v>55</v>
      </c>
      <c r="L5" s="135">
        <v>1</v>
      </c>
      <c r="M5" s="133" t="s">
        <v>663</v>
      </c>
      <c r="N5" s="136">
        <f>Table1[[#This Row],[gross_weight]]-Table1[[#This Row],[tare_weight]]</f>
        <v>23062</v>
      </c>
      <c r="O5" s="136">
        <v>24830</v>
      </c>
      <c r="P5" s="136">
        <f>24830-23062</f>
        <v>1768</v>
      </c>
      <c r="Q5" s="137">
        <f t="shared" si="1"/>
        <v>23062</v>
      </c>
      <c r="R5" s="133"/>
      <c r="S5" s="138">
        <v>45293.571527777778</v>
      </c>
      <c r="T5" s="133" t="s">
        <v>664</v>
      </c>
      <c r="U5" s="139" t="str">
        <f t="shared" si="2"/>
        <v>_topical_bulk</v>
      </c>
      <c r="V5" s="140" t="str">
        <f>IF(U5="_","",_xlfn.XLOOKUP(U5,internal_cansku_inventory!D:D,internal_cansku_inventory!E:E,"",0,1))</f>
        <v/>
      </c>
    </row>
    <row r="6" spans="1:22" ht="12.45" customHeight="1">
      <c r="A6" s="132">
        <v>580</v>
      </c>
      <c r="B6" s="132">
        <v>0</v>
      </c>
      <c r="C6" s="132" t="str">
        <f>Table1[[#This Row],[inventory_id_head]]&amp;"-"&amp;Table1[[#This Row],[inventory_id_tail]]</f>
        <v>580-0</v>
      </c>
      <c r="D6" s="133" t="s">
        <v>653</v>
      </c>
      <c r="E6" s="133" t="s">
        <v>665</v>
      </c>
      <c r="F6" s="133" t="s">
        <v>655</v>
      </c>
      <c r="G6" s="133" t="str">
        <f t="shared" si="0"/>
        <v>P013TPNA</v>
      </c>
      <c r="H6" s="133" t="s">
        <v>404</v>
      </c>
      <c r="I6" s="133"/>
      <c r="J6" s="133" t="s">
        <v>662</v>
      </c>
      <c r="K6" s="134" t="s">
        <v>55</v>
      </c>
      <c r="L6" s="135">
        <v>1</v>
      </c>
      <c r="M6" s="133" t="s">
        <v>663</v>
      </c>
      <c r="N6" s="136">
        <f>Table1[[#This Row],[gross_weight]]-Table1[[#This Row],[tare_weight]]</f>
        <v>5192</v>
      </c>
      <c r="O6" s="136">
        <v>7130</v>
      </c>
      <c r="P6" s="136">
        <f>7130-5192</f>
        <v>1938</v>
      </c>
      <c r="Q6" s="137">
        <f t="shared" si="1"/>
        <v>5192</v>
      </c>
      <c r="R6" s="133"/>
      <c r="S6" s="138">
        <v>45293.571527777778</v>
      </c>
      <c r="T6" s="133" t="s">
        <v>664</v>
      </c>
      <c r="U6" s="139" t="str">
        <f t="shared" si="2"/>
        <v>_topical_bulk</v>
      </c>
      <c r="V6" s="140" t="str">
        <f>IF(U6="_","",_xlfn.XLOOKUP(U6,internal_cansku_inventory!D:D,internal_cansku_inventory!E:E,"",0,1))</f>
        <v/>
      </c>
    </row>
    <row r="7" spans="1:22" ht="12.45" customHeight="1">
      <c r="A7" s="132">
        <v>581</v>
      </c>
      <c r="B7" s="132">
        <v>0</v>
      </c>
      <c r="C7" s="132" t="str">
        <f>Table1[[#This Row],[inventory_id_head]]&amp;"-"&amp;Table1[[#This Row],[inventory_id_tail]]</f>
        <v>581-0</v>
      </c>
      <c r="D7" s="133" t="s">
        <v>653</v>
      </c>
      <c r="E7" s="133" t="s">
        <v>666</v>
      </c>
      <c r="F7" s="133" t="s">
        <v>655</v>
      </c>
      <c r="G7" s="133" t="str">
        <f t="shared" si="0"/>
        <v>P014TPNA</v>
      </c>
      <c r="H7" s="133" t="s">
        <v>404</v>
      </c>
      <c r="I7" s="133"/>
      <c r="J7" s="133" t="s">
        <v>662</v>
      </c>
      <c r="K7" s="134" t="s">
        <v>55</v>
      </c>
      <c r="L7" s="135">
        <v>1</v>
      </c>
      <c r="M7" s="133" t="s">
        <v>663</v>
      </c>
      <c r="N7" s="136">
        <f>Table1[[#This Row],[gross_weight]]-Table1[[#This Row],[tare_weight]]</f>
        <v>22994</v>
      </c>
      <c r="O7" s="136">
        <v>24750</v>
      </c>
      <c r="P7" s="136">
        <f>24750-22994</f>
        <v>1756</v>
      </c>
      <c r="Q7" s="137">
        <f t="shared" si="1"/>
        <v>22994</v>
      </c>
      <c r="R7" s="133"/>
      <c r="S7" s="138">
        <v>45293.571527777778</v>
      </c>
      <c r="T7" s="133" t="s">
        <v>664</v>
      </c>
      <c r="U7" s="139" t="str">
        <f t="shared" si="2"/>
        <v>_topical_bulk</v>
      </c>
      <c r="V7" s="140" t="str">
        <f>IF(U7="_","",_xlfn.XLOOKUP(U7,internal_cansku_inventory!D:D,internal_cansku_inventory!E:E,"",0,1))</f>
        <v/>
      </c>
    </row>
    <row r="8" spans="1:22" ht="12.45" customHeight="1">
      <c r="A8" s="132">
        <v>582</v>
      </c>
      <c r="B8" s="132">
        <v>0</v>
      </c>
      <c r="C8" s="132" t="str">
        <f>Table1[[#This Row],[inventory_id_head]]&amp;"-"&amp;Table1[[#This Row],[inventory_id_tail]]</f>
        <v>582-0</v>
      </c>
      <c r="D8" s="133" t="s">
        <v>653</v>
      </c>
      <c r="E8" s="133" t="s">
        <v>667</v>
      </c>
      <c r="F8" s="133" t="s">
        <v>655</v>
      </c>
      <c r="G8" s="133" t="str">
        <f t="shared" si="0"/>
        <v>P015TPNA</v>
      </c>
      <c r="H8" s="133" t="s">
        <v>404</v>
      </c>
      <c r="I8" s="133"/>
      <c r="J8" s="133" t="s">
        <v>662</v>
      </c>
      <c r="K8" s="134" t="s">
        <v>55</v>
      </c>
      <c r="L8" s="135">
        <v>1</v>
      </c>
      <c r="M8" s="133" t="s">
        <v>663</v>
      </c>
      <c r="N8" s="136">
        <f>Table1[[#This Row],[gross_weight]]-Table1[[#This Row],[tare_weight]]</f>
        <v>1756</v>
      </c>
      <c r="O8" s="136">
        <v>26400</v>
      </c>
      <c r="P8" s="136">
        <v>24644</v>
      </c>
      <c r="Q8" s="137">
        <f t="shared" si="1"/>
        <v>1756</v>
      </c>
      <c r="R8" s="133"/>
      <c r="S8" s="138">
        <v>45293.571527777778</v>
      </c>
      <c r="T8" s="133" t="s">
        <v>664</v>
      </c>
      <c r="U8" s="139" t="str">
        <f t="shared" si="2"/>
        <v>_topical_bulk</v>
      </c>
      <c r="V8" s="140" t="str">
        <f>IF(U8="_","",_xlfn.XLOOKUP(U8,internal_cansku_inventory!D:D,internal_cansku_inventory!E:E,"",0,1))</f>
        <v/>
      </c>
    </row>
    <row r="9" spans="1:22" ht="12.45" customHeight="1">
      <c r="A9" s="132">
        <v>583</v>
      </c>
      <c r="B9" s="132">
        <v>0</v>
      </c>
      <c r="C9" s="132" t="str">
        <f>Table1[[#This Row],[inventory_id_head]]&amp;"-"&amp;Table1[[#This Row],[inventory_id_tail]]</f>
        <v>583-0</v>
      </c>
      <c r="D9" s="133" t="s">
        <v>653</v>
      </c>
      <c r="E9" s="133" t="s">
        <v>668</v>
      </c>
      <c r="F9" s="133" t="s">
        <v>655</v>
      </c>
      <c r="G9" s="133" t="str">
        <f t="shared" si="0"/>
        <v>P016TPNA</v>
      </c>
      <c r="H9" s="133" t="s">
        <v>404</v>
      </c>
      <c r="I9" s="133"/>
      <c r="J9" s="133" t="s">
        <v>662</v>
      </c>
      <c r="K9" s="134" t="s">
        <v>55</v>
      </c>
      <c r="L9" s="135">
        <v>1</v>
      </c>
      <c r="M9" s="133" t="s">
        <v>663</v>
      </c>
      <c r="N9" s="136">
        <f>Table1[[#This Row],[gross_weight]]-Table1[[#This Row],[tare_weight]]</f>
        <v>1754</v>
      </c>
      <c r="O9" s="136">
        <v>26055</v>
      </c>
      <c r="P9" s="136">
        <v>24301</v>
      </c>
      <c r="Q9" s="137">
        <f t="shared" si="1"/>
        <v>1754</v>
      </c>
      <c r="R9" s="133"/>
      <c r="S9" s="138">
        <v>45293.571527777778</v>
      </c>
      <c r="T9" s="133" t="s">
        <v>664</v>
      </c>
      <c r="U9" s="139" t="str">
        <f t="shared" si="2"/>
        <v>_topical_bulk</v>
      </c>
      <c r="V9" s="140" t="str">
        <f>IF(U9="_","",_xlfn.XLOOKUP(U9,internal_cansku_inventory!D:D,internal_cansku_inventory!E:E,"",0,1))</f>
        <v/>
      </c>
    </row>
    <row r="10" spans="1:22" ht="12.45" customHeight="1">
      <c r="A10" s="132">
        <v>585</v>
      </c>
      <c r="B10" s="132">
        <v>0</v>
      </c>
      <c r="C10" s="132" t="str">
        <f>Table1[[#This Row],[inventory_id_head]]&amp;"-"&amp;Table1[[#This Row],[inventory_id_tail]]</f>
        <v>585-0</v>
      </c>
      <c r="D10" s="133" t="s">
        <v>653</v>
      </c>
      <c r="E10" s="133" t="s">
        <v>669</v>
      </c>
      <c r="F10" s="133" t="s">
        <v>655</v>
      </c>
      <c r="G10" s="133" t="str">
        <f t="shared" si="0"/>
        <v>T015TPNA</v>
      </c>
      <c r="H10" s="133" t="s">
        <v>303</v>
      </c>
      <c r="I10" s="133"/>
      <c r="J10" s="133" t="s">
        <v>659</v>
      </c>
      <c r="K10" s="134">
        <v>45638</v>
      </c>
      <c r="L10" s="135">
        <v>300</v>
      </c>
      <c r="M10" s="133" t="s">
        <v>644</v>
      </c>
      <c r="N10" s="136">
        <v>45</v>
      </c>
      <c r="O10" s="136">
        <v>0</v>
      </c>
      <c r="P10" s="136">
        <v>0</v>
      </c>
      <c r="Q10" s="137">
        <f t="shared" si="1"/>
        <v>13500</v>
      </c>
      <c r="R10" s="133"/>
      <c r="S10" s="138">
        <v>45293.664583333331</v>
      </c>
      <c r="T10" s="133" t="s">
        <v>670</v>
      </c>
      <c r="U10" s="139" t="str">
        <f t="shared" si="2"/>
        <v>_topical_labelled</v>
      </c>
      <c r="V10" s="140" t="str">
        <f>IF(U10="_","",_xlfn.XLOOKUP(U10,internal_cansku_inventory!D:D,internal_cansku_inventory!E:E,"",0,1))</f>
        <v/>
      </c>
    </row>
    <row r="11" spans="1:22" ht="12.45" customHeight="1">
      <c r="A11" s="132">
        <v>586</v>
      </c>
      <c r="B11" s="132">
        <v>0</v>
      </c>
      <c r="C11" s="132" t="str">
        <f>Table1[[#This Row],[inventory_id_head]]&amp;"-"&amp;Table1[[#This Row],[inventory_id_tail]]</f>
        <v>586-0</v>
      </c>
      <c r="D11" s="133" t="s">
        <v>653</v>
      </c>
      <c r="E11" s="133" t="s">
        <v>671</v>
      </c>
      <c r="F11" s="133" t="s">
        <v>655</v>
      </c>
      <c r="G11" s="133" t="str">
        <f t="shared" si="0"/>
        <v>T016TPNA</v>
      </c>
      <c r="H11" s="133" t="s">
        <v>303</v>
      </c>
      <c r="I11" s="133"/>
      <c r="J11" s="133" t="s">
        <v>659</v>
      </c>
      <c r="K11" s="134">
        <v>45638</v>
      </c>
      <c r="L11" s="135">
        <v>138</v>
      </c>
      <c r="M11" s="133" t="s">
        <v>644</v>
      </c>
      <c r="N11" s="136">
        <v>45</v>
      </c>
      <c r="O11" s="136">
        <v>0</v>
      </c>
      <c r="P11" s="136">
        <v>0</v>
      </c>
      <c r="Q11" s="137">
        <f t="shared" si="1"/>
        <v>6210</v>
      </c>
      <c r="R11" s="133"/>
      <c r="S11" s="138">
        <v>45293.664583333331</v>
      </c>
      <c r="T11" s="133" t="s">
        <v>670</v>
      </c>
      <c r="U11" s="139" t="str">
        <f t="shared" si="2"/>
        <v>_topical_labelled</v>
      </c>
      <c r="V11" s="140" t="str">
        <f>IF(U11="_","",_xlfn.XLOOKUP(U11,internal_cansku_inventory!D:D,internal_cansku_inventory!E:E,"",0,1))</f>
        <v/>
      </c>
    </row>
    <row r="12" spans="1:22" ht="12.45" customHeight="1">
      <c r="A12" s="132">
        <v>587</v>
      </c>
      <c r="B12" s="132">
        <v>0</v>
      </c>
      <c r="C12" s="132" t="str">
        <f>Table1[[#This Row],[inventory_id_head]]&amp;"-"&amp;Table1[[#This Row],[inventory_id_tail]]</f>
        <v>587-0</v>
      </c>
      <c r="D12" s="133" t="s">
        <v>653</v>
      </c>
      <c r="E12" s="133" t="s">
        <v>672</v>
      </c>
      <c r="F12" s="133" t="s">
        <v>655</v>
      </c>
      <c r="G12" s="133" t="str">
        <f t="shared" si="0"/>
        <v>B001DFNA</v>
      </c>
      <c r="H12" s="133" t="s">
        <v>343</v>
      </c>
      <c r="I12" s="133"/>
      <c r="J12" s="133">
        <v>2025010201</v>
      </c>
      <c r="K12" s="134" t="s">
        <v>55</v>
      </c>
      <c r="L12" s="135">
        <v>1</v>
      </c>
      <c r="M12" s="133" t="s">
        <v>673</v>
      </c>
      <c r="N12" s="136">
        <f>Table1[[#This Row],[gross_weight]]-Table1[[#This Row],[tare_weight]]</f>
        <v>4360</v>
      </c>
      <c r="O12" s="136">
        <v>4670</v>
      </c>
      <c r="P12" s="136">
        <f>4670-4360</f>
        <v>310</v>
      </c>
      <c r="Q12" s="137">
        <f t="shared" si="1"/>
        <v>4360</v>
      </c>
      <c r="R12" s="133" t="s">
        <v>674</v>
      </c>
      <c r="S12" s="138">
        <v>45293.664583333331</v>
      </c>
      <c r="T12" s="133" t="s">
        <v>664</v>
      </c>
      <c r="U12" s="139" t="str">
        <f t="shared" si="2"/>
        <v>_driedflower_bulk_BURB</v>
      </c>
      <c r="V12" s="140" t="str">
        <f>IF(U12="_","",_xlfn.XLOOKUP(U12,internal_cansku_inventory!D:D,internal_cansku_inventory!E:E,"",0,1))</f>
        <v/>
      </c>
    </row>
    <row r="13" spans="1:22" ht="12.45" customHeight="1">
      <c r="A13" s="132">
        <v>588</v>
      </c>
      <c r="B13" s="132">
        <v>0</v>
      </c>
      <c r="C13" s="132" t="str">
        <f>Table1[[#This Row],[inventory_id_head]]&amp;"-"&amp;Table1[[#This Row],[inventory_id_tail]]</f>
        <v>588-0</v>
      </c>
      <c r="D13" s="133" t="s">
        <v>653</v>
      </c>
      <c r="E13" s="133" t="s">
        <v>675</v>
      </c>
      <c r="F13" s="133" t="s">
        <v>655</v>
      </c>
      <c r="G13" s="133" t="str">
        <f t="shared" si="0"/>
        <v>B002DFNA</v>
      </c>
      <c r="H13" s="133" t="s">
        <v>343</v>
      </c>
      <c r="I13" s="133"/>
      <c r="J13" s="133">
        <v>2025010201</v>
      </c>
      <c r="K13" s="134" t="s">
        <v>55</v>
      </c>
      <c r="L13" s="135">
        <v>1</v>
      </c>
      <c r="M13" s="133" t="s">
        <v>673</v>
      </c>
      <c r="N13" s="136">
        <f>Table1[[#This Row],[gross_weight]]-Table1[[#This Row],[tare_weight]]</f>
        <v>4360</v>
      </c>
      <c r="O13" s="136">
        <v>4670</v>
      </c>
      <c r="P13" s="136">
        <f>4670-4360</f>
        <v>310</v>
      </c>
      <c r="Q13" s="137">
        <f t="shared" si="1"/>
        <v>4360</v>
      </c>
      <c r="R13" s="133" t="s">
        <v>674</v>
      </c>
      <c r="S13" s="138">
        <v>45293.664583333331</v>
      </c>
      <c r="T13" s="133" t="s">
        <v>664</v>
      </c>
      <c r="U13" s="139" t="str">
        <f t="shared" si="2"/>
        <v>_driedflower_bulk_BURB</v>
      </c>
      <c r="V13" s="140" t="str">
        <f>IF(U13="_","",_xlfn.XLOOKUP(U13,internal_cansku_inventory!D:D,internal_cansku_inventory!E:E,"",0,1))</f>
        <v/>
      </c>
    </row>
    <row r="14" spans="1:22" ht="12.45" customHeight="1">
      <c r="A14" s="132">
        <v>589</v>
      </c>
      <c r="B14" s="132">
        <v>0</v>
      </c>
      <c r="C14" s="132" t="str">
        <f>Table1[[#This Row],[inventory_id_head]]&amp;"-"&amp;Table1[[#This Row],[inventory_id_tail]]</f>
        <v>589-0</v>
      </c>
      <c r="D14" s="133" t="s">
        <v>653</v>
      </c>
      <c r="E14" s="133" t="s">
        <v>676</v>
      </c>
      <c r="F14" s="133" t="s">
        <v>655</v>
      </c>
      <c r="G14" s="133" t="str">
        <f t="shared" si="0"/>
        <v>B003DFNA</v>
      </c>
      <c r="H14" s="133" t="s">
        <v>343</v>
      </c>
      <c r="I14" s="133"/>
      <c r="J14" s="133">
        <v>2025010201</v>
      </c>
      <c r="K14" s="134" t="s">
        <v>55</v>
      </c>
      <c r="L14" s="135">
        <v>1</v>
      </c>
      <c r="M14" s="133" t="s">
        <v>673</v>
      </c>
      <c r="N14" s="136">
        <v>4360</v>
      </c>
      <c r="O14" s="136">
        <v>4665</v>
      </c>
      <c r="P14" s="136">
        <v>305</v>
      </c>
      <c r="Q14" s="137">
        <f t="shared" si="1"/>
        <v>4360</v>
      </c>
      <c r="R14" s="133" t="s">
        <v>674</v>
      </c>
      <c r="S14" s="138">
        <v>45293.664583333331</v>
      </c>
      <c r="T14" s="133" t="s">
        <v>664</v>
      </c>
      <c r="U14" s="139" t="str">
        <f t="shared" si="2"/>
        <v>_driedflower_bulk_BURB</v>
      </c>
      <c r="V14" s="140" t="str">
        <f>IF(U14="_","",_xlfn.XLOOKUP(U14,internal_cansku_inventory!D:D,internal_cansku_inventory!E:E,"",0,1))</f>
        <v/>
      </c>
    </row>
    <row r="15" spans="1:22" ht="12.45" customHeight="1">
      <c r="A15" s="132">
        <v>590</v>
      </c>
      <c r="B15" s="132">
        <v>0</v>
      </c>
      <c r="C15" s="132" t="str">
        <f>Table1[[#This Row],[inventory_id_head]]&amp;"-"&amp;Table1[[#This Row],[inventory_id_tail]]</f>
        <v>590-0</v>
      </c>
      <c r="D15" s="133" t="s">
        <v>653</v>
      </c>
      <c r="E15" s="133" t="s">
        <v>677</v>
      </c>
      <c r="F15" s="133" t="s">
        <v>655</v>
      </c>
      <c r="G15" s="133" t="str">
        <f t="shared" si="0"/>
        <v>B004DFNA</v>
      </c>
      <c r="H15" s="133" t="s">
        <v>343</v>
      </c>
      <c r="I15" s="133"/>
      <c r="J15" s="133">
        <v>2025010201</v>
      </c>
      <c r="K15" s="134" t="s">
        <v>55</v>
      </c>
      <c r="L15" s="135">
        <v>1</v>
      </c>
      <c r="M15" s="133" t="s">
        <v>673</v>
      </c>
      <c r="N15" s="136">
        <f>Table1[[#This Row],[gross_weight]]-Table1[[#This Row],[tare_weight]]</f>
        <v>4360</v>
      </c>
      <c r="O15" s="136">
        <v>4665</v>
      </c>
      <c r="P15" s="136">
        <v>305</v>
      </c>
      <c r="Q15" s="137">
        <f t="shared" si="1"/>
        <v>4360</v>
      </c>
      <c r="R15" s="133" t="s">
        <v>674</v>
      </c>
      <c r="S15" s="138">
        <v>45293.664583333331</v>
      </c>
      <c r="T15" s="133" t="s">
        <v>664</v>
      </c>
      <c r="U15" s="139" t="str">
        <f t="shared" si="2"/>
        <v>_driedflower_bulk_BURB</v>
      </c>
      <c r="V15" s="140" t="str">
        <f>IF(U15="_","",_xlfn.XLOOKUP(U15,internal_cansku_inventory!D:D,internal_cansku_inventory!E:E,"",0,1))</f>
        <v/>
      </c>
    </row>
    <row r="16" spans="1:22" ht="12.45" customHeight="1">
      <c r="A16" s="132">
        <v>591</v>
      </c>
      <c r="B16" s="132">
        <v>0</v>
      </c>
      <c r="C16" s="132" t="str">
        <f>Table1[[#This Row],[inventory_id_head]]&amp;"-"&amp;Table1[[#This Row],[inventory_id_tail]]</f>
        <v>591-0</v>
      </c>
      <c r="D16" s="133" t="s">
        <v>653</v>
      </c>
      <c r="E16" s="133" t="s">
        <v>678</v>
      </c>
      <c r="F16" s="133" t="s">
        <v>655</v>
      </c>
      <c r="G16" s="133" t="str">
        <f t="shared" si="0"/>
        <v>B005DFNA</v>
      </c>
      <c r="H16" s="133" t="s">
        <v>343</v>
      </c>
      <c r="I16" s="133"/>
      <c r="J16" s="133">
        <v>2025010201</v>
      </c>
      <c r="K16" s="134" t="s">
        <v>55</v>
      </c>
      <c r="L16" s="135">
        <v>1</v>
      </c>
      <c r="M16" s="133" t="s">
        <v>673</v>
      </c>
      <c r="N16" s="136">
        <f>Table1[[#This Row],[gross_weight]]-Table1[[#This Row],[tare_weight]]</f>
        <v>4360</v>
      </c>
      <c r="O16" s="136">
        <v>4670</v>
      </c>
      <c r="P16" s="136">
        <f>4670-4360</f>
        <v>310</v>
      </c>
      <c r="Q16" s="137">
        <f t="shared" si="1"/>
        <v>4360</v>
      </c>
      <c r="R16" s="133" t="s">
        <v>679</v>
      </c>
      <c r="S16" s="138">
        <v>45293.664583333331</v>
      </c>
      <c r="T16" s="133" t="s">
        <v>664</v>
      </c>
      <c r="U16" s="139" t="str">
        <f t="shared" si="2"/>
        <v>_driedflower_bulk_BURB</v>
      </c>
      <c r="V16" s="140" t="str">
        <f>IF(U16="_","",_xlfn.XLOOKUP(U16,internal_cansku_inventory!D:D,internal_cansku_inventory!E:E,"",0,1))</f>
        <v/>
      </c>
    </row>
    <row r="17" spans="1:22" ht="12.45" customHeight="1">
      <c r="A17" s="132">
        <v>440</v>
      </c>
      <c r="B17" s="132">
        <v>0</v>
      </c>
      <c r="C17" s="132" t="str">
        <f>Table1[[#This Row],[inventory_id_head]]&amp;"-"&amp;Table1[[#This Row],[inventory_id_tail]]</f>
        <v>440-0</v>
      </c>
      <c r="D17" s="133" t="s">
        <v>680</v>
      </c>
      <c r="E17" s="133" t="s">
        <v>55</v>
      </c>
      <c r="F17" s="133" t="s">
        <v>55</v>
      </c>
      <c r="G17" s="133" t="s">
        <v>681</v>
      </c>
      <c r="H17" s="133" t="s">
        <v>447</v>
      </c>
      <c r="I17" s="133"/>
      <c r="J17" s="133" t="s">
        <v>682</v>
      </c>
      <c r="K17" s="134">
        <v>45588</v>
      </c>
      <c r="L17" s="148">
        <v>8</v>
      </c>
      <c r="M17" s="133" t="s">
        <v>683</v>
      </c>
      <c r="N17" s="136">
        <f>29.3*12</f>
        <v>351.6</v>
      </c>
      <c r="O17" s="136">
        <v>0</v>
      </c>
      <c r="P17" s="136">
        <v>0</v>
      </c>
      <c r="Q17" s="137">
        <f t="shared" si="1"/>
        <v>2812.8</v>
      </c>
      <c r="R17" s="133"/>
      <c r="S17" s="138">
        <v>45297.407638888886</v>
      </c>
      <c r="T17" s="133" t="s">
        <v>657</v>
      </c>
      <c r="U17" s="139" t="str">
        <f t="shared" si="2"/>
        <v>_extract_ingested_cased_MB</v>
      </c>
      <c r="V17" s="140" t="str">
        <f>IF(U17="_","",_xlfn.XLOOKUP(U17,internal_cansku_inventory!D:D,internal_cansku_inventory!E:E,"",0,1))</f>
        <v/>
      </c>
    </row>
    <row r="18" spans="1:22" ht="12.45" customHeight="1">
      <c r="A18" s="132">
        <v>3</v>
      </c>
      <c r="B18" s="132">
        <v>0</v>
      </c>
      <c r="C18" s="132" t="str">
        <f>Table1[[#This Row],[inventory_id_head]]&amp;"-"&amp;Table1[[#This Row],[inventory_id_tail]]</f>
        <v>3-0</v>
      </c>
      <c r="D18" s="133" t="s">
        <v>653</v>
      </c>
      <c r="E18" s="133" t="s">
        <v>684</v>
      </c>
      <c r="F18" s="133" t="s">
        <v>55</v>
      </c>
      <c r="G18" s="133" t="str">
        <f t="shared" ref="G18:G49" si="3">E18&amp;F18</f>
        <v>T001EDNA</v>
      </c>
      <c r="H18" s="133" t="s">
        <v>685</v>
      </c>
      <c r="I18" s="133"/>
      <c r="J18" s="133" t="s">
        <v>686</v>
      </c>
      <c r="K18" s="134" t="s">
        <v>655</v>
      </c>
      <c r="L18" s="135">
        <v>99</v>
      </c>
      <c r="M18" s="133" t="s">
        <v>687</v>
      </c>
      <c r="N18" s="136">
        <v>1</v>
      </c>
      <c r="O18" s="136">
        <v>0</v>
      </c>
      <c r="P18" s="136">
        <v>0</v>
      </c>
      <c r="Q18" s="137">
        <f t="shared" si="1"/>
        <v>99</v>
      </c>
      <c r="R18" s="133" t="s">
        <v>688</v>
      </c>
      <c r="S18" s="138">
        <v>45484</v>
      </c>
      <c r="T18" s="133" t="s">
        <v>670</v>
      </c>
      <c r="U18" s="139" t="str">
        <f t="shared" si="2"/>
        <v>_extract_inhaled_packaged</v>
      </c>
      <c r="V18" s="140" t="str">
        <f>IF(U18="_","",_xlfn.XLOOKUP(U18,internal_cansku_inventory!D:D,internal_cansku_inventory!E:E,"",0,1))</f>
        <v/>
      </c>
    </row>
    <row r="19" spans="1:22" ht="12.45" customHeight="1">
      <c r="A19" s="132">
        <v>5</v>
      </c>
      <c r="B19" s="132">
        <v>0</v>
      </c>
      <c r="C19" s="132" t="str">
        <f>Table1[[#This Row],[inventory_id_head]]&amp;"-"&amp;Table1[[#This Row],[inventory_id_tail]]</f>
        <v>5-0</v>
      </c>
      <c r="D19" s="133" t="s">
        <v>653</v>
      </c>
      <c r="E19" s="133" t="s">
        <v>689</v>
      </c>
      <c r="F19" s="133" t="s">
        <v>55</v>
      </c>
      <c r="G19" s="133" t="str">
        <f t="shared" si="3"/>
        <v>T001DFNA</v>
      </c>
      <c r="H19" s="133" t="s">
        <v>690</v>
      </c>
      <c r="I19" s="133"/>
      <c r="J19" s="133">
        <v>211007</v>
      </c>
      <c r="K19" s="134">
        <v>44495</v>
      </c>
      <c r="L19" s="135">
        <v>66</v>
      </c>
      <c r="M19" s="133" t="s">
        <v>687</v>
      </c>
      <c r="N19" s="136">
        <v>3.5</v>
      </c>
      <c r="O19" s="136">
        <v>0</v>
      </c>
      <c r="P19" s="136">
        <v>0</v>
      </c>
      <c r="Q19" s="137">
        <f t="shared" si="1"/>
        <v>231</v>
      </c>
      <c r="R19" s="133"/>
      <c r="S19" s="138">
        <v>45484</v>
      </c>
      <c r="T19" s="133" t="s">
        <v>670</v>
      </c>
      <c r="U19" s="139" t="str">
        <f t="shared" si="2"/>
        <v>_driedflower_packaged</v>
      </c>
      <c r="V19" s="140" t="str">
        <f>IF(U19="_","",_xlfn.XLOOKUP(U19,internal_cansku_inventory!D:D,internal_cansku_inventory!E:E,"",0,1))</f>
        <v/>
      </c>
    </row>
    <row r="20" spans="1:22" ht="12.45" customHeight="1">
      <c r="A20" s="132">
        <v>6</v>
      </c>
      <c r="B20" s="132">
        <v>0</v>
      </c>
      <c r="C20" s="132" t="str">
        <f>Table1[[#This Row],[inventory_id_head]]&amp;"-"&amp;Table1[[#This Row],[inventory_id_tail]]</f>
        <v>6-0</v>
      </c>
      <c r="D20" s="133" t="s">
        <v>653</v>
      </c>
      <c r="E20" s="133" t="s">
        <v>691</v>
      </c>
      <c r="F20" s="133" t="s">
        <v>55</v>
      </c>
      <c r="G20" s="133" t="str">
        <f t="shared" si="3"/>
        <v>T002DFNA</v>
      </c>
      <c r="H20" s="133" t="s">
        <v>690</v>
      </c>
      <c r="I20" s="133"/>
      <c r="J20" s="133">
        <v>2022042902</v>
      </c>
      <c r="K20" s="134" t="s">
        <v>655</v>
      </c>
      <c r="L20" s="135">
        <v>156</v>
      </c>
      <c r="M20" s="133" t="s">
        <v>687</v>
      </c>
      <c r="N20" s="136">
        <v>3.5</v>
      </c>
      <c r="O20" s="136">
        <v>0</v>
      </c>
      <c r="P20" s="136">
        <v>0</v>
      </c>
      <c r="Q20" s="137">
        <f t="shared" si="1"/>
        <v>546</v>
      </c>
      <c r="R20" s="133" t="s">
        <v>688</v>
      </c>
      <c r="S20" s="138">
        <v>45484</v>
      </c>
      <c r="T20" s="133" t="s">
        <v>670</v>
      </c>
      <c r="U20" s="139" t="str">
        <f t="shared" si="2"/>
        <v>_driedflower_packaged</v>
      </c>
      <c r="V20" s="140" t="str">
        <f>IF(U20="_","",_xlfn.XLOOKUP(U20,internal_cansku_inventory!D:D,internal_cansku_inventory!E:E,"",0,1))</f>
        <v/>
      </c>
    </row>
    <row r="21" spans="1:22" ht="12.45" customHeight="1">
      <c r="A21" s="132">
        <v>7</v>
      </c>
      <c r="B21" s="132">
        <v>0</v>
      </c>
      <c r="C21" s="132" t="str">
        <f>Table1[[#This Row],[inventory_id_head]]&amp;"-"&amp;Table1[[#This Row],[inventory_id_tail]]</f>
        <v>7-0</v>
      </c>
      <c r="D21" s="133" t="s">
        <v>653</v>
      </c>
      <c r="E21" s="133" t="s">
        <v>692</v>
      </c>
      <c r="F21" s="133" t="s">
        <v>55</v>
      </c>
      <c r="G21" s="133" t="str">
        <f t="shared" si="3"/>
        <v>T003DFNA</v>
      </c>
      <c r="H21" s="133" t="s">
        <v>690</v>
      </c>
      <c r="I21" s="133"/>
      <c r="J21" s="133">
        <v>2022042902</v>
      </c>
      <c r="K21" s="134" t="s">
        <v>655</v>
      </c>
      <c r="L21" s="135">
        <v>319</v>
      </c>
      <c r="M21" s="133" t="s">
        <v>687</v>
      </c>
      <c r="N21" s="136">
        <v>3.5</v>
      </c>
      <c r="O21" s="136">
        <v>0</v>
      </c>
      <c r="P21" s="136">
        <v>0</v>
      </c>
      <c r="Q21" s="137">
        <f t="shared" si="1"/>
        <v>1116.5</v>
      </c>
      <c r="R21" s="133" t="s">
        <v>688</v>
      </c>
      <c r="S21" s="138">
        <v>45484</v>
      </c>
      <c r="T21" s="133" t="s">
        <v>670</v>
      </c>
      <c r="U21" s="139" t="str">
        <f t="shared" si="2"/>
        <v>_driedflower_packaged</v>
      </c>
      <c r="V21" s="140" t="str">
        <f>IF(U21="_","",_xlfn.XLOOKUP(U21,internal_cansku_inventory!D:D,internal_cansku_inventory!E:E,"",0,1))</f>
        <v/>
      </c>
    </row>
    <row r="22" spans="1:22" ht="12.45" customHeight="1">
      <c r="A22" s="132">
        <v>8</v>
      </c>
      <c r="B22" s="132">
        <v>0</v>
      </c>
      <c r="C22" s="132" t="str">
        <f>Table1[[#This Row],[inventory_id_head]]&amp;"-"&amp;Table1[[#This Row],[inventory_id_tail]]</f>
        <v>8-0</v>
      </c>
      <c r="D22" s="133" t="s">
        <v>653</v>
      </c>
      <c r="E22" s="133" t="s">
        <v>693</v>
      </c>
      <c r="F22" s="133" t="s">
        <v>55</v>
      </c>
      <c r="G22" s="133" t="str">
        <f t="shared" si="3"/>
        <v>T004DFNA</v>
      </c>
      <c r="H22" s="133" t="s">
        <v>690</v>
      </c>
      <c r="I22" s="133"/>
      <c r="J22" s="133" t="s">
        <v>694</v>
      </c>
      <c r="K22" s="134">
        <v>45100</v>
      </c>
      <c r="L22" s="135">
        <v>82</v>
      </c>
      <c r="M22" s="133" t="s">
        <v>695</v>
      </c>
      <c r="N22" s="136">
        <v>14</v>
      </c>
      <c r="O22" s="136">
        <v>0</v>
      </c>
      <c r="P22" s="136">
        <v>0</v>
      </c>
      <c r="Q22" s="137">
        <f t="shared" si="1"/>
        <v>1148</v>
      </c>
      <c r="R22" s="133"/>
      <c r="S22" s="138">
        <v>45484</v>
      </c>
      <c r="T22" s="133" t="s">
        <v>670</v>
      </c>
      <c r="U22" s="139" t="str">
        <f t="shared" si="2"/>
        <v>_driedflower_packaged</v>
      </c>
      <c r="V22" s="140" t="str">
        <f>IF(U22="_","",_xlfn.XLOOKUP(U22,internal_cansku_inventory!D:D,internal_cansku_inventory!E:E,"",0,1))</f>
        <v/>
      </c>
    </row>
    <row r="23" spans="1:22" ht="12.45" customHeight="1">
      <c r="A23" s="132">
        <v>9</v>
      </c>
      <c r="B23" s="132">
        <v>0</v>
      </c>
      <c r="C23" s="132" t="str">
        <f>Table1[[#This Row],[inventory_id_head]]&amp;"-"&amp;Table1[[#This Row],[inventory_id_tail]]</f>
        <v>9-0</v>
      </c>
      <c r="D23" s="133" t="s">
        <v>653</v>
      </c>
      <c r="E23" s="133" t="s">
        <v>696</v>
      </c>
      <c r="F23" s="133" t="s">
        <v>55</v>
      </c>
      <c r="G23" s="133" t="str">
        <f t="shared" si="3"/>
        <v>T001MFNA</v>
      </c>
      <c r="H23" s="133" t="s">
        <v>697</v>
      </c>
      <c r="I23" s="133"/>
      <c r="J23" s="133" t="s">
        <v>698</v>
      </c>
      <c r="K23" s="134">
        <v>44941</v>
      </c>
      <c r="L23" s="135">
        <v>404</v>
      </c>
      <c r="M23" s="133" t="s">
        <v>695</v>
      </c>
      <c r="N23" s="136">
        <v>14</v>
      </c>
      <c r="O23" s="136">
        <v>0</v>
      </c>
      <c r="P23" s="136">
        <v>0</v>
      </c>
      <c r="Q23" s="137">
        <f t="shared" si="1"/>
        <v>5656</v>
      </c>
      <c r="R23" s="133" t="s">
        <v>699</v>
      </c>
      <c r="S23" s="138">
        <v>45484</v>
      </c>
      <c r="T23" s="133" t="s">
        <v>670</v>
      </c>
      <c r="U23" s="139" t="str">
        <f t="shared" si="2"/>
        <v>_driedflower_milled_labelled</v>
      </c>
      <c r="V23" s="140" t="str">
        <f>IF(U23="_","",_xlfn.XLOOKUP(U23,internal_cansku_inventory!D:D,internal_cansku_inventory!E:E,"",0,1))</f>
        <v/>
      </c>
    </row>
    <row r="24" spans="1:22" ht="12.45" customHeight="1">
      <c r="A24" s="132">
        <v>10</v>
      </c>
      <c r="B24" s="132">
        <v>0</v>
      </c>
      <c r="C24" s="132" t="str">
        <f>Table1[[#This Row],[inventory_id_head]]&amp;"-"&amp;Table1[[#This Row],[inventory_id_tail]]</f>
        <v>10-0</v>
      </c>
      <c r="D24" s="133" t="s">
        <v>653</v>
      </c>
      <c r="E24" s="133" t="s">
        <v>700</v>
      </c>
      <c r="F24" s="133" t="s">
        <v>55</v>
      </c>
      <c r="G24" s="133" t="str">
        <f t="shared" si="3"/>
        <v>T002MFNA</v>
      </c>
      <c r="H24" s="133" t="s">
        <v>697</v>
      </c>
      <c r="I24" s="133"/>
      <c r="J24" s="133" t="s">
        <v>701</v>
      </c>
      <c r="K24" s="134">
        <v>44941</v>
      </c>
      <c r="L24" s="135">
        <v>106</v>
      </c>
      <c r="M24" s="133" t="s">
        <v>695</v>
      </c>
      <c r="N24" s="136">
        <v>7</v>
      </c>
      <c r="O24" s="136">
        <v>0</v>
      </c>
      <c r="P24" s="136">
        <v>0</v>
      </c>
      <c r="Q24" s="137">
        <f t="shared" si="1"/>
        <v>742</v>
      </c>
      <c r="R24" s="133"/>
      <c r="S24" s="138">
        <v>45484</v>
      </c>
      <c r="T24" s="133" t="s">
        <v>670</v>
      </c>
      <c r="U24" s="139" t="str">
        <f t="shared" si="2"/>
        <v>_driedflower_milled_labelled</v>
      </c>
      <c r="V24" s="140" t="str">
        <f>IF(U24="_","",_xlfn.XLOOKUP(U24,internal_cansku_inventory!D:D,internal_cansku_inventory!E:E,"",0,1))</f>
        <v/>
      </c>
    </row>
    <row r="25" spans="1:22" ht="12.45" customHeight="1">
      <c r="A25" s="132">
        <v>12</v>
      </c>
      <c r="B25" s="132">
        <v>0</v>
      </c>
      <c r="C25" s="132" t="str">
        <f>Table1[[#This Row],[inventory_id_head]]&amp;"-"&amp;Table1[[#This Row],[inventory_id_tail]]</f>
        <v>12-0</v>
      </c>
      <c r="D25" s="133" t="s">
        <v>653</v>
      </c>
      <c r="E25" s="133" t="s">
        <v>702</v>
      </c>
      <c r="F25" s="133" t="s">
        <v>703</v>
      </c>
      <c r="G25" s="133" t="str">
        <f t="shared" si="3"/>
        <v>T003MFB001MF</v>
      </c>
      <c r="H25" s="133" t="s">
        <v>704</v>
      </c>
      <c r="I25" s="133"/>
      <c r="J25" s="133" t="s">
        <v>705</v>
      </c>
      <c r="K25" s="134">
        <v>45253</v>
      </c>
      <c r="L25" s="135">
        <v>1</v>
      </c>
      <c r="M25" s="133" t="s">
        <v>673</v>
      </c>
      <c r="N25" s="136">
        <v>41.02</v>
      </c>
      <c r="O25" s="136">
        <v>0</v>
      </c>
      <c r="P25" s="136">
        <v>0</v>
      </c>
      <c r="Q25" s="137">
        <f t="shared" si="1"/>
        <v>41.02</v>
      </c>
      <c r="R25" s="133"/>
      <c r="S25" s="138">
        <v>45484</v>
      </c>
      <c r="T25" s="133" t="s">
        <v>664</v>
      </c>
      <c r="U25" s="139" t="str">
        <f t="shared" si="2"/>
        <v>_driedflower_milled_bulk</v>
      </c>
      <c r="V25" s="140" t="str">
        <f>IF(U25="_","",_xlfn.XLOOKUP(U25,internal_cansku_inventory!D:D,internal_cansku_inventory!E:E,"",0,1))</f>
        <v/>
      </c>
    </row>
    <row r="26" spans="1:22" ht="12.45" customHeight="1">
      <c r="A26" s="132">
        <v>13</v>
      </c>
      <c r="B26" s="132">
        <v>0</v>
      </c>
      <c r="C26" s="132" t="str">
        <f>Table1[[#This Row],[inventory_id_head]]&amp;"-"&amp;Table1[[#This Row],[inventory_id_tail]]</f>
        <v>13-0</v>
      </c>
      <c r="D26" s="133" t="s">
        <v>653</v>
      </c>
      <c r="E26" s="133" t="s">
        <v>702</v>
      </c>
      <c r="F26" s="133" t="s">
        <v>706</v>
      </c>
      <c r="G26" s="133" t="str">
        <f t="shared" si="3"/>
        <v>T003MFB002MF</v>
      </c>
      <c r="H26" s="133" t="s">
        <v>704</v>
      </c>
      <c r="I26" s="133"/>
      <c r="J26" s="133" t="s">
        <v>707</v>
      </c>
      <c r="K26" s="134" t="s">
        <v>655</v>
      </c>
      <c r="L26" s="135">
        <v>1</v>
      </c>
      <c r="M26" s="133" t="s">
        <v>673</v>
      </c>
      <c r="N26" s="136">
        <v>169.94</v>
      </c>
      <c r="O26" s="136">
        <v>179.18</v>
      </c>
      <c r="P26" s="136">
        <v>9.24</v>
      </c>
      <c r="Q26" s="137">
        <f t="shared" si="1"/>
        <v>169.94</v>
      </c>
      <c r="R26" s="133"/>
      <c r="S26" s="138">
        <v>45484</v>
      </c>
      <c r="T26" s="133" t="s">
        <v>664</v>
      </c>
      <c r="U26" s="139" t="str">
        <f t="shared" si="2"/>
        <v>_driedflower_milled_bulk</v>
      </c>
      <c r="V26" s="140" t="str">
        <f>IF(U26="_","",_xlfn.XLOOKUP(U26,internal_cansku_inventory!D:D,internal_cansku_inventory!E:E,"",0,1))</f>
        <v/>
      </c>
    </row>
    <row r="27" spans="1:22" ht="12.45" customHeight="1">
      <c r="A27" s="132">
        <v>14</v>
      </c>
      <c r="B27" s="132">
        <v>0</v>
      </c>
      <c r="C27" s="132" t="str">
        <f>Table1[[#This Row],[inventory_id_head]]&amp;"-"&amp;Table1[[#This Row],[inventory_id_tail]]</f>
        <v>14-0</v>
      </c>
      <c r="D27" s="133" t="s">
        <v>653</v>
      </c>
      <c r="E27" s="133" t="s">
        <v>702</v>
      </c>
      <c r="F27" s="133" t="s">
        <v>708</v>
      </c>
      <c r="G27" s="133" t="str">
        <f t="shared" si="3"/>
        <v>T003MFB003MF</v>
      </c>
      <c r="H27" s="133" t="s">
        <v>704</v>
      </c>
      <c r="I27" s="133"/>
      <c r="J27" s="133" t="s">
        <v>709</v>
      </c>
      <c r="K27" s="134" t="s">
        <v>655</v>
      </c>
      <c r="L27" s="135">
        <v>1</v>
      </c>
      <c r="M27" s="133" t="s">
        <v>673</v>
      </c>
      <c r="N27" s="136">
        <v>72.83</v>
      </c>
      <c r="O27" s="136">
        <v>88.04</v>
      </c>
      <c r="P27" s="136">
        <f>O27-N27</f>
        <v>15.210000000000008</v>
      </c>
      <c r="Q27" s="137">
        <f t="shared" si="1"/>
        <v>72.83</v>
      </c>
      <c r="R27" s="133"/>
      <c r="S27" s="138">
        <v>45484</v>
      </c>
      <c r="T27" s="133" t="s">
        <v>664</v>
      </c>
      <c r="U27" s="139" t="str">
        <f t="shared" si="2"/>
        <v>_driedflower_milled_bulk</v>
      </c>
      <c r="V27" s="140" t="str">
        <f>IF(U27="_","",_xlfn.XLOOKUP(U27,internal_cansku_inventory!D:D,internal_cansku_inventory!E:E,"",0,1))</f>
        <v/>
      </c>
    </row>
    <row r="28" spans="1:22" ht="12.45" customHeight="1">
      <c r="A28" s="132">
        <v>15</v>
      </c>
      <c r="B28" s="132">
        <v>0</v>
      </c>
      <c r="C28" s="132" t="str">
        <f>Table1[[#This Row],[inventory_id_head]]&amp;"-"&amp;Table1[[#This Row],[inventory_id_tail]]</f>
        <v>15-0</v>
      </c>
      <c r="D28" s="133" t="s">
        <v>653</v>
      </c>
      <c r="E28" s="133" t="s">
        <v>702</v>
      </c>
      <c r="F28" s="133" t="s">
        <v>710</v>
      </c>
      <c r="G28" s="133" t="str">
        <f t="shared" si="3"/>
        <v>T003MFB004MF</v>
      </c>
      <c r="H28" s="133" t="s">
        <v>704</v>
      </c>
      <c r="I28" s="133"/>
      <c r="J28" s="133" t="s">
        <v>55</v>
      </c>
      <c r="K28" s="134" t="s">
        <v>655</v>
      </c>
      <c r="L28" s="135">
        <v>1</v>
      </c>
      <c r="M28" s="133" t="s">
        <v>673</v>
      </c>
      <c r="N28" s="136">
        <v>904.95</v>
      </c>
      <c r="O28" s="136">
        <v>0</v>
      </c>
      <c r="P28" s="136">
        <v>0</v>
      </c>
      <c r="Q28" s="137">
        <f t="shared" si="1"/>
        <v>904.95</v>
      </c>
      <c r="R28" s="133" t="s">
        <v>711</v>
      </c>
      <c r="S28" s="138">
        <v>45484</v>
      </c>
      <c r="T28" s="133" t="s">
        <v>664</v>
      </c>
      <c r="U28" s="139" t="str">
        <f t="shared" si="2"/>
        <v>_driedflower_milled_bulk</v>
      </c>
      <c r="V28" s="140" t="str">
        <f>IF(U28="_","",_xlfn.XLOOKUP(U28,internal_cansku_inventory!D:D,internal_cansku_inventory!E:E,"",0,1))</f>
        <v/>
      </c>
    </row>
    <row r="29" spans="1:22" ht="12.45" customHeight="1">
      <c r="A29" s="132">
        <v>16</v>
      </c>
      <c r="B29" s="132">
        <v>0</v>
      </c>
      <c r="C29" s="132" t="str">
        <f>Table1[[#This Row],[inventory_id_head]]&amp;"-"&amp;Table1[[#This Row],[inventory_id_tail]]</f>
        <v>16-0</v>
      </c>
      <c r="D29" s="133" t="s">
        <v>653</v>
      </c>
      <c r="E29" s="133" t="s">
        <v>702</v>
      </c>
      <c r="F29" s="133" t="s">
        <v>712</v>
      </c>
      <c r="G29" s="133" t="str">
        <f t="shared" si="3"/>
        <v>T003MFB005MF</v>
      </c>
      <c r="H29" s="133" t="s">
        <v>704</v>
      </c>
      <c r="I29" s="133"/>
      <c r="J29" s="133" t="s">
        <v>55</v>
      </c>
      <c r="K29" s="134">
        <v>44902</v>
      </c>
      <c r="L29" s="135">
        <v>1</v>
      </c>
      <c r="M29" s="133" t="s">
        <v>673</v>
      </c>
      <c r="N29" s="136">
        <f>O29-P29</f>
        <v>132.01999999999998</v>
      </c>
      <c r="O29" s="136">
        <v>143.26</v>
      </c>
      <c r="P29" s="136">
        <v>11.24</v>
      </c>
      <c r="Q29" s="137">
        <f t="shared" si="1"/>
        <v>132.01999999999998</v>
      </c>
      <c r="R29" s="133" t="s">
        <v>711</v>
      </c>
      <c r="S29" s="138">
        <v>45484</v>
      </c>
      <c r="T29" s="133" t="s">
        <v>664</v>
      </c>
      <c r="U29" s="139" t="str">
        <f t="shared" si="2"/>
        <v>_driedflower_milled_bulk</v>
      </c>
      <c r="V29" s="140" t="str">
        <f>IF(U29="_","",_xlfn.XLOOKUP(U29,internal_cansku_inventory!D:D,internal_cansku_inventory!E:E,"",0,1))</f>
        <v/>
      </c>
    </row>
    <row r="30" spans="1:22" ht="12.45" customHeight="1">
      <c r="A30" s="132">
        <v>17</v>
      </c>
      <c r="B30" s="132">
        <v>0</v>
      </c>
      <c r="C30" s="132" t="str">
        <f>Table1[[#This Row],[inventory_id_head]]&amp;"-"&amp;Table1[[#This Row],[inventory_id_tail]]</f>
        <v>17-0</v>
      </c>
      <c r="D30" s="133" t="s">
        <v>653</v>
      </c>
      <c r="E30" s="133" t="s">
        <v>713</v>
      </c>
      <c r="F30" s="133" t="s">
        <v>672</v>
      </c>
      <c r="G30" s="133" t="str">
        <f t="shared" si="3"/>
        <v>T005DFB001DF</v>
      </c>
      <c r="H30" s="133" t="s">
        <v>690</v>
      </c>
      <c r="I30" s="133"/>
      <c r="J30" s="133">
        <v>2021022501</v>
      </c>
      <c r="K30" s="134">
        <v>45014</v>
      </c>
      <c r="L30" s="135">
        <v>37</v>
      </c>
      <c r="M30" s="133" t="s">
        <v>673</v>
      </c>
      <c r="N30" s="136">
        <v>3.5</v>
      </c>
      <c r="O30" s="136">
        <v>0</v>
      </c>
      <c r="P30" s="136">
        <v>0</v>
      </c>
      <c r="Q30" s="137">
        <f t="shared" si="1"/>
        <v>129.5</v>
      </c>
      <c r="R30" s="133"/>
      <c r="S30" s="138">
        <v>45484</v>
      </c>
      <c r="T30" s="133" t="s">
        <v>670</v>
      </c>
      <c r="U30" s="139" t="str">
        <f t="shared" si="2"/>
        <v>_driedflower_packaged</v>
      </c>
      <c r="V30" s="140" t="str">
        <f>IF(U30="_","",_xlfn.XLOOKUP(U30,internal_cansku_inventory!D:D,internal_cansku_inventory!E:E,"",0,1))</f>
        <v/>
      </c>
    </row>
    <row r="31" spans="1:22" ht="12.45" customHeight="1">
      <c r="A31" s="132">
        <v>18</v>
      </c>
      <c r="B31" s="132">
        <v>0</v>
      </c>
      <c r="C31" s="132" t="str">
        <f>Table1[[#This Row],[inventory_id_head]]&amp;"-"&amp;Table1[[#This Row],[inventory_id_tail]]</f>
        <v>18-0</v>
      </c>
      <c r="D31" s="133" t="s">
        <v>653</v>
      </c>
      <c r="E31" s="133" t="s">
        <v>713</v>
      </c>
      <c r="F31" s="133" t="s">
        <v>675</v>
      </c>
      <c r="G31" s="133" t="str">
        <f t="shared" si="3"/>
        <v>T005DFB002DF</v>
      </c>
      <c r="H31" s="133" t="s">
        <v>690</v>
      </c>
      <c r="I31" s="133"/>
      <c r="J31" s="133" t="s">
        <v>714</v>
      </c>
      <c r="K31" s="134">
        <v>44305</v>
      </c>
      <c r="L31" s="135">
        <v>27</v>
      </c>
      <c r="M31" s="133" t="s">
        <v>673</v>
      </c>
      <c r="N31" s="136">
        <v>3.5</v>
      </c>
      <c r="O31" s="136">
        <v>0</v>
      </c>
      <c r="P31" s="136">
        <v>0</v>
      </c>
      <c r="Q31" s="137">
        <f t="shared" si="1"/>
        <v>94.5</v>
      </c>
      <c r="R31" s="133"/>
      <c r="S31" s="138">
        <v>45484</v>
      </c>
      <c r="T31" s="133" t="s">
        <v>670</v>
      </c>
      <c r="U31" s="139" t="str">
        <f t="shared" si="2"/>
        <v>_driedflower_packaged</v>
      </c>
      <c r="V31" s="140" t="str">
        <f>IF(U31="_","",_xlfn.XLOOKUP(U31,internal_cansku_inventory!D:D,internal_cansku_inventory!E:E,"",0,1))</f>
        <v/>
      </c>
    </row>
    <row r="32" spans="1:22" ht="12.45" customHeight="1">
      <c r="A32" s="132">
        <v>19</v>
      </c>
      <c r="B32" s="132">
        <v>0</v>
      </c>
      <c r="C32" s="132" t="str">
        <f>Table1[[#This Row],[inventory_id_head]]&amp;"-"&amp;Table1[[#This Row],[inventory_id_tail]]</f>
        <v>19-0</v>
      </c>
      <c r="D32" s="133" t="s">
        <v>653</v>
      </c>
      <c r="E32" s="133" t="s">
        <v>713</v>
      </c>
      <c r="F32" s="133" t="s">
        <v>677</v>
      </c>
      <c r="G32" s="133" t="str">
        <f t="shared" si="3"/>
        <v>T005DFB004DF</v>
      </c>
      <c r="H32" s="133" t="s">
        <v>690</v>
      </c>
      <c r="I32" s="133"/>
      <c r="J32" s="133" t="s">
        <v>715</v>
      </c>
      <c r="K32" s="134">
        <v>44180</v>
      </c>
      <c r="L32" s="135">
        <v>27</v>
      </c>
      <c r="M32" s="133" t="s">
        <v>673</v>
      </c>
      <c r="N32" s="136">
        <v>3.5</v>
      </c>
      <c r="O32" s="136">
        <v>0</v>
      </c>
      <c r="P32" s="136">
        <v>0</v>
      </c>
      <c r="Q32" s="137">
        <f t="shared" si="1"/>
        <v>94.5</v>
      </c>
      <c r="R32" s="133"/>
      <c r="S32" s="138">
        <v>45484</v>
      </c>
      <c r="T32" s="133" t="s">
        <v>670</v>
      </c>
      <c r="U32" s="139" t="str">
        <f t="shared" si="2"/>
        <v>_driedflower_packaged</v>
      </c>
      <c r="V32" s="140" t="str">
        <f>IF(U32="_","",_xlfn.XLOOKUP(U32,internal_cansku_inventory!D:D,internal_cansku_inventory!E:E,"",0,1))</f>
        <v/>
      </c>
    </row>
    <row r="33" spans="1:22" ht="12.45" customHeight="1">
      <c r="A33" s="132">
        <v>20</v>
      </c>
      <c r="B33" s="132">
        <v>0</v>
      </c>
      <c r="C33" s="132" t="str">
        <f>Table1[[#This Row],[inventory_id_head]]&amp;"-"&amp;Table1[[#This Row],[inventory_id_tail]]</f>
        <v>20-0</v>
      </c>
      <c r="D33" s="133" t="s">
        <v>653</v>
      </c>
      <c r="E33" s="133" t="s">
        <v>716</v>
      </c>
      <c r="F33" s="133" t="s">
        <v>55</v>
      </c>
      <c r="G33" s="133" t="str">
        <f t="shared" si="3"/>
        <v>T006DFNA</v>
      </c>
      <c r="H33" s="133" t="s">
        <v>690</v>
      </c>
      <c r="I33" s="133"/>
      <c r="J33" s="133">
        <v>2022091603</v>
      </c>
      <c r="K33" s="134">
        <v>44842</v>
      </c>
      <c r="L33" s="135">
        <v>423</v>
      </c>
      <c r="M33" s="133" t="s">
        <v>673</v>
      </c>
      <c r="N33" s="136">
        <v>3.5</v>
      </c>
      <c r="O33" s="136">
        <v>0</v>
      </c>
      <c r="P33" s="136">
        <v>0</v>
      </c>
      <c r="Q33" s="137">
        <f t="shared" si="1"/>
        <v>1480.5</v>
      </c>
      <c r="R33" s="133"/>
      <c r="S33" s="138">
        <v>45484</v>
      </c>
      <c r="T33" s="133" t="s">
        <v>670</v>
      </c>
      <c r="U33" s="139" t="str">
        <f t="shared" si="2"/>
        <v>_driedflower_packaged</v>
      </c>
      <c r="V33" s="140" t="str">
        <f>IF(U33="_","",_xlfn.XLOOKUP(U33,internal_cansku_inventory!D:D,internal_cansku_inventory!E:E,"",0,1))</f>
        <v/>
      </c>
    </row>
    <row r="34" spans="1:22" ht="12.45" customHeight="1">
      <c r="A34" s="132">
        <v>21</v>
      </c>
      <c r="B34" s="132">
        <v>0</v>
      </c>
      <c r="C34" s="132" t="str">
        <f>Table1[[#This Row],[inventory_id_head]]&amp;"-"&amp;Table1[[#This Row],[inventory_id_tail]]</f>
        <v>21-0</v>
      </c>
      <c r="D34" s="133" t="s">
        <v>653</v>
      </c>
      <c r="E34" s="133" t="s">
        <v>717</v>
      </c>
      <c r="F34" s="133" t="s">
        <v>55</v>
      </c>
      <c r="G34" s="133" t="str">
        <f t="shared" si="3"/>
        <v>T007DFNA</v>
      </c>
      <c r="H34" s="133" t="s">
        <v>690</v>
      </c>
      <c r="I34" s="133"/>
      <c r="J34" s="133">
        <v>2021031001</v>
      </c>
      <c r="K34" s="134">
        <v>44946</v>
      </c>
      <c r="L34" s="135">
        <v>240</v>
      </c>
      <c r="M34" s="133" t="s">
        <v>673</v>
      </c>
      <c r="N34" s="136">
        <v>14</v>
      </c>
      <c r="O34" s="136">
        <v>0</v>
      </c>
      <c r="P34" s="136">
        <v>0</v>
      </c>
      <c r="Q34" s="137">
        <f t="shared" ref="Q34:Q65" si="4">L34*N34</f>
        <v>3360</v>
      </c>
      <c r="R34" s="133" t="s">
        <v>718</v>
      </c>
      <c r="S34" s="138">
        <v>45484</v>
      </c>
      <c r="T34" s="133" t="s">
        <v>670</v>
      </c>
      <c r="U34" s="139" t="str">
        <f t="shared" si="2"/>
        <v>_driedflower_packaged</v>
      </c>
      <c r="V34" s="140" t="str">
        <f>IF(U34="_","",_xlfn.XLOOKUP(U34,internal_cansku_inventory!D:D,internal_cansku_inventory!E:E,"",0,1))</f>
        <v/>
      </c>
    </row>
    <row r="35" spans="1:22" ht="12.45" customHeight="1">
      <c r="A35" s="132">
        <v>22</v>
      </c>
      <c r="B35" s="132">
        <v>0</v>
      </c>
      <c r="C35" s="132" t="str">
        <f>Table1[[#This Row],[inventory_id_head]]&amp;"-"&amp;Table1[[#This Row],[inventory_id_tail]]</f>
        <v>22-0</v>
      </c>
      <c r="D35" s="133" t="s">
        <v>653</v>
      </c>
      <c r="E35" s="133" t="s">
        <v>719</v>
      </c>
      <c r="F35" s="133" t="s">
        <v>678</v>
      </c>
      <c r="G35" s="133" t="str">
        <f t="shared" si="3"/>
        <v>T009DFB005DF</v>
      </c>
      <c r="H35" s="133" t="s">
        <v>720</v>
      </c>
      <c r="I35" s="133"/>
      <c r="J35" s="133">
        <v>2022051601</v>
      </c>
      <c r="K35" s="134">
        <v>44830</v>
      </c>
      <c r="L35" s="135">
        <v>1</v>
      </c>
      <c r="M35" s="133" t="s">
        <v>673</v>
      </c>
      <c r="N35" s="136">
        <v>477.4</v>
      </c>
      <c r="O35" s="136">
        <v>502.4</v>
      </c>
      <c r="P35" s="136">
        <v>25</v>
      </c>
      <c r="Q35" s="137">
        <f t="shared" si="4"/>
        <v>477.4</v>
      </c>
      <c r="R35" s="133"/>
      <c r="S35" s="138">
        <v>45484</v>
      </c>
      <c r="T35" s="133" t="s">
        <v>664</v>
      </c>
      <c r="U35" s="139" t="str">
        <f t="shared" si="2"/>
        <v>_driedflower_bulk</v>
      </c>
      <c r="V35" s="140" t="str">
        <f>IF(U35="_","",_xlfn.XLOOKUP(U35,internal_cansku_inventory!D:D,internal_cansku_inventory!E:E,"",0,1))</f>
        <v/>
      </c>
    </row>
    <row r="36" spans="1:22" ht="12.45" customHeight="1">
      <c r="A36" s="132">
        <v>24</v>
      </c>
      <c r="B36" s="132">
        <v>0</v>
      </c>
      <c r="C36" s="132" t="str">
        <f>Table1[[#This Row],[inventory_id_head]]&amp;"-"&amp;Table1[[#This Row],[inventory_id_tail]]</f>
        <v>24-0</v>
      </c>
      <c r="D36" s="133" t="s">
        <v>653</v>
      </c>
      <c r="E36" s="133" t="s">
        <v>721</v>
      </c>
      <c r="F36" s="133" t="s">
        <v>722</v>
      </c>
      <c r="G36" s="133" t="str">
        <f t="shared" si="3"/>
        <v>T008DFB007DF</v>
      </c>
      <c r="H36" s="133" t="s">
        <v>720</v>
      </c>
      <c r="I36" s="133"/>
      <c r="J36" s="133" t="s">
        <v>723</v>
      </c>
      <c r="K36" s="134">
        <v>45079</v>
      </c>
      <c r="L36" s="135">
        <v>1</v>
      </c>
      <c r="M36" s="133" t="s">
        <v>673</v>
      </c>
      <c r="N36" s="136">
        <f>O36-P36</f>
        <v>446.6</v>
      </c>
      <c r="O36" s="136">
        <v>471.6</v>
      </c>
      <c r="P36" s="136">
        <v>25</v>
      </c>
      <c r="Q36" s="137">
        <f t="shared" si="4"/>
        <v>446.6</v>
      </c>
      <c r="R36" s="133"/>
      <c r="S36" s="138">
        <v>45484</v>
      </c>
      <c r="T36" s="133" t="s">
        <v>664</v>
      </c>
      <c r="U36" s="139" t="str">
        <f t="shared" si="2"/>
        <v>_driedflower_bulk</v>
      </c>
      <c r="V36" s="140" t="str">
        <f>IF(U36="_","",_xlfn.XLOOKUP(U36,internal_cansku_inventory!D:D,internal_cansku_inventory!E:E,"",0,1))</f>
        <v/>
      </c>
    </row>
    <row r="37" spans="1:22" ht="12.45" customHeight="1">
      <c r="A37" s="132">
        <v>25</v>
      </c>
      <c r="B37" s="132">
        <v>0</v>
      </c>
      <c r="C37" s="132" t="str">
        <f>Table1[[#This Row],[inventory_id_head]]&amp;"-"&amp;Table1[[#This Row],[inventory_id_tail]]</f>
        <v>25-0</v>
      </c>
      <c r="D37" s="133" t="s">
        <v>653</v>
      </c>
      <c r="E37" s="133" t="s">
        <v>721</v>
      </c>
      <c r="F37" s="133" t="s">
        <v>724</v>
      </c>
      <c r="G37" s="133" t="str">
        <f t="shared" si="3"/>
        <v>T008DFB008DF</v>
      </c>
      <c r="H37" s="133" t="s">
        <v>720</v>
      </c>
      <c r="I37" s="133"/>
      <c r="J37" s="133" t="s">
        <v>723</v>
      </c>
      <c r="K37" s="134">
        <v>45079</v>
      </c>
      <c r="L37" s="135">
        <v>1</v>
      </c>
      <c r="M37" s="133" t="s">
        <v>673</v>
      </c>
      <c r="N37" s="136">
        <v>916</v>
      </c>
      <c r="O37" s="136">
        <v>1007.2</v>
      </c>
      <c r="P37" s="136">
        <f t="shared" ref="P37:P47" si="5">O37-N37</f>
        <v>91.200000000000045</v>
      </c>
      <c r="Q37" s="137">
        <f t="shared" si="4"/>
        <v>916</v>
      </c>
      <c r="R37" s="133" t="s">
        <v>725</v>
      </c>
      <c r="S37" s="138">
        <v>45484</v>
      </c>
      <c r="T37" s="133" t="s">
        <v>664</v>
      </c>
      <c r="U37" s="139" t="str">
        <f t="shared" si="2"/>
        <v>_driedflower_bulk</v>
      </c>
      <c r="V37" s="140" t="str">
        <f>IF(U37="_","",_xlfn.XLOOKUP(U37,internal_cansku_inventory!D:D,internal_cansku_inventory!E:E,"",0,1))</f>
        <v/>
      </c>
    </row>
    <row r="38" spans="1:22" ht="12.45" customHeight="1">
      <c r="A38" s="132">
        <v>26</v>
      </c>
      <c r="B38" s="132">
        <v>0</v>
      </c>
      <c r="C38" s="132" t="str">
        <f>Table1[[#This Row],[inventory_id_head]]&amp;"-"&amp;Table1[[#This Row],[inventory_id_tail]]</f>
        <v>26-0</v>
      </c>
      <c r="D38" s="133" t="s">
        <v>680</v>
      </c>
      <c r="E38" s="133" t="s">
        <v>721</v>
      </c>
      <c r="F38" s="133" t="s">
        <v>726</v>
      </c>
      <c r="G38" s="133" t="str">
        <f t="shared" si="3"/>
        <v>T008DFB009DF</v>
      </c>
      <c r="H38" s="133" t="s">
        <v>720</v>
      </c>
      <c r="I38" s="133"/>
      <c r="J38" s="133" t="s">
        <v>723</v>
      </c>
      <c r="K38" s="134">
        <v>44686</v>
      </c>
      <c r="L38" s="135">
        <v>1</v>
      </c>
      <c r="M38" s="133" t="s">
        <v>673</v>
      </c>
      <c r="N38" s="136">
        <v>1000</v>
      </c>
      <c r="O38" s="136">
        <v>1025.7</v>
      </c>
      <c r="P38" s="136">
        <f t="shared" si="5"/>
        <v>25.700000000000045</v>
      </c>
      <c r="Q38" s="137">
        <f t="shared" si="4"/>
        <v>1000</v>
      </c>
      <c r="R38" s="133"/>
      <c r="S38" s="138">
        <v>45484</v>
      </c>
      <c r="T38" s="133" t="s">
        <v>664</v>
      </c>
      <c r="U38" s="139" t="str">
        <f t="shared" si="2"/>
        <v>_driedflower_bulk</v>
      </c>
      <c r="V38" s="140" t="str">
        <f>IF(U38="_","",_xlfn.XLOOKUP(U38,internal_cansku_inventory!D:D,internal_cansku_inventory!E:E,"",0,1))</f>
        <v/>
      </c>
    </row>
    <row r="39" spans="1:22" ht="12.45" customHeight="1">
      <c r="A39" s="132">
        <v>27</v>
      </c>
      <c r="B39" s="132">
        <v>0</v>
      </c>
      <c r="C39" s="132" t="str">
        <f>Table1[[#This Row],[inventory_id_head]]&amp;"-"&amp;Table1[[#This Row],[inventory_id_tail]]</f>
        <v>27-0</v>
      </c>
      <c r="D39" s="133" t="s">
        <v>680</v>
      </c>
      <c r="E39" s="133" t="s">
        <v>721</v>
      </c>
      <c r="F39" s="133" t="s">
        <v>727</v>
      </c>
      <c r="G39" s="133" t="str">
        <f t="shared" si="3"/>
        <v>T008DFB013DF</v>
      </c>
      <c r="H39" s="133" t="s">
        <v>720</v>
      </c>
      <c r="I39" s="133"/>
      <c r="J39" s="133" t="s">
        <v>723</v>
      </c>
      <c r="K39" s="134">
        <v>44686</v>
      </c>
      <c r="L39" s="135">
        <v>1</v>
      </c>
      <c r="M39" s="133" t="s">
        <v>673</v>
      </c>
      <c r="N39" s="136">
        <v>1000</v>
      </c>
      <c r="O39" s="136">
        <v>1026.3</v>
      </c>
      <c r="P39" s="136">
        <f t="shared" si="5"/>
        <v>26.299999999999955</v>
      </c>
      <c r="Q39" s="137">
        <f t="shared" si="4"/>
        <v>1000</v>
      </c>
      <c r="R39" s="133"/>
      <c r="S39" s="138">
        <v>45484</v>
      </c>
      <c r="T39" s="133" t="s">
        <v>664</v>
      </c>
      <c r="U39" s="139" t="str">
        <f t="shared" si="2"/>
        <v>_driedflower_bulk</v>
      </c>
      <c r="V39" s="140" t="str">
        <f>IF(U39="_","",_xlfn.XLOOKUP(U39,internal_cansku_inventory!D:D,internal_cansku_inventory!E:E,"",0,1))</f>
        <v/>
      </c>
    </row>
    <row r="40" spans="1:22" ht="12.45" customHeight="1">
      <c r="A40" s="132">
        <v>28</v>
      </c>
      <c r="B40" s="132">
        <v>0</v>
      </c>
      <c r="C40" s="132" t="str">
        <f>Table1[[#This Row],[inventory_id_head]]&amp;"-"&amp;Table1[[#This Row],[inventory_id_tail]]</f>
        <v>28-0</v>
      </c>
      <c r="D40" s="133" t="s">
        <v>680</v>
      </c>
      <c r="E40" s="133" t="s">
        <v>721</v>
      </c>
      <c r="F40" s="133" t="s">
        <v>728</v>
      </c>
      <c r="G40" s="133" t="str">
        <f t="shared" si="3"/>
        <v>T008DFB010DF</v>
      </c>
      <c r="H40" s="133" t="s">
        <v>720</v>
      </c>
      <c r="I40" s="133"/>
      <c r="J40" s="133" t="s">
        <v>694</v>
      </c>
      <c r="K40" s="134">
        <v>44686</v>
      </c>
      <c r="L40" s="135">
        <v>1</v>
      </c>
      <c r="M40" s="133" t="s">
        <v>673</v>
      </c>
      <c r="N40" s="136">
        <v>1000</v>
      </c>
      <c r="O40" s="136">
        <v>1020.7</v>
      </c>
      <c r="P40" s="136">
        <f t="shared" si="5"/>
        <v>20.700000000000045</v>
      </c>
      <c r="Q40" s="137">
        <f t="shared" si="4"/>
        <v>1000</v>
      </c>
      <c r="R40" s="133"/>
      <c r="S40" s="138">
        <v>45484</v>
      </c>
      <c r="T40" s="133" t="s">
        <v>664</v>
      </c>
      <c r="U40" s="139" t="str">
        <f t="shared" si="2"/>
        <v>_driedflower_bulk</v>
      </c>
      <c r="V40" s="140" t="str">
        <f>IF(U40="_","",_xlfn.XLOOKUP(U40,internal_cansku_inventory!D:D,internal_cansku_inventory!E:E,"",0,1))</f>
        <v/>
      </c>
    </row>
    <row r="41" spans="1:22" ht="12.45" customHeight="1">
      <c r="A41" s="132">
        <v>29</v>
      </c>
      <c r="B41" s="132">
        <v>0</v>
      </c>
      <c r="C41" s="132" t="str">
        <f>Table1[[#This Row],[inventory_id_head]]&amp;"-"&amp;Table1[[#This Row],[inventory_id_tail]]</f>
        <v>29-0</v>
      </c>
      <c r="D41" s="133" t="s">
        <v>680</v>
      </c>
      <c r="E41" s="133" t="s">
        <v>721</v>
      </c>
      <c r="F41" s="133" t="s">
        <v>729</v>
      </c>
      <c r="G41" s="133" t="str">
        <f t="shared" si="3"/>
        <v>T008DFB012DF</v>
      </c>
      <c r="H41" s="133" t="s">
        <v>720</v>
      </c>
      <c r="I41" s="133"/>
      <c r="J41" s="133" t="s">
        <v>723</v>
      </c>
      <c r="K41" s="134">
        <v>44686</v>
      </c>
      <c r="L41" s="135">
        <v>1</v>
      </c>
      <c r="M41" s="133" t="s">
        <v>673</v>
      </c>
      <c r="N41" s="136">
        <v>1000</v>
      </c>
      <c r="O41" s="136">
        <v>1020.4</v>
      </c>
      <c r="P41" s="136">
        <f t="shared" si="5"/>
        <v>20.399999999999977</v>
      </c>
      <c r="Q41" s="137">
        <f t="shared" si="4"/>
        <v>1000</v>
      </c>
      <c r="R41" s="133"/>
      <c r="S41" s="138">
        <v>45484</v>
      </c>
      <c r="T41" s="133" t="s">
        <v>664</v>
      </c>
      <c r="U41" s="139" t="str">
        <f t="shared" si="2"/>
        <v>_driedflower_bulk</v>
      </c>
      <c r="V41" s="140" t="str">
        <f>IF(U41="_","",_xlfn.XLOOKUP(U41,internal_cansku_inventory!D:D,internal_cansku_inventory!E:E,"",0,1))</f>
        <v/>
      </c>
    </row>
    <row r="42" spans="1:22" ht="12.45" customHeight="1">
      <c r="A42" s="132">
        <v>30</v>
      </c>
      <c r="B42" s="132">
        <v>0</v>
      </c>
      <c r="C42" s="132" t="str">
        <f>Table1[[#This Row],[inventory_id_head]]&amp;"-"&amp;Table1[[#This Row],[inventory_id_tail]]</f>
        <v>30-0</v>
      </c>
      <c r="D42" s="133" t="s">
        <v>680</v>
      </c>
      <c r="E42" s="133" t="s">
        <v>721</v>
      </c>
      <c r="F42" s="133" t="s">
        <v>730</v>
      </c>
      <c r="G42" s="133" t="str">
        <f t="shared" si="3"/>
        <v>T008DFB011DF</v>
      </c>
      <c r="H42" s="133" t="s">
        <v>720</v>
      </c>
      <c r="I42" s="133"/>
      <c r="J42" s="133" t="s">
        <v>723</v>
      </c>
      <c r="K42" s="134">
        <v>44686</v>
      </c>
      <c r="L42" s="135">
        <v>1</v>
      </c>
      <c r="M42" s="133" t="s">
        <v>673</v>
      </c>
      <c r="N42" s="136">
        <v>1000</v>
      </c>
      <c r="O42" s="136">
        <v>1026.0999999999999</v>
      </c>
      <c r="P42" s="136">
        <f t="shared" si="5"/>
        <v>26.099999999999909</v>
      </c>
      <c r="Q42" s="137">
        <f t="shared" si="4"/>
        <v>1000</v>
      </c>
      <c r="R42" s="133"/>
      <c r="S42" s="138">
        <v>45484</v>
      </c>
      <c r="T42" s="133" t="s">
        <v>664</v>
      </c>
      <c r="U42" s="139" t="str">
        <f t="shared" si="2"/>
        <v>_driedflower_bulk</v>
      </c>
      <c r="V42" s="140" t="str">
        <f>IF(U42="_","",_xlfn.XLOOKUP(U42,internal_cansku_inventory!D:D,internal_cansku_inventory!E:E,"",0,1))</f>
        <v/>
      </c>
    </row>
    <row r="43" spans="1:22" ht="12.45" customHeight="1">
      <c r="A43" s="132">
        <v>31</v>
      </c>
      <c r="B43" s="132">
        <v>0</v>
      </c>
      <c r="C43" s="132" t="str">
        <f>Table1[[#This Row],[inventory_id_head]]&amp;"-"&amp;Table1[[#This Row],[inventory_id_tail]]</f>
        <v>31-0</v>
      </c>
      <c r="D43" s="133" t="s">
        <v>653</v>
      </c>
      <c r="E43" s="133" t="s">
        <v>721</v>
      </c>
      <c r="F43" s="133" t="s">
        <v>731</v>
      </c>
      <c r="G43" s="133" t="str">
        <f t="shared" si="3"/>
        <v>T008DFB016DF</v>
      </c>
      <c r="H43" s="133" t="s">
        <v>720</v>
      </c>
      <c r="I43" s="133"/>
      <c r="J43" s="133" t="s">
        <v>723</v>
      </c>
      <c r="K43" s="134">
        <v>44686</v>
      </c>
      <c r="L43" s="135">
        <v>1</v>
      </c>
      <c r="M43" s="133" t="s">
        <v>673</v>
      </c>
      <c r="N43" s="136">
        <v>1000</v>
      </c>
      <c r="O43" s="136">
        <v>1024</v>
      </c>
      <c r="P43" s="136">
        <f t="shared" si="5"/>
        <v>24</v>
      </c>
      <c r="Q43" s="137">
        <f t="shared" si="4"/>
        <v>1000</v>
      </c>
      <c r="R43" s="133"/>
      <c r="S43" s="138">
        <v>45484</v>
      </c>
      <c r="T43" s="133" t="s">
        <v>664</v>
      </c>
      <c r="U43" s="139" t="str">
        <f t="shared" si="2"/>
        <v>_driedflower_bulk</v>
      </c>
      <c r="V43" s="140" t="str">
        <f>IF(U43="_","",_xlfn.XLOOKUP(U43,internal_cansku_inventory!D:D,internal_cansku_inventory!E:E,"",0,1))</f>
        <v/>
      </c>
    </row>
    <row r="44" spans="1:22" ht="12.45" customHeight="1">
      <c r="A44" s="132">
        <v>32</v>
      </c>
      <c r="B44" s="132">
        <v>0</v>
      </c>
      <c r="C44" s="132" t="str">
        <f>Table1[[#This Row],[inventory_id_head]]&amp;"-"&amp;Table1[[#This Row],[inventory_id_tail]]</f>
        <v>32-0</v>
      </c>
      <c r="D44" s="133" t="s">
        <v>653</v>
      </c>
      <c r="E44" s="133" t="s">
        <v>721</v>
      </c>
      <c r="F44" s="133" t="s">
        <v>732</v>
      </c>
      <c r="G44" s="133" t="str">
        <f t="shared" si="3"/>
        <v>T008DFB015DF</v>
      </c>
      <c r="H44" s="133" t="s">
        <v>720</v>
      </c>
      <c r="I44" s="133"/>
      <c r="J44" s="133" t="s">
        <v>723</v>
      </c>
      <c r="K44" s="134">
        <v>44686</v>
      </c>
      <c r="L44" s="135">
        <v>1</v>
      </c>
      <c r="M44" s="133" t="s">
        <v>673</v>
      </c>
      <c r="N44" s="136">
        <v>1000</v>
      </c>
      <c r="O44" s="136">
        <v>1021.2</v>
      </c>
      <c r="P44" s="136">
        <f t="shared" si="5"/>
        <v>21.200000000000045</v>
      </c>
      <c r="Q44" s="137">
        <f t="shared" si="4"/>
        <v>1000</v>
      </c>
      <c r="R44" s="133"/>
      <c r="S44" s="138">
        <v>45484</v>
      </c>
      <c r="T44" s="133" t="s">
        <v>664</v>
      </c>
      <c r="U44" s="139" t="str">
        <f t="shared" si="2"/>
        <v>_driedflower_bulk</v>
      </c>
      <c r="V44" s="140" t="str">
        <f>IF(U44="_","",_xlfn.XLOOKUP(U44,internal_cansku_inventory!D:D,internal_cansku_inventory!E:E,"",0,1))</f>
        <v/>
      </c>
    </row>
    <row r="45" spans="1:22" ht="12.45" customHeight="1">
      <c r="A45" s="132">
        <v>33</v>
      </c>
      <c r="B45" s="132">
        <v>0</v>
      </c>
      <c r="C45" s="132" t="str">
        <f>Table1[[#This Row],[inventory_id_head]]&amp;"-"&amp;Table1[[#This Row],[inventory_id_tail]]</f>
        <v>33-0</v>
      </c>
      <c r="D45" s="133" t="s">
        <v>653</v>
      </c>
      <c r="E45" s="133" t="s">
        <v>721</v>
      </c>
      <c r="F45" s="133" t="s">
        <v>733</v>
      </c>
      <c r="G45" s="133" t="str">
        <f t="shared" si="3"/>
        <v>T008DFB014DF</v>
      </c>
      <c r="H45" s="133" t="s">
        <v>720</v>
      </c>
      <c r="I45" s="133"/>
      <c r="J45" s="133" t="s">
        <v>723</v>
      </c>
      <c r="K45" s="134">
        <v>44686</v>
      </c>
      <c r="L45" s="135">
        <v>1</v>
      </c>
      <c r="M45" s="133" t="s">
        <v>673</v>
      </c>
      <c r="N45" s="136">
        <v>1000</v>
      </c>
      <c r="O45" s="136">
        <v>1027.5999999999999</v>
      </c>
      <c r="P45" s="136">
        <f t="shared" si="5"/>
        <v>27.599999999999909</v>
      </c>
      <c r="Q45" s="137">
        <f t="shared" si="4"/>
        <v>1000</v>
      </c>
      <c r="R45" s="133"/>
      <c r="S45" s="138">
        <v>45484</v>
      </c>
      <c r="T45" s="133" t="s">
        <v>664</v>
      </c>
      <c r="U45" s="139" t="str">
        <f t="shared" si="2"/>
        <v>_driedflower_bulk</v>
      </c>
      <c r="V45" s="140" t="str">
        <f>IF(U45="_","",_xlfn.XLOOKUP(U45,internal_cansku_inventory!D:D,internal_cansku_inventory!E:E,"",0,1))</f>
        <v/>
      </c>
    </row>
    <row r="46" spans="1:22" ht="12.45" customHeight="1">
      <c r="A46" s="132">
        <v>34</v>
      </c>
      <c r="B46" s="132">
        <v>0</v>
      </c>
      <c r="C46" s="132" t="str">
        <f>Table1[[#This Row],[inventory_id_head]]&amp;"-"&amp;Table1[[#This Row],[inventory_id_tail]]</f>
        <v>34-0</v>
      </c>
      <c r="D46" s="133" t="s">
        <v>653</v>
      </c>
      <c r="E46" s="133" t="s">
        <v>721</v>
      </c>
      <c r="F46" s="133" t="s">
        <v>734</v>
      </c>
      <c r="G46" s="133" t="str">
        <f t="shared" si="3"/>
        <v>T008DFB018DF</v>
      </c>
      <c r="H46" s="133" t="s">
        <v>720</v>
      </c>
      <c r="I46" s="133"/>
      <c r="J46" s="133" t="s">
        <v>723</v>
      </c>
      <c r="K46" s="134">
        <v>44686</v>
      </c>
      <c r="L46" s="135">
        <v>1</v>
      </c>
      <c r="M46" s="133" t="s">
        <v>673</v>
      </c>
      <c r="N46" s="136">
        <v>1000</v>
      </c>
      <c r="O46" s="136">
        <v>1025</v>
      </c>
      <c r="P46" s="136">
        <f t="shared" si="5"/>
        <v>25</v>
      </c>
      <c r="Q46" s="137">
        <f t="shared" si="4"/>
        <v>1000</v>
      </c>
      <c r="R46" s="133"/>
      <c r="S46" s="138">
        <v>45484</v>
      </c>
      <c r="T46" s="133" t="s">
        <v>664</v>
      </c>
      <c r="U46" s="139" t="str">
        <f t="shared" si="2"/>
        <v>_driedflower_bulk</v>
      </c>
      <c r="V46" s="140" t="str">
        <f>IF(U46="_","",_xlfn.XLOOKUP(U46,internal_cansku_inventory!D:D,internal_cansku_inventory!E:E,"",0,1))</f>
        <v/>
      </c>
    </row>
    <row r="47" spans="1:22" ht="12.45" customHeight="1">
      <c r="A47" s="132">
        <v>35</v>
      </c>
      <c r="B47" s="132">
        <v>0</v>
      </c>
      <c r="C47" s="132" t="str">
        <f>Table1[[#This Row],[inventory_id_head]]&amp;"-"&amp;Table1[[#This Row],[inventory_id_tail]]</f>
        <v>35-0</v>
      </c>
      <c r="D47" s="133" t="s">
        <v>653</v>
      </c>
      <c r="E47" s="133" t="s">
        <v>721</v>
      </c>
      <c r="F47" s="133" t="s">
        <v>735</v>
      </c>
      <c r="G47" s="133" t="str">
        <f t="shared" si="3"/>
        <v>T008DFB017DF</v>
      </c>
      <c r="H47" s="133" t="s">
        <v>720</v>
      </c>
      <c r="I47" s="133"/>
      <c r="J47" s="133" t="s">
        <v>723</v>
      </c>
      <c r="K47" s="134">
        <v>44686</v>
      </c>
      <c r="L47" s="135">
        <v>1</v>
      </c>
      <c r="M47" s="133" t="s">
        <v>673</v>
      </c>
      <c r="N47" s="136">
        <v>1000</v>
      </c>
      <c r="O47" s="136">
        <v>1016.1</v>
      </c>
      <c r="P47" s="136">
        <f t="shared" si="5"/>
        <v>16.100000000000023</v>
      </c>
      <c r="Q47" s="137">
        <f t="shared" si="4"/>
        <v>1000</v>
      </c>
      <c r="R47" s="133"/>
      <c r="S47" s="138">
        <v>45484</v>
      </c>
      <c r="T47" s="133" t="s">
        <v>664</v>
      </c>
      <c r="U47" s="139" t="str">
        <f t="shared" si="2"/>
        <v>_driedflower_bulk</v>
      </c>
      <c r="V47" s="140" t="str">
        <f>IF(U47="_","",_xlfn.XLOOKUP(U47,internal_cansku_inventory!D:D,internal_cansku_inventory!E:E,"",0,1))</f>
        <v/>
      </c>
    </row>
    <row r="48" spans="1:22" ht="12.45" customHeight="1">
      <c r="A48" s="132">
        <v>36</v>
      </c>
      <c r="B48" s="132">
        <v>0</v>
      </c>
      <c r="C48" s="132" t="str">
        <f>Table1[[#This Row],[inventory_id_head]]&amp;"-"&amp;Table1[[#This Row],[inventory_id_tail]]</f>
        <v>36-0</v>
      </c>
      <c r="D48" s="133" t="s">
        <v>653</v>
      </c>
      <c r="E48" s="133" t="s">
        <v>721</v>
      </c>
      <c r="F48" s="133" t="s">
        <v>736</v>
      </c>
      <c r="G48" s="133" t="str">
        <f t="shared" si="3"/>
        <v>T008DFB019DF</v>
      </c>
      <c r="H48" s="133" t="s">
        <v>720</v>
      </c>
      <c r="I48" s="133"/>
      <c r="J48" s="133" t="s">
        <v>723</v>
      </c>
      <c r="K48" s="134">
        <v>44686</v>
      </c>
      <c r="L48" s="135">
        <v>1</v>
      </c>
      <c r="M48" s="133" t="s">
        <v>673</v>
      </c>
      <c r="N48" s="136">
        <v>982.3</v>
      </c>
      <c r="O48" s="136">
        <v>982.3</v>
      </c>
      <c r="P48" s="136">
        <v>0</v>
      </c>
      <c r="Q48" s="137">
        <f t="shared" si="4"/>
        <v>982.3</v>
      </c>
      <c r="R48" s="133"/>
      <c r="S48" s="138">
        <v>45484</v>
      </c>
      <c r="T48" s="133" t="s">
        <v>664</v>
      </c>
      <c r="U48" s="139" t="str">
        <f t="shared" si="2"/>
        <v>_driedflower_bulk</v>
      </c>
      <c r="V48" s="140" t="str">
        <f>IF(U48="_","",_xlfn.XLOOKUP(U48,internal_cansku_inventory!D:D,internal_cansku_inventory!E:E,"",0,1))</f>
        <v/>
      </c>
    </row>
    <row r="49" spans="1:22" ht="12.45" customHeight="1">
      <c r="A49" s="132">
        <v>37</v>
      </c>
      <c r="B49" s="132">
        <v>0</v>
      </c>
      <c r="C49" s="132" t="str">
        <f>Table1[[#This Row],[inventory_id_head]]&amp;"-"&amp;Table1[[#This Row],[inventory_id_tail]]</f>
        <v>37-0</v>
      </c>
      <c r="D49" s="133" t="s">
        <v>680</v>
      </c>
      <c r="E49" s="133" t="s">
        <v>721</v>
      </c>
      <c r="F49" s="133" t="s">
        <v>737</v>
      </c>
      <c r="G49" s="133" t="str">
        <f t="shared" si="3"/>
        <v>T008DFB020DF</v>
      </c>
      <c r="H49" s="133" t="s">
        <v>720</v>
      </c>
      <c r="I49" s="133"/>
      <c r="J49" s="133" t="s">
        <v>723</v>
      </c>
      <c r="K49" s="134">
        <v>44686</v>
      </c>
      <c r="L49" s="135">
        <v>1</v>
      </c>
      <c r="M49" s="133" t="s">
        <v>673</v>
      </c>
      <c r="N49" s="136">
        <f>O49-P49</f>
        <v>426.8</v>
      </c>
      <c r="O49" s="136">
        <v>450.8</v>
      </c>
      <c r="P49" s="136">
        <v>24</v>
      </c>
      <c r="Q49" s="137">
        <f t="shared" si="4"/>
        <v>426.8</v>
      </c>
      <c r="R49" s="133"/>
      <c r="S49" s="138">
        <v>45484</v>
      </c>
      <c r="T49" s="133" t="s">
        <v>664</v>
      </c>
      <c r="U49" s="139" t="str">
        <f t="shared" si="2"/>
        <v>_driedflower_bulk</v>
      </c>
      <c r="V49" s="140" t="str">
        <f>IF(U49="_","",_xlfn.XLOOKUP(U49,internal_cansku_inventory!D:D,internal_cansku_inventory!E:E,"",0,1))</f>
        <v/>
      </c>
    </row>
    <row r="50" spans="1:22" ht="12.45" customHeight="1">
      <c r="A50" s="132">
        <v>38</v>
      </c>
      <c r="B50" s="132">
        <v>0</v>
      </c>
      <c r="C50" s="132" t="str">
        <f>Table1[[#This Row],[inventory_id_head]]&amp;"-"&amp;Table1[[#This Row],[inventory_id_tail]]</f>
        <v>38-0</v>
      </c>
      <c r="D50" s="133" t="s">
        <v>653</v>
      </c>
      <c r="E50" s="133" t="s">
        <v>719</v>
      </c>
      <c r="F50" s="133" t="s">
        <v>738</v>
      </c>
      <c r="G50" s="133" t="str">
        <f t="shared" ref="G50:G81" si="6">E50&amp;F50</f>
        <v>T009DFB021DF</v>
      </c>
      <c r="H50" s="133" t="s">
        <v>720</v>
      </c>
      <c r="I50" s="133"/>
      <c r="J50" s="133">
        <v>2022051601</v>
      </c>
      <c r="K50" s="134">
        <v>44830</v>
      </c>
      <c r="L50" s="135">
        <v>1</v>
      </c>
      <c r="M50" s="133" t="s">
        <v>673</v>
      </c>
      <c r="N50" s="136">
        <v>1000</v>
      </c>
      <c r="O50" s="136">
        <v>1046.0999999999999</v>
      </c>
      <c r="P50" s="136">
        <f t="shared" ref="P50:P82" si="7">O50-N50</f>
        <v>46.099999999999909</v>
      </c>
      <c r="Q50" s="137">
        <f t="shared" si="4"/>
        <v>1000</v>
      </c>
      <c r="R50" s="133"/>
      <c r="S50" s="138">
        <v>45484</v>
      </c>
      <c r="T50" s="133" t="s">
        <v>664</v>
      </c>
      <c r="U50" s="139" t="str">
        <f t="shared" si="2"/>
        <v>_driedflower_bulk</v>
      </c>
      <c r="V50" s="140" t="str">
        <f>IF(U50="_","",_xlfn.XLOOKUP(U50,internal_cansku_inventory!D:D,internal_cansku_inventory!E:E,"",0,1))</f>
        <v/>
      </c>
    </row>
    <row r="51" spans="1:22" ht="12.45" customHeight="1">
      <c r="A51" s="132">
        <v>39</v>
      </c>
      <c r="B51" s="132">
        <v>0</v>
      </c>
      <c r="C51" s="132" t="str">
        <f>Table1[[#This Row],[inventory_id_head]]&amp;"-"&amp;Table1[[#This Row],[inventory_id_tail]]</f>
        <v>39-0</v>
      </c>
      <c r="D51" s="133" t="s">
        <v>653</v>
      </c>
      <c r="E51" s="133" t="s">
        <v>719</v>
      </c>
      <c r="F51" s="133" t="s">
        <v>739</v>
      </c>
      <c r="G51" s="133" t="str">
        <f t="shared" si="6"/>
        <v>T009DFB022DF</v>
      </c>
      <c r="H51" s="133" t="s">
        <v>720</v>
      </c>
      <c r="I51" s="133"/>
      <c r="J51" s="133">
        <v>2022051601</v>
      </c>
      <c r="K51" s="134">
        <v>44830</v>
      </c>
      <c r="L51" s="135">
        <v>1</v>
      </c>
      <c r="M51" s="133" t="s">
        <v>673</v>
      </c>
      <c r="N51" s="136">
        <v>1000</v>
      </c>
      <c r="O51" s="136">
        <v>1047.0999999999999</v>
      </c>
      <c r="P51" s="136">
        <f t="shared" si="7"/>
        <v>47.099999999999909</v>
      </c>
      <c r="Q51" s="137">
        <f t="shared" si="4"/>
        <v>1000</v>
      </c>
      <c r="R51" s="133"/>
      <c r="S51" s="138">
        <v>45484</v>
      </c>
      <c r="T51" s="133" t="s">
        <v>664</v>
      </c>
      <c r="U51" s="139" t="str">
        <f t="shared" si="2"/>
        <v>_driedflower_bulk</v>
      </c>
      <c r="V51" s="140" t="str">
        <f>IF(U51="_","",_xlfn.XLOOKUP(U51,internal_cansku_inventory!D:D,internal_cansku_inventory!E:E,"",0,1))</f>
        <v/>
      </c>
    </row>
    <row r="52" spans="1:22" ht="12.45" customHeight="1">
      <c r="A52" s="132">
        <v>40</v>
      </c>
      <c r="B52" s="132">
        <v>0</v>
      </c>
      <c r="C52" s="132" t="str">
        <f>Table1[[#This Row],[inventory_id_head]]&amp;"-"&amp;Table1[[#This Row],[inventory_id_tail]]</f>
        <v>40-0</v>
      </c>
      <c r="D52" s="133" t="s">
        <v>653</v>
      </c>
      <c r="E52" s="133" t="s">
        <v>719</v>
      </c>
      <c r="F52" s="133" t="s">
        <v>740</v>
      </c>
      <c r="G52" s="133" t="str">
        <f t="shared" si="6"/>
        <v>T009DFB023DF</v>
      </c>
      <c r="H52" s="133" t="s">
        <v>720</v>
      </c>
      <c r="I52" s="133"/>
      <c r="J52" s="133">
        <v>2022051601</v>
      </c>
      <c r="K52" s="134">
        <v>44830</v>
      </c>
      <c r="L52" s="135">
        <v>1</v>
      </c>
      <c r="M52" s="133" t="s">
        <v>673</v>
      </c>
      <c r="N52" s="136">
        <v>1000</v>
      </c>
      <c r="O52" s="136">
        <v>1042.0999999999999</v>
      </c>
      <c r="P52" s="136">
        <f t="shared" si="7"/>
        <v>42.099999999999909</v>
      </c>
      <c r="Q52" s="137">
        <f t="shared" si="4"/>
        <v>1000</v>
      </c>
      <c r="R52" s="133"/>
      <c r="S52" s="138">
        <v>45484</v>
      </c>
      <c r="T52" s="133" t="s">
        <v>664</v>
      </c>
      <c r="U52" s="139" t="str">
        <f t="shared" si="2"/>
        <v>_driedflower_bulk</v>
      </c>
      <c r="V52" s="140" t="str">
        <f>IF(U52="_","",_xlfn.XLOOKUP(U52,internal_cansku_inventory!D:D,internal_cansku_inventory!E:E,"",0,1))</f>
        <v/>
      </c>
    </row>
    <row r="53" spans="1:22" ht="12.45" customHeight="1">
      <c r="A53" s="132">
        <v>42</v>
      </c>
      <c r="B53" s="132">
        <v>0</v>
      </c>
      <c r="C53" s="132" t="str">
        <f>Table1[[#This Row],[inventory_id_head]]&amp;"-"&amp;Table1[[#This Row],[inventory_id_tail]]</f>
        <v>42-0</v>
      </c>
      <c r="D53" s="133" t="s">
        <v>653</v>
      </c>
      <c r="E53" s="133" t="s">
        <v>719</v>
      </c>
      <c r="F53" s="133" t="s">
        <v>741</v>
      </c>
      <c r="G53" s="133" t="str">
        <f t="shared" si="6"/>
        <v>T009DFB025DF</v>
      </c>
      <c r="H53" s="133" t="s">
        <v>720</v>
      </c>
      <c r="I53" s="133"/>
      <c r="J53" s="133">
        <v>2022051601</v>
      </c>
      <c r="K53" s="134">
        <v>44830</v>
      </c>
      <c r="L53" s="135">
        <v>1</v>
      </c>
      <c r="M53" s="133" t="s">
        <v>673</v>
      </c>
      <c r="N53" s="136">
        <v>1000</v>
      </c>
      <c r="O53" s="136">
        <v>1046</v>
      </c>
      <c r="P53" s="136">
        <f t="shared" si="7"/>
        <v>46</v>
      </c>
      <c r="Q53" s="137">
        <f t="shared" si="4"/>
        <v>1000</v>
      </c>
      <c r="R53" s="133"/>
      <c r="S53" s="138">
        <v>45484</v>
      </c>
      <c r="T53" s="133" t="s">
        <v>664</v>
      </c>
      <c r="U53" s="139" t="str">
        <f t="shared" si="2"/>
        <v>_driedflower_bulk</v>
      </c>
      <c r="V53" s="140" t="str">
        <f>IF(U53="_","",_xlfn.XLOOKUP(U53,internal_cansku_inventory!D:D,internal_cansku_inventory!E:E,"",0,1))</f>
        <v/>
      </c>
    </row>
    <row r="54" spans="1:22" ht="12.45" customHeight="1">
      <c r="A54" s="132">
        <v>43</v>
      </c>
      <c r="B54" s="132">
        <v>0</v>
      </c>
      <c r="C54" s="132" t="str">
        <f>Table1[[#This Row],[inventory_id_head]]&amp;"-"&amp;Table1[[#This Row],[inventory_id_tail]]</f>
        <v>43-0</v>
      </c>
      <c r="D54" s="133" t="s">
        <v>653</v>
      </c>
      <c r="E54" s="133" t="s">
        <v>719</v>
      </c>
      <c r="F54" s="133" t="s">
        <v>742</v>
      </c>
      <c r="G54" s="133" t="str">
        <f t="shared" si="6"/>
        <v>T009DFB026DF</v>
      </c>
      <c r="H54" s="133" t="s">
        <v>720</v>
      </c>
      <c r="I54" s="133"/>
      <c r="J54" s="133">
        <v>2022051601</v>
      </c>
      <c r="K54" s="134">
        <v>44830</v>
      </c>
      <c r="L54" s="135">
        <v>1</v>
      </c>
      <c r="M54" s="133" t="s">
        <v>673</v>
      </c>
      <c r="N54" s="136">
        <v>1000</v>
      </c>
      <c r="O54" s="136">
        <v>1046</v>
      </c>
      <c r="P54" s="136">
        <f t="shared" si="7"/>
        <v>46</v>
      </c>
      <c r="Q54" s="137">
        <f t="shared" si="4"/>
        <v>1000</v>
      </c>
      <c r="R54" s="133"/>
      <c r="S54" s="138">
        <v>45484</v>
      </c>
      <c r="T54" s="133" t="s">
        <v>664</v>
      </c>
      <c r="U54" s="139" t="str">
        <f t="shared" si="2"/>
        <v>_driedflower_bulk</v>
      </c>
      <c r="V54" s="140" t="str">
        <f>IF(U54="_","",_xlfn.XLOOKUP(U54,internal_cansku_inventory!D:D,internal_cansku_inventory!E:E,"",0,1))</f>
        <v/>
      </c>
    </row>
    <row r="55" spans="1:22" ht="12.45" customHeight="1">
      <c r="A55" s="132">
        <v>44</v>
      </c>
      <c r="B55" s="132">
        <v>0</v>
      </c>
      <c r="C55" s="132" t="str">
        <f>Table1[[#This Row],[inventory_id_head]]&amp;"-"&amp;Table1[[#This Row],[inventory_id_tail]]</f>
        <v>44-0</v>
      </c>
      <c r="D55" s="133" t="s">
        <v>653</v>
      </c>
      <c r="E55" s="133" t="s">
        <v>719</v>
      </c>
      <c r="F55" s="133" t="s">
        <v>743</v>
      </c>
      <c r="G55" s="133" t="str">
        <f t="shared" si="6"/>
        <v>T009DFB027DF</v>
      </c>
      <c r="H55" s="133" t="s">
        <v>720</v>
      </c>
      <c r="I55" s="133"/>
      <c r="J55" s="133">
        <v>2022051601</v>
      </c>
      <c r="K55" s="134">
        <v>44830</v>
      </c>
      <c r="L55" s="135">
        <v>1</v>
      </c>
      <c r="M55" s="133" t="s">
        <v>673</v>
      </c>
      <c r="N55" s="136">
        <v>1000</v>
      </c>
      <c r="O55" s="136">
        <v>1046</v>
      </c>
      <c r="P55" s="136">
        <f t="shared" si="7"/>
        <v>46</v>
      </c>
      <c r="Q55" s="137">
        <f t="shared" si="4"/>
        <v>1000</v>
      </c>
      <c r="R55" s="133"/>
      <c r="S55" s="138">
        <v>45484</v>
      </c>
      <c r="T55" s="133" t="s">
        <v>664</v>
      </c>
      <c r="U55" s="139" t="str">
        <f t="shared" si="2"/>
        <v>_driedflower_bulk</v>
      </c>
      <c r="V55" s="140" t="str">
        <f>IF(U55="_","",_xlfn.XLOOKUP(U55,internal_cansku_inventory!D:D,internal_cansku_inventory!E:E,"",0,1))</f>
        <v/>
      </c>
    </row>
    <row r="56" spans="1:22" ht="12.45" customHeight="1">
      <c r="A56" s="132">
        <v>45</v>
      </c>
      <c r="B56" s="132">
        <v>0</v>
      </c>
      <c r="C56" s="132" t="str">
        <f>Table1[[#This Row],[inventory_id_head]]&amp;"-"&amp;Table1[[#This Row],[inventory_id_tail]]</f>
        <v>45-0</v>
      </c>
      <c r="D56" s="133" t="s">
        <v>653</v>
      </c>
      <c r="E56" s="133" t="s">
        <v>744</v>
      </c>
      <c r="F56" s="133" t="s">
        <v>745</v>
      </c>
      <c r="G56" s="133" t="str">
        <f t="shared" si="6"/>
        <v>T010DFB028DF</v>
      </c>
      <c r="H56" s="133" t="s">
        <v>720</v>
      </c>
      <c r="I56" s="133"/>
      <c r="J56" s="133">
        <v>2022051603</v>
      </c>
      <c r="K56" s="134">
        <v>44830</v>
      </c>
      <c r="L56" s="135">
        <v>1</v>
      </c>
      <c r="M56" s="133" t="s">
        <v>673</v>
      </c>
      <c r="N56" s="136">
        <v>1000</v>
      </c>
      <c r="O56" s="136">
        <v>1021</v>
      </c>
      <c r="P56" s="136">
        <f t="shared" si="7"/>
        <v>21</v>
      </c>
      <c r="Q56" s="137">
        <f t="shared" si="4"/>
        <v>1000</v>
      </c>
      <c r="R56" s="133"/>
      <c r="S56" s="138">
        <v>45484</v>
      </c>
      <c r="T56" s="133" t="s">
        <v>664</v>
      </c>
      <c r="U56" s="139" t="str">
        <f t="shared" si="2"/>
        <v>_driedflower_bulk</v>
      </c>
      <c r="V56" s="140" t="str">
        <f>IF(U56="_","",_xlfn.XLOOKUP(U56,internal_cansku_inventory!D:D,internal_cansku_inventory!E:E,"",0,1))</f>
        <v/>
      </c>
    </row>
    <row r="57" spans="1:22" ht="12.45" customHeight="1">
      <c r="A57" s="132">
        <v>46</v>
      </c>
      <c r="B57" s="132">
        <v>0</v>
      </c>
      <c r="C57" s="132" t="str">
        <f>Table1[[#This Row],[inventory_id_head]]&amp;"-"&amp;Table1[[#This Row],[inventory_id_tail]]</f>
        <v>46-0</v>
      </c>
      <c r="D57" s="133" t="s">
        <v>653</v>
      </c>
      <c r="E57" s="133" t="s">
        <v>744</v>
      </c>
      <c r="F57" s="133" t="s">
        <v>746</v>
      </c>
      <c r="G57" s="133" t="str">
        <f t="shared" si="6"/>
        <v>T010DFB029DF</v>
      </c>
      <c r="H57" s="133" t="s">
        <v>720</v>
      </c>
      <c r="I57" s="133"/>
      <c r="J57" s="133">
        <v>2022051603</v>
      </c>
      <c r="K57" s="134">
        <v>44830</v>
      </c>
      <c r="L57" s="135">
        <v>1</v>
      </c>
      <c r="M57" s="133" t="s">
        <v>673</v>
      </c>
      <c r="N57" s="136">
        <v>1000</v>
      </c>
      <c r="O57" s="136">
        <v>1025</v>
      </c>
      <c r="P57" s="136">
        <f t="shared" si="7"/>
        <v>25</v>
      </c>
      <c r="Q57" s="137">
        <f t="shared" si="4"/>
        <v>1000</v>
      </c>
      <c r="R57" s="133"/>
      <c r="S57" s="138">
        <v>45484</v>
      </c>
      <c r="T57" s="133" t="s">
        <v>664</v>
      </c>
      <c r="U57" s="139" t="str">
        <f t="shared" si="2"/>
        <v>_driedflower_bulk</v>
      </c>
      <c r="V57" s="140" t="str">
        <f>IF(U57="_","",_xlfn.XLOOKUP(U57,internal_cansku_inventory!D:D,internal_cansku_inventory!E:E,"",0,1))</f>
        <v/>
      </c>
    </row>
    <row r="58" spans="1:22" ht="12.45" customHeight="1">
      <c r="A58" s="132">
        <v>47</v>
      </c>
      <c r="B58" s="132">
        <v>0</v>
      </c>
      <c r="C58" s="132" t="str">
        <f>Table1[[#This Row],[inventory_id_head]]&amp;"-"&amp;Table1[[#This Row],[inventory_id_tail]]</f>
        <v>47-0</v>
      </c>
      <c r="D58" s="133" t="s">
        <v>653</v>
      </c>
      <c r="E58" s="133" t="s">
        <v>744</v>
      </c>
      <c r="F58" s="133" t="s">
        <v>747</v>
      </c>
      <c r="G58" s="133" t="str">
        <f t="shared" si="6"/>
        <v>T010DFB030DF</v>
      </c>
      <c r="H58" s="133" t="s">
        <v>720</v>
      </c>
      <c r="I58" s="133"/>
      <c r="J58" s="133">
        <v>2022051603</v>
      </c>
      <c r="K58" s="134">
        <v>44830</v>
      </c>
      <c r="L58" s="135">
        <v>1</v>
      </c>
      <c r="M58" s="133" t="s">
        <v>673</v>
      </c>
      <c r="N58" s="136">
        <v>500</v>
      </c>
      <c r="O58" s="136">
        <v>514</v>
      </c>
      <c r="P58" s="136">
        <f t="shared" si="7"/>
        <v>14</v>
      </c>
      <c r="Q58" s="137">
        <f t="shared" si="4"/>
        <v>500</v>
      </c>
      <c r="R58" s="133"/>
      <c r="S58" s="138">
        <v>45484</v>
      </c>
      <c r="T58" s="133" t="s">
        <v>664</v>
      </c>
      <c r="U58" s="139" t="str">
        <f t="shared" si="2"/>
        <v>_driedflower_bulk</v>
      </c>
      <c r="V58" s="140" t="str">
        <f>IF(U58="_","",_xlfn.XLOOKUP(U58,internal_cansku_inventory!D:D,internal_cansku_inventory!E:E,"",0,1))</f>
        <v/>
      </c>
    </row>
    <row r="59" spans="1:22" ht="12.45" customHeight="1">
      <c r="A59" s="132">
        <v>48</v>
      </c>
      <c r="B59" s="132">
        <v>0</v>
      </c>
      <c r="C59" s="132" t="str">
        <f>Table1[[#This Row],[inventory_id_head]]&amp;"-"&amp;Table1[[#This Row],[inventory_id_tail]]</f>
        <v>48-0</v>
      </c>
      <c r="D59" s="133" t="s">
        <v>653</v>
      </c>
      <c r="E59" s="133" t="s">
        <v>744</v>
      </c>
      <c r="F59" s="133" t="s">
        <v>748</v>
      </c>
      <c r="G59" s="133" t="str">
        <f t="shared" si="6"/>
        <v>T010DFB031DF</v>
      </c>
      <c r="H59" s="133" t="s">
        <v>720</v>
      </c>
      <c r="I59" s="133"/>
      <c r="J59" s="133">
        <v>2022051603</v>
      </c>
      <c r="K59" s="134">
        <v>44830</v>
      </c>
      <c r="L59" s="135">
        <v>1</v>
      </c>
      <c r="M59" s="133" t="s">
        <v>673</v>
      </c>
      <c r="N59" s="136">
        <v>1000</v>
      </c>
      <c r="O59" s="136">
        <v>1024</v>
      </c>
      <c r="P59" s="136">
        <f t="shared" si="7"/>
        <v>24</v>
      </c>
      <c r="Q59" s="137">
        <f t="shared" si="4"/>
        <v>1000</v>
      </c>
      <c r="R59" s="133"/>
      <c r="S59" s="138">
        <v>45484</v>
      </c>
      <c r="T59" s="133" t="s">
        <v>664</v>
      </c>
      <c r="U59" s="139" t="str">
        <f t="shared" si="2"/>
        <v>_driedflower_bulk</v>
      </c>
      <c r="V59" s="140" t="str">
        <f>IF(U59="_","",_xlfn.XLOOKUP(U59,internal_cansku_inventory!D:D,internal_cansku_inventory!E:E,"",0,1))</f>
        <v/>
      </c>
    </row>
    <row r="60" spans="1:22" ht="12.45" customHeight="1">
      <c r="A60" s="132">
        <v>49</v>
      </c>
      <c r="B60" s="132">
        <v>0</v>
      </c>
      <c r="C60" s="132" t="str">
        <f>Table1[[#This Row],[inventory_id_head]]&amp;"-"&amp;Table1[[#This Row],[inventory_id_tail]]</f>
        <v>49-0</v>
      </c>
      <c r="D60" s="133" t="s">
        <v>653</v>
      </c>
      <c r="E60" s="133" t="s">
        <v>744</v>
      </c>
      <c r="F60" s="133" t="s">
        <v>749</v>
      </c>
      <c r="G60" s="133" t="str">
        <f t="shared" si="6"/>
        <v>T010DFB032DF</v>
      </c>
      <c r="H60" s="133" t="s">
        <v>720</v>
      </c>
      <c r="I60" s="133"/>
      <c r="J60" s="133">
        <v>2022051603</v>
      </c>
      <c r="K60" s="134">
        <v>44830</v>
      </c>
      <c r="L60" s="135">
        <v>1</v>
      </c>
      <c r="M60" s="133" t="s">
        <v>673</v>
      </c>
      <c r="N60" s="136">
        <v>1000</v>
      </c>
      <c r="O60" s="136">
        <v>1028</v>
      </c>
      <c r="P60" s="136">
        <f t="shared" si="7"/>
        <v>28</v>
      </c>
      <c r="Q60" s="137">
        <f t="shared" si="4"/>
        <v>1000</v>
      </c>
      <c r="R60" s="133"/>
      <c r="S60" s="138">
        <v>45484</v>
      </c>
      <c r="T60" s="133" t="s">
        <v>664</v>
      </c>
      <c r="U60" s="139" t="str">
        <f t="shared" si="2"/>
        <v>_driedflower_bulk</v>
      </c>
      <c r="V60" s="140" t="str">
        <f>IF(U60="_","",_xlfn.XLOOKUP(U60,internal_cansku_inventory!D:D,internal_cansku_inventory!E:E,"",0,1))</f>
        <v/>
      </c>
    </row>
    <row r="61" spans="1:22" ht="12.45" customHeight="1">
      <c r="A61" s="132">
        <v>50</v>
      </c>
      <c r="B61" s="132">
        <v>0</v>
      </c>
      <c r="C61" s="132" t="str">
        <f>Table1[[#This Row],[inventory_id_head]]&amp;"-"&amp;Table1[[#This Row],[inventory_id_tail]]</f>
        <v>50-0</v>
      </c>
      <c r="D61" s="133" t="s">
        <v>653</v>
      </c>
      <c r="E61" s="133" t="s">
        <v>750</v>
      </c>
      <c r="F61" s="133" t="s">
        <v>751</v>
      </c>
      <c r="G61" s="133" t="str">
        <f t="shared" si="6"/>
        <v>T011DFB033DF</v>
      </c>
      <c r="H61" s="133" t="s">
        <v>720</v>
      </c>
      <c r="I61" s="133"/>
      <c r="J61" s="133">
        <v>2022051601</v>
      </c>
      <c r="K61" s="134">
        <v>44830</v>
      </c>
      <c r="L61" s="135">
        <v>1</v>
      </c>
      <c r="M61" s="133" t="s">
        <v>673</v>
      </c>
      <c r="N61" s="136">
        <v>1000</v>
      </c>
      <c r="O61" s="136">
        <v>1044</v>
      </c>
      <c r="P61" s="136">
        <f t="shared" si="7"/>
        <v>44</v>
      </c>
      <c r="Q61" s="137">
        <f t="shared" si="4"/>
        <v>1000</v>
      </c>
      <c r="R61" s="133"/>
      <c r="S61" s="138">
        <v>45484</v>
      </c>
      <c r="T61" s="133" t="s">
        <v>664</v>
      </c>
      <c r="U61" s="139" t="str">
        <f t="shared" si="2"/>
        <v>_driedflower_bulk</v>
      </c>
      <c r="V61" s="140" t="str">
        <f>IF(U61="_","",_xlfn.XLOOKUP(U61,internal_cansku_inventory!D:D,internal_cansku_inventory!E:E,"",0,1))</f>
        <v/>
      </c>
    </row>
    <row r="62" spans="1:22" ht="12.45" customHeight="1">
      <c r="A62" s="132">
        <v>51</v>
      </c>
      <c r="B62" s="132">
        <v>0</v>
      </c>
      <c r="C62" s="132" t="str">
        <f>Table1[[#This Row],[inventory_id_head]]&amp;"-"&amp;Table1[[#This Row],[inventory_id_tail]]</f>
        <v>51-0</v>
      </c>
      <c r="D62" s="133" t="s">
        <v>653</v>
      </c>
      <c r="E62" s="133" t="s">
        <v>750</v>
      </c>
      <c r="F62" s="133" t="s">
        <v>752</v>
      </c>
      <c r="G62" s="133" t="str">
        <f t="shared" si="6"/>
        <v>T011DFB034DF</v>
      </c>
      <c r="H62" s="133" t="s">
        <v>720</v>
      </c>
      <c r="I62" s="133"/>
      <c r="J62" s="133">
        <v>2022051601</v>
      </c>
      <c r="K62" s="134">
        <v>44830</v>
      </c>
      <c r="L62" s="135">
        <v>1</v>
      </c>
      <c r="M62" s="133" t="s">
        <v>673</v>
      </c>
      <c r="N62" s="136">
        <v>1000</v>
      </c>
      <c r="O62" s="136">
        <v>1050</v>
      </c>
      <c r="P62" s="136">
        <f t="shared" si="7"/>
        <v>50</v>
      </c>
      <c r="Q62" s="137">
        <f t="shared" si="4"/>
        <v>1000</v>
      </c>
      <c r="R62" s="133"/>
      <c r="S62" s="138">
        <v>45484</v>
      </c>
      <c r="T62" s="133" t="s">
        <v>664</v>
      </c>
      <c r="U62" s="139" t="str">
        <f t="shared" si="2"/>
        <v>_driedflower_bulk</v>
      </c>
      <c r="V62" s="140" t="str">
        <f>IF(U62="_","",_xlfn.XLOOKUP(U62,internal_cansku_inventory!D:D,internal_cansku_inventory!E:E,"",0,1))</f>
        <v/>
      </c>
    </row>
    <row r="63" spans="1:22" ht="12.45" customHeight="1">
      <c r="A63" s="132">
        <v>52</v>
      </c>
      <c r="B63" s="132">
        <v>0</v>
      </c>
      <c r="C63" s="132" t="str">
        <f>Table1[[#This Row],[inventory_id_head]]&amp;"-"&amp;Table1[[#This Row],[inventory_id_tail]]</f>
        <v>52-0</v>
      </c>
      <c r="D63" s="133" t="s">
        <v>653</v>
      </c>
      <c r="E63" s="133" t="s">
        <v>750</v>
      </c>
      <c r="F63" s="133" t="s">
        <v>753</v>
      </c>
      <c r="G63" s="133" t="str">
        <f t="shared" si="6"/>
        <v>T011DFB035DF</v>
      </c>
      <c r="H63" s="133" t="s">
        <v>720</v>
      </c>
      <c r="I63" s="133"/>
      <c r="J63" s="133">
        <v>2022051601</v>
      </c>
      <c r="K63" s="134">
        <v>44830</v>
      </c>
      <c r="L63" s="135">
        <v>1</v>
      </c>
      <c r="M63" s="133" t="s">
        <v>673</v>
      </c>
      <c r="N63" s="136">
        <v>1000</v>
      </c>
      <c r="O63" s="136">
        <v>1046</v>
      </c>
      <c r="P63" s="136">
        <f t="shared" si="7"/>
        <v>46</v>
      </c>
      <c r="Q63" s="137">
        <f t="shared" si="4"/>
        <v>1000</v>
      </c>
      <c r="R63" s="133"/>
      <c r="S63" s="138">
        <v>45484</v>
      </c>
      <c r="T63" s="133" t="s">
        <v>664</v>
      </c>
      <c r="U63" s="139" t="str">
        <f t="shared" si="2"/>
        <v>_driedflower_bulk</v>
      </c>
      <c r="V63" s="140" t="str">
        <f>IF(U63="_","",_xlfn.XLOOKUP(U63,internal_cansku_inventory!D:D,internal_cansku_inventory!E:E,"",0,1))</f>
        <v/>
      </c>
    </row>
    <row r="64" spans="1:22" ht="12.45" customHeight="1">
      <c r="A64" s="132">
        <v>53</v>
      </c>
      <c r="B64" s="132">
        <v>0</v>
      </c>
      <c r="C64" s="132" t="str">
        <f>Table1[[#This Row],[inventory_id_head]]&amp;"-"&amp;Table1[[#This Row],[inventory_id_tail]]</f>
        <v>53-0</v>
      </c>
      <c r="D64" s="133" t="s">
        <v>653</v>
      </c>
      <c r="E64" s="133" t="s">
        <v>750</v>
      </c>
      <c r="F64" s="133" t="s">
        <v>754</v>
      </c>
      <c r="G64" s="133" t="str">
        <f t="shared" si="6"/>
        <v>T011DFB036DF</v>
      </c>
      <c r="H64" s="133" t="s">
        <v>720</v>
      </c>
      <c r="I64" s="133"/>
      <c r="J64" s="133">
        <v>2022051601</v>
      </c>
      <c r="K64" s="134">
        <v>44830</v>
      </c>
      <c r="L64" s="135">
        <v>1</v>
      </c>
      <c r="M64" s="133" t="s">
        <v>673</v>
      </c>
      <c r="N64" s="136">
        <v>1000</v>
      </c>
      <c r="O64" s="136">
        <v>1044</v>
      </c>
      <c r="P64" s="136">
        <f t="shared" si="7"/>
        <v>44</v>
      </c>
      <c r="Q64" s="137">
        <f t="shared" si="4"/>
        <v>1000</v>
      </c>
      <c r="R64" s="133"/>
      <c r="S64" s="138">
        <v>45484</v>
      </c>
      <c r="T64" s="133" t="s">
        <v>664</v>
      </c>
      <c r="U64" s="139" t="str">
        <f t="shared" si="2"/>
        <v>_driedflower_bulk</v>
      </c>
      <c r="V64" s="140" t="str">
        <f>IF(U64="_","",_xlfn.XLOOKUP(U64,internal_cansku_inventory!D:D,internal_cansku_inventory!E:E,"",0,1))</f>
        <v/>
      </c>
    </row>
    <row r="65" spans="1:22" ht="12.45" customHeight="1">
      <c r="A65" s="132">
        <v>54</v>
      </c>
      <c r="B65" s="132">
        <v>0</v>
      </c>
      <c r="C65" s="132" t="str">
        <f>Table1[[#This Row],[inventory_id_head]]&amp;"-"&amp;Table1[[#This Row],[inventory_id_tail]]</f>
        <v>54-0</v>
      </c>
      <c r="D65" s="133" t="s">
        <v>653</v>
      </c>
      <c r="E65" s="133" t="s">
        <v>750</v>
      </c>
      <c r="F65" s="133" t="s">
        <v>755</v>
      </c>
      <c r="G65" s="133" t="str">
        <f t="shared" si="6"/>
        <v>T011DFB037DF</v>
      </c>
      <c r="H65" s="133" t="s">
        <v>720</v>
      </c>
      <c r="I65" s="133"/>
      <c r="J65" s="133">
        <v>2022051601</v>
      </c>
      <c r="K65" s="134">
        <v>44830</v>
      </c>
      <c r="L65" s="135">
        <v>1</v>
      </c>
      <c r="M65" s="133" t="s">
        <v>673</v>
      </c>
      <c r="N65" s="136">
        <v>1000</v>
      </c>
      <c r="O65" s="136">
        <v>1048</v>
      </c>
      <c r="P65" s="136">
        <f t="shared" si="7"/>
        <v>48</v>
      </c>
      <c r="Q65" s="137">
        <f t="shared" si="4"/>
        <v>1000</v>
      </c>
      <c r="R65" s="133"/>
      <c r="S65" s="138">
        <v>45484</v>
      </c>
      <c r="T65" s="133" t="s">
        <v>664</v>
      </c>
      <c r="U65" s="139" t="str">
        <f t="shared" si="2"/>
        <v>_driedflower_bulk</v>
      </c>
      <c r="V65" s="140" t="str">
        <f>IF(U65="_","",_xlfn.XLOOKUP(U65,internal_cansku_inventory!D:D,internal_cansku_inventory!E:E,"",0,1))</f>
        <v/>
      </c>
    </row>
    <row r="66" spans="1:22" ht="12.45" customHeight="1">
      <c r="A66" s="132">
        <v>55</v>
      </c>
      <c r="B66" s="132">
        <v>0</v>
      </c>
      <c r="C66" s="132" t="str">
        <f>Table1[[#This Row],[inventory_id_head]]&amp;"-"&amp;Table1[[#This Row],[inventory_id_tail]]</f>
        <v>55-0</v>
      </c>
      <c r="D66" s="133" t="s">
        <v>653</v>
      </c>
      <c r="E66" s="133" t="s">
        <v>750</v>
      </c>
      <c r="F66" s="133" t="s">
        <v>756</v>
      </c>
      <c r="G66" s="133" t="str">
        <f t="shared" si="6"/>
        <v>T011DFB038DF</v>
      </c>
      <c r="H66" s="133" t="s">
        <v>720</v>
      </c>
      <c r="I66" s="133"/>
      <c r="J66" s="133">
        <v>2022051601</v>
      </c>
      <c r="K66" s="134">
        <v>44830</v>
      </c>
      <c r="L66" s="135">
        <v>1</v>
      </c>
      <c r="M66" s="133" t="s">
        <v>673</v>
      </c>
      <c r="N66" s="136">
        <v>1000</v>
      </c>
      <c r="O66" s="136">
        <v>1046</v>
      </c>
      <c r="P66" s="136">
        <f t="shared" si="7"/>
        <v>46</v>
      </c>
      <c r="Q66" s="137">
        <f t="shared" ref="Q66:Q83" si="8">L66*N66</f>
        <v>1000</v>
      </c>
      <c r="R66" s="133"/>
      <c r="S66" s="138">
        <v>45484</v>
      </c>
      <c r="T66" s="133" t="s">
        <v>664</v>
      </c>
      <c r="U66" s="139" t="str">
        <f t="shared" ref="U66:U129" si="9">I66&amp;"_"&amp;H66</f>
        <v>_driedflower_bulk</v>
      </c>
      <c r="V66" s="140" t="str">
        <f>IF(U66="_","",_xlfn.XLOOKUP(U66,internal_cansku_inventory!D:D,internal_cansku_inventory!E:E,"",0,1))</f>
        <v/>
      </c>
    </row>
    <row r="67" spans="1:22" ht="12.45" customHeight="1">
      <c r="A67" s="132">
        <v>56</v>
      </c>
      <c r="B67" s="132">
        <v>0</v>
      </c>
      <c r="C67" s="132" t="str">
        <f>Table1[[#This Row],[inventory_id_head]]&amp;"-"&amp;Table1[[#This Row],[inventory_id_tail]]</f>
        <v>56-0</v>
      </c>
      <c r="D67" s="133" t="s">
        <v>653</v>
      </c>
      <c r="E67" s="133" t="s">
        <v>750</v>
      </c>
      <c r="F67" s="133" t="s">
        <v>757</v>
      </c>
      <c r="G67" s="133" t="str">
        <f t="shared" si="6"/>
        <v>T011DFB039DF</v>
      </c>
      <c r="H67" s="133" t="s">
        <v>720</v>
      </c>
      <c r="I67" s="133"/>
      <c r="J67" s="133">
        <v>2022051601</v>
      </c>
      <c r="K67" s="134">
        <v>44830</v>
      </c>
      <c r="L67" s="135">
        <v>1</v>
      </c>
      <c r="M67" s="133" t="s">
        <v>673</v>
      </c>
      <c r="N67" s="136">
        <v>1000</v>
      </c>
      <c r="O67" s="136">
        <v>1046</v>
      </c>
      <c r="P67" s="136">
        <f t="shared" si="7"/>
        <v>46</v>
      </c>
      <c r="Q67" s="137">
        <f t="shared" si="8"/>
        <v>1000</v>
      </c>
      <c r="R67" s="133"/>
      <c r="S67" s="138">
        <v>45484</v>
      </c>
      <c r="T67" s="133" t="s">
        <v>664</v>
      </c>
      <c r="U67" s="139" t="str">
        <f t="shared" si="9"/>
        <v>_driedflower_bulk</v>
      </c>
      <c r="V67" s="140" t="str">
        <f>IF(U67="_","",_xlfn.XLOOKUP(U67,internal_cansku_inventory!D:D,internal_cansku_inventory!E:E,"",0,1))</f>
        <v/>
      </c>
    </row>
    <row r="68" spans="1:22" ht="12.45" customHeight="1">
      <c r="A68" s="132">
        <v>57</v>
      </c>
      <c r="B68" s="132">
        <v>0</v>
      </c>
      <c r="C68" s="132" t="str">
        <f>Table1[[#This Row],[inventory_id_head]]&amp;"-"&amp;Table1[[#This Row],[inventory_id_tail]]</f>
        <v>57-0</v>
      </c>
      <c r="D68" s="133" t="s">
        <v>653</v>
      </c>
      <c r="E68" s="133" t="s">
        <v>750</v>
      </c>
      <c r="F68" s="133" t="s">
        <v>758</v>
      </c>
      <c r="G68" s="133" t="str">
        <f t="shared" si="6"/>
        <v>T011DFB040DF</v>
      </c>
      <c r="H68" s="133" t="s">
        <v>720</v>
      </c>
      <c r="I68" s="133"/>
      <c r="J68" s="133">
        <v>2022051601</v>
      </c>
      <c r="K68" s="134">
        <v>44830</v>
      </c>
      <c r="L68" s="135">
        <v>1</v>
      </c>
      <c r="M68" s="133" t="s">
        <v>673</v>
      </c>
      <c r="N68" s="136">
        <v>1000</v>
      </c>
      <c r="O68" s="136">
        <v>1048</v>
      </c>
      <c r="P68" s="136">
        <f t="shared" si="7"/>
        <v>48</v>
      </c>
      <c r="Q68" s="137">
        <f t="shared" si="8"/>
        <v>1000</v>
      </c>
      <c r="R68" s="133"/>
      <c r="S68" s="138">
        <v>45484</v>
      </c>
      <c r="T68" s="133" t="s">
        <v>664</v>
      </c>
      <c r="U68" s="139" t="str">
        <f t="shared" si="9"/>
        <v>_driedflower_bulk</v>
      </c>
      <c r="V68" s="140" t="str">
        <f>IF(U68="_","",_xlfn.XLOOKUP(U68,internal_cansku_inventory!D:D,internal_cansku_inventory!E:E,"",0,1))</f>
        <v/>
      </c>
    </row>
    <row r="69" spans="1:22" ht="12.45" customHeight="1">
      <c r="A69" s="132">
        <v>58</v>
      </c>
      <c r="B69" s="132">
        <v>0</v>
      </c>
      <c r="C69" s="132" t="str">
        <f>Table1[[#This Row],[inventory_id_head]]&amp;"-"&amp;Table1[[#This Row],[inventory_id_tail]]</f>
        <v>58-0</v>
      </c>
      <c r="D69" s="133" t="s">
        <v>653</v>
      </c>
      <c r="E69" s="133" t="s">
        <v>750</v>
      </c>
      <c r="F69" s="133" t="s">
        <v>759</v>
      </c>
      <c r="G69" s="133" t="str">
        <f t="shared" si="6"/>
        <v>T011DFB041DF</v>
      </c>
      <c r="H69" s="133" t="s">
        <v>720</v>
      </c>
      <c r="I69" s="133"/>
      <c r="J69" s="133">
        <v>2022051601</v>
      </c>
      <c r="K69" s="134">
        <v>44830</v>
      </c>
      <c r="L69" s="135">
        <v>1</v>
      </c>
      <c r="M69" s="133" t="s">
        <v>673</v>
      </c>
      <c r="N69" s="136">
        <v>1000</v>
      </c>
      <c r="O69" s="136">
        <v>1039</v>
      </c>
      <c r="P69" s="136">
        <f t="shared" si="7"/>
        <v>39</v>
      </c>
      <c r="Q69" s="137">
        <f t="shared" si="8"/>
        <v>1000</v>
      </c>
      <c r="R69" s="133"/>
      <c r="S69" s="138">
        <v>45484</v>
      </c>
      <c r="T69" s="133" t="s">
        <v>664</v>
      </c>
      <c r="U69" s="139" t="str">
        <f t="shared" si="9"/>
        <v>_driedflower_bulk</v>
      </c>
      <c r="V69" s="140" t="str">
        <f>IF(U69="_","",_xlfn.XLOOKUP(U69,internal_cansku_inventory!D:D,internal_cansku_inventory!E:E,"",0,1))</f>
        <v/>
      </c>
    </row>
    <row r="70" spans="1:22" ht="12.45" customHeight="1">
      <c r="A70" s="132">
        <v>59</v>
      </c>
      <c r="B70" s="132">
        <v>0</v>
      </c>
      <c r="C70" s="132" t="str">
        <f>Table1[[#This Row],[inventory_id_head]]&amp;"-"&amp;Table1[[#This Row],[inventory_id_tail]]</f>
        <v>59-0</v>
      </c>
      <c r="D70" s="133" t="s">
        <v>653</v>
      </c>
      <c r="E70" s="133" t="s">
        <v>750</v>
      </c>
      <c r="F70" s="133" t="s">
        <v>760</v>
      </c>
      <c r="G70" s="133" t="str">
        <f t="shared" si="6"/>
        <v>T011DFB042DF</v>
      </c>
      <c r="H70" s="133" t="s">
        <v>720</v>
      </c>
      <c r="I70" s="133"/>
      <c r="J70" s="133">
        <v>2022051601</v>
      </c>
      <c r="K70" s="134">
        <v>44830</v>
      </c>
      <c r="L70" s="135">
        <v>1</v>
      </c>
      <c r="M70" s="133" t="s">
        <v>673</v>
      </c>
      <c r="N70" s="136">
        <v>1000</v>
      </c>
      <c r="O70" s="136">
        <v>1126</v>
      </c>
      <c r="P70" s="136">
        <f t="shared" si="7"/>
        <v>126</v>
      </c>
      <c r="Q70" s="137">
        <f t="shared" si="8"/>
        <v>1000</v>
      </c>
      <c r="R70" s="133"/>
      <c r="S70" s="138">
        <v>45484</v>
      </c>
      <c r="T70" s="133" t="s">
        <v>664</v>
      </c>
      <c r="U70" s="139" t="str">
        <f t="shared" si="9"/>
        <v>_driedflower_bulk</v>
      </c>
      <c r="V70" s="140" t="str">
        <f>IF(U70="_","",_xlfn.XLOOKUP(U70,internal_cansku_inventory!D:D,internal_cansku_inventory!E:E,"",0,1))</f>
        <v/>
      </c>
    </row>
    <row r="71" spans="1:22" ht="12.45" customHeight="1">
      <c r="A71" s="132">
        <v>60</v>
      </c>
      <c r="B71" s="132">
        <v>0</v>
      </c>
      <c r="C71" s="132" t="str">
        <f>Table1[[#This Row],[inventory_id_head]]&amp;"-"&amp;Table1[[#This Row],[inventory_id_tail]]</f>
        <v>60-0</v>
      </c>
      <c r="D71" s="133" t="s">
        <v>653</v>
      </c>
      <c r="E71" s="133" t="s">
        <v>750</v>
      </c>
      <c r="F71" s="133" t="s">
        <v>761</v>
      </c>
      <c r="G71" s="133" t="str">
        <f t="shared" si="6"/>
        <v>T011DFB043DF</v>
      </c>
      <c r="H71" s="133" t="s">
        <v>720</v>
      </c>
      <c r="I71" s="133"/>
      <c r="J71" s="133">
        <v>2022051601</v>
      </c>
      <c r="K71" s="134">
        <v>44830</v>
      </c>
      <c r="L71" s="135">
        <v>1</v>
      </c>
      <c r="M71" s="133" t="s">
        <v>673</v>
      </c>
      <c r="N71" s="136">
        <v>1000</v>
      </c>
      <c r="O71" s="136">
        <v>1044</v>
      </c>
      <c r="P71" s="136">
        <f t="shared" si="7"/>
        <v>44</v>
      </c>
      <c r="Q71" s="137">
        <f t="shared" si="8"/>
        <v>1000</v>
      </c>
      <c r="R71" s="133"/>
      <c r="S71" s="138">
        <v>45484</v>
      </c>
      <c r="T71" s="133" t="s">
        <v>664</v>
      </c>
      <c r="U71" s="139" t="str">
        <f t="shared" si="9"/>
        <v>_driedflower_bulk</v>
      </c>
      <c r="V71" s="140" t="str">
        <f>IF(U71="_","",_xlfn.XLOOKUP(U71,internal_cansku_inventory!D:D,internal_cansku_inventory!E:E,"",0,1))</f>
        <v/>
      </c>
    </row>
    <row r="72" spans="1:22" ht="12.45" customHeight="1">
      <c r="A72" s="132">
        <v>61</v>
      </c>
      <c r="B72" s="132">
        <v>0</v>
      </c>
      <c r="C72" s="132" t="str">
        <f>Table1[[#This Row],[inventory_id_head]]&amp;"-"&amp;Table1[[#This Row],[inventory_id_tail]]</f>
        <v>61-0</v>
      </c>
      <c r="D72" s="133" t="s">
        <v>653</v>
      </c>
      <c r="E72" s="133" t="s">
        <v>762</v>
      </c>
      <c r="F72" s="133" t="s">
        <v>763</v>
      </c>
      <c r="G72" s="133" t="str">
        <f t="shared" si="6"/>
        <v>T012DFB044DF</v>
      </c>
      <c r="H72" s="133" t="s">
        <v>720</v>
      </c>
      <c r="I72" s="133"/>
      <c r="J72" s="133">
        <v>2022051602</v>
      </c>
      <c r="K72" s="134">
        <v>44830</v>
      </c>
      <c r="L72" s="135">
        <v>1</v>
      </c>
      <c r="M72" s="133" t="s">
        <v>673</v>
      </c>
      <c r="N72" s="136">
        <v>1000</v>
      </c>
      <c r="O72" s="136">
        <v>1046</v>
      </c>
      <c r="P72" s="136">
        <f t="shared" si="7"/>
        <v>46</v>
      </c>
      <c r="Q72" s="137">
        <f t="shared" si="8"/>
        <v>1000</v>
      </c>
      <c r="R72" s="133"/>
      <c r="S72" s="138">
        <v>45484</v>
      </c>
      <c r="T72" s="133" t="s">
        <v>664</v>
      </c>
      <c r="U72" s="139" t="str">
        <f t="shared" si="9"/>
        <v>_driedflower_bulk</v>
      </c>
      <c r="V72" s="140" t="str">
        <f>IF(U72="_","",_xlfn.XLOOKUP(U72,internal_cansku_inventory!D:D,internal_cansku_inventory!E:E,"",0,1))</f>
        <v/>
      </c>
    </row>
    <row r="73" spans="1:22" ht="12.45" customHeight="1">
      <c r="A73" s="132">
        <v>62</v>
      </c>
      <c r="B73" s="132">
        <v>0</v>
      </c>
      <c r="C73" s="132" t="str">
        <f>Table1[[#This Row],[inventory_id_head]]&amp;"-"&amp;Table1[[#This Row],[inventory_id_tail]]</f>
        <v>62-0</v>
      </c>
      <c r="D73" s="133" t="s">
        <v>653</v>
      </c>
      <c r="E73" s="133" t="s">
        <v>762</v>
      </c>
      <c r="F73" s="133" t="s">
        <v>764</v>
      </c>
      <c r="G73" s="133" t="str">
        <f t="shared" si="6"/>
        <v>T012DFB045DF</v>
      </c>
      <c r="H73" s="133" t="s">
        <v>720</v>
      </c>
      <c r="I73" s="133"/>
      <c r="J73" s="133">
        <v>2022051602</v>
      </c>
      <c r="K73" s="134">
        <v>44830</v>
      </c>
      <c r="L73" s="135">
        <v>1</v>
      </c>
      <c r="M73" s="133" t="s">
        <v>673</v>
      </c>
      <c r="N73" s="136">
        <v>1000</v>
      </c>
      <c r="O73" s="136">
        <v>1047</v>
      </c>
      <c r="P73" s="136">
        <f t="shared" si="7"/>
        <v>47</v>
      </c>
      <c r="Q73" s="137">
        <f t="shared" si="8"/>
        <v>1000</v>
      </c>
      <c r="R73" s="133"/>
      <c r="S73" s="138">
        <v>45484</v>
      </c>
      <c r="T73" s="133" t="s">
        <v>664</v>
      </c>
      <c r="U73" s="139" t="str">
        <f t="shared" si="9"/>
        <v>_driedflower_bulk</v>
      </c>
      <c r="V73" s="140" t="str">
        <f>IF(U73="_","",_xlfn.XLOOKUP(U73,internal_cansku_inventory!D:D,internal_cansku_inventory!E:E,"",0,1))</f>
        <v/>
      </c>
    </row>
    <row r="74" spans="1:22" ht="12.45" customHeight="1">
      <c r="A74" s="132">
        <v>63</v>
      </c>
      <c r="B74" s="132">
        <v>0</v>
      </c>
      <c r="C74" s="132" t="str">
        <f>Table1[[#This Row],[inventory_id_head]]&amp;"-"&amp;Table1[[#This Row],[inventory_id_tail]]</f>
        <v>63-0</v>
      </c>
      <c r="D74" s="133" t="s">
        <v>653</v>
      </c>
      <c r="E74" s="133" t="s">
        <v>762</v>
      </c>
      <c r="F74" s="133" t="s">
        <v>765</v>
      </c>
      <c r="G74" s="133" t="str">
        <f t="shared" si="6"/>
        <v>T012DFB046DF</v>
      </c>
      <c r="H74" s="133" t="s">
        <v>720</v>
      </c>
      <c r="I74" s="133"/>
      <c r="J74" s="133">
        <v>2022051602</v>
      </c>
      <c r="K74" s="134">
        <v>44830</v>
      </c>
      <c r="L74" s="135">
        <v>1</v>
      </c>
      <c r="M74" s="133" t="s">
        <v>673</v>
      </c>
      <c r="N74" s="136">
        <v>1000</v>
      </c>
      <c r="O74" s="136">
        <v>1042</v>
      </c>
      <c r="P74" s="136">
        <f t="shared" si="7"/>
        <v>42</v>
      </c>
      <c r="Q74" s="137">
        <f t="shared" si="8"/>
        <v>1000</v>
      </c>
      <c r="R74" s="133"/>
      <c r="S74" s="138">
        <v>45484</v>
      </c>
      <c r="T74" s="133" t="s">
        <v>664</v>
      </c>
      <c r="U74" s="139" t="str">
        <f t="shared" si="9"/>
        <v>_driedflower_bulk</v>
      </c>
      <c r="V74" s="140" t="str">
        <f>IF(U74="_","",_xlfn.XLOOKUP(U74,internal_cansku_inventory!D:D,internal_cansku_inventory!E:E,"",0,1))</f>
        <v/>
      </c>
    </row>
    <row r="75" spans="1:22" ht="12.45" customHeight="1">
      <c r="A75" s="132">
        <v>64</v>
      </c>
      <c r="B75" s="132">
        <v>0</v>
      </c>
      <c r="C75" s="132" t="str">
        <f>Table1[[#This Row],[inventory_id_head]]&amp;"-"&amp;Table1[[#This Row],[inventory_id_tail]]</f>
        <v>64-0</v>
      </c>
      <c r="D75" s="133" t="s">
        <v>653</v>
      </c>
      <c r="E75" s="133" t="s">
        <v>762</v>
      </c>
      <c r="F75" s="133" t="s">
        <v>766</v>
      </c>
      <c r="G75" s="133" t="str">
        <f t="shared" si="6"/>
        <v>T012DFB047DF</v>
      </c>
      <c r="H75" s="133" t="s">
        <v>720</v>
      </c>
      <c r="I75" s="133"/>
      <c r="J75" s="133">
        <v>2022051602</v>
      </c>
      <c r="K75" s="134">
        <v>44830</v>
      </c>
      <c r="L75" s="135">
        <v>1</v>
      </c>
      <c r="M75" s="133" t="s">
        <v>673</v>
      </c>
      <c r="N75" s="136">
        <v>1000</v>
      </c>
      <c r="O75" s="136">
        <v>1046</v>
      </c>
      <c r="P75" s="136">
        <f t="shared" si="7"/>
        <v>46</v>
      </c>
      <c r="Q75" s="137">
        <f t="shared" si="8"/>
        <v>1000</v>
      </c>
      <c r="R75" s="133"/>
      <c r="S75" s="138">
        <v>45484</v>
      </c>
      <c r="T75" s="133" t="s">
        <v>664</v>
      </c>
      <c r="U75" s="139" t="str">
        <f t="shared" si="9"/>
        <v>_driedflower_bulk</v>
      </c>
      <c r="V75" s="140" t="str">
        <f>IF(U75="_","",_xlfn.XLOOKUP(U75,internal_cansku_inventory!D:D,internal_cansku_inventory!E:E,"",0,1))</f>
        <v/>
      </c>
    </row>
    <row r="76" spans="1:22" ht="12.45" customHeight="1">
      <c r="A76" s="132">
        <v>65</v>
      </c>
      <c r="B76" s="132">
        <v>0</v>
      </c>
      <c r="C76" s="132" t="str">
        <f>Table1[[#This Row],[inventory_id_head]]&amp;"-"&amp;Table1[[#This Row],[inventory_id_tail]]</f>
        <v>65-0</v>
      </c>
      <c r="D76" s="133" t="s">
        <v>653</v>
      </c>
      <c r="E76" s="133" t="s">
        <v>762</v>
      </c>
      <c r="F76" s="133" t="s">
        <v>767</v>
      </c>
      <c r="G76" s="133" t="str">
        <f t="shared" si="6"/>
        <v>T012DFB048DF</v>
      </c>
      <c r="H76" s="133" t="s">
        <v>720</v>
      </c>
      <c r="I76" s="133"/>
      <c r="J76" s="133">
        <v>2022051602</v>
      </c>
      <c r="K76" s="134">
        <v>44830</v>
      </c>
      <c r="L76" s="135">
        <v>1</v>
      </c>
      <c r="M76" s="133" t="s">
        <v>673</v>
      </c>
      <c r="N76" s="136">
        <v>1000</v>
      </c>
      <c r="O76" s="136">
        <v>1045</v>
      </c>
      <c r="P76" s="136">
        <f t="shared" si="7"/>
        <v>45</v>
      </c>
      <c r="Q76" s="137">
        <f t="shared" si="8"/>
        <v>1000</v>
      </c>
      <c r="R76" s="133"/>
      <c r="S76" s="138">
        <v>45484</v>
      </c>
      <c r="T76" s="133" t="s">
        <v>664</v>
      </c>
      <c r="U76" s="139" t="str">
        <f t="shared" si="9"/>
        <v>_driedflower_bulk</v>
      </c>
      <c r="V76" s="140" t="str">
        <f>IF(U76="_","",_xlfn.XLOOKUP(U76,internal_cansku_inventory!D:D,internal_cansku_inventory!E:E,"",0,1))</f>
        <v/>
      </c>
    </row>
    <row r="77" spans="1:22" ht="12.45" customHeight="1">
      <c r="A77" s="132">
        <v>66</v>
      </c>
      <c r="B77" s="132">
        <v>0</v>
      </c>
      <c r="C77" s="132" t="str">
        <f>Table1[[#This Row],[inventory_id_head]]&amp;"-"&amp;Table1[[#This Row],[inventory_id_tail]]</f>
        <v>66-0</v>
      </c>
      <c r="D77" s="133" t="s">
        <v>653</v>
      </c>
      <c r="E77" s="133" t="s">
        <v>762</v>
      </c>
      <c r="F77" s="133" t="s">
        <v>768</v>
      </c>
      <c r="G77" s="133" t="str">
        <f t="shared" si="6"/>
        <v>T012DFB049DF</v>
      </c>
      <c r="H77" s="133" t="s">
        <v>720</v>
      </c>
      <c r="I77" s="133"/>
      <c r="J77" s="133">
        <v>2022051602</v>
      </c>
      <c r="K77" s="134">
        <v>44830</v>
      </c>
      <c r="L77" s="135">
        <v>1</v>
      </c>
      <c r="M77" s="133" t="s">
        <v>673</v>
      </c>
      <c r="N77" s="136">
        <v>1000</v>
      </c>
      <c r="O77" s="136">
        <v>1049</v>
      </c>
      <c r="P77" s="136">
        <f t="shared" si="7"/>
        <v>49</v>
      </c>
      <c r="Q77" s="137">
        <f t="shared" si="8"/>
        <v>1000</v>
      </c>
      <c r="R77" s="133"/>
      <c r="S77" s="138">
        <v>45484</v>
      </c>
      <c r="T77" s="133" t="s">
        <v>664</v>
      </c>
      <c r="U77" s="139" t="str">
        <f t="shared" si="9"/>
        <v>_driedflower_bulk</v>
      </c>
      <c r="V77" s="140" t="str">
        <f>IF(U77="_","",_xlfn.XLOOKUP(U77,internal_cansku_inventory!D:D,internal_cansku_inventory!E:E,"",0,1))</f>
        <v/>
      </c>
    </row>
    <row r="78" spans="1:22" ht="12.45" customHeight="1">
      <c r="A78" s="132">
        <v>67</v>
      </c>
      <c r="B78" s="132">
        <v>0</v>
      </c>
      <c r="C78" s="132" t="str">
        <f>Table1[[#This Row],[inventory_id_head]]&amp;"-"&amp;Table1[[#This Row],[inventory_id_tail]]</f>
        <v>67-0</v>
      </c>
      <c r="D78" s="133" t="s">
        <v>653</v>
      </c>
      <c r="E78" s="133" t="s">
        <v>762</v>
      </c>
      <c r="F78" s="133" t="s">
        <v>769</v>
      </c>
      <c r="G78" s="133" t="str">
        <f t="shared" si="6"/>
        <v>T012DFB050DF</v>
      </c>
      <c r="H78" s="133" t="s">
        <v>720</v>
      </c>
      <c r="I78" s="133"/>
      <c r="J78" s="133">
        <v>2022051602</v>
      </c>
      <c r="K78" s="134">
        <v>44830</v>
      </c>
      <c r="L78" s="135">
        <v>1</v>
      </c>
      <c r="M78" s="133" t="s">
        <v>673</v>
      </c>
      <c r="N78" s="136">
        <v>480</v>
      </c>
      <c r="O78" s="136">
        <v>513</v>
      </c>
      <c r="P78" s="136">
        <f t="shared" si="7"/>
        <v>33</v>
      </c>
      <c r="Q78" s="137">
        <f t="shared" si="8"/>
        <v>480</v>
      </c>
      <c r="R78" s="133"/>
      <c r="S78" s="138">
        <v>45484</v>
      </c>
      <c r="T78" s="133" t="s">
        <v>664</v>
      </c>
      <c r="U78" s="139" t="str">
        <f t="shared" si="9"/>
        <v>_driedflower_bulk</v>
      </c>
      <c r="V78" s="140" t="str">
        <f>IF(U78="_","",_xlfn.XLOOKUP(U78,internal_cansku_inventory!D:D,internal_cansku_inventory!E:E,"",0,1))</f>
        <v/>
      </c>
    </row>
    <row r="79" spans="1:22" ht="12.45" customHeight="1">
      <c r="A79" s="132">
        <v>68</v>
      </c>
      <c r="B79" s="132">
        <v>0</v>
      </c>
      <c r="C79" s="132" t="str">
        <f>Table1[[#This Row],[inventory_id_head]]&amp;"-"&amp;Table1[[#This Row],[inventory_id_tail]]</f>
        <v>68-0</v>
      </c>
      <c r="D79" s="133" t="s">
        <v>653</v>
      </c>
      <c r="E79" s="133" t="s">
        <v>762</v>
      </c>
      <c r="F79" s="133" t="s">
        <v>770</v>
      </c>
      <c r="G79" s="133" t="str">
        <f t="shared" si="6"/>
        <v>T012DFB051DF</v>
      </c>
      <c r="H79" s="133" t="s">
        <v>720</v>
      </c>
      <c r="I79" s="133"/>
      <c r="J79" s="133">
        <v>2022051602</v>
      </c>
      <c r="K79" s="134">
        <v>44830</v>
      </c>
      <c r="L79" s="135">
        <v>1</v>
      </c>
      <c r="M79" s="133" t="s">
        <v>673</v>
      </c>
      <c r="N79" s="136">
        <v>366</v>
      </c>
      <c r="O79" s="136">
        <v>404</v>
      </c>
      <c r="P79" s="136">
        <f t="shared" si="7"/>
        <v>38</v>
      </c>
      <c r="Q79" s="137">
        <f t="shared" si="8"/>
        <v>366</v>
      </c>
      <c r="R79" s="133"/>
      <c r="S79" s="138">
        <v>45484</v>
      </c>
      <c r="T79" s="133" t="s">
        <v>664</v>
      </c>
      <c r="U79" s="139" t="str">
        <f t="shared" si="9"/>
        <v>_driedflower_bulk</v>
      </c>
      <c r="V79" s="140" t="str">
        <f>IF(U79="_","",_xlfn.XLOOKUP(U79,internal_cansku_inventory!D:D,internal_cansku_inventory!E:E,"",0,1))</f>
        <v/>
      </c>
    </row>
    <row r="80" spans="1:22" ht="12.45" customHeight="1">
      <c r="A80" s="132">
        <v>69</v>
      </c>
      <c r="B80" s="132">
        <v>0</v>
      </c>
      <c r="C80" s="132" t="str">
        <f>Table1[[#This Row],[inventory_id_head]]&amp;"-"&amp;Table1[[#This Row],[inventory_id_tail]]</f>
        <v>69-0</v>
      </c>
      <c r="D80" s="133" t="s">
        <v>653</v>
      </c>
      <c r="E80" s="133" t="s">
        <v>762</v>
      </c>
      <c r="F80" s="133" t="s">
        <v>771</v>
      </c>
      <c r="G80" s="133" t="str">
        <f t="shared" si="6"/>
        <v>T012DFB052DF</v>
      </c>
      <c r="H80" s="133" t="s">
        <v>720</v>
      </c>
      <c r="I80" s="133"/>
      <c r="J80" s="133">
        <v>2022051602</v>
      </c>
      <c r="K80" s="134">
        <v>44830</v>
      </c>
      <c r="L80" s="135">
        <v>1</v>
      </c>
      <c r="M80" s="133" t="s">
        <v>673</v>
      </c>
      <c r="N80" s="136">
        <v>1000</v>
      </c>
      <c r="O80" s="136">
        <v>1042</v>
      </c>
      <c r="P80" s="136">
        <f t="shared" si="7"/>
        <v>42</v>
      </c>
      <c r="Q80" s="137">
        <f t="shared" si="8"/>
        <v>1000</v>
      </c>
      <c r="R80" s="133"/>
      <c r="S80" s="138">
        <v>45484</v>
      </c>
      <c r="T80" s="133" t="s">
        <v>664</v>
      </c>
      <c r="U80" s="139" t="str">
        <f t="shared" si="9"/>
        <v>_driedflower_bulk</v>
      </c>
      <c r="V80" s="140" t="str">
        <f>IF(U80="_","",_xlfn.XLOOKUP(U80,internal_cansku_inventory!D:D,internal_cansku_inventory!E:E,"",0,1))</f>
        <v/>
      </c>
    </row>
    <row r="81" spans="1:22" ht="12.45" customHeight="1">
      <c r="A81" s="132">
        <v>70</v>
      </c>
      <c r="B81" s="132">
        <v>0</v>
      </c>
      <c r="C81" s="132" t="str">
        <f>Table1[[#This Row],[inventory_id_head]]&amp;"-"&amp;Table1[[#This Row],[inventory_id_tail]]</f>
        <v>70-0</v>
      </c>
      <c r="D81" s="133" t="s">
        <v>653</v>
      </c>
      <c r="E81" s="133" t="s">
        <v>762</v>
      </c>
      <c r="F81" s="133" t="s">
        <v>772</v>
      </c>
      <c r="G81" s="133" t="str">
        <f t="shared" si="6"/>
        <v>T012DFB053DF</v>
      </c>
      <c r="H81" s="133" t="s">
        <v>720</v>
      </c>
      <c r="I81" s="133"/>
      <c r="J81" s="133">
        <v>2022051602</v>
      </c>
      <c r="K81" s="134">
        <v>44830</v>
      </c>
      <c r="L81" s="135">
        <v>1</v>
      </c>
      <c r="M81" s="133" t="s">
        <v>673</v>
      </c>
      <c r="N81" s="136">
        <v>1000</v>
      </c>
      <c r="O81" s="136">
        <v>1047</v>
      </c>
      <c r="P81" s="136">
        <f t="shared" si="7"/>
        <v>47</v>
      </c>
      <c r="Q81" s="137">
        <f t="shared" si="8"/>
        <v>1000</v>
      </c>
      <c r="R81" s="133"/>
      <c r="S81" s="138">
        <v>45484</v>
      </c>
      <c r="T81" s="133" t="s">
        <v>664</v>
      </c>
      <c r="U81" s="139" t="str">
        <f t="shared" si="9"/>
        <v>_driedflower_bulk</v>
      </c>
      <c r="V81" s="140" t="str">
        <f>IF(U81="_","",_xlfn.XLOOKUP(U81,internal_cansku_inventory!D:D,internal_cansku_inventory!E:E,"",0,1))</f>
        <v/>
      </c>
    </row>
    <row r="82" spans="1:22" ht="12.45" customHeight="1">
      <c r="A82" s="132">
        <v>72</v>
      </c>
      <c r="B82" s="132">
        <v>0</v>
      </c>
      <c r="C82" s="132" t="str">
        <f>Table1[[#This Row],[inventory_id_head]]&amp;"-"&amp;Table1[[#This Row],[inventory_id_tail]]</f>
        <v>72-0</v>
      </c>
      <c r="D82" s="133" t="s">
        <v>653</v>
      </c>
      <c r="E82" s="133" t="s">
        <v>744</v>
      </c>
      <c r="F82" s="133" t="s">
        <v>773</v>
      </c>
      <c r="G82" s="133" t="str">
        <f t="shared" ref="G82:G101" si="10">E82&amp;F82</f>
        <v>T010DFB055DF</v>
      </c>
      <c r="H82" s="133" t="s">
        <v>720</v>
      </c>
      <c r="I82" s="133"/>
      <c r="J82" s="133">
        <v>2022051603</v>
      </c>
      <c r="K82" s="134">
        <v>44830</v>
      </c>
      <c r="L82" s="135">
        <v>1</v>
      </c>
      <c r="M82" s="133" t="s">
        <v>673</v>
      </c>
      <c r="N82" s="136">
        <v>994</v>
      </c>
      <c r="O82" s="136">
        <v>994</v>
      </c>
      <c r="P82" s="136">
        <f t="shared" si="7"/>
        <v>0</v>
      </c>
      <c r="Q82" s="137">
        <f t="shared" si="8"/>
        <v>994</v>
      </c>
      <c r="R82" s="133"/>
      <c r="S82" s="138">
        <v>45484</v>
      </c>
      <c r="T82" s="133" t="s">
        <v>664</v>
      </c>
      <c r="U82" s="139" t="str">
        <f t="shared" si="9"/>
        <v>_driedflower_bulk</v>
      </c>
      <c r="V82" s="140" t="str">
        <f>IF(U82="_","",_xlfn.XLOOKUP(U82,internal_cansku_inventory!D:D,internal_cansku_inventory!E:E,"",0,1))</f>
        <v/>
      </c>
    </row>
    <row r="83" spans="1:22" ht="12.45" customHeight="1">
      <c r="A83" s="132">
        <v>73</v>
      </c>
      <c r="B83" s="132">
        <v>0</v>
      </c>
      <c r="C83" s="132" t="str">
        <f>Table1[[#This Row],[inventory_id_head]]&amp;"-"&amp;Table1[[#This Row],[inventory_id_tail]]</f>
        <v>73-0</v>
      </c>
      <c r="D83" s="153" t="s">
        <v>680</v>
      </c>
      <c r="E83" s="133" t="s">
        <v>774</v>
      </c>
      <c r="F83" s="133" t="s">
        <v>55</v>
      </c>
      <c r="G83" s="133" t="str">
        <f t="shared" si="10"/>
        <v>T003BSNA</v>
      </c>
      <c r="H83" s="133" t="s">
        <v>303</v>
      </c>
      <c r="I83" s="133"/>
      <c r="J83" s="133" t="s">
        <v>775</v>
      </c>
      <c r="K83" s="134">
        <v>45467</v>
      </c>
      <c r="L83" s="141">
        <v>120</v>
      </c>
      <c r="M83" s="133" t="s">
        <v>673</v>
      </c>
      <c r="N83" s="136">
        <v>180</v>
      </c>
      <c r="O83" s="136">
        <v>0</v>
      </c>
      <c r="P83" s="136">
        <v>0</v>
      </c>
      <c r="Q83" s="137">
        <f t="shared" si="8"/>
        <v>21600</v>
      </c>
      <c r="R83" s="133"/>
      <c r="S83" s="138">
        <v>45485</v>
      </c>
      <c r="T83" s="133" t="s">
        <v>670</v>
      </c>
      <c r="U83" s="139" t="str">
        <f t="shared" si="9"/>
        <v>_topical_labelled</v>
      </c>
      <c r="V83" s="140" t="str">
        <f>IF(U83="_","",_xlfn.XLOOKUP(U83,internal_cansku_inventory!D:D,internal_cansku_inventory!E:E,"",0,1))</f>
        <v/>
      </c>
    </row>
    <row r="84" spans="1:22" ht="12.45" customHeight="1">
      <c r="A84" s="132">
        <v>80</v>
      </c>
      <c r="B84" s="132">
        <v>0</v>
      </c>
      <c r="C84" s="132" t="str">
        <f>Table1[[#This Row],[inventory_id_head]]&amp;"-"&amp;Table1[[#This Row],[inventory_id_tail]]</f>
        <v>80-0</v>
      </c>
      <c r="D84" s="153" t="s">
        <v>680</v>
      </c>
      <c r="E84" s="133" t="s">
        <v>776</v>
      </c>
      <c r="F84" s="133" t="s">
        <v>55</v>
      </c>
      <c r="G84" s="133" t="str">
        <f t="shared" si="10"/>
        <v>P002MFNA</v>
      </c>
      <c r="H84" s="133" t="s">
        <v>704</v>
      </c>
      <c r="I84" s="133"/>
      <c r="J84" s="133" t="s">
        <v>777</v>
      </c>
      <c r="K84" s="134" t="s">
        <v>655</v>
      </c>
      <c r="L84" s="135">
        <v>1</v>
      </c>
      <c r="M84" s="133" t="s">
        <v>663</v>
      </c>
      <c r="N84" s="136">
        <v>0</v>
      </c>
      <c r="O84" s="136">
        <v>4175</v>
      </c>
      <c r="P84" s="136">
        <f t="shared" ref="P84:P98" si="11">5400-3635</f>
        <v>1765</v>
      </c>
      <c r="Q84" s="137">
        <v>0</v>
      </c>
      <c r="R84" s="133" t="s">
        <v>778</v>
      </c>
      <c r="S84" s="138">
        <v>45493</v>
      </c>
      <c r="T84" s="133" t="s">
        <v>664</v>
      </c>
      <c r="U84" s="139" t="str">
        <f t="shared" si="9"/>
        <v>_driedflower_milled_bulk</v>
      </c>
      <c r="V84" s="140" t="str">
        <f>IF(U84="_","",_xlfn.XLOOKUP(U84,internal_cansku_inventory!D:D,internal_cansku_inventory!E:E,"",0,1))</f>
        <v/>
      </c>
    </row>
    <row r="85" spans="1:22" ht="12.45" customHeight="1">
      <c r="A85" s="132">
        <v>81</v>
      </c>
      <c r="B85" s="132">
        <v>0</v>
      </c>
      <c r="C85" s="132" t="str">
        <f>Table1[[#This Row],[inventory_id_head]]&amp;"-"&amp;Table1[[#This Row],[inventory_id_tail]]</f>
        <v>81-0</v>
      </c>
      <c r="D85" s="133" t="s">
        <v>653</v>
      </c>
      <c r="E85" s="133" t="s">
        <v>779</v>
      </c>
      <c r="F85" s="133" t="s">
        <v>55</v>
      </c>
      <c r="G85" s="133" t="str">
        <f t="shared" si="10"/>
        <v>P003MFNA</v>
      </c>
      <c r="H85" s="133" t="s">
        <v>704</v>
      </c>
      <c r="I85" s="133"/>
      <c r="J85" s="133" t="s">
        <v>780</v>
      </c>
      <c r="K85" s="134">
        <v>44497</v>
      </c>
      <c r="L85" s="135">
        <v>1</v>
      </c>
      <c r="M85" s="133" t="s">
        <v>663</v>
      </c>
      <c r="N85" s="136">
        <f t="shared" ref="N85:N100" si="12">O85-P85</f>
        <v>2705</v>
      </c>
      <c r="O85" s="136">
        <v>4470</v>
      </c>
      <c r="P85" s="136">
        <f t="shared" si="11"/>
        <v>1765</v>
      </c>
      <c r="Q85" s="137">
        <f t="shared" ref="Q85:Q101" si="13">L85*N85</f>
        <v>2705</v>
      </c>
      <c r="R85" s="133"/>
      <c r="S85" s="138">
        <v>45495</v>
      </c>
      <c r="T85" s="133" t="s">
        <v>664</v>
      </c>
      <c r="U85" s="139" t="str">
        <f t="shared" si="9"/>
        <v>_driedflower_milled_bulk</v>
      </c>
      <c r="V85" s="140" t="str">
        <f>IF(U85="_","",_xlfn.XLOOKUP(U85,internal_cansku_inventory!D:D,internal_cansku_inventory!E:E,"",0,1))</f>
        <v/>
      </c>
    </row>
    <row r="86" spans="1:22" ht="12.45" customHeight="1">
      <c r="A86" s="132">
        <v>82</v>
      </c>
      <c r="B86" s="132">
        <v>0</v>
      </c>
      <c r="C86" s="132" t="str">
        <f>Table1[[#This Row],[inventory_id_head]]&amp;"-"&amp;Table1[[#This Row],[inventory_id_tail]]</f>
        <v>82-0</v>
      </c>
      <c r="D86" s="133" t="s">
        <v>680</v>
      </c>
      <c r="E86" s="133" t="s">
        <v>781</v>
      </c>
      <c r="F86" s="133" t="s">
        <v>55</v>
      </c>
      <c r="G86" s="133" t="str">
        <f t="shared" si="10"/>
        <v>P001EXNA</v>
      </c>
      <c r="H86" s="133" t="s">
        <v>782</v>
      </c>
      <c r="I86" s="133"/>
      <c r="J86" s="133" t="s">
        <v>55</v>
      </c>
      <c r="K86" s="134">
        <v>44938</v>
      </c>
      <c r="L86" s="135">
        <v>1</v>
      </c>
      <c r="M86" s="133" t="s">
        <v>663</v>
      </c>
      <c r="N86" s="136">
        <f t="shared" si="12"/>
        <v>11705</v>
      </c>
      <c r="O86" s="136">
        <f>11705+1765</f>
        <v>13470</v>
      </c>
      <c r="P86" s="136">
        <f t="shared" si="11"/>
        <v>1765</v>
      </c>
      <c r="Q86" s="137">
        <f t="shared" si="13"/>
        <v>11705</v>
      </c>
      <c r="R86" s="133"/>
      <c r="S86" s="138">
        <v>45495</v>
      </c>
      <c r="T86" s="133" t="s">
        <v>664</v>
      </c>
      <c r="U86" s="139" t="str">
        <f t="shared" si="9"/>
        <v>_extract_ingested_bulk</v>
      </c>
      <c r="V86" s="140" t="str">
        <f>IF(U86="_","",_xlfn.XLOOKUP(U86,internal_cansku_inventory!D:D,internal_cansku_inventory!E:E,"",0,1))</f>
        <v/>
      </c>
    </row>
    <row r="87" spans="1:22" ht="12.45" customHeight="1">
      <c r="A87" s="132">
        <v>83</v>
      </c>
      <c r="B87" s="132">
        <v>0</v>
      </c>
      <c r="C87" s="132" t="str">
        <f>Table1[[#This Row],[inventory_id_head]]&amp;"-"&amp;Table1[[#This Row],[inventory_id_tail]]</f>
        <v>83-0</v>
      </c>
      <c r="D87" s="133" t="s">
        <v>680</v>
      </c>
      <c r="E87" s="133" t="s">
        <v>783</v>
      </c>
      <c r="F87" s="133" t="s">
        <v>55</v>
      </c>
      <c r="G87" s="133" t="str">
        <f t="shared" si="10"/>
        <v>P002EXNA</v>
      </c>
      <c r="H87" s="133" t="s">
        <v>782</v>
      </c>
      <c r="I87" s="133"/>
      <c r="J87" s="133" t="s">
        <v>784</v>
      </c>
      <c r="K87" s="134">
        <v>44798</v>
      </c>
      <c r="L87" s="135">
        <v>1</v>
      </c>
      <c r="M87" s="133" t="s">
        <v>663</v>
      </c>
      <c r="N87" s="136">
        <f t="shared" si="12"/>
        <v>19130</v>
      </c>
      <c r="O87" s="136">
        <v>20895</v>
      </c>
      <c r="P87" s="136">
        <f t="shared" si="11"/>
        <v>1765</v>
      </c>
      <c r="Q87" s="137">
        <f t="shared" si="13"/>
        <v>19130</v>
      </c>
      <c r="R87" s="133"/>
      <c r="S87" s="138">
        <v>45495</v>
      </c>
      <c r="T87" s="133" t="s">
        <v>664</v>
      </c>
      <c r="U87" s="139" t="str">
        <f t="shared" si="9"/>
        <v>_extract_ingested_bulk</v>
      </c>
      <c r="V87" s="140" t="str">
        <f>IF(U87="_","",_xlfn.XLOOKUP(U87,internal_cansku_inventory!D:D,internal_cansku_inventory!E:E,"",0,1))</f>
        <v/>
      </c>
    </row>
    <row r="88" spans="1:22" ht="12.45" customHeight="1">
      <c r="A88" s="132">
        <v>88</v>
      </c>
      <c r="B88" s="132">
        <v>0</v>
      </c>
      <c r="C88" s="132" t="str">
        <f>Table1[[#This Row],[inventory_id_head]]&amp;"-"&amp;Table1[[#This Row],[inventory_id_tail]]</f>
        <v>88-0</v>
      </c>
      <c r="D88" s="133" t="s">
        <v>653</v>
      </c>
      <c r="E88" s="133" t="s">
        <v>785</v>
      </c>
      <c r="F88" s="133" t="s">
        <v>55</v>
      </c>
      <c r="G88" s="133" t="str">
        <f t="shared" si="10"/>
        <v>P004MFNA</v>
      </c>
      <c r="H88" s="133" t="s">
        <v>704</v>
      </c>
      <c r="I88" s="133"/>
      <c r="J88" s="133" t="s">
        <v>786</v>
      </c>
      <c r="K88" s="134">
        <v>44620</v>
      </c>
      <c r="L88" s="135">
        <v>1</v>
      </c>
      <c r="M88" s="133" t="s">
        <v>663</v>
      </c>
      <c r="N88" s="136">
        <f t="shared" si="12"/>
        <v>1025</v>
      </c>
      <c r="O88" s="136">
        <v>2790</v>
      </c>
      <c r="P88" s="136">
        <f t="shared" si="11"/>
        <v>1765</v>
      </c>
      <c r="Q88" s="137">
        <f t="shared" si="13"/>
        <v>1025</v>
      </c>
      <c r="R88" s="133"/>
      <c r="S88" s="138">
        <v>45495</v>
      </c>
      <c r="T88" s="133" t="s">
        <v>664</v>
      </c>
      <c r="U88" s="139" t="str">
        <f t="shared" si="9"/>
        <v>_driedflower_milled_bulk</v>
      </c>
      <c r="V88" s="140" t="str">
        <f>IF(U88="_","",_xlfn.XLOOKUP(U88,internal_cansku_inventory!D:D,internal_cansku_inventory!E:E,"",0,1))</f>
        <v/>
      </c>
    </row>
    <row r="89" spans="1:22" ht="12.45" customHeight="1">
      <c r="A89" s="132">
        <v>89</v>
      </c>
      <c r="B89" s="132">
        <v>0</v>
      </c>
      <c r="C89" s="132" t="str">
        <f>Table1[[#This Row],[inventory_id_head]]&amp;"-"&amp;Table1[[#This Row],[inventory_id_tail]]</f>
        <v>89-0</v>
      </c>
      <c r="D89" s="133" t="s">
        <v>653</v>
      </c>
      <c r="E89" s="133" t="s">
        <v>787</v>
      </c>
      <c r="F89" s="133" t="s">
        <v>55</v>
      </c>
      <c r="G89" s="133" t="str">
        <f t="shared" si="10"/>
        <v>P005MFNA</v>
      </c>
      <c r="H89" s="133" t="s">
        <v>704</v>
      </c>
      <c r="I89" s="133"/>
      <c r="J89" s="133" t="s">
        <v>788</v>
      </c>
      <c r="K89" s="134">
        <v>44623</v>
      </c>
      <c r="L89" s="135">
        <v>1</v>
      </c>
      <c r="M89" s="133" t="s">
        <v>663</v>
      </c>
      <c r="N89" s="136">
        <f t="shared" si="12"/>
        <v>1860</v>
      </c>
      <c r="O89" s="136">
        <v>3625</v>
      </c>
      <c r="P89" s="136">
        <f t="shared" si="11"/>
        <v>1765</v>
      </c>
      <c r="Q89" s="137">
        <f t="shared" si="13"/>
        <v>1860</v>
      </c>
      <c r="R89" s="133"/>
      <c r="S89" s="138">
        <v>45495</v>
      </c>
      <c r="T89" s="133" t="s">
        <v>664</v>
      </c>
      <c r="U89" s="139" t="str">
        <f t="shared" si="9"/>
        <v>_driedflower_milled_bulk</v>
      </c>
      <c r="V89" s="140" t="str">
        <f>IF(U89="_","",_xlfn.XLOOKUP(U89,internal_cansku_inventory!D:D,internal_cansku_inventory!E:E,"",0,1))</f>
        <v/>
      </c>
    </row>
    <row r="90" spans="1:22" ht="12.45" customHeight="1">
      <c r="A90" s="132">
        <v>91</v>
      </c>
      <c r="B90" s="132">
        <v>0</v>
      </c>
      <c r="C90" s="132" t="str">
        <f>Table1[[#This Row],[inventory_id_head]]&amp;"-"&amp;Table1[[#This Row],[inventory_id_tail]]</f>
        <v>91-0</v>
      </c>
      <c r="D90" s="133" t="s">
        <v>653</v>
      </c>
      <c r="E90" s="133" t="s">
        <v>789</v>
      </c>
      <c r="F90" s="133" t="s">
        <v>55</v>
      </c>
      <c r="G90" s="133" t="str">
        <f t="shared" si="10"/>
        <v>P007EXNA</v>
      </c>
      <c r="H90" s="133" t="s">
        <v>782</v>
      </c>
      <c r="I90" s="133"/>
      <c r="J90" s="133" t="s">
        <v>790</v>
      </c>
      <c r="K90" s="134">
        <v>45345</v>
      </c>
      <c r="L90" s="135">
        <v>1</v>
      </c>
      <c r="M90" s="133" t="s">
        <v>663</v>
      </c>
      <c r="N90" s="136">
        <f t="shared" si="12"/>
        <v>2385</v>
      </c>
      <c r="O90" s="136">
        <v>4150</v>
      </c>
      <c r="P90" s="136">
        <f t="shared" si="11"/>
        <v>1765</v>
      </c>
      <c r="Q90" s="137">
        <f t="shared" si="13"/>
        <v>2385</v>
      </c>
      <c r="R90" s="133"/>
      <c r="S90" s="138">
        <v>45495</v>
      </c>
      <c r="T90" s="133" t="s">
        <v>664</v>
      </c>
      <c r="U90" s="139" t="str">
        <f t="shared" si="9"/>
        <v>_extract_ingested_bulk</v>
      </c>
      <c r="V90" s="140" t="str">
        <f>IF(U90="_","",_xlfn.XLOOKUP(U90,internal_cansku_inventory!D:D,internal_cansku_inventory!E:E,"",0,1))</f>
        <v/>
      </c>
    </row>
    <row r="91" spans="1:22" ht="12.45" customHeight="1">
      <c r="A91" s="132">
        <v>92</v>
      </c>
      <c r="B91" s="132">
        <v>0</v>
      </c>
      <c r="C91" s="132" t="str">
        <f>Table1[[#This Row],[inventory_id_head]]&amp;"-"&amp;Table1[[#This Row],[inventory_id_tail]]</f>
        <v>92-0</v>
      </c>
      <c r="D91" s="133" t="s">
        <v>680</v>
      </c>
      <c r="E91" s="133" t="s">
        <v>791</v>
      </c>
      <c r="F91" s="133" t="s">
        <v>55</v>
      </c>
      <c r="G91" s="133" t="str">
        <f t="shared" si="10"/>
        <v>P008EXNA</v>
      </c>
      <c r="H91" s="133" t="s">
        <v>782</v>
      </c>
      <c r="I91" s="133"/>
      <c r="J91" s="133" t="s">
        <v>792</v>
      </c>
      <c r="K91" s="134">
        <v>45345</v>
      </c>
      <c r="L91" s="135">
        <v>1</v>
      </c>
      <c r="M91" s="133" t="s">
        <v>663</v>
      </c>
      <c r="N91" s="136">
        <f t="shared" si="12"/>
        <v>2230</v>
      </c>
      <c r="O91" s="136">
        <v>3995</v>
      </c>
      <c r="P91" s="136">
        <f t="shared" si="11"/>
        <v>1765</v>
      </c>
      <c r="Q91" s="137">
        <f t="shared" si="13"/>
        <v>2230</v>
      </c>
      <c r="R91" s="133"/>
      <c r="S91" s="138">
        <v>45495</v>
      </c>
      <c r="T91" s="133" t="s">
        <v>664</v>
      </c>
      <c r="U91" s="139" t="str">
        <f t="shared" si="9"/>
        <v>_extract_ingested_bulk</v>
      </c>
      <c r="V91" s="140" t="str">
        <f>IF(U91="_","",_xlfn.XLOOKUP(U91,internal_cansku_inventory!D:D,internal_cansku_inventory!E:E,"",0,1))</f>
        <v/>
      </c>
    </row>
    <row r="92" spans="1:22" ht="12.45" customHeight="1">
      <c r="A92" s="132">
        <v>93</v>
      </c>
      <c r="B92" s="132">
        <v>0</v>
      </c>
      <c r="C92" s="132" t="str">
        <f>Table1[[#This Row],[inventory_id_head]]&amp;"-"&amp;Table1[[#This Row],[inventory_id_tail]]</f>
        <v>93-0</v>
      </c>
      <c r="D92" s="133" t="s">
        <v>653</v>
      </c>
      <c r="E92" s="133" t="s">
        <v>793</v>
      </c>
      <c r="F92" s="133" t="s">
        <v>55</v>
      </c>
      <c r="G92" s="133" t="str">
        <f t="shared" si="10"/>
        <v>P008MFNA</v>
      </c>
      <c r="H92" s="133" t="s">
        <v>704</v>
      </c>
      <c r="I92" s="133"/>
      <c r="J92" s="133" t="s">
        <v>794</v>
      </c>
      <c r="K92" s="134">
        <v>44255</v>
      </c>
      <c r="L92" s="135">
        <v>1</v>
      </c>
      <c r="M92" s="133" t="s">
        <v>663</v>
      </c>
      <c r="N92" s="136">
        <f t="shared" si="12"/>
        <v>3770</v>
      </c>
      <c r="O92" s="136">
        <v>5535</v>
      </c>
      <c r="P92" s="136">
        <f t="shared" si="11"/>
        <v>1765</v>
      </c>
      <c r="Q92" s="137">
        <f t="shared" si="13"/>
        <v>3770</v>
      </c>
      <c r="R92" s="133"/>
      <c r="S92" s="138">
        <v>45495</v>
      </c>
      <c r="T92" s="133" t="s">
        <v>664</v>
      </c>
      <c r="U92" s="139" t="str">
        <f t="shared" si="9"/>
        <v>_driedflower_milled_bulk</v>
      </c>
      <c r="V92" s="140" t="str">
        <f>IF(U92="_","",_xlfn.XLOOKUP(U92,internal_cansku_inventory!D:D,internal_cansku_inventory!E:E,"",0,1))</f>
        <v/>
      </c>
    </row>
    <row r="93" spans="1:22" ht="12.45" customHeight="1">
      <c r="A93" s="132">
        <v>94</v>
      </c>
      <c r="B93" s="132">
        <v>0</v>
      </c>
      <c r="C93" s="132" t="str">
        <f>Table1[[#This Row],[inventory_id_head]]&amp;"-"&amp;Table1[[#This Row],[inventory_id_tail]]</f>
        <v>94-0</v>
      </c>
      <c r="D93" s="133" t="s">
        <v>653</v>
      </c>
      <c r="E93" s="133" t="s">
        <v>795</v>
      </c>
      <c r="F93" s="133" t="s">
        <v>55</v>
      </c>
      <c r="G93" s="133" t="str">
        <f t="shared" si="10"/>
        <v>P009MFNA</v>
      </c>
      <c r="H93" s="133" t="s">
        <v>704</v>
      </c>
      <c r="I93" s="133"/>
      <c r="J93" s="133" t="s">
        <v>780</v>
      </c>
      <c r="K93" s="134">
        <v>44620</v>
      </c>
      <c r="L93" s="135">
        <v>1</v>
      </c>
      <c r="M93" s="133" t="s">
        <v>663</v>
      </c>
      <c r="N93" s="136">
        <f t="shared" si="12"/>
        <v>1540</v>
      </c>
      <c r="O93" s="136">
        <v>3305</v>
      </c>
      <c r="P93" s="136">
        <f t="shared" si="11"/>
        <v>1765</v>
      </c>
      <c r="Q93" s="137">
        <f t="shared" si="13"/>
        <v>1540</v>
      </c>
      <c r="R93" s="133"/>
      <c r="S93" s="138">
        <v>45495</v>
      </c>
      <c r="T93" s="133" t="s">
        <v>664</v>
      </c>
      <c r="U93" s="139" t="str">
        <f t="shared" si="9"/>
        <v>_driedflower_milled_bulk</v>
      </c>
      <c r="V93" s="140" t="str">
        <f>IF(U93="_","",_xlfn.XLOOKUP(U93,internal_cansku_inventory!D:D,internal_cansku_inventory!E:E,"",0,1))</f>
        <v/>
      </c>
    </row>
    <row r="94" spans="1:22" ht="12.45" customHeight="1">
      <c r="A94" s="132">
        <v>95</v>
      </c>
      <c r="B94" s="132">
        <v>0</v>
      </c>
      <c r="C94" s="132" t="str">
        <f>Table1[[#This Row],[inventory_id_head]]&amp;"-"&amp;Table1[[#This Row],[inventory_id_tail]]</f>
        <v>95-0</v>
      </c>
      <c r="D94" s="133" t="s">
        <v>680</v>
      </c>
      <c r="E94" s="133" t="s">
        <v>796</v>
      </c>
      <c r="F94" s="133" t="s">
        <v>55</v>
      </c>
      <c r="G94" s="133" t="str">
        <f t="shared" si="10"/>
        <v>P001TPNA</v>
      </c>
      <c r="H94" s="133" t="s">
        <v>404</v>
      </c>
      <c r="I94" s="133"/>
      <c r="J94" s="133" t="s">
        <v>797</v>
      </c>
      <c r="K94" s="134">
        <v>45448</v>
      </c>
      <c r="L94" s="135">
        <v>1</v>
      </c>
      <c r="M94" s="133" t="s">
        <v>663</v>
      </c>
      <c r="N94" s="136">
        <f t="shared" si="12"/>
        <v>16820</v>
      </c>
      <c r="O94" s="136">
        <v>18585</v>
      </c>
      <c r="P94" s="136">
        <f t="shared" si="11"/>
        <v>1765</v>
      </c>
      <c r="Q94" s="137">
        <f t="shared" si="13"/>
        <v>16820</v>
      </c>
      <c r="R94" s="133"/>
      <c r="S94" s="138">
        <v>45495</v>
      </c>
      <c r="T94" s="133" t="s">
        <v>664</v>
      </c>
      <c r="U94" s="139" t="str">
        <f t="shared" si="9"/>
        <v>_topical_bulk</v>
      </c>
      <c r="V94" s="140" t="str">
        <f>IF(U94="_","",_xlfn.XLOOKUP(U94,internal_cansku_inventory!D:D,internal_cansku_inventory!E:E,"",0,1))</f>
        <v/>
      </c>
    </row>
    <row r="95" spans="1:22" ht="12.45" customHeight="1">
      <c r="A95" s="132">
        <v>96</v>
      </c>
      <c r="B95" s="132">
        <v>0</v>
      </c>
      <c r="C95" s="132" t="str">
        <f>Table1[[#This Row],[inventory_id_head]]&amp;"-"&amp;Table1[[#This Row],[inventory_id_tail]]</f>
        <v>96-0</v>
      </c>
      <c r="D95" s="133" t="s">
        <v>653</v>
      </c>
      <c r="E95" s="133" t="s">
        <v>798</v>
      </c>
      <c r="F95" s="133" t="s">
        <v>55</v>
      </c>
      <c r="G95" s="133" t="str">
        <f t="shared" si="10"/>
        <v>P007MFNA</v>
      </c>
      <c r="H95" s="133" t="s">
        <v>704</v>
      </c>
      <c r="I95" s="133"/>
      <c r="J95" s="133" t="s">
        <v>799</v>
      </c>
      <c r="K95" s="134">
        <v>44206</v>
      </c>
      <c r="L95" s="135">
        <v>1</v>
      </c>
      <c r="M95" s="133" t="s">
        <v>663</v>
      </c>
      <c r="N95" s="136">
        <f t="shared" si="12"/>
        <v>3360</v>
      </c>
      <c r="O95" s="136">
        <v>5125</v>
      </c>
      <c r="P95" s="136">
        <f t="shared" si="11"/>
        <v>1765</v>
      </c>
      <c r="Q95" s="137">
        <f t="shared" si="13"/>
        <v>3360</v>
      </c>
      <c r="R95" s="133"/>
      <c r="S95" s="138">
        <v>45495</v>
      </c>
      <c r="T95" s="133" t="s">
        <v>664</v>
      </c>
      <c r="U95" s="139" t="str">
        <f t="shared" si="9"/>
        <v>_driedflower_milled_bulk</v>
      </c>
      <c r="V95" s="140" t="str">
        <f>IF(U95="_","",_xlfn.XLOOKUP(U95,internal_cansku_inventory!D:D,internal_cansku_inventory!E:E,"",0,1))</f>
        <v/>
      </c>
    </row>
    <row r="96" spans="1:22" ht="12.45" customHeight="1">
      <c r="A96" s="132">
        <v>98</v>
      </c>
      <c r="B96" s="132">
        <v>0</v>
      </c>
      <c r="C96" s="132" t="str">
        <f>Table1[[#This Row],[inventory_id_head]]&amp;"-"&amp;Table1[[#This Row],[inventory_id_tail]]</f>
        <v>98-0</v>
      </c>
      <c r="D96" s="133" t="s">
        <v>653</v>
      </c>
      <c r="E96" s="133" t="s">
        <v>800</v>
      </c>
      <c r="F96" s="133" t="s">
        <v>55</v>
      </c>
      <c r="G96" s="133" t="str">
        <f t="shared" si="10"/>
        <v>P011MFNA</v>
      </c>
      <c r="H96" s="133" t="s">
        <v>704</v>
      </c>
      <c r="I96" s="133"/>
      <c r="J96" s="133" t="s">
        <v>801</v>
      </c>
      <c r="K96" s="134" t="s">
        <v>655</v>
      </c>
      <c r="L96" s="135">
        <v>1</v>
      </c>
      <c r="M96" s="133" t="s">
        <v>663</v>
      </c>
      <c r="N96" s="136">
        <f t="shared" si="12"/>
        <v>1665</v>
      </c>
      <c r="O96" s="136">
        <v>3430</v>
      </c>
      <c r="P96" s="136">
        <f t="shared" si="11"/>
        <v>1765</v>
      </c>
      <c r="Q96" s="137">
        <f t="shared" si="13"/>
        <v>1665</v>
      </c>
      <c r="R96" s="133"/>
      <c r="S96" s="138">
        <v>45496</v>
      </c>
      <c r="T96" s="133" t="s">
        <v>664</v>
      </c>
      <c r="U96" s="139" t="str">
        <f t="shared" si="9"/>
        <v>_driedflower_milled_bulk</v>
      </c>
      <c r="V96" s="140" t="str">
        <f>IF(U96="_","",_xlfn.XLOOKUP(U96,internal_cansku_inventory!D:D,internal_cansku_inventory!E:E,"",0,1))</f>
        <v/>
      </c>
    </row>
    <row r="97" spans="1:22" ht="12.45" customHeight="1">
      <c r="A97" s="132">
        <v>100</v>
      </c>
      <c r="B97" s="132">
        <v>0</v>
      </c>
      <c r="C97" s="132" t="str">
        <f>Table1[[#This Row],[inventory_id_head]]&amp;"-"&amp;Table1[[#This Row],[inventory_id_tail]]</f>
        <v>100-0</v>
      </c>
      <c r="D97" s="133" t="s">
        <v>653</v>
      </c>
      <c r="E97" s="133" t="s">
        <v>802</v>
      </c>
      <c r="F97" s="133" t="s">
        <v>55</v>
      </c>
      <c r="G97" s="133" t="str">
        <f t="shared" si="10"/>
        <v>P013MFNA</v>
      </c>
      <c r="H97" s="133" t="s">
        <v>704</v>
      </c>
      <c r="I97" s="133"/>
      <c r="J97" s="133" t="s">
        <v>803</v>
      </c>
      <c r="K97" s="134" t="s">
        <v>655</v>
      </c>
      <c r="L97" s="135">
        <v>1</v>
      </c>
      <c r="M97" s="133" t="s">
        <v>663</v>
      </c>
      <c r="N97" s="136">
        <f t="shared" si="12"/>
        <v>815</v>
      </c>
      <c r="O97" s="136">
        <v>2580</v>
      </c>
      <c r="P97" s="136">
        <f t="shared" si="11"/>
        <v>1765</v>
      </c>
      <c r="Q97" s="137">
        <f t="shared" si="13"/>
        <v>815</v>
      </c>
      <c r="R97" s="133"/>
      <c r="S97" s="138">
        <v>45496</v>
      </c>
      <c r="T97" s="133" t="s">
        <v>664</v>
      </c>
      <c r="U97" s="139" t="str">
        <f t="shared" si="9"/>
        <v>_driedflower_milled_bulk</v>
      </c>
      <c r="V97" s="140" t="str">
        <f>IF(U97="_","",_xlfn.XLOOKUP(U97,internal_cansku_inventory!D:D,internal_cansku_inventory!E:E,"",0,1))</f>
        <v/>
      </c>
    </row>
    <row r="98" spans="1:22" ht="12.45" customHeight="1">
      <c r="A98" s="132">
        <v>101</v>
      </c>
      <c r="B98" s="132">
        <v>0</v>
      </c>
      <c r="C98" s="132" t="str">
        <f>Table1[[#This Row],[inventory_id_head]]&amp;"-"&amp;Table1[[#This Row],[inventory_id_tail]]</f>
        <v>101-0</v>
      </c>
      <c r="D98" s="133" t="s">
        <v>653</v>
      </c>
      <c r="E98" s="133" t="s">
        <v>804</v>
      </c>
      <c r="F98" s="133" t="s">
        <v>55</v>
      </c>
      <c r="G98" s="133" t="str">
        <f t="shared" si="10"/>
        <v>P014MFNA</v>
      </c>
      <c r="H98" s="133" t="s">
        <v>704</v>
      </c>
      <c r="I98" s="133"/>
      <c r="J98" s="133" t="s">
        <v>780</v>
      </c>
      <c r="K98" s="134">
        <v>44497</v>
      </c>
      <c r="L98" s="135">
        <v>1</v>
      </c>
      <c r="M98" s="133" t="s">
        <v>663</v>
      </c>
      <c r="N98" s="136">
        <f t="shared" si="12"/>
        <v>2595</v>
      </c>
      <c r="O98" s="136">
        <v>4360</v>
      </c>
      <c r="P98" s="136">
        <f t="shared" si="11"/>
        <v>1765</v>
      </c>
      <c r="Q98" s="137">
        <f t="shared" si="13"/>
        <v>2595</v>
      </c>
      <c r="R98" s="133"/>
      <c r="S98" s="138">
        <v>45496</v>
      </c>
      <c r="T98" s="133" t="s">
        <v>664</v>
      </c>
      <c r="U98" s="139" t="str">
        <f t="shared" si="9"/>
        <v>_driedflower_milled_bulk</v>
      </c>
      <c r="V98" s="140" t="str">
        <f>IF(U98="_","",_xlfn.XLOOKUP(U98,internal_cansku_inventory!D:D,internal_cansku_inventory!E:E,"",0,1))</f>
        <v/>
      </c>
    </row>
    <row r="99" spans="1:22" ht="12.45" customHeight="1">
      <c r="A99" s="132">
        <v>102</v>
      </c>
      <c r="B99" s="132">
        <v>0</v>
      </c>
      <c r="C99" s="132" t="str">
        <f>Table1[[#This Row],[inventory_id_head]]&amp;"-"&amp;Table1[[#This Row],[inventory_id_tail]]</f>
        <v>102-0</v>
      </c>
      <c r="D99" s="133" t="s">
        <v>653</v>
      </c>
      <c r="E99" s="133" t="s">
        <v>805</v>
      </c>
      <c r="F99" s="133" t="s">
        <v>55</v>
      </c>
      <c r="G99" s="133" t="str">
        <f t="shared" si="10"/>
        <v>P015MFNA</v>
      </c>
      <c r="H99" s="133" t="s">
        <v>704</v>
      </c>
      <c r="I99" s="133"/>
      <c r="J99" s="133" t="s">
        <v>806</v>
      </c>
      <c r="K99" s="134">
        <v>44627</v>
      </c>
      <c r="L99" s="135">
        <v>1</v>
      </c>
      <c r="M99" s="133" t="s">
        <v>663</v>
      </c>
      <c r="N99" s="136">
        <f t="shared" si="12"/>
        <v>2935</v>
      </c>
      <c r="O99" s="136">
        <v>4700</v>
      </c>
      <c r="P99" s="136">
        <v>1765</v>
      </c>
      <c r="Q99" s="137">
        <f t="shared" si="13"/>
        <v>2935</v>
      </c>
      <c r="R99" s="133"/>
      <c r="S99" s="138">
        <v>45496</v>
      </c>
      <c r="T99" s="133" t="s">
        <v>664</v>
      </c>
      <c r="U99" s="139" t="str">
        <f t="shared" si="9"/>
        <v>_driedflower_milled_bulk</v>
      </c>
      <c r="V99" s="140" t="str">
        <f>IF(U99="_","",_xlfn.XLOOKUP(U99,internal_cansku_inventory!D:D,internal_cansku_inventory!E:E,"",0,1))</f>
        <v/>
      </c>
    </row>
    <row r="100" spans="1:22" ht="12.45" customHeight="1">
      <c r="A100" s="132">
        <v>103</v>
      </c>
      <c r="B100" s="132">
        <v>0</v>
      </c>
      <c r="C100" s="132" t="str">
        <f>Table1[[#This Row],[inventory_id_head]]&amp;"-"&amp;Table1[[#This Row],[inventory_id_tail]]</f>
        <v>103-0</v>
      </c>
      <c r="D100" s="133" t="s">
        <v>653</v>
      </c>
      <c r="E100" s="133" t="s">
        <v>807</v>
      </c>
      <c r="F100" s="133" t="s">
        <v>55</v>
      </c>
      <c r="G100" s="133" t="str">
        <f t="shared" si="10"/>
        <v>P016MFNA</v>
      </c>
      <c r="H100" s="133" t="s">
        <v>704</v>
      </c>
      <c r="I100" s="133"/>
      <c r="J100" s="133" t="s">
        <v>794</v>
      </c>
      <c r="K100" s="134" t="s">
        <v>655</v>
      </c>
      <c r="L100" s="135">
        <v>1</v>
      </c>
      <c r="M100" s="133" t="s">
        <v>663</v>
      </c>
      <c r="N100" s="136">
        <f t="shared" si="12"/>
        <v>685</v>
      </c>
      <c r="O100" s="136">
        <v>2450</v>
      </c>
      <c r="P100" s="136">
        <v>1765</v>
      </c>
      <c r="Q100" s="137">
        <f t="shared" si="13"/>
        <v>685</v>
      </c>
      <c r="R100" s="133"/>
      <c r="S100" s="138">
        <v>45496</v>
      </c>
      <c r="T100" s="133" t="s">
        <v>664</v>
      </c>
      <c r="U100" s="139" t="str">
        <f t="shared" si="9"/>
        <v>_driedflower_milled_bulk</v>
      </c>
      <c r="V100" s="140" t="str">
        <f>IF(U100="_","",_xlfn.XLOOKUP(U100,internal_cansku_inventory!D:D,internal_cansku_inventory!E:E,"",0,1))</f>
        <v/>
      </c>
    </row>
    <row r="101" spans="1:22" ht="12.45" customHeight="1">
      <c r="A101" s="132">
        <v>110</v>
      </c>
      <c r="B101" s="132">
        <v>0</v>
      </c>
      <c r="C101" s="132" t="str">
        <f>Table1[[#This Row],[inventory_id_head]]&amp;"-"&amp;Table1[[#This Row],[inventory_id_tail]]</f>
        <v>110-0</v>
      </c>
      <c r="D101" s="133" t="s">
        <v>653</v>
      </c>
      <c r="E101" s="133" t="s">
        <v>808</v>
      </c>
      <c r="F101" s="133" t="s">
        <v>55</v>
      </c>
      <c r="G101" s="133" t="str">
        <f t="shared" si="10"/>
        <v>T005PRNA</v>
      </c>
      <c r="H101" s="133" t="s">
        <v>809</v>
      </c>
      <c r="I101" s="133"/>
      <c r="J101" s="133" t="s">
        <v>810</v>
      </c>
      <c r="K101" s="134" t="s">
        <v>655</v>
      </c>
      <c r="L101" s="135">
        <f>90+610</f>
        <v>700</v>
      </c>
      <c r="M101" s="133" t="s">
        <v>644</v>
      </c>
      <c r="N101" s="136">
        <v>1.5</v>
      </c>
      <c r="O101" s="136">
        <v>0</v>
      </c>
      <c r="P101" s="136">
        <v>0</v>
      </c>
      <c r="Q101" s="137">
        <f t="shared" si="13"/>
        <v>1050</v>
      </c>
      <c r="R101" s="133"/>
      <c r="S101" s="138">
        <v>45499</v>
      </c>
      <c r="T101" s="133" t="s">
        <v>670</v>
      </c>
      <c r="U101" s="139" t="str">
        <f t="shared" si="9"/>
        <v>_preroll_packaged</v>
      </c>
      <c r="V101" s="140" t="str">
        <f>IF(U101="_","",_xlfn.XLOOKUP(U101,internal_cansku_inventory!D:D,internal_cansku_inventory!E:E,"",0,1))</f>
        <v/>
      </c>
    </row>
    <row r="102" spans="1:22" ht="12.45" customHeight="1">
      <c r="A102" s="132">
        <v>111</v>
      </c>
      <c r="B102" s="132">
        <v>0</v>
      </c>
      <c r="C102" s="132" t="str">
        <f>Table1[[#This Row],[inventory_id_head]]&amp;"-"&amp;Table1[[#This Row],[inventory_id_tail]]</f>
        <v>111-0</v>
      </c>
      <c r="D102" s="133" t="s">
        <v>653</v>
      </c>
      <c r="E102" s="133" t="s">
        <v>811</v>
      </c>
      <c r="F102" s="133" t="s">
        <v>55</v>
      </c>
      <c r="G102" s="133" t="s">
        <v>812</v>
      </c>
      <c r="H102" s="133" t="s">
        <v>813</v>
      </c>
      <c r="I102" s="133"/>
      <c r="J102" s="133" t="s">
        <v>814</v>
      </c>
      <c r="K102" s="134">
        <v>44999</v>
      </c>
      <c r="L102" s="135">
        <v>213</v>
      </c>
      <c r="M102" s="133" t="s">
        <v>644</v>
      </c>
      <c r="N102" s="136">
        <v>1</v>
      </c>
      <c r="O102" s="136">
        <v>0</v>
      </c>
      <c r="P102" s="136">
        <v>0</v>
      </c>
      <c r="Q102" s="137">
        <v>213</v>
      </c>
      <c r="R102" s="133"/>
      <c r="S102" s="138">
        <v>45499</v>
      </c>
      <c r="T102" s="133" t="s">
        <v>670</v>
      </c>
      <c r="U102" s="139" t="str">
        <f t="shared" si="9"/>
        <v>_preroll_labelled</v>
      </c>
      <c r="V102" s="140" t="str">
        <f>IF(U102="_","",_xlfn.XLOOKUP(U102,internal_cansku_inventory!D:D,internal_cansku_inventory!E:E,"",0,1))</f>
        <v/>
      </c>
    </row>
    <row r="103" spans="1:22" ht="12.45" customHeight="1">
      <c r="A103" s="132">
        <v>112</v>
      </c>
      <c r="B103" s="132">
        <v>0</v>
      </c>
      <c r="C103" s="132" t="str">
        <f>Table1[[#This Row],[inventory_id_head]]&amp;"-"&amp;Table1[[#This Row],[inventory_id_tail]]</f>
        <v>112-0</v>
      </c>
      <c r="D103" s="133" t="s">
        <v>653</v>
      </c>
      <c r="E103" s="133" t="s">
        <v>815</v>
      </c>
      <c r="F103" s="133" t="s">
        <v>816</v>
      </c>
      <c r="G103" s="133" t="s">
        <v>817</v>
      </c>
      <c r="H103" s="133" t="s">
        <v>813</v>
      </c>
      <c r="I103" s="133"/>
      <c r="J103" s="133" t="s">
        <v>818</v>
      </c>
      <c r="K103" s="134">
        <v>44999</v>
      </c>
      <c r="L103" s="135">
        <v>5</v>
      </c>
      <c r="M103" s="133" t="s">
        <v>644</v>
      </c>
      <c r="N103" s="136">
        <v>1.5</v>
      </c>
      <c r="O103" s="136">
        <v>0</v>
      </c>
      <c r="P103" s="136">
        <v>0</v>
      </c>
      <c r="Q103" s="137">
        <v>7.5</v>
      </c>
      <c r="R103" s="133"/>
      <c r="S103" s="138">
        <v>45499</v>
      </c>
      <c r="T103" s="133" t="s">
        <v>670</v>
      </c>
      <c r="U103" s="139" t="str">
        <f t="shared" si="9"/>
        <v>_preroll_labelled</v>
      </c>
      <c r="V103" s="140" t="str">
        <f>IF(U103="_","",_xlfn.XLOOKUP(U103,internal_cansku_inventory!D:D,internal_cansku_inventory!E:E,"",0,1))</f>
        <v/>
      </c>
    </row>
    <row r="104" spans="1:22" ht="12.45" customHeight="1">
      <c r="A104" s="132">
        <v>113</v>
      </c>
      <c r="B104" s="132">
        <v>0</v>
      </c>
      <c r="C104" s="132" t="str">
        <f>Table1[[#This Row],[inventory_id_head]]&amp;"-"&amp;Table1[[#This Row],[inventory_id_tail]]</f>
        <v>113-0</v>
      </c>
      <c r="D104" s="133" t="s">
        <v>653</v>
      </c>
      <c r="E104" s="133" t="s">
        <v>819</v>
      </c>
      <c r="F104" s="133" t="s">
        <v>55</v>
      </c>
      <c r="G104" s="133" t="s">
        <v>820</v>
      </c>
      <c r="H104" s="133" t="s">
        <v>813</v>
      </c>
      <c r="I104" s="133"/>
      <c r="J104" s="133" t="s">
        <v>821</v>
      </c>
      <c r="K104" s="134">
        <v>45014</v>
      </c>
      <c r="L104" s="135">
        <v>134</v>
      </c>
      <c r="M104" s="133" t="s">
        <v>644</v>
      </c>
      <c r="N104" s="136">
        <v>1.5</v>
      </c>
      <c r="O104" s="136">
        <v>0</v>
      </c>
      <c r="P104" s="136">
        <v>0</v>
      </c>
      <c r="Q104" s="137">
        <v>201</v>
      </c>
      <c r="R104" s="133"/>
      <c r="S104" s="138">
        <v>45499</v>
      </c>
      <c r="T104" s="133" t="s">
        <v>670</v>
      </c>
      <c r="U104" s="139" t="str">
        <f t="shared" si="9"/>
        <v>_preroll_labelled</v>
      </c>
      <c r="V104" s="140" t="str">
        <f>IF(U104="_","",_xlfn.XLOOKUP(U104,internal_cansku_inventory!D:D,internal_cansku_inventory!E:E,"",0,1))</f>
        <v/>
      </c>
    </row>
    <row r="105" spans="1:22" ht="12.45" customHeight="1">
      <c r="A105" s="132">
        <v>117</v>
      </c>
      <c r="B105" s="132">
        <v>0</v>
      </c>
      <c r="C105" s="132" t="str">
        <f>Table1[[#This Row],[inventory_id_head]]&amp;"-"&amp;Table1[[#This Row],[inventory_id_tail]]</f>
        <v>117-0</v>
      </c>
      <c r="D105" s="142" t="s">
        <v>653</v>
      </c>
      <c r="E105" s="133" t="s">
        <v>822</v>
      </c>
      <c r="F105" s="133" t="s">
        <v>55</v>
      </c>
      <c r="G105" s="133" t="str">
        <f t="shared" ref="G105:G136" si="14">E105&amp;F105</f>
        <v>T011PRNA</v>
      </c>
      <c r="H105" s="133" t="s">
        <v>823</v>
      </c>
      <c r="I105" s="133"/>
      <c r="J105" s="133" t="s">
        <v>824</v>
      </c>
      <c r="K105" s="134">
        <v>45016</v>
      </c>
      <c r="L105" s="143">
        <v>537</v>
      </c>
      <c r="M105" s="133" t="s">
        <v>644</v>
      </c>
      <c r="N105" s="136">
        <v>1</v>
      </c>
      <c r="O105" s="144">
        <v>0</v>
      </c>
      <c r="P105" s="144">
        <v>0</v>
      </c>
      <c r="Q105" s="137">
        <f t="shared" ref="Q105:Q136" si="15">L105*N105</f>
        <v>537</v>
      </c>
      <c r="R105" s="133"/>
      <c r="S105" s="138">
        <v>45499</v>
      </c>
      <c r="T105" s="133" t="s">
        <v>670</v>
      </c>
      <c r="U105" s="139" t="str">
        <f t="shared" si="9"/>
        <v>_preroll_bulk</v>
      </c>
      <c r="V105" s="140" t="str">
        <f>IF(U105="_","",_xlfn.XLOOKUP(U105,internal_cansku_inventory!D:D,internal_cansku_inventory!E:E,"",0,1))</f>
        <v/>
      </c>
    </row>
    <row r="106" spans="1:22" ht="12.45" customHeight="1">
      <c r="A106" s="132">
        <v>118</v>
      </c>
      <c r="B106" s="132">
        <v>0</v>
      </c>
      <c r="C106" s="132" t="str">
        <f>Table1[[#This Row],[inventory_id_head]]&amp;"-"&amp;Table1[[#This Row],[inventory_id_tail]]</f>
        <v>118-0</v>
      </c>
      <c r="D106" s="142" t="s">
        <v>653</v>
      </c>
      <c r="E106" s="133" t="s">
        <v>825</v>
      </c>
      <c r="F106" s="133" t="s">
        <v>55</v>
      </c>
      <c r="G106" s="133" t="str">
        <f t="shared" si="14"/>
        <v>T012PRNA</v>
      </c>
      <c r="H106" s="133" t="s">
        <v>813</v>
      </c>
      <c r="I106" s="133"/>
      <c r="J106" s="133" t="s">
        <v>824</v>
      </c>
      <c r="K106" s="134">
        <v>45798</v>
      </c>
      <c r="L106" s="143">
        <v>206</v>
      </c>
      <c r="M106" s="133" t="s">
        <v>644</v>
      </c>
      <c r="N106" s="136">
        <v>1</v>
      </c>
      <c r="O106" s="144">
        <v>0</v>
      </c>
      <c r="P106" s="144">
        <v>0</v>
      </c>
      <c r="Q106" s="137">
        <f t="shared" si="15"/>
        <v>206</v>
      </c>
      <c r="R106" s="133"/>
      <c r="S106" s="138">
        <v>45499</v>
      </c>
      <c r="T106" s="133" t="s">
        <v>670</v>
      </c>
      <c r="U106" s="139" t="str">
        <f t="shared" si="9"/>
        <v>_preroll_labelled</v>
      </c>
      <c r="V106" s="140" t="str">
        <f>IF(U106="_","",_xlfn.XLOOKUP(U106,internal_cansku_inventory!D:D,internal_cansku_inventory!E:E,"",0,1))</f>
        <v/>
      </c>
    </row>
    <row r="107" spans="1:22" ht="12.45" customHeight="1">
      <c r="A107" s="132">
        <v>120</v>
      </c>
      <c r="B107" s="132">
        <v>0</v>
      </c>
      <c r="C107" s="132" t="str">
        <f>Table1[[#This Row],[inventory_id_head]]&amp;"-"&amp;Table1[[#This Row],[inventory_id_tail]]</f>
        <v>120-0</v>
      </c>
      <c r="D107" s="340" t="s">
        <v>653</v>
      </c>
      <c r="E107" s="133" t="s">
        <v>826</v>
      </c>
      <c r="F107" s="133" t="s">
        <v>55</v>
      </c>
      <c r="G107" s="133" t="str">
        <f t="shared" si="14"/>
        <v>T015PRNA</v>
      </c>
      <c r="H107" s="133" t="s">
        <v>823</v>
      </c>
      <c r="I107" s="133"/>
      <c r="J107" s="133" t="s">
        <v>814</v>
      </c>
      <c r="K107" s="134">
        <v>45016</v>
      </c>
      <c r="L107" s="135">
        <v>1545</v>
      </c>
      <c r="M107" s="133" t="s">
        <v>644</v>
      </c>
      <c r="N107" s="136">
        <v>1</v>
      </c>
      <c r="O107" s="136">
        <v>0</v>
      </c>
      <c r="P107" s="136">
        <v>0</v>
      </c>
      <c r="Q107" s="137">
        <f t="shared" si="15"/>
        <v>1545</v>
      </c>
      <c r="R107" s="133"/>
      <c r="S107" s="138">
        <v>45499</v>
      </c>
      <c r="T107" s="133" t="s">
        <v>670</v>
      </c>
      <c r="U107" s="139" t="str">
        <f t="shared" si="9"/>
        <v>_preroll_bulk</v>
      </c>
      <c r="V107" s="140" t="str">
        <f>IF(U107="_","",_xlfn.XLOOKUP(U107,internal_cansku_inventory!D:D,internal_cansku_inventory!E:E,"",0,1))</f>
        <v/>
      </c>
    </row>
    <row r="108" spans="1:22" ht="12.45" customHeight="1">
      <c r="A108" s="132">
        <v>123</v>
      </c>
      <c r="B108" s="132">
        <v>0</v>
      </c>
      <c r="C108" s="132" t="str">
        <f>Table1[[#This Row],[inventory_id_head]]&amp;"-"&amp;Table1[[#This Row],[inventory_id_tail]]</f>
        <v>123-0</v>
      </c>
      <c r="D108" s="133" t="s">
        <v>653</v>
      </c>
      <c r="E108" s="133" t="s">
        <v>827</v>
      </c>
      <c r="F108" s="133" t="s">
        <v>55</v>
      </c>
      <c r="G108" s="133" t="str">
        <f t="shared" si="14"/>
        <v>T016PRNA</v>
      </c>
      <c r="H108" s="133" t="s">
        <v>823</v>
      </c>
      <c r="I108" s="133"/>
      <c r="J108" s="133" t="s">
        <v>828</v>
      </c>
      <c r="K108" s="134" t="s">
        <v>655</v>
      </c>
      <c r="L108" s="135">
        <v>534</v>
      </c>
      <c r="M108" s="133" t="s">
        <v>644</v>
      </c>
      <c r="N108" s="136">
        <v>1</v>
      </c>
      <c r="O108" s="136">
        <v>0</v>
      </c>
      <c r="P108" s="136">
        <v>0</v>
      </c>
      <c r="Q108" s="137">
        <f t="shared" si="15"/>
        <v>534</v>
      </c>
      <c r="R108" s="133"/>
      <c r="S108" s="138">
        <v>45502</v>
      </c>
      <c r="T108" s="133" t="s">
        <v>670</v>
      </c>
      <c r="U108" s="139" t="str">
        <f t="shared" si="9"/>
        <v>_preroll_bulk</v>
      </c>
      <c r="V108" s="140" t="str">
        <f>IF(U108="_","",_xlfn.XLOOKUP(U108,internal_cansku_inventory!D:D,internal_cansku_inventory!E:E,"",0,1))</f>
        <v/>
      </c>
    </row>
    <row r="109" spans="1:22" ht="12.45" customHeight="1">
      <c r="A109" s="132">
        <v>125</v>
      </c>
      <c r="B109" s="132">
        <v>0</v>
      </c>
      <c r="C109" s="132" t="str">
        <f>Table1[[#This Row],[inventory_id_head]]&amp;"-"&amp;Table1[[#This Row],[inventory_id_tail]]</f>
        <v>125-0</v>
      </c>
      <c r="D109" s="133" t="s">
        <v>653</v>
      </c>
      <c r="E109" s="133" t="s">
        <v>829</v>
      </c>
      <c r="F109" s="133" t="s">
        <v>55</v>
      </c>
      <c r="G109" s="133" t="str">
        <f t="shared" si="14"/>
        <v>T018PRNA</v>
      </c>
      <c r="H109" s="133" t="s">
        <v>813</v>
      </c>
      <c r="I109" s="133"/>
      <c r="J109" s="133" t="s">
        <v>551</v>
      </c>
      <c r="K109" s="134">
        <v>45051</v>
      </c>
      <c r="L109" s="135">
        <v>34</v>
      </c>
      <c r="M109" s="133" t="s">
        <v>644</v>
      </c>
      <c r="N109" s="136">
        <v>1</v>
      </c>
      <c r="O109" s="136">
        <v>0</v>
      </c>
      <c r="P109" s="136">
        <v>0</v>
      </c>
      <c r="Q109" s="137">
        <f t="shared" si="15"/>
        <v>34</v>
      </c>
      <c r="R109" s="133"/>
      <c r="S109" s="138">
        <v>45502</v>
      </c>
      <c r="T109" s="133" t="s">
        <v>670</v>
      </c>
      <c r="U109" s="139" t="str">
        <f t="shared" si="9"/>
        <v>_preroll_labelled</v>
      </c>
      <c r="V109" s="140" t="str">
        <f>IF(U109="_","",_xlfn.XLOOKUP(U109,internal_cansku_inventory!D:D,internal_cansku_inventory!E:E,"",0,1))</f>
        <v/>
      </c>
    </row>
    <row r="110" spans="1:22" ht="12.45" customHeight="1">
      <c r="A110" s="132">
        <v>127</v>
      </c>
      <c r="B110" s="132">
        <v>0</v>
      </c>
      <c r="C110" s="132" t="str">
        <f>Table1[[#This Row],[inventory_id_head]]&amp;"-"&amp;Table1[[#This Row],[inventory_id_tail]]</f>
        <v>127-0</v>
      </c>
      <c r="D110" s="133" t="s">
        <v>653</v>
      </c>
      <c r="E110" s="133" t="s">
        <v>830</v>
      </c>
      <c r="F110" s="133" t="s">
        <v>55</v>
      </c>
      <c r="G110" s="133" t="str">
        <f t="shared" si="14"/>
        <v>T019PRNA</v>
      </c>
      <c r="H110" s="133" t="s">
        <v>823</v>
      </c>
      <c r="I110" s="133"/>
      <c r="J110" s="133" t="s">
        <v>831</v>
      </c>
      <c r="K110" s="134">
        <v>44960</v>
      </c>
      <c r="L110" s="135">
        <f>716+615+661+600+67</f>
        <v>2659</v>
      </c>
      <c r="M110" s="133" t="s">
        <v>644</v>
      </c>
      <c r="N110" s="145">
        <v>0.01</v>
      </c>
      <c r="O110" s="136">
        <v>0</v>
      </c>
      <c r="P110" s="136">
        <v>0</v>
      </c>
      <c r="Q110" s="137">
        <f t="shared" si="15"/>
        <v>26.59</v>
      </c>
      <c r="R110" s="133" t="s">
        <v>832</v>
      </c>
      <c r="S110" s="138">
        <v>45502</v>
      </c>
      <c r="T110" s="133" t="s">
        <v>670</v>
      </c>
      <c r="U110" s="139" t="str">
        <f t="shared" si="9"/>
        <v>_preroll_bulk</v>
      </c>
      <c r="V110" s="140" t="str">
        <f>IF(U110="_","",_xlfn.XLOOKUP(U110,internal_cansku_inventory!D:D,internal_cansku_inventory!E:E,"",0,1))</f>
        <v/>
      </c>
    </row>
    <row r="111" spans="1:22" ht="12.45" customHeight="1">
      <c r="A111" s="132">
        <v>128</v>
      </c>
      <c r="B111" s="132">
        <v>0</v>
      </c>
      <c r="C111" s="132" t="str">
        <f>Table1[[#This Row],[inventory_id_head]]&amp;"-"&amp;Table1[[#This Row],[inventory_id_tail]]</f>
        <v>128-0</v>
      </c>
      <c r="D111" s="133" t="s">
        <v>653</v>
      </c>
      <c r="E111" s="133" t="s">
        <v>830</v>
      </c>
      <c r="F111" s="133" t="s">
        <v>55</v>
      </c>
      <c r="G111" s="133" t="str">
        <f t="shared" si="14"/>
        <v>T019PRNA</v>
      </c>
      <c r="H111" s="133" t="s">
        <v>823</v>
      </c>
      <c r="I111" s="133"/>
      <c r="J111" s="133" t="s">
        <v>833</v>
      </c>
      <c r="K111" s="134">
        <v>45112</v>
      </c>
      <c r="L111" s="135">
        <v>377</v>
      </c>
      <c r="M111" s="133" t="s">
        <v>644</v>
      </c>
      <c r="N111" s="136">
        <v>0.5</v>
      </c>
      <c r="O111" s="136">
        <v>0</v>
      </c>
      <c r="P111" s="136">
        <v>0</v>
      </c>
      <c r="Q111" s="137">
        <f t="shared" si="15"/>
        <v>188.5</v>
      </c>
      <c r="R111" s="133"/>
      <c r="S111" s="138">
        <v>45502</v>
      </c>
      <c r="T111" s="133" t="s">
        <v>670</v>
      </c>
      <c r="U111" s="139" t="str">
        <f t="shared" si="9"/>
        <v>_preroll_bulk</v>
      </c>
      <c r="V111" s="140" t="str">
        <f>IF(U111="_","",_xlfn.XLOOKUP(U111,internal_cansku_inventory!D:D,internal_cansku_inventory!E:E,"",0,1))</f>
        <v/>
      </c>
    </row>
    <row r="112" spans="1:22" ht="12.45" customHeight="1">
      <c r="A112" s="132">
        <v>129</v>
      </c>
      <c r="B112" s="132">
        <v>0</v>
      </c>
      <c r="C112" s="132" t="str">
        <f>Table1[[#This Row],[inventory_id_head]]&amp;"-"&amp;Table1[[#This Row],[inventory_id_tail]]</f>
        <v>129-0</v>
      </c>
      <c r="D112" s="133" t="s">
        <v>653</v>
      </c>
      <c r="E112" s="133" t="s">
        <v>830</v>
      </c>
      <c r="F112" s="133" t="s">
        <v>55</v>
      </c>
      <c r="G112" s="133" t="str">
        <f t="shared" si="14"/>
        <v>T019PRNA</v>
      </c>
      <c r="H112" s="133" t="s">
        <v>823</v>
      </c>
      <c r="I112" s="133"/>
      <c r="J112" s="133" t="s">
        <v>834</v>
      </c>
      <c r="K112" s="134">
        <v>44960</v>
      </c>
      <c r="L112" s="135">
        <v>46</v>
      </c>
      <c r="M112" s="133" t="s">
        <v>644</v>
      </c>
      <c r="N112" s="145">
        <v>0.01</v>
      </c>
      <c r="O112" s="136">
        <v>0</v>
      </c>
      <c r="P112" s="136">
        <v>0</v>
      </c>
      <c r="Q112" s="137">
        <f t="shared" si="15"/>
        <v>0.46</v>
      </c>
      <c r="R112" s="133" t="s">
        <v>835</v>
      </c>
      <c r="S112" s="138">
        <v>45502</v>
      </c>
      <c r="T112" s="133" t="s">
        <v>670</v>
      </c>
      <c r="U112" s="139" t="str">
        <f t="shared" si="9"/>
        <v>_preroll_bulk</v>
      </c>
      <c r="V112" s="140" t="str">
        <f>IF(U112="_","",_xlfn.XLOOKUP(U112,internal_cansku_inventory!D:D,internal_cansku_inventory!E:E,"",0,1))</f>
        <v/>
      </c>
    </row>
    <row r="113" spans="1:22" ht="12.45" customHeight="1">
      <c r="A113" s="132">
        <v>130</v>
      </c>
      <c r="B113" s="132">
        <v>0</v>
      </c>
      <c r="C113" s="132" t="str">
        <f>Table1[[#This Row],[inventory_id_head]]&amp;"-"&amp;Table1[[#This Row],[inventory_id_tail]]</f>
        <v>130-0</v>
      </c>
      <c r="D113" s="133" t="s">
        <v>653</v>
      </c>
      <c r="E113" s="133" t="s">
        <v>836</v>
      </c>
      <c r="F113" s="133" t="s">
        <v>55</v>
      </c>
      <c r="G113" s="133" t="str">
        <f t="shared" si="14"/>
        <v>T020PRNA</v>
      </c>
      <c r="H113" s="133" t="s">
        <v>823</v>
      </c>
      <c r="I113" s="133"/>
      <c r="J113" s="133" t="s">
        <v>837</v>
      </c>
      <c r="K113" s="134">
        <v>45022</v>
      </c>
      <c r="L113" s="135">
        <v>1252</v>
      </c>
      <c r="M113" s="133" t="s">
        <v>644</v>
      </c>
      <c r="N113" s="136">
        <v>0.35</v>
      </c>
      <c r="O113" s="136">
        <v>0</v>
      </c>
      <c r="P113" s="136">
        <v>0</v>
      </c>
      <c r="Q113" s="137">
        <f t="shared" si="15"/>
        <v>438.2</v>
      </c>
      <c r="R113" s="133"/>
      <c r="S113" s="138">
        <v>45502</v>
      </c>
      <c r="T113" s="133" t="s">
        <v>670</v>
      </c>
      <c r="U113" s="139" t="str">
        <f t="shared" si="9"/>
        <v>_preroll_bulk</v>
      </c>
      <c r="V113" s="140" t="str">
        <f>IF(U113="_","",_xlfn.XLOOKUP(U113,internal_cansku_inventory!D:D,internal_cansku_inventory!E:E,"",0,1))</f>
        <v/>
      </c>
    </row>
    <row r="114" spans="1:22" ht="12.45" customHeight="1">
      <c r="A114" s="132">
        <v>131</v>
      </c>
      <c r="B114" s="132">
        <v>0</v>
      </c>
      <c r="C114" s="132" t="str">
        <f>Table1[[#This Row],[inventory_id_head]]&amp;"-"&amp;Table1[[#This Row],[inventory_id_tail]]</f>
        <v>131-0</v>
      </c>
      <c r="D114" s="133" t="s">
        <v>653</v>
      </c>
      <c r="E114" s="133" t="s">
        <v>838</v>
      </c>
      <c r="F114" s="133" t="s">
        <v>55</v>
      </c>
      <c r="G114" s="133" t="str">
        <f t="shared" si="14"/>
        <v>T021PRNA</v>
      </c>
      <c r="H114" s="133" t="s">
        <v>813</v>
      </c>
      <c r="I114" s="133"/>
      <c r="J114" s="133" t="s">
        <v>839</v>
      </c>
      <c r="K114" s="134">
        <v>45051</v>
      </c>
      <c r="L114" s="135">
        <v>268</v>
      </c>
      <c r="M114" s="133" t="s">
        <v>644</v>
      </c>
      <c r="N114" s="136">
        <v>1.5</v>
      </c>
      <c r="O114" s="136">
        <v>0</v>
      </c>
      <c r="P114" s="136">
        <v>0</v>
      </c>
      <c r="Q114" s="137">
        <f t="shared" si="15"/>
        <v>402</v>
      </c>
      <c r="R114" s="133"/>
      <c r="S114" s="138">
        <v>45502</v>
      </c>
      <c r="T114" s="133" t="s">
        <v>670</v>
      </c>
      <c r="U114" s="139" t="str">
        <f t="shared" si="9"/>
        <v>_preroll_labelled</v>
      </c>
      <c r="V114" s="140" t="str">
        <f>IF(U114="_","",_xlfn.XLOOKUP(U114,internal_cansku_inventory!D:D,internal_cansku_inventory!E:E,"",0,1))</f>
        <v/>
      </c>
    </row>
    <row r="115" spans="1:22" ht="12.45" customHeight="1">
      <c r="A115" s="132">
        <v>132</v>
      </c>
      <c r="B115" s="132">
        <v>0</v>
      </c>
      <c r="C115" s="132" t="str">
        <f>Table1[[#This Row],[inventory_id_head]]&amp;"-"&amp;Table1[[#This Row],[inventory_id_tail]]</f>
        <v>132-0</v>
      </c>
      <c r="D115" s="133" t="s">
        <v>653</v>
      </c>
      <c r="E115" s="133" t="s">
        <v>838</v>
      </c>
      <c r="F115" s="133" t="s">
        <v>55</v>
      </c>
      <c r="G115" s="133" t="str">
        <f t="shared" si="14"/>
        <v>T021PRNA</v>
      </c>
      <c r="H115" s="133" t="s">
        <v>823</v>
      </c>
      <c r="I115" s="133"/>
      <c r="J115" s="133" t="s">
        <v>840</v>
      </c>
      <c r="K115" s="134">
        <v>45502</v>
      </c>
      <c r="L115" s="135">
        <v>778</v>
      </c>
      <c r="M115" s="133" t="s">
        <v>644</v>
      </c>
      <c r="N115" s="136">
        <v>0.5</v>
      </c>
      <c r="O115" s="136">
        <v>0</v>
      </c>
      <c r="P115" s="136">
        <v>0</v>
      </c>
      <c r="Q115" s="137">
        <f t="shared" si="15"/>
        <v>389</v>
      </c>
      <c r="R115" s="133"/>
      <c r="S115" s="138">
        <v>45502</v>
      </c>
      <c r="T115" s="133" t="s">
        <v>670</v>
      </c>
      <c r="U115" s="139" t="str">
        <f t="shared" si="9"/>
        <v>_preroll_bulk</v>
      </c>
      <c r="V115" s="140" t="str">
        <f>IF(U115="_","",_xlfn.XLOOKUP(U115,internal_cansku_inventory!D:D,internal_cansku_inventory!E:E,"",0,1))</f>
        <v/>
      </c>
    </row>
    <row r="116" spans="1:22" ht="12.45" customHeight="1">
      <c r="A116" s="132">
        <v>133</v>
      </c>
      <c r="B116" s="132">
        <v>0</v>
      </c>
      <c r="C116" s="132" t="str">
        <f>Table1[[#This Row],[inventory_id_head]]&amp;"-"&amp;Table1[[#This Row],[inventory_id_tail]]</f>
        <v>133-0</v>
      </c>
      <c r="D116" s="133" t="s">
        <v>653</v>
      </c>
      <c r="E116" s="133" t="s">
        <v>838</v>
      </c>
      <c r="F116" s="133" t="s">
        <v>55</v>
      </c>
      <c r="G116" s="133" t="str">
        <f t="shared" si="14"/>
        <v>T021PRNA</v>
      </c>
      <c r="H116" s="133" t="s">
        <v>813</v>
      </c>
      <c r="I116" s="133"/>
      <c r="J116" s="133" t="s">
        <v>841</v>
      </c>
      <c r="K116" s="134">
        <v>45059</v>
      </c>
      <c r="L116" s="135">
        <v>3</v>
      </c>
      <c r="M116" s="133" t="s">
        <v>644</v>
      </c>
      <c r="N116" s="136">
        <v>1</v>
      </c>
      <c r="O116" s="136">
        <v>0</v>
      </c>
      <c r="P116" s="136">
        <v>0</v>
      </c>
      <c r="Q116" s="137">
        <f t="shared" si="15"/>
        <v>3</v>
      </c>
      <c r="R116" s="133"/>
      <c r="S116" s="138">
        <v>45502</v>
      </c>
      <c r="T116" s="133" t="s">
        <v>670</v>
      </c>
      <c r="U116" s="139" t="str">
        <f t="shared" si="9"/>
        <v>_preroll_labelled</v>
      </c>
      <c r="V116" s="140" t="str">
        <f>IF(U116="_","",_xlfn.XLOOKUP(U116,internal_cansku_inventory!D:D,internal_cansku_inventory!E:E,"",0,1))</f>
        <v/>
      </c>
    </row>
    <row r="117" spans="1:22" ht="12.45" customHeight="1">
      <c r="A117" s="132">
        <v>134</v>
      </c>
      <c r="B117" s="132">
        <v>0</v>
      </c>
      <c r="C117" s="132" t="str">
        <f>Table1[[#This Row],[inventory_id_head]]&amp;"-"&amp;Table1[[#This Row],[inventory_id_tail]]</f>
        <v>134-0</v>
      </c>
      <c r="D117" s="133" t="s">
        <v>653</v>
      </c>
      <c r="E117" s="133" t="s">
        <v>842</v>
      </c>
      <c r="F117" s="133" t="s">
        <v>55</v>
      </c>
      <c r="G117" s="133" t="str">
        <f t="shared" si="14"/>
        <v>T022PRNA</v>
      </c>
      <c r="H117" s="133" t="s">
        <v>823</v>
      </c>
      <c r="I117" s="133"/>
      <c r="J117" s="133" t="s">
        <v>843</v>
      </c>
      <c r="K117" s="134" t="s">
        <v>655</v>
      </c>
      <c r="L117" s="135">
        <f>79+7*143+300+151+44+50</f>
        <v>1625</v>
      </c>
      <c r="M117" s="133" t="s">
        <v>644</v>
      </c>
      <c r="N117" s="136">
        <v>1</v>
      </c>
      <c r="O117" s="136">
        <v>0</v>
      </c>
      <c r="P117" s="136">
        <v>0</v>
      </c>
      <c r="Q117" s="137">
        <f t="shared" si="15"/>
        <v>1625</v>
      </c>
      <c r="R117" s="133"/>
      <c r="S117" s="138">
        <v>45502</v>
      </c>
      <c r="T117" s="133" t="s">
        <v>670</v>
      </c>
      <c r="U117" s="139" t="str">
        <f t="shared" si="9"/>
        <v>_preroll_bulk</v>
      </c>
      <c r="V117" s="140" t="str">
        <f>IF(U117="_","",_xlfn.XLOOKUP(U117,internal_cansku_inventory!D:D,internal_cansku_inventory!E:E,"",0,1))</f>
        <v/>
      </c>
    </row>
    <row r="118" spans="1:22" ht="12.45" customHeight="1">
      <c r="A118" s="132">
        <v>135</v>
      </c>
      <c r="B118" s="132">
        <v>0</v>
      </c>
      <c r="C118" s="132" t="str">
        <f>Table1[[#This Row],[inventory_id_head]]&amp;"-"&amp;Table1[[#This Row],[inventory_id_tail]]</f>
        <v>135-0</v>
      </c>
      <c r="D118" s="133" t="s">
        <v>653</v>
      </c>
      <c r="E118" s="133" t="s">
        <v>842</v>
      </c>
      <c r="F118" s="133" t="s">
        <v>55</v>
      </c>
      <c r="G118" s="133" t="str">
        <f t="shared" si="14"/>
        <v>T022PRNA</v>
      </c>
      <c r="H118" s="133" t="s">
        <v>823</v>
      </c>
      <c r="I118" s="133"/>
      <c r="J118" s="133" t="s">
        <v>840</v>
      </c>
      <c r="K118" s="134" t="s">
        <v>655</v>
      </c>
      <c r="L118" s="135">
        <v>104</v>
      </c>
      <c r="M118" s="133" t="s">
        <v>644</v>
      </c>
      <c r="N118" s="145">
        <v>0.01</v>
      </c>
      <c r="O118" s="136">
        <v>0</v>
      </c>
      <c r="P118" s="136">
        <v>0</v>
      </c>
      <c r="Q118" s="137">
        <f t="shared" si="15"/>
        <v>1.04</v>
      </c>
      <c r="R118" s="133" t="s">
        <v>835</v>
      </c>
      <c r="S118" s="138">
        <v>45502</v>
      </c>
      <c r="T118" s="133" t="s">
        <v>670</v>
      </c>
      <c r="U118" s="139" t="str">
        <f t="shared" si="9"/>
        <v>_preroll_bulk</v>
      </c>
      <c r="V118" s="140" t="str">
        <f>IF(U118="_","",_xlfn.XLOOKUP(U118,internal_cansku_inventory!D:D,internal_cansku_inventory!E:E,"",0,1))</f>
        <v/>
      </c>
    </row>
    <row r="119" spans="1:22" ht="12.45" customHeight="1">
      <c r="A119" s="132">
        <v>136</v>
      </c>
      <c r="B119" s="132">
        <v>0</v>
      </c>
      <c r="C119" s="132" t="str">
        <f>Table1[[#This Row],[inventory_id_head]]&amp;"-"&amp;Table1[[#This Row],[inventory_id_tail]]</f>
        <v>136-0</v>
      </c>
      <c r="D119" s="133" t="s">
        <v>653</v>
      </c>
      <c r="E119" s="133" t="s">
        <v>844</v>
      </c>
      <c r="F119" s="133" t="s">
        <v>55</v>
      </c>
      <c r="G119" s="133" t="str">
        <f t="shared" si="14"/>
        <v>T023PRNA</v>
      </c>
      <c r="H119" s="133" t="s">
        <v>823</v>
      </c>
      <c r="I119" s="133"/>
      <c r="J119" s="133" t="s">
        <v>780</v>
      </c>
      <c r="K119" s="134" t="s">
        <v>655</v>
      </c>
      <c r="L119" s="135">
        <v>398</v>
      </c>
      <c r="M119" s="133" t="s">
        <v>644</v>
      </c>
      <c r="N119" s="136">
        <v>1</v>
      </c>
      <c r="O119" s="136">
        <v>0</v>
      </c>
      <c r="P119" s="136">
        <v>0</v>
      </c>
      <c r="Q119" s="137">
        <f t="shared" si="15"/>
        <v>398</v>
      </c>
      <c r="R119" s="133"/>
      <c r="S119" s="138">
        <v>45502</v>
      </c>
      <c r="T119" s="133" t="s">
        <v>670</v>
      </c>
      <c r="U119" s="139" t="str">
        <f t="shared" si="9"/>
        <v>_preroll_bulk</v>
      </c>
      <c r="V119" s="140" t="str">
        <f>IF(U119="_","",_xlfn.XLOOKUP(U119,internal_cansku_inventory!D:D,internal_cansku_inventory!E:E,"",0,1))</f>
        <v/>
      </c>
    </row>
    <row r="120" spans="1:22" ht="12.45" customHeight="1">
      <c r="A120" s="132">
        <v>138</v>
      </c>
      <c r="B120" s="132">
        <v>0</v>
      </c>
      <c r="C120" s="132" t="str">
        <f>Table1[[#This Row],[inventory_id_head]]&amp;"-"&amp;Table1[[#This Row],[inventory_id_tail]]</f>
        <v>138-0</v>
      </c>
      <c r="D120" s="133" t="s">
        <v>680</v>
      </c>
      <c r="E120" s="133" t="s">
        <v>845</v>
      </c>
      <c r="F120" s="133" t="s">
        <v>55</v>
      </c>
      <c r="G120" s="133" t="str">
        <f t="shared" si="14"/>
        <v>T024PRNA</v>
      </c>
      <c r="H120" s="133" t="s">
        <v>823</v>
      </c>
      <c r="I120" s="133"/>
      <c r="J120" s="133" t="s">
        <v>846</v>
      </c>
      <c r="K120" s="134" t="s">
        <v>655</v>
      </c>
      <c r="L120" s="135">
        <v>221</v>
      </c>
      <c r="M120" s="133" t="s">
        <v>644</v>
      </c>
      <c r="N120" s="136">
        <v>1</v>
      </c>
      <c r="O120" s="136">
        <v>0</v>
      </c>
      <c r="P120" s="136">
        <v>0</v>
      </c>
      <c r="Q120" s="137">
        <f t="shared" si="15"/>
        <v>221</v>
      </c>
      <c r="R120" s="133"/>
      <c r="S120" s="138">
        <v>45502</v>
      </c>
      <c r="T120" s="133" t="s">
        <v>670</v>
      </c>
      <c r="U120" s="139" t="str">
        <f t="shared" si="9"/>
        <v>_preroll_bulk</v>
      </c>
      <c r="V120" s="140" t="str">
        <f>IF(U120="_","",_xlfn.XLOOKUP(U120,internal_cansku_inventory!D:D,internal_cansku_inventory!E:E,"",0,1))</f>
        <v/>
      </c>
    </row>
    <row r="121" spans="1:22" ht="12.45" customHeight="1">
      <c r="A121" s="132">
        <v>140</v>
      </c>
      <c r="B121" s="132">
        <v>0</v>
      </c>
      <c r="C121" s="132" t="str">
        <f>Table1[[#This Row],[inventory_id_head]]&amp;"-"&amp;Table1[[#This Row],[inventory_id_tail]]</f>
        <v>140-0</v>
      </c>
      <c r="D121" s="133" t="s">
        <v>653</v>
      </c>
      <c r="E121" s="133" t="s">
        <v>847</v>
      </c>
      <c r="F121" s="133" t="s">
        <v>55</v>
      </c>
      <c r="G121" s="133" t="str">
        <f t="shared" si="14"/>
        <v>T025PRNA</v>
      </c>
      <c r="H121" s="133" t="s">
        <v>823</v>
      </c>
      <c r="I121" s="133"/>
      <c r="J121" s="133" t="s">
        <v>707</v>
      </c>
      <c r="K121" s="134" t="s">
        <v>655</v>
      </c>
      <c r="L121" s="135">
        <v>185</v>
      </c>
      <c r="M121" s="133" t="s">
        <v>644</v>
      </c>
      <c r="N121" s="136">
        <v>1</v>
      </c>
      <c r="O121" s="136">
        <v>0</v>
      </c>
      <c r="P121" s="136">
        <v>0</v>
      </c>
      <c r="Q121" s="137">
        <f t="shared" si="15"/>
        <v>185</v>
      </c>
      <c r="R121" s="133"/>
      <c r="S121" s="138">
        <v>45502</v>
      </c>
      <c r="T121" s="133" t="s">
        <v>670</v>
      </c>
      <c r="U121" s="139" t="str">
        <f t="shared" si="9"/>
        <v>_preroll_bulk</v>
      </c>
      <c r="V121" s="140" t="str">
        <f>IF(U121="_","",_xlfn.XLOOKUP(U121,internal_cansku_inventory!D:D,internal_cansku_inventory!E:E,"",0,1))</f>
        <v/>
      </c>
    </row>
    <row r="122" spans="1:22" ht="12.45" customHeight="1">
      <c r="A122" s="132">
        <v>41</v>
      </c>
      <c r="B122" s="132">
        <v>0</v>
      </c>
      <c r="C122" s="132" t="str">
        <f>Table1[[#This Row],[inventory_id_head]]&amp;"-"&amp;Table1[[#This Row],[inventory_id_tail]]</f>
        <v>41-0</v>
      </c>
      <c r="D122" s="133" t="s">
        <v>653</v>
      </c>
      <c r="E122" s="133" t="s">
        <v>719</v>
      </c>
      <c r="F122" s="133" t="s">
        <v>848</v>
      </c>
      <c r="G122" s="133" t="str">
        <f t="shared" si="14"/>
        <v>T009DFB024DF</v>
      </c>
      <c r="H122" s="133" t="s">
        <v>720</v>
      </c>
      <c r="I122" s="133"/>
      <c r="J122" s="133">
        <v>2022051601</v>
      </c>
      <c r="K122" s="134">
        <v>44830</v>
      </c>
      <c r="L122" s="135">
        <v>1</v>
      </c>
      <c r="M122" s="133" t="s">
        <v>673</v>
      </c>
      <c r="N122" s="136">
        <v>678</v>
      </c>
      <c r="O122" s="136">
        <v>711.1</v>
      </c>
      <c r="P122" s="136">
        <v>38</v>
      </c>
      <c r="Q122" s="137">
        <f t="shared" si="15"/>
        <v>678</v>
      </c>
      <c r="R122" s="133"/>
      <c r="S122" s="138">
        <v>45503</v>
      </c>
      <c r="T122" s="133" t="s">
        <v>664</v>
      </c>
      <c r="U122" s="139" t="str">
        <f t="shared" si="9"/>
        <v>_driedflower_bulk</v>
      </c>
      <c r="V122" s="140" t="str">
        <f>IF(U122="_","",_xlfn.XLOOKUP(U122,internal_cansku_inventory!D:D,internal_cansku_inventory!E:E,"",0,1))</f>
        <v/>
      </c>
    </row>
    <row r="123" spans="1:22" ht="12.45" customHeight="1">
      <c r="A123" s="132">
        <v>71</v>
      </c>
      <c r="B123" s="132">
        <v>0</v>
      </c>
      <c r="C123" s="132" t="str">
        <f>Table1[[#This Row],[inventory_id_head]]&amp;"-"&amp;Table1[[#This Row],[inventory_id_tail]]</f>
        <v>71-0</v>
      </c>
      <c r="D123" s="133" t="s">
        <v>653</v>
      </c>
      <c r="E123" s="133" t="s">
        <v>721</v>
      </c>
      <c r="F123" s="133" t="s">
        <v>849</v>
      </c>
      <c r="G123" s="133" t="str">
        <f t="shared" si="14"/>
        <v>T008DFB054DF</v>
      </c>
      <c r="H123" s="133" t="s">
        <v>720</v>
      </c>
      <c r="I123" s="133"/>
      <c r="J123" s="133" t="s">
        <v>723</v>
      </c>
      <c r="K123" s="134">
        <v>44686</v>
      </c>
      <c r="L123" s="135">
        <v>1</v>
      </c>
      <c r="M123" s="133" t="s">
        <v>673</v>
      </c>
      <c r="N123" s="136">
        <f>O123-P123</f>
        <v>565.6</v>
      </c>
      <c r="O123" s="136">
        <v>603.6</v>
      </c>
      <c r="P123" s="136">
        <v>38</v>
      </c>
      <c r="Q123" s="137">
        <f t="shared" si="15"/>
        <v>565.6</v>
      </c>
      <c r="R123" s="133"/>
      <c r="S123" s="138">
        <v>45503</v>
      </c>
      <c r="T123" s="133" t="s">
        <v>664</v>
      </c>
      <c r="U123" s="139" t="str">
        <f t="shared" si="9"/>
        <v>_driedflower_bulk</v>
      </c>
      <c r="V123" s="140" t="str">
        <f>IF(U123="_","",_xlfn.XLOOKUP(U123,internal_cansku_inventory!D:D,internal_cansku_inventory!E:E,"",0,1))</f>
        <v/>
      </c>
    </row>
    <row r="124" spans="1:22" ht="12.45" customHeight="1">
      <c r="A124" s="132">
        <v>76</v>
      </c>
      <c r="B124" s="132">
        <v>0</v>
      </c>
      <c r="C124" s="132" t="str">
        <f>Table1[[#This Row],[inventory_id_head]]&amp;"-"&amp;Table1[[#This Row],[inventory_id_tail]]</f>
        <v>76-0</v>
      </c>
      <c r="D124" s="133" t="s">
        <v>680</v>
      </c>
      <c r="E124" s="133" t="s">
        <v>850</v>
      </c>
      <c r="F124" s="133" t="s">
        <v>55</v>
      </c>
      <c r="G124" s="133" t="str">
        <f t="shared" si="14"/>
        <v>T001TPNA</v>
      </c>
      <c r="H124" s="133" t="s">
        <v>851</v>
      </c>
      <c r="I124" s="133"/>
      <c r="J124" s="133" t="s">
        <v>797</v>
      </c>
      <c r="K124" s="134">
        <v>45448</v>
      </c>
      <c r="L124" s="135">
        <v>0</v>
      </c>
      <c r="M124" s="133" t="s">
        <v>644</v>
      </c>
      <c r="N124" s="136">
        <v>88</v>
      </c>
      <c r="O124" s="136">
        <v>0</v>
      </c>
      <c r="P124" s="136">
        <v>0</v>
      </c>
      <c r="Q124" s="137">
        <f t="shared" si="15"/>
        <v>0</v>
      </c>
      <c r="R124" s="133"/>
      <c r="S124" s="138">
        <v>45503</v>
      </c>
      <c r="T124" s="133" t="s">
        <v>670</v>
      </c>
      <c r="U124" s="139" t="str">
        <f t="shared" si="9"/>
        <v>_topical_labelled</v>
      </c>
      <c r="V124" s="140" t="str">
        <f>IF(U124="_","",_xlfn.XLOOKUP(U124,internal_cansku_inventory!D:D,internal_cansku_inventory!E:E,"",0,1))</f>
        <v/>
      </c>
    </row>
    <row r="125" spans="1:22" ht="12.45" customHeight="1">
      <c r="A125" s="132">
        <v>87</v>
      </c>
      <c r="B125" s="132">
        <v>0</v>
      </c>
      <c r="C125" s="132" t="str">
        <f>Table1[[#This Row],[inventory_id_head]]&amp;"-"&amp;Table1[[#This Row],[inventory_id_tail]]</f>
        <v>87-0</v>
      </c>
      <c r="D125" s="133" t="s">
        <v>680</v>
      </c>
      <c r="E125" s="133" t="s">
        <v>852</v>
      </c>
      <c r="F125" s="133" t="s">
        <v>55</v>
      </c>
      <c r="G125" s="133" t="str">
        <f t="shared" si="14"/>
        <v>P006EXNA</v>
      </c>
      <c r="H125" s="133" t="s">
        <v>782</v>
      </c>
      <c r="I125" s="133"/>
      <c r="J125" s="133" t="s">
        <v>204</v>
      </c>
      <c r="K125" s="134">
        <v>45482</v>
      </c>
      <c r="L125" s="135">
        <v>0</v>
      </c>
      <c r="M125" s="133" t="s">
        <v>663</v>
      </c>
      <c r="N125" s="136">
        <f>O125-P125</f>
        <v>15770</v>
      </c>
      <c r="O125" s="136">
        <v>16015</v>
      </c>
      <c r="P125" s="136">
        <f>16015-15770</f>
        <v>245</v>
      </c>
      <c r="Q125" s="137">
        <f t="shared" si="15"/>
        <v>0</v>
      </c>
      <c r="R125" s="133"/>
      <c r="S125" s="138">
        <v>45503</v>
      </c>
      <c r="T125" s="133" t="s">
        <v>664</v>
      </c>
      <c r="U125" s="139" t="str">
        <f t="shared" si="9"/>
        <v>_extract_ingested_bulk</v>
      </c>
      <c r="V125" s="140" t="str">
        <f>IF(U125="_","",_xlfn.XLOOKUP(U125,internal_cansku_inventory!D:D,internal_cansku_inventory!E:E,"",0,1))</f>
        <v/>
      </c>
    </row>
    <row r="126" spans="1:22" ht="12.45" customHeight="1">
      <c r="A126" s="132">
        <v>126</v>
      </c>
      <c r="B126" s="132">
        <v>0</v>
      </c>
      <c r="C126" s="132" t="str">
        <f>Table1[[#This Row],[inventory_id_head]]&amp;"-"&amp;Table1[[#This Row],[inventory_id_tail]]</f>
        <v>126-0</v>
      </c>
      <c r="D126" s="133" t="s">
        <v>653</v>
      </c>
      <c r="E126" s="133" t="s">
        <v>829</v>
      </c>
      <c r="F126" s="133" t="s">
        <v>55</v>
      </c>
      <c r="G126" s="133" t="str">
        <f t="shared" si="14"/>
        <v>T018PRNA</v>
      </c>
      <c r="H126" s="133" t="s">
        <v>813</v>
      </c>
      <c r="I126" s="133"/>
      <c r="J126" s="133">
        <v>2021042701</v>
      </c>
      <c r="K126" s="134">
        <v>44314</v>
      </c>
      <c r="L126" s="135">
        <v>34</v>
      </c>
      <c r="M126" s="133" t="s">
        <v>644</v>
      </c>
      <c r="N126" s="136">
        <v>1</v>
      </c>
      <c r="O126" s="136">
        <v>0</v>
      </c>
      <c r="P126" s="136">
        <v>0</v>
      </c>
      <c r="Q126" s="137">
        <f t="shared" si="15"/>
        <v>34</v>
      </c>
      <c r="R126" s="133"/>
      <c r="S126" s="138">
        <v>45503</v>
      </c>
      <c r="T126" s="133" t="s">
        <v>670</v>
      </c>
      <c r="U126" s="139" t="str">
        <f t="shared" si="9"/>
        <v>_preroll_labelled</v>
      </c>
      <c r="V126" s="140" t="str">
        <f>IF(U126="_","",_xlfn.XLOOKUP(U126,internal_cansku_inventory!D:D,internal_cansku_inventory!E:E,"",0,1))</f>
        <v/>
      </c>
    </row>
    <row r="127" spans="1:22" ht="12.45" customHeight="1">
      <c r="A127" s="132">
        <v>141</v>
      </c>
      <c r="B127" s="132">
        <v>0</v>
      </c>
      <c r="C127" s="132" t="str">
        <f>Table1[[#This Row],[inventory_id_head]]&amp;"-"&amp;Table1[[#This Row],[inventory_id_tail]]</f>
        <v>141-0</v>
      </c>
      <c r="D127" s="133" t="s">
        <v>680</v>
      </c>
      <c r="E127" s="133" t="s">
        <v>853</v>
      </c>
      <c r="F127" s="133" t="s">
        <v>55</v>
      </c>
      <c r="G127" s="133" t="str">
        <f t="shared" si="14"/>
        <v>T026PRNA</v>
      </c>
      <c r="H127" s="133" t="s">
        <v>823</v>
      </c>
      <c r="I127" s="133"/>
      <c r="J127" s="133" t="s">
        <v>854</v>
      </c>
      <c r="K127" s="134" t="s">
        <v>655</v>
      </c>
      <c r="L127" s="135">
        <v>1354</v>
      </c>
      <c r="M127" s="133" t="s">
        <v>644</v>
      </c>
      <c r="N127" s="136">
        <v>0.35</v>
      </c>
      <c r="O127" s="136">
        <v>0</v>
      </c>
      <c r="P127" s="136">
        <v>0</v>
      </c>
      <c r="Q127" s="137">
        <f t="shared" si="15"/>
        <v>473.9</v>
      </c>
      <c r="R127" s="133"/>
      <c r="S127" s="138">
        <v>45503</v>
      </c>
      <c r="T127" s="133" t="s">
        <v>670</v>
      </c>
      <c r="U127" s="139" t="str">
        <f t="shared" si="9"/>
        <v>_preroll_bulk</v>
      </c>
      <c r="V127" s="140" t="str">
        <f>IF(U127="_","",_xlfn.XLOOKUP(U127,internal_cansku_inventory!D:D,internal_cansku_inventory!E:E,"",0,1))</f>
        <v/>
      </c>
    </row>
    <row r="128" spans="1:22" ht="12.45" customHeight="1">
      <c r="A128" s="132">
        <v>142</v>
      </c>
      <c r="B128" s="132">
        <v>0</v>
      </c>
      <c r="C128" s="132" t="str">
        <f>Table1[[#This Row],[inventory_id_head]]&amp;"-"&amp;Table1[[#This Row],[inventory_id_tail]]</f>
        <v>142-0</v>
      </c>
      <c r="D128" s="133" t="s">
        <v>653</v>
      </c>
      <c r="E128" s="133" t="s">
        <v>855</v>
      </c>
      <c r="F128" s="133" t="s">
        <v>55</v>
      </c>
      <c r="G128" s="133" t="str">
        <f t="shared" si="14"/>
        <v>T027PRNA</v>
      </c>
      <c r="H128" s="133" t="s">
        <v>823</v>
      </c>
      <c r="I128" s="133"/>
      <c r="J128" s="133" t="s">
        <v>794</v>
      </c>
      <c r="K128" s="134" t="s">
        <v>655</v>
      </c>
      <c r="L128" s="135">
        <v>2268</v>
      </c>
      <c r="M128" s="133" t="s">
        <v>644</v>
      </c>
      <c r="N128" s="136">
        <v>0.5</v>
      </c>
      <c r="O128" s="136">
        <v>0</v>
      </c>
      <c r="P128" s="136">
        <v>0</v>
      </c>
      <c r="Q128" s="137">
        <f t="shared" si="15"/>
        <v>1134</v>
      </c>
      <c r="R128" s="133"/>
      <c r="S128" s="138">
        <v>45503</v>
      </c>
      <c r="T128" s="133" t="s">
        <v>670</v>
      </c>
      <c r="U128" s="139" t="str">
        <f t="shared" si="9"/>
        <v>_preroll_bulk</v>
      </c>
      <c r="V128" s="140" t="str">
        <f>IF(U128="_","",_xlfn.XLOOKUP(U128,internal_cansku_inventory!D:D,internal_cansku_inventory!E:E,"",0,1))</f>
        <v/>
      </c>
    </row>
    <row r="129" spans="1:22" ht="12.45" customHeight="1">
      <c r="A129" s="132">
        <v>144</v>
      </c>
      <c r="B129" s="132">
        <v>0</v>
      </c>
      <c r="C129" s="132" t="str">
        <f>Table1[[#This Row],[inventory_id_head]]&amp;"-"&amp;Table1[[#This Row],[inventory_id_tail]]</f>
        <v>144-0</v>
      </c>
      <c r="D129" s="133" t="s">
        <v>653</v>
      </c>
      <c r="E129" s="133" t="s">
        <v>856</v>
      </c>
      <c r="F129" s="133" t="s">
        <v>655</v>
      </c>
      <c r="G129" s="133" t="str">
        <f t="shared" si="14"/>
        <v>T029PRNA</v>
      </c>
      <c r="H129" s="133" t="s">
        <v>813</v>
      </c>
      <c r="I129" s="133"/>
      <c r="J129" s="133" t="s">
        <v>857</v>
      </c>
      <c r="K129" s="134">
        <v>45447</v>
      </c>
      <c r="L129" s="135">
        <v>156</v>
      </c>
      <c r="M129" s="133" t="s">
        <v>858</v>
      </c>
      <c r="N129" s="136">
        <v>1.5</v>
      </c>
      <c r="O129" s="136">
        <v>0</v>
      </c>
      <c r="P129" s="136">
        <v>0</v>
      </c>
      <c r="Q129" s="137">
        <f t="shared" si="15"/>
        <v>234</v>
      </c>
      <c r="R129" s="133" t="s">
        <v>859</v>
      </c>
      <c r="S129" s="138">
        <v>45503</v>
      </c>
      <c r="T129" s="133" t="s">
        <v>670</v>
      </c>
      <c r="U129" s="139" t="str">
        <f t="shared" si="9"/>
        <v>_preroll_labelled</v>
      </c>
      <c r="V129" s="140" t="str">
        <f>IF(U129="_","",_xlfn.XLOOKUP(U129,internal_cansku_inventory!D:D,internal_cansku_inventory!E:E,"",0,1))</f>
        <v/>
      </c>
    </row>
    <row r="130" spans="1:22" ht="12.45" customHeight="1">
      <c r="A130" s="132">
        <v>105</v>
      </c>
      <c r="B130" s="132">
        <v>0</v>
      </c>
      <c r="C130" s="132" t="str">
        <f>Table1[[#This Row],[inventory_id_head]]&amp;"-"&amp;Table1[[#This Row],[inventory_id_tail]]</f>
        <v>105-0</v>
      </c>
      <c r="D130" s="133" t="s">
        <v>680</v>
      </c>
      <c r="E130" s="133" t="s">
        <v>860</v>
      </c>
      <c r="F130" s="133" t="s">
        <v>55</v>
      </c>
      <c r="G130" s="133" t="str">
        <f t="shared" si="14"/>
        <v>T001EXNA</v>
      </c>
      <c r="H130" s="133" t="s">
        <v>861</v>
      </c>
      <c r="I130" s="133"/>
      <c r="J130" s="133" t="s">
        <v>862</v>
      </c>
      <c r="K130" s="134">
        <v>45488</v>
      </c>
      <c r="L130" s="135">
        <v>136</v>
      </c>
      <c r="M130" s="133" t="s">
        <v>644</v>
      </c>
      <c r="N130" s="136">
        <v>27.6</v>
      </c>
      <c r="O130" s="136">
        <v>0</v>
      </c>
      <c r="P130" s="136">
        <v>0</v>
      </c>
      <c r="Q130" s="137">
        <f t="shared" si="15"/>
        <v>3753.6000000000004</v>
      </c>
      <c r="R130" s="133"/>
      <c r="S130" s="138">
        <v>45504</v>
      </c>
      <c r="T130" s="133" t="s">
        <v>670</v>
      </c>
      <c r="U130" s="139" t="str">
        <f t="shared" ref="U130:U193" si="16">I130&amp;"_"&amp;H130</f>
        <v>_extract_ingested_labelled</v>
      </c>
      <c r="V130" s="140" t="str">
        <f>IF(U130="_","",_xlfn.XLOOKUP(U130,internal_cansku_inventory!D:D,internal_cansku_inventory!E:E,"",0,1))</f>
        <v/>
      </c>
    </row>
    <row r="131" spans="1:22" ht="12.45" customHeight="1">
      <c r="A131" s="132">
        <v>107</v>
      </c>
      <c r="B131" s="132">
        <v>0</v>
      </c>
      <c r="C131" s="132" t="str">
        <f>Table1[[#This Row],[inventory_id_head]]&amp;"-"&amp;Table1[[#This Row],[inventory_id_tail]]</f>
        <v>107-0</v>
      </c>
      <c r="D131" s="133" t="s">
        <v>653</v>
      </c>
      <c r="E131" s="133" t="s">
        <v>863</v>
      </c>
      <c r="F131" s="133" t="s">
        <v>55</v>
      </c>
      <c r="G131" s="133" t="str">
        <f t="shared" si="14"/>
        <v>T002PRNA</v>
      </c>
      <c r="H131" s="133" t="s">
        <v>809</v>
      </c>
      <c r="I131" s="133"/>
      <c r="J131" s="133" t="s">
        <v>864</v>
      </c>
      <c r="K131" s="134" t="s">
        <v>655</v>
      </c>
      <c r="L131" s="135">
        <v>156</v>
      </c>
      <c r="M131" s="133" t="s">
        <v>644</v>
      </c>
      <c r="N131" s="136">
        <v>1</v>
      </c>
      <c r="O131" s="136">
        <v>0</v>
      </c>
      <c r="P131" s="136">
        <v>0</v>
      </c>
      <c r="Q131" s="137">
        <f t="shared" si="15"/>
        <v>156</v>
      </c>
      <c r="R131" s="133"/>
      <c r="S131" s="138">
        <v>45504</v>
      </c>
      <c r="T131" s="133" t="s">
        <v>670</v>
      </c>
      <c r="U131" s="139" t="str">
        <f t="shared" si="16"/>
        <v>_preroll_packaged</v>
      </c>
      <c r="V131" s="140" t="str">
        <f>IF(U131="_","",_xlfn.XLOOKUP(U131,internal_cansku_inventory!D:D,internal_cansku_inventory!E:E,"",0,1))</f>
        <v/>
      </c>
    </row>
    <row r="132" spans="1:22" ht="12.45" customHeight="1">
      <c r="A132" s="132">
        <v>146</v>
      </c>
      <c r="B132" s="132">
        <v>0</v>
      </c>
      <c r="C132" s="132" t="str">
        <f>Table1[[#This Row],[inventory_id_head]]&amp;"-"&amp;Table1[[#This Row],[inventory_id_tail]]</f>
        <v>146-0</v>
      </c>
      <c r="D132" s="133" t="s">
        <v>653</v>
      </c>
      <c r="E132" s="133" t="s">
        <v>865</v>
      </c>
      <c r="F132" s="133" t="s">
        <v>655</v>
      </c>
      <c r="G132" s="133" t="str">
        <f t="shared" si="14"/>
        <v>T030PRNA</v>
      </c>
      <c r="H132" s="133" t="s">
        <v>813</v>
      </c>
      <c r="I132" s="133"/>
      <c r="J132" s="133" t="s">
        <v>866</v>
      </c>
      <c r="K132" s="134">
        <v>45497</v>
      </c>
      <c r="L132" s="135">
        <v>160</v>
      </c>
      <c r="M132" s="133" t="s">
        <v>858</v>
      </c>
      <c r="N132" s="136">
        <v>1.5</v>
      </c>
      <c r="O132" s="136">
        <v>0</v>
      </c>
      <c r="P132" s="136">
        <v>0</v>
      </c>
      <c r="Q132" s="137">
        <f t="shared" si="15"/>
        <v>240</v>
      </c>
      <c r="R132" s="133"/>
      <c r="S132" s="138">
        <v>45504</v>
      </c>
      <c r="T132" s="133" t="s">
        <v>670</v>
      </c>
      <c r="U132" s="139" t="str">
        <f t="shared" si="16"/>
        <v>_preroll_labelled</v>
      </c>
      <c r="V132" s="140" t="str">
        <f>IF(U132="_","",_xlfn.XLOOKUP(U132,internal_cansku_inventory!D:D,internal_cansku_inventory!E:E,"",0,1))</f>
        <v/>
      </c>
    </row>
    <row r="133" spans="1:22" ht="12.45" customHeight="1">
      <c r="A133" s="132">
        <v>150</v>
      </c>
      <c r="B133" s="132">
        <v>0</v>
      </c>
      <c r="C133" s="132" t="str">
        <f>Table1[[#This Row],[inventory_id_head]]&amp;"-"&amp;Table1[[#This Row],[inventory_id_tail]]</f>
        <v>150-0</v>
      </c>
      <c r="D133" s="133" t="s">
        <v>653</v>
      </c>
      <c r="E133" s="133" t="s">
        <v>867</v>
      </c>
      <c r="F133" s="133" t="s">
        <v>868</v>
      </c>
      <c r="G133" s="133" t="str">
        <f t="shared" si="14"/>
        <v>RACK_BGRID_2</v>
      </c>
      <c r="H133" s="133" t="s">
        <v>813</v>
      </c>
      <c r="I133" s="133"/>
      <c r="J133" s="133" t="s">
        <v>869</v>
      </c>
      <c r="K133" s="134">
        <v>45828</v>
      </c>
      <c r="L133" s="135">
        <v>228</v>
      </c>
      <c r="M133" s="133" t="s">
        <v>858</v>
      </c>
      <c r="N133" s="136">
        <v>1.5</v>
      </c>
      <c r="O133" s="136">
        <v>0</v>
      </c>
      <c r="P133" s="136">
        <v>0</v>
      </c>
      <c r="Q133" s="137">
        <f t="shared" si="15"/>
        <v>342</v>
      </c>
      <c r="R133" s="133"/>
      <c r="S133" s="138">
        <v>45504</v>
      </c>
      <c r="T133" s="133" t="s">
        <v>670</v>
      </c>
      <c r="U133" s="139" t="str">
        <f t="shared" si="16"/>
        <v>_preroll_labelled</v>
      </c>
      <c r="V133" s="140" t="str">
        <f>IF(U133="_","",_xlfn.XLOOKUP(U133,internal_cansku_inventory!D:D,internal_cansku_inventory!E:E,"",0,1))</f>
        <v/>
      </c>
    </row>
    <row r="134" spans="1:22" ht="12.45" customHeight="1">
      <c r="A134" s="132">
        <v>151</v>
      </c>
      <c r="B134" s="132">
        <v>0</v>
      </c>
      <c r="C134" s="132" t="str">
        <f>Table1[[#This Row],[inventory_id_head]]&amp;"-"&amp;Table1[[#This Row],[inventory_id_tail]]</f>
        <v>151-0</v>
      </c>
      <c r="D134" s="133" t="s">
        <v>653</v>
      </c>
      <c r="E134" s="133" t="s">
        <v>867</v>
      </c>
      <c r="F134" s="133" t="s">
        <v>868</v>
      </c>
      <c r="G134" s="133" t="str">
        <f t="shared" si="14"/>
        <v>RACK_BGRID_2</v>
      </c>
      <c r="H134" s="133" t="s">
        <v>809</v>
      </c>
      <c r="I134" s="133"/>
      <c r="J134" s="133" t="s">
        <v>869</v>
      </c>
      <c r="K134" s="134" t="s">
        <v>655</v>
      </c>
      <c r="L134" s="135">
        <v>230</v>
      </c>
      <c r="M134" s="133" t="s">
        <v>858</v>
      </c>
      <c r="N134" s="136">
        <v>1.5</v>
      </c>
      <c r="O134" s="136">
        <v>0</v>
      </c>
      <c r="P134" s="136">
        <v>0</v>
      </c>
      <c r="Q134" s="137">
        <f t="shared" si="15"/>
        <v>345</v>
      </c>
      <c r="R134" s="133"/>
      <c r="S134" s="138">
        <v>45504</v>
      </c>
      <c r="T134" s="133" t="s">
        <v>670</v>
      </c>
      <c r="U134" s="139" t="str">
        <f t="shared" si="16"/>
        <v>_preroll_packaged</v>
      </c>
      <c r="V134" s="140" t="str">
        <f>IF(U134="_","",_xlfn.XLOOKUP(U134,internal_cansku_inventory!D:D,internal_cansku_inventory!E:E,"",0,1))</f>
        <v/>
      </c>
    </row>
    <row r="135" spans="1:22" ht="12.45" customHeight="1">
      <c r="A135" s="132">
        <v>154</v>
      </c>
      <c r="B135" s="132">
        <v>0</v>
      </c>
      <c r="C135" s="132" t="str">
        <f>Table1[[#This Row],[inventory_id_head]]&amp;"-"&amp;Table1[[#This Row],[inventory_id_tail]]</f>
        <v>154-0</v>
      </c>
      <c r="D135" s="133" t="s">
        <v>653</v>
      </c>
      <c r="E135" s="133" t="s">
        <v>870</v>
      </c>
      <c r="F135" s="133" t="s">
        <v>871</v>
      </c>
      <c r="G135" s="133" t="str">
        <f t="shared" si="14"/>
        <v>T035PRB003PR</v>
      </c>
      <c r="H135" s="133" t="s">
        <v>823</v>
      </c>
      <c r="I135" s="133"/>
      <c r="J135" s="133" t="s">
        <v>872</v>
      </c>
      <c r="K135" s="134" t="s">
        <v>655</v>
      </c>
      <c r="L135" s="135">
        <v>268</v>
      </c>
      <c r="M135" s="133" t="s">
        <v>644</v>
      </c>
      <c r="N135" s="136">
        <v>0.5</v>
      </c>
      <c r="O135" s="136">
        <v>0</v>
      </c>
      <c r="P135" s="136">
        <v>0</v>
      </c>
      <c r="Q135" s="137">
        <f t="shared" si="15"/>
        <v>134</v>
      </c>
      <c r="R135" s="133"/>
      <c r="S135" s="138">
        <v>45504</v>
      </c>
      <c r="T135" s="133" t="s">
        <v>670</v>
      </c>
      <c r="U135" s="139" t="str">
        <f t="shared" si="16"/>
        <v>_preroll_bulk</v>
      </c>
      <c r="V135" s="140" t="str">
        <f>IF(U135="_","",_xlfn.XLOOKUP(U135,internal_cansku_inventory!D:D,internal_cansku_inventory!E:E,"",0,1))</f>
        <v/>
      </c>
    </row>
    <row r="136" spans="1:22" ht="12.45" customHeight="1">
      <c r="A136" s="132">
        <v>157</v>
      </c>
      <c r="B136" s="132">
        <v>0</v>
      </c>
      <c r="C136" s="132" t="str">
        <f>Table1[[#This Row],[inventory_id_head]]&amp;"-"&amp;Table1[[#This Row],[inventory_id_tail]]</f>
        <v>157-0</v>
      </c>
      <c r="D136" s="133" t="s">
        <v>680</v>
      </c>
      <c r="E136" s="133" t="s">
        <v>873</v>
      </c>
      <c r="F136" s="133" t="s">
        <v>55</v>
      </c>
      <c r="G136" s="133" t="str">
        <f t="shared" si="14"/>
        <v>T003EXNA</v>
      </c>
      <c r="H136" s="133" t="s">
        <v>861</v>
      </c>
      <c r="I136" s="133"/>
      <c r="J136" s="133" t="s">
        <v>874</v>
      </c>
      <c r="K136" s="134">
        <v>45307</v>
      </c>
      <c r="L136" s="135">
        <v>24</v>
      </c>
      <c r="M136" s="133" t="s">
        <v>875</v>
      </c>
      <c r="N136" s="136">
        <v>27.3</v>
      </c>
      <c r="O136" s="136">
        <v>0</v>
      </c>
      <c r="P136" s="136">
        <v>0</v>
      </c>
      <c r="Q136" s="137">
        <f t="shared" si="15"/>
        <v>655.20000000000005</v>
      </c>
      <c r="R136" s="133"/>
      <c r="S136" s="138">
        <v>45504</v>
      </c>
      <c r="T136" s="133" t="s">
        <v>670</v>
      </c>
      <c r="U136" s="139" t="str">
        <f t="shared" si="16"/>
        <v>_extract_ingested_labelled</v>
      </c>
      <c r="V136" s="140" t="str">
        <f>IF(U136="_","",_xlfn.XLOOKUP(U136,internal_cansku_inventory!D:D,internal_cansku_inventory!E:E,"",0,1))</f>
        <v/>
      </c>
    </row>
    <row r="137" spans="1:22" ht="12.45" customHeight="1">
      <c r="A137" s="132">
        <v>158</v>
      </c>
      <c r="B137" s="132">
        <v>0</v>
      </c>
      <c r="C137" s="132" t="str">
        <f>Table1[[#This Row],[inventory_id_head]]&amp;"-"&amp;Table1[[#This Row],[inventory_id_tail]]</f>
        <v>158-0</v>
      </c>
      <c r="D137" s="133" t="s">
        <v>653</v>
      </c>
      <c r="E137" s="133" t="s">
        <v>876</v>
      </c>
      <c r="F137" s="133" t="s">
        <v>55</v>
      </c>
      <c r="G137" s="133" t="str">
        <f t="shared" ref="G137:G168" si="17">E137&amp;F137</f>
        <v>T004EXNA</v>
      </c>
      <c r="H137" s="133" t="s">
        <v>861</v>
      </c>
      <c r="I137" s="133"/>
      <c r="J137" s="133" t="s">
        <v>877</v>
      </c>
      <c r="K137" s="134">
        <v>45110</v>
      </c>
      <c r="L137" s="135">
        <v>20</v>
      </c>
      <c r="M137" s="133" t="s">
        <v>875</v>
      </c>
      <c r="N137" s="136">
        <v>54.8</v>
      </c>
      <c r="O137" s="136">
        <v>0</v>
      </c>
      <c r="P137" s="136">
        <v>0</v>
      </c>
      <c r="Q137" s="137">
        <f t="shared" ref="Q137:Q168" si="18">L137*N137</f>
        <v>1096</v>
      </c>
      <c r="R137" s="133"/>
      <c r="S137" s="138">
        <v>45504</v>
      </c>
      <c r="T137" s="133" t="s">
        <v>670</v>
      </c>
      <c r="U137" s="139" t="str">
        <f t="shared" si="16"/>
        <v>_extract_ingested_labelled</v>
      </c>
      <c r="V137" s="140" t="str">
        <f>IF(U137="_","",_xlfn.XLOOKUP(U137,internal_cansku_inventory!D:D,internal_cansku_inventory!E:E,"",0,1))</f>
        <v/>
      </c>
    </row>
    <row r="138" spans="1:22" ht="12.45" customHeight="1">
      <c r="A138" s="132">
        <v>159</v>
      </c>
      <c r="B138" s="132">
        <v>0</v>
      </c>
      <c r="C138" s="132" t="str">
        <f>Table1[[#This Row],[inventory_id_head]]&amp;"-"&amp;Table1[[#This Row],[inventory_id_tail]]</f>
        <v>159-0</v>
      </c>
      <c r="D138" s="133" t="s">
        <v>680</v>
      </c>
      <c r="E138" s="133" t="s">
        <v>865</v>
      </c>
      <c r="F138" s="133" t="s">
        <v>878</v>
      </c>
      <c r="G138" s="133" t="str">
        <f t="shared" si="17"/>
        <v>T030PRB004PR</v>
      </c>
      <c r="H138" s="133" t="s">
        <v>823</v>
      </c>
      <c r="I138" s="133"/>
      <c r="J138" s="133" t="s">
        <v>879</v>
      </c>
      <c r="K138" s="134" t="s">
        <v>655</v>
      </c>
      <c r="L138" s="135">
        <v>242</v>
      </c>
      <c r="M138" s="133" t="s">
        <v>644</v>
      </c>
      <c r="N138" s="136">
        <v>0.5</v>
      </c>
      <c r="O138" s="136">
        <v>0</v>
      </c>
      <c r="P138" s="136">
        <v>0</v>
      </c>
      <c r="Q138" s="137">
        <f t="shared" si="18"/>
        <v>121</v>
      </c>
      <c r="R138" s="133"/>
      <c r="S138" s="138">
        <v>45504</v>
      </c>
      <c r="T138" s="133" t="s">
        <v>670</v>
      </c>
      <c r="U138" s="139" t="str">
        <f t="shared" si="16"/>
        <v>_preroll_bulk</v>
      </c>
      <c r="V138" s="140" t="str">
        <f>IF(U138="_","",_xlfn.XLOOKUP(U138,internal_cansku_inventory!D:D,internal_cansku_inventory!E:E,"",0,1))</f>
        <v/>
      </c>
    </row>
    <row r="139" spans="1:22" ht="12.45" customHeight="1">
      <c r="A139" s="132">
        <v>160</v>
      </c>
      <c r="B139" s="132">
        <v>0</v>
      </c>
      <c r="C139" s="132" t="str">
        <f>Table1[[#This Row],[inventory_id_head]]&amp;"-"&amp;Table1[[#This Row],[inventory_id_tail]]</f>
        <v>160-0</v>
      </c>
      <c r="D139" s="133" t="s">
        <v>680</v>
      </c>
      <c r="E139" s="133" t="s">
        <v>865</v>
      </c>
      <c r="F139" s="133" t="s">
        <v>880</v>
      </c>
      <c r="G139" s="133" t="str">
        <f t="shared" si="17"/>
        <v>T030PRB005PR</v>
      </c>
      <c r="H139" s="133" t="s">
        <v>823</v>
      </c>
      <c r="I139" s="133"/>
      <c r="J139" s="133" t="s">
        <v>879</v>
      </c>
      <c r="K139" s="134" t="s">
        <v>655</v>
      </c>
      <c r="L139" s="135">
        <v>221</v>
      </c>
      <c r="M139" s="133" t="s">
        <v>644</v>
      </c>
      <c r="N139" s="136">
        <v>0.5</v>
      </c>
      <c r="O139" s="136">
        <v>0</v>
      </c>
      <c r="P139" s="136">
        <v>0</v>
      </c>
      <c r="Q139" s="137">
        <f t="shared" si="18"/>
        <v>110.5</v>
      </c>
      <c r="R139" s="133"/>
      <c r="S139" s="138">
        <v>45504</v>
      </c>
      <c r="T139" s="133" t="s">
        <v>670</v>
      </c>
      <c r="U139" s="139" t="str">
        <f t="shared" si="16"/>
        <v>_preroll_bulk</v>
      </c>
      <c r="V139" s="140" t="str">
        <f>IF(U139="_","",_xlfn.XLOOKUP(U139,internal_cansku_inventory!D:D,internal_cansku_inventory!E:E,"",0,1))</f>
        <v/>
      </c>
    </row>
    <row r="140" spans="1:22" ht="12.45" customHeight="1">
      <c r="A140" s="132">
        <v>161</v>
      </c>
      <c r="B140" s="132">
        <v>0</v>
      </c>
      <c r="C140" s="132" t="str">
        <f>Table1[[#This Row],[inventory_id_head]]&amp;"-"&amp;Table1[[#This Row],[inventory_id_tail]]</f>
        <v>161-0</v>
      </c>
      <c r="D140" s="133" t="s">
        <v>680</v>
      </c>
      <c r="E140" s="133" t="s">
        <v>865</v>
      </c>
      <c r="F140" s="133" t="s">
        <v>881</v>
      </c>
      <c r="G140" s="133" t="str">
        <f t="shared" si="17"/>
        <v>T030PRB006PR</v>
      </c>
      <c r="H140" s="133" t="s">
        <v>823</v>
      </c>
      <c r="I140" s="133"/>
      <c r="J140" s="133" t="s">
        <v>879</v>
      </c>
      <c r="K140" s="134" t="s">
        <v>655</v>
      </c>
      <c r="L140" s="135">
        <v>242</v>
      </c>
      <c r="M140" s="133" t="s">
        <v>644</v>
      </c>
      <c r="N140" s="136">
        <v>0.5</v>
      </c>
      <c r="O140" s="136">
        <v>0</v>
      </c>
      <c r="P140" s="136">
        <v>0</v>
      </c>
      <c r="Q140" s="137">
        <f t="shared" si="18"/>
        <v>121</v>
      </c>
      <c r="R140" s="133"/>
      <c r="S140" s="138">
        <v>45504</v>
      </c>
      <c r="T140" s="133" t="s">
        <v>670</v>
      </c>
      <c r="U140" s="139" t="str">
        <f t="shared" si="16"/>
        <v>_preroll_bulk</v>
      </c>
      <c r="V140" s="140" t="str">
        <f>IF(U140="_","",_xlfn.XLOOKUP(U140,internal_cansku_inventory!D:D,internal_cansku_inventory!E:E,"",0,1))</f>
        <v/>
      </c>
    </row>
    <row r="141" spans="1:22" ht="12.45" customHeight="1">
      <c r="A141" s="132">
        <v>153</v>
      </c>
      <c r="B141" s="132">
        <v>0</v>
      </c>
      <c r="C141" s="132" t="str">
        <f>Table1[[#This Row],[inventory_id_head]]&amp;"-"&amp;Table1[[#This Row],[inventory_id_tail]]</f>
        <v>153-0</v>
      </c>
      <c r="D141" s="133" t="s">
        <v>653</v>
      </c>
      <c r="E141" s="133" t="s">
        <v>882</v>
      </c>
      <c r="F141" s="133" t="s">
        <v>55</v>
      </c>
      <c r="G141" s="133" t="str">
        <f t="shared" si="17"/>
        <v>T002EXNA</v>
      </c>
      <c r="H141" s="133" t="s">
        <v>861</v>
      </c>
      <c r="I141" s="133"/>
      <c r="J141" s="133" t="s">
        <v>883</v>
      </c>
      <c r="K141" s="134">
        <v>45110</v>
      </c>
      <c r="L141" s="135">
        <v>26</v>
      </c>
      <c r="M141" s="133" t="s">
        <v>875</v>
      </c>
      <c r="N141" s="136">
        <v>27.3</v>
      </c>
      <c r="O141" s="136">
        <v>0</v>
      </c>
      <c r="P141" s="136">
        <v>0</v>
      </c>
      <c r="Q141" s="137">
        <f t="shared" si="18"/>
        <v>709.80000000000007</v>
      </c>
      <c r="R141" s="133"/>
      <c r="S141" s="138">
        <v>45505.458333333336</v>
      </c>
      <c r="T141" s="133" t="s">
        <v>670</v>
      </c>
      <c r="U141" s="139" t="str">
        <f t="shared" si="16"/>
        <v>_extract_ingested_labelled</v>
      </c>
      <c r="V141" s="140" t="str">
        <f>IF(U141="_","",_xlfn.XLOOKUP(U141,internal_cansku_inventory!D:D,internal_cansku_inventory!E:E,"",0,1))</f>
        <v/>
      </c>
    </row>
    <row r="142" spans="1:22" ht="12.45" customHeight="1">
      <c r="A142" s="132">
        <v>78</v>
      </c>
      <c r="B142" s="132">
        <v>0</v>
      </c>
      <c r="C142" s="132" t="str">
        <f>Table1[[#This Row],[inventory_id_head]]&amp;"-"&amp;Table1[[#This Row],[inventory_id_tail]]</f>
        <v>78-0</v>
      </c>
      <c r="D142" s="133" t="s">
        <v>680</v>
      </c>
      <c r="E142" s="133" t="s">
        <v>884</v>
      </c>
      <c r="F142" s="133" t="s">
        <v>55</v>
      </c>
      <c r="G142" s="133" t="str">
        <f t="shared" si="17"/>
        <v>T003TPNA</v>
      </c>
      <c r="H142" s="133" t="s">
        <v>851</v>
      </c>
      <c r="I142" s="133"/>
      <c r="J142" s="133" t="s">
        <v>885</v>
      </c>
      <c r="K142" s="134">
        <v>45423</v>
      </c>
      <c r="L142" s="135">
        <v>57</v>
      </c>
      <c r="M142" s="133" t="s">
        <v>644</v>
      </c>
      <c r="N142" s="136">
        <v>88</v>
      </c>
      <c r="O142" s="136">
        <v>0</v>
      </c>
      <c r="P142" s="136">
        <v>0</v>
      </c>
      <c r="Q142" s="137">
        <f t="shared" si="18"/>
        <v>5016</v>
      </c>
      <c r="R142" s="133"/>
      <c r="S142" s="138">
        <v>45510.704861111109</v>
      </c>
      <c r="T142" s="133" t="s">
        <v>670</v>
      </c>
      <c r="U142" s="139" t="str">
        <f t="shared" si="16"/>
        <v>_topical_labelled</v>
      </c>
      <c r="V142" s="140" t="str">
        <f>IF(U142="_","",_xlfn.XLOOKUP(U142,internal_cansku_inventory!D:D,internal_cansku_inventory!E:E,"",0,1))</f>
        <v/>
      </c>
    </row>
    <row r="143" spans="1:22" ht="12.45" customHeight="1">
      <c r="A143" s="132">
        <v>79</v>
      </c>
      <c r="B143" s="132">
        <v>0</v>
      </c>
      <c r="C143" s="132" t="str">
        <f>Table1[[#This Row],[inventory_id_head]]&amp;"-"&amp;Table1[[#This Row],[inventory_id_tail]]</f>
        <v>79-0</v>
      </c>
      <c r="D143" s="133" t="s">
        <v>653</v>
      </c>
      <c r="E143" s="133" t="s">
        <v>886</v>
      </c>
      <c r="F143" s="133" t="s">
        <v>55</v>
      </c>
      <c r="G143" s="133" t="str">
        <f t="shared" si="17"/>
        <v>P001MFNA</v>
      </c>
      <c r="H143" s="133" t="s">
        <v>704</v>
      </c>
      <c r="I143" s="133"/>
      <c r="J143" s="133" t="s">
        <v>777</v>
      </c>
      <c r="K143" s="134" t="s">
        <v>655</v>
      </c>
      <c r="L143" s="135">
        <v>1</v>
      </c>
      <c r="M143" s="133" t="s">
        <v>663</v>
      </c>
      <c r="N143" s="136">
        <f>O143-P143</f>
        <v>1600</v>
      </c>
      <c r="O143" s="136">
        <v>3365</v>
      </c>
      <c r="P143" s="136">
        <f>5400-3635</f>
        <v>1765</v>
      </c>
      <c r="Q143" s="137">
        <f t="shared" si="18"/>
        <v>1600</v>
      </c>
      <c r="R143" s="133"/>
      <c r="S143" s="138">
        <v>45510.704861111109</v>
      </c>
      <c r="T143" s="133" t="s">
        <v>664</v>
      </c>
      <c r="U143" s="139" t="str">
        <f t="shared" si="16"/>
        <v>_driedflower_milled_bulk</v>
      </c>
      <c r="V143" s="140" t="str">
        <f>IF(U143="_","",_xlfn.XLOOKUP(U143,internal_cansku_inventory!D:D,internal_cansku_inventory!E:E,"",0,1))</f>
        <v/>
      </c>
    </row>
    <row r="144" spans="1:22" ht="12.45" customHeight="1">
      <c r="A144" s="132">
        <v>86</v>
      </c>
      <c r="B144" s="132">
        <v>0</v>
      </c>
      <c r="C144" s="132" t="str">
        <f>Table1[[#This Row],[inventory_id_head]]&amp;"-"&amp;Table1[[#This Row],[inventory_id_tail]]</f>
        <v>86-0</v>
      </c>
      <c r="D144" s="133" t="s">
        <v>680</v>
      </c>
      <c r="E144" s="133" t="s">
        <v>887</v>
      </c>
      <c r="F144" s="133" t="s">
        <v>55</v>
      </c>
      <c r="G144" s="133" t="str">
        <f t="shared" si="17"/>
        <v>P005EXNA</v>
      </c>
      <c r="H144" s="133" t="s">
        <v>782</v>
      </c>
      <c r="I144" s="133"/>
      <c r="J144" s="133" t="s">
        <v>55</v>
      </c>
      <c r="K144" s="134">
        <v>45482</v>
      </c>
      <c r="L144" s="135">
        <v>1</v>
      </c>
      <c r="M144" s="133" t="s">
        <v>663</v>
      </c>
      <c r="N144" s="136">
        <f>O144-P144</f>
        <v>14380</v>
      </c>
      <c r="O144" s="136">
        <v>16130</v>
      </c>
      <c r="P144" s="136">
        <v>1750</v>
      </c>
      <c r="Q144" s="137">
        <f t="shared" si="18"/>
        <v>14380</v>
      </c>
      <c r="R144" s="133" t="s">
        <v>888</v>
      </c>
      <c r="S144" s="138">
        <v>45511.42083333333</v>
      </c>
      <c r="T144" s="133" t="s">
        <v>664</v>
      </c>
      <c r="U144" s="139" t="str">
        <f t="shared" si="16"/>
        <v>_extract_ingested_bulk</v>
      </c>
      <c r="V144" s="140" t="str">
        <f>IF(U144="_","",_xlfn.XLOOKUP(U144,internal_cansku_inventory!D:D,internal_cansku_inventory!E:E,"",0,1))</f>
        <v/>
      </c>
    </row>
    <row r="145" spans="1:22" s="146" customFormat="1" ht="12.45" customHeight="1">
      <c r="A145" s="132">
        <v>162</v>
      </c>
      <c r="B145" s="132">
        <v>0</v>
      </c>
      <c r="C145" s="132" t="str">
        <f>Table1[[#This Row],[inventory_id_head]]&amp;"-"&amp;Table1[[#This Row],[inventory_id_tail]]</f>
        <v>162-0</v>
      </c>
      <c r="D145" s="133" t="s">
        <v>680</v>
      </c>
      <c r="E145" s="133" t="s">
        <v>889</v>
      </c>
      <c r="F145" s="133" t="s">
        <v>655</v>
      </c>
      <c r="G145" s="133" t="str">
        <f t="shared" si="17"/>
        <v>P009EXNA</v>
      </c>
      <c r="H145" s="133" t="s">
        <v>782</v>
      </c>
      <c r="I145" s="133"/>
      <c r="J145" s="133" t="s">
        <v>655</v>
      </c>
      <c r="K145" s="134" t="s">
        <v>655</v>
      </c>
      <c r="L145" s="135">
        <v>1</v>
      </c>
      <c r="M145" s="133" t="s">
        <v>663</v>
      </c>
      <c r="N145" s="136">
        <f>O145-P145</f>
        <v>16805</v>
      </c>
      <c r="O145" s="136">
        <v>18555</v>
      </c>
      <c r="P145" s="136">
        <v>1750</v>
      </c>
      <c r="Q145" s="137">
        <f t="shared" si="18"/>
        <v>16805</v>
      </c>
      <c r="R145" s="133" t="s">
        <v>888</v>
      </c>
      <c r="S145" s="138">
        <v>45511.425000000003</v>
      </c>
      <c r="T145" s="133" t="s">
        <v>664</v>
      </c>
      <c r="U145" s="139" t="str">
        <f t="shared" si="16"/>
        <v>_extract_ingested_bulk</v>
      </c>
      <c r="V145" s="140" t="str">
        <f>IF(U145="_","",_xlfn.XLOOKUP(U145,internal_cansku_inventory!D:D,internal_cansku_inventory!E:E,"",0,1))</f>
        <v/>
      </c>
    </row>
    <row r="146" spans="1:22" ht="12.45" customHeight="1">
      <c r="A146" s="132">
        <v>165</v>
      </c>
      <c r="B146" s="132">
        <v>0</v>
      </c>
      <c r="C146" s="132" t="str">
        <f>Table1[[#This Row],[inventory_id_head]]&amp;"-"&amp;Table1[[#This Row],[inventory_id_tail]]</f>
        <v>165-0</v>
      </c>
      <c r="D146" s="133" t="s">
        <v>680</v>
      </c>
      <c r="E146" s="133" t="s">
        <v>890</v>
      </c>
      <c r="F146" s="133" t="s">
        <v>655</v>
      </c>
      <c r="G146" s="133" t="str">
        <f t="shared" si="17"/>
        <v>B003EXNA</v>
      </c>
      <c r="H146" s="133" t="s">
        <v>891</v>
      </c>
      <c r="I146" s="133"/>
      <c r="J146" s="133" t="s">
        <v>892</v>
      </c>
      <c r="K146" s="134">
        <v>45503</v>
      </c>
      <c r="L146" s="135">
        <v>4</v>
      </c>
      <c r="M146" s="133" t="s">
        <v>644</v>
      </c>
      <c r="N146" s="136">
        <v>50</v>
      </c>
      <c r="O146" s="136">
        <v>0</v>
      </c>
      <c r="P146" s="136">
        <v>0</v>
      </c>
      <c r="Q146" s="137">
        <f t="shared" si="18"/>
        <v>200</v>
      </c>
      <c r="R146" s="133"/>
      <c r="S146" s="138">
        <v>45511.455555555556</v>
      </c>
      <c r="T146" s="133" t="s">
        <v>670</v>
      </c>
      <c r="U146" s="139" t="str">
        <f t="shared" si="16"/>
        <v>_extract_ingested_cased_BC</v>
      </c>
      <c r="V146" s="140" t="str">
        <f>IF(U146="_","",_xlfn.XLOOKUP(U146,internal_cansku_inventory!D:D,internal_cansku_inventory!E:E,"",0,1))</f>
        <v/>
      </c>
    </row>
    <row r="147" spans="1:22" ht="12.45" customHeight="1">
      <c r="A147" s="132">
        <v>166</v>
      </c>
      <c r="B147" s="132">
        <v>0</v>
      </c>
      <c r="C147" s="132" t="str">
        <f>Table1[[#This Row],[inventory_id_head]]&amp;"-"&amp;Table1[[#This Row],[inventory_id_tail]]</f>
        <v>166-0</v>
      </c>
      <c r="D147" s="133" t="s">
        <v>680</v>
      </c>
      <c r="E147" s="133" t="s">
        <v>893</v>
      </c>
      <c r="F147" s="133" t="s">
        <v>655</v>
      </c>
      <c r="G147" s="133" t="str">
        <f t="shared" si="17"/>
        <v>B004EXNA</v>
      </c>
      <c r="H147" s="133" t="s">
        <v>861</v>
      </c>
      <c r="I147" s="133"/>
      <c r="J147" s="133" t="s">
        <v>894</v>
      </c>
      <c r="K147" s="134">
        <v>45503</v>
      </c>
      <c r="L147" s="135">
        <v>253</v>
      </c>
      <c r="M147" s="133" t="s">
        <v>644</v>
      </c>
      <c r="N147" s="136">
        <v>50</v>
      </c>
      <c r="O147" s="136">
        <v>0</v>
      </c>
      <c r="P147" s="136">
        <v>0</v>
      </c>
      <c r="Q147" s="137">
        <f t="shared" si="18"/>
        <v>12650</v>
      </c>
      <c r="R147" s="133"/>
      <c r="S147" s="138">
        <v>45511.461111111108</v>
      </c>
      <c r="T147" s="133" t="s">
        <v>670</v>
      </c>
      <c r="U147" s="139" t="str">
        <f t="shared" si="16"/>
        <v>_extract_ingested_labelled</v>
      </c>
      <c r="V147" s="140" t="str">
        <f>IF(U147="_","",_xlfn.XLOOKUP(U147,internal_cansku_inventory!D:D,internal_cansku_inventory!E:E,"",0,1))</f>
        <v/>
      </c>
    </row>
    <row r="148" spans="1:22" ht="12.45" customHeight="1">
      <c r="A148" s="132">
        <v>167</v>
      </c>
      <c r="B148" s="132">
        <v>0</v>
      </c>
      <c r="C148" s="132" t="str">
        <f>Table1[[#This Row],[inventory_id_head]]&amp;"-"&amp;Table1[[#This Row],[inventory_id_tail]]</f>
        <v>167-0</v>
      </c>
      <c r="D148" s="133" t="s">
        <v>653</v>
      </c>
      <c r="E148" s="133" t="s">
        <v>895</v>
      </c>
      <c r="F148" s="133" t="s">
        <v>655</v>
      </c>
      <c r="G148" s="133" t="str">
        <f t="shared" si="17"/>
        <v>T037PRNA</v>
      </c>
      <c r="H148" s="133" t="s">
        <v>823</v>
      </c>
      <c r="I148" s="133"/>
      <c r="J148" s="133" t="s">
        <v>896</v>
      </c>
      <c r="K148" s="134" t="s">
        <v>655</v>
      </c>
      <c r="L148" s="135">
        <v>1091</v>
      </c>
      <c r="M148" s="133" t="s">
        <v>858</v>
      </c>
      <c r="N148" s="145">
        <v>0.01</v>
      </c>
      <c r="O148" s="136">
        <v>0</v>
      </c>
      <c r="P148" s="136">
        <v>0</v>
      </c>
      <c r="Q148" s="137">
        <f t="shared" si="18"/>
        <v>10.91</v>
      </c>
      <c r="R148" s="133" t="s">
        <v>835</v>
      </c>
      <c r="S148" s="138">
        <v>45511.488194444442</v>
      </c>
      <c r="T148" s="133" t="s">
        <v>670</v>
      </c>
      <c r="U148" s="139" t="str">
        <f t="shared" si="16"/>
        <v>_preroll_bulk</v>
      </c>
      <c r="V148" s="140" t="str">
        <f>IF(U148="_","",_xlfn.XLOOKUP(U148,internal_cansku_inventory!D:D,internal_cansku_inventory!E:E,"",0,1))</f>
        <v/>
      </c>
    </row>
    <row r="149" spans="1:22" ht="12.45" customHeight="1">
      <c r="A149" s="132">
        <v>168</v>
      </c>
      <c r="B149" s="132">
        <v>0</v>
      </c>
      <c r="C149" s="132" t="str">
        <f>Table1[[#This Row],[inventory_id_head]]&amp;"-"&amp;Table1[[#This Row],[inventory_id_tail]]</f>
        <v>168-0</v>
      </c>
      <c r="D149" s="133" t="s">
        <v>653</v>
      </c>
      <c r="E149" s="133" t="s">
        <v>895</v>
      </c>
      <c r="F149" s="133" t="s">
        <v>655</v>
      </c>
      <c r="G149" s="133" t="str">
        <f t="shared" si="17"/>
        <v>T037PRNA</v>
      </c>
      <c r="H149" s="133" t="s">
        <v>823</v>
      </c>
      <c r="I149" s="133"/>
      <c r="J149" s="133" t="s">
        <v>897</v>
      </c>
      <c r="K149" s="134" t="s">
        <v>655</v>
      </c>
      <c r="L149" s="135">
        <f>231+132+289</f>
        <v>652</v>
      </c>
      <c r="M149" s="133" t="s">
        <v>858</v>
      </c>
      <c r="N149" s="145">
        <v>0.01</v>
      </c>
      <c r="O149" s="136">
        <v>0</v>
      </c>
      <c r="P149" s="136">
        <v>0</v>
      </c>
      <c r="Q149" s="137">
        <f t="shared" si="18"/>
        <v>6.5200000000000005</v>
      </c>
      <c r="R149" s="133" t="s">
        <v>835</v>
      </c>
      <c r="S149" s="138">
        <v>45511.497916666667</v>
      </c>
      <c r="T149" s="133" t="s">
        <v>670</v>
      </c>
      <c r="U149" s="139" t="str">
        <f t="shared" si="16"/>
        <v>_preroll_bulk</v>
      </c>
      <c r="V149" s="140" t="str">
        <f>IF(U149="_","",_xlfn.XLOOKUP(U149,internal_cansku_inventory!D:D,internal_cansku_inventory!E:E,"",0,1))</f>
        <v/>
      </c>
    </row>
    <row r="150" spans="1:22" ht="12.45" customHeight="1">
      <c r="A150" s="132">
        <v>169</v>
      </c>
      <c r="B150" s="132">
        <v>0</v>
      </c>
      <c r="C150" s="132" t="str">
        <f>Table1[[#This Row],[inventory_id_head]]&amp;"-"&amp;Table1[[#This Row],[inventory_id_tail]]</f>
        <v>169-0</v>
      </c>
      <c r="D150" s="133" t="s">
        <v>653</v>
      </c>
      <c r="E150" s="133" t="s">
        <v>898</v>
      </c>
      <c r="F150" s="133" t="s">
        <v>655</v>
      </c>
      <c r="G150" s="133" t="str">
        <f t="shared" si="17"/>
        <v>T038PRNA</v>
      </c>
      <c r="H150" s="133" t="s">
        <v>813</v>
      </c>
      <c r="I150" s="133"/>
      <c r="J150" s="133" t="s">
        <v>899</v>
      </c>
      <c r="K150" s="134">
        <v>44999</v>
      </c>
      <c r="L150" s="135">
        <v>179</v>
      </c>
      <c r="M150" s="133" t="s">
        <v>858</v>
      </c>
      <c r="N150" s="136">
        <v>1.5</v>
      </c>
      <c r="O150" s="136">
        <v>0</v>
      </c>
      <c r="P150" s="136">
        <v>0</v>
      </c>
      <c r="Q150" s="137">
        <f t="shared" si="18"/>
        <v>268.5</v>
      </c>
      <c r="R150" s="133"/>
      <c r="S150" s="138">
        <v>45511.503472222219</v>
      </c>
      <c r="T150" s="133" t="s">
        <v>670</v>
      </c>
      <c r="U150" s="139" t="str">
        <f t="shared" si="16"/>
        <v>_preroll_labelled</v>
      </c>
      <c r="V150" s="140" t="str">
        <f>IF(U150="_","",_xlfn.XLOOKUP(U150,internal_cansku_inventory!D:D,internal_cansku_inventory!E:E,"",0,1))</f>
        <v/>
      </c>
    </row>
    <row r="151" spans="1:22" ht="12.45" customHeight="1">
      <c r="A151" s="132">
        <v>148</v>
      </c>
      <c r="B151" s="132">
        <v>0</v>
      </c>
      <c r="C151" s="132" t="str">
        <f>Table1[[#This Row],[inventory_id_head]]&amp;"-"&amp;Table1[[#This Row],[inventory_id_tail]]</f>
        <v>148-0</v>
      </c>
      <c r="D151" s="147" t="s">
        <v>680</v>
      </c>
      <c r="E151" s="133" t="s">
        <v>900</v>
      </c>
      <c r="F151" s="133" t="s">
        <v>655</v>
      </c>
      <c r="G151" s="147" t="str">
        <f t="shared" si="17"/>
        <v>T031PRNA</v>
      </c>
      <c r="H151" s="133" t="s">
        <v>813</v>
      </c>
      <c r="I151" s="133"/>
      <c r="J151" s="147" t="s">
        <v>901</v>
      </c>
      <c r="K151" s="134">
        <v>45491</v>
      </c>
      <c r="L151" s="148">
        <v>68</v>
      </c>
      <c r="M151" s="147" t="s">
        <v>858</v>
      </c>
      <c r="N151" s="149">
        <v>1.5</v>
      </c>
      <c r="O151" s="136">
        <v>0</v>
      </c>
      <c r="P151" s="136">
        <v>0</v>
      </c>
      <c r="Q151" s="137">
        <f t="shared" si="18"/>
        <v>102</v>
      </c>
      <c r="R151" s="150"/>
      <c r="S151" s="151">
        <v>45511.626388888886</v>
      </c>
      <c r="T151" s="133" t="s">
        <v>670</v>
      </c>
      <c r="U151" s="139" t="str">
        <f t="shared" si="16"/>
        <v>_preroll_labelled</v>
      </c>
      <c r="V151" s="140" t="str">
        <f>IF(U151="_","",_xlfn.XLOOKUP(U151,internal_cansku_inventory!D:D,internal_cansku_inventory!E:E,"",0,1))</f>
        <v/>
      </c>
    </row>
    <row r="152" spans="1:22" ht="12.45" customHeight="1">
      <c r="A152" s="132">
        <v>183</v>
      </c>
      <c r="B152" s="132">
        <v>0</v>
      </c>
      <c r="C152" s="132" t="str">
        <f>Table1[[#This Row],[inventory_id_head]]&amp;"-"&amp;Table1[[#This Row],[inventory_id_tail]]</f>
        <v>183-0</v>
      </c>
      <c r="D152" s="133" t="s">
        <v>680</v>
      </c>
      <c r="E152" s="133" t="s">
        <v>902</v>
      </c>
      <c r="F152" s="133" t="s">
        <v>655</v>
      </c>
      <c r="G152" s="133" t="str">
        <f t="shared" si="17"/>
        <v>P002DFNA</v>
      </c>
      <c r="H152" s="133" t="s">
        <v>720</v>
      </c>
      <c r="I152" s="133"/>
      <c r="J152" s="133">
        <v>2024080702</v>
      </c>
      <c r="K152" s="134" t="s">
        <v>655</v>
      </c>
      <c r="L152" s="135">
        <v>1</v>
      </c>
      <c r="M152" s="133" t="s">
        <v>663</v>
      </c>
      <c r="N152" s="136">
        <f>O152-P152</f>
        <v>1498</v>
      </c>
      <c r="O152" s="136">
        <v>3355</v>
      </c>
      <c r="P152" s="136">
        <f>3355-1498</f>
        <v>1857</v>
      </c>
      <c r="Q152" s="137">
        <f t="shared" si="18"/>
        <v>1498</v>
      </c>
      <c r="R152" s="133"/>
      <c r="S152" s="138">
        <v>45512.598611111112</v>
      </c>
      <c r="T152" s="133" t="s">
        <v>664</v>
      </c>
      <c r="U152" s="139" t="str">
        <f t="shared" si="16"/>
        <v>_driedflower_bulk</v>
      </c>
      <c r="V152" s="140" t="str">
        <f>IF(U152="_","",_xlfn.XLOOKUP(U152,internal_cansku_inventory!D:D,internal_cansku_inventory!E:E,"",0,1))</f>
        <v/>
      </c>
    </row>
    <row r="153" spans="1:22" ht="12.45" customHeight="1">
      <c r="A153" s="132">
        <v>170</v>
      </c>
      <c r="B153" s="132">
        <v>0</v>
      </c>
      <c r="C153" s="132" t="str">
        <f>Table1[[#This Row],[inventory_id_head]]&amp;"-"&amp;Table1[[#This Row],[inventory_id_tail]]</f>
        <v>170-0</v>
      </c>
      <c r="D153" s="133" t="s">
        <v>680</v>
      </c>
      <c r="E153" s="133" t="s">
        <v>903</v>
      </c>
      <c r="F153" s="133" t="s">
        <v>655</v>
      </c>
      <c r="G153" s="133" t="str">
        <f t="shared" si="17"/>
        <v>T031PRNA</v>
      </c>
      <c r="H153" s="133" t="s">
        <v>813</v>
      </c>
      <c r="I153" s="133"/>
      <c r="J153" s="133" t="s">
        <v>904</v>
      </c>
      <c r="K153" s="134">
        <v>45511</v>
      </c>
      <c r="L153" s="135">
        <v>12</v>
      </c>
      <c r="M153" s="133" t="s">
        <v>858</v>
      </c>
      <c r="N153" s="136">
        <v>1.5</v>
      </c>
      <c r="O153" s="136">
        <v>0</v>
      </c>
      <c r="P153" s="136">
        <v>0</v>
      </c>
      <c r="Q153" s="137">
        <f t="shared" si="18"/>
        <v>18</v>
      </c>
      <c r="R153" s="133"/>
      <c r="S153" s="138">
        <v>45513.622916666667</v>
      </c>
      <c r="T153" s="133" t="s">
        <v>670</v>
      </c>
      <c r="U153" s="139" t="str">
        <f t="shared" si="16"/>
        <v>_preroll_labelled</v>
      </c>
      <c r="V153" s="140" t="str">
        <f>IF(U153="_","",_xlfn.XLOOKUP(U153,internal_cansku_inventory!D:D,internal_cansku_inventory!E:E,"",0,1))</f>
        <v/>
      </c>
    </row>
    <row r="154" spans="1:22" ht="12.45" customHeight="1">
      <c r="A154" s="132">
        <v>184</v>
      </c>
      <c r="B154" s="132">
        <v>0</v>
      </c>
      <c r="C154" s="132" t="str">
        <f>Table1[[#This Row],[inventory_id_head]]&amp;"-"&amp;Table1[[#This Row],[inventory_id_tail]]</f>
        <v>184-0</v>
      </c>
      <c r="D154" s="147" t="s">
        <v>680</v>
      </c>
      <c r="E154" s="133" t="s">
        <v>900</v>
      </c>
      <c r="F154" s="133" t="s">
        <v>655</v>
      </c>
      <c r="G154" s="147" t="str">
        <f t="shared" si="17"/>
        <v>T031PRNA</v>
      </c>
      <c r="H154" s="133" t="s">
        <v>809</v>
      </c>
      <c r="I154" s="133"/>
      <c r="J154" s="133" t="s">
        <v>905</v>
      </c>
      <c r="K154" s="134" t="s">
        <v>655</v>
      </c>
      <c r="L154" s="148">
        <v>164</v>
      </c>
      <c r="M154" s="147" t="s">
        <v>858</v>
      </c>
      <c r="N154" s="149">
        <v>1.5</v>
      </c>
      <c r="O154" s="136">
        <v>0</v>
      </c>
      <c r="P154" s="136">
        <v>0</v>
      </c>
      <c r="Q154" s="137">
        <f t="shared" si="18"/>
        <v>246</v>
      </c>
      <c r="R154" s="150"/>
      <c r="S154" s="138">
        <v>45513.622916666667</v>
      </c>
      <c r="T154" s="133" t="s">
        <v>670</v>
      </c>
      <c r="U154" s="139" t="str">
        <f t="shared" si="16"/>
        <v>_preroll_packaged</v>
      </c>
      <c r="V154" s="140" t="str">
        <f>IF(U154="_","",_xlfn.XLOOKUP(U154,internal_cansku_inventory!D:D,internal_cansku_inventory!E:E,"",0,1))</f>
        <v/>
      </c>
    </row>
    <row r="155" spans="1:22" ht="12.45" customHeight="1">
      <c r="A155" s="132">
        <v>185</v>
      </c>
      <c r="B155" s="132">
        <v>0</v>
      </c>
      <c r="C155" s="132" t="str">
        <f>Table1[[#This Row],[inventory_id_head]]&amp;"-"&amp;Table1[[#This Row],[inventory_id_tail]]</f>
        <v>185-0</v>
      </c>
      <c r="D155" s="147" t="s">
        <v>653</v>
      </c>
      <c r="E155" s="133" t="s">
        <v>906</v>
      </c>
      <c r="F155" s="133" t="s">
        <v>55</v>
      </c>
      <c r="G155" s="133" t="str">
        <f t="shared" si="17"/>
        <v>P017MFNA</v>
      </c>
      <c r="H155" s="133" t="s">
        <v>704</v>
      </c>
      <c r="I155" s="133"/>
      <c r="J155" s="133" t="s">
        <v>907</v>
      </c>
      <c r="K155" s="134" t="s">
        <v>655</v>
      </c>
      <c r="L155" s="135">
        <v>1</v>
      </c>
      <c r="M155" s="133" t="s">
        <v>663</v>
      </c>
      <c r="N155" s="136">
        <f>O155-P155</f>
        <v>3472</v>
      </c>
      <c r="O155" s="136">
        <v>5655</v>
      </c>
      <c r="P155" s="136">
        <f>5655-3472</f>
        <v>2183</v>
      </c>
      <c r="Q155" s="137">
        <f t="shared" si="18"/>
        <v>3472</v>
      </c>
      <c r="R155" s="133"/>
      <c r="S155" s="138">
        <v>45516.506944444445</v>
      </c>
      <c r="T155" s="133" t="s">
        <v>664</v>
      </c>
      <c r="U155" s="139" t="str">
        <f t="shared" si="16"/>
        <v>_driedflower_milled_bulk</v>
      </c>
      <c r="V155" s="140" t="str">
        <f>IF(U155="_","",_xlfn.XLOOKUP(U155,internal_cansku_inventory!D:D,internal_cansku_inventory!E:E,"",0,1))</f>
        <v/>
      </c>
    </row>
    <row r="156" spans="1:22" ht="12.45" customHeight="1">
      <c r="A156" s="132">
        <v>186</v>
      </c>
      <c r="B156" s="132">
        <v>0</v>
      </c>
      <c r="C156" s="132" t="str">
        <f>Table1[[#This Row],[inventory_id_head]]&amp;"-"&amp;Table1[[#This Row],[inventory_id_tail]]</f>
        <v>186-0</v>
      </c>
      <c r="D156" s="147" t="s">
        <v>680</v>
      </c>
      <c r="E156" s="133" t="s">
        <v>903</v>
      </c>
      <c r="F156" s="133" t="s">
        <v>908</v>
      </c>
      <c r="G156" s="133" t="str">
        <f t="shared" si="17"/>
        <v>T031PRB007PR</v>
      </c>
      <c r="H156" s="133" t="s">
        <v>823</v>
      </c>
      <c r="I156" s="133"/>
      <c r="J156" s="133" t="s">
        <v>904</v>
      </c>
      <c r="K156" s="134" t="s">
        <v>655</v>
      </c>
      <c r="L156" s="135">
        <v>67</v>
      </c>
      <c r="M156" s="147" t="s">
        <v>858</v>
      </c>
      <c r="N156" s="136">
        <v>0.5</v>
      </c>
      <c r="O156" s="136">
        <v>0</v>
      </c>
      <c r="P156" s="136">
        <v>0</v>
      </c>
      <c r="Q156" s="137">
        <f t="shared" si="18"/>
        <v>33.5</v>
      </c>
      <c r="R156" s="133"/>
      <c r="S156" s="138">
        <v>45516.583333333336</v>
      </c>
      <c r="T156" s="133" t="s">
        <v>670</v>
      </c>
      <c r="U156" s="139" t="str">
        <f t="shared" si="16"/>
        <v>_preroll_bulk</v>
      </c>
      <c r="V156" s="140" t="str">
        <f>IF(U156="_","",_xlfn.XLOOKUP(U156,internal_cansku_inventory!D:D,internal_cansku_inventory!E:E,"",0,1))</f>
        <v/>
      </c>
    </row>
    <row r="157" spans="1:22" ht="12.45" customHeight="1">
      <c r="A157" s="132">
        <v>188</v>
      </c>
      <c r="B157" s="132">
        <v>0</v>
      </c>
      <c r="C157" s="132" t="str">
        <f>Table1[[#This Row],[inventory_id_head]]&amp;"-"&amp;Table1[[#This Row],[inventory_id_tail]]</f>
        <v>188-0</v>
      </c>
      <c r="D157" s="147" t="s">
        <v>680</v>
      </c>
      <c r="E157" s="133" t="s">
        <v>903</v>
      </c>
      <c r="F157" s="133" t="s">
        <v>909</v>
      </c>
      <c r="G157" s="133" t="str">
        <f t="shared" si="17"/>
        <v>T031PRB009PR</v>
      </c>
      <c r="H157" s="133" t="s">
        <v>823</v>
      </c>
      <c r="I157" s="133"/>
      <c r="J157" s="133" t="s">
        <v>904</v>
      </c>
      <c r="K157" s="134" t="s">
        <v>655</v>
      </c>
      <c r="L157" s="135">
        <v>337</v>
      </c>
      <c r="M157" s="147" t="s">
        <v>858</v>
      </c>
      <c r="N157" s="136">
        <v>0.5</v>
      </c>
      <c r="O157" s="136">
        <v>0</v>
      </c>
      <c r="P157" s="136">
        <v>0</v>
      </c>
      <c r="Q157" s="137">
        <f t="shared" si="18"/>
        <v>168.5</v>
      </c>
      <c r="R157" s="133"/>
      <c r="S157" s="138">
        <v>45516.583333333336</v>
      </c>
      <c r="T157" s="133" t="s">
        <v>670</v>
      </c>
      <c r="U157" s="139" t="str">
        <f t="shared" si="16"/>
        <v>_preroll_bulk</v>
      </c>
      <c r="V157" s="140" t="str">
        <f>IF(U157="_","",_xlfn.XLOOKUP(U157,internal_cansku_inventory!D:D,internal_cansku_inventory!E:E,"",0,1))</f>
        <v/>
      </c>
    </row>
    <row r="158" spans="1:22" ht="12.45" customHeight="1">
      <c r="A158" s="132">
        <v>189</v>
      </c>
      <c r="B158" s="132">
        <v>0</v>
      </c>
      <c r="C158" s="132" t="str">
        <f>Table1[[#This Row],[inventory_id_head]]&amp;"-"&amp;Table1[[#This Row],[inventory_id_tail]]</f>
        <v>189-0</v>
      </c>
      <c r="D158" s="147" t="s">
        <v>680</v>
      </c>
      <c r="E158" s="133" t="s">
        <v>903</v>
      </c>
      <c r="F158" s="133" t="s">
        <v>910</v>
      </c>
      <c r="G158" s="133" t="str">
        <f t="shared" si="17"/>
        <v>T031PRB010PR</v>
      </c>
      <c r="H158" s="133" t="s">
        <v>823</v>
      </c>
      <c r="I158" s="133"/>
      <c r="J158" s="133" t="s">
        <v>904</v>
      </c>
      <c r="K158" s="134" t="s">
        <v>655</v>
      </c>
      <c r="L158" s="135">
        <v>500</v>
      </c>
      <c r="M158" s="147" t="s">
        <v>858</v>
      </c>
      <c r="N158" s="136">
        <v>0.5</v>
      </c>
      <c r="O158" s="136">
        <v>0</v>
      </c>
      <c r="P158" s="136">
        <v>0</v>
      </c>
      <c r="Q158" s="137">
        <f t="shared" si="18"/>
        <v>250</v>
      </c>
      <c r="R158" s="133"/>
      <c r="S158" s="138">
        <v>45516.618750000001</v>
      </c>
      <c r="T158" s="133" t="s">
        <v>670</v>
      </c>
      <c r="U158" s="139" t="str">
        <f t="shared" si="16"/>
        <v>_preroll_bulk</v>
      </c>
      <c r="V158" s="140" t="str">
        <f>IF(U158="_","",_xlfn.XLOOKUP(U158,internal_cansku_inventory!D:D,internal_cansku_inventory!E:E,"",0,1))</f>
        <v/>
      </c>
    </row>
    <row r="159" spans="1:22" ht="12.45" customHeight="1">
      <c r="A159" s="132">
        <v>190</v>
      </c>
      <c r="B159" s="132">
        <v>0</v>
      </c>
      <c r="C159" s="132" t="str">
        <f>Table1[[#This Row],[inventory_id_head]]&amp;"-"&amp;Table1[[#This Row],[inventory_id_tail]]</f>
        <v>190-0</v>
      </c>
      <c r="D159" s="147" t="s">
        <v>680</v>
      </c>
      <c r="E159" s="133" t="s">
        <v>911</v>
      </c>
      <c r="F159" s="133" t="s">
        <v>912</v>
      </c>
      <c r="G159" s="133" t="str">
        <f t="shared" si="17"/>
        <v>T036PRB011PR</v>
      </c>
      <c r="H159" s="133" t="s">
        <v>823</v>
      </c>
      <c r="I159" s="133"/>
      <c r="J159" s="133" t="s">
        <v>913</v>
      </c>
      <c r="K159" s="134" t="s">
        <v>655</v>
      </c>
      <c r="L159" s="135">
        <v>160</v>
      </c>
      <c r="M159" s="147" t="s">
        <v>858</v>
      </c>
      <c r="N159" s="136">
        <v>0.5</v>
      </c>
      <c r="O159" s="136">
        <v>0</v>
      </c>
      <c r="P159" s="136">
        <v>0</v>
      </c>
      <c r="Q159" s="137">
        <f t="shared" si="18"/>
        <v>80</v>
      </c>
      <c r="R159" s="133"/>
      <c r="S159" s="138">
        <v>45516.618750000001</v>
      </c>
      <c r="T159" s="133" t="s">
        <v>670</v>
      </c>
      <c r="U159" s="139" t="str">
        <f t="shared" si="16"/>
        <v>_preroll_bulk</v>
      </c>
      <c r="V159" s="140" t="str">
        <f>IF(U159="_","",_xlfn.XLOOKUP(U159,internal_cansku_inventory!D:D,internal_cansku_inventory!E:E,"",0,1))</f>
        <v/>
      </c>
    </row>
    <row r="160" spans="1:22" ht="12.45" customHeight="1">
      <c r="A160" s="132">
        <v>191</v>
      </c>
      <c r="B160" s="132">
        <v>0</v>
      </c>
      <c r="C160" s="132" t="str">
        <f>Table1[[#This Row],[inventory_id_head]]&amp;"-"&amp;Table1[[#This Row],[inventory_id_tail]]</f>
        <v>191-0</v>
      </c>
      <c r="D160" s="147" t="s">
        <v>680</v>
      </c>
      <c r="E160" s="133" t="s">
        <v>911</v>
      </c>
      <c r="F160" s="133" t="s">
        <v>914</v>
      </c>
      <c r="G160" s="133" t="str">
        <f t="shared" si="17"/>
        <v>T036PRB012PR</v>
      </c>
      <c r="H160" s="133" t="s">
        <v>823</v>
      </c>
      <c r="I160" s="133"/>
      <c r="J160" s="133" t="s">
        <v>913</v>
      </c>
      <c r="K160" s="134" t="s">
        <v>655</v>
      </c>
      <c r="L160" s="135">
        <v>362</v>
      </c>
      <c r="M160" s="147" t="s">
        <v>858</v>
      </c>
      <c r="N160" s="136">
        <v>0.5</v>
      </c>
      <c r="O160" s="136">
        <v>0</v>
      </c>
      <c r="P160" s="136">
        <v>0</v>
      </c>
      <c r="Q160" s="137">
        <f t="shared" si="18"/>
        <v>181</v>
      </c>
      <c r="R160" s="133"/>
      <c r="S160" s="138">
        <v>45516.618750000001</v>
      </c>
      <c r="T160" s="133" t="s">
        <v>670</v>
      </c>
      <c r="U160" s="139" t="str">
        <f t="shared" si="16"/>
        <v>_preroll_bulk</v>
      </c>
      <c r="V160" s="140" t="str">
        <f>IF(U160="_","",_xlfn.XLOOKUP(U160,internal_cansku_inventory!D:D,internal_cansku_inventory!E:E,"",0,1))</f>
        <v/>
      </c>
    </row>
    <row r="161" spans="1:22" ht="12.45" customHeight="1">
      <c r="A161" s="132">
        <v>192</v>
      </c>
      <c r="B161" s="132">
        <v>0</v>
      </c>
      <c r="C161" s="132" t="str">
        <f>Table1[[#This Row],[inventory_id_head]]&amp;"-"&amp;Table1[[#This Row],[inventory_id_tail]]</f>
        <v>192-0</v>
      </c>
      <c r="D161" s="147" t="s">
        <v>680</v>
      </c>
      <c r="E161" s="133" t="s">
        <v>911</v>
      </c>
      <c r="F161" s="133" t="s">
        <v>915</v>
      </c>
      <c r="G161" s="133" t="str">
        <f t="shared" si="17"/>
        <v>T036PRB013PR</v>
      </c>
      <c r="H161" s="133" t="s">
        <v>823</v>
      </c>
      <c r="I161" s="133"/>
      <c r="J161" s="133" t="s">
        <v>913</v>
      </c>
      <c r="K161" s="134" t="s">
        <v>655</v>
      </c>
      <c r="L161" s="135">
        <v>361</v>
      </c>
      <c r="M161" s="147" t="s">
        <v>858</v>
      </c>
      <c r="N161" s="136">
        <v>0.5</v>
      </c>
      <c r="O161" s="136">
        <v>0</v>
      </c>
      <c r="P161" s="136">
        <v>0</v>
      </c>
      <c r="Q161" s="137">
        <f t="shared" si="18"/>
        <v>180.5</v>
      </c>
      <c r="R161" s="133"/>
      <c r="S161" s="138">
        <v>45516.618750000001</v>
      </c>
      <c r="T161" s="133" t="s">
        <v>670</v>
      </c>
      <c r="U161" s="139" t="str">
        <f t="shared" si="16"/>
        <v>_preroll_bulk</v>
      </c>
      <c r="V161" s="140" t="str">
        <f>IF(U161="_","",_xlfn.XLOOKUP(U161,internal_cansku_inventory!D:D,internal_cansku_inventory!E:E,"",0,1))</f>
        <v/>
      </c>
    </row>
    <row r="162" spans="1:22" ht="12.45" customHeight="1">
      <c r="A162" s="132">
        <v>193</v>
      </c>
      <c r="B162" s="132">
        <v>0</v>
      </c>
      <c r="C162" s="132" t="str">
        <f>Table1[[#This Row],[inventory_id_head]]&amp;"-"&amp;Table1[[#This Row],[inventory_id_tail]]</f>
        <v>193-0</v>
      </c>
      <c r="D162" s="147" t="s">
        <v>680</v>
      </c>
      <c r="E162" s="133" t="s">
        <v>911</v>
      </c>
      <c r="F162" s="133" t="s">
        <v>916</v>
      </c>
      <c r="G162" s="133" t="str">
        <f t="shared" si="17"/>
        <v>T036PRB014PR</v>
      </c>
      <c r="H162" s="133" t="s">
        <v>823</v>
      </c>
      <c r="I162" s="133"/>
      <c r="J162" s="133" t="s">
        <v>913</v>
      </c>
      <c r="K162" s="134" t="s">
        <v>655</v>
      </c>
      <c r="L162" s="135">
        <v>241</v>
      </c>
      <c r="M162" s="147" t="s">
        <v>858</v>
      </c>
      <c r="N162" s="136">
        <v>0.5</v>
      </c>
      <c r="O162" s="136">
        <v>0</v>
      </c>
      <c r="P162" s="136">
        <v>0</v>
      </c>
      <c r="Q162" s="137">
        <f t="shared" si="18"/>
        <v>120.5</v>
      </c>
      <c r="R162" s="133"/>
      <c r="S162" s="138">
        <v>45516.618750000001</v>
      </c>
      <c r="T162" s="133" t="s">
        <v>670</v>
      </c>
      <c r="U162" s="139" t="str">
        <f t="shared" si="16"/>
        <v>_preroll_bulk</v>
      </c>
      <c r="V162" s="140" t="str">
        <f>IF(U162="_","",_xlfn.XLOOKUP(U162,internal_cansku_inventory!D:D,internal_cansku_inventory!E:E,"",0,1))</f>
        <v/>
      </c>
    </row>
    <row r="163" spans="1:22" ht="12.45" customHeight="1">
      <c r="A163" s="132">
        <v>194</v>
      </c>
      <c r="B163" s="132">
        <v>0</v>
      </c>
      <c r="C163" s="132" t="str">
        <f>Table1[[#This Row],[inventory_id_head]]&amp;"-"&amp;Table1[[#This Row],[inventory_id_tail]]</f>
        <v>194-0</v>
      </c>
      <c r="D163" s="289" t="s">
        <v>680</v>
      </c>
      <c r="E163" s="133" t="s">
        <v>911</v>
      </c>
      <c r="F163" s="133" t="s">
        <v>917</v>
      </c>
      <c r="G163" s="133" t="str">
        <f t="shared" si="17"/>
        <v>T036PRB015PR</v>
      </c>
      <c r="H163" s="133" t="s">
        <v>823</v>
      </c>
      <c r="I163" s="133"/>
      <c r="J163" s="133" t="s">
        <v>913</v>
      </c>
      <c r="K163" s="134" t="s">
        <v>655</v>
      </c>
      <c r="L163" s="135">
        <v>479</v>
      </c>
      <c r="M163" s="147" t="s">
        <v>858</v>
      </c>
      <c r="N163" s="136">
        <v>0.5</v>
      </c>
      <c r="O163" s="136">
        <v>0</v>
      </c>
      <c r="P163" s="136">
        <v>0</v>
      </c>
      <c r="Q163" s="137">
        <f t="shared" si="18"/>
        <v>239.5</v>
      </c>
      <c r="R163" s="133"/>
      <c r="S163" s="138">
        <v>45516.618750000001</v>
      </c>
      <c r="T163" s="133" t="s">
        <v>670</v>
      </c>
      <c r="U163" s="139" t="str">
        <f t="shared" si="16"/>
        <v>_preroll_bulk</v>
      </c>
      <c r="V163" s="140" t="str">
        <f>IF(U163="_","",_xlfn.XLOOKUP(U163,internal_cansku_inventory!D:D,internal_cansku_inventory!E:E,"",0,1))</f>
        <v/>
      </c>
    </row>
    <row r="164" spans="1:22" ht="12.45" customHeight="1">
      <c r="A164" s="132">
        <v>196</v>
      </c>
      <c r="B164" s="132">
        <v>0</v>
      </c>
      <c r="C164" s="132" t="str">
        <f>Table1[[#This Row],[inventory_id_head]]&amp;"-"&amp;Table1[[#This Row],[inventory_id_tail]]</f>
        <v>196-0</v>
      </c>
      <c r="D164" s="147" t="s">
        <v>680</v>
      </c>
      <c r="E164" s="133" t="s">
        <v>911</v>
      </c>
      <c r="F164" s="133" t="s">
        <v>918</v>
      </c>
      <c r="G164" s="133" t="str">
        <f t="shared" si="17"/>
        <v>T036PRB017PR</v>
      </c>
      <c r="H164" s="133" t="s">
        <v>823</v>
      </c>
      <c r="I164" s="133"/>
      <c r="J164" s="133" t="s">
        <v>913</v>
      </c>
      <c r="K164" s="134" t="s">
        <v>655</v>
      </c>
      <c r="L164" s="135">
        <v>358</v>
      </c>
      <c r="M164" s="147" t="s">
        <v>858</v>
      </c>
      <c r="N164" s="136">
        <v>0.5</v>
      </c>
      <c r="O164" s="136">
        <v>0</v>
      </c>
      <c r="P164" s="136">
        <v>0</v>
      </c>
      <c r="Q164" s="137">
        <f t="shared" si="18"/>
        <v>179</v>
      </c>
      <c r="R164" s="133"/>
      <c r="S164" s="138">
        <v>45516.618750000001</v>
      </c>
      <c r="T164" s="133" t="s">
        <v>670</v>
      </c>
      <c r="U164" s="139" t="str">
        <f t="shared" si="16"/>
        <v>_preroll_bulk</v>
      </c>
      <c r="V164" s="140" t="str">
        <f>IF(U164="_","",_xlfn.XLOOKUP(U164,internal_cansku_inventory!D:D,internal_cansku_inventory!E:E,"",0,1))</f>
        <v/>
      </c>
    </row>
    <row r="165" spans="1:22" ht="12.45" customHeight="1">
      <c r="A165" s="132">
        <v>198</v>
      </c>
      <c r="B165" s="132">
        <v>0</v>
      </c>
      <c r="C165" s="132" t="str">
        <f>Table1[[#This Row],[inventory_id_head]]&amp;"-"&amp;Table1[[#This Row],[inventory_id_tail]]</f>
        <v>198-0</v>
      </c>
      <c r="D165" s="147" t="s">
        <v>680</v>
      </c>
      <c r="E165" s="133" t="s">
        <v>911</v>
      </c>
      <c r="F165" s="133" t="s">
        <v>919</v>
      </c>
      <c r="G165" s="133" t="str">
        <f t="shared" si="17"/>
        <v>T036PRB019PR</v>
      </c>
      <c r="H165" s="133" t="s">
        <v>823</v>
      </c>
      <c r="I165" s="133"/>
      <c r="J165" s="133" t="s">
        <v>913</v>
      </c>
      <c r="K165" s="134" t="s">
        <v>655</v>
      </c>
      <c r="L165" s="135">
        <v>605</v>
      </c>
      <c r="M165" s="147" t="s">
        <v>858</v>
      </c>
      <c r="N165" s="136">
        <v>0.5</v>
      </c>
      <c r="O165" s="136">
        <v>0</v>
      </c>
      <c r="P165" s="136">
        <v>0</v>
      </c>
      <c r="Q165" s="137">
        <f t="shared" si="18"/>
        <v>302.5</v>
      </c>
      <c r="R165" s="133"/>
      <c r="S165" s="138">
        <v>45516.618750000001</v>
      </c>
      <c r="T165" s="133" t="s">
        <v>670</v>
      </c>
      <c r="U165" s="139" t="str">
        <f t="shared" si="16"/>
        <v>_preroll_bulk</v>
      </c>
      <c r="V165" s="140" t="str">
        <f>IF(U165="_","",_xlfn.XLOOKUP(U165,internal_cansku_inventory!D:D,internal_cansku_inventory!E:E,"",0,1))</f>
        <v/>
      </c>
    </row>
    <row r="166" spans="1:22" ht="12.45" customHeight="1">
      <c r="A166" s="132">
        <v>199</v>
      </c>
      <c r="B166" s="132">
        <v>0</v>
      </c>
      <c r="C166" s="132" t="str">
        <f>Table1[[#This Row],[inventory_id_head]]&amp;"-"&amp;Table1[[#This Row],[inventory_id_tail]]</f>
        <v>199-0</v>
      </c>
      <c r="D166" s="147" t="s">
        <v>653</v>
      </c>
      <c r="E166" s="133" t="s">
        <v>911</v>
      </c>
      <c r="F166" s="133" t="s">
        <v>920</v>
      </c>
      <c r="G166" s="133" t="str">
        <f t="shared" si="17"/>
        <v>T036PRB020PR</v>
      </c>
      <c r="H166" s="133" t="s">
        <v>823</v>
      </c>
      <c r="I166" s="133"/>
      <c r="J166" s="133" t="s">
        <v>913</v>
      </c>
      <c r="K166" s="134" t="s">
        <v>655</v>
      </c>
      <c r="L166" s="135">
        <v>240</v>
      </c>
      <c r="M166" s="147" t="s">
        <v>858</v>
      </c>
      <c r="N166" s="136">
        <v>0.5</v>
      </c>
      <c r="O166" s="136">
        <v>0</v>
      </c>
      <c r="P166" s="136">
        <v>0</v>
      </c>
      <c r="Q166" s="137">
        <f t="shared" si="18"/>
        <v>120</v>
      </c>
      <c r="R166" s="133"/>
      <c r="S166" s="138">
        <v>45516.618750000001</v>
      </c>
      <c r="T166" s="133" t="s">
        <v>670</v>
      </c>
      <c r="U166" s="139" t="str">
        <f t="shared" si="16"/>
        <v>_preroll_bulk</v>
      </c>
      <c r="V166" s="140" t="str">
        <f>IF(U166="_","",_xlfn.XLOOKUP(U166,internal_cansku_inventory!D:D,internal_cansku_inventory!E:E,"",0,1))</f>
        <v/>
      </c>
    </row>
    <row r="167" spans="1:22" ht="12.45" customHeight="1">
      <c r="A167" s="132">
        <v>201</v>
      </c>
      <c r="B167" s="132">
        <v>0</v>
      </c>
      <c r="C167" s="132" t="str">
        <f>Table1[[#This Row],[inventory_id_head]]&amp;"-"&amp;Table1[[#This Row],[inventory_id_tail]]</f>
        <v>201-0</v>
      </c>
      <c r="D167" s="289" t="s">
        <v>653</v>
      </c>
      <c r="E167" s="133" t="s">
        <v>921</v>
      </c>
      <c r="F167" s="133" t="s">
        <v>655</v>
      </c>
      <c r="G167" s="133" t="str">
        <f t="shared" si="17"/>
        <v>T006EXNA</v>
      </c>
      <c r="H167" s="133" t="s">
        <v>349</v>
      </c>
      <c r="I167" s="133"/>
      <c r="J167" s="133" t="s">
        <v>922</v>
      </c>
      <c r="K167" s="134">
        <v>44576</v>
      </c>
      <c r="L167" s="135">
        <v>210</v>
      </c>
      <c r="M167" s="147" t="s">
        <v>858</v>
      </c>
      <c r="N167" s="136">
        <v>120</v>
      </c>
      <c r="O167" s="136">
        <v>0</v>
      </c>
      <c r="P167" s="136">
        <v>0</v>
      </c>
      <c r="Q167" s="137">
        <f t="shared" si="18"/>
        <v>25200</v>
      </c>
      <c r="R167" s="133" t="s">
        <v>923</v>
      </c>
      <c r="S167" s="138">
        <v>45516.652777777781</v>
      </c>
      <c r="T167" s="133" t="s">
        <v>670</v>
      </c>
      <c r="U167" s="139" t="str">
        <f t="shared" si="16"/>
        <v>_topical_labelled_RTV</v>
      </c>
      <c r="V167" s="140" t="str">
        <f>IF(U167="_","",_xlfn.XLOOKUP(U167,internal_cansku_inventory!D:D,internal_cansku_inventory!E:E,"",0,1))</f>
        <v/>
      </c>
    </row>
    <row r="168" spans="1:22" ht="12.45" customHeight="1">
      <c r="A168" s="132">
        <v>203</v>
      </c>
      <c r="B168" s="132">
        <v>0</v>
      </c>
      <c r="C168" s="132" t="str">
        <f>Table1[[#This Row],[inventory_id_head]]&amp;"-"&amp;Table1[[#This Row],[inventory_id_tail]]</f>
        <v>203-0</v>
      </c>
      <c r="D168" s="153" t="s">
        <v>653</v>
      </c>
      <c r="E168" s="133" t="s">
        <v>924</v>
      </c>
      <c r="F168" s="133" t="s">
        <v>655</v>
      </c>
      <c r="G168" s="133" t="str">
        <f t="shared" si="17"/>
        <v>T007EXNA</v>
      </c>
      <c r="H168" s="133" t="s">
        <v>349</v>
      </c>
      <c r="I168" s="133"/>
      <c r="J168" s="133" t="s">
        <v>922</v>
      </c>
      <c r="K168" s="134">
        <v>44576</v>
      </c>
      <c r="L168" s="135">
        <v>93</v>
      </c>
      <c r="M168" s="133" t="s">
        <v>858</v>
      </c>
      <c r="N168" s="136">
        <v>14</v>
      </c>
      <c r="O168" s="136">
        <v>0</v>
      </c>
      <c r="P168" s="136">
        <v>0</v>
      </c>
      <c r="Q168" s="137">
        <f t="shared" si="18"/>
        <v>1302</v>
      </c>
      <c r="R168" s="133" t="s">
        <v>923</v>
      </c>
      <c r="S168" s="138">
        <v>45516.684027777781</v>
      </c>
      <c r="T168" s="133" t="s">
        <v>670</v>
      </c>
      <c r="U168" s="139" t="str">
        <f t="shared" si="16"/>
        <v>_topical_labelled_RTV</v>
      </c>
      <c r="V168" s="140" t="str">
        <f>IF(U168="_","",_xlfn.XLOOKUP(U168,internal_cansku_inventory!D:D,internal_cansku_inventory!E:E,"",0,1))</f>
        <v/>
      </c>
    </row>
    <row r="169" spans="1:22" ht="12.45" customHeight="1">
      <c r="A169" s="132">
        <v>204</v>
      </c>
      <c r="B169" s="132">
        <v>0</v>
      </c>
      <c r="C169" s="132" t="str">
        <f>Table1[[#This Row],[inventory_id_head]]&amp;"-"&amp;Table1[[#This Row],[inventory_id_tail]]</f>
        <v>204-0</v>
      </c>
      <c r="D169" s="133" t="s">
        <v>653</v>
      </c>
      <c r="E169" s="133" t="s">
        <v>925</v>
      </c>
      <c r="F169" s="133" t="s">
        <v>655</v>
      </c>
      <c r="G169" s="133" t="str">
        <f t="shared" ref="G169:G200" si="19">E169&amp;F169</f>
        <v>T008EXNA</v>
      </c>
      <c r="H169" s="133" t="s">
        <v>349</v>
      </c>
      <c r="I169" s="133"/>
      <c r="J169" s="133" t="s">
        <v>922</v>
      </c>
      <c r="K169" s="134">
        <v>44576</v>
      </c>
      <c r="L169" s="135">
        <v>269</v>
      </c>
      <c r="M169" s="133" t="s">
        <v>858</v>
      </c>
      <c r="N169" s="136">
        <v>14</v>
      </c>
      <c r="O169" s="136">
        <v>0</v>
      </c>
      <c r="P169" s="136">
        <v>0</v>
      </c>
      <c r="Q169" s="137">
        <f t="shared" ref="Q169:Q177" si="20">L169*N169</f>
        <v>3766</v>
      </c>
      <c r="R169" s="133" t="s">
        <v>923</v>
      </c>
      <c r="S169" s="138">
        <v>45516.684027777781</v>
      </c>
      <c r="T169" s="133" t="s">
        <v>670</v>
      </c>
      <c r="U169" s="139" t="str">
        <f t="shared" si="16"/>
        <v>_topical_labelled_RTV</v>
      </c>
      <c r="V169" s="140" t="str">
        <f>IF(U169="_","",_xlfn.XLOOKUP(U169,internal_cansku_inventory!D:D,internal_cansku_inventory!E:E,"",0,1))</f>
        <v/>
      </c>
    </row>
    <row r="170" spans="1:22" ht="12.45" customHeight="1">
      <c r="A170" s="132">
        <v>205</v>
      </c>
      <c r="B170" s="132">
        <v>0</v>
      </c>
      <c r="C170" s="132" t="str">
        <f>Table1[[#This Row],[inventory_id_head]]&amp;"-"&amp;Table1[[#This Row],[inventory_id_tail]]</f>
        <v>205-0</v>
      </c>
      <c r="D170" s="133" t="s">
        <v>680</v>
      </c>
      <c r="E170" s="133" t="s">
        <v>926</v>
      </c>
      <c r="F170" s="133" t="s">
        <v>655</v>
      </c>
      <c r="G170" s="133" t="str">
        <f t="shared" si="19"/>
        <v>T009EXNA</v>
      </c>
      <c r="H170" s="133" t="s">
        <v>861</v>
      </c>
      <c r="I170" s="133"/>
      <c r="J170" s="133" t="s">
        <v>927</v>
      </c>
      <c r="K170" s="134">
        <v>45467</v>
      </c>
      <c r="L170" s="135">
        <v>22</v>
      </c>
      <c r="M170" s="133" t="s">
        <v>858</v>
      </c>
      <c r="N170" s="136">
        <v>27.3</v>
      </c>
      <c r="O170" s="136">
        <v>0</v>
      </c>
      <c r="P170" s="136">
        <v>0</v>
      </c>
      <c r="Q170" s="137">
        <f t="shared" si="20"/>
        <v>600.6</v>
      </c>
      <c r="R170" s="133"/>
      <c r="S170" s="138">
        <v>45516.691666666666</v>
      </c>
      <c r="T170" s="133" t="s">
        <v>670</v>
      </c>
      <c r="U170" s="139" t="str">
        <f t="shared" si="16"/>
        <v>_extract_ingested_labelled</v>
      </c>
      <c r="V170" s="140" t="str">
        <f>IF(U170="_","",_xlfn.XLOOKUP(U170,internal_cansku_inventory!D:D,internal_cansku_inventory!E:E,"",0,1))</f>
        <v/>
      </c>
    </row>
    <row r="171" spans="1:22" ht="12.45" customHeight="1">
      <c r="A171" s="132">
        <v>206</v>
      </c>
      <c r="B171" s="132">
        <v>0</v>
      </c>
      <c r="C171" s="132" t="str">
        <f>Table1[[#This Row],[inventory_id_head]]&amp;"-"&amp;Table1[[#This Row],[inventory_id_tail]]</f>
        <v>206-0</v>
      </c>
      <c r="D171" s="133" t="s">
        <v>680</v>
      </c>
      <c r="E171" s="133" t="s">
        <v>928</v>
      </c>
      <c r="F171" s="133" t="s">
        <v>655</v>
      </c>
      <c r="G171" s="133" t="str">
        <f t="shared" si="19"/>
        <v>T010EXNA</v>
      </c>
      <c r="H171" s="133" t="s">
        <v>861</v>
      </c>
      <c r="I171" s="133"/>
      <c r="J171" s="133" t="s">
        <v>929</v>
      </c>
      <c r="K171" s="134">
        <v>44898</v>
      </c>
      <c r="L171" s="135">
        <v>9</v>
      </c>
      <c r="M171" s="133" t="s">
        <v>858</v>
      </c>
      <c r="N171" s="136">
        <v>29.5</v>
      </c>
      <c r="O171" s="136">
        <v>0</v>
      </c>
      <c r="P171" s="136">
        <v>0</v>
      </c>
      <c r="Q171" s="137">
        <f t="shared" si="20"/>
        <v>265.5</v>
      </c>
      <c r="R171" s="133"/>
      <c r="S171" s="138">
        <v>45516.691666666666</v>
      </c>
      <c r="T171" s="133" t="s">
        <v>670</v>
      </c>
      <c r="U171" s="139" t="str">
        <f t="shared" si="16"/>
        <v>_extract_ingested_labelled</v>
      </c>
      <c r="V171" s="140" t="str">
        <f>IF(U171="_","",_xlfn.XLOOKUP(U171,internal_cansku_inventory!D:D,internal_cansku_inventory!E:E,"",0,1))</f>
        <v/>
      </c>
    </row>
    <row r="172" spans="1:22" ht="12.45" customHeight="1">
      <c r="A172" s="132">
        <v>207</v>
      </c>
      <c r="B172" s="132">
        <v>0</v>
      </c>
      <c r="C172" s="132" t="str">
        <f>Table1[[#This Row],[inventory_id_head]]&amp;"-"&amp;Table1[[#This Row],[inventory_id_tail]]</f>
        <v>207-0</v>
      </c>
      <c r="D172" s="133" t="s">
        <v>653</v>
      </c>
      <c r="E172" s="133" t="s">
        <v>930</v>
      </c>
      <c r="F172" s="133" t="s">
        <v>655</v>
      </c>
      <c r="G172" s="133" t="str">
        <f t="shared" si="19"/>
        <v>T011EXNA</v>
      </c>
      <c r="H172" s="133" t="s">
        <v>861</v>
      </c>
      <c r="I172" s="133"/>
      <c r="J172" s="133" t="s">
        <v>931</v>
      </c>
      <c r="K172" s="134">
        <v>44265</v>
      </c>
      <c r="L172" s="135">
        <v>20</v>
      </c>
      <c r="M172" s="133" t="s">
        <v>858</v>
      </c>
      <c r="N172" s="136">
        <v>29.5</v>
      </c>
      <c r="O172" s="136">
        <v>0</v>
      </c>
      <c r="P172" s="136">
        <v>0</v>
      </c>
      <c r="Q172" s="137">
        <f t="shared" si="20"/>
        <v>590</v>
      </c>
      <c r="R172" s="133"/>
      <c r="S172" s="138">
        <v>45517.455555555556</v>
      </c>
      <c r="T172" s="133" t="s">
        <v>670</v>
      </c>
      <c r="U172" s="139" t="str">
        <f t="shared" si="16"/>
        <v>_extract_ingested_labelled</v>
      </c>
      <c r="V172" s="140" t="str">
        <f>IF(U172="_","",_xlfn.XLOOKUP(U172,internal_cansku_inventory!D:D,internal_cansku_inventory!E:E,"",0,1))</f>
        <v/>
      </c>
    </row>
    <row r="173" spans="1:22" ht="12.45" customHeight="1">
      <c r="A173" s="132">
        <v>208</v>
      </c>
      <c r="B173" s="132">
        <v>0</v>
      </c>
      <c r="C173" s="132" t="str">
        <f>Table1[[#This Row],[inventory_id_head]]&amp;"-"&amp;Table1[[#This Row],[inventory_id_tail]]</f>
        <v>208-0</v>
      </c>
      <c r="D173" s="133" t="s">
        <v>653</v>
      </c>
      <c r="E173" s="133" t="s">
        <v>930</v>
      </c>
      <c r="F173" s="133" t="s">
        <v>655</v>
      </c>
      <c r="G173" s="133" t="str">
        <f t="shared" si="19"/>
        <v>T011EXNA</v>
      </c>
      <c r="H173" s="133" t="s">
        <v>861</v>
      </c>
      <c r="I173" s="133"/>
      <c r="J173" s="133" t="s">
        <v>932</v>
      </c>
      <c r="K173" s="134">
        <v>44235</v>
      </c>
      <c r="L173" s="135">
        <v>24</v>
      </c>
      <c r="M173" s="133" t="s">
        <v>644</v>
      </c>
      <c r="N173" s="136">
        <v>29.5</v>
      </c>
      <c r="O173" s="136">
        <v>0</v>
      </c>
      <c r="P173" s="136">
        <v>0</v>
      </c>
      <c r="Q173" s="137">
        <f t="shared" si="20"/>
        <v>708</v>
      </c>
      <c r="R173" s="133"/>
      <c r="S173" s="138">
        <v>45517.455555555556</v>
      </c>
      <c r="T173" s="133" t="s">
        <v>670</v>
      </c>
      <c r="U173" s="139" t="str">
        <f t="shared" si="16"/>
        <v>_extract_ingested_labelled</v>
      </c>
      <c r="V173" s="140" t="str">
        <f>IF(U173="_","",_xlfn.XLOOKUP(U173,internal_cansku_inventory!D:D,internal_cansku_inventory!E:E,"",0,1))</f>
        <v/>
      </c>
    </row>
    <row r="174" spans="1:22" ht="12.45" customHeight="1">
      <c r="A174" s="132">
        <v>211</v>
      </c>
      <c r="B174" s="132">
        <v>0</v>
      </c>
      <c r="C174" s="132" t="str">
        <f>Table1[[#This Row],[inventory_id_head]]&amp;"-"&amp;Table1[[#This Row],[inventory_id_tail]]</f>
        <v>211-0</v>
      </c>
      <c r="D174" s="133" t="s">
        <v>680</v>
      </c>
      <c r="E174" s="133" t="s">
        <v>933</v>
      </c>
      <c r="F174" s="133" t="s">
        <v>655</v>
      </c>
      <c r="G174" s="133" t="str">
        <f t="shared" si="19"/>
        <v>T014EXNA</v>
      </c>
      <c r="H174" s="133" t="s">
        <v>861</v>
      </c>
      <c r="I174" s="133"/>
      <c r="J174" s="133" t="s">
        <v>934</v>
      </c>
      <c r="K174" s="134">
        <v>45094</v>
      </c>
      <c r="L174" s="135">
        <v>47</v>
      </c>
      <c r="M174" s="133" t="s">
        <v>644</v>
      </c>
      <c r="N174" s="136">
        <v>27.4</v>
      </c>
      <c r="O174" s="136">
        <v>0</v>
      </c>
      <c r="P174" s="136">
        <v>0</v>
      </c>
      <c r="Q174" s="137">
        <f t="shared" si="20"/>
        <v>1287.8</v>
      </c>
      <c r="R174" s="133"/>
      <c r="S174" s="138">
        <v>45517.455555555556</v>
      </c>
      <c r="T174" s="133" t="s">
        <v>670</v>
      </c>
      <c r="U174" s="139" t="str">
        <f t="shared" si="16"/>
        <v>_extract_ingested_labelled</v>
      </c>
      <c r="V174" s="140" t="str">
        <f>IF(U174="_","",_xlfn.XLOOKUP(U174,internal_cansku_inventory!D:D,internal_cansku_inventory!E:E,"",0,1))</f>
        <v/>
      </c>
    </row>
    <row r="175" spans="1:22" ht="12.45" customHeight="1">
      <c r="A175" s="132">
        <v>213</v>
      </c>
      <c r="B175" s="132">
        <v>0</v>
      </c>
      <c r="C175" s="132" t="str">
        <f>Table1[[#This Row],[inventory_id_head]]&amp;"-"&amp;Table1[[#This Row],[inventory_id_tail]]</f>
        <v>213-0</v>
      </c>
      <c r="D175" s="133" t="s">
        <v>680</v>
      </c>
      <c r="E175" s="133" t="s">
        <v>935</v>
      </c>
      <c r="F175" s="133" t="s">
        <v>655</v>
      </c>
      <c r="G175" s="133" t="str">
        <f t="shared" si="19"/>
        <v>T016EXNA</v>
      </c>
      <c r="H175" s="133" t="s">
        <v>861</v>
      </c>
      <c r="I175" s="133"/>
      <c r="J175" s="133" t="s">
        <v>934</v>
      </c>
      <c r="K175" s="134">
        <v>45094</v>
      </c>
      <c r="L175" s="135">
        <v>84</v>
      </c>
      <c r="M175" s="133" t="s">
        <v>644</v>
      </c>
      <c r="N175" s="136">
        <v>27.4</v>
      </c>
      <c r="O175" s="136">
        <v>0</v>
      </c>
      <c r="P175" s="136">
        <v>0</v>
      </c>
      <c r="Q175" s="137">
        <f t="shared" si="20"/>
        <v>2301.6</v>
      </c>
      <c r="R175" s="133"/>
      <c r="S175" s="138">
        <v>45517.455555555556</v>
      </c>
      <c r="T175" s="133" t="s">
        <v>670</v>
      </c>
      <c r="U175" s="139" t="str">
        <f t="shared" si="16"/>
        <v>_extract_ingested_labelled</v>
      </c>
      <c r="V175" s="140" t="str">
        <f>IF(U175="_","",_xlfn.XLOOKUP(U175,internal_cansku_inventory!D:D,internal_cansku_inventory!E:E,"",0,1))</f>
        <v/>
      </c>
    </row>
    <row r="176" spans="1:22" ht="12.45" customHeight="1">
      <c r="A176" s="132">
        <v>216</v>
      </c>
      <c r="B176" s="132">
        <v>0</v>
      </c>
      <c r="C176" s="132" t="str">
        <f>Table1[[#This Row],[inventory_id_head]]&amp;"-"&amp;Table1[[#This Row],[inventory_id_tail]]</f>
        <v>216-0</v>
      </c>
      <c r="D176" s="133" t="s">
        <v>680</v>
      </c>
      <c r="E176" s="133" t="s">
        <v>936</v>
      </c>
      <c r="F176" s="133" t="s">
        <v>655</v>
      </c>
      <c r="G176" s="133" t="str">
        <f t="shared" si="19"/>
        <v>T019EXNA</v>
      </c>
      <c r="H176" s="133" t="s">
        <v>861</v>
      </c>
      <c r="I176" s="133"/>
      <c r="J176" s="133" t="s">
        <v>937</v>
      </c>
      <c r="K176" s="134">
        <v>45433</v>
      </c>
      <c r="L176" s="135">
        <v>15</v>
      </c>
      <c r="M176" s="133" t="s">
        <v>644</v>
      </c>
      <c r="N176" s="136">
        <v>50</v>
      </c>
      <c r="O176" s="136">
        <v>0</v>
      </c>
      <c r="P176" s="136">
        <v>0</v>
      </c>
      <c r="Q176" s="137">
        <f t="shared" si="20"/>
        <v>750</v>
      </c>
      <c r="R176" s="133"/>
      <c r="S176" s="138">
        <v>45517.495138888888</v>
      </c>
      <c r="T176" s="133" t="s">
        <v>670</v>
      </c>
      <c r="U176" s="139" t="str">
        <f t="shared" si="16"/>
        <v>_extract_ingested_labelled</v>
      </c>
      <c r="V176" s="140" t="str">
        <f>IF(U176="_","",_xlfn.XLOOKUP(U176,internal_cansku_inventory!D:D,internal_cansku_inventory!E:E,"",0,1))</f>
        <v/>
      </c>
    </row>
    <row r="177" spans="1:22" ht="12.45" customHeight="1">
      <c r="A177" s="132">
        <v>217</v>
      </c>
      <c r="B177" s="132">
        <v>0</v>
      </c>
      <c r="C177" s="132" t="str">
        <f>Table1[[#This Row],[inventory_id_head]]&amp;"-"&amp;Table1[[#This Row],[inventory_id_tail]]</f>
        <v>217-0</v>
      </c>
      <c r="D177" s="133" t="s">
        <v>680</v>
      </c>
      <c r="E177" s="133" t="s">
        <v>936</v>
      </c>
      <c r="F177" s="133" t="s">
        <v>938</v>
      </c>
      <c r="G177" s="133" t="str">
        <f t="shared" si="19"/>
        <v>T019EXB001EX</v>
      </c>
      <c r="H177" s="133" t="s">
        <v>861</v>
      </c>
      <c r="I177" s="133"/>
      <c r="J177" s="133" t="s">
        <v>939</v>
      </c>
      <c r="K177" s="134">
        <v>45457</v>
      </c>
      <c r="L177" s="135">
        <v>9</v>
      </c>
      <c r="M177" s="133" t="s">
        <v>644</v>
      </c>
      <c r="N177" s="136">
        <v>50</v>
      </c>
      <c r="O177" s="136">
        <v>0</v>
      </c>
      <c r="P177" s="136">
        <v>0</v>
      </c>
      <c r="Q177" s="137">
        <f t="shared" si="20"/>
        <v>450</v>
      </c>
      <c r="R177" s="133"/>
      <c r="S177" s="138">
        <v>45517.495138888888</v>
      </c>
      <c r="T177" s="133" t="s">
        <v>670</v>
      </c>
      <c r="U177" s="139" t="str">
        <f t="shared" si="16"/>
        <v>_extract_ingested_labelled</v>
      </c>
      <c r="V177" s="140" t="str">
        <f>IF(U177="_","",_xlfn.XLOOKUP(U177,internal_cansku_inventory!D:D,internal_cansku_inventory!E:E,"",0,1))</f>
        <v/>
      </c>
    </row>
    <row r="178" spans="1:22" ht="12.45" customHeight="1">
      <c r="A178" s="132">
        <v>218</v>
      </c>
      <c r="B178" s="132">
        <v>0</v>
      </c>
      <c r="C178" s="132" t="str">
        <f>Table1[[#This Row],[inventory_id_head]]&amp;"-"&amp;Table1[[#This Row],[inventory_id_tail]]</f>
        <v>218-0</v>
      </c>
      <c r="D178" s="133" t="s">
        <v>653</v>
      </c>
      <c r="E178" s="133" t="s">
        <v>940</v>
      </c>
      <c r="F178" s="133" t="s">
        <v>655</v>
      </c>
      <c r="G178" s="133" t="str">
        <f t="shared" si="19"/>
        <v>T015DFNA</v>
      </c>
      <c r="H178" s="133" t="s">
        <v>941</v>
      </c>
      <c r="I178" s="133"/>
      <c r="J178" s="133" t="s">
        <v>942</v>
      </c>
      <c r="K178" s="134">
        <v>44466</v>
      </c>
      <c r="L178" s="135">
        <v>0</v>
      </c>
      <c r="M178" s="133" t="s">
        <v>644</v>
      </c>
      <c r="N178" s="136">
        <v>0</v>
      </c>
      <c r="O178" s="136">
        <v>0</v>
      </c>
      <c r="P178" s="136">
        <v>0</v>
      </c>
      <c r="Q178" s="137">
        <v>3355</v>
      </c>
      <c r="R178" s="133"/>
      <c r="S178" s="138">
        <v>45517.548611111109</v>
      </c>
      <c r="T178" s="133" t="s">
        <v>670</v>
      </c>
      <c r="U178" s="139" t="str">
        <f t="shared" si="16"/>
        <v>_driedflower_bulk_unknown</v>
      </c>
      <c r="V178" s="140" t="str">
        <f>IF(U178="_","",_xlfn.XLOOKUP(U178,internal_cansku_inventory!D:D,internal_cansku_inventory!E:E,"",0,1))</f>
        <v/>
      </c>
    </row>
    <row r="179" spans="1:22" ht="12.45" customHeight="1">
      <c r="A179" s="132">
        <v>219</v>
      </c>
      <c r="B179" s="132">
        <v>0</v>
      </c>
      <c r="C179" s="132" t="str">
        <f>Table1[[#This Row],[inventory_id_head]]&amp;"-"&amp;Table1[[#This Row],[inventory_id_tail]]</f>
        <v>219-0</v>
      </c>
      <c r="D179" s="133" t="s">
        <v>653</v>
      </c>
      <c r="E179" s="133" t="s">
        <v>940</v>
      </c>
      <c r="F179" s="133" t="s">
        <v>655</v>
      </c>
      <c r="G179" s="133" t="str">
        <f t="shared" si="19"/>
        <v>T015DFNA</v>
      </c>
      <c r="H179" s="133" t="s">
        <v>941</v>
      </c>
      <c r="I179" s="133"/>
      <c r="J179" s="133">
        <v>96</v>
      </c>
      <c r="K179" s="134">
        <v>44002</v>
      </c>
      <c r="L179" s="135">
        <v>0</v>
      </c>
      <c r="M179" s="133" t="s">
        <v>644</v>
      </c>
      <c r="N179" s="136">
        <v>0</v>
      </c>
      <c r="O179" s="136">
        <v>0</v>
      </c>
      <c r="P179" s="136">
        <v>0</v>
      </c>
      <c r="Q179" s="137">
        <v>6645</v>
      </c>
      <c r="R179" s="133"/>
      <c r="S179" s="138">
        <v>45517.548611111109</v>
      </c>
      <c r="T179" s="133" t="s">
        <v>670</v>
      </c>
      <c r="U179" s="139" t="str">
        <f t="shared" si="16"/>
        <v>_driedflower_bulk_unknown</v>
      </c>
      <c r="V179" s="140" t="str">
        <f>IF(U179="_","",_xlfn.XLOOKUP(U179,internal_cansku_inventory!D:D,internal_cansku_inventory!E:E,"",0,1))</f>
        <v/>
      </c>
    </row>
    <row r="180" spans="1:22" ht="12.45" customHeight="1">
      <c r="A180" s="132">
        <v>220</v>
      </c>
      <c r="B180" s="132">
        <v>0</v>
      </c>
      <c r="C180" s="132" t="str">
        <f>Table1[[#This Row],[inventory_id_head]]&amp;"-"&amp;Table1[[#This Row],[inventory_id_tail]]</f>
        <v>220-0</v>
      </c>
      <c r="D180" s="133" t="s">
        <v>653</v>
      </c>
      <c r="E180" s="133" t="s">
        <v>940</v>
      </c>
      <c r="F180" s="133" t="s">
        <v>655</v>
      </c>
      <c r="G180" s="133" t="str">
        <f t="shared" si="19"/>
        <v>T015DFNA</v>
      </c>
      <c r="H180" s="133" t="s">
        <v>941</v>
      </c>
      <c r="I180" s="133"/>
      <c r="J180" s="133" t="s">
        <v>943</v>
      </c>
      <c r="K180" s="134" t="s">
        <v>655</v>
      </c>
      <c r="L180" s="135">
        <v>0</v>
      </c>
      <c r="M180" s="133" t="s">
        <v>644</v>
      </c>
      <c r="N180" s="136">
        <v>0</v>
      </c>
      <c r="O180" s="136">
        <v>0</v>
      </c>
      <c r="P180" s="136">
        <v>0</v>
      </c>
      <c r="Q180" s="137">
        <v>1100</v>
      </c>
      <c r="R180" s="133"/>
      <c r="S180" s="138">
        <v>45517.548611111109</v>
      </c>
      <c r="T180" s="133" t="s">
        <v>670</v>
      </c>
      <c r="U180" s="139" t="str">
        <f t="shared" si="16"/>
        <v>_driedflower_bulk_unknown</v>
      </c>
      <c r="V180" s="140" t="str">
        <f>IF(U180="_","",_xlfn.XLOOKUP(U180,internal_cansku_inventory!D:D,internal_cansku_inventory!E:E,"",0,1))</f>
        <v/>
      </c>
    </row>
    <row r="181" spans="1:22" ht="12.45" customHeight="1">
      <c r="A181" s="132">
        <v>221</v>
      </c>
      <c r="B181" s="132">
        <v>0</v>
      </c>
      <c r="C181" s="132" t="str">
        <f>Table1[[#This Row],[inventory_id_head]]&amp;"-"&amp;Table1[[#This Row],[inventory_id_tail]]</f>
        <v>221-0</v>
      </c>
      <c r="D181" s="133" t="s">
        <v>653</v>
      </c>
      <c r="E181" s="133" t="s">
        <v>940</v>
      </c>
      <c r="F181" s="133" t="s">
        <v>655</v>
      </c>
      <c r="G181" s="133" t="str">
        <f t="shared" si="19"/>
        <v>T015DFNA</v>
      </c>
      <c r="H181" s="133" t="s">
        <v>941</v>
      </c>
      <c r="I181" s="133"/>
      <c r="J181" s="133">
        <v>2021050301</v>
      </c>
      <c r="K181" s="134" t="s">
        <v>655</v>
      </c>
      <c r="L181" s="135">
        <v>0</v>
      </c>
      <c r="M181" s="133" t="s">
        <v>644</v>
      </c>
      <c r="N181" s="136">
        <v>0</v>
      </c>
      <c r="O181" s="136">
        <v>0</v>
      </c>
      <c r="P181" s="136">
        <v>0</v>
      </c>
      <c r="Q181" s="137">
        <v>10</v>
      </c>
      <c r="R181" s="133"/>
      <c r="S181" s="138">
        <v>45517.548611111109</v>
      </c>
      <c r="T181" s="133" t="s">
        <v>670</v>
      </c>
      <c r="U181" s="139" t="str">
        <f t="shared" si="16"/>
        <v>_driedflower_bulk_unknown</v>
      </c>
      <c r="V181" s="140" t="str">
        <f>IF(U181="_","",_xlfn.XLOOKUP(U181,internal_cansku_inventory!D:D,internal_cansku_inventory!E:E,"",0,1))</f>
        <v/>
      </c>
    </row>
    <row r="182" spans="1:22" ht="12.45" customHeight="1">
      <c r="A182" s="132">
        <v>222</v>
      </c>
      <c r="B182" s="132">
        <v>0</v>
      </c>
      <c r="C182" s="132" t="str">
        <f>Table1[[#This Row],[inventory_id_head]]&amp;"-"&amp;Table1[[#This Row],[inventory_id_tail]]</f>
        <v>222-0</v>
      </c>
      <c r="D182" s="133" t="s">
        <v>653</v>
      </c>
      <c r="E182" s="133" t="s">
        <v>940</v>
      </c>
      <c r="F182" s="133" t="s">
        <v>655</v>
      </c>
      <c r="G182" s="133" t="str">
        <f t="shared" si="19"/>
        <v>T015DFNA</v>
      </c>
      <c r="H182" s="133" t="s">
        <v>944</v>
      </c>
      <c r="I182" s="133"/>
      <c r="J182" s="133">
        <v>20210505301</v>
      </c>
      <c r="K182" s="134" t="s">
        <v>655</v>
      </c>
      <c r="L182" s="135">
        <v>0</v>
      </c>
      <c r="M182" s="133" t="s">
        <v>644</v>
      </c>
      <c r="N182" s="136">
        <v>0</v>
      </c>
      <c r="O182" s="136">
        <v>0</v>
      </c>
      <c r="P182" s="136">
        <v>0</v>
      </c>
      <c r="Q182" s="137">
        <v>60</v>
      </c>
      <c r="R182" s="133"/>
      <c r="S182" s="138">
        <v>45517.548611111109</v>
      </c>
      <c r="T182" s="133" t="s">
        <v>670</v>
      </c>
      <c r="U182" s="139" t="str">
        <f t="shared" si="16"/>
        <v>_driedflower_trim_unknown_inferior</v>
      </c>
      <c r="V182" s="140" t="str">
        <f>IF(U182="_","",_xlfn.XLOOKUP(U182,internal_cansku_inventory!D:D,internal_cansku_inventory!E:E,"",0,1))</f>
        <v/>
      </c>
    </row>
    <row r="183" spans="1:22" ht="12.45" customHeight="1">
      <c r="A183" s="132">
        <v>223</v>
      </c>
      <c r="B183" s="132">
        <v>0</v>
      </c>
      <c r="C183" s="132" t="str">
        <f>Table1[[#This Row],[inventory_id_head]]&amp;"-"&amp;Table1[[#This Row],[inventory_id_tail]]</f>
        <v>223-0</v>
      </c>
      <c r="D183" s="133" t="s">
        <v>653</v>
      </c>
      <c r="E183" s="133" t="s">
        <v>940</v>
      </c>
      <c r="F183" s="133" t="s">
        <v>655</v>
      </c>
      <c r="G183" s="133" t="str">
        <f t="shared" si="19"/>
        <v>T015DFNA</v>
      </c>
      <c r="H183" s="133" t="s">
        <v>941</v>
      </c>
      <c r="I183" s="133"/>
      <c r="J183" s="133" t="s">
        <v>945</v>
      </c>
      <c r="K183" s="134" t="s">
        <v>655</v>
      </c>
      <c r="L183" s="135">
        <v>0</v>
      </c>
      <c r="M183" s="133" t="s">
        <v>644</v>
      </c>
      <c r="N183" s="136">
        <v>0</v>
      </c>
      <c r="O183" s="136">
        <v>0</v>
      </c>
      <c r="P183" s="136">
        <v>0</v>
      </c>
      <c r="Q183" s="137">
        <v>695</v>
      </c>
      <c r="R183" s="133"/>
      <c r="S183" s="138">
        <v>45517.548611111109</v>
      </c>
      <c r="T183" s="133" t="s">
        <v>670</v>
      </c>
      <c r="U183" s="139" t="str">
        <f t="shared" si="16"/>
        <v>_driedflower_bulk_unknown</v>
      </c>
      <c r="V183" s="140" t="str">
        <f>IF(U183="_","",_xlfn.XLOOKUP(U183,internal_cansku_inventory!D:D,internal_cansku_inventory!E:E,"",0,1))</f>
        <v/>
      </c>
    </row>
    <row r="184" spans="1:22" ht="12.45" customHeight="1">
      <c r="A184" s="132">
        <v>224</v>
      </c>
      <c r="B184" s="132">
        <v>0</v>
      </c>
      <c r="C184" s="132" t="str">
        <f>Table1[[#This Row],[inventory_id_head]]&amp;"-"&amp;Table1[[#This Row],[inventory_id_tail]]</f>
        <v>224-0</v>
      </c>
      <c r="D184" s="133" t="s">
        <v>653</v>
      </c>
      <c r="E184" s="133" t="s">
        <v>940</v>
      </c>
      <c r="F184" s="133" t="s">
        <v>655</v>
      </c>
      <c r="G184" s="133" t="str">
        <f t="shared" si="19"/>
        <v>T015DFNA</v>
      </c>
      <c r="H184" s="133" t="s">
        <v>941</v>
      </c>
      <c r="I184" s="133"/>
      <c r="J184" s="133" t="s">
        <v>655</v>
      </c>
      <c r="K184" s="134" t="s">
        <v>655</v>
      </c>
      <c r="L184" s="135">
        <v>0</v>
      </c>
      <c r="M184" s="133" t="s">
        <v>644</v>
      </c>
      <c r="N184" s="136">
        <v>0</v>
      </c>
      <c r="O184" s="136">
        <v>0</v>
      </c>
      <c r="P184" s="136">
        <v>0</v>
      </c>
      <c r="Q184" s="137">
        <v>236</v>
      </c>
      <c r="R184" s="133"/>
      <c r="S184" s="138">
        <v>45517.548611111109</v>
      </c>
      <c r="T184" s="133" t="s">
        <v>670</v>
      </c>
      <c r="U184" s="139" t="str">
        <f t="shared" si="16"/>
        <v>_driedflower_bulk_unknown</v>
      </c>
      <c r="V184" s="140" t="str">
        <f>IF(U184="_","",_xlfn.XLOOKUP(U184,internal_cansku_inventory!D:D,internal_cansku_inventory!E:E,"",0,1))</f>
        <v/>
      </c>
    </row>
    <row r="185" spans="1:22" ht="12.45" customHeight="1">
      <c r="A185" s="132">
        <v>225</v>
      </c>
      <c r="B185" s="132">
        <v>0</v>
      </c>
      <c r="C185" s="132" t="str">
        <f>Table1[[#This Row],[inventory_id_head]]&amp;"-"&amp;Table1[[#This Row],[inventory_id_tail]]</f>
        <v>225-0</v>
      </c>
      <c r="D185" s="133" t="s">
        <v>653</v>
      </c>
      <c r="E185" s="133" t="s">
        <v>940</v>
      </c>
      <c r="F185" s="133" t="s">
        <v>655</v>
      </c>
      <c r="G185" s="133" t="str">
        <f t="shared" si="19"/>
        <v>T015DFNA</v>
      </c>
      <c r="H185" s="133" t="s">
        <v>941</v>
      </c>
      <c r="I185" s="133"/>
      <c r="J185" s="133" t="s">
        <v>655</v>
      </c>
      <c r="K185" s="134" t="s">
        <v>655</v>
      </c>
      <c r="L185" s="135">
        <v>0</v>
      </c>
      <c r="M185" s="133" t="s">
        <v>644</v>
      </c>
      <c r="N185" s="136">
        <v>0</v>
      </c>
      <c r="O185" s="136">
        <v>0</v>
      </c>
      <c r="P185" s="136">
        <v>0</v>
      </c>
      <c r="Q185" s="137">
        <v>275</v>
      </c>
      <c r="R185" s="133"/>
      <c r="S185" s="138">
        <v>45517.548611111109</v>
      </c>
      <c r="T185" s="133" t="s">
        <v>670</v>
      </c>
      <c r="U185" s="139" t="str">
        <f t="shared" si="16"/>
        <v>_driedflower_bulk_unknown</v>
      </c>
      <c r="V185" s="140" t="str">
        <f>IF(U185="_","",_xlfn.XLOOKUP(U185,internal_cansku_inventory!D:D,internal_cansku_inventory!E:E,"",0,1))</f>
        <v/>
      </c>
    </row>
    <row r="186" spans="1:22" ht="12.45" customHeight="1">
      <c r="A186" s="132">
        <v>226</v>
      </c>
      <c r="B186" s="132">
        <v>0</v>
      </c>
      <c r="C186" s="132" t="str">
        <f>Table1[[#This Row],[inventory_id_head]]&amp;"-"&amp;Table1[[#This Row],[inventory_id_tail]]</f>
        <v>226-0</v>
      </c>
      <c r="D186" s="133" t="s">
        <v>653</v>
      </c>
      <c r="E186" s="133" t="s">
        <v>940</v>
      </c>
      <c r="F186" s="133" t="s">
        <v>655</v>
      </c>
      <c r="G186" s="133" t="str">
        <f t="shared" si="19"/>
        <v>T015DFNA</v>
      </c>
      <c r="H186" s="133" t="s">
        <v>941</v>
      </c>
      <c r="I186" s="133"/>
      <c r="J186" s="133" t="s">
        <v>946</v>
      </c>
      <c r="K186" s="134" t="s">
        <v>655</v>
      </c>
      <c r="L186" s="135">
        <v>0</v>
      </c>
      <c r="M186" s="133" t="s">
        <v>644</v>
      </c>
      <c r="N186" s="136">
        <v>0</v>
      </c>
      <c r="O186" s="136">
        <v>0</v>
      </c>
      <c r="P186" s="136">
        <v>0</v>
      </c>
      <c r="Q186" s="137">
        <v>150</v>
      </c>
      <c r="R186" s="133"/>
      <c r="S186" s="138">
        <v>45517.548611111109</v>
      </c>
      <c r="T186" s="133" t="s">
        <v>670</v>
      </c>
      <c r="U186" s="139" t="str">
        <f t="shared" si="16"/>
        <v>_driedflower_bulk_unknown</v>
      </c>
      <c r="V186" s="140" t="str">
        <f>IF(U186="_","",_xlfn.XLOOKUP(U186,internal_cansku_inventory!D:D,internal_cansku_inventory!E:E,"",0,1))</f>
        <v/>
      </c>
    </row>
    <row r="187" spans="1:22" ht="12.45" customHeight="1">
      <c r="A187" s="132">
        <v>227</v>
      </c>
      <c r="B187" s="132">
        <v>0</v>
      </c>
      <c r="C187" s="132" t="str">
        <f>Table1[[#This Row],[inventory_id_head]]&amp;"-"&amp;Table1[[#This Row],[inventory_id_tail]]</f>
        <v>227-0</v>
      </c>
      <c r="D187" s="133" t="s">
        <v>653</v>
      </c>
      <c r="E187" s="133" t="s">
        <v>940</v>
      </c>
      <c r="F187" s="133" t="s">
        <v>655</v>
      </c>
      <c r="G187" s="133" t="str">
        <f t="shared" si="19"/>
        <v>T015DFNA</v>
      </c>
      <c r="H187" s="133" t="s">
        <v>941</v>
      </c>
      <c r="I187" s="133"/>
      <c r="J187" s="133">
        <v>2021030401</v>
      </c>
      <c r="K187" s="134" t="s">
        <v>655</v>
      </c>
      <c r="L187" s="135">
        <v>0</v>
      </c>
      <c r="M187" s="133" t="s">
        <v>644</v>
      </c>
      <c r="N187" s="136">
        <v>0</v>
      </c>
      <c r="O187" s="136">
        <v>0</v>
      </c>
      <c r="P187" s="136">
        <v>0</v>
      </c>
      <c r="Q187" s="137">
        <v>40</v>
      </c>
      <c r="R187" s="133"/>
      <c r="S187" s="138">
        <v>45517.548611111109</v>
      </c>
      <c r="T187" s="133" t="s">
        <v>670</v>
      </c>
      <c r="U187" s="139" t="str">
        <f t="shared" si="16"/>
        <v>_driedflower_bulk_unknown</v>
      </c>
      <c r="V187" s="140" t="str">
        <f>IF(U187="_","",_xlfn.XLOOKUP(U187,internal_cansku_inventory!D:D,internal_cansku_inventory!E:E,"",0,1))</f>
        <v/>
      </c>
    </row>
    <row r="188" spans="1:22" ht="12.45" customHeight="1">
      <c r="A188" s="132">
        <v>228</v>
      </c>
      <c r="B188" s="132">
        <v>0</v>
      </c>
      <c r="C188" s="132" t="str">
        <f>Table1[[#This Row],[inventory_id_head]]&amp;"-"&amp;Table1[[#This Row],[inventory_id_tail]]</f>
        <v>228-0</v>
      </c>
      <c r="D188" s="133" t="s">
        <v>653</v>
      </c>
      <c r="E188" s="133" t="s">
        <v>947</v>
      </c>
      <c r="F188" s="133" t="s">
        <v>655</v>
      </c>
      <c r="G188" s="133" t="str">
        <f t="shared" si="19"/>
        <v>T016DFNA</v>
      </c>
      <c r="H188" s="133" t="s">
        <v>944</v>
      </c>
      <c r="I188" s="133"/>
      <c r="J188" s="133" t="s">
        <v>948</v>
      </c>
      <c r="K188" s="134">
        <v>43861</v>
      </c>
      <c r="L188" s="135">
        <v>0</v>
      </c>
      <c r="M188" s="133" t="s">
        <v>644</v>
      </c>
      <c r="N188" s="136">
        <v>0</v>
      </c>
      <c r="O188" s="136">
        <v>0</v>
      </c>
      <c r="P188" s="136">
        <v>0</v>
      </c>
      <c r="Q188" s="137">
        <v>7105</v>
      </c>
      <c r="R188" s="133"/>
      <c r="S188" s="138">
        <v>45517.556944444441</v>
      </c>
      <c r="T188" s="133" t="s">
        <v>670</v>
      </c>
      <c r="U188" s="139" t="str">
        <f t="shared" si="16"/>
        <v>_driedflower_trim_unknown_inferior</v>
      </c>
      <c r="V188" s="140" t="str">
        <f>IF(U188="_","",_xlfn.XLOOKUP(U188,internal_cansku_inventory!D:D,internal_cansku_inventory!E:E,"",0,1))</f>
        <v/>
      </c>
    </row>
    <row r="189" spans="1:22" ht="12.45" customHeight="1">
      <c r="A189" s="132">
        <v>229</v>
      </c>
      <c r="B189" s="132">
        <v>0</v>
      </c>
      <c r="C189" s="132" t="str">
        <f>Table1[[#This Row],[inventory_id_head]]&amp;"-"&amp;Table1[[#This Row],[inventory_id_tail]]</f>
        <v>229-0</v>
      </c>
      <c r="D189" s="133" t="s">
        <v>653</v>
      </c>
      <c r="E189" s="133" t="s">
        <v>947</v>
      </c>
      <c r="F189" s="133" t="s">
        <v>655</v>
      </c>
      <c r="G189" s="133" t="str">
        <f t="shared" si="19"/>
        <v>T016DFNA</v>
      </c>
      <c r="H189" s="133" t="s">
        <v>944</v>
      </c>
      <c r="I189" s="133"/>
      <c r="J189" s="133" t="s">
        <v>655</v>
      </c>
      <c r="K189" s="134" t="s">
        <v>655</v>
      </c>
      <c r="L189" s="135">
        <v>0</v>
      </c>
      <c r="M189" s="133" t="s">
        <v>644</v>
      </c>
      <c r="N189" s="136">
        <v>0</v>
      </c>
      <c r="O189" s="136">
        <v>0</v>
      </c>
      <c r="P189" s="136">
        <v>0</v>
      </c>
      <c r="Q189" s="137">
        <v>8855</v>
      </c>
      <c r="R189" s="133"/>
      <c r="S189" s="138">
        <v>45517.556944444441</v>
      </c>
      <c r="T189" s="133" t="s">
        <v>670</v>
      </c>
      <c r="U189" s="139" t="str">
        <f t="shared" si="16"/>
        <v>_driedflower_trim_unknown_inferior</v>
      </c>
      <c r="V189" s="140" t="str">
        <f>IF(U189="_","",_xlfn.XLOOKUP(U189,internal_cansku_inventory!D:D,internal_cansku_inventory!E:E,"",0,1))</f>
        <v/>
      </c>
    </row>
    <row r="190" spans="1:22" ht="12.45" customHeight="1">
      <c r="A190" s="132">
        <v>230</v>
      </c>
      <c r="B190" s="132">
        <v>0</v>
      </c>
      <c r="C190" s="132" t="str">
        <f>Table1[[#This Row],[inventory_id_head]]&amp;"-"&amp;Table1[[#This Row],[inventory_id_tail]]</f>
        <v>230-0</v>
      </c>
      <c r="D190" s="133" t="s">
        <v>653</v>
      </c>
      <c r="E190" s="133" t="s">
        <v>947</v>
      </c>
      <c r="F190" s="133" t="s">
        <v>655</v>
      </c>
      <c r="G190" s="133" t="str">
        <f t="shared" si="19"/>
        <v>T016DFNA</v>
      </c>
      <c r="H190" s="133" t="s">
        <v>944</v>
      </c>
      <c r="I190" s="133"/>
      <c r="J190" s="133" t="s">
        <v>949</v>
      </c>
      <c r="K190" s="134">
        <v>43949</v>
      </c>
      <c r="L190" s="135">
        <v>0</v>
      </c>
      <c r="M190" s="133" t="s">
        <v>644</v>
      </c>
      <c r="N190" s="136">
        <v>0</v>
      </c>
      <c r="O190" s="136">
        <v>0</v>
      </c>
      <c r="P190" s="136">
        <v>0</v>
      </c>
      <c r="Q190" s="137">
        <v>2140</v>
      </c>
      <c r="R190" s="133"/>
      <c r="S190" s="138">
        <v>45517.556944444441</v>
      </c>
      <c r="T190" s="133" t="s">
        <v>670</v>
      </c>
      <c r="U190" s="139" t="str">
        <f t="shared" si="16"/>
        <v>_driedflower_trim_unknown_inferior</v>
      </c>
      <c r="V190" s="140" t="str">
        <f>IF(U190="_","",_xlfn.XLOOKUP(U190,internal_cansku_inventory!D:D,internal_cansku_inventory!E:E,"",0,1))</f>
        <v/>
      </c>
    </row>
    <row r="191" spans="1:22" ht="12.45" customHeight="1">
      <c r="A191" s="132">
        <v>231</v>
      </c>
      <c r="B191" s="132">
        <v>0</v>
      </c>
      <c r="C191" s="132" t="str">
        <f>Table1[[#This Row],[inventory_id_head]]&amp;"-"&amp;Table1[[#This Row],[inventory_id_tail]]</f>
        <v>231-0</v>
      </c>
      <c r="D191" s="133" t="s">
        <v>653</v>
      </c>
      <c r="E191" s="133" t="s">
        <v>947</v>
      </c>
      <c r="F191" s="133" t="s">
        <v>655</v>
      </c>
      <c r="G191" s="133" t="str">
        <f t="shared" si="19"/>
        <v>T016DFNA</v>
      </c>
      <c r="H191" s="133" t="s">
        <v>944</v>
      </c>
      <c r="I191" s="133"/>
      <c r="J191" s="133" t="s">
        <v>655</v>
      </c>
      <c r="K191" s="134">
        <v>45051</v>
      </c>
      <c r="L191" s="135">
        <v>0</v>
      </c>
      <c r="M191" s="133" t="s">
        <v>644</v>
      </c>
      <c r="N191" s="136">
        <v>0</v>
      </c>
      <c r="O191" s="136">
        <v>0</v>
      </c>
      <c r="P191" s="136">
        <v>0</v>
      </c>
      <c r="Q191" s="137">
        <v>100</v>
      </c>
      <c r="R191" s="133"/>
      <c r="S191" s="138">
        <v>45517.556944444441</v>
      </c>
      <c r="T191" s="133" t="s">
        <v>670</v>
      </c>
      <c r="U191" s="139" t="str">
        <f t="shared" si="16"/>
        <v>_driedflower_trim_unknown_inferior</v>
      </c>
      <c r="V191" s="140" t="str">
        <f>IF(U191="_","",_xlfn.XLOOKUP(U191,internal_cansku_inventory!D:D,internal_cansku_inventory!E:E,"",0,1))</f>
        <v/>
      </c>
    </row>
    <row r="192" spans="1:22" ht="12.45" customHeight="1">
      <c r="A192" s="132">
        <v>232</v>
      </c>
      <c r="B192" s="132">
        <v>0</v>
      </c>
      <c r="C192" s="132" t="str">
        <f>Table1[[#This Row],[inventory_id_head]]&amp;"-"&amp;Table1[[#This Row],[inventory_id_tail]]</f>
        <v>232-0</v>
      </c>
      <c r="D192" s="133" t="s">
        <v>653</v>
      </c>
      <c r="E192" s="133" t="s">
        <v>947</v>
      </c>
      <c r="F192" s="133" t="s">
        <v>655</v>
      </c>
      <c r="G192" s="133" t="str">
        <f t="shared" si="19"/>
        <v>T016DFNA</v>
      </c>
      <c r="H192" s="133" t="s">
        <v>944</v>
      </c>
      <c r="I192" s="133"/>
      <c r="J192" s="133">
        <v>2021022502</v>
      </c>
      <c r="K192" s="134">
        <v>44474</v>
      </c>
      <c r="L192" s="135">
        <v>0</v>
      </c>
      <c r="M192" s="133" t="s">
        <v>644</v>
      </c>
      <c r="N192" s="136">
        <v>0</v>
      </c>
      <c r="O192" s="136">
        <v>0</v>
      </c>
      <c r="P192" s="136">
        <v>0</v>
      </c>
      <c r="Q192" s="137">
        <v>24</v>
      </c>
      <c r="R192" s="133"/>
      <c r="S192" s="138">
        <v>45517.556944444441</v>
      </c>
      <c r="T192" s="133" t="s">
        <v>670</v>
      </c>
      <c r="U192" s="139" t="str">
        <f t="shared" si="16"/>
        <v>_driedflower_trim_unknown_inferior</v>
      </c>
      <c r="V192" s="140" t="str">
        <f>IF(U192="_","",_xlfn.XLOOKUP(U192,internal_cansku_inventory!D:D,internal_cansku_inventory!E:E,"",0,1))</f>
        <v/>
      </c>
    </row>
    <row r="193" spans="1:22" ht="12.45" customHeight="1">
      <c r="A193" s="132">
        <v>233</v>
      </c>
      <c r="B193" s="132">
        <v>0</v>
      </c>
      <c r="C193" s="132" t="str">
        <f>Table1[[#This Row],[inventory_id_head]]&amp;"-"&amp;Table1[[#This Row],[inventory_id_tail]]</f>
        <v>233-0</v>
      </c>
      <c r="D193" s="133" t="s">
        <v>653</v>
      </c>
      <c r="E193" s="133" t="s">
        <v>950</v>
      </c>
      <c r="F193" s="133" t="s">
        <v>655</v>
      </c>
      <c r="G193" s="133" t="str">
        <f t="shared" si="19"/>
        <v>T017DFNA</v>
      </c>
      <c r="H193" s="133" t="s">
        <v>944</v>
      </c>
      <c r="I193" s="133"/>
      <c r="J193" s="133" t="s">
        <v>655</v>
      </c>
      <c r="K193" s="134" t="s">
        <v>655</v>
      </c>
      <c r="L193" s="135">
        <v>0</v>
      </c>
      <c r="M193" s="133" t="s">
        <v>644</v>
      </c>
      <c r="N193" s="136">
        <v>0</v>
      </c>
      <c r="O193" s="136">
        <v>0</v>
      </c>
      <c r="P193" s="136">
        <v>0</v>
      </c>
      <c r="Q193" s="137">
        <v>11380</v>
      </c>
      <c r="R193" s="133"/>
      <c r="S193" s="138">
        <v>45517.567361111112</v>
      </c>
      <c r="T193" s="133" t="s">
        <v>670</v>
      </c>
      <c r="U193" s="139" t="str">
        <f t="shared" si="16"/>
        <v>_driedflower_trim_unknown_inferior</v>
      </c>
      <c r="V193" s="140" t="str">
        <f>IF(U193="_","",_xlfn.XLOOKUP(U193,internal_cansku_inventory!D:D,internal_cansku_inventory!E:E,"",0,1))</f>
        <v/>
      </c>
    </row>
    <row r="194" spans="1:22" ht="12.45" customHeight="1">
      <c r="A194" s="132">
        <v>234</v>
      </c>
      <c r="B194" s="132">
        <v>0</v>
      </c>
      <c r="C194" s="132" t="str">
        <f>Table1[[#This Row],[inventory_id_head]]&amp;"-"&amp;Table1[[#This Row],[inventory_id_tail]]</f>
        <v>234-0</v>
      </c>
      <c r="D194" s="133" t="s">
        <v>653</v>
      </c>
      <c r="E194" s="133" t="s">
        <v>951</v>
      </c>
      <c r="F194" s="133" t="s">
        <v>655</v>
      </c>
      <c r="G194" s="133" t="str">
        <f t="shared" si="19"/>
        <v>T018DFNA</v>
      </c>
      <c r="H194" s="133" t="s">
        <v>944</v>
      </c>
      <c r="I194" s="133"/>
      <c r="J194" s="133" t="s">
        <v>655</v>
      </c>
      <c r="K194" s="134" t="s">
        <v>655</v>
      </c>
      <c r="L194" s="135">
        <v>0</v>
      </c>
      <c r="M194" s="133" t="s">
        <v>644</v>
      </c>
      <c r="N194" s="136">
        <v>0</v>
      </c>
      <c r="O194" s="136">
        <v>0</v>
      </c>
      <c r="P194" s="136">
        <v>0</v>
      </c>
      <c r="Q194" s="137">
        <v>18195</v>
      </c>
      <c r="R194" s="133"/>
      <c r="S194" s="138">
        <v>45517.568055555559</v>
      </c>
      <c r="T194" s="133" t="s">
        <v>670</v>
      </c>
      <c r="U194" s="139" t="str">
        <f t="shared" ref="U194:U257" si="21">I194&amp;"_"&amp;H194</f>
        <v>_driedflower_trim_unknown_inferior</v>
      </c>
      <c r="V194" s="140" t="str">
        <f>IF(U194="_","",_xlfn.XLOOKUP(U194,internal_cansku_inventory!D:D,internal_cansku_inventory!E:E,"",0,1))</f>
        <v/>
      </c>
    </row>
    <row r="195" spans="1:22" ht="12.45" customHeight="1">
      <c r="A195" s="132">
        <v>235</v>
      </c>
      <c r="B195" s="132">
        <v>0</v>
      </c>
      <c r="C195" s="132" t="str">
        <f>Table1[[#This Row],[inventory_id_head]]&amp;"-"&amp;Table1[[#This Row],[inventory_id_tail]]</f>
        <v>235-0</v>
      </c>
      <c r="D195" s="133" t="s">
        <v>653</v>
      </c>
      <c r="E195" s="133" t="s">
        <v>952</v>
      </c>
      <c r="F195" s="133" t="s">
        <v>655</v>
      </c>
      <c r="G195" s="133" t="str">
        <f t="shared" si="19"/>
        <v>T019DFNA</v>
      </c>
      <c r="H195" s="133" t="s">
        <v>944</v>
      </c>
      <c r="I195" s="133"/>
      <c r="J195" s="133" t="s">
        <v>949</v>
      </c>
      <c r="K195" s="134">
        <v>43950</v>
      </c>
      <c r="L195" s="135">
        <v>0</v>
      </c>
      <c r="M195" s="133" t="s">
        <v>644</v>
      </c>
      <c r="N195" s="136">
        <v>0</v>
      </c>
      <c r="O195" s="136">
        <v>0</v>
      </c>
      <c r="P195" s="136">
        <v>0</v>
      </c>
      <c r="Q195" s="137">
        <v>5965</v>
      </c>
      <c r="R195" s="133"/>
      <c r="S195" s="138">
        <v>45517.570138888892</v>
      </c>
      <c r="T195" s="133" t="s">
        <v>670</v>
      </c>
      <c r="U195" s="139" t="str">
        <f t="shared" si="21"/>
        <v>_driedflower_trim_unknown_inferior</v>
      </c>
      <c r="V195" s="140" t="str">
        <f>IF(U195="_","",_xlfn.XLOOKUP(U195,internal_cansku_inventory!D:D,internal_cansku_inventory!E:E,"",0,1))</f>
        <v/>
      </c>
    </row>
    <row r="196" spans="1:22" ht="12.45" customHeight="1">
      <c r="A196" s="132">
        <v>236</v>
      </c>
      <c r="B196" s="132">
        <v>0</v>
      </c>
      <c r="C196" s="132" t="str">
        <f>Table1[[#This Row],[inventory_id_head]]&amp;"-"&amp;Table1[[#This Row],[inventory_id_tail]]</f>
        <v>236-0</v>
      </c>
      <c r="D196" s="133" t="s">
        <v>653</v>
      </c>
      <c r="E196" s="133" t="s">
        <v>952</v>
      </c>
      <c r="F196" s="133" t="s">
        <v>655</v>
      </c>
      <c r="G196" s="133" t="str">
        <f t="shared" si="19"/>
        <v>T019DFNA</v>
      </c>
      <c r="H196" s="133" t="s">
        <v>944</v>
      </c>
      <c r="I196" s="133"/>
      <c r="J196" s="133" t="s">
        <v>953</v>
      </c>
      <c r="K196" s="134"/>
      <c r="L196" s="135">
        <v>0</v>
      </c>
      <c r="M196" s="133" t="s">
        <v>644</v>
      </c>
      <c r="N196" s="136">
        <v>0</v>
      </c>
      <c r="O196" s="136">
        <v>0</v>
      </c>
      <c r="P196" s="136">
        <v>0</v>
      </c>
      <c r="Q196" s="137">
        <v>6665</v>
      </c>
      <c r="R196" s="133"/>
      <c r="S196" s="138">
        <v>45517.570138888892</v>
      </c>
      <c r="T196" s="133" t="s">
        <v>670</v>
      </c>
      <c r="U196" s="139" t="str">
        <f t="shared" si="21"/>
        <v>_driedflower_trim_unknown_inferior</v>
      </c>
      <c r="V196" s="140" t="str">
        <f>IF(U196="_","",_xlfn.XLOOKUP(U196,internal_cansku_inventory!D:D,internal_cansku_inventory!E:E,"",0,1))</f>
        <v/>
      </c>
    </row>
    <row r="197" spans="1:22" ht="12.45" customHeight="1">
      <c r="A197" s="132">
        <v>237</v>
      </c>
      <c r="B197" s="132">
        <v>0</v>
      </c>
      <c r="C197" s="132" t="str">
        <f>Table1[[#This Row],[inventory_id_head]]&amp;"-"&amp;Table1[[#This Row],[inventory_id_tail]]</f>
        <v>237-0</v>
      </c>
      <c r="D197" s="133" t="s">
        <v>653</v>
      </c>
      <c r="E197" s="133" t="s">
        <v>952</v>
      </c>
      <c r="F197" s="133" t="s">
        <v>655</v>
      </c>
      <c r="G197" s="133" t="str">
        <f t="shared" si="19"/>
        <v>T019DFNA</v>
      </c>
      <c r="H197" s="133" t="s">
        <v>944</v>
      </c>
      <c r="I197" s="133"/>
      <c r="J197" s="133" t="s">
        <v>942</v>
      </c>
      <c r="K197" s="134">
        <v>44466</v>
      </c>
      <c r="L197" s="135">
        <v>0</v>
      </c>
      <c r="M197" s="133" t="s">
        <v>644</v>
      </c>
      <c r="N197" s="136">
        <v>0</v>
      </c>
      <c r="O197" s="136">
        <v>0</v>
      </c>
      <c r="P197" s="136">
        <v>0</v>
      </c>
      <c r="Q197" s="137">
        <v>1920</v>
      </c>
      <c r="R197" s="133"/>
      <c r="S197" s="138">
        <v>45517.570138888892</v>
      </c>
      <c r="T197" s="133" t="s">
        <v>670</v>
      </c>
      <c r="U197" s="139" t="str">
        <f t="shared" si="21"/>
        <v>_driedflower_trim_unknown_inferior</v>
      </c>
      <c r="V197" s="140" t="str">
        <f>IF(U197="_","",_xlfn.XLOOKUP(U197,internal_cansku_inventory!D:D,internal_cansku_inventory!E:E,"",0,1))</f>
        <v/>
      </c>
    </row>
    <row r="198" spans="1:22" ht="12.45" customHeight="1">
      <c r="A198" s="132">
        <v>238</v>
      </c>
      <c r="B198" s="132">
        <v>0</v>
      </c>
      <c r="C198" s="132" t="str">
        <f>Table1[[#This Row],[inventory_id_head]]&amp;"-"&amp;Table1[[#This Row],[inventory_id_tail]]</f>
        <v>238-0</v>
      </c>
      <c r="D198" s="133" t="s">
        <v>653</v>
      </c>
      <c r="E198" s="133" t="s">
        <v>952</v>
      </c>
      <c r="F198" s="133" t="s">
        <v>655</v>
      </c>
      <c r="G198" s="133" t="str">
        <f t="shared" si="19"/>
        <v>T019DFNA</v>
      </c>
      <c r="H198" s="133" t="s">
        <v>944</v>
      </c>
      <c r="I198" s="133"/>
      <c r="J198" s="133" t="s">
        <v>655</v>
      </c>
      <c r="K198" s="134"/>
      <c r="L198" s="135">
        <v>0</v>
      </c>
      <c r="M198" s="133" t="s">
        <v>644</v>
      </c>
      <c r="N198" s="136">
        <v>0</v>
      </c>
      <c r="O198" s="136">
        <v>0</v>
      </c>
      <c r="P198" s="136">
        <v>0</v>
      </c>
      <c r="Q198" s="137">
        <v>645</v>
      </c>
      <c r="R198" s="133"/>
      <c r="S198" s="138">
        <v>45517.570138888892</v>
      </c>
      <c r="T198" s="133" t="s">
        <v>670</v>
      </c>
      <c r="U198" s="139" t="str">
        <f t="shared" si="21"/>
        <v>_driedflower_trim_unknown_inferior</v>
      </c>
      <c r="V198" s="140" t="str">
        <f>IF(U198="_","",_xlfn.XLOOKUP(U198,internal_cansku_inventory!D:D,internal_cansku_inventory!E:E,"",0,1))</f>
        <v/>
      </c>
    </row>
    <row r="199" spans="1:22" ht="12.45" customHeight="1">
      <c r="A199" s="132">
        <v>239</v>
      </c>
      <c r="B199" s="132">
        <v>0</v>
      </c>
      <c r="C199" s="132" t="str">
        <f>Table1[[#This Row],[inventory_id_head]]&amp;"-"&amp;Table1[[#This Row],[inventory_id_tail]]</f>
        <v>239-0</v>
      </c>
      <c r="D199" s="133" t="s">
        <v>653</v>
      </c>
      <c r="E199" s="133" t="s">
        <v>952</v>
      </c>
      <c r="F199" s="133" t="s">
        <v>655</v>
      </c>
      <c r="G199" s="133" t="str">
        <f t="shared" si="19"/>
        <v>T019DFNA</v>
      </c>
      <c r="H199" s="133" t="s">
        <v>944</v>
      </c>
      <c r="I199" s="133"/>
      <c r="J199" s="133" t="s">
        <v>948</v>
      </c>
      <c r="K199" s="134">
        <v>43861</v>
      </c>
      <c r="L199" s="135">
        <v>0</v>
      </c>
      <c r="M199" s="133" t="s">
        <v>644</v>
      </c>
      <c r="N199" s="136">
        <v>0</v>
      </c>
      <c r="O199" s="136">
        <v>0</v>
      </c>
      <c r="P199" s="136">
        <v>0</v>
      </c>
      <c r="Q199" s="137">
        <v>1030</v>
      </c>
      <c r="R199" s="133"/>
      <c r="S199" s="138">
        <v>45517.570138888892</v>
      </c>
      <c r="T199" s="133" t="s">
        <v>670</v>
      </c>
      <c r="U199" s="139" t="str">
        <f t="shared" si="21"/>
        <v>_driedflower_trim_unknown_inferior</v>
      </c>
      <c r="V199" s="140" t="str">
        <f>IF(U199="_","",_xlfn.XLOOKUP(U199,internal_cansku_inventory!D:D,internal_cansku_inventory!E:E,"",0,1))</f>
        <v/>
      </c>
    </row>
    <row r="200" spans="1:22" ht="12.45" customHeight="1">
      <c r="A200" s="132">
        <v>240</v>
      </c>
      <c r="B200" s="132">
        <v>0</v>
      </c>
      <c r="C200" s="132" t="str">
        <f>Table1[[#This Row],[inventory_id_head]]&amp;"-"&amp;Table1[[#This Row],[inventory_id_tail]]</f>
        <v>240-0</v>
      </c>
      <c r="D200" s="133" t="s">
        <v>653</v>
      </c>
      <c r="E200" s="133" t="s">
        <v>952</v>
      </c>
      <c r="F200" s="133" t="s">
        <v>655</v>
      </c>
      <c r="G200" s="133" t="str">
        <f t="shared" si="19"/>
        <v>T019DFNA</v>
      </c>
      <c r="H200" s="133" t="s">
        <v>944</v>
      </c>
      <c r="I200" s="133"/>
      <c r="J200" s="133" t="s">
        <v>655</v>
      </c>
      <c r="K200" s="134"/>
      <c r="L200" s="135">
        <v>0</v>
      </c>
      <c r="M200" s="133" t="s">
        <v>644</v>
      </c>
      <c r="N200" s="136">
        <v>0</v>
      </c>
      <c r="O200" s="136">
        <v>0</v>
      </c>
      <c r="P200" s="136">
        <v>0</v>
      </c>
      <c r="Q200" s="137">
        <v>430</v>
      </c>
      <c r="R200" s="133"/>
      <c r="S200" s="138">
        <v>45517.570138888892</v>
      </c>
      <c r="T200" s="133" t="s">
        <v>670</v>
      </c>
      <c r="U200" s="139" t="str">
        <f t="shared" si="21"/>
        <v>_driedflower_trim_unknown_inferior</v>
      </c>
      <c r="V200" s="140" t="str">
        <f>IF(U200="_","",_xlfn.XLOOKUP(U200,internal_cansku_inventory!D:D,internal_cansku_inventory!E:E,"",0,1))</f>
        <v/>
      </c>
    </row>
    <row r="201" spans="1:22" ht="12.45" customHeight="1">
      <c r="A201" s="132">
        <v>241</v>
      </c>
      <c r="B201" s="132">
        <v>0</v>
      </c>
      <c r="C201" s="132" t="str">
        <f>Table1[[#This Row],[inventory_id_head]]&amp;"-"&amp;Table1[[#This Row],[inventory_id_tail]]</f>
        <v>241-0</v>
      </c>
      <c r="D201" s="133" t="s">
        <v>653</v>
      </c>
      <c r="E201" s="133" t="s">
        <v>954</v>
      </c>
      <c r="F201" s="133" t="s">
        <v>655</v>
      </c>
      <c r="G201" s="133" t="str">
        <f t="shared" ref="G201:G210" si="22">E201&amp;F201</f>
        <v>T020DFNA</v>
      </c>
      <c r="H201" s="133" t="s">
        <v>941</v>
      </c>
      <c r="I201" s="133"/>
      <c r="J201" s="133">
        <v>96</v>
      </c>
      <c r="K201" s="134">
        <v>44032</v>
      </c>
      <c r="L201" s="135">
        <v>0</v>
      </c>
      <c r="M201" s="133" t="s">
        <v>644</v>
      </c>
      <c r="N201" s="136">
        <v>0</v>
      </c>
      <c r="O201" s="136">
        <v>0</v>
      </c>
      <c r="P201" s="136">
        <v>0</v>
      </c>
      <c r="Q201" s="137">
        <v>8910</v>
      </c>
      <c r="R201" s="133"/>
      <c r="S201" s="138">
        <v>45517.576388888891</v>
      </c>
      <c r="T201" s="133" t="s">
        <v>670</v>
      </c>
      <c r="U201" s="139" t="str">
        <f t="shared" si="21"/>
        <v>_driedflower_bulk_unknown</v>
      </c>
      <c r="V201" s="140" t="str">
        <f>IF(U201="_","",_xlfn.XLOOKUP(U201,internal_cansku_inventory!D:D,internal_cansku_inventory!E:E,"",0,1))</f>
        <v/>
      </c>
    </row>
    <row r="202" spans="1:22" ht="12.45" customHeight="1">
      <c r="A202" s="132">
        <v>242</v>
      </c>
      <c r="B202" s="132">
        <v>0</v>
      </c>
      <c r="C202" s="132" t="str">
        <f>Table1[[#This Row],[inventory_id_head]]&amp;"-"&amp;Table1[[#This Row],[inventory_id_tail]]</f>
        <v>242-0</v>
      </c>
      <c r="D202" s="133" t="s">
        <v>653</v>
      </c>
      <c r="E202" s="133" t="s">
        <v>955</v>
      </c>
      <c r="F202" s="133" t="s">
        <v>655</v>
      </c>
      <c r="G202" s="133" t="str">
        <f t="shared" si="22"/>
        <v>T021DFNA</v>
      </c>
      <c r="H202" s="133" t="s">
        <v>956</v>
      </c>
      <c r="I202" s="133"/>
      <c r="J202" s="133" t="s">
        <v>957</v>
      </c>
      <c r="K202" s="134">
        <v>44646</v>
      </c>
      <c r="L202" s="135">
        <v>128</v>
      </c>
      <c r="M202" s="133" t="s">
        <v>858</v>
      </c>
      <c r="N202" s="136">
        <v>3.5</v>
      </c>
      <c r="O202" s="136">
        <v>0</v>
      </c>
      <c r="P202" s="136">
        <v>0</v>
      </c>
      <c r="Q202" s="137">
        <f t="shared" ref="Q202:Q210" si="23">L202*N202</f>
        <v>448</v>
      </c>
      <c r="R202" s="133" t="s">
        <v>923</v>
      </c>
      <c r="S202" s="138">
        <v>45517.630555555559</v>
      </c>
      <c r="T202" s="133" t="s">
        <v>670</v>
      </c>
      <c r="U202" s="139" t="str">
        <f t="shared" si="21"/>
        <v>_driedflower_labelled_RTV</v>
      </c>
      <c r="V202" s="140" t="str">
        <f>IF(U202="_","",_xlfn.XLOOKUP(U202,internal_cansku_inventory!D:D,internal_cansku_inventory!E:E,"",0,1))</f>
        <v/>
      </c>
    </row>
    <row r="203" spans="1:22" ht="12.45" customHeight="1">
      <c r="A203" s="132">
        <v>243</v>
      </c>
      <c r="B203" s="132">
        <v>0</v>
      </c>
      <c r="C203" s="132" t="str">
        <f>Table1[[#This Row],[inventory_id_head]]&amp;"-"&amp;Table1[[#This Row],[inventory_id_tail]]</f>
        <v>243-0</v>
      </c>
      <c r="D203" s="133" t="s">
        <v>653</v>
      </c>
      <c r="E203" s="133" t="s">
        <v>958</v>
      </c>
      <c r="F203" s="133" t="s">
        <v>655</v>
      </c>
      <c r="G203" s="133" t="str">
        <f t="shared" si="22"/>
        <v>T022DFNA</v>
      </c>
      <c r="H203" s="133" t="s">
        <v>956</v>
      </c>
      <c r="I203" s="133"/>
      <c r="J203" s="133" t="s">
        <v>957</v>
      </c>
      <c r="K203" s="134">
        <v>45447</v>
      </c>
      <c r="L203" s="135">
        <v>26</v>
      </c>
      <c r="M203" s="133" t="s">
        <v>858</v>
      </c>
      <c r="N203" s="136">
        <v>3.5</v>
      </c>
      <c r="O203" s="136">
        <v>0</v>
      </c>
      <c r="P203" s="136">
        <v>0</v>
      </c>
      <c r="Q203" s="137">
        <f t="shared" si="23"/>
        <v>91</v>
      </c>
      <c r="R203" s="133" t="s">
        <v>923</v>
      </c>
      <c r="S203" s="138">
        <v>45517.630555555559</v>
      </c>
      <c r="T203" s="133" t="s">
        <v>670</v>
      </c>
      <c r="U203" s="139" t="str">
        <f t="shared" si="21"/>
        <v>_driedflower_labelled_RTV</v>
      </c>
      <c r="V203" s="140" t="str">
        <f>IF(U203="_","",_xlfn.XLOOKUP(U203,internal_cansku_inventory!D:D,internal_cansku_inventory!E:E,"",0,1))</f>
        <v/>
      </c>
    </row>
    <row r="204" spans="1:22" ht="12.45" customHeight="1">
      <c r="A204" s="132">
        <v>244</v>
      </c>
      <c r="B204" s="132">
        <v>0</v>
      </c>
      <c r="C204" s="132" t="str">
        <f>Table1[[#This Row],[inventory_id_head]]&amp;"-"&amp;Table1[[#This Row],[inventory_id_tail]]</f>
        <v>244-0</v>
      </c>
      <c r="D204" s="133" t="s">
        <v>653</v>
      </c>
      <c r="E204" s="133" t="s">
        <v>959</v>
      </c>
      <c r="F204" s="133" t="s">
        <v>655</v>
      </c>
      <c r="G204" s="133" t="str">
        <f t="shared" si="22"/>
        <v>T023DFNA</v>
      </c>
      <c r="H204" s="133" t="s">
        <v>956</v>
      </c>
      <c r="I204" s="133"/>
      <c r="J204" s="133" t="s">
        <v>957</v>
      </c>
      <c r="K204" s="134">
        <v>44646</v>
      </c>
      <c r="L204" s="135">
        <v>250</v>
      </c>
      <c r="M204" s="133" t="s">
        <v>858</v>
      </c>
      <c r="N204" s="136">
        <v>3.5</v>
      </c>
      <c r="O204" s="136">
        <v>0</v>
      </c>
      <c r="P204" s="136">
        <v>0</v>
      </c>
      <c r="Q204" s="137">
        <f t="shared" si="23"/>
        <v>875</v>
      </c>
      <c r="R204" s="133" t="s">
        <v>923</v>
      </c>
      <c r="S204" s="138">
        <v>45517.630555555559</v>
      </c>
      <c r="T204" s="133" t="s">
        <v>670</v>
      </c>
      <c r="U204" s="139" t="str">
        <f t="shared" si="21"/>
        <v>_driedflower_labelled_RTV</v>
      </c>
      <c r="V204" s="140" t="str">
        <f>IF(U204="_","",_xlfn.XLOOKUP(U204,internal_cansku_inventory!D:D,internal_cansku_inventory!E:E,"",0,1))</f>
        <v/>
      </c>
    </row>
    <row r="205" spans="1:22" ht="12.45" customHeight="1">
      <c r="A205" s="132">
        <v>245</v>
      </c>
      <c r="B205" s="132">
        <v>0</v>
      </c>
      <c r="C205" s="132" t="str">
        <f>Table1[[#This Row],[inventory_id_head]]&amp;"-"&amp;Table1[[#This Row],[inventory_id_tail]]</f>
        <v>245-0</v>
      </c>
      <c r="D205" s="133" t="s">
        <v>680</v>
      </c>
      <c r="E205" s="133" t="s">
        <v>960</v>
      </c>
      <c r="F205" s="133" t="s">
        <v>655</v>
      </c>
      <c r="G205" s="133" t="str">
        <f t="shared" si="22"/>
        <v>J003EXNA</v>
      </c>
      <c r="H205" s="133" t="s">
        <v>358</v>
      </c>
      <c r="I205" s="133"/>
      <c r="J205" s="133">
        <v>2024030601</v>
      </c>
      <c r="K205" s="134">
        <v>45296</v>
      </c>
      <c r="L205" s="135">
        <v>1</v>
      </c>
      <c r="M205" s="133" t="s">
        <v>961</v>
      </c>
      <c r="N205" s="136">
        <f>O205-P205</f>
        <v>77.8</v>
      </c>
      <c r="O205" s="136">
        <v>123.6</v>
      </c>
      <c r="P205" s="136">
        <v>45.8</v>
      </c>
      <c r="Q205" s="137">
        <f t="shared" si="23"/>
        <v>77.8</v>
      </c>
      <c r="R205" s="133"/>
      <c r="S205" s="138">
        <v>45519.48333333333</v>
      </c>
      <c r="T205" s="133" t="s">
        <v>664</v>
      </c>
      <c r="U205" s="139" t="str">
        <f t="shared" si="21"/>
        <v>_extract_inhaled_bulk</v>
      </c>
      <c r="V205" s="140" t="str">
        <f>IF(U205="_","",_xlfn.XLOOKUP(U205,internal_cansku_inventory!D:D,internal_cansku_inventory!E:E,"",0,1))</f>
        <v/>
      </c>
    </row>
    <row r="206" spans="1:22" ht="12.45" customHeight="1">
      <c r="A206" s="132">
        <v>247</v>
      </c>
      <c r="B206" s="132">
        <v>0</v>
      </c>
      <c r="C206" s="132" t="str">
        <f>Table1[[#This Row],[inventory_id_head]]&amp;"-"&amp;Table1[[#This Row],[inventory_id_tail]]</f>
        <v>247-0</v>
      </c>
      <c r="D206" s="133" t="s">
        <v>680</v>
      </c>
      <c r="E206" s="133" t="s">
        <v>962</v>
      </c>
      <c r="F206" s="133" t="s">
        <v>655</v>
      </c>
      <c r="G206" s="133" t="str">
        <f t="shared" si="22"/>
        <v>J005EXNA</v>
      </c>
      <c r="H206" s="133" t="s">
        <v>963</v>
      </c>
      <c r="I206" s="133"/>
      <c r="J206" s="133">
        <v>2022082401</v>
      </c>
      <c r="K206" s="134" t="s">
        <v>655</v>
      </c>
      <c r="L206" s="135">
        <v>1</v>
      </c>
      <c r="M206" s="133" t="s">
        <v>961</v>
      </c>
      <c r="N206" s="136">
        <f>Table1[[#This Row],[gross_weight]]-Table1[[#This Row],[tare_weight]]</f>
        <v>156</v>
      </c>
      <c r="O206" s="136">
        <v>641</v>
      </c>
      <c r="P206" s="136">
        <v>485</v>
      </c>
      <c r="Q206" s="137">
        <f t="shared" si="23"/>
        <v>156</v>
      </c>
      <c r="R206" s="133"/>
      <c r="S206" s="138">
        <v>45519.48333333333</v>
      </c>
      <c r="T206" s="133" t="s">
        <v>664</v>
      </c>
      <c r="U206" s="139" t="str">
        <f t="shared" si="21"/>
        <v>_extract_distillate_bulk</v>
      </c>
      <c r="V206" s="140" t="str">
        <f>IF(U206="_","",_xlfn.XLOOKUP(U206,internal_cansku_inventory!D:D,internal_cansku_inventory!E:E,"",0,1))</f>
        <v/>
      </c>
    </row>
    <row r="207" spans="1:22" ht="12.45" customHeight="1">
      <c r="A207" s="132">
        <v>147</v>
      </c>
      <c r="B207" s="132">
        <v>0</v>
      </c>
      <c r="C207" s="132" t="str">
        <f>Table1[[#This Row],[inventory_id_head]]&amp;"-"&amp;Table1[[#This Row],[inventory_id_tail]]</f>
        <v>147-0</v>
      </c>
      <c r="D207" s="133" t="s">
        <v>653</v>
      </c>
      <c r="E207" s="133" t="s">
        <v>865</v>
      </c>
      <c r="F207" s="133" t="s">
        <v>655</v>
      </c>
      <c r="G207" s="133" t="str">
        <f t="shared" si="22"/>
        <v>T030PRNA</v>
      </c>
      <c r="H207" s="133" t="s">
        <v>813</v>
      </c>
      <c r="I207" s="133"/>
      <c r="J207" s="133" t="s">
        <v>964</v>
      </c>
      <c r="K207" s="134">
        <v>45432</v>
      </c>
      <c r="L207" s="135">
        <v>8</v>
      </c>
      <c r="M207" s="133" t="s">
        <v>858</v>
      </c>
      <c r="N207" s="136">
        <v>1.5</v>
      </c>
      <c r="O207" s="136">
        <v>0</v>
      </c>
      <c r="P207" s="136">
        <v>0</v>
      </c>
      <c r="Q207" s="137">
        <f t="shared" si="23"/>
        <v>12</v>
      </c>
      <c r="R207" s="133"/>
      <c r="S207" s="138">
        <v>45523.606249999997</v>
      </c>
      <c r="T207" s="133" t="s">
        <v>670</v>
      </c>
      <c r="U207" s="139" t="str">
        <f t="shared" si="21"/>
        <v>_preroll_labelled</v>
      </c>
      <c r="V207" s="140" t="str">
        <f>IF(U207="_","",_xlfn.XLOOKUP(U207,internal_cansku_inventory!D:D,internal_cansku_inventory!E:E,"",0,1))</f>
        <v/>
      </c>
    </row>
    <row r="208" spans="1:22" ht="12.45" customHeight="1">
      <c r="A208" s="132">
        <v>1</v>
      </c>
      <c r="B208" s="132">
        <v>0</v>
      </c>
      <c r="C208" s="132" t="str">
        <f>Table1[[#This Row],[inventory_id_head]]&amp;"-"&amp;Table1[[#This Row],[inventory_id_tail]]</f>
        <v>1-0</v>
      </c>
      <c r="D208" s="133" t="s">
        <v>653</v>
      </c>
      <c r="E208" s="133" t="s">
        <v>965</v>
      </c>
      <c r="F208" s="133" t="s">
        <v>55</v>
      </c>
      <c r="G208" s="133" t="str">
        <f t="shared" si="22"/>
        <v>T001BSNA</v>
      </c>
      <c r="H208" s="133" t="s">
        <v>851</v>
      </c>
      <c r="I208" s="133"/>
      <c r="J208" s="133" t="s">
        <v>775</v>
      </c>
      <c r="K208" s="134">
        <v>45467</v>
      </c>
      <c r="L208" s="135">
        <v>44</v>
      </c>
      <c r="M208" s="133" t="s">
        <v>695</v>
      </c>
      <c r="N208" s="136">
        <v>180</v>
      </c>
      <c r="O208" s="136">
        <v>0</v>
      </c>
      <c r="P208" s="136">
        <v>0</v>
      </c>
      <c r="Q208" s="137">
        <f t="shared" si="23"/>
        <v>7920</v>
      </c>
      <c r="R208" s="133"/>
      <c r="S208" s="138">
        <v>45523.622916666667</v>
      </c>
      <c r="T208" s="133" t="s">
        <v>670</v>
      </c>
      <c r="U208" s="139" t="str">
        <f t="shared" si="21"/>
        <v>_topical_labelled</v>
      </c>
      <c r="V208" s="140" t="str">
        <f>IF(U208="_","",_xlfn.XLOOKUP(U208,internal_cansku_inventory!D:D,internal_cansku_inventory!E:E,"",0,1))</f>
        <v/>
      </c>
    </row>
    <row r="209" spans="1:22" ht="12.45" customHeight="1">
      <c r="A209" s="132">
        <v>251</v>
      </c>
      <c r="B209" s="132">
        <v>0</v>
      </c>
      <c r="C209" s="132" t="str">
        <f>Table1[[#This Row],[inventory_id_head]]&amp;"-"&amp;Table1[[#This Row],[inventory_id_tail]]</f>
        <v>251-0</v>
      </c>
      <c r="D209" s="133" t="s">
        <v>680</v>
      </c>
      <c r="E209" s="133" t="s">
        <v>966</v>
      </c>
      <c r="F209" s="133" t="s">
        <v>655</v>
      </c>
      <c r="G209" s="133" t="str">
        <f t="shared" si="22"/>
        <v>J009EXNA</v>
      </c>
      <c r="H209" s="133" t="s">
        <v>358</v>
      </c>
      <c r="I209" s="133"/>
      <c r="J209" s="133">
        <v>2024050601</v>
      </c>
      <c r="K209" s="134" t="s">
        <v>655</v>
      </c>
      <c r="L209" s="135">
        <v>1</v>
      </c>
      <c r="M209" s="133" t="s">
        <v>967</v>
      </c>
      <c r="N209" s="136">
        <f>O209-P209</f>
        <v>28.599999999999994</v>
      </c>
      <c r="O209" s="136">
        <v>105.6</v>
      </c>
      <c r="P209" s="136">
        <v>77</v>
      </c>
      <c r="Q209" s="137">
        <f t="shared" si="23"/>
        <v>28.599999999999994</v>
      </c>
      <c r="R209" s="133"/>
      <c r="S209" s="138">
        <v>45524.615972222222</v>
      </c>
      <c r="T209" s="133" t="s">
        <v>664</v>
      </c>
      <c r="U209" s="139" t="str">
        <f t="shared" si="21"/>
        <v>_extract_inhaled_bulk</v>
      </c>
      <c r="V209" s="140" t="str">
        <f>IF(U209="_","",_xlfn.XLOOKUP(U209,internal_cansku_inventory!D:D,internal_cansku_inventory!E:E,"",0,1))</f>
        <v/>
      </c>
    </row>
    <row r="210" spans="1:22" ht="12.45" customHeight="1">
      <c r="A210" s="132">
        <v>252</v>
      </c>
      <c r="B210" s="132">
        <v>0</v>
      </c>
      <c r="C210" s="132" t="str">
        <f>Table1[[#This Row],[inventory_id_head]]&amp;"-"&amp;Table1[[#This Row],[inventory_id_tail]]</f>
        <v>252-0</v>
      </c>
      <c r="D210" s="133" t="s">
        <v>680</v>
      </c>
      <c r="E210" s="133" t="s">
        <v>968</v>
      </c>
      <c r="F210" s="133" t="s">
        <v>655</v>
      </c>
      <c r="G210" s="133" t="str">
        <f t="shared" si="22"/>
        <v>J010EXNA</v>
      </c>
      <c r="H210" s="133" t="s">
        <v>963</v>
      </c>
      <c r="I210" s="133"/>
      <c r="J210" s="133">
        <v>2024022201</v>
      </c>
      <c r="K210" s="134" t="s">
        <v>655</v>
      </c>
      <c r="L210" s="135">
        <v>1</v>
      </c>
      <c r="M210" s="133" t="s">
        <v>967</v>
      </c>
      <c r="N210" s="136">
        <f>O210-P210</f>
        <v>38.320000000000007</v>
      </c>
      <c r="O210" s="136">
        <v>117.51</v>
      </c>
      <c r="P210" s="136">
        <v>79.19</v>
      </c>
      <c r="Q210" s="137">
        <f t="shared" si="23"/>
        <v>38.320000000000007</v>
      </c>
      <c r="R210" s="133" t="s">
        <v>969</v>
      </c>
      <c r="S210" s="138">
        <v>45524.615972222222</v>
      </c>
      <c r="T210" s="133" t="s">
        <v>664</v>
      </c>
      <c r="U210" s="139" t="str">
        <f t="shared" si="21"/>
        <v>_extract_distillate_bulk</v>
      </c>
      <c r="V210" s="140" t="str">
        <f>IF(U210="_","",_xlfn.XLOOKUP(U210,internal_cansku_inventory!D:D,internal_cansku_inventory!E:E,"",0,1))</f>
        <v/>
      </c>
    </row>
    <row r="211" spans="1:22" ht="12.45" customHeight="1">
      <c r="A211" s="132">
        <v>254</v>
      </c>
      <c r="B211" s="132">
        <v>0</v>
      </c>
      <c r="C211" s="132" t="str">
        <f>Table1[[#This Row],[inventory_id_head]]&amp;"-"&amp;Table1[[#This Row],[inventory_id_tail]]</f>
        <v>254-0</v>
      </c>
      <c r="D211" s="133" t="s">
        <v>680</v>
      </c>
      <c r="E211" s="133" t="s">
        <v>55</v>
      </c>
      <c r="F211" s="133" t="s">
        <v>55</v>
      </c>
      <c r="G211" s="133" t="s">
        <v>970</v>
      </c>
      <c r="H211" s="133" t="s">
        <v>861</v>
      </c>
      <c r="I211" s="133"/>
      <c r="J211" s="133" t="s">
        <v>971</v>
      </c>
      <c r="K211" s="134">
        <v>45467</v>
      </c>
      <c r="L211" s="135">
        <v>12</v>
      </c>
      <c r="M211" s="133" t="s">
        <v>644</v>
      </c>
      <c r="N211" s="136">
        <v>27.3</v>
      </c>
      <c r="O211" s="136">
        <v>0</v>
      </c>
      <c r="P211" s="136">
        <v>0</v>
      </c>
      <c r="Q211" s="137">
        <v>224</v>
      </c>
      <c r="R211" s="133"/>
      <c r="S211" s="138">
        <v>45526.594444444447</v>
      </c>
      <c r="T211" s="133" t="s">
        <v>657</v>
      </c>
      <c r="U211" s="139" t="str">
        <f t="shared" si="21"/>
        <v>_extract_ingested_labelled</v>
      </c>
      <c r="V211" s="140" t="str">
        <f>IF(U211="_","",_xlfn.XLOOKUP(U211,internal_cansku_inventory!D:D,internal_cansku_inventory!E:E,"",0,1))</f>
        <v/>
      </c>
    </row>
    <row r="212" spans="1:22" ht="12.45" customHeight="1">
      <c r="A212" s="132">
        <v>104</v>
      </c>
      <c r="B212" s="132">
        <v>0</v>
      </c>
      <c r="C212" s="132" t="str">
        <f>Table1[[#This Row],[inventory_id_head]]&amp;"-"&amp;Table1[[#This Row],[inventory_id_tail]]</f>
        <v>104-0</v>
      </c>
      <c r="D212" s="133" t="s">
        <v>653</v>
      </c>
      <c r="E212" s="133" t="s">
        <v>972</v>
      </c>
      <c r="F212" s="133" t="s">
        <v>55</v>
      </c>
      <c r="G212" s="133" t="str">
        <f t="shared" ref="G212:G243" si="24">E212&amp;F212</f>
        <v>T001PRNA</v>
      </c>
      <c r="H212" s="133" t="s">
        <v>813</v>
      </c>
      <c r="I212" s="133"/>
      <c r="J212" s="133" t="s">
        <v>828</v>
      </c>
      <c r="K212" s="134">
        <v>44888</v>
      </c>
      <c r="L212" s="135">
        <v>144</v>
      </c>
      <c r="M212" s="133" t="s">
        <v>644</v>
      </c>
      <c r="N212" s="136">
        <v>1</v>
      </c>
      <c r="O212" s="136">
        <v>0</v>
      </c>
      <c r="P212" s="136">
        <v>0</v>
      </c>
      <c r="Q212" s="137">
        <f t="shared" ref="Q212:Q243" si="25">L212*N212</f>
        <v>144</v>
      </c>
      <c r="R212" s="133" t="s">
        <v>973</v>
      </c>
      <c r="S212" s="138">
        <v>45527.47152777778</v>
      </c>
      <c r="T212" s="133" t="s">
        <v>670</v>
      </c>
      <c r="U212" s="139" t="str">
        <f t="shared" si="21"/>
        <v>_preroll_labelled</v>
      </c>
      <c r="V212" s="140" t="str">
        <f>IF(U212="_","",_xlfn.XLOOKUP(U212,internal_cansku_inventory!D:D,internal_cansku_inventory!E:E,"",0,1))</f>
        <v/>
      </c>
    </row>
    <row r="213" spans="1:22" ht="12.45" customHeight="1">
      <c r="A213" s="132">
        <v>255</v>
      </c>
      <c r="B213" s="132">
        <v>0</v>
      </c>
      <c r="C213" s="132" t="str">
        <f>Table1[[#This Row],[inventory_id_head]]&amp;"-"&amp;Table1[[#This Row],[inventory_id_tail]]</f>
        <v>255-0</v>
      </c>
      <c r="D213" s="133" t="s">
        <v>680</v>
      </c>
      <c r="E213" s="133" t="s">
        <v>974</v>
      </c>
      <c r="F213" s="133" t="s">
        <v>655</v>
      </c>
      <c r="G213" s="133" t="str">
        <f t="shared" si="24"/>
        <v>T020EXNA</v>
      </c>
      <c r="H213" s="133" t="s">
        <v>861</v>
      </c>
      <c r="I213" s="133"/>
      <c r="J213" s="133" t="s">
        <v>975</v>
      </c>
      <c r="K213" s="134">
        <v>45523</v>
      </c>
      <c r="L213" s="135">
        <v>154</v>
      </c>
      <c r="M213" s="133" t="s">
        <v>644</v>
      </c>
      <c r="N213" s="136">
        <v>151</v>
      </c>
      <c r="O213" s="136">
        <v>0</v>
      </c>
      <c r="P213" s="136">
        <v>0</v>
      </c>
      <c r="Q213" s="137">
        <f t="shared" si="25"/>
        <v>23254</v>
      </c>
      <c r="R213" s="133"/>
      <c r="S213" s="138">
        <v>45527.710416666669</v>
      </c>
      <c r="T213" s="133" t="s">
        <v>657</v>
      </c>
      <c r="U213" s="139" t="str">
        <f t="shared" si="21"/>
        <v>_extract_ingested_labelled</v>
      </c>
      <c r="V213" s="140" t="str">
        <f>IF(U213="_","",_xlfn.XLOOKUP(U213,internal_cansku_inventory!D:D,internal_cansku_inventory!E:E,"",0,1))</f>
        <v/>
      </c>
    </row>
    <row r="214" spans="1:22" ht="12.45" customHeight="1">
      <c r="A214" s="132">
        <v>258</v>
      </c>
      <c r="B214" s="132">
        <v>0</v>
      </c>
      <c r="C214" s="132" t="str">
        <f>Table1[[#This Row],[inventory_id_head]]&amp;"-"&amp;Table1[[#This Row],[inventory_id_tail]]</f>
        <v>258-0</v>
      </c>
      <c r="D214" s="133" t="s">
        <v>653</v>
      </c>
      <c r="E214" s="133" t="s">
        <v>976</v>
      </c>
      <c r="F214" s="133" t="s">
        <v>977</v>
      </c>
      <c r="G214" s="133" t="str">
        <f t="shared" si="24"/>
        <v>T008DFB067DF</v>
      </c>
      <c r="H214" s="133" t="s">
        <v>720</v>
      </c>
      <c r="I214" s="133"/>
      <c r="J214" s="133" t="s">
        <v>723</v>
      </c>
      <c r="K214" s="134" t="s">
        <v>655</v>
      </c>
      <c r="L214" s="135">
        <v>1</v>
      </c>
      <c r="M214" s="133" t="s">
        <v>858</v>
      </c>
      <c r="N214" s="136">
        <f>O214-P214</f>
        <v>63.49</v>
      </c>
      <c r="O214" s="136">
        <v>89.9</v>
      </c>
      <c r="P214" s="136">
        <f>89.9-63.49</f>
        <v>26.410000000000004</v>
      </c>
      <c r="Q214" s="137">
        <f t="shared" si="25"/>
        <v>63.49</v>
      </c>
      <c r="R214" s="133"/>
      <c r="S214" s="138">
        <v>45533.691666666666</v>
      </c>
      <c r="T214" s="133" t="s">
        <v>978</v>
      </c>
      <c r="U214" s="139" t="str">
        <f t="shared" si="21"/>
        <v>_driedflower_bulk</v>
      </c>
      <c r="V214" s="140" t="str">
        <f>IF(U214="_","",_xlfn.XLOOKUP(U214,internal_cansku_inventory!D:D,internal_cansku_inventory!E:E,"",0,1))</f>
        <v/>
      </c>
    </row>
    <row r="215" spans="1:22" ht="12.45" customHeight="1">
      <c r="A215" s="132">
        <v>259</v>
      </c>
      <c r="B215" s="132">
        <v>0</v>
      </c>
      <c r="C215" s="132" t="str">
        <f>Table1[[#This Row],[inventory_id_head]]&amp;"-"&amp;Table1[[#This Row],[inventory_id_tail]]</f>
        <v>259-0</v>
      </c>
      <c r="D215" s="153" t="s">
        <v>680</v>
      </c>
      <c r="E215" s="133" t="s">
        <v>979</v>
      </c>
      <c r="F215" s="133" t="s">
        <v>655</v>
      </c>
      <c r="G215" s="133" t="str">
        <f t="shared" si="24"/>
        <v>T004TPNA</v>
      </c>
      <c r="H215" s="133" t="s">
        <v>851</v>
      </c>
      <c r="I215" s="133"/>
      <c r="J215" s="133" t="s">
        <v>797</v>
      </c>
      <c r="K215" s="134">
        <v>45531</v>
      </c>
      <c r="L215" s="135">
        <v>182</v>
      </c>
      <c r="M215" s="133" t="s">
        <v>644</v>
      </c>
      <c r="N215" s="136">
        <v>88</v>
      </c>
      <c r="O215" s="136">
        <v>0</v>
      </c>
      <c r="P215" s="136">
        <v>0</v>
      </c>
      <c r="Q215" s="137">
        <f t="shared" si="25"/>
        <v>16016</v>
      </c>
      <c r="R215" s="133"/>
      <c r="S215" s="138">
        <v>45533.691666666666</v>
      </c>
      <c r="T215" s="133" t="s">
        <v>657</v>
      </c>
      <c r="U215" s="139" t="str">
        <f t="shared" si="21"/>
        <v>_topical_labelled</v>
      </c>
      <c r="V215" s="140" t="str">
        <f>IF(U215="_","",_xlfn.XLOOKUP(U215,internal_cansku_inventory!D:D,internal_cansku_inventory!E:E,"",0,1))</f>
        <v/>
      </c>
    </row>
    <row r="216" spans="1:22" ht="12.45" customHeight="1">
      <c r="A216" s="132">
        <v>11</v>
      </c>
      <c r="B216" s="132">
        <v>0</v>
      </c>
      <c r="C216" s="132" t="str">
        <f>Table1[[#This Row],[inventory_id_head]]&amp;"-"&amp;Table1[[#This Row],[inventory_id_tail]]</f>
        <v>11-0</v>
      </c>
      <c r="D216" s="153" t="s">
        <v>653</v>
      </c>
      <c r="E216" s="133" t="s">
        <v>713</v>
      </c>
      <c r="F216" s="133" t="s">
        <v>676</v>
      </c>
      <c r="G216" s="133" t="str">
        <f t="shared" si="24"/>
        <v>T005DFB003DF</v>
      </c>
      <c r="H216" s="133" t="s">
        <v>980</v>
      </c>
      <c r="I216" s="133"/>
      <c r="J216" s="133" t="s">
        <v>981</v>
      </c>
      <c r="K216" s="134">
        <v>45531</v>
      </c>
      <c r="L216" s="135">
        <v>54</v>
      </c>
      <c r="M216" s="133" t="s">
        <v>695</v>
      </c>
      <c r="N216" s="136">
        <v>7</v>
      </c>
      <c r="O216" s="136">
        <v>0</v>
      </c>
      <c r="P216" s="136">
        <v>0</v>
      </c>
      <c r="Q216" s="137">
        <f t="shared" si="25"/>
        <v>378</v>
      </c>
      <c r="R216" s="133"/>
      <c r="S216" s="138">
        <v>45533.695138888892</v>
      </c>
      <c r="T216" s="133" t="s">
        <v>670</v>
      </c>
      <c r="U216" s="139" t="str">
        <f t="shared" si="21"/>
        <v>_driedflower_labelled</v>
      </c>
      <c r="V216" s="140" t="str">
        <f>IF(U216="_","",_xlfn.XLOOKUP(U216,internal_cansku_inventory!D:D,internal_cansku_inventory!E:E,"",0,1))</f>
        <v/>
      </c>
    </row>
    <row r="217" spans="1:22" ht="12.45" customHeight="1">
      <c r="A217" s="132">
        <v>262</v>
      </c>
      <c r="B217" s="132">
        <v>0</v>
      </c>
      <c r="C217" s="132" t="str">
        <f>Table1[[#This Row],[inventory_id_head]]&amp;"-"&amp;Table1[[#This Row],[inventory_id_tail]]</f>
        <v>262-0</v>
      </c>
      <c r="D217" s="133" t="s">
        <v>653</v>
      </c>
      <c r="E217" s="133" t="s">
        <v>982</v>
      </c>
      <c r="F217" s="133" t="s">
        <v>655</v>
      </c>
      <c r="G217" s="133" t="str">
        <f t="shared" si="24"/>
        <v>T013PRNA</v>
      </c>
      <c r="H217" s="133" t="s">
        <v>983</v>
      </c>
      <c r="I217" s="133"/>
      <c r="J217" s="133" t="s">
        <v>984</v>
      </c>
      <c r="K217" s="134" t="s">
        <v>655</v>
      </c>
      <c r="L217" s="135">
        <v>63</v>
      </c>
      <c r="M217" s="133" t="s">
        <v>858</v>
      </c>
      <c r="N217" s="136">
        <v>0.5</v>
      </c>
      <c r="O217" s="136">
        <v>0</v>
      </c>
      <c r="P217" s="136">
        <v>0</v>
      </c>
      <c r="Q217" s="137">
        <f t="shared" si="25"/>
        <v>31.5</v>
      </c>
      <c r="R217" s="133"/>
      <c r="S217" s="138">
        <v>45539.631944444445</v>
      </c>
      <c r="T217" s="133" t="s">
        <v>657</v>
      </c>
      <c r="U217" s="139" t="str">
        <f t="shared" si="21"/>
        <v>_preroll_bulk_inferior</v>
      </c>
      <c r="V217" s="140" t="str">
        <f>IF(U217="_","",_xlfn.XLOOKUP(U217,internal_cansku_inventory!D:D,internal_cansku_inventory!E:E,"",0,1))</f>
        <v/>
      </c>
    </row>
    <row r="218" spans="1:22" ht="12.45" customHeight="1">
      <c r="A218" s="132">
        <v>264</v>
      </c>
      <c r="B218" s="132">
        <v>0</v>
      </c>
      <c r="C218" s="132" t="str">
        <f>Table1[[#This Row],[inventory_id_head]]&amp;"-"&amp;Table1[[#This Row],[inventory_id_tail]]</f>
        <v>264-0</v>
      </c>
      <c r="D218" s="133" t="s">
        <v>680</v>
      </c>
      <c r="E218" s="133" t="s">
        <v>985</v>
      </c>
      <c r="F218" s="133" t="s">
        <v>655</v>
      </c>
      <c r="G218" s="133" t="str">
        <f t="shared" si="24"/>
        <v>T040PRNA</v>
      </c>
      <c r="H218" s="133" t="s">
        <v>823</v>
      </c>
      <c r="I218" s="133"/>
      <c r="J218" s="133" t="s">
        <v>986</v>
      </c>
      <c r="K218" s="134" t="s">
        <v>655</v>
      </c>
      <c r="L218" s="135">
        <v>339</v>
      </c>
      <c r="M218" s="133" t="s">
        <v>858</v>
      </c>
      <c r="N218" s="136">
        <v>0.5</v>
      </c>
      <c r="O218" s="136">
        <v>0</v>
      </c>
      <c r="P218" s="136">
        <v>0</v>
      </c>
      <c r="Q218" s="137">
        <f t="shared" si="25"/>
        <v>169.5</v>
      </c>
      <c r="R218" s="133"/>
      <c r="S218" s="138">
        <v>45539.631944444445</v>
      </c>
      <c r="T218" s="133" t="s">
        <v>657</v>
      </c>
      <c r="U218" s="139" t="str">
        <f t="shared" si="21"/>
        <v>_preroll_bulk</v>
      </c>
      <c r="V218" s="140" t="str">
        <f>IF(U218="_","",_xlfn.XLOOKUP(U218,internal_cansku_inventory!D:D,internal_cansku_inventory!E:E,"",0,1))</f>
        <v/>
      </c>
    </row>
    <row r="219" spans="1:22" ht="12.45" customHeight="1">
      <c r="A219" s="132">
        <v>265</v>
      </c>
      <c r="B219" s="132">
        <v>0</v>
      </c>
      <c r="C219" s="132" t="str">
        <f>Table1[[#This Row],[inventory_id_head]]&amp;"-"&amp;Table1[[#This Row],[inventory_id_tail]]</f>
        <v>265-0</v>
      </c>
      <c r="D219" s="133" t="s">
        <v>653</v>
      </c>
      <c r="E219" s="133" t="s">
        <v>987</v>
      </c>
      <c r="F219" s="133" t="s">
        <v>655</v>
      </c>
      <c r="G219" s="133" t="str">
        <f t="shared" si="24"/>
        <v>T024PRNA</v>
      </c>
      <c r="H219" s="133" t="s">
        <v>813</v>
      </c>
      <c r="I219" s="133"/>
      <c r="J219" s="133" t="s">
        <v>988</v>
      </c>
      <c r="K219" s="134">
        <v>45531</v>
      </c>
      <c r="L219" s="135">
        <f>8*12+7</f>
        <v>103</v>
      </c>
      <c r="M219" s="133" t="s">
        <v>858</v>
      </c>
      <c r="N219" s="136">
        <v>1</v>
      </c>
      <c r="O219" s="136">
        <v>0</v>
      </c>
      <c r="P219" s="136">
        <v>0</v>
      </c>
      <c r="Q219" s="137">
        <f t="shared" si="25"/>
        <v>103</v>
      </c>
      <c r="R219" s="133"/>
      <c r="S219" s="138">
        <v>45540.553472222222</v>
      </c>
      <c r="T219" s="133" t="s">
        <v>657</v>
      </c>
      <c r="U219" s="139" t="str">
        <f t="shared" si="21"/>
        <v>_preroll_labelled</v>
      </c>
      <c r="V219" s="140" t="str">
        <f>IF(U219="_","",_xlfn.XLOOKUP(U219,internal_cansku_inventory!D:D,internal_cansku_inventory!E:E,"",0,1))</f>
        <v/>
      </c>
    </row>
    <row r="220" spans="1:22" ht="12.45" customHeight="1">
      <c r="A220" s="132">
        <v>266</v>
      </c>
      <c r="B220" s="132">
        <v>0</v>
      </c>
      <c r="C220" s="132" t="str">
        <f>Table1[[#This Row],[inventory_id_head]]&amp;"-"&amp;Table1[[#This Row],[inventory_id_tail]]</f>
        <v>266-0</v>
      </c>
      <c r="D220" s="133" t="s">
        <v>653</v>
      </c>
      <c r="E220" s="133" t="s">
        <v>987</v>
      </c>
      <c r="F220" s="133" t="s">
        <v>655</v>
      </c>
      <c r="G220" s="133" t="str">
        <f t="shared" si="24"/>
        <v>T024PRNA</v>
      </c>
      <c r="H220" s="133" t="s">
        <v>813</v>
      </c>
      <c r="I220" s="133"/>
      <c r="J220" s="133" t="s">
        <v>988</v>
      </c>
      <c r="K220" s="134">
        <v>45492</v>
      </c>
      <c r="L220" s="135">
        <v>12</v>
      </c>
      <c r="M220" s="133" t="s">
        <v>858</v>
      </c>
      <c r="N220" s="136">
        <v>1</v>
      </c>
      <c r="O220" s="136">
        <v>0</v>
      </c>
      <c r="P220" s="136">
        <v>0</v>
      </c>
      <c r="Q220" s="137">
        <f t="shared" si="25"/>
        <v>12</v>
      </c>
      <c r="R220" s="133"/>
      <c r="S220" s="138">
        <v>45540.553472222222</v>
      </c>
      <c r="T220" s="133" t="s">
        <v>657</v>
      </c>
      <c r="U220" s="139" t="str">
        <f t="shared" si="21"/>
        <v>_preroll_labelled</v>
      </c>
      <c r="V220" s="140" t="str">
        <f>IF(U220="_","",_xlfn.XLOOKUP(U220,internal_cansku_inventory!D:D,internal_cansku_inventory!E:E,"",0,1))</f>
        <v/>
      </c>
    </row>
    <row r="221" spans="1:22" ht="12.45" customHeight="1">
      <c r="A221" s="132">
        <v>137</v>
      </c>
      <c r="B221" s="132">
        <v>0</v>
      </c>
      <c r="C221" s="132" t="str">
        <f>Table1[[#This Row],[inventory_id_head]]&amp;"-"&amp;Table1[[#This Row],[inventory_id_tail]]</f>
        <v>137-0</v>
      </c>
      <c r="D221" s="133" t="s">
        <v>653</v>
      </c>
      <c r="E221" s="133" t="s">
        <v>845</v>
      </c>
      <c r="F221" s="133" t="s">
        <v>55</v>
      </c>
      <c r="G221" s="133" t="str">
        <f t="shared" si="24"/>
        <v>T024PRNA</v>
      </c>
      <c r="H221" s="133" t="s">
        <v>809</v>
      </c>
      <c r="I221" s="133"/>
      <c r="J221" s="133" t="s">
        <v>846</v>
      </c>
      <c r="K221" s="134" t="s">
        <v>655</v>
      </c>
      <c r="L221" s="135">
        <f>17*12+10+9</f>
        <v>223</v>
      </c>
      <c r="M221" s="133" t="s">
        <v>644</v>
      </c>
      <c r="N221" s="136">
        <v>1</v>
      </c>
      <c r="O221" s="136">
        <v>0</v>
      </c>
      <c r="P221" s="136">
        <v>0</v>
      </c>
      <c r="Q221" s="137">
        <f t="shared" si="25"/>
        <v>223</v>
      </c>
      <c r="R221" s="133"/>
      <c r="S221" s="138">
        <v>45540.556250000001</v>
      </c>
      <c r="T221" s="133" t="s">
        <v>670</v>
      </c>
      <c r="U221" s="139" t="str">
        <f t="shared" si="21"/>
        <v>_preroll_packaged</v>
      </c>
      <c r="V221" s="140" t="str">
        <f>IF(U221="_","",_xlfn.XLOOKUP(U221,internal_cansku_inventory!D:D,internal_cansku_inventory!E:E,"",0,1))</f>
        <v/>
      </c>
    </row>
    <row r="222" spans="1:22" ht="12.45" customHeight="1">
      <c r="A222" s="132">
        <v>267</v>
      </c>
      <c r="B222" s="132">
        <v>0</v>
      </c>
      <c r="C222" s="132" t="str">
        <f>Table1[[#This Row],[inventory_id_head]]&amp;"-"&amp;Table1[[#This Row],[inventory_id_tail]]</f>
        <v>267-0</v>
      </c>
      <c r="D222" s="133" t="s">
        <v>680</v>
      </c>
      <c r="E222" s="133" t="s">
        <v>989</v>
      </c>
      <c r="F222" s="133" t="s">
        <v>655</v>
      </c>
      <c r="G222" s="133" t="str">
        <f t="shared" si="24"/>
        <v>T043PRNA</v>
      </c>
      <c r="H222" s="133" t="s">
        <v>823</v>
      </c>
      <c r="I222" s="133"/>
      <c r="J222" s="133" t="s">
        <v>986</v>
      </c>
      <c r="K222" s="134" t="s">
        <v>55</v>
      </c>
      <c r="L222" s="135">
        <v>338</v>
      </c>
      <c r="M222" s="133" t="s">
        <v>644</v>
      </c>
      <c r="N222" s="136">
        <v>0.5</v>
      </c>
      <c r="O222" s="136">
        <v>0</v>
      </c>
      <c r="P222" s="136">
        <v>0</v>
      </c>
      <c r="Q222" s="137">
        <f t="shared" si="25"/>
        <v>169</v>
      </c>
      <c r="R222" s="133"/>
      <c r="S222" s="138">
        <v>45540.703472222223</v>
      </c>
      <c r="T222" s="133" t="s">
        <v>657</v>
      </c>
      <c r="U222" s="139" t="str">
        <f t="shared" si="21"/>
        <v>_preroll_bulk</v>
      </c>
      <c r="V222" s="140" t="str">
        <f>IF(U222="_","",_xlfn.XLOOKUP(U222,internal_cansku_inventory!D:D,internal_cansku_inventory!E:E,"",0,1))</f>
        <v/>
      </c>
    </row>
    <row r="223" spans="1:22" ht="12.45" customHeight="1">
      <c r="A223" s="132">
        <v>268</v>
      </c>
      <c r="B223" s="132">
        <v>0</v>
      </c>
      <c r="C223" s="132" t="str">
        <f>Table1[[#This Row],[inventory_id_head]]&amp;"-"&amp;Table1[[#This Row],[inventory_id_tail]]</f>
        <v>268-0</v>
      </c>
      <c r="D223" s="133" t="s">
        <v>680</v>
      </c>
      <c r="E223" s="133" t="s">
        <v>989</v>
      </c>
      <c r="F223" s="133" t="s">
        <v>655</v>
      </c>
      <c r="G223" s="133" t="str">
        <f t="shared" si="24"/>
        <v>T043PRNA</v>
      </c>
      <c r="H223" s="133" t="s">
        <v>823</v>
      </c>
      <c r="I223" s="133"/>
      <c r="J223" s="133" t="s">
        <v>986</v>
      </c>
      <c r="K223" s="134" t="s">
        <v>55</v>
      </c>
      <c r="L223" s="135">
        <v>338</v>
      </c>
      <c r="M223" s="133" t="s">
        <v>644</v>
      </c>
      <c r="N223" s="136">
        <v>0.5</v>
      </c>
      <c r="O223" s="136">
        <v>0</v>
      </c>
      <c r="P223" s="136">
        <v>0</v>
      </c>
      <c r="Q223" s="137">
        <f t="shared" si="25"/>
        <v>169</v>
      </c>
      <c r="R223" s="133"/>
      <c r="S223" s="138">
        <v>45541.423611111109</v>
      </c>
      <c r="T223" s="133" t="s">
        <v>657</v>
      </c>
      <c r="U223" s="139" t="str">
        <f t="shared" si="21"/>
        <v>_preroll_bulk</v>
      </c>
      <c r="V223" s="140" t="str">
        <f>IF(U223="_","",_xlfn.XLOOKUP(U223,internal_cansku_inventory!D:D,internal_cansku_inventory!E:E,"",0,1))</f>
        <v/>
      </c>
    </row>
    <row r="224" spans="1:22" ht="12.45" customHeight="1">
      <c r="A224" s="132">
        <v>269</v>
      </c>
      <c r="B224" s="132">
        <v>0</v>
      </c>
      <c r="C224" s="132" t="str">
        <f>Table1[[#This Row],[inventory_id_head]]&amp;"-"&amp;Table1[[#This Row],[inventory_id_tail]]</f>
        <v>269-0</v>
      </c>
      <c r="D224" s="133" t="s">
        <v>680</v>
      </c>
      <c r="E224" s="133" t="s">
        <v>989</v>
      </c>
      <c r="F224" s="133" t="s">
        <v>655</v>
      </c>
      <c r="G224" s="133" t="str">
        <f t="shared" si="24"/>
        <v>T043PRNA</v>
      </c>
      <c r="H224" s="133" t="s">
        <v>823</v>
      </c>
      <c r="I224" s="133"/>
      <c r="J224" s="133" t="s">
        <v>986</v>
      </c>
      <c r="K224" s="134" t="s">
        <v>55</v>
      </c>
      <c r="L224" s="135">
        <v>337</v>
      </c>
      <c r="M224" s="133" t="s">
        <v>644</v>
      </c>
      <c r="N224" s="136">
        <v>0.5</v>
      </c>
      <c r="O224" s="136">
        <v>0</v>
      </c>
      <c r="P224" s="136">
        <v>0</v>
      </c>
      <c r="Q224" s="137">
        <f t="shared" si="25"/>
        <v>168.5</v>
      </c>
      <c r="R224" s="133"/>
      <c r="S224" s="138">
        <v>45541.423611111109</v>
      </c>
      <c r="T224" s="133" t="s">
        <v>657</v>
      </c>
      <c r="U224" s="139" t="str">
        <f t="shared" si="21"/>
        <v>_preroll_bulk</v>
      </c>
      <c r="V224" s="140" t="str">
        <f>IF(U224="_","",_xlfn.XLOOKUP(U224,internal_cansku_inventory!D:D,internal_cansku_inventory!E:E,"",0,1))</f>
        <v/>
      </c>
    </row>
    <row r="225" spans="1:22" ht="12.45" customHeight="1">
      <c r="A225" s="132">
        <v>270</v>
      </c>
      <c r="B225" s="132">
        <v>0</v>
      </c>
      <c r="C225" s="132" t="str">
        <f>Table1[[#This Row],[inventory_id_head]]&amp;"-"&amp;Table1[[#This Row],[inventory_id_tail]]</f>
        <v>270-0</v>
      </c>
      <c r="D225" s="133" t="s">
        <v>680</v>
      </c>
      <c r="E225" s="133" t="s">
        <v>989</v>
      </c>
      <c r="F225" s="133" t="s">
        <v>655</v>
      </c>
      <c r="G225" s="133" t="str">
        <f t="shared" si="24"/>
        <v>T043PRNA</v>
      </c>
      <c r="H225" s="133" t="s">
        <v>823</v>
      </c>
      <c r="I225" s="133"/>
      <c r="J225" s="133" t="s">
        <v>986</v>
      </c>
      <c r="K225" s="134" t="s">
        <v>55</v>
      </c>
      <c r="L225" s="135">
        <v>338</v>
      </c>
      <c r="M225" s="133" t="s">
        <v>644</v>
      </c>
      <c r="N225" s="136">
        <v>0.5</v>
      </c>
      <c r="O225" s="136">
        <v>0</v>
      </c>
      <c r="P225" s="136">
        <v>0</v>
      </c>
      <c r="Q225" s="137">
        <f t="shared" si="25"/>
        <v>169</v>
      </c>
      <c r="R225" s="133"/>
      <c r="S225" s="138">
        <v>45541.423611111109</v>
      </c>
      <c r="T225" s="133" t="s">
        <v>657</v>
      </c>
      <c r="U225" s="139" t="str">
        <f t="shared" si="21"/>
        <v>_preroll_bulk</v>
      </c>
      <c r="V225" s="140" t="str">
        <f>IF(U225="_","",_xlfn.XLOOKUP(U225,internal_cansku_inventory!D:D,internal_cansku_inventory!E:E,"",0,1))</f>
        <v/>
      </c>
    </row>
    <row r="226" spans="1:22" ht="12.45" customHeight="1">
      <c r="A226" s="132">
        <v>271</v>
      </c>
      <c r="B226" s="132">
        <v>0</v>
      </c>
      <c r="C226" s="132" t="str">
        <f>Table1[[#This Row],[inventory_id_head]]&amp;"-"&amp;Table1[[#This Row],[inventory_id_tail]]</f>
        <v>271-0</v>
      </c>
      <c r="D226" s="133" t="s">
        <v>653</v>
      </c>
      <c r="E226" s="133" t="s">
        <v>990</v>
      </c>
      <c r="F226" s="133" t="s">
        <v>655</v>
      </c>
      <c r="G226" s="133" t="str">
        <f t="shared" si="24"/>
        <v>T024DFNA</v>
      </c>
      <c r="H226" s="133" t="s">
        <v>956</v>
      </c>
      <c r="I226" s="133"/>
      <c r="J226" s="133" t="s">
        <v>957</v>
      </c>
      <c r="K226" s="134">
        <v>44646</v>
      </c>
      <c r="L226" s="135">
        <v>144</v>
      </c>
      <c r="M226" s="133" t="s">
        <v>858</v>
      </c>
      <c r="N226" s="136">
        <v>3.5</v>
      </c>
      <c r="O226" s="136">
        <v>0</v>
      </c>
      <c r="P226" s="136">
        <v>0</v>
      </c>
      <c r="Q226" s="137">
        <f t="shared" si="25"/>
        <v>504</v>
      </c>
      <c r="R226" s="133"/>
      <c r="S226" s="138">
        <v>45541.432638888888</v>
      </c>
      <c r="T226" s="133" t="s">
        <v>657</v>
      </c>
      <c r="U226" s="139" t="str">
        <f t="shared" si="21"/>
        <v>_driedflower_labelled_RTV</v>
      </c>
      <c r="V226" s="140" t="str">
        <f>IF(U226="_","",_xlfn.XLOOKUP(U226,internal_cansku_inventory!D:D,internal_cansku_inventory!E:E,"",0,1))</f>
        <v/>
      </c>
    </row>
    <row r="227" spans="1:22" ht="12.45" customHeight="1">
      <c r="A227" s="132">
        <v>272</v>
      </c>
      <c r="B227" s="132">
        <v>0</v>
      </c>
      <c r="C227" s="132" t="str">
        <f>Table1[[#This Row],[inventory_id_head]]&amp;"-"&amp;Table1[[#This Row],[inventory_id_tail]]</f>
        <v>272-0</v>
      </c>
      <c r="D227" s="133" t="s">
        <v>653</v>
      </c>
      <c r="E227" s="133" t="s">
        <v>991</v>
      </c>
      <c r="F227" s="133" t="s">
        <v>655</v>
      </c>
      <c r="G227" s="133" t="str">
        <f t="shared" si="24"/>
        <v>T025DFNA</v>
      </c>
      <c r="H227" s="133" t="s">
        <v>956</v>
      </c>
      <c r="I227" s="133"/>
      <c r="J227" s="133" t="s">
        <v>957</v>
      </c>
      <c r="K227" s="134">
        <v>44646</v>
      </c>
      <c r="L227" s="135">
        <v>71</v>
      </c>
      <c r="M227" s="133" t="s">
        <v>858</v>
      </c>
      <c r="N227" s="136">
        <v>3.5</v>
      </c>
      <c r="O227" s="136">
        <v>0</v>
      </c>
      <c r="P227" s="136">
        <v>0</v>
      </c>
      <c r="Q227" s="137">
        <f t="shared" si="25"/>
        <v>248.5</v>
      </c>
      <c r="R227" s="133"/>
      <c r="S227" s="138">
        <v>45541.432638888888</v>
      </c>
      <c r="T227" s="133" t="s">
        <v>657</v>
      </c>
      <c r="U227" s="139" t="str">
        <f t="shared" si="21"/>
        <v>_driedflower_labelled_RTV</v>
      </c>
      <c r="V227" s="140" t="str">
        <f>IF(U227="_","",_xlfn.XLOOKUP(U227,internal_cansku_inventory!D:D,internal_cansku_inventory!E:E,"",0,1))</f>
        <v/>
      </c>
    </row>
    <row r="228" spans="1:22" ht="12.45" customHeight="1">
      <c r="A228" s="132">
        <v>275</v>
      </c>
      <c r="B228" s="132">
        <v>0</v>
      </c>
      <c r="C228" s="132" t="str">
        <f>Table1[[#This Row],[inventory_id_head]]&amp;"-"&amp;Table1[[#This Row],[inventory_id_tail]]</f>
        <v>275-0</v>
      </c>
      <c r="D228" s="133" t="s">
        <v>680</v>
      </c>
      <c r="E228" s="133" t="s">
        <v>992</v>
      </c>
      <c r="F228" s="133" t="s">
        <v>655</v>
      </c>
      <c r="G228" s="133" t="str">
        <f t="shared" si="24"/>
        <v>J013EXNA</v>
      </c>
      <c r="H228" s="133" t="s">
        <v>782</v>
      </c>
      <c r="I228" s="133"/>
      <c r="J228" s="133" t="s">
        <v>993</v>
      </c>
      <c r="K228" s="134" t="s">
        <v>655</v>
      </c>
      <c r="L228" s="135">
        <v>1</v>
      </c>
      <c r="M228" s="133" t="s">
        <v>994</v>
      </c>
      <c r="N228" s="136">
        <f>O228-P228</f>
        <v>17470</v>
      </c>
      <c r="O228" s="136">
        <v>18545</v>
      </c>
      <c r="P228" s="136">
        <f>O228-17470</f>
        <v>1075</v>
      </c>
      <c r="Q228" s="137">
        <f t="shared" si="25"/>
        <v>17470</v>
      </c>
      <c r="R228" s="133"/>
      <c r="S228" s="138">
        <v>45541.557638888888</v>
      </c>
      <c r="T228" s="133" t="s">
        <v>664</v>
      </c>
      <c r="U228" s="139" t="str">
        <f t="shared" si="21"/>
        <v>_extract_ingested_bulk</v>
      </c>
      <c r="V228" s="140" t="str">
        <f>IF(U228="_","",_xlfn.XLOOKUP(U228,internal_cansku_inventory!D:D,internal_cansku_inventory!E:E,"",0,1))</f>
        <v/>
      </c>
    </row>
    <row r="229" spans="1:22" ht="12.45" customHeight="1">
      <c r="A229" s="132">
        <v>276</v>
      </c>
      <c r="B229" s="132">
        <v>0</v>
      </c>
      <c r="C229" s="132" t="str">
        <f>Table1[[#This Row],[inventory_id_head]]&amp;"-"&amp;Table1[[#This Row],[inventory_id_tail]]</f>
        <v>276-0</v>
      </c>
      <c r="D229" s="133" t="s">
        <v>680</v>
      </c>
      <c r="E229" s="133" t="s">
        <v>995</v>
      </c>
      <c r="F229" s="133" t="s">
        <v>655</v>
      </c>
      <c r="G229" s="133" t="str">
        <f t="shared" si="24"/>
        <v>J014EXNA</v>
      </c>
      <c r="H229" s="133" t="s">
        <v>782</v>
      </c>
      <c r="I229" s="133"/>
      <c r="J229" s="133" t="s">
        <v>993</v>
      </c>
      <c r="K229" s="134" t="s">
        <v>655</v>
      </c>
      <c r="L229" s="135">
        <v>1</v>
      </c>
      <c r="M229" s="133" t="s">
        <v>994</v>
      </c>
      <c r="N229" s="136">
        <f>O229-P229</f>
        <v>17475</v>
      </c>
      <c r="O229" s="136">
        <v>18545</v>
      </c>
      <c r="P229" s="136">
        <f>18545-17475</f>
        <v>1070</v>
      </c>
      <c r="Q229" s="137">
        <f t="shared" si="25"/>
        <v>17475</v>
      </c>
      <c r="R229" s="133"/>
      <c r="S229" s="138">
        <v>45541.557638888888</v>
      </c>
      <c r="T229" s="133" t="s">
        <v>664</v>
      </c>
      <c r="U229" s="139" t="str">
        <f t="shared" si="21"/>
        <v>_extract_ingested_bulk</v>
      </c>
      <c r="V229" s="140" t="str">
        <f>IF(U229="_","",_xlfn.XLOOKUP(U229,internal_cansku_inventory!D:D,internal_cansku_inventory!E:E,"",0,1))</f>
        <v/>
      </c>
    </row>
    <row r="230" spans="1:22" ht="12.45" customHeight="1">
      <c r="A230" s="132">
        <v>278</v>
      </c>
      <c r="B230" s="132">
        <v>0</v>
      </c>
      <c r="C230" s="132" t="str">
        <f>Table1[[#This Row],[inventory_id_head]]&amp;"-"&amp;Table1[[#This Row],[inventory_id_tail]]</f>
        <v>278-0</v>
      </c>
      <c r="D230" s="133" t="s">
        <v>680</v>
      </c>
      <c r="E230" s="133" t="s">
        <v>996</v>
      </c>
      <c r="F230" s="133" t="s">
        <v>655</v>
      </c>
      <c r="G230" s="133" t="str">
        <f t="shared" si="24"/>
        <v>T042PRNA</v>
      </c>
      <c r="H230" s="133" t="s">
        <v>813</v>
      </c>
      <c r="I230" s="133"/>
      <c r="J230" s="133" t="s">
        <v>997</v>
      </c>
      <c r="K230" s="134">
        <v>45523</v>
      </c>
      <c r="L230" s="135">
        <v>100</v>
      </c>
      <c r="M230" s="133" t="s">
        <v>858</v>
      </c>
      <c r="N230" s="136">
        <v>1.5</v>
      </c>
      <c r="O230" s="136">
        <v>0</v>
      </c>
      <c r="P230" s="136">
        <v>0</v>
      </c>
      <c r="Q230" s="137">
        <f t="shared" si="25"/>
        <v>150</v>
      </c>
      <c r="R230" s="133"/>
      <c r="S230" s="138">
        <v>45544.546527777777</v>
      </c>
      <c r="T230" s="133" t="s">
        <v>657</v>
      </c>
      <c r="U230" s="139" t="str">
        <f t="shared" si="21"/>
        <v>_preroll_labelled</v>
      </c>
      <c r="V230" s="140" t="str">
        <f>IF(U230="_","",_xlfn.XLOOKUP(U230,internal_cansku_inventory!D:D,internal_cansku_inventory!E:E,"",0,1))</f>
        <v/>
      </c>
    </row>
    <row r="231" spans="1:22" ht="12.45" customHeight="1">
      <c r="A231" s="132">
        <v>279</v>
      </c>
      <c r="B231" s="132">
        <v>0</v>
      </c>
      <c r="C231" s="132" t="str">
        <f>Table1[[#This Row],[inventory_id_head]]&amp;"-"&amp;Table1[[#This Row],[inventory_id_tail]]</f>
        <v>279-0</v>
      </c>
      <c r="D231" s="133" t="s">
        <v>680</v>
      </c>
      <c r="E231" s="133" t="s">
        <v>996</v>
      </c>
      <c r="F231" s="133" t="s">
        <v>655</v>
      </c>
      <c r="G231" s="133" t="str">
        <f t="shared" si="24"/>
        <v>T042PRNA</v>
      </c>
      <c r="H231" s="133" t="s">
        <v>809</v>
      </c>
      <c r="I231" s="133"/>
      <c r="J231" s="133" t="s">
        <v>997</v>
      </c>
      <c r="K231" s="134" t="s">
        <v>655</v>
      </c>
      <c r="L231" s="135">
        <v>345</v>
      </c>
      <c r="M231" s="133" t="s">
        <v>858</v>
      </c>
      <c r="N231" s="136">
        <v>1.5</v>
      </c>
      <c r="O231" s="136">
        <v>0</v>
      </c>
      <c r="P231" s="136">
        <v>0</v>
      </c>
      <c r="Q231" s="137">
        <f t="shared" si="25"/>
        <v>517.5</v>
      </c>
      <c r="R231" s="133"/>
      <c r="S231" s="138">
        <v>45544.546527777777</v>
      </c>
      <c r="T231" s="133" t="s">
        <v>657</v>
      </c>
      <c r="U231" s="139" t="str">
        <f t="shared" si="21"/>
        <v>_preroll_packaged</v>
      </c>
      <c r="V231" s="140" t="str">
        <f>IF(U231="_","",_xlfn.XLOOKUP(U231,internal_cansku_inventory!D:D,internal_cansku_inventory!E:E,"",0,1))</f>
        <v/>
      </c>
    </row>
    <row r="232" spans="1:22" ht="12.45" customHeight="1">
      <c r="A232" s="132">
        <v>280</v>
      </c>
      <c r="B232" s="132">
        <v>0</v>
      </c>
      <c r="C232" s="132" t="str">
        <f>Table1[[#This Row],[inventory_id_head]]&amp;"-"&amp;Table1[[#This Row],[inventory_id_tail]]</f>
        <v>280-0</v>
      </c>
      <c r="D232" s="133" t="s">
        <v>680</v>
      </c>
      <c r="E232" s="133" t="s">
        <v>998</v>
      </c>
      <c r="F232" s="133" t="s">
        <v>655</v>
      </c>
      <c r="G232" s="133" t="str">
        <f t="shared" si="24"/>
        <v>T043PRNA</v>
      </c>
      <c r="H232" s="133" t="s">
        <v>823</v>
      </c>
      <c r="I232" s="133"/>
      <c r="J232" s="133" t="s">
        <v>999</v>
      </c>
      <c r="K232" s="134" t="s">
        <v>655</v>
      </c>
      <c r="L232" s="135">
        <v>120</v>
      </c>
      <c r="M232" s="133" t="s">
        <v>858</v>
      </c>
      <c r="N232" s="136">
        <v>1.5</v>
      </c>
      <c r="O232" s="136">
        <v>0</v>
      </c>
      <c r="P232" s="136">
        <v>0</v>
      </c>
      <c r="Q232" s="137">
        <f t="shared" si="25"/>
        <v>180</v>
      </c>
      <c r="R232" s="133"/>
      <c r="S232" s="138">
        <v>45544.546527777777</v>
      </c>
      <c r="T232" s="133" t="s">
        <v>657</v>
      </c>
      <c r="U232" s="139" t="str">
        <f t="shared" si="21"/>
        <v>_preroll_bulk</v>
      </c>
      <c r="V232" s="140" t="str">
        <f>IF(U232="_","",_xlfn.XLOOKUP(U232,internal_cansku_inventory!D:D,internal_cansku_inventory!E:E,"",0,1))</f>
        <v/>
      </c>
    </row>
    <row r="233" spans="1:22" ht="12.45" customHeight="1">
      <c r="A233" s="132">
        <v>281</v>
      </c>
      <c r="B233" s="132">
        <v>0</v>
      </c>
      <c r="C233" s="132" t="str">
        <f>Table1[[#This Row],[inventory_id_head]]&amp;"-"&amp;Table1[[#This Row],[inventory_id_tail]]</f>
        <v>281-0</v>
      </c>
      <c r="D233" s="133" t="s">
        <v>680</v>
      </c>
      <c r="E233" s="133" t="s">
        <v>998</v>
      </c>
      <c r="F233" s="133" t="s">
        <v>655</v>
      </c>
      <c r="G233" s="133" t="str">
        <f t="shared" si="24"/>
        <v>T043PRNA</v>
      </c>
      <c r="H233" s="133" t="s">
        <v>823</v>
      </c>
      <c r="I233" s="133"/>
      <c r="J233" s="133" t="s">
        <v>999</v>
      </c>
      <c r="K233" s="134" t="s">
        <v>655</v>
      </c>
      <c r="L233" s="135">
        <v>395</v>
      </c>
      <c r="M233" s="133" t="s">
        <v>858</v>
      </c>
      <c r="N233" s="136">
        <v>1.5</v>
      </c>
      <c r="O233" s="136">
        <v>0</v>
      </c>
      <c r="P233" s="136">
        <v>0</v>
      </c>
      <c r="Q233" s="137">
        <f t="shared" si="25"/>
        <v>592.5</v>
      </c>
      <c r="R233" s="133"/>
      <c r="S233" s="138">
        <v>45544.546527777777</v>
      </c>
      <c r="T233" s="133" t="s">
        <v>657</v>
      </c>
      <c r="U233" s="139" t="str">
        <f t="shared" si="21"/>
        <v>_preroll_bulk</v>
      </c>
      <c r="V233" s="140" t="str">
        <f>IF(U233="_","",_xlfn.XLOOKUP(U233,internal_cansku_inventory!D:D,internal_cansku_inventory!E:E,"",0,1))</f>
        <v/>
      </c>
    </row>
    <row r="234" spans="1:22" ht="12.45" customHeight="1">
      <c r="A234" s="132">
        <v>282</v>
      </c>
      <c r="B234" s="132">
        <v>0</v>
      </c>
      <c r="C234" s="132" t="str">
        <f>Table1[[#This Row],[inventory_id_head]]&amp;"-"&amp;Table1[[#This Row],[inventory_id_tail]]</f>
        <v>282-0</v>
      </c>
      <c r="D234" s="133" t="s">
        <v>680</v>
      </c>
      <c r="E234" s="133" t="s">
        <v>998</v>
      </c>
      <c r="F234" s="133" t="s">
        <v>655</v>
      </c>
      <c r="G234" s="133" t="str">
        <f t="shared" si="24"/>
        <v>T043PRNA</v>
      </c>
      <c r="H234" s="133" t="s">
        <v>823</v>
      </c>
      <c r="I234" s="133"/>
      <c r="J234" s="133" t="s">
        <v>999</v>
      </c>
      <c r="K234" s="134" t="s">
        <v>655</v>
      </c>
      <c r="L234" s="135">
        <v>242</v>
      </c>
      <c r="M234" s="133" t="s">
        <v>858</v>
      </c>
      <c r="N234" s="136">
        <v>1.5</v>
      </c>
      <c r="O234" s="136">
        <v>0</v>
      </c>
      <c r="P234" s="136">
        <v>0</v>
      </c>
      <c r="Q234" s="137">
        <f t="shared" si="25"/>
        <v>363</v>
      </c>
      <c r="R234" s="133"/>
      <c r="S234" s="138">
        <v>45544.546527777777</v>
      </c>
      <c r="T234" s="133" t="s">
        <v>657</v>
      </c>
      <c r="U234" s="139" t="str">
        <f t="shared" si="21"/>
        <v>_preroll_bulk</v>
      </c>
      <c r="V234" s="140" t="str">
        <f>IF(U234="_","",_xlfn.XLOOKUP(U234,internal_cansku_inventory!D:D,internal_cansku_inventory!E:E,"",0,1))</f>
        <v/>
      </c>
    </row>
    <row r="235" spans="1:22" ht="12.45" customHeight="1">
      <c r="A235" s="132">
        <v>283</v>
      </c>
      <c r="B235" s="132">
        <v>0</v>
      </c>
      <c r="C235" s="132" t="str">
        <f>Table1[[#This Row],[inventory_id_head]]&amp;"-"&amp;Table1[[#This Row],[inventory_id_tail]]</f>
        <v>283-0</v>
      </c>
      <c r="D235" s="133" t="s">
        <v>680</v>
      </c>
      <c r="E235" s="133" t="s">
        <v>998</v>
      </c>
      <c r="F235" s="133" t="s">
        <v>655</v>
      </c>
      <c r="G235" s="133" t="str">
        <f t="shared" si="24"/>
        <v>T043PRNA</v>
      </c>
      <c r="H235" s="133" t="s">
        <v>823</v>
      </c>
      <c r="I235" s="133"/>
      <c r="J235" s="133" t="s">
        <v>999</v>
      </c>
      <c r="K235" s="134" t="s">
        <v>655</v>
      </c>
      <c r="L235" s="135">
        <v>437</v>
      </c>
      <c r="M235" s="133" t="s">
        <v>858</v>
      </c>
      <c r="N235" s="136">
        <v>1.5</v>
      </c>
      <c r="O235" s="136">
        <v>0</v>
      </c>
      <c r="P235" s="136">
        <v>0</v>
      </c>
      <c r="Q235" s="137">
        <f t="shared" si="25"/>
        <v>655.5</v>
      </c>
      <c r="R235" s="133"/>
      <c r="S235" s="138">
        <v>45544.546527777777</v>
      </c>
      <c r="T235" s="133" t="s">
        <v>657</v>
      </c>
      <c r="U235" s="139" t="str">
        <f t="shared" si="21"/>
        <v>_preroll_bulk</v>
      </c>
      <c r="V235" s="140" t="str">
        <f>IF(U235="_","",_xlfn.XLOOKUP(U235,internal_cansku_inventory!D:D,internal_cansku_inventory!E:E,"",0,1))</f>
        <v/>
      </c>
    </row>
    <row r="236" spans="1:22" ht="12.45" customHeight="1">
      <c r="A236" s="132">
        <v>284</v>
      </c>
      <c r="B236" s="132">
        <v>0</v>
      </c>
      <c r="C236" s="132" t="str">
        <f>Table1[[#This Row],[inventory_id_head]]&amp;"-"&amp;Table1[[#This Row],[inventory_id_tail]]</f>
        <v>284-0</v>
      </c>
      <c r="D236" s="133" t="s">
        <v>680</v>
      </c>
      <c r="E236" s="133" t="s">
        <v>998</v>
      </c>
      <c r="F236" s="133" t="s">
        <v>655</v>
      </c>
      <c r="G236" s="133" t="str">
        <f t="shared" si="24"/>
        <v>T043PRNA</v>
      </c>
      <c r="H236" s="133" t="s">
        <v>823</v>
      </c>
      <c r="I236" s="133"/>
      <c r="J236" s="133" t="s">
        <v>999</v>
      </c>
      <c r="K236" s="134" t="s">
        <v>655</v>
      </c>
      <c r="L236" s="135">
        <v>484</v>
      </c>
      <c r="M236" s="133" t="s">
        <v>858</v>
      </c>
      <c r="N236" s="136">
        <v>1.5</v>
      </c>
      <c r="O236" s="136">
        <v>0</v>
      </c>
      <c r="P236" s="136">
        <v>0</v>
      </c>
      <c r="Q236" s="137">
        <f t="shared" si="25"/>
        <v>726</v>
      </c>
      <c r="R236" s="133"/>
      <c r="S236" s="138">
        <v>45544.546527777777</v>
      </c>
      <c r="T236" s="133" t="s">
        <v>657</v>
      </c>
      <c r="U236" s="139" t="str">
        <f t="shared" si="21"/>
        <v>_preroll_bulk</v>
      </c>
      <c r="V236" s="140" t="str">
        <f>IF(U236="_","",_xlfn.XLOOKUP(U236,internal_cansku_inventory!D:D,internal_cansku_inventory!E:E,"",0,1))</f>
        <v/>
      </c>
    </row>
    <row r="237" spans="1:22" ht="12.45" customHeight="1">
      <c r="A237" s="132">
        <v>197</v>
      </c>
      <c r="B237" s="132">
        <v>0</v>
      </c>
      <c r="C237" s="132" t="str">
        <f>Table1[[#This Row],[inventory_id_head]]&amp;"-"&amp;Table1[[#This Row],[inventory_id_tail]]</f>
        <v>197-0</v>
      </c>
      <c r="D237" s="147" t="s">
        <v>680</v>
      </c>
      <c r="E237" s="133" t="s">
        <v>998</v>
      </c>
      <c r="F237" s="133" t="s">
        <v>1000</v>
      </c>
      <c r="G237" s="133" t="str">
        <f t="shared" si="24"/>
        <v>T043PRB018PR</v>
      </c>
      <c r="H237" s="133" t="s">
        <v>823</v>
      </c>
      <c r="I237" s="133"/>
      <c r="J237" s="133" t="s">
        <v>913</v>
      </c>
      <c r="K237" s="134" t="s">
        <v>655</v>
      </c>
      <c r="L237" s="135">
        <v>494</v>
      </c>
      <c r="M237" s="147" t="s">
        <v>858</v>
      </c>
      <c r="N237" s="136">
        <v>0.5</v>
      </c>
      <c r="O237" s="136">
        <v>0</v>
      </c>
      <c r="P237" s="136">
        <v>0</v>
      </c>
      <c r="Q237" s="137">
        <f t="shared" si="25"/>
        <v>247</v>
      </c>
      <c r="R237" s="133"/>
      <c r="S237" s="138">
        <v>45544.557638888888</v>
      </c>
      <c r="T237" s="133" t="s">
        <v>670</v>
      </c>
      <c r="U237" s="139" t="str">
        <f t="shared" si="21"/>
        <v>_preroll_bulk</v>
      </c>
      <c r="V237" s="140" t="str">
        <f>IF(U237="_","",_xlfn.XLOOKUP(U237,internal_cansku_inventory!D:D,internal_cansku_inventory!E:E,"",0,1))</f>
        <v/>
      </c>
    </row>
    <row r="238" spans="1:22" ht="12.45" customHeight="1">
      <c r="A238" s="132">
        <v>187</v>
      </c>
      <c r="B238" s="132">
        <v>0</v>
      </c>
      <c r="C238" s="132" t="str">
        <f>Table1[[#This Row],[inventory_id_head]]&amp;"-"&amp;Table1[[#This Row],[inventory_id_tail]]</f>
        <v>187-0</v>
      </c>
      <c r="D238" s="147" t="s">
        <v>680</v>
      </c>
      <c r="E238" s="133" t="s">
        <v>989</v>
      </c>
      <c r="F238" s="133" t="s">
        <v>1001</v>
      </c>
      <c r="G238" s="133" t="str">
        <f t="shared" si="24"/>
        <v>T043PRB008PR</v>
      </c>
      <c r="H238" s="133" t="s">
        <v>823</v>
      </c>
      <c r="I238" s="133"/>
      <c r="J238" s="133" t="s">
        <v>904</v>
      </c>
      <c r="K238" s="134" t="s">
        <v>655</v>
      </c>
      <c r="L238" s="135">
        <v>35</v>
      </c>
      <c r="M238" s="147" t="s">
        <v>858</v>
      </c>
      <c r="N238" s="136">
        <v>0.5</v>
      </c>
      <c r="O238" s="136">
        <v>0</v>
      </c>
      <c r="P238" s="136">
        <v>0</v>
      </c>
      <c r="Q238" s="137">
        <f t="shared" si="25"/>
        <v>17.5</v>
      </c>
      <c r="R238" s="133"/>
      <c r="S238" s="138">
        <v>45544.570138888892</v>
      </c>
      <c r="T238" s="133" t="s">
        <v>670</v>
      </c>
      <c r="U238" s="139" t="str">
        <f t="shared" si="21"/>
        <v>_preroll_bulk</v>
      </c>
      <c r="V238" s="140" t="str">
        <f>IF(U238="_","",_xlfn.XLOOKUP(U238,internal_cansku_inventory!D:D,internal_cansku_inventory!E:E,"",0,1))</f>
        <v/>
      </c>
    </row>
    <row r="239" spans="1:22" ht="12.45" customHeight="1">
      <c r="A239" s="132">
        <v>288</v>
      </c>
      <c r="B239" s="132">
        <v>0</v>
      </c>
      <c r="C239" s="132" t="str">
        <f>Table1[[#This Row],[inventory_id_head]]&amp;"-"&amp;Table1[[#This Row],[inventory_id_tail]]</f>
        <v>288-0</v>
      </c>
      <c r="D239" s="133" t="s">
        <v>653</v>
      </c>
      <c r="E239" s="133" t="s">
        <v>1002</v>
      </c>
      <c r="F239" s="133" t="s">
        <v>655</v>
      </c>
      <c r="G239" s="133" t="str">
        <f t="shared" si="24"/>
        <v>T027DFNA</v>
      </c>
      <c r="H239" s="133" t="s">
        <v>956</v>
      </c>
      <c r="I239" s="133"/>
      <c r="J239" s="133" t="s">
        <v>957</v>
      </c>
      <c r="K239" s="134">
        <v>44646</v>
      </c>
      <c r="L239" s="135">
        <v>250</v>
      </c>
      <c r="M239" s="133" t="s">
        <v>858</v>
      </c>
      <c r="N239" s="136">
        <v>3.5</v>
      </c>
      <c r="O239" s="136">
        <v>0</v>
      </c>
      <c r="P239" s="136">
        <v>0</v>
      </c>
      <c r="Q239" s="137">
        <f t="shared" si="25"/>
        <v>875</v>
      </c>
      <c r="R239" s="133" t="s">
        <v>923</v>
      </c>
      <c r="S239" s="138">
        <v>45544.638194444444</v>
      </c>
      <c r="T239" s="133" t="s">
        <v>657</v>
      </c>
      <c r="U239" s="139" t="str">
        <f t="shared" si="21"/>
        <v>_driedflower_labelled_RTV</v>
      </c>
      <c r="V239" s="140" t="str">
        <f>IF(U239="_","",_xlfn.XLOOKUP(U239,internal_cansku_inventory!D:D,internal_cansku_inventory!E:E,"",0,1))</f>
        <v/>
      </c>
    </row>
    <row r="240" spans="1:22" ht="12.45" customHeight="1">
      <c r="A240" s="132">
        <v>289</v>
      </c>
      <c r="B240" s="132">
        <v>0</v>
      </c>
      <c r="C240" s="132" t="str">
        <f>Table1[[#This Row],[inventory_id_head]]&amp;"-"&amp;Table1[[#This Row],[inventory_id_tail]]</f>
        <v>289-0</v>
      </c>
      <c r="D240" s="133" t="s">
        <v>653</v>
      </c>
      <c r="E240" s="133" t="s">
        <v>1003</v>
      </c>
      <c r="F240" s="133" t="s">
        <v>655</v>
      </c>
      <c r="G240" s="133" t="str">
        <f t="shared" si="24"/>
        <v>T028DFNA</v>
      </c>
      <c r="H240" s="133" t="s">
        <v>956</v>
      </c>
      <c r="I240" s="133"/>
      <c r="J240" s="133" t="s">
        <v>957</v>
      </c>
      <c r="K240" s="134">
        <v>44646</v>
      </c>
      <c r="L240" s="135">
        <v>250</v>
      </c>
      <c r="M240" s="133" t="s">
        <v>858</v>
      </c>
      <c r="N240" s="136">
        <v>3.5</v>
      </c>
      <c r="O240" s="136">
        <v>0</v>
      </c>
      <c r="P240" s="136">
        <v>0</v>
      </c>
      <c r="Q240" s="137">
        <f t="shared" si="25"/>
        <v>875</v>
      </c>
      <c r="R240" s="133" t="s">
        <v>923</v>
      </c>
      <c r="S240" s="138">
        <v>45544.638194444444</v>
      </c>
      <c r="T240" s="133" t="s">
        <v>657</v>
      </c>
      <c r="U240" s="139" t="str">
        <f t="shared" si="21"/>
        <v>_driedflower_labelled_RTV</v>
      </c>
      <c r="V240" s="140" t="str">
        <f>IF(U240="_","",_xlfn.XLOOKUP(U240,internal_cansku_inventory!D:D,internal_cansku_inventory!E:E,"",0,1))</f>
        <v/>
      </c>
    </row>
    <row r="241" spans="1:22" ht="12.45" customHeight="1">
      <c r="A241" s="132">
        <v>290</v>
      </c>
      <c r="B241" s="132">
        <v>0</v>
      </c>
      <c r="C241" s="132" t="str">
        <f>Table1[[#This Row],[inventory_id_head]]&amp;"-"&amp;Table1[[#This Row],[inventory_id_tail]]</f>
        <v>290-0</v>
      </c>
      <c r="D241" s="133" t="s">
        <v>653</v>
      </c>
      <c r="E241" s="133" t="s">
        <v>1004</v>
      </c>
      <c r="F241" s="133" t="s">
        <v>655</v>
      </c>
      <c r="G241" s="133" t="str">
        <f t="shared" si="24"/>
        <v>T029DFNA</v>
      </c>
      <c r="H241" s="133" t="s">
        <v>956</v>
      </c>
      <c r="I241" s="133"/>
      <c r="J241" s="133" t="s">
        <v>957</v>
      </c>
      <c r="K241" s="134">
        <v>44646</v>
      </c>
      <c r="L241" s="135">
        <v>250</v>
      </c>
      <c r="M241" s="133" t="s">
        <v>858</v>
      </c>
      <c r="N241" s="136">
        <v>3.5</v>
      </c>
      <c r="O241" s="136">
        <v>0</v>
      </c>
      <c r="P241" s="136">
        <v>0</v>
      </c>
      <c r="Q241" s="137">
        <f t="shared" si="25"/>
        <v>875</v>
      </c>
      <c r="R241" s="133" t="s">
        <v>923</v>
      </c>
      <c r="S241" s="138">
        <v>45544.638194444444</v>
      </c>
      <c r="T241" s="133" t="s">
        <v>657</v>
      </c>
      <c r="U241" s="139" t="str">
        <f t="shared" si="21"/>
        <v>_driedflower_labelled_RTV</v>
      </c>
      <c r="V241" s="140" t="str">
        <f>IF(U241="_","",_xlfn.XLOOKUP(U241,internal_cansku_inventory!D:D,internal_cansku_inventory!E:E,"",0,1))</f>
        <v/>
      </c>
    </row>
    <row r="242" spans="1:22" ht="12.45" customHeight="1">
      <c r="A242" s="132">
        <v>291</v>
      </c>
      <c r="B242" s="132">
        <v>0</v>
      </c>
      <c r="C242" s="132" t="str">
        <f>Table1[[#This Row],[inventory_id_head]]&amp;"-"&amp;Table1[[#This Row],[inventory_id_tail]]</f>
        <v>291-0</v>
      </c>
      <c r="D242" s="133" t="s">
        <v>653</v>
      </c>
      <c r="E242" s="133" t="s">
        <v>1005</v>
      </c>
      <c r="F242" s="133" t="s">
        <v>655</v>
      </c>
      <c r="G242" s="133" t="str">
        <f t="shared" si="24"/>
        <v>T030DFNA</v>
      </c>
      <c r="H242" s="133" t="s">
        <v>956</v>
      </c>
      <c r="I242" s="133"/>
      <c r="J242" s="133" t="s">
        <v>957</v>
      </c>
      <c r="K242" s="134">
        <v>44646</v>
      </c>
      <c r="L242" s="135">
        <v>108</v>
      </c>
      <c r="M242" s="133" t="s">
        <v>858</v>
      </c>
      <c r="N242" s="136">
        <v>3.5</v>
      </c>
      <c r="O242" s="136">
        <v>0</v>
      </c>
      <c r="P242" s="136">
        <v>0</v>
      </c>
      <c r="Q242" s="137">
        <f t="shared" si="25"/>
        <v>378</v>
      </c>
      <c r="R242" s="133" t="s">
        <v>923</v>
      </c>
      <c r="S242" s="138">
        <v>45544.638194444444</v>
      </c>
      <c r="T242" s="133" t="s">
        <v>657</v>
      </c>
      <c r="U242" s="139" t="str">
        <f t="shared" si="21"/>
        <v>_driedflower_labelled_RTV</v>
      </c>
      <c r="V242" s="140" t="str">
        <f>IF(U242="_","",_xlfn.XLOOKUP(U242,internal_cansku_inventory!D:D,internal_cansku_inventory!E:E,"",0,1))</f>
        <v/>
      </c>
    </row>
    <row r="243" spans="1:22" ht="12.45" customHeight="1">
      <c r="A243" s="132">
        <v>292</v>
      </c>
      <c r="B243" s="132">
        <v>0</v>
      </c>
      <c r="C243" s="132" t="str">
        <f>Table1[[#This Row],[inventory_id_head]]&amp;"-"&amp;Table1[[#This Row],[inventory_id_tail]]</f>
        <v>292-0</v>
      </c>
      <c r="D243" s="133" t="s">
        <v>653</v>
      </c>
      <c r="E243" s="133" t="s">
        <v>1006</v>
      </c>
      <c r="F243" s="133" t="s">
        <v>655</v>
      </c>
      <c r="G243" s="133" t="str">
        <f t="shared" si="24"/>
        <v>T031DFNA</v>
      </c>
      <c r="H243" s="133" t="s">
        <v>956</v>
      </c>
      <c r="I243" s="133"/>
      <c r="J243" s="133" t="s">
        <v>957</v>
      </c>
      <c r="K243" s="134">
        <v>44646</v>
      </c>
      <c r="L243" s="135">
        <v>72</v>
      </c>
      <c r="M243" s="133" t="s">
        <v>858</v>
      </c>
      <c r="N243" s="136">
        <v>3.5</v>
      </c>
      <c r="O243" s="136">
        <v>0</v>
      </c>
      <c r="P243" s="136">
        <v>0</v>
      </c>
      <c r="Q243" s="137">
        <f t="shared" si="25"/>
        <v>252</v>
      </c>
      <c r="R243" s="133" t="s">
        <v>923</v>
      </c>
      <c r="S243" s="138">
        <v>45544.638194444444</v>
      </c>
      <c r="T243" s="133" t="s">
        <v>657</v>
      </c>
      <c r="U243" s="139" t="str">
        <f t="shared" si="21"/>
        <v>_driedflower_labelled_RTV</v>
      </c>
      <c r="V243" s="140" t="str">
        <f>IF(U243="_","",_xlfn.XLOOKUP(U243,internal_cansku_inventory!D:D,internal_cansku_inventory!E:E,"",0,1))</f>
        <v/>
      </c>
    </row>
    <row r="244" spans="1:22" ht="12.45" customHeight="1">
      <c r="A244" s="132">
        <v>293</v>
      </c>
      <c r="B244" s="132">
        <v>0</v>
      </c>
      <c r="C244" s="132" t="str">
        <f>Table1[[#This Row],[inventory_id_head]]&amp;"-"&amp;Table1[[#This Row],[inventory_id_tail]]</f>
        <v>293-0</v>
      </c>
      <c r="D244" s="133" t="s">
        <v>653</v>
      </c>
      <c r="E244" s="133" t="s">
        <v>1007</v>
      </c>
      <c r="F244" s="133" t="s">
        <v>655</v>
      </c>
      <c r="G244" s="133" t="str">
        <f t="shared" ref="G244:G261" si="26">E244&amp;F244</f>
        <v>T032DFNA</v>
      </c>
      <c r="H244" s="133" t="s">
        <v>956</v>
      </c>
      <c r="I244" s="133"/>
      <c r="J244" s="133" t="s">
        <v>957</v>
      </c>
      <c r="K244" s="134">
        <v>44226</v>
      </c>
      <c r="L244" s="135">
        <v>15</v>
      </c>
      <c r="M244" s="133" t="s">
        <v>858</v>
      </c>
      <c r="N244" s="136">
        <v>3.5</v>
      </c>
      <c r="O244" s="136">
        <v>0</v>
      </c>
      <c r="P244" s="136">
        <v>0</v>
      </c>
      <c r="Q244" s="137">
        <f t="shared" ref="Q244:Q265" si="27">L244*N244</f>
        <v>52.5</v>
      </c>
      <c r="R244" s="133" t="s">
        <v>1008</v>
      </c>
      <c r="S244" s="138">
        <v>45544.638194444444</v>
      </c>
      <c r="T244" s="133" t="s">
        <v>657</v>
      </c>
      <c r="U244" s="139" t="str">
        <f t="shared" si="21"/>
        <v>_driedflower_labelled_RTV</v>
      </c>
      <c r="V244" s="140" t="str">
        <f>IF(U244="_","",_xlfn.XLOOKUP(U244,internal_cansku_inventory!D:D,internal_cansku_inventory!E:E,"",0,1))</f>
        <v/>
      </c>
    </row>
    <row r="245" spans="1:22" ht="12.45" customHeight="1">
      <c r="A245" s="132">
        <v>295</v>
      </c>
      <c r="B245" s="132">
        <v>0</v>
      </c>
      <c r="C245" s="132" t="str">
        <f>Table1[[#This Row],[inventory_id_head]]&amp;"-"&amp;Table1[[#This Row],[inventory_id_tail]]</f>
        <v>295-0</v>
      </c>
      <c r="D245" s="133" t="s">
        <v>680</v>
      </c>
      <c r="E245" s="133" t="s">
        <v>1009</v>
      </c>
      <c r="F245" s="133" t="s">
        <v>655</v>
      </c>
      <c r="G245" s="133" t="str">
        <f t="shared" si="26"/>
        <v>T029EXNA</v>
      </c>
      <c r="H245" s="133" t="s">
        <v>409</v>
      </c>
      <c r="I245" s="133"/>
      <c r="J245" s="133" t="s">
        <v>1010</v>
      </c>
      <c r="K245" s="134" t="s">
        <v>55</v>
      </c>
      <c r="L245" s="135">
        <v>200</v>
      </c>
      <c r="M245" s="133" t="s">
        <v>644</v>
      </c>
      <c r="N245" s="136">
        <v>0.5</v>
      </c>
      <c r="O245" s="136">
        <v>0</v>
      </c>
      <c r="P245" s="136">
        <v>0</v>
      </c>
      <c r="Q245" s="137">
        <f t="shared" si="27"/>
        <v>100</v>
      </c>
      <c r="R245" s="133"/>
      <c r="S245" s="138">
        <v>45545.428472222222</v>
      </c>
      <c r="T245" s="133" t="s">
        <v>657</v>
      </c>
      <c r="U245" s="139" t="str">
        <f t="shared" si="21"/>
        <v>_extract_inhaled_packaged</v>
      </c>
      <c r="V245" s="140" t="str">
        <f>IF(U245="_","",_xlfn.XLOOKUP(U245,internal_cansku_inventory!D:D,internal_cansku_inventory!E:E,"",0,1))</f>
        <v/>
      </c>
    </row>
    <row r="246" spans="1:22" ht="12.45" customHeight="1">
      <c r="A246" s="132">
        <v>302</v>
      </c>
      <c r="B246" s="132">
        <v>0</v>
      </c>
      <c r="C246" s="132" t="str">
        <f>Table1[[#This Row],[inventory_id_head]]&amp;"-"&amp;Table1[[#This Row],[inventory_id_tail]]</f>
        <v>302-0</v>
      </c>
      <c r="D246" s="133" t="s">
        <v>653</v>
      </c>
      <c r="E246" s="133" t="s">
        <v>1011</v>
      </c>
      <c r="F246" s="133" t="s">
        <v>655</v>
      </c>
      <c r="G246" s="133" t="str">
        <f t="shared" si="26"/>
        <v>T033DFNA</v>
      </c>
      <c r="H246" s="133" t="s">
        <v>941</v>
      </c>
      <c r="I246" s="133"/>
      <c r="J246" s="133">
        <v>96</v>
      </c>
      <c r="K246" s="134" t="s">
        <v>655</v>
      </c>
      <c r="L246" s="135">
        <v>1</v>
      </c>
      <c r="M246" s="133" t="s">
        <v>1012</v>
      </c>
      <c r="N246" s="136">
        <f t="shared" ref="N246:N260" si="28">O246-P246</f>
        <v>2369</v>
      </c>
      <c r="O246" s="136">
        <v>2448</v>
      </c>
      <c r="P246" s="136">
        <v>79</v>
      </c>
      <c r="Q246" s="137">
        <f t="shared" si="27"/>
        <v>2369</v>
      </c>
      <c r="R246" s="133"/>
      <c r="S246" s="138">
        <v>45545.428472222222</v>
      </c>
      <c r="T246" s="133" t="s">
        <v>978</v>
      </c>
      <c r="U246" s="139" t="str">
        <f t="shared" si="21"/>
        <v>_driedflower_bulk_unknown</v>
      </c>
      <c r="V246" s="140" t="str">
        <f>IF(U246="_","",_xlfn.XLOOKUP(U246,internal_cansku_inventory!D:D,internal_cansku_inventory!E:E,"",0,1))</f>
        <v/>
      </c>
    </row>
    <row r="247" spans="1:22" ht="12.45" customHeight="1">
      <c r="A247" s="132">
        <v>303</v>
      </c>
      <c r="B247" s="132">
        <v>0</v>
      </c>
      <c r="C247" s="132" t="str">
        <f>Table1[[#This Row],[inventory_id_head]]&amp;"-"&amp;Table1[[#This Row],[inventory_id_tail]]</f>
        <v>303-0</v>
      </c>
      <c r="D247" s="133" t="s">
        <v>653</v>
      </c>
      <c r="E247" s="133" t="s">
        <v>1011</v>
      </c>
      <c r="F247" s="133" t="s">
        <v>655</v>
      </c>
      <c r="G247" s="133" t="str">
        <f t="shared" si="26"/>
        <v>T033DFNA</v>
      </c>
      <c r="H247" s="133" t="s">
        <v>941</v>
      </c>
      <c r="I247" s="133"/>
      <c r="J247" s="133" t="s">
        <v>1013</v>
      </c>
      <c r="K247" s="134" t="s">
        <v>655</v>
      </c>
      <c r="L247" s="135">
        <v>1</v>
      </c>
      <c r="M247" s="133" t="s">
        <v>1012</v>
      </c>
      <c r="N247" s="136">
        <f t="shared" si="28"/>
        <v>436</v>
      </c>
      <c r="O247" s="136">
        <v>484</v>
      </c>
      <c r="P247" s="136">
        <v>48</v>
      </c>
      <c r="Q247" s="137">
        <f t="shared" si="27"/>
        <v>436</v>
      </c>
      <c r="R247" s="133"/>
      <c r="S247" s="138">
        <v>45545.428472222222</v>
      </c>
      <c r="T247" s="133" t="s">
        <v>978</v>
      </c>
      <c r="U247" s="139" t="str">
        <f t="shared" si="21"/>
        <v>_driedflower_bulk_unknown</v>
      </c>
      <c r="V247" s="140" t="str">
        <f>IF(U247="_","",_xlfn.XLOOKUP(U247,internal_cansku_inventory!D:D,internal_cansku_inventory!E:E,"",0,1))</f>
        <v/>
      </c>
    </row>
    <row r="248" spans="1:22" ht="12.45" customHeight="1">
      <c r="A248" s="132">
        <v>304</v>
      </c>
      <c r="B248" s="132">
        <v>0</v>
      </c>
      <c r="C248" s="132" t="str">
        <f>Table1[[#This Row],[inventory_id_head]]&amp;"-"&amp;Table1[[#This Row],[inventory_id_tail]]</f>
        <v>304-0</v>
      </c>
      <c r="D248" s="133" t="s">
        <v>653</v>
      </c>
      <c r="E248" s="133" t="s">
        <v>1011</v>
      </c>
      <c r="F248" s="133" t="s">
        <v>655</v>
      </c>
      <c r="G248" s="133" t="str">
        <f t="shared" si="26"/>
        <v>T033DFNA</v>
      </c>
      <c r="H248" s="133" t="s">
        <v>944</v>
      </c>
      <c r="I248" s="133"/>
      <c r="J248" s="133" t="s">
        <v>1014</v>
      </c>
      <c r="K248" s="134" t="s">
        <v>655</v>
      </c>
      <c r="L248" s="135">
        <v>1</v>
      </c>
      <c r="M248" s="133" t="s">
        <v>1012</v>
      </c>
      <c r="N248" s="136">
        <f t="shared" si="28"/>
        <v>1005</v>
      </c>
      <c r="O248" s="136">
        <v>1038</v>
      </c>
      <c r="P248" s="136">
        <v>33</v>
      </c>
      <c r="Q248" s="137">
        <f t="shared" si="27"/>
        <v>1005</v>
      </c>
      <c r="R248" s="133"/>
      <c r="S248" s="138">
        <v>45545.428472222222</v>
      </c>
      <c r="T248" s="133" t="s">
        <v>978</v>
      </c>
      <c r="U248" s="139" t="str">
        <f t="shared" si="21"/>
        <v>_driedflower_trim_unknown_inferior</v>
      </c>
      <c r="V248" s="140" t="str">
        <f>IF(U248="_","",_xlfn.XLOOKUP(U248,internal_cansku_inventory!D:D,internal_cansku_inventory!E:E,"",0,1))</f>
        <v/>
      </c>
    </row>
    <row r="249" spans="1:22" ht="12.45" customHeight="1">
      <c r="A249" s="132">
        <v>305</v>
      </c>
      <c r="B249" s="132">
        <v>0</v>
      </c>
      <c r="C249" s="132" t="str">
        <f>Table1[[#This Row],[inventory_id_head]]&amp;"-"&amp;Table1[[#This Row],[inventory_id_tail]]</f>
        <v>305-0</v>
      </c>
      <c r="D249" s="133" t="s">
        <v>653</v>
      </c>
      <c r="E249" s="133" t="s">
        <v>1011</v>
      </c>
      <c r="F249" s="133" t="s">
        <v>655</v>
      </c>
      <c r="G249" s="133" t="str">
        <f t="shared" si="26"/>
        <v>T033DFNA</v>
      </c>
      <c r="H249" s="133" t="s">
        <v>944</v>
      </c>
      <c r="I249" s="133"/>
      <c r="J249" s="133">
        <v>2203010</v>
      </c>
      <c r="K249" s="134" t="s">
        <v>655</v>
      </c>
      <c r="L249" s="135">
        <v>1</v>
      </c>
      <c r="M249" s="133" t="s">
        <v>1012</v>
      </c>
      <c r="N249" s="136">
        <f t="shared" si="28"/>
        <v>234.4</v>
      </c>
      <c r="O249" s="136">
        <v>270</v>
      </c>
      <c r="P249" s="136">
        <v>35.6</v>
      </c>
      <c r="Q249" s="137">
        <f t="shared" si="27"/>
        <v>234.4</v>
      </c>
      <c r="R249" s="133"/>
      <c r="S249" s="138">
        <v>45545.428472222222</v>
      </c>
      <c r="T249" s="133" t="s">
        <v>978</v>
      </c>
      <c r="U249" s="139" t="str">
        <f t="shared" si="21"/>
        <v>_driedflower_trim_unknown_inferior</v>
      </c>
      <c r="V249" s="140" t="str">
        <f>IF(U249="_","",_xlfn.XLOOKUP(U249,internal_cansku_inventory!D:D,internal_cansku_inventory!E:E,"",0,1))</f>
        <v/>
      </c>
    </row>
    <row r="250" spans="1:22" ht="12.45" customHeight="1">
      <c r="A250" s="132">
        <v>306</v>
      </c>
      <c r="B250" s="132">
        <v>0</v>
      </c>
      <c r="C250" s="132" t="str">
        <f>Table1[[#This Row],[inventory_id_head]]&amp;"-"&amp;Table1[[#This Row],[inventory_id_tail]]</f>
        <v>306-0</v>
      </c>
      <c r="D250" s="133" t="s">
        <v>653</v>
      </c>
      <c r="E250" s="133" t="s">
        <v>1011</v>
      </c>
      <c r="F250" s="133" t="s">
        <v>655</v>
      </c>
      <c r="G250" s="133" t="str">
        <f t="shared" si="26"/>
        <v>T033DFNA</v>
      </c>
      <c r="H250" s="133" t="s">
        <v>944</v>
      </c>
      <c r="I250" s="133"/>
      <c r="J250" s="133" t="s">
        <v>1014</v>
      </c>
      <c r="K250" s="134" t="s">
        <v>655</v>
      </c>
      <c r="L250" s="135">
        <v>1</v>
      </c>
      <c r="M250" s="133" t="s">
        <v>1012</v>
      </c>
      <c r="N250" s="136">
        <f t="shared" si="28"/>
        <v>620</v>
      </c>
      <c r="O250" s="136">
        <v>644</v>
      </c>
      <c r="P250" s="136">
        <v>24</v>
      </c>
      <c r="Q250" s="137">
        <f t="shared" si="27"/>
        <v>620</v>
      </c>
      <c r="R250" s="133"/>
      <c r="S250" s="138">
        <v>45545.428472222222</v>
      </c>
      <c r="T250" s="133" t="s">
        <v>978</v>
      </c>
      <c r="U250" s="139" t="str">
        <f t="shared" si="21"/>
        <v>_driedflower_trim_unknown_inferior</v>
      </c>
      <c r="V250" s="140" t="str">
        <f>IF(U250="_","",_xlfn.XLOOKUP(U250,internal_cansku_inventory!D:D,internal_cansku_inventory!E:E,"",0,1))</f>
        <v/>
      </c>
    </row>
    <row r="251" spans="1:22" ht="12.45" customHeight="1">
      <c r="A251" s="132">
        <v>307</v>
      </c>
      <c r="B251" s="132">
        <v>0</v>
      </c>
      <c r="C251" s="132" t="str">
        <f>Table1[[#This Row],[inventory_id_head]]&amp;"-"&amp;Table1[[#This Row],[inventory_id_tail]]</f>
        <v>307-0</v>
      </c>
      <c r="D251" s="133" t="s">
        <v>653</v>
      </c>
      <c r="E251" s="133" t="s">
        <v>1011</v>
      </c>
      <c r="F251" s="133" t="s">
        <v>655</v>
      </c>
      <c r="G251" s="133" t="str">
        <f t="shared" si="26"/>
        <v>T033DFNA</v>
      </c>
      <c r="H251" s="133" t="s">
        <v>944</v>
      </c>
      <c r="I251" s="133"/>
      <c r="J251" s="133" t="s">
        <v>1014</v>
      </c>
      <c r="K251" s="134" t="s">
        <v>655</v>
      </c>
      <c r="L251" s="135">
        <v>1</v>
      </c>
      <c r="M251" s="133" t="s">
        <v>1012</v>
      </c>
      <c r="N251" s="136">
        <f t="shared" si="28"/>
        <v>1005</v>
      </c>
      <c r="O251" s="136">
        <v>1038</v>
      </c>
      <c r="P251" s="136">
        <v>33</v>
      </c>
      <c r="Q251" s="137">
        <f t="shared" si="27"/>
        <v>1005</v>
      </c>
      <c r="R251" s="133"/>
      <c r="S251" s="138">
        <v>45545.428472222222</v>
      </c>
      <c r="T251" s="133" t="s">
        <v>978</v>
      </c>
      <c r="U251" s="139" t="str">
        <f t="shared" si="21"/>
        <v>_driedflower_trim_unknown_inferior</v>
      </c>
      <c r="V251" s="140" t="str">
        <f>IF(U251="_","",_xlfn.XLOOKUP(U251,internal_cansku_inventory!D:D,internal_cansku_inventory!E:E,"",0,1))</f>
        <v/>
      </c>
    </row>
    <row r="252" spans="1:22" ht="12.45" customHeight="1">
      <c r="A252" s="132">
        <v>308</v>
      </c>
      <c r="B252" s="132">
        <v>0</v>
      </c>
      <c r="C252" s="132" t="str">
        <f>Table1[[#This Row],[inventory_id_head]]&amp;"-"&amp;Table1[[#This Row],[inventory_id_tail]]</f>
        <v>308-0</v>
      </c>
      <c r="D252" s="133" t="s">
        <v>653</v>
      </c>
      <c r="E252" s="133" t="s">
        <v>1011</v>
      </c>
      <c r="F252" s="133" t="s">
        <v>655</v>
      </c>
      <c r="G252" s="133" t="str">
        <f t="shared" si="26"/>
        <v>T033DFNA</v>
      </c>
      <c r="H252" s="133" t="s">
        <v>944</v>
      </c>
      <c r="I252" s="133"/>
      <c r="J252" s="133" t="s">
        <v>1014</v>
      </c>
      <c r="K252" s="134" t="s">
        <v>655</v>
      </c>
      <c r="L252" s="135">
        <v>1</v>
      </c>
      <c r="M252" s="133" t="s">
        <v>1012</v>
      </c>
      <c r="N252" s="136">
        <f t="shared" si="28"/>
        <v>1003</v>
      </c>
      <c r="O252" s="136">
        <v>1036</v>
      </c>
      <c r="P252" s="136">
        <v>33</v>
      </c>
      <c r="Q252" s="137">
        <f t="shared" si="27"/>
        <v>1003</v>
      </c>
      <c r="R252" s="133"/>
      <c r="S252" s="138">
        <v>45545.428472222222</v>
      </c>
      <c r="T252" s="133" t="s">
        <v>978</v>
      </c>
      <c r="U252" s="139" t="str">
        <f t="shared" si="21"/>
        <v>_driedflower_trim_unknown_inferior</v>
      </c>
      <c r="V252" s="140" t="str">
        <f>IF(U252="_","",_xlfn.XLOOKUP(U252,internal_cansku_inventory!D:D,internal_cansku_inventory!E:E,"",0,1))</f>
        <v/>
      </c>
    </row>
    <row r="253" spans="1:22" ht="12.45" customHeight="1">
      <c r="A253" s="132">
        <v>309</v>
      </c>
      <c r="B253" s="132">
        <v>0</v>
      </c>
      <c r="C253" s="132" t="str">
        <f>Table1[[#This Row],[inventory_id_head]]&amp;"-"&amp;Table1[[#This Row],[inventory_id_tail]]</f>
        <v>309-0</v>
      </c>
      <c r="D253" s="133" t="s">
        <v>653</v>
      </c>
      <c r="E253" s="133" t="s">
        <v>1011</v>
      </c>
      <c r="F253" s="133" t="s">
        <v>655</v>
      </c>
      <c r="G253" s="133" t="str">
        <f t="shared" si="26"/>
        <v>T033DFNA</v>
      </c>
      <c r="H253" s="133" t="s">
        <v>944</v>
      </c>
      <c r="I253" s="133"/>
      <c r="J253" s="133" t="s">
        <v>1015</v>
      </c>
      <c r="K253" s="134" t="s">
        <v>655</v>
      </c>
      <c r="L253" s="135">
        <v>1</v>
      </c>
      <c r="M253" s="133" t="s">
        <v>1012</v>
      </c>
      <c r="N253" s="136">
        <f t="shared" si="28"/>
        <v>1828</v>
      </c>
      <c r="O253" s="136">
        <v>1866</v>
      </c>
      <c r="P253" s="136">
        <v>38</v>
      </c>
      <c r="Q253" s="137">
        <f t="shared" si="27"/>
        <v>1828</v>
      </c>
      <c r="R253" s="133"/>
      <c r="S253" s="138">
        <v>45545.428472222222</v>
      </c>
      <c r="T253" s="133" t="s">
        <v>978</v>
      </c>
      <c r="U253" s="139" t="str">
        <f t="shared" si="21"/>
        <v>_driedflower_trim_unknown_inferior</v>
      </c>
      <c r="V253" s="140" t="str">
        <f>IF(U253="_","",_xlfn.XLOOKUP(U253,internal_cansku_inventory!D:D,internal_cansku_inventory!E:E,"",0,1))</f>
        <v/>
      </c>
    </row>
    <row r="254" spans="1:22" ht="12.45" customHeight="1">
      <c r="A254" s="132">
        <v>310</v>
      </c>
      <c r="B254" s="132">
        <v>0</v>
      </c>
      <c r="C254" s="132" t="str">
        <f>Table1[[#This Row],[inventory_id_head]]&amp;"-"&amp;Table1[[#This Row],[inventory_id_tail]]</f>
        <v>310-0</v>
      </c>
      <c r="D254" s="133" t="s">
        <v>653</v>
      </c>
      <c r="E254" s="133" t="s">
        <v>1011</v>
      </c>
      <c r="F254" s="133" t="s">
        <v>655</v>
      </c>
      <c r="G254" s="133" t="str">
        <f t="shared" si="26"/>
        <v>T033DFNA</v>
      </c>
      <c r="H254" s="133" t="s">
        <v>944</v>
      </c>
      <c r="I254" s="133"/>
      <c r="J254" s="133" t="s">
        <v>1014</v>
      </c>
      <c r="K254" s="134" t="s">
        <v>655</v>
      </c>
      <c r="L254" s="135">
        <v>1</v>
      </c>
      <c r="M254" s="133" t="s">
        <v>1012</v>
      </c>
      <c r="N254" s="136">
        <f t="shared" si="28"/>
        <v>1007</v>
      </c>
      <c r="O254" s="136">
        <v>1040</v>
      </c>
      <c r="P254" s="136">
        <v>33</v>
      </c>
      <c r="Q254" s="137">
        <f t="shared" si="27"/>
        <v>1007</v>
      </c>
      <c r="R254" s="133"/>
      <c r="S254" s="138">
        <v>45545.428472222222</v>
      </c>
      <c r="T254" s="133" t="s">
        <v>978</v>
      </c>
      <c r="U254" s="139" t="str">
        <f t="shared" si="21"/>
        <v>_driedflower_trim_unknown_inferior</v>
      </c>
      <c r="V254" s="140" t="str">
        <f>IF(U254="_","",_xlfn.XLOOKUP(U254,internal_cansku_inventory!D:D,internal_cansku_inventory!E:E,"",0,1))</f>
        <v/>
      </c>
    </row>
    <row r="255" spans="1:22" ht="12.45" customHeight="1">
      <c r="A255" s="132">
        <v>311</v>
      </c>
      <c r="B255" s="132">
        <v>0</v>
      </c>
      <c r="C255" s="132" t="str">
        <f>Table1[[#This Row],[inventory_id_head]]&amp;"-"&amp;Table1[[#This Row],[inventory_id_tail]]</f>
        <v>311-0</v>
      </c>
      <c r="D255" s="133" t="s">
        <v>653</v>
      </c>
      <c r="E255" s="133" t="s">
        <v>1011</v>
      </c>
      <c r="F255" s="133" t="s">
        <v>655</v>
      </c>
      <c r="G255" s="133" t="str">
        <f t="shared" si="26"/>
        <v>T033DFNA</v>
      </c>
      <c r="H255" s="133" t="s">
        <v>944</v>
      </c>
      <c r="I255" s="133"/>
      <c r="J255" s="133">
        <v>2203010</v>
      </c>
      <c r="K255" s="134" t="s">
        <v>655</v>
      </c>
      <c r="L255" s="135">
        <v>1</v>
      </c>
      <c r="M255" s="133" t="s">
        <v>1012</v>
      </c>
      <c r="N255" s="136">
        <f t="shared" si="28"/>
        <v>300</v>
      </c>
      <c r="O255" s="136">
        <v>336</v>
      </c>
      <c r="P255" s="136">
        <v>36</v>
      </c>
      <c r="Q255" s="137">
        <f t="shared" si="27"/>
        <v>300</v>
      </c>
      <c r="R255" s="133"/>
      <c r="S255" s="138">
        <v>45545.428472222222</v>
      </c>
      <c r="T255" s="133" t="s">
        <v>978</v>
      </c>
      <c r="U255" s="139" t="str">
        <f t="shared" si="21"/>
        <v>_driedflower_trim_unknown_inferior</v>
      </c>
      <c r="V255" s="140" t="str">
        <f>IF(U255="_","",_xlfn.XLOOKUP(U255,internal_cansku_inventory!D:D,internal_cansku_inventory!E:E,"",0,1))</f>
        <v/>
      </c>
    </row>
    <row r="256" spans="1:22" ht="12.45" customHeight="1">
      <c r="A256" s="132">
        <v>312</v>
      </c>
      <c r="B256" s="132">
        <v>0</v>
      </c>
      <c r="C256" s="132" t="str">
        <f>Table1[[#This Row],[inventory_id_head]]&amp;"-"&amp;Table1[[#This Row],[inventory_id_tail]]</f>
        <v>312-0</v>
      </c>
      <c r="D256" s="133" t="s">
        <v>653</v>
      </c>
      <c r="E256" s="133" t="s">
        <v>1011</v>
      </c>
      <c r="F256" s="133" t="s">
        <v>655</v>
      </c>
      <c r="G256" s="133" t="str">
        <f t="shared" si="26"/>
        <v>T033DFNA</v>
      </c>
      <c r="H256" s="133" t="s">
        <v>944</v>
      </c>
      <c r="I256" s="133"/>
      <c r="J256" s="133" t="s">
        <v>949</v>
      </c>
      <c r="K256" s="134" t="s">
        <v>655</v>
      </c>
      <c r="L256" s="135">
        <v>1</v>
      </c>
      <c r="M256" s="133" t="s">
        <v>1012</v>
      </c>
      <c r="N256" s="136">
        <f t="shared" si="28"/>
        <v>7451</v>
      </c>
      <c r="O256" s="136">
        <v>7530</v>
      </c>
      <c r="P256" s="136">
        <v>79</v>
      </c>
      <c r="Q256" s="137">
        <f t="shared" si="27"/>
        <v>7451</v>
      </c>
      <c r="R256" s="133"/>
      <c r="S256" s="138">
        <v>45545.428472222222</v>
      </c>
      <c r="T256" s="133" t="s">
        <v>978</v>
      </c>
      <c r="U256" s="139" t="str">
        <f t="shared" si="21"/>
        <v>_driedflower_trim_unknown_inferior</v>
      </c>
      <c r="V256" s="140" t="str">
        <f>IF(U256="_","",_xlfn.XLOOKUP(U256,internal_cansku_inventory!D:D,internal_cansku_inventory!E:E,"",0,1))</f>
        <v/>
      </c>
    </row>
    <row r="257" spans="1:22" ht="12.45" customHeight="1">
      <c r="A257" s="132">
        <v>313</v>
      </c>
      <c r="B257" s="132">
        <v>0</v>
      </c>
      <c r="C257" s="132" t="str">
        <f>Table1[[#This Row],[inventory_id_head]]&amp;"-"&amp;Table1[[#This Row],[inventory_id_tail]]</f>
        <v>313-0</v>
      </c>
      <c r="D257" s="133" t="s">
        <v>653</v>
      </c>
      <c r="E257" s="133" t="s">
        <v>951</v>
      </c>
      <c r="F257" s="133" t="s">
        <v>655</v>
      </c>
      <c r="G257" s="133" t="str">
        <f t="shared" si="26"/>
        <v>T018DFNA</v>
      </c>
      <c r="H257" s="133" t="s">
        <v>941</v>
      </c>
      <c r="I257" s="133"/>
      <c r="J257" s="133">
        <v>2021120901</v>
      </c>
      <c r="K257" s="134" t="s">
        <v>655</v>
      </c>
      <c r="L257" s="135">
        <v>1</v>
      </c>
      <c r="M257" s="133" t="s">
        <v>1012</v>
      </c>
      <c r="N257" s="136">
        <f t="shared" si="28"/>
        <v>500</v>
      </c>
      <c r="O257" s="136">
        <v>530</v>
      </c>
      <c r="P257" s="136">
        <v>30</v>
      </c>
      <c r="Q257" s="137">
        <f t="shared" si="27"/>
        <v>500</v>
      </c>
      <c r="R257" s="133"/>
      <c r="S257" s="138">
        <v>45545.490972222222</v>
      </c>
      <c r="T257" s="133" t="s">
        <v>978</v>
      </c>
      <c r="U257" s="139" t="str">
        <f t="shared" si="21"/>
        <v>_driedflower_bulk_unknown</v>
      </c>
      <c r="V257" s="140" t="str">
        <f>IF(U257="_","",_xlfn.XLOOKUP(U257,internal_cansku_inventory!D:D,internal_cansku_inventory!E:E,"",0,1))</f>
        <v/>
      </c>
    </row>
    <row r="258" spans="1:22" ht="12.45" customHeight="1">
      <c r="A258" s="132">
        <v>314</v>
      </c>
      <c r="B258" s="132">
        <v>0</v>
      </c>
      <c r="C258" s="132" t="str">
        <f>Table1[[#This Row],[inventory_id_head]]&amp;"-"&amp;Table1[[#This Row],[inventory_id_tail]]</f>
        <v>314-0</v>
      </c>
      <c r="D258" s="133" t="s">
        <v>653</v>
      </c>
      <c r="E258" s="133" t="s">
        <v>951</v>
      </c>
      <c r="F258" s="133" t="s">
        <v>655</v>
      </c>
      <c r="G258" s="133" t="str">
        <f t="shared" si="26"/>
        <v>T018DFNA</v>
      </c>
      <c r="H258" s="133" t="s">
        <v>944</v>
      </c>
      <c r="I258" s="133"/>
      <c r="J258" s="133" t="s">
        <v>723</v>
      </c>
      <c r="K258" s="134" t="s">
        <v>655</v>
      </c>
      <c r="L258" s="135">
        <v>1</v>
      </c>
      <c r="M258" s="133" t="s">
        <v>1012</v>
      </c>
      <c r="N258" s="136">
        <f t="shared" si="28"/>
        <v>758</v>
      </c>
      <c r="O258" s="136">
        <v>824</v>
      </c>
      <c r="P258" s="136">
        <f>824-758</f>
        <v>66</v>
      </c>
      <c r="Q258" s="137">
        <f t="shared" si="27"/>
        <v>758</v>
      </c>
      <c r="R258" s="133"/>
      <c r="S258" s="138">
        <v>45545.490972222222</v>
      </c>
      <c r="T258" s="133" t="s">
        <v>978</v>
      </c>
      <c r="U258" s="139" t="str">
        <f t="shared" ref="U258:U321" si="29">I258&amp;"_"&amp;H258</f>
        <v>_driedflower_trim_unknown_inferior</v>
      </c>
      <c r="V258" s="140" t="str">
        <f>IF(U258="_","",_xlfn.XLOOKUP(U258,internal_cansku_inventory!D:D,internal_cansku_inventory!E:E,"",0,1))</f>
        <v/>
      </c>
    </row>
    <row r="259" spans="1:22" ht="12.45" customHeight="1">
      <c r="A259" s="132">
        <v>315</v>
      </c>
      <c r="B259" s="132">
        <v>0</v>
      </c>
      <c r="C259" s="132" t="str">
        <f>Table1[[#This Row],[inventory_id_head]]&amp;"-"&amp;Table1[[#This Row],[inventory_id_tail]]</f>
        <v>315-0</v>
      </c>
      <c r="D259" s="133" t="s">
        <v>653</v>
      </c>
      <c r="E259" s="133" t="s">
        <v>951</v>
      </c>
      <c r="F259" s="133" t="s">
        <v>655</v>
      </c>
      <c r="G259" s="133" t="str">
        <f t="shared" si="26"/>
        <v>T018DFNA</v>
      </c>
      <c r="H259" s="133" t="s">
        <v>944</v>
      </c>
      <c r="I259" s="133"/>
      <c r="J259" s="133">
        <v>2022080201</v>
      </c>
      <c r="K259" s="134" t="s">
        <v>655</v>
      </c>
      <c r="L259" s="135">
        <v>1</v>
      </c>
      <c r="M259" s="133" t="s">
        <v>1012</v>
      </c>
      <c r="N259" s="136">
        <f t="shared" si="28"/>
        <v>68</v>
      </c>
      <c r="O259" s="136">
        <v>134</v>
      </c>
      <c r="P259" s="136">
        <f>824-758</f>
        <v>66</v>
      </c>
      <c r="Q259" s="137">
        <f t="shared" si="27"/>
        <v>68</v>
      </c>
      <c r="R259" s="133"/>
      <c r="S259" s="138">
        <v>45545.490972222222</v>
      </c>
      <c r="T259" s="133" t="s">
        <v>978</v>
      </c>
      <c r="U259" s="139" t="str">
        <f t="shared" si="29"/>
        <v>_driedflower_trim_unknown_inferior</v>
      </c>
      <c r="V259" s="140" t="str">
        <f>IF(U259="_","",_xlfn.XLOOKUP(U259,internal_cansku_inventory!D:D,internal_cansku_inventory!E:E,"",0,1))</f>
        <v/>
      </c>
    </row>
    <row r="260" spans="1:22" ht="12.45" customHeight="1">
      <c r="A260" s="132">
        <v>316</v>
      </c>
      <c r="B260" s="132">
        <v>0</v>
      </c>
      <c r="C260" s="132" t="str">
        <f>Table1[[#This Row],[inventory_id_head]]&amp;"-"&amp;Table1[[#This Row],[inventory_id_tail]]</f>
        <v>316-0</v>
      </c>
      <c r="D260" s="133" t="s">
        <v>653</v>
      </c>
      <c r="E260" s="133" t="s">
        <v>951</v>
      </c>
      <c r="F260" s="133" t="s">
        <v>655</v>
      </c>
      <c r="G260" s="133" t="str">
        <f t="shared" si="26"/>
        <v>T018DFNA</v>
      </c>
      <c r="H260" s="133" t="s">
        <v>944</v>
      </c>
      <c r="I260" s="133"/>
      <c r="J260" s="133">
        <v>2022091603</v>
      </c>
      <c r="K260" s="134" t="s">
        <v>655</v>
      </c>
      <c r="L260" s="135">
        <v>1</v>
      </c>
      <c r="M260" s="133" t="s">
        <v>1012</v>
      </c>
      <c r="N260" s="136">
        <f t="shared" si="28"/>
        <v>36.03</v>
      </c>
      <c r="O260" s="136">
        <v>46</v>
      </c>
      <c r="P260" s="136">
        <f>46-36.03</f>
        <v>9.9699999999999989</v>
      </c>
      <c r="Q260" s="137">
        <f t="shared" si="27"/>
        <v>36.03</v>
      </c>
      <c r="R260" s="133"/>
      <c r="S260" s="138">
        <v>45545.496527777781</v>
      </c>
      <c r="T260" s="133" t="s">
        <v>978</v>
      </c>
      <c r="U260" s="139" t="str">
        <f t="shared" si="29"/>
        <v>_driedflower_trim_unknown_inferior</v>
      </c>
      <c r="V260" s="140" t="str">
        <f>IF(U260="_","",_xlfn.XLOOKUP(U260,internal_cansku_inventory!D:D,internal_cansku_inventory!E:E,"",0,1))</f>
        <v/>
      </c>
    </row>
    <row r="261" spans="1:22" ht="12.45" customHeight="1">
      <c r="A261" s="132">
        <v>317</v>
      </c>
      <c r="B261" s="132">
        <v>0</v>
      </c>
      <c r="C261" s="132" t="str">
        <f>Table1[[#This Row],[inventory_id_head]]&amp;"-"&amp;Table1[[#This Row],[inventory_id_tail]]</f>
        <v>317-0</v>
      </c>
      <c r="D261" s="133" t="s">
        <v>653</v>
      </c>
      <c r="E261" s="133" t="s">
        <v>1016</v>
      </c>
      <c r="F261" s="133" t="s">
        <v>655</v>
      </c>
      <c r="G261" s="133" t="str">
        <f t="shared" si="26"/>
        <v>T006TPNA</v>
      </c>
      <c r="H261" s="133" t="s">
        <v>1017</v>
      </c>
      <c r="I261" s="133"/>
      <c r="J261" s="133" t="s">
        <v>1018</v>
      </c>
      <c r="K261" s="134">
        <v>44497</v>
      </c>
      <c r="L261" s="135">
        <v>550</v>
      </c>
      <c r="M261" s="133" t="s">
        <v>858</v>
      </c>
      <c r="N261" s="136">
        <v>75</v>
      </c>
      <c r="O261" s="136">
        <v>0</v>
      </c>
      <c r="P261" s="136">
        <v>0</v>
      </c>
      <c r="Q261" s="137">
        <f t="shared" si="27"/>
        <v>41250</v>
      </c>
      <c r="R261" s="133"/>
      <c r="S261" s="138">
        <v>45545.574305555558</v>
      </c>
      <c r="T261" s="133" t="s">
        <v>657</v>
      </c>
      <c r="U261" s="139" t="str">
        <f t="shared" si="29"/>
        <v>_topical_labelled_RTV</v>
      </c>
      <c r="V261" s="140" t="str">
        <f>IF(U261="_","",_xlfn.XLOOKUP(U261,internal_cansku_inventory!D:D,internal_cansku_inventory!E:E,"",0,1))</f>
        <v/>
      </c>
    </row>
    <row r="262" spans="1:22" ht="12.45" customHeight="1">
      <c r="A262" s="132">
        <v>318</v>
      </c>
      <c r="B262" s="132">
        <v>0</v>
      </c>
      <c r="C262" s="132" t="str">
        <f>Table1[[#This Row],[inventory_id_head]]&amp;"-"&amp;Table1[[#This Row],[inventory_id_tail]]</f>
        <v>318-0</v>
      </c>
      <c r="D262" s="133" t="s">
        <v>680</v>
      </c>
      <c r="E262" s="133" t="s">
        <v>55</v>
      </c>
      <c r="F262" s="133" t="s">
        <v>55</v>
      </c>
      <c r="G262" s="133" t="s">
        <v>970</v>
      </c>
      <c r="H262" s="133" t="s">
        <v>861</v>
      </c>
      <c r="I262" s="133"/>
      <c r="J262" s="133" t="s">
        <v>1019</v>
      </c>
      <c r="K262" s="134">
        <v>45523</v>
      </c>
      <c r="L262" s="135">
        <v>0</v>
      </c>
      <c r="M262" s="133" t="s">
        <v>858</v>
      </c>
      <c r="N262" s="136">
        <v>50</v>
      </c>
      <c r="O262" s="136">
        <v>0</v>
      </c>
      <c r="P262" s="136">
        <v>0</v>
      </c>
      <c r="Q262" s="137">
        <f t="shared" si="27"/>
        <v>0</v>
      </c>
      <c r="R262" s="133" t="s">
        <v>12</v>
      </c>
      <c r="S262" s="138">
        <v>45546.709027777775</v>
      </c>
      <c r="T262" s="133" t="s">
        <v>657</v>
      </c>
      <c r="U262" s="139" t="str">
        <f t="shared" si="29"/>
        <v>_extract_ingested_labelled</v>
      </c>
      <c r="V262" s="140" t="str">
        <f>IF(U262="_","",_xlfn.XLOOKUP(U262,internal_cansku_inventory!D:D,internal_cansku_inventory!E:E,"",0,1))</f>
        <v/>
      </c>
    </row>
    <row r="263" spans="1:22" ht="12.45" customHeight="1">
      <c r="A263" s="132">
        <v>321</v>
      </c>
      <c r="B263" s="132">
        <v>0</v>
      </c>
      <c r="C263" s="132" t="str">
        <f>Table1[[#This Row],[inventory_id_head]]&amp;"-"&amp;Table1[[#This Row],[inventory_id_tail]]</f>
        <v>321-0</v>
      </c>
      <c r="D263" s="133" t="s">
        <v>680</v>
      </c>
      <c r="E263" s="133" t="s">
        <v>1020</v>
      </c>
      <c r="F263" s="133" t="s">
        <v>55</v>
      </c>
      <c r="G263" s="133" t="str">
        <f t="shared" ref="G263:G294" si="30">E263&amp;F263</f>
        <v>T017PRNA</v>
      </c>
      <c r="H263" s="133" t="s">
        <v>813</v>
      </c>
      <c r="I263" s="133"/>
      <c r="J263" s="133" t="s">
        <v>1021</v>
      </c>
      <c r="K263" s="134">
        <v>45541</v>
      </c>
      <c r="L263" s="135">
        <f>6*12</f>
        <v>72</v>
      </c>
      <c r="M263" s="133" t="s">
        <v>858</v>
      </c>
      <c r="N263" s="136">
        <v>1</v>
      </c>
      <c r="O263" s="136">
        <v>0</v>
      </c>
      <c r="P263" s="136">
        <v>0</v>
      </c>
      <c r="Q263" s="137">
        <f t="shared" si="27"/>
        <v>72</v>
      </c>
      <c r="R263" s="133"/>
      <c r="S263" s="138">
        <v>45548.626388888886</v>
      </c>
      <c r="T263" s="133" t="s">
        <v>657</v>
      </c>
      <c r="U263" s="139" t="str">
        <f t="shared" si="29"/>
        <v>_preroll_labelled</v>
      </c>
      <c r="V263" s="140" t="str">
        <f>IF(U263="_","",_xlfn.XLOOKUP(U263,internal_cansku_inventory!D:D,internal_cansku_inventory!E:E,"",0,1))</f>
        <v/>
      </c>
    </row>
    <row r="264" spans="1:22" ht="12.45" customHeight="1">
      <c r="A264" s="132">
        <v>152</v>
      </c>
      <c r="B264" s="132">
        <v>0</v>
      </c>
      <c r="C264" s="132" t="str">
        <f>Table1[[#This Row],[inventory_id_head]]&amp;"-"&amp;Table1[[#This Row],[inventory_id_tail]]</f>
        <v>152-0</v>
      </c>
      <c r="D264" s="153" t="s">
        <v>680</v>
      </c>
      <c r="E264" s="133" t="s">
        <v>870</v>
      </c>
      <c r="F264" s="133" t="s">
        <v>655</v>
      </c>
      <c r="G264" s="133" t="str">
        <f t="shared" si="30"/>
        <v>T035PRNA</v>
      </c>
      <c r="H264" s="133" t="s">
        <v>813</v>
      </c>
      <c r="I264" s="133"/>
      <c r="J264" s="133" t="s">
        <v>1022</v>
      </c>
      <c r="K264" s="134">
        <v>45543</v>
      </c>
      <c r="L264" s="135">
        <v>114</v>
      </c>
      <c r="M264" s="133" t="s">
        <v>644</v>
      </c>
      <c r="N264" s="136">
        <v>1.5</v>
      </c>
      <c r="O264" s="136">
        <v>0</v>
      </c>
      <c r="P264" s="136">
        <v>0</v>
      </c>
      <c r="Q264" s="137">
        <f t="shared" si="27"/>
        <v>171</v>
      </c>
      <c r="R264" s="133"/>
      <c r="S264" s="138">
        <v>45548.633333333331</v>
      </c>
      <c r="T264" s="133" t="s">
        <v>670</v>
      </c>
      <c r="U264" s="139" t="str">
        <f t="shared" si="29"/>
        <v>_preroll_labelled</v>
      </c>
      <c r="V264" s="140" t="str">
        <f>IF(U264="_","",_xlfn.XLOOKUP(U264,internal_cansku_inventory!D:D,internal_cansku_inventory!E:E,"",0,1))</f>
        <v/>
      </c>
    </row>
    <row r="265" spans="1:22" ht="12.45" customHeight="1">
      <c r="A265" s="132">
        <v>155</v>
      </c>
      <c r="B265" s="132">
        <v>0</v>
      </c>
      <c r="C265" s="132" t="str">
        <f>Table1[[#This Row],[inventory_id_head]]&amp;"-"&amp;Table1[[#This Row],[inventory_id_tail]]</f>
        <v>155-0</v>
      </c>
      <c r="D265" s="153" t="s">
        <v>680</v>
      </c>
      <c r="E265" s="133" t="s">
        <v>1023</v>
      </c>
      <c r="F265" s="133" t="s">
        <v>55</v>
      </c>
      <c r="G265" s="133" t="str">
        <f t="shared" si="30"/>
        <v>T036PRNA</v>
      </c>
      <c r="H265" s="133" t="s">
        <v>809</v>
      </c>
      <c r="I265" s="133"/>
      <c r="J265" s="133" t="s">
        <v>997</v>
      </c>
      <c r="K265" s="134">
        <v>45541</v>
      </c>
      <c r="L265" s="135">
        <v>164</v>
      </c>
      <c r="M265" s="133" t="s">
        <v>644</v>
      </c>
      <c r="N265" s="136">
        <v>1.5</v>
      </c>
      <c r="O265" s="136">
        <v>0</v>
      </c>
      <c r="P265" s="136">
        <v>0</v>
      </c>
      <c r="Q265" s="137">
        <f t="shared" si="27"/>
        <v>246</v>
      </c>
      <c r="R265" s="133"/>
      <c r="S265" s="138">
        <v>45548.647916666669</v>
      </c>
      <c r="T265" s="133" t="s">
        <v>670</v>
      </c>
      <c r="U265" s="139" t="str">
        <f t="shared" si="29"/>
        <v>_preroll_packaged</v>
      </c>
      <c r="V265" s="140" t="str">
        <f>IF(U265="_","",_xlfn.XLOOKUP(U265,internal_cansku_inventory!D:D,internal_cansku_inventory!E:E,"",0,1))</f>
        <v/>
      </c>
    </row>
    <row r="266" spans="1:22" ht="12.45" customHeight="1">
      <c r="A266" s="132">
        <v>325</v>
      </c>
      <c r="B266" s="132">
        <v>0</v>
      </c>
      <c r="C266" s="132" t="str">
        <f>Table1[[#This Row],[inventory_id_head]]&amp;"-"&amp;Table1[[#This Row],[inventory_id_tail]]</f>
        <v>325-0</v>
      </c>
      <c r="D266" s="133" t="s">
        <v>680</v>
      </c>
      <c r="E266" s="133" t="s">
        <v>1024</v>
      </c>
      <c r="F266" s="133" t="s">
        <v>55</v>
      </c>
      <c r="G266" s="133" t="str">
        <f t="shared" si="30"/>
        <v>T036EXNA</v>
      </c>
      <c r="H266" s="133" t="s">
        <v>409</v>
      </c>
      <c r="I266" s="133"/>
      <c r="J266" s="133" t="s">
        <v>1025</v>
      </c>
      <c r="K266" s="134" t="s">
        <v>55</v>
      </c>
      <c r="L266" s="135">
        <v>164</v>
      </c>
      <c r="M266" s="133" t="s">
        <v>644</v>
      </c>
      <c r="N266" s="136">
        <v>0.5</v>
      </c>
      <c r="O266" s="136">
        <v>0</v>
      </c>
      <c r="P266" s="136">
        <v>0</v>
      </c>
      <c r="Q266" s="137">
        <v>104</v>
      </c>
      <c r="R266" s="133"/>
      <c r="S266" s="138">
        <v>45548.659722222219</v>
      </c>
      <c r="T266" s="133" t="s">
        <v>657</v>
      </c>
      <c r="U266" s="139" t="str">
        <f t="shared" si="29"/>
        <v>_extract_inhaled_packaged</v>
      </c>
      <c r="V266" s="140" t="str">
        <f>IF(U266="_","",_xlfn.XLOOKUP(U266,internal_cansku_inventory!D:D,internal_cansku_inventory!E:E,"",0,1))</f>
        <v/>
      </c>
    </row>
    <row r="267" spans="1:22" ht="12.45" customHeight="1">
      <c r="A267" s="132">
        <v>163</v>
      </c>
      <c r="B267" s="132">
        <v>0</v>
      </c>
      <c r="C267" s="132" t="str">
        <f>Table1[[#This Row],[inventory_id_head]]&amp;"-"&amp;Table1[[#This Row],[inventory_id_tail]]</f>
        <v>163-0</v>
      </c>
      <c r="D267" s="133" t="s">
        <v>680</v>
      </c>
      <c r="E267" s="133" t="s">
        <v>938</v>
      </c>
      <c r="F267" s="133" t="s">
        <v>655</v>
      </c>
      <c r="G267" s="133" t="str">
        <f t="shared" si="30"/>
        <v>B001EXNA</v>
      </c>
      <c r="H267" s="133" t="s">
        <v>861</v>
      </c>
      <c r="I267" s="133"/>
      <c r="J267" s="133" t="s">
        <v>1026</v>
      </c>
      <c r="K267" s="134">
        <v>45503</v>
      </c>
      <c r="L267" s="135">
        <v>7</v>
      </c>
      <c r="M267" s="133" t="s">
        <v>644</v>
      </c>
      <c r="N267" s="136">
        <v>50</v>
      </c>
      <c r="O267" s="136">
        <v>0</v>
      </c>
      <c r="P267" s="136">
        <v>0</v>
      </c>
      <c r="Q267" s="137">
        <f t="shared" ref="Q267:Q276" si="31">L267*N267</f>
        <v>350</v>
      </c>
      <c r="R267" s="133"/>
      <c r="S267" s="138">
        <v>45552</v>
      </c>
      <c r="T267" s="133" t="s">
        <v>670</v>
      </c>
      <c r="U267" s="139" t="str">
        <f t="shared" si="29"/>
        <v>_extract_ingested_labelled</v>
      </c>
      <c r="V267" s="140" t="str">
        <f>IF(U267="_","",_xlfn.XLOOKUP(U267,internal_cansku_inventory!D:D,internal_cansku_inventory!E:E,"",0,1))</f>
        <v/>
      </c>
    </row>
    <row r="268" spans="1:22" ht="12.45" customHeight="1">
      <c r="A268" s="132">
        <v>294</v>
      </c>
      <c r="B268" s="132">
        <v>0</v>
      </c>
      <c r="C268" s="132" t="str">
        <f>Table1[[#This Row],[inventory_id_head]]&amp;"-"&amp;Table1[[#This Row],[inventory_id_tail]]</f>
        <v>294-0</v>
      </c>
      <c r="D268" s="133" t="s">
        <v>680</v>
      </c>
      <c r="E268" s="133" t="s">
        <v>1027</v>
      </c>
      <c r="F268" s="133" t="s">
        <v>655</v>
      </c>
      <c r="G268" s="133" t="str">
        <f t="shared" si="30"/>
        <v>T028EXNA</v>
      </c>
      <c r="H268" s="133" t="s">
        <v>1028</v>
      </c>
      <c r="I268" s="133"/>
      <c r="J268" s="133" t="s">
        <v>1029</v>
      </c>
      <c r="K268" s="134">
        <v>45555</v>
      </c>
      <c r="L268" s="135">
        <v>31</v>
      </c>
      <c r="M268" s="133" t="s">
        <v>644</v>
      </c>
      <c r="N268" s="136">
        <v>0.5</v>
      </c>
      <c r="O268" s="136">
        <v>0</v>
      </c>
      <c r="P268" s="136">
        <v>0</v>
      </c>
      <c r="Q268" s="137">
        <f t="shared" si="31"/>
        <v>15.5</v>
      </c>
      <c r="R268" s="133"/>
      <c r="S268" s="138">
        <v>45552.694444444445</v>
      </c>
      <c r="T268" s="133" t="s">
        <v>657</v>
      </c>
      <c r="U268" s="139" t="str">
        <f t="shared" si="29"/>
        <v>_extract_inhaled_labelled</v>
      </c>
      <c r="V268" s="140" t="str">
        <f>IF(U268="_","",_xlfn.XLOOKUP(U268,internal_cansku_inventory!D:D,internal_cansku_inventory!E:E,"",0,1))</f>
        <v/>
      </c>
    </row>
    <row r="269" spans="1:22" ht="12.45" customHeight="1">
      <c r="A269" s="132">
        <v>300</v>
      </c>
      <c r="B269" s="132">
        <v>0</v>
      </c>
      <c r="C269" s="132" t="str">
        <f>Table1[[#This Row],[inventory_id_head]]&amp;"-"&amp;Table1[[#This Row],[inventory_id_tail]]</f>
        <v>300-0</v>
      </c>
      <c r="D269" s="133" t="s">
        <v>680</v>
      </c>
      <c r="E269" s="133" t="s">
        <v>1030</v>
      </c>
      <c r="F269" s="133" t="s">
        <v>655</v>
      </c>
      <c r="G269" s="133" t="str">
        <f t="shared" si="30"/>
        <v>T034EXNA</v>
      </c>
      <c r="H269" s="133" t="s">
        <v>1028</v>
      </c>
      <c r="I269" s="133"/>
      <c r="J269" s="133" t="s">
        <v>1031</v>
      </c>
      <c r="K269" s="134">
        <v>45555</v>
      </c>
      <c r="L269" s="135">
        <v>93</v>
      </c>
      <c r="M269" s="133" t="s">
        <v>858</v>
      </c>
      <c r="N269" s="136">
        <v>0.5</v>
      </c>
      <c r="O269" s="136">
        <v>0</v>
      </c>
      <c r="P269" s="136">
        <v>0</v>
      </c>
      <c r="Q269" s="137">
        <f t="shared" si="31"/>
        <v>46.5</v>
      </c>
      <c r="R269" s="133"/>
      <c r="S269" s="138">
        <v>45552.695138888892</v>
      </c>
      <c r="T269" s="133" t="s">
        <v>657</v>
      </c>
      <c r="U269" s="139" t="str">
        <f t="shared" si="29"/>
        <v>_extract_inhaled_labelled</v>
      </c>
      <c r="V269" s="140" t="str">
        <f>IF(U269="_","",_xlfn.XLOOKUP(U269,internal_cansku_inventory!D:D,internal_cansku_inventory!E:E,"",0,1))</f>
        <v/>
      </c>
    </row>
    <row r="270" spans="1:22" ht="12.45" customHeight="1">
      <c r="A270" s="132">
        <v>328</v>
      </c>
      <c r="B270" s="132">
        <v>0</v>
      </c>
      <c r="C270" s="132" t="str">
        <f>Table1[[#This Row],[inventory_id_head]]&amp;"-"&amp;Table1[[#This Row],[inventory_id_tail]]</f>
        <v>328-0</v>
      </c>
      <c r="D270" s="133" t="s">
        <v>680</v>
      </c>
      <c r="E270" s="133" t="s">
        <v>1032</v>
      </c>
      <c r="F270" s="133" t="s">
        <v>655</v>
      </c>
      <c r="G270" s="133" t="str">
        <f t="shared" si="30"/>
        <v>T039EXNA</v>
      </c>
      <c r="H270" s="133" t="s">
        <v>1028</v>
      </c>
      <c r="I270" s="133"/>
      <c r="J270" s="133" t="s">
        <v>1031</v>
      </c>
      <c r="K270" s="134">
        <v>45555</v>
      </c>
      <c r="L270" s="135">
        <v>11</v>
      </c>
      <c r="M270" s="133" t="s">
        <v>858</v>
      </c>
      <c r="N270" s="136">
        <v>0.5</v>
      </c>
      <c r="O270" s="136">
        <v>0</v>
      </c>
      <c r="P270" s="136">
        <v>0</v>
      </c>
      <c r="Q270" s="137">
        <f t="shared" si="31"/>
        <v>5.5</v>
      </c>
      <c r="R270" s="133"/>
      <c r="S270" s="138">
        <v>45552.695138888892</v>
      </c>
      <c r="T270" s="133" t="s">
        <v>657</v>
      </c>
      <c r="U270" s="139" t="str">
        <f t="shared" si="29"/>
        <v>_extract_inhaled_labelled</v>
      </c>
      <c r="V270" s="140" t="str">
        <f>IF(U270="_","",_xlfn.XLOOKUP(U270,internal_cansku_inventory!D:D,internal_cansku_inventory!E:E,"",0,1))</f>
        <v/>
      </c>
    </row>
    <row r="271" spans="1:22" ht="12.45" customHeight="1">
      <c r="A271" s="132">
        <v>330</v>
      </c>
      <c r="B271" s="132">
        <v>0</v>
      </c>
      <c r="C271" s="132" t="str">
        <f>Table1[[#This Row],[inventory_id_head]]&amp;"-"&amp;Table1[[#This Row],[inventory_id_tail]]</f>
        <v>330-0</v>
      </c>
      <c r="D271" s="133" t="s">
        <v>680</v>
      </c>
      <c r="E271" s="133" t="s">
        <v>1033</v>
      </c>
      <c r="F271" s="133" t="s">
        <v>55</v>
      </c>
      <c r="G271" s="133" t="str">
        <f t="shared" si="30"/>
        <v>J016EXNA</v>
      </c>
      <c r="H271" s="133" t="s">
        <v>358</v>
      </c>
      <c r="I271" s="133"/>
      <c r="J271" s="133" t="s">
        <v>1010</v>
      </c>
      <c r="K271" s="134" t="s">
        <v>55</v>
      </c>
      <c r="L271" s="135">
        <v>1</v>
      </c>
      <c r="M271" s="133" t="s">
        <v>644</v>
      </c>
      <c r="N271" s="136">
        <f>O271-P271</f>
        <v>336.29999999999995</v>
      </c>
      <c r="O271" s="136">
        <v>918.3</v>
      </c>
      <c r="P271" s="136">
        <v>582</v>
      </c>
      <c r="Q271" s="137">
        <f t="shared" si="31"/>
        <v>336.29999999999995</v>
      </c>
      <c r="R271" s="133"/>
      <c r="S271" s="138">
        <v>45554.643750000003</v>
      </c>
      <c r="T271" s="133" t="s">
        <v>664</v>
      </c>
      <c r="U271" s="139" t="str">
        <f t="shared" si="29"/>
        <v>_extract_inhaled_bulk</v>
      </c>
      <c r="V271" s="140" t="str">
        <f>IF(U271="_","",_xlfn.XLOOKUP(U271,internal_cansku_inventory!D:D,internal_cansku_inventory!E:E,"",0,1))</f>
        <v/>
      </c>
    </row>
    <row r="272" spans="1:22" ht="12.45" customHeight="1">
      <c r="A272" s="132">
        <v>331</v>
      </c>
      <c r="B272" s="132">
        <v>0</v>
      </c>
      <c r="C272" s="132" t="str">
        <f>Table1[[#This Row],[inventory_id_head]]&amp;"-"&amp;Table1[[#This Row],[inventory_id_tail]]</f>
        <v>331-0</v>
      </c>
      <c r="D272" s="133" t="s">
        <v>680</v>
      </c>
      <c r="E272" s="133" t="s">
        <v>1034</v>
      </c>
      <c r="F272" s="133" t="s">
        <v>55</v>
      </c>
      <c r="G272" s="133" t="str">
        <f t="shared" si="30"/>
        <v>T040EXNA</v>
      </c>
      <c r="H272" s="133" t="s">
        <v>409</v>
      </c>
      <c r="I272" s="133"/>
      <c r="J272" s="133" t="s">
        <v>1035</v>
      </c>
      <c r="K272" s="134" t="s">
        <v>55</v>
      </c>
      <c r="L272" s="135">
        <v>120</v>
      </c>
      <c r="M272" s="133" t="s">
        <v>644</v>
      </c>
      <c r="N272" s="136">
        <v>0.5</v>
      </c>
      <c r="O272" s="136">
        <v>0</v>
      </c>
      <c r="P272" s="136">
        <v>0</v>
      </c>
      <c r="Q272" s="137">
        <f t="shared" si="31"/>
        <v>60</v>
      </c>
      <c r="R272" s="133"/>
      <c r="S272" s="138">
        <v>45554.643750000003</v>
      </c>
      <c r="T272" s="133" t="s">
        <v>657</v>
      </c>
      <c r="U272" s="139" t="str">
        <f t="shared" si="29"/>
        <v>_extract_inhaled_packaged</v>
      </c>
      <c r="V272" s="140" t="str">
        <f>IF(U272="_","",_xlfn.XLOOKUP(U272,internal_cansku_inventory!D:D,internal_cansku_inventory!E:E,"",0,1))</f>
        <v/>
      </c>
    </row>
    <row r="273" spans="1:22" ht="12.45" customHeight="1">
      <c r="A273" s="132">
        <v>77</v>
      </c>
      <c r="B273" s="132">
        <v>0</v>
      </c>
      <c r="C273" s="132" t="str">
        <f>Table1[[#This Row],[inventory_id_head]]&amp;"-"&amp;Table1[[#This Row],[inventory_id_tail]]</f>
        <v>77-0</v>
      </c>
      <c r="D273" s="133" t="s">
        <v>680</v>
      </c>
      <c r="E273" s="133" t="s">
        <v>1036</v>
      </c>
      <c r="F273" s="133" t="s">
        <v>55</v>
      </c>
      <c r="G273" s="133" t="str">
        <f t="shared" si="30"/>
        <v>T002TPNA</v>
      </c>
      <c r="H273" s="133" t="s">
        <v>851</v>
      </c>
      <c r="I273" s="133"/>
      <c r="J273" s="133" t="s">
        <v>797</v>
      </c>
      <c r="K273" s="134">
        <v>45448</v>
      </c>
      <c r="L273" s="135">
        <v>142</v>
      </c>
      <c r="M273" s="133" t="s">
        <v>644</v>
      </c>
      <c r="N273" s="136">
        <v>88</v>
      </c>
      <c r="O273" s="136">
        <v>0</v>
      </c>
      <c r="P273" s="136">
        <v>0</v>
      </c>
      <c r="Q273" s="137">
        <f t="shared" si="31"/>
        <v>12496</v>
      </c>
      <c r="R273" s="133"/>
      <c r="S273" s="138">
        <v>45558</v>
      </c>
      <c r="T273" s="133" t="s">
        <v>670</v>
      </c>
      <c r="U273" s="139" t="str">
        <f t="shared" si="29"/>
        <v>_topical_labelled</v>
      </c>
      <c r="V273" s="140" t="str">
        <f>IF(U273="_","",_xlfn.XLOOKUP(U273,internal_cansku_inventory!D:D,internal_cansku_inventory!E:E,"",0,1))</f>
        <v/>
      </c>
    </row>
    <row r="274" spans="1:22" ht="12.45" customHeight="1">
      <c r="A274" s="132">
        <v>301</v>
      </c>
      <c r="B274" s="132">
        <v>0</v>
      </c>
      <c r="C274" s="132" t="str">
        <f>Table1[[#This Row],[inventory_id_head]]&amp;"-"&amp;Table1[[#This Row],[inventory_id_tail]]</f>
        <v>301-0</v>
      </c>
      <c r="D274" s="133" t="s">
        <v>680</v>
      </c>
      <c r="E274" s="133" t="s">
        <v>1037</v>
      </c>
      <c r="F274" s="133" t="s">
        <v>655</v>
      </c>
      <c r="G274" s="133" t="str">
        <f t="shared" si="30"/>
        <v>T035EXNA</v>
      </c>
      <c r="H274" s="133" t="s">
        <v>1028</v>
      </c>
      <c r="I274" s="133"/>
      <c r="J274" s="133" t="s">
        <v>1031</v>
      </c>
      <c r="K274" s="134">
        <v>45555</v>
      </c>
      <c r="L274" s="135">
        <v>73</v>
      </c>
      <c r="M274" s="133" t="s">
        <v>858</v>
      </c>
      <c r="N274" s="136">
        <v>0.5</v>
      </c>
      <c r="O274" s="136">
        <v>0</v>
      </c>
      <c r="P274" s="136">
        <v>0</v>
      </c>
      <c r="Q274" s="137">
        <f t="shared" si="31"/>
        <v>36.5</v>
      </c>
      <c r="R274" s="133"/>
      <c r="S274" s="138">
        <v>45558.621527777781</v>
      </c>
      <c r="T274" s="133" t="s">
        <v>657</v>
      </c>
      <c r="U274" s="139" t="str">
        <f t="shared" si="29"/>
        <v>_extract_inhaled_labelled</v>
      </c>
      <c r="V274" s="140" t="str">
        <f>IF(U274="_","",_xlfn.XLOOKUP(U274,internal_cansku_inventory!D:D,internal_cansku_inventory!E:E,"",0,1))</f>
        <v/>
      </c>
    </row>
    <row r="275" spans="1:22" ht="12.45" customHeight="1">
      <c r="A275" s="132">
        <v>285</v>
      </c>
      <c r="B275" s="132">
        <v>0</v>
      </c>
      <c r="C275" s="132" t="str">
        <f>Table1[[#This Row],[inventory_id_head]]&amp;"-"&amp;Table1[[#This Row],[inventory_id_tail]]</f>
        <v>285-0</v>
      </c>
      <c r="D275" s="133" t="s">
        <v>680</v>
      </c>
      <c r="E275" s="133" t="s">
        <v>1038</v>
      </c>
      <c r="F275" s="133" t="s">
        <v>655</v>
      </c>
      <c r="G275" s="133" t="str">
        <f t="shared" si="30"/>
        <v>T022EXNA</v>
      </c>
      <c r="H275" s="133" t="s">
        <v>861</v>
      </c>
      <c r="I275" s="133"/>
      <c r="J275" s="133" t="s">
        <v>1039</v>
      </c>
      <c r="K275" s="134">
        <v>45550</v>
      </c>
      <c r="L275" s="135">
        <v>228</v>
      </c>
      <c r="M275" s="133" t="s">
        <v>858</v>
      </c>
      <c r="N275" s="136">
        <v>50</v>
      </c>
      <c r="O275" s="136">
        <v>0</v>
      </c>
      <c r="P275" s="136">
        <v>0</v>
      </c>
      <c r="Q275" s="137">
        <f t="shared" si="31"/>
        <v>11400</v>
      </c>
      <c r="R275" s="133"/>
      <c r="S275" s="138">
        <v>45559.452777777777</v>
      </c>
      <c r="T275" s="133" t="s">
        <v>657</v>
      </c>
      <c r="U275" s="139" t="str">
        <f t="shared" si="29"/>
        <v>_extract_ingested_labelled</v>
      </c>
      <c r="V275" s="140" t="str">
        <f>IF(U275="_","",_xlfn.XLOOKUP(U275,internal_cansku_inventory!D:D,internal_cansku_inventory!E:E,"",0,1))</f>
        <v/>
      </c>
    </row>
    <row r="276" spans="1:22" ht="12.45" customHeight="1">
      <c r="A276" s="132">
        <v>287</v>
      </c>
      <c r="B276" s="132">
        <v>0</v>
      </c>
      <c r="C276" s="132" t="str">
        <f>Table1[[#This Row],[inventory_id_head]]&amp;"-"&amp;Table1[[#This Row],[inventory_id_tail]]</f>
        <v>287-0</v>
      </c>
      <c r="D276" s="133" t="s">
        <v>680</v>
      </c>
      <c r="E276" s="133" t="s">
        <v>1040</v>
      </c>
      <c r="F276" s="133" t="s">
        <v>655</v>
      </c>
      <c r="G276" s="133" t="str">
        <f t="shared" si="30"/>
        <v>T024EXNA</v>
      </c>
      <c r="H276" s="133" t="s">
        <v>861</v>
      </c>
      <c r="I276" s="133"/>
      <c r="J276" s="133" t="s">
        <v>1039</v>
      </c>
      <c r="K276" s="134">
        <v>45550</v>
      </c>
      <c r="L276" s="135">
        <v>231</v>
      </c>
      <c r="M276" s="133" t="s">
        <v>858</v>
      </c>
      <c r="N276" s="136">
        <v>50</v>
      </c>
      <c r="O276" s="136">
        <v>0</v>
      </c>
      <c r="P276" s="136">
        <v>0</v>
      </c>
      <c r="Q276" s="137">
        <f t="shared" si="31"/>
        <v>11550</v>
      </c>
      <c r="R276" s="133"/>
      <c r="S276" s="138">
        <v>45559.454861111109</v>
      </c>
      <c r="T276" s="133" t="s">
        <v>657</v>
      </c>
      <c r="U276" s="139" t="str">
        <f t="shared" si="29"/>
        <v>_extract_ingested_labelled</v>
      </c>
      <c r="V276" s="140" t="str">
        <f>IF(U276="_","",_xlfn.XLOOKUP(U276,internal_cansku_inventory!D:D,internal_cansku_inventory!E:E,"",0,1))</f>
        <v/>
      </c>
    </row>
    <row r="277" spans="1:22" ht="12.45" customHeight="1">
      <c r="A277" s="132">
        <v>326</v>
      </c>
      <c r="B277" s="132">
        <v>0</v>
      </c>
      <c r="C277" s="132" t="str">
        <f>Table1[[#This Row],[inventory_id_head]]&amp;"-"&amp;Table1[[#This Row],[inventory_id_tail]]</f>
        <v>326-0</v>
      </c>
      <c r="D277" s="133" t="s">
        <v>680</v>
      </c>
      <c r="E277" s="133" t="s">
        <v>1041</v>
      </c>
      <c r="F277" s="133" t="s">
        <v>55</v>
      </c>
      <c r="G277" s="133" t="str">
        <f t="shared" si="30"/>
        <v>T037EXNA</v>
      </c>
      <c r="H277" s="133" t="s">
        <v>1028</v>
      </c>
      <c r="I277" s="133"/>
      <c r="J277" s="133" t="s">
        <v>1025</v>
      </c>
      <c r="K277" s="134">
        <v>45555</v>
      </c>
      <c r="L277" s="135">
        <v>84</v>
      </c>
      <c r="M277" s="133" t="s">
        <v>644</v>
      </c>
      <c r="N277" s="136">
        <v>0.5</v>
      </c>
      <c r="O277" s="136">
        <v>0</v>
      </c>
      <c r="P277" s="136">
        <v>0</v>
      </c>
      <c r="Q277" s="137">
        <v>104</v>
      </c>
      <c r="R277" s="133"/>
      <c r="S277" s="138">
        <v>45559.487500000003</v>
      </c>
      <c r="T277" s="133" t="s">
        <v>657</v>
      </c>
      <c r="U277" s="139" t="str">
        <f t="shared" si="29"/>
        <v>_extract_inhaled_labelled</v>
      </c>
      <c r="V277" s="140" t="str">
        <f>IF(U277="_","",_xlfn.XLOOKUP(U277,internal_cansku_inventory!D:D,internal_cansku_inventory!E:E,"",0,1))</f>
        <v/>
      </c>
    </row>
    <row r="278" spans="1:22" ht="12.45" customHeight="1">
      <c r="A278" s="132">
        <v>333</v>
      </c>
      <c r="B278" s="132">
        <v>0</v>
      </c>
      <c r="C278" s="132" t="str">
        <f>Table1[[#This Row],[inventory_id_head]]&amp;"-"&amp;Table1[[#This Row],[inventory_id_tail]]</f>
        <v>333-0</v>
      </c>
      <c r="D278" s="133" t="s">
        <v>680</v>
      </c>
      <c r="E278" s="133" t="s">
        <v>1042</v>
      </c>
      <c r="F278" s="133" t="s">
        <v>655</v>
      </c>
      <c r="G278" s="133" t="str">
        <f t="shared" si="30"/>
        <v>T042EXNA</v>
      </c>
      <c r="H278" s="133" t="s">
        <v>1028</v>
      </c>
      <c r="I278" s="133"/>
      <c r="J278" s="133" t="s">
        <v>1025</v>
      </c>
      <c r="K278" s="134">
        <v>45555</v>
      </c>
      <c r="L278" s="135">
        <v>204</v>
      </c>
      <c r="M278" s="133" t="s">
        <v>644</v>
      </c>
      <c r="N278" s="136">
        <v>0.5</v>
      </c>
      <c r="O278" s="136">
        <v>0</v>
      </c>
      <c r="P278" s="136">
        <v>0</v>
      </c>
      <c r="Q278" s="137">
        <f>L278*N278</f>
        <v>102</v>
      </c>
      <c r="R278" s="133"/>
      <c r="S278" s="138">
        <v>45559.489583333336</v>
      </c>
      <c r="T278" s="133" t="s">
        <v>657</v>
      </c>
      <c r="U278" s="139" t="str">
        <f t="shared" si="29"/>
        <v>_extract_inhaled_labelled</v>
      </c>
      <c r="V278" s="140" t="str">
        <f>IF(U278="_","",_xlfn.XLOOKUP(U278,internal_cansku_inventory!D:D,internal_cansku_inventory!E:E,"",0,1))</f>
        <v/>
      </c>
    </row>
    <row r="279" spans="1:22" ht="12.45" customHeight="1">
      <c r="A279" s="132">
        <v>334</v>
      </c>
      <c r="B279" s="132">
        <v>0</v>
      </c>
      <c r="C279" s="132" t="str">
        <f>Table1[[#This Row],[inventory_id_head]]&amp;"-"&amp;Table1[[#This Row],[inventory_id_tail]]</f>
        <v>334-0</v>
      </c>
      <c r="D279" s="133" t="s">
        <v>680</v>
      </c>
      <c r="E279" s="133" t="s">
        <v>1043</v>
      </c>
      <c r="F279" s="133" t="s">
        <v>655</v>
      </c>
      <c r="G279" s="133" t="str">
        <f t="shared" si="30"/>
        <v>T043EXNA</v>
      </c>
      <c r="H279" s="133" t="s">
        <v>1028</v>
      </c>
      <c r="I279" s="133"/>
      <c r="J279" s="133" t="s">
        <v>1029</v>
      </c>
      <c r="K279" s="134">
        <v>45555</v>
      </c>
      <c r="L279" s="135">
        <v>149</v>
      </c>
      <c r="M279" s="133" t="s">
        <v>644</v>
      </c>
      <c r="N279" s="136">
        <v>0.5</v>
      </c>
      <c r="O279" s="136">
        <v>0</v>
      </c>
      <c r="P279" s="136">
        <v>0</v>
      </c>
      <c r="Q279" s="137">
        <f>L279*N279</f>
        <v>74.5</v>
      </c>
      <c r="R279" s="133"/>
      <c r="S279" s="138">
        <v>45559.491666666669</v>
      </c>
      <c r="T279" s="133" t="s">
        <v>657</v>
      </c>
      <c r="U279" s="139" t="str">
        <f t="shared" si="29"/>
        <v>_extract_inhaled_labelled</v>
      </c>
      <c r="V279" s="140" t="str">
        <f>IF(U279="_","",_xlfn.XLOOKUP(U279,internal_cansku_inventory!D:D,internal_cansku_inventory!E:E,"",0,1))</f>
        <v/>
      </c>
    </row>
    <row r="280" spans="1:22" ht="12.45" customHeight="1">
      <c r="A280" s="132">
        <v>327</v>
      </c>
      <c r="B280" s="132">
        <v>0</v>
      </c>
      <c r="C280" s="132" t="str">
        <f>Table1[[#This Row],[inventory_id_head]]&amp;"-"&amp;Table1[[#This Row],[inventory_id_tail]]</f>
        <v>327-0</v>
      </c>
      <c r="D280" s="133" t="s">
        <v>680</v>
      </c>
      <c r="E280" s="133" t="s">
        <v>1044</v>
      </c>
      <c r="F280" s="133" t="s">
        <v>55</v>
      </c>
      <c r="G280" s="133" t="str">
        <f t="shared" si="30"/>
        <v>T038EXNA</v>
      </c>
      <c r="H280" s="133" t="s">
        <v>1028</v>
      </c>
      <c r="I280" s="133"/>
      <c r="J280" s="133" t="s">
        <v>1025</v>
      </c>
      <c r="K280" s="134">
        <v>45555</v>
      </c>
      <c r="L280" s="135">
        <v>108</v>
      </c>
      <c r="M280" s="133" t="s">
        <v>644</v>
      </c>
      <c r="N280" s="136">
        <v>0.5</v>
      </c>
      <c r="O280" s="136">
        <v>0</v>
      </c>
      <c r="P280" s="136">
        <v>0</v>
      </c>
      <c r="Q280" s="137">
        <v>104</v>
      </c>
      <c r="R280" s="133"/>
      <c r="S280" s="138">
        <v>45560.429861111108</v>
      </c>
      <c r="T280" s="133" t="s">
        <v>657</v>
      </c>
      <c r="U280" s="139" t="str">
        <f t="shared" si="29"/>
        <v>_extract_inhaled_labelled</v>
      </c>
      <c r="V280" s="140" t="str">
        <f>IF(U280="_","",_xlfn.XLOOKUP(U280,internal_cansku_inventory!D:D,internal_cansku_inventory!E:E,"",0,1))</f>
        <v/>
      </c>
    </row>
    <row r="281" spans="1:22" ht="12.45" customHeight="1">
      <c r="A281" s="132">
        <v>296</v>
      </c>
      <c r="B281" s="132">
        <v>0</v>
      </c>
      <c r="C281" s="132" t="str">
        <f>Table1[[#This Row],[inventory_id_head]]&amp;"-"&amp;Table1[[#This Row],[inventory_id_tail]]</f>
        <v>296-0</v>
      </c>
      <c r="D281" s="133" t="s">
        <v>680</v>
      </c>
      <c r="E281" s="133" t="s">
        <v>1045</v>
      </c>
      <c r="F281" s="133" t="s">
        <v>655</v>
      </c>
      <c r="G281" s="133" t="str">
        <f t="shared" si="30"/>
        <v>T030EXNA</v>
      </c>
      <c r="H281" s="133" t="s">
        <v>1028</v>
      </c>
      <c r="I281" s="133"/>
      <c r="J281" s="133" t="s">
        <v>1029</v>
      </c>
      <c r="K281" s="134">
        <v>45555</v>
      </c>
      <c r="L281" s="135">
        <v>87</v>
      </c>
      <c r="M281" s="133" t="s">
        <v>644</v>
      </c>
      <c r="N281" s="136">
        <v>0.5</v>
      </c>
      <c r="O281" s="136">
        <v>0</v>
      </c>
      <c r="P281" s="136">
        <v>0</v>
      </c>
      <c r="Q281" s="137">
        <f>L281*N281</f>
        <v>43.5</v>
      </c>
      <c r="R281" s="133"/>
      <c r="S281" s="138">
        <v>45560.430555555555</v>
      </c>
      <c r="T281" s="133" t="s">
        <v>657</v>
      </c>
      <c r="U281" s="139" t="str">
        <f t="shared" si="29"/>
        <v>_extract_inhaled_labelled</v>
      </c>
      <c r="V281" s="140" t="str">
        <f>IF(U281="_","",_xlfn.XLOOKUP(U281,internal_cansku_inventory!D:D,internal_cansku_inventory!E:E,"",0,1))</f>
        <v/>
      </c>
    </row>
    <row r="282" spans="1:22" ht="12.45" customHeight="1">
      <c r="A282" s="132">
        <v>297</v>
      </c>
      <c r="B282" s="132">
        <v>0</v>
      </c>
      <c r="C282" s="132" t="str">
        <f>Table1[[#This Row],[inventory_id_head]]&amp;"-"&amp;Table1[[#This Row],[inventory_id_tail]]</f>
        <v>297-0</v>
      </c>
      <c r="D282" s="133" t="s">
        <v>680</v>
      </c>
      <c r="E282" s="133" t="s">
        <v>1046</v>
      </c>
      <c r="F282" s="133" t="s">
        <v>655</v>
      </c>
      <c r="G282" s="133" t="str">
        <f t="shared" si="30"/>
        <v>T031EXNA</v>
      </c>
      <c r="H282" s="133" t="s">
        <v>1028</v>
      </c>
      <c r="I282" s="133"/>
      <c r="J282" s="133" t="s">
        <v>1047</v>
      </c>
      <c r="K282" s="134">
        <v>45555</v>
      </c>
      <c r="L282" s="135">
        <v>9</v>
      </c>
      <c r="M282" s="133" t="s">
        <v>644</v>
      </c>
      <c r="N282" s="136">
        <v>0.5</v>
      </c>
      <c r="O282" s="136">
        <v>0</v>
      </c>
      <c r="P282" s="136">
        <v>0</v>
      </c>
      <c r="Q282" s="137">
        <f>L282*N282</f>
        <v>4.5</v>
      </c>
      <c r="R282" s="133"/>
      <c r="S282" s="138">
        <v>45560.430555555555</v>
      </c>
      <c r="T282" s="133" t="s">
        <v>657</v>
      </c>
      <c r="U282" s="139" t="str">
        <f t="shared" si="29"/>
        <v>_extract_inhaled_labelled</v>
      </c>
      <c r="V282" s="140" t="str">
        <f>IF(U282="_","",_xlfn.XLOOKUP(U282,internal_cansku_inventory!D:D,internal_cansku_inventory!E:E,"",0,1))</f>
        <v/>
      </c>
    </row>
    <row r="283" spans="1:22" ht="12.45" customHeight="1">
      <c r="A283" s="132">
        <v>298</v>
      </c>
      <c r="B283" s="132">
        <v>0</v>
      </c>
      <c r="C283" s="132" t="str">
        <f>Table1[[#This Row],[inventory_id_head]]&amp;"-"&amp;Table1[[#This Row],[inventory_id_tail]]</f>
        <v>298-0</v>
      </c>
      <c r="D283" s="133" t="s">
        <v>680</v>
      </c>
      <c r="E283" s="133" t="s">
        <v>1048</v>
      </c>
      <c r="F283" s="133" t="s">
        <v>655</v>
      </c>
      <c r="G283" s="133" t="str">
        <f t="shared" si="30"/>
        <v>T032EXNA</v>
      </c>
      <c r="H283" s="133" t="s">
        <v>1028</v>
      </c>
      <c r="I283" s="133"/>
      <c r="J283" s="133" t="s">
        <v>1049</v>
      </c>
      <c r="K283" s="134">
        <v>45555</v>
      </c>
      <c r="L283" s="135">
        <v>17</v>
      </c>
      <c r="M283" s="133" t="s">
        <v>644</v>
      </c>
      <c r="N283" s="136">
        <v>0.5</v>
      </c>
      <c r="O283" s="136">
        <v>0</v>
      </c>
      <c r="P283" s="136">
        <v>0</v>
      </c>
      <c r="Q283" s="137">
        <f>L283*N283</f>
        <v>8.5</v>
      </c>
      <c r="R283" s="133"/>
      <c r="S283" s="138">
        <v>45560.430555555555</v>
      </c>
      <c r="T283" s="133" t="s">
        <v>657</v>
      </c>
      <c r="U283" s="139" t="str">
        <f t="shared" si="29"/>
        <v>_extract_inhaled_labelled</v>
      </c>
      <c r="V283" s="140" t="str">
        <f>IF(U283="_","",_xlfn.XLOOKUP(U283,internal_cansku_inventory!D:D,internal_cansku_inventory!E:E,"",0,1))</f>
        <v/>
      </c>
    </row>
    <row r="284" spans="1:22" ht="12.45" customHeight="1">
      <c r="A284" s="132">
        <v>335</v>
      </c>
      <c r="B284" s="132">
        <v>0</v>
      </c>
      <c r="C284" s="132" t="str">
        <f>Table1[[#This Row],[inventory_id_head]]&amp;"-"&amp;Table1[[#This Row],[inventory_id_tail]]</f>
        <v>335-0</v>
      </c>
      <c r="D284" s="133" t="s">
        <v>680</v>
      </c>
      <c r="E284" s="133" t="s">
        <v>1050</v>
      </c>
      <c r="F284" s="133" t="s">
        <v>1051</v>
      </c>
      <c r="G284" s="133" t="str">
        <f t="shared" si="30"/>
        <v>T034DFC-01041</v>
      </c>
      <c r="H284" s="133" t="s">
        <v>343</v>
      </c>
      <c r="I284" s="133"/>
      <c r="J284" s="133">
        <v>2024092003</v>
      </c>
      <c r="K284" s="134" t="s">
        <v>655</v>
      </c>
      <c r="L284" s="135">
        <v>1</v>
      </c>
      <c r="M284" s="133" t="s">
        <v>858</v>
      </c>
      <c r="N284" s="136">
        <v>3000</v>
      </c>
      <c r="O284" s="136">
        <v>3102</v>
      </c>
      <c r="P284" s="136">
        <v>102</v>
      </c>
      <c r="Q284" s="137">
        <f>L284*N284</f>
        <v>3000</v>
      </c>
      <c r="R284" s="133" t="s">
        <v>1052</v>
      </c>
      <c r="S284" s="138">
        <v>45560.481944444444</v>
      </c>
      <c r="T284" s="133" t="s">
        <v>978</v>
      </c>
      <c r="U284" s="139" t="str">
        <f t="shared" si="29"/>
        <v>_driedflower_bulk_BURB</v>
      </c>
      <c r="V284" s="140" t="str">
        <f>IF(U284="_","",_xlfn.XLOOKUP(U284,internal_cansku_inventory!D:D,internal_cansku_inventory!E:E,"",0,1))</f>
        <v/>
      </c>
    </row>
    <row r="285" spans="1:22" ht="12.45" customHeight="1">
      <c r="A285" s="132">
        <v>336</v>
      </c>
      <c r="B285" s="132">
        <v>0</v>
      </c>
      <c r="C285" s="132" t="str">
        <f>Table1[[#This Row],[inventory_id_head]]&amp;"-"&amp;Table1[[#This Row],[inventory_id_tail]]</f>
        <v>336-0</v>
      </c>
      <c r="D285" s="133" t="s">
        <v>680</v>
      </c>
      <c r="E285" s="133" t="s">
        <v>1050</v>
      </c>
      <c r="F285" s="133" t="s">
        <v>1053</v>
      </c>
      <c r="G285" s="133" t="str">
        <f t="shared" si="30"/>
        <v>T034DFC-01042</v>
      </c>
      <c r="H285" s="133" t="s">
        <v>343</v>
      </c>
      <c r="I285" s="133"/>
      <c r="J285" s="133">
        <v>2024092003</v>
      </c>
      <c r="K285" s="134" t="s">
        <v>655</v>
      </c>
      <c r="L285" s="135">
        <v>1</v>
      </c>
      <c r="M285" s="133" t="s">
        <v>858</v>
      </c>
      <c r="N285" s="136">
        <v>2900</v>
      </c>
      <c r="O285" s="136">
        <v>2994</v>
      </c>
      <c r="P285" s="136">
        <v>94</v>
      </c>
      <c r="Q285" s="137">
        <f>L285*N285</f>
        <v>2900</v>
      </c>
      <c r="R285" s="133" t="s">
        <v>1052</v>
      </c>
      <c r="S285" s="138">
        <v>45560.481944444444</v>
      </c>
      <c r="T285" s="133" t="s">
        <v>978</v>
      </c>
      <c r="U285" s="139" t="str">
        <f t="shared" si="29"/>
        <v>_driedflower_bulk_BURB</v>
      </c>
      <c r="V285" s="140" t="str">
        <f>IF(U285="_","",_xlfn.XLOOKUP(U285,internal_cansku_inventory!D:D,internal_cansku_inventory!E:E,"",0,1))</f>
        <v/>
      </c>
    </row>
    <row r="286" spans="1:22" ht="12.45" customHeight="1">
      <c r="A286" s="132">
        <v>337</v>
      </c>
      <c r="B286" s="132">
        <v>0</v>
      </c>
      <c r="C286" s="132" t="str">
        <f>Table1[[#This Row],[inventory_id_head]]&amp;"-"&amp;Table1[[#This Row],[inventory_id_tail]]</f>
        <v>337-0</v>
      </c>
      <c r="D286" s="133" t="s">
        <v>680</v>
      </c>
      <c r="E286" s="133" t="s">
        <v>1050</v>
      </c>
      <c r="F286" s="133" t="s">
        <v>1054</v>
      </c>
      <c r="G286" s="133" t="str">
        <f t="shared" si="30"/>
        <v>T034DFC-00962</v>
      </c>
      <c r="H286" s="133" t="s">
        <v>343</v>
      </c>
      <c r="I286" s="133"/>
      <c r="J286" s="133">
        <v>2024092002</v>
      </c>
      <c r="K286" s="134" t="s">
        <v>655</v>
      </c>
      <c r="L286" s="135">
        <v>1</v>
      </c>
      <c r="M286" s="133" t="s">
        <v>858</v>
      </c>
      <c r="N286" s="136">
        <v>360</v>
      </c>
      <c r="O286" s="136">
        <v>454</v>
      </c>
      <c r="P286" s="136">
        <f>454-360</f>
        <v>94</v>
      </c>
      <c r="Q286" s="137">
        <f t="shared" ref="Q286:Q297" si="32">L286*O286</f>
        <v>454</v>
      </c>
      <c r="R286" s="133" t="s">
        <v>1055</v>
      </c>
      <c r="S286" s="138">
        <v>45560.481944444444</v>
      </c>
      <c r="T286" s="133" t="s">
        <v>978</v>
      </c>
      <c r="U286" s="139" t="str">
        <f t="shared" si="29"/>
        <v>_driedflower_bulk_BURB</v>
      </c>
      <c r="V286" s="140" t="str">
        <f>IF(U286="_","",_xlfn.XLOOKUP(U286,internal_cansku_inventory!D:D,internal_cansku_inventory!E:E,"",0,1))</f>
        <v/>
      </c>
    </row>
    <row r="287" spans="1:22" ht="12.45" customHeight="1">
      <c r="A287" s="132">
        <v>338</v>
      </c>
      <c r="B287" s="132">
        <v>0</v>
      </c>
      <c r="C287" s="132" t="str">
        <f>Table1[[#This Row],[inventory_id_head]]&amp;"-"&amp;Table1[[#This Row],[inventory_id_tail]]</f>
        <v>338-0</v>
      </c>
      <c r="D287" s="133" t="s">
        <v>680</v>
      </c>
      <c r="E287" s="133" t="s">
        <v>1056</v>
      </c>
      <c r="F287" s="133" t="s">
        <v>1057</v>
      </c>
      <c r="G287" s="133" t="str">
        <f t="shared" si="30"/>
        <v>T035DFC-00955</v>
      </c>
      <c r="H287" s="133" t="s">
        <v>343</v>
      </c>
      <c r="I287" s="133"/>
      <c r="J287" s="133">
        <v>2024092002</v>
      </c>
      <c r="K287" s="134" t="s">
        <v>655</v>
      </c>
      <c r="L287" s="135">
        <v>1</v>
      </c>
      <c r="M287" s="133" t="s">
        <v>858</v>
      </c>
      <c r="N287" s="136">
        <v>1500</v>
      </c>
      <c r="O287" s="136">
        <v>1560</v>
      </c>
      <c r="P287" s="136">
        <v>60</v>
      </c>
      <c r="Q287" s="137">
        <f t="shared" si="32"/>
        <v>1560</v>
      </c>
      <c r="R287" s="133" t="s">
        <v>1055</v>
      </c>
      <c r="S287" s="138">
        <v>45560.481944444444</v>
      </c>
      <c r="T287" s="133" t="s">
        <v>978</v>
      </c>
      <c r="U287" s="139" t="str">
        <f t="shared" si="29"/>
        <v>_driedflower_bulk_BURB</v>
      </c>
      <c r="V287" s="140" t="str">
        <f>IF(U287="_","",_xlfn.XLOOKUP(U287,internal_cansku_inventory!D:D,internal_cansku_inventory!E:E,"",0,1))</f>
        <v/>
      </c>
    </row>
    <row r="288" spans="1:22" ht="12.45" customHeight="1">
      <c r="A288" s="132">
        <v>339</v>
      </c>
      <c r="B288" s="132">
        <v>0</v>
      </c>
      <c r="C288" s="132" t="str">
        <f>Table1[[#This Row],[inventory_id_head]]&amp;"-"&amp;Table1[[#This Row],[inventory_id_tail]]</f>
        <v>339-0</v>
      </c>
      <c r="D288" s="133" t="s">
        <v>680</v>
      </c>
      <c r="E288" s="133" t="s">
        <v>1056</v>
      </c>
      <c r="F288" s="133" t="s">
        <v>1058</v>
      </c>
      <c r="G288" s="133" t="str">
        <f t="shared" si="30"/>
        <v>T035DFC-00977</v>
      </c>
      <c r="H288" s="133" t="s">
        <v>343</v>
      </c>
      <c r="I288" s="133"/>
      <c r="J288" s="133">
        <v>2024092002</v>
      </c>
      <c r="K288" s="134" t="s">
        <v>655</v>
      </c>
      <c r="L288" s="135">
        <v>1</v>
      </c>
      <c r="M288" s="133" t="s">
        <v>858</v>
      </c>
      <c r="N288" s="136">
        <v>2000</v>
      </c>
      <c r="O288" s="136">
        <v>2072</v>
      </c>
      <c r="P288" s="136">
        <v>72</v>
      </c>
      <c r="Q288" s="137">
        <f t="shared" si="32"/>
        <v>2072</v>
      </c>
      <c r="R288" s="133" t="s">
        <v>1055</v>
      </c>
      <c r="S288" s="138">
        <v>45560.481944444444</v>
      </c>
      <c r="T288" s="133" t="s">
        <v>978</v>
      </c>
      <c r="U288" s="139" t="str">
        <f t="shared" si="29"/>
        <v>_driedflower_bulk_BURB</v>
      </c>
      <c r="V288" s="140" t="str">
        <f>IF(U288="_","",_xlfn.XLOOKUP(U288,internal_cansku_inventory!D:D,internal_cansku_inventory!E:E,"",0,1))</f>
        <v/>
      </c>
    </row>
    <row r="289" spans="1:22" ht="12.45" customHeight="1">
      <c r="A289" s="132">
        <v>340</v>
      </c>
      <c r="B289" s="132">
        <v>0</v>
      </c>
      <c r="C289" s="132" t="str">
        <f>Table1[[#This Row],[inventory_id_head]]&amp;"-"&amp;Table1[[#This Row],[inventory_id_tail]]</f>
        <v>340-0</v>
      </c>
      <c r="D289" s="133" t="s">
        <v>680</v>
      </c>
      <c r="E289" s="133" t="s">
        <v>1056</v>
      </c>
      <c r="F289" s="133" t="s">
        <v>1059</v>
      </c>
      <c r="G289" s="133" t="str">
        <f t="shared" si="30"/>
        <v>T035DFC-00956</v>
      </c>
      <c r="H289" s="133" t="s">
        <v>343</v>
      </c>
      <c r="I289" s="133"/>
      <c r="J289" s="133">
        <v>2024092002</v>
      </c>
      <c r="K289" s="134" t="s">
        <v>655</v>
      </c>
      <c r="L289" s="135">
        <v>1</v>
      </c>
      <c r="M289" s="133" t="s">
        <v>858</v>
      </c>
      <c r="N289" s="136">
        <v>1500</v>
      </c>
      <c r="O289" s="136">
        <v>1560</v>
      </c>
      <c r="P289" s="136">
        <v>60</v>
      </c>
      <c r="Q289" s="137">
        <f t="shared" si="32"/>
        <v>1560</v>
      </c>
      <c r="R289" s="133" t="s">
        <v>1055</v>
      </c>
      <c r="S289" s="138">
        <v>45560.481944444444</v>
      </c>
      <c r="T289" s="133" t="s">
        <v>978</v>
      </c>
      <c r="U289" s="139" t="str">
        <f t="shared" si="29"/>
        <v>_driedflower_bulk_BURB</v>
      </c>
      <c r="V289" s="140" t="str">
        <f>IF(U289="_","",_xlfn.XLOOKUP(U289,internal_cansku_inventory!D:D,internal_cansku_inventory!E:E,"",0,1))</f>
        <v/>
      </c>
    </row>
    <row r="290" spans="1:22" ht="12.45" customHeight="1">
      <c r="A290" s="132">
        <v>341</v>
      </c>
      <c r="B290" s="132">
        <v>0</v>
      </c>
      <c r="C290" s="132" t="str">
        <f>Table1[[#This Row],[inventory_id_head]]&amp;"-"&amp;Table1[[#This Row],[inventory_id_tail]]</f>
        <v>341-0</v>
      </c>
      <c r="D290" s="133" t="s">
        <v>680</v>
      </c>
      <c r="E290" s="133" t="s">
        <v>1056</v>
      </c>
      <c r="F290" s="133" t="s">
        <v>1060</v>
      </c>
      <c r="G290" s="133" t="str">
        <f t="shared" si="30"/>
        <v>T035DFC-00965</v>
      </c>
      <c r="H290" s="133" t="s">
        <v>343</v>
      </c>
      <c r="I290" s="133"/>
      <c r="J290" s="133">
        <v>2024092002</v>
      </c>
      <c r="K290" s="134" t="s">
        <v>655</v>
      </c>
      <c r="L290" s="135">
        <v>1</v>
      </c>
      <c r="M290" s="133" t="s">
        <v>858</v>
      </c>
      <c r="N290" s="136">
        <v>3500</v>
      </c>
      <c r="O290" s="136">
        <v>3596</v>
      </c>
      <c r="P290" s="136">
        <v>96</v>
      </c>
      <c r="Q290" s="137">
        <f t="shared" si="32"/>
        <v>3596</v>
      </c>
      <c r="R290" s="133" t="s">
        <v>1055</v>
      </c>
      <c r="S290" s="138">
        <v>45560.481944444444</v>
      </c>
      <c r="T290" s="133" t="s">
        <v>978</v>
      </c>
      <c r="U290" s="139" t="str">
        <f t="shared" si="29"/>
        <v>_driedflower_bulk_BURB</v>
      </c>
      <c r="V290" s="140" t="str">
        <f>IF(U290="_","",_xlfn.XLOOKUP(U290,internal_cansku_inventory!D:D,internal_cansku_inventory!E:E,"",0,1))</f>
        <v/>
      </c>
    </row>
    <row r="291" spans="1:22" ht="12.45" customHeight="1">
      <c r="A291" s="132">
        <v>342</v>
      </c>
      <c r="B291" s="132">
        <v>0</v>
      </c>
      <c r="C291" s="132" t="str">
        <f>Table1[[#This Row],[inventory_id_head]]&amp;"-"&amp;Table1[[#This Row],[inventory_id_tail]]</f>
        <v>342-0</v>
      </c>
      <c r="D291" s="133" t="s">
        <v>680</v>
      </c>
      <c r="E291" s="133" t="s">
        <v>1061</v>
      </c>
      <c r="F291" s="133" t="s">
        <v>1062</v>
      </c>
      <c r="G291" s="133" t="str">
        <f t="shared" si="30"/>
        <v>T036DFC-01036</v>
      </c>
      <c r="H291" s="133" t="s">
        <v>343</v>
      </c>
      <c r="I291" s="133"/>
      <c r="J291" s="133">
        <v>2024092001</v>
      </c>
      <c r="K291" s="134" t="s">
        <v>655</v>
      </c>
      <c r="L291" s="135">
        <v>1</v>
      </c>
      <c r="M291" s="133" t="s">
        <v>858</v>
      </c>
      <c r="N291" s="136">
        <v>3800</v>
      </c>
      <c r="O291" s="136">
        <v>3930</v>
      </c>
      <c r="P291" s="136">
        <f>O291-N291</f>
        <v>130</v>
      </c>
      <c r="Q291" s="137">
        <f t="shared" si="32"/>
        <v>3930</v>
      </c>
      <c r="R291" s="133" t="s">
        <v>1063</v>
      </c>
      <c r="S291" s="138">
        <v>45560.51458333333</v>
      </c>
      <c r="T291" s="133" t="s">
        <v>978</v>
      </c>
      <c r="U291" s="139" t="str">
        <f t="shared" si="29"/>
        <v>_driedflower_bulk_BURB</v>
      </c>
      <c r="V291" s="140" t="str">
        <f>IF(U291="_","",_xlfn.XLOOKUP(U291,internal_cansku_inventory!D:D,internal_cansku_inventory!E:E,"",0,1))</f>
        <v/>
      </c>
    </row>
    <row r="292" spans="1:22" ht="12.45" customHeight="1">
      <c r="A292" s="132">
        <v>343</v>
      </c>
      <c r="B292" s="132">
        <v>0</v>
      </c>
      <c r="C292" s="132" t="str">
        <f>Table1[[#This Row],[inventory_id_head]]&amp;"-"&amp;Table1[[#This Row],[inventory_id_tail]]</f>
        <v>343-0</v>
      </c>
      <c r="D292" s="133" t="s">
        <v>680</v>
      </c>
      <c r="E292" s="133" t="s">
        <v>1061</v>
      </c>
      <c r="F292" s="133" t="s">
        <v>1064</v>
      </c>
      <c r="G292" s="133" t="str">
        <f t="shared" si="30"/>
        <v>T036DFC-01033</v>
      </c>
      <c r="H292" s="133" t="s">
        <v>343</v>
      </c>
      <c r="I292" s="133"/>
      <c r="J292" s="133">
        <v>2024092001</v>
      </c>
      <c r="K292" s="134" t="s">
        <v>655</v>
      </c>
      <c r="L292" s="135">
        <v>1</v>
      </c>
      <c r="M292" s="133" t="s">
        <v>858</v>
      </c>
      <c r="N292" s="136">
        <v>3000</v>
      </c>
      <c r="O292" s="136">
        <v>3100</v>
      </c>
      <c r="P292" s="136">
        <v>100</v>
      </c>
      <c r="Q292" s="137">
        <f t="shared" si="32"/>
        <v>3100</v>
      </c>
      <c r="R292" s="133" t="s">
        <v>1063</v>
      </c>
      <c r="S292" s="138">
        <v>45560.51458333333</v>
      </c>
      <c r="T292" s="133" t="s">
        <v>978</v>
      </c>
      <c r="U292" s="139" t="str">
        <f t="shared" si="29"/>
        <v>_driedflower_bulk_BURB</v>
      </c>
      <c r="V292" s="140" t="str">
        <f>IF(U292="_","",_xlfn.XLOOKUP(U292,internal_cansku_inventory!D:D,internal_cansku_inventory!E:E,"",0,1))</f>
        <v/>
      </c>
    </row>
    <row r="293" spans="1:22" ht="12.45" customHeight="1">
      <c r="A293" s="132">
        <v>344</v>
      </c>
      <c r="B293" s="132">
        <v>0</v>
      </c>
      <c r="C293" s="132" t="str">
        <f>Table1[[#This Row],[inventory_id_head]]&amp;"-"&amp;Table1[[#This Row],[inventory_id_tail]]</f>
        <v>344-0</v>
      </c>
      <c r="D293" s="133" t="s">
        <v>680</v>
      </c>
      <c r="E293" s="133" t="s">
        <v>1061</v>
      </c>
      <c r="F293" s="133" t="s">
        <v>1065</v>
      </c>
      <c r="G293" s="133" t="str">
        <f t="shared" si="30"/>
        <v>T036DFC-01032</v>
      </c>
      <c r="H293" s="133" t="s">
        <v>343</v>
      </c>
      <c r="I293" s="133"/>
      <c r="J293" s="133">
        <v>2024092001</v>
      </c>
      <c r="K293" s="134" t="s">
        <v>655</v>
      </c>
      <c r="L293" s="135">
        <v>1</v>
      </c>
      <c r="M293" s="133" t="s">
        <v>858</v>
      </c>
      <c r="N293" s="136">
        <v>3000</v>
      </c>
      <c r="O293" s="136">
        <v>3104</v>
      </c>
      <c r="P293" s="136">
        <v>104</v>
      </c>
      <c r="Q293" s="137">
        <f t="shared" si="32"/>
        <v>3104</v>
      </c>
      <c r="R293" s="133" t="s">
        <v>1063</v>
      </c>
      <c r="S293" s="138">
        <v>45560.51458333333</v>
      </c>
      <c r="T293" s="133" t="s">
        <v>978</v>
      </c>
      <c r="U293" s="139" t="str">
        <f t="shared" si="29"/>
        <v>_driedflower_bulk_BURB</v>
      </c>
      <c r="V293" s="140" t="str">
        <f>IF(U293="_","",_xlfn.XLOOKUP(U293,internal_cansku_inventory!D:D,internal_cansku_inventory!E:E,"",0,1))</f>
        <v/>
      </c>
    </row>
    <row r="294" spans="1:22" ht="12.45" customHeight="1">
      <c r="A294" s="132">
        <v>345</v>
      </c>
      <c r="B294" s="132">
        <v>0</v>
      </c>
      <c r="C294" s="132" t="str">
        <f>Table1[[#This Row],[inventory_id_head]]&amp;"-"&amp;Table1[[#This Row],[inventory_id_tail]]</f>
        <v>345-0</v>
      </c>
      <c r="D294" s="133" t="s">
        <v>680</v>
      </c>
      <c r="E294" s="133" t="s">
        <v>1061</v>
      </c>
      <c r="F294" s="133" t="s">
        <v>1066</v>
      </c>
      <c r="G294" s="133" t="str">
        <f t="shared" si="30"/>
        <v>T036DFC-01034</v>
      </c>
      <c r="H294" s="133" t="s">
        <v>343</v>
      </c>
      <c r="I294" s="133"/>
      <c r="J294" s="133">
        <v>2024092001</v>
      </c>
      <c r="K294" s="134" t="s">
        <v>655</v>
      </c>
      <c r="L294" s="135">
        <v>1</v>
      </c>
      <c r="M294" s="133" t="s">
        <v>858</v>
      </c>
      <c r="N294" s="136">
        <v>2700</v>
      </c>
      <c r="O294" s="136">
        <v>2868</v>
      </c>
      <c r="P294" s="136">
        <f>O294-N294</f>
        <v>168</v>
      </c>
      <c r="Q294" s="137">
        <f t="shared" si="32"/>
        <v>2868</v>
      </c>
      <c r="R294" s="133" t="s">
        <v>1063</v>
      </c>
      <c r="S294" s="138">
        <v>45560.51458333333</v>
      </c>
      <c r="T294" s="133" t="s">
        <v>978</v>
      </c>
      <c r="U294" s="139" t="str">
        <f t="shared" si="29"/>
        <v>_driedflower_bulk_BURB</v>
      </c>
      <c r="V294" s="140" t="str">
        <f>IF(U294="_","",_xlfn.XLOOKUP(U294,internal_cansku_inventory!D:D,internal_cansku_inventory!E:E,"",0,1))</f>
        <v/>
      </c>
    </row>
    <row r="295" spans="1:22" ht="12.45" customHeight="1">
      <c r="A295" s="132">
        <v>346</v>
      </c>
      <c r="B295" s="132">
        <v>0</v>
      </c>
      <c r="C295" s="132" t="str">
        <f>Table1[[#This Row],[inventory_id_head]]&amp;"-"&amp;Table1[[#This Row],[inventory_id_tail]]</f>
        <v>346-0</v>
      </c>
      <c r="D295" s="133" t="s">
        <v>680</v>
      </c>
      <c r="E295" s="133" t="s">
        <v>1067</v>
      </c>
      <c r="F295" s="133" t="s">
        <v>1068</v>
      </c>
      <c r="G295" s="133" t="str">
        <f t="shared" ref="G295:G326" si="33">E295&amp;F295</f>
        <v>T037DFC-00959</v>
      </c>
      <c r="H295" s="133" t="s">
        <v>343</v>
      </c>
      <c r="I295" s="133"/>
      <c r="J295" s="133">
        <v>2024092002</v>
      </c>
      <c r="K295" s="134" t="s">
        <v>655</v>
      </c>
      <c r="L295" s="135">
        <v>1</v>
      </c>
      <c r="M295" s="133" t="s">
        <v>858</v>
      </c>
      <c r="N295" s="136">
        <v>1500</v>
      </c>
      <c r="O295" s="136">
        <v>1562</v>
      </c>
      <c r="P295" s="136">
        <f>O295-N295</f>
        <v>62</v>
      </c>
      <c r="Q295" s="137">
        <f t="shared" si="32"/>
        <v>1562</v>
      </c>
      <c r="R295" s="133" t="s">
        <v>1055</v>
      </c>
      <c r="S295" s="138">
        <v>45560.538194444445</v>
      </c>
      <c r="T295" s="133" t="s">
        <v>978</v>
      </c>
      <c r="U295" s="139" t="str">
        <f t="shared" si="29"/>
        <v>_driedflower_bulk_BURB</v>
      </c>
      <c r="V295" s="140" t="str">
        <f>IF(U295="_","",_xlfn.XLOOKUP(U295,internal_cansku_inventory!D:D,internal_cansku_inventory!E:E,"",0,1))</f>
        <v/>
      </c>
    </row>
    <row r="296" spans="1:22" ht="12.45" customHeight="1">
      <c r="A296" s="132">
        <v>347</v>
      </c>
      <c r="B296" s="132">
        <v>0</v>
      </c>
      <c r="C296" s="132" t="str">
        <f>Table1[[#This Row],[inventory_id_head]]&amp;"-"&amp;Table1[[#This Row],[inventory_id_tail]]</f>
        <v>347-0</v>
      </c>
      <c r="D296" s="133" t="s">
        <v>680</v>
      </c>
      <c r="E296" s="133" t="s">
        <v>1067</v>
      </c>
      <c r="F296" s="133" t="s">
        <v>1069</v>
      </c>
      <c r="G296" s="133" t="str">
        <f t="shared" si="33"/>
        <v>T037DFC-00958</v>
      </c>
      <c r="H296" s="133" t="s">
        <v>343</v>
      </c>
      <c r="I296" s="133"/>
      <c r="J296" s="133">
        <v>2024092002</v>
      </c>
      <c r="K296" s="134" t="s">
        <v>655</v>
      </c>
      <c r="L296" s="135">
        <v>1</v>
      </c>
      <c r="M296" s="133" t="s">
        <v>858</v>
      </c>
      <c r="N296" s="136">
        <v>2500</v>
      </c>
      <c r="O296" s="136">
        <v>2616</v>
      </c>
      <c r="P296" s="136">
        <f>O296-N296</f>
        <v>116</v>
      </c>
      <c r="Q296" s="137">
        <f t="shared" si="32"/>
        <v>2616</v>
      </c>
      <c r="R296" s="133" t="s">
        <v>1055</v>
      </c>
      <c r="S296" s="138">
        <v>45560.538194444445</v>
      </c>
      <c r="T296" s="133" t="s">
        <v>978</v>
      </c>
      <c r="U296" s="139" t="str">
        <f t="shared" si="29"/>
        <v>_driedflower_bulk_BURB</v>
      </c>
      <c r="V296" s="140" t="str">
        <f>IF(U296="_","",_xlfn.XLOOKUP(U296,internal_cansku_inventory!D:D,internal_cansku_inventory!E:E,"",0,1))</f>
        <v/>
      </c>
    </row>
    <row r="297" spans="1:22" ht="12.45" customHeight="1">
      <c r="A297" s="132">
        <v>348</v>
      </c>
      <c r="B297" s="132">
        <v>0</v>
      </c>
      <c r="C297" s="132" t="str">
        <f>Table1[[#This Row],[inventory_id_head]]&amp;"-"&amp;Table1[[#This Row],[inventory_id_tail]]</f>
        <v>348-0</v>
      </c>
      <c r="D297" s="133" t="s">
        <v>680</v>
      </c>
      <c r="E297" s="133" t="s">
        <v>1067</v>
      </c>
      <c r="F297" s="133" t="s">
        <v>1070</v>
      </c>
      <c r="G297" s="133" t="str">
        <f t="shared" si="33"/>
        <v>T037DFC-00976</v>
      </c>
      <c r="H297" s="133" t="s">
        <v>343</v>
      </c>
      <c r="I297" s="133"/>
      <c r="J297" s="133">
        <v>2024092002</v>
      </c>
      <c r="K297" s="134" t="s">
        <v>655</v>
      </c>
      <c r="L297" s="135">
        <v>1</v>
      </c>
      <c r="M297" s="133" t="s">
        <v>858</v>
      </c>
      <c r="N297" s="136">
        <v>3500</v>
      </c>
      <c r="O297" s="136">
        <v>3600</v>
      </c>
      <c r="P297" s="136">
        <f>O297-N297</f>
        <v>100</v>
      </c>
      <c r="Q297" s="137">
        <f t="shared" si="32"/>
        <v>3600</v>
      </c>
      <c r="R297" s="133" t="s">
        <v>1055</v>
      </c>
      <c r="S297" s="138">
        <v>45560.538194444445</v>
      </c>
      <c r="T297" s="133" t="s">
        <v>978</v>
      </c>
      <c r="U297" s="139" t="str">
        <f t="shared" si="29"/>
        <v>_driedflower_bulk_BURB</v>
      </c>
      <c r="V297" s="140" t="str">
        <f>IF(U297="_","",_xlfn.XLOOKUP(U297,internal_cansku_inventory!D:D,internal_cansku_inventory!E:E,"",0,1))</f>
        <v/>
      </c>
    </row>
    <row r="298" spans="1:22" ht="12.45" customHeight="1">
      <c r="A298" s="132">
        <v>349</v>
      </c>
      <c r="B298" s="132">
        <v>0</v>
      </c>
      <c r="C298" s="132" t="str">
        <f>Table1[[#This Row],[inventory_id_head]]&amp;"-"&amp;Table1[[#This Row],[inventory_id_tail]]</f>
        <v>349-0</v>
      </c>
      <c r="D298" s="133" t="s">
        <v>680</v>
      </c>
      <c r="E298" s="133" t="s">
        <v>1071</v>
      </c>
      <c r="F298" s="133" t="s">
        <v>655</v>
      </c>
      <c r="G298" s="133" t="str">
        <f t="shared" si="33"/>
        <v>T044EXNA</v>
      </c>
      <c r="H298" s="133" t="s">
        <v>409</v>
      </c>
      <c r="I298" s="133"/>
      <c r="J298" s="133" t="s">
        <v>1049</v>
      </c>
      <c r="K298" s="134" t="s">
        <v>655</v>
      </c>
      <c r="L298" s="135">
        <v>100</v>
      </c>
      <c r="M298" s="133" t="s">
        <v>858</v>
      </c>
      <c r="N298" s="136">
        <v>0.5</v>
      </c>
      <c r="O298" s="136">
        <v>0</v>
      </c>
      <c r="P298" s="136">
        <v>0</v>
      </c>
      <c r="Q298" s="137">
        <f t="shared" ref="Q298:Q361" si="34">L298*N298</f>
        <v>50</v>
      </c>
      <c r="R298" s="133"/>
      <c r="S298" s="138">
        <v>45560.625</v>
      </c>
      <c r="T298" s="133" t="s">
        <v>657</v>
      </c>
      <c r="U298" s="139" t="str">
        <f t="shared" si="29"/>
        <v>_extract_inhaled_packaged</v>
      </c>
      <c r="V298" s="140" t="str">
        <f>IF(U298="_","",_xlfn.XLOOKUP(U298,internal_cansku_inventory!D:D,internal_cansku_inventory!E:E,"",0,1))</f>
        <v/>
      </c>
    </row>
    <row r="299" spans="1:22" ht="12.45" customHeight="1">
      <c r="A299" s="132">
        <v>350</v>
      </c>
      <c r="B299" s="132">
        <v>0</v>
      </c>
      <c r="C299" s="132" t="str">
        <f>Table1[[#This Row],[inventory_id_head]]&amp;"-"&amp;Table1[[#This Row],[inventory_id_tail]]</f>
        <v>350-0</v>
      </c>
      <c r="D299" s="133" t="s">
        <v>680</v>
      </c>
      <c r="E299" s="133" t="s">
        <v>1072</v>
      </c>
      <c r="F299" s="133" t="s">
        <v>655</v>
      </c>
      <c r="G299" s="133" t="str">
        <f t="shared" si="33"/>
        <v>T045EXNA</v>
      </c>
      <c r="H299" s="133" t="s">
        <v>409</v>
      </c>
      <c r="I299" s="133"/>
      <c r="J299" s="133" t="s">
        <v>1049</v>
      </c>
      <c r="K299" s="134" t="s">
        <v>655</v>
      </c>
      <c r="L299" s="135">
        <v>100</v>
      </c>
      <c r="M299" s="133" t="s">
        <v>858</v>
      </c>
      <c r="N299" s="136">
        <v>0.5</v>
      </c>
      <c r="O299" s="136">
        <v>0</v>
      </c>
      <c r="P299" s="136">
        <v>0</v>
      </c>
      <c r="Q299" s="137">
        <f t="shared" si="34"/>
        <v>50</v>
      </c>
      <c r="R299" s="133"/>
      <c r="S299" s="138">
        <v>45560.625</v>
      </c>
      <c r="T299" s="133" t="s">
        <v>657</v>
      </c>
      <c r="U299" s="139" t="str">
        <f t="shared" si="29"/>
        <v>_extract_inhaled_packaged</v>
      </c>
      <c r="V299" s="140" t="str">
        <f>IF(U299="_","",_xlfn.XLOOKUP(U299,internal_cansku_inventory!D:D,internal_cansku_inventory!E:E,"",0,1))</f>
        <v/>
      </c>
    </row>
    <row r="300" spans="1:22" ht="12.45" customHeight="1">
      <c r="A300" s="132">
        <v>351</v>
      </c>
      <c r="B300" s="132">
        <v>0</v>
      </c>
      <c r="C300" s="132" t="str">
        <f>Table1[[#This Row],[inventory_id_head]]&amp;"-"&amp;Table1[[#This Row],[inventory_id_tail]]</f>
        <v>351-0</v>
      </c>
      <c r="D300" s="133" t="s">
        <v>680</v>
      </c>
      <c r="E300" s="133" t="s">
        <v>1073</v>
      </c>
      <c r="F300" s="133" t="s">
        <v>655</v>
      </c>
      <c r="G300" s="133" t="str">
        <f t="shared" si="33"/>
        <v>T046EXNA</v>
      </c>
      <c r="H300" s="133" t="s">
        <v>409</v>
      </c>
      <c r="I300" s="133"/>
      <c r="J300" s="133" t="s">
        <v>1049</v>
      </c>
      <c r="K300" s="134" t="s">
        <v>655</v>
      </c>
      <c r="L300" s="135">
        <v>100</v>
      </c>
      <c r="M300" s="133" t="s">
        <v>858</v>
      </c>
      <c r="N300" s="136">
        <v>0.5</v>
      </c>
      <c r="O300" s="136">
        <v>0</v>
      </c>
      <c r="P300" s="136">
        <v>0</v>
      </c>
      <c r="Q300" s="137">
        <f t="shared" si="34"/>
        <v>50</v>
      </c>
      <c r="R300" s="133"/>
      <c r="S300" s="138">
        <v>45560.625</v>
      </c>
      <c r="T300" s="133" t="s">
        <v>657</v>
      </c>
      <c r="U300" s="139" t="str">
        <f t="shared" si="29"/>
        <v>_extract_inhaled_packaged</v>
      </c>
      <c r="V300" s="140" t="str">
        <f>IF(U300="_","",_xlfn.XLOOKUP(U300,internal_cansku_inventory!D:D,internal_cansku_inventory!E:E,"",0,1))</f>
        <v/>
      </c>
    </row>
    <row r="301" spans="1:22" ht="12.45" customHeight="1">
      <c r="A301" s="132">
        <v>352</v>
      </c>
      <c r="B301" s="132">
        <v>0</v>
      </c>
      <c r="C301" s="132" t="str">
        <f>Table1[[#This Row],[inventory_id_head]]&amp;"-"&amp;Table1[[#This Row],[inventory_id_tail]]</f>
        <v>352-0</v>
      </c>
      <c r="D301" s="133" t="s">
        <v>680</v>
      </c>
      <c r="E301" s="133" t="s">
        <v>1074</v>
      </c>
      <c r="F301" s="133" t="s">
        <v>655</v>
      </c>
      <c r="G301" s="133" t="str">
        <f t="shared" si="33"/>
        <v>T047EXNA</v>
      </c>
      <c r="H301" s="133" t="s">
        <v>409</v>
      </c>
      <c r="I301" s="133"/>
      <c r="J301" s="133" t="s">
        <v>1049</v>
      </c>
      <c r="K301" s="134" t="s">
        <v>655</v>
      </c>
      <c r="L301" s="135">
        <v>100</v>
      </c>
      <c r="M301" s="133" t="s">
        <v>858</v>
      </c>
      <c r="N301" s="136">
        <v>0.5</v>
      </c>
      <c r="O301" s="136">
        <v>0</v>
      </c>
      <c r="P301" s="136">
        <v>0</v>
      </c>
      <c r="Q301" s="137">
        <f t="shared" si="34"/>
        <v>50</v>
      </c>
      <c r="R301" s="133"/>
      <c r="S301" s="138">
        <v>45560.625</v>
      </c>
      <c r="T301" s="133" t="s">
        <v>657</v>
      </c>
      <c r="U301" s="139" t="str">
        <f t="shared" si="29"/>
        <v>_extract_inhaled_packaged</v>
      </c>
      <c r="V301" s="140" t="str">
        <f>IF(U301="_","",_xlfn.XLOOKUP(U301,internal_cansku_inventory!D:D,internal_cansku_inventory!E:E,"",0,1))</f>
        <v/>
      </c>
    </row>
    <row r="302" spans="1:22" ht="12.45" customHeight="1">
      <c r="A302" s="132">
        <v>353</v>
      </c>
      <c r="B302" s="132">
        <v>0</v>
      </c>
      <c r="C302" s="132" t="str">
        <f>Table1[[#This Row],[inventory_id_head]]&amp;"-"&amp;Table1[[#This Row],[inventory_id_tail]]</f>
        <v>353-0</v>
      </c>
      <c r="D302" s="133" t="s">
        <v>680</v>
      </c>
      <c r="E302" s="133" t="s">
        <v>1075</v>
      </c>
      <c r="F302" s="133" t="s">
        <v>655</v>
      </c>
      <c r="G302" s="133" t="str">
        <f t="shared" si="33"/>
        <v>T048EXNA</v>
      </c>
      <c r="H302" s="133" t="s">
        <v>409</v>
      </c>
      <c r="I302" s="133"/>
      <c r="J302" s="133" t="s">
        <v>1049</v>
      </c>
      <c r="K302" s="134" t="s">
        <v>655</v>
      </c>
      <c r="L302" s="135">
        <v>100</v>
      </c>
      <c r="M302" s="133" t="s">
        <v>858</v>
      </c>
      <c r="N302" s="136">
        <v>0.5</v>
      </c>
      <c r="O302" s="136">
        <v>0</v>
      </c>
      <c r="P302" s="136">
        <v>0</v>
      </c>
      <c r="Q302" s="137">
        <f t="shared" si="34"/>
        <v>50</v>
      </c>
      <c r="R302" s="133"/>
      <c r="S302" s="138">
        <v>45560.625</v>
      </c>
      <c r="T302" s="133" t="s">
        <v>657</v>
      </c>
      <c r="U302" s="139" t="str">
        <f t="shared" si="29"/>
        <v>_extract_inhaled_packaged</v>
      </c>
      <c r="V302" s="140" t="str">
        <f>IF(U302="_","",_xlfn.XLOOKUP(U302,internal_cansku_inventory!D:D,internal_cansku_inventory!E:E,"",0,1))</f>
        <v/>
      </c>
    </row>
    <row r="303" spans="1:22" ht="12.45" customHeight="1">
      <c r="A303" s="132">
        <v>354</v>
      </c>
      <c r="B303" s="132">
        <v>0</v>
      </c>
      <c r="C303" s="132" t="str">
        <f>Table1[[#This Row],[inventory_id_head]]&amp;"-"&amp;Table1[[#This Row],[inventory_id_tail]]</f>
        <v>354-0</v>
      </c>
      <c r="D303" s="133" t="s">
        <v>680</v>
      </c>
      <c r="E303" s="133" t="s">
        <v>1076</v>
      </c>
      <c r="F303" s="133" t="s">
        <v>655</v>
      </c>
      <c r="G303" s="133" t="str">
        <f t="shared" si="33"/>
        <v>T049EXNA</v>
      </c>
      <c r="H303" s="133" t="s">
        <v>409</v>
      </c>
      <c r="I303" s="133"/>
      <c r="J303" s="133" t="s">
        <v>1049</v>
      </c>
      <c r="K303" s="134" t="s">
        <v>655</v>
      </c>
      <c r="L303" s="135">
        <v>100</v>
      </c>
      <c r="M303" s="133" t="s">
        <v>858</v>
      </c>
      <c r="N303" s="136">
        <v>0.5</v>
      </c>
      <c r="O303" s="136">
        <v>0</v>
      </c>
      <c r="P303" s="136">
        <v>0</v>
      </c>
      <c r="Q303" s="137">
        <f t="shared" si="34"/>
        <v>50</v>
      </c>
      <c r="R303" s="133"/>
      <c r="S303" s="138">
        <v>45560.625</v>
      </c>
      <c r="T303" s="133" t="s">
        <v>657</v>
      </c>
      <c r="U303" s="139" t="str">
        <f t="shared" si="29"/>
        <v>_extract_inhaled_packaged</v>
      </c>
      <c r="V303" s="140" t="str">
        <f>IF(U303="_","",_xlfn.XLOOKUP(U303,internal_cansku_inventory!D:D,internal_cansku_inventory!E:E,"",0,1))</f>
        <v/>
      </c>
    </row>
    <row r="304" spans="1:22" ht="12.45" customHeight="1">
      <c r="A304" s="132">
        <v>355</v>
      </c>
      <c r="B304" s="132">
        <v>0</v>
      </c>
      <c r="C304" s="132" t="str">
        <f>Table1[[#This Row],[inventory_id_head]]&amp;"-"&amp;Table1[[#This Row],[inventory_id_tail]]</f>
        <v>355-0</v>
      </c>
      <c r="D304" s="133" t="s">
        <v>680</v>
      </c>
      <c r="E304" s="133" t="s">
        <v>1077</v>
      </c>
      <c r="F304" s="133" t="s">
        <v>655</v>
      </c>
      <c r="G304" s="133" t="str">
        <f t="shared" si="33"/>
        <v>T050EXNA</v>
      </c>
      <c r="H304" s="133" t="s">
        <v>409</v>
      </c>
      <c r="I304" s="133"/>
      <c r="J304" s="133" t="s">
        <v>1049</v>
      </c>
      <c r="K304" s="134" t="s">
        <v>655</v>
      </c>
      <c r="L304" s="135">
        <v>100</v>
      </c>
      <c r="M304" s="133" t="s">
        <v>858</v>
      </c>
      <c r="N304" s="136">
        <v>0.5</v>
      </c>
      <c r="O304" s="136">
        <v>0</v>
      </c>
      <c r="P304" s="136">
        <v>0</v>
      </c>
      <c r="Q304" s="137">
        <f t="shared" si="34"/>
        <v>50</v>
      </c>
      <c r="R304" s="133"/>
      <c r="S304" s="138">
        <v>45560.625</v>
      </c>
      <c r="T304" s="133" t="s">
        <v>657</v>
      </c>
      <c r="U304" s="139" t="str">
        <f t="shared" si="29"/>
        <v>_extract_inhaled_packaged</v>
      </c>
      <c r="V304" s="140" t="str">
        <f>IF(U304="_","",_xlfn.XLOOKUP(U304,internal_cansku_inventory!D:D,internal_cansku_inventory!E:E,"",0,1))</f>
        <v/>
      </c>
    </row>
    <row r="305" spans="1:22" ht="12.45" customHeight="1">
      <c r="A305" s="132">
        <v>356</v>
      </c>
      <c r="B305" s="132">
        <v>0</v>
      </c>
      <c r="C305" s="132" t="str">
        <f>Table1[[#This Row],[inventory_id_head]]&amp;"-"&amp;Table1[[#This Row],[inventory_id_tail]]</f>
        <v>356-0</v>
      </c>
      <c r="D305" s="133" t="s">
        <v>680</v>
      </c>
      <c r="E305" s="133" t="s">
        <v>1078</v>
      </c>
      <c r="F305" s="133" t="s">
        <v>655</v>
      </c>
      <c r="G305" s="133" t="str">
        <f t="shared" si="33"/>
        <v>T051EXNA</v>
      </c>
      <c r="H305" s="133" t="s">
        <v>409</v>
      </c>
      <c r="I305" s="133"/>
      <c r="J305" s="133" t="s">
        <v>1049</v>
      </c>
      <c r="K305" s="134" t="s">
        <v>655</v>
      </c>
      <c r="L305" s="135">
        <v>100</v>
      </c>
      <c r="M305" s="133" t="s">
        <v>858</v>
      </c>
      <c r="N305" s="136">
        <v>0.5</v>
      </c>
      <c r="O305" s="136">
        <v>0</v>
      </c>
      <c r="P305" s="136">
        <v>0</v>
      </c>
      <c r="Q305" s="137">
        <f t="shared" si="34"/>
        <v>50</v>
      </c>
      <c r="R305" s="133"/>
      <c r="S305" s="138">
        <v>45560.625</v>
      </c>
      <c r="T305" s="133" t="s">
        <v>657</v>
      </c>
      <c r="U305" s="139" t="str">
        <f t="shared" si="29"/>
        <v>_extract_inhaled_packaged</v>
      </c>
      <c r="V305" s="140" t="str">
        <f>IF(U305="_","",_xlfn.XLOOKUP(U305,internal_cansku_inventory!D:D,internal_cansku_inventory!E:E,"",0,1))</f>
        <v/>
      </c>
    </row>
    <row r="306" spans="1:22" ht="12.45" customHeight="1">
      <c r="A306" s="132">
        <v>357</v>
      </c>
      <c r="B306" s="132">
        <v>0</v>
      </c>
      <c r="C306" s="132" t="str">
        <f>Table1[[#This Row],[inventory_id_head]]&amp;"-"&amp;Table1[[#This Row],[inventory_id_tail]]</f>
        <v>357-0</v>
      </c>
      <c r="D306" s="133" t="s">
        <v>680</v>
      </c>
      <c r="E306" s="133" t="s">
        <v>1079</v>
      </c>
      <c r="F306" s="133" t="s">
        <v>655</v>
      </c>
      <c r="G306" s="133" t="str">
        <f t="shared" si="33"/>
        <v>T052EXNA</v>
      </c>
      <c r="H306" s="133" t="s">
        <v>409</v>
      </c>
      <c r="I306" s="133"/>
      <c r="J306" s="133" t="s">
        <v>1049</v>
      </c>
      <c r="K306" s="134" t="s">
        <v>655</v>
      </c>
      <c r="L306" s="135">
        <v>100</v>
      </c>
      <c r="M306" s="133" t="s">
        <v>858</v>
      </c>
      <c r="N306" s="136">
        <v>0.5</v>
      </c>
      <c r="O306" s="136">
        <v>0</v>
      </c>
      <c r="P306" s="136">
        <v>0</v>
      </c>
      <c r="Q306" s="137">
        <f t="shared" si="34"/>
        <v>50</v>
      </c>
      <c r="R306" s="133"/>
      <c r="S306" s="138">
        <v>45560.625</v>
      </c>
      <c r="T306" s="133" t="s">
        <v>657</v>
      </c>
      <c r="U306" s="139" t="str">
        <f t="shared" si="29"/>
        <v>_extract_inhaled_packaged</v>
      </c>
      <c r="V306" s="140" t="str">
        <f>IF(U306="_","",_xlfn.XLOOKUP(U306,internal_cansku_inventory!D:D,internal_cansku_inventory!E:E,"",0,1))</f>
        <v/>
      </c>
    </row>
    <row r="307" spans="1:22" ht="12.45" customHeight="1">
      <c r="A307" s="132">
        <v>360</v>
      </c>
      <c r="B307" s="132">
        <v>0</v>
      </c>
      <c r="C307" s="132" t="str">
        <f>Table1[[#This Row],[inventory_id_head]]&amp;"-"&amp;Table1[[#This Row],[inventory_id_tail]]</f>
        <v>360-0</v>
      </c>
      <c r="D307" s="133" t="s">
        <v>680</v>
      </c>
      <c r="E307" s="133" t="s">
        <v>1080</v>
      </c>
      <c r="F307" s="133" t="s">
        <v>655</v>
      </c>
      <c r="G307" s="133" t="str">
        <f t="shared" si="33"/>
        <v>T055EXNA</v>
      </c>
      <c r="H307" s="133" t="s">
        <v>409</v>
      </c>
      <c r="I307" s="133"/>
      <c r="J307" s="133" t="s">
        <v>1049</v>
      </c>
      <c r="K307" s="134" t="s">
        <v>655</v>
      </c>
      <c r="L307" s="135">
        <v>73</v>
      </c>
      <c r="M307" s="133" t="s">
        <v>858</v>
      </c>
      <c r="N307" s="136">
        <v>0.5</v>
      </c>
      <c r="O307" s="136">
        <v>0</v>
      </c>
      <c r="P307" s="136">
        <v>0</v>
      </c>
      <c r="Q307" s="137">
        <f t="shared" si="34"/>
        <v>36.5</v>
      </c>
      <c r="R307" s="133"/>
      <c r="S307" s="138">
        <v>45560.625</v>
      </c>
      <c r="T307" s="133" t="s">
        <v>657</v>
      </c>
      <c r="U307" s="139" t="str">
        <f t="shared" si="29"/>
        <v>_extract_inhaled_packaged</v>
      </c>
      <c r="V307" s="140" t="str">
        <f>IF(U307="_","",_xlfn.XLOOKUP(U307,internal_cansku_inventory!D:D,internal_cansku_inventory!E:E,"",0,1))</f>
        <v/>
      </c>
    </row>
    <row r="308" spans="1:22" ht="12.45" customHeight="1">
      <c r="A308" s="132">
        <v>362</v>
      </c>
      <c r="B308" s="132">
        <v>0</v>
      </c>
      <c r="C308" s="132" t="str">
        <f>Table1[[#This Row],[inventory_id_head]]&amp;"-"&amp;Table1[[#This Row],[inventory_id_tail]]</f>
        <v>362-0</v>
      </c>
      <c r="D308" s="133" t="s">
        <v>680</v>
      </c>
      <c r="E308" s="133" t="s">
        <v>1081</v>
      </c>
      <c r="F308" s="133" t="s">
        <v>655</v>
      </c>
      <c r="G308" s="133" t="str">
        <f t="shared" si="33"/>
        <v>T057EXNA</v>
      </c>
      <c r="H308" s="133" t="s">
        <v>409</v>
      </c>
      <c r="I308" s="133"/>
      <c r="J308" s="133" t="s">
        <v>1047</v>
      </c>
      <c r="K308" s="134" t="s">
        <v>655</v>
      </c>
      <c r="L308" s="135">
        <v>100</v>
      </c>
      <c r="M308" s="133" t="s">
        <v>858</v>
      </c>
      <c r="N308" s="136">
        <v>0.5</v>
      </c>
      <c r="O308" s="136">
        <v>0</v>
      </c>
      <c r="P308" s="136">
        <v>0</v>
      </c>
      <c r="Q308" s="137">
        <f t="shared" si="34"/>
        <v>50</v>
      </c>
      <c r="R308" s="133"/>
      <c r="S308" s="138">
        <v>45560.625</v>
      </c>
      <c r="T308" s="133" t="s">
        <v>657</v>
      </c>
      <c r="U308" s="139" t="str">
        <f t="shared" si="29"/>
        <v>_extract_inhaled_packaged</v>
      </c>
      <c r="V308" s="140" t="str">
        <f>IF(U308="_","",_xlfn.XLOOKUP(U308,internal_cansku_inventory!D:D,internal_cansku_inventory!E:E,"",0,1))</f>
        <v/>
      </c>
    </row>
    <row r="309" spans="1:22" ht="12.45" customHeight="1">
      <c r="A309" s="132">
        <v>363</v>
      </c>
      <c r="B309" s="132">
        <v>0</v>
      </c>
      <c r="C309" s="132" t="str">
        <f>Table1[[#This Row],[inventory_id_head]]&amp;"-"&amp;Table1[[#This Row],[inventory_id_tail]]</f>
        <v>363-0</v>
      </c>
      <c r="D309" s="133" t="s">
        <v>680</v>
      </c>
      <c r="E309" s="133" t="s">
        <v>1082</v>
      </c>
      <c r="F309" s="133" t="s">
        <v>655</v>
      </c>
      <c r="G309" s="133" t="str">
        <f t="shared" si="33"/>
        <v>T058EXNA</v>
      </c>
      <c r="H309" s="133" t="s">
        <v>409</v>
      </c>
      <c r="I309" s="133"/>
      <c r="J309" s="133" t="s">
        <v>1047</v>
      </c>
      <c r="K309" s="134" t="s">
        <v>655</v>
      </c>
      <c r="L309" s="135">
        <v>100</v>
      </c>
      <c r="M309" s="133" t="s">
        <v>858</v>
      </c>
      <c r="N309" s="136">
        <v>0.5</v>
      </c>
      <c r="O309" s="136">
        <v>0</v>
      </c>
      <c r="P309" s="136">
        <v>0</v>
      </c>
      <c r="Q309" s="137">
        <f t="shared" si="34"/>
        <v>50</v>
      </c>
      <c r="R309" s="133"/>
      <c r="S309" s="138">
        <v>45560.640277777777</v>
      </c>
      <c r="T309" s="133" t="s">
        <v>657</v>
      </c>
      <c r="U309" s="139" t="str">
        <f t="shared" si="29"/>
        <v>_extract_inhaled_packaged</v>
      </c>
      <c r="V309" s="140" t="str">
        <f>IF(U309="_","",_xlfn.XLOOKUP(U309,internal_cansku_inventory!D:D,internal_cansku_inventory!E:E,"",0,1))</f>
        <v/>
      </c>
    </row>
    <row r="310" spans="1:22" ht="12.45" customHeight="1">
      <c r="A310" s="132">
        <v>364</v>
      </c>
      <c r="B310" s="132">
        <v>0</v>
      </c>
      <c r="C310" s="132" t="str">
        <f>Table1[[#This Row],[inventory_id_head]]&amp;"-"&amp;Table1[[#This Row],[inventory_id_tail]]</f>
        <v>364-0</v>
      </c>
      <c r="D310" s="133" t="s">
        <v>680</v>
      </c>
      <c r="E310" s="133" t="s">
        <v>1083</v>
      </c>
      <c r="F310" s="133" t="s">
        <v>655</v>
      </c>
      <c r="G310" s="133" t="str">
        <f t="shared" si="33"/>
        <v>T059EXNA</v>
      </c>
      <c r="H310" s="133" t="s">
        <v>328</v>
      </c>
      <c r="I310" s="133"/>
      <c r="J310" s="133" t="s">
        <v>1029</v>
      </c>
      <c r="K310" s="134">
        <v>45555</v>
      </c>
      <c r="L310" s="135">
        <v>141</v>
      </c>
      <c r="M310" s="133" t="s">
        <v>858</v>
      </c>
      <c r="N310" s="136">
        <v>0.5</v>
      </c>
      <c r="O310" s="136">
        <v>0</v>
      </c>
      <c r="P310" s="136">
        <v>0</v>
      </c>
      <c r="Q310" s="137">
        <f t="shared" si="34"/>
        <v>70.5</v>
      </c>
      <c r="R310" s="133"/>
      <c r="S310" s="138">
        <v>45560.644444444442</v>
      </c>
      <c r="T310" s="133" t="s">
        <v>657</v>
      </c>
      <c r="U310" s="139" t="str">
        <f t="shared" si="29"/>
        <v>_extract_inhaled_labelled</v>
      </c>
      <c r="V310" s="140" t="str">
        <f>IF(U310="_","",_xlfn.XLOOKUP(U310,internal_cansku_inventory!D:D,internal_cansku_inventory!E:E,"",0,1))</f>
        <v/>
      </c>
    </row>
    <row r="311" spans="1:22" ht="12.45" customHeight="1">
      <c r="A311" s="132">
        <v>366</v>
      </c>
      <c r="B311" s="132">
        <v>0</v>
      </c>
      <c r="C311" s="132" t="str">
        <f>Table1[[#This Row],[inventory_id_head]]&amp;"-"&amp;Table1[[#This Row],[inventory_id_tail]]</f>
        <v>366-0</v>
      </c>
      <c r="D311" s="133" t="s">
        <v>680</v>
      </c>
      <c r="E311" s="133" t="s">
        <v>1084</v>
      </c>
      <c r="F311" s="133" t="s">
        <v>655</v>
      </c>
      <c r="G311" s="133" t="str">
        <f t="shared" si="33"/>
        <v>T061EXNA</v>
      </c>
      <c r="H311" s="133" t="s">
        <v>409</v>
      </c>
      <c r="I311" s="133"/>
      <c r="J311" s="133" t="s">
        <v>1029</v>
      </c>
      <c r="K311" s="134" t="s">
        <v>655</v>
      </c>
      <c r="L311" s="135">
        <v>200</v>
      </c>
      <c r="M311" s="133" t="s">
        <v>858</v>
      </c>
      <c r="N311" s="136">
        <v>0.5</v>
      </c>
      <c r="O311" s="136">
        <v>0</v>
      </c>
      <c r="P311" s="136">
        <v>0</v>
      </c>
      <c r="Q311" s="137">
        <f t="shared" si="34"/>
        <v>100</v>
      </c>
      <c r="R311" s="133"/>
      <c r="S311" s="138">
        <v>45561.404861111114</v>
      </c>
      <c r="T311" s="133" t="s">
        <v>657</v>
      </c>
      <c r="U311" s="139" t="str">
        <f t="shared" si="29"/>
        <v>_extract_inhaled_packaged</v>
      </c>
      <c r="V311" s="140" t="str">
        <f>IF(U311="_","",_xlfn.XLOOKUP(U311,internal_cansku_inventory!D:D,internal_cansku_inventory!E:E,"",0,1))</f>
        <v/>
      </c>
    </row>
    <row r="312" spans="1:22" ht="12.45" customHeight="1">
      <c r="A312" s="132">
        <v>367</v>
      </c>
      <c r="B312" s="132">
        <v>0</v>
      </c>
      <c r="C312" s="132" t="str">
        <f>Table1[[#This Row],[inventory_id_head]]&amp;"-"&amp;Table1[[#This Row],[inventory_id_tail]]</f>
        <v>367-0</v>
      </c>
      <c r="D312" s="133" t="s">
        <v>680</v>
      </c>
      <c r="E312" s="133" t="s">
        <v>1085</v>
      </c>
      <c r="F312" s="133" t="s">
        <v>655</v>
      </c>
      <c r="G312" s="133" t="str">
        <f t="shared" si="33"/>
        <v>T062EXNA</v>
      </c>
      <c r="H312" s="133" t="s">
        <v>409</v>
      </c>
      <c r="I312" s="133"/>
      <c r="J312" s="133" t="s">
        <v>1029</v>
      </c>
      <c r="K312" s="134" t="s">
        <v>655</v>
      </c>
      <c r="L312" s="135">
        <v>200</v>
      </c>
      <c r="M312" s="133" t="s">
        <v>858</v>
      </c>
      <c r="N312" s="136">
        <v>0.5</v>
      </c>
      <c r="O312" s="136">
        <v>0</v>
      </c>
      <c r="P312" s="136">
        <v>0</v>
      </c>
      <c r="Q312" s="137">
        <f t="shared" si="34"/>
        <v>100</v>
      </c>
      <c r="R312" s="133"/>
      <c r="S312" s="138">
        <v>45561.404861111114</v>
      </c>
      <c r="T312" s="133" t="s">
        <v>657</v>
      </c>
      <c r="U312" s="139" t="str">
        <f t="shared" si="29"/>
        <v>_extract_inhaled_packaged</v>
      </c>
      <c r="V312" s="140" t="str">
        <f>IF(U312="_","",_xlfn.XLOOKUP(U312,internal_cansku_inventory!D:D,internal_cansku_inventory!E:E,"",0,1))</f>
        <v/>
      </c>
    </row>
    <row r="313" spans="1:22" ht="12.45" customHeight="1">
      <c r="A313" s="132">
        <v>368</v>
      </c>
      <c r="B313" s="132">
        <v>0</v>
      </c>
      <c r="C313" s="132" t="str">
        <f>Table1[[#This Row],[inventory_id_head]]&amp;"-"&amp;Table1[[#This Row],[inventory_id_tail]]</f>
        <v>368-0</v>
      </c>
      <c r="D313" s="133" t="s">
        <v>680</v>
      </c>
      <c r="E313" s="133" t="s">
        <v>1086</v>
      </c>
      <c r="F313" s="133" t="s">
        <v>655</v>
      </c>
      <c r="G313" s="133" t="str">
        <f t="shared" si="33"/>
        <v>T063EXNA</v>
      </c>
      <c r="H313" s="133" t="s">
        <v>409</v>
      </c>
      <c r="I313" s="133"/>
      <c r="J313" s="133" t="s">
        <v>1029</v>
      </c>
      <c r="K313" s="134" t="s">
        <v>655</v>
      </c>
      <c r="L313" s="135">
        <v>200</v>
      </c>
      <c r="M313" s="133" t="s">
        <v>858</v>
      </c>
      <c r="N313" s="136">
        <v>0.5</v>
      </c>
      <c r="O313" s="136">
        <v>0</v>
      </c>
      <c r="P313" s="136">
        <v>0</v>
      </c>
      <c r="Q313" s="137">
        <f t="shared" si="34"/>
        <v>100</v>
      </c>
      <c r="R313" s="133"/>
      <c r="S313" s="138">
        <v>45561.404861111114</v>
      </c>
      <c r="T313" s="133" t="s">
        <v>657</v>
      </c>
      <c r="U313" s="139" t="str">
        <f t="shared" si="29"/>
        <v>_extract_inhaled_packaged</v>
      </c>
      <c r="V313" s="140" t="str">
        <f>IF(U313="_","",_xlfn.XLOOKUP(U313,internal_cansku_inventory!D:D,internal_cansku_inventory!E:E,"",0,1))</f>
        <v/>
      </c>
    </row>
    <row r="314" spans="1:22" ht="12.45" customHeight="1">
      <c r="A314" s="132">
        <v>369</v>
      </c>
      <c r="B314" s="132">
        <v>0</v>
      </c>
      <c r="C314" s="132" t="str">
        <f>Table1[[#This Row],[inventory_id_head]]&amp;"-"&amp;Table1[[#This Row],[inventory_id_tail]]</f>
        <v>369-0</v>
      </c>
      <c r="D314" s="133" t="s">
        <v>680</v>
      </c>
      <c r="E314" s="133" t="s">
        <v>1087</v>
      </c>
      <c r="F314" s="133" t="s">
        <v>655</v>
      </c>
      <c r="G314" s="133" t="str">
        <f t="shared" si="33"/>
        <v>T064EXNA</v>
      </c>
      <c r="H314" s="133" t="s">
        <v>409</v>
      </c>
      <c r="I314" s="133"/>
      <c r="J314" s="133" t="s">
        <v>1025</v>
      </c>
      <c r="K314" s="134" t="s">
        <v>655</v>
      </c>
      <c r="L314" s="135">
        <v>200</v>
      </c>
      <c r="M314" s="133" t="s">
        <v>858</v>
      </c>
      <c r="N314" s="136">
        <v>0.5</v>
      </c>
      <c r="O314" s="136">
        <v>0</v>
      </c>
      <c r="P314" s="136">
        <v>0</v>
      </c>
      <c r="Q314" s="137">
        <f t="shared" si="34"/>
        <v>100</v>
      </c>
      <c r="R314" s="133"/>
      <c r="S314" s="138">
        <v>45561.436805555553</v>
      </c>
      <c r="T314" s="133" t="s">
        <v>657</v>
      </c>
      <c r="U314" s="139" t="str">
        <f t="shared" si="29"/>
        <v>_extract_inhaled_packaged</v>
      </c>
      <c r="V314" s="140" t="str">
        <f>IF(U314="_","",_xlfn.XLOOKUP(U314,internal_cansku_inventory!D:D,internal_cansku_inventory!E:E,"",0,1))</f>
        <v/>
      </c>
    </row>
    <row r="315" spans="1:22" ht="12.45" customHeight="1">
      <c r="A315" s="132">
        <v>370</v>
      </c>
      <c r="B315" s="132">
        <v>0</v>
      </c>
      <c r="C315" s="132" t="str">
        <f>Table1[[#This Row],[inventory_id_head]]&amp;"-"&amp;Table1[[#This Row],[inventory_id_tail]]</f>
        <v>370-0</v>
      </c>
      <c r="D315" s="133" t="s">
        <v>680</v>
      </c>
      <c r="E315" s="133" t="s">
        <v>1088</v>
      </c>
      <c r="F315" s="133" t="s">
        <v>655</v>
      </c>
      <c r="G315" s="133" t="str">
        <f t="shared" si="33"/>
        <v>T065EXNA</v>
      </c>
      <c r="H315" s="133" t="s">
        <v>409</v>
      </c>
      <c r="I315" s="133"/>
      <c r="J315" s="133" t="s">
        <v>1025</v>
      </c>
      <c r="K315" s="134" t="s">
        <v>655</v>
      </c>
      <c r="L315" s="135">
        <v>200</v>
      </c>
      <c r="M315" s="133" t="s">
        <v>858</v>
      </c>
      <c r="N315" s="136">
        <v>0.5</v>
      </c>
      <c r="O315" s="136">
        <v>0</v>
      </c>
      <c r="P315" s="136">
        <v>0</v>
      </c>
      <c r="Q315" s="137">
        <f t="shared" si="34"/>
        <v>100</v>
      </c>
      <c r="R315" s="133"/>
      <c r="S315" s="138">
        <v>45561.436805555553</v>
      </c>
      <c r="T315" s="133" t="s">
        <v>657</v>
      </c>
      <c r="U315" s="139" t="str">
        <f t="shared" si="29"/>
        <v>_extract_inhaled_packaged</v>
      </c>
      <c r="V315" s="140" t="str">
        <f>IF(U315="_","",_xlfn.XLOOKUP(U315,internal_cansku_inventory!D:D,internal_cansku_inventory!E:E,"",0,1))</f>
        <v/>
      </c>
    </row>
    <row r="316" spans="1:22" ht="12.45" customHeight="1">
      <c r="A316" s="132">
        <v>371</v>
      </c>
      <c r="B316" s="132">
        <v>0</v>
      </c>
      <c r="C316" s="132" t="str">
        <f>Table1[[#This Row],[inventory_id_head]]&amp;"-"&amp;Table1[[#This Row],[inventory_id_tail]]</f>
        <v>371-0</v>
      </c>
      <c r="D316" s="133" t="s">
        <v>680</v>
      </c>
      <c r="E316" s="133" t="s">
        <v>1089</v>
      </c>
      <c r="F316" s="133" t="s">
        <v>655</v>
      </c>
      <c r="G316" s="133" t="str">
        <f t="shared" si="33"/>
        <v>T066EXNA</v>
      </c>
      <c r="H316" s="133" t="s">
        <v>409</v>
      </c>
      <c r="I316" s="133"/>
      <c r="J316" s="152" t="s">
        <v>1025</v>
      </c>
      <c r="K316" s="134" t="s">
        <v>655</v>
      </c>
      <c r="L316" s="135">
        <v>200</v>
      </c>
      <c r="M316" s="133" t="s">
        <v>858</v>
      </c>
      <c r="N316" s="136">
        <v>0.5</v>
      </c>
      <c r="O316" s="136">
        <v>0</v>
      </c>
      <c r="P316" s="136">
        <v>0</v>
      </c>
      <c r="Q316" s="137">
        <f t="shared" si="34"/>
        <v>100</v>
      </c>
      <c r="R316" s="133"/>
      <c r="S316" s="138">
        <v>45561.436805555553</v>
      </c>
      <c r="T316" s="133" t="s">
        <v>657</v>
      </c>
      <c r="U316" s="139" t="str">
        <f t="shared" si="29"/>
        <v>_extract_inhaled_packaged</v>
      </c>
      <c r="V316" s="140" t="str">
        <f>IF(U316="_","",_xlfn.XLOOKUP(U316,internal_cansku_inventory!D:D,internal_cansku_inventory!E:E,"",0,1))</f>
        <v/>
      </c>
    </row>
    <row r="317" spans="1:22" ht="12.45" customHeight="1">
      <c r="A317" s="132">
        <v>373</v>
      </c>
      <c r="B317" s="132">
        <v>0</v>
      </c>
      <c r="C317" s="132" t="str">
        <f>Table1[[#This Row],[inventory_id_head]]&amp;"-"&amp;Table1[[#This Row],[inventory_id_tail]]</f>
        <v>373-0</v>
      </c>
      <c r="D317" s="133" t="s">
        <v>680</v>
      </c>
      <c r="E317" s="133" t="s">
        <v>1090</v>
      </c>
      <c r="F317" s="133" t="s">
        <v>655</v>
      </c>
      <c r="G317" s="133" t="str">
        <f t="shared" si="33"/>
        <v>T068EXNA</v>
      </c>
      <c r="H317" s="133" t="s">
        <v>328</v>
      </c>
      <c r="I317" s="133"/>
      <c r="J317" s="152" t="s">
        <v>1091</v>
      </c>
      <c r="K317" s="134">
        <v>45560</v>
      </c>
      <c r="L317" s="135">
        <v>83</v>
      </c>
      <c r="M317" s="133" t="s">
        <v>858</v>
      </c>
      <c r="N317" s="136">
        <v>0.5</v>
      </c>
      <c r="O317" s="136">
        <v>0</v>
      </c>
      <c r="P317" s="136">
        <v>0</v>
      </c>
      <c r="Q317" s="137">
        <f t="shared" si="34"/>
        <v>41.5</v>
      </c>
      <c r="R317" s="133"/>
      <c r="S317" s="138">
        <v>45561.505555555559</v>
      </c>
      <c r="T317" s="133" t="s">
        <v>657</v>
      </c>
      <c r="U317" s="139" t="str">
        <f t="shared" si="29"/>
        <v>_extract_inhaled_labelled</v>
      </c>
      <c r="V317" s="140" t="str">
        <f>IF(U317="_","",_xlfn.XLOOKUP(U317,internal_cansku_inventory!D:D,internal_cansku_inventory!E:E,"",0,1))</f>
        <v/>
      </c>
    </row>
    <row r="318" spans="1:22" ht="12.45" customHeight="1">
      <c r="A318" s="132">
        <v>257</v>
      </c>
      <c r="B318" s="132">
        <v>0</v>
      </c>
      <c r="C318" s="132" t="str">
        <f>Table1[[#This Row],[inventory_id_head]]&amp;"-"&amp;Table1[[#This Row],[inventory_id_tail]]</f>
        <v>257-0</v>
      </c>
      <c r="D318" s="133" t="s">
        <v>680</v>
      </c>
      <c r="E318" s="133" t="s">
        <v>1092</v>
      </c>
      <c r="F318" s="133" t="s">
        <v>655</v>
      </c>
      <c r="G318" s="133" t="str">
        <f t="shared" si="33"/>
        <v>J012EXNA</v>
      </c>
      <c r="H318" s="133" t="s">
        <v>963</v>
      </c>
      <c r="I318" s="133"/>
      <c r="J318" s="133">
        <v>2024082701</v>
      </c>
      <c r="K318" s="134" t="s">
        <v>655</v>
      </c>
      <c r="L318" s="135">
        <v>1</v>
      </c>
      <c r="M318" s="133" t="s">
        <v>858</v>
      </c>
      <c r="N318" s="136">
        <f>O318-P318</f>
        <v>142.50000000000003</v>
      </c>
      <c r="O318" s="136">
        <v>355.1</v>
      </c>
      <c r="P318" s="136">
        <v>212.6</v>
      </c>
      <c r="Q318" s="137">
        <f t="shared" si="34"/>
        <v>142.50000000000003</v>
      </c>
      <c r="R318" s="133"/>
      <c r="S318" s="138">
        <v>45561.567361111112</v>
      </c>
      <c r="T318" s="133" t="s">
        <v>978</v>
      </c>
      <c r="U318" s="139" t="str">
        <f t="shared" si="29"/>
        <v>_extract_distillate_bulk</v>
      </c>
      <c r="V318" s="140" t="str">
        <f>IF(U318="_","",_xlfn.XLOOKUP(U318,internal_cansku_inventory!D:D,internal_cansku_inventory!E:E,"",0,1))</f>
        <v/>
      </c>
    </row>
    <row r="319" spans="1:22" ht="12.45" customHeight="1">
      <c r="A319" s="132">
        <v>75</v>
      </c>
      <c r="B319" s="132">
        <v>0</v>
      </c>
      <c r="C319" s="132" t="str">
        <f>Table1[[#This Row],[inventory_id_head]]&amp;"-"&amp;Table1[[#This Row],[inventory_id_tail]]</f>
        <v>75-0</v>
      </c>
      <c r="D319" s="133" t="s">
        <v>680</v>
      </c>
      <c r="E319" s="133" t="s">
        <v>1093</v>
      </c>
      <c r="F319" s="133" t="s">
        <v>55</v>
      </c>
      <c r="G319" s="133" t="str">
        <f t="shared" si="33"/>
        <v>J001EXNA</v>
      </c>
      <c r="H319" s="133" t="s">
        <v>963</v>
      </c>
      <c r="I319" s="133"/>
      <c r="J319" s="133">
        <v>2024022201</v>
      </c>
      <c r="K319" s="134">
        <v>45407</v>
      </c>
      <c r="L319" s="135">
        <v>1</v>
      </c>
      <c r="M319" s="133" t="s">
        <v>961</v>
      </c>
      <c r="N319" s="136">
        <f>O319-P319</f>
        <v>72.599999999999966</v>
      </c>
      <c r="O319" s="136">
        <v>365.2</v>
      </c>
      <c r="P319" s="136">
        <f>524.6-232</f>
        <v>292.60000000000002</v>
      </c>
      <c r="Q319" s="137">
        <f t="shared" si="34"/>
        <v>72.599999999999966</v>
      </c>
      <c r="R319" s="133"/>
      <c r="S319" s="138">
        <v>45561.570833333331</v>
      </c>
      <c r="T319" s="133" t="s">
        <v>664</v>
      </c>
      <c r="U319" s="139" t="str">
        <f t="shared" si="29"/>
        <v>_extract_distillate_bulk</v>
      </c>
      <c r="V319" s="140" t="str">
        <f>IF(U319="_","",_xlfn.XLOOKUP(U319,internal_cansku_inventory!D:D,internal_cansku_inventory!E:E,"",0,1))</f>
        <v/>
      </c>
    </row>
    <row r="320" spans="1:22" ht="12.45" customHeight="1">
      <c r="A320" s="132">
        <v>329</v>
      </c>
      <c r="B320" s="132">
        <v>0</v>
      </c>
      <c r="C320" s="132" t="str">
        <f>Table1[[#This Row],[inventory_id_head]]&amp;"-"&amp;Table1[[#This Row],[inventory_id_tail]]</f>
        <v>329-0</v>
      </c>
      <c r="D320" s="133" t="s">
        <v>680</v>
      </c>
      <c r="E320" s="133" t="s">
        <v>1094</v>
      </c>
      <c r="F320" s="133" t="s">
        <v>55</v>
      </c>
      <c r="G320" s="133" t="str">
        <f t="shared" si="33"/>
        <v>J015EXNA</v>
      </c>
      <c r="H320" s="133" t="s">
        <v>358</v>
      </c>
      <c r="I320" s="133"/>
      <c r="J320" s="133" t="s">
        <v>1095</v>
      </c>
      <c r="K320" s="134" t="s">
        <v>55</v>
      </c>
      <c r="L320" s="135">
        <v>1</v>
      </c>
      <c r="M320" s="133" t="s">
        <v>644</v>
      </c>
      <c r="N320" s="136">
        <f>O320-P320</f>
        <v>3.1000000000000227</v>
      </c>
      <c r="O320" s="136">
        <v>588</v>
      </c>
      <c r="P320" s="136">
        <f>584.9</f>
        <v>584.9</v>
      </c>
      <c r="Q320" s="137">
        <f t="shared" si="34"/>
        <v>3.1000000000000227</v>
      </c>
      <c r="R320" s="133"/>
      <c r="S320" s="138">
        <v>45561.575694444444</v>
      </c>
      <c r="T320" s="133" t="s">
        <v>664</v>
      </c>
      <c r="U320" s="139" t="str">
        <f t="shared" si="29"/>
        <v>_extract_inhaled_bulk</v>
      </c>
      <c r="V320" s="140" t="str">
        <f>IF(U320="_","",_xlfn.XLOOKUP(U320,internal_cansku_inventory!D:D,internal_cansku_inventory!E:E,"",0,1))</f>
        <v/>
      </c>
    </row>
    <row r="321" spans="1:22" ht="12.45" customHeight="1">
      <c r="A321" s="132">
        <v>246</v>
      </c>
      <c r="B321" s="132">
        <v>0</v>
      </c>
      <c r="C321" s="132" t="str">
        <f>Table1[[#This Row],[inventory_id_head]]&amp;"-"&amp;Table1[[#This Row],[inventory_id_tail]]</f>
        <v>246-0</v>
      </c>
      <c r="D321" s="133" t="s">
        <v>680</v>
      </c>
      <c r="E321" s="133" t="s">
        <v>1096</v>
      </c>
      <c r="F321" s="133" t="s">
        <v>655</v>
      </c>
      <c r="G321" s="133" t="str">
        <f t="shared" si="33"/>
        <v>J004EXNA</v>
      </c>
      <c r="H321" s="133" t="s">
        <v>358</v>
      </c>
      <c r="I321" s="133"/>
      <c r="J321" s="133">
        <v>2024030601</v>
      </c>
      <c r="K321" s="134">
        <v>45296</v>
      </c>
      <c r="L321" s="135">
        <v>1</v>
      </c>
      <c r="M321" s="133" t="s">
        <v>961</v>
      </c>
      <c r="N321" s="136">
        <f>O321-P321</f>
        <v>649.90000000000009</v>
      </c>
      <c r="O321" s="136">
        <v>1233.4000000000001</v>
      </c>
      <c r="P321" s="136">
        <v>583.5</v>
      </c>
      <c r="Q321" s="137">
        <f t="shared" si="34"/>
        <v>649.90000000000009</v>
      </c>
      <c r="R321" s="133"/>
      <c r="S321" s="138">
        <v>45561.576388888891</v>
      </c>
      <c r="T321" s="133" t="s">
        <v>664</v>
      </c>
      <c r="U321" s="139" t="str">
        <f t="shared" si="29"/>
        <v>_extract_inhaled_bulk</v>
      </c>
      <c r="V321" s="140" t="str">
        <f>IF(U321="_","",_xlfn.XLOOKUP(U321,internal_cansku_inventory!D:D,internal_cansku_inventory!E:E,"",0,1))</f>
        <v/>
      </c>
    </row>
    <row r="322" spans="1:22" ht="12.45" customHeight="1">
      <c r="A322" s="132">
        <v>256</v>
      </c>
      <c r="B322" s="132">
        <v>0</v>
      </c>
      <c r="C322" s="132" t="str">
        <f>Table1[[#This Row],[inventory_id_head]]&amp;"-"&amp;Table1[[#This Row],[inventory_id_tail]]</f>
        <v>256-0</v>
      </c>
      <c r="D322" s="133" t="s">
        <v>680</v>
      </c>
      <c r="E322" s="133" t="s">
        <v>1097</v>
      </c>
      <c r="F322" s="133" t="s">
        <v>655</v>
      </c>
      <c r="G322" s="133" t="str">
        <f t="shared" si="33"/>
        <v>T021EXNA</v>
      </c>
      <c r="H322" s="133" t="s">
        <v>1098</v>
      </c>
      <c r="I322" s="133"/>
      <c r="J322" s="133" t="s">
        <v>975</v>
      </c>
      <c r="K322" s="134">
        <v>45523</v>
      </c>
      <c r="L322" s="135">
        <v>1</v>
      </c>
      <c r="M322" s="133" t="s">
        <v>644</v>
      </c>
      <c r="N322" s="136">
        <v>50</v>
      </c>
      <c r="O322" s="136">
        <v>0</v>
      </c>
      <c r="P322" s="136">
        <v>0</v>
      </c>
      <c r="Q322" s="137">
        <f t="shared" si="34"/>
        <v>50</v>
      </c>
      <c r="R322" s="133" t="s">
        <v>1099</v>
      </c>
      <c r="S322" s="138">
        <v>45562</v>
      </c>
      <c r="T322" s="133" t="s">
        <v>657</v>
      </c>
      <c r="U322" s="139" t="str">
        <f t="shared" ref="U322:U388" si="35">I322&amp;"_"&amp;H322</f>
        <v>_extract_ingested_labelled_damaged</v>
      </c>
      <c r="V322" s="140" t="str">
        <f>IF(U322="_","",_xlfn.XLOOKUP(U322,internal_cansku_inventory!D:D,internal_cansku_inventory!E:E,"",0,1))</f>
        <v/>
      </c>
    </row>
    <row r="323" spans="1:22" ht="12.45" customHeight="1">
      <c r="A323" s="132">
        <v>323</v>
      </c>
      <c r="B323" s="132">
        <v>0</v>
      </c>
      <c r="C323" s="132" t="str">
        <f>Table1[[#This Row],[inventory_id_head]]&amp;"-"&amp;Table1[[#This Row],[inventory_id_tail]]</f>
        <v>323-0</v>
      </c>
      <c r="D323" s="133" t="s">
        <v>680</v>
      </c>
      <c r="E323" s="133" t="s">
        <v>1100</v>
      </c>
      <c r="F323" s="133" t="s">
        <v>655</v>
      </c>
      <c r="G323" s="133" t="str">
        <f t="shared" si="33"/>
        <v>T044PRNA</v>
      </c>
      <c r="H323" s="133" t="s">
        <v>813</v>
      </c>
      <c r="I323" s="133"/>
      <c r="J323" s="133" t="s">
        <v>904</v>
      </c>
      <c r="K323" s="134">
        <v>45570</v>
      </c>
      <c r="L323" s="135">
        <v>360</v>
      </c>
      <c r="M323" s="133" t="s">
        <v>858</v>
      </c>
      <c r="N323" s="136">
        <v>1.5</v>
      </c>
      <c r="O323" s="136">
        <v>0</v>
      </c>
      <c r="P323" s="136">
        <v>0</v>
      </c>
      <c r="Q323" s="137">
        <f t="shared" si="34"/>
        <v>540</v>
      </c>
      <c r="R323" s="133"/>
      <c r="S323" s="138">
        <v>45566.569444444445</v>
      </c>
      <c r="T323" s="133" t="s">
        <v>657</v>
      </c>
      <c r="U323" s="139" t="str">
        <f t="shared" si="35"/>
        <v>_preroll_labelled</v>
      </c>
      <c r="V323" s="140" t="str">
        <f>IF(U323="_","",_xlfn.XLOOKUP(U323,internal_cansku_inventory!D:D,internal_cansku_inventory!E:E,"",0,1))</f>
        <v/>
      </c>
    </row>
    <row r="324" spans="1:22" ht="12.45" customHeight="1">
      <c r="A324" s="132">
        <v>324</v>
      </c>
      <c r="B324" s="132">
        <v>0</v>
      </c>
      <c r="C324" s="132" t="str">
        <f>Table1[[#This Row],[inventory_id_head]]&amp;"-"&amp;Table1[[#This Row],[inventory_id_tail]]</f>
        <v>324-0</v>
      </c>
      <c r="D324" s="133" t="s">
        <v>680</v>
      </c>
      <c r="E324" s="133" t="s">
        <v>1100</v>
      </c>
      <c r="F324" s="133" t="s">
        <v>655</v>
      </c>
      <c r="G324" s="133" t="str">
        <f t="shared" si="33"/>
        <v>T044PRNA</v>
      </c>
      <c r="H324" s="133" t="s">
        <v>809</v>
      </c>
      <c r="I324" s="133"/>
      <c r="J324" s="133" t="s">
        <v>904</v>
      </c>
      <c r="K324" s="134" t="s">
        <v>655</v>
      </c>
      <c r="L324" s="135">
        <v>58</v>
      </c>
      <c r="M324" s="133" t="s">
        <v>858</v>
      </c>
      <c r="N324" s="136">
        <v>1.5</v>
      </c>
      <c r="O324" s="136">
        <v>0</v>
      </c>
      <c r="P324" s="136">
        <v>0</v>
      </c>
      <c r="Q324" s="137">
        <f t="shared" si="34"/>
        <v>87</v>
      </c>
      <c r="R324" s="133"/>
      <c r="S324" s="138">
        <v>45566.569444444445</v>
      </c>
      <c r="T324" s="133" t="s">
        <v>657</v>
      </c>
      <c r="U324" s="139" t="str">
        <f t="shared" si="35"/>
        <v>_preroll_packaged</v>
      </c>
      <c r="V324" s="140" t="str">
        <f>IF(U324="_","",_xlfn.XLOOKUP(U324,internal_cansku_inventory!D:D,internal_cansku_inventory!E:E,"",0,1))</f>
        <v/>
      </c>
    </row>
    <row r="325" spans="1:22" ht="12.45" customHeight="1">
      <c r="A325" s="132">
        <v>358</v>
      </c>
      <c r="B325" s="132">
        <v>0</v>
      </c>
      <c r="C325" s="132" t="str">
        <f>Table1[[#This Row],[inventory_id_head]]&amp;"-"&amp;Table1[[#This Row],[inventory_id_tail]]</f>
        <v>358-0</v>
      </c>
      <c r="D325" s="133" t="s">
        <v>680</v>
      </c>
      <c r="E325" s="133" t="s">
        <v>1101</v>
      </c>
      <c r="F325" s="133" t="s">
        <v>655</v>
      </c>
      <c r="G325" s="133" t="str">
        <f t="shared" si="33"/>
        <v>T053EXNA</v>
      </c>
      <c r="H325" s="133" t="s">
        <v>1028</v>
      </c>
      <c r="I325" s="133"/>
      <c r="J325" s="133" t="s">
        <v>1029</v>
      </c>
      <c r="K325" s="134">
        <v>45555</v>
      </c>
      <c r="L325" s="135">
        <v>8</v>
      </c>
      <c r="M325" s="133" t="s">
        <v>858</v>
      </c>
      <c r="N325" s="136">
        <v>0.5</v>
      </c>
      <c r="O325" s="136">
        <v>0</v>
      </c>
      <c r="P325" s="136">
        <v>0</v>
      </c>
      <c r="Q325" s="137">
        <f t="shared" si="34"/>
        <v>4</v>
      </c>
      <c r="R325" s="133"/>
      <c r="S325" s="138">
        <v>45568.554861111108</v>
      </c>
      <c r="T325" s="133" t="s">
        <v>657</v>
      </c>
      <c r="U325" s="139" t="str">
        <f t="shared" si="35"/>
        <v>_extract_inhaled_labelled</v>
      </c>
      <c r="V325" s="140" t="str">
        <f>IF(U325="_","",_xlfn.XLOOKUP(U325,internal_cansku_inventory!D:D,internal_cansku_inventory!E:E,"",0,1))</f>
        <v/>
      </c>
    </row>
    <row r="326" spans="1:22" ht="12.45" customHeight="1">
      <c r="A326" s="132">
        <v>365</v>
      </c>
      <c r="B326" s="132">
        <v>0</v>
      </c>
      <c r="C326" s="132" t="str">
        <f>Table1[[#This Row],[inventory_id_head]]&amp;"-"&amp;Table1[[#This Row],[inventory_id_tail]]</f>
        <v>365-0</v>
      </c>
      <c r="D326" s="133" t="s">
        <v>653</v>
      </c>
      <c r="E326" s="133" t="s">
        <v>1102</v>
      </c>
      <c r="F326" s="133" t="s">
        <v>655</v>
      </c>
      <c r="G326" s="133" t="str">
        <f t="shared" si="33"/>
        <v>T060EXNA</v>
      </c>
      <c r="H326" s="133" t="s">
        <v>328</v>
      </c>
      <c r="I326" s="133"/>
      <c r="J326" s="133" t="s">
        <v>1029</v>
      </c>
      <c r="K326" s="134">
        <v>45560</v>
      </c>
      <c r="L326" s="135">
        <v>52</v>
      </c>
      <c r="M326" s="133" t="s">
        <v>858</v>
      </c>
      <c r="N326" s="136">
        <v>0.5</v>
      </c>
      <c r="O326" s="136">
        <v>0</v>
      </c>
      <c r="P326" s="136">
        <v>0</v>
      </c>
      <c r="Q326" s="137">
        <f t="shared" si="34"/>
        <v>26</v>
      </c>
      <c r="R326" s="133"/>
      <c r="S326" s="138">
        <v>45568.560416666667</v>
      </c>
      <c r="T326" s="133" t="s">
        <v>657</v>
      </c>
      <c r="U326" s="139" t="str">
        <f t="shared" si="35"/>
        <v>_extract_inhaled_labelled</v>
      </c>
      <c r="V326" s="140" t="str">
        <f>IF(U326="_","",_xlfn.XLOOKUP(U326,internal_cansku_inventory!D:D,internal_cansku_inventory!E:E,"",0,1))</f>
        <v/>
      </c>
    </row>
    <row r="327" spans="1:22" ht="12.45" customHeight="1">
      <c r="A327" s="132">
        <v>384</v>
      </c>
      <c r="B327" s="132">
        <v>0</v>
      </c>
      <c r="C327" s="132" t="str">
        <f>Table1[[#This Row],[inventory_id_head]]&amp;"-"&amp;Table1[[#This Row],[inventory_id_tail]]</f>
        <v>384-0</v>
      </c>
      <c r="D327" s="133" t="s">
        <v>680</v>
      </c>
      <c r="E327" s="133" t="s">
        <v>1103</v>
      </c>
      <c r="F327" s="133" t="s">
        <v>55</v>
      </c>
      <c r="G327" s="133" t="str">
        <f t="shared" ref="G327:G358" si="36">E327&amp;F327</f>
        <v>T070EXNA</v>
      </c>
      <c r="H327" s="133" t="s">
        <v>328</v>
      </c>
      <c r="I327" s="133"/>
      <c r="J327" s="133" t="s">
        <v>1049</v>
      </c>
      <c r="K327" s="134">
        <v>45560</v>
      </c>
      <c r="L327" s="148">
        <v>18</v>
      </c>
      <c r="M327" s="133" t="s">
        <v>858</v>
      </c>
      <c r="N327" s="136">
        <v>0.5</v>
      </c>
      <c r="O327" s="136">
        <v>0</v>
      </c>
      <c r="P327" s="136">
        <v>0</v>
      </c>
      <c r="Q327" s="137">
        <f t="shared" si="34"/>
        <v>9</v>
      </c>
      <c r="R327" s="133"/>
      <c r="S327" s="138">
        <v>45568.56527777778</v>
      </c>
      <c r="T327" s="133" t="s">
        <v>657</v>
      </c>
      <c r="U327" s="139" t="str">
        <f t="shared" si="35"/>
        <v>_extract_inhaled_labelled</v>
      </c>
      <c r="V327" s="140" t="str">
        <f>IF(U327="_","",_xlfn.XLOOKUP(U327,internal_cansku_inventory!D:D,internal_cansku_inventory!E:E,"",0,1))</f>
        <v/>
      </c>
    </row>
    <row r="328" spans="1:22" ht="12.45" customHeight="1">
      <c r="A328" s="132">
        <v>361</v>
      </c>
      <c r="B328" s="132">
        <v>0</v>
      </c>
      <c r="C328" s="132" t="str">
        <f>Table1[[#This Row],[inventory_id_head]]&amp;"-"&amp;Table1[[#This Row],[inventory_id_tail]]</f>
        <v>361-0</v>
      </c>
      <c r="D328" s="133" t="s">
        <v>680</v>
      </c>
      <c r="E328" s="133" t="s">
        <v>1104</v>
      </c>
      <c r="F328" s="133" t="s">
        <v>655</v>
      </c>
      <c r="G328" s="133" t="str">
        <f t="shared" si="36"/>
        <v>T056EXNA</v>
      </c>
      <c r="H328" s="133" t="s">
        <v>409</v>
      </c>
      <c r="I328" s="133"/>
      <c r="J328" s="133" t="s">
        <v>1047</v>
      </c>
      <c r="K328" s="134" t="s">
        <v>655</v>
      </c>
      <c r="L328" s="135">
        <v>6</v>
      </c>
      <c r="M328" s="133" t="s">
        <v>858</v>
      </c>
      <c r="N328" s="136">
        <v>0.5</v>
      </c>
      <c r="O328" s="136">
        <v>0</v>
      </c>
      <c r="P328" s="136">
        <v>0</v>
      </c>
      <c r="Q328" s="137">
        <f t="shared" si="34"/>
        <v>3</v>
      </c>
      <c r="R328" s="133"/>
      <c r="S328" s="138">
        <v>45568.567361111112</v>
      </c>
      <c r="T328" s="133" t="s">
        <v>657</v>
      </c>
      <c r="U328" s="139" t="str">
        <f t="shared" si="35"/>
        <v>_extract_inhaled_packaged</v>
      </c>
      <c r="V328" s="140" t="str">
        <f>IF(U328="_","",_xlfn.XLOOKUP(U328,internal_cansku_inventory!D:D,internal_cansku_inventory!E:E,"",0,1))</f>
        <v/>
      </c>
    </row>
    <row r="329" spans="1:22" ht="12.45" customHeight="1">
      <c r="A329" s="132">
        <v>385</v>
      </c>
      <c r="B329" s="132">
        <v>0</v>
      </c>
      <c r="C329" s="132" t="str">
        <f>Table1[[#This Row],[inventory_id_head]]&amp;"-"&amp;Table1[[#This Row],[inventory_id_tail]]</f>
        <v>385-0</v>
      </c>
      <c r="D329" s="133" t="s">
        <v>680</v>
      </c>
      <c r="E329" s="133" t="s">
        <v>1105</v>
      </c>
      <c r="F329" s="133" t="s">
        <v>55</v>
      </c>
      <c r="G329" s="133" t="str">
        <f t="shared" si="36"/>
        <v>T071EXNA</v>
      </c>
      <c r="H329" s="133" t="s">
        <v>328</v>
      </c>
      <c r="I329" s="133"/>
      <c r="J329" s="133" t="s">
        <v>1025</v>
      </c>
      <c r="K329" s="134">
        <v>45555</v>
      </c>
      <c r="L329" s="148">
        <v>24</v>
      </c>
      <c r="M329" s="133" t="s">
        <v>858</v>
      </c>
      <c r="N329" s="136">
        <v>0.5</v>
      </c>
      <c r="O329" s="136">
        <v>0</v>
      </c>
      <c r="P329" s="136">
        <v>0</v>
      </c>
      <c r="Q329" s="137">
        <f t="shared" si="34"/>
        <v>12</v>
      </c>
      <c r="R329" s="133"/>
      <c r="S329" s="138">
        <v>45568.570138888892</v>
      </c>
      <c r="T329" s="133" t="s">
        <v>657</v>
      </c>
      <c r="U329" s="139" t="str">
        <f t="shared" si="35"/>
        <v>_extract_inhaled_labelled</v>
      </c>
      <c r="V329" s="140" t="str">
        <f>IF(U329="_","",_xlfn.XLOOKUP(U329,internal_cansku_inventory!D:D,internal_cansku_inventory!E:E,"",0,1))</f>
        <v/>
      </c>
    </row>
    <row r="330" spans="1:22" ht="12.45" customHeight="1">
      <c r="A330" s="132">
        <v>372</v>
      </c>
      <c r="B330" s="132">
        <v>0</v>
      </c>
      <c r="C330" s="132" t="str">
        <f>Table1[[#This Row],[inventory_id_head]]&amp;"-"&amp;Table1[[#This Row],[inventory_id_tail]]</f>
        <v>372-0</v>
      </c>
      <c r="D330" s="133" t="s">
        <v>680</v>
      </c>
      <c r="E330" s="133" t="s">
        <v>1106</v>
      </c>
      <c r="F330" s="133" t="s">
        <v>655</v>
      </c>
      <c r="G330" s="133" t="str">
        <f t="shared" si="36"/>
        <v>T067EXNA</v>
      </c>
      <c r="H330" s="133" t="s">
        <v>328</v>
      </c>
      <c r="I330" s="133"/>
      <c r="J330" s="133" t="s">
        <v>1025</v>
      </c>
      <c r="K330" s="134">
        <v>45560</v>
      </c>
      <c r="L330" s="135">
        <v>47</v>
      </c>
      <c r="M330" s="133" t="s">
        <v>858</v>
      </c>
      <c r="N330" s="136">
        <v>0.5</v>
      </c>
      <c r="O330" s="136">
        <v>0</v>
      </c>
      <c r="P330" s="136">
        <v>0</v>
      </c>
      <c r="Q330" s="137">
        <f t="shared" si="34"/>
        <v>23.5</v>
      </c>
      <c r="R330" s="133"/>
      <c r="S330" s="138">
        <v>45568.570833333331</v>
      </c>
      <c r="T330" s="133" t="s">
        <v>657</v>
      </c>
      <c r="U330" s="139" t="str">
        <f t="shared" si="35"/>
        <v>_extract_inhaled_labelled</v>
      </c>
      <c r="V330" s="140" t="str">
        <f>IF(U330="_","",_xlfn.XLOOKUP(U330,internal_cansku_inventory!D:D,internal_cansku_inventory!E:E,"",0,1))</f>
        <v/>
      </c>
    </row>
    <row r="331" spans="1:22" ht="12.45" customHeight="1">
      <c r="A331" s="132">
        <v>386</v>
      </c>
      <c r="B331" s="132">
        <v>0</v>
      </c>
      <c r="C331" s="132" t="str">
        <f>Table1[[#This Row],[inventory_id_head]]&amp;"-"&amp;Table1[[#This Row],[inventory_id_tail]]</f>
        <v>386-0</v>
      </c>
      <c r="D331" s="133" t="s">
        <v>680</v>
      </c>
      <c r="E331" s="133" t="s">
        <v>1107</v>
      </c>
      <c r="F331" s="133" t="s">
        <v>55</v>
      </c>
      <c r="G331" s="133" t="str">
        <f t="shared" si="36"/>
        <v>T072EXNA</v>
      </c>
      <c r="H331" s="133" t="s">
        <v>328</v>
      </c>
      <c r="I331" s="133"/>
      <c r="J331" s="133" t="s">
        <v>1025</v>
      </c>
      <c r="K331" s="134">
        <v>45560</v>
      </c>
      <c r="L331" s="148">
        <v>122</v>
      </c>
      <c r="M331" s="133" t="s">
        <v>858</v>
      </c>
      <c r="N331" s="136">
        <v>0.5</v>
      </c>
      <c r="O331" s="136">
        <v>0</v>
      </c>
      <c r="P331" s="136">
        <v>0</v>
      </c>
      <c r="Q331" s="137">
        <f t="shared" si="34"/>
        <v>61</v>
      </c>
      <c r="R331" s="133"/>
      <c r="S331" s="138">
        <v>45568.571527777778</v>
      </c>
      <c r="T331" s="133" t="s">
        <v>657</v>
      </c>
      <c r="U331" s="139" t="str">
        <f t="shared" si="35"/>
        <v>_extract_inhaled_labelled</v>
      </c>
      <c r="V331" s="140" t="str">
        <f>IF(U331="_","",_xlfn.XLOOKUP(U331,internal_cansku_inventory!D:D,internal_cansku_inventory!E:E,"",0,1))</f>
        <v/>
      </c>
    </row>
    <row r="332" spans="1:22" ht="12.45" customHeight="1">
      <c r="A332" s="132">
        <v>260</v>
      </c>
      <c r="B332" s="132">
        <v>0</v>
      </c>
      <c r="C332" s="132" t="str">
        <f>Table1[[#This Row],[inventory_id_head]]&amp;"-"&amp;Table1[[#This Row],[inventory_id_tail]]</f>
        <v>260-0</v>
      </c>
      <c r="D332" s="133" t="s">
        <v>653</v>
      </c>
      <c r="E332" s="133" t="s">
        <v>1108</v>
      </c>
      <c r="F332" s="133" t="s">
        <v>655</v>
      </c>
      <c r="G332" s="133" t="str">
        <f t="shared" si="36"/>
        <v>T039PRNA</v>
      </c>
      <c r="H332" s="133" t="s">
        <v>813</v>
      </c>
      <c r="I332" s="133"/>
      <c r="J332" s="133" t="s">
        <v>1109</v>
      </c>
      <c r="K332" s="134">
        <v>45523</v>
      </c>
      <c r="L332" s="135">
        <v>5</v>
      </c>
      <c r="M332" s="133" t="s">
        <v>858</v>
      </c>
      <c r="N332" s="136">
        <v>1.5</v>
      </c>
      <c r="O332" s="136">
        <v>0</v>
      </c>
      <c r="P332" s="136">
        <v>0</v>
      </c>
      <c r="Q332" s="137">
        <f t="shared" si="34"/>
        <v>7.5</v>
      </c>
      <c r="R332" s="133"/>
      <c r="S332" s="138">
        <v>45568.590277777781</v>
      </c>
      <c r="T332" s="133" t="s">
        <v>657</v>
      </c>
      <c r="U332" s="139" t="str">
        <f t="shared" si="35"/>
        <v>_preroll_labelled</v>
      </c>
      <c r="V332" s="140" t="str">
        <f>IF(U332="_","",_xlfn.XLOOKUP(U332,internal_cansku_inventory!D:D,internal_cansku_inventory!E:E,"",0,1))</f>
        <v/>
      </c>
    </row>
    <row r="333" spans="1:22" ht="12.45" customHeight="1">
      <c r="A333" s="132">
        <v>173</v>
      </c>
      <c r="B333" s="132">
        <v>0</v>
      </c>
      <c r="C333" s="132" t="str">
        <f>Table1[[#This Row],[inventory_id_head]]&amp;"-"&amp;Table1[[#This Row],[inventory_id_tail]]</f>
        <v>173-0</v>
      </c>
      <c r="D333" s="133" t="s">
        <v>680</v>
      </c>
      <c r="E333" s="133" t="s">
        <v>1110</v>
      </c>
      <c r="F333" s="133" t="s">
        <v>1111</v>
      </c>
      <c r="G333" s="133" t="str">
        <f t="shared" si="36"/>
        <v>T013DFB058DF</v>
      </c>
      <c r="H333" s="133" t="s">
        <v>720</v>
      </c>
      <c r="I333" s="133"/>
      <c r="J333" s="133">
        <v>2024080701</v>
      </c>
      <c r="K333" s="134" t="s">
        <v>655</v>
      </c>
      <c r="L333" s="135">
        <v>0</v>
      </c>
      <c r="M333" s="133" t="s">
        <v>1012</v>
      </c>
      <c r="N333" s="136">
        <f t="shared" ref="N333:N341" si="37">O333-P333</f>
        <v>1000.3000000000001</v>
      </c>
      <c r="O333" s="136">
        <v>1103.7</v>
      </c>
      <c r="P333" s="136">
        <v>103.4</v>
      </c>
      <c r="Q333" s="137">
        <f t="shared" si="34"/>
        <v>0</v>
      </c>
      <c r="R333" s="133"/>
      <c r="S333" s="138">
        <v>45572.394444444442</v>
      </c>
      <c r="T333" s="133" t="s">
        <v>664</v>
      </c>
      <c r="U333" s="139" t="str">
        <f t="shared" si="35"/>
        <v>_driedflower_bulk</v>
      </c>
      <c r="V333" s="140" t="str">
        <f>IF(U333="_","",_xlfn.XLOOKUP(U333,internal_cansku_inventory!D:D,internal_cansku_inventory!E:E,"",0,1))</f>
        <v/>
      </c>
    </row>
    <row r="334" spans="1:22" ht="12.45" customHeight="1">
      <c r="A334" s="132">
        <v>174</v>
      </c>
      <c r="B334" s="132">
        <v>0</v>
      </c>
      <c r="C334" s="132" t="str">
        <f>Table1[[#This Row],[inventory_id_head]]&amp;"-"&amp;Table1[[#This Row],[inventory_id_tail]]</f>
        <v>174-0</v>
      </c>
      <c r="D334" s="133" t="s">
        <v>680</v>
      </c>
      <c r="E334" s="133" t="s">
        <v>1110</v>
      </c>
      <c r="F334" s="133" t="s">
        <v>1112</v>
      </c>
      <c r="G334" s="133" t="str">
        <f t="shared" si="36"/>
        <v>T013DFB059DF</v>
      </c>
      <c r="H334" s="133" t="s">
        <v>720</v>
      </c>
      <c r="I334" s="133"/>
      <c r="J334" s="133">
        <v>2024080701</v>
      </c>
      <c r="K334" s="134" t="s">
        <v>655</v>
      </c>
      <c r="L334" s="135">
        <v>0</v>
      </c>
      <c r="M334" s="133" t="s">
        <v>1012</v>
      </c>
      <c r="N334" s="136">
        <f t="shared" si="37"/>
        <v>994.19999999999993</v>
      </c>
      <c r="O334" s="136">
        <v>1098.3</v>
      </c>
      <c r="P334" s="136">
        <v>104.1</v>
      </c>
      <c r="Q334" s="137">
        <f t="shared" si="34"/>
        <v>0</v>
      </c>
      <c r="R334" s="133"/>
      <c r="S334" s="138">
        <v>45572.394444444442</v>
      </c>
      <c r="T334" s="133" t="s">
        <v>664</v>
      </c>
      <c r="U334" s="139" t="str">
        <f t="shared" si="35"/>
        <v>_driedflower_bulk</v>
      </c>
      <c r="V334" s="140" t="str">
        <f>IF(U334="_","",_xlfn.XLOOKUP(U334,internal_cansku_inventory!D:D,internal_cansku_inventory!E:E,"",0,1))</f>
        <v/>
      </c>
    </row>
    <row r="335" spans="1:22" ht="12.45" customHeight="1">
      <c r="A335" s="132">
        <v>175</v>
      </c>
      <c r="B335" s="132">
        <v>0</v>
      </c>
      <c r="C335" s="132" t="str">
        <f>Table1[[#This Row],[inventory_id_head]]&amp;"-"&amp;Table1[[#This Row],[inventory_id_tail]]</f>
        <v>175-0</v>
      </c>
      <c r="D335" s="133" t="s">
        <v>680</v>
      </c>
      <c r="E335" s="133" t="s">
        <v>1110</v>
      </c>
      <c r="F335" s="133" t="s">
        <v>1113</v>
      </c>
      <c r="G335" s="133" t="str">
        <f t="shared" si="36"/>
        <v>T013DFB060DF</v>
      </c>
      <c r="H335" s="133" t="s">
        <v>720</v>
      </c>
      <c r="I335" s="133"/>
      <c r="J335" s="133">
        <v>2024080701</v>
      </c>
      <c r="K335" s="134" t="s">
        <v>655</v>
      </c>
      <c r="L335" s="135">
        <v>0</v>
      </c>
      <c r="M335" s="133" t="s">
        <v>1012</v>
      </c>
      <c r="N335" s="136">
        <f t="shared" si="37"/>
        <v>998.40000000000009</v>
      </c>
      <c r="O335" s="136">
        <v>1104.2</v>
      </c>
      <c r="P335" s="136">
        <v>105.8</v>
      </c>
      <c r="Q335" s="137">
        <f t="shared" si="34"/>
        <v>0</v>
      </c>
      <c r="R335" s="133"/>
      <c r="S335" s="138">
        <v>45572.394444444442</v>
      </c>
      <c r="T335" s="133" t="s">
        <v>664</v>
      </c>
      <c r="U335" s="139" t="str">
        <f t="shared" si="35"/>
        <v>_driedflower_bulk</v>
      </c>
      <c r="V335" s="140" t="str">
        <f>IF(U335="_","",_xlfn.XLOOKUP(U335,internal_cansku_inventory!D:D,internal_cansku_inventory!E:E,"",0,1))</f>
        <v/>
      </c>
    </row>
    <row r="336" spans="1:22" ht="12.45" customHeight="1">
      <c r="A336" s="132">
        <v>176</v>
      </c>
      <c r="B336" s="132">
        <v>0</v>
      </c>
      <c r="C336" s="132" t="str">
        <f>Table1[[#This Row],[inventory_id_head]]&amp;"-"&amp;Table1[[#This Row],[inventory_id_tail]]</f>
        <v>176-0</v>
      </c>
      <c r="D336" s="133" t="s">
        <v>680</v>
      </c>
      <c r="E336" s="133" t="s">
        <v>1110</v>
      </c>
      <c r="F336" s="133" t="s">
        <v>1114</v>
      </c>
      <c r="G336" s="133" t="str">
        <f t="shared" si="36"/>
        <v>T013DFB061DF</v>
      </c>
      <c r="H336" s="133" t="s">
        <v>720</v>
      </c>
      <c r="I336" s="133"/>
      <c r="J336" s="133">
        <v>2024080701</v>
      </c>
      <c r="K336" s="134" t="s">
        <v>655</v>
      </c>
      <c r="L336" s="135">
        <v>0</v>
      </c>
      <c r="M336" s="133" t="s">
        <v>1012</v>
      </c>
      <c r="N336" s="136">
        <f t="shared" si="37"/>
        <v>998.9</v>
      </c>
      <c r="O336" s="136">
        <v>1104</v>
      </c>
      <c r="P336" s="136">
        <v>105.1</v>
      </c>
      <c r="Q336" s="137">
        <f t="shared" si="34"/>
        <v>0</v>
      </c>
      <c r="R336" s="133"/>
      <c r="S336" s="138">
        <v>45572.394444444442</v>
      </c>
      <c r="T336" s="133" t="s">
        <v>664</v>
      </c>
      <c r="U336" s="139" t="str">
        <f t="shared" si="35"/>
        <v>_driedflower_bulk</v>
      </c>
      <c r="V336" s="140" t="str">
        <f>IF(U336="_","",_xlfn.XLOOKUP(U336,internal_cansku_inventory!D:D,internal_cansku_inventory!E:E,"",0,1))</f>
        <v/>
      </c>
    </row>
    <row r="337" spans="1:22" ht="12.45" customHeight="1">
      <c r="A337" s="132">
        <v>177</v>
      </c>
      <c r="B337" s="132">
        <v>0</v>
      </c>
      <c r="C337" s="132" t="str">
        <f>Table1[[#This Row],[inventory_id_head]]&amp;"-"&amp;Table1[[#This Row],[inventory_id_tail]]</f>
        <v>177-0</v>
      </c>
      <c r="D337" s="133" t="s">
        <v>680</v>
      </c>
      <c r="E337" s="133" t="s">
        <v>1110</v>
      </c>
      <c r="F337" s="133" t="s">
        <v>1115</v>
      </c>
      <c r="G337" s="133" t="str">
        <f t="shared" si="36"/>
        <v>T013DFB062DF</v>
      </c>
      <c r="H337" s="133" t="s">
        <v>720</v>
      </c>
      <c r="I337" s="133"/>
      <c r="J337" s="133">
        <v>2024080701</v>
      </c>
      <c r="K337" s="134" t="s">
        <v>655</v>
      </c>
      <c r="L337" s="135">
        <v>0</v>
      </c>
      <c r="M337" s="133" t="s">
        <v>1012</v>
      </c>
      <c r="N337" s="136">
        <f t="shared" si="37"/>
        <v>992.00000000000011</v>
      </c>
      <c r="O337" s="136">
        <v>1096.4000000000001</v>
      </c>
      <c r="P337" s="136">
        <v>104.4</v>
      </c>
      <c r="Q337" s="137">
        <f t="shared" si="34"/>
        <v>0</v>
      </c>
      <c r="R337" s="133"/>
      <c r="S337" s="138">
        <v>45572.394444444442</v>
      </c>
      <c r="T337" s="133" t="s">
        <v>664</v>
      </c>
      <c r="U337" s="139" t="str">
        <f t="shared" si="35"/>
        <v>_driedflower_bulk</v>
      </c>
      <c r="V337" s="140" t="str">
        <f>IF(U337="_","",_xlfn.XLOOKUP(U337,internal_cansku_inventory!D:D,internal_cansku_inventory!E:E,"",0,1))</f>
        <v/>
      </c>
    </row>
    <row r="338" spans="1:22" ht="12.45" customHeight="1">
      <c r="A338" s="132">
        <v>178</v>
      </c>
      <c r="B338" s="132">
        <v>0</v>
      </c>
      <c r="C338" s="132" t="str">
        <f>Table1[[#This Row],[inventory_id_head]]&amp;"-"&amp;Table1[[#This Row],[inventory_id_tail]]</f>
        <v>178-0</v>
      </c>
      <c r="D338" s="133" t="s">
        <v>680</v>
      </c>
      <c r="E338" s="133" t="s">
        <v>1110</v>
      </c>
      <c r="F338" s="133" t="s">
        <v>1116</v>
      </c>
      <c r="G338" s="133" t="str">
        <f t="shared" si="36"/>
        <v>T013DFB063DF</v>
      </c>
      <c r="H338" s="133" t="s">
        <v>720</v>
      </c>
      <c r="I338" s="133"/>
      <c r="J338" s="133">
        <v>2024080701</v>
      </c>
      <c r="K338" s="134" t="s">
        <v>655</v>
      </c>
      <c r="L338" s="135">
        <v>0</v>
      </c>
      <c r="M338" s="133" t="s">
        <v>1012</v>
      </c>
      <c r="N338" s="136">
        <f t="shared" si="37"/>
        <v>999.2</v>
      </c>
      <c r="O338" s="136">
        <v>1102</v>
      </c>
      <c r="P338" s="136">
        <v>102.8</v>
      </c>
      <c r="Q338" s="137">
        <f t="shared" si="34"/>
        <v>0</v>
      </c>
      <c r="R338" s="133"/>
      <c r="S338" s="138">
        <v>45572.394444444442</v>
      </c>
      <c r="T338" s="133" t="s">
        <v>664</v>
      </c>
      <c r="U338" s="139" t="str">
        <f t="shared" si="35"/>
        <v>_driedflower_bulk</v>
      </c>
      <c r="V338" s="140" t="str">
        <f>IF(U338="_","",_xlfn.XLOOKUP(U338,internal_cansku_inventory!D:D,internal_cansku_inventory!E:E,"",0,1))</f>
        <v/>
      </c>
    </row>
    <row r="339" spans="1:22" ht="12.45" customHeight="1">
      <c r="A339" s="132">
        <v>179</v>
      </c>
      <c r="B339" s="132">
        <v>0</v>
      </c>
      <c r="C339" s="132" t="str">
        <f>Table1[[#This Row],[inventory_id_head]]&amp;"-"&amp;Table1[[#This Row],[inventory_id_tail]]</f>
        <v>179-0</v>
      </c>
      <c r="D339" s="133" t="s">
        <v>680</v>
      </c>
      <c r="E339" s="133" t="s">
        <v>1117</v>
      </c>
      <c r="F339" s="133" t="s">
        <v>1118</v>
      </c>
      <c r="G339" s="133" t="str">
        <f t="shared" si="36"/>
        <v>T014DFB064DF</v>
      </c>
      <c r="H339" s="133" t="s">
        <v>720</v>
      </c>
      <c r="I339" s="133"/>
      <c r="J339" s="133">
        <v>2024080701</v>
      </c>
      <c r="K339" s="134" t="s">
        <v>655</v>
      </c>
      <c r="L339" s="135">
        <v>0</v>
      </c>
      <c r="M339" s="133" t="s">
        <v>1012</v>
      </c>
      <c r="N339" s="136">
        <f t="shared" si="37"/>
        <v>486.80000000000007</v>
      </c>
      <c r="O339" s="136">
        <v>588.20000000000005</v>
      </c>
      <c r="P339" s="136">
        <v>101.4</v>
      </c>
      <c r="Q339" s="137">
        <f t="shared" si="34"/>
        <v>0</v>
      </c>
      <c r="R339" s="133"/>
      <c r="S339" s="138">
        <v>45572.394444444442</v>
      </c>
      <c r="T339" s="133" t="s">
        <v>664</v>
      </c>
      <c r="U339" s="139" t="str">
        <f t="shared" si="35"/>
        <v>_driedflower_bulk</v>
      </c>
      <c r="V339" s="140" t="str">
        <f>IF(U339="_","",_xlfn.XLOOKUP(U339,internal_cansku_inventory!D:D,internal_cansku_inventory!E:E,"",0,1))</f>
        <v/>
      </c>
    </row>
    <row r="340" spans="1:22" ht="12.45" customHeight="1">
      <c r="A340" s="132">
        <v>180</v>
      </c>
      <c r="B340" s="132">
        <v>0</v>
      </c>
      <c r="C340" s="132" t="str">
        <f>Table1[[#This Row],[inventory_id_head]]&amp;"-"&amp;Table1[[#This Row],[inventory_id_tail]]</f>
        <v>180-0</v>
      </c>
      <c r="D340" s="133" t="s">
        <v>680</v>
      </c>
      <c r="E340" s="133" t="s">
        <v>1117</v>
      </c>
      <c r="F340" s="133" t="s">
        <v>1119</v>
      </c>
      <c r="G340" s="133" t="str">
        <f t="shared" si="36"/>
        <v>T014DFB065DF</v>
      </c>
      <c r="H340" s="133" t="s">
        <v>720</v>
      </c>
      <c r="I340" s="133"/>
      <c r="J340" s="133">
        <v>2024080701</v>
      </c>
      <c r="K340" s="134" t="s">
        <v>655</v>
      </c>
      <c r="L340" s="135">
        <v>0</v>
      </c>
      <c r="M340" s="133" t="s">
        <v>1012</v>
      </c>
      <c r="N340" s="136">
        <f t="shared" si="37"/>
        <v>997.90000000000009</v>
      </c>
      <c r="O340" s="136">
        <v>1107.2</v>
      </c>
      <c r="P340" s="136">
        <v>109.3</v>
      </c>
      <c r="Q340" s="137">
        <f t="shared" si="34"/>
        <v>0</v>
      </c>
      <c r="R340" s="133"/>
      <c r="S340" s="138">
        <v>45572.394444444442</v>
      </c>
      <c r="T340" s="133" t="s">
        <v>664</v>
      </c>
      <c r="U340" s="139" t="str">
        <f t="shared" si="35"/>
        <v>_driedflower_bulk</v>
      </c>
      <c r="V340" s="140" t="str">
        <f>IF(U340="_","",_xlfn.XLOOKUP(U340,internal_cansku_inventory!D:D,internal_cansku_inventory!E:E,"",0,1))</f>
        <v/>
      </c>
    </row>
    <row r="341" spans="1:22" ht="12.45" customHeight="1">
      <c r="A341" s="132">
        <v>181</v>
      </c>
      <c r="B341" s="132">
        <v>0</v>
      </c>
      <c r="C341" s="132" t="str">
        <f>Table1[[#This Row],[inventory_id_head]]&amp;"-"&amp;Table1[[#This Row],[inventory_id_tail]]</f>
        <v>181-0</v>
      </c>
      <c r="D341" s="133" t="s">
        <v>680</v>
      </c>
      <c r="E341" s="133" t="s">
        <v>1117</v>
      </c>
      <c r="F341" s="133" t="s">
        <v>1120</v>
      </c>
      <c r="G341" s="133" t="str">
        <f t="shared" si="36"/>
        <v>T014DFB066DF</v>
      </c>
      <c r="H341" s="133" t="s">
        <v>720</v>
      </c>
      <c r="I341" s="133"/>
      <c r="J341" s="133">
        <v>2024080701</v>
      </c>
      <c r="K341" s="134" t="s">
        <v>655</v>
      </c>
      <c r="L341" s="135">
        <v>0</v>
      </c>
      <c r="M341" s="133" t="s">
        <v>1012</v>
      </c>
      <c r="N341" s="136">
        <f t="shared" si="37"/>
        <v>991.59999999999991</v>
      </c>
      <c r="O341" s="136">
        <v>1097.5999999999999</v>
      </c>
      <c r="P341" s="136">
        <v>106</v>
      </c>
      <c r="Q341" s="137">
        <f t="shared" si="34"/>
        <v>0</v>
      </c>
      <c r="R341" s="133"/>
      <c r="S341" s="138">
        <v>45572.394444444442</v>
      </c>
      <c r="T341" s="133" t="s">
        <v>664</v>
      </c>
      <c r="U341" s="139" t="str">
        <f t="shared" si="35"/>
        <v>_driedflower_bulk</v>
      </c>
      <c r="V341" s="140" t="str">
        <f>IF(U341="_","",_xlfn.XLOOKUP(U341,internal_cansku_inventory!D:D,internal_cansku_inventory!E:E,"",0,1))</f>
        <v/>
      </c>
    </row>
    <row r="342" spans="1:22" ht="12.45" customHeight="1">
      <c r="A342" s="132">
        <v>387</v>
      </c>
      <c r="B342" s="132">
        <v>0</v>
      </c>
      <c r="C342" s="132" t="str">
        <f>Table1[[#This Row],[inventory_id_head]]&amp;"-"&amp;Table1[[#This Row],[inventory_id_tail]]</f>
        <v>387-0</v>
      </c>
      <c r="D342" s="133" t="s">
        <v>680</v>
      </c>
      <c r="E342" s="133" t="s">
        <v>1108</v>
      </c>
      <c r="F342" s="133" t="s">
        <v>55</v>
      </c>
      <c r="G342" s="133" t="str">
        <f t="shared" si="36"/>
        <v>T039PRNA</v>
      </c>
      <c r="H342" s="133" t="s">
        <v>813</v>
      </c>
      <c r="I342" s="133"/>
      <c r="J342" s="133" t="s">
        <v>1109</v>
      </c>
      <c r="K342" s="134">
        <v>45567</v>
      </c>
      <c r="L342" s="148">
        <v>107</v>
      </c>
      <c r="M342" s="133" t="s">
        <v>858</v>
      </c>
      <c r="N342" s="136">
        <v>1.5</v>
      </c>
      <c r="O342" s="136">
        <v>0</v>
      </c>
      <c r="P342" s="136">
        <v>0</v>
      </c>
      <c r="Q342" s="137">
        <f t="shared" si="34"/>
        <v>160.5</v>
      </c>
      <c r="R342" s="133"/>
      <c r="S342" s="138">
        <v>45572.572916666664</v>
      </c>
      <c r="T342" s="133" t="s">
        <v>657</v>
      </c>
      <c r="U342" s="139" t="str">
        <f t="shared" si="35"/>
        <v>_preroll_labelled</v>
      </c>
      <c r="V342" s="140" t="str">
        <f>IF(U342="_","",_xlfn.XLOOKUP(U342,internal_cansku_inventory!D:D,internal_cansku_inventory!E:E,"",0,1))</f>
        <v/>
      </c>
    </row>
    <row r="343" spans="1:22" ht="12.45" customHeight="1">
      <c r="A343" s="132">
        <v>263</v>
      </c>
      <c r="B343" s="132">
        <v>0</v>
      </c>
      <c r="C343" s="132" t="str">
        <f>Table1[[#This Row],[inventory_id_head]]&amp;"-"&amp;Table1[[#This Row],[inventory_id_tail]]</f>
        <v>263-0</v>
      </c>
      <c r="D343" s="133" t="s">
        <v>680</v>
      </c>
      <c r="E343" s="133" t="s">
        <v>989</v>
      </c>
      <c r="F343" s="133" t="s">
        <v>655</v>
      </c>
      <c r="G343" s="133" t="str">
        <f t="shared" si="36"/>
        <v>T043PRNA</v>
      </c>
      <c r="H343" s="133" t="s">
        <v>823</v>
      </c>
      <c r="I343" s="133"/>
      <c r="J343" s="133" t="s">
        <v>986</v>
      </c>
      <c r="K343" s="134" t="s">
        <v>655</v>
      </c>
      <c r="L343" s="135">
        <v>188</v>
      </c>
      <c r="M343" s="133" t="s">
        <v>858</v>
      </c>
      <c r="N343" s="136">
        <v>0.5</v>
      </c>
      <c r="O343" s="136">
        <v>0</v>
      </c>
      <c r="P343" s="136">
        <v>0</v>
      </c>
      <c r="Q343" s="137">
        <f t="shared" si="34"/>
        <v>94</v>
      </c>
      <c r="R343" s="133"/>
      <c r="S343" s="138">
        <v>45572.582638888889</v>
      </c>
      <c r="T343" s="133" t="s">
        <v>657</v>
      </c>
      <c r="U343" s="139" t="str">
        <f t="shared" si="35"/>
        <v>_preroll_bulk</v>
      </c>
      <c r="V343" s="140" t="str">
        <f>IF(U343="_","",_xlfn.XLOOKUP(U343,internal_cansku_inventory!D:D,internal_cansku_inventory!E:E,"",0,1))</f>
        <v/>
      </c>
    </row>
    <row r="344" spans="1:22" ht="12.45" customHeight="1">
      <c r="A344" s="132">
        <v>149</v>
      </c>
      <c r="B344" s="132">
        <v>0</v>
      </c>
      <c r="C344" s="132" t="str">
        <f>Table1[[#This Row],[inventory_id_head]]&amp;"-"&amp;Table1[[#This Row],[inventory_id_tail]]</f>
        <v>149-0</v>
      </c>
      <c r="D344" s="147" t="s">
        <v>653</v>
      </c>
      <c r="E344" s="133" t="s">
        <v>1121</v>
      </c>
      <c r="F344" s="133" t="s">
        <v>655</v>
      </c>
      <c r="G344" s="147" t="str">
        <f t="shared" si="36"/>
        <v>T032PRNA</v>
      </c>
      <c r="H344" s="133" t="s">
        <v>813</v>
      </c>
      <c r="I344" s="133"/>
      <c r="J344" s="147" t="s">
        <v>1122</v>
      </c>
      <c r="K344" s="134">
        <v>45567</v>
      </c>
      <c r="L344" s="148">
        <v>72</v>
      </c>
      <c r="M344" s="133" t="s">
        <v>858</v>
      </c>
      <c r="N344" s="136">
        <v>1.5</v>
      </c>
      <c r="O344" s="136">
        <v>0</v>
      </c>
      <c r="P344" s="136">
        <v>0</v>
      </c>
      <c r="Q344" s="137">
        <f t="shared" si="34"/>
        <v>108</v>
      </c>
      <c r="R344" s="133"/>
      <c r="S344" s="138">
        <v>45572.586805555555</v>
      </c>
      <c r="T344" s="133" t="s">
        <v>670</v>
      </c>
      <c r="U344" s="139" t="str">
        <f t="shared" si="35"/>
        <v>_preroll_labelled</v>
      </c>
      <c r="V344" s="140" t="str">
        <f>IF(U344="_","",_xlfn.XLOOKUP(U344,internal_cansku_inventory!D:D,internal_cansku_inventory!E:E,"",0,1))</f>
        <v/>
      </c>
    </row>
    <row r="345" spans="1:22" ht="12.45" customHeight="1">
      <c r="A345" s="132">
        <v>389</v>
      </c>
      <c r="B345" s="132">
        <v>0</v>
      </c>
      <c r="C345" s="132" t="str">
        <f>Table1[[#This Row],[inventory_id_head]]&amp;"-"&amp;Table1[[#This Row],[inventory_id_tail]]</f>
        <v>389-0</v>
      </c>
      <c r="D345" s="133" t="s">
        <v>653</v>
      </c>
      <c r="E345" s="133" t="s">
        <v>1123</v>
      </c>
      <c r="F345" s="133" t="s">
        <v>55</v>
      </c>
      <c r="G345" s="133" t="str">
        <f t="shared" si="36"/>
        <v>T073EXNA</v>
      </c>
      <c r="H345" s="133" t="s">
        <v>1124</v>
      </c>
      <c r="I345" s="133"/>
      <c r="J345" s="133" t="s">
        <v>1039</v>
      </c>
      <c r="K345" s="134">
        <v>45550</v>
      </c>
      <c r="L345" s="148">
        <f>23*12</f>
        <v>276</v>
      </c>
      <c r="M345" s="133" t="s">
        <v>858</v>
      </c>
      <c r="N345" s="136">
        <v>50</v>
      </c>
      <c r="O345" s="136">
        <v>0</v>
      </c>
      <c r="P345" s="136">
        <v>0</v>
      </c>
      <c r="Q345" s="137">
        <f t="shared" si="34"/>
        <v>13800</v>
      </c>
      <c r="R345" s="133"/>
      <c r="S345" s="138">
        <v>45572.70416666667</v>
      </c>
      <c r="T345" s="133" t="s">
        <v>657</v>
      </c>
      <c r="U345" s="139" t="str">
        <f t="shared" si="35"/>
        <v>_extract_ingested_labelled_ON</v>
      </c>
      <c r="V345" s="140" t="str">
        <f>IF(U345="_","",_xlfn.XLOOKUP(U345,internal_cansku_inventory!D:D,internal_cansku_inventory!E:E,"",0,1))</f>
        <v/>
      </c>
    </row>
    <row r="346" spans="1:22" ht="12.45" customHeight="1">
      <c r="A346" s="132">
        <v>374</v>
      </c>
      <c r="B346" s="132">
        <v>0</v>
      </c>
      <c r="C346" s="132" t="str">
        <f>Table1[[#This Row],[inventory_id_head]]&amp;"-"&amp;Table1[[#This Row],[inventory_id_tail]]</f>
        <v>374-0</v>
      </c>
      <c r="D346" s="133" t="s">
        <v>680</v>
      </c>
      <c r="E346" s="133" t="s">
        <v>1125</v>
      </c>
      <c r="F346" s="133" t="s">
        <v>655</v>
      </c>
      <c r="G346" s="133" t="str">
        <f t="shared" si="36"/>
        <v>T074EXNA</v>
      </c>
      <c r="H346" s="133" t="s">
        <v>1126</v>
      </c>
      <c r="I346" s="133"/>
      <c r="J346" s="133" t="s">
        <v>655</v>
      </c>
      <c r="K346" s="133" t="s">
        <v>655</v>
      </c>
      <c r="L346" s="135">
        <v>231</v>
      </c>
      <c r="M346" s="133" t="s">
        <v>858</v>
      </c>
      <c r="N346" s="136">
        <v>50</v>
      </c>
      <c r="O346" s="136">
        <v>0</v>
      </c>
      <c r="P346" s="136">
        <v>0</v>
      </c>
      <c r="Q346" s="137">
        <f t="shared" si="34"/>
        <v>11550</v>
      </c>
      <c r="R346" s="133"/>
      <c r="S346" s="138">
        <v>45573.557638888888</v>
      </c>
      <c r="T346" s="133" t="s">
        <v>657</v>
      </c>
      <c r="U346" s="139" t="str">
        <f t="shared" si="35"/>
        <v>_extract_ingested_packaged</v>
      </c>
      <c r="V346" s="140" t="str">
        <f>IF(U346="_","",_xlfn.XLOOKUP(U346,internal_cansku_inventory!D:D,internal_cansku_inventory!E:E,"",0,1))</f>
        <v/>
      </c>
    </row>
    <row r="347" spans="1:22" ht="12.45" customHeight="1">
      <c r="A347" s="132">
        <v>391</v>
      </c>
      <c r="B347" s="132">
        <v>0</v>
      </c>
      <c r="C347" s="132" t="str">
        <f>Table1[[#This Row],[inventory_id_head]]&amp;"-"&amp;Table1[[#This Row],[inventory_id_tail]]</f>
        <v>391-0</v>
      </c>
      <c r="D347" s="133" t="s">
        <v>680</v>
      </c>
      <c r="E347" s="133" t="s">
        <v>1127</v>
      </c>
      <c r="F347" s="133" t="s">
        <v>55</v>
      </c>
      <c r="G347" s="133" t="str">
        <f t="shared" si="36"/>
        <v>T077EXNA</v>
      </c>
      <c r="H347" s="133" t="s">
        <v>328</v>
      </c>
      <c r="I347" s="133"/>
      <c r="J347" s="133" t="s">
        <v>1047</v>
      </c>
      <c r="K347" s="134">
        <v>45569</v>
      </c>
      <c r="L347" s="148">
        <v>153</v>
      </c>
      <c r="M347" s="133" t="s">
        <v>858</v>
      </c>
      <c r="N347" s="136">
        <v>0.5</v>
      </c>
      <c r="O347" s="136">
        <v>0</v>
      </c>
      <c r="P347" s="136">
        <v>0</v>
      </c>
      <c r="Q347" s="137">
        <f t="shared" si="34"/>
        <v>76.5</v>
      </c>
      <c r="R347" s="133"/>
      <c r="S347" s="138">
        <v>45573.657638888886</v>
      </c>
      <c r="T347" s="133" t="s">
        <v>657</v>
      </c>
      <c r="U347" s="139" t="str">
        <f t="shared" si="35"/>
        <v>_extract_inhaled_labelled</v>
      </c>
      <c r="V347" s="140" t="str">
        <f>IF(U347="_","",_xlfn.XLOOKUP(U347,internal_cansku_inventory!D:D,internal_cansku_inventory!E:E,"",0,1))</f>
        <v/>
      </c>
    </row>
    <row r="348" spans="1:22" ht="12.45" customHeight="1">
      <c r="A348" s="132">
        <v>172</v>
      </c>
      <c r="B348" s="132">
        <v>0</v>
      </c>
      <c r="C348" s="132" t="str">
        <f>Table1[[#This Row],[inventory_id_head]]&amp;"-"&amp;Table1[[#This Row],[inventory_id_tail]]</f>
        <v>172-0</v>
      </c>
      <c r="D348" s="133" t="s">
        <v>680</v>
      </c>
      <c r="E348" s="133" t="s">
        <v>1110</v>
      </c>
      <c r="F348" s="133" t="s">
        <v>1128</v>
      </c>
      <c r="G348" s="133" t="str">
        <f t="shared" si="36"/>
        <v>T013DFB057DF</v>
      </c>
      <c r="H348" s="133" t="s">
        <v>704</v>
      </c>
      <c r="I348" s="133"/>
      <c r="J348" s="133" t="s">
        <v>1129</v>
      </c>
      <c r="K348" s="134" t="s">
        <v>655</v>
      </c>
      <c r="L348" s="135">
        <v>1</v>
      </c>
      <c r="M348" s="133" t="s">
        <v>1012</v>
      </c>
      <c r="N348" s="136">
        <f>O348-P348</f>
        <v>2712</v>
      </c>
      <c r="O348" s="136">
        <v>3058</v>
      </c>
      <c r="P348" s="136">
        <f>38+308</f>
        <v>346</v>
      </c>
      <c r="Q348" s="137">
        <f t="shared" si="34"/>
        <v>2712</v>
      </c>
      <c r="R348" s="133"/>
      <c r="S348" s="138">
        <v>45573.666666666664</v>
      </c>
      <c r="T348" s="133" t="s">
        <v>664</v>
      </c>
      <c r="U348" s="139" t="str">
        <f t="shared" si="35"/>
        <v>_driedflower_milled_bulk</v>
      </c>
      <c r="V348" s="140" t="str">
        <f>IF(U348="_","",_xlfn.XLOOKUP(U348,internal_cansku_inventory!D:D,internal_cansku_inventory!E:E,"",0,1))</f>
        <v/>
      </c>
    </row>
    <row r="349" spans="1:22" ht="12.45" customHeight="1">
      <c r="A349" s="132">
        <v>392</v>
      </c>
      <c r="B349" s="132">
        <v>0</v>
      </c>
      <c r="C349" s="132" t="str">
        <f>Table1[[#This Row],[inventory_id_head]]&amp;"-"&amp;Table1[[#This Row],[inventory_id_tail]]</f>
        <v>392-0</v>
      </c>
      <c r="D349" s="133" t="s">
        <v>653</v>
      </c>
      <c r="E349" s="133" t="s">
        <v>1130</v>
      </c>
      <c r="F349" s="133" t="s">
        <v>655</v>
      </c>
      <c r="G349" s="133" t="str">
        <f t="shared" si="36"/>
        <v>T007TPNA</v>
      </c>
      <c r="H349" s="133" t="s">
        <v>851</v>
      </c>
      <c r="I349" s="133"/>
      <c r="J349" s="133" t="s">
        <v>1131</v>
      </c>
      <c r="K349" s="134">
        <v>45560</v>
      </c>
      <c r="L349" s="148">
        <v>20</v>
      </c>
      <c r="M349" s="133" t="s">
        <v>858</v>
      </c>
      <c r="N349" s="136">
        <v>88</v>
      </c>
      <c r="O349" s="136">
        <v>0</v>
      </c>
      <c r="P349" s="136">
        <v>0</v>
      </c>
      <c r="Q349" s="137">
        <f t="shared" si="34"/>
        <v>1760</v>
      </c>
      <c r="R349" s="133"/>
      <c r="S349" s="138">
        <v>45573.6875</v>
      </c>
      <c r="T349" s="133" t="s">
        <v>657</v>
      </c>
      <c r="U349" s="139" t="str">
        <f t="shared" si="35"/>
        <v>_topical_labelled</v>
      </c>
      <c r="V349" s="140" t="str">
        <f>IF(U349="_","",_xlfn.XLOOKUP(U349,internal_cansku_inventory!D:D,internal_cansku_inventory!E:E,"",0,1))</f>
        <v/>
      </c>
    </row>
    <row r="350" spans="1:22" ht="12.45" customHeight="1">
      <c r="A350" s="132">
        <v>383</v>
      </c>
      <c r="B350" s="132">
        <v>0</v>
      </c>
      <c r="C350" s="132" t="str">
        <f>Table1[[#This Row],[inventory_id_head]]&amp;"-"&amp;Table1[[#This Row],[inventory_id_tail]]</f>
        <v>383-0</v>
      </c>
      <c r="D350" s="133" t="s">
        <v>680</v>
      </c>
      <c r="E350" s="133" t="s">
        <v>1132</v>
      </c>
      <c r="F350" s="133" t="s">
        <v>55</v>
      </c>
      <c r="G350" s="133" t="str">
        <f t="shared" si="36"/>
        <v>T069EXNA</v>
      </c>
      <c r="H350" s="133" t="s">
        <v>328</v>
      </c>
      <c r="I350" s="133"/>
      <c r="J350" s="133" t="s">
        <v>1029</v>
      </c>
      <c r="K350" s="134">
        <v>45560</v>
      </c>
      <c r="L350" s="148">
        <v>0</v>
      </c>
      <c r="M350" s="133" t="s">
        <v>858</v>
      </c>
      <c r="N350" s="136">
        <v>0.5</v>
      </c>
      <c r="O350" s="136">
        <v>0</v>
      </c>
      <c r="P350" s="136">
        <v>0</v>
      </c>
      <c r="Q350" s="137">
        <f t="shared" si="34"/>
        <v>0</v>
      </c>
      <c r="R350" s="133"/>
      <c r="S350" s="138">
        <v>45574.67083333333</v>
      </c>
      <c r="T350" s="133" t="s">
        <v>657</v>
      </c>
      <c r="U350" s="139" t="str">
        <f t="shared" si="35"/>
        <v>_extract_inhaled_labelled</v>
      </c>
      <c r="V350" s="140" t="str">
        <f>IF(U350="_","",_xlfn.XLOOKUP(U350,internal_cansku_inventory!D:D,internal_cansku_inventory!E:E,"",0,1))</f>
        <v/>
      </c>
    </row>
    <row r="351" spans="1:22" ht="12.45" customHeight="1">
      <c r="A351" s="132">
        <v>395</v>
      </c>
      <c r="B351" s="132">
        <v>0</v>
      </c>
      <c r="C351" s="132" t="str">
        <f>Table1[[#This Row],[inventory_id_head]]&amp;"-"&amp;Table1[[#This Row],[inventory_id_tail]]</f>
        <v>395-0</v>
      </c>
      <c r="D351" s="133" t="s">
        <v>680</v>
      </c>
      <c r="E351" s="133" t="s">
        <v>870</v>
      </c>
      <c r="F351" s="133" t="s">
        <v>655</v>
      </c>
      <c r="G351" s="133" t="str">
        <f t="shared" si="36"/>
        <v>T035PRNA</v>
      </c>
      <c r="H351" s="133" t="s">
        <v>308</v>
      </c>
      <c r="I351" s="133"/>
      <c r="J351" s="133" t="s">
        <v>630</v>
      </c>
      <c r="K351" s="134">
        <v>45574</v>
      </c>
      <c r="L351" s="148">
        <v>226</v>
      </c>
      <c r="M351" s="133" t="s">
        <v>858</v>
      </c>
      <c r="N351" s="136">
        <f>O351-P351</f>
        <v>1.5</v>
      </c>
      <c r="O351" s="136">
        <v>1.5</v>
      </c>
      <c r="P351" s="136">
        <v>0</v>
      </c>
      <c r="Q351" s="137">
        <f t="shared" si="34"/>
        <v>339</v>
      </c>
      <c r="R351" s="133"/>
      <c r="S351" s="138">
        <v>45576.443749999999</v>
      </c>
      <c r="T351" s="133" t="s">
        <v>657</v>
      </c>
      <c r="U351" s="139" t="str">
        <f t="shared" si="35"/>
        <v>_preroll_labelled</v>
      </c>
      <c r="V351" s="140" t="str">
        <f>IF(U351="_","",_xlfn.XLOOKUP(U351,internal_cansku_inventory!D:D,internal_cansku_inventory!E:E,"",0,1))</f>
        <v/>
      </c>
    </row>
    <row r="352" spans="1:22" ht="12.45" customHeight="1">
      <c r="A352" s="132">
        <v>396</v>
      </c>
      <c r="B352" s="132">
        <v>0</v>
      </c>
      <c r="C352" s="132" t="str">
        <f>Table1[[#This Row],[inventory_id_head]]&amp;"-"&amp;Table1[[#This Row],[inventory_id_tail]]</f>
        <v>396-0</v>
      </c>
      <c r="D352" s="133" t="s">
        <v>680</v>
      </c>
      <c r="E352" s="133" t="s">
        <v>1133</v>
      </c>
      <c r="F352" s="133" t="s">
        <v>55</v>
      </c>
      <c r="G352" s="133" t="str">
        <f t="shared" si="36"/>
        <v>T079EXNA</v>
      </c>
      <c r="H352" s="133" t="s">
        <v>328</v>
      </c>
      <c r="I352" s="133"/>
      <c r="J352" s="133" t="s">
        <v>1134</v>
      </c>
      <c r="K352" s="134">
        <v>45574</v>
      </c>
      <c r="L352" s="148">
        <v>54</v>
      </c>
      <c r="M352" s="133" t="s">
        <v>644</v>
      </c>
      <c r="N352" s="136">
        <v>0.5</v>
      </c>
      <c r="O352" s="136">
        <v>0.5</v>
      </c>
      <c r="P352" s="136">
        <v>0</v>
      </c>
      <c r="Q352" s="137">
        <f t="shared" si="34"/>
        <v>27</v>
      </c>
      <c r="R352" s="133"/>
      <c r="S352" s="138">
        <v>45576.654861111114</v>
      </c>
      <c r="T352" s="133" t="s">
        <v>657</v>
      </c>
      <c r="U352" s="139" t="str">
        <f t="shared" si="35"/>
        <v>_extract_inhaled_labelled</v>
      </c>
      <c r="V352" s="140" t="str">
        <f>IF(U352="_","",_xlfn.XLOOKUP(U352,internal_cansku_inventory!D:D,internal_cansku_inventory!E:E,"",0,1))</f>
        <v/>
      </c>
    </row>
    <row r="353" spans="1:22" ht="12.45" customHeight="1">
      <c r="A353" s="132">
        <v>397</v>
      </c>
      <c r="B353" s="132">
        <v>0</v>
      </c>
      <c r="C353" s="132" t="str">
        <f>Table1[[#This Row],[inventory_id_head]]&amp;"-"&amp;Table1[[#This Row],[inventory_id_tail]]</f>
        <v>397-0</v>
      </c>
      <c r="D353" s="133" t="s">
        <v>653</v>
      </c>
      <c r="E353" s="133" t="s">
        <v>1135</v>
      </c>
      <c r="F353" s="133" t="s">
        <v>55</v>
      </c>
      <c r="G353" s="133" t="str">
        <f t="shared" si="36"/>
        <v>T080EXNA</v>
      </c>
      <c r="H353" s="133" t="s">
        <v>328</v>
      </c>
      <c r="I353" s="133"/>
      <c r="J353" s="133" t="s">
        <v>1134</v>
      </c>
      <c r="K353" s="134">
        <v>45581</v>
      </c>
      <c r="L353" s="148">
        <f>205-12</f>
        <v>193</v>
      </c>
      <c r="M353" s="133" t="s">
        <v>644</v>
      </c>
      <c r="N353" s="136">
        <v>0.5</v>
      </c>
      <c r="O353" s="136">
        <v>0.5</v>
      </c>
      <c r="P353" s="136">
        <v>0</v>
      </c>
      <c r="Q353" s="137">
        <f t="shared" si="34"/>
        <v>96.5</v>
      </c>
      <c r="R353" s="133"/>
      <c r="S353" s="138">
        <v>45581.395833333336</v>
      </c>
      <c r="T353" s="133" t="s">
        <v>657</v>
      </c>
      <c r="U353" s="139" t="str">
        <f t="shared" si="35"/>
        <v>_extract_inhaled_labelled</v>
      </c>
      <c r="V353" s="140" t="str">
        <f>IF(U353="_","",_xlfn.XLOOKUP(U353,internal_cansku_inventory!D:D,internal_cansku_inventory!E:E,"",0,1))</f>
        <v/>
      </c>
    </row>
    <row r="354" spans="1:22" ht="12.45" customHeight="1">
      <c r="A354" s="132">
        <v>156</v>
      </c>
      <c r="B354" s="132">
        <v>0</v>
      </c>
      <c r="C354" s="132" t="str">
        <f>Table1[[#This Row],[inventory_id_head]]&amp;"-"&amp;Table1[[#This Row],[inventory_id_tail]]</f>
        <v>156-0</v>
      </c>
      <c r="D354" s="133" t="s">
        <v>680</v>
      </c>
      <c r="E354" s="133" t="s">
        <v>1023</v>
      </c>
      <c r="F354" s="133" t="s">
        <v>55</v>
      </c>
      <c r="G354" s="133" t="str">
        <f t="shared" si="36"/>
        <v>T036PRNA</v>
      </c>
      <c r="H354" s="133" t="s">
        <v>813</v>
      </c>
      <c r="I354" s="133"/>
      <c r="J354" s="133" t="s">
        <v>997</v>
      </c>
      <c r="K354" s="134">
        <v>45575</v>
      </c>
      <c r="L354" s="135">
        <f>13*12+9</f>
        <v>165</v>
      </c>
      <c r="M354" s="133" t="s">
        <v>644</v>
      </c>
      <c r="N354" s="136">
        <v>1.5</v>
      </c>
      <c r="O354" s="136">
        <v>0</v>
      </c>
      <c r="P354" s="136">
        <v>0</v>
      </c>
      <c r="Q354" s="137">
        <f t="shared" si="34"/>
        <v>247.5</v>
      </c>
      <c r="R354" s="133"/>
      <c r="S354" s="138">
        <v>45581.405555555553</v>
      </c>
      <c r="T354" s="133" t="s">
        <v>670</v>
      </c>
      <c r="U354" s="139" t="str">
        <f t="shared" si="35"/>
        <v>_preroll_labelled</v>
      </c>
      <c r="V354" s="140" t="str">
        <f>IF(U354="_","",_xlfn.XLOOKUP(U354,internal_cansku_inventory!D:D,internal_cansku_inventory!E:E,"",0,1))</f>
        <v/>
      </c>
    </row>
    <row r="355" spans="1:22" ht="12.45" customHeight="1">
      <c r="A355" s="132">
        <v>400</v>
      </c>
      <c r="B355" s="132">
        <v>0</v>
      </c>
      <c r="C355" s="132" t="str">
        <f>Table1[[#This Row],[inventory_id_head]]&amp;"-"&amp;Table1[[#This Row],[inventory_id_tail]]</f>
        <v>400-0</v>
      </c>
      <c r="D355" s="133" t="s">
        <v>1136</v>
      </c>
      <c r="E355" s="133" t="s">
        <v>1137</v>
      </c>
      <c r="F355" s="133" t="s">
        <v>55</v>
      </c>
      <c r="G355" s="133" t="str">
        <f t="shared" si="36"/>
        <v>T032PRNA</v>
      </c>
      <c r="H355" s="133" t="s">
        <v>813</v>
      </c>
      <c r="I355" s="133"/>
      <c r="J355" s="133" t="s">
        <v>1122</v>
      </c>
      <c r="K355" s="134">
        <v>45575</v>
      </c>
      <c r="L355" s="148">
        <v>251</v>
      </c>
      <c r="M355" s="133" t="s">
        <v>858</v>
      </c>
      <c r="N355" s="136">
        <v>1.5</v>
      </c>
      <c r="O355" s="136">
        <v>1.5</v>
      </c>
      <c r="P355" s="136">
        <v>0</v>
      </c>
      <c r="Q355" s="137">
        <f t="shared" si="34"/>
        <v>376.5</v>
      </c>
      <c r="R355" s="133"/>
      <c r="S355" s="138">
        <v>45582.47152777778</v>
      </c>
      <c r="T355" s="133" t="s">
        <v>657</v>
      </c>
      <c r="U355" s="139" t="str">
        <f t="shared" si="35"/>
        <v>_preroll_labelled</v>
      </c>
      <c r="V355" s="140" t="str">
        <f>IF(U355="_","",_xlfn.XLOOKUP(U355,internal_cansku_inventory!D:D,internal_cansku_inventory!E:E,"",0,1))</f>
        <v/>
      </c>
    </row>
    <row r="356" spans="1:22" ht="12.45" customHeight="1">
      <c r="A356" s="132">
        <v>401</v>
      </c>
      <c r="B356" s="132">
        <v>0</v>
      </c>
      <c r="C356" s="132" t="str">
        <f>Table1[[#This Row],[inventory_id_head]]&amp;"-"&amp;Table1[[#This Row],[inventory_id_tail]]</f>
        <v>401-0</v>
      </c>
      <c r="D356" s="133" t="s">
        <v>680</v>
      </c>
      <c r="E356" s="133" t="s">
        <v>1138</v>
      </c>
      <c r="F356" s="133" t="s">
        <v>655</v>
      </c>
      <c r="G356" s="133" t="str">
        <f t="shared" si="36"/>
        <v>T081EXNA</v>
      </c>
      <c r="H356" s="133" t="s">
        <v>963</v>
      </c>
      <c r="I356" s="133"/>
      <c r="J356" s="133">
        <v>2024101701</v>
      </c>
      <c r="K356" s="134" t="s">
        <v>655</v>
      </c>
      <c r="L356" s="148">
        <v>1</v>
      </c>
      <c r="M356" s="133" t="s">
        <v>994</v>
      </c>
      <c r="N356" s="136">
        <f>Table1[[#This Row],[gross_weight]]-Table1[[#This Row],[tare_weight]]</f>
        <v>248</v>
      </c>
      <c r="O356" s="136">
        <v>2098</v>
      </c>
      <c r="P356" s="136">
        <f>4900-3050</f>
        <v>1850</v>
      </c>
      <c r="Q356" s="137">
        <f t="shared" si="34"/>
        <v>248</v>
      </c>
      <c r="R356" s="133"/>
      <c r="S356" s="138">
        <v>45582.47152777778</v>
      </c>
      <c r="T356" s="133" t="s">
        <v>978</v>
      </c>
      <c r="U356" s="139" t="str">
        <f t="shared" si="35"/>
        <v>_extract_distillate_bulk</v>
      </c>
      <c r="V356" s="140" t="str">
        <f>IF(U356="_","",_xlfn.XLOOKUP(U356,internal_cansku_inventory!D:D,internal_cansku_inventory!E:E,"",0,1))</f>
        <v/>
      </c>
    </row>
    <row r="357" spans="1:22" ht="12.45" customHeight="1">
      <c r="A357" s="132">
        <v>261</v>
      </c>
      <c r="B357" s="132">
        <v>0</v>
      </c>
      <c r="C357" s="132" t="str">
        <f>Table1[[#This Row],[inventory_id_head]]&amp;"-"&amp;Table1[[#This Row],[inventory_id_tail]]</f>
        <v>261-0</v>
      </c>
      <c r="D357" s="133" t="s">
        <v>653</v>
      </c>
      <c r="E357" s="133" t="s">
        <v>1108</v>
      </c>
      <c r="F357" s="133" t="s">
        <v>655</v>
      </c>
      <c r="G357" s="133" t="str">
        <f t="shared" si="36"/>
        <v>T039PRNA</v>
      </c>
      <c r="H357" s="133" t="s">
        <v>813</v>
      </c>
      <c r="I357" s="133"/>
      <c r="J357" s="133" t="s">
        <v>1139</v>
      </c>
      <c r="K357" s="134">
        <v>45575</v>
      </c>
      <c r="L357" s="135">
        <f>12*15</f>
        <v>180</v>
      </c>
      <c r="M357" s="133" t="s">
        <v>858</v>
      </c>
      <c r="N357" s="136">
        <v>1.5</v>
      </c>
      <c r="O357" s="136">
        <v>1.5</v>
      </c>
      <c r="P357" s="136">
        <v>0</v>
      </c>
      <c r="Q357" s="137">
        <f t="shared" si="34"/>
        <v>270</v>
      </c>
      <c r="R357" s="133"/>
      <c r="S357" s="138">
        <v>45582.484027777777</v>
      </c>
      <c r="T357" s="133" t="s">
        <v>657</v>
      </c>
      <c r="U357" s="139" t="str">
        <f t="shared" si="35"/>
        <v>_preroll_labelled</v>
      </c>
      <c r="V357" s="140" t="str">
        <f>IF(U357="_","",_xlfn.XLOOKUP(U357,internal_cansku_inventory!D:D,internal_cansku_inventory!E:E,"",0,1))</f>
        <v/>
      </c>
    </row>
    <row r="358" spans="1:22" ht="12.45" customHeight="1">
      <c r="A358" s="132">
        <v>402</v>
      </c>
      <c r="B358" s="132">
        <v>0</v>
      </c>
      <c r="C358" s="132" t="str">
        <f>Table1[[#This Row],[inventory_id_head]]&amp;"-"&amp;Table1[[#This Row],[inventory_id_tail]]</f>
        <v>402-0</v>
      </c>
      <c r="D358" s="133" t="s">
        <v>680</v>
      </c>
      <c r="E358" s="133" t="s">
        <v>1108</v>
      </c>
      <c r="F358" s="133" t="s">
        <v>655</v>
      </c>
      <c r="G358" s="133" t="str">
        <f t="shared" si="36"/>
        <v>T039PRNA</v>
      </c>
      <c r="H358" s="133" t="s">
        <v>813</v>
      </c>
      <c r="I358" s="133"/>
      <c r="J358" s="133" t="s">
        <v>1109</v>
      </c>
      <c r="K358" s="134">
        <v>45575</v>
      </c>
      <c r="L358" s="148">
        <v>34</v>
      </c>
      <c r="M358" s="133" t="s">
        <v>858</v>
      </c>
      <c r="N358" s="136">
        <v>1.5</v>
      </c>
      <c r="O358" s="136">
        <v>1.5</v>
      </c>
      <c r="P358" s="136">
        <v>0</v>
      </c>
      <c r="Q358" s="137">
        <f t="shared" si="34"/>
        <v>51</v>
      </c>
      <c r="R358" s="133"/>
      <c r="S358" s="138">
        <v>45582.48541666667</v>
      </c>
      <c r="T358" s="133" t="s">
        <v>657</v>
      </c>
      <c r="U358" s="139" t="str">
        <f t="shared" si="35"/>
        <v>_preroll_labelled</v>
      </c>
      <c r="V358" s="140" t="str">
        <f>IF(U358="_","",_xlfn.XLOOKUP(U358,internal_cansku_inventory!D:D,internal_cansku_inventory!E:E,"",0,1))</f>
        <v/>
      </c>
    </row>
    <row r="359" spans="1:22" ht="12.45" customHeight="1">
      <c r="A359" s="132">
        <v>403</v>
      </c>
      <c r="B359" s="132">
        <v>0</v>
      </c>
      <c r="C359" s="132" t="str">
        <f>Table1[[#This Row],[inventory_id_head]]&amp;"-"&amp;Table1[[#This Row],[inventory_id_tail]]</f>
        <v>403-0</v>
      </c>
      <c r="D359" s="133" t="s">
        <v>1140</v>
      </c>
      <c r="E359" s="133" t="s">
        <v>1141</v>
      </c>
      <c r="F359" s="133" t="s">
        <v>655</v>
      </c>
      <c r="G359" s="133" t="str">
        <f t="shared" ref="G359:G390" si="38">E359&amp;F359</f>
        <v>T047PRNA</v>
      </c>
      <c r="H359" s="133" t="s">
        <v>813</v>
      </c>
      <c r="I359" s="133"/>
      <c r="J359" s="133" t="s">
        <v>1022</v>
      </c>
      <c r="K359" s="134">
        <v>45581</v>
      </c>
      <c r="L359" s="148">
        <v>180</v>
      </c>
      <c r="M359" s="133" t="s">
        <v>858</v>
      </c>
      <c r="N359" s="136">
        <v>1.5</v>
      </c>
      <c r="O359" s="136">
        <v>1.5</v>
      </c>
      <c r="P359" s="136">
        <v>0</v>
      </c>
      <c r="Q359" s="137">
        <f t="shared" si="34"/>
        <v>270</v>
      </c>
      <c r="R359" s="133"/>
      <c r="S359" s="138">
        <v>45582.491666666669</v>
      </c>
      <c r="T359" s="133" t="s">
        <v>657</v>
      </c>
      <c r="U359" s="139" t="str">
        <f t="shared" si="35"/>
        <v>_preroll_labelled</v>
      </c>
      <c r="V359" s="140" t="str">
        <f>IF(U359="_","",_xlfn.XLOOKUP(U359,internal_cansku_inventory!D:D,internal_cansku_inventory!E:E,"",0,1))</f>
        <v/>
      </c>
    </row>
    <row r="360" spans="1:22" ht="12.45" customHeight="1">
      <c r="A360" s="132">
        <v>404</v>
      </c>
      <c r="B360" s="132">
        <v>0</v>
      </c>
      <c r="C360" s="132" t="str">
        <f>Table1[[#This Row],[inventory_id_head]]&amp;"-"&amp;Table1[[#This Row],[inventory_id_tail]]</f>
        <v>404-0</v>
      </c>
      <c r="D360" s="133" t="s">
        <v>680</v>
      </c>
      <c r="E360" s="133" t="s">
        <v>1142</v>
      </c>
      <c r="F360" s="133" t="s">
        <v>655</v>
      </c>
      <c r="G360" s="133" t="str">
        <f t="shared" si="38"/>
        <v>T048PRNA</v>
      </c>
      <c r="H360" s="133" t="s">
        <v>809</v>
      </c>
      <c r="I360" s="133"/>
      <c r="J360" s="133" t="s">
        <v>1143</v>
      </c>
      <c r="K360" s="134" t="s">
        <v>655</v>
      </c>
      <c r="L360" s="148">
        <v>1668</v>
      </c>
      <c r="M360" s="133" t="s">
        <v>858</v>
      </c>
      <c r="N360" s="136">
        <v>1</v>
      </c>
      <c r="O360" s="136">
        <v>1</v>
      </c>
      <c r="P360" s="136">
        <v>0</v>
      </c>
      <c r="Q360" s="137">
        <f t="shared" si="34"/>
        <v>1668</v>
      </c>
      <c r="R360" s="133"/>
      <c r="S360" s="138">
        <v>45582.495833333334</v>
      </c>
      <c r="T360" s="133" t="s">
        <v>657</v>
      </c>
      <c r="U360" s="139" t="str">
        <f t="shared" si="35"/>
        <v>_preroll_packaged</v>
      </c>
      <c r="V360" s="140" t="str">
        <f>IF(U360="_","",_xlfn.XLOOKUP(U360,internal_cansku_inventory!D:D,internal_cansku_inventory!E:E,"",0,1))</f>
        <v/>
      </c>
    </row>
    <row r="361" spans="1:22" ht="12.45" customHeight="1">
      <c r="A361" s="132">
        <v>359</v>
      </c>
      <c r="B361" s="132">
        <v>0</v>
      </c>
      <c r="C361" s="132" t="str">
        <f>Table1[[#This Row],[inventory_id_head]]&amp;"-"&amp;Table1[[#This Row],[inventory_id_tail]]</f>
        <v>359-0</v>
      </c>
      <c r="D361" s="133" t="s">
        <v>653</v>
      </c>
      <c r="E361" s="133" t="s">
        <v>1144</v>
      </c>
      <c r="F361" s="133" t="s">
        <v>655</v>
      </c>
      <c r="G361" s="133" t="str">
        <f t="shared" si="38"/>
        <v>T054EXNA</v>
      </c>
      <c r="H361" s="133" t="s">
        <v>1028</v>
      </c>
      <c r="I361" s="133"/>
      <c r="J361" s="133" t="s">
        <v>1049</v>
      </c>
      <c r="K361" s="134">
        <v>45574</v>
      </c>
      <c r="L361" s="135">
        <v>8</v>
      </c>
      <c r="M361" s="133" t="s">
        <v>858</v>
      </c>
      <c r="N361" s="136">
        <v>0.5</v>
      </c>
      <c r="O361" s="136">
        <v>0</v>
      </c>
      <c r="P361" s="136">
        <v>0</v>
      </c>
      <c r="Q361" s="137">
        <f t="shared" si="34"/>
        <v>4</v>
      </c>
      <c r="R361" s="133"/>
      <c r="S361" s="138">
        <v>45582.515972222223</v>
      </c>
      <c r="T361" s="133" t="s">
        <v>657</v>
      </c>
      <c r="U361" s="139" t="str">
        <f t="shared" si="35"/>
        <v>_extract_inhaled_labelled</v>
      </c>
      <c r="V361" s="140" t="str">
        <f>IF(U361="_","",_xlfn.XLOOKUP(U361,internal_cansku_inventory!D:D,internal_cansku_inventory!E:E,"",0,1))</f>
        <v/>
      </c>
    </row>
    <row r="362" spans="1:22" ht="12.45" customHeight="1">
      <c r="A362" s="132">
        <v>405</v>
      </c>
      <c r="B362" s="132">
        <v>0</v>
      </c>
      <c r="C362" s="132" t="str">
        <f>Table1[[#This Row],[inventory_id_head]]&amp;"-"&amp;Table1[[#This Row],[inventory_id_tail]]</f>
        <v>405-0</v>
      </c>
      <c r="D362" s="133" t="s">
        <v>680</v>
      </c>
      <c r="E362" s="133" t="s">
        <v>655</v>
      </c>
      <c r="F362" s="133" t="s">
        <v>655</v>
      </c>
      <c r="G362" s="133" t="str">
        <f t="shared" si="38"/>
        <v>NANA</v>
      </c>
      <c r="H362" s="133" t="s">
        <v>365</v>
      </c>
      <c r="I362" s="133"/>
      <c r="J362" s="133">
        <v>2024101703</v>
      </c>
      <c r="K362" s="134" t="s">
        <v>655</v>
      </c>
      <c r="L362" s="148">
        <v>1</v>
      </c>
      <c r="M362" s="133" t="s">
        <v>858</v>
      </c>
      <c r="N362" s="136">
        <f>O362-P362</f>
        <v>2000</v>
      </c>
      <c r="O362" s="136">
        <v>2094</v>
      </c>
      <c r="P362" s="136">
        <v>94</v>
      </c>
      <c r="Q362" s="137">
        <f t="shared" ref="Q362:Q425" si="39">L362*N362</f>
        <v>2000</v>
      </c>
      <c r="R362" s="133" t="s">
        <v>1146</v>
      </c>
      <c r="S362" s="138">
        <v>45585.464583333334</v>
      </c>
      <c r="T362" s="133" t="s">
        <v>978</v>
      </c>
      <c r="U362" s="139" t="str">
        <f t="shared" si="35"/>
        <v>_driedflower_bulk</v>
      </c>
      <c r="V362" s="140" t="str">
        <f>IF(U362="_","",_xlfn.XLOOKUP(U362,internal_cansku_inventory!D:D,internal_cansku_inventory!E:E,"",0,1))</f>
        <v/>
      </c>
    </row>
    <row r="363" spans="1:22" ht="12.45" customHeight="1">
      <c r="A363" s="132">
        <v>406</v>
      </c>
      <c r="B363" s="132">
        <v>0</v>
      </c>
      <c r="C363" s="132" t="str">
        <f>Table1[[#This Row],[inventory_id_head]]&amp;"-"&amp;Table1[[#This Row],[inventory_id_tail]]</f>
        <v>406-0</v>
      </c>
      <c r="D363" s="133" t="s">
        <v>680</v>
      </c>
      <c r="E363" s="133" t="s">
        <v>655</v>
      </c>
      <c r="F363" s="133" t="s">
        <v>655</v>
      </c>
      <c r="G363" s="133" t="str">
        <f t="shared" si="38"/>
        <v>NANA</v>
      </c>
      <c r="H363" s="133" t="s">
        <v>365</v>
      </c>
      <c r="I363" s="133"/>
      <c r="J363" s="133">
        <v>2024101703</v>
      </c>
      <c r="K363" s="134" t="s">
        <v>655</v>
      </c>
      <c r="L363" s="148">
        <v>1</v>
      </c>
      <c r="M363" s="133" t="s">
        <v>858</v>
      </c>
      <c r="N363" s="136">
        <f>O363-P363</f>
        <v>3000</v>
      </c>
      <c r="O363" s="136">
        <v>3090</v>
      </c>
      <c r="P363" s="136">
        <v>90</v>
      </c>
      <c r="Q363" s="137">
        <f t="shared" si="39"/>
        <v>3000</v>
      </c>
      <c r="R363" s="133" t="s">
        <v>1147</v>
      </c>
      <c r="S363" s="138">
        <v>45585.464583333334</v>
      </c>
      <c r="T363" s="133" t="s">
        <v>978</v>
      </c>
      <c r="U363" s="139" t="str">
        <f t="shared" si="35"/>
        <v>_driedflower_bulk</v>
      </c>
      <c r="V363" s="140" t="str">
        <f>IF(U363="_","",_xlfn.XLOOKUP(U363,internal_cansku_inventory!D:D,internal_cansku_inventory!E:E,"",0,1))</f>
        <v/>
      </c>
    </row>
    <row r="364" spans="1:22" ht="12.45" customHeight="1">
      <c r="A364" s="132">
        <v>411</v>
      </c>
      <c r="B364" s="132">
        <v>0</v>
      </c>
      <c r="C364" s="132" t="str">
        <f>Table1[[#This Row],[inventory_id_head]]&amp;"-"&amp;Table1[[#This Row],[inventory_id_tail]]</f>
        <v>411-0</v>
      </c>
      <c r="D364" s="133" t="s">
        <v>653</v>
      </c>
      <c r="E364" s="133" t="s">
        <v>1148</v>
      </c>
      <c r="F364" s="133" t="s">
        <v>655</v>
      </c>
      <c r="G364" s="133" t="str">
        <f t="shared" si="38"/>
        <v>T049PRNA</v>
      </c>
      <c r="H364" s="133" t="s">
        <v>375</v>
      </c>
      <c r="I364" s="133"/>
      <c r="J364" s="133" t="s">
        <v>1122</v>
      </c>
      <c r="K364" s="134" t="s">
        <v>655</v>
      </c>
      <c r="L364" s="148">
        <v>644</v>
      </c>
      <c r="M364" s="133" t="s">
        <v>858</v>
      </c>
      <c r="N364" s="136">
        <v>1.5</v>
      </c>
      <c r="O364" s="136">
        <v>0</v>
      </c>
      <c r="P364" s="136">
        <v>0</v>
      </c>
      <c r="Q364" s="137">
        <f t="shared" si="39"/>
        <v>966</v>
      </c>
      <c r="R364" s="133"/>
      <c r="S364" s="138">
        <v>45585.492361111108</v>
      </c>
      <c r="T364" s="133" t="s">
        <v>657</v>
      </c>
      <c r="U364" s="139" t="str">
        <f t="shared" si="35"/>
        <v>_preroll_packaged</v>
      </c>
      <c r="V364" s="140" t="str">
        <f>IF(U364="_","",_xlfn.XLOOKUP(U364,internal_cansku_inventory!D:D,internal_cansku_inventory!E:E,"",0,1))</f>
        <v/>
      </c>
    </row>
    <row r="365" spans="1:22" ht="12.45" customHeight="1">
      <c r="A365" s="132">
        <v>408</v>
      </c>
      <c r="B365" s="132">
        <v>0</v>
      </c>
      <c r="C365" s="132" t="str">
        <f>Table1[[#This Row],[inventory_id_head]]&amp;"-"&amp;Table1[[#This Row],[inventory_id_tail]]</f>
        <v>408-0</v>
      </c>
      <c r="D365" s="133" t="s">
        <v>680</v>
      </c>
      <c r="E365" s="133" t="s">
        <v>1149</v>
      </c>
      <c r="F365" s="133" t="s">
        <v>655</v>
      </c>
      <c r="G365" s="133" t="str">
        <f t="shared" si="38"/>
        <v>T038DFNA</v>
      </c>
      <c r="H365" s="133" t="s">
        <v>365</v>
      </c>
      <c r="I365" s="133"/>
      <c r="J365" s="133">
        <v>2024101702</v>
      </c>
      <c r="K365" s="134" t="s">
        <v>655</v>
      </c>
      <c r="L365" s="148">
        <v>1</v>
      </c>
      <c r="M365" s="133" t="s">
        <v>858</v>
      </c>
      <c r="N365" s="136">
        <f>O365-P365</f>
        <v>899.1</v>
      </c>
      <c r="O365" s="136">
        <v>942</v>
      </c>
      <c r="P365" s="136">
        <f>942-899.1</f>
        <v>42.899999999999977</v>
      </c>
      <c r="Q365" s="137">
        <f t="shared" si="39"/>
        <v>899.1</v>
      </c>
      <c r="R365" s="133" t="s">
        <v>1151</v>
      </c>
      <c r="S365" s="138">
        <v>45585.598611111112</v>
      </c>
      <c r="T365" s="133" t="s">
        <v>978</v>
      </c>
      <c r="U365" s="139" t="str">
        <f t="shared" si="35"/>
        <v>_driedflower_bulk</v>
      </c>
      <c r="V365" s="140" t="str">
        <f>IF(U365="_","",_xlfn.XLOOKUP(U365,internal_cansku_inventory!D:D,internal_cansku_inventory!E:E,"",0,1))</f>
        <v/>
      </c>
    </row>
    <row r="366" spans="1:22" ht="12.45" customHeight="1">
      <c r="A366" s="132">
        <v>409</v>
      </c>
      <c r="B366" s="132">
        <v>0</v>
      </c>
      <c r="C366" s="132" t="str">
        <f>Table1[[#This Row],[inventory_id_head]]&amp;"-"&amp;Table1[[#This Row],[inventory_id_tail]]</f>
        <v>409-0</v>
      </c>
      <c r="D366" s="133" t="s">
        <v>680</v>
      </c>
      <c r="E366" s="133" t="s">
        <v>1149</v>
      </c>
      <c r="F366" s="133" t="s">
        <v>655</v>
      </c>
      <c r="G366" s="133" t="str">
        <f t="shared" si="38"/>
        <v>T038DFNA</v>
      </c>
      <c r="H366" s="133" t="s">
        <v>365</v>
      </c>
      <c r="I366" s="133"/>
      <c r="J366" s="133">
        <v>2024101702</v>
      </c>
      <c r="K366" s="134" t="s">
        <v>655</v>
      </c>
      <c r="L366" s="148">
        <v>1</v>
      </c>
      <c r="M366" s="133" t="s">
        <v>858</v>
      </c>
      <c r="N366" s="136">
        <f>O366-P366</f>
        <v>1000</v>
      </c>
      <c r="O366" s="136">
        <v>1056</v>
      </c>
      <c r="P366" s="136">
        <f>1056-1000</f>
        <v>56</v>
      </c>
      <c r="Q366" s="137">
        <f t="shared" si="39"/>
        <v>1000</v>
      </c>
      <c r="R366" s="133" t="s">
        <v>1151</v>
      </c>
      <c r="S366" s="138">
        <v>45585.598611111112</v>
      </c>
      <c r="T366" s="133" t="s">
        <v>978</v>
      </c>
      <c r="U366" s="139" t="str">
        <f t="shared" si="35"/>
        <v>_driedflower_bulk</v>
      </c>
      <c r="V366" s="140" t="str">
        <f>IF(U366="_","",_xlfn.XLOOKUP(U366,internal_cansku_inventory!D:D,internal_cansku_inventory!E:E,"",0,1))</f>
        <v/>
      </c>
    </row>
    <row r="367" spans="1:22" ht="12.45" customHeight="1">
      <c r="A367" s="132">
        <v>410</v>
      </c>
      <c r="B367" s="132">
        <v>0</v>
      </c>
      <c r="C367" s="132" t="str">
        <f>Table1[[#This Row],[inventory_id_head]]&amp;"-"&amp;Table1[[#This Row],[inventory_id_tail]]</f>
        <v>410-0</v>
      </c>
      <c r="D367" s="133" t="s">
        <v>680</v>
      </c>
      <c r="E367" s="133" t="s">
        <v>1149</v>
      </c>
      <c r="F367" s="133" t="s">
        <v>655</v>
      </c>
      <c r="G367" s="133" t="str">
        <f t="shared" si="38"/>
        <v>T038DFNA</v>
      </c>
      <c r="H367" s="133" t="s">
        <v>365</v>
      </c>
      <c r="I367" s="133"/>
      <c r="J367" s="133">
        <v>2024101702</v>
      </c>
      <c r="K367" s="134" t="s">
        <v>655</v>
      </c>
      <c r="L367" s="148">
        <v>1</v>
      </c>
      <c r="M367" s="133" t="s">
        <v>858</v>
      </c>
      <c r="N367" s="136">
        <f>O367-P367</f>
        <v>1000</v>
      </c>
      <c r="O367" s="136">
        <v>1056</v>
      </c>
      <c r="P367" s="136">
        <v>56</v>
      </c>
      <c r="Q367" s="137">
        <f t="shared" si="39"/>
        <v>1000</v>
      </c>
      <c r="R367" s="133" t="s">
        <v>1151</v>
      </c>
      <c r="S367" s="138">
        <v>45585.598611111112</v>
      </c>
      <c r="T367" s="133" t="s">
        <v>978</v>
      </c>
      <c r="U367" s="139" t="str">
        <f t="shared" si="35"/>
        <v>_driedflower_bulk</v>
      </c>
      <c r="V367" s="140" t="str">
        <f>IF(U367="_","",_xlfn.XLOOKUP(U367,internal_cansku_inventory!D:D,internal_cansku_inventory!E:E,"",0,1))</f>
        <v/>
      </c>
    </row>
    <row r="368" spans="1:22" ht="12.45" customHeight="1">
      <c r="A368" s="132">
        <v>412</v>
      </c>
      <c r="B368" s="132">
        <v>0</v>
      </c>
      <c r="C368" s="132" t="str">
        <f>Table1[[#This Row],[inventory_id_head]]&amp;"-"&amp;Table1[[#This Row],[inventory_id_tail]]</f>
        <v>412-0</v>
      </c>
      <c r="D368" s="133" t="s">
        <v>653</v>
      </c>
      <c r="E368" s="133" t="s">
        <v>1152</v>
      </c>
      <c r="F368" s="133" t="s">
        <v>655</v>
      </c>
      <c r="G368" s="133" t="str">
        <f t="shared" si="38"/>
        <v>T039DFNA</v>
      </c>
      <c r="H368" s="133" t="s">
        <v>428</v>
      </c>
      <c r="I368" s="133"/>
      <c r="J368" s="133">
        <v>2024092001</v>
      </c>
      <c r="K368" s="134">
        <v>45581</v>
      </c>
      <c r="L368" s="148">
        <v>88</v>
      </c>
      <c r="M368" s="133" t="s">
        <v>858</v>
      </c>
      <c r="N368" s="136">
        <v>14</v>
      </c>
      <c r="O368" s="136">
        <v>0</v>
      </c>
      <c r="P368" s="136">
        <v>0</v>
      </c>
      <c r="Q368" s="137">
        <f t="shared" si="39"/>
        <v>1232</v>
      </c>
      <c r="R368" s="133"/>
      <c r="S368" s="138">
        <v>45585.618055555555</v>
      </c>
      <c r="T368" s="133" t="s">
        <v>657</v>
      </c>
      <c r="U368" s="139" t="str">
        <f t="shared" si="35"/>
        <v>_driedflower_labelled_BC_BURB</v>
      </c>
      <c r="V368" s="140" t="str">
        <f>IF(U368="_","",_xlfn.XLOOKUP(U368,internal_cansku_inventory!D:D,internal_cansku_inventory!E:E,"",0,1))</f>
        <v/>
      </c>
    </row>
    <row r="369" spans="1:22" ht="12.45" customHeight="1">
      <c r="A369" s="132">
        <v>413</v>
      </c>
      <c r="B369" s="132">
        <v>0</v>
      </c>
      <c r="C369" s="132" t="str">
        <f>Table1[[#This Row],[inventory_id_head]]&amp;"-"&amp;Table1[[#This Row],[inventory_id_tail]]</f>
        <v>413-0</v>
      </c>
      <c r="D369" s="133" t="s">
        <v>653</v>
      </c>
      <c r="E369" s="133" t="s">
        <v>1154</v>
      </c>
      <c r="F369" s="133" t="s">
        <v>655</v>
      </c>
      <c r="G369" s="133" t="str">
        <f t="shared" si="38"/>
        <v>T040DFNA</v>
      </c>
      <c r="H369" s="133" t="s">
        <v>428</v>
      </c>
      <c r="I369" s="133"/>
      <c r="J369" s="133">
        <v>2024092001</v>
      </c>
      <c r="K369" s="134">
        <v>45581</v>
      </c>
      <c r="L369" s="148">
        <v>400</v>
      </c>
      <c r="M369" s="133" t="s">
        <v>858</v>
      </c>
      <c r="N369" s="136">
        <v>14</v>
      </c>
      <c r="O369" s="136">
        <v>0</v>
      </c>
      <c r="P369" s="136">
        <v>0</v>
      </c>
      <c r="Q369" s="137">
        <f t="shared" si="39"/>
        <v>5600</v>
      </c>
      <c r="R369" s="133"/>
      <c r="S369" s="138">
        <v>45585.618055555555</v>
      </c>
      <c r="T369" s="133" t="s">
        <v>657</v>
      </c>
      <c r="U369" s="139" t="str">
        <f t="shared" si="35"/>
        <v>_driedflower_labelled_BC_BURB</v>
      </c>
      <c r="V369" s="140" t="str">
        <f>IF(U369="_","",_xlfn.XLOOKUP(U369,internal_cansku_inventory!D:D,internal_cansku_inventory!E:E,"",0,1))</f>
        <v/>
      </c>
    </row>
    <row r="370" spans="1:22" ht="12.45" customHeight="1">
      <c r="A370" s="132">
        <v>414</v>
      </c>
      <c r="B370" s="132">
        <v>0</v>
      </c>
      <c r="C370" s="132" t="str">
        <f>Table1[[#This Row],[inventory_id_head]]&amp;"-"&amp;Table1[[#This Row],[inventory_id_tail]]</f>
        <v>414-0</v>
      </c>
      <c r="D370" s="133" t="s">
        <v>653</v>
      </c>
      <c r="E370" s="133" t="s">
        <v>1155</v>
      </c>
      <c r="F370" s="133" t="s">
        <v>655</v>
      </c>
      <c r="G370" s="133" t="str">
        <f t="shared" si="38"/>
        <v>T041DFNA</v>
      </c>
      <c r="H370" s="133" t="s">
        <v>428</v>
      </c>
      <c r="I370" s="133"/>
      <c r="J370" s="133">
        <v>2024092001</v>
      </c>
      <c r="K370" s="134">
        <v>45581</v>
      </c>
      <c r="L370" s="148">
        <v>400</v>
      </c>
      <c r="M370" s="133" t="s">
        <v>858</v>
      </c>
      <c r="N370" s="136">
        <v>14</v>
      </c>
      <c r="O370" s="136">
        <v>0</v>
      </c>
      <c r="P370" s="136">
        <v>0</v>
      </c>
      <c r="Q370" s="137">
        <f t="shared" si="39"/>
        <v>5600</v>
      </c>
      <c r="R370" s="133"/>
      <c r="S370" s="138">
        <v>45585.618055555555</v>
      </c>
      <c r="T370" s="133" t="s">
        <v>657</v>
      </c>
      <c r="U370" s="139" t="str">
        <f t="shared" si="35"/>
        <v>_driedflower_labelled_BC_BURB</v>
      </c>
      <c r="V370" s="140" t="str">
        <f>IF(U370="_","",_xlfn.XLOOKUP(U370,internal_cansku_inventory!D:D,internal_cansku_inventory!E:E,"",0,1))</f>
        <v/>
      </c>
    </row>
    <row r="371" spans="1:22" ht="12.45" customHeight="1">
      <c r="A371" s="132">
        <v>415</v>
      </c>
      <c r="B371" s="132">
        <v>0</v>
      </c>
      <c r="C371" s="132" t="str">
        <f>Table1[[#This Row],[inventory_id_head]]&amp;"-"&amp;Table1[[#This Row],[inventory_id_tail]]</f>
        <v>415-0</v>
      </c>
      <c r="D371" s="133" t="s">
        <v>653</v>
      </c>
      <c r="E371" s="133" t="s">
        <v>1156</v>
      </c>
      <c r="F371" s="133" t="s">
        <v>655</v>
      </c>
      <c r="G371" s="133" t="str">
        <f t="shared" si="38"/>
        <v>T042DFNA</v>
      </c>
      <c r="H371" s="133" t="s">
        <v>428</v>
      </c>
      <c r="I371" s="133"/>
      <c r="J371" s="133">
        <v>2024092002</v>
      </c>
      <c r="K371" s="134">
        <v>45581</v>
      </c>
      <c r="L371" s="148">
        <v>349</v>
      </c>
      <c r="M371" s="133" t="s">
        <v>858</v>
      </c>
      <c r="N371" s="136">
        <v>14</v>
      </c>
      <c r="O371" s="136">
        <v>0</v>
      </c>
      <c r="P371" s="136">
        <v>0</v>
      </c>
      <c r="Q371" s="137">
        <f t="shared" si="39"/>
        <v>4886</v>
      </c>
      <c r="R371" s="133"/>
      <c r="S371" s="138">
        <v>45585.618055555555</v>
      </c>
      <c r="T371" s="133" t="s">
        <v>657</v>
      </c>
      <c r="U371" s="139" t="str">
        <f t="shared" si="35"/>
        <v>_driedflower_labelled_BC_BURB</v>
      </c>
      <c r="V371" s="140" t="str">
        <f>IF(U371="_","",_xlfn.XLOOKUP(U371,internal_cansku_inventory!D:D,internal_cansku_inventory!E:E,"",0,1))</f>
        <v/>
      </c>
    </row>
    <row r="372" spans="1:22" ht="12.45" customHeight="1">
      <c r="A372" s="132">
        <v>416</v>
      </c>
      <c r="B372" s="132">
        <v>0</v>
      </c>
      <c r="C372" s="132" t="str">
        <f>Table1[[#This Row],[inventory_id_head]]&amp;"-"&amp;Table1[[#This Row],[inventory_id_tail]]</f>
        <v>416-0</v>
      </c>
      <c r="D372" s="133" t="s">
        <v>653</v>
      </c>
      <c r="E372" s="133" t="s">
        <v>1158</v>
      </c>
      <c r="F372" s="133" t="s">
        <v>655</v>
      </c>
      <c r="G372" s="133" t="str">
        <f t="shared" si="38"/>
        <v>T043DFNA</v>
      </c>
      <c r="H372" s="133" t="s">
        <v>428</v>
      </c>
      <c r="I372" s="133"/>
      <c r="J372" s="133">
        <v>2024092002</v>
      </c>
      <c r="K372" s="134">
        <v>45581</v>
      </c>
      <c r="L372" s="148">
        <v>400</v>
      </c>
      <c r="M372" s="133" t="s">
        <v>858</v>
      </c>
      <c r="N372" s="136">
        <v>14</v>
      </c>
      <c r="O372" s="136">
        <v>0</v>
      </c>
      <c r="P372" s="136">
        <v>0</v>
      </c>
      <c r="Q372" s="137">
        <f t="shared" si="39"/>
        <v>5600</v>
      </c>
      <c r="R372" s="133"/>
      <c r="S372" s="138">
        <v>45585.618055555555</v>
      </c>
      <c r="T372" s="133" t="s">
        <v>657</v>
      </c>
      <c r="U372" s="139" t="str">
        <f t="shared" si="35"/>
        <v>_driedflower_labelled_BC_BURB</v>
      </c>
      <c r="V372" s="140" t="str">
        <f>IF(U372="_","",_xlfn.XLOOKUP(U372,internal_cansku_inventory!D:D,internal_cansku_inventory!E:E,"",0,1))</f>
        <v/>
      </c>
    </row>
    <row r="373" spans="1:22" ht="12.45" customHeight="1">
      <c r="A373" s="132">
        <v>417</v>
      </c>
      <c r="B373" s="132">
        <v>0</v>
      </c>
      <c r="C373" s="132" t="str">
        <f>Table1[[#This Row],[inventory_id_head]]&amp;"-"&amp;Table1[[#This Row],[inventory_id_tail]]</f>
        <v>417-0</v>
      </c>
      <c r="D373" s="133" t="s">
        <v>653</v>
      </c>
      <c r="E373" s="133" t="s">
        <v>1159</v>
      </c>
      <c r="F373" s="133" t="s">
        <v>655</v>
      </c>
      <c r="G373" s="133" t="str">
        <f t="shared" si="38"/>
        <v>T044DFNA</v>
      </c>
      <c r="H373" s="133" t="s">
        <v>428</v>
      </c>
      <c r="I373" s="133"/>
      <c r="J373" s="133">
        <v>2024092002</v>
      </c>
      <c r="K373" s="134">
        <v>45581</v>
      </c>
      <c r="L373" s="148">
        <v>400</v>
      </c>
      <c r="M373" s="133" t="s">
        <v>858</v>
      </c>
      <c r="N373" s="136">
        <v>14</v>
      </c>
      <c r="O373" s="136">
        <v>0</v>
      </c>
      <c r="P373" s="136">
        <v>0</v>
      </c>
      <c r="Q373" s="137">
        <f t="shared" si="39"/>
        <v>5600</v>
      </c>
      <c r="R373" s="133"/>
      <c r="S373" s="138">
        <v>45585.625694444447</v>
      </c>
      <c r="T373" s="133" t="s">
        <v>657</v>
      </c>
      <c r="U373" s="139" t="str">
        <f t="shared" si="35"/>
        <v>_driedflower_labelled_BC_BURB</v>
      </c>
      <c r="V373" s="140" t="str">
        <f>IF(U373="_","",_xlfn.XLOOKUP(U373,internal_cansku_inventory!D:D,internal_cansku_inventory!E:E,"",0,1))</f>
        <v/>
      </c>
    </row>
    <row r="374" spans="1:22" ht="12.45" customHeight="1">
      <c r="A374" s="132">
        <v>418</v>
      </c>
      <c r="B374" s="132">
        <v>0</v>
      </c>
      <c r="C374" s="132" t="str">
        <f>Table1[[#This Row],[inventory_id_head]]&amp;"-"&amp;Table1[[#This Row],[inventory_id_tail]]</f>
        <v>418-0</v>
      </c>
      <c r="D374" s="133" t="s">
        <v>653</v>
      </c>
      <c r="E374" s="133" t="s">
        <v>1160</v>
      </c>
      <c r="F374" s="133" t="s">
        <v>655</v>
      </c>
      <c r="G374" s="133" t="str">
        <f t="shared" si="38"/>
        <v>T045DFNA</v>
      </c>
      <c r="H374" s="133" t="s">
        <v>428</v>
      </c>
      <c r="I374" s="133"/>
      <c r="J374" s="133">
        <v>2024092003</v>
      </c>
      <c r="K374" s="134">
        <v>45581</v>
      </c>
      <c r="L374" s="148">
        <v>411</v>
      </c>
      <c r="M374" s="133" t="s">
        <v>858</v>
      </c>
      <c r="N374" s="136">
        <v>14</v>
      </c>
      <c r="O374" s="136">
        <v>0</v>
      </c>
      <c r="P374" s="136">
        <v>0</v>
      </c>
      <c r="Q374" s="137">
        <f t="shared" si="39"/>
        <v>5754</v>
      </c>
      <c r="R374" s="133"/>
      <c r="S374" s="138">
        <v>45585.656944444447</v>
      </c>
      <c r="T374" s="133" t="s">
        <v>657</v>
      </c>
      <c r="U374" s="139" t="str">
        <f t="shared" si="35"/>
        <v>_driedflower_labelled_BC_BURB</v>
      </c>
      <c r="V374" s="140" t="str">
        <f>IF(U374="_","",_xlfn.XLOOKUP(U374,internal_cansku_inventory!D:D,internal_cansku_inventory!E:E,"",0,1))</f>
        <v/>
      </c>
    </row>
    <row r="375" spans="1:22" ht="12.45" customHeight="1">
      <c r="A375" s="132">
        <v>419</v>
      </c>
      <c r="B375" s="132">
        <v>0</v>
      </c>
      <c r="C375" s="132" t="str">
        <f>Table1[[#This Row],[inventory_id_head]]&amp;"-"&amp;Table1[[#This Row],[inventory_id_tail]]</f>
        <v>419-0</v>
      </c>
      <c r="D375" s="133" t="s">
        <v>653</v>
      </c>
      <c r="E375" s="133" t="s">
        <v>1161</v>
      </c>
      <c r="F375" s="133" t="s">
        <v>655</v>
      </c>
      <c r="G375" s="133" t="str">
        <f t="shared" si="38"/>
        <v>T008TPNA</v>
      </c>
      <c r="H375" s="133" t="s">
        <v>851</v>
      </c>
      <c r="I375" s="133"/>
      <c r="J375" s="133" t="s">
        <v>1131</v>
      </c>
      <c r="K375" s="134">
        <v>45569</v>
      </c>
      <c r="L375" s="148">
        <v>362</v>
      </c>
      <c r="M375" s="133" t="s">
        <v>858</v>
      </c>
      <c r="N375" s="136">
        <v>88</v>
      </c>
      <c r="O375" s="136">
        <v>0</v>
      </c>
      <c r="P375" s="136">
        <v>0</v>
      </c>
      <c r="Q375" s="137">
        <f t="shared" si="39"/>
        <v>31856</v>
      </c>
      <c r="R375" s="133"/>
      <c r="S375" s="138">
        <v>45586.586805555555</v>
      </c>
      <c r="T375" s="133" t="s">
        <v>657</v>
      </c>
      <c r="U375" s="139" t="str">
        <f t="shared" si="35"/>
        <v>_topical_labelled</v>
      </c>
      <c r="V375" s="140" t="str">
        <f>IF(U375="_","",_xlfn.XLOOKUP(U375,internal_cansku_inventory!D:D,internal_cansku_inventory!E:E,"",0,1))</f>
        <v/>
      </c>
    </row>
    <row r="376" spans="1:22" ht="12.45" customHeight="1">
      <c r="A376" s="132">
        <v>421</v>
      </c>
      <c r="B376" s="132">
        <v>0</v>
      </c>
      <c r="C376" s="132" t="str">
        <f>Table1[[#This Row],[inventory_id_head]]&amp;"-"&amp;Table1[[#This Row],[inventory_id_tail]]</f>
        <v>421-0</v>
      </c>
      <c r="D376" s="133" t="s">
        <v>653</v>
      </c>
      <c r="E376" s="133" t="s">
        <v>655</v>
      </c>
      <c r="F376" s="133" t="s">
        <v>655</v>
      </c>
      <c r="G376" s="133" t="str">
        <f t="shared" si="38"/>
        <v>NANA</v>
      </c>
      <c r="H376" s="133" t="s">
        <v>413</v>
      </c>
      <c r="I376" s="133"/>
      <c r="J376" s="133" t="s">
        <v>1162</v>
      </c>
      <c r="K376" s="134" t="s">
        <v>655</v>
      </c>
      <c r="L376" s="148">
        <v>63</v>
      </c>
      <c r="M376" s="133" t="s">
        <v>858</v>
      </c>
      <c r="N376" s="136">
        <v>27.5</v>
      </c>
      <c r="O376" s="136">
        <v>0</v>
      </c>
      <c r="P376" s="136">
        <v>0</v>
      </c>
      <c r="Q376" s="137">
        <f t="shared" si="39"/>
        <v>1732.5</v>
      </c>
      <c r="R376" s="133"/>
      <c r="S376" s="138">
        <v>45586.647916666669</v>
      </c>
      <c r="T376" s="133" t="s">
        <v>657</v>
      </c>
      <c r="U376" s="139" t="str">
        <f t="shared" si="35"/>
        <v>_extract_ingested_packaged</v>
      </c>
      <c r="V376" s="140" t="str">
        <f>IF(U376="_","",_xlfn.XLOOKUP(U376,internal_cansku_inventory!D:D,internal_cansku_inventory!E:E,"",0,1))</f>
        <v/>
      </c>
    </row>
    <row r="377" spans="1:22" ht="12.45" customHeight="1">
      <c r="A377" s="132">
        <v>422</v>
      </c>
      <c r="B377" s="132">
        <v>0</v>
      </c>
      <c r="C377" s="132" t="str">
        <f>Table1[[#This Row],[inventory_id_head]]&amp;"-"&amp;Table1[[#This Row],[inventory_id_tail]]</f>
        <v>422-0</v>
      </c>
      <c r="D377" s="133" t="s">
        <v>653</v>
      </c>
      <c r="E377" s="133" t="s">
        <v>655</v>
      </c>
      <c r="F377" s="133" t="s">
        <v>655</v>
      </c>
      <c r="G377" s="133" t="str">
        <f t="shared" si="38"/>
        <v>NANA</v>
      </c>
      <c r="H377" s="133" t="s">
        <v>413</v>
      </c>
      <c r="I377" s="133"/>
      <c r="J377" s="133" t="s">
        <v>1162</v>
      </c>
      <c r="K377" s="134" t="s">
        <v>655</v>
      </c>
      <c r="L377" s="148">
        <v>18</v>
      </c>
      <c r="M377" s="133" t="s">
        <v>858</v>
      </c>
      <c r="N377" s="136">
        <v>27.5</v>
      </c>
      <c r="O377" s="136">
        <v>0</v>
      </c>
      <c r="P377" s="136">
        <v>0</v>
      </c>
      <c r="Q377" s="137">
        <f t="shared" si="39"/>
        <v>495</v>
      </c>
      <c r="R377" s="133"/>
      <c r="S377" s="138">
        <v>45586.647916666669</v>
      </c>
      <c r="T377" s="133" t="s">
        <v>657</v>
      </c>
      <c r="U377" s="139" t="str">
        <f t="shared" si="35"/>
        <v>_extract_ingested_packaged</v>
      </c>
      <c r="V377" s="140" t="str">
        <f>IF(U377="_","",_xlfn.XLOOKUP(U377,internal_cansku_inventory!D:D,internal_cansku_inventory!E:E,"",0,1))</f>
        <v/>
      </c>
    </row>
    <row r="378" spans="1:22" ht="12.45" customHeight="1">
      <c r="A378" s="132">
        <v>407</v>
      </c>
      <c r="B378" s="132">
        <v>0</v>
      </c>
      <c r="C378" s="132" t="str">
        <f>Table1[[#This Row],[inventory_id_head]]&amp;"-"&amp;Table1[[#This Row],[inventory_id_tail]]</f>
        <v>407-0</v>
      </c>
      <c r="D378" s="133" t="s">
        <v>680</v>
      </c>
      <c r="E378" s="133" t="s">
        <v>655</v>
      </c>
      <c r="F378" s="133" t="s">
        <v>655</v>
      </c>
      <c r="G378" s="133" t="str">
        <f t="shared" si="38"/>
        <v>NANA</v>
      </c>
      <c r="H378" s="133" t="s">
        <v>365</v>
      </c>
      <c r="I378" s="133"/>
      <c r="J378" s="133">
        <v>2024101703</v>
      </c>
      <c r="K378" s="134" t="s">
        <v>655</v>
      </c>
      <c r="L378" s="148">
        <v>1</v>
      </c>
      <c r="M378" s="133" t="s">
        <v>858</v>
      </c>
      <c r="N378" s="136">
        <f>O378-P378</f>
        <v>2988</v>
      </c>
      <c r="O378" s="136">
        <v>3080</v>
      </c>
      <c r="P378" s="136">
        <v>92</v>
      </c>
      <c r="Q378" s="137">
        <f t="shared" si="39"/>
        <v>2988</v>
      </c>
      <c r="R378" s="133" t="s">
        <v>1163</v>
      </c>
      <c r="S378" s="138">
        <v>45586.717361111114</v>
      </c>
      <c r="T378" s="133" t="s">
        <v>978</v>
      </c>
      <c r="U378" s="139" t="str">
        <f t="shared" si="35"/>
        <v>_driedflower_bulk</v>
      </c>
      <c r="V378" s="140" t="str">
        <f>IF(U378="_","",_xlfn.XLOOKUP(U378,internal_cansku_inventory!D:D,internal_cansku_inventory!E:E,"",0,1))</f>
        <v/>
      </c>
    </row>
    <row r="379" spans="1:22" ht="12.45" customHeight="1">
      <c r="A379" s="132">
        <v>424</v>
      </c>
      <c r="B379" s="132">
        <v>0</v>
      </c>
      <c r="C379" s="132" t="str">
        <f>Table1[[#This Row],[inventory_id_head]]&amp;"-"&amp;Table1[[#This Row],[inventory_id_tail]]</f>
        <v>424-0</v>
      </c>
      <c r="D379" s="133" t="s">
        <v>680</v>
      </c>
      <c r="E379" s="133" t="s">
        <v>1164</v>
      </c>
      <c r="F379" s="133" t="s">
        <v>655</v>
      </c>
      <c r="G379" s="133" t="str">
        <f t="shared" si="38"/>
        <v>J014EXNA</v>
      </c>
      <c r="H379" s="133" t="s">
        <v>358</v>
      </c>
      <c r="I379" s="133"/>
      <c r="J379" s="133" t="s">
        <v>1166</v>
      </c>
      <c r="K379" s="134" t="s">
        <v>655</v>
      </c>
      <c r="L379" s="148">
        <v>1</v>
      </c>
      <c r="M379" s="133" t="s">
        <v>967</v>
      </c>
      <c r="N379" s="136">
        <f>O379-P379</f>
        <v>234.49999999999994</v>
      </c>
      <c r="O379" s="136">
        <v>543.04</v>
      </c>
      <c r="P379" s="136">
        <v>308.54000000000002</v>
      </c>
      <c r="Q379" s="137">
        <f t="shared" si="39"/>
        <v>234.49999999999994</v>
      </c>
      <c r="R379" s="133"/>
      <c r="S379" s="138">
        <v>45587.529166666667</v>
      </c>
      <c r="T379" s="133" t="s">
        <v>978</v>
      </c>
      <c r="U379" s="139" t="str">
        <f t="shared" si="35"/>
        <v>_extract_inhaled_bulk</v>
      </c>
      <c r="V379" s="140" t="str">
        <f>IF(U379="_","",_xlfn.XLOOKUP(U379,internal_cansku_inventory!D:D,internal_cansku_inventory!E:E,"",0,1))</f>
        <v/>
      </c>
    </row>
    <row r="380" spans="1:22" ht="12.45" customHeight="1">
      <c r="A380" s="132">
        <v>425</v>
      </c>
      <c r="B380" s="132">
        <v>0</v>
      </c>
      <c r="C380" s="132" t="str">
        <f>Table1[[#This Row],[inventory_id_head]]&amp;"-"&amp;Table1[[#This Row],[inventory_id_tail]]</f>
        <v>425-0</v>
      </c>
      <c r="D380" s="133" t="s">
        <v>680</v>
      </c>
      <c r="E380" s="133" t="s">
        <v>1094</v>
      </c>
      <c r="F380" s="133" t="s">
        <v>655</v>
      </c>
      <c r="G380" s="133" t="str">
        <f t="shared" si="38"/>
        <v>J015EXNA</v>
      </c>
      <c r="H380" s="133" t="s">
        <v>358</v>
      </c>
      <c r="I380" s="133"/>
      <c r="J380" s="133" t="s">
        <v>1166</v>
      </c>
      <c r="K380" s="134" t="s">
        <v>655</v>
      </c>
      <c r="L380" s="148">
        <v>1</v>
      </c>
      <c r="M380" s="133" t="s">
        <v>967</v>
      </c>
      <c r="N380" s="136">
        <f>O380-P380</f>
        <v>214.70000000000005</v>
      </c>
      <c r="O380" s="136">
        <v>523.6</v>
      </c>
      <c r="P380" s="136">
        <v>308.89999999999998</v>
      </c>
      <c r="Q380" s="137">
        <f t="shared" si="39"/>
        <v>214.70000000000005</v>
      </c>
      <c r="R380" s="133"/>
      <c r="S380" s="138">
        <v>45587.53402777778</v>
      </c>
      <c r="T380" s="133" t="s">
        <v>978</v>
      </c>
      <c r="U380" s="139" t="str">
        <f t="shared" si="35"/>
        <v>_extract_inhaled_bulk</v>
      </c>
      <c r="V380" s="140" t="str">
        <f>IF(U380="_","",_xlfn.XLOOKUP(U380,internal_cansku_inventory!D:D,internal_cansku_inventory!E:E,"",0,1))</f>
        <v/>
      </c>
    </row>
    <row r="381" spans="1:22" ht="12.45" customHeight="1">
      <c r="A381" s="132">
        <v>427</v>
      </c>
      <c r="B381" s="132">
        <v>0</v>
      </c>
      <c r="C381" s="132" t="str">
        <f>Table1[[#This Row],[inventory_id_head]]&amp;"-"&amp;Table1[[#This Row],[inventory_id_tail]]</f>
        <v>427-0</v>
      </c>
      <c r="D381" s="133" t="s">
        <v>653</v>
      </c>
      <c r="E381" s="133" t="s">
        <v>1167</v>
      </c>
      <c r="F381" s="133" t="s">
        <v>655</v>
      </c>
      <c r="G381" s="133" t="str">
        <f t="shared" si="38"/>
        <v>T050PRNA</v>
      </c>
      <c r="H381" s="133" t="s">
        <v>375</v>
      </c>
      <c r="I381" s="133"/>
      <c r="J381" s="133" t="s">
        <v>1143</v>
      </c>
      <c r="K381" s="134" t="s">
        <v>655</v>
      </c>
      <c r="L381" s="148">
        <v>2</v>
      </c>
      <c r="M381" s="133" t="s">
        <v>858</v>
      </c>
      <c r="N381" s="136">
        <v>1</v>
      </c>
      <c r="O381" s="136">
        <v>0</v>
      </c>
      <c r="P381" s="136">
        <v>0</v>
      </c>
      <c r="Q381" s="137">
        <f t="shared" si="39"/>
        <v>2</v>
      </c>
      <c r="R381" s="133"/>
      <c r="S381" s="138">
        <v>45588.616666666669</v>
      </c>
      <c r="T381" s="133" t="s">
        <v>657</v>
      </c>
      <c r="U381" s="139" t="str">
        <f t="shared" si="35"/>
        <v>_preroll_packaged</v>
      </c>
      <c r="V381" s="140" t="str">
        <f>IF(U381="_","",_xlfn.XLOOKUP(U381,internal_cansku_inventory!D:D,internal_cansku_inventory!E:E,"",0,1))</f>
        <v/>
      </c>
    </row>
    <row r="382" spans="1:22" ht="12.45" customHeight="1">
      <c r="A382" s="132">
        <v>428</v>
      </c>
      <c r="B382" s="132">
        <v>0</v>
      </c>
      <c r="C382" s="132" t="str">
        <f>Table1[[#This Row],[inventory_id_head]]&amp;"-"&amp;Table1[[#This Row],[inventory_id_tail]]</f>
        <v>428-0</v>
      </c>
      <c r="D382" s="133" t="s">
        <v>653</v>
      </c>
      <c r="E382" s="133" t="s">
        <v>1168</v>
      </c>
      <c r="F382" s="133" t="s">
        <v>655</v>
      </c>
      <c r="G382" s="133" t="str">
        <f t="shared" si="38"/>
        <v>P010EXNA</v>
      </c>
      <c r="H382" s="133" t="s">
        <v>351</v>
      </c>
      <c r="I382" s="133"/>
      <c r="J382" s="133" t="s">
        <v>655</v>
      </c>
      <c r="K382" s="134" t="s">
        <v>655</v>
      </c>
      <c r="L382" s="148">
        <v>1</v>
      </c>
      <c r="M382" s="133" t="s">
        <v>994</v>
      </c>
      <c r="N382" s="136">
        <f>O382-P382</f>
        <v>15013</v>
      </c>
      <c r="O382" s="136">
        <v>16075</v>
      </c>
      <c r="P382" s="136">
        <v>1062</v>
      </c>
      <c r="Q382" s="137">
        <f t="shared" si="39"/>
        <v>15013</v>
      </c>
      <c r="R382" s="133"/>
      <c r="S382" s="138">
        <v>45589</v>
      </c>
      <c r="T382" s="133" t="s">
        <v>978</v>
      </c>
      <c r="U382" s="139" t="str">
        <f t="shared" si="35"/>
        <v>_extract_ingested_bulk</v>
      </c>
      <c r="V382" s="140" t="str">
        <f>IF(U382="_","",_xlfn.XLOOKUP(U382,internal_cansku_inventory!D:D,internal_cansku_inventory!E:E,"",0,1))</f>
        <v/>
      </c>
    </row>
    <row r="383" spans="1:22" ht="12.45" customHeight="1">
      <c r="A383" s="132">
        <v>430</v>
      </c>
      <c r="B383" s="132">
        <v>0</v>
      </c>
      <c r="C383" s="132" t="str">
        <f>Table1[[#This Row],[inventory_id_head]]&amp;"-"&amp;Table1[[#This Row],[inventory_id_tail]]</f>
        <v>430-0</v>
      </c>
      <c r="D383" s="133" t="s">
        <v>653</v>
      </c>
      <c r="E383" s="133" t="s">
        <v>1169</v>
      </c>
      <c r="F383" s="133" t="s">
        <v>655</v>
      </c>
      <c r="G383" s="133" t="str">
        <f t="shared" si="38"/>
        <v>T082EXNA</v>
      </c>
      <c r="H383" s="133" t="s">
        <v>328</v>
      </c>
      <c r="I383" s="133"/>
      <c r="J383" s="133" t="s">
        <v>1091</v>
      </c>
      <c r="K383" s="134">
        <v>45574</v>
      </c>
      <c r="L383" s="148">
        <v>43</v>
      </c>
      <c r="M383" s="133" t="s">
        <v>858</v>
      </c>
      <c r="N383" s="136">
        <v>0.5</v>
      </c>
      <c r="O383" s="136">
        <v>0</v>
      </c>
      <c r="P383" s="136">
        <v>0</v>
      </c>
      <c r="Q383" s="137">
        <f t="shared" si="39"/>
        <v>21.5</v>
      </c>
      <c r="R383" s="133"/>
      <c r="S383" s="138">
        <v>45589</v>
      </c>
      <c r="T383" s="133" t="s">
        <v>657</v>
      </c>
      <c r="U383" s="139" t="str">
        <f t="shared" si="35"/>
        <v>_extract_inhaled_labelled</v>
      </c>
      <c r="V383" s="140" t="str">
        <f>IF(U383="_","",_xlfn.XLOOKUP(U383,internal_cansku_inventory!D:D,internal_cansku_inventory!E:E,"",0,1))</f>
        <v/>
      </c>
    </row>
    <row r="384" spans="1:22" ht="12.45" customHeight="1">
      <c r="A384" s="132">
        <v>299</v>
      </c>
      <c r="B384" s="132">
        <v>0</v>
      </c>
      <c r="C384" s="132" t="str">
        <f>Table1[[#This Row],[inventory_id_head]]&amp;"-"&amp;Table1[[#This Row],[inventory_id_tail]]</f>
        <v>299-0</v>
      </c>
      <c r="D384" s="133" t="s">
        <v>680</v>
      </c>
      <c r="E384" s="133" t="s">
        <v>1170</v>
      </c>
      <c r="F384" s="133" t="s">
        <v>655</v>
      </c>
      <c r="G384" s="133" t="str">
        <f t="shared" si="38"/>
        <v>T033EXNA</v>
      </c>
      <c r="H384" s="133" t="s">
        <v>1028</v>
      </c>
      <c r="I384" s="133"/>
      <c r="J384" s="133" t="s">
        <v>1031</v>
      </c>
      <c r="K384" s="134">
        <v>45555</v>
      </c>
      <c r="L384" s="135">
        <v>117</v>
      </c>
      <c r="M384" s="133" t="s">
        <v>858</v>
      </c>
      <c r="N384" s="136">
        <v>0.5</v>
      </c>
      <c r="O384" s="136">
        <v>0</v>
      </c>
      <c r="P384" s="136">
        <v>0</v>
      </c>
      <c r="Q384" s="137">
        <f t="shared" si="39"/>
        <v>58.5</v>
      </c>
      <c r="R384" s="133"/>
      <c r="S384" s="138">
        <v>45593.658333333333</v>
      </c>
      <c r="T384" s="133" t="s">
        <v>657</v>
      </c>
      <c r="U384" s="139" t="str">
        <f t="shared" si="35"/>
        <v>_extract_inhaled_labelled</v>
      </c>
      <c r="V384" s="140" t="str">
        <f>IF(U384="_","",_xlfn.XLOOKUP(U384,internal_cansku_inventory!D:D,internal_cansku_inventory!E:E,"",0,1))</f>
        <v/>
      </c>
    </row>
    <row r="385" spans="1:22" ht="12.45" customHeight="1">
      <c r="A385" s="132">
        <v>431</v>
      </c>
      <c r="B385" s="132">
        <v>0</v>
      </c>
      <c r="C385" s="132" t="str">
        <f>Table1[[#This Row],[inventory_id_head]]&amp;"-"&amp;Table1[[#This Row],[inventory_id_tail]]</f>
        <v>431-0</v>
      </c>
      <c r="D385" s="133" t="s">
        <v>680</v>
      </c>
      <c r="E385" s="133" t="s">
        <v>1171</v>
      </c>
      <c r="F385" s="133" t="s">
        <v>655</v>
      </c>
      <c r="G385" s="133" t="str">
        <f t="shared" si="38"/>
        <v>T010TPNA</v>
      </c>
      <c r="H385" s="133" t="s">
        <v>303</v>
      </c>
      <c r="I385" s="133"/>
      <c r="J385" s="133" t="s">
        <v>1172</v>
      </c>
      <c r="K385" s="134">
        <v>45588</v>
      </c>
      <c r="L385" s="148">
        <v>458</v>
      </c>
      <c r="M385" s="133" t="s">
        <v>858</v>
      </c>
      <c r="N385" s="136">
        <v>88</v>
      </c>
      <c r="O385" s="136">
        <v>0</v>
      </c>
      <c r="P385" s="136">
        <v>0</v>
      </c>
      <c r="Q385" s="137">
        <f t="shared" si="39"/>
        <v>40304</v>
      </c>
      <c r="R385" s="133"/>
      <c r="S385" s="138">
        <v>45593.681250000001</v>
      </c>
      <c r="T385" s="133" t="s">
        <v>670</v>
      </c>
      <c r="U385" s="139" t="str">
        <f t="shared" si="35"/>
        <v>_topical_labelled</v>
      </c>
      <c r="V385" s="140" t="str">
        <f>IF(U385="_","",_xlfn.XLOOKUP(U385,internal_cansku_inventory!D:D,internal_cansku_inventory!E:E,"",0,1))</f>
        <v/>
      </c>
    </row>
    <row r="386" spans="1:22" ht="12.45" customHeight="1">
      <c r="A386" s="132">
        <v>23</v>
      </c>
      <c r="B386" s="132">
        <v>0</v>
      </c>
      <c r="C386" s="132" t="str">
        <f>Table1[[#This Row],[inventory_id_head]]&amp;"-"&amp;Table1[[#This Row],[inventory_id_tail]]</f>
        <v>23-0</v>
      </c>
      <c r="D386" s="133" t="s">
        <v>653</v>
      </c>
      <c r="E386" s="133" t="s">
        <v>721</v>
      </c>
      <c r="F386" s="133" t="s">
        <v>1173</v>
      </c>
      <c r="G386" s="133" t="str">
        <f t="shared" si="38"/>
        <v>T008DFB006DF</v>
      </c>
      <c r="H386" s="133" t="s">
        <v>720</v>
      </c>
      <c r="I386" s="133"/>
      <c r="J386" s="133" t="s">
        <v>723</v>
      </c>
      <c r="K386" s="134">
        <v>44686</v>
      </c>
      <c r="L386" s="135">
        <v>1</v>
      </c>
      <c r="M386" s="133" t="s">
        <v>673</v>
      </c>
      <c r="N386" s="136">
        <f>O386-P386</f>
        <v>255</v>
      </c>
      <c r="O386" s="136">
        <v>255</v>
      </c>
      <c r="P386" s="136">
        <v>0</v>
      </c>
      <c r="Q386" s="137">
        <f t="shared" si="39"/>
        <v>255</v>
      </c>
      <c r="R386" s="133"/>
      <c r="S386" s="138">
        <v>45597.505555555559</v>
      </c>
      <c r="T386" s="133" t="s">
        <v>664</v>
      </c>
      <c r="U386" s="139" t="str">
        <f t="shared" si="35"/>
        <v>_driedflower_bulk</v>
      </c>
      <c r="V386" s="140" t="str">
        <f>IF(U386="_","",_xlfn.XLOOKUP(U386,internal_cansku_inventory!D:D,internal_cansku_inventory!E:E,"",0,1))</f>
        <v/>
      </c>
    </row>
    <row r="387" spans="1:22" ht="12.45" customHeight="1">
      <c r="A387" s="132">
        <v>171</v>
      </c>
      <c r="B387" s="132">
        <v>0</v>
      </c>
      <c r="C387" s="132" t="str">
        <f>Table1[[#This Row],[inventory_id_head]]&amp;"-"&amp;Table1[[#This Row],[inventory_id_tail]]</f>
        <v>171-0</v>
      </c>
      <c r="D387" s="133" t="s">
        <v>653</v>
      </c>
      <c r="E387" s="133" t="s">
        <v>1174</v>
      </c>
      <c r="F387" s="133" t="s">
        <v>1175</v>
      </c>
      <c r="G387" s="133" t="str">
        <f t="shared" si="38"/>
        <v>T003DFB056DF</v>
      </c>
      <c r="H387" s="133" t="s">
        <v>704</v>
      </c>
      <c r="I387" s="133"/>
      <c r="J387" s="133" t="s">
        <v>1129</v>
      </c>
      <c r="K387" s="134" t="s">
        <v>655</v>
      </c>
      <c r="L387" s="135">
        <v>1</v>
      </c>
      <c r="M387" s="133" t="s">
        <v>1012</v>
      </c>
      <c r="N387" s="136">
        <f>O387-P387</f>
        <v>1574</v>
      </c>
      <c r="O387" s="136">
        <v>1920</v>
      </c>
      <c r="P387" s="136">
        <f>308+38</f>
        <v>346</v>
      </c>
      <c r="Q387" s="137">
        <f t="shared" si="39"/>
        <v>1574</v>
      </c>
      <c r="R387" s="133"/>
      <c r="S387" s="138">
        <v>45600.654166666667</v>
      </c>
      <c r="T387" s="133" t="s">
        <v>664</v>
      </c>
      <c r="U387" s="139" t="str">
        <f t="shared" si="35"/>
        <v>_driedflower_milled_bulk</v>
      </c>
      <c r="V387" s="140" t="str">
        <f>IF(U387="_","",_xlfn.XLOOKUP(U387,internal_cansku_inventory!D:D,internal_cansku_inventory!E:E,"",0,1))</f>
        <v/>
      </c>
    </row>
    <row r="388" spans="1:22" ht="12.45" customHeight="1">
      <c r="A388" s="132">
        <v>433</v>
      </c>
      <c r="B388" s="132">
        <v>0</v>
      </c>
      <c r="C388" s="132" t="str">
        <f>Table1[[#This Row],[inventory_id_head]]&amp;"-"&amp;Table1[[#This Row],[inventory_id_tail]]</f>
        <v>433-0</v>
      </c>
      <c r="D388" s="133" t="s">
        <v>680</v>
      </c>
      <c r="E388" s="133" t="s">
        <v>1176</v>
      </c>
      <c r="F388" s="133" t="s">
        <v>655</v>
      </c>
      <c r="G388" s="133" t="str">
        <f t="shared" si="38"/>
        <v>J017EXNA</v>
      </c>
      <c r="H388" s="133" t="s">
        <v>358</v>
      </c>
      <c r="I388" s="133"/>
      <c r="J388" s="133" t="s">
        <v>1177</v>
      </c>
      <c r="K388" s="134" t="s">
        <v>655</v>
      </c>
      <c r="L388" s="148">
        <v>1</v>
      </c>
      <c r="M388" s="133" t="s">
        <v>858</v>
      </c>
      <c r="N388" s="136">
        <f>O388-P388</f>
        <v>279.69</v>
      </c>
      <c r="O388" s="136">
        <v>588.61</v>
      </c>
      <c r="P388" s="136">
        <v>308.92</v>
      </c>
      <c r="Q388" s="137">
        <f t="shared" si="39"/>
        <v>279.69</v>
      </c>
      <c r="R388" s="133"/>
      <c r="S388" s="138">
        <v>45600.658333333333</v>
      </c>
      <c r="T388" s="133" t="s">
        <v>978</v>
      </c>
      <c r="U388" s="139" t="str">
        <f t="shared" si="35"/>
        <v>_extract_inhaled_bulk</v>
      </c>
      <c r="V388" s="140" t="str">
        <f>IF(U388="_","",_xlfn.XLOOKUP(U388,internal_cansku_inventory!D:D,internal_cansku_inventory!E:E,"",0,1))</f>
        <v/>
      </c>
    </row>
    <row r="389" spans="1:22" ht="12.45" customHeight="1">
      <c r="A389" s="132">
        <v>444</v>
      </c>
      <c r="B389" s="132">
        <v>0</v>
      </c>
      <c r="C389" s="132" t="str">
        <f>Table1[[#This Row],[inventory_id_head]]&amp;"-"&amp;Table1[[#This Row],[inventory_id_tail]]</f>
        <v>444-0</v>
      </c>
      <c r="D389" s="133" t="s">
        <v>653</v>
      </c>
      <c r="E389" s="133" t="s">
        <v>1178</v>
      </c>
      <c r="F389" s="133" t="s">
        <v>55</v>
      </c>
      <c r="G389" s="133" t="str">
        <f t="shared" si="38"/>
        <v>T048DFNA</v>
      </c>
      <c r="H389" s="133" t="s">
        <v>308</v>
      </c>
      <c r="I389" s="133"/>
      <c r="J389" s="133" t="s">
        <v>1179</v>
      </c>
      <c r="K389" s="134">
        <v>45597</v>
      </c>
      <c r="L389" s="148">
        <v>36</v>
      </c>
      <c r="M389" s="133" t="s">
        <v>644</v>
      </c>
      <c r="N389" s="136">
        <f>12*0.35</f>
        <v>4.1999999999999993</v>
      </c>
      <c r="O389" s="136">
        <v>0</v>
      </c>
      <c r="P389" s="136">
        <v>0</v>
      </c>
      <c r="Q389" s="137">
        <f t="shared" si="39"/>
        <v>151.19999999999999</v>
      </c>
      <c r="R389" s="133"/>
      <c r="S389" s="138">
        <v>45600.661805555559</v>
      </c>
      <c r="T389" s="133" t="s">
        <v>657</v>
      </c>
      <c r="U389" s="139" t="str">
        <f>I379&amp;"_"&amp;H389</f>
        <v>_preroll_labelled</v>
      </c>
      <c r="V389" s="140" t="str">
        <f>IF(U389="_","",_xlfn.XLOOKUP(U389,internal_cansku_inventory!D:D,internal_cansku_inventory!E:E,"",0,1))</f>
        <v/>
      </c>
    </row>
    <row r="390" spans="1:22" ht="12.45" customHeight="1">
      <c r="A390" s="132">
        <v>446</v>
      </c>
      <c r="B390" s="132">
        <v>0</v>
      </c>
      <c r="C390" s="132" t="str">
        <f>Table1[[#This Row],[inventory_id_head]]&amp;"-"&amp;Table1[[#This Row],[inventory_id_tail]]</f>
        <v>446-0</v>
      </c>
      <c r="D390" s="133" t="s">
        <v>653</v>
      </c>
      <c r="E390" s="133" t="s">
        <v>1180</v>
      </c>
      <c r="F390" s="133" t="s">
        <v>655</v>
      </c>
      <c r="G390" s="133" t="str">
        <f t="shared" si="38"/>
        <v>T084EXNA</v>
      </c>
      <c r="H390" s="133" t="s">
        <v>304</v>
      </c>
      <c r="I390" s="133"/>
      <c r="J390" s="133" t="s">
        <v>1181</v>
      </c>
      <c r="K390" s="134">
        <v>45588</v>
      </c>
      <c r="L390" s="148">
        <v>84</v>
      </c>
      <c r="M390" s="133" t="s">
        <v>644</v>
      </c>
      <c r="N390" s="136">
        <v>27.6</v>
      </c>
      <c r="O390" s="136">
        <v>0</v>
      </c>
      <c r="P390" s="136">
        <v>0</v>
      </c>
      <c r="Q390" s="137">
        <f t="shared" si="39"/>
        <v>2318.4</v>
      </c>
      <c r="R390" s="133"/>
      <c r="S390" s="138">
        <v>45600.661805555559</v>
      </c>
      <c r="T390" s="133" t="s">
        <v>657</v>
      </c>
      <c r="U390" s="139" t="str">
        <f t="shared" ref="U390:U453" si="40">I390&amp;"_"&amp;H390</f>
        <v>_extract_ingested_labelled</v>
      </c>
      <c r="V390" s="140" t="str">
        <f>IF(U390="_","",_xlfn.XLOOKUP(U390,internal_cansku_inventory!D:D,internal_cansku_inventory!E:E,"",0,1))</f>
        <v/>
      </c>
    </row>
    <row r="391" spans="1:22" ht="12.45" customHeight="1">
      <c r="A391" s="132">
        <v>447</v>
      </c>
      <c r="B391" s="132">
        <v>0</v>
      </c>
      <c r="C391" s="132" t="str">
        <f>Table1[[#This Row],[inventory_id_head]]&amp;"-"&amp;Table1[[#This Row],[inventory_id_tail]]</f>
        <v>447-0</v>
      </c>
      <c r="D391" s="153" t="s">
        <v>680</v>
      </c>
      <c r="E391" s="133" t="s">
        <v>1182</v>
      </c>
      <c r="F391" s="133" t="s">
        <v>655</v>
      </c>
      <c r="G391" s="133" t="str">
        <f t="shared" ref="G391:G422" si="41">E391&amp;F391</f>
        <v>T085EXNA</v>
      </c>
      <c r="H391" s="133" t="s">
        <v>304</v>
      </c>
      <c r="I391" s="133"/>
      <c r="J391" s="133" t="s">
        <v>1183</v>
      </c>
      <c r="K391" s="134">
        <v>45590</v>
      </c>
      <c r="L391" s="148">
        <v>84</v>
      </c>
      <c r="M391" s="133" t="s">
        <v>644</v>
      </c>
      <c r="N391" s="136">
        <v>27.3</v>
      </c>
      <c r="O391" s="136">
        <v>0</v>
      </c>
      <c r="P391" s="136">
        <v>0</v>
      </c>
      <c r="Q391" s="137">
        <f t="shared" si="39"/>
        <v>2293.2000000000003</v>
      </c>
      <c r="R391" s="133"/>
      <c r="S391" s="138">
        <v>45600.675694444442</v>
      </c>
      <c r="T391" s="133" t="s">
        <v>657</v>
      </c>
      <c r="U391" s="139" t="str">
        <f t="shared" si="40"/>
        <v>_extract_ingested_labelled</v>
      </c>
      <c r="V391" s="140" t="str">
        <f>IF(U391="_","",_xlfn.XLOOKUP(U391,internal_cansku_inventory!D:D,internal_cansku_inventory!E:E,"",0,1))</f>
        <v/>
      </c>
    </row>
    <row r="392" spans="1:22" ht="12.45" customHeight="1">
      <c r="A392" s="132">
        <v>450</v>
      </c>
      <c r="B392" s="132">
        <v>0</v>
      </c>
      <c r="C392" s="132" t="str">
        <f>Table1[[#This Row],[inventory_id_head]]&amp;"-"&amp;Table1[[#This Row],[inventory_id_tail]]</f>
        <v>450-0</v>
      </c>
      <c r="D392" s="153" t="s">
        <v>680</v>
      </c>
      <c r="E392" s="133" t="s">
        <v>1184</v>
      </c>
      <c r="F392" s="133" t="s">
        <v>655</v>
      </c>
      <c r="G392" s="133" t="str">
        <f t="shared" si="41"/>
        <v>T088EXNA</v>
      </c>
      <c r="H392" s="133" t="s">
        <v>328</v>
      </c>
      <c r="I392" s="133"/>
      <c r="J392" s="133" t="s">
        <v>1091</v>
      </c>
      <c r="K392" s="134">
        <v>45588</v>
      </c>
      <c r="L392" s="148">
        <v>120</v>
      </c>
      <c r="M392" s="133" t="s">
        <v>644</v>
      </c>
      <c r="N392" s="136">
        <v>0.5</v>
      </c>
      <c r="O392" s="136">
        <v>0</v>
      </c>
      <c r="P392" s="136">
        <v>0</v>
      </c>
      <c r="Q392" s="137">
        <f t="shared" si="39"/>
        <v>60</v>
      </c>
      <c r="R392" s="133"/>
      <c r="S392" s="138">
        <v>45600.685416666667</v>
      </c>
      <c r="T392" s="133" t="s">
        <v>657</v>
      </c>
      <c r="U392" s="139" t="str">
        <f t="shared" si="40"/>
        <v>_extract_inhaled_labelled</v>
      </c>
      <c r="V392" s="140" t="str">
        <f>IF(U392="_","",_xlfn.XLOOKUP(U392,internal_cansku_inventory!D:D,internal_cansku_inventory!E:E,"",0,1))</f>
        <v/>
      </c>
    </row>
    <row r="393" spans="1:22" ht="12.45" customHeight="1">
      <c r="A393" s="132">
        <v>451</v>
      </c>
      <c r="B393" s="132">
        <v>0</v>
      </c>
      <c r="C393" s="132" t="str">
        <f>Table1[[#This Row],[inventory_id_head]]&amp;"-"&amp;Table1[[#This Row],[inventory_id_tail]]</f>
        <v>451-0</v>
      </c>
      <c r="D393" s="153" t="s">
        <v>680</v>
      </c>
      <c r="E393" s="133" t="s">
        <v>1178</v>
      </c>
      <c r="F393" s="133" t="s">
        <v>655</v>
      </c>
      <c r="G393" s="133" t="str">
        <f t="shared" si="41"/>
        <v>T048DFNA</v>
      </c>
      <c r="H393" s="133" t="s">
        <v>368</v>
      </c>
      <c r="I393" s="133"/>
      <c r="J393" s="133" t="s">
        <v>1185</v>
      </c>
      <c r="K393" s="134" t="s">
        <v>655</v>
      </c>
      <c r="L393" s="148">
        <v>45</v>
      </c>
      <c r="M393" s="133" t="s">
        <v>644</v>
      </c>
      <c r="N393" s="136">
        <v>0.35</v>
      </c>
      <c r="O393" s="136">
        <v>0</v>
      </c>
      <c r="P393" s="136">
        <v>0</v>
      </c>
      <c r="Q393" s="137">
        <f t="shared" si="39"/>
        <v>15.749999999999998</v>
      </c>
      <c r="R393" s="133"/>
      <c r="S393" s="138">
        <v>45600.693055555559</v>
      </c>
      <c r="T393" s="133" t="s">
        <v>657</v>
      </c>
      <c r="U393" s="139" t="str">
        <f t="shared" si="40"/>
        <v>_preroll_bulk</v>
      </c>
      <c r="V393" s="140" t="str">
        <f>IF(U393="_","",_xlfn.XLOOKUP(U393,internal_cansku_inventory!D:D,internal_cansku_inventory!E:E,"",0,1))</f>
        <v/>
      </c>
    </row>
    <row r="394" spans="1:22" ht="12.45" customHeight="1">
      <c r="A394" s="132">
        <v>452</v>
      </c>
      <c r="B394" s="132">
        <v>0</v>
      </c>
      <c r="C394" s="132" t="str">
        <f>Table1[[#This Row],[inventory_id_head]]&amp;"-"&amp;Table1[[#This Row],[inventory_id_tail]]</f>
        <v>452-0</v>
      </c>
      <c r="D394" s="153" t="s">
        <v>653</v>
      </c>
      <c r="E394" s="133" t="s">
        <v>1186</v>
      </c>
      <c r="F394" s="133" t="s">
        <v>655</v>
      </c>
      <c r="G394" s="133" t="str">
        <f t="shared" si="41"/>
        <v>T089EXNA</v>
      </c>
      <c r="H394" s="133" t="s">
        <v>409</v>
      </c>
      <c r="I394" s="133"/>
      <c r="J394" s="133" t="s">
        <v>1187</v>
      </c>
      <c r="K394" s="134" t="s">
        <v>655</v>
      </c>
      <c r="L394" s="148">
        <v>140</v>
      </c>
      <c r="M394" s="133" t="s">
        <v>644</v>
      </c>
      <c r="N394" s="136">
        <v>0.5</v>
      </c>
      <c r="O394" s="136">
        <v>0</v>
      </c>
      <c r="P394" s="136">
        <v>0</v>
      </c>
      <c r="Q394" s="137">
        <f t="shared" si="39"/>
        <v>70</v>
      </c>
      <c r="R394" s="133"/>
      <c r="S394" s="138">
        <v>45600.70416666667</v>
      </c>
      <c r="T394" s="133" t="s">
        <v>657</v>
      </c>
      <c r="U394" s="139" t="str">
        <f t="shared" si="40"/>
        <v>_extract_inhaled_packaged</v>
      </c>
      <c r="V394" s="140" t="str">
        <f>IF(U394="_","",_xlfn.XLOOKUP(U394,internal_cansku_inventory!D:D,internal_cansku_inventory!E:E,"",0,1))</f>
        <v/>
      </c>
    </row>
    <row r="395" spans="1:22" ht="12.45" customHeight="1">
      <c r="A395" s="132">
        <v>453</v>
      </c>
      <c r="B395" s="132">
        <v>0</v>
      </c>
      <c r="C395" s="132" t="str">
        <f>Table1[[#This Row],[inventory_id_head]]&amp;"-"&amp;Table1[[#This Row],[inventory_id_tail]]</f>
        <v>453-0</v>
      </c>
      <c r="D395" s="153" t="s">
        <v>653</v>
      </c>
      <c r="E395" s="133" t="s">
        <v>1188</v>
      </c>
      <c r="F395" s="133" t="s">
        <v>655</v>
      </c>
      <c r="G395" s="133" t="str">
        <f t="shared" si="41"/>
        <v>T090EXNA</v>
      </c>
      <c r="H395" s="133" t="s">
        <v>409</v>
      </c>
      <c r="I395" s="133"/>
      <c r="J395" s="133" t="s">
        <v>1187</v>
      </c>
      <c r="K395" s="134" t="s">
        <v>655</v>
      </c>
      <c r="L395" s="148">
        <v>200</v>
      </c>
      <c r="M395" s="133" t="s">
        <v>644</v>
      </c>
      <c r="N395" s="136">
        <v>0.5</v>
      </c>
      <c r="O395" s="136">
        <v>0</v>
      </c>
      <c r="P395" s="136">
        <v>0</v>
      </c>
      <c r="Q395" s="137">
        <f t="shared" si="39"/>
        <v>100</v>
      </c>
      <c r="R395" s="133"/>
      <c r="S395" s="138">
        <v>45600.70416666667</v>
      </c>
      <c r="T395" s="133" t="s">
        <v>657</v>
      </c>
      <c r="U395" s="139" t="str">
        <f t="shared" si="40"/>
        <v>_extract_inhaled_packaged</v>
      </c>
      <c r="V395" s="140" t="str">
        <f>IF(U395="_","",_xlfn.XLOOKUP(U395,internal_cansku_inventory!D:D,internal_cansku_inventory!E:E,"",0,1))</f>
        <v/>
      </c>
    </row>
    <row r="396" spans="1:22" ht="12.45" customHeight="1">
      <c r="A396" s="132">
        <v>454</v>
      </c>
      <c r="B396" s="132">
        <v>0</v>
      </c>
      <c r="C396" s="132" t="str">
        <f>Table1[[#This Row],[inventory_id_head]]&amp;"-"&amp;Table1[[#This Row],[inventory_id_tail]]</f>
        <v>454-0</v>
      </c>
      <c r="D396" s="153" t="s">
        <v>653</v>
      </c>
      <c r="E396" s="133" t="s">
        <v>1189</v>
      </c>
      <c r="F396" s="133" t="s">
        <v>655</v>
      </c>
      <c r="G396" s="133" t="str">
        <f t="shared" si="41"/>
        <v>T091EXNA</v>
      </c>
      <c r="H396" s="133" t="s">
        <v>409</v>
      </c>
      <c r="I396" s="133"/>
      <c r="J396" s="133" t="s">
        <v>1187</v>
      </c>
      <c r="K396" s="134" t="s">
        <v>655</v>
      </c>
      <c r="L396" s="148">
        <v>79</v>
      </c>
      <c r="M396" s="133" t="s">
        <v>644</v>
      </c>
      <c r="N396" s="136">
        <v>0.5</v>
      </c>
      <c r="O396" s="136">
        <v>0</v>
      </c>
      <c r="P396" s="136">
        <v>0</v>
      </c>
      <c r="Q396" s="137">
        <f t="shared" si="39"/>
        <v>39.5</v>
      </c>
      <c r="R396" s="133"/>
      <c r="S396" s="138">
        <v>45600.70416666667</v>
      </c>
      <c r="T396" s="133" t="s">
        <v>657</v>
      </c>
      <c r="U396" s="139" t="str">
        <f t="shared" si="40"/>
        <v>_extract_inhaled_packaged</v>
      </c>
      <c r="V396" s="140" t="str">
        <f>IF(U396="_","",_xlfn.XLOOKUP(U396,internal_cansku_inventory!D:D,internal_cansku_inventory!E:E,"",0,1))</f>
        <v/>
      </c>
    </row>
    <row r="397" spans="1:22" ht="12.45" customHeight="1">
      <c r="A397" s="132">
        <v>455</v>
      </c>
      <c r="B397" s="132">
        <v>0</v>
      </c>
      <c r="C397" s="132" t="str">
        <f>Table1[[#This Row],[inventory_id_head]]&amp;"-"&amp;Table1[[#This Row],[inventory_id_tail]]</f>
        <v>455-0</v>
      </c>
      <c r="D397" s="153" t="s">
        <v>680</v>
      </c>
      <c r="E397" s="133" t="s">
        <v>1190</v>
      </c>
      <c r="F397" s="133" t="s">
        <v>655</v>
      </c>
      <c r="G397" s="133" t="str">
        <f t="shared" si="41"/>
        <v>T092EXNA</v>
      </c>
      <c r="H397" s="133" t="s">
        <v>304</v>
      </c>
      <c r="I397" s="133"/>
      <c r="J397" s="133" t="s">
        <v>1183</v>
      </c>
      <c r="K397" s="134">
        <v>45590</v>
      </c>
      <c r="L397" s="148">
        <v>84</v>
      </c>
      <c r="M397" s="133" t="s">
        <v>644</v>
      </c>
      <c r="N397" s="136">
        <v>27.3</v>
      </c>
      <c r="O397" s="136">
        <v>0</v>
      </c>
      <c r="P397" s="136">
        <v>0</v>
      </c>
      <c r="Q397" s="137">
        <f t="shared" si="39"/>
        <v>2293.2000000000003</v>
      </c>
      <c r="R397" s="133"/>
      <c r="S397" s="138">
        <v>45600.709722222222</v>
      </c>
      <c r="T397" s="133" t="s">
        <v>657</v>
      </c>
      <c r="U397" s="139" t="str">
        <f t="shared" si="40"/>
        <v>_extract_ingested_labelled</v>
      </c>
      <c r="V397" s="140" t="str">
        <f>IF(U397="_","",_xlfn.XLOOKUP(U397,internal_cansku_inventory!D:D,internal_cansku_inventory!E:E,"",0,1))</f>
        <v/>
      </c>
    </row>
    <row r="398" spans="1:22" ht="12.45" customHeight="1">
      <c r="A398" s="132">
        <v>456</v>
      </c>
      <c r="B398" s="132">
        <v>0</v>
      </c>
      <c r="C398" s="132" t="str">
        <f>Table1[[#This Row],[inventory_id_head]]&amp;"-"&amp;Table1[[#This Row],[inventory_id_tail]]</f>
        <v>456-0</v>
      </c>
      <c r="D398" s="133" t="s">
        <v>653</v>
      </c>
      <c r="E398" s="133" t="s">
        <v>1191</v>
      </c>
      <c r="F398" s="133" t="s">
        <v>655</v>
      </c>
      <c r="G398" s="133" t="str">
        <f t="shared" si="41"/>
        <v>T093EXNA</v>
      </c>
      <c r="H398" s="133" t="s">
        <v>304</v>
      </c>
      <c r="I398" s="133"/>
      <c r="J398" s="133" t="s">
        <v>1192</v>
      </c>
      <c r="K398" s="134">
        <v>45588</v>
      </c>
      <c r="L398" s="148">
        <v>5</v>
      </c>
      <c r="M398" s="133" t="s">
        <v>644</v>
      </c>
      <c r="N398" s="136">
        <v>27.6</v>
      </c>
      <c r="O398" s="136">
        <v>0</v>
      </c>
      <c r="P398" s="136">
        <v>0</v>
      </c>
      <c r="Q398" s="137">
        <f t="shared" si="39"/>
        <v>138</v>
      </c>
      <c r="R398" s="133"/>
      <c r="S398" s="138">
        <v>45600.712500000001</v>
      </c>
      <c r="T398" s="133" t="s">
        <v>657</v>
      </c>
      <c r="U398" s="139" t="str">
        <f t="shared" si="40"/>
        <v>_extract_ingested_labelled</v>
      </c>
      <c r="V398" s="140" t="str">
        <f>IF(U398="_","",_xlfn.XLOOKUP(U398,internal_cansku_inventory!D:D,internal_cansku_inventory!E:E,"",0,1))</f>
        <v/>
      </c>
    </row>
    <row r="399" spans="1:22" ht="12.45" customHeight="1">
      <c r="A399" s="132">
        <v>457</v>
      </c>
      <c r="B399" s="132">
        <v>0</v>
      </c>
      <c r="C399" s="132" t="str">
        <f>Table1[[#This Row],[inventory_id_head]]&amp;"-"&amp;Table1[[#This Row],[inventory_id_tail]]</f>
        <v>457-0</v>
      </c>
      <c r="D399" s="133" t="s">
        <v>680</v>
      </c>
      <c r="E399" s="133" t="s">
        <v>1193</v>
      </c>
      <c r="F399" s="133" t="s">
        <v>655</v>
      </c>
      <c r="G399" s="133" t="str">
        <f t="shared" si="41"/>
        <v>T094EXNA</v>
      </c>
      <c r="H399" s="133" t="s">
        <v>304</v>
      </c>
      <c r="I399" s="133"/>
      <c r="J399" s="133" t="s">
        <v>1183</v>
      </c>
      <c r="K399" s="134">
        <v>45590</v>
      </c>
      <c r="L399" s="148">
        <v>26</v>
      </c>
      <c r="M399" s="133" t="s">
        <v>644</v>
      </c>
      <c r="N399" s="136">
        <v>27.3</v>
      </c>
      <c r="O399" s="136">
        <v>0</v>
      </c>
      <c r="P399" s="136">
        <v>0</v>
      </c>
      <c r="Q399" s="137">
        <f t="shared" si="39"/>
        <v>709.80000000000007</v>
      </c>
      <c r="R399" s="133"/>
      <c r="S399" s="138">
        <v>45600.713888888888</v>
      </c>
      <c r="T399" s="133" t="s">
        <v>657</v>
      </c>
      <c r="U399" s="139" t="str">
        <f t="shared" si="40"/>
        <v>_extract_ingested_labelled</v>
      </c>
      <c r="V399" s="140" t="str">
        <f>IF(U399="_","",_xlfn.XLOOKUP(U399,internal_cansku_inventory!D:D,internal_cansku_inventory!E:E,"",0,1))</f>
        <v/>
      </c>
    </row>
    <row r="400" spans="1:22" ht="13.8">
      <c r="A400" s="132">
        <v>459</v>
      </c>
      <c r="B400" s="132">
        <v>0</v>
      </c>
      <c r="C400" s="132" t="str">
        <f>Table1[[#This Row],[inventory_id_head]]&amp;"-"&amp;Table1[[#This Row],[inventory_id_tail]]</f>
        <v>459-0</v>
      </c>
      <c r="D400" s="133" t="s">
        <v>680</v>
      </c>
      <c r="E400" s="133" t="s">
        <v>1194</v>
      </c>
      <c r="F400" s="133" t="s">
        <v>55</v>
      </c>
      <c r="G400" s="133" t="str">
        <f t="shared" si="41"/>
        <v>T095EXNA</v>
      </c>
      <c r="H400" s="133" t="s">
        <v>442</v>
      </c>
      <c r="I400" s="133"/>
      <c r="J400" s="133" t="s">
        <v>1195</v>
      </c>
      <c r="K400" s="134">
        <v>45594</v>
      </c>
      <c r="L400" s="148">
        <v>1</v>
      </c>
      <c r="M400" s="133" t="s">
        <v>683</v>
      </c>
      <c r="N400" s="136">
        <f>50*12</f>
        <v>600</v>
      </c>
      <c r="O400" s="136">
        <v>0</v>
      </c>
      <c r="P400" s="136">
        <v>0</v>
      </c>
      <c r="Q400" s="137">
        <f t="shared" si="39"/>
        <v>600</v>
      </c>
      <c r="R400" s="133"/>
      <c r="S400" s="138">
        <v>45601.672222222223</v>
      </c>
      <c r="T400" s="133" t="s">
        <v>657</v>
      </c>
      <c r="U400" s="139" t="str">
        <f t="shared" si="40"/>
        <v>_extract_ingested_cased_ON</v>
      </c>
      <c r="V400" s="140" t="str">
        <f>IF(U400="_","",_xlfn.XLOOKUP(U400,internal_cansku_inventory!D:D,internal_cansku_inventory!E:E,"",0,1))</f>
        <v/>
      </c>
    </row>
    <row r="401" spans="1:22" ht="12.45" customHeight="1">
      <c r="A401" s="132">
        <v>460</v>
      </c>
      <c r="B401" s="132">
        <v>0</v>
      </c>
      <c r="C401" s="132" t="str">
        <f>Table1[[#This Row],[inventory_id_head]]&amp;"-"&amp;Table1[[#This Row],[inventory_id_tail]]</f>
        <v>460-0</v>
      </c>
      <c r="D401" s="133" t="s">
        <v>653</v>
      </c>
      <c r="E401" s="133" t="s">
        <v>867</v>
      </c>
      <c r="F401" s="133" t="s">
        <v>868</v>
      </c>
      <c r="G401" s="133" t="str">
        <f t="shared" si="41"/>
        <v>RACK_BGRID_2</v>
      </c>
      <c r="H401" s="133" t="s">
        <v>368</v>
      </c>
      <c r="I401" s="133"/>
      <c r="J401" s="133" t="s">
        <v>1196</v>
      </c>
      <c r="K401" s="134" t="s">
        <v>55</v>
      </c>
      <c r="L401" s="148">
        <v>676</v>
      </c>
      <c r="M401" s="133" t="s">
        <v>644</v>
      </c>
      <c r="N401" s="136">
        <v>0.5</v>
      </c>
      <c r="O401" s="136">
        <v>0</v>
      </c>
      <c r="P401" s="136">
        <v>0</v>
      </c>
      <c r="Q401" s="137">
        <f t="shared" si="39"/>
        <v>338</v>
      </c>
      <c r="R401" s="133"/>
      <c r="S401" s="138">
        <v>45601.695833333331</v>
      </c>
      <c r="T401" s="133" t="s">
        <v>670</v>
      </c>
      <c r="U401" s="139" t="str">
        <f t="shared" si="40"/>
        <v>_preroll_bulk</v>
      </c>
      <c r="V401" s="140" t="str">
        <f>IF(U401="_","",_xlfn.XLOOKUP(U401,internal_cansku_inventory!D:D,internal_cansku_inventory!E:E,"",0,1))</f>
        <v/>
      </c>
    </row>
    <row r="402" spans="1:22" ht="12.45" customHeight="1">
      <c r="A402" s="132">
        <v>461</v>
      </c>
      <c r="B402" s="132">
        <v>0</v>
      </c>
      <c r="C402" s="132" t="str">
        <f>Table1[[#This Row],[inventory_id_head]]&amp;"-"&amp;Table1[[#This Row],[inventory_id_tail]]</f>
        <v>461-0</v>
      </c>
      <c r="D402" s="133" t="s">
        <v>653</v>
      </c>
      <c r="E402" s="133" t="s">
        <v>867</v>
      </c>
      <c r="F402" s="133" t="s">
        <v>868</v>
      </c>
      <c r="G402" s="133" t="str">
        <f t="shared" si="41"/>
        <v>RACK_BGRID_2</v>
      </c>
      <c r="H402" s="133" t="s">
        <v>368</v>
      </c>
      <c r="I402" s="133"/>
      <c r="J402" s="133" t="s">
        <v>1196</v>
      </c>
      <c r="K402" s="134" t="s">
        <v>55</v>
      </c>
      <c r="L402" s="148">
        <v>676</v>
      </c>
      <c r="M402" s="133" t="s">
        <v>644</v>
      </c>
      <c r="N402" s="136">
        <v>0.5</v>
      </c>
      <c r="O402" s="136">
        <v>0</v>
      </c>
      <c r="P402" s="136">
        <v>0</v>
      </c>
      <c r="Q402" s="137">
        <f t="shared" si="39"/>
        <v>338</v>
      </c>
      <c r="R402" s="133"/>
      <c r="S402" s="138">
        <v>45601.695833333331</v>
      </c>
      <c r="T402" s="133" t="s">
        <v>670</v>
      </c>
      <c r="U402" s="139" t="str">
        <f t="shared" si="40"/>
        <v>_preroll_bulk</v>
      </c>
      <c r="V402" s="140" t="str">
        <f>IF(U402="_","",_xlfn.XLOOKUP(U402,internal_cansku_inventory!D:D,internal_cansku_inventory!E:E,"",0,1))</f>
        <v/>
      </c>
    </row>
    <row r="403" spans="1:22" ht="12.45" customHeight="1">
      <c r="A403" s="132">
        <v>465</v>
      </c>
      <c r="B403" s="132">
        <v>0</v>
      </c>
      <c r="C403" s="132" t="str">
        <f>Table1[[#This Row],[inventory_id_head]]&amp;"-"&amp;Table1[[#This Row],[inventory_id_tail]]</f>
        <v>465-0</v>
      </c>
      <c r="D403" s="133" t="s">
        <v>680</v>
      </c>
      <c r="E403" s="133" t="s">
        <v>1197</v>
      </c>
      <c r="F403" s="133" t="s">
        <v>55</v>
      </c>
      <c r="G403" s="133" t="str">
        <f t="shared" si="41"/>
        <v>J022EXNA</v>
      </c>
      <c r="H403" s="133" t="s">
        <v>358</v>
      </c>
      <c r="I403" s="133"/>
      <c r="J403" s="133" t="s">
        <v>1198</v>
      </c>
      <c r="K403" s="134" t="s">
        <v>655</v>
      </c>
      <c r="L403" s="148">
        <v>1</v>
      </c>
      <c r="M403" s="133" t="s">
        <v>967</v>
      </c>
      <c r="N403" s="136">
        <f t="shared" ref="N403:N408" si="42">O403-P403</f>
        <v>399.71000000000004</v>
      </c>
      <c r="O403" s="136">
        <v>708.6</v>
      </c>
      <c r="P403" s="136">
        <v>308.89</v>
      </c>
      <c r="Q403" s="137">
        <f t="shared" si="39"/>
        <v>399.71000000000004</v>
      </c>
      <c r="R403" s="133"/>
      <c r="S403" s="138">
        <v>45602.658333333333</v>
      </c>
      <c r="T403" s="133" t="s">
        <v>978</v>
      </c>
      <c r="U403" s="139" t="str">
        <f t="shared" si="40"/>
        <v>_extract_inhaled_bulk</v>
      </c>
      <c r="V403" s="140" t="str">
        <f>IF(U403="_","",_xlfn.XLOOKUP(U403,internal_cansku_inventory!D:D,internal_cansku_inventory!E:E,"",0,1))</f>
        <v/>
      </c>
    </row>
    <row r="404" spans="1:22" ht="12.45" customHeight="1">
      <c r="A404" s="132">
        <v>467</v>
      </c>
      <c r="B404" s="132">
        <v>0</v>
      </c>
      <c r="C404" s="132" t="str">
        <f>Table1[[#This Row],[inventory_id_head]]&amp;"-"&amp;Table1[[#This Row],[inventory_id_tail]]</f>
        <v>467-0</v>
      </c>
      <c r="D404" s="133" t="s">
        <v>680</v>
      </c>
      <c r="E404" s="133" t="s">
        <v>1199</v>
      </c>
      <c r="F404" s="133" t="s">
        <v>55</v>
      </c>
      <c r="G404" s="133" t="str">
        <f t="shared" si="41"/>
        <v>J024EXNA</v>
      </c>
      <c r="H404" s="133" t="s">
        <v>358</v>
      </c>
      <c r="I404" s="133"/>
      <c r="J404" s="133" t="s">
        <v>1201</v>
      </c>
      <c r="K404" s="134" t="s">
        <v>655</v>
      </c>
      <c r="L404" s="148">
        <v>1</v>
      </c>
      <c r="M404" s="133" t="s">
        <v>967</v>
      </c>
      <c r="N404" s="136">
        <f t="shared" si="42"/>
        <v>299.96000000000004</v>
      </c>
      <c r="O404" s="136">
        <v>609.1</v>
      </c>
      <c r="P404" s="136">
        <v>309.14</v>
      </c>
      <c r="Q404" s="137">
        <f t="shared" si="39"/>
        <v>299.96000000000004</v>
      </c>
      <c r="R404" s="133"/>
      <c r="S404" s="138">
        <v>45602.658333333333</v>
      </c>
      <c r="T404" s="133" t="s">
        <v>978</v>
      </c>
      <c r="U404" s="139" t="str">
        <f t="shared" si="40"/>
        <v>_extract_inhaled_bulk</v>
      </c>
      <c r="V404" s="140" t="str">
        <f>IF(U404="_","",_xlfn.XLOOKUP(U404,internal_cansku_inventory!D:D,internal_cansku_inventory!E:E,"",0,1))</f>
        <v/>
      </c>
    </row>
    <row r="405" spans="1:22" ht="12.45" customHeight="1">
      <c r="A405" s="132">
        <v>423</v>
      </c>
      <c r="B405" s="132">
        <v>0</v>
      </c>
      <c r="C405" s="132" t="str">
        <f>Table1[[#This Row],[inventory_id_head]]&amp;"-"&amp;Table1[[#This Row],[inventory_id_tail]]</f>
        <v>423-0</v>
      </c>
      <c r="D405" s="133" t="s">
        <v>680</v>
      </c>
      <c r="E405" s="133" t="s">
        <v>992</v>
      </c>
      <c r="F405" s="133" t="s">
        <v>655</v>
      </c>
      <c r="G405" s="133" t="str">
        <f t="shared" si="41"/>
        <v>J013EXNA</v>
      </c>
      <c r="H405" s="133" t="s">
        <v>358</v>
      </c>
      <c r="I405" s="133"/>
      <c r="J405" s="133" t="s">
        <v>1202</v>
      </c>
      <c r="K405" s="134" t="s">
        <v>655</v>
      </c>
      <c r="L405" s="148">
        <v>1</v>
      </c>
      <c r="M405" s="133" t="s">
        <v>967</v>
      </c>
      <c r="N405" s="136">
        <f t="shared" si="42"/>
        <v>150.36000000000001</v>
      </c>
      <c r="O405" s="136">
        <v>458.46</v>
      </c>
      <c r="P405" s="136">
        <f>610.9-302.8</f>
        <v>308.09999999999997</v>
      </c>
      <c r="Q405" s="137">
        <f t="shared" si="39"/>
        <v>150.36000000000001</v>
      </c>
      <c r="R405" s="133"/>
      <c r="S405" s="138">
        <v>45602.682638888888</v>
      </c>
      <c r="T405" s="133" t="s">
        <v>978</v>
      </c>
      <c r="U405" s="139" t="str">
        <f t="shared" si="40"/>
        <v>_extract_inhaled_bulk</v>
      </c>
      <c r="V405" s="140" t="str">
        <f>IF(U405="_","",_xlfn.XLOOKUP(U405,internal_cansku_inventory!D:D,internal_cansku_inventory!E:E,"",0,1))</f>
        <v/>
      </c>
    </row>
    <row r="406" spans="1:22" ht="12.45" customHeight="1">
      <c r="A406" s="132">
        <v>398</v>
      </c>
      <c r="B406" s="132">
        <v>0</v>
      </c>
      <c r="C406" s="132" t="str">
        <f>Table1[[#This Row],[inventory_id_head]]&amp;"-"&amp;Table1[[#This Row],[inventory_id_tail]]</f>
        <v>398-0</v>
      </c>
      <c r="D406" s="133" t="s">
        <v>653</v>
      </c>
      <c r="E406" s="133" t="s">
        <v>1203</v>
      </c>
      <c r="F406" s="133" t="s">
        <v>55</v>
      </c>
      <c r="G406" s="133" t="str">
        <f t="shared" si="41"/>
        <v>T046PRNA</v>
      </c>
      <c r="H406" s="133" t="s">
        <v>308</v>
      </c>
      <c r="I406" s="133"/>
      <c r="J406" s="133" t="s">
        <v>999</v>
      </c>
      <c r="K406" s="134">
        <v>45581</v>
      </c>
      <c r="L406" s="148">
        <v>92</v>
      </c>
      <c r="M406" s="133" t="s">
        <v>858</v>
      </c>
      <c r="N406" s="136">
        <f t="shared" si="42"/>
        <v>1.5</v>
      </c>
      <c r="O406" s="136">
        <v>1.5</v>
      </c>
      <c r="P406" s="136">
        <v>0</v>
      </c>
      <c r="Q406" s="137">
        <f t="shared" si="39"/>
        <v>138</v>
      </c>
      <c r="R406" s="133"/>
      <c r="S406" s="138">
        <v>45602.694444444445</v>
      </c>
      <c r="T406" s="133" t="s">
        <v>657</v>
      </c>
      <c r="U406" s="139" t="str">
        <f t="shared" si="40"/>
        <v>_preroll_labelled</v>
      </c>
      <c r="V406" s="140" t="str">
        <f>IF(U406="_","",_xlfn.XLOOKUP(U406,internal_cansku_inventory!D:D,internal_cansku_inventory!E:E,"",0,1))</f>
        <v/>
      </c>
    </row>
    <row r="407" spans="1:22" ht="12.45" customHeight="1">
      <c r="A407" s="132">
        <v>399</v>
      </c>
      <c r="B407" s="132">
        <v>0</v>
      </c>
      <c r="C407" s="132" t="str">
        <f>Table1[[#This Row],[inventory_id_head]]&amp;"-"&amp;Table1[[#This Row],[inventory_id_tail]]</f>
        <v>399-0</v>
      </c>
      <c r="D407" s="133" t="s">
        <v>1136</v>
      </c>
      <c r="E407" s="133" t="s">
        <v>1203</v>
      </c>
      <c r="F407" s="133" t="s">
        <v>55</v>
      </c>
      <c r="G407" s="133" t="str">
        <f t="shared" si="41"/>
        <v>T046PRNA</v>
      </c>
      <c r="H407" s="133" t="s">
        <v>809</v>
      </c>
      <c r="I407" s="133"/>
      <c r="J407" s="133" t="s">
        <v>999</v>
      </c>
      <c r="K407" s="134" t="s">
        <v>655</v>
      </c>
      <c r="L407" s="148">
        <v>0</v>
      </c>
      <c r="M407" s="133" t="s">
        <v>858</v>
      </c>
      <c r="N407" s="136">
        <f t="shared" si="42"/>
        <v>1.5</v>
      </c>
      <c r="O407" s="136">
        <v>1.5</v>
      </c>
      <c r="P407" s="136">
        <v>0</v>
      </c>
      <c r="Q407" s="137">
        <f t="shared" si="39"/>
        <v>0</v>
      </c>
      <c r="R407" s="133"/>
      <c r="S407" s="138">
        <v>45602.694444444445</v>
      </c>
      <c r="T407" s="133" t="s">
        <v>657</v>
      </c>
      <c r="U407" s="139" t="str">
        <f t="shared" si="40"/>
        <v>_preroll_packaged</v>
      </c>
      <c r="V407" s="140" t="str">
        <f>IF(U407="_","",_xlfn.XLOOKUP(U407,internal_cansku_inventory!D:D,internal_cansku_inventory!E:E,"",0,1))</f>
        <v/>
      </c>
    </row>
    <row r="408" spans="1:22" ht="12.45" customHeight="1">
      <c r="A408" s="132">
        <v>468</v>
      </c>
      <c r="B408" s="132">
        <v>0</v>
      </c>
      <c r="C408" s="132" t="str">
        <f>Table1[[#This Row],[inventory_id_head]]&amp;"-"&amp;Table1[[#This Row],[inventory_id_tail]]</f>
        <v>468-0</v>
      </c>
      <c r="D408" s="133" t="s">
        <v>680</v>
      </c>
      <c r="E408" s="133" t="s">
        <v>1204</v>
      </c>
      <c r="F408" s="133" t="s">
        <v>55</v>
      </c>
      <c r="G408" s="133" t="str">
        <f t="shared" si="41"/>
        <v>J025EXNA</v>
      </c>
      <c r="H408" s="133" t="s">
        <v>358</v>
      </c>
      <c r="I408" s="133"/>
      <c r="J408" s="133" t="s">
        <v>1201</v>
      </c>
      <c r="K408" s="134" t="s">
        <v>655</v>
      </c>
      <c r="L408" s="148">
        <v>1</v>
      </c>
      <c r="M408" s="133" t="s">
        <v>967</v>
      </c>
      <c r="N408" s="136">
        <f t="shared" si="42"/>
        <v>279.62000000000006</v>
      </c>
      <c r="O408" s="136">
        <v>589.20000000000005</v>
      </c>
      <c r="P408" s="136">
        <v>309.58</v>
      </c>
      <c r="Q408" s="137">
        <f t="shared" si="39"/>
        <v>279.62000000000006</v>
      </c>
      <c r="R408" s="133"/>
      <c r="S408" s="138">
        <v>45602.7</v>
      </c>
      <c r="T408" s="133" t="s">
        <v>978</v>
      </c>
      <c r="U408" s="139" t="str">
        <f t="shared" si="40"/>
        <v>_extract_inhaled_bulk</v>
      </c>
      <c r="V408" s="140" t="str">
        <f>IF(U408="_","",_xlfn.XLOOKUP(U408,internal_cansku_inventory!D:D,internal_cansku_inventory!E:E,"",0,1))</f>
        <v/>
      </c>
    </row>
    <row r="409" spans="1:22" ht="12.45" customHeight="1">
      <c r="A409" s="132">
        <v>469</v>
      </c>
      <c r="B409" s="132">
        <v>0</v>
      </c>
      <c r="C409" s="132" t="str">
        <f>Table1[[#This Row],[inventory_id_head]]&amp;"-"&amp;Table1[[#This Row],[inventory_id_tail]]</f>
        <v>469-0</v>
      </c>
      <c r="D409" s="133" t="s">
        <v>653</v>
      </c>
      <c r="E409" s="133" t="s">
        <v>1205</v>
      </c>
      <c r="F409" s="133" t="s">
        <v>55</v>
      </c>
      <c r="G409" s="133" t="str">
        <f t="shared" si="41"/>
        <v>T097EXNA</v>
      </c>
      <c r="H409" s="133" t="s">
        <v>409</v>
      </c>
      <c r="I409" s="133"/>
      <c r="J409" s="133" t="s">
        <v>1206</v>
      </c>
      <c r="K409" s="134" t="s">
        <v>655</v>
      </c>
      <c r="L409" s="148">
        <v>244</v>
      </c>
      <c r="M409" s="133" t="s">
        <v>858</v>
      </c>
      <c r="N409" s="136">
        <v>0.5</v>
      </c>
      <c r="O409" s="136">
        <v>589.20000000000005</v>
      </c>
      <c r="P409" s="136">
        <v>309.58</v>
      </c>
      <c r="Q409" s="137">
        <f t="shared" si="39"/>
        <v>122</v>
      </c>
      <c r="R409" s="133"/>
      <c r="S409" s="138">
        <v>45602.7</v>
      </c>
      <c r="T409" s="133" t="s">
        <v>657</v>
      </c>
      <c r="U409" s="139" t="str">
        <f t="shared" si="40"/>
        <v>_extract_inhaled_packaged</v>
      </c>
      <c r="V409" s="140" t="str">
        <f>IF(U409="_","",_xlfn.XLOOKUP(U409,internal_cansku_inventory!D:D,internal_cansku_inventory!E:E,"",0,1))</f>
        <v/>
      </c>
    </row>
    <row r="410" spans="1:22" ht="12.45" customHeight="1">
      <c r="A410" s="132">
        <v>471</v>
      </c>
      <c r="B410" s="132">
        <v>0</v>
      </c>
      <c r="C410" s="132" t="str">
        <f>Table1[[#This Row],[inventory_id_head]]&amp;"-"&amp;Table1[[#This Row],[inventory_id_tail]]</f>
        <v>471-0</v>
      </c>
      <c r="D410" s="133" t="s">
        <v>680</v>
      </c>
      <c r="E410" s="133" t="s">
        <v>1207</v>
      </c>
      <c r="F410" s="133" t="s">
        <v>55</v>
      </c>
      <c r="G410" s="133" t="str">
        <f t="shared" si="41"/>
        <v>T099EXNA</v>
      </c>
      <c r="H410" s="133" t="s">
        <v>328</v>
      </c>
      <c r="I410" s="133"/>
      <c r="J410" s="133" t="s">
        <v>1208</v>
      </c>
      <c r="K410" s="134">
        <v>45594</v>
      </c>
      <c r="L410" s="148">
        <v>116</v>
      </c>
      <c r="M410" s="133" t="s">
        <v>858</v>
      </c>
      <c r="N410" s="136">
        <v>0.5</v>
      </c>
      <c r="O410" s="136">
        <v>589.20000000000005</v>
      </c>
      <c r="P410" s="136">
        <v>309.58</v>
      </c>
      <c r="Q410" s="137">
        <f t="shared" si="39"/>
        <v>58</v>
      </c>
      <c r="R410" s="133"/>
      <c r="S410" s="138">
        <v>45602.705555555556</v>
      </c>
      <c r="T410" s="133" t="s">
        <v>657</v>
      </c>
      <c r="U410" s="139" t="str">
        <f t="shared" si="40"/>
        <v>_extract_inhaled_labelled</v>
      </c>
      <c r="V410" s="140" t="str">
        <f>IF(U410="_","",_xlfn.XLOOKUP(U410,internal_cansku_inventory!D:D,internal_cansku_inventory!E:E,"",0,1))</f>
        <v/>
      </c>
    </row>
    <row r="411" spans="1:22" ht="12.45" customHeight="1">
      <c r="A411" s="132">
        <v>210</v>
      </c>
      <c r="B411" s="132">
        <v>0</v>
      </c>
      <c r="C411" s="132" t="str">
        <f>Table1[[#This Row],[inventory_id_head]]&amp;"-"&amp;Table1[[#This Row],[inventory_id_tail]]</f>
        <v>210-0</v>
      </c>
      <c r="D411" s="133" t="s">
        <v>680</v>
      </c>
      <c r="E411" s="133" t="s">
        <v>1209</v>
      </c>
      <c r="F411" s="133" t="s">
        <v>655</v>
      </c>
      <c r="G411" s="133" t="str">
        <f t="shared" si="41"/>
        <v>T013EXNA</v>
      </c>
      <c r="H411" s="133" t="s">
        <v>861</v>
      </c>
      <c r="I411" s="133"/>
      <c r="J411" s="133" t="s">
        <v>934</v>
      </c>
      <c r="K411" s="134">
        <v>45596</v>
      </c>
      <c r="L411" s="135">
        <v>17</v>
      </c>
      <c r="M411" s="133" t="s">
        <v>644</v>
      </c>
      <c r="N411" s="136">
        <v>27.4</v>
      </c>
      <c r="O411" s="136">
        <v>0</v>
      </c>
      <c r="P411" s="136">
        <v>0</v>
      </c>
      <c r="Q411" s="137">
        <f t="shared" si="39"/>
        <v>465.79999999999995</v>
      </c>
      <c r="R411" s="133"/>
      <c r="S411" s="138">
        <v>45602.707638888889</v>
      </c>
      <c r="T411" s="133" t="s">
        <v>670</v>
      </c>
      <c r="U411" s="139" t="str">
        <f t="shared" si="40"/>
        <v>_extract_ingested_labelled</v>
      </c>
      <c r="V411" s="140" t="str">
        <f>IF(U411="_","",_xlfn.XLOOKUP(U411,internal_cansku_inventory!D:D,internal_cansku_inventory!E:E,"",0,1))</f>
        <v/>
      </c>
    </row>
    <row r="412" spans="1:22" ht="12.45" customHeight="1">
      <c r="A412" s="132">
        <v>212</v>
      </c>
      <c r="B412" s="132">
        <v>0</v>
      </c>
      <c r="C412" s="132" t="str">
        <f>Table1[[#This Row],[inventory_id_head]]&amp;"-"&amp;Table1[[#This Row],[inventory_id_tail]]</f>
        <v>212-0</v>
      </c>
      <c r="D412" s="133" t="s">
        <v>680</v>
      </c>
      <c r="E412" s="133" t="s">
        <v>1210</v>
      </c>
      <c r="F412" s="133" t="s">
        <v>655</v>
      </c>
      <c r="G412" s="133" t="str">
        <f t="shared" si="41"/>
        <v>T015EXNA</v>
      </c>
      <c r="H412" s="133" t="s">
        <v>861</v>
      </c>
      <c r="I412" s="133"/>
      <c r="J412" s="133" t="s">
        <v>934</v>
      </c>
      <c r="K412" s="134">
        <v>45596</v>
      </c>
      <c r="L412" s="135">
        <v>84</v>
      </c>
      <c r="M412" s="133" t="s">
        <v>644</v>
      </c>
      <c r="N412" s="136">
        <v>27.4</v>
      </c>
      <c r="O412" s="136">
        <v>0</v>
      </c>
      <c r="P412" s="136">
        <v>0</v>
      </c>
      <c r="Q412" s="137">
        <f t="shared" si="39"/>
        <v>2301.6</v>
      </c>
      <c r="R412" s="133"/>
      <c r="S412" s="138">
        <v>45602.709027777775</v>
      </c>
      <c r="T412" s="133" t="s">
        <v>670</v>
      </c>
      <c r="U412" s="139" t="str">
        <f t="shared" si="40"/>
        <v>_extract_ingested_labelled</v>
      </c>
      <c r="V412" s="140" t="str">
        <f>IF(U412="_","",_xlfn.XLOOKUP(U412,internal_cansku_inventory!D:D,internal_cansku_inventory!E:E,"",0,1))</f>
        <v/>
      </c>
    </row>
    <row r="413" spans="1:22" ht="12.45" customHeight="1">
      <c r="A413" s="132">
        <v>215</v>
      </c>
      <c r="B413" s="132">
        <v>0</v>
      </c>
      <c r="C413" s="132" t="str">
        <f>Table1[[#This Row],[inventory_id_head]]&amp;"-"&amp;Table1[[#This Row],[inventory_id_tail]]</f>
        <v>215-0</v>
      </c>
      <c r="D413" s="133" t="s">
        <v>680</v>
      </c>
      <c r="E413" s="133" t="s">
        <v>1211</v>
      </c>
      <c r="F413" s="133" t="s">
        <v>655</v>
      </c>
      <c r="G413" s="133" t="str">
        <f t="shared" si="41"/>
        <v>T018EXNA</v>
      </c>
      <c r="H413" s="133" t="s">
        <v>861</v>
      </c>
      <c r="I413" s="133"/>
      <c r="J413" s="133" t="s">
        <v>934</v>
      </c>
      <c r="K413" s="134">
        <v>45596</v>
      </c>
      <c r="L413" s="135">
        <v>84</v>
      </c>
      <c r="M413" s="133" t="s">
        <v>644</v>
      </c>
      <c r="N413" s="136">
        <v>27.4</v>
      </c>
      <c r="O413" s="136">
        <v>0</v>
      </c>
      <c r="P413" s="136">
        <v>0</v>
      </c>
      <c r="Q413" s="137">
        <f t="shared" si="39"/>
        <v>2301.6</v>
      </c>
      <c r="R413" s="133"/>
      <c r="S413" s="138">
        <v>45602.709027777775</v>
      </c>
      <c r="T413" s="133" t="s">
        <v>670</v>
      </c>
      <c r="U413" s="139" t="str">
        <f t="shared" si="40"/>
        <v>_extract_ingested_labelled</v>
      </c>
      <c r="V413" s="140" t="str">
        <f>IF(U413="_","",_xlfn.XLOOKUP(U413,internal_cansku_inventory!D:D,internal_cansku_inventory!E:E,"",0,1))</f>
        <v/>
      </c>
    </row>
    <row r="414" spans="1:22" ht="12.45" customHeight="1">
      <c r="A414" s="132">
        <v>429</v>
      </c>
      <c r="B414" s="132">
        <v>0</v>
      </c>
      <c r="C414" s="132" t="str">
        <f>Table1[[#This Row],[inventory_id_head]]&amp;"-"&amp;Table1[[#This Row],[inventory_id_tail]]</f>
        <v>429-0</v>
      </c>
      <c r="D414" s="133" t="s">
        <v>653</v>
      </c>
      <c r="E414" s="133" t="s">
        <v>1212</v>
      </c>
      <c r="F414" s="133" t="s">
        <v>655</v>
      </c>
      <c r="G414" s="133" t="str">
        <f t="shared" si="41"/>
        <v>P011EXNA</v>
      </c>
      <c r="H414" s="133" t="s">
        <v>304</v>
      </c>
      <c r="I414" s="133"/>
      <c r="J414" s="133" t="s">
        <v>1213</v>
      </c>
      <c r="K414" s="134">
        <v>45594</v>
      </c>
      <c r="L414" s="148">
        <v>20</v>
      </c>
      <c r="M414" s="133" t="s">
        <v>858</v>
      </c>
      <c r="N414" s="136">
        <f>O414-P414</f>
        <v>14953</v>
      </c>
      <c r="O414" s="136">
        <v>16015</v>
      </c>
      <c r="P414" s="136">
        <v>1062</v>
      </c>
      <c r="Q414" s="137">
        <f t="shared" si="39"/>
        <v>299060</v>
      </c>
      <c r="R414" s="133"/>
      <c r="S414" s="138">
        <v>45608</v>
      </c>
      <c r="T414" s="133" t="s">
        <v>657</v>
      </c>
      <c r="U414" s="139" t="str">
        <f t="shared" si="40"/>
        <v>_extract_ingested_labelled</v>
      </c>
      <c r="V414" s="140" t="str">
        <f>IF(U414="_","",_xlfn.XLOOKUP(U414,internal_cansku_inventory!D:D,internal_cansku_inventory!E:E,"",0,1))</f>
        <v/>
      </c>
    </row>
    <row r="415" spans="1:22" ht="12.45" customHeight="1">
      <c r="A415" s="132">
        <v>474</v>
      </c>
      <c r="B415" s="132">
        <v>0</v>
      </c>
      <c r="C415" s="132" t="str">
        <f>Table1[[#This Row],[inventory_id_head]]&amp;"-"&amp;Table1[[#This Row],[inventory_id_tail]]</f>
        <v>474-0</v>
      </c>
      <c r="D415" s="133" t="s">
        <v>653</v>
      </c>
      <c r="E415" s="133" t="s">
        <v>867</v>
      </c>
      <c r="F415" s="133" t="s">
        <v>868</v>
      </c>
      <c r="G415" s="133" t="str">
        <f t="shared" si="41"/>
        <v>RACK_BGRID_2</v>
      </c>
      <c r="H415" s="133" t="s">
        <v>368</v>
      </c>
      <c r="I415" s="133"/>
      <c r="J415" s="133" t="s">
        <v>1214</v>
      </c>
      <c r="K415" s="134" t="s">
        <v>655</v>
      </c>
      <c r="L415" s="148">
        <v>357</v>
      </c>
      <c r="M415" s="133" t="s">
        <v>858</v>
      </c>
      <c r="N415" s="136">
        <v>0.5</v>
      </c>
      <c r="O415" s="136">
        <v>589.20000000000005</v>
      </c>
      <c r="P415" s="136">
        <v>309.58</v>
      </c>
      <c r="Q415" s="137">
        <f t="shared" si="39"/>
        <v>178.5</v>
      </c>
      <c r="R415" s="133"/>
      <c r="S415" s="138">
        <v>45608.444444444445</v>
      </c>
      <c r="T415" s="133" t="s">
        <v>657</v>
      </c>
      <c r="U415" s="139" t="str">
        <f t="shared" si="40"/>
        <v>_preroll_bulk</v>
      </c>
      <c r="V415" s="140" t="str">
        <f>IF(U415="_","",_xlfn.XLOOKUP(U415,internal_cansku_inventory!D:D,internal_cansku_inventory!E:E,"",0,1))</f>
        <v/>
      </c>
    </row>
    <row r="416" spans="1:22" ht="12.45" customHeight="1">
      <c r="A416" s="132">
        <v>475</v>
      </c>
      <c r="B416" s="132">
        <v>0</v>
      </c>
      <c r="C416" s="132" t="str">
        <f>Table1[[#This Row],[inventory_id_head]]&amp;"-"&amp;Table1[[#This Row],[inventory_id_tail]]</f>
        <v>475-0</v>
      </c>
      <c r="D416" s="133" t="s">
        <v>653</v>
      </c>
      <c r="E416" s="133" t="s">
        <v>867</v>
      </c>
      <c r="F416" s="133" t="s">
        <v>868</v>
      </c>
      <c r="G416" s="133" t="str">
        <f t="shared" si="41"/>
        <v>RACK_BGRID_2</v>
      </c>
      <c r="H416" s="133" t="s">
        <v>368</v>
      </c>
      <c r="I416" s="133"/>
      <c r="J416" s="133" t="s">
        <v>1214</v>
      </c>
      <c r="K416" s="134" t="s">
        <v>655</v>
      </c>
      <c r="L416" s="148">
        <v>705</v>
      </c>
      <c r="M416" s="133" t="s">
        <v>858</v>
      </c>
      <c r="N416" s="136">
        <v>0.5</v>
      </c>
      <c r="O416" s="136">
        <v>589.20000000000005</v>
      </c>
      <c r="P416" s="136">
        <v>309.58</v>
      </c>
      <c r="Q416" s="137">
        <f t="shared" si="39"/>
        <v>352.5</v>
      </c>
      <c r="R416" s="133"/>
      <c r="S416" s="138">
        <v>45608.444444444445</v>
      </c>
      <c r="T416" s="133" t="s">
        <v>657</v>
      </c>
      <c r="U416" s="139" t="str">
        <f t="shared" si="40"/>
        <v>_preroll_bulk</v>
      </c>
      <c r="V416" s="140" t="str">
        <f>IF(U416="_","",_xlfn.XLOOKUP(U416,internal_cansku_inventory!D:D,internal_cansku_inventory!E:E,"",0,1))</f>
        <v/>
      </c>
    </row>
    <row r="417" spans="1:22" ht="12.45" customHeight="1">
      <c r="A417" s="132">
        <v>476</v>
      </c>
      <c r="B417" s="132">
        <v>0</v>
      </c>
      <c r="C417" s="132" t="str">
        <f>Table1[[#This Row],[inventory_id_head]]&amp;"-"&amp;Table1[[#This Row],[inventory_id_tail]]</f>
        <v>476-0</v>
      </c>
      <c r="D417" s="133" t="s">
        <v>680</v>
      </c>
      <c r="E417" s="133" t="s">
        <v>867</v>
      </c>
      <c r="F417" s="133" t="s">
        <v>868</v>
      </c>
      <c r="G417" s="133" t="str">
        <f t="shared" si="41"/>
        <v>RACK_BGRID_2</v>
      </c>
      <c r="H417" s="133" t="s">
        <v>368</v>
      </c>
      <c r="I417" s="133"/>
      <c r="J417" s="133" t="s">
        <v>1214</v>
      </c>
      <c r="K417" s="134" t="s">
        <v>655</v>
      </c>
      <c r="L417" s="148">
        <v>704</v>
      </c>
      <c r="M417" s="133" t="s">
        <v>858</v>
      </c>
      <c r="N417" s="136">
        <v>0.5</v>
      </c>
      <c r="O417" s="136">
        <v>589.20000000000005</v>
      </c>
      <c r="P417" s="136">
        <v>309.58</v>
      </c>
      <c r="Q417" s="137">
        <f t="shared" si="39"/>
        <v>352</v>
      </c>
      <c r="R417" s="133"/>
      <c r="S417" s="138">
        <v>45608.444444444445</v>
      </c>
      <c r="T417" s="133" t="s">
        <v>657</v>
      </c>
      <c r="U417" s="139" t="str">
        <f t="shared" si="40"/>
        <v>_preroll_bulk</v>
      </c>
      <c r="V417" s="140" t="str">
        <f>IF(U417="_","",_xlfn.XLOOKUP(U417,internal_cansku_inventory!D:D,internal_cansku_inventory!E:E,"",0,1))</f>
        <v/>
      </c>
    </row>
    <row r="418" spans="1:22" ht="12.45" customHeight="1">
      <c r="A418" s="132">
        <v>477</v>
      </c>
      <c r="B418" s="132">
        <v>0</v>
      </c>
      <c r="C418" s="132" t="str">
        <f>Table1[[#This Row],[inventory_id_head]]&amp;"-"&amp;Table1[[#This Row],[inventory_id_tail]]</f>
        <v>477-0</v>
      </c>
      <c r="D418" s="133" t="s">
        <v>680</v>
      </c>
      <c r="E418" s="133" t="s">
        <v>867</v>
      </c>
      <c r="F418" s="133" t="s">
        <v>868</v>
      </c>
      <c r="G418" s="133" t="str">
        <f t="shared" si="41"/>
        <v>RACK_BGRID_2</v>
      </c>
      <c r="H418" s="133" t="s">
        <v>368</v>
      </c>
      <c r="I418" s="133"/>
      <c r="J418" s="133" t="s">
        <v>1215</v>
      </c>
      <c r="K418" s="134" t="s">
        <v>655</v>
      </c>
      <c r="L418" s="148">
        <v>724</v>
      </c>
      <c r="M418" s="133" t="s">
        <v>858</v>
      </c>
      <c r="N418" s="136">
        <v>0.5</v>
      </c>
      <c r="O418" s="136">
        <v>589.20000000000005</v>
      </c>
      <c r="P418" s="136">
        <v>309.58</v>
      </c>
      <c r="Q418" s="137">
        <f t="shared" si="39"/>
        <v>362</v>
      </c>
      <c r="R418" s="133"/>
      <c r="S418" s="138">
        <v>45608.509027777778</v>
      </c>
      <c r="T418" s="133" t="s">
        <v>657</v>
      </c>
      <c r="U418" s="139" t="str">
        <f t="shared" si="40"/>
        <v>_preroll_bulk</v>
      </c>
      <c r="V418" s="140" t="str">
        <f>IF(U418="_","",_xlfn.XLOOKUP(U418,internal_cansku_inventory!D:D,internal_cansku_inventory!E:E,"",0,1))</f>
        <v/>
      </c>
    </row>
    <row r="419" spans="1:22" ht="12.45" customHeight="1">
      <c r="A419" s="132">
        <v>478</v>
      </c>
      <c r="B419" s="132">
        <v>0</v>
      </c>
      <c r="C419" s="132" t="str">
        <f>Table1[[#This Row],[inventory_id_head]]&amp;"-"&amp;Table1[[#This Row],[inventory_id_tail]]</f>
        <v>478-0</v>
      </c>
      <c r="D419" s="133" t="s">
        <v>653</v>
      </c>
      <c r="E419" s="133" t="s">
        <v>867</v>
      </c>
      <c r="F419" s="133" t="s">
        <v>868</v>
      </c>
      <c r="G419" s="133" t="str">
        <f t="shared" si="41"/>
        <v>RACK_BGRID_2</v>
      </c>
      <c r="H419" s="133" t="s">
        <v>368</v>
      </c>
      <c r="I419" s="133"/>
      <c r="J419" s="133" t="s">
        <v>1216</v>
      </c>
      <c r="K419" s="134" t="s">
        <v>655</v>
      </c>
      <c r="L419" s="148">
        <v>707</v>
      </c>
      <c r="M419" s="133" t="s">
        <v>858</v>
      </c>
      <c r="N419" s="136">
        <v>0.5</v>
      </c>
      <c r="O419" s="136">
        <v>589.20000000000005</v>
      </c>
      <c r="P419" s="136">
        <v>309.58</v>
      </c>
      <c r="Q419" s="137">
        <f t="shared" si="39"/>
        <v>353.5</v>
      </c>
      <c r="R419" s="133"/>
      <c r="S419" s="138">
        <v>45608.509027777778</v>
      </c>
      <c r="T419" s="133" t="s">
        <v>657</v>
      </c>
      <c r="U419" s="139" t="str">
        <f t="shared" si="40"/>
        <v>_preroll_bulk</v>
      </c>
      <c r="V419" s="140" t="str">
        <f>IF(U419="_","",_xlfn.XLOOKUP(U419,internal_cansku_inventory!D:D,internal_cansku_inventory!E:E,"",0,1))</f>
        <v/>
      </c>
    </row>
    <row r="420" spans="1:22" ht="12.45" customHeight="1">
      <c r="A420" s="132">
        <v>479</v>
      </c>
      <c r="B420" s="132">
        <v>0</v>
      </c>
      <c r="C420" s="132" t="str">
        <f>Table1[[#This Row],[inventory_id_head]]&amp;"-"&amp;Table1[[#This Row],[inventory_id_tail]]</f>
        <v>479-0</v>
      </c>
      <c r="D420" s="133" t="s">
        <v>653</v>
      </c>
      <c r="E420" s="133" t="s">
        <v>867</v>
      </c>
      <c r="F420" s="133" t="s">
        <v>868</v>
      </c>
      <c r="G420" s="133" t="str">
        <f t="shared" si="41"/>
        <v>RACK_BGRID_2</v>
      </c>
      <c r="H420" s="133" t="s">
        <v>368</v>
      </c>
      <c r="I420" s="133"/>
      <c r="J420" s="133" t="s">
        <v>1216</v>
      </c>
      <c r="K420" s="134" t="s">
        <v>655</v>
      </c>
      <c r="L420" s="148">
        <v>55</v>
      </c>
      <c r="M420" s="133" t="s">
        <v>858</v>
      </c>
      <c r="N420" s="136">
        <v>0.5</v>
      </c>
      <c r="O420" s="136">
        <v>589.20000000000005</v>
      </c>
      <c r="P420" s="136">
        <v>309.58</v>
      </c>
      <c r="Q420" s="137">
        <f t="shared" si="39"/>
        <v>27.5</v>
      </c>
      <c r="R420" s="133"/>
      <c r="S420" s="138">
        <v>45608.509027777778</v>
      </c>
      <c r="T420" s="133" t="s">
        <v>657</v>
      </c>
      <c r="U420" s="139" t="str">
        <f t="shared" si="40"/>
        <v>_preroll_bulk</v>
      </c>
      <c r="V420" s="140" t="str">
        <f>IF(U420="_","",_xlfn.XLOOKUP(U420,internal_cansku_inventory!D:D,internal_cansku_inventory!E:E,"",0,1))</f>
        <v/>
      </c>
    </row>
    <row r="421" spans="1:22" ht="12.45" customHeight="1">
      <c r="A421" s="132">
        <v>480</v>
      </c>
      <c r="B421" s="132">
        <v>0</v>
      </c>
      <c r="C421" s="132" t="str">
        <f>Table1[[#This Row],[inventory_id_head]]&amp;"-"&amp;Table1[[#This Row],[inventory_id_tail]]</f>
        <v>480-0</v>
      </c>
      <c r="D421" s="133" t="s">
        <v>653</v>
      </c>
      <c r="E421" s="133" t="s">
        <v>867</v>
      </c>
      <c r="F421" s="133" t="s">
        <v>868</v>
      </c>
      <c r="G421" s="133" t="str">
        <f t="shared" si="41"/>
        <v>RACK_BGRID_2</v>
      </c>
      <c r="H421" s="133" t="s">
        <v>368</v>
      </c>
      <c r="I421" s="133"/>
      <c r="J421" s="133" t="s">
        <v>1216</v>
      </c>
      <c r="K421" s="134" t="s">
        <v>655</v>
      </c>
      <c r="L421" s="148">
        <v>573</v>
      </c>
      <c r="M421" s="133" t="s">
        <v>858</v>
      </c>
      <c r="N421" s="136">
        <v>0.5</v>
      </c>
      <c r="O421" s="136">
        <v>589.20000000000005</v>
      </c>
      <c r="P421" s="136">
        <v>309.58</v>
      </c>
      <c r="Q421" s="137">
        <f t="shared" si="39"/>
        <v>286.5</v>
      </c>
      <c r="R421" s="133"/>
      <c r="S421" s="138">
        <v>45608.509027777778</v>
      </c>
      <c r="T421" s="133" t="s">
        <v>657</v>
      </c>
      <c r="U421" s="139" t="str">
        <f t="shared" si="40"/>
        <v>_preroll_bulk</v>
      </c>
      <c r="V421" s="140" t="str">
        <f>IF(U421="_","",_xlfn.XLOOKUP(U421,internal_cansku_inventory!D:D,internal_cansku_inventory!E:E,"",0,1))</f>
        <v/>
      </c>
    </row>
    <row r="422" spans="1:22" ht="12.45" customHeight="1">
      <c r="A422" s="132">
        <v>481</v>
      </c>
      <c r="B422" s="132">
        <v>0</v>
      </c>
      <c r="C422" s="132" t="str">
        <f>Table1[[#This Row],[inventory_id_head]]&amp;"-"&amp;Table1[[#This Row],[inventory_id_tail]]</f>
        <v>481-0</v>
      </c>
      <c r="D422" s="133" t="s">
        <v>653</v>
      </c>
      <c r="E422" s="133" t="s">
        <v>867</v>
      </c>
      <c r="F422" s="133" t="s">
        <v>868</v>
      </c>
      <c r="G422" s="133" t="str">
        <f t="shared" si="41"/>
        <v>RACK_BGRID_2</v>
      </c>
      <c r="H422" s="133" t="s">
        <v>368</v>
      </c>
      <c r="I422" s="133"/>
      <c r="J422" s="133" t="s">
        <v>1216</v>
      </c>
      <c r="K422" s="134" t="s">
        <v>655</v>
      </c>
      <c r="L422" s="148">
        <v>602</v>
      </c>
      <c r="M422" s="133" t="s">
        <v>858</v>
      </c>
      <c r="N422" s="136">
        <v>0.5</v>
      </c>
      <c r="O422" s="136">
        <v>589.20000000000005</v>
      </c>
      <c r="P422" s="136">
        <v>309.58</v>
      </c>
      <c r="Q422" s="137">
        <f t="shared" si="39"/>
        <v>301</v>
      </c>
      <c r="R422" s="133"/>
      <c r="S422" s="138">
        <v>45608.509027777778</v>
      </c>
      <c r="T422" s="133" t="s">
        <v>657</v>
      </c>
      <c r="U422" s="139" t="str">
        <f t="shared" si="40"/>
        <v>_preroll_bulk</v>
      </c>
      <c r="V422" s="140" t="str">
        <f>IF(U422="_","",_xlfn.XLOOKUP(U422,internal_cansku_inventory!D:D,internal_cansku_inventory!E:E,"",0,1))</f>
        <v/>
      </c>
    </row>
    <row r="423" spans="1:22" ht="12.45" customHeight="1">
      <c r="A423" s="132">
        <v>182</v>
      </c>
      <c r="B423" s="132">
        <v>0</v>
      </c>
      <c r="C423" s="132" t="str">
        <f>Table1[[#This Row],[inventory_id_head]]&amp;"-"&amp;Table1[[#This Row],[inventory_id_tail]]</f>
        <v>182-0</v>
      </c>
      <c r="D423" s="133" t="s">
        <v>680</v>
      </c>
      <c r="E423" s="133" t="s">
        <v>1217</v>
      </c>
      <c r="F423" s="133" t="s">
        <v>655</v>
      </c>
      <c r="G423" s="133" t="str">
        <f t="shared" ref="G423:G454" si="43">E423&amp;F423</f>
        <v>P001DFNA</v>
      </c>
      <c r="H423" s="133" t="s">
        <v>356</v>
      </c>
      <c r="I423" s="133"/>
      <c r="J423" s="133" t="s">
        <v>1129</v>
      </c>
      <c r="K423" s="134" t="s">
        <v>655</v>
      </c>
      <c r="L423" s="135">
        <v>1</v>
      </c>
      <c r="M423" s="133" t="s">
        <v>663</v>
      </c>
      <c r="N423" s="136">
        <f>O423-P423</f>
        <v>2004.7</v>
      </c>
      <c r="O423" s="136">
        <v>3815</v>
      </c>
      <c r="P423" s="136">
        <f>3545-1734.7</f>
        <v>1810.3</v>
      </c>
      <c r="Q423" s="137">
        <f t="shared" si="39"/>
        <v>2004.7</v>
      </c>
      <c r="R423" s="133"/>
      <c r="S423" s="138">
        <v>45608.524305555555</v>
      </c>
      <c r="T423" s="133" t="s">
        <v>664</v>
      </c>
      <c r="U423" s="139" t="str">
        <f t="shared" si="40"/>
        <v>_driedflower_milled_bulk</v>
      </c>
      <c r="V423" s="140" t="str">
        <f>IF(U423="_","",_xlfn.XLOOKUP(U423,internal_cansku_inventory!D:D,internal_cansku_inventory!E:E,"",0,1))</f>
        <v/>
      </c>
    </row>
    <row r="424" spans="1:22" ht="12.45" customHeight="1">
      <c r="A424" s="132">
        <v>482</v>
      </c>
      <c r="B424" s="132">
        <v>0</v>
      </c>
      <c r="C424" s="132" t="str">
        <f>Table1[[#This Row],[inventory_id_head]]&amp;"-"&amp;Table1[[#This Row],[inventory_id_tail]]</f>
        <v>482-0</v>
      </c>
      <c r="D424" s="133" t="s">
        <v>653</v>
      </c>
      <c r="E424" s="133" t="s">
        <v>1108</v>
      </c>
      <c r="F424" s="133" t="s">
        <v>55</v>
      </c>
      <c r="G424" s="133" t="str">
        <f t="shared" si="43"/>
        <v>T039PRNA</v>
      </c>
      <c r="H424" s="133" t="s">
        <v>308</v>
      </c>
      <c r="I424" s="133"/>
      <c r="J424" s="133" t="s">
        <v>1139</v>
      </c>
      <c r="K424" s="134">
        <v>45604</v>
      </c>
      <c r="L424" s="148">
        <v>60</v>
      </c>
      <c r="M424" s="133" t="s">
        <v>858</v>
      </c>
      <c r="N424" s="136">
        <v>0.5</v>
      </c>
      <c r="O424" s="136">
        <v>589.20000000000005</v>
      </c>
      <c r="P424" s="136">
        <v>309.58</v>
      </c>
      <c r="Q424" s="137">
        <f t="shared" si="39"/>
        <v>30</v>
      </c>
      <c r="R424" s="133"/>
      <c r="S424" s="138">
        <v>45608.529166666667</v>
      </c>
      <c r="T424" s="133" t="s">
        <v>657</v>
      </c>
      <c r="U424" s="139" t="str">
        <f t="shared" si="40"/>
        <v>_preroll_labelled</v>
      </c>
      <c r="V424" s="140" t="str">
        <f>IF(U424="_","",_xlfn.XLOOKUP(U424,internal_cansku_inventory!D:D,internal_cansku_inventory!E:E,"",0,1))</f>
        <v/>
      </c>
    </row>
    <row r="425" spans="1:22" ht="12.45" customHeight="1">
      <c r="A425" s="132">
        <v>484</v>
      </c>
      <c r="B425" s="132">
        <v>0</v>
      </c>
      <c r="C425" s="132" t="str">
        <f>Table1[[#This Row],[inventory_id_head]]&amp;"-"&amp;Table1[[#This Row],[inventory_id_tail]]</f>
        <v>484-0</v>
      </c>
      <c r="D425" s="133" t="s">
        <v>680</v>
      </c>
      <c r="E425" s="133" t="s">
        <v>1218</v>
      </c>
      <c r="F425" s="133" t="s">
        <v>655</v>
      </c>
      <c r="G425" s="133" t="str">
        <f t="shared" si="43"/>
        <v>T101EXNA</v>
      </c>
      <c r="H425" s="133" t="s">
        <v>304</v>
      </c>
      <c r="I425" s="133"/>
      <c r="J425" s="133" t="s">
        <v>1183</v>
      </c>
      <c r="K425" s="134">
        <v>45590</v>
      </c>
      <c r="L425" s="148">
        <v>64</v>
      </c>
      <c r="M425" s="133" t="s">
        <v>644</v>
      </c>
      <c r="N425" s="136">
        <v>27.3</v>
      </c>
      <c r="O425" s="136">
        <v>0</v>
      </c>
      <c r="P425" s="136">
        <v>0</v>
      </c>
      <c r="Q425" s="137">
        <f t="shared" si="39"/>
        <v>1747.2</v>
      </c>
      <c r="R425" s="133"/>
      <c r="S425" s="138">
        <v>45609.646527777775</v>
      </c>
      <c r="T425" s="133" t="s">
        <v>657</v>
      </c>
      <c r="U425" s="139" t="str">
        <f t="shared" si="40"/>
        <v>_extract_ingested_labelled</v>
      </c>
      <c r="V425" s="140" t="str">
        <f>IF(U425="_","",_xlfn.XLOOKUP(U425,internal_cansku_inventory!D:D,internal_cansku_inventory!E:E,"",0,1))</f>
        <v/>
      </c>
    </row>
    <row r="426" spans="1:22" ht="12.45" customHeight="1">
      <c r="A426" s="132">
        <v>485</v>
      </c>
      <c r="B426" s="132">
        <v>0</v>
      </c>
      <c r="C426" s="132" t="str">
        <f>Table1[[#This Row],[inventory_id_head]]&amp;"-"&amp;Table1[[#This Row],[inventory_id_tail]]</f>
        <v>485-0</v>
      </c>
      <c r="D426" s="133" t="s">
        <v>680</v>
      </c>
      <c r="E426" s="133" t="s">
        <v>1219</v>
      </c>
      <c r="F426" s="133" t="s">
        <v>655</v>
      </c>
      <c r="G426" s="133" t="str">
        <f t="shared" si="43"/>
        <v>T102EXNA</v>
      </c>
      <c r="H426" s="133" t="s">
        <v>304</v>
      </c>
      <c r="I426" s="133"/>
      <c r="J426" s="133" t="s">
        <v>1183</v>
      </c>
      <c r="K426" s="134">
        <v>45590</v>
      </c>
      <c r="L426" s="148">
        <v>84</v>
      </c>
      <c r="M426" s="133" t="s">
        <v>644</v>
      </c>
      <c r="N426" s="136">
        <v>27.3</v>
      </c>
      <c r="O426" s="136">
        <v>0</v>
      </c>
      <c r="P426" s="136">
        <v>0</v>
      </c>
      <c r="Q426" s="137">
        <f t="shared" ref="Q426:Q489" si="44">L426*N426</f>
        <v>2293.2000000000003</v>
      </c>
      <c r="R426" s="133"/>
      <c r="S426" s="138">
        <v>45609.646527777775</v>
      </c>
      <c r="T426" s="133" t="s">
        <v>657</v>
      </c>
      <c r="U426" s="139" t="str">
        <f t="shared" si="40"/>
        <v>_extract_ingested_labelled</v>
      </c>
      <c r="V426" s="140" t="str">
        <f>IF(U426="_","",_xlfn.XLOOKUP(U426,internal_cansku_inventory!D:D,internal_cansku_inventory!E:E,"",0,1))</f>
        <v/>
      </c>
    </row>
    <row r="427" spans="1:22" ht="12.45" customHeight="1">
      <c r="A427" s="132">
        <v>119</v>
      </c>
      <c r="B427" s="132">
        <v>0</v>
      </c>
      <c r="C427" s="132" t="str">
        <f>Table1[[#This Row],[inventory_id_head]]&amp;"-"&amp;Table1[[#This Row],[inventory_id_tail]]</f>
        <v>119-0</v>
      </c>
      <c r="D427" s="142" t="s">
        <v>653</v>
      </c>
      <c r="E427" s="133" t="s">
        <v>1220</v>
      </c>
      <c r="F427" s="133" t="s">
        <v>55</v>
      </c>
      <c r="G427" s="133" t="str">
        <f t="shared" si="43"/>
        <v>T013PRNA</v>
      </c>
      <c r="H427" s="133" t="s">
        <v>823</v>
      </c>
      <c r="I427" s="133"/>
      <c r="J427" s="133" t="s">
        <v>1221</v>
      </c>
      <c r="K427" s="134">
        <v>45443</v>
      </c>
      <c r="L427" s="143">
        <v>1622</v>
      </c>
      <c r="M427" s="133" t="s">
        <v>644</v>
      </c>
      <c r="N427" s="136">
        <v>0.5</v>
      </c>
      <c r="O427" s="144">
        <v>0</v>
      </c>
      <c r="P427" s="144">
        <v>0</v>
      </c>
      <c r="Q427" s="137">
        <f t="shared" si="44"/>
        <v>811</v>
      </c>
      <c r="R427" s="133"/>
      <c r="S427" s="138">
        <v>45609.652083333334</v>
      </c>
      <c r="T427" s="133" t="s">
        <v>670</v>
      </c>
      <c r="U427" s="139" t="str">
        <f t="shared" si="40"/>
        <v>_preroll_bulk</v>
      </c>
      <c r="V427" s="140" t="str">
        <f>IF(U427="_","",_xlfn.XLOOKUP(U427,internal_cansku_inventory!D:D,internal_cansku_inventory!E:E,"",0,1))</f>
        <v/>
      </c>
    </row>
    <row r="428" spans="1:22" ht="12.45" customHeight="1">
      <c r="A428" s="132">
        <v>487</v>
      </c>
      <c r="B428" s="132">
        <v>0</v>
      </c>
      <c r="C428" s="132" t="str">
        <f>Table1[[#This Row],[inventory_id_head]]&amp;"-"&amp;Table1[[#This Row],[inventory_id_tail]]</f>
        <v>487-0</v>
      </c>
      <c r="D428" s="133" t="s">
        <v>680</v>
      </c>
      <c r="E428" s="133" t="s">
        <v>867</v>
      </c>
      <c r="F428" s="133" t="s">
        <v>868</v>
      </c>
      <c r="G428" s="133" t="str">
        <f t="shared" si="43"/>
        <v>RACK_BGRID_2</v>
      </c>
      <c r="H428" s="133" t="s">
        <v>368</v>
      </c>
      <c r="I428" s="133"/>
      <c r="J428" s="133" t="s">
        <v>1214</v>
      </c>
      <c r="K428" s="134" t="s">
        <v>655</v>
      </c>
      <c r="L428" s="148">
        <v>718</v>
      </c>
      <c r="M428" s="133" t="s">
        <v>644</v>
      </c>
      <c r="N428" s="136">
        <v>0.5</v>
      </c>
      <c r="O428" s="136">
        <v>0</v>
      </c>
      <c r="P428" s="136">
        <v>0</v>
      </c>
      <c r="Q428" s="137">
        <f t="shared" si="44"/>
        <v>359</v>
      </c>
      <c r="R428" s="133"/>
      <c r="S428" s="138">
        <v>45609.663194444445</v>
      </c>
      <c r="T428" s="133" t="s">
        <v>657</v>
      </c>
      <c r="U428" s="139" t="str">
        <f t="shared" si="40"/>
        <v>_preroll_bulk</v>
      </c>
      <c r="V428" s="140" t="str">
        <f>IF(U428="_","",_xlfn.XLOOKUP(U428,internal_cansku_inventory!D:D,internal_cansku_inventory!E:E,"",0,1))</f>
        <v/>
      </c>
    </row>
    <row r="429" spans="1:22" ht="12.45" customHeight="1">
      <c r="A429" s="132">
        <v>488</v>
      </c>
      <c r="B429" s="132">
        <v>0</v>
      </c>
      <c r="C429" s="132" t="str">
        <f>Table1[[#This Row],[inventory_id_head]]&amp;"-"&amp;Table1[[#This Row],[inventory_id_tail]]</f>
        <v>488-0</v>
      </c>
      <c r="D429" s="133" t="s">
        <v>653</v>
      </c>
      <c r="E429" s="133" t="s">
        <v>867</v>
      </c>
      <c r="F429" s="133" t="s">
        <v>868</v>
      </c>
      <c r="G429" s="133" t="str">
        <f t="shared" si="43"/>
        <v>RACK_BGRID_2</v>
      </c>
      <c r="H429" s="133" t="s">
        <v>368</v>
      </c>
      <c r="I429" s="133"/>
      <c r="J429" s="133" t="s">
        <v>1214</v>
      </c>
      <c r="K429" s="134" t="s">
        <v>655</v>
      </c>
      <c r="L429" s="148">
        <v>242</v>
      </c>
      <c r="M429" s="133" t="s">
        <v>644</v>
      </c>
      <c r="N429" s="136">
        <v>0.5</v>
      </c>
      <c r="O429" s="136">
        <v>0</v>
      </c>
      <c r="P429" s="136">
        <v>0</v>
      </c>
      <c r="Q429" s="137">
        <f t="shared" si="44"/>
        <v>121</v>
      </c>
      <c r="R429" s="133"/>
      <c r="S429" s="138">
        <v>45609.663194444445</v>
      </c>
      <c r="T429" s="133" t="s">
        <v>657</v>
      </c>
      <c r="U429" s="139" t="str">
        <f t="shared" si="40"/>
        <v>_preroll_bulk</v>
      </c>
      <c r="V429" s="140" t="str">
        <f>IF(U429="_","",_xlfn.XLOOKUP(U429,internal_cansku_inventory!D:D,internal_cansku_inventory!E:E,"",0,1))</f>
        <v/>
      </c>
    </row>
    <row r="430" spans="1:22" ht="12.45" customHeight="1">
      <c r="A430" s="132">
        <v>489</v>
      </c>
      <c r="B430" s="132">
        <v>0</v>
      </c>
      <c r="C430" s="132" t="str">
        <f>Table1[[#This Row],[inventory_id_head]]&amp;"-"&amp;Table1[[#This Row],[inventory_id_tail]]</f>
        <v>489-0</v>
      </c>
      <c r="D430" s="133" t="s">
        <v>680</v>
      </c>
      <c r="E430" s="133" t="s">
        <v>867</v>
      </c>
      <c r="F430" s="133" t="s">
        <v>868</v>
      </c>
      <c r="G430" s="133" t="str">
        <f t="shared" si="43"/>
        <v>RACK_BGRID_2</v>
      </c>
      <c r="H430" s="133" t="s">
        <v>368</v>
      </c>
      <c r="I430" s="133"/>
      <c r="J430" s="133" t="s">
        <v>1214</v>
      </c>
      <c r="K430" s="134" t="s">
        <v>655</v>
      </c>
      <c r="L430" s="148">
        <v>847</v>
      </c>
      <c r="M430" s="133" t="s">
        <v>644</v>
      </c>
      <c r="N430" s="136">
        <v>0.5</v>
      </c>
      <c r="O430" s="136">
        <v>0</v>
      </c>
      <c r="P430" s="136">
        <v>0</v>
      </c>
      <c r="Q430" s="137">
        <f t="shared" si="44"/>
        <v>423.5</v>
      </c>
      <c r="R430" s="133"/>
      <c r="S430" s="138">
        <v>45609.663194444445</v>
      </c>
      <c r="T430" s="133" t="s">
        <v>657</v>
      </c>
      <c r="U430" s="139" t="str">
        <f t="shared" si="40"/>
        <v>_preroll_bulk</v>
      </c>
      <c r="V430" s="140" t="str">
        <f>IF(U430="_","",_xlfn.XLOOKUP(U430,internal_cansku_inventory!D:D,internal_cansku_inventory!E:E,"",0,1))</f>
        <v/>
      </c>
    </row>
    <row r="431" spans="1:22" ht="12.45" customHeight="1">
      <c r="A431" s="132">
        <v>214</v>
      </c>
      <c r="B431" s="132">
        <v>0</v>
      </c>
      <c r="C431" s="132" t="str">
        <f>Table1[[#This Row],[inventory_id_head]]&amp;"-"&amp;Table1[[#This Row],[inventory_id_tail]]</f>
        <v>214-0</v>
      </c>
      <c r="D431" s="133" t="s">
        <v>653</v>
      </c>
      <c r="E431" s="133" t="s">
        <v>1222</v>
      </c>
      <c r="F431" s="133" t="s">
        <v>655</v>
      </c>
      <c r="G431" s="133" t="str">
        <f t="shared" si="43"/>
        <v>T017EXNA</v>
      </c>
      <c r="H431" s="133" t="s">
        <v>861</v>
      </c>
      <c r="I431" s="133"/>
      <c r="J431" s="133" t="s">
        <v>934</v>
      </c>
      <c r="K431" s="134">
        <v>45596</v>
      </c>
      <c r="L431" s="135">
        <v>84</v>
      </c>
      <c r="M431" s="133" t="s">
        <v>644</v>
      </c>
      <c r="N431" s="136">
        <v>27.4</v>
      </c>
      <c r="O431" s="136">
        <v>0</v>
      </c>
      <c r="P431" s="136">
        <v>0</v>
      </c>
      <c r="Q431" s="137">
        <f t="shared" si="44"/>
        <v>2301.6</v>
      </c>
      <c r="R431" s="133"/>
      <c r="S431" s="138">
        <v>45609.665277777778</v>
      </c>
      <c r="T431" s="133" t="s">
        <v>670</v>
      </c>
      <c r="U431" s="139" t="str">
        <f t="shared" si="40"/>
        <v>_extract_ingested_labelled</v>
      </c>
      <c r="V431" s="140" t="str">
        <f>IF(U431="_","",_xlfn.XLOOKUP(U431,internal_cansku_inventory!D:D,internal_cansku_inventory!E:E,"",0,1))</f>
        <v/>
      </c>
    </row>
    <row r="432" spans="1:22" ht="12.45" customHeight="1">
      <c r="A432" s="132">
        <v>490</v>
      </c>
      <c r="B432" s="132">
        <v>0</v>
      </c>
      <c r="C432" s="132" t="str">
        <f>Table1[[#This Row],[inventory_id_head]]&amp;"-"&amp;Table1[[#This Row],[inventory_id_tail]]</f>
        <v>490-0</v>
      </c>
      <c r="D432" s="133" t="s">
        <v>653</v>
      </c>
      <c r="E432" s="133" t="s">
        <v>1223</v>
      </c>
      <c r="F432" s="133" t="s">
        <v>55</v>
      </c>
      <c r="G432" s="133" t="str">
        <f t="shared" si="43"/>
        <v>T104EXNA</v>
      </c>
      <c r="H432" s="133" t="s">
        <v>304</v>
      </c>
      <c r="I432" s="133"/>
      <c r="J432" s="133" t="s">
        <v>1192</v>
      </c>
      <c r="K432" s="134">
        <v>45588</v>
      </c>
      <c r="L432" s="148">
        <v>12</v>
      </c>
      <c r="M432" s="133" t="s">
        <v>644</v>
      </c>
      <c r="N432" s="136">
        <v>27.6</v>
      </c>
      <c r="O432" s="136">
        <v>0</v>
      </c>
      <c r="P432" s="136">
        <v>0</v>
      </c>
      <c r="Q432" s="137">
        <f t="shared" si="44"/>
        <v>331.20000000000005</v>
      </c>
      <c r="R432" s="133"/>
      <c r="S432" s="138">
        <v>45609.670138888891</v>
      </c>
      <c r="T432" s="133" t="s">
        <v>657</v>
      </c>
      <c r="U432" s="139" t="str">
        <f t="shared" si="40"/>
        <v>_extract_ingested_labelled</v>
      </c>
      <c r="V432" s="140" t="str">
        <f>IF(U432="_","",_xlfn.XLOOKUP(U432,internal_cansku_inventory!D:D,internal_cansku_inventory!E:E,"",0,1))</f>
        <v/>
      </c>
    </row>
    <row r="433" spans="1:22" ht="12.45" customHeight="1">
      <c r="A433" s="132">
        <v>492</v>
      </c>
      <c r="B433" s="132">
        <v>0</v>
      </c>
      <c r="C433" s="132" t="str">
        <f>Table1[[#This Row],[inventory_id_head]]&amp;"-"&amp;Table1[[#This Row],[inventory_id_tail]]</f>
        <v>492-0</v>
      </c>
      <c r="D433" s="133" t="s">
        <v>653</v>
      </c>
      <c r="E433" s="133" t="s">
        <v>655</v>
      </c>
      <c r="F433" s="133" t="s">
        <v>55</v>
      </c>
      <c r="G433" s="133" t="str">
        <f t="shared" si="43"/>
        <v>NANA</v>
      </c>
      <c r="H433" s="133" t="s">
        <v>343</v>
      </c>
      <c r="I433" s="133"/>
      <c r="J433" s="133">
        <v>2024110601</v>
      </c>
      <c r="K433" s="134" t="s">
        <v>655</v>
      </c>
      <c r="L433" s="148">
        <v>1</v>
      </c>
      <c r="M433" s="133" t="s">
        <v>858</v>
      </c>
      <c r="N433" s="136">
        <f>Table1[[#This Row],[gross_weight]]-Table1[[#This Row],[tare_weight]]</f>
        <v>3000</v>
      </c>
      <c r="O433" s="136">
        <v>3095</v>
      </c>
      <c r="P433" s="136">
        <v>95</v>
      </c>
      <c r="Q433" s="137">
        <f t="shared" si="44"/>
        <v>3000</v>
      </c>
      <c r="R433" s="133" t="s">
        <v>1225</v>
      </c>
      <c r="S433" s="138">
        <v>45609.686805555553</v>
      </c>
      <c r="T433" s="133" t="s">
        <v>978</v>
      </c>
      <c r="U433" s="139" t="str">
        <f t="shared" si="40"/>
        <v>_driedflower_bulk_BURB</v>
      </c>
      <c r="V433" s="140" t="str">
        <f>IF(U433="_","",_xlfn.XLOOKUP(U433,internal_cansku_inventory!D:D,internal_cansku_inventory!E:E,"",0,1))</f>
        <v/>
      </c>
    </row>
    <row r="434" spans="1:22" ht="12.45" customHeight="1">
      <c r="A434" s="132">
        <v>493</v>
      </c>
      <c r="B434" s="132">
        <v>0</v>
      </c>
      <c r="C434" s="132" t="str">
        <f>Table1[[#This Row],[inventory_id_head]]&amp;"-"&amp;Table1[[#This Row],[inventory_id_tail]]</f>
        <v>493-0</v>
      </c>
      <c r="D434" s="133" t="s">
        <v>680</v>
      </c>
      <c r="E434" s="133" t="s">
        <v>655</v>
      </c>
      <c r="F434" s="133" t="s">
        <v>55</v>
      </c>
      <c r="G434" s="133" t="str">
        <f t="shared" si="43"/>
        <v>NANA</v>
      </c>
      <c r="H434" s="133" t="s">
        <v>343</v>
      </c>
      <c r="I434" s="133"/>
      <c r="J434" s="133">
        <v>2024110601</v>
      </c>
      <c r="K434" s="134" t="s">
        <v>655</v>
      </c>
      <c r="L434" s="148">
        <v>1</v>
      </c>
      <c r="M434" s="133" t="s">
        <v>858</v>
      </c>
      <c r="N434" s="136">
        <f>Table1[[#This Row],[gross_weight]]-Table1[[#This Row],[tare_weight]]</f>
        <v>3000</v>
      </c>
      <c r="O434" s="136">
        <v>3092</v>
      </c>
      <c r="P434" s="136">
        <v>92</v>
      </c>
      <c r="Q434" s="137">
        <f t="shared" si="44"/>
        <v>3000</v>
      </c>
      <c r="R434" s="133" t="s">
        <v>1226</v>
      </c>
      <c r="S434" s="138">
        <v>45609.686805555553</v>
      </c>
      <c r="T434" s="133" t="s">
        <v>978</v>
      </c>
      <c r="U434" s="139" t="str">
        <f t="shared" si="40"/>
        <v>_driedflower_bulk_BURB</v>
      </c>
      <c r="V434" s="140" t="str">
        <f>IF(U434="_","",_xlfn.XLOOKUP(U434,internal_cansku_inventory!D:D,internal_cansku_inventory!E:E,"",0,1))</f>
        <v/>
      </c>
    </row>
    <row r="435" spans="1:22" ht="12.45" customHeight="1">
      <c r="A435" s="132">
        <v>494</v>
      </c>
      <c r="B435" s="132">
        <v>0</v>
      </c>
      <c r="C435" s="132" t="str">
        <f>Table1[[#This Row],[inventory_id_head]]&amp;"-"&amp;Table1[[#This Row],[inventory_id_tail]]</f>
        <v>494-0</v>
      </c>
      <c r="D435" s="133" t="s">
        <v>653</v>
      </c>
      <c r="E435" s="133" t="s">
        <v>655</v>
      </c>
      <c r="F435" s="133" t="s">
        <v>55</v>
      </c>
      <c r="G435" s="133" t="str">
        <f t="shared" si="43"/>
        <v>NANA</v>
      </c>
      <c r="H435" s="133" t="s">
        <v>343</v>
      </c>
      <c r="I435" s="133"/>
      <c r="J435" s="133">
        <v>2024110601</v>
      </c>
      <c r="K435" s="134" t="s">
        <v>655</v>
      </c>
      <c r="L435" s="148">
        <v>1</v>
      </c>
      <c r="M435" s="133" t="s">
        <v>858</v>
      </c>
      <c r="N435" s="136">
        <f>Table1[[#This Row],[gross_weight]]-Table1[[#This Row],[tare_weight]]</f>
        <v>3000</v>
      </c>
      <c r="O435" s="136">
        <v>3090</v>
      </c>
      <c r="P435" s="136">
        <v>90</v>
      </c>
      <c r="Q435" s="137">
        <f t="shared" si="44"/>
        <v>3000</v>
      </c>
      <c r="R435" s="133" t="s">
        <v>1227</v>
      </c>
      <c r="S435" s="138">
        <v>45609.686805555553</v>
      </c>
      <c r="T435" s="133" t="s">
        <v>978</v>
      </c>
      <c r="U435" s="139" t="str">
        <f t="shared" si="40"/>
        <v>_driedflower_bulk_BURB</v>
      </c>
      <c r="V435" s="140" t="str">
        <f>IF(U435="_","",_xlfn.XLOOKUP(U435,internal_cansku_inventory!D:D,internal_cansku_inventory!E:E,"",0,1))</f>
        <v/>
      </c>
    </row>
    <row r="436" spans="1:22" ht="12.45" customHeight="1">
      <c r="A436" s="132">
        <v>495</v>
      </c>
      <c r="B436" s="132">
        <v>0</v>
      </c>
      <c r="C436" s="132" t="str">
        <f>Table1[[#This Row],[inventory_id_head]]&amp;"-"&amp;Table1[[#This Row],[inventory_id_tail]]</f>
        <v>495-0</v>
      </c>
      <c r="D436" s="133" t="s">
        <v>680</v>
      </c>
      <c r="E436" s="133" t="s">
        <v>655</v>
      </c>
      <c r="F436" s="133" t="s">
        <v>55</v>
      </c>
      <c r="G436" s="133" t="str">
        <f t="shared" si="43"/>
        <v>NANA</v>
      </c>
      <c r="H436" s="133" t="s">
        <v>343</v>
      </c>
      <c r="I436" s="133"/>
      <c r="J436" s="133">
        <v>2024110601</v>
      </c>
      <c r="K436" s="134" t="s">
        <v>655</v>
      </c>
      <c r="L436" s="148">
        <v>1</v>
      </c>
      <c r="M436" s="133" t="s">
        <v>858</v>
      </c>
      <c r="N436" s="136">
        <f>Table1[[#This Row],[gross_weight]]-Table1[[#This Row],[tare_weight]]</f>
        <v>395</v>
      </c>
      <c r="O436" s="136">
        <v>484</v>
      </c>
      <c r="P436" s="136">
        <f>484-395</f>
        <v>89</v>
      </c>
      <c r="Q436" s="137">
        <f t="shared" si="44"/>
        <v>395</v>
      </c>
      <c r="R436" s="133" t="s">
        <v>1228</v>
      </c>
      <c r="S436" s="138">
        <v>45609.686805555553</v>
      </c>
      <c r="T436" s="133" t="s">
        <v>978</v>
      </c>
      <c r="U436" s="139" t="str">
        <f t="shared" si="40"/>
        <v>_driedflower_bulk_BURB</v>
      </c>
      <c r="V436" s="140" t="str">
        <f>IF(U436="_","",_xlfn.XLOOKUP(U436,internal_cansku_inventory!D:D,internal_cansku_inventory!E:E,"",0,1))</f>
        <v/>
      </c>
    </row>
    <row r="437" spans="1:22" ht="12.45" customHeight="1">
      <c r="A437" s="132">
        <v>496</v>
      </c>
      <c r="B437" s="132">
        <v>0</v>
      </c>
      <c r="C437" s="132" t="str">
        <f>Table1[[#This Row],[inventory_id_head]]&amp;"-"&amp;Table1[[#This Row],[inventory_id_tail]]</f>
        <v>496-0</v>
      </c>
      <c r="D437" s="133" t="s">
        <v>653</v>
      </c>
      <c r="E437" s="133" t="s">
        <v>655</v>
      </c>
      <c r="F437" s="133" t="s">
        <v>55</v>
      </c>
      <c r="G437" s="133" t="str">
        <f t="shared" si="43"/>
        <v>NANA</v>
      </c>
      <c r="H437" s="133" t="s">
        <v>343</v>
      </c>
      <c r="I437" s="133"/>
      <c r="J437" s="133">
        <v>2024110601</v>
      </c>
      <c r="K437" s="134" t="s">
        <v>655</v>
      </c>
      <c r="L437" s="148">
        <v>1</v>
      </c>
      <c r="M437" s="133" t="s">
        <v>858</v>
      </c>
      <c r="N437" s="136">
        <f>Table1[[#This Row],[gross_weight]]-Table1[[#This Row],[tare_weight]]</f>
        <v>3000</v>
      </c>
      <c r="O437" s="136">
        <v>3088</v>
      </c>
      <c r="P437" s="136">
        <v>88</v>
      </c>
      <c r="Q437" s="137">
        <f t="shared" si="44"/>
        <v>3000</v>
      </c>
      <c r="R437" s="133" t="s">
        <v>1229</v>
      </c>
      <c r="S437" s="138">
        <v>45609.686805555553</v>
      </c>
      <c r="T437" s="133" t="s">
        <v>978</v>
      </c>
      <c r="U437" s="139" t="str">
        <f t="shared" si="40"/>
        <v>_driedflower_bulk_BURB</v>
      </c>
      <c r="V437" s="140" t="str">
        <f>IF(U437="_","",_xlfn.XLOOKUP(U437,internal_cansku_inventory!D:D,internal_cansku_inventory!E:E,"",0,1))</f>
        <v/>
      </c>
    </row>
    <row r="438" spans="1:22" ht="12.45" customHeight="1">
      <c r="A438" s="132">
        <v>497</v>
      </c>
      <c r="B438" s="132">
        <v>0</v>
      </c>
      <c r="C438" s="132" t="str">
        <f>Table1[[#This Row],[inventory_id_head]]&amp;"-"&amp;Table1[[#This Row],[inventory_id_tail]]</f>
        <v>497-0</v>
      </c>
      <c r="D438" s="133" t="s">
        <v>680</v>
      </c>
      <c r="E438" s="133" t="s">
        <v>655</v>
      </c>
      <c r="F438" s="133" t="s">
        <v>55</v>
      </c>
      <c r="G438" s="133" t="str">
        <f t="shared" si="43"/>
        <v>NANA</v>
      </c>
      <c r="H438" s="133" t="s">
        <v>343</v>
      </c>
      <c r="I438" s="133"/>
      <c r="J438" s="133">
        <v>2024110601</v>
      </c>
      <c r="K438" s="134" t="s">
        <v>655</v>
      </c>
      <c r="L438" s="148">
        <v>1</v>
      </c>
      <c r="M438" s="133" t="s">
        <v>858</v>
      </c>
      <c r="N438" s="136">
        <f>Table1[[#This Row],[gross_weight]]-Table1[[#This Row],[tare_weight]]</f>
        <v>1741</v>
      </c>
      <c r="O438" s="136">
        <v>1834</v>
      </c>
      <c r="P438" s="136">
        <f>1834-1741</f>
        <v>93</v>
      </c>
      <c r="Q438" s="137">
        <f t="shared" si="44"/>
        <v>1741</v>
      </c>
      <c r="R438" s="133" t="s">
        <v>1230</v>
      </c>
      <c r="S438" s="138">
        <v>45609.686805555553</v>
      </c>
      <c r="T438" s="133" t="s">
        <v>978</v>
      </c>
      <c r="U438" s="139" t="str">
        <f t="shared" si="40"/>
        <v>_driedflower_bulk_BURB</v>
      </c>
      <c r="V438" s="140" t="str">
        <f>IF(U438="_","",_xlfn.XLOOKUP(U438,internal_cansku_inventory!D:D,internal_cansku_inventory!E:E,"",0,1))</f>
        <v/>
      </c>
    </row>
    <row r="439" spans="1:22" ht="12.45" customHeight="1">
      <c r="A439" s="132">
        <v>498</v>
      </c>
      <c r="B439" s="132">
        <v>0</v>
      </c>
      <c r="C439" s="132" t="str">
        <f>Table1[[#This Row],[inventory_id_head]]&amp;"-"&amp;Table1[[#This Row],[inventory_id_tail]]</f>
        <v>498-0</v>
      </c>
      <c r="D439" s="133" t="s">
        <v>680</v>
      </c>
      <c r="E439" s="133" t="s">
        <v>655</v>
      </c>
      <c r="F439" s="133" t="s">
        <v>55</v>
      </c>
      <c r="G439" s="133" t="str">
        <f t="shared" si="43"/>
        <v>NANA</v>
      </c>
      <c r="H439" s="133" t="s">
        <v>343</v>
      </c>
      <c r="I439" s="133"/>
      <c r="J439" s="133">
        <v>2024110601</v>
      </c>
      <c r="K439" s="134" t="s">
        <v>655</v>
      </c>
      <c r="L439" s="148">
        <v>1</v>
      </c>
      <c r="M439" s="133" t="s">
        <v>858</v>
      </c>
      <c r="N439" s="136">
        <f>Table1[[#This Row],[gross_weight]]-Table1[[#This Row],[tare_weight]]</f>
        <v>174</v>
      </c>
      <c r="O439" s="136">
        <v>218</v>
      </c>
      <c r="P439" s="136">
        <v>44</v>
      </c>
      <c r="Q439" s="137">
        <f t="shared" si="44"/>
        <v>174</v>
      </c>
      <c r="R439" s="133" t="s">
        <v>1231</v>
      </c>
      <c r="S439" s="138">
        <v>45609.686805555553</v>
      </c>
      <c r="T439" s="133" t="s">
        <v>978</v>
      </c>
      <c r="U439" s="139" t="str">
        <f t="shared" si="40"/>
        <v>_driedflower_bulk_BURB</v>
      </c>
      <c r="V439" s="140" t="str">
        <f>IF(U439="_","",_xlfn.XLOOKUP(U439,internal_cansku_inventory!D:D,internal_cansku_inventory!E:E,"",0,1))</f>
        <v/>
      </c>
    </row>
    <row r="440" spans="1:22" ht="12.45" customHeight="1">
      <c r="A440" s="132">
        <v>499</v>
      </c>
      <c r="B440" s="132">
        <v>0</v>
      </c>
      <c r="C440" s="132" t="str">
        <f>Table1[[#This Row],[inventory_id_head]]&amp;"-"&amp;Table1[[#This Row],[inventory_id_tail]]</f>
        <v>499-0</v>
      </c>
      <c r="D440" s="133" t="s">
        <v>653</v>
      </c>
      <c r="E440" s="133" t="s">
        <v>655</v>
      </c>
      <c r="F440" s="133" t="s">
        <v>55</v>
      </c>
      <c r="G440" s="133" t="str">
        <f t="shared" si="43"/>
        <v>NANA</v>
      </c>
      <c r="H440" s="133" t="s">
        <v>343</v>
      </c>
      <c r="I440" s="133"/>
      <c r="J440" s="133">
        <v>2024110601</v>
      </c>
      <c r="K440" s="134" t="s">
        <v>655</v>
      </c>
      <c r="L440" s="148">
        <v>1</v>
      </c>
      <c r="M440" s="133" t="s">
        <v>858</v>
      </c>
      <c r="N440" s="136">
        <f>Table1[[#This Row],[gross_weight]]-Table1[[#This Row],[tare_weight]]</f>
        <v>1553</v>
      </c>
      <c r="O440" s="136">
        <v>1640</v>
      </c>
      <c r="P440" s="136">
        <f>1640-1553</f>
        <v>87</v>
      </c>
      <c r="Q440" s="137">
        <f t="shared" si="44"/>
        <v>1553</v>
      </c>
      <c r="R440" s="133" t="s">
        <v>1232</v>
      </c>
      <c r="S440" s="138">
        <v>45609.686805555553</v>
      </c>
      <c r="T440" s="133" t="s">
        <v>978</v>
      </c>
      <c r="U440" s="139" t="str">
        <f t="shared" si="40"/>
        <v>_driedflower_bulk_BURB</v>
      </c>
      <c r="V440" s="140" t="str">
        <f>IF(U440="_","",_xlfn.XLOOKUP(U440,internal_cansku_inventory!D:D,internal_cansku_inventory!E:E,"",0,1))</f>
        <v/>
      </c>
    </row>
    <row r="441" spans="1:22" ht="12.45" customHeight="1">
      <c r="A441" s="132">
        <v>501</v>
      </c>
      <c r="B441" s="132">
        <v>0</v>
      </c>
      <c r="C441" s="132" t="str">
        <f>Table1[[#This Row],[inventory_id_head]]&amp;"-"&amp;Table1[[#This Row],[inventory_id_tail]]</f>
        <v>501-0</v>
      </c>
      <c r="D441" s="133" t="s">
        <v>680</v>
      </c>
      <c r="E441" s="133" t="s">
        <v>1233</v>
      </c>
      <c r="F441" s="133" t="s">
        <v>55</v>
      </c>
      <c r="G441" s="133" t="str">
        <f t="shared" si="43"/>
        <v>J029EXNA</v>
      </c>
      <c r="H441" s="133" t="s">
        <v>358</v>
      </c>
      <c r="I441" s="133"/>
      <c r="J441" s="133">
        <v>24111305</v>
      </c>
      <c r="K441" s="134" t="s">
        <v>655</v>
      </c>
      <c r="L441" s="148">
        <v>1</v>
      </c>
      <c r="M441" s="133" t="s">
        <v>967</v>
      </c>
      <c r="N441" s="136">
        <f>Table1[[#This Row],[gross_weight]]-Table1[[#This Row],[tare_weight]]</f>
        <v>1479</v>
      </c>
      <c r="O441" s="136">
        <v>2071.9</v>
      </c>
      <c r="P441" s="136">
        <v>592.9</v>
      </c>
      <c r="Q441" s="137">
        <f t="shared" si="44"/>
        <v>1479</v>
      </c>
      <c r="R441" s="133"/>
      <c r="S441" s="138">
        <v>45609.702777777777</v>
      </c>
      <c r="T441" s="133" t="s">
        <v>978</v>
      </c>
      <c r="U441" s="139" t="str">
        <f t="shared" si="40"/>
        <v>_extract_inhaled_bulk</v>
      </c>
      <c r="V441" s="140" t="str">
        <f>IF(U441="_","",_xlfn.XLOOKUP(U441,internal_cansku_inventory!D:D,internal_cansku_inventory!E:E,"",0,1))</f>
        <v/>
      </c>
    </row>
    <row r="442" spans="1:22" ht="12.45" customHeight="1">
      <c r="A442" s="132">
        <v>470</v>
      </c>
      <c r="B442" s="132">
        <v>0</v>
      </c>
      <c r="C442" s="132" t="str">
        <f>Table1[[#This Row],[inventory_id_head]]&amp;"-"&amp;Table1[[#This Row],[inventory_id_tail]]</f>
        <v>470-0</v>
      </c>
      <c r="D442" s="133" t="s">
        <v>680</v>
      </c>
      <c r="E442" s="133" t="s">
        <v>1234</v>
      </c>
      <c r="F442" s="133" t="s">
        <v>55</v>
      </c>
      <c r="G442" s="133" t="str">
        <f t="shared" si="43"/>
        <v>T098EXNA</v>
      </c>
      <c r="H442" s="133" t="s">
        <v>328</v>
      </c>
      <c r="I442" s="133"/>
      <c r="J442" s="133" t="s">
        <v>1206</v>
      </c>
      <c r="K442" s="134">
        <v>45603</v>
      </c>
      <c r="L442" s="148">
        <v>360</v>
      </c>
      <c r="M442" s="133" t="s">
        <v>858</v>
      </c>
      <c r="N442" s="136">
        <v>0.5</v>
      </c>
      <c r="O442" s="136">
        <v>589.20000000000005</v>
      </c>
      <c r="P442" s="136">
        <v>309.58</v>
      </c>
      <c r="Q442" s="137">
        <f t="shared" si="44"/>
        <v>180</v>
      </c>
      <c r="R442" s="133"/>
      <c r="S442" s="138">
        <v>45610.455555555556</v>
      </c>
      <c r="T442" s="133" t="s">
        <v>657</v>
      </c>
      <c r="U442" s="139" t="str">
        <f t="shared" si="40"/>
        <v>_extract_inhaled_labelled</v>
      </c>
      <c r="V442" s="140" t="str">
        <f>IF(U442="_","",_xlfn.XLOOKUP(U442,internal_cansku_inventory!D:D,internal_cansku_inventory!E:E,"",0,1))</f>
        <v/>
      </c>
    </row>
    <row r="443" spans="1:22" ht="12.45" customHeight="1">
      <c r="A443" s="132">
        <v>502</v>
      </c>
      <c r="B443" s="132">
        <v>0</v>
      </c>
      <c r="C443" s="132" t="str">
        <f>Table1[[#This Row],[inventory_id_head]]&amp;"-"&amp;Table1[[#This Row],[inventory_id_tail]]</f>
        <v>502-0</v>
      </c>
      <c r="D443" s="133" t="s">
        <v>653</v>
      </c>
      <c r="E443" s="133" t="s">
        <v>1203</v>
      </c>
      <c r="F443" s="133" t="s">
        <v>55</v>
      </c>
      <c r="G443" s="133" t="str">
        <f t="shared" si="43"/>
        <v>T046PRNA</v>
      </c>
      <c r="H443" s="133" t="s">
        <v>308</v>
      </c>
      <c r="I443" s="133"/>
      <c r="J443" s="133" t="s">
        <v>997</v>
      </c>
      <c r="K443" s="134">
        <v>45575</v>
      </c>
      <c r="L443" s="148">
        <v>282</v>
      </c>
      <c r="M443" s="133" t="s">
        <v>858</v>
      </c>
      <c r="N443" s="136">
        <v>1.5</v>
      </c>
      <c r="O443" s="136">
        <v>0</v>
      </c>
      <c r="P443" s="136">
        <v>0</v>
      </c>
      <c r="Q443" s="137">
        <f t="shared" si="44"/>
        <v>423</v>
      </c>
      <c r="R443" s="133"/>
      <c r="S443" s="138">
        <v>45610.494444444441</v>
      </c>
      <c r="T443" s="133" t="s">
        <v>657</v>
      </c>
      <c r="U443" s="139" t="str">
        <f t="shared" si="40"/>
        <v>_preroll_labelled</v>
      </c>
      <c r="V443" s="140" t="str">
        <f>IF(U443="_","",_xlfn.XLOOKUP(U443,internal_cansku_inventory!D:D,internal_cansku_inventory!E:E,"",0,1))</f>
        <v/>
      </c>
    </row>
    <row r="444" spans="1:22" ht="12.45" customHeight="1">
      <c r="A444" s="132">
        <v>124</v>
      </c>
      <c r="B444" s="132">
        <v>0</v>
      </c>
      <c r="C444" s="132" t="str">
        <f>Table1[[#This Row],[inventory_id_head]]&amp;"-"&amp;Table1[[#This Row],[inventory_id_tail]]</f>
        <v>124-0</v>
      </c>
      <c r="D444" s="133" t="s">
        <v>680</v>
      </c>
      <c r="E444" s="133" t="s">
        <v>1235</v>
      </c>
      <c r="F444" s="133" t="s">
        <v>55</v>
      </c>
      <c r="G444" s="133" t="str">
        <f t="shared" si="43"/>
        <v>T017PRNA</v>
      </c>
      <c r="H444" s="133" t="s">
        <v>813</v>
      </c>
      <c r="I444" s="133"/>
      <c r="J444" s="133" t="s">
        <v>828</v>
      </c>
      <c r="K444" s="20">
        <v>45593</v>
      </c>
      <c r="L444" s="135">
        <v>99</v>
      </c>
      <c r="M444" s="133" t="s">
        <v>644</v>
      </c>
      <c r="N444" s="136">
        <v>1</v>
      </c>
      <c r="O444" s="136">
        <v>0</v>
      </c>
      <c r="P444" s="136">
        <v>0</v>
      </c>
      <c r="Q444" s="137">
        <f t="shared" si="44"/>
        <v>99</v>
      </c>
      <c r="R444" s="133"/>
      <c r="S444" s="138">
        <v>45610.500694444447</v>
      </c>
      <c r="T444" s="133" t="s">
        <v>670</v>
      </c>
      <c r="U444" s="139" t="str">
        <f t="shared" si="40"/>
        <v>_preroll_labelled</v>
      </c>
      <c r="V444" s="140" t="str">
        <f>IF(U444="_","",_xlfn.XLOOKUP(U444,internal_cansku_inventory!D:D,internal_cansku_inventory!E:E,"",0,1))</f>
        <v/>
      </c>
    </row>
    <row r="445" spans="1:22" ht="12.45" customHeight="1">
      <c r="A445" s="132">
        <v>504</v>
      </c>
      <c r="B445" s="132">
        <v>0</v>
      </c>
      <c r="C445" s="132" t="str">
        <f>Table1[[#This Row],[inventory_id_head]]&amp;"-"&amp;Table1[[#This Row],[inventory_id_tail]]</f>
        <v>504-0</v>
      </c>
      <c r="D445" s="133" t="s">
        <v>680</v>
      </c>
      <c r="E445" s="133" t="s">
        <v>1236</v>
      </c>
      <c r="F445" s="133" t="s">
        <v>55</v>
      </c>
      <c r="G445" s="133" t="str">
        <f t="shared" si="43"/>
        <v>T052PRNA</v>
      </c>
      <c r="H445" s="133" t="s">
        <v>368</v>
      </c>
      <c r="I445" s="133"/>
      <c r="J445" s="133" t="s">
        <v>1216</v>
      </c>
      <c r="K445" s="134" t="s">
        <v>655</v>
      </c>
      <c r="L445" s="148">
        <v>605</v>
      </c>
      <c r="M445" s="133" t="s">
        <v>858</v>
      </c>
      <c r="N445" s="136">
        <v>0.5</v>
      </c>
      <c r="O445" s="136">
        <v>0</v>
      </c>
      <c r="P445" s="136">
        <v>0</v>
      </c>
      <c r="Q445" s="137">
        <f t="shared" si="44"/>
        <v>302.5</v>
      </c>
      <c r="R445" s="133"/>
      <c r="S445" s="138">
        <v>45610.694444444445</v>
      </c>
      <c r="T445" s="133" t="s">
        <v>657</v>
      </c>
      <c r="U445" s="139" t="str">
        <f t="shared" si="40"/>
        <v>_preroll_bulk</v>
      </c>
      <c r="V445" s="140" t="str">
        <f>IF(U445="_","",_xlfn.XLOOKUP(U445,internal_cansku_inventory!D:D,internal_cansku_inventory!E:E,"",0,1))</f>
        <v/>
      </c>
    </row>
    <row r="446" spans="1:22" ht="12.45" customHeight="1">
      <c r="A446" s="132">
        <v>273</v>
      </c>
      <c r="B446" s="132">
        <v>0</v>
      </c>
      <c r="C446" s="132" t="str">
        <f>Table1[[#This Row],[inventory_id_head]]&amp;"-"&amp;Table1[[#This Row],[inventory_id_tail]]</f>
        <v>273-0</v>
      </c>
      <c r="D446" s="133" t="s">
        <v>653</v>
      </c>
      <c r="E446" s="133" t="s">
        <v>1237</v>
      </c>
      <c r="F446" s="133" t="s">
        <v>655</v>
      </c>
      <c r="G446" s="133" t="str">
        <f t="shared" si="43"/>
        <v>T026DFNA</v>
      </c>
      <c r="H446" s="133" t="s">
        <v>956</v>
      </c>
      <c r="I446" s="133"/>
      <c r="J446" s="133" t="s">
        <v>957</v>
      </c>
      <c r="K446" s="134">
        <v>45616</v>
      </c>
      <c r="L446" s="135">
        <v>135</v>
      </c>
      <c r="M446" s="133" t="s">
        <v>858</v>
      </c>
      <c r="N446" s="136">
        <v>3.5</v>
      </c>
      <c r="O446" s="136">
        <v>0</v>
      </c>
      <c r="P446" s="136">
        <v>0</v>
      </c>
      <c r="Q446" s="137">
        <f t="shared" si="44"/>
        <v>472.5</v>
      </c>
      <c r="R446" s="133"/>
      <c r="S446" s="138">
        <v>45617.543055555558</v>
      </c>
      <c r="T446" s="133" t="s">
        <v>657</v>
      </c>
      <c r="U446" s="139" t="str">
        <f t="shared" si="40"/>
        <v>_driedflower_labelled_RTV</v>
      </c>
      <c r="V446" s="140" t="str">
        <f>IF(U446="_","",_xlfn.XLOOKUP(U446,internal_cansku_inventory!D:D,internal_cansku_inventory!E:E,"",0,1))</f>
        <v/>
      </c>
    </row>
    <row r="447" spans="1:22" ht="12.45" customHeight="1">
      <c r="A447" s="132">
        <v>519</v>
      </c>
      <c r="B447" s="132">
        <v>0</v>
      </c>
      <c r="C447" s="132" t="str">
        <f>Table1[[#This Row],[inventory_id_head]]&amp;"-"&amp;Table1[[#This Row],[inventory_id_tail]]</f>
        <v>519-0</v>
      </c>
      <c r="D447" s="133" t="s">
        <v>680</v>
      </c>
      <c r="E447" s="133" t="s">
        <v>1238</v>
      </c>
      <c r="F447" s="133" t="s">
        <v>655</v>
      </c>
      <c r="G447" s="133" t="str">
        <f t="shared" si="43"/>
        <v>J032EXNA</v>
      </c>
      <c r="H447" s="133" t="s">
        <v>358</v>
      </c>
      <c r="I447" s="133"/>
      <c r="J447" s="133" t="s">
        <v>1240</v>
      </c>
      <c r="K447" s="134" t="s">
        <v>655</v>
      </c>
      <c r="L447" s="148">
        <v>1</v>
      </c>
      <c r="M447" s="133" t="s">
        <v>967</v>
      </c>
      <c r="N447" s="136">
        <f>Table1[[#This Row],[gross_weight]]-Table1[[#This Row],[tare_weight]]</f>
        <v>300.63</v>
      </c>
      <c r="O447" s="136">
        <v>608.5</v>
      </c>
      <c r="P447" s="136">
        <v>307.87</v>
      </c>
      <c r="Q447" s="137">
        <f t="shared" si="44"/>
        <v>300.63</v>
      </c>
      <c r="R447" s="133"/>
      <c r="S447" s="138">
        <v>45618.45208333333</v>
      </c>
      <c r="T447" s="133" t="s">
        <v>978</v>
      </c>
      <c r="U447" s="139" t="str">
        <f t="shared" si="40"/>
        <v>_extract_inhaled_bulk</v>
      </c>
      <c r="V447" s="140" t="str">
        <f>IF(U447="_","",_xlfn.XLOOKUP(U447,internal_cansku_inventory!D:D,internal_cansku_inventory!E:E,"",0,1))</f>
        <v/>
      </c>
    </row>
    <row r="448" spans="1:22" ht="12.45" customHeight="1">
      <c r="A448" s="132">
        <v>500</v>
      </c>
      <c r="B448" s="132">
        <v>0</v>
      </c>
      <c r="C448" s="132" t="str">
        <f>Table1[[#This Row],[inventory_id_head]]&amp;"-"&amp;Table1[[#This Row],[inventory_id_tail]]</f>
        <v>500-0</v>
      </c>
      <c r="D448" s="133" t="s">
        <v>680</v>
      </c>
      <c r="E448" s="133" t="s">
        <v>1241</v>
      </c>
      <c r="F448" s="133" t="s">
        <v>55</v>
      </c>
      <c r="G448" s="133" t="str">
        <f t="shared" si="43"/>
        <v>J028EXNA</v>
      </c>
      <c r="H448" s="133" t="s">
        <v>358</v>
      </c>
      <c r="I448" s="133"/>
      <c r="J448" s="133">
        <v>24111304</v>
      </c>
      <c r="K448" s="134" t="s">
        <v>655</v>
      </c>
      <c r="L448" s="148">
        <v>1</v>
      </c>
      <c r="M448" s="133" t="s">
        <v>967</v>
      </c>
      <c r="N448" s="136">
        <f>Table1[[#This Row],[gross_weight]]-Table1[[#This Row],[tare_weight]]</f>
        <v>1472.8000000000002</v>
      </c>
      <c r="O448" s="136">
        <v>2076.8000000000002</v>
      </c>
      <c r="P448" s="136">
        <v>604</v>
      </c>
      <c r="Q448" s="137">
        <f t="shared" si="44"/>
        <v>1472.8000000000002</v>
      </c>
      <c r="R448" s="133"/>
      <c r="S448" s="138">
        <v>45618.484027777777</v>
      </c>
      <c r="T448" s="133" t="s">
        <v>978</v>
      </c>
      <c r="U448" s="139" t="str">
        <f t="shared" si="40"/>
        <v>_extract_inhaled_bulk</v>
      </c>
      <c r="V448" s="140" t="str">
        <f>IF(U448="_","",_xlfn.XLOOKUP(U448,internal_cansku_inventory!D:D,internal_cansku_inventory!E:E,"",0,1))</f>
        <v/>
      </c>
    </row>
    <row r="449" spans="1:22" ht="12.45" customHeight="1">
      <c r="A449" s="132">
        <v>508</v>
      </c>
      <c r="B449" s="132">
        <v>0</v>
      </c>
      <c r="C449" s="132" t="str">
        <f>Table1[[#This Row],[inventory_id_head]]&amp;"-"&amp;Table1[[#This Row],[inventory_id_tail]]</f>
        <v>508-0</v>
      </c>
      <c r="D449" s="133" t="s">
        <v>680</v>
      </c>
      <c r="E449" s="133" t="s">
        <v>655</v>
      </c>
      <c r="F449" s="133" t="s">
        <v>655</v>
      </c>
      <c r="G449" s="133" t="str">
        <f t="shared" si="43"/>
        <v>NANA</v>
      </c>
      <c r="H449" s="133" t="s">
        <v>365</v>
      </c>
      <c r="I449" s="133"/>
      <c r="J449" s="133">
        <v>2024111802</v>
      </c>
      <c r="K449" s="134" t="s">
        <v>655</v>
      </c>
      <c r="L449" s="148">
        <v>1</v>
      </c>
      <c r="M449" s="133" t="s">
        <v>1012</v>
      </c>
      <c r="N449" s="136">
        <f>Table1[[#This Row],[gross_weight]]-Table1[[#This Row],[tare_weight]]</f>
        <v>1945</v>
      </c>
      <c r="O449" s="136">
        <v>2030</v>
      </c>
      <c r="P449" s="136">
        <f>2030-1945</f>
        <v>85</v>
      </c>
      <c r="Q449" s="137">
        <f t="shared" si="44"/>
        <v>1945</v>
      </c>
      <c r="R449" s="133" t="s">
        <v>1242</v>
      </c>
      <c r="S449" s="138">
        <v>45618.498611111114</v>
      </c>
      <c r="T449" s="133" t="s">
        <v>978</v>
      </c>
      <c r="U449" s="139" t="str">
        <f t="shared" si="40"/>
        <v>_driedflower_bulk</v>
      </c>
      <c r="V449" s="140" t="str">
        <f>IF(U449="_","",_xlfn.XLOOKUP(U449,internal_cansku_inventory!D:D,internal_cansku_inventory!E:E,"",0,1))</f>
        <v/>
      </c>
    </row>
    <row r="450" spans="1:22" ht="12.45" customHeight="1">
      <c r="A450" s="132">
        <v>509</v>
      </c>
      <c r="B450" s="132">
        <v>0</v>
      </c>
      <c r="C450" s="132" t="str">
        <f>Table1[[#This Row],[inventory_id_head]]&amp;"-"&amp;Table1[[#This Row],[inventory_id_tail]]</f>
        <v>509-0</v>
      </c>
      <c r="D450" s="133" t="s">
        <v>680</v>
      </c>
      <c r="E450" s="133" t="s">
        <v>655</v>
      </c>
      <c r="F450" s="133" t="s">
        <v>655</v>
      </c>
      <c r="G450" s="133" t="str">
        <f t="shared" si="43"/>
        <v>NANA</v>
      </c>
      <c r="H450" s="133" t="s">
        <v>365</v>
      </c>
      <c r="I450" s="133"/>
      <c r="J450" s="133">
        <v>2024111802</v>
      </c>
      <c r="K450" s="134" t="s">
        <v>655</v>
      </c>
      <c r="L450" s="148">
        <v>1</v>
      </c>
      <c r="M450" s="133" t="s">
        <v>1012</v>
      </c>
      <c r="N450" s="136">
        <f>Table1[[#This Row],[gross_weight]]-Table1[[#This Row],[tare_weight]]</f>
        <v>3000</v>
      </c>
      <c r="O450" s="136">
        <v>3085</v>
      </c>
      <c r="P450" s="136">
        <v>85</v>
      </c>
      <c r="Q450" s="137">
        <f t="shared" si="44"/>
        <v>3000</v>
      </c>
      <c r="R450" s="133" t="s">
        <v>1243</v>
      </c>
      <c r="S450" s="138">
        <v>45618.498611111114</v>
      </c>
      <c r="T450" s="133" t="s">
        <v>978</v>
      </c>
      <c r="U450" s="139" t="str">
        <f t="shared" si="40"/>
        <v>_driedflower_bulk</v>
      </c>
      <c r="V450" s="140" t="str">
        <f>IF(U450="_","",_xlfn.XLOOKUP(U450,internal_cansku_inventory!D:D,internal_cansku_inventory!E:E,"",0,1))</f>
        <v/>
      </c>
    </row>
    <row r="451" spans="1:22" ht="12.45" customHeight="1">
      <c r="A451" s="132">
        <v>510</v>
      </c>
      <c r="B451" s="132">
        <v>0</v>
      </c>
      <c r="C451" s="132" t="str">
        <f>Table1[[#This Row],[inventory_id_head]]&amp;"-"&amp;Table1[[#This Row],[inventory_id_tail]]</f>
        <v>510-0</v>
      </c>
      <c r="D451" s="133" t="s">
        <v>680</v>
      </c>
      <c r="E451" s="133" t="s">
        <v>655</v>
      </c>
      <c r="F451" s="133" t="s">
        <v>655</v>
      </c>
      <c r="G451" s="133" t="str">
        <f t="shared" si="43"/>
        <v>NANA</v>
      </c>
      <c r="H451" s="133" t="s">
        <v>365</v>
      </c>
      <c r="I451" s="133"/>
      <c r="J451" s="133">
        <v>2024111802</v>
      </c>
      <c r="K451" s="134" t="s">
        <v>655</v>
      </c>
      <c r="L451" s="148">
        <v>1</v>
      </c>
      <c r="M451" s="133" t="s">
        <v>1012</v>
      </c>
      <c r="N451" s="136">
        <f>Table1[[#This Row],[gross_weight]]-Table1[[#This Row],[tare_weight]]</f>
        <v>3000</v>
      </c>
      <c r="O451" s="136">
        <v>3085</v>
      </c>
      <c r="P451" s="136">
        <v>85</v>
      </c>
      <c r="Q451" s="137">
        <f t="shared" si="44"/>
        <v>3000</v>
      </c>
      <c r="R451" s="133" t="s">
        <v>1244</v>
      </c>
      <c r="S451" s="138">
        <v>45618.498611111114</v>
      </c>
      <c r="T451" s="133" t="s">
        <v>978</v>
      </c>
      <c r="U451" s="139" t="str">
        <f t="shared" si="40"/>
        <v>_driedflower_bulk</v>
      </c>
      <c r="V451" s="140" t="str">
        <f>IF(U451="_","",_xlfn.XLOOKUP(U451,internal_cansku_inventory!D:D,internal_cansku_inventory!E:E,"",0,1))</f>
        <v/>
      </c>
    </row>
    <row r="452" spans="1:22" ht="12.45" customHeight="1">
      <c r="A452" s="132">
        <v>511</v>
      </c>
      <c r="B452" s="132">
        <v>0</v>
      </c>
      <c r="C452" s="132" t="str">
        <f>Table1[[#This Row],[inventory_id_head]]&amp;"-"&amp;Table1[[#This Row],[inventory_id_tail]]</f>
        <v>511-0</v>
      </c>
      <c r="D452" s="153" t="s">
        <v>680</v>
      </c>
      <c r="E452" s="133" t="s">
        <v>655</v>
      </c>
      <c r="F452" s="133" t="s">
        <v>655</v>
      </c>
      <c r="G452" s="133" t="str">
        <f t="shared" si="43"/>
        <v>NANA</v>
      </c>
      <c r="H452" s="133" t="s">
        <v>365</v>
      </c>
      <c r="I452" s="133"/>
      <c r="J452" s="133">
        <v>2024111802</v>
      </c>
      <c r="K452" s="134" t="s">
        <v>655</v>
      </c>
      <c r="L452" s="148">
        <v>1</v>
      </c>
      <c r="M452" s="133" t="s">
        <v>1012</v>
      </c>
      <c r="N452" s="136">
        <f>Table1[[#This Row],[gross_weight]]-Table1[[#This Row],[tare_weight]]</f>
        <v>3000</v>
      </c>
      <c r="O452" s="136">
        <v>3085</v>
      </c>
      <c r="P452" s="136">
        <v>85</v>
      </c>
      <c r="Q452" s="137">
        <f t="shared" si="44"/>
        <v>3000</v>
      </c>
      <c r="R452" s="133" t="s">
        <v>1245</v>
      </c>
      <c r="S452" s="138">
        <v>45618.498611111114</v>
      </c>
      <c r="T452" s="133" t="s">
        <v>978</v>
      </c>
      <c r="U452" s="139" t="str">
        <f t="shared" si="40"/>
        <v>_driedflower_bulk</v>
      </c>
      <c r="V452" s="140" t="str">
        <f>IF(U452="_","",_xlfn.XLOOKUP(U452,internal_cansku_inventory!D:D,internal_cansku_inventory!E:E,"",0,1))</f>
        <v/>
      </c>
    </row>
    <row r="453" spans="1:22" ht="12.45" customHeight="1">
      <c r="A453" s="132">
        <v>512</v>
      </c>
      <c r="B453" s="132">
        <v>0</v>
      </c>
      <c r="C453" s="132" t="str">
        <f>Table1[[#This Row],[inventory_id_head]]&amp;"-"&amp;Table1[[#This Row],[inventory_id_tail]]</f>
        <v>512-0</v>
      </c>
      <c r="D453" s="153" t="s">
        <v>680</v>
      </c>
      <c r="E453" s="133" t="s">
        <v>655</v>
      </c>
      <c r="F453" s="133" t="s">
        <v>655</v>
      </c>
      <c r="G453" s="133" t="str">
        <f t="shared" si="43"/>
        <v>NANA</v>
      </c>
      <c r="H453" s="133" t="s">
        <v>365</v>
      </c>
      <c r="I453" s="133"/>
      <c r="J453" s="133">
        <v>2024111801</v>
      </c>
      <c r="K453" s="134" t="s">
        <v>655</v>
      </c>
      <c r="L453" s="148">
        <v>1</v>
      </c>
      <c r="M453" s="133" t="s">
        <v>1012</v>
      </c>
      <c r="N453" s="136">
        <f>Table1[[#This Row],[gross_weight]]-Table1[[#This Row],[tare_weight]]</f>
        <v>3000</v>
      </c>
      <c r="O453" s="136">
        <v>3085</v>
      </c>
      <c r="P453" s="136">
        <v>85</v>
      </c>
      <c r="Q453" s="137">
        <f t="shared" si="44"/>
        <v>3000</v>
      </c>
      <c r="R453" s="133" t="s">
        <v>1246</v>
      </c>
      <c r="S453" s="138">
        <v>45618.498611111114</v>
      </c>
      <c r="T453" s="133" t="s">
        <v>978</v>
      </c>
      <c r="U453" s="139" t="str">
        <f t="shared" si="40"/>
        <v>_driedflower_bulk</v>
      </c>
      <c r="V453" s="140" t="str">
        <f>IF(U453="_","",_xlfn.XLOOKUP(U453,internal_cansku_inventory!D:D,internal_cansku_inventory!E:E,"",0,1))</f>
        <v/>
      </c>
    </row>
    <row r="454" spans="1:22" ht="12.45" customHeight="1">
      <c r="A454" s="132">
        <v>513</v>
      </c>
      <c r="B454" s="132">
        <v>0</v>
      </c>
      <c r="C454" s="132" t="str">
        <f>Table1[[#This Row],[inventory_id_head]]&amp;"-"&amp;Table1[[#This Row],[inventory_id_tail]]</f>
        <v>513-0</v>
      </c>
      <c r="D454" s="153" t="s">
        <v>653</v>
      </c>
      <c r="E454" s="133" t="s">
        <v>655</v>
      </c>
      <c r="F454" s="133" t="s">
        <v>655</v>
      </c>
      <c r="G454" s="133" t="str">
        <f t="shared" si="43"/>
        <v>NANA</v>
      </c>
      <c r="H454" s="133" t="s">
        <v>365</v>
      </c>
      <c r="I454" s="133"/>
      <c r="J454" s="133">
        <v>2024111801</v>
      </c>
      <c r="K454" s="134" t="s">
        <v>655</v>
      </c>
      <c r="L454" s="148">
        <v>1</v>
      </c>
      <c r="M454" s="133" t="s">
        <v>1012</v>
      </c>
      <c r="N454" s="136">
        <f>Table1[[#This Row],[gross_weight]]-Table1[[#This Row],[tare_weight]]</f>
        <v>3000</v>
      </c>
      <c r="O454" s="136">
        <v>3085</v>
      </c>
      <c r="P454" s="136">
        <v>85</v>
      </c>
      <c r="Q454" s="137">
        <f t="shared" si="44"/>
        <v>3000</v>
      </c>
      <c r="R454" s="133" t="s">
        <v>1247</v>
      </c>
      <c r="S454" s="138">
        <v>45618.498611111114</v>
      </c>
      <c r="T454" s="133" t="s">
        <v>978</v>
      </c>
      <c r="U454" s="139" t="str">
        <f t="shared" ref="U454:U517" si="45">I454&amp;"_"&amp;H454</f>
        <v>_driedflower_bulk</v>
      </c>
      <c r="V454" s="140" t="str">
        <f>IF(U454="_","",_xlfn.XLOOKUP(U454,internal_cansku_inventory!D:D,internal_cansku_inventory!E:E,"",0,1))</f>
        <v/>
      </c>
    </row>
    <row r="455" spans="1:22" ht="12.45" customHeight="1">
      <c r="A455" s="132">
        <v>514</v>
      </c>
      <c r="B455" s="132">
        <v>0</v>
      </c>
      <c r="C455" s="132" t="str">
        <f>Table1[[#This Row],[inventory_id_head]]&amp;"-"&amp;Table1[[#This Row],[inventory_id_tail]]</f>
        <v>514-0</v>
      </c>
      <c r="D455" s="153" t="s">
        <v>653</v>
      </c>
      <c r="E455" s="133" t="s">
        <v>655</v>
      </c>
      <c r="F455" s="133" t="s">
        <v>655</v>
      </c>
      <c r="G455" s="133" t="str">
        <f t="shared" ref="G455:G460" si="46">E455&amp;F455</f>
        <v>NANA</v>
      </c>
      <c r="H455" s="133" t="s">
        <v>365</v>
      </c>
      <c r="I455" s="133"/>
      <c r="J455" s="133">
        <v>2024111801</v>
      </c>
      <c r="K455" s="134" t="s">
        <v>655</v>
      </c>
      <c r="L455" s="148">
        <v>1</v>
      </c>
      <c r="M455" s="133" t="s">
        <v>1012</v>
      </c>
      <c r="N455" s="136">
        <f>Table1[[#This Row],[gross_weight]]-Table1[[#This Row],[tare_weight]]</f>
        <v>3000</v>
      </c>
      <c r="O455" s="136">
        <v>3085</v>
      </c>
      <c r="P455" s="136">
        <v>85</v>
      </c>
      <c r="Q455" s="137">
        <f t="shared" si="44"/>
        <v>3000</v>
      </c>
      <c r="R455" s="133" t="s">
        <v>1248</v>
      </c>
      <c r="S455" s="138">
        <v>45618.498611111114</v>
      </c>
      <c r="T455" s="133" t="s">
        <v>978</v>
      </c>
      <c r="U455" s="139" t="str">
        <f t="shared" si="45"/>
        <v>_driedflower_bulk</v>
      </c>
      <c r="V455" s="140" t="str">
        <f>IF(U455="_","",_xlfn.XLOOKUP(U455,internal_cansku_inventory!D:D,internal_cansku_inventory!E:E,"",0,1))</f>
        <v/>
      </c>
    </row>
    <row r="456" spans="1:22" ht="12.45" customHeight="1">
      <c r="A456" s="132">
        <v>515</v>
      </c>
      <c r="B456" s="132">
        <v>0</v>
      </c>
      <c r="C456" s="132" t="str">
        <f>Table1[[#This Row],[inventory_id_head]]&amp;"-"&amp;Table1[[#This Row],[inventory_id_tail]]</f>
        <v>515-0</v>
      </c>
      <c r="D456" s="153" t="s">
        <v>680</v>
      </c>
      <c r="E456" s="133" t="s">
        <v>655</v>
      </c>
      <c r="F456" s="133" t="s">
        <v>655</v>
      </c>
      <c r="G456" s="133" t="str">
        <f t="shared" si="46"/>
        <v>NANA</v>
      </c>
      <c r="H456" s="133" t="s">
        <v>365</v>
      </c>
      <c r="I456" s="133"/>
      <c r="J456" s="133">
        <v>2024111801</v>
      </c>
      <c r="K456" s="134" t="s">
        <v>655</v>
      </c>
      <c r="L456" s="148">
        <v>1</v>
      </c>
      <c r="M456" s="133" t="s">
        <v>1012</v>
      </c>
      <c r="N456" s="136">
        <f>Table1[[#This Row],[gross_weight]]-Table1[[#This Row],[tare_weight]]</f>
        <v>3000</v>
      </c>
      <c r="O456" s="136">
        <v>3085</v>
      </c>
      <c r="P456" s="136">
        <v>85</v>
      </c>
      <c r="Q456" s="137">
        <f t="shared" si="44"/>
        <v>3000</v>
      </c>
      <c r="R456" s="133" t="s">
        <v>1249</v>
      </c>
      <c r="S456" s="138">
        <v>45618.498611111114</v>
      </c>
      <c r="T456" s="133" t="s">
        <v>978</v>
      </c>
      <c r="U456" s="139" t="str">
        <f t="shared" si="45"/>
        <v>_driedflower_bulk</v>
      </c>
      <c r="V456" s="140" t="str">
        <f>IF(U456="_","",_xlfn.XLOOKUP(U456,internal_cansku_inventory!D:D,internal_cansku_inventory!E:E,"",0,1))</f>
        <v/>
      </c>
    </row>
    <row r="457" spans="1:22" ht="12.45" customHeight="1">
      <c r="A457" s="132">
        <v>516</v>
      </c>
      <c r="B457" s="132">
        <v>0</v>
      </c>
      <c r="C457" s="132" t="str">
        <f>Table1[[#This Row],[inventory_id_head]]&amp;"-"&amp;Table1[[#This Row],[inventory_id_tail]]</f>
        <v>516-0</v>
      </c>
      <c r="D457" s="153" t="s">
        <v>680</v>
      </c>
      <c r="E457" s="133" t="s">
        <v>655</v>
      </c>
      <c r="F457" s="133" t="s">
        <v>655</v>
      </c>
      <c r="G457" s="133" t="str">
        <f t="shared" si="46"/>
        <v>NANA</v>
      </c>
      <c r="H457" s="133" t="s">
        <v>365</v>
      </c>
      <c r="I457" s="133"/>
      <c r="J457" s="133">
        <v>2024111801</v>
      </c>
      <c r="K457" s="134" t="s">
        <v>655</v>
      </c>
      <c r="L457" s="148">
        <v>1</v>
      </c>
      <c r="M457" s="133" t="s">
        <v>1012</v>
      </c>
      <c r="N457" s="136">
        <f>Table1[[#This Row],[gross_weight]]-Table1[[#This Row],[tare_weight]]</f>
        <v>3159</v>
      </c>
      <c r="O457" s="136">
        <v>3245</v>
      </c>
      <c r="P457" s="136">
        <f>3245-3159</f>
        <v>86</v>
      </c>
      <c r="Q457" s="137">
        <f t="shared" si="44"/>
        <v>3159</v>
      </c>
      <c r="R457" s="133" t="s">
        <v>1250</v>
      </c>
      <c r="S457" s="138">
        <v>45618.498611111114</v>
      </c>
      <c r="T457" s="133" t="s">
        <v>978</v>
      </c>
      <c r="U457" s="139" t="str">
        <f t="shared" si="45"/>
        <v>_driedflower_bulk</v>
      </c>
      <c r="V457" s="140" t="str">
        <f>IF(U457="_","",_xlfn.XLOOKUP(U457,internal_cansku_inventory!D:D,internal_cansku_inventory!E:E,"",0,1))</f>
        <v/>
      </c>
    </row>
    <row r="458" spans="1:22" ht="12.45" customHeight="1">
      <c r="A458" s="132">
        <v>517</v>
      </c>
      <c r="B458" s="132">
        <v>0</v>
      </c>
      <c r="C458" s="132" t="str">
        <f>Table1[[#This Row],[inventory_id_head]]&amp;"-"&amp;Table1[[#This Row],[inventory_id_tail]]</f>
        <v>517-0</v>
      </c>
      <c r="D458" s="153" t="s">
        <v>653</v>
      </c>
      <c r="E458" s="133" t="s">
        <v>655</v>
      </c>
      <c r="F458" s="133" t="s">
        <v>655</v>
      </c>
      <c r="G458" s="133" t="str">
        <f t="shared" si="46"/>
        <v>NANA</v>
      </c>
      <c r="H458" s="133" t="s">
        <v>365</v>
      </c>
      <c r="I458" s="133"/>
      <c r="J458" s="133">
        <v>2024111803</v>
      </c>
      <c r="K458" s="134" t="s">
        <v>655</v>
      </c>
      <c r="L458" s="148">
        <v>1</v>
      </c>
      <c r="M458" s="133" t="s">
        <v>1012</v>
      </c>
      <c r="N458" s="136">
        <f>Table1[[#This Row],[gross_weight]]-Table1[[#This Row],[tare_weight]]</f>
        <v>938</v>
      </c>
      <c r="O458" s="136">
        <v>1030</v>
      </c>
      <c r="P458" s="136">
        <f>1030-938</f>
        <v>92</v>
      </c>
      <c r="Q458" s="137">
        <f t="shared" si="44"/>
        <v>938</v>
      </c>
      <c r="R458" s="133" t="s">
        <v>1252</v>
      </c>
      <c r="S458" s="138">
        <v>45618.498611111114</v>
      </c>
      <c r="T458" s="133" t="s">
        <v>978</v>
      </c>
      <c r="U458" s="139" t="str">
        <f t="shared" si="45"/>
        <v>_driedflower_bulk</v>
      </c>
      <c r="V458" s="140" t="str">
        <f>IF(U458="_","",_xlfn.XLOOKUP(U458,internal_cansku_inventory!D:D,internal_cansku_inventory!E:E,"",0,1))</f>
        <v/>
      </c>
    </row>
    <row r="459" spans="1:22" ht="12.45" customHeight="1">
      <c r="A459" s="132">
        <v>518</v>
      </c>
      <c r="B459" s="132">
        <v>0</v>
      </c>
      <c r="C459" s="132" t="str">
        <f>Table1[[#This Row],[inventory_id_head]]&amp;"-"&amp;Table1[[#This Row],[inventory_id_tail]]</f>
        <v>518-0</v>
      </c>
      <c r="D459" s="153" t="s">
        <v>653</v>
      </c>
      <c r="E459" s="133" t="s">
        <v>655</v>
      </c>
      <c r="F459" s="133" t="s">
        <v>655</v>
      </c>
      <c r="G459" s="133" t="str">
        <f t="shared" si="46"/>
        <v>NANA</v>
      </c>
      <c r="H459" s="133" t="s">
        <v>365</v>
      </c>
      <c r="I459" s="133"/>
      <c r="J459" s="133">
        <v>2024111803</v>
      </c>
      <c r="K459" s="134" t="s">
        <v>655</v>
      </c>
      <c r="L459" s="148">
        <v>1</v>
      </c>
      <c r="M459" s="133" t="s">
        <v>1012</v>
      </c>
      <c r="N459" s="136">
        <f>Table1[[#This Row],[gross_weight]]-Table1[[#This Row],[tare_weight]]</f>
        <v>3000</v>
      </c>
      <c r="O459" s="136">
        <v>3085</v>
      </c>
      <c r="P459" s="136">
        <v>85</v>
      </c>
      <c r="Q459" s="137">
        <f t="shared" si="44"/>
        <v>3000</v>
      </c>
      <c r="R459" s="133" t="s">
        <v>1253</v>
      </c>
      <c r="S459" s="138">
        <v>45618.498611111114</v>
      </c>
      <c r="T459" s="133" t="s">
        <v>978</v>
      </c>
      <c r="U459" s="139" t="str">
        <f t="shared" si="45"/>
        <v>_driedflower_bulk</v>
      </c>
      <c r="V459" s="140" t="str">
        <f>IF(U459="_","",_xlfn.XLOOKUP(U459,internal_cansku_inventory!D:D,internal_cansku_inventory!E:E,"",0,1))</f>
        <v/>
      </c>
    </row>
    <row r="460" spans="1:22" ht="12.45" customHeight="1">
      <c r="A460" s="132">
        <v>466</v>
      </c>
      <c r="B460" s="132">
        <v>0</v>
      </c>
      <c r="C460" s="132" t="str">
        <f>Table1[[#This Row],[inventory_id_head]]&amp;"-"&amp;Table1[[#This Row],[inventory_id_tail]]</f>
        <v>466-0</v>
      </c>
      <c r="D460" s="133" t="s">
        <v>680</v>
      </c>
      <c r="E460" s="133" t="s">
        <v>1254</v>
      </c>
      <c r="F460" s="133" t="s">
        <v>55</v>
      </c>
      <c r="G460" s="133" t="str">
        <f t="shared" si="46"/>
        <v>J023EXNA</v>
      </c>
      <c r="H460" s="133" t="s">
        <v>358</v>
      </c>
      <c r="I460" s="133"/>
      <c r="J460" s="133" t="s">
        <v>1201</v>
      </c>
      <c r="K460" s="134" t="s">
        <v>655</v>
      </c>
      <c r="L460" s="148">
        <v>1</v>
      </c>
      <c r="M460" s="133" t="s">
        <v>967</v>
      </c>
      <c r="N460" s="136">
        <f>O460-P460</f>
        <v>65.899999999999977</v>
      </c>
      <c r="O460" s="136">
        <v>374.9</v>
      </c>
      <c r="P460" s="136">
        <v>309</v>
      </c>
      <c r="Q460" s="137">
        <f t="shared" si="44"/>
        <v>65.899999999999977</v>
      </c>
      <c r="R460" s="133"/>
      <c r="S460" s="138">
        <v>45621.705555555556</v>
      </c>
      <c r="T460" s="133" t="s">
        <v>978</v>
      </c>
      <c r="U460" s="139" t="str">
        <f t="shared" si="45"/>
        <v>_extract_inhaled_bulk</v>
      </c>
      <c r="V460" s="140" t="str">
        <f>IF(U460="_","",_xlfn.XLOOKUP(U460,internal_cansku_inventory!D:D,internal_cansku_inventory!E:E,"",0,1))</f>
        <v/>
      </c>
    </row>
    <row r="461" spans="1:22" ht="12.45" customHeight="1">
      <c r="A461" s="132">
        <v>523</v>
      </c>
      <c r="B461" s="132">
        <v>0</v>
      </c>
      <c r="C461" s="132" t="str">
        <f>Table1[[#This Row],[inventory_id_head]]&amp;"-"&amp;Table1[[#This Row],[inventory_id_tail]]</f>
        <v>523-0</v>
      </c>
      <c r="D461" s="133" t="s">
        <v>653</v>
      </c>
      <c r="E461" s="133" t="s">
        <v>655</v>
      </c>
      <c r="F461" s="133" t="s">
        <v>655</v>
      </c>
      <c r="G461" s="133" t="s">
        <v>1255</v>
      </c>
      <c r="H461" s="133" t="s">
        <v>349</v>
      </c>
      <c r="I461" s="133"/>
      <c r="J461" s="133" t="s">
        <v>1256</v>
      </c>
      <c r="K461" s="134">
        <v>45199</v>
      </c>
      <c r="L461" s="148">
        <f>58*6</f>
        <v>348</v>
      </c>
      <c r="M461" s="133" t="s">
        <v>858</v>
      </c>
      <c r="N461" s="136">
        <v>450</v>
      </c>
      <c r="O461" s="136">
        <v>0</v>
      </c>
      <c r="P461" s="136">
        <v>0</v>
      </c>
      <c r="Q461" s="137">
        <f t="shared" si="44"/>
        <v>156600</v>
      </c>
      <c r="R461" s="133"/>
      <c r="S461" s="138">
        <v>45622.401388888888</v>
      </c>
      <c r="T461" s="133" t="s">
        <v>657</v>
      </c>
      <c r="U461" s="139" t="str">
        <f t="shared" si="45"/>
        <v>_topical_labelled_RTV</v>
      </c>
      <c r="V461" s="140" t="str">
        <f>IF(U461="_","",_xlfn.XLOOKUP(U461,internal_cansku_inventory!D:D,internal_cansku_inventory!E:E,"",0,1))</f>
        <v/>
      </c>
    </row>
    <row r="462" spans="1:22" ht="12.45" customHeight="1">
      <c r="A462" s="132">
        <v>524</v>
      </c>
      <c r="B462" s="132">
        <v>0</v>
      </c>
      <c r="C462" s="132" t="str">
        <f>Table1[[#This Row],[inventory_id_head]]&amp;"-"&amp;Table1[[#This Row],[inventory_id_tail]]</f>
        <v>524-0</v>
      </c>
      <c r="D462" s="133" t="s">
        <v>653</v>
      </c>
      <c r="E462" s="133" t="s">
        <v>1257</v>
      </c>
      <c r="F462" s="133" t="s">
        <v>655</v>
      </c>
      <c r="G462" s="133" t="str">
        <f t="shared" ref="G462:G501" si="47">E462&amp;F462</f>
        <v>P002TPNA</v>
      </c>
      <c r="H462" s="133" t="s">
        <v>404</v>
      </c>
      <c r="I462" s="133"/>
      <c r="J462" s="133" t="s">
        <v>1258</v>
      </c>
      <c r="K462" s="134" t="s">
        <v>655</v>
      </c>
      <c r="L462" s="148">
        <v>1</v>
      </c>
      <c r="M462" s="133" t="s">
        <v>994</v>
      </c>
      <c r="N462" s="136">
        <f>Table1[[#This Row],[gross_weight]]-Table1[[#This Row],[tare_weight]]</f>
        <v>26500</v>
      </c>
      <c r="O462" s="136">
        <v>71400</v>
      </c>
      <c r="P462" s="136">
        <v>44900</v>
      </c>
      <c r="Q462" s="137">
        <f t="shared" si="44"/>
        <v>26500</v>
      </c>
      <c r="R462" s="133" t="s">
        <v>1259</v>
      </c>
      <c r="S462" s="138">
        <v>45622.415277777778</v>
      </c>
      <c r="T462" s="133" t="s">
        <v>978</v>
      </c>
      <c r="U462" s="139" t="str">
        <f t="shared" si="45"/>
        <v>_topical_bulk</v>
      </c>
      <c r="V462" s="140" t="str">
        <f>IF(U462="_","",_xlfn.XLOOKUP(U462,internal_cansku_inventory!D:D,internal_cansku_inventory!E:E,"",0,1))</f>
        <v/>
      </c>
    </row>
    <row r="463" spans="1:22" ht="12.45" customHeight="1">
      <c r="A463" s="132">
        <v>449</v>
      </c>
      <c r="B463" s="132">
        <v>0</v>
      </c>
      <c r="C463" s="132" t="str">
        <f>Table1[[#This Row],[inventory_id_head]]&amp;"-"&amp;Table1[[#This Row],[inventory_id_tail]]</f>
        <v>449-0</v>
      </c>
      <c r="D463" s="133" t="s">
        <v>653</v>
      </c>
      <c r="E463" s="133" t="s">
        <v>1260</v>
      </c>
      <c r="F463" s="133" t="s">
        <v>655</v>
      </c>
      <c r="G463" s="133" t="str">
        <f t="shared" si="47"/>
        <v>T087EXNA</v>
      </c>
      <c r="H463" s="133" t="s">
        <v>328</v>
      </c>
      <c r="I463" s="133"/>
      <c r="J463" s="133" t="s">
        <v>1091</v>
      </c>
      <c r="K463" s="134">
        <v>45588</v>
      </c>
      <c r="L463" s="148">
        <v>6</v>
      </c>
      <c r="M463" s="133" t="s">
        <v>644</v>
      </c>
      <c r="N463" s="136">
        <v>0.5</v>
      </c>
      <c r="O463" s="136">
        <v>0</v>
      </c>
      <c r="P463" s="136">
        <v>0</v>
      </c>
      <c r="Q463" s="137">
        <f t="shared" si="44"/>
        <v>3</v>
      </c>
      <c r="R463" s="133"/>
      <c r="S463" s="138">
        <v>45623.511111111111</v>
      </c>
      <c r="T463" s="133" t="s">
        <v>657</v>
      </c>
      <c r="U463" s="139" t="str">
        <f t="shared" si="45"/>
        <v>_extract_inhaled_labelled</v>
      </c>
      <c r="V463" s="140" t="str">
        <f>IF(U463="_","",_xlfn.XLOOKUP(U463,internal_cansku_inventory!D:D,internal_cansku_inventory!E:E,"",0,1))</f>
        <v/>
      </c>
    </row>
    <row r="464" spans="1:22" ht="12.45" customHeight="1">
      <c r="A464" s="132">
        <v>525</v>
      </c>
      <c r="B464" s="132">
        <v>0</v>
      </c>
      <c r="C464" s="132" t="str">
        <f>Table1[[#This Row],[inventory_id_head]]&amp;"-"&amp;Table1[[#This Row],[inventory_id_tail]]</f>
        <v>525-0</v>
      </c>
      <c r="D464" s="133" t="s">
        <v>680</v>
      </c>
      <c r="E464" s="133" t="s">
        <v>1261</v>
      </c>
      <c r="F464" s="133" t="s">
        <v>655</v>
      </c>
      <c r="G464" s="133" t="str">
        <f t="shared" si="47"/>
        <v>T106EXNA</v>
      </c>
      <c r="H464" s="133" t="s">
        <v>328</v>
      </c>
      <c r="I464" s="133"/>
      <c r="J464" s="133" t="s">
        <v>1262</v>
      </c>
      <c r="K464" s="134">
        <v>45623</v>
      </c>
      <c r="L464" s="148">
        <v>375</v>
      </c>
      <c r="M464" s="133" t="s">
        <v>858</v>
      </c>
      <c r="N464" s="136">
        <v>0.5</v>
      </c>
      <c r="O464" s="136">
        <v>0</v>
      </c>
      <c r="P464" s="136">
        <v>0</v>
      </c>
      <c r="Q464" s="137">
        <f t="shared" si="44"/>
        <v>187.5</v>
      </c>
      <c r="R464" s="133"/>
      <c r="S464" s="138">
        <v>45625.665972222225</v>
      </c>
      <c r="T464" s="133" t="s">
        <v>657</v>
      </c>
      <c r="U464" s="139" t="str">
        <f t="shared" si="45"/>
        <v>_extract_inhaled_labelled</v>
      </c>
      <c r="V464" s="140" t="str">
        <f>IF(U464="_","",_xlfn.XLOOKUP(U464,internal_cansku_inventory!D:D,internal_cansku_inventory!E:E,"",0,1))</f>
        <v/>
      </c>
    </row>
    <row r="465" spans="1:22" ht="12.45" customHeight="1">
      <c r="A465" s="132">
        <v>491</v>
      </c>
      <c r="B465" s="132">
        <v>0</v>
      </c>
      <c r="C465" s="132" t="str">
        <f>Table1[[#This Row],[inventory_id_head]]&amp;"-"&amp;Table1[[#This Row],[inventory_id_tail]]</f>
        <v>491-0</v>
      </c>
      <c r="D465" s="133" t="s">
        <v>653</v>
      </c>
      <c r="E465" s="133" t="s">
        <v>1263</v>
      </c>
      <c r="F465" s="133" t="s">
        <v>55</v>
      </c>
      <c r="G465" s="133" t="str">
        <f t="shared" si="47"/>
        <v>T105EXNA</v>
      </c>
      <c r="H465" s="133" t="s">
        <v>304</v>
      </c>
      <c r="I465" s="133"/>
      <c r="J465" s="133" t="s">
        <v>1192</v>
      </c>
      <c r="K465" s="134">
        <v>45588</v>
      </c>
      <c r="L465" s="148">
        <v>41</v>
      </c>
      <c r="M465" s="133" t="s">
        <v>644</v>
      </c>
      <c r="N465" s="136">
        <v>27.6</v>
      </c>
      <c r="O465" s="136">
        <v>0</v>
      </c>
      <c r="P465" s="136">
        <v>0</v>
      </c>
      <c r="Q465" s="137">
        <f t="shared" si="44"/>
        <v>1131.6000000000001</v>
      </c>
      <c r="R465" s="133"/>
      <c r="S465" s="138">
        <v>45625.679861111108</v>
      </c>
      <c r="T465" s="133" t="s">
        <v>657</v>
      </c>
      <c r="U465" s="139" t="str">
        <f t="shared" si="45"/>
        <v>_extract_ingested_labelled</v>
      </c>
      <c r="V465" s="140" t="str">
        <f>IF(U465="_","",_xlfn.XLOOKUP(U465,internal_cansku_inventory!D:D,internal_cansku_inventory!E:E,"",0,1))</f>
        <v/>
      </c>
    </row>
    <row r="466" spans="1:22" ht="12.45" customHeight="1">
      <c r="A466" s="132">
        <v>529</v>
      </c>
      <c r="B466" s="132">
        <v>0</v>
      </c>
      <c r="C466" s="132" t="str">
        <f>Table1[[#This Row],[inventory_id_head]]&amp;"-"&amp;Table1[[#This Row],[inventory_id_tail]]</f>
        <v>529-0</v>
      </c>
      <c r="D466" s="133" t="s">
        <v>680</v>
      </c>
      <c r="E466" s="133" t="s">
        <v>1264</v>
      </c>
      <c r="F466" s="133" t="s">
        <v>655</v>
      </c>
      <c r="G466" s="133" t="str">
        <f t="shared" si="47"/>
        <v>T054PRNA</v>
      </c>
      <c r="H466" s="133" t="s">
        <v>308</v>
      </c>
      <c r="I466" s="133"/>
      <c r="J466" s="133" t="s">
        <v>999</v>
      </c>
      <c r="K466" s="134">
        <v>45615</v>
      </c>
      <c r="L466" s="148">
        <v>684</v>
      </c>
      <c r="M466" s="133" t="s">
        <v>858</v>
      </c>
      <c r="N466" s="136">
        <v>1.5</v>
      </c>
      <c r="O466" s="136">
        <v>0</v>
      </c>
      <c r="P466" s="136">
        <v>0</v>
      </c>
      <c r="Q466" s="137">
        <f t="shared" si="44"/>
        <v>1026</v>
      </c>
      <c r="R466" s="133"/>
      <c r="S466" s="138">
        <v>45625.689583333333</v>
      </c>
      <c r="T466" s="133" t="s">
        <v>657</v>
      </c>
      <c r="U466" s="139" t="str">
        <f t="shared" si="45"/>
        <v>_preroll_labelled</v>
      </c>
      <c r="V466" s="140" t="str">
        <f>IF(U466="_","",_xlfn.XLOOKUP(U466,internal_cansku_inventory!D:D,internal_cansku_inventory!E:E,"",0,1))</f>
        <v/>
      </c>
    </row>
    <row r="467" spans="1:22" ht="12.45" customHeight="1">
      <c r="A467" s="132">
        <v>472</v>
      </c>
      <c r="B467" s="132">
        <v>0</v>
      </c>
      <c r="C467" s="132" t="str">
        <f>Table1[[#This Row],[inventory_id_head]]&amp;"-"&amp;Table1[[#This Row],[inventory_id_tail]]</f>
        <v>472-0</v>
      </c>
      <c r="D467" s="153" t="s">
        <v>653</v>
      </c>
      <c r="E467" s="133" t="s">
        <v>867</v>
      </c>
      <c r="F467" s="133" t="s">
        <v>868</v>
      </c>
      <c r="G467" s="133" t="str">
        <f t="shared" si="47"/>
        <v>RACK_BGRID_2</v>
      </c>
      <c r="H467" s="133" t="s">
        <v>368</v>
      </c>
      <c r="I467" s="133"/>
      <c r="J467" s="133" t="s">
        <v>1214</v>
      </c>
      <c r="K467" s="134" t="s">
        <v>655</v>
      </c>
      <c r="L467" s="148">
        <v>95</v>
      </c>
      <c r="M467" s="133" t="s">
        <v>858</v>
      </c>
      <c r="N467" s="136">
        <v>0.5</v>
      </c>
      <c r="O467" s="136">
        <v>589.20000000000005</v>
      </c>
      <c r="P467" s="136">
        <v>309.58</v>
      </c>
      <c r="Q467" s="137">
        <f t="shared" si="44"/>
        <v>47.5</v>
      </c>
      <c r="R467" s="133"/>
      <c r="S467" s="138">
        <v>45625.7</v>
      </c>
      <c r="T467" s="133" t="s">
        <v>657</v>
      </c>
      <c r="U467" s="139" t="str">
        <f t="shared" si="45"/>
        <v>_preroll_bulk</v>
      </c>
      <c r="V467" s="140" t="str">
        <f>IF(U467="_","",_xlfn.XLOOKUP(U467,internal_cansku_inventory!D:D,internal_cansku_inventory!E:E,"",0,1))</f>
        <v/>
      </c>
    </row>
    <row r="468" spans="1:22" ht="12.45" customHeight="1">
      <c r="A468" s="132">
        <v>531</v>
      </c>
      <c r="B468" s="132">
        <v>0</v>
      </c>
      <c r="C468" s="132" t="str">
        <f>Table1[[#This Row],[inventory_id_head]]&amp;"-"&amp;Table1[[#This Row],[inventory_id_tail]]</f>
        <v>531-0</v>
      </c>
      <c r="D468" s="133" t="s">
        <v>653</v>
      </c>
      <c r="E468" s="133" t="s">
        <v>1265</v>
      </c>
      <c r="F468" s="133" t="s">
        <v>655</v>
      </c>
      <c r="G468" s="133" t="str">
        <f t="shared" si="47"/>
        <v>T050DFNA</v>
      </c>
      <c r="H468" s="133" t="s">
        <v>536</v>
      </c>
      <c r="I468" s="133"/>
      <c r="J468" s="133" t="s">
        <v>1122</v>
      </c>
      <c r="K468" s="134">
        <v>45588</v>
      </c>
      <c r="L468" s="148">
        <v>22</v>
      </c>
      <c r="M468" s="133" t="s">
        <v>683</v>
      </c>
      <c r="N468" s="136">
        <f>1.5*12</f>
        <v>18</v>
      </c>
      <c r="O468" s="136">
        <v>0</v>
      </c>
      <c r="P468" s="136">
        <v>0</v>
      </c>
      <c r="Q468" s="137">
        <f t="shared" si="44"/>
        <v>396</v>
      </c>
      <c r="R468" s="133"/>
      <c r="S468" s="138">
        <v>45625.705555555556</v>
      </c>
      <c r="T468" s="133" t="s">
        <v>657</v>
      </c>
      <c r="U468" s="139" t="str">
        <f t="shared" si="45"/>
        <v>_preroll_cased_ON</v>
      </c>
      <c r="V468" s="140" t="str">
        <f>IF(U468="_","",_xlfn.XLOOKUP(U468,internal_cansku_inventory!D:D,internal_cansku_inventory!E:E,"",0,1))</f>
        <v/>
      </c>
    </row>
    <row r="469" spans="1:22" ht="12.45" customHeight="1">
      <c r="A469" s="132">
        <v>116</v>
      </c>
      <c r="B469" s="132">
        <v>0</v>
      </c>
      <c r="C469" s="132" t="str">
        <f>Table1[[#This Row],[inventory_id_head]]&amp;"-"&amp;Table1[[#This Row],[inventory_id_tail]]</f>
        <v>116-0</v>
      </c>
      <c r="D469" s="340" t="s">
        <v>653</v>
      </c>
      <c r="E469" s="133" t="s">
        <v>1266</v>
      </c>
      <c r="F469" s="133" t="s">
        <v>55</v>
      </c>
      <c r="G469" s="133" t="str">
        <f t="shared" si="47"/>
        <v>T010PRNA</v>
      </c>
      <c r="H469" s="133" t="s">
        <v>823</v>
      </c>
      <c r="I469" s="133"/>
      <c r="J469" s="133" t="s">
        <v>801</v>
      </c>
      <c r="K469" s="134">
        <v>44960</v>
      </c>
      <c r="L469" s="143">
        <v>659</v>
      </c>
      <c r="M469" s="133" t="s">
        <v>644</v>
      </c>
      <c r="N469" s="136">
        <v>1</v>
      </c>
      <c r="O469" s="144">
        <v>0</v>
      </c>
      <c r="P469" s="144">
        <v>0</v>
      </c>
      <c r="Q469" s="137">
        <f t="shared" si="44"/>
        <v>659</v>
      </c>
      <c r="R469" s="133"/>
      <c r="S469" s="138">
        <v>45628.667361111111</v>
      </c>
      <c r="T469" s="133" t="s">
        <v>670</v>
      </c>
      <c r="U469" s="139" t="str">
        <f t="shared" si="45"/>
        <v>_preroll_bulk</v>
      </c>
      <c r="V469" s="140" t="str">
        <f>IF(U469="_","",_xlfn.XLOOKUP(U469,internal_cansku_inventory!D:D,internal_cansku_inventory!E:E,"",0,1))</f>
        <v/>
      </c>
    </row>
    <row r="470" spans="1:22" ht="12.45" customHeight="1">
      <c r="A470" s="132">
        <v>445</v>
      </c>
      <c r="B470" s="132">
        <v>0</v>
      </c>
      <c r="C470" s="132" t="str">
        <f>Table1[[#This Row],[inventory_id_head]]&amp;"-"&amp;Table1[[#This Row],[inventory_id_tail]]</f>
        <v>445-0</v>
      </c>
      <c r="D470" s="133" t="s">
        <v>653</v>
      </c>
      <c r="E470" s="133" t="s">
        <v>1267</v>
      </c>
      <c r="F470" s="133" t="s">
        <v>655</v>
      </c>
      <c r="G470" s="133" t="str">
        <f t="shared" si="47"/>
        <v>T083EXNA</v>
      </c>
      <c r="H470" s="133" t="s">
        <v>304</v>
      </c>
      <c r="I470" s="133"/>
      <c r="J470" s="133" t="s">
        <v>1181</v>
      </c>
      <c r="K470" s="134">
        <v>45588</v>
      </c>
      <c r="L470" s="148">
        <v>10</v>
      </c>
      <c r="M470" s="133" t="s">
        <v>644</v>
      </c>
      <c r="N470" s="136">
        <v>27.6</v>
      </c>
      <c r="O470" s="136">
        <v>0</v>
      </c>
      <c r="P470" s="136">
        <v>0</v>
      </c>
      <c r="Q470" s="137">
        <f t="shared" si="44"/>
        <v>276</v>
      </c>
      <c r="R470" s="133"/>
      <c r="S470" s="138">
        <v>45628.668749999997</v>
      </c>
      <c r="T470" s="133" t="s">
        <v>657</v>
      </c>
      <c r="U470" s="139" t="str">
        <f t="shared" si="45"/>
        <v>_extract_ingested_labelled</v>
      </c>
      <c r="V470" s="140" t="str">
        <f>IF(U470="_","",_xlfn.XLOOKUP(U470,internal_cansku_inventory!D:D,internal_cansku_inventory!E:E,"",0,1))</f>
        <v/>
      </c>
    </row>
    <row r="471" spans="1:22" ht="12.45" customHeight="1">
      <c r="A471" s="132">
        <v>533</v>
      </c>
      <c r="B471" s="132">
        <v>0</v>
      </c>
      <c r="C471" s="132" t="str">
        <f>Table1[[#This Row],[inventory_id_head]]&amp;"-"&amp;Table1[[#This Row],[inventory_id_tail]]</f>
        <v>533-0</v>
      </c>
      <c r="D471" s="133" t="s">
        <v>653</v>
      </c>
      <c r="E471" s="133" t="s">
        <v>1268</v>
      </c>
      <c r="F471" s="133" t="s">
        <v>655</v>
      </c>
      <c r="G471" s="133" t="str">
        <f t="shared" si="47"/>
        <v>T052DFNA</v>
      </c>
      <c r="H471" s="133" t="s">
        <v>1269</v>
      </c>
      <c r="I471" s="133"/>
      <c r="J471" s="133" t="s">
        <v>1271</v>
      </c>
      <c r="K471" s="134">
        <v>45345</v>
      </c>
      <c r="L471" s="148">
        <v>32</v>
      </c>
      <c r="M471" s="133" t="s">
        <v>683</v>
      </c>
      <c r="N471" s="136">
        <f>1.5*12</f>
        <v>18</v>
      </c>
      <c r="O471" s="136">
        <v>0</v>
      </c>
      <c r="P471" s="136">
        <v>0</v>
      </c>
      <c r="Q471" s="137">
        <f t="shared" si="44"/>
        <v>576</v>
      </c>
      <c r="R471" s="133"/>
      <c r="S471" s="138">
        <v>45631.61041666667</v>
      </c>
      <c r="T471" s="133" t="s">
        <v>657</v>
      </c>
      <c r="U471" s="139" t="str">
        <f t="shared" si="45"/>
        <v>_preroll_cased_AB</v>
      </c>
      <c r="V471" s="140" t="str">
        <f>IF(U471="_","",_xlfn.XLOOKUP(U471,internal_cansku_inventory!D:D,internal_cansku_inventory!E:E,"",0,1))</f>
        <v/>
      </c>
    </row>
    <row r="472" spans="1:22" ht="12.45" customHeight="1">
      <c r="A472" s="132">
        <v>534</v>
      </c>
      <c r="B472" s="132">
        <v>0</v>
      </c>
      <c r="C472" s="132" t="str">
        <f>Table1[[#This Row],[inventory_id_head]]&amp;"-"&amp;Table1[[#This Row],[inventory_id_tail]]</f>
        <v>534-0</v>
      </c>
      <c r="D472" s="133" t="s">
        <v>653</v>
      </c>
      <c r="E472" s="133" t="s">
        <v>1272</v>
      </c>
      <c r="F472" s="133" t="s">
        <v>655</v>
      </c>
      <c r="G472" s="133" t="str">
        <f t="shared" si="47"/>
        <v>T051DFNA</v>
      </c>
      <c r="H472" s="133" t="s">
        <v>1273</v>
      </c>
      <c r="I472" s="133"/>
      <c r="J472" s="133" t="s">
        <v>1274</v>
      </c>
      <c r="K472" s="134">
        <v>45478</v>
      </c>
      <c r="L472" s="148">
        <v>50</v>
      </c>
      <c r="M472" s="133" t="s">
        <v>683</v>
      </c>
      <c r="N472" s="136">
        <f>1.5*6</f>
        <v>9</v>
      </c>
      <c r="O472" s="136">
        <v>0</v>
      </c>
      <c r="P472" s="136">
        <v>0</v>
      </c>
      <c r="Q472" s="137">
        <f t="shared" si="44"/>
        <v>450</v>
      </c>
      <c r="R472" s="133"/>
      <c r="S472" s="138">
        <v>45631.61041666667</v>
      </c>
      <c r="T472" s="133" t="s">
        <v>657</v>
      </c>
      <c r="U472" s="139" t="str">
        <f t="shared" si="45"/>
        <v>_infusedpreroll_cased_AB_RTV</v>
      </c>
      <c r="V472" s="140" t="str">
        <f>IF(U472="_","",_xlfn.XLOOKUP(U472,internal_cansku_inventory!D:D,internal_cansku_inventory!E:E,"",0,1))</f>
        <v/>
      </c>
    </row>
    <row r="473" spans="1:22" ht="12.45" customHeight="1">
      <c r="A473" s="132">
        <v>535</v>
      </c>
      <c r="B473" s="132">
        <v>0</v>
      </c>
      <c r="C473" s="132" t="str">
        <f>Table1[[#This Row],[inventory_id_head]]&amp;"-"&amp;Table1[[#This Row],[inventory_id_tail]]</f>
        <v>535-0</v>
      </c>
      <c r="D473" s="133" t="s">
        <v>653</v>
      </c>
      <c r="E473" s="133" t="s">
        <v>1275</v>
      </c>
      <c r="F473" s="133" t="s">
        <v>655</v>
      </c>
      <c r="G473" s="133" t="str">
        <f t="shared" si="47"/>
        <v>T053DFNA</v>
      </c>
      <c r="H473" s="133" t="s">
        <v>1269</v>
      </c>
      <c r="I473" s="133"/>
      <c r="J473" s="133" t="s">
        <v>1271</v>
      </c>
      <c r="K473" s="134">
        <v>45345</v>
      </c>
      <c r="L473" s="148">
        <v>22</v>
      </c>
      <c r="M473" s="133" t="s">
        <v>683</v>
      </c>
      <c r="N473" s="136">
        <f>1.5*12</f>
        <v>18</v>
      </c>
      <c r="O473" s="136">
        <v>0</v>
      </c>
      <c r="P473" s="136">
        <v>0</v>
      </c>
      <c r="Q473" s="137">
        <f t="shared" si="44"/>
        <v>396</v>
      </c>
      <c r="R473" s="133"/>
      <c r="S473" s="138">
        <v>45631.61041666667</v>
      </c>
      <c r="T473" s="133" t="s">
        <v>657</v>
      </c>
      <c r="U473" s="139" t="str">
        <f t="shared" si="45"/>
        <v>_preroll_cased_AB</v>
      </c>
      <c r="V473" s="140" t="str">
        <f>IF(U473="_","",_xlfn.XLOOKUP(U473,internal_cansku_inventory!D:D,internal_cansku_inventory!E:E,"",0,1))</f>
        <v/>
      </c>
    </row>
    <row r="474" spans="1:22" ht="12.45" customHeight="1">
      <c r="A474" s="132">
        <v>537</v>
      </c>
      <c r="B474" s="132">
        <v>0</v>
      </c>
      <c r="C474" s="132" t="str">
        <f>Table1[[#This Row],[inventory_id_head]]&amp;"-"&amp;Table1[[#This Row],[inventory_id_tail]]</f>
        <v>537-0</v>
      </c>
      <c r="D474" s="133" t="s">
        <v>653</v>
      </c>
      <c r="E474" s="133" t="s">
        <v>655</v>
      </c>
      <c r="F474" s="133" t="s">
        <v>655</v>
      </c>
      <c r="G474" s="133" t="str">
        <f t="shared" si="47"/>
        <v>NANA</v>
      </c>
      <c r="H474" s="133" t="s">
        <v>343</v>
      </c>
      <c r="I474" s="133"/>
      <c r="J474" s="133">
        <v>2024120501</v>
      </c>
      <c r="K474" s="134" t="s">
        <v>655</v>
      </c>
      <c r="L474" s="148">
        <v>1</v>
      </c>
      <c r="M474" s="133" t="s">
        <v>1012</v>
      </c>
      <c r="N474" s="136">
        <f>Table1[[#This Row],[gross_weight]]-Table1[[#This Row],[tare_weight]]</f>
        <v>930</v>
      </c>
      <c r="O474" s="136">
        <v>985</v>
      </c>
      <c r="P474" s="136">
        <v>55</v>
      </c>
      <c r="Q474" s="137">
        <f t="shared" si="44"/>
        <v>930</v>
      </c>
      <c r="R474" s="133" t="s">
        <v>1277</v>
      </c>
      <c r="S474" s="138">
        <v>45631.63958333333</v>
      </c>
      <c r="T474" s="133" t="s">
        <v>978</v>
      </c>
      <c r="U474" s="139" t="str">
        <f t="shared" si="45"/>
        <v>_driedflower_bulk_BURB</v>
      </c>
      <c r="V474" s="140" t="str">
        <f>IF(U474="_","",_xlfn.XLOOKUP(U474,internal_cansku_inventory!D:D,internal_cansku_inventory!E:E,"",0,1))</f>
        <v/>
      </c>
    </row>
    <row r="475" spans="1:22" ht="12.45" customHeight="1">
      <c r="A475" s="132">
        <v>538</v>
      </c>
      <c r="B475" s="132">
        <v>0</v>
      </c>
      <c r="C475" s="132" t="str">
        <f>Table1[[#This Row],[inventory_id_head]]&amp;"-"&amp;Table1[[#This Row],[inventory_id_tail]]</f>
        <v>538-0</v>
      </c>
      <c r="D475" s="133" t="s">
        <v>680</v>
      </c>
      <c r="E475" s="133" t="s">
        <v>655</v>
      </c>
      <c r="F475" s="133" t="s">
        <v>655</v>
      </c>
      <c r="G475" s="133" t="str">
        <f t="shared" si="47"/>
        <v>NANA</v>
      </c>
      <c r="H475" s="133" t="s">
        <v>343</v>
      </c>
      <c r="I475" s="133"/>
      <c r="J475" s="133">
        <v>2024120501</v>
      </c>
      <c r="K475" s="134" t="s">
        <v>655</v>
      </c>
      <c r="L475" s="148">
        <v>1</v>
      </c>
      <c r="M475" s="133" t="s">
        <v>1012</v>
      </c>
      <c r="N475" s="136">
        <f>Table1[[#This Row],[gross_weight]]-Table1[[#This Row],[tare_weight]]</f>
        <v>560</v>
      </c>
      <c r="O475" s="136">
        <v>615</v>
      </c>
      <c r="P475" s="136">
        <v>55</v>
      </c>
      <c r="Q475" s="137">
        <f t="shared" si="44"/>
        <v>560</v>
      </c>
      <c r="R475" s="133" t="s">
        <v>1277</v>
      </c>
      <c r="S475" s="138">
        <v>45631.63958333333</v>
      </c>
      <c r="T475" s="133" t="s">
        <v>978</v>
      </c>
      <c r="U475" s="139" t="str">
        <f t="shared" si="45"/>
        <v>_driedflower_bulk_BURB</v>
      </c>
      <c r="V475" s="140" t="str">
        <f>IF(U475="_","",_xlfn.XLOOKUP(U475,internal_cansku_inventory!D:D,internal_cansku_inventory!E:E,"",0,1))</f>
        <v/>
      </c>
    </row>
    <row r="476" spans="1:22" ht="12.45" customHeight="1">
      <c r="A476" s="132">
        <v>539</v>
      </c>
      <c r="B476" s="132">
        <v>0</v>
      </c>
      <c r="C476" s="132" t="str">
        <f>Table1[[#This Row],[inventory_id_head]]&amp;"-"&amp;Table1[[#This Row],[inventory_id_tail]]</f>
        <v>539-0</v>
      </c>
      <c r="D476" s="133" t="s">
        <v>680</v>
      </c>
      <c r="E476" s="133" t="s">
        <v>655</v>
      </c>
      <c r="F476" s="133" t="s">
        <v>655</v>
      </c>
      <c r="G476" s="133" t="str">
        <f t="shared" si="47"/>
        <v>NANA</v>
      </c>
      <c r="H476" s="133" t="s">
        <v>343</v>
      </c>
      <c r="I476" s="133"/>
      <c r="J476" s="133">
        <v>2024120501</v>
      </c>
      <c r="K476" s="134" t="s">
        <v>655</v>
      </c>
      <c r="L476" s="148">
        <v>1</v>
      </c>
      <c r="M476" s="133" t="s">
        <v>1012</v>
      </c>
      <c r="N476" s="136">
        <f>Table1[[#This Row],[gross_weight]]-Table1[[#This Row],[tare_weight]]</f>
        <v>1000</v>
      </c>
      <c r="O476" s="136">
        <v>1060</v>
      </c>
      <c r="P476" s="136">
        <v>60</v>
      </c>
      <c r="Q476" s="137">
        <f t="shared" si="44"/>
        <v>1000</v>
      </c>
      <c r="R476" s="133" t="s">
        <v>1277</v>
      </c>
      <c r="S476" s="138">
        <v>45631.63958333333</v>
      </c>
      <c r="T476" s="133" t="s">
        <v>978</v>
      </c>
      <c r="U476" s="139" t="str">
        <f t="shared" si="45"/>
        <v>_driedflower_bulk_BURB</v>
      </c>
      <c r="V476" s="140" t="str">
        <f>IF(U476="_","",_xlfn.XLOOKUP(U476,internal_cansku_inventory!D:D,internal_cansku_inventory!E:E,"",0,1))</f>
        <v/>
      </c>
    </row>
    <row r="477" spans="1:22" ht="12.45" customHeight="1">
      <c r="A477" s="132">
        <v>540</v>
      </c>
      <c r="B477" s="132">
        <v>0</v>
      </c>
      <c r="C477" s="132" t="str">
        <f>Table1[[#This Row],[inventory_id_head]]&amp;"-"&amp;Table1[[#This Row],[inventory_id_tail]]</f>
        <v>540-0</v>
      </c>
      <c r="D477" s="133" t="s">
        <v>680</v>
      </c>
      <c r="E477" s="133" t="s">
        <v>655</v>
      </c>
      <c r="F477" s="133" t="s">
        <v>655</v>
      </c>
      <c r="G477" s="133" t="str">
        <f t="shared" si="47"/>
        <v>NANA</v>
      </c>
      <c r="H477" s="133" t="s">
        <v>343</v>
      </c>
      <c r="I477" s="133"/>
      <c r="J477" s="133">
        <v>2024120501</v>
      </c>
      <c r="K477" s="134" t="s">
        <v>655</v>
      </c>
      <c r="L477" s="148">
        <v>1</v>
      </c>
      <c r="M477" s="133" t="s">
        <v>1012</v>
      </c>
      <c r="N477" s="136">
        <f>Table1[[#This Row],[gross_weight]]-Table1[[#This Row],[tare_weight]]</f>
        <v>1000</v>
      </c>
      <c r="O477" s="136">
        <v>1060</v>
      </c>
      <c r="P477" s="136">
        <v>60</v>
      </c>
      <c r="Q477" s="137">
        <f t="shared" si="44"/>
        <v>1000</v>
      </c>
      <c r="R477" s="133" t="s">
        <v>1277</v>
      </c>
      <c r="S477" s="138">
        <v>45631.63958333333</v>
      </c>
      <c r="T477" s="133" t="s">
        <v>978</v>
      </c>
      <c r="U477" s="139" t="str">
        <f t="shared" si="45"/>
        <v>_driedflower_bulk_BURB</v>
      </c>
      <c r="V477" s="140" t="str">
        <f>IF(U477="_","",_xlfn.XLOOKUP(U477,internal_cansku_inventory!D:D,internal_cansku_inventory!E:E,"",0,1))</f>
        <v/>
      </c>
    </row>
    <row r="478" spans="1:22" ht="12.45" customHeight="1">
      <c r="A478" s="132">
        <v>541</v>
      </c>
      <c r="B478" s="132">
        <v>0</v>
      </c>
      <c r="C478" s="132" t="str">
        <f>Table1[[#This Row],[inventory_id_head]]&amp;"-"&amp;Table1[[#This Row],[inventory_id_tail]]</f>
        <v>541-0</v>
      </c>
      <c r="D478" s="133" t="s">
        <v>680</v>
      </c>
      <c r="E478" s="133" t="s">
        <v>655</v>
      </c>
      <c r="F478" s="133" t="s">
        <v>655</v>
      </c>
      <c r="G478" s="133" t="str">
        <f t="shared" si="47"/>
        <v>NANA</v>
      </c>
      <c r="H478" s="133" t="s">
        <v>343</v>
      </c>
      <c r="I478" s="133"/>
      <c r="J478" s="133">
        <v>2024120501</v>
      </c>
      <c r="K478" s="134" t="s">
        <v>655</v>
      </c>
      <c r="L478" s="148">
        <v>1</v>
      </c>
      <c r="M478" s="133" t="s">
        <v>1012</v>
      </c>
      <c r="N478" s="136">
        <f>Table1[[#This Row],[gross_weight]]-Table1[[#This Row],[tare_weight]]</f>
        <v>1000</v>
      </c>
      <c r="O478" s="136">
        <v>1060</v>
      </c>
      <c r="P478" s="136">
        <v>60</v>
      </c>
      <c r="Q478" s="137">
        <f t="shared" si="44"/>
        <v>1000</v>
      </c>
      <c r="R478" s="133" t="s">
        <v>1277</v>
      </c>
      <c r="S478" s="138">
        <v>45631.63958333333</v>
      </c>
      <c r="T478" s="133" t="s">
        <v>978</v>
      </c>
      <c r="U478" s="139" t="str">
        <f t="shared" si="45"/>
        <v>_driedflower_bulk_BURB</v>
      </c>
      <c r="V478" s="140" t="str">
        <f>IF(U478="_","",_xlfn.XLOOKUP(U478,internal_cansku_inventory!D:D,internal_cansku_inventory!E:E,"",0,1))</f>
        <v/>
      </c>
    </row>
    <row r="479" spans="1:22" ht="12.45" customHeight="1">
      <c r="A479" s="132">
        <v>542</v>
      </c>
      <c r="B479" s="132">
        <v>0</v>
      </c>
      <c r="C479" s="132" t="str">
        <f>Table1[[#This Row],[inventory_id_head]]&amp;"-"&amp;Table1[[#This Row],[inventory_id_tail]]</f>
        <v>542-0</v>
      </c>
      <c r="D479" s="133" t="s">
        <v>680</v>
      </c>
      <c r="E479" s="133" t="s">
        <v>655</v>
      </c>
      <c r="F479" s="133" t="s">
        <v>655</v>
      </c>
      <c r="G479" s="133" t="str">
        <f t="shared" si="47"/>
        <v>NANA</v>
      </c>
      <c r="H479" s="133" t="s">
        <v>343</v>
      </c>
      <c r="I479" s="133"/>
      <c r="J479" s="133">
        <v>2024120501</v>
      </c>
      <c r="K479" s="134" t="s">
        <v>655</v>
      </c>
      <c r="L479" s="148">
        <v>1</v>
      </c>
      <c r="M479" s="133" t="s">
        <v>1012</v>
      </c>
      <c r="N479" s="136">
        <f>Table1[[#This Row],[gross_weight]]-Table1[[#This Row],[tare_weight]]</f>
        <v>1000</v>
      </c>
      <c r="O479" s="136">
        <v>1060</v>
      </c>
      <c r="P479" s="136">
        <v>60</v>
      </c>
      <c r="Q479" s="137">
        <f t="shared" si="44"/>
        <v>1000</v>
      </c>
      <c r="R479" s="133" t="s">
        <v>1277</v>
      </c>
      <c r="S479" s="138">
        <v>45631.63958333333</v>
      </c>
      <c r="T479" s="133" t="s">
        <v>978</v>
      </c>
      <c r="U479" s="139" t="str">
        <f t="shared" si="45"/>
        <v>_driedflower_bulk_BURB</v>
      </c>
      <c r="V479" s="140" t="str">
        <f>IF(U479="_","",_xlfn.XLOOKUP(U479,internal_cansku_inventory!D:D,internal_cansku_inventory!E:E,"",0,1))</f>
        <v/>
      </c>
    </row>
    <row r="480" spans="1:22" ht="12.45" customHeight="1">
      <c r="A480" s="132">
        <v>544</v>
      </c>
      <c r="B480" s="132">
        <v>0</v>
      </c>
      <c r="C480" s="132" t="str">
        <f>Table1[[#This Row],[inventory_id_head]]&amp;"-"&amp;Table1[[#This Row],[inventory_id_tail]]</f>
        <v>544-0</v>
      </c>
      <c r="D480" s="133" t="s">
        <v>653</v>
      </c>
      <c r="E480" s="133" t="s">
        <v>655</v>
      </c>
      <c r="F480" s="133" t="s">
        <v>655</v>
      </c>
      <c r="G480" s="133" t="str">
        <f t="shared" si="47"/>
        <v>NANA</v>
      </c>
      <c r="H480" s="133" t="s">
        <v>343</v>
      </c>
      <c r="I480" s="133"/>
      <c r="J480" s="133">
        <v>2024120501</v>
      </c>
      <c r="K480" s="134" t="s">
        <v>655</v>
      </c>
      <c r="L480" s="148">
        <v>1</v>
      </c>
      <c r="M480" s="133" t="s">
        <v>1012</v>
      </c>
      <c r="N480" s="136">
        <f>Table1[[#This Row],[gross_weight]]-Table1[[#This Row],[tare_weight]]</f>
        <v>940</v>
      </c>
      <c r="O480" s="136">
        <v>1000</v>
      </c>
      <c r="P480" s="136">
        <v>60</v>
      </c>
      <c r="Q480" s="137">
        <f t="shared" si="44"/>
        <v>940</v>
      </c>
      <c r="R480" s="133" t="s">
        <v>1277</v>
      </c>
      <c r="S480" s="138">
        <v>45631.63958333333</v>
      </c>
      <c r="T480" s="133" t="s">
        <v>978</v>
      </c>
      <c r="U480" s="139" t="str">
        <f t="shared" si="45"/>
        <v>_driedflower_bulk_BURB</v>
      </c>
      <c r="V480" s="140" t="str">
        <f>IF(U480="_","",_xlfn.XLOOKUP(U480,internal_cansku_inventory!D:D,internal_cansku_inventory!E:E,"",0,1))</f>
        <v/>
      </c>
    </row>
    <row r="481" spans="1:22" ht="12.45" customHeight="1">
      <c r="A481" s="132">
        <v>545</v>
      </c>
      <c r="B481" s="132">
        <v>0</v>
      </c>
      <c r="C481" s="132" t="str">
        <f>Table1[[#This Row],[inventory_id_head]]&amp;"-"&amp;Table1[[#This Row],[inventory_id_tail]]</f>
        <v>545-0</v>
      </c>
      <c r="D481" s="133" t="s">
        <v>680</v>
      </c>
      <c r="E481" s="133" t="s">
        <v>1278</v>
      </c>
      <c r="F481" s="133" t="s">
        <v>655</v>
      </c>
      <c r="G481" s="133" t="str">
        <f t="shared" si="47"/>
        <v>P013EXNA</v>
      </c>
      <c r="H481" s="133" t="s">
        <v>358</v>
      </c>
      <c r="I481" s="133"/>
      <c r="J481" s="133">
        <v>2024120601</v>
      </c>
      <c r="K481" s="134" t="s">
        <v>655</v>
      </c>
      <c r="L481" s="148">
        <v>1</v>
      </c>
      <c r="M481" s="133" t="s">
        <v>994</v>
      </c>
      <c r="N481" s="136">
        <v>1000</v>
      </c>
      <c r="O481" s="136">
        <v>1952</v>
      </c>
      <c r="P481" s="136">
        <v>952</v>
      </c>
      <c r="Q481" s="137">
        <f t="shared" si="44"/>
        <v>1000</v>
      </c>
      <c r="R481" s="133" t="s">
        <v>1280</v>
      </c>
      <c r="S481" s="138">
        <v>45632.541666666664</v>
      </c>
      <c r="T481" s="133" t="s">
        <v>978</v>
      </c>
      <c r="U481" s="139" t="str">
        <f t="shared" si="45"/>
        <v>_extract_inhaled_bulk</v>
      </c>
      <c r="V481" s="140" t="str">
        <f>IF(U481="_","",_xlfn.XLOOKUP(U481,internal_cansku_inventory!D:D,internal_cansku_inventory!E:E,"",0,1))</f>
        <v/>
      </c>
    </row>
    <row r="482" spans="1:22" ht="12.45" customHeight="1">
      <c r="A482" s="132">
        <v>388</v>
      </c>
      <c r="B482" s="132">
        <v>0</v>
      </c>
      <c r="C482" s="132" t="str">
        <f>Table1[[#This Row],[inventory_id_head]]&amp;"-"&amp;Table1[[#This Row],[inventory_id_tail]]</f>
        <v>388-0</v>
      </c>
      <c r="D482" s="133" t="s">
        <v>680</v>
      </c>
      <c r="E482" s="133" t="s">
        <v>1281</v>
      </c>
      <c r="F482" s="133" t="s">
        <v>55</v>
      </c>
      <c r="G482" s="133" t="str">
        <f t="shared" si="47"/>
        <v>J019EXNA</v>
      </c>
      <c r="H482" s="133" t="s">
        <v>963</v>
      </c>
      <c r="I482" s="133"/>
      <c r="J482" s="133">
        <v>2024100401</v>
      </c>
      <c r="K482" s="134" t="s">
        <v>655</v>
      </c>
      <c r="L482" s="148">
        <v>1</v>
      </c>
      <c r="M482" s="133" t="s">
        <v>967</v>
      </c>
      <c r="N482" s="136">
        <f>O482-P482</f>
        <v>509.99999999999989</v>
      </c>
      <c r="O482" s="136">
        <v>1494.1</v>
      </c>
      <c r="P482" s="136">
        <v>984.1</v>
      </c>
      <c r="Q482" s="137">
        <f t="shared" si="44"/>
        <v>509.99999999999989</v>
      </c>
      <c r="R482" s="133"/>
      <c r="S482" s="138">
        <v>45632.561111111114</v>
      </c>
      <c r="T482" s="133" t="s">
        <v>978</v>
      </c>
      <c r="U482" s="139" t="str">
        <f t="shared" si="45"/>
        <v>_extract_distillate_bulk</v>
      </c>
      <c r="V482" s="140" t="str">
        <f>IF(U482="_","",_xlfn.XLOOKUP(U482,internal_cansku_inventory!D:D,internal_cansku_inventory!E:E,"",0,1))</f>
        <v/>
      </c>
    </row>
    <row r="483" spans="1:22" ht="12.45" customHeight="1">
      <c r="A483" s="132">
        <v>463</v>
      </c>
      <c r="B483" s="132">
        <v>0</v>
      </c>
      <c r="C483" s="132" t="str">
        <f>Table1[[#This Row],[inventory_id_head]]&amp;"-"&amp;Table1[[#This Row],[inventory_id_tail]]</f>
        <v>463-0</v>
      </c>
      <c r="D483" s="133" t="s">
        <v>653</v>
      </c>
      <c r="E483" s="133" t="s">
        <v>1282</v>
      </c>
      <c r="F483" s="133" t="s">
        <v>55</v>
      </c>
      <c r="G483" s="133" t="str">
        <f t="shared" si="47"/>
        <v>J020EXNA</v>
      </c>
      <c r="H483" s="133" t="s">
        <v>361</v>
      </c>
      <c r="I483" s="133"/>
      <c r="J483" s="133">
        <v>2024100401</v>
      </c>
      <c r="K483" s="134">
        <v>45595</v>
      </c>
      <c r="L483" s="148">
        <v>1</v>
      </c>
      <c r="M483" s="133" t="s">
        <v>994</v>
      </c>
      <c r="N483" s="136">
        <f>O483-P483</f>
        <v>368</v>
      </c>
      <c r="O483" s="136">
        <v>1354</v>
      </c>
      <c r="P483" s="136">
        <v>986</v>
      </c>
      <c r="Q483" s="137">
        <f t="shared" si="44"/>
        <v>368</v>
      </c>
      <c r="R483" s="133"/>
      <c r="S483" s="138">
        <v>45632.561111111114</v>
      </c>
      <c r="T483" s="133" t="s">
        <v>978</v>
      </c>
      <c r="U483" s="139" t="str">
        <f t="shared" si="45"/>
        <v>_extract_distillate_bulk</v>
      </c>
      <c r="V483" s="140" t="str">
        <f>IF(U483="_","",_xlfn.XLOOKUP(U483,internal_cansku_inventory!D:D,internal_cansku_inventory!E:E,"",0,1))</f>
        <v/>
      </c>
    </row>
    <row r="484" spans="1:22" ht="12.45" customHeight="1">
      <c r="A484" s="132">
        <v>483</v>
      </c>
      <c r="B484" s="132">
        <v>0</v>
      </c>
      <c r="C484" s="132" t="str">
        <f>Table1[[#This Row],[inventory_id_head]]&amp;"-"&amp;Table1[[#This Row],[inventory_id_tail]]</f>
        <v>483-0</v>
      </c>
      <c r="D484" s="133" t="s">
        <v>653</v>
      </c>
      <c r="E484" s="133" t="s">
        <v>1283</v>
      </c>
      <c r="F484" s="133" t="s">
        <v>55</v>
      </c>
      <c r="G484" s="133" t="str">
        <f t="shared" si="47"/>
        <v>J027EXNA</v>
      </c>
      <c r="H484" s="133" t="s">
        <v>361</v>
      </c>
      <c r="I484" s="133"/>
      <c r="J484" s="133">
        <v>2024111201</v>
      </c>
      <c r="K484" s="134" t="s">
        <v>655</v>
      </c>
      <c r="L484" s="148">
        <v>1</v>
      </c>
      <c r="M484" s="133" t="s">
        <v>967</v>
      </c>
      <c r="N484" s="136">
        <f>Table1[[#This Row],[gross_weight]]-Table1[[#This Row],[tare_weight]]</f>
        <v>372.09999999999991</v>
      </c>
      <c r="O484" s="136">
        <v>1326.1</v>
      </c>
      <c r="P484" s="136">
        <f>3954-3000</f>
        <v>954</v>
      </c>
      <c r="Q484" s="137">
        <f t="shared" si="44"/>
        <v>372.09999999999991</v>
      </c>
      <c r="R484" s="133"/>
      <c r="S484" s="138">
        <v>45632.561805555553</v>
      </c>
      <c r="T484" s="133" t="s">
        <v>978</v>
      </c>
      <c r="U484" s="139" t="str">
        <f t="shared" si="45"/>
        <v>_extract_distillate_bulk</v>
      </c>
      <c r="V484" s="140" t="str">
        <f>IF(U484="_","",_xlfn.XLOOKUP(U484,internal_cansku_inventory!D:D,internal_cansku_inventory!E:E,"",0,1))</f>
        <v/>
      </c>
    </row>
    <row r="485" spans="1:22" ht="12.45" customHeight="1">
      <c r="A485" s="132">
        <v>532</v>
      </c>
      <c r="B485" s="132">
        <v>0</v>
      </c>
      <c r="C485" s="132" t="str">
        <f>Table1[[#This Row],[inventory_id_head]]&amp;"-"&amp;Table1[[#This Row],[inventory_id_tail]]</f>
        <v>532-0</v>
      </c>
      <c r="D485" s="133" t="s">
        <v>653</v>
      </c>
      <c r="E485" s="133" t="s">
        <v>1284</v>
      </c>
      <c r="F485" s="133" t="s">
        <v>655</v>
      </c>
      <c r="G485" s="133" t="str">
        <f t="shared" si="47"/>
        <v>P012EXNA</v>
      </c>
      <c r="H485" s="133" t="s">
        <v>361</v>
      </c>
      <c r="I485" s="133"/>
      <c r="J485" s="133">
        <v>2024120401</v>
      </c>
      <c r="K485" s="134" t="s">
        <v>655</v>
      </c>
      <c r="L485" s="148">
        <v>1</v>
      </c>
      <c r="M485" s="133" t="s">
        <v>994</v>
      </c>
      <c r="N485" s="136">
        <f>Table1[[#This Row],[gross_weight]]-Table1[[#This Row],[tare_weight]]</f>
        <v>688.5</v>
      </c>
      <c r="O485" s="136">
        <v>1756.5</v>
      </c>
      <c r="P485" s="136">
        <f>4070-3002</f>
        <v>1068</v>
      </c>
      <c r="Q485" s="137">
        <f t="shared" si="44"/>
        <v>688.5</v>
      </c>
      <c r="R485" s="133"/>
      <c r="S485" s="138">
        <v>45632.563194444447</v>
      </c>
      <c r="T485" s="133" t="s">
        <v>978</v>
      </c>
      <c r="U485" s="139" t="str">
        <f t="shared" si="45"/>
        <v>_extract_distillate_bulk</v>
      </c>
      <c r="V485" s="140" t="str">
        <f>IF(U485="_","",_xlfn.XLOOKUP(U485,internal_cansku_inventory!D:D,internal_cansku_inventory!E:E,"",0,1))</f>
        <v/>
      </c>
    </row>
    <row r="486" spans="1:22" ht="12.45" customHeight="1">
      <c r="A486" s="132">
        <v>248</v>
      </c>
      <c r="B486" s="132">
        <v>0</v>
      </c>
      <c r="C486" s="132" t="str">
        <f>Table1[[#This Row],[inventory_id_head]]&amp;"-"&amp;Table1[[#This Row],[inventory_id_tail]]</f>
        <v>248-0</v>
      </c>
      <c r="D486" s="133" t="s">
        <v>653</v>
      </c>
      <c r="E486" s="133" t="s">
        <v>1285</v>
      </c>
      <c r="F486" s="133" t="s">
        <v>655</v>
      </c>
      <c r="G486" s="133" t="str">
        <f t="shared" si="47"/>
        <v>J006EXNA</v>
      </c>
      <c r="H486" s="133" t="s">
        <v>963</v>
      </c>
      <c r="I486" s="133"/>
      <c r="J486" s="133">
        <v>2024041901</v>
      </c>
      <c r="K486" s="134">
        <v>45401</v>
      </c>
      <c r="L486" s="135">
        <v>1</v>
      </c>
      <c r="M486" s="133" t="s">
        <v>961</v>
      </c>
      <c r="N486" s="136">
        <f>Table1[[#This Row],[gross_weight]]-Table1[[#This Row],[tare_weight]]</f>
        <v>22</v>
      </c>
      <c r="O486" s="136">
        <f>469.4+22</f>
        <v>491.4</v>
      </c>
      <c r="P486" s="136">
        <v>469.4</v>
      </c>
      <c r="Q486" s="137">
        <f t="shared" si="44"/>
        <v>22</v>
      </c>
      <c r="R486" s="133"/>
      <c r="S486" s="138">
        <v>45632.563888888886</v>
      </c>
      <c r="T486" s="133" t="s">
        <v>664</v>
      </c>
      <c r="U486" s="139" t="str">
        <f t="shared" si="45"/>
        <v>_extract_distillate_bulk</v>
      </c>
      <c r="V486" s="140" t="str">
        <f>IF(U486="_","",_xlfn.XLOOKUP(U486,internal_cansku_inventory!D:D,internal_cansku_inventory!E:E,"",0,1))</f>
        <v/>
      </c>
    </row>
    <row r="487" spans="1:22" ht="12.45" customHeight="1">
      <c r="A487" s="132">
        <v>249</v>
      </c>
      <c r="B487" s="132">
        <v>0</v>
      </c>
      <c r="C487" s="132" t="str">
        <f>Table1[[#This Row],[inventory_id_head]]&amp;"-"&amp;Table1[[#This Row],[inventory_id_tail]]</f>
        <v>249-0</v>
      </c>
      <c r="D487" s="133" t="s">
        <v>653</v>
      </c>
      <c r="E487" s="133" t="s">
        <v>1286</v>
      </c>
      <c r="F487" s="133" t="s">
        <v>55</v>
      </c>
      <c r="G487" s="133" t="str">
        <f t="shared" si="47"/>
        <v>J007EXNA</v>
      </c>
      <c r="H487" s="133" t="s">
        <v>963</v>
      </c>
      <c r="I487" s="133"/>
      <c r="J487" s="133">
        <v>2022053101</v>
      </c>
      <c r="K487" s="134" t="s">
        <v>655</v>
      </c>
      <c r="L487" s="135">
        <v>1</v>
      </c>
      <c r="M487" s="133" t="s">
        <v>961</v>
      </c>
      <c r="N487" s="136">
        <f>Table1[[#This Row],[gross_weight]]-Table1[[#This Row],[tare_weight]]</f>
        <v>144.70000000000005</v>
      </c>
      <c r="O487" s="136">
        <v>1093.2</v>
      </c>
      <c r="P487" s="136">
        <v>948.5</v>
      </c>
      <c r="Q487" s="137">
        <f t="shared" si="44"/>
        <v>144.70000000000005</v>
      </c>
      <c r="R487" s="133"/>
      <c r="S487" s="138">
        <v>45632.563888888886</v>
      </c>
      <c r="T487" s="133" t="s">
        <v>664</v>
      </c>
      <c r="U487" s="139" t="str">
        <f t="shared" si="45"/>
        <v>_extract_distillate_bulk</v>
      </c>
      <c r="V487" s="140" t="str">
        <f>IF(U487="_","",_xlfn.XLOOKUP(U487,internal_cansku_inventory!D:D,internal_cansku_inventory!E:E,"",0,1))</f>
        <v/>
      </c>
    </row>
    <row r="488" spans="1:22" ht="12.45" customHeight="1">
      <c r="A488" s="132">
        <v>250</v>
      </c>
      <c r="B488" s="132">
        <v>0</v>
      </c>
      <c r="C488" s="132" t="str">
        <f>Table1[[#This Row],[inventory_id_head]]&amp;"-"&amp;Table1[[#This Row],[inventory_id_tail]]</f>
        <v>250-0</v>
      </c>
      <c r="D488" s="133" t="s">
        <v>653</v>
      </c>
      <c r="E488" s="133" t="s">
        <v>1287</v>
      </c>
      <c r="F488" s="133" t="s">
        <v>55</v>
      </c>
      <c r="G488" s="133" t="str">
        <f t="shared" si="47"/>
        <v>J008EXNA</v>
      </c>
      <c r="H488" s="133" t="s">
        <v>963</v>
      </c>
      <c r="I488" s="133"/>
      <c r="J488" s="133">
        <v>2021110501</v>
      </c>
      <c r="K488" s="134" t="s">
        <v>655</v>
      </c>
      <c r="L488" s="135">
        <v>1</v>
      </c>
      <c r="M488" s="133" t="s">
        <v>961</v>
      </c>
      <c r="N488" s="136">
        <f>Table1[[#This Row],[gross_weight]]-Table1[[#This Row],[tare_weight]]</f>
        <v>45.200000000000045</v>
      </c>
      <c r="O488" s="136">
        <v>1003</v>
      </c>
      <c r="P488" s="136">
        <v>957.8</v>
      </c>
      <c r="Q488" s="137">
        <f t="shared" si="44"/>
        <v>45.200000000000045</v>
      </c>
      <c r="R488" s="133"/>
      <c r="S488" s="138">
        <v>45632.563888888886</v>
      </c>
      <c r="T488" s="133" t="s">
        <v>664</v>
      </c>
      <c r="U488" s="139" t="str">
        <f t="shared" si="45"/>
        <v>_extract_distillate_bulk</v>
      </c>
      <c r="V488" s="140" t="str">
        <f>IF(U488="_","",_xlfn.XLOOKUP(U488,internal_cansku_inventory!D:D,internal_cansku_inventory!E:E,"",0,1))</f>
        <v/>
      </c>
    </row>
    <row r="489" spans="1:22" ht="12.45" customHeight="1">
      <c r="A489" s="132">
        <v>253</v>
      </c>
      <c r="B489" s="132">
        <v>0</v>
      </c>
      <c r="C489" s="132" t="str">
        <f>Table1[[#This Row],[inventory_id_head]]&amp;"-"&amp;Table1[[#This Row],[inventory_id_tail]]</f>
        <v>253-0</v>
      </c>
      <c r="D489" s="133" t="s">
        <v>1140</v>
      </c>
      <c r="E489" s="133" t="s">
        <v>1288</v>
      </c>
      <c r="F489" s="133" t="s">
        <v>655</v>
      </c>
      <c r="G489" s="133" t="str">
        <f t="shared" si="47"/>
        <v>J011EXNA</v>
      </c>
      <c r="H489" s="133" t="s">
        <v>963</v>
      </c>
      <c r="I489" s="133"/>
      <c r="J489" s="133">
        <v>2024101701</v>
      </c>
      <c r="K489" s="134">
        <v>45523</v>
      </c>
      <c r="L489" s="135">
        <v>1</v>
      </c>
      <c r="M489" s="133" t="s">
        <v>994</v>
      </c>
      <c r="N489" s="136">
        <f>Table1[[#This Row],[gross_weight]]-Table1[[#This Row],[tare_weight]]</f>
        <v>248</v>
      </c>
      <c r="O489" s="136">
        <v>1350</v>
      </c>
      <c r="P489" s="136">
        <f>1350-248</f>
        <v>1102</v>
      </c>
      <c r="Q489" s="137">
        <f t="shared" si="44"/>
        <v>248</v>
      </c>
      <c r="R489" s="133"/>
      <c r="S489" s="138">
        <v>45632.563888888886</v>
      </c>
      <c r="T489" s="133" t="s">
        <v>664</v>
      </c>
      <c r="U489" s="139" t="str">
        <f t="shared" si="45"/>
        <v>_extract_distillate_bulk</v>
      </c>
      <c r="V489" s="140" t="str">
        <f>IF(U489="_","",_xlfn.XLOOKUP(U489,internal_cansku_inventory!D:D,internal_cansku_inventory!E:E,"",0,1))</f>
        <v/>
      </c>
    </row>
    <row r="490" spans="1:22" ht="12.45" customHeight="1">
      <c r="A490" s="132">
        <v>506</v>
      </c>
      <c r="B490" s="132">
        <v>0</v>
      </c>
      <c r="C490" s="132" t="str">
        <f>Table1[[#This Row],[inventory_id_head]]&amp;"-"&amp;Table1[[#This Row],[inventory_id_tail]]</f>
        <v>506-0</v>
      </c>
      <c r="D490" s="133" t="s">
        <v>653</v>
      </c>
      <c r="E490" s="133" t="s">
        <v>1289</v>
      </c>
      <c r="F490" s="133" t="s">
        <v>655</v>
      </c>
      <c r="G490" s="133" t="str">
        <f t="shared" si="47"/>
        <v>J031EXNA</v>
      </c>
      <c r="H490" s="133" t="s">
        <v>358</v>
      </c>
      <c r="I490" s="133"/>
      <c r="J490" s="133">
        <v>2024111901</v>
      </c>
      <c r="K490" s="134" t="s">
        <v>655</v>
      </c>
      <c r="L490" s="148">
        <v>1</v>
      </c>
      <c r="M490" s="133" t="s">
        <v>967</v>
      </c>
      <c r="N490" s="136">
        <f>Table1[[#This Row],[gross_weight]]-Table1[[#This Row],[tare_weight]]</f>
        <v>937</v>
      </c>
      <c r="O490" s="136">
        <v>1660</v>
      </c>
      <c r="P490" s="136">
        <f>3045-2322</f>
        <v>723</v>
      </c>
      <c r="Q490" s="137">
        <f t="shared" ref="Q490:Q553" si="48">L490*N490</f>
        <v>937</v>
      </c>
      <c r="R490" s="133"/>
      <c r="S490" s="138">
        <v>45632.567361111112</v>
      </c>
      <c r="T490" s="133" t="s">
        <v>978</v>
      </c>
      <c r="U490" s="139" t="str">
        <f t="shared" si="45"/>
        <v>_extract_inhaled_bulk</v>
      </c>
      <c r="V490" s="140" t="str">
        <f>IF(U490="_","",_xlfn.XLOOKUP(U490,internal_cansku_inventory!D:D,internal_cansku_inventory!E:E,"",0,1))</f>
        <v/>
      </c>
    </row>
    <row r="491" spans="1:22" ht="12.45" customHeight="1">
      <c r="A491" s="132">
        <v>464</v>
      </c>
      <c r="B491" s="132">
        <v>0</v>
      </c>
      <c r="C491" s="132" t="str">
        <f>Table1[[#This Row],[inventory_id_head]]&amp;"-"&amp;Table1[[#This Row],[inventory_id_tail]]</f>
        <v>464-0</v>
      </c>
      <c r="D491" s="133" t="s">
        <v>653</v>
      </c>
      <c r="E491" s="133" t="s">
        <v>1291</v>
      </c>
      <c r="F491" s="133" t="s">
        <v>55</v>
      </c>
      <c r="G491" s="133" t="str">
        <f t="shared" si="47"/>
        <v>J021EXNA</v>
      </c>
      <c r="H491" s="133" t="s">
        <v>358</v>
      </c>
      <c r="I491" s="133"/>
      <c r="J491" s="133" t="s">
        <v>1177</v>
      </c>
      <c r="K491" s="134" t="s">
        <v>655</v>
      </c>
      <c r="L491" s="148">
        <v>1</v>
      </c>
      <c r="M491" s="133" t="s">
        <v>967</v>
      </c>
      <c r="N491" s="136">
        <f>O491-P491</f>
        <v>299.93</v>
      </c>
      <c r="O491" s="136">
        <v>609</v>
      </c>
      <c r="P491" s="136">
        <v>309.07</v>
      </c>
      <c r="Q491" s="137">
        <f t="shared" si="48"/>
        <v>299.93</v>
      </c>
      <c r="R491" s="133"/>
      <c r="S491" s="138">
        <v>45632.568055555559</v>
      </c>
      <c r="T491" s="133" t="s">
        <v>978</v>
      </c>
      <c r="U491" s="139" t="str">
        <f t="shared" si="45"/>
        <v>_extract_inhaled_bulk</v>
      </c>
      <c r="V491" s="140" t="str">
        <f>IF(U491="_","",_xlfn.XLOOKUP(U491,internal_cansku_inventory!D:D,internal_cansku_inventory!E:E,"",0,1))</f>
        <v/>
      </c>
    </row>
    <row r="492" spans="1:22" ht="12.45" customHeight="1">
      <c r="A492" s="132">
        <v>520</v>
      </c>
      <c r="B492" s="132">
        <v>0</v>
      </c>
      <c r="C492" s="132" t="str">
        <f>Table1[[#This Row],[inventory_id_head]]&amp;"-"&amp;Table1[[#This Row],[inventory_id_tail]]</f>
        <v>520-0</v>
      </c>
      <c r="D492" s="133" t="s">
        <v>653</v>
      </c>
      <c r="E492" s="133" t="s">
        <v>1292</v>
      </c>
      <c r="F492" s="133" t="s">
        <v>655</v>
      </c>
      <c r="G492" s="133" t="str">
        <f t="shared" si="47"/>
        <v>J033EXNA</v>
      </c>
      <c r="H492" s="133" t="s">
        <v>358</v>
      </c>
      <c r="I492" s="133"/>
      <c r="J492" s="133" t="s">
        <v>1293</v>
      </c>
      <c r="K492" s="134" t="s">
        <v>655</v>
      </c>
      <c r="L492" s="148">
        <v>1</v>
      </c>
      <c r="M492" s="133" t="s">
        <v>967</v>
      </c>
      <c r="N492" s="136">
        <f>Table1[[#This Row],[gross_weight]]-Table1[[#This Row],[tare_weight]]</f>
        <v>569.29999999999995</v>
      </c>
      <c r="O492" s="136">
        <v>1034.8</v>
      </c>
      <c r="P492" s="136">
        <v>465.5</v>
      </c>
      <c r="Q492" s="137">
        <f t="shared" si="48"/>
        <v>569.29999999999995</v>
      </c>
      <c r="R492" s="133"/>
      <c r="S492" s="138">
        <v>45632.568055555559</v>
      </c>
      <c r="T492" s="133" t="s">
        <v>978</v>
      </c>
      <c r="U492" s="139" t="str">
        <f t="shared" si="45"/>
        <v>_extract_inhaled_bulk</v>
      </c>
      <c r="V492" s="140" t="str">
        <f>IF(U492="_","",_xlfn.XLOOKUP(U492,internal_cansku_inventory!D:D,internal_cansku_inventory!E:E,"",0,1))</f>
        <v/>
      </c>
    </row>
    <row r="493" spans="1:22" ht="12.45" customHeight="1">
      <c r="A493" s="132">
        <v>521</v>
      </c>
      <c r="B493" s="132">
        <v>0</v>
      </c>
      <c r="C493" s="132" t="str">
        <f>Table1[[#This Row],[inventory_id_head]]&amp;"-"&amp;Table1[[#This Row],[inventory_id_tail]]</f>
        <v>521-0</v>
      </c>
      <c r="D493" s="133" t="s">
        <v>653</v>
      </c>
      <c r="E493" s="133" t="s">
        <v>1294</v>
      </c>
      <c r="F493" s="133" t="s">
        <v>655</v>
      </c>
      <c r="G493" s="133" t="str">
        <f t="shared" si="47"/>
        <v>J034EXNA</v>
      </c>
      <c r="H493" s="133" t="s">
        <v>358</v>
      </c>
      <c r="I493" s="133"/>
      <c r="J493" s="133" t="s">
        <v>1240</v>
      </c>
      <c r="K493" s="134" t="s">
        <v>655</v>
      </c>
      <c r="L493" s="148">
        <v>1</v>
      </c>
      <c r="M493" s="133" t="s">
        <v>967</v>
      </c>
      <c r="N493" s="136">
        <f>Table1[[#This Row],[gross_weight]]-Table1[[#This Row],[tare_weight]]</f>
        <v>280.59000000000003</v>
      </c>
      <c r="O493" s="136">
        <v>589.24</v>
      </c>
      <c r="P493" s="136">
        <v>308.64999999999998</v>
      </c>
      <c r="Q493" s="137">
        <f t="shared" si="48"/>
        <v>280.59000000000003</v>
      </c>
      <c r="R493" s="133"/>
      <c r="S493" s="138">
        <v>45632.568055555559</v>
      </c>
      <c r="T493" s="133" t="s">
        <v>978</v>
      </c>
      <c r="U493" s="139" t="str">
        <f t="shared" si="45"/>
        <v>_extract_inhaled_bulk</v>
      </c>
      <c r="V493" s="140" t="str">
        <f>IF(U493="_","",_xlfn.XLOOKUP(U493,internal_cansku_inventory!D:D,internal_cansku_inventory!E:E,"",0,1))</f>
        <v/>
      </c>
    </row>
    <row r="494" spans="1:22" ht="12.45" customHeight="1">
      <c r="A494" s="132">
        <v>548</v>
      </c>
      <c r="B494" s="132">
        <v>0</v>
      </c>
      <c r="C494" s="132" t="str">
        <f>Table1[[#This Row],[inventory_id_head]]&amp;"-"&amp;Table1[[#This Row],[inventory_id_tail]]</f>
        <v>548-0</v>
      </c>
      <c r="D494" s="133" t="s">
        <v>653</v>
      </c>
      <c r="E494" s="133" t="s">
        <v>1295</v>
      </c>
      <c r="F494" s="133" t="s">
        <v>655</v>
      </c>
      <c r="G494" s="133" t="str">
        <f t="shared" si="47"/>
        <v>T112EXNA</v>
      </c>
      <c r="H494" s="133" t="s">
        <v>328</v>
      </c>
      <c r="I494" s="133"/>
      <c r="J494" s="133" t="s">
        <v>1296</v>
      </c>
      <c r="K494" s="134">
        <v>45622</v>
      </c>
      <c r="L494" s="148">
        <v>19</v>
      </c>
      <c r="M494" s="133" t="s">
        <v>858</v>
      </c>
      <c r="N494" s="136">
        <v>0.5</v>
      </c>
      <c r="O494" s="136">
        <v>0</v>
      </c>
      <c r="P494" s="136">
        <v>0</v>
      </c>
      <c r="Q494" s="137">
        <f t="shared" si="48"/>
        <v>9.5</v>
      </c>
      <c r="R494" s="133"/>
      <c r="S494" s="138">
        <v>45632.574999999997</v>
      </c>
      <c r="T494" s="133" t="s">
        <v>657</v>
      </c>
      <c r="U494" s="139" t="str">
        <f t="shared" si="45"/>
        <v>_extract_inhaled_labelled</v>
      </c>
      <c r="V494" s="140" t="str">
        <f>IF(U494="_","",_xlfn.XLOOKUP(U494,internal_cansku_inventory!D:D,internal_cansku_inventory!E:E,"",0,1))</f>
        <v/>
      </c>
    </row>
    <row r="495" spans="1:22" ht="12.45" customHeight="1">
      <c r="A495" s="132">
        <v>551</v>
      </c>
      <c r="B495" s="132">
        <v>0</v>
      </c>
      <c r="C495" s="132" t="str">
        <f>Table1[[#This Row],[inventory_id_head]]&amp;"-"&amp;Table1[[#This Row],[inventory_id_tail]]</f>
        <v>551-0</v>
      </c>
      <c r="D495" s="133" t="s">
        <v>653</v>
      </c>
      <c r="E495" s="133" t="s">
        <v>1297</v>
      </c>
      <c r="F495" s="133" t="s">
        <v>55</v>
      </c>
      <c r="G495" s="133" t="str">
        <f t="shared" si="47"/>
        <v>T113EXNA</v>
      </c>
      <c r="H495" s="133" t="s">
        <v>891</v>
      </c>
      <c r="I495" s="133"/>
      <c r="J495" s="133" t="s">
        <v>892</v>
      </c>
      <c r="K495" s="134">
        <v>45576</v>
      </c>
      <c r="L495" s="148">
        <v>5</v>
      </c>
      <c r="M495" s="133" t="s">
        <v>1298</v>
      </c>
      <c r="N495" s="136">
        <v>600</v>
      </c>
      <c r="O495" s="136">
        <v>0</v>
      </c>
      <c r="P495" s="136">
        <v>0</v>
      </c>
      <c r="Q495" s="137">
        <f t="shared" si="48"/>
        <v>3000</v>
      </c>
      <c r="R495" s="133"/>
      <c r="S495" s="138">
        <v>45632.635416666664</v>
      </c>
      <c r="T495" s="133" t="s">
        <v>657</v>
      </c>
      <c r="U495" s="139" t="str">
        <f t="shared" si="45"/>
        <v>_extract_ingested_cased_BC</v>
      </c>
      <c r="V495" s="140" t="str">
        <f>IF(U495="_","",_xlfn.XLOOKUP(U495,internal_cansku_inventory!D:D,internal_cansku_inventory!E:E,"",0,1))</f>
        <v/>
      </c>
    </row>
    <row r="496" spans="1:22" ht="12.45" customHeight="1">
      <c r="A496" s="132">
        <v>552</v>
      </c>
      <c r="B496" s="132">
        <v>0</v>
      </c>
      <c r="C496" s="132" t="str">
        <f>Table1[[#This Row],[inventory_id_head]]&amp;"-"&amp;Table1[[#This Row],[inventory_id_tail]]</f>
        <v>552-0</v>
      </c>
      <c r="D496" s="133" t="s">
        <v>653</v>
      </c>
      <c r="E496" s="133" t="s">
        <v>655</v>
      </c>
      <c r="F496" s="133" t="s">
        <v>655</v>
      </c>
      <c r="G496" s="133" t="str">
        <f t="shared" si="47"/>
        <v>NANA</v>
      </c>
      <c r="H496" s="133" t="s">
        <v>1299</v>
      </c>
      <c r="I496" s="133"/>
      <c r="J496" s="133" t="s">
        <v>1192</v>
      </c>
      <c r="K496" s="134">
        <v>45354</v>
      </c>
      <c r="L496" s="148">
        <v>1</v>
      </c>
      <c r="M496" s="133" t="s">
        <v>1298</v>
      </c>
      <c r="N496" s="136">
        <f>6*27.6</f>
        <v>165.60000000000002</v>
      </c>
      <c r="O496" s="136">
        <v>0</v>
      </c>
      <c r="P496" s="136">
        <v>0</v>
      </c>
      <c r="Q496" s="137">
        <f t="shared" si="48"/>
        <v>165.60000000000002</v>
      </c>
      <c r="R496" s="133"/>
      <c r="S496" s="138">
        <v>45632.654166666667</v>
      </c>
      <c r="T496" s="133" t="s">
        <v>657</v>
      </c>
      <c r="U496" s="139" t="str">
        <f t="shared" si="45"/>
        <v>_extract_ingested_cased_AB</v>
      </c>
      <c r="V496" s="140" t="str">
        <f>IF(U496="_","",_xlfn.XLOOKUP(U496,internal_cansku_inventory!D:D,internal_cansku_inventory!E:E,"",0,1))</f>
        <v/>
      </c>
    </row>
    <row r="497" spans="1:22" ht="12.45" customHeight="1">
      <c r="A497" s="132">
        <v>393</v>
      </c>
      <c r="B497" s="132">
        <v>0</v>
      </c>
      <c r="C497" s="132" t="str">
        <f>Table1[[#This Row],[inventory_id_head]]&amp;"-"&amp;Table1[[#This Row],[inventory_id_tail]]</f>
        <v>393-0</v>
      </c>
      <c r="D497" s="153" t="s">
        <v>653</v>
      </c>
      <c r="E497" s="133" t="s">
        <v>1300</v>
      </c>
      <c r="F497" s="133" t="s">
        <v>655</v>
      </c>
      <c r="G497" s="133" t="str">
        <f t="shared" si="47"/>
        <v>T078EXNA</v>
      </c>
      <c r="H497" s="133" t="s">
        <v>1028</v>
      </c>
      <c r="I497" s="133"/>
      <c r="J497" s="133" t="s">
        <v>1047</v>
      </c>
      <c r="K497" s="134">
        <v>45569</v>
      </c>
      <c r="L497" s="148">
        <v>7</v>
      </c>
      <c r="M497" s="133" t="s">
        <v>858</v>
      </c>
      <c r="N497" s="136">
        <v>0.5</v>
      </c>
      <c r="O497" s="136">
        <v>0</v>
      </c>
      <c r="P497" s="136">
        <v>0</v>
      </c>
      <c r="Q497" s="137">
        <f t="shared" si="48"/>
        <v>3.5</v>
      </c>
      <c r="R497" s="133"/>
      <c r="S497" s="138">
        <v>45632.656944444447</v>
      </c>
      <c r="T497" s="133" t="s">
        <v>657</v>
      </c>
      <c r="U497" s="139" t="str">
        <f t="shared" si="45"/>
        <v>_extract_inhaled_labelled</v>
      </c>
      <c r="V497" s="140" t="str">
        <f>IF(U497="_","",_xlfn.XLOOKUP(U497,internal_cansku_inventory!D:D,internal_cansku_inventory!E:E,"",0,1))</f>
        <v/>
      </c>
    </row>
    <row r="498" spans="1:22" ht="12.45" customHeight="1">
      <c r="A498" s="132">
        <v>554</v>
      </c>
      <c r="B498" s="132">
        <v>0</v>
      </c>
      <c r="C498" s="132" t="str">
        <f>Table1[[#This Row],[inventory_id_head]]&amp;"-"&amp;Table1[[#This Row],[inventory_id_tail]]</f>
        <v>554-0</v>
      </c>
      <c r="D498" s="153" t="s">
        <v>653</v>
      </c>
      <c r="E498" s="133" t="s">
        <v>1301</v>
      </c>
      <c r="F498" s="133" t="s">
        <v>655</v>
      </c>
      <c r="G498" s="133" t="str">
        <f t="shared" si="47"/>
        <v>T115EXNA</v>
      </c>
      <c r="H498" s="133" t="s">
        <v>304</v>
      </c>
      <c r="I498" s="133"/>
      <c r="J498" s="133" t="s">
        <v>1302</v>
      </c>
      <c r="K498" s="134">
        <v>45624</v>
      </c>
      <c r="L498" s="148">
        <f>231+13</f>
        <v>244</v>
      </c>
      <c r="M498" s="133" t="s">
        <v>858</v>
      </c>
      <c r="N498" s="136">
        <v>50</v>
      </c>
      <c r="O498" s="136">
        <v>0</v>
      </c>
      <c r="P498" s="136">
        <v>0</v>
      </c>
      <c r="Q498" s="137">
        <f t="shared" si="48"/>
        <v>12200</v>
      </c>
      <c r="R498" s="133"/>
      <c r="S498" s="138">
        <v>45632.667361111111</v>
      </c>
      <c r="T498" s="133" t="s">
        <v>657</v>
      </c>
      <c r="U498" s="139" t="str">
        <f t="shared" si="45"/>
        <v>_extract_ingested_labelled</v>
      </c>
      <c r="V498" s="140" t="str">
        <f>IF(U498="_","",_xlfn.XLOOKUP(U498,internal_cansku_inventory!D:D,internal_cansku_inventory!E:E,"",0,1))</f>
        <v/>
      </c>
    </row>
    <row r="499" spans="1:22" ht="12.45" customHeight="1">
      <c r="A499" s="132">
        <v>462</v>
      </c>
      <c r="B499" s="132">
        <v>0</v>
      </c>
      <c r="C499" s="132" t="str">
        <f>Table1[[#This Row],[inventory_id_head]]&amp;"-"&amp;Table1[[#This Row],[inventory_id_tail]]</f>
        <v>462-0</v>
      </c>
      <c r="D499" s="153" t="s">
        <v>653</v>
      </c>
      <c r="E499" s="133" t="s">
        <v>1303</v>
      </c>
      <c r="F499" s="133" t="s">
        <v>55</v>
      </c>
      <c r="G499" s="133" t="str">
        <f t="shared" si="47"/>
        <v>T096EXNA</v>
      </c>
      <c r="H499" s="133" t="s">
        <v>304</v>
      </c>
      <c r="I499" s="133"/>
      <c r="J499" s="133" t="s">
        <v>1213</v>
      </c>
      <c r="K499" s="134">
        <v>45594</v>
      </c>
      <c r="L499" s="148">
        <v>23</v>
      </c>
      <c r="M499" s="133" t="s">
        <v>644</v>
      </c>
      <c r="N499" s="136">
        <v>50</v>
      </c>
      <c r="O499" s="136">
        <v>0</v>
      </c>
      <c r="P499" s="136">
        <v>0</v>
      </c>
      <c r="Q499" s="137">
        <f t="shared" si="48"/>
        <v>1150</v>
      </c>
      <c r="R499" s="133"/>
      <c r="S499" s="138">
        <v>45632.677777777775</v>
      </c>
      <c r="T499" s="133" t="s">
        <v>670</v>
      </c>
      <c r="U499" s="139" t="str">
        <f t="shared" si="45"/>
        <v>_extract_ingested_labelled</v>
      </c>
      <c r="V499" s="140" t="str">
        <f>IF(U499="_","",_xlfn.XLOOKUP(U499,internal_cansku_inventory!D:D,internal_cansku_inventory!E:E,"",0,1))</f>
        <v/>
      </c>
    </row>
    <row r="500" spans="1:22" ht="12.45" customHeight="1">
      <c r="A500" s="132">
        <v>555</v>
      </c>
      <c r="B500" s="132">
        <v>0</v>
      </c>
      <c r="C500" s="132" t="str">
        <f>Table1[[#This Row],[inventory_id_head]]&amp;"-"&amp;Table1[[#This Row],[inventory_id_tail]]</f>
        <v>555-0</v>
      </c>
      <c r="D500" s="133" t="s">
        <v>653</v>
      </c>
      <c r="E500" s="133" t="s">
        <v>1304</v>
      </c>
      <c r="F500" s="133" t="s">
        <v>655</v>
      </c>
      <c r="G500" s="133" t="str">
        <f t="shared" si="47"/>
        <v>T054DFNA</v>
      </c>
      <c r="H500" s="133" t="s">
        <v>308</v>
      </c>
      <c r="I500" s="133"/>
      <c r="J500" s="133" t="s">
        <v>1122</v>
      </c>
      <c r="K500" s="134">
        <v>45630</v>
      </c>
      <c r="L500" s="148">
        <v>669</v>
      </c>
      <c r="M500" s="133" t="s">
        <v>858</v>
      </c>
      <c r="N500" s="136">
        <v>1.5</v>
      </c>
      <c r="O500" s="136">
        <v>0</v>
      </c>
      <c r="P500" s="136">
        <v>0</v>
      </c>
      <c r="Q500" s="137">
        <f t="shared" si="48"/>
        <v>1003.5</v>
      </c>
      <c r="R500" s="133"/>
      <c r="S500" s="138">
        <v>45632.69027777778</v>
      </c>
      <c r="T500" s="133" t="s">
        <v>657</v>
      </c>
      <c r="U500" s="139" t="str">
        <f t="shared" si="45"/>
        <v>_preroll_labelled</v>
      </c>
      <c r="V500" s="140" t="str">
        <f>IF(U500="_","",_xlfn.XLOOKUP(U500,internal_cansku_inventory!D:D,internal_cansku_inventory!E:E,"",0,1))</f>
        <v/>
      </c>
    </row>
    <row r="501" spans="1:22" ht="12.45" customHeight="1">
      <c r="A501" s="132">
        <v>375</v>
      </c>
      <c r="B501" s="132">
        <v>0</v>
      </c>
      <c r="C501" s="132" t="str">
        <f>Table1[[#This Row],[inventory_id_head]]&amp;"-"&amp;Table1[[#This Row],[inventory_id_tail]]</f>
        <v>375-0</v>
      </c>
      <c r="D501" s="133" t="s">
        <v>653</v>
      </c>
      <c r="E501" s="133" t="s">
        <v>1305</v>
      </c>
      <c r="F501" s="133" t="s">
        <v>655</v>
      </c>
      <c r="G501" s="133" t="str">
        <f t="shared" si="47"/>
        <v>T075EXNA</v>
      </c>
      <c r="H501" s="133" t="s">
        <v>304</v>
      </c>
      <c r="I501" s="133"/>
      <c r="J501" s="133" t="s">
        <v>1306</v>
      </c>
      <c r="K501" s="20">
        <v>45576</v>
      </c>
      <c r="L501" s="135">
        <v>221</v>
      </c>
      <c r="M501" s="133" t="s">
        <v>858</v>
      </c>
      <c r="N501" s="136">
        <v>50</v>
      </c>
      <c r="O501" s="136">
        <v>0</v>
      </c>
      <c r="P501" s="136">
        <v>0</v>
      </c>
      <c r="Q501" s="137">
        <f t="shared" si="48"/>
        <v>11050</v>
      </c>
      <c r="R501" s="133"/>
      <c r="S501" s="138">
        <v>45637</v>
      </c>
      <c r="T501" s="133" t="s">
        <v>657</v>
      </c>
      <c r="U501" s="139" t="str">
        <f t="shared" si="45"/>
        <v>_extract_ingested_labelled</v>
      </c>
      <c r="V501" s="140" t="str">
        <f>IF(U501="_","",_xlfn.XLOOKUP(U501,internal_cansku_inventory!D:D,internal_cansku_inventory!E:E,"",0,1))</f>
        <v/>
      </c>
    </row>
    <row r="502" spans="1:22" ht="12.45" customHeight="1">
      <c r="A502" s="132">
        <v>379</v>
      </c>
      <c r="B502" s="132">
        <v>0</v>
      </c>
      <c r="C502" s="132" t="str">
        <f>Table1[[#This Row],[inventory_id_head]]&amp;"-"&amp;Table1[[#This Row],[inventory_id_tail]]</f>
        <v>379-0</v>
      </c>
      <c r="D502" s="133" t="s">
        <v>680</v>
      </c>
      <c r="E502" s="133" t="s">
        <v>55</v>
      </c>
      <c r="F502" s="133" t="s">
        <v>55</v>
      </c>
      <c r="G502" s="133" t="s">
        <v>681</v>
      </c>
      <c r="H502" s="133" t="s">
        <v>1307</v>
      </c>
      <c r="I502" s="133"/>
      <c r="J502" s="133" t="s">
        <v>905</v>
      </c>
      <c r="K502" s="134">
        <v>45541</v>
      </c>
      <c r="L502" s="148">
        <v>9</v>
      </c>
      <c r="M502" s="133" t="s">
        <v>683</v>
      </c>
      <c r="N502" s="136">
        <f>12*1.5</f>
        <v>18</v>
      </c>
      <c r="O502" s="136">
        <v>0</v>
      </c>
      <c r="P502" s="136">
        <v>0</v>
      </c>
      <c r="Q502" s="137">
        <f t="shared" si="48"/>
        <v>162</v>
      </c>
      <c r="R502" s="133"/>
      <c r="S502" s="138">
        <v>45637</v>
      </c>
      <c r="T502" s="133" t="s">
        <v>657</v>
      </c>
      <c r="U502" s="139" t="str">
        <f t="shared" si="45"/>
        <v>_preroll_cased_MB</v>
      </c>
      <c r="V502" s="140" t="str">
        <f>IF(U502="_","",_xlfn.XLOOKUP(U502,internal_cansku_inventory!D:D,internal_cansku_inventory!E:E,"",0,1))</f>
        <v/>
      </c>
    </row>
    <row r="503" spans="1:22" ht="12.45" customHeight="1">
      <c r="A503" s="132">
        <v>561</v>
      </c>
      <c r="B503" s="132">
        <v>0</v>
      </c>
      <c r="C503" s="132" t="str">
        <f>Table1[[#This Row],[inventory_id_head]]&amp;"-"&amp;Table1[[#This Row],[inventory_id_tail]]</f>
        <v>561-0</v>
      </c>
      <c r="D503" s="133" t="s">
        <v>680</v>
      </c>
      <c r="E503" s="133" t="s">
        <v>55</v>
      </c>
      <c r="F503" s="133" t="s">
        <v>55</v>
      </c>
      <c r="G503" s="133" t="s">
        <v>1308</v>
      </c>
      <c r="H503" s="133" t="s">
        <v>447</v>
      </c>
      <c r="I503" s="133"/>
      <c r="J503" s="133" t="s">
        <v>1309</v>
      </c>
      <c r="K503" s="134">
        <v>45623</v>
      </c>
      <c r="L503" s="148">
        <v>10</v>
      </c>
      <c r="M503" s="133" t="s">
        <v>683</v>
      </c>
      <c r="N503" s="136">
        <f>0.5*12</f>
        <v>6</v>
      </c>
      <c r="O503" s="136">
        <v>0</v>
      </c>
      <c r="P503" s="136">
        <v>0</v>
      </c>
      <c r="Q503" s="137">
        <f t="shared" si="48"/>
        <v>60</v>
      </c>
      <c r="R503" s="133"/>
      <c r="S503" s="138">
        <v>45637.591666666667</v>
      </c>
      <c r="T503" s="133" t="s">
        <v>657</v>
      </c>
      <c r="U503" s="139" t="str">
        <f t="shared" si="45"/>
        <v>_extract_ingested_cased_MB</v>
      </c>
      <c r="V503" s="140" t="str">
        <f>IF(U503="_","",_xlfn.XLOOKUP(U503,internal_cansku_inventory!D:D,internal_cansku_inventory!E:E,"",0,1))</f>
        <v/>
      </c>
    </row>
    <row r="504" spans="1:22" ht="12.45" customHeight="1">
      <c r="A504" s="132">
        <v>562</v>
      </c>
      <c r="B504" s="132">
        <v>0</v>
      </c>
      <c r="C504" s="132" t="str">
        <f>Table1[[#This Row],[inventory_id_head]]&amp;"-"&amp;Table1[[#This Row],[inventory_id_tail]]</f>
        <v>562-0</v>
      </c>
      <c r="D504" s="133" t="s">
        <v>680</v>
      </c>
      <c r="E504" s="133" t="s">
        <v>55</v>
      </c>
      <c r="F504" s="133" t="s">
        <v>55</v>
      </c>
      <c r="G504" s="133" t="s">
        <v>1308</v>
      </c>
      <c r="H504" s="133" t="s">
        <v>448</v>
      </c>
      <c r="I504" s="133"/>
      <c r="J504" s="133" t="s">
        <v>1310</v>
      </c>
      <c r="K504" s="134">
        <v>45623</v>
      </c>
      <c r="L504" s="148">
        <v>10</v>
      </c>
      <c r="M504" s="133" t="s">
        <v>683</v>
      </c>
      <c r="N504" s="136">
        <f>0.5*12</f>
        <v>6</v>
      </c>
      <c r="O504" s="136">
        <v>0</v>
      </c>
      <c r="P504" s="136">
        <v>0</v>
      </c>
      <c r="Q504" s="137">
        <f t="shared" si="48"/>
        <v>60</v>
      </c>
      <c r="R504" s="133"/>
      <c r="S504" s="138">
        <v>45637.591666666667</v>
      </c>
      <c r="T504" s="133" t="s">
        <v>657</v>
      </c>
      <c r="U504" s="139" t="str">
        <f t="shared" si="45"/>
        <v>_extract_inhaled_cased_MB</v>
      </c>
      <c r="V504" s="140" t="str">
        <f>IF(U504="_","",_xlfn.XLOOKUP(U504,internal_cansku_inventory!D:D,internal_cansku_inventory!E:E,"",0,1))</f>
        <v/>
      </c>
    </row>
    <row r="505" spans="1:22" ht="12.45" customHeight="1">
      <c r="A505" s="132">
        <v>564</v>
      </c>
      <c r="B505" s="132">
        <v>0</v>
      </c>
      <c r="C505" s="132" t="str">
        <f>Table1[[#This Row],[inventory_id_head]]&amp;"-"&amp;Table1[[#This Row],[inventory_id_tail]]</f>
        <v>564-0</v>
      </c>
      <c r="D505" s="133" t="s">
        <v>680</v>
      </c>
      <c r="E505" s="133" t="s">
        <v>55</v>
      </c>
      <c r="F505" s="133" t="s">
        <v>55</v>
      </c>
      <c r="G505" s="133" t="s">
        <v>1308</v>
      </c>
      <c r="H505" s="133" t="s">
        <v>1307</v>
      </c>
      <c r="I505" s="133"/>
      <c r="J505" s="133" t="s">
        <v>1311</v>
      </c>
      <c r="K505" s="134">
        <v>45588</v>
      </c>
      <c r="L505" s="148">
        <v>10</v>
      </c>
      <c r="M505" s="133" t="s">
        <v>683</v>
      </c>
      <c r="N505" s="136">
        <v>12</v>
      </c>
      <c r="O505" s="136">
        <v>0</v>
      </c>
      <c r="P505" s="136">
        <v>0</v>
      </c>
      <c r="Q505" s="137">
        <f t="shared" si="48"/>
        <v>120</v>
      </c>
      <c r="R505" s="133"/>
      <c r="S505" s="138">
        <v>45637.591666666667</v>
      </c>
      <c r="T505" s="133" t="s">
        <v>657</v>
      </c>
      <c r="U505" s="139" t="str">
        <f t="shared" si="45"/>
        <v>_preroll_cased_MB</v>
      </c>
      <c r="V505" s="140" t="str">
        <f>IF(U505="_","",_xlfn.XLOOKUP(U505,internal_cansku_inventory!D:D,internal_cansku_inventory!E:E,"",0,1))</f>
        <v/>
      </c>
    </row>
    <row r="506" spans="1:22" ht="12.45" customHeight="1">
      <c r="A506" s="132">
        <v>565</v>
      </c>
      <c r="B506" s="132">
        <v>0</v>
      </c>
      <c r="C506" s="132" t="str">
        <f>Table1[[#This Row],[inventory_id_head]]&amp;"-"&amp;Table1[[#This Row],[inventory_id_tail]]</f>
        <v>565-0</v>
      </c>
      <c r="D506" s="133" t="s">
        <v>680</v>
      </c>
      <c r="E506" s="133" t="s">
        <v>55</v>
      </c>
      <c r="F506" s="133" t="s">
        <v>55</v>
      </c>
      <c r="G506" s="133" t="s">
        <v>1308</v>
      </c>
      <c r="H506" s="133" t="s">
        <v>1307</v>
      </c>
      <c r="I506" s="133"/>
      <c r="J506" s="133" t="s">
        <v>1312</v>
      </c>
      <c r="K506" s="134">
        <v>45604</v>
      </c>
      <c r="L506" s="148">
        <v>5</v>
      </c>
      <c r="M506" s="133" t="s">
        <v>683</v>
      </c>
      <c r="N506" s="136">
        <f>12*1.5</f>
        <v>18</v>
      </c>
      <c r="O506" s="136">
        <v>0</v>
      </c>
      <c r="P506" s="136">
        <v>0</v>
      </c>
      <c r="Q506" s="137">
        <f t="shared" si="48"/>
        <v>90</v>
      </c>
      <c r="R506" s="133"/>
      <c r="S506" s="138">
        <v>45637.591666666667</v>
      </c>
      <c r="T506" s="133" t="s">
        <v>657</v>
      </c>
      <c r="U506" s="139" t="str">
        <f t="shared" si="45"/>
        <v>_preroll_cased_MB</v>
      </c>
      <c r="V506" s="140" t="str">
        <f>IF(U506="_","",_xlfn.XLOOKUP(U506,internal_cansku_inventory!D:D,internal_cansku_inventory!E:E,"",0,1))</f>
        <v/>
      </c>
    </row>
    <row r="507" spans="1:22" ht="12.45" customHeight="1">
      <c r="A507" s="132">
        <v>566</v>
      </c>
      <c r="B507" s="132">
        <v>0</v>
      </c>
      <c r="C507" s="132" t="str">
        <f>Table1[[#This Row],[inventory_id_head]]&amp;"-"&amp;Table1[[#This Row],[inventory_id_tail]]</f>
        <v>566-0</v>
      </c>
      <c r="D507" s="133" t="s">
        <v>680</v>
      </c>
      <c r="E507" s="133" t="s">
        <v>55</v>
      </c>
      <c r="F507" s="133" t="s">
        <v>55</v>
      </c>
      <c r="G507" s="133" t="s">
        <v>1308</v>
      </c>
      <c r="H507" s="133" t="s">
        <v>1307</v>
      </c>
      <c r="I507" s="133"/>
      <c r="J507" s="133" t="s">
        <v>1312</v>
      </c>
      <c r="K507" s="134">
        <v>45575</v>
      </c>
      <c r="L507" s="148">
        <v>5</v>
      </c>
      <c r="M507" s="133" t="s">
        <v>683</v>
      </c>
      <c r="N507" s="136">
        <f>12*1.5</f>
        <v>18</v>
      </c>
      <c r="O507" s="136">
        <v>0</v>
      </c>
      <c r="P507" s="136">
        <v>0</v>
      </c>
      <c r="Q507" s="137">
        <f t="shared" si="48"/>
        <v>90</v>
      </c>
      <c r="R507" s="133"/>
      <c r="S507" s="138">
        <v>45637.591666666667</v>
      </c>
      <c r="T507" s="133" t="s">
        <v>657</v>
      </c>
      <c r="U507" s="139" t="str">
        <f t="shared" si="45"/>
        <v>_preroll_cased_MB</v>
      </c>
      <c r="V507" s="140" t="str">
        <f>IF(U507="_","",_xlfn.XLOOKUP(U507,internal_cansku_inventory!D:D,internal_cansku_inventory!E:E,"",0,1))</f>
        <v/>
      </c>
    </row>
    <row r="508" spans="1:22" ht="12.45" customHeight="1">
      <c r="A508" s="132">
        <v>567</v>
      </c>
      <c r="B508" s="132">
        <v>0</v>
      </c>
      <c r="C508" s="132" t="str">
        <f>Table1[[#This Row],[inventory_id_head]]&amp;"-"&amp;Table1[[#This Row],[inventory_id_tail]]</f>
        <v>567-0</v>
      </c>
      <c r="D508" s="133" t="s">
        <v>680</v>
      </c>
      <c r="E508" s="133" t="s">
        <v>55</v>
      </c>
      <c r="F508" s="133" t="s">
        <v>55</v>
      </c>
      <c r="G508" s="133" t="s">
        <v>1308</v>
      </c>
      <c r="H508" s="133" t="s">
        <v>1307</v>
      </c>
      <c r="I508" s="133"/>
      <c r="J508" s="133" t="s">
        <v>630</v>
      </c>
      <c r="K508" s="134">
        <v>45543</v>
      </c>
      <c r="L508" s="148">
        <v>10</v>
      </c>
      <c r="M508" s="133" t="s">
        <v>683</v>
      </c>
      <c r="N508" s="136">
        <f>12*1.5</f>
        <v>18</v>
      </c>
      <c r="O508" s="136">
        <v>0</v>
      </c>
      <c r="P508" s="136">
        <v>0</v>
      </c>
      <c r="Q508" s="137">
        <f t="shared" si="48"/>
        <v>180</v>
      </c>
      <c r="R508" s="133"/>
      <c r="S508" s="138">
        <v>45637.591666666667</v>
      </c>
      <c r="T508" s="133" t="s">
        <v>657</v>
      </c>
      <c r="U508" s="139" t="str">
        <f t="shared" si="45"/>
        <v>_preroll_cased_MB</v>
      </c>
      <c r="V508" s="140" t="str">
        <f>IF(U508="_","",_xlfn.XLOOKUP(U508,internal_cansku_inventory!D:D,internal_cansku_inventory!E:E,"",0,1))</f>
        <v/>
      </c>
    </row>
    <row r="509" spans="1:22" ht="12.45" customHeight="1">
      <c r="A509" s="132">
        <v>568</v>
      </c>
      <c r="B509" s="132">
        <v>0</v>
      </c>
      <c r="C509" s="132" t="str">
        <f>Table1[[#This Row],[inventory_id_head]]&amp;"-"&amp;Table1[[#This Row],[inventory_id_tail]]</f>
        <v>568-0</v>
      </c>
      <c r="D509" s="133" t="s">
        <v>680</v>
      </c>
      <c r="E509" s="133" t="s">
        <v>55</v>
      </c>
      <c r="F509" s="133" t="s">
        <v>55</v>
      </c>
      <c r="G509" s="133" t="s">
        <v>1308</v>
      </c>
      <c r="H509" s="133" t="s">
        <v>1307</v>
      </c>
      <c r="I509" s="133"/>
      <c r="J509" s="133" t="s">
        <v>1313</v>
      </c>
      <c r="K509" s="134">
        <v>45575</v>
      </c>
      <c r="L509" s="148">
        <v>10</v>
      </c>
      <c r="M509" s="133" t="s">
        <v>683</v>
      </c>
      <c r="N509" s="136">
        <f>12*1.5</f>
        <v>18</v>
      </c>
      <c r="O509" s="136">
        <v>0</v>
      </c>
      <c r="P509" s="136">
        <v>0</v>
      </c>
      <c r="Q509" s="137">
        <f t="shared" si="48"/>
        <v>180</v>
      </c>
      <c r="R509" s="133"/>
      <c r="S509" s="138">
        <v>45637.591666666667</v>
      </c>
      <c r="T509" s="133" t="s">
        <v>657</v>
      </c>
      <c r="U509" s="139" t="str">
        <f t="shared" si="45"/>
        <v>_preroll_cased_MB</v>
      </c>
      <c r="V509" s="140" t="str">
        <f>IF(U509="_","",_xlfn.XLOOKUP(U509,internal_cansku_inventory!D:D,internal_cansku_inventory!E:E,"",0,1))</f>
        <v/>
      </c>
    </row>
    <row r="510" spans="1:22" ht="12.45" customHeight="1">
      <c r="A510" s="132">
        <v>569</v>
      </c>
      <c r="B510" s="132">
        <v>0</v>
      </c>
      <c r="C510" s="132" t="str">
        <f>Table1[[#This Row],[inventory_id_head]]&amp;"-"&amp;Table1[[#This Row],[inventory_id_tail]]</f>
        <v>569-0</v>
      </c>
      <c r="D510" s="133" t="s">
        <v>680</v>
      </c>
      <c r="E510" s="133" t="s">
        <v>55</v>
      </c>
      <c r="F510" s="133" t="s">
        <v>55</v>
      </c>
      <c r="G510" s="133" t="s">
        <v>1308</v>
      </c>
      <c r="H510" s="133" t="s">
        <v>1307</v>
      </c>
      <c r="I510" s="133"/>
      <c r="J510" s="133" t="s">
        <v>869</v>
      </c>
      <c r="K510" s="134">
        <v>45447</v>
      </c>
      <c r="L510" s="148">
        <v>10</v>
      </c>
      <c r="M510" s="133" t="s">
        <v>683</v>
      </c>
      <c r="N510" s="136">
        <f>12*1.5</f>
        <v>18</v>
      </c>
      <c r="O510" s="136">
        <v>0</v>
      </c>
      <c r="P510" s="136">
        <v>0</v>
      </c>
      <c r="Q510" s="137">
        <f t="shared" si="48"/>
        <v>180</v>
      </c>
      <c r="R510" s="133"/>
      <c r="S510" s="138">
        <v>45637.591666666667</v>
      </c>
      <c r="T510" s="133" t="s">
        <v>657</v>
      </c>
      <c r="U510" s="139" t="str">
        <f t="shared" si="45"/>
        <v>_preroll_cased_MB</v>
      </c>
      <c r="V510" s="140" t="str">
        <f>IF(U510="_","",_xlfn.XLOOKUP(U510,internal_cansku_inventory!D:D,internal_cansku_inventory!E:E,"",0,1))</f>
        <v/>
      </c>
    </row>
    <row r="511" spans="1:22" ht="12.45" customHeight="1">
      <c r="A511" s="132">
        <v>439</v>
      </c>
      <c r="B511" s="132">
        <v>0</v>
      </c>
      <c r="C511" s="132" t="str">
        <f>Table1[[#This Row],[inventory_id_head]]&amp;"-"&amp;Table1[[#This Row],[inventory_id_tail]]</f>
        <v>439-0</v>
      </c>
      <c r="D511" s="133" t="s">
        <v>680</v>
      </c>
      <c r="E511" s="133" t="s">
        <v>55</v>
      </c>
      <c r="F511" s="133" t="s">
        <v>55</v>
      </c>
      <c r="G511" s="133" t="s">
        <v>681</v>
      </c>
      <c r="H511" s="133" t="s">
        <v>447</v>
      </c>
      <c r="I511" s="133"/>
      <c r="J511" s="133" t="s">
        <v>525</v>
      </c>
      <c r="K511" s="134">
        <v>45588</v>
      </c>
      <c r="L511" s="148">
        <v>9</v>
      </c>
      <c r="M511" s="133" t="s">
        <v>683</v>
      </c>
      <c r="N511" s="136">
        <f>29.3*12</f>
        <v>351.6</v>
      </c>
      <c r="O511" s="136">
        <v>0</v>
      </c>
      <c r="P511" s="136">
        <v>0</v>
      </c>
      <c r="Q511" s="137">
        <f t="shared" si="48"/>
        <v>3164.4</v>
      </c>
      <c r="R511" s="133"/>
      <c r="S511" s="138">
        <v>45637.594444444447</v>
      </c>
      <c r="T511" s="133" t="s">
        <v>657</v>
      </c>
      <c r="U511" s="139" t="str">
        <f t="shared" si="45"/>
        <v>_extract_ingested_cased_MB</v>
      </c>
      <c r="V511" s="140" t="str">
        <f>IF(U511="_","",_xlfn.XLOOKUP(U511,internal_cansku_inventory!D:D,internal_cansku_inventory!E:E,"",0,1))</f>
        <v/>
      </c>
    </row>
    <row r="512" spans="1:22" ht="12.45" customHeight="1">
      <c r="A512" s="132">
        <v>320</v>
      </c>
      <c r="B512" s="132">
        <v>0</v>
      </c>
      <c r="C512" s="132" t="str">
        <f>Table1[[#This Row],[inventory_id_head]]&amp;"-"&amp;Table1[[#This Row],[inventory_id_tail]]</f>
        <v>320-0</v>
      </c>
      <c r="D512" s="133" t="s">
        <v>680</v>
      </c>
      <c r="E512" s="133" t="s">
        <v>55</v>
      </c>
      <c r="F512" s="133" t="s">
        <v>55</v>
      </c>
      <c r="G512" s="133" t="s">
        <v>681</v>
      </c>
      <c r="H512" s="133" t="s">
        <v>447</v>
      </c>
      <c r="I512" s="133"/>
      <c r="J512" s="133" t="s">
        <v>1314</v>
      </c>
      <c r="K512" s="134">
        <v>45503</v>
      </c>
      <c r="L512" s="135">
        <v>0</v>
      </c>
      <c r="M512" s="133" t="s">
        <v>683</v>
      </c>
      <c r="N512" s="136">
        <f>12*50</f>
        <v>600</v>
      </c>
      <c r="O512" s="136">
        <v>0</v>
      </c>
      <c r="P512" s="136">
        <v>0</v>
      </c>
      <c r="Q512" s="137">
        <f t="shared" si="48"/>
        <v>0</v>
      </c>
      <c r="R512" s="133" t="s">
        <v>21</v>
      </c>
      <c r="S512" s="138">
        <v>45637.595833333333</v>
      </c>
      <c r="T512" s="133" t="s">
        <v>657</v>
      </c>
      <c r="U512" s="139" t="str">
        <f t="shared" si="45"/>
        <v>_extract_ingested_cased_MB</v>
      </c>
      <c r="V512" s="140" t="str">
        <f>IF(U512="_","",_xlfn.XLOOKUP(U512,internal_cansku_inventory!D:D,internal_cansku_inventory!E:E,"",0,1))</f>
        <v/>
      </c>
    </row>
    <row r="513" spans="1:22" ht="12.45" customHeight="1">
      <c r="A513" s="132">
        <v>441</v>
      </c>
      <c r="B513" s="132">
        <v>0</v>
      </c>
      <c r="C513" s="132" t="str">
        <f>Table1[[#This Row],[inventory_id_head]]&amp;"-"&amp;Table1[[#This Row],[inventory_id_tail]]</f>
        <v>441-0</v>
      </c>
      <c r="D513" s="133" t="s">
        <v>680</v>
      </c>
      <c r="E513" s="133" t="s">
        <v>55</v>
      </c>
      <c r="F513" s="133" t="s">
        <v>55</v>
      </c>
      <c r="G513" s="133" t="s">
        <v>681</v>
      </c>
      <c r="H513" s="133" t="s">
        <v>448</v>
      </c>
      <c r="I513" s="133"/>
      <c r="J513" s="133" t="s">
        <v>1315</v>
      </c>
      <c r="K513" s="134">
        <v>45555</v>
      </c>
      <c r="L513" s="148">
        <v>10</v>
      </c>
      <c r="M513" s="133" t="s">
        <v>683</v>
      </c>
      <c r="N513" s="136">
        <f>0.5*12</f>
        <v>6</v>
      </c>
      <c r="O513" s="136">
        <v>0</v>
      </c>
      <c r="P513" s="136">
        <v>0</v>
      </c>
      <c r="Q513" s="137">
        <f t="shared" si="48"/>
        <v>60</v>
      </c>
      <c r="R513" s="133"/>
      <c r="S513" s="138">
        <v>45637.599999999999</v>
      </c>
      <c r="T513" s="133" t="s">
        <v>657</v>
      </c>
      <c r="U513" s="139" t="str">
        <f t="shared" si="45"/>
        <v>_extract_inhaled_cased_MB</v>
      </c>
      <c r="V513" s="140" t="str">
        <f>IF(U513="_","",_xlfn.XLOOKUP(U513,internal_cansku_inventory!D:D,internal_cansku_inventory!E:E,"",0,1))</f>
        <v/>
      </c>
    </row>
    <row r="514" spans="1:22" ht="12.45" customHeight="1">
      <c r="A514" s="132">
        <v>380</v>
      </c>
      <c r="B514" s="132">
        <v>0</v>
      </c>
      <c r="C514" s="132" t="str">
        <f>Table1[[#This Row],[inventory_id_head]]&amp;"-"&amp;Table1[[#This Row],[inventory_id_tail]]</f>
        <v>380-0</v>
      </c>
      <c r="D514" s="133" t="s">
        <v>680</v>
      </c>
      <c r="E514" s="133" t="s">
        <v>55</v>
      </c>
      <c r="F514" s="133" t="s">
        <v>55</v>
      </c>
      <c r="G514" s="133" t="s">
        <v>681</v>
      </c>
      <c r="H514" s="133" t="s">
        <v>1307</v>
      </c>
      <c r="I514" s="133"/>
      <c r="J514" s="133" t="s">
        <v>1311</v>
      </c>
      <c r="K514" s="134">
        <v>45532</v>
      </c>
      <c r="L514" s="148">
        <v>0</v>
      </c>
      <c r="M514" s="133" t="s">
        <v>683</v>
      </c>
      <c r="N514" s="136">
        <f>12*1.5</f>
        <v>18</v>
      </c>
      <c r="O514" s="136">
        <v>0</v>
      </c>
      <c r="P514" s="136">
        <v>0</v>
      </c>
      <c r="Q514" s="137">
        <f t="shared" si="48"/>
        <v>0</v>
      </c>
      <c r="R514" s="133"/>
      <c r="S514" s="138">
        <v>45637.605555555558</v>
      </c>
      <c r="T514" s="133" t="s">
        <v>657</v>
      </c>
      <c r="U514" s="139" t="str">
        <f t="shared" si="45"/>
        <v>_preroll_cased_MB</v>
      </c>
      <c r="V514" s="140" t="str">
        <f>IF(U514="_","",_xlfn.XLOOKUP(U514,internal_cansku_inventory!D:D,internal_cansku_inventory!E:E,"",0,1))</f>
        <v/>
      </c>
    </row>
    <row r="515" spans="1:22" ht="12.45" customHeight="1">
      <c r="A515" s="132">
        <v>381</v>
      </c>
      <c r="B515" s="132">
        <v>0</v>
      </c>
      <c r="C515" s="132" t="str">
        <f>Table1[[#This Row],[inventory_id_head]]&amp;"-"&amp;Table1[[#This Row],[inventory_id_tail]]</f>
        <v>381-0</v>
      </c>
      <c r="D515" s="133" t="s">
        <v>680</v>
      </c>
      <c r="E515" s="133" t="s">
        <v>55</v>
      </c>
      <c r="F515" s="133" t="s">
        <v>55</v>
      </c>
      <c r="G515" s="133" t="s">
        <v>681</v>
      </c>
      <c r="H515" s="133" t="s">
        <v>1307</v>
      </c>
      <c r="I515" s="133"/>
      <c r="J515" s="133" t="s">
        <v>1109</v>
      </c>
      <c r="K515" s="134">
        <v>45523</v>
      </c>
      <c r="L515" s="148">
        <v>1</v>
      </c>
      <c r="M515" s="133" t="s">
        <v>683</v>
      </c>
      <c r="N515" s="136">
        <f>12*1.5</f>
        <v>18</v>
      </c>
      <c r="O515" s="136">
        <v>0</v>
      </c>
      <c r="P515" s="136">
        <v>0</v>
      </c>
      <c r="Q515" s="137">
        <f t="shared" si="48"/>
        <v>18</v>
      </c>
      <c r="R515" s="133"/>
      <c r="S515" s="138">
        <v>45637.612500000003</v>
      </c>
      <c r="T515" s="133" t="s">
        <v>657</v>
      </c>
      <c r="U515" s="139" t="str">
        <f t="shared" si="45"/>
        <v>_preroll_cased_MB</v>
      </c>
      <c r="V515" s="140" t="str">
        <f>IF(U515="_","",_xlfn.XLOOKUP(U515,internal_cansku_inventory!D:D,internal_cansku_inventory!E:E,"",0,1))</f>
        <v/>
      </c>
    </row>
    <row r="516" spans="1:22" ht="12.45" customHeight="1">
      <c r="A516" s="132">
        <v>382</v>
      </c>
      <c r="B516" s="132">
        <v>0</v>
      </c>
      <c r="C516" s="132" t="str">
        <f>Table1[[#This Row],[inventory_id_head]]&amp;"-"&amp;Table1[[#This Row],[inventory_id_tail]]</f>
        <v>382-0</v>
      </c>
      <c r="D516" s="133" t="s">
        <v>680</v>
      </c>
      <c r="E516" s="133" t="s">
        <v>55</v>
      </c>
      <c r="F516" s="133" t="s">
        <v>55</v>
      </c>
      <c r="G516" s="133" t="s">
        <v>681</v>
      </c>
      <c r="H516" s="133" t="s">
        <v>1307</v>
      </c>
      <c r="I516" s="133"/>
      <c r="J516" s="133" t="s">
        <v>1311</v>
      </c>
      <c r="K516" s="134">
        <v>45532</v>
      </c>
      <c r="L516" s="148">
        <v>6</v>
      </c>
      <c r="M516" s="133" t="s">
        <v>683</v>
      </c>
      <c r="N516" s="136">
        <v>12</v>
      </c>
      <c r="O516" s="136">
        <v>0</v>
      </c>
      <c r="P516" s="136">
        <v>0</v>
      </c>
      <c r="Q516" s="137">
        <f t="shared" si="48"/>
        <v>72</v>
      </c>
      <c r="R516" s="133"/>
      <c r="S516" s="138">
        <v>45637.612500000003</v>
      </c>
      <c r="T516" s="133" t="s">
        <v>657</v>
      </c>
      <c r="U516" s="139" t="str">
        <f t="shared" si="45"/>
        <v>_preroll_cased_MB</v>
      </c>
      <c r="V516" s="140" t="str">
        <f>IF(U516="_","",_xlfn.XLOOKUP(U516,internal_cansku_inventory!D:D,internal_cansku_inventory!E:E,"",0,1))</f>
        <v/>
      </c>
    </row>
    <row r="517" spans="1:22" ht="12.45" customHeight="1">
      <c r="A517" s="132">
        <v>377</v>
      </c>
      <c r="B517" s="132">
        <v>0</v>
      </c>
      <c r="C517" s="132" t="str">
        <f>Table1[[#This Row],[inventory_id_head]]&amp;"-"&amp;Table1[[#This Row],[inventory_id_tail]]</f>
        <v>377-0</v>
      </c>
      <c r="D517" s="133" t="s">
        <v>680</v>
      </c>
      <c r="E517" s="133" t="s">
        <v>55</v>
      </c>
      <c r="F517" s="133" t="s">
        <v>55</v>
      </c>
      <c r="G517" s="133" t="s">
        <v>681</v>
      </c>
      <c r="H517" s="133" t="s">
        <v>1307</v>
      </c>
      <c r="I517" s="133"/>
      <c r="J517" s="133" t="s">
        <v>1022</v>
      </c>
      <c r="K517" s="134">
        <v>45543</v>
      </c>
      <c r="L517" s="148">
        <v>1</v>
      </c>
      <c r="M517" s="133" t="s">
        <v>683</v>
      </c>
      <c r="N517" s="136">
        <f>12*1.5</f>
        <v>18</v>
      </c>
      <c r="O517" s="136">
        <v>0</v>
      </c>
      <c r="P517" s="136">
        <v>0</v>
      </c>
      <c r="Q517" s="137">
        <f t="shared" si="48"/>
        <v>18</v>
      </c>
      <c r="R517" s="133"/>
      <c r="S517" s="138">
        <v>45637.615972222222</v>
      </c>
      <c r="T517" s="133" t="s">
        <v>657</v>
      </c>
      <c r="U517" s="139" t="str">
        <f t="shared" si="45"/>
        <v>_preroll_cased_MB</v>
      </c>
      <c r="V517" s="140" t="str">
        <f>IF(U517="_","",_xlfn.XLOOKUP(U517,internal_cansku_inventory!D:D,internal_cansku_inventory!E:E,"",0,1))</f>
        <v/>
      </c>
    </row>
    <row r="518" spans="1:22" ht="12.45" customHeight="1">
      <c r="A518" s="132">
        <v>378</v>
      </c>
      <c r="B518" s="132">
        <v>0</v>
      </c>
      <c r="C518" s="132" t="str">
        <f>Table1[[#This Row],[inventory_id_head]]&amp;"-"&amp;Table1[[#This Row],[inventory_id_tail]]</f>
        <v>378-0</v>
      </c>
      <c r="D518" s="133" t="s">
        <v>680</v>
      </c>
      <c r="E518" s="133" t="s">
        <v>55</v>
      </c>
      <c r="F518" s="133" t="s">
        <v>55</v>
      </c>
      <c r="G518" s="133" t="s">
        <v>681</v>
      </c>
      <c r="H518" s="133" t="s">
        <v>1307</v>
      </c>
      <c r="I518" s="133"/>
      <c r="J518" s="133" t="s">
        <v>1316</v>
      </c>
      <c r="K518" s="134">
        <v>45491</v>
      </c>
      <c r="L518" s="148">
        <v>5</v>
      </c>
      <c r="M518" s="133" t="s">
        <v>683</v>
      </c>
      <c r="N518" s="136">
        <f>12*1.5</f>
        <v>18</v>
      </c>
      <c r="O518" s="136">
        <v>0</v>
      </c>
      <c r="P518" s="136">
        <v>0</v>
      </c>
      <c r="Q518" s="137">
        <f t="shared" si="48"/>
        <v>90</v>
      </c>
      <c r="R518" s="133"/>
      <c r="S518" s="138">
        <v>45637.619444444441</v>
      </c>
      <c r="T518" s="133" t="s">
        <v>657</v>
      </c>
      <c r="U518" s="139" t="str">
        <f t="shared" ref="U518:U581" si="49">I518&amp;"_"&amp;H518</f>
        <v>_preroll_cased_MB</v>
      </c>
      <c r="V518" s="140" t="str">
        <f>IF(U518="_","",_xlfn.XLOOKUP(U518,internal_cansku_inventory!D:D,internal_cansku_inventory!E:E,"",0,1))</f>
        <v/>
      </c>
    </row>
    <row r="519" spans="1:22" ht="12.45" customHeight="1">
      <c r="A519" s="132">
        <v>436</v>
      </c>
      <c r="B519" s="132">
        <v>0</v>
      </c>
      <c r="C519" s="132" t="str">
        <f>Table1[[#This Row],[inventory_id_head]]&amp;"-"&amp;Table1[[#This Row],[inventory_id_tail]]</f>
        <v>436-0</v>
      </c>
      <c r="D519" s="133" t="s">
        <v>680</v>
      </c>
      <c r="E519" s="133" t="s">
        <v>55</v>
      </c>
      <c r="F519" s="133" t="s">
        <v>55</v>
      </c>
      <c r="G519" s="133" t="s">
        <v>681</v>
      </c>
      <c r="H519" s="133" t="s">
        <v>1307</v>
      </c>
      <c r="I519" s="133"/>
      <c r="J519" s="133" t="s">
        <v>828</v>
      </c>
      <c r="K519" s="134">
        <v>45593</v>
      </c>
      <c r="L519" s="148">
        <v>5</v>
      </c>
      <c r="M519" s="133" t="s">
        <v>683</v>
      </c>
      <c r="N519" s="136">
        <v>24</v>
      </c>
      <c r="O519" s="136">
        <v>0</v>
      </c>
      <c r="P519" s="136">
        <v>0</v>
      </c>
      <c r="Q519" s="137">
        <f t="shared" si="48"/>
        <v>120</v>
      </c>
      <c r="R519" s="133"/>
      <c r="S519" s="138">
        <v>45637.62777777778</v>
      </c>
      <c r="T519" s="133" t="s">
        <v>657</v>
      </c>
      <c r="U519" s="139" t="str">
        <f t="shared" si="49"/>
        <v>_preroll_cased_MB</v>
      </c>
      <c r="V519" s="140" t="str">
        <f>IF(U519="_","",_xlfn.XLOOKUP(U519,internal_cansku_inventory!D:D,internal_cansku_inventory!E:E,"",0,1))</f>
        <v/>
      </c>
    </row>
    <row r="520" spans="1:22" ht="12.45" customHeight="1">
      <c r="A520" s="132">
        <v>442</v>
      </c>
      <c r="B520" s="132">
        <v>0</v>
      </c>
      <c r="C520" s="132" t="str">
        <f>Table1[[#This Row],[inventory_id_head]]&amp;"-"&amp;Table1[[#This Row],[inventory_id_tail]]</f>
        <v>442-0</v>
      </c>
      <c r="D520" s="133" t="s">
        <v>680</v>
      </c>
      <c r="E520" s="133" t="s">
        <v>55</v>
      </c>
      <c r="F520" s="133" t="s">
        <v>55</v>
      </c>
      <c r="G520" s="133" t="s">
        <v>681</v>
      </c>
      <c r="H520" s="133" t="s">
        <v>448</v>
      </c>
      <c r="I520" s="133"/>
      <c r="J520" s="133" t="s">
        <v>1134</v>
      </c>
      <c r="K520" s="134">
        <v>45581</v>
      </c>
      <c r="L520" s="148">
        <v>4</v>
      </c>
      <c r="M520" s="133" t="s">
        <v>683</v>
      </c>
      <c r="N520" s="136">
        <f>0.5*12</f>
        <v>6</v>
      </c>
      <c r="O520" s="136">
        <v>0</v>
      </c>
      <c r="P520" s="136">
        <v>0</v>
      </c>
      <c r="Q520" s="137">
        <f t="shared" si="48"/>
        <v>24</v>
      </c>
      <c r="R520" s="133"/>
      <c r="S520" s="138">
        <v>45637.631944444445</v>
      </c>
      <c r="T520" s="133" t="s">
        <v>657</v>
      </c>
      <c r="U520" s="139" t="str">
        <f t="shared" si="49"/>
        <v>_extract_inhaled_cased_MB</v>
      </c>
      <c r="V520" s="140" t="str">
        <f>IF(U520="_","",_xlfn.XLOOKUP(U520,internal_cansku_inventory!D:D,internal_cansku_inventory!E:E,"",0,1))</f>
        <v/>
      </c>
    </row>
    <row r="521" spans="1:22" ht="12.45" customHeight="1">
      <c r="A521" s="132">
        <v>443</v>
      </c>
      <c r="B521" s="132">
        <v>0</v>
      </c>
      <c r="C521" s="132" t="str">
        <f>Table1[[#This Row],[inventory_id_head]]&amp;"-"&amp;Table1[[#This Row],[inventory_id_tail]]</f>
        <v>443-0</v>
      </c>
      <c r="D521" s="133" t="s">
        <v>680</v>
      </c>
      <c r="E521" s="133" t="s">
        <v>55</v>
      </c>
      <c r="F521" s="133" t="s">
        <v>55</v>
      </c>
      <c r="G521" s="133" t="s">
        <v>681</v>
      </c>
      <c r="H521" s="133" t="s">
        <v>447</v>
      </c>
      <c r="I521" s="133"/>
      <c r="J521" s="133" t="s">
        <v>934</v>
      </c>
      <c r="K521" s="134">
        <v>45596</v>
      </c>
      <c r="L521" s="148">
        <v>10</v>
      </c>
      <c r="M521" s="133" t="s">
        <v>683</v>
      </c>
      <c r="N521" s="136">
        <f>29.3*12</f>
        <v>351.6</v>
      </c>
      <c r="O521" s="136">
        <v>0</v>
      </c>
      <c r="P521" s="136">
        <v>0</v>
      </c>
      <c r="Q521" s="137">
        <f t="shared" si="48"/>
        <v>3516</v>
      </c>
      <c r="R521" s="133"/>
      <c r="S521" s="138">
        <v>45637.631944444445</v>
      </c>
      <c r="T521" s="133" t="s">
        <v>657</v>
      </c>
      <c r="U521" s="139" t="str">
        <f t="shared" si="49"/>
        <v>_extract_ingested_cased_MB</v>
      </c>
      <c r="V521" s="140" t="str">
        <f>IF(U521="_","",_xlfn.XLOOKUP(U521,internal_cansku_inventory!D:D,internal_cansku_inventory!E:E,"",0,1))</f>
        <v/>
      </c>
    </row>
    <row r="522" spans="1:22" ht="12.45" customHeight="1">
      <c r="A522" s="132">
        <v>390</v>
      </c>
      <c r="B522" s="132">
        <v>0</v>
      </c>
      <c r="C522" s="132" t="str">
        <f>Table1[[#This Row],[inventory_id_head]]&amp;"-"&amp;Table1[[#This Row],[inventory_id_tail]]</f>
        <v>390-0</v>
      </c>
      <c r="D522" s="133" t="s">
        <v>653</v>
      </c>
      <c r="E522" s="133" t="s">
        <v>1317</v>
      </c>
      <c r="F522" s="133" t="s">
        <v>55</v>
      </c>
      <c r="G522" s="133" t="str">
        <f t="shared" ref="G522:G530" si="50">E522&amp;F522</f>
        <v>T076EXNA</v>
      </c>
      <c r="H522" s="133" t="s">
        <v>304</v>
      </c>
      <c r="I522" s="133"/>
      <c r="J522" s="133" t="s">
        <v>892</v>
      </c>
      <c r="K522" s="134">
        <v>45576</v>
      </c>
      <c r="L522" s="148">
        <v>10</v>
      </c>
      <c r="M522" s="133" t="s">
        <v>858</v>
      </c>
      <c r="N522" s="136">
        <v>50</v>
      </c>
      <c r="O522" s="136">
        <v>0</v>
      </c>
      <c r="P522" s="136">
        <v>0</v>
      </c>
      <c r="Q522" s="137">
        <f t="shared" si="48"/>
        <v>500</v>
      </c>
      <c r="R522" s="133"/>
      <c r="S522" s="138">
        <v>45638</v>
      </c>
      <c r="T522" s="133" t="s">
        <v>657</v>
      </c>
      <c r="U522" s="139" t="str">
        <f t="shared" si="49"/>
        <v>_extract_ingested_labelled</v>
      </c>
      <c r="V522" s="140" t="str">
        <f>IF(U522="_","",_xlfn.XLOOKUP(U522,internal_cansku_inventory!D:D,internal_cansku_inventory!E:E,"",0,1))</f>
        <v/>
      </c>
    </row>
    <row r="523" spans="1:22" ht="12.45" customHeight="1">
      <c r="A523" s="132">
        <v>570</v>
      </c>
      <c r="B523" s="132">
        <v>0</v>
      </c>
      <c r="C523" s="132" t="str">
        <f>Table1[[#This Row],[inventory_id_head]]&amp;"-"&amp;Table1[[#This Row],[inventory_id_tail]]</f>
        <v>570-0</v>
      </c>
      <c r="D523" s="133" t="s">
        <v>653</v>
      </c>
      <c r="E523" s="133" t="s">
        <v>1318</v>
      </c>
      <c r="F523" s="133" t="s">
        <v>655</v>
      </c>
      <c r="G523" s="133" t="str">
        <f t="shared" si="50"/>
        <v>T116EXNA</v>
      </c>
      <c r="H523" s="133" t="s">
        <v>304</v>
      </c>
      <c r="I523" s="133"/>
      <c r="J523" s="133" t="s">
        <v>1302</v>
      </c>
      <c r="K523" s="134">
        <v>45624</v>
      </c>
      <c r="L523" s="135">
        <v>165</v>
      </c>
      <c r="M523" s="133" t="s">
        <v>858</v>
      </c>
      <c r="N523" s="136">
        <v>50</v>
      </c>
      <c r="O523" s="136">
        <v>0</v>
      </c>
      <c r="P523" s="136">
        <v>0</v>
      </c>
      <c r="Q523" s="137">
        <f t="shared" si="48"/>
        <v>8250</v>
      </c>
      <c r="R523" s="133"/>
      <c r="S523" s="138">
        <v>45638.695833333331</v>
      </c>
      <c r="T523" s="133" t="s">
        <v>657</v>
      </c>
      <c r="U523" s="139" t="str">
        <f t="shared" si="49"/>
        <v>_extract_ingested_labelled</v>
      </c>
      <c r="V523" s="140" t="str">
        <f>IF(U523="_","",_xlfn.XLOOKUP(U523,internal_cansku_inventory!D:D,internal_cansku_inventory!E:E,"",0,1))</f>
        <v/>
      </c>
    </row>
    <row r="524" spans="1:22" ht="12.45" customHeight="1">
      <c r="A524" s="132">
        <v>571</v>
      </c>
      <c r="B524" s="132">
        <v>0</v>
      </c>
      <c r="C524" s="132" t="str">
        <f>Table1[[#This Row],[inventory_id_head]]&amp;"-"&amp;Table1[[#This Row],[inventory_id_tail]]</f>
        <v>571-0</v>
      </c>
      <c r="D524" s="133" t="s">
        <v>680</v>
      </c>
      <c r="E524" s="133" t="s">
        <v>1319</v>
      </c>
      <c r="F524" s="133" t="s">
        <v>655</v>
      </c>
      <c r="G524" s="133" t="str">
        <f t="shared" si="50"/>
        <v>T055DFNA</v>
      </c>
      <c r="H524" s="133" t="s">
        <v>314</v>
      </c>
      <c r="I524" s="133"/>
      <c r="J524" s="133" t="s">
        <v>1321</v>
      </c>
      <c r="K524" s="134">
        <v>45631</v>
      </c>
      <c r="L524" s="135">
        <v>489</v>
      </c>
      <c r="M524" s="133" t="s">
        <v>858</v>
      </c>
      <c r="N524" s="136">
        <v>7</v>
      </c>
      <c r="O524" s="136">
        <v>0</v>
      </c>
      <c r="P524" s="136">
        <v>0</v>
      </c>
      <c r="Q524" s="137">
        <f t="shared" si="48"/>
        <v>3423</v>
      </c>
      <c r="R524" s="133"/>
      <c r="S524" s="138">
        <v>45638.70416666667</v>
      </c>
      <c r="T524" s="133" t="s">
        <v>657</v>
      </c>
      <c r="U524" s="139" t="str">
        <f t="shared" si="49"/>
        <v>_driedflower_labelled</v>
      </c>
      <c r="V524" s="140" t="str">
        <f>IF(U524="_","",_xlfn.XLOOKUP(U524,internal_cansku_inventory!D:D,internal_cansku_inventory!E:E,"",0,1))</f>
        <v/>
      </c>
    </row>
    <row r="525" spans="1:22" ht="12.45" customHeight="1">
      <c r="A525" s="132">
        <v>274</v>
      </c>
      <c r="B525" s="132">
        <v>0</v>
      </c>
      <c r="C525" s="132" t="str">
        <f>Table1[[#This Row],[inventory_id_head]]&amp;"-"&amp;Table1[[#This Row],[inventory_id_tail]]</f>
        <v>274-0</v>
      </c>
      <c r="D525" s="133" t="s">
        <v>653</v>
      </c>
      <c r="E525" s="133" t="s">
        <v>1322</v>
      </c>
      <c r="F525" s="133" t="s">
        <v>655</v>
      </c>
      <c r="G525" s="133" t="str">
        <f t="shared" si="50"/>
        <v>T005TPNA</v>
      </c>
      <c r="H525" s="133" t="s">
        <v>303</v>
      </c>
      <c r="I525" s="133"/>
      <c r="J525" s="133" t="s">
        <v>775</v>
      </c>
      <c r="K525" s="134">
        <v>45523</v>
      </c>
      <c r="L525" s="135">
        <v>20</v>
      </c>
      <c r="M525" s="133" t="s">
        <v>858</v>
      </c>
      <c r="N525" s="136">
        <v>180</v>
      </c>
      <c r="O525" s="136">
        <v>0</v>
      </c>
      <c r="P525" s="136">
        <v>0</v>
      </c>
      <c r="Q525" s="137">
        <f t="shared" si="48"/>
        <v>3600</v>
      </c>
      <c r="R525" s="133"/>
      <c r="S525" s="138">
        <v>45638.706944444442</v>
      </c>
      <c r="T525" s="133" t="s">
        <v>657</v>
      </c>
      <c r="U525" s="139" t="str">
        <f t="shared" si="49"/>
        <v>_topical_labelled</v>
      </c>
      <c r="V525" s="140" t="str">
        <f>IF(U525="_","",_xlfn.XLOOKUP(U525,internal_cansku_inventory!D:D,internal_cansku_inventory!E:E,"",0,1))</f>
        <v/>
      </c>
    </row>
    <row r="526" spans="1:22" ht="12.45" customHeight="1">
      <c r="A526" s="132">
        <v>74</v>
      </c>
      <c r="B526" s="132">
        <v>0</v>
      </c>
      <c r="C526" s="132" t="str">
        <f>Table1[[#This Row],[inventory_id_head]]&amp;"-"&amp;Table1[[#This Row],[inventory_id_tail]]</f>
        <v>74-0</v>
      </c>
      <c r="D526" s="133" t="s">
        <v>680</v>
      </c>
      <c r="E526" s="133" t="s">
        <v>1323</v>
      </c>
      <c r="F526" s="133" t="s">
        <v>55</v>
      </c>
      <c r="G526" s="133" t="str">
        <f t="shared" si="50"/>
        <v>T004BSNA</v>
      </c>
      <c r="H526" s="133" t="s">
        <v>303</v>
      </c>
      <c r="I526" s="133"/>
      <c r="J526" s="133" t="s">
        <v>1324</v>
      </c>
      <c r="K526" s="134">
        <v>45629</v>
      </c>
      <c r="L526" s="135">
        <v>19</v>
      </c>
      <c r="M526" s="133" t="s">
        <v>673</v>
      </c>
      <c r="N526" s="136">
        <v>450</v>
      </c>
      <c r="O526" s="136">
        <v>0</v>
      </c>
      <c r="P526" s="136">
        <v>0</v>
      </c>
      <c r="Q526" s="137">
        <f t="shared" si="48"/>
        <v>8550</v>
      </c>
      <c r="R526" s="133"/>
      <c r="S526" s="138">
        <v>45638.709027777775</v>
      </c>
      <c r="T526" s="133" t="s">
        <v>670</v>
      </c>
      <c r="U526" s="139" t="str">
        <f t="shared" si="49"/>
        <v>_topical_labelled</v>
      </c>
      <c r="V526" s="140" t="str">
        <f>IF(U526="_","",_xlfn.XLOOKUP(U526,internal_cansku_inventory!D:D,internal_cansku_inventory!E:E,"",0,1))</f>
        <v/>
      </c>
    </row>
    <row r="527" spans="1:22" ht="12.45" customHeight="1">
      <c r="A527" s="132">
        <v>2</v>
      </c>
      <c r="B527" s="132">
        <v>0</v>
      </c>
      <c r="C527" s="132" t="str">
        <f>Table1[[#This Row],[inventory_id_head]]&amp;"-"&amp;Table1[[#This Row],[inventory_id_tail]]</f>
        <v>2-0</v>
      </c>
      <c r="D527" s="133" t="s">
        <v>653</v>
      </c>
      <c r="E527" s="133" t="s">
        <v>1325</v>
      </c>
      <c r="F527" s="133" t="s">
        <v>55</v>
      </c>
      <c r="G527" s="133" t="str">
        <f t="shared" si="50"/>
        <v>T002BSNA</v>
      </c>
      <c r="H527" s="133" t="s">
        <v>851</v>
      </c>
      <c r="I527" s="133"/>
      <c r="J527" s="133" t="s">
        <v>1324</v>
      </c>
      <c r="K527" s="134">
        <v>45629</v>
      </c>
      <c r="L527" s="135">
        <v>136</v>
      </c>
      <c r="M527" s="133" t="s">
        <v>695</v>
      </c>
      <c r="N527" s="136">
        <v>450</v>
      </c>
      <c r="O527" s="136">
        <v>0</v>
      </c>
      <c r="P527" s="136">
        <v>0</v>
      </c>
      <c r="Q527" s="137">
        <f t="shared" si="48"/>
        <v>61200</v>
      </c>
      <c r="R527" s="133"/>
      <c r="S527" s="138">
        <v>45638.709722222222</v>
      </c>
      <c r="T527" s="133" t="s">
        <v>670</v>
      </c>
      <c r="U527" s="139" t="str">
        <f t="shared" si="49"/>
        <v>_topical_labelled</v>
      </c>
      <c r="V527" s="140" t="str">
        <f>IF(U527="_","",_xlfn.XLOOKUP(U527,internal_cansku_inventory!D:D,internal_cansku_inventory!E:E,"",0,1))</f>
        <v/>
      </c>
    </row>
    <row r="528" spans="1:22" ht="12.45" customHeight="1">
      <c r="A528" s="132">
        <v>573</v>
      </c>
      <c r="B528" s="132">
        <v>0</v>
      </c>
      <c r="C528" s="132" t="str">
        <f>Table1[[#This Row],[inventory_id_head]]&amp;"-"&amp;Table1[[#This Row],[inventory_id_tail]]</f>
        <v>573-0</v>
      </c>
      <c r="D528" s="133" t="s">
        <v>653</v>
      </c>
      <c r="E528" s="133" t="s">
        <v>1326</v>
      </c>
      <c r="F528" s="133" t="s">
        <v>655</v>
      </c>
      <c r="G528" s="133" t="str">
        <f t="shared" si="50"/>
        <v>T117EXNA</v>
      </c>
      <c r="H528" s="133" t="s">
        <v>304</v>
      </c>
      <c r="I528" s="133"/>
      <c r="J528" s="133" t="s">
        <v>1302</v>
      </c>
      <c r="K528" s="134">
        <v>45624</v>
      </c>
      <c r="L528" s="135">
        <v>37</v>
      </c>
      <c r="M528" s="133" t="s">
        <v>858</v>
      </c>
      <c r="N528" s="136">
        <v>50</v>
      </c>
      <c r="O528" s="136">
        <v>0</v>
      </c>
      <c r="P528" s="136">
        <v>0</v>
      </c>
      <c r="Q528" s="137">
        <f t="shared" si="48"/>
        <v>1850</v>
      </c>
      <c r="R528" s="133"/>
      <c r="S528" s="138">
        <v>45642.615277777775</v>
      </c>
      <c r="T528" s="133" t="s">
        <v>657</v>
      </c>
      <c r="U528" s="139" t="str">
        <f t="shared" si="49"/>
        <v>_extract_ingested_labelled</v>
      </c>
      <c r="V528" s="140" t="str">
        <f>IF(U528="_","",_xlfn.XLOOKUP(U528,internal_cansku_inventory!D:D,internal_cansku_inventory!E:E,"",0,1))</f>
        <v/>
      </c>
    </row>
    <row r="529" spans="1:22" ht="12.45" customHeight="1">
      <c r="A529" s="132">
        <v>574</v>
      </c>
      <c r="B529" s="132">
        <v>0</v>
      </c>
      <c r="C529" s="132" t="str">
        <f>Table1[[#This Row],[inventory_id_head]]&amp;"-"&amp;Table1[[#This Row],[inventory_id_tail]]</f>
        <v>574-0</v>
      </c>
      <c r="D529" s="133" t="s">
        <v>680</v>
      </c>
      <c r="E529" s="133" t="s">
        <v>1327</v>
      </c>
      <c r="F529" s="133" t="s">
        <v>655</v>
      </c>
      <c r="G529" s="133" t="str">
        <f t="shared" si="50"/>
        <v>T057DFNA</v>
      </c>
      <c r="H529" s="133" t="s">
        <v>356</v>
      </c>
      <c r="I529" s="133"/>
      <c r="J529" s="133" t="s">
        <v>1329</v>
      </c>
      <c r="K529" s="134" t="s">
        <v>655</v>
      </c>
      <c r="L529" s="135">
        <v>1</v>
      </c>
      <c r="M529" s="133" t="s">
        <v>994</v>
      </c>
      <c r="N529" s="136">
        <f>Table1[[#This Row],[gross_weight]]-Table1[[#This Row],[tare_weight]]</f>
        <v>1930</v>
      </c>
      <c r="O529" s="136">
        <v>4325</v>
      </c>
      <c r="P529" s="136">
        <v>2395</v>
      </c>
      <c r="Q529" s="137">
        <f t="shared" si="48"/>
        <v>1930</v>
      </c>
      <c r="R529" s="133"/>
      <c r="S529" s="138">
        <v>45642.634722222225</v>
      </c>
      <c r="T529" s="133" t="s">
        <v>978</v>
      </c>
      <c r="U529" s="139" t="str">
        <f t="shared" si="49"/>
        <v>_driedflower_milled_bulk</v>
      </c>
      <c r="V529" s="140" t="str">
        <f>IF(U529="_","",_xlfn.XLOOKUP(U529,internal_cansku_inventory!D:D,internal_cansku_inventory!E:E,"",0,1))</f>
        <v/>
      </c>
    </row>
    <row r="530" spans="1:22" ht="12.45" customHeight="1">
      <c r="A530" s="132">
        <v>575</v>
      </c>
      <c r="B530" s="132">
        <v>0</v>
      </c>
      <c r="C530" s="132" t="str">
        <f>Table1[[#This Row],[inventory_id_head]]&amp;"-"&amp;Table1[[#This Row],[inventory_id_tail]]</f>
        <v>575-0</v>
      </c>
      <c r="D530" s="133" t="s">
        <v>680</v>
      </c>
      <c r="E530" s="133" t="s">
        <v>1330</v>
      </c>
      <c r="F530" s="133" t="s">
        <v>655</v>
      </c>
      <c r="G530" s="133" t="str">
        <f t="shared" si="50"/>
        <v>T058DFNA</v>
      </c>
      <c r="H530" s="133" t="s">
        <v>356</v>
      </c>
      <c r="I530" s="133"/>
      <c r="J530" s="133" t="s">
        <v>1329</v>
      </c>
      <c r="K530" s="134" t="s">
        <v>655</v>
      </c>
      <c r="L530" s="135">
        <v>1</v>
      </c>
      <c r="M530" s="133" t="s">
        <v>994</v>
      </c>
      <c r="N530" s="136">
        <f>Table1[[#This Row],[gross_weight]]-Table1[[#This Row],[tare_weight]]</f>
        <v>2735</v>
      </c>
      <c r="O530" s="136">
        <v>5070</v>
      </c>
      <c r="P530" s="136">
        <v>2335</v>
      </c>
      <c r="Q530" s="137">
        <f t="shared" si="48"/>
        <v>2735</v>
      </c>
      <c r="R530" s="133"/>
      <c r="S530" s="138">
        <v>45642.635416666664</v>
      </c>
      <c r="T530" s="133" t="s">
        <v>978</v>
      </c>
      <c r="U530" s="139" t="str">
        <f t="shared" si="49"/>
        <v>_driedflower_milled_bulk</v>
      </c>
      <c r="V530" s="140" t="str">
        <f>IF(U530="_","",_xlfn.XLOOKUP(U530,internal_cansku_inventory!D:D,internal_cansku_inventory!E:E,"",0,1))</f>
        <v/>
      </c>
    </row>
    <row r="531" spans="1:22" ht="12.45" customHeight="1">
      <c r="A531" s="132">
        <v>319</v>
      </c>
      <c r="B531" s="132">
        <v>0</v>
      </c>
      <c r="C531" s="132" t="str">
        <f>Table1[[#This Row],[inventory_id_head]]&amp;"-"&amp;Table1[[#This Row],[inventory_id_tail]]</f>
        <v>319-0</v>
      </c>
      <c r="D531" s="133" t="s">
        <v>680</v>
      </c>
      <c r="E531" s="133" t="s">
        <v>55</v>
      </c>
      <c r="F531" s="133" t="s">
        <v>55</v>
      </c>
      <c r="G531" s="133" t="s">
        <v>681</v>
      </c>
      <c r="H531" s="133" t="s">
        <v>447</v>
      </c>
      <c r="I531" s="133"/>
      <c r="J531" s="133" t="s">
        <v>1019</v>
      </c>
      <c r="K531" s="134">
        <v>45523</v>
      </c>
      <c r="L531" s="135">
        <v>0</v>
      </c>
      <c r="M531" s="133" t="s">
        <v>683</v>
      </c>
      <c r="N531" s="136">
        <f>12*50</f>
        <v>600</v>
      </c>
      <c r="O531" s="136">
        <v>0</v>
      </c>
      <c r="P531" s="136">
        <v>0</v>
      </c>
      <c r="Q531" s="137">
        <f t="shared" si="48"/>
        <v>0</v>
      </c>
      <c r="R531" s="133" t="s">
        <v>21</v>
      </c>
      <c r="S531" s="138">
        <v>45643.666666666664</v>
      </c>
      <c r="T531" s="133" t="s">
        <v>657</v>
      </c>
      <c r="U531" s="139" t="str">
        <f t="shared" si="49"/>
        <v>_extract_ingested_cased_MB</v>
      </c>
      <c r="V531" s="140" t="str">
        <f>IF(U531="_","",_xlfn.XLOOKUP(U531,internal_cansku_inventory!D:D,internal_cansku_inventory!E:E,"",0,1))</f>
        <v/>
      </c>
    </row>
    <row r="532" spans="1:22" ht="12.45" customHeight="1">
      <c r="A532" s="132">
        <v>291</v>
      </c>
      <c r="B532" s="132">
        <v>1</v>
      </c>
      <c r="C532" s="132" t="str">
        <f>Table1[[#This Row],[inventory_id_head]]&amp;"-"&amp;Table1[[#This Row],[inventory_id_tail]]</f>
        <v>291-1</v>
      </c>
      <c r="D532" s="133" t="s">
        <v>653</v>
      </c>
      <c r="E532" s="133" t="s">
        <v>1005</v>
      </c>
      <c r="F532" s="133" t="s">
        <v>1331</v>
      </c>
      <c r="G532" s="133" t="str">
        <f t="shared" ref="G532:G557" si="51">E532&amp;F532</f>
        <v>T030DFB01</v>
      </c>
      <c r="H532" s="133" t="s">
        <v>365</v>
      </c>
      <c r="I532" s="133"/>
      <c r="J532" s="133" t="s">
        <v>957</v>
      </c>
      <c r="K532" s="134" t="s">
        <v>204</v>
      </c>
      <c r="L532" s="135">
        <v>1</v>
      </c>
      <c r="M532" s="133" t="s">
        <v>1012</v>
      </c>
      <c r="N532" s="136">
        <f>Table1[[#This Row],[gross_weight]]-Table1[[#This Row],[tare_weight]]</f>
        <v>210</v>
      </c>
      <c r="O532" s="136">
        <v>229</v>
      </c>
      <c r="P532" s="136">
        <v>19</v>
      </c>
      <c r="Q532" s="137">
        <f t="shared" si="48"/>
        <v>210</v>
      </c>
      <c r="R532" s="133"/>
      <c r="S532" s="138">
        <v>45660.647222222222</v>
      </c>
      <c r="T532" s="133" t="s">
        <v>978</v>
      </c>
      <c r="U532" s="139" t="str">
        <f t="shared" si="49"/>
        <v>_driedflower_bulk</v>
      </c>
      <c r="V532" s="140" t="str">
        <f>IF(U532="_","",_xlfn.XLOOKUP(U532,internal_cansku_inventory!D:D,internal_cansku_inventory!E:E,"",0,1))</f>
        <v/>
      </c>
    </row>
    <row r="533" spans="1:22" ht="12.45" customHeight="1">
      <c r="A533" s="132">
        <v>529</v>
      </c>
      <c r="B533" s="132">
        <v>1</v>
      </c>
      <c r="C533" s="132" t="str">
        <f>Table1[[#This Row],[inventory_id_head]]&amp;"-"&amp;Table1[[#This Row],[inventory_id_tail]]</f>
        <v>529-1</v>
      </c>
      <c r="D533" s="133" t="s">
        <v>653</v>
      </c>
      <c r="E533" s="133" t="s">
        <v>1332</v>
      </c>
      <c r="F533" s="133" t="s">
        <v>204</v>
      </c>
      <c r="G533" s="133" t="str">
        <f t="shared" si="51"/>
        <v>T059DFNA</v>
      </c>
      <c r="H533" s="133" t="s">
        <v>1333</v>
      </c>
      <c r="I533" s="133"/>
      <c r="J533" s="133">
        <v>2024121801</v>
      </c>
      <c r="K533" s="134" t="s">
        <v>55</v>
      </c>
      <c r="L533" s="135">
        <v>1</v>
      </c>
      <c r="M533" s="133" t="s">
        <v>207</v>
      </c>
      <c r="N533" s="136">
        <f>Table1[[#This Row],[gross_weight]]-Table1[[#This Row],[tare_weight]]</f>
        <v>5162</v>
      </c>
      <c r="O533" s="136">
        <v>7696</v>
      </c>
      <c r="P533" s="136">
        <v>2534</v>
      </c>
      <c r="Q533" s="137">
        <f t="shared" si="48"/>
        <v>5162</v>
      </c>
      <c r="R533" s="133" t="s">
        <v>1334</v>
      </c>
      <c r="S533" s="138">
        <v>45660.647222222222</v>
      </c>
      <c r="T533" s="133" t="s">
        <v>664</v>
      </c>
      <c r="U533" s="139" t="str">
        <f t="shared" si="49"/>
        <v>_driedflower_bulk_small</v>
      </c>
      <c r="V533" s="140" t="str">
        <f>IF(U533="_","",_xlfn.XLOOKUP(U533,internal_cansku_inventory!D:D,internal_cansku_inventory!E:E,"",0,1))</f>
        <v/>
      </c>
    </row>
    <row r="534" spans="1:22" ht="12.45" customHeight="1">
      <c r="A534" s="132">
        <v>529</v>
      </c>
      <c r="B534" s="132">
        <v>2</v>
      </c>
      <c r="C534" s="132" t="str">
        <f>Table1[[#This Row],[inventory_id_head]]&amp;"-"&amp;Table1[[#This Row],[inventory_id_tail]]</f>
        <v>529-2</v>
      </c>
      <c r="D534" s="133" t="s">
        <v>653</v>
      </c>
      <c r="E534" s="133" t="s">
        <v>1335</v>
      </c>
      <c r="F534" s="133" t="s">
        <v>204</v>
      </c>
      <c r="G534" s="133" t="str">
        <f t="shared" si="51"/>
        <v>T060DFNA</v>
      </c>
      <c r="H534" s="133" t="s">
        <v>1333</v>
      </c>
      <c r="I534" s="133"/>
      <c r="J534" s="133">
        <v>2024121801</v>
      </c>
      <c r="K534" s="134" t="s">
        <v>55</v>
      </c>
      <c r="L534" s="135">
        <v>1</v>
      </c>
      <c r="M534" s="133" t="s">
        <v>207</v>
      </c>
      <c r="N534" s="136">
        <f>Table1[[#This Row],[gross_weight]]-Table1[[#This Row],[tare_weight]]</f>
        <v>6904</v>
      </c>
      <c r="O534" s="136">
        <v>10610</v>
      </c>
      <c r="P534" s="136">
        <v>3706</v>
      </c>
      <c r="Q534" s="137">
        <f t="shared" si="48"/>
        <v>6904</v>
      </c>
      <c r="R534" s="133" t="s">
        <v>1334</v>
      </c>
      <c r="S534" s="138">
        <v>45660.647222222222</v>
      </c>
      <c r="T534" s="133" t="s">
        <v>664</v>
      </c>
      <c r="U534" s="139" t="str">
        <f t="shared" si="49"/>
        <v>_driedflower_bulk_small</v>
      </c>
      <c r="V534" s="140" t="str">
        <f>IF(U534="_","",_xlfn.XLOOKUP(U534,internal_cansku_inventory!D:D,internal_cansku_inventory!E:E,"",0,1))</f>
        <v/>
      </c>
    </row>
    <row r="535" spans="1:22" ht="12.45" customHeight="1">
      <c r="A535" s="132">
        <v>529</v>
      </c>
      <c r="B535" s="132">
        <v>3</v>
      </c>
      <c r="C535" s="132" t="str">
        <f>Table1[[#This Row],[inventory_id_head]]&amp;"-"&amp;Table1[[#This Row],[inventory_id_tail]]</f>
        <v>529-3</v>
      </c>
      <c r="D535" s="133" t="s">
        <v>653</v>
      </c>
      <c r="E535" s="133" t="s">
        <v>1336</v>
      </c>
      <c r="F535" s="133" t="s">
        <v>204</v>
      </c>
      <c r="G535" s="133" t="str">
        <f t="shared" si="51"/>
        <v>T061DFNA</v>
      </c>
      <c r="H535" s="153" t="s">
        <v>1337</v>
      </c>
      <c r="I535" s="153"/>
      <c r="J535" s="133">
        <v>2024121801</v>
      </c>
      <c r="K535" s="134" t="s">
        <v>55</v>
      </c>
      <c r="L535" s="135">
        <v>1</v>
      </c>
      <c r="M535" s="133" t="s">
        <v>207</v>
      </c>
      <c r="N535" s="136">
        <f>Table1[[#This Row],[gross_weight]]-Table1[[#This Row],[tare_weight]]</f>
        <v>7620</v>
      </c>
      <c r="O535" s="136">
        <v>13226</v>
      </c>
      <c r="P535" s="136">
        <v>5606</v>
      </c>
      <c r="Q535" s="137">
        <f t="shared" si="48"/>
        <v>7620</v>
      </c>
      <c r="R535" s="133" t="s">
        <v>1334</v>
      </c>
      <c r="S535" s="138">
        <v>45660.647222222222</v>
      </c>
      <c r="T535" s="133" t="s">
        <v>664</v>
      </c>
      <c r="U535" s="139" t="str">
        <f t="shared" si="49"/>
        <v>_driedflower_bulk_big</v>
      </c>
      <c r="V535" s="140" t="str">
        <f>IF(U535="_","",_xlfn.XLOOKUP(U535,internal_cansku_inventory!D:D,internal_cansku_inventory!E:E,"",0,1))</f>
        <v/>
      </c>
    </row>
    <row r="536" spans="1:22" ht="12.45" customHeight="1">
      <c r="A536" s="132">
        <v>529</v>
      </c>
      <c r="B536" s="132">
        <v>4</v>
      </c>
      <c r="C536" s="132" t="str">
        <f>Table1[[#This Row],[inventory_id_head]]&amp;"-"&amp;Table1[[#This Row],[inventory_id_tail]]</f>
        <v>529-4</v>
      </c>
      <c r="D536" s="133" t="s">
        <v>653</v>
      </c>
      <c r="E536" s="133" t="s">
        <v>1338</v>
      </c>
      <c r="F536" s="133" t="s">
        <v>204</v>
      </c>
      <c r="G536" s="133" t="str">
        <f t="shared" si="51"/>
        <v>T062DFNA</v>
      </c>
      <c r="H536" s="133" t="s">
        <v>1337</v>
      </c>
      <c r="I536" s="133"/>
      <c r="J536" s="133">
        <v>2024121801</v>
      </c>
      <c r="K536" s="134" t="s">
        <v>55</v>
      </c>
      <c r="L536" s="135">
        <v>1</v>
      </c>
      <c r="M536" s="133" t="s">
        <v>207</v>
      </c>
      <c r="N536" s="136">
        <f>Table1[[#This Row],[gross_weight]]-Table1[[#This Row],[tare_weight]]</f>
        <v>3588</v>
      </c>
      <c r="O536" s="136">
        <v>5550</v>
      </c>
      <c r="P536" s="136">
        <v>1962</v>
      </c>
      <c r="Q536" s="137">
        <f t="shared" si="48"/>
        <v>3588</v>
      </c>
      <c r="R536" s="133" t="s">
        <v>1334</v>
      </c>
      <c r="S536" s="138">
        <v>45660.647222222222</v>
      </c>
      <c r="T536" s="133" t="s">
        <v>664</v>
      </c>
      <c r="U536" s="139" t="str">
        <f t="shared" si="49"/>
        <v>_driedflower_bulk_big</v>
      </c>
      <c r="V536" s="140" t="str">
        <f>IF(U536="_","",_xlfn.XLOOKUP(U536,internal_cansku_inventory!D:D,internal_cansku_inventory!E:E,"",0,1))</f>
        <v/>
      </c>
    </row>
    <row r="537" spans="1:22" ht="12.45" customHeight="1">
      <c r="A537" s="132">
        <v>592</v>
      </c>
      <c r="B537" s="132">
        <v>0</v>
      </c>
      <c r="C537" s="132" t="str">
        <f>Table1[[#This Row],[inventory_id_head]]&amp;"-"&amp;Table1[[#This Row],[inventory_id_tail]]</f>
        <v>592-0</v>
      </c>
      <c r="D537" s="133" t="s">
        <v>653</v>
      </c>
      <c r="E537" s="133" t="s">
        <v>1332</v>
      </c>
      <c r="F537" s="133" t="s">
        <v>1339</v>
      </c>
      <c r="G537" s="133" t="str">
        <f t="shared" si="51"/>
        <v>T059DFB068DF</v>
      </c>
      <c r="H537" s="133" t="s">
        <v>365</v>
      </c>
      <c r="I537" s="133"/>
      <c r="J537" s="133">
        <v>2024121801</v>
      </c>
      <c r="K537" s="134" t="s">
        <v>55</v>
      </c>
      <c r="L537" s="135">
        <v>1</v>
      </c>
      <c r="M537" s="133" t="s">
        <v>673</v>
      </c>
      <c r="N537" s="136">
        <v>1000</v>
      </c>
      <c r="O537" s="136">
        <v>1086</v>
      </c>
      <c r="P537" s="136">
        <f>Table1[[#This Row],[gross_weight]]-1000</f>
        <v>86</v>
      </c>
      <c r="Q537" s="137">
        <f t="shared" si="48"/>
        <v>1000</v>
      </c>
      <c r="R537" s="133" t="s">
        <v>1334</v>
      </c>
      <c r="S537" s="138">
        <v>45660.647222222222</v>
      </c>
      <c r="T537" s="133" t="s">
        <v>664</v>
      </c>
      <c r="U537" s="139" t="str">
        <f t="shared" si="49"/>
        <v>_driedflower_bulk</v>
      </c>
      <c r="V537" s="140" t="str">
        <f>IF(U537="_","",_xlfn.XLOOKUP(U537,internal_cansku_inventory!D:D,internal_cansku_inventory!E:E,"",0,1))</f>
        <v/>
      </c>
    </row>
    <row r="538" spans="1:22" ht="12.45" customHeight="1">
      <c r="A538" s="132">
        <v>593</v>
      </c>
      <c r="B538" s="132">
        <v>0</v>
      </c>
      <c r="C538" s="132" t="str">
        <f>Table1[[#This Row],[inventory_id_head]]&amp;"-"&amp;Table1[[#This Row],[inventory_id_tail]]</f>
        <v>593-0</v>
      </c>
      <c r="D538" s="133" t="s">
        <v>653</v>
      </c>
      <c r="E538" s="133" t="s">
        <v>1332</v>
      </c>
      <c r="F538" s="133" t="s">
        <v>1340</v>
      </c>
      <c r="G538" s="133" t="str">
        <f t="shared" si="51"/>
        <v>T059DFB069DF</v>
      </c>
      <c r="H538" s="133" t="s">
        <v>365</v>
      </c>
      <c r="I538" s="133"/>
      <c r="J538" s="133">
        <v>2024121801</v>
      </c>
      <c r="K538" s="134" t="s">
        <v>55</v>
      </c>
      <c r="L538" s="135">
        <v>1</v>
      </c>
      <c r="M538" s="133" t="s">
        <v>673</v>
      </c>
      <c r="N538" s="136">
        <v>1000</v>
      </c>
      <c r="O538" s="136">
        <v>1094</v>
      </c>
      <c r="P538" s="136">
        <f>Table1[[#This Row],[gross_weight]]-1000</f>
        <v>94</v>
      </c>
      <c r="Q538" s="137">
        <f t="shared" si="48"/>
        <v>1000</v>
      </c>
      <c r="R538" s="133" t="s">
        <v>1334</v>
      </c>
      <c r="S538" s="138">
        <v>45660.647222222222</v>
      </c>
      <c r="T538" s="133" t="s">
        <v>664</v>
      </c>
      <c r="U538" s="139" t="str">
        <f t="shared" si="49"/>
        <v>_driedflower_bulk</v>
      </c>
      <c r="V538" s="140" t="str">
        <f>IF(U538="_","",_xlfn.XLOOKUP(U538,internal_cansku_inventory!D:D,internal_cansku_inventory!E:E,"",0,1))</f>
        <v/>
      </c>
    </row>
    <row r="539" spans="1:22" ht="12.45" customHeight="1">
      <c r="A539" s="132">
        <v>594</v>
      </c>
      <c r="B539" s="132">
        <v>0</v>
      </c>
      <c r="C539" s="132" t="str">
        <f>Table1[[#This Row],[inventory_id_head]]&amp;"-"&amp;Table1[[#This Row],[inventory_id_tail]]</f>
        <v>594-0</v>
      </c>
      <c r="D539" s="133" t="s">
        <v>653</v>
      </c>
      <c r="E539" s="133" t="s">
        <v>1332</v>
      </c>
      <c r="F539" s="133" t="s">
        <v>1341</v>
      </c>
      <c r="G539" s="133" t="str">
        <f t="shared" si="51"/>
        <v>T059DFB070DF</v>
      </c>
      <c r="H539" s="133" t="s">
        <v>365</v>
      </c>
      <c r="I539" s="133"/>
      <c r="J539" s="133">
        <v>2024121801</v>
      </c>
      <c r="K539" s="134" t="s">
        <v>55</v>
      </c>
      <c r="L539" s="135">
        <v>1</v>
      </c>
      <c r="M539" s="133" t="s">
        <v>673</v>
      </c>
      <c r="N539" s="136">
        <v>1000</v>
      </c>
      <c r="O539" s="136">
        <v>1092</v>
      </c>
      <c r="P539" s="136">
        <f>Table1[[#This Row],[gross_weight]]-1000</f>
        <v>92</v>
      </c>
      <c r="Q539" s="137">
        <f t="shared" si="48"/>
        <v>1000</v>
      </c>
      <c r="R539" s="133" t="s">
        <v>1334</v>
      </c>
      <c r="S539" s="138">
        <v>45660.647222222222</v>
      </c>
      <c r="T539" s="133" t="s">
        <v>664</v>
      </c>
      <c r="U539" s="139" t="str">
        <f t="shared" si="49"/>
        <v>_driedflower_bulk</v>
      </c>
      <c r="V539" s="140" t="str">
        <f>IF(U539="_","",_xlfn.XLOOKUP(U539,internal_cansku_inventory!D:D,internal_cansku_inventory!E:E,"",0,1))</f>
        <v/>
      </c>
    </row>
    <row r="540" spans="1:22" ht="12.45" customHeight="1">
      <c r="A540" s="132">
        <v>595</v>
      </c>
      <c r="B540" s="132">
        <v>0</v>
      </c>
      <c r="C540" s="132" t="str">
        <f>Table1[[#This Row],[inventory_id_head]]&amp;"-"&amp;Table1[[#This Row],[inventory_id_tail]]</f>
        <v>595-0</v>
      </c>
      <c r="D540" s="133" t="s">
        <v>653</v>
      </c>
      <c r="E540" s="133" t="s">
        <v>1332</v>
      </c>
      <c r="F540" s="133" t="s">
        <v>1342</v>
      </c>
      <c r="G540" s="133" t="str">
        <f t="shared" si="51"/>
        <v>T059DFB071DF</v>
      </c>
      <c r="H540" s="133" t="s">
        <v>365</v>
      </c>
      <c r="I540" s="133"/>
      <c r="J540" s="133">
        <v>2024121801</v>
      </c>
      <c r="K540" s="134" t="s">
        <v>55</v>
      </c>
      <c r="L540" s="135">
        <v>1</v>
      </c>
      <c r="M540" s="133" t="s">
        <v>673</v>
      </c>
      <c r="N540" s="136">
        <v>1000</v>
      </c>
      <c r="O540" s="136">
        <v>1096</v>
      </c>
      <c r="P540" s="136">
        <f>Table1[[#This Row],[gross_weight]]-1000</f>
        <v>96</v>
      </c>
      <c r="Q540" s="137">
        <f t="shared" si="48"/>
        <v>1000</v>
      </c>
      <c r="R540" s="133" t="s">
        <v>1334</v>
      </c>
      <c r="S540" s="138">
        <v>45660.647222222222</v>
      </c>
      <c r="T540" s="133" t="s">
        <v>664</v>
      </c>
      <c r="U540" s="139" t="str">
        <f t="shared" si="49"/>
        <v>_driedflower_bulk</v>
      </c>
      <c r="V540" s="140" t="str">
        <f>IF(U540="_","",_xlfn.XLOOKUP(U540,internal_cansku_inventory!D:D,internal_cansku_inventory!E:E,"",0,1))</f>
        <v/>
      </c>
    </row>
    <row r="541" spans="1:22" ht="12.45" customHeight="1">
      <c r="A541" s="132">
        <v>596</v>
      </c>
      <c r="B541" s="132">
        <v>0</v>
      </c>
      <c r="C541" s="132" t="str">
        <f>Table1[[#This Row],[inventory_id_head]]&amp;"-"&amp;Table1[[#This Row],[inventory_id_tail]]</f>
        <v>596-0</v>
      </c>
      <c r="D541" s="133" t="s">
        <v>653</v>
      </c>
      <c r="E541" s="133" t="s">
        <v>1332</v>
      </c>
      <c r="F541" s="133" t="s">
        <v>1343</v>
      </c>
      <c r="G541" s="133" t="str">
        <f t="shared" si="51"/>
        <v>T059DFB072DF</v>
      </c>
      <c r="H541" s="133" t="s">
        <v>365</v>
      </c>
      <c r="I541" s="133"/>
      <c r="J541" s="133">
        <v>2024121801</v>
      </c>
      <c r="K541" s="134" t="s">
        <v>55</v>
      </c>
      <c r="L541" s="135">
        <v>1</v>
      </c>
      <c r="M541" s="133" t="s">
        <v>673</v>
      </c>
      <c r="N541" s="136">
        <v>1000</v>
      </c>
      <c r="O541" s="136">
        <v>1088</v>
      </c>
      <c r="P541" s="136">
        <f>Table1[[#This Row],[gross_weight]]-1000</f>
        <v>88</v>
      </c>
      <c r="Q541" s="137">
        <f t="shared" si="48"/>
        <v>1000</v>
      </c>
      <c r="R541" s="133" t="s">
        <v>1334</v>
      </c>
      <c r="S541" s="138">
        <v>45660.647222222222</v>
      </c>
      <c r="T541" s="133" t="s">
        <v>664</v>
      </c>
      <c r="U541" s="139" t="str">
        <f t="shared" si="49"/>
        <v>_driedflower_bulk</v>
      </c>
      <c r="V541" s="140" t="str">
        <f>IF(U541="_","",_xlfn.XLOOKUP(U541,internal_cansku_inventory!D:D,internal_cansku_inventory!E:E,"",0,1))</f>
        <v/>
      </c>
    </row>
    <row r="542" spans="1:22" ht="12.45" customHeight="1">
      <c r="A542" s="132">
        <v>597</v>
      </c>
      <c r="B542" s="132">
        <v>0</v>
      </c>
      <c r="C542" s="132" t="str">
        <f>Table1[[#This Row],[inventory_id_head]]&amp;"-"&amp;Table1[[#This Row],[inventory_id_tail]]</f>
        <v>597-0</v>
      </c>
      <c r="D542" s="133" t="s">
        <v>653</v>
      </c>
      <c r="E542" s="133" t="s">
        <v>1332</v>
      </c>
      <c r="F542" s="133" t="s">
        <v>1344</v>
      </c>
      <c r="G542" s="133" t="str">
        <f t="shared" si="51"/>
        <v>T059DFB073DF</v>
      </c>
      <c r="H542" s="133" t="s">
        <v>365</v>
      </c>
      <c r="I542" s="133"/>
      <c r="J542" s="133">
        <v>2024121801</v>
      </c>
      <c r="K542" s="134" t="s">
        <v>55</v>
      </c>
      <c r="L542" s="135">
        <v>1</v>
      </c>
      <c r="M542" s="133" t="s">
        <v>673</v>
      </c>
      <c r="N542" s="136">
        <v>1000</v>
      </c>
      <c r="O542" s="136">
        <v>1096</v>
      </c>
      <c r="P542" s="136">
        <f>Table1[[#This Row],[gross_weight]]-1000</f>
        <v>96</v>
      </c>
      <c r="Q542" s="137">
        <f t="shared" si="48"/>
        <v>1000</v>
      </c>
      <c r="R542" s="133" t="s">
        <v>1334</v>
      </c>
      <c r="S542" s="138">
        <v>45660.647222222222</v>
      </c>
      <c r="T542" s="133" t="s">
        <v>664</v>
      </c>
      <c r="U542" s="139" t="str">
        <f t="shared" si="49"/>
        <v>_driedflower_bulk</v>
      </c>
      <c r="V542" s="140" t="str">
        <f>IF(U542="_","",_xlfn.XLOOKUP(U542,internal_cansku_inventory!D:D,internal_cansku_inventory!E:E,"",0,1))</f>
        <v/>
      </c>
    </row>
    <row r="543" spans="1:22" ht="12.45" customHeight="1">
      <c r="A543" s="132">
        <v>598</v>
      </c>
      <c r="B543" s="132">
        <v>0</v>
      </c>
      <c r="C543" s="132" t="str">
        <f>Table1[[#This Row],[inventory_id_head]]&amp;"-"&amp;Table1[[#This Row],[inventory_id_tail]]</f>
        <v>598-0</v>
      </c>
      <c r="D543" s="133" t="s">
        <v>653</v>
      </c>
      <c r="E543" s="133" t="s">
        <v>1332</v>
      </c>
      <c r="F543" s="133" t="s">
        <v>1345</v>
      </c>
      <c r="G543" s="133" t="str">
        <f t="shared" si="51"/>
        <v>T059DFB074DF</v>
      </c>
      <c r="H543" s="133" t="s">
        <v>365</v>
      </c>
      <c r="I543" s="133"/>
      <c r="J543" s="133">
        <v>2024121801</v>
      </c>
      <c r="K543" s="134" t="s">
        <v>55</v>
      </c>
      <c r="L543" s="135">
        <v>1</v>
      </c>
      <c r="M543" s="133" t="s">
        <v>673</v>
      </c>
      <c r="N543" s="136">
        <v>1000</v>
      </c>
      <c r="O543" s="136">
        <v>1090</v>
      </c>
      <c r="P543" s="136">
        <f>Table1[[#This Row],[gross_weight]]-1000</f>
        <v>90</v>
      </c>
      <c r="Q543" s="137">
        <f t="shared" si="48"/>
        <v>1000</v>
      </c>
      <c r="R543" s="133" t="s">
        <v>1334</v>
      </c>
      <c r="S543" s="138">
        <v>45660.647222222222</v>
      </c>
      <c r="T543" s="133" t="s">
        <v>664</v>
      </c>
      <c r="U543" s="139" t="str">
        <f t="shared" si="49"/>
        <v>_driedflower_bulk</v>
      </c>
      <c r="V543" s="140" t="str">
        <f>IF(U543="_","",_xlfn.XLOOKUP(U543,internal_cansku_inventory!D:D,internal_cansku_inventory!E:E,"",0,1))</f>
        <v/>
      </c>
    </row>
    <row r="544" spans="1:22" ht="12.45" customHeight="1">
      <c r="A544" s="132">
        <v>599</v>
      </c>
      <c r="B544" s="132">
        <v>0</v>
      </c>
      <c r="C544" s="132" t="str">
        <f>Table1[[#This Row],[inventory_id_head]]&amp;"-"&amp;Table1[[#This Row],[inventory_id_tail]]</f>
        <v>599-0</v>
      </c>
      <c r="D544" s="133" t="s">
        <v>653</v>
      </c>
      <c r="E544" s="133" t="s">
        <v>1332</v>
      </c>
      <c r="F544" s="133" t="s">
        <v>1346</v>
      </c>
      <c r="G544" s="133" t="str">
        <f t="shared" si="51"/>
        <v>T059DFB075DF</v>
      </c>
      <c r="H544" s="133" t="s">
        <v>365</v>
      </c>
      <c r="I544" s="133"/>
      <c r="J544" s="133">
        <v>2024121801</v>
      </c>
      <c r="K544" s="134" t="s">
        <v>55</v>
      </c>
      <c r="L544" s="135">
        <v>1</v>
      </c>
      <c r="M544" s="133" t="s">
        <v>673</v>
      </c>
      <c r="N544" s="136">
        <v>1000</v>
      </c>
      <c r="O544" s="136">
        <v>1094</v>
      </c>
      <c r="P544" s="136">
        <f>Table1[[#This Row],[gross_weight]]-1000</f>
        <v>94</v>
      </c>
      <c r="Q544" s="137">
        <f t="shared" si="48"/>
        <v>1000</v>
      </c>
      <c r="R544" s="133" t="s">
        <v>1334</v>
      </c>
      <c r="S544" s="138">
        <v>45660.647222222222</v>
      </c>
      <c r="T544" s="133" t="s">
        <v>664</v>
      </c>
      <c r="U544" s="139" t="str">
        <f t="shared" si="49"/>
        <v>_driedflower_bulk</v>
      </c>
      <c r="V544" s="140" t="str">
        <f>IF(U544="_","",_xlfn.XLOOKUP(U544,internal_cansku_inventory!D:D,internal_cansku_inventory!E:E,"",0,1))</f>
        <v/>
      </c>
    </row>
    <row r="545" spans="1:22" ht="12.45" customHeight="1">
      <c r="A545" s="132">
        <v>600</v>
      </c>
      <c r="B545" s="132">
        <v>0</v>
      </c>
      <c r="C545" s="132" t="str">
        <f>Table1[[#This Row],[inventory_id_head]]&amp;"-"&amp;Table1[[#This Row],[inventory_id_tail]]</f>
        <v>600-0</v>
      </c>
      <c r="D545" s="133" t="s">
        <v>653</v>
      </c>
      <c r="E545" s="133" t="s">
        <v>1332</v>
      </c>
      <c r="F545" s="133" t="s">
        <v>1347</v>
      </c>
      <c r="G545" s="133" t="str">
        <f t="shared" si="51"/>
        <v>T059DFB076DF</v>
      </c>
      <c r="H545" s="133" t="s">
        <v>365</v>
      </c>
      <c r="I545" s="133"/>
      <c r="J545" s="133">
        <v>2024121801</v>
      </c>
      <c r="K545" s="134" t="s">
        <v>55</v>
      </c>
      <c r="L545" s="135">
        <v>1</v>
      </c>
      <c r="M545" s="133" t="s">
        <v>673</v>
      </c>
      <c r="N545" s="136">
        <v>1133</v>
      </c>
      <c r="O545" s="136">
        <v>1226</v>
      </c>
      <c r="P545" s="136">
        <f>Table1[[#This Row],[gross_weight]]-1033</f>
        <v>193</v>
      </c>
      <c r="Q545" s="137">
        <f t="shared" si="48"/>
        <v>1133</v>
      </c>
      <c r="R545" s="133" t="s">
        <v>1334</v>
      </c>
      <c r="S545" s="138">
        <v>45660.647222222222</v>
      </c>
      <c r="T545" s="133" t="s">
        <v>664</v>
      </c>
      <c r="U545" s="139" t="str">
        <f t="shared" si="49"/>
        <v>_driedflower_bulk</v>
      </c>
      <c r="V545" s="140" t="str">
        <f>IF(U545="_","",_xlfn.XLOOKUP(U545,internal_cansku_inventory!D:D,internal_cansku_inventory!E:E,"",0,1))</f>
        <v/>
      </c>
    </row>
    <row r="546" spans="1:22" ht="12.45" customHeight="1">
      <c r="A546" s="132">
        <v>601</v>
      </c>
      <c r="B546" s="132">
        <v>0</v>
      </c>
      <c r="C546" s="132" t="str">
        <f>Table1[[#This Row],[inventory_id_head]]&amp;"-"&amp;Table1[[#This Row],[inventory_id_tail]]</f>
        <v>601-0</v>
      </c>
      <c r="D546" s="133" t="s">
        <v>653</v>
      </c>
      <c r="E546" s="133" t="s">
        <v>1332</v>
      </c>
      <c r="F546" s="133" t="s">
        <v>1348</v>
      </c>
      <c r="G546" s="133" t="str">
        <f t="shared" si="51"/>
        <v>T059DFB077DF</v>
      </c>
      <c r="H546" s="133" t="s">
        <v>365</v>
      </c>
      <c r="I546" s="133"/>
      <c r="J546" s="133">
        <v>2024121801</v>
      </c>
      <c r="K546" s="134" t="s">
        <v>55</v>
      </c>
      <c r="L546" s="135">
        <v>1</v>
      </c>
      <c r="M546" s="133" t="s">
        <v>673</v>
      </c>
      <c r="N546" s="136">
        <v>1000</v>
      </c>
      <c r="O546" s="136">
        <v>1094</v>
      </c>
      <c r="P546" s="136">
        <f>Table1[[#This Row],[gross_weight]]-1000</f>
        <v>94</v>
      </c>
      <c r="Q546" s="137">
        <f t="shared" si="48"/>
        <v>1000</v>
      </c>
      <c r="R546" s="133" t="s">
        <v>1334</v>
      </c>
      <c r="S546" s="138">
        <v>45660.647222222222</v>
      </c>
      <c r="T546" s="133" t="s">
        <v>664</v>
      </c>
      <c r="U546" s="139" t="str">
        <f t="shared" si="49"/>
        <v>_driedflower_bulk</v>
      </c>
      <c r="V546" s="140" t="str">
        <f>IF(U546="_","",_xlfn.XLOOKUP(U546,internal_cansku_inventory!D:D,internal_cansku_inventory!E:E,"",0,1))</f>
        <v/>
      </c>
    </row>
    <row r="547" spans="1:22" ht="12.45" customHeight="1">
      <c r="A547" s="132">
        <v>602</v>
      </c>
      <c r="B547" s="132">
        <v>0</v>
      </c>
      <c r="C547" s="132" t="str">
        <f>Table1[[#This Row],[inventory_id_head]]&amp;"-"&amp;Table1[[#This Row],[inventory_id_tail]]</f>
        <v>602-0</v>
      </c>
      <c r="D547" s="133" t="s">
        <v>653</v>
      </c>
      <c r="E547" s="133" t="s">
        <v>1349</v>
      </c>
      <c r="F547" s="133" t="s">
        <v>1350</v>
      </c>
      <c r="G547" s="133" t="str">
        <f t="shared" si="51"/>
        <v>T060DFB078DF</v>
      </c>
      <c r="H547" s="133" t="s">
        <v>365</v>
      </c>
      <c r="I547" s="133"/>
      <c r="J547" s="133">
        <v>2024121801</v>
      </c>
      <c r="K547" s="134" t="s">
        <v>55</v>
      </c>
      <c r="L547" s="135">
        <v>1</v>
      </c>
      <c r="M547" s="133" t="s">
        <v>673</v>
      </c>
      <c r="N547" s="136">
        <v>1000</v>
      </c>
      <c r="O547" s="136">
        <v>1094</v>
      </c>
      <c r="P547" s="136">
        <f>Table1[[#This Row],[gross_weight]]-1000</f>
        <v>94</v>
      </c>
      <c r="Q547" s="137">
        <f t="shared" si="48"/>
        <v>1000</v>
      </c>
      <c r="R547" s="133" t="s">
        <v>1334</v>
      </c>
      <c r="S547" s="138">
        <v>45660.647222222222</v>
      </c>
      <c r="T547" s="133" t="s">
        <v>664</v>
      </c>
      <c r="U547" s="139" t="str">
        <f t="shared" si="49"/>
        <v>_driedflower_bulk</v>
      </c>
      <c r="V547" s="140" t="str">
        <f>IF(U547="_","",_xlfn.XLOOKUP(U547,internal_cansku_inventory!D:D,internal_cansku_inventory!E:E,"",0,1))</f>
        <v/>
      </c>
    </row>
    <row r="548" spans="1:22" ht="12.45" customHeight="1">
      <c r="A548" s="132">
        <v>603</v>
      </c>
      <c r="B548" s="132">
        <v>0</v>
      </c>
      <c r="C548" s="132" t="str">
        <f>Table1[[#This Row],[inventory_id_head]]&amp;"-"&amp;Table1[[#This Row],[inventory_id_tail]]</f>
        <v>603-0</v>
      </c>
      <c r="D548" s="133" t="s">
        <v>653</v>
      </c>
      <c r="E548" s="133" t="s">
        <v>1349</v>
      </c>
      <c r="F548" s="133" t="s">
        <v>1351</v>
      </c>
      <c r="G548" s="133" t="str">
        <f t="shared" si="51"/>
        <v>T060DFB079DF</v>
      </c>
      <c r="H548" s="133" t="s">
        <v>365</v>
      </c>
      <c r="I548" s="133"/>
      <c r="J548" s="133">
        <v>2024121801</v>
      </c>
      <c r="K548" s="134" t="s">
        <v>55</v>
      </c>
      <c r="L548" s="135">
        <v>1</v>
      </c>
      <c r="M548" s="133" t="s">
        <v>673</v>
      </c>
      <c r="N548" s="136">
        <v>1000</v>
      </c>
      <c r="O548" s="136">
        <v>1095</v>
      </c>
      <c r="P548" s="136">
        <f>Table1[[#This Row],[gross_weight]]-1000</f>
        <v>95</v>
      </c>
      <c r="Q548" s="137">
        <f t="shared" si="48"/>
        <v>1000</v>
      </c>
      <c r="R548" s="133" t="s">
        <v>1334</v>
      </c>
      <c r="S548" s="138">
        <v>45660.647222222222</v>
      </c>
      <c r="T548" s="133" t="s">
        <v>664</v>
      </c>
      <c r="U548" s="139" t="str">
        <f t="shared" si="49"/>
        <v>_driedflower_bulk</v>
      </c>
      <c r="V548" s="140" t="str">
        <f>IF(U548="_","",_xlfn.XLOOKUP(U548,internal_cansku_inventory!D:D,internal_cansku_inventory!E:E,"",0,1))</f>
        <v/>
      </c>
    </row>
    <row r="549" spans="1:22" ht="12.45" customHeight="1">
      <c r="A549" s="132">
        <v>604</v>
      </c>
      <c r="B549" s="132">
        <v>0</v>
      </c>
      <c r="C549" s="132" t="str">
        <f>Table1[[#This Row],[inventory_id_head]]&amp;"-"&amp;Table1[[#This Row],[inventory_id_tail]]</f>
        <v>604-0</v>
      </c>
      <c r="D549" s="133" t="s">
        <v>653</v>
      </c>
      <c r="E549" s="133" t="s">
        <v>1349</v>
      </c>
      <c r="F549" s="133" t="s">
        <v>1352</v>
      </c>
      <c r="G549" s="133" t="str">
        <f t="shared" si="51"/>
        <v>T060DFB080DF</v>
      </c>
      <c r="H549" s="133" t="s">
        <v>365</v>
      </c>
      <c r="I549" s="133"/>
      <c r="J549" s="133">
        <v>2024121801</v>
      </c>
      <c r="K549" s="134" t="s">
        <v>55</v>
      </c>
      <c r="L549" s="135">
        <v>1</v>
      </c>
      <c r="M549" s="133" t="s">
        <v>673</v>
      </c>
      <c r="N549" s="136">
        <v>1000</v>
      </c>
      <c r="O549" s="136">
        <v>1095</v>
      </c>
      <c r="P549" s="136">
        <f>Table1[[#This Row],[gross_weight]]-1000</f>
        <v>95</v>
      </c>
      <c r="Q549" s="137">
        <f t="shared" si="48"/>
        <v>1000</v>
      </c>
      <c r="R549" s="133" t="s">
        <v>1334</v>
      </c>
      <c r="S549" s="138">
        <v>45660.647222222222</v>
      </c>
      <c r="T549" s="133" t="s">
        <v>664</v>
      </c>
      <c r="U549" s="139" t="str">
        <f t="shared" si="49"/>
        <v>_driedflower_bulk</v>
      </c>
      <c r="V549" s="140" t="str">
        <f>IF(U549="_","",_xlfn.XLOOKUP(U549,internal_cansku_inventory!D:D,internal_cansku_inventory!E:E,"",0,1))</f>
        <v/>
      </c>
    </row>
    <row r="550" spans="1:22" ht="12.45" customHeight="1">
      <c r="A550" s="132">
        <v>605</v>
      </c>
      <c r="B550" s="132">
        <v>0</v>
      </c>
      <c r="C550" s="132" t="str">
        <f>Table1[[#This Row],[inventory_id_head]]&amp;"-"&amp;Table1[[#This Row],[inventory_id_tail]]</f>
        <v>605-0</v>
      </c>
      <c r="D550" s="133" t="s">
        <v>653</v>
      </c>
      <c r="E550" s="133" t="s">
        <v>1349</v>
      </c>
      <c r="F550" s="133" t="s">
        <v>1353</v>
      </c>
      <c r="G550" s="133" t="str">
        <f t="shared" si="51"/>
        <v>T060DFB081DF</v>
      </c>
      <c r="H550" s="133" t="s">
        <v>365</v>
      </c>
      <c r="I550" s="133"/>
      <c r="J550" s="133">
        <v>2024121801</v>
      </c>
      <c r="K550" s="134" t="s">
        <v>55</v>
      </c>
      <c r="L550" s="135">
        <v>1</v>
      </c>
      <c r="M550" s="133" t="s">
        <v>673</v>
      </c>
      <c r="N550" s="136">
        <v>995</v>
      </c>
      <c r="O550" s="136">
        <v>1090</v>
      </c>
      <c r="P550" s="136">
        <f>Table1[[#This Row],[gross_weight]]-1000</f>
        <v>90</v>
      </c>
      <c r="Q550" s="137">
        <f t="shared" si="48"/>
        <v>995</v>
      </c>
      <c r="R550" s="133" t="s">
        <v>1334</v>
      </c>
      <c r="S550" s="138">
        <v>45660.647222222222</v>
      </c>
      <c r="T550" s="133" t="s">
        <v>664</v>
      </c>
      <c r="U550" s="139" t="str">
        <f t="shared" si="49"/>
        <v>_driedflower_bulk</v>
      </c>
      <c r="V550" s="140" t="str">
        <f>IF(U550="_","",_xlfn.XLOOKUP(U550,internal_cansku_inventory!D:D,internal_cansku_inventory!E:E,"",0,1))</f>
        <v/>
      </c>
    </row>
    <row r="551" spans="1:22" ht="12.45" customHeight="1">
      <c r="A551" s="132">
        <v>606</v>
      </c>
      <c r="B551" s="132">
        <v>0</v>
      </c>
      <c r="C551" s="132" t="str">
        <f>Table1[[#This Row],[inventory_id_head]]&amp;"-"&amp;Table1[[#This Row],[inventory_id_tail]]</f>
        <v>606-0</v>
      </c>
      <c r="D551" s="133" t="s">
        <v>653</v>
      </c>
      <c r="E551" s="133" t="s">
        <v>1349</v>
      </c>
      <c r="F551" s="133" t="s">
        <v>1354</v>
      </c>
      <c r="G551" s="133" t="str">
        <f t="shared" si="51"/>
        <v>T060DFB082DF</v>
      </c>
      <c r="H551" s="133" t="s">
        <v>365</v>
      </c>
      <c r="I551" s="133"/>
      <c r="J551" s="133">
        <v>2024121801</v>
      </c>
      <c r="K551" s="134" t="s">
        <v>55</v>
      </c>
      <c r="L551" s="135">
        <v>1</v>
      </c>
      <c r="M551" s="133" t="s">
        <v>673</v>
      </c>
      <c r="N551" s="136">
        <v>1000</v>
      </c>
      <c r="O551" s="136">
        <v>1095</v>
      </c>
      <c r="P551" s="136">
        <f>Table1[[#This Row],[gross_weight]]-1000</f>
        <v>95</v>
      </c>
      <c r="Q551" s="137">
        <f t="shared" si="48"/>
        <v>1000</v>
      </c>
      <c r="R551" s="133" t="s">
        <v>1334</v>
      </c>
      <c r="S551" s="138">
        <v>45660.647222222222</v>
      </c>
      <c r="T551" s="133" t="s">
        <v>664</v>
      </c>
      <c r="U551" s="139" t="str">
        <f t="shared" si="49"/>
        <v>_driedflower_bulk</v>
      </c>
      <c r="V551" s="140" t="str">
        <f>IF(U551="_","",_xlfn.XLOOKUP(U551,internal_cansku_inventory!D:D,internal_cansku_inventory!E:E,"",0,1))</f>
        <v/>
      </c>
    </row>
    <row r="552" spans="1:22" ht="12.45" customHeight="1">
      <c r="A552" s="132">
        <v>607</v>
      </c>
      <c r="B552" s="132">
        <v>0</v>
      </c>
      <c r="C552" s="132" t="str">
        <f>Table1[[#This Row],[inventory_id_head]]&amp;"-"&amp;Table1[[#This Row],[inventory_id_tail]]</f>
        <v>607-0</v>
      </c>
      <c r="D552" s="133" t="s">
        <v>653</v>
      </c>
      <c r="E552" s="133" t="s">
        <v>1349</v>
      </c>
      <c r="F552" s="133" t="s">
        <v>1355</v>
      </c>
      <c r="G552" s="133" t="str">
        <f t="shared" si="51"/>
        <v>T060DFB083DF</v>
      </c>
      <c r="H552" s="133" t="s">
        <v>365</v>
      </c>
      <c r="I552" s="133"/>
      <c r="J552" s="133">
        <v>2024121801</v>
      </c>
      <c r="K552" s="134" t="s">
        <v>55</v>
      </c>
      <c r="L552" s="135">
        <v>1</v>
      </c>
      <c r="M552" s="133" t="s">
        <v>673</v>
      </c>
      <c r="N552" s="136">
        <v>1000</v>
      </c>
      <c r="O552" s="136">
        <v>1095</v>
      </c>
      <c r="P552" s="136">
        <f>Table1[[#This Row],[gross_weight]]-1000</f>
        <v>95</v>
      </c>
      <c r="Q552" s="137">
        <f t="shared" si="48"/>
        <v>1000</v>
      </c>
      <c r="R552" s="133" t="s">
        <v>1334</v>
      </c>
      <c r="S552" s="138">
        <v>45660.647222222222</v>
      </c>
      <c r="T552" s="133" t="s">
        <v>664</v>
      </c>
      <c r="U552" s="139" t="str">
        <f t="shared" si="49"/>
        <v>_driedflower_bulk</v>
      </c>
      <c r="V552" s="140" t="str">
        <f>IF(U552="_","",_xlfn.XLOOKUP(U552,internal_cansku_inventory!D:D,internal_cansku_inventory!E:E,"",0,1))</f>
        <v/>
      </c>
    </row>
    <row r="553" spans="1:22" ht="12.45" customHeight="1">
      <c r="A553" s="132">
        <v>608</v>
      </c>
      <c r="B553" s="132">
        <v>0</v>
      </c>
      <c r="C553" s="132" t="str">
        <f>Table1[[#This Row],[inventory_id_head]]&amp;"-"&amp;Table1[[#This Row],[inventory_id_tail]]</f>
        <v>608-0</v>
      </c>
      <c r="D553" s="133" t="s">
        <v>653</v>
      </c>
      <c r="E553" s="133" t="s">
        <v>1349</v>
      </c>
      <c r="F553" s="133" t="s">
        <v>1356</v>
      </c>
      <c r="G553" s="133" t="str">
        <f t="shared" si="51"/>
        <v>T060DFB084DF</v>
      </c>
      <c r="H553" s="133" t="s">
        <v>365</v>
      </c>
      <c r="I553" s="133"/>
      <c r="J553" s="133">
        <v>2024121801</v>
      </c>
      <c r="K553" s="134" t="s">
        <v>55</v>
      </c>
      <c r="L553" s="135">
        <v>1</v>
      </c>
      <c r="M553" s="133" t="s">
        <v>673</v>
      </c>
      <c r="N553" s="136">
        <v>1000</v>
      </c>
      <c r="O553" s="136">
        <v>1095</v>
      </c>
      <c r="P553" s="136">
        <f>Table1[[#This Row],[gross_weight]]-1000</f>
        <v>95</v>
      </c>
      <c r="Q553" s="137">
        <f t="shared" si="48"/>
        <v>1000</v>
      </c>
      <c r="R553" s="133" t="s">
        <v>1334</v>
      </c>
      <c r="S553" s="138">
        <v>45660.647222222222</v>
      </c>
      <c r="T553" s="133" t="s">
        <v>664</v>
      </c>
      <c r="U553" s="139" t="str">
        <f t="shared" si="49"/>
        <v>_driedflower_bulk</v>
      </c>
      <c r="V553" s="140" t="str">
        <f>IF(U553="_","",_xlfn.XLOOKUP(U553,internal_cansku_inventory!D:D,internal_cansku_inventory!E:E,"",0,1))</f>
        <v/>
      </c>
    </row>
    <row r="554" spans="1:22" ht="12.45" customHeight="1">
      <c r="A554" s="132">
        <v>609</v>
      </c>
      <c r="B554" s="132">
        <v>0</v>
      </c>
      <c r="C554" s="132" t="str">
        <f>Table1[[#This Row],[inventory_id_head]]&amp;"-"&amp;Table1[[#This Row],[inventory_id_tail]]</f>
        <v>609-0</v>
      </c>
      <c r="D554" s="133" t="s">
        <v>653</v>
      </c>
      <c r="E554" s="133" t="s">
        <v>1349</v>
      </c>
      <c r="F554" s="133" t="s">
        <v>1357</v>
      </c>
      <c r="G554" s="133" t="str">
        <f t="shared" si="51"/>
        <v>T060DFB085DF</v>
      </c>
      <c r="H554" s="133" t="s">
        <v>365</v>
      </c>
      <c r="I554" s="133"/>
      <c r="J554" s="133">
        <v>2024121801</v>
      </c>
      <c r="K554" s="134" t="s">
        <v>55</v>
      </c>
      <c r="L554" s="135">
        <v>1</v>
      </c>
      <c r="M554" s="133" t="s">
        <v>673</v>
      </c>
      <c r="N554" s="136">
        <v>1000</v>
      </c>
      <c r="O554" s="136">
        <v>1095</v>
      </c>
      <c r="P554" s="136">
        <f>Table1[[#This Row],[gross_weight]]-1000</f>
        <v>95</v>
      </c>
      <c r="Q554" s="137">
        <f t="shared" ref="Q554:Q583" si="52">L554*N554</f>
        <v>1000</v>
      </c>
      <c r="R554" s="133" t="s">
        <v>1334</v>
      </c>
      <c r="S554" s="138">
        <v>45660.647222222222</v>
      </c>
      <c r="T554" s="133" t="s">
        <v>664</v>
      </c>
      <c r="U554" s="139" t="str">
        <f t="shared" si="49"/>
        <v>_driedflower_bulk</v>
      </c>
      <c r="V554" s="140" t="str">
        <f>IF(U554="_","",_xlfn.XLOOKUP(U554,internal_cansku_inventory!D:D,internal_cansku_inventory!E:E,"",0,1))</f>
        <v/>
      </c>
    </row>
    <row r="555" spans="1:22" ht="12.45" customHeight="1">
      <c r="A555" s="132">
        <v>610</v>
      </c>
      <c r="B555" s="132">
        <v>0</v>
      </c>
      <c r="C555" s="132" t="str">
        <f>Table1[[#This Row],[inventory_id_head]]&amp;"-"&amp;Table1[[#This Row],[inventory_id_tail]]</f>
        <v>610-0</v>
      </c>
      <c r="D555" s="133" t="s">
        <v>653</v>
      </c>
      <c r="E555" s="133" t="s">
        <v>1349</v>
      </c>
      <c r="F555" s="133" t="s">
        <v>1358</v>
      </c>
      <c r="G555" s="133" t="str">
        <f t="shared" si="51"/>
        <v>T060DFB086DF</v>
      </c>
      <c r="H555" s="133" t="s">
        <v>365</v>
      </c>
      <c r="I555" s="133"/>
      <c r="J555" s="133">
        <v>2024121801</v>
      </c>
      <c r="K555" s="134" t="s">
        <v>55</v>
      </c>
      <c r="L555" s="135">
        <v>1</v>
      </c>
      <c r="M555" s="133" t="s">
        <v>673</v>
      </c>
      <c r="N555" s="136">
        <v>1000</v>
      </c>
      <c r="O555" s="136">
        <v>1095</v>
      </c>
      <c r="P555" s="136">
        <f>Table1[[#This Row],[gross_weight]]-1000</f>
        <v>95</v>
      </c>
      <c r="Q555" s="137">
        <f t="shared" si="52"/>
        <v>1000</v>
      </c>
      <c r="R555" s="133" t="s">
        <v>1334</v>
      </c>
      <c r="S555" s="138">
        <v>45660.647222222222</v>
      </c>
      <c r="T555" s="133" t="s">
        <v>664</v>
      </c>
      <c r="U555" s="139" t="str">
        <f t="shared" si="49"/>
        <v>_driedflower_bulk</v>
      </c>
      <c r="V555" s="140" t="str">
        <f>IF(U555="_","",_xlfn.XLOOKUP(U555,internal_cansku_inventory!D:D,internal_cansku_inventory!E:E,"",0,1))</f>
        <v/>
      </c>
    </row>
    <row r="556" spans="1:22" ht="12.45" customHeight="1">
      <c r="A556" s="132">
        <v>611</v>
      </c>
      <c r="B556" s="132">
        <v>0</v>
      </c>
      <c r="C556" s="132" t="str">
        <f>Table1[[#This Row],[inventory_id_head]]&amp;"-"&amp;Table1[[#This Row],[inventory_id_tail]]</f>
        <v>611-0</v>
      </c>
      <c r="D556" s="133" t="s">
        <v>653</v>
      </c>
      <c r="E556" s="133" t="s">
        <v>1349</v>
      </c>
      <c r="F556" s="133" t="s">
        <v>1359</v>
      </c>
      <c r="G556" s="133" t="str">
        <f t="shared" si="51"/>
        <v>T060DFB087DF</v>
      </c>
      <c r="H556" s="133" t="s">
        <v>365</v>
      </c>
      <c r="I556" s="133"/>
      <c r="J556" s="133">
        <v>2024121801</v>
      </c>
      <c r="K556" s="134" t="s">
        <v>55</v>
      </c>
      <c r="L556" s="135">
        <v>1</v>
      </c>
      <c r="M556" s="133" t="s">
        <v>673</v>
      </c>
      <c r="N556" s="136">
        <v>1000</v>
      </c>
      <c r="O556" s="136">
        <v>1095</v>
      </c>
      <c r="P556" s="136">
        <f>Table1[[#This Row],[gross_weight]]-1000</f>
        <v>95</v>
      </c>
      <c r="Q556" s="137">
        <f t="shared" si="52"/>
        <v>1000</v>
      </c>
      <c r="R556" s="133" t="s">
        <v>1334</v>
      </c>
      <c r="S556" s="138">
        <v>45660.647222222222</v>
      </c>
      <c r="T556" s="133" t="s">
        <v>664</v>
      </c>
      <c r="U556" s="139" t="str">
        <f t="shared" si="49"/>
        <v>_driedflower_bulk</v>
      </c>
      <c r="V556" s="140" t="str">
        <f>IF(U556="_","",_xlfn.XLOOKUP(U556,internal_cansku_inventory!D:D,internal_cansku_inventory!E:E,"",0,1))</f>
        <v/>
      </c>
    </row>
    <row r="557" spans="1:22" ht="12.45" customHeight="1">
      <c r="A557" s="132">
        <v>612</v>
      </c>
      <c r="B557" s="132">
        <v>0</v>
      </c>
      <c r="C557" s="132" t="str">
        <f>Table1[[#This Row],[inventory_id_head]]&amp;"-"&amp;Table1[[#This Row],[inventory_id_tail]]</f>
        <v>612-0</v>
      </c>
      <c r="D557" s="133" t="s">
        <v>653</v>
      </c>
      <c r="E557" s="133" t="s">
        <v>1349</v>
      </c>
      <c r="F557" s="133" t="s">
        <v>1360</v>
      </c>
      <c r="G557" s="133" t="str">
        <f t="shared" si="51"/>
        <v>T060DFB088DF</v>
      </c>
      <c r="H557" s="133" t="s">
        <v>365</v>
      </c>
      <c r="I557" s="133"/>
      <c r="J557" s="133">
        <v>2024121801</v>
      </c>
      <c r="K557" s="134" t="s">
        <v>55</v>
      </c>
      <c r="L557" s="135">
        <v>1</v>
      </c>
      <c r="M557" s="133" t="s">
        <v>673</v>
      </c>
      <c r="N557" s="136">
        <v>1000</v>
      </c>
      <c r="O557" s="136">
        <v>1095</v>
      </c>
      <c r="P557" s="136">
        <f>Table1[[#This Row],[gross_weight]]-1000</f>
        <v>95</v>
      </c>
      <c r="Q557" s="137">
        <f t="shared" si="52"/>
        <v>1000</v>
      </c>
      <c r="R557" s="133" t="s">
        <v>1334</v>
      </c>
      <c r="S557" s="138">
        <v>45660.647222222222</v>
      </c>
      <c r="T557" s="133" t="s">
        <v>664</v>
      </c>
      <c r="U557" s="139" t="str">
        <f t="shared" si="49"/>
        <v>_driedflower_bulk</v>
      </c>
      <c r="V557" s="140" t="str">
        <f>IF(U557="_","",_xlfn.XLOOKUP(U557,internal_cansku_inventory!D:D,internal_cansku_inventory!E:E,"",0,1))</f>
        <v/>
      </c>
    </row>
    <row r="558" spans="1:22" ht="12.45" customHeight="1">
      <c r="A558" s="132">
        <v>437</v>
      </c>
      <c r="B558" s="132">
        <v>0</v>
      </c>
      <c r="C558" s="132" t="str">
        <f>Table1[[#This Row],[inventory_id_head]]&amp;"-"&amp;Table1[[#This Row],[inventory_id_tail]]</f>
        <v>437-0</v>
      </c>
      <c r="D558" s="133" t="s">
        <v>680</v>
      </c>
      <c r="E558" s="133" t="s">
        <v>55</v>
      </c>
      <c r="F558" s="133" t="s">
        <v>55</v>
      </c>
      <c r="G558" s="133" t="s">
        <v>681</v>
      </c>
      <c r="H558" s="133" t="s">
        <v>1307</v>
      </c>
      <c r="I558" s="133"/>
      <c r="J558" s="133" t="s">
        <v>869</v>
      </c>
      <c r="K558" s="134">
        <v>45498</v>
      </c>
      <c r="L558" s="148">
        <v>2</v>
      </c>
      <c r="M558" s="133" t="s">
        <v>683</v>
      </c>
      <c r="N558" s="136">
        <f>12*1.5</f>
        <v>18</v>
      </c>
      <c r="O558" s="136">
        <v>0</v>
      </c>
      <c r="P558" s="136">
        <v>0</v>
      </c>
      <c r="Q558" s="137">
        <f t="shared" si="52"/>
        <v>36</v>
      </c>
      <c r="R558" s="133"/>
      <c r="S558" s="138">
        <v>45664.634027777778</v>
      </c>
      <c r="T558" s="133" t="s">
        <v>657</v>
      </c>
      <c r="U558" s="139" t="str">
        <f t="shared" si="49"/>
        <v>_preroll_cased_MB</v>
      </c>
      <c r="V558" s="140" t="str">
        <f>IF(U558="_","",_xlfn.XLOOKUP(U558,internal_cansku_inventory!D:D,internal_cansku_inventory!E:E,"",0,1))</f>
        <v/>
      </c>
    </row>
    <row r="559" spans="1:22" ht="12.45" customHeight="1">
      <c r="A559" s="132">
        <v>613</v>
      </c>
      <c r="B559" s="132">
        <v>0</v>
      </c>
      <c r="C559" s="132" t="str">
        <f>Table1[[#This Row],[inventory_id_head]]&amp;"-"&amp;Table1[[#This Row],[inventory_id_tail]]</f>
        <v>613-0</v>
      </c>
      <c r="D559" s="133" t="s">
        <v>653</v>
      </c>
      <c r="E559" s="133" t="s">
        <v>1361</v>
      </c>
      <c r="F559" s="133" t="s">
        <v>1362</v>
      </c>
      <c r="G559" s="133" t="str">
        <f t="shared" ref="G559:G572" si="53">E559&amp;F559</f>
        <v>T061DFB089DF</v>
      </c>
      <c r="H559" s="133" t="s">
        <v>365</v>
      </c>
      <c r="I559" s="133"/>
      <c r="J559" s="133">
        <v>2024121801</v>
      </c>
      <c r="K559" s="134" t="s">
        <v>55</v>
      </c>
      <c r="L559" s="135">
        <v>1</v>
      </c>
      <c r="M559" s="133" t="s">
        <v>673</v>
      </c>
      <c r="N559" s="136">
        <v>1000</v>
      </c>
      <c r="O559" s="136">
        <v>1095</v>
      </c>
      <c r="P559" s="136">
        <f>Table1[[#This Row],[gross_weight]]-1000</f>
        <v>95</v>
      </c>
      <c r="Q559" s="137">
        <f t="shared" si="52"/>
        <v>1000</v>
      </c>
      <c r="R559" s="133" t="s">
        <v>1334</v>
      </c>
      <c r="S559" s="138">
        <v>45665.690972222219</v>
      </c>
      <c r="T559" s="133" t="s">
        <v>664</v>
      </c>
      <c r="U559" s="139" t="str">
        <f t="shared" si="49"/>
        <v>_driedflower_bulk</v>
      </c>
      <c r="V559" s="140" t="str">
        <f>IF(U559="_","",_xlfn.XLOOKUP(U559,internal_cansku_inventory!D:D,internal_cansku_inventory!E:E,"",0,1))</f>
        <v/>
      </c>
    </row>
    <row r="560" spans="1:22" ht="12.45" customHeight="1">
      <c r="A560" s="132">
        <v>614</v>
      </c>
      <c r="B560" s="132">
        <v>0</v>
      </c>
      <c r="C560" s="132" t="str">
        <f>Table1[[#This Row],[inventory_id_head]]&amp;"-"&amp;Table1[[#This Row],[inventory_id_tail]]</f>
        <v>614-0</v>
      </c>
      <c r="D560" s="133" t="s">
        <v>653</v>
      </c>
      <c r="E560" s="133" t="s">
        <v>1361</v>
      </c>
      <c r="F560" s="133" t="s">
        <v>1363</v>
      </c>
      <c r="G560" s="133" t="str">
        <f t="shared" si="53"/>
        <v>T061DFB090DF</v>
      </c>
      <c r="H560" s="133" t="s">
        <v>365</v>
      </c>
      <c r="I560" s="133"/>
      <c r="J560" s="133">
        <v>2024121801</v>
      </c>
      <c r="K560" s="134" t="s">
        <v>55</v>
      </c>
      <c r="L560" s="135">
        <v>1</v>
      </c>
      <c r="M560" s="133" t="s">
        <v>673</v>
      </c>
      <c r="N560" s="136">
        <v>1000</v>
      </c>
      <c r="O560" s="136">
        <v>1095</v>
      </c>
      <c r="P560" s="136">
        <f>Table1[[#This Row],[gross_weight]]-1000</f>
        <v>95</v>
      </c>
      <c r="Q560" s="137">
        <f t="shared" si="52"/>
        <v>1000</v>
      </c>
      <c r="R560" s="133" t="s">
        <v>1334</v>
      </c>
      <c r="S560" s="138">
        <v>45665.690972222219</v>
      </c>
      <c r="T560" s="133" t="s">
        <v>664</v>
      </c>
      <c r="U560" s="139" t="str">
        <f t="shared" si="49"/>
        <v>_driedflower_bulk</v>
      </c>
      <c r="V560" s="140" t="str">
        <f>IF(U560="_","",_xlfn.XLOOKUP(U560,internal_cansku_inventory!D:D,internal_cansku_inventory!E:E,"",0,1))</f>
        <v/>
      </c>
    </row>
    <row r="561" spans="1:22" ht="12.45" customHeight="1">
      <c r="A561" s="132">
        <v>615</v>
      </c>
      <c r="B561" s="132">
        <v>0</v>
      </c>
      <c r="C561" s="132" t="str">
        <f>Table1[[#This Row],[inventory_id_head]]&amp;"-"&amp;Table1[[#This Row],[inventory_id_tail]]</f>
        <v>615-0</v>
      </c>
      <c r="D561" s="133" t="s">
        <v>653</v>
      </c>
      <c r="E561" s="133" t="s">
        <v>1361</v>
      </c>
      <c r="F561" s="133" t="s">
        <v>1364</v>
      </c>
      <c r="G561" s="133" t="str">
        <f t="shared" si="53"/>
        <v>T061DFB091DF</v>
      </c>
      <c r="H561" s="133" t="s">
        <v>365</v>
      </c>
      <c r="I561" s="133"/>
      <c r="J561" s="133">
        <v>2024121801</v>
      </c>
      <c r="K561" s="134" t="s">
        <v>55</v>
      </c>
      <c r="L561" s="135">
        <v>1</v>
      </c>
      <c r="M561" s="133" t="s">
        <v>673</v>
      </c>
      <c r="N561" s="136">
        <v>1000</v>
      </c>
      <c r="O561" s="136">
        <v>1090</v>
      </c>
      <c r="P561" s="136">
        <f>Table1[[#This Row],[gross_weight]]-1000</f>
        <v>90</v>
      </c>
      <c r="Q561" s="137">
        <f t="shared" si="52"/>
        <v>1000</v>
      </c>
      <c r="R561" s="133" t="s">
        <v>1334</v>
      </c>
      <c r="S561" s="138">
        <v>45665.690972222219</v>
      </c>
      <c r="T561" s="133" t="s">
        <v>664</v>
      </c>
      <c r="U561" s="139" t="str">
        <f t="shared" si="49"/>
        <v>_driedflower_bulk</v>
      </c>
      <c r="V561" s="140" t="str">
        <f>IF(U561="_","",_xlfn.XLOOKUP(U561,internal_cansku_inventory!D:D,internal_cansku_inventory!E:E,"",0,1))</f>
        <v/>
      </c>
    </row>
    <row r="562" spans="1:22" ht="12.45" customHeight="1">
      <c r="A562" s="132">
        <v>616</v>
      </c>
      <c r="B562" s="132">
        <v>0</v>
      </c>
      <c r="C562" s="132" t="str">
        <f>Table1[[#This Row],[inventory_id_head]]&amp;"-"&amp;Table1[[#This Row],[inventory_id_tail]]</f>
        <v>616-0</v>
      </c>
      <c r="D562" s="133" t="s">
        <v>653</v>
      </c>
      <c r="E562" s="133" t="s">
        <v>1361</v>
      </c>
      <c r="F562" s="133" t="s">
        <v>1365</v>
      </c>
      <c r="G562" s="133" t="str">
        <f t="shared" si="53"/>
        <v>T061DFB092DF</v>
      </c>
      <c r="H562" s="133" t="s">
        <v>365</v>
      </c>
      <c r="I562" s="133"/>
      <c r="J562" s="133">
        <v>2024121801</v>
      </c>
      <c r="K562" s="134" t="s">
        <v>55</v>
      </c>
      <c r="L562" s="135">
        <v>1</v>
      </c>
      <c r="M562" s="133" t="s">
        <v>673</v>
      </c>
      <c r="N562" s="136">
        <v>1000</v>
      </c>
      <c r="O562" s="136">
        <v>1090</v>
      </c>
      <c r="P562" s="136">
        <f>Table1[[#This Row],[gross_weight]]-1000</f>
        <v>90</v>
      </c>
      <c r="Q562" s="137">
        <f t="shared" si="52"/>
        <v>1000</v>
      </c>
      <c r="R562" s="133" t="s">
        <v>1334</v>
      </c>
      <c r="S562" s="138">
        <v>45665.690972222219</v>
      </c>
      <c r="T562" s="133" t="s">
        <v>664</v>
      </c>
      <c r="U562" s="139" t="str">
        <f t="shared" si="49"/>
        <v>_driedflower_bulk</v>
      </c>
      <c r="V562" s="140" t="str">
        <f>IF(U562="_","",_xlfn.XLOOKUP(U562,internal_cansku_inventory!D:D,internal_cansku_inventory!E:E,"",0,1))</f>
        <v/>
      </c>
    </row>
    <row r="563" spans="1:22" ht="12.45" customHeight="1">
      <c r="A563" s="132">
        <v>617</v>
      </c>
      <c r="B563" s="132">
        <v>0</v>
      </c>
      <c r="C563" s="132" t="str">
        <f>Table1[[#This Row],[inventory_id_head]]&amp;"-"&amp;Table1[[#This Row],[inventory_id_tail]]</f>
        <v>617-0</v>
      </c>
      <c r="D563" s="133" t="s">
        <v>680</v>
      </c>
      <c r="E563" s="133" t="s">
        <v>1366</v>
      </c>
      <c r="F563" s="133" t="s">
        <v>1367</v>
      </c>
      <c r="G563" s="133" t="str">
        <f t="shared" si="53"/>
        <v>T062DFB094DF</v>
      </c>
      <c r="H563" s="133" t="s">
        <v>365</v>
      </c>
      <c r="I563" s="133"/>
      <c r="J563" s="133">
        <v>2024121801</v>
      </c>
      <c r="K563" s="134" t="s">
        <v>55</v>
      </c>
      <c r="L563" s="135">
        <v>1</v>
      </c>
      <c r="M563" s="133" t="s">
        <v>673</v>
      </c>
      <c r="N563" s="136">
        <v>1000</v>
      </c>
      <c r="O563" s="136">
        <v>1090</v>
      </c>
      <c r="P563" s="136">
        <f>Table1[[#This Row],[gross_weight]]-1000</f>
        <v>90</v>
      </c>
      <c r="Q563" s="137">
        <f t="shared" si="52"/>
        <v>1000</v>
      </c>
      <c r="R563" s="133" t="s">
        <v>1334</v>
      </c>
      <c r="S563" s="138">
        <v>45665.690972222219</v>
      </c>
      <c r="T563" s="133" t="s">
        <v>664</v>
      </c>
      <c r="U563" s="139" t="str">
        <f t="shared" si="49"/>
        <v>_driedflower_bulk</v>
      </c>
      <c r="V563" s="140" t="str">
        <f>IF(U563="_","",_xlfn.XLOOKUP(U563,internal_cansku_inventory!D:D,internal_cansku_inventory!E:E,"",0,1))</f>
        <v/>
      </c>
    </row>
    <row r="564" spans="1:22" ht="12.45" customHeight="1">
      <c r="A564" s="132">
        <v>618</v>
      </c>
      <c r="B564" s="132">
        <v>0</v>
      </c>
      <c r="C564" s="132" t="str">
        <f>Table1[[#This Row],[inventory_id_head]]&amp;"-"&amp;Table1[[#This Row],[inventory_id_tail]]</f>
        <v>618-0</v>
      </c>
      <c r="D564" s="133" t="s">
        <v>653</v>
      </c>
      <c r="E564" s="133" t="s">
        <v>1366</v>
      </c>
      <c r="F564" s="133" t="s">
        <v>1368</v>
      </c>
      <c r="G564" s="133" t="str">
        <f t="shared" si="53"/>
        <v>T062DFB095DF</v>
      </c>
      <c r="H564" s="133" t="s">
        <v>365</v>
      </c>
      <c r="I564" s="133"/>
      <c r="J564" s="133">
        <v>2024121801</v>
      </c>
      <c r="K564" s="134" t="s">
        <v>55</v>
      </c>
      <c r="L564" s="135">
        <v>1</v>
      </c>
      <c r="M564" s="133" t="s">
        <v>673</v>
      </c>
      <c r="N564" s="136">
        <v>1000</v>
      </c>
      <c r="O564" s="136">
        <v>1090</v>
      </c>
      <c r="P564" s="136">
        <f>Table1[[#This Row],[gross_weight]]-1000</f>
        <v>90</v>
      </c>
      <c r="Q564" s="137">
        <f t="shared" si="52"/>
        <v>1000</v>
      </c>
      <c r="R564" s="133" t="s">
        <v>1334</v>
      </c>
      <c r="S564" s="138">
        <v>45665.690972222219</v>
      </c>
      <c r="T564" s="133" t="s">
        <v>664</v>
      </c>
      <c r="U564" s="139" t="str">
        <f t="shared" si="49"/>
        <v>_driedflower_bulk</v>
      </c>
      <c r="V564" s="140" t="str">
        <f>IF(U564="_","",_xlfn.XLOOKUP(U564,internal_cansku_inventory!D:D,internal_cansku_inventory!E:E,"",0,1))</f>
        <v/>
      </c>
    </row>
    <row r="565" spans="1:22" ht="12.45" customHeight="1">
      <c r="A565" s="132">
        <v>619</v>
      </c>
      <c r="B565" s="132">
        <v>0</v>
      </c>
      <c r="C565" s="132" t="str">
        <f>Table1[[#This Row],[inventory_id_head]]&amp;"-"&amp;Table1[[#This Row],[inventory_id_tail]]</f>
        <v>619-0</v>
      </c>
      <c r="D565" s="133" t="s">
        <v>653</v>
      </c>
      <c r="E565" s="133" t="s">
        <v>1366</v>
      </c>
      <c r="F565" s="133" t="s">
        <v>1369</v>
      </c>
      <c r="G565" s="133" t="str">
        <f t="shared" si="53"/>
        <v>T062DFB096DF</v>
      </c>
      <c r="H565" s="133" t="s">
        <v>365</v>
      </c>
      <c r="I565" s="133"/>
      <c r="J565" s="133">
        <v>2024121801</v>
      </c>
      <c r="K565" s="134" t="s">
        <v>55</v>
      </c>
      <c r="L565" s="135">
        <v>1</v>
      </c>
      <c r="M565" s="133" t="s">
        <v>673</v>
      </c>
      <c r="N565" s="136">
        <v>1000</v>
      </c>
      <c r="O565" s="136">
        <v>1095</v>
      </c>
      <c r="P565" s="136">
        <f>Table1[[#This Row],[gross_weight]]-1000</f>
        <v>95</v>
      </c>
      <c r="Q565" s="137">
        <f t="shared" si="52"/>
        <v>1000</v>
      </c>
      <c r="R565" s="133" t="s">
        <v>1334</v>
      </c>
      <c r="S565" s="138">
        <v>45665.690972222219</v>
      </c>
      <c r="T565" s="133" t="s">
        <v>664</v>
      </c>
      <c r="U565" s="139" t="str">
        <f t="shared" si="49"/>
        <v>_driedflower_bulk</v>
      </c>
      <c r="V565" s="140" t="str">
        <f>IF(U565="_","",_xlfn.XLOOKUP(U565,internal_cansku_inventory!D:D,internal_cansku_inventory!E:E,"",0,1))</f>
        <v/>
      </c>
    </row>
    <row r="566" spans="1:22" ht="12.45" customHeight="1">
      <c r="A566" s="132">
        <v>620</v>
      </c>
      <c r="B566" s="132">
        <v>0</v>
      </c>
      <c r="C566" s="132" t="str">
        <f>Table1[[#This Row],[inventory_id_head]]&amp;"-"&amp;Table1[[#This Row],[inventory_id_tail]]</f>
        <v>620-0</v>
      </c>
      <c r="D566" s="133" t="s">
        <v>653</v>
      </c>
      <c r="E566" s="133" t="s">
        <v>1366</v>
      </c>
      <c r="F566" s="133" t="s">
        <v>1370</v>
      </c>
      <c r="G566" s="133" t="str">
        <f t="shared" si="53"/>
        <v>T062DFB097DF</v>
      </c>
      <c r="H566" s="133" t="s">
        <v>365</v>
      </c>
      <c r="I566" s="133"/>
      <c r="J566" s="133">
        <v>2024121801</v>
      </c>
      <c r="K566" s="134" t="s">
        <v>55</v>
      </c>
      <c r="L566" s="135">
        <v>1</v>
      </c>
      <c r="M566" s="133" t="s">
        <v>673</v>
      </c>
      <c r="N566" s="136">
        <v>1000</v>
      </c>
      <c r="O566" s="136">
        <v>1095</v>
      </c>
      <c r="P566" s="136">
        <f>Table1[[#This Row],[gross_weight]]-1000</f>
        <v>95</v>
      </c>
      <c r="Q566" s="137">
        <f t="shared" si="52"/>
        <v>1000</v>
      </c>
      <c r="R566" s="133" t="s">
        <v>1334</v>
      </c>
      <c r="S566" s="138">
        <v>45665.690972222219</v>
      </c>
      <c r="T566" s="133" t="s">
        <v>664</v>
      </c>
      <c r="U566" s="139" t="str">
        <f t="shared" si="49"/>
        <v>_driedflower_bulk</v>
      </c>
      <c r="V566" s="140" t="str">
        <f>IF(U566="_","",_xlfn.XLOOKUP(U566,internal_cansku_inventory!D:D,internal_cansku_inventory!E:E,"",0,1))</f>
        <v/>
      </c>
    </row>
    <row r="567" spans="1:22" ht="12.45" customHeight="1">
      <c r="A567" s="132">
        <v>621</v>
      </c>
      <c r="B567" s="132">
        <v>0</v>
      </c>
      <c r="C567" s="132" t="str">
        <f>Table1[[#This Row],[inventory_id_head]]&amp;"-"&amp;Table1[[#This Row],[inventory_id_tail]]</f>
        <v>621-0</v>
      </c>
      <c r="D567" s="133" t="s">
        <v>653</v>
      </c>
      <c r="E567" s="133" t="s">
        <v>1366</v>
      </c>
      <c r="F567" s="133" t="s">
        <v>1371</v>
      </c>
      <c r="G567" s="133" t="str">
        <f t="shared" si="53"/>
        <v>T062DFB098DF</v>
      </c>
      <c r="H567" s="133" t="s">
        <v>365</v>
      </c>
      <c r="I567" s="133"/>
      <c r="J567" s="133">
        <v>2024121801</v>
      </c>
      <c r="K567" s="134" t="s">
        <v>55</v>
      </c>
      <c r="L567" s="135">
        <v>1</v>
      </c>
      <c r="M567" s="133" t="s">
        <v>673</v>
      </c>
      <c r="N567" s="136">
        <v>1000</v>
      </c>
      <c r="O567" s="136">
        <v>1095</v>
      </c>
      <c r="P567" s="136">
        <f>Table1[[#This Row],[gross_weight]]-1000</f>
        <v>95</v>
      </c>
      <c r="Q567" s="137">
        <f t="shared" si="52"/>
        <v>1000</v>
      </c>
      <c r="R567" s="133" t="s">
        <v>1334</v>
      </c>
      <c r="S567" s="138">
        <v>45665.690972222219</v>
      </c>
      <c r="T567" s="133" t="s">
        <v>664</v>
      </c>
      <c r="U567" s="139" t="str">
        <f t="shared" si="49"/>
        <v>_driedflower_bulk</v>
      </c>
      <c r="V567" s="140" t="str">
        <f>IF(U567="_","",_xlfn.XLOOKUP(U567,internal_cansku_inventory!D:D,internal_cansku_inventory!E:E,"",0,1))</f>
        <v/>
      </c>
    </row>
    <row r="568" spans="1:22" ht="12.45" customHeight="1">
      <c r="A568" s="132">
        <v>622</v>
      </c>
      <c r="B568" s="132">
        <v>0</v>
      </c>
      <c r="C568" s="132" t="str">
        <f>Table1[[#This Row],[inventory_id_head]]&amp;"-"&amp;Table1[[#This Row],[inventory_id_tail]]</f>
        <v>622-0</v>
      </c>
      <c r="D568" s="133" t="s">
        <v>653</v>
      </c>
      <c r="E568" s="133" t="s">
        <v>1366</v>
      </c>
      <c r="F568" s="133" t="s">
        <v>1372</v>
      </c>
      <c r="G568" s="133" t="str">
        <f t="shared" si="53"/>
        <v>T062DFB099DF</v>
      </c>
      <c r="H568" s="133" t="s">
        <v>365</v>
      </c>
      <c r="I568" s="133"/>
      <c r="J568" s="133">
        <v>2024121801</v>
      </c>
      <c r="K568" s="134" t="s">
        <v>55</v>
      </c>
      <c r="L568" s="135">
        <v>1</v>
      </c>
      <c r="M568" s="133" t="s">
        <v>673</v>
      </c>
      <c r="N568" s="136">
        <v>1000</v>
      </c>
      <c r="O568" s="136">
        <v>1095</v>
      </c>
      <c r="P568" s="136">
        <f>Table1[[#This Row],[gross_weight]]-1000</f>
        <v>95</v>
      </c>
      <c r="Q568" s="137">
        <f t="shared" si="52"/>
        <v>1000</v>
      </c>
      <c r="R568" s="133" t="s">
        <v>1334</v>
      </c>
      <c r="S568" s="138">
        <v>45665.690972222219</v>
      </c>
      <c r="T568" s="133" t="s">
        <v>664</v>
      </c>
      <c r="U568" s="139" t="str">
        <f t="shared" si="49"/>
        <v>_driedflower_bulk</v>
      </c>
      <c r="V568" s="140" t="str">
        <f>IF(U568="_","",_xlfn.XLOOKUP(U568,internal_cansku_inventory!D:D,internal_cansku_inventory!E:E,"",0,1))</f>
        <v/>
      </c>
    </row>
    <row r="569" spans="1:22" ht="12.45" customHeight="1">
      <c r="A569" s="132">
        <v>623</v>
      </c>
      <c r="B569" s="132">
        <v>0</v>
      </c>
      <c r="C569" s="132" t="str">
        <f>Table1[[#This Row],[inventory_id_head]]&amp;"-"&amp;Table1[[#This Row],[inventory_id_tail]]</f>
        <v>623-0</v>
      </c>
      <c r="D569" s="133" t="s">
        <v>653</v>
      </c>
      <c r="E569" s="133" t="s">
        <v>1366</v>
      </c>
      <c r="F569" s="133" t="s">
        <v>1373</v>
      </c>
      <c r="G569" s="133" t="str">
        <f t="shared" si="53"/>
        <v>T062DFB100DF</v>
      </c>
      <c r="H569" s="133" t="s">
        <v>365</v>
      </c>
      <c r="I569" s="133"/>
      <c r="J569" s="133">
        <v>2024121801</v>
      </c>
      <c r="K569" s="134" t="s">
        <v>55</v>
      </c>
      <c r="L569" s="135">
        <v>1</v>
      </c>
      <c r="M569" s="133" t="s">
        <v>673</v>
      </c>
      <c r="N569" s="136">
        <v>1000</v>
      </c>
      <c r="O569" s="136">
        <v>1095</v>
      </c>
      <c r="P569" s="136">
        <f>Table1[[#This Row],[gross_weight]]-1000</f>
        <v>95</v>
      </c>
      <c r="Q569" s="137">
        <f t="shared" si="52"/>
        <v>1000</v>
      </c>
      <c r="R569" s="133" t="s">
        <v>1334</v>
      </c>
      <c r="S569" s="138">
        <v>45665.690972222219</v>
      </c>
      <c r="T569" s="133" t="s">
        <v>664</v>
      </c>
      <c r="U569" s="139" t="str">
        <f t="shared" si="49"/>
        <v>_driedflower_bulk</v>
      </c>
      <c r="V569" s="140" t="str">
        <f>IF(U569="_","",_xlfn.XLOOKUP(U569,internal_cansku_inventory!D:D,internal_cansku_inventory!E:E,"",0,1))</f>
        <v/>
      </c>
    </row>
    <row r="570" spans="1:22" ht="12.45" customHeight="1">
      <c r="A570" s="132">
        <v>624</v>
      </c>
      <c r="B570" s="132">
        <v>0</v>
      </c>
      <c r="C570" s="132" t="str">
        <f>Table1[[#This Row],[inventory_id_head]]&amp;"-"&amp;Table1[[#This Row],[inventory_id_tail]]</f>
        <v>624-0</v>
      </c>
      <c r="D570" s="133" t="s">
        <v>653</v>
      </c>
      <c r="E570" s="133" t="s">
        <v>1366</v>
      </c>
      <c r="F570" s="133" t="s">
        <v>1373</v>
      </c>
      <c r="G570" s="133" t="str">
        <f t="shared" si="53"/>
        <v>T062DFB100DF</v>
      </c>
      <c r="H570" s="133" t="s">
        <v>365</v>
      </c>
      <c r="I570" s="133"/>
      <c r="J570" s="133">
        <v>2024121801</v>
      </c>
      <c r="K570" s="134" t="s">
        <v>55</v>
      </c>
      <c r="L570" s="135">
        <v>1</v>
      </c>
      <c r="M570" s="133" t="s">
        <v>673</v>
      </c>
      <c r="N570" s="136">
        <v>1000</v>
      </c>
      <c r="O570" s="136">
        <v>1095</v>
      </c>
      <c r="P570" s="136">
        <f>Table1[[#This Row],[gross_weight]]-1000</f>
        <v>95</v>
      </c>
      <c r="Q570" s="137">
        <f t="shared" si="52"/>
        <v>1000</v>
      </c>
      <c r="R570" s="133" t="s">
        <v>1334</v>
      </c>
      <c r="S570" s="138">
        <v>45665.690972222219</v>
      </c>
      <c r="T570" s="133" t="s">
        <v>664</v>
      </c>
      <c r="U570" s="139" t="str">
        <f t="shared" si="49"/>
        <v>_driedflower_bulk</v>
      </c>
      <c r="V570" s="140" t="str">
        <f>IF(U570="_","",_xlfn.XLOOKUP(U570,internal_cansku_inventory!D:D,internal_cansku_inventory!E:E,"",0,1))</f>
        <v/>
      </c>
    </row>
    <row r="571" spans="1:22" ht="12.45" customHeight="1">
      <c r="A571" s="132">
        <v>624</v>
      </c>
      <c r="B571" s="132">
        <v>1</v>
      </c>
      <c r="C571" s="132" t="str">
        <f>Table1[[#This Row],[inventory_id_head]]&amp;"-"&amp;Table1[[#This Row],[inventory_id_tail]]</f>
        <v>624-1</v>
      </c>
      <c r="D571" s="133" t="s">
        <v>653</v>
      </c>
      <c r="E571" s="133" t="s">
        <v>1366</v>
      </c>
      <c r="F571" s="133" t="s">
        <v>1373</v>
      </c>
      <c r="G571" s="133" t="str">
        <f t="shared" si="53"/>
        <v>T062DFB100DF</v>
      </c>
      <c r="H571" s="133" t="s">
        <v>1333</v>
      </c>
      <c r="I571" s="133"/>
      <c r="J571" s="133">
        <v>2024121801</v>
      </c>
      <c r="K571" s="134" t="s">
        <v>55</v>
      </c>
      <c r="L571" s="135">
        <v>1</v>
      </c>
      <c r="M571" s="133" t="s">
        <v>673</v>
      </c>
      <c r="N571" s="136">
        <f>Table1[[#This Row],[gross_weight]]-Table1[[#This Row],[tare_weight]]</f>
        <v>500</v>
      </c>
      <c r="O571" s="136">
        <v>510</v>
      </c>
      <c r="P571" s="136">
        <v>10</v>
      </c>
      <c r="Q571" s="137">
        <f t="shared" si="52"/>
        <v>500</v>
      </c>
      <c r="R571" s="133" t="s">
        <v>1334</v>
      </c>
      <c r="S571" s="138">
        <v>45665.690972222219</v>
      </c>
      <c r="T571" s="133" t="s">
        <v>664</v>
      </c>
      <c r="U571" s="139" t="str">
        <f t="shared" si="49"/>
        <v>_driedflower_bulk_small</v>
      </c>
      <c r="V571" s="140" t="str">
        <f>IF(U571="_","",_xlfn.XLOOKUP(U571,internal_cansku_inventory!D:D,internal_cansku_inventory!E:E,"",0,1))</f>
        <v/>
      </c>
    </row>
    <row r="572" spans="1:22" ht="12.45" customHeight="1">
      <c r="A572" s="132">
        <v>736</v>
      </c>
      <c r="B572" s="132">
        <v>0</v>
      </c>
      <c r="C572" s="132" t="str">
        <f>Table1[[#This Row],[inventory_id_head]]&amp;"-"&amp;Table1[[#This Row],[inventory_id_tail]]</f>
        <v>736-0</v>
      </c>
      <c r="D572" s="133" t="s">
        <v>653</v>
      </c>
      <c r="E572" s="133" t="s">
        <v>1366</v>
      </c>
      <c r="F572" s="133" t="s">
        <v>1374</v>
      </c>
      <c r="G572" s="133" t="str">
        <f t="shared" si="53"/>
        <v>T062DFB081DF</v>
      </c>
      <c r="H572" s="133" t="s">
        <v>365</v>
      </c>
      <c r="I572" s="133"/>
      <c r="J572" s="133">
        <v>2024121801</v>
      </c>
      <c r="K572" s="134" t="s">
        <v>55</v>
      </c>
      <c r="L572" s="135">
        <v>1</v>
      </c>
      <c r="M572" s="133" t="s">
        <v>673</v>
      </c>
      <c r="N572" s="136">
        <v>1000</v>
      </c>
      <c r="O572" s="136">
        <v>1095</v>
      </c>
      <c r="P572" s="136">
        <f>Table1[[#This Row],[gross_weight]]-1000</f>
        <v>95</v>
      </c>
      <c r="Q572" s="137">
        <f t="shared" si="52"/>
        <v>1000</v>
      </c>
      <c r="R572" s="133" t="s">
        <v>1334</v>
      </c>
      <c r="S572" s="138">
        <v>45665.690972222219</v>
      </c>
      <c r="T572" s="133" t="s">
        <v>664</v>
      </c>
      <c r="U572" s="139" t="str">
        <f t="shared" si="49"/>
        <v>_driedflower_bulk</v>
      </c>
      <c r="V572" s="140" t="str">
        <f>IF(U572="_","",_xlfn.XLOOKUP(U572,internal_cansku_inventory!D:D,internal_cansku_inventory!E:E,"",0,1))</f>
        <v/>
      </c>
    </row>
    <row r="573" spans="1:22" ht="12.45" customHeight="1">
      <c r="A573" s="132">
        <v>560</v>
      </c>
      <c r="B573" s="132">
        <v>0</v>
      </c>
      <c r="C573" s="132" t="str">
        <f>Table1[[#This Row],[inventory_id_head]]&amp;"-"&amp;Table1[[#This Row],[inventory_id_tail]]</f>
        <v>560-0</v>
      </c>
      <c r="D573" s="133" t="s">
        <v>680</v>
      </c>
      <c r="E573" s="133" t="s">
        <v>55</v>
      </c>
      <c r="F573" s="133" t="s">
        <v>55</v>
      </c>
      <c r="G573" s="133" t="s">
        <v>1308</v>
      </c>
      <c r="H573" s="133" t="s">
        <v>448</v>
      </c>
      <c r="I573" s="133"/>
      <c r="J573" s="133" t="s">
        <v>1375</v>
      </c>
      <c r="K573" s="134">
        <v>45594</v>
      </c>
      <c r="L573" s="148">
        <v>8</v>
      </c>
      <c r="M573" s="133" t="s">
        <v>683</v>
      </c>
      <c r="N573" s="136">
        <f>0.5*12</f>
        <v>6</v>
      </c>
      <c r="O573" s="136">
        <v>0</v>
      </c>
      <c r="P573" s="136">
        <v>0</v>
      </c>
      <c r="Q573" s="137">
        <f t="shared" si="52"/>
        <v>48</v>
      </c>
      <c r="R573" s="133"/>
      <c r="S573" s="138">
        <v>45670.665972222225</v>
      </c>
      <c r="T573" s="133" t="s">
        <v>657</v>
      </c>
      <c r="U573" s="139" t="str">
        <f t="shared" si="49"/>
        <v>_extract_inhaled_cased_MB</v>
      </c>
      <c r="V573" s="140" t="str">
        <f>IF(U573="_","",_xlfn.XLOOKUP(U573,internal_cansku_inventory!D:D,internal_cansku_inventory!E:E,"",0,1))</f>
        <v/>
      </c>
    </row>
    <row r="574" spans="1:22" ht="12.45" customHeight="1">
      <c r="A574" s="132">
        <v>559</v>
      </c>
      <c r="B574" s="132">
        <v>0</v>
      </c>
      <c r="C574" s="132" t="str">
        <f>Table1[[#This Row],[inventory_id_head]]&amp;"-"&amp;Table1[[#This Row],[inventory_id_tail]]</f>
        <v>559-0</v>
      </c>
      <c r="D574" s="133" t="s">
        <v>680</v>
      </c>
      <c r="E574" s="133" t="s">
        <v>55</v>
      </c>
      <c r="F574" s="133" t="s">
        <v>55</v>
      </c>
      <c r="G574" s="133" t="s">
        <v>1308</v>
      </c>
      <c r="H574" s="133" t="s">
        <v>448</v>
      </c>
      <c r="I574" s="133"/>
      <c r="J574" s="133" t="s">
        <v>622</v>
      </c>
      <c r="K574" s="134">
        <v>45603</v>
      </c>
      <c r="L574" s="148">
        <v>8</v>
      </c>
      <c r="M574" s="133" t="s">
        <v>683</v>
      </c>
      <c r="N574" s="136">
        <f>0.5*12</f>
        <v>6</v>
      </c>
      <c r="O574" s="136">
        <v>0</v>
      </c>
      <c r="P574" s="136">
        <v>0</v>
      </c>
      <c r="Q574" s="137">
        <f t="shared" si="52"/>
        <v>48</v>
      </c>
      <c r="R574" s="133"/>
      <c r="S574" s="138">
        <v>45670.666666666664</v>
      </c>
      <c r="T574" s="133" t="s">
        <v>657</v>
      </c>
      <c r="U574" s="139" t="str">
        <f t="shared" si="49"/>
        <v>_extract_inhaled_cased_MB</v>
      </c>
      <c r="V574" s="140" t="str">
        <f>IF(U574="_","",_xlfn.XLOOKUP(U574,internal_cansku_inventory!D:D,internal_cansku_inventory!E:E,"",0,1))</f>
        <v/>
      </c>
    </row>
    <row r="575" spans="1:22" ht="12.45" customHeight="1">
      <c r="A575" s="154">
        <v>376</v>
      </c>
      <c r="B575" s="132">
        <v>0</v>
      </c>
      <c r="C575" s="154" t="str">
        <f>Table1[[#This Row],[inventory_id_head]]&amp;"-"&amp;Table1[[#This Row],[inventory_id_tail]]</f>
        <v>376-0</v>
      </c>
      <c r="D575" s="133" t="s">
        <v>680</v>
      </c>
      <c r="E575" s="153" t="s">
        <v>55</v>
      </c>
      <c r="F575" s="133" t="s">
        <v>55</v>
      </c>
      <c r="G575" s="133" t="s">
        <v>681</v>
      </c>
      <c r="H575" s="153" t="s">
        <v>443</v>
      </c>
      <c r="I575" s="153"/>
      <c r="J575" s="153" t="s">
        <v>1376</v>
      </c>
      <c r="K575" s="155">
        <v>45588</v>
      </c>
      <c r="L575" s="271">
        <v>3</v>
      </c>
      <c r="M575" s="133" t="s">
        <v>683</v>
      </c>
      <c r="N575" s="157">
        <f>12*88</f>
        <v>1056</v>
      </c>
      <c r="O575" s="157">
        <v>0</v>
      </c>
      <c r="P575" s="157">
        <v>0</v>
      </c>
      <c r="Q575" s="137">
        <f t="shared" si="52"/>
        <v>3168</v>
      </c>
      <c r="R575" s="153"/>
      <c r="S575" s="158">
        <v>45677.499305555553</v>
      </c>
      <c r="T575" s="153" t="s">
        <v>657</v>
      </c>
      <c r="U575" s="139" t="str">
        <f t="shared" si="49"/>
        <v>_topical_cased_MB</v>
      </c>
      <c r="V575" s="140" t="str">
        <f>IF(U575="_","",_xlfn.XLOOKUP(U575,internal_cansku_inventory!D:D,internal_cansku_inventory!E:E,"",0,1))</f>
        <v/>
      </c>
    </row>
    <row r="576" spans="1:22" ht="12.45" customHeight="1">
      <c r="A576" s="132">
        <v>438</v>
      </c>
      <c r="B576" s="132">
        <v>0</v>
      </c>
      <c r="C576" s="132" t="str">
        <f>Table1[[#This Row],[inventory_id_head]]&amp;"-"&amp;Table1[[#This Row],[inventory_id_tail]]</f>
        <v>438-0</v>
      </c>
      <c r="D576" s="133" t="s">
        <v>680</v>
      </c>
      <c r="E576" s="133" t="s">
        <v>55</v>
      </c>
      <c r="F576" s="133" t="s">
        <v>55</v>
      </c>
      <c r="G576" s="133" t="s">
        <v>681</v>
      </c>
      <c r="H576" s="153" t="s">
        <v>443</v>
      </c>
      <c r="I576" s="153"/>
      <c r="J576" s="153" t="s">
        <v>1377</v>
      </c>
      <c r="K576" s="155">
        <v>45569</v>
      </c>
      <c r="L576" s="271">
        <v>9</v>
      </c>
      <c r="M576" s="133" t="s">
        <v>683</v>
      </c>
      <c r="N576" s="136">
        <f>88*12</f>
        <v>1056</v>
      </c>
      <c r="O576" s="136">
        <v>0</v>
      </c>
      <c r="P576" s="136">
        <v>0</v>
      </c>
      <c r="Q576" s="137">
        <f t="shared" si="52"/>
        <v>9504</v>
      </c>
      <c r="R576" s="133"/>
      <c r="S576" s="138">
        <v>45678.410416666666</v>
      </c>
      <c r="T576" s="153" t="s">
        <v>657</v>
      </c>
      <c r="U576" s="139" t="str">
        <f t="shared" si="49"/>
        <v>_topical_cased_MB</v>
      </c>
      <c r="V576" s="140" t="str">
        <f>IF(U576="_","",_xlfn.XLOOKUP(U576,internal_cansku_inventory!D:D,internal_cansku_inventory!E:E,"",0,1))</f>
        <v/>
      </c>
    </row>
    <row r="577" spans="1:22" ht="12.45" customHeight="1">
      <c r="A577" s="154">
        <v>202</v>
      </c>
      <c r="B577" s="132">
        <v>0</v>
      </c>
      <c r="C577" s="154" t="str">
        <f>Table1[[#This Row],[inventory_id_head]]&amp;"-"&amp;Table1[[#This Row],[inventory_id_tail]]</f>
        <v>202-0</v>
      </c>
      <c r="D577" s="133" t="s">
        <v>653</v>
      </c>
      <c r="E577" s="133" t="s">
        <v>1378</v>
      </c>
      <c r="F577" s="133" t="s">
        <v>655</v>
      </c>
      <c r="G577" s="133" t="str">
        <f>E577&amp;F577</f>
        <v>T004DFNA</v>
      </c>
      <c r="H577" s="133" t="s">
        <v>980</v>
      </c>
      <c r="I577" s="153"/>
      <c r="J577" s="133" t="s">
        <v>723</v>
      </c>
      <c r="K577" s="134">
        <v>45510</v>
      </c>
      <c r="L577" s="135">
        <v>12</v>
      </c>
      <c r="M577" s="133" t="s">
        <v>858</v>
      </c>
      <c r="N577" s="136">
        <v>14</v>
      </c>
      <c r="O577" s="136">
        <v>0</v>
      </c>
      <c r="P577" s="136">
        <v>0</v>
      </c>
      <c r="Q577" s="137">
        <f t="shared" si="52"/>
        <v>168</v>
      </c>
      <c r="R577" s="133"/>
      <c r="S577" s="138">
        <v>45678.594444444447</v>
      </c>
      <c r="T577" s="133" t="s">
        <v>670</v>
      </c>
      <c r="U577" s="139" t="str">
        <f t="shared" si="49"/>
        <v>_driedflower_labelled</v>
      </c>
      <c r="V577" s="140" t="str">
        <f>IF(U577="_","",_xlfn.XLOOKUP(U577,internal_cansku_inventory!D:D,internal_cansku_inventory!E:E,"",0,1))</f>
        <v/>
      </c>
    </row>
    <row r="578" spans="1:22" ht="12.45" customHeight="1">
      <c r="A578" s="132">
        <v>557</v>
      </c>
      <c r="B578" s="132">
        <v>0</v>
      </c>
      <c r="C578" s="132" t="str">
        <f>Table1[[#This Row],[inventory_id_head]]&amp;"-"&amp;Table1[[#This Row],[inventory_id_tail]]</f>
        <v>557-0</v>
      </c>
      <c r="D578" s="133" t="s">
        <v>680</v>
      </c>
      <c r="E578" s="133" t="s">
        <v>55</v>
      </c>
      <c r="F578" s="133" t="s">
        <v>55</v>
      </c>
      <c r="G578" s="133" t="s">
        <v>1308</v>
      </c>
      <c r="H578" s="133" t="s">
        <v>447</v>
      </c>
      <c r="I578" s="153"/>
      <c r="J578" s="133" t="s">
        <v>1379</v>
      </c>
      <c r="K578" s="134">
        <v>45550</v>
      </c>
      <c r="L578" s="148">
        <v>16</v>
      </c>
      <c r="M578" s="133" t="s">
        <v>683</v>
      </c>
      <c r="N578" s="136">
        <f>12*50</f>
        <v>600</v>
      </c>
      <c r="O578" s="136">
        <v>0</v>
      </c>
      <c r="P578" s="136">
        <v>0</v>
      </c>
      <c r="Q578" s="137">
        <f t="shared" si="52"/>
        <v>9600</v>
      </c>
      <c r="R578" s="133"/>
      <c r="S578" s="138">
        <v>45679.692361111112</v>
      </c>
      <c r="T578" s="133" t="s">
        <v>657</v>
      </c>
      <c r="U578" s="139" t="str">
        <f t="shared" si="49"/>
        <v>_extract_ingested_cased_MB</v>
      </c>
      <c r="V578" s="140" t="str">
        <f>IF(U578="_","",_xlfn.XLOOKUP(U578,internal_cansku_inventory!D:D,internal_cansku_inventory!E:E,"",0,1))</f>
        <v/>
      </c>
    </row>
    <row r="579" spans="1:22" ht="12.45" customHeight="1">
      <c r="A579" s="154">
        <v>558</v>
      </c>
      <c r="B579" s="132">
        <v>0</v>
      </c>
      <c r="C579" s="154" t="str">
        <f>Table1[[#This Row],[inventory_id_head]]&amp;"-"&amp;Table1[[#This Row],[inventory_id_tail]]</f>
        <v>558-0</v>
      </c>
      <c r="D579" s="133" t="s">
        <v>680</v>
      </c>
      <c r="E579" s="133" t="s">
        <v>55</v>
      </c>
      <c r="F579" s="133" t="s">
        <v>55</v>
      </c>
      <c r="G579" s="133" t="s">
        <v>1308</v>
      </c>
      <c r="H579" s="133" t="s">
        <v>447</v>
      </c>
      <c r="I579" s="153"/>
      <c r="J579" s="133" t="s">
        <v>1380</v>
      </c>
      <c r="K579" s="134">
        <v>45576</v>
      </c>
      <c r="L579" s="148">
        <v>15</v>
      </c>
      <c r="M579" s="133" t="s">
        <v>683</v>
      </c>
      <c r="N579" s="136">
        <f>12*50</f>
        <v>600</v>
      </c>
      <c r="O579" s="136">
        <v>0</v>
      </c>
      <c r="P579" s="136">
        <v>0</v>
      </c>
      <c r="Q579" s="137">
        <f t="shared" si="52"/>
        <v>9000</v>
      </c>
      <c r="R579" s="133"/>
      <c r="S579" s="138">
        <v>45679.692361111112</v>
      </c>
      <c r="T579" s="133" t="s">
        <v>657</v>
      </c>
      <c r="U579" s="139" t="str">
        <f t="shared" si="49"/>
        <v>_extract_ingested_cased_MB</v>
      </c>
      <c r="V579" s="140" t="str">
        <f>IF(U579="_","",_xlfn.XLOOKUP(U579,internal_cansku_inventory!D:D,internal_cansku_inventory!E:E,"",0,1))</f>
        <v/>
      </c>
    </row>
    <row r="580" spans="1:22" ht="12.45" customHeight="1">
      <c r="A580" s="132">
        <v>549</v>
      </c>
      <c r="B580" s="132">
        <v>0</v>
      </c>
      <c r="C580" s="132" t="str">
        <f>Table1[[#This Row],[inventory_id_head]]&amp;"-"&amp;Table1[[#This Row],[inventory_id_tail]]</f>
        <v>549-0</v>
      </c>
      <c r="D580" s="133" t="s">
        <v>653</v>
      </c>
      <c r="E580" s="133" t="s">
        <v>1194</v>
      </c>
      <c r="F580" s="133" t="s">
        <v>55</v>
      </c>
      <c r="G580" s="133" t="str">
        <f>E580&amp;F580</f>
        <v>T095EXNA</v>
      </c>
      <c r="H580" s="133" t="s">
        <v>442</v>
      </c>
      <c r="I580" s="153"/>
      <c r="J580" s="133" t="s">
        <v>1302</v>
      </c>
      <c r="K580" s="134">
        <v>45624</v>
      </c>
      <c r="L580" s="148">
        <v>6</v>
      </c>
      <c r="M580" s="133" t="s">
        <v>1298</v>
      </c>
      <c r="N580" s="136">
        <v>600</v>
      </c>
      <c r="O580" s="136">
        <v>0</v>
      </c>
      <c r="P580" s="136">
        <v>0</v>
      </c>
      <c r="Q580" s="137">
        <f t="shared" si="52"/>
        <v>3600</v>
      </c>
      <c r="R580" s="133"/>
      <c r="S580" s="138">
        <v>45680.477777777778</v>
      </c>
      <c r="T580" s="133" t="s">
        <v>657</v>
      </c>
      <c r="U580" s="139" t="str">
        <f t="shared" si="49"/>
        <v>_extract_ingested_cased_ON</v>
      </c>
      <c r="V580" s="140" t="str">
        <f>IF(U580="_","",_xlfn.XLOOKUP(U580,internal_cansku_inventory!D:D,internal_cansku_inventory!E:E,"",0,1))</f>
        <v/>
      </c>
    </row>
    <row r="581" spans="1:22" ht="12.45" customHeight="1">
      <c r="A581" s="154">
        <v>435</v>
      </c>
      <c r="B581" s="132">
        <v>0</v>
      </c>
      <c r="C581" s="154" t="str">
        <f>Table1[[#This Row],[inventory_id_head]]&amp;"-"&amp;Table1[[#This Row],[inventory_id_tail]]</f>
        <v>435-0</v>
      </c>
      <c r="D581" s="133" t="s">
        <v>653</v>
      </c>
      <c r="E581" s="133" t="s">
        <v>1381</v>
      </c>
      <c r="F581" s="133" t="s">
        <v>55</v>
      </c>
      <c r="G581" s="133" t="str">
        <f>E581&amp;F581</f>
        <v>T047DFNA</v>
      </c>
      <c r="H581" s="133" t="s">
        <v>314</v>
      </c>
      <c r="I581" s="153"/>
      <c r="J581" s="133" t="s">
        <v>1382</v>
      </c>
      <c r="K581" s="134">
        <v>45594</v>
      </c>
      <c r="L581" s="148">
        <v>11</v>
      </c>
      <c r="M581" s="133" t="s">
        <v>644</v>
      </c>
      <c r="N581" s="136">
        <v>28</v>
      </c>
      <c r="O581" s="136">
        <v>0</v>
      </c>
      <c r="P581" s="136">
        <v>0</v>
      </c>
      <c r="Q581" s="137">
        <f t="shared" si="52"/>
        <v>308</v>
      </c>
      <c r="R581" s="133"/>
      <c r="S581" s="138">
        <v>45680.490972222222</v>
      </c>
      <c r="T581" s="133" t="s">
        <v>670</v>
      </c>
      <c r="U581" s="139" t="str">
        <f t="shared" si="49"/>
        <v>_driedflower_labelled</v>
      </c>
      <c r="V581" s="140" t="str">
        <f>IF(U581="_","",_xlfn.XLOOKUP(U581,internal_cansku_inventory!D:D,internal_cansku_inventory!E:E,"",0,1))</f>
        <v/>
      </c>
    </row>
    <row r="582" spans="1:22" ht="12.45" customHeight="1">
      <c r="A582" s="132">
        <v>627</v>
      </c>
      <c r="B582" s="132">
        <v>0</v>
      </c>
      <c r="C582" s="132" t="str">
        <f>Table1[[#This Row],[inventory_id_head]]&amp;"-"&amp;Table1[[#This Row],[inventory_id_tail]]</f>
        <v>627-0</v>
      </c>
      <c r="D582" s="133" t="s">
        <v>653</v>
      </c>
      <c r="E582" s="133" t="s">
        <v>1381</v>
      </c>
      <c r="F582" s="133" t="s">
        <v>55</v>
      </c>
      <c r="G582" s="133" t="str">
        <f>E582&amp;F582</f>
        <v>T047DFNA</v>
      </c>
      <c r="H582" s="133" t="s">
        <v>314</v>
      </c>
      <c r="I582" s="153"/>
      <c r="J582" s="133" t="s">
        <v>1382</v>
      </c>
      <c r="K582" s="134">
        <v>45679</v>
      </c>
      <c r="L582" s="148">
        <v>45</v>
      </c>
      <c r="M582" s="133" t="s">
        <v>644</v>
      </c>
      <c r="N582" s="136">
        <v>28</v>
      </c>
      <c r="O582" s="136">
        <v>0</v>
      </c>
      <c r="P582" s="136">
        <v>0</v>
      </c>
      <c r="Q582" s="137">
        <f t="shared" si="52"/>
        <v>1260</v>
      </c>
      <c r="R582" s="133"/>
      <c r="S582" s="138">
        <v>45680.490972222222</v>
      </c>
      <c r="T582" s="133" t="s">
        <v>670</v>
      </c>
      <c r="U582" s="139" t="str">
        <f t="shared" ref="U582:U645" si="54">I582&amp;"_"&amp;H582</f>
        <v>_driedflower_labelled</v>
      </c>
      <c r="V582" s="140" t="str">
        <f>IF(U582="_","",_xlfn.XLOOKUP(U582,internal_cansku_inventory!D:D,internal_cansku_inventory!E:E,"",0,1))</f>
        <v/>
      </c>
    </row>
    <row r="583" spans="1:22" ht="12.45" customHeight="1">
      <c r="A583" s="154">
        <v>528</v>
      </c>
      <c r="B583" s="132">
        <v>0</v>
      </c>
      <c r="C583" s="154" t="str">
        <f>Table1[[#This Row],[inventory_id_head]]&amp;"-"&amp;Table1[[#This Row],[inventory_id_tail]]</f>
        <v>528-0</v>
      </c>
      <c r="D583" s="153" t="s">
        <v>680</v>
      </c>
      <c r="E583" s="133" t="s">
        <v>1383</v>
      </c>
      <c r="F583" s="133" t="s">
        <v>655</v>
      </c>
      <c r="G583" s="133" t="str">
        <f>E583&amp;F583</f>
        <v>T049DFNA</v>
      </c>
      <c r="H583" s="133" t="s">
        <v>314</v>
      </c>
      <c r="I583" s="153"/>
      <c r="J583" s="133" t="s">
        <v>1384</v>
      </c>
      <c r="K583" s="134">
        <v>45618</v>
      </c>
      <c r="L583" s="148">
        <v>60</v>
      </c>
      <c r="M583" s="133" t="s">
        <v>858</v>
      </c>
      <c r="N583" s="136">
        <v>7</v>
      </c>
      <c r="O583" s="136">
        <v>0</v>
      </c>
      <c r="P583" s="136">
        <v>0</v>
      </c>
      <c r="Q583" s="137">
        <f t="shared" si="52"/>
        <v>420</v>
      </c>
      <c r="R583" s="133"/>
      <c r="S583" s="138">
        <v>45680.493055555555</v>
      </c>
      <c r="T583" s="133" t="s">
        <v>657</v>
      </c>
      <c r="U583" s="139" t="str">
        <f t="shared" si="54"/>
        <v>_driedflower_labelled</v>
      </c>
      <c r="V583" s="140" t="str">
        <f>IF(U583="_","",_xlfn.XLOOKUP(U583,internal_cansku_inventory!D:D,internal_cansku_inventory!E:E,"",0,1))</f>
        <v/>
      </c>
    </row>
    <row r="584" spans="1:22" ht="12.45" customHeight="1">
      <c r="A584" s="132">
        <v>628</v>
      </c>
      <c r="B584" s="132">
        <v>0</v>
      </c>
      <c r="C584" s="132" t="str">
        <f>Table1[[#This Row],[inventory_id_head]]&amp;"-"&amp;Table1[[#This Row],[inventory_id_tail]]</f>
        <v>628-0</v>
      </c>
      <c r="D584" s="153" t="s">
        <v>653</v>
      </c>
      <c r="E584" s="133" t="s">
        <v>1385</v>
      </c>
      <c r="F584" s="133" t="s">
        <v>55</v>
      </c>
      <c r="G584" s="133" t="str">
        <f>E584&amp;F584</f>
        <v>T008PRNA</v>
      </c>
      <c r="H584" s="133" t="s">
        <v>813</v>
      </c>
      <c r="I584" s="153"/>
      <c r="J584" s="133" t="s">
        <v>1386</v>
      </c>
      <c r="K584" s="134">
        <v>45649</v>
      </c>
      <c r="L584" s="135">
        <v>61</v>
      </c>
      <c r="M584" s="133" t="s">
        <v>644</v>
      </c>
      <c r="N584" s="136">
        <v>1</v>
      </c>
      <c r="O584" s="136">
        <v>0</v>
      </c>
      <c r="P584" s="136">
        <v>0</v>
      </c>
      <c r="Q584" s="137">
        <v>224</v>
      </c>
      <c r="R584" s="133"/>
      <c r="S584" s="138">
        <v>45680.509027777778</v>
      </c>
      <c r="T584" s="133" t="s">
        <v>670</v>
      </c>
      <c r="U584" s="139" t="str">
        <f t="shared" si="54"/>
        <v>_preroll_labelled</v>
      </c>
      <c r="V584" s="140" t="str">
        <f>IF(U584="_","",_xlfn.XLOOKUP(U584,internal_cansku_inventory!D:D,internal_cansku_inventory!E:E,"",0,1))</f>
        <v/>
      </c>
    </row>
    <row r="585" spans="1:22" ht="12.45" customHeight="1">
      <c r="A585" s="132">
        <v>114</v>
      </c>
      <c r="B585" s="132">
        <v>0</v>
      </c>
      <c r="C585" s="132" t="str">
        <f>Table1[[#This Row],[inventory_id_head]]&amp;"-"&amp;Table1[[#This Row],[inventory_id_tail]]</f>
        <v>114-0</v>
      </c>
      <c r="D585" s="153" t="s">
        <v>653</v>
      </c>
      <c r="E585" s="133" t="s">
        <v>1385</v>
      </c>
      <c r="F585" s="133" t="s">
        <v>55</v>
      </c>
      <c r="G585" s="133" t="s">
        <v>1387</v>
      </c>
      <c r="H585" s="133" t="s">
        <v>813</v>
      </c>
      <c r="I585" s="133"/>
      <c r="J585" s="133" t="s">
        <v>1386</v>
      </c>
      <c r="K585" s="134">
        <v>44999</v>
      </c>
      <c r="L585" s="135">
        <v>139</v>
      </c>
      <c r="M585" s="133" t="s">
        <v>644</v>
      </c>
      <c r="N585" s="136">
        <v>1</v>
      </c>
      <c r="O585" s="136">
        <v>0</v>
      </c>
      <c r="P585" s="136">
        <v>0</v>
      </c>
      <c r="Q585" s="137">
        <v>224</v>
      </c>
      <c r="R585" s="133"/>
      <c r="S585" s="138">
        <v>45680.513194444444</v>
      </c>
      <c r="T585" s="133" t="s">
        <v>670</v>
      </c>
      <c r="U585" s="139" t="str">
        <f t="shared" si="54"/>
        <v>_preroll_labelled</v>
      </c>
      <c r="V585" s="140" t="str">
        <f>IF(U585="_","",_xlfn.XLOOKUP(U585,internal_cansku_inventory!D:D,internal_cansku_inventory!E:E,"",0,1))</f>
        <v/>
      </c>
    </row>
    <row r="586" spans="1:22" ht="12.45" customHeight="1">
      <c r="A586" s="154">
        <v>115</v>
      </c>
      <c r="B586" s="132">
        <v>0</v>
      </c>
      <c r="C586" s="154" t="str">
        <f>Table1[[#This Row],[inventory_id_head]]&amp;"-"&amp;Table1[[#This Row],[inventory_id_tail]]</f>
        <v>115-0</v>
      </c>
      <c r="D586" s="340" t="s">
        <v>653</v>
      </c>
      <c r="E586" s="133" t="s">
        <v>1388</v>
      </c>
      <c r="F586" s="133" t="s">
        <v>55</v>
      </c>
      <c r="G586" s="133" t="str">
        <f>E586&amp;F586</f>
        <v>T009PRNA</v>
      </c>
      <c r="H586" s="133" t="s">
        <v>813</v>
      </c>
      <c r="I586" s="153"/>
      <c r="J586" s="133" t="s">
        <v>1389</v>
      </c>
      <c r="K586" s="134">
        <v>45649</v>
      </c>
      <c r="L586" s="143">
        <v>48</v>
      </c>
      <c r="M586" s="133" t="s">
        <v>644</v>
      </c>
      <c r="N586" s="136">
        <v>1.5</v>
      </c>
      <c r="O586" s="144">
        <v>0</v>
      </c>
      <c r="P586" s="144">
        <v>0</v>
      </c>
      <c r="Q586" s="137">
        <f>L586*N586</f>
        <v>72</v>
      </c>
      <c r="R586" s="133"/>
      <c r="S586" s="138">
        <v>45680.515277777777</v>
      </c>
      <c r="T586" s="133" t="s">
        <v>670</v>
      </c>
      <c r="U586" s="139" t="str">
        <f t="shared" si="54"/>
        <v>_preroll_labelled</v>
      </c>
      <c r="V586" s="140" t="str">
        <f>IF(U586="_","",_xlfn.XLOOKUP(U586,internal_cansku_inventory!D:D,internal_cansku_inventory!E:E,"",0,1))</f>
        <v/>
      </c>
    </row>
    <row r="587" spans="1:22" ht="12.45" customHeight="1">
      <c r="A587" s="132">
        <v>200</v>
      </c>
      <c r="B587" s="132">
        <v>0</v>
      </c>
      <c r="C587" s="132" t="str">
        <f>Table1[[#This Row],[inventory_id_head]]&amp;"-"&amp;Table1[[#This Row],[inventory_id_tail]]</f>
        <v>200-0</v>
      </c>
      <c r="D587" s="289" t="s">
        <v>653</v>
      </c>
      <c r="E587" s="133" t="s">
        <v>1390</v>
      </c>
      <c r="F587" s="133" t="s">
        <v>655</v>
      </c>
      <c r="G587" s="133" t="str">
        <f>E587&amp;F587</f>
        <v>T005EXNA</v>
      </c>
      <c r="H587" s="133" t="s">
        <v>303</v>
      </c>
      <c r="I587" s="153"/>
      <c r="J587" s="133" t="s">
        <v>922</v>
      </c>
      <c r="K587" s="134">
        <v>45649</v>
      </c>
      <c r="L587" s="135">
        <v>48</v>
      </c>
      <c r="M587" s="147" t="s">
        <v>858</v>
      </c>
      <c r="N587" s="136">
        <v>120</v>
      </c>
      <c r="O587" s="136">
        <v>0</v>
      </c>
      <c r="P587" s="136">
        <v>0</v>
      </c>
      <c r="Q587" s="137">
        <f>L587*N587</f>
        <v>5760</v>
      </c>
      <c r="R587" s="133"/>
      <c r="S587" s="138">
        <v>45680.517361111109</v>
      </c>
      <c r="T587" s="133" t="s">
        <v>670</v>
      </c>
      <c r="U587" s="139" t="str">
        <f t="shared" si="54"/>
        <v>_topical_labelled</v>
      </c>
      <c r="V587" s="140" t="str">
        <f>IF(U587="_","",_xlfn.XLOOKUP(U587,internal_cansku_inventory!D:D,internal_cansku_inventory!E:E,"",0,1))</f>
        <v/>
      </c>
    </row>
    <row r="588" spans="1:22" ht="12.45" customHeight="1">
      <c r="A588" s="154">
        <v>563</v>
      </c>
      <c r="B588" s="132">
        <v>0</v>
      </c>
      <c r="C588" s="154" t="str">
        <f>Table1[[#This Row],[inventory_id_head]]&amp;"-"&amp;Table1[[#This Row],[inventory_id_tail]]</f>
        <v>563-0</v>
      </c>
      <c r="D588" s="153" t="s">
        <v>680</v>
      </c>
      <c r="E588" s="133" t="s">
        <v>55</v>
      </c>
      <c r="F588" s="133" t="s">
        <v>55</v>
      </c>
      <c r="G588" s="133" t="s">
        <v>1308</v>
      </c>
      <c r="H588" s="133" t="s">
        <v>1307</v>
      </c>
      <c r="I588" s="133"/>
      <c r="J588" s="133" t="s">
        <v>535</v>
      </c>
      <c r="K588" s="134">
        <v>45588</v>
      </c>
      <c r="L588" s="148">
        <v>5</v>
      </c>
      <c r="M588" s="133" t="s">
        <v>683</v>
      </c>
      <c r="N588" s="136">
        <f>12*1.5</f>
        <v>18</v>
      </c>
      <c r="O588" s="136">
        <v>0</v>
      </c>
      <c r="P588" s="136">
        <v>0</v>
      </c>
      <c r="Q588" s="137">
        <f>L588*N588</f>
        <v>90</v>
      </c>
      <c r="R588" s="133"/>
      <c r="S588" s="138">
        <v>45681.422222222223</v>
      </c>
      <c r="T588" s="133" t="s">
        <v>657</v>
      </c>
      <c r="U588" s="139" t="str">
        <f t="shared" si="54"/>
        <v>_preroll_cased_MB</v>
      </c>
      <c r="V588" s="140" t="str">
        <f>IF(U588="_","",_xlfn.XLOOKUP(U588,internal_cansku_inventory!D:D,internal_cansku_inventory!E:E,"",0,1))</f>
        <v/>
      </c>
    </row>
    <row r="589" spans="1:22" ht="12.45" customHeight="1">
      <c r="A589" s="132">
        <v>507</v>
      </c>
      <c r="B589" s="132">
        <v>0</v>
      </c>
      <c r="C589" s="132" t="str">
        <f>Table1[[#This Row],[inventory_id_head]]&amp;"-"&amp;Table1[[#This Row],[inventory_id_tail]]</f>
        <v>507-0</v>
      </c>
      <c r="D589" s="153" t="s">
        <v>680</v>
      </c>
      <c r="E589" s="133" t="s">
        <v>1391</v>
      </c>
      <c r="F589" s="133" t="s">
        <v>655</v>
      </c>
      <c r="G589" s="133" t="str">
        <f t="shared" ref="G589:G620" si="55">E589&amp;F589</f>
        <v>T012TPNA</v>
      </c>
      <c r="H589" s="133" t="s">
        <v>303</v>
      </c>
      <c r="I589" s="133"/>
      <c r="J589" s="133" t="s">
        <v>1172</v>
      </c>
      <c r="K589" s="134">
        <v>45588</v>
      </c>
      <c r="L589" s="148">
        <v>458</v>
      </c>
      <c r="M589" s="133" t="s">
        <v>858</v>
      </c>
      <c r="N589" s="136">
        <v>88</v>
      </c>
      <c r="O589" s="136">
        <v>0</v>
      </c>
      <c r="P589" s="136">
        <v>0</v>
      </c>
      <c r="Q589" s="137">
        <f>L589*N589</f>
        <v>40304</v>
      </c>
      <c r="R589" s="133"/>
      <c r="S589" s="138">
        <v>45681.491666666669</v>
      </c>
      <c r="T589" s="133" t="s">
        <v>657</v>
      </c>
      <c r="U589" s="139" t="str">
        <f t="shared" si="54"/>
        <v>_topical_labelled</v>
      </c>
      <c r="V589" s="140" t="str">
        <f>IF(U589="_","",_xlfn.XLOOKUP(U589,internal_cansku_inventory!D:D,internal_cansku_inventory!E:E,"",0,1))</f>
        <v/>
      </c>
    </row>
    <row r="590" spans="1:22" ht="12.45" customHeight="1">
      <c r="A590" s="154">
        <v>631</v>
      </c>
      <c r="B590" s="132">
        <v>0</v>
      </c>
      <c r="C590" s="154" t="str">
        <f>Table1[[#This Row],[inventory_id_head]]&amp;"-"&amp;Table1[[#This Row],[inventory_id_tail]]</f>
        <v>631-0</v>
      </c>
      <c r="D590" s="153" t="s">
        <v>653</v>
      </c>
      <c r="E590" s="133" t="s">
        <v>1392</v>
      </c>
      <c r="F590" s="133" t="s">
        <v>55</v>
      </c>
      <c r="G590" s="133" t="str">
        <f t="shared" si="55"/>
        <v>T004MFNA</v>
      </c>
      <c r="H590" s="133" t="s">
        <v>356</v>
      </c>
      <c r="I590" s="133"/>
      <c r="J590" s="133" t="s">
        <v>1393</v>
      </c>
      <c r="K590" s="134" t="s">
        <v>655</v>
      </c>
      <c r="L590" s="135">
        <v>1</v>
      </c>
      <c r="M590" s="133" t="s">
        <v>994</v>
      </c>
      <c r="N590" s="136">
        <f>Table1[[#This Row],[gross_weight]]-Table1[[#This Row],[tare_weight]]</f>
        <v>2769</v>
      </c>
      <c r="O590" s="136">
        <v>5148</v>
      </c>
      <c r="P590" s="136">
        <v>2379</v>
      </c>
      <c r="Q590" s="137">
        <f>Table1[[#This Row],[number_of_unit]]*Table1[[#This Row],[net_weight_per_unit]]</f>
        <v>2769</v>
      </c>
      <c r="R590" s="133"/>
      <c r="S590" s="138">
        <v>45681.593055555553</v>
      </c>
      <c r="T590" s="133" t="s">
        <v>978</v>
      </c>
      <c r="U590" s="139" t="str">
        <f t="shared" si="54"/>
        <v>_driedflower_milled_bulk</v>
      </c>
      <c r="V590" s="140" t="str">
        <f>IF(U590="_","",_xlfn.XLOOKUP(U590,internal_cansku_inventory!D:D,internal_cansku_inventory!E:E,"",0,1))</f>
        <v/>
      </c>
    </row>
    <row r="591" spans="1:22" ht="12.45" customHeight="1">
      <c r="A591" s="132">
        <v>632</v>
      </c>
      <c r="B591" s="132">
        <v>0</v>
      </c>
      <c r="C591" s="132" t="str">
        <f>Table1[[#This Row],[inventory_id_head]]&amp;"-"&amp;Table1[[#This Row],[inventory_id_tail]]</f>
        <v>632-0</v>
      </c>
      <c r="D591" s="153" t="s">
        <v>680</v>
      </c>
      <c r="E591" s="133" t="s">
        <v>1394</v>
      </c>
      <c r="F591" s="133" t="s">
        <v>55</v>
      </c>
      <c r="G591" s="133" t="str">
        <f t="shared" si="55"/>
        <v>T005MFNA</v>
      </c>
      <c r="H591" s="133" t="s">
        <v>356</v>
      </c>
      <c r="I591" s="133"/>
      <c r="J591" s="133" t="s">
        <v>1393</v>
      </c>
      <c r="K591" s="134" t="s">
        <v>655</v>
      </c>
      <c r="L591" s="135">
        <v>1</v>
      </c>
      <c r="M591" s="133" t="s">
        <v>994</v>
      </c>
      <c r="N591" s="136">
        <f>Table1[[#This Row],[gross_weight]]-Table1[[#This Row],[tare_weight]]</f>
        <v>3093</v>
      </c>
      <c r="O591" s="136">
        <v>5472</v>
      </c>
      <c r="P591" s="136">
        <v>2379</v>
      </c>
      <c r="Q591" s="137">
        <f>Table1[[#This Row],[number_of_unit]]*Table1[[#This Row],[net_weight_per_unit]]</f>
        <v>3093</v>
      </c>
      <c r="R591" s="133"/>
      <c r="S591" s="138">
        <v>45681.593055555553</v>
      </c>
      <c r="T591" s="133" t="s">
        <v>978</v>
      </c>
      <c r="U591" s="139" t="str">
        <f t="shared" si="54"/>
        <v>_driedflower_milled_bulk</v>
      </c>
      <c r="V591" s="140" t="str">
        <f>IF(U591="_","",_xlfn.XLOOKUP(U591,internal_cansku_inventory!D:D,internal_cansku_inventory!E:E,"",0,1))</f>
        <v/>
      </c>
    </row>
    <row r="592" spans="1:22" ht="12.45" customHeight="1">
      <c r="A592" s="132">
        <v>322</v>
      </c>
      <c r="B592" s="132">
        <v>0</v>
      </c>
      <c r="C592" s="132" t="str">
        <f>Table1[[#This Row],[inventory_id_head]]&amp;"-"&amp;Table1[[#This Row],[inventory_id_tail]]</f>
        <v>322-0</v>
      </c>
      <c r="D592" s="153" t="s">
        <v>653</v>
      </c>
      <c r="E592" s="133" t="s">
        <v>870</v>
      </c>
      <c r="F592" s="133" t="s">
        <v>655</v>
      </c>
      <c r="G592" s="133" t="str">
        <f t="shared" si="55"/>
        <v>T035PRNA</v>
      </c>
      <c r="H592" s="133" t="s">
        <v>813</v>
      </c>
      <c r="I592" s="133"/>
      <c r="J592" s="133" t="s">
        <v>1022</v>
      </c>
      <c r="K592" s="134">
        <v>45574</v>
      </c>
      <c r="L592" s="135">
        <v>25</v>
      </c>
      <c r="M592" s="133" t="s">
        <v>644</v>
      </c>
      <c r="N592" s="136">
        <v>1.5</v>
      </c>
      <c r="O592" s="136">
        <v>0</v>
      </c>
      <c r="P592" s="136">
        <v>0</v>
      </c>
      <c r="Q592" s="137">
        <f>L592*N592</f>
        <v>37.5</v>
      </c>
      <c r="R592" s="133"/>
      <c r="S592" s="138">
        <v>45693.536805555559</v>
      </c>
      <c r="T592" s="133" t="s">
        <v>670</v>
      </c>
      <c r="U592" s="139" t="str">
        <f t="shared" si="54"/>
        <v>_preroll_labelled</v>
      </c>
      <c r="V592" s="140" t="str">
        <f>IF(U592="_","",_xlfn.XLOOKUP(U592,internal_cansku_inventory!D:D,internal_cansku_inventory!E:E,"",0,1))</f>
        <v/>
      </c>
    </row>
    <row r="593" spans="1:22" ht="12.45" customHeight="1">
      <c r="A593" s="154">
        <v>635</v>
      </c>
      <c r="B593" s="132">
        <v>0</v>
      </c>
      <c r="C593" s="154" t="str">
        <f>Table1[[#This Row],[inventory_id_head]]&amp;"-"&amp;Table1[[#This Row],[inventory_id_tail]]</f>
        <v>635-0</v>
      </c>
      <c r="D593" s="153" t="s">
        <v>653</v>
      </c>
      <c r="E593" s="133" t="s">
        <v>1395</v>
      </c>
      <c r="F593" s="133" t="s">
        <v>55</v>
      </c>
      <c r="G593" s="133" t="str">
        <f t="shared" si="55"/>
        <v>T121EXNA</v>
      </c>
      <c r="H593" s="133" t="s">
        <v>304</v>
      </c>
      <c r="I593" s="133"/>
      <c r="J593" s="133" t="s">
        <v>1396</v>
      </c>
      <c r="K593" s="134">
        <v>45674</v>
      </c>
      <c r="L593" s="135">
        <v>87</v>
      </c>
      <c r="M593" s="133" t="s">
        <v>858</v>
      </c>
      <c r="N593" s="136">
        <f>Table1[[#This Row],[number_of_unit]]*27.6</f>
        <v>2401.2000000000003</v>
      </c>
      <c r="O593" s="136">
        <v>4236</v>
      </c>
      <c r="P593" s="136">
        <v>2379</v>
      </c>
      <c r="Q593" s="137">
        <f>Table1[[#This Row],[number_of_unit]]*Table1[[#This Row],[net_weight_per_unit]]</f>
        <v>208904.40000000002</v>
      </c>
      <c r="R593" s="133"/>
      <c r="S593" s="138">
        <v>45693.62222222222</v>
      </c>
      <c r="T593" s="133" t="s">
        <v>670</v>
      </c>
      <c r="U593" s="139" t="str">
        <f t="shared" si="54"/>
        <v>_extract_ingested_labelled</v>
      </c>
      <c r="V593" s="140" t="str">
        <f>IF(U593="_","",_xlfn.XLOOKUP(U593,internal_cansku_inventory!D:D,internal_cansku_inventory!E:E,"",0,1))</f>
        <v/>
      </c>
    </row>
    <row r="594" spans="1:22" ht="12.45" customHeight="1">
      <c r="A594" s="132">
        <v>636</v>
      </c>
      <c r="B594" s="132">
        <v>0</v>
      </c>
      <c r="C594" s="132" t="str">
        <f>Table1[[#This Row],[inventory_id_head]]&amp;"-"&amp;Table1[[#This Row],[inventory_id_tail]]</f>
        <v>636-0</v>
      </c>
      <c r="D594" s="153" t="s">
        <v>653</v>
      </c>
      <c r="E594" s="133" t="s">
        <v>655</v>
      </c>
      <c r="F594" s="133" t="s">
        <v>55</v>
      </c>
      <c r="G594" s="133" t="str">
        <f t="shared" si="55"/>
        <v>NANA</v>
      </c>
      <c r="H594" s="133" t="s">
        <v>361</v>
      </c>
      <c r="I594" s="133"/>
      <c r="J594" s="133">
        <v>2025012801</v>
      </c>
      <c r="K594" s="134" t="s">
        <v>655</v>
      </c>
      <c r="L594" s="135">
        <v>1</v>
      </c>
      <c r="M594" s="133" t="s">
        <v>994</v>
      </c>
      <c r="N594" s="136">
        <v>2005</v>
      </c>
      <c r="O594" s="136">
        <v>2985</v>
      </c>
      <c r="P594" s="136">
        <f>2985-2005</f>
        <v>980</v>
      </c>
      <c r="Q594" s="137">
        <f>Table1[[#This Row],[number_of_unit]]*Table1[[#This Row],[net_weight_per_unit]]</f>
        <v>2005</v>
      </c>
      <c r="R594" s="133"/>
      <c r="S594" s="138">
        <v>45693.626388888886</v>
      </c>
      <c r="T594" s="133" t="s">
        <v>978</v>
      </c>
      <c r="U594" s="139" t="str">
        <f t="shared" si="54"/>
        <v>_extract_distillate_bulk</v>
      </c>
      <c r="V594" s="140" t="str">
        <f>IF(U594="_","",_xlfn.XLOOKUP(U594,internal_cansku_inventory!D:D,internal_cansku_inventory!E:E,"",0,1))</f>
        <v/>
      </c>
    </row>
    <row r="595" spans="1:22" ht="12.45" customHeight="1">
      <c r="A595" s="132">
        <v>637</v>
      </c>
      <c r="B595" s="132">
        <v>0</v>
      </c>
      <c r="C595" s="132" t="str">
        <f>Table1[[#This Row],[inventory_id_head]]&amp;"-"&amp;Table1[[#This Row],[inventory_id_tail]]</f>
        <v>637-0</v>
      </c>
      <c r="D595" s="153" t="s">
        <v>680</v>
      </c>
      <c r="E595" s="133" t="s">
        <v>1397</v>
      </c>
      <c r="F595" s="133" t="s">
        <v>55</v>
      </c>
      <c r="G595" s="133" t="str">
        <f t="shared" si="55"/>
        <v>T058PRNA</v>
      </c>
      <c r="H595" s="133" t="s">
        <v>308</v>
      </c>
      <c r="I595" s="133"/>
      <c r="J595" s="133" t="s">
        <v>1021</v>
      </c>
      <c r="K595" s="134">
        <v>45685</v>
      </c>
      <c r="L595" s="135">
        <v>15</v>
      </c>
      <c r="M595" s="133" t="s">
        <v>858</v>
      </c>
      <c r="N595" s="136">
        <v>1</v>
      </c>
      <c r="O595" s="136">
        <v>0</v>
      </c>
      <c r="P595" s="136">
        <v>0</v>
      </c>
      <c r="Q595" s="137">
        <f>Table1[[#This Row],[number_of_unit]]*Table1[[#This Row],[net_weight_per_unit]]</f>
        <v>15</v>
      </c>
      <c r="R595" s="133"/>
      <c r="S595" s="138">
        <v>45693.65</v>
      </c>
      <c r="T595" s="133" t="s">
        <v>670</v>
      </c>
      <c r="U595" s="139" t="str">
        <f t="shared" si="54"/>
        <v>_preroll_labelled</v>
      </c>
      <c r="V595" s="140" t="str">
        <f>IF(U595="_","",_xlfn.XLOOKUP(U595,internal_cansku_inventory!D:D,internal_cansku_inventory!E:E,"",0,1))</f>
        <v/>
      </c>
    </row>
    <row r="596" spans="1:22" ht="12.45" customHeight="1">
      <c r="A596" s="154">
        <v>90</v>
      </c>
      <c r="B596" s="132">
        <v>0</v>
      </c>
      <c r="C596" s="154" t="str">
        <f>Table1[[#This Row],[inventory_id_head]]&amp;"-"&amp;Table1[[#This Row],[inventory_id_tail]]</f>
        <v>90-0</v>
      </c>
      <c r="D596" s="133" t="s">
        <v>653</v>
      </c>
      <c r="E596" s="133" t="s">
        <v>1398</v>
      </c>
      <c r="F596" s="133" t="s">
        <v>55</v>
      </c>
      <c r="G596" s="133" t="str">
        <f t="shared" si="55"/>
        <v>P006MFNA</v>
      </c>
      <c r="H596" s="133" t="s">
        <v>704</v>
      </c>
      <c r="I596" s="133"/>
      <c r="J596" s="133" t="s">
        <v>1399</v>
      </c>
      <c r="K596" s="134" t="s">
        <v>655</v>
      </c>
      <c r="L596" s="135">
        <v>1</v>
      </c>
      <c r="M596" s="133" t="s">
        <v>663</v>
      </c>
      <c r="N596" s="136">
        <f>O596-P596</f>
        <v>1155</v>
      </c>
      <c r="O596" s="136">
        <v>2920</v>
      </c>
      <c r="P596" s="136">
        <f>5400-3635</f>
        <v>1765</v>
      </c>
      <c r="Q596" s="137">
        <f>L596*N596</f>
        <v>1155</v>
      </c>
      <c r="R596" s="133"/>
      <c r="S596" s="138">
        <v>45693.65347222222</v>
      </c>
      <c r="T596" s="133" t="s">
        <v>664</v>
      </c>
      <c r="U596" s="139" t="str">
        <f t="shared" si="54"/>
        <v>_driedflower_milled_bulk</v>
      </c>
      <c r="V596" s="140" t="str">
        <f>IF(U596="_","",_xlfn.XLOOKUP(U596,internal_cansku_inventory!D:D,internal_cansku_inventory!E:E,"",0,1))</f>
        <v/>
      </c>
    </row>
    <row r="597" spans="1:22" ht="12.45" customHeight="1">
      <c r="A597" s="132">
        <v>638</v>
      </c>
      <c r="B597" s="132">
        <v>0</v>
      </c>
      <c r="C597" s="132" t="str">
        <f>Table1[[#This Row],[inventory_id_head]]&amp;"-"&amp;Table1[[#This Row],[inventory_id_tail]]</f>
        <v>638-0</v>
      </c>
      <c r="D597" s="133" t="s">
        <v>653</v>
      </c>
      <c r="E597" s="133" t="s">
        <v>1400</v>
      </c>
      <c r="F597" s="133" t="s">
        <v>55</v>
      </c>
      <c r="G597" s="133" t="str">
        <f t="shared" si="55"/>
        <v>T122EXNA</v>
      </c>
      <c r="H597" s="133" t="s">
        <v>304</v>
      </c>
      <c r="I597" s="133"/>
      <c r="J597" s="133" t="s">
        <v>1401</v>
      </c>
      <c r="K597" s="134">
        <v>45692</v>
      </c>
      <c r="L597" s="135">
        <v>227</v>
      </c>
      <c r="M597" s="133" t="s">
        <v>858</v>
      </c>
      <c r="N597" s="136">
        <v>50</v>
      </c>
      <c r="O597" s="136">
        <v>0</v>
      </c>
      <c r="P597" s="136">
        <v>0</v>
      </c>
      <c r="Q597" s="137">
        <f>Table1[[#This Row],[number_of_unit]]*Table1[[#This Row],[net_weight_per_unit]]</f>
        <v>11350</v>
      </c>
      <c r="R597" s="133"/>
      <c r="S597" s="138">
        <v>45693.67083333333</v>
      </c>
      <c r="T597" s="133" t="s">
        <v>670</v>
      </c>
      <c r="U597" s="139" t="str">
        <f t="shared" si="54"/>
        <v>_extract_ingested_labelled</v>
      </c>
      <c r="V597" s="140" t="str">
        <f>IF(U597="_","",_xlfn.XLOOKUP(U597,internal_cansku_inventory!D:D,internal_cansku_inventory!E:E,"",0,1))</f>
        <v/>
      </c>
    </row>
    <row r="598" spans="1:22" ht="12.45" customHeight="1">
      <c r="A598" s="132">
        <v>640</v>
      </c>
      <c r="B598" s="132">
        <v>0</v>
      </c>
      <c r="C598" s="132" t="str">
        <f>Table1[[#This Row],[inventory_id_head]]&amp;"-"&amp;Table1[[#This Row],[inventory_id_tail]]</f>
        <v>640-0</v>
      </c>
      <c r="D598" s="133" t="s">
        <v>653</v>
      </c>
      <c r="E598" s="133" t="s">
        <v>1402</v>
      </c>
      <c r="F598" s="133" t="s">
        <v>55</v>
      </c>
      <c r="G598" s="133" t="str">
        <f t="shared" si="55"/>
        <v>T124EXNA</v>
      </c>
      <c r="H598" s="133" t="s">
        <v>304</v>
      </c>
      <c r="I598" s="133"/>
      <c r="J598" s="133" t="s">
        <v>1401</v>
      </c>
      <c r="K598" s="134">
        <v>45692</v>
      </c>
      <c r="L598" s="135">
        <v>231</v>
      </c>
      <c r="M598" s="133" t="s">
        <v>858</v>
      </c>
      <c r="N598" s="136">
        <v>50</v>
      </c>
      <c r="O598" s="136">
        <v>0</v>
      </c>
      <c r="P598" s="136">
        <v>0</v>
      </c>
      <c r="Q598" s="137">
        <f>Table1[[#This Row],[number_of_unit]]*Table1[[#This Row],[net_weight_per_unit]]</f>
        <v>11550</v>
      </c>
      <c r="R598" s="133"/>
      <c r="S598" s="138">
        <v>45693.683333333334</v>
      </c>
      <c r="T598" s="133" t="s">
        <v>670</v>
      </c>
      <c r="U598" s="139" t="str">
        <f t="shared" si="54"/>
        <v>_extract_ingested_labelled</v>
      </c>
      <c r="V598" s="140" t="str">
        <f>IF(U598="_","",_xlfn.XLOOKUP(U598,internal_cansku_inventory!D:D,internal_cansku_inventory!E:E,"",0,1))</f>
        <v/>
      </c>
    </row>
    <row r="599" spans="1:22" ht="12.45" customHeight="1">
      <c r="A599" s="154">
        <v>553</v>
      </c>
      <c r="B599" s="132">
        <v>0</v>
      </c>
      <c r="C599" s="154" t="str">
        <f>Table1[[#This Row],[inventory_id_head]]&amp;"-"&amp;Table1[[#This Row],[inventory_id_tail]]</f>
        <v>553-0</v>
      </c>
      <c r="D599" s="133" t="s">
        <v>653</v>
      </c>
      <c r="E599" s="133" t="s">
        <v>1403</v>
      </c>
      <c r="F599" s="133" t="s">
        <v>655</v>
      </c>
      <c r="G599" s="133" t="str">
        <f t="shared" si="55"/>
        <v>T114EXNA</v>
      </c>
      <c r="H599" s="133" t="s">
        <v>304</v>
      </c>
      <c r="I599" s="133"/>
      <c r="J599" s="133" t="s">
        <v>1302</v>
      </c>
      <c r="K599" s="134">
        <v>45624</v>
      </c>
      <c r="L599" s="148">
        <v>6</v>
      </c>
      <c r="M599" s="133" t="s">
        <v>858</v>
      </c>
      <c r="N599" s="136">
        <v>50</v>
      </c>
      <c r="O599" s="136">
        <v>0</v>
      </c>
      <c r="P599" s="136">
        <v>0</v>
      </c>
      <c r="Q599" s="137">
        <f t="shared" ref="Q599:Q604" si="56">L599*N599</f>
        <v>300</v>
      </c>
      <c r="R599" s="133"/>
      <c r="S599" s="138">
        <v>45694.668749999997</v>
      </c>
      <c r="T599" s="133" t="s">
        <v>657</v>
      </c>
      <c r="U599" s="139" t="str">
        <f t="shared" si="54"/>
        <v>_extract_ingested_labelled</v>
      </c>
      <c r="V599" s="140" t="str">
        <f>IF(U599="_","",_xlfn.XLOOKUP(U599,internal_cansku_inventory!D:D,internal_cansku_inventory!E:E,"",0,1))</f>
        <v/>
      </c>
    </row>
    <row r="600" spans="1:22" ht="12.45" customHeight="1">
      <c r="A600" s="154">
        <v>286</v>
      </c>
      <c r="B600" s="132">
        <v>0</v>
      </c>
      <c r="C600" s="154" t="str">
        <f>Table1[[#This Row],[inventory_id_head]]&amp;"-"&amp;Table1[[#This Row],[inventory_id_tail]]</f>
        <v>286-0</v>
      </c>
      <c r="D600" s="133" t="s">
        <v>653</v>
      </c>
      <c r="E600" s="133" t="s">
        <v>1404</v>
      </c>
      <c r="F600" s="133" t="s">
        <v>655</v>
      </c>
      <c r="G600" s="133" t="str">
        <f t="shared" si="55"/>
        <v>T023EXNA</v>
      </c>
      <c r="H600" s="133" t="s">
        <v>861</v>
      </c>
      <c r="I600" s="133"/>
      <c r="J600" s="133" t="s">
        <v>1039</v>
      </c>
      <c r="K600" s="134">
        <v>45550</v>
      </c>
      <c r="L600" s="135">
        <v>7</v>
      </c>
      <c r="M600" s="133" t="s">
        <v>858</v>
      </c>
      <c r="N600" s="136">
        <v>50</v>
      </c>
      <c r="O600" s="136">
        <v>0</v>
      </c>
      <c r="P600" s="136">
        <v>0</v>
      </c>
      <c r="Q600" s="137">
        <f t="shared" si="56"/>
        <v>350</v>
      </c>
      <c r="R600" s="133"/>
      <c r="S600" s="138">
        <v>45694.669444444444</v>
      </c>
      <c r="T600" s="133" t="s">
        <v>657</v>
      </c>
      <c r="U600" s="139" t="str">
        <f t="shared" si="54"/>
        <v>_extract_ingested_labelled</v>
      </c>
      <c r="V600" s="140" t="str">
        <f>IF(U600="_","",_xlfn.XLOOKUP(U600,internal_cansku_inventory!D:D,internal_cansku_inventory!E:E,"",0,1))</f>
        <v/>
      </c>
    </row>
    <row r="601" spans="1:22" ht="12.45" customHeight="1">
      <c r="A601" s="132">
        <v>550</v>
      </c>
      <c r="B601" s="132">
        <v>0</v>
      </c>
      <c r="C601" s="132" t="str">
        <f>Table1[[#This Row],[inventory_id_head]]&amp;"-"&amp;Table1[[#This Row],[inventory_id_tail]]</f>
        <v>550-0</v>
      </c>
      <c r="D601" s="133" t="s">
        <v>680</v>
      </c>
      <c r="E601" s="133" t="s">
        <v>1297</v>
      </c>
      <c r="F601" s="133" t="s">
        <v>55</v>
      </c>
      <c r="G601" s="133" t="str">
        <f t="shared" si="55"/>
        <v>T113EXNA</v>
      </c>
      <c r="H601" s="133" t="s">
        <v>891</v>
      </c>
      <c r="I601" s="133"/>
      <c r="J601" s="133" t="s">
        <v>1302</v>
      </c>
      <c r="K601" s="134">
        <v>45624</v>
      </c>
      <c r="L601" s="148">
        <v>1</v>
      </c>
      <c r="M601" s="133" t="s">
        <v>1298</v>
      </c>
      <c r="N601" s="136">
        <v>600</v>
      </c>
      <c r="O601" s="136">
        <v>0</v>
      </c>
      <c r="P601" s="136">
        <v>0</v>
      </c>
      <c r="Q601" s="137">
        <f t="shared" si="56"/>
        <v>600</v>
      </c>
      <c r="R601" s="133"/>
      <c r="S601" s="138">
        <v>45694.678472222222</v>
      </c>
      <c r="T601" s="133" t="s">
        <v>657</v>
      </c>
      <c r="U601" s="139" t="str">
        <f t="shared" si="54"/>
        <v>_extract_ingested_cased_BC</v>
      </c>
      <c r="V601" s="140" t="str">
        <f>IF(U601="_","",_xlfn.XLOOKUP(U601,internal_cansku_inventory!D:D,internal_cansku_inventory!E:E,"",0,1))</f>
        <v/>
      </c>
    </row>
    <row r="602" spans="1:22" ht="12.45" customHeight="1">
      <c r="A602" s="132">
        <v>458</v>
      </c>
      <c r="B602" s="132">
        <v>0</v>
      </c>
      <c r="C602" s="132" t="str">
        <f>Table1[[#This Row],[inventory_id_head]]&amp;"-"&amp;Table1[[#This Row],[inventory_id_tail]]</f>
        <v>458-0</v>
      </c>
      <c r="D602" s="133" t="s">
        <v>653</v>
      </c>
      <c r="E602" s="133" t="s">
        <v>1194</v>
      </c>
      <c r="F602" s="133" t="s">
        <v>55</v>
      </c>
      <c r="G602" s="133" t="str">
        <f t="shared" si="55"/>
        <v>T095EXNA</v>
      </c>
      <c r="H602" s="133" t="s">
        <v>891</v>
      </c>
      <c r="I602" s="133"/>
      <c r="J602" s="133" t="s">
        <v>894</v>
      </c>
      <c r="K602" s="134">
        <v>45503</v>
      </c>
      <c r="L602" s="148">
        <v>5</v>
      </c>
      <c r="M602" s="133" t="s">
        <v>683</v>
      </c>
      <c r="N602" s="136">
        <f>12*50</f>
        <v>600</v>
      </c>
      <c r="O602" s="136">
        <v>0</v>
      </c>
      <c r="P602" s="136">
        <v>0</v>
      </c>
      <c r="Q602" s="137">
        <f t="shared" si="56"/>
        <v>3000</v>
      </c>
      <c r="R602" s="133"/>
      <c r="S602" s="138">
        <v>45694.68472222222</v>
      </c>
      <c r="T602" s="133" t="s">
        <v>657</v>
      </c>
      <c r="U602" s="139" t="str">
        <f t="shared" si="54"/>
        <v>_extract_ingested_cased_BC</v>
      </c>
      <c r="V602" s="140" t="str">
        <f>IF(U602="_","",_xlfn.XLOOKUP(U602,internal_cansku_inventory!D:D,internal_cansku_inventory!E:E,"",0,1))</f>
        <v/>
      </c>
    </row>
    <row r="603" spans="1:22" ht="12.45" customHeight="1">
      <c r="A603" s="154">
        <v>84</v>
      </c>
      <c r="B603" s="132">
        <v>0</v>
      </c>
      <c r="C603" s="154" t="str">
        <f>Table1[[#This Row],[inventory_id_head]]&amp;"-"&amp;Table1[[#This Row],[inventory_id_tail]]</f>
        <v>84-0</v>
      </c>
      <c r="D603" s="133" t="s">
        <v>653</v>
      </c>
      <c r="E603" s="133" t="s">
        <v>655</v>
      </c>
      <c r="F603" s="133" t="s">
        <v>55</v>
      </c>
      <c r="G603" s="133" t="str">
        <f t="shared" si="55"/>
        <v>NANA</v>
      </c>
      <c r="H603" s="133" t="s">
        <v>891</v>
      </c>
      <c r="I603" s="133"/>
      <c r="J603" s="133" t="s">
        <v>894</v>
      </c>
      <c r="K603" s="134">
        <v>45503</v>
      </c>
      <c r="L603" s="135">
        <v>10</v>
      </c>
      <c r="M603" s="133" t="s">
        <v>858</v>
      </c>
      <c r="N603" s="136">
        <v>50</v>
      </c>
      <c r="O603" s="136">
        <v>0</v>
      </c>
      <c r="P603" s="136">
        <v>0</v>
      </c>
      <c r="Q603" s="137">
        <f t="shared" si="56"/>
        <v>500</v>
      </c>
      <c r="R603" s="133"/>
      <c r="S603" s="138">
        <v>45694.693749999999</v>
      </c>
      <c r="T603" s="133" t="s">
        <v>657</v>
      </c>
      <c r="U603" s="139" t="str">
        <f t="shared" si="54"/>
        <v>_extract_ingested_cased_BC</v>
      </c>
      <c r="V603" s="140" t="str">
        <f>IF(U603="_","",_xlfn.XLOOKUP(U603,internal_cansku_inventory!D:D,internal_cansku_inventory!E:E,"",0,1))</f>
        <v/>
      </c>
    </row>
    <row r="604" spans="1:22" ht="12.45" customHeight="1">
      <c r="A604" s="154">
        <v>85</v>
      </c>
      <c r="B604" s="132">
        <v>0</v>
      </c>
      <c r="C604" s="154" t="str">
        <f>Table1[[#This Row],[inventory_id_head]]&amp;"-"&amp;Table1[[#This Row],[inventory_id_tail]]</f>
        <v>85-0</v>
      </c>
      <c r="D604" s="133" t="s">
        <v>653</v>
      </c>
      <c r="E604" s="133" t="s">
        <v>655</v>
      </c>
      <c r="F604" s="133" t="s">
        <v>55</v>
      </c>
      <c r="G604" s="133" t="str">
        <f t="shared" si="55"/>
        <v>NANA</v>
      </c>
      <c r="H604" s="133" t="s">
        <v>891</v>
      </c>
      <c r="I604" s="133"/>
      <c r="J604" s="133" t="s">
        <v>892</v>
      </c>
      <c r="K604" s="134">
        <v>45576</v>
      </c>
      <c r="L604" s="135">
        <v>2</v>
      </c>
      <c r="M604" s="133" t="s">
        <v>858</v>
      </c>
      <c r="N604" s="136">
        <v>50</v>
      </c>
      <c r="O604" s="136">
        <v>0</v>
      </c>
      <c r="P604" s="136">
        <v>0</v>
      </c>
      <c r="Q604" s="137">
        <f t="shared" si="56"/>
        <v>100</v>
      </c>
      <c r="R604" s="133"/>
      <c r="S604" s="138">
        <v>45694.693749999999</v>
      </c>
      <c r="T604" s="133" t="s">
        <v>657</v>
      </c>
      <c r="U604" s="139" t="str">
        <f t="shared" si="54"/>
        <v>_extract_ingested_cased_BC</v>
      </c>
      <c r="V604" s="140" t="str">
        <f>IF(U604="_","",_xlfn.XLOOKUP(U604,internal_cansku_inventory!D:D,internal_cansku_inventory!E:E,"",0,1))</f>
        <v/>
      </c>
    </row>
    <row r="605" spans="1:22" ht="12.45" customHeight="1">
      <c r="A605" s="132">
        <v>641</v>
      </c>
      <c r="B605" s="132">
        <v>0</v>
      </c>
      <c r="C605" s="132" t="str">
        <f>Table1[[#This Row],[inventory_id_head]]&amp;"-"&amp;Table1[[#This Row],[inventory_id_tail]]</f>
        <v>641-0</v>
      </c>
      <c r="D605" s="133" t="s">
        <v>653</v>
      </c>
      <c r="E605" s="133" t="s">
        <v>1405</v>
      </c>
      <c r="F605" s="133" t="s">
        <v>55</v>
      </c>
      <c r="G605" s="133" t="str">
        <f t="shared" si="55"/>
        <v>P018MFNA</v>
      </c>
      <c r="H605" s="133" t="s">
        <v>451</v>
      </c>
      <c r="I605" s="133"/>
      <c r="J605" s="133" t="s">
        <v>1407</v>
      </c>
      <c r="K605" s="134" t="s">
        <v>655</v>
      </c>
      <c r="L605" s="135">
        <v>1</v>
      </c>
      <c r="M605" s="133" t="s">
        <v>994</v>
      </c>
      <c r="N605" s="136">
        <f>Table1[[#This Row],[gross_weight]]-Table1[[#This Row],[tare_weight]]</f>
        <v>4188</v>
      </c>
      <c r="O605" s="136">
        <v>5928</v>
      </c>
      <c r="P605" s="136">
        <v>1740</v>
      </c>
      <c r="Q605" s="137">
        <f>Table1[[#This Row],[number_of_unit]]*Table1[[#This Row],[net_weight_per_unit]]</f>
        <v>4188</v>
      </c>
      <c r="R605" s="133"/>
      <c r="S605" s="138">
        <v>45698.634722222225</v>
      </c>
      <c r="T605" s="133" t="s">
        <v>978</v>
      </c>
      <c r="U605" s="139" t="str">
        <f t="shared" si="54"/>
        <v>_driedflower_milled_bulk_BURB</v>
      </c>
      <c r="V605" s="140" t="str">
        <f>IF(U605="_","",_xlfn.XLOOKUP(U605,internal_cansku_inventory!D:D,internal_cansku_inventory!E:E,"",0,1))</f>
        <v/>
      </c>
    </row>
    <row r="606" spans="1:22" ht="12.45" customHeight="1">
      <c r="A606" s="132">
        <v>642</v>
      </c>
      <c r="B606" s="132">
        <v>0</v>
      </c>
      <c r="C606" s="132" t="str">
        <f>Table1[[#This Row],[inventory_id_head]]&amp;"-"&amp;Table1[[#This Row],[inventory_id_tail]]</f>
        <v>642-0</v>
      </c>
      <c r="D606" s="133" t="s">
        <v>653</v>
      </c>
      <c r="E606" s="133" t="s">
        <v>1408</v>
      </c>
      <c r="F606" s="133" t="s">
        <v>55</v>
      </c>
      <c r="G606" s="133" t="str">
        <f t="shared" si="55"/>
        <v>P019MFNA</v>
      </c>
      <c r="H606" s="133" t="s">
        <v>451</v>
      </c>
      <c r="I606" s="133"/>
      <c r="J606" s="133" t="s">
        <v>1407</v>
      </c>
      <c r="K606" s="134" t="s">
        <v>655</v>
      </c>
      <c r="L606" s="135">
        <v>1</v>
      </c>
      <c r="M606" s="133" t="s">
        <v>994</v>
      </c>
      <c r="N606" s="136">
        <f>Table1[[#This Row],[gross_weight]]-Table1[[#This Row],[tare_weight]]</f>
        <v>2676</v>
      </c>
      <c r="O606" s="136">
        <v>4426</v>
      </c>
      <c r="P606" s="136">
        <v>1750</v>
      </c>
      <c r="Q606" s="137">
        <f>Table1[[#This Row],[number_of_unit]]*Table1[[#This Row],[net_weight_per_unit]]</f>
        <v>2676</v>
      </c>
      <c r="R606" s="133"/>
      <c r="S606" s="138">
        <v>45698.634722222225</v>
      </c>
      <c r="T606" s="133" t="s">
        <v>978</v>
      </c>
      <c r="U606" s="139" t="str">
        <f t="shared" si="54"/>
        <v>_driedflower_milled_bulk_BURB</v>
      </c>
      <c r="V606" s="140" t="str">
        <f>IF(U606="_","",_xlfn.XLOOKUP(U606,internal_cansku_inventory!D:D,internal_cansku_inventory!E:E,"",0,1))</f>
        <v/>
      </c>
    </row>
    <row r="607" spans="1:22" ht="12.45" customHeight="1">
      <c r="A607" s="154">
        <v>643</v>
      </c>
      <c r="B607" s="132">
        <v>0</v>
      </c>
      <c r="C607" s="154" t="str">
        <f>Table1[[#This Row],[inventory_id_head]]&amp;"-"&amp;Table1[[#This Row],[inventory_id_tail]]</f>
        <v>643-0</v>
      </c>
      <c r="D607" s="133" t="s">
        <v>653</v>
      </c>
      <c r="E607" s="133" t="s">
        <v>1409</v>
      </c>
      <c r="F607" s="133" t="s">
        <v>55</v>
      </c>
      <c r="G607" s="133" t="str">
        <f t="shared" si="55"/>
        <v>P020MFNA</v>
      </c>
      <c r="H607" s="133" t="s">
        <v>451</v>
      </c>
      <c r="I607" s="133"/>
      <c r="J607" s="133" t="s">
        <v>1407</v>
      </c>
      <c r="K607" s="134" t="s">
        <v>655</v>
      </c>
      <c r="L607" s="135">
        <v>1</v>
      </c>
      <c r="M607" s="133" t="s">
        <v>994</v>
      </c>
      <c r="N607" s="136">
        <f>Table1[[#This Row],[gross_weight]]-Table1[[#This Row],[tare_weight]]</f>
        <v>4153</v>
      </c>
      <c r="O607" s="136">
        <v>5867</v>
      </c>
      <c r="P607" s="136">
        <v>1714</v>
      </c>
      <c r="Q607" s="137">
        <f>Table1[[#This Row],[number_of_unit]]*Table1[[#This Row],[net_weight_per_unit]]</f>
        <v>4153</v>
      </c>
      <c r="R607" s="133"/>
      <c r="S607" s="138">
        <v>45698.634722222225</v>
      </c>
      <c r="T607" s="133" t="s">
        <v>978</v>
      </c>
      <c r="U607" s="139" t="str">
        <f t="shared" si="54"/>
        <v>_driedflower_milled_bulk_BURB</v>
      </c>
      <c r="V607" s="140" t="str">
        <f>IF(U607="_","",_xlfn.XLOOKUP(U607,internal_cansku_inventory!D:D,internal_cansku_inventory!E:E,"",0,1))</f>
        <v/>
      </c>
    </row>
    <row r="608" spans="1:22" ht="12.45" customHeight="1">
      <c r="A608" s="154">
        <v>644</v>
      </c>
      <c r="B608" s="132">
        <v>0</v>
      </c>
      <c r="C608" s="154" t="str">
        <f>Table1[[#This Row],[inventory_id_head]]&amp;"-"&amp;Table1[[#This Row],[inventory_id_tail]]</f>
        <v>644-0</v>
      </c>
      <c r="D608" s="133" t="s">
        <v>653</v>
      </c>
      <c r="E608" s="133" t="s">
        <v>1410</v>
      </c>
      <c r="F608" s="133" t="s">
        <v>55</v>
      </c>
      <c r="G608" s="133" t="str">
        <f t="shared" si="55"/>
        <v>P021MFNA</v>
      </c>
      <c r="H608" s="133" t="s">
        <v>451</v>
      </c>
      <c r="I608" s="133"/>
      <c r="J608" s="133" t="s">
        <v>1412</v>
      </c>
      <c r="K608" s="134" t="s">
        <v>655</v>
      </c>
      <c r="L608" s="135">
        <v>1</v>
      </c>
      <c r="M608" s="133" t="s">
        <v>994</v>
      </c>
      <c r="N608" s="136">
        <f>Table1[[#This Row],[gross_weight]]-Table1[[#This Row],[tare_weight]]</f>
        <v>1340</v>
      </c>
      <c r="O608" s="136">
        <v>3435</v>
      </c>
      <c r="P608" s="136">
        <v>2095</v>
      </c>
      <c r="Q608" s="137">
        <f>Table1[[#This Row],[number_of_unit]]*Table1[[#This Row],[net_weight_per_unit]]</f>
        <v>1340</v>
      </c>
      <c r="R608" s="133"/>
      <c r="S608" s="138">
        <v>45698.634722222225</v>
      </c>
      <c r="T608" s="133" t="s">
        <v>978</v>
      </c>
      <c r="U608" s="139" t="str">
        <f t="shared" si="54"/>
        <v>_driedflower_milled_bulk_BURB</v>
      </c>
      <c r="V608" s="140" t="str">
        <f>IF(U608="_","",_xlfn.XLOOKUP(U608,internal_cansku_inventory!D:D,internal_cansku_inventory!E:E,"",0,1))</f>
        <v/>
      </c>
    </row>
    <row r="609" spans="1:22" ht="12.45" customHeight="1">
      <c r="A609" s="132">
        <v>645</v>
      </c>
      <c r="B609" s="132">
        <v>0</v>
      </c>
      <c r="C609" s="132" t="str">
        <f>Table1[[#This Row],[inventory_id_head]]&amp;"-"&amp;Table1[[#This Row],[inventory_id_tail]]</f>
        <v>645-0</v>
      </c>
      <c r="D609" s="133" t="s">
        <v>653</v>
      </c>
      <c r="E609" s="133" t="s">
        <v>1413</v>
      </c>
      <c r="F609" s="133" t="s">
        <v>55</v>
      </c>
      <c r="G609" s="133" t="str">
        <f t="shared" si="55"/>
        <v>J035EXNA</v>
      </c>
      <c r="H609" s="133" t="s">
        <v>358</v>
      </c>
      <c r="I609" s="133"/>
      <c r="J609" s="133" t="s">
        <v>1415</v>
      </c>
      <c r="K609" s="134" t="s">
        <v>655</v>
      </c>
      <c r="L609" s="135">
        <v>1</v>
      </c>
      <c r="M609" s="133" t="s">
        <v>967</v>
      </c>
      <c r="N609" s="136">
        <f>Table1[[#This Row],[gross_weight]]-Table1[[#This Row],[tare_weight]]</f>
        <v>278.02000000000004</v>
      </c>
      <c r="O609" s="136">
        <v>588.34</v>
      </c>
      <c r="P609" s="136">
        <v>310.32</v>
      </c>
      <c r="Q609" s="137">
        <f>Table1[[#This Row],[number_of_unit]]*Table1[[#This Row],[net_weight_per_unit]]</f>
        <v>278.02000000000004</v>
      </c>
      <c r="R609" s="133"/>
      <c r="S609" s="138">
        <v>45698.646527777775</v>
      </c>
      <c r="T609" s="133" t="s">
        <v>978</v>
      </c>
      <c r="U609" s="139" t="str">
        <f t="shared" si="54"/>
        <v>_extract_inhaled_bulk</v>
      </c>
      <c r="V609" s="140" t="str">
        <f>IF(U609="_","",_xlfn.XLOOKUP(U609,internal_cansku_inventory!D:D,internal_cansku_inventory!E:E,"",0,1))</f>
        <v/>
      </c>
    </row>
    <row r="610" spans="1:22" ht="12.45" customHeight="1">
      <c r="A610" s="132">
        <v>647</v>
      </c>
      <c r="B610" s="132">
        <v>0</v>
      </c>
      <c r="C610" s="132" t="str">
        <f>Table1[[#This Row],[inventory_id_head]]&amp;"-"&amp;Table1[[#This Row],[inventory_id_tail]]</f>
        <v>647-0</v>
      </c>
      <c r="D610" s="133" t="s">
        <v>653</v>
      </c>
      <c r="E610" s="133" t="s">
        <v>1416</v>
      </c>
      <c r="F610" s="133" t="s">
        <v>655</v>
      </c>
      <c r="G610" s="133" t="str">
        <f t="shared" si="55"/>
        <v>J036EXNA</v>
      </c>
      <c r="H610" s="133" t="s">
        <v>1417</v>
      </c>
      <c r="I610" s="133"/>
      <c r="J610" s="133" t="s">
        <v>1419</v>
      </c>
      <c r="K610" s="134" t="s">
        <v>655</v>
      </c>
      <c r="L610" s="135">
        <v>1</v>
      </c>
      <c r="M610" s="133" t="s">
        <v>967</v>
      </c>
      <c r="N610" s="136">
        <f>Table1[[#This Row],[gross_weight]]-Table1[[#This Row],[tare_weight]]</f>
        <v>225.32</v>
      </c>
      <c r="O610" s="136">
        <v>533.64</v>
      </c>
      <c r="P610" s="136">
        <f>533.64-225.32</f>
        <v>308.32</v>
      </c>
      <c r="Q610" s="137">
        <f>Table1[[#This Row],[number_of_unit]]*Table1[[#This Row],[net_weight_per_unit]]</f>
        <v>225.32</v>
      </c>
      <c r="R610" s="133"/>
      <c r="S610" s="138">
        <v>45713.590277777781</v>
      </c>
      <c r="T610" s="133" t="s">
        <v>978</v>
      </c>
      <c r="U610" s="139" t="str">
        <f t="shared" si="54"/>
        <v>_extract_inhaled_bulk_Kalista</v>
      </c>
      <c r="V610" s="140" t="str">
        <f>IF(U610="_","",_xlfn.XLOOKUP(U610,internal_cansku_inventory!D:D,internal_cansku_inventory!E:E,"",0,1))</f>
        <v/>
      </c>
    </row>
    <row r="611" spans="1:22" ht="12.45" customHeight="1">
      <c r="A611" s="154">
        <v>648</v>
      </c>
      <c r="B611" s="132">
        <v>0</v>
      </c>
      <c r="C611" s="154" t="str">
        <f>Table1[[#This Row],[inventory_id_head]]&amp;"-"&amp;Table1[[#This Row],[inventory_id_tail]]</f>
        <v>648-0</v>
      </c>
      <c r="D611" s="133" t="s">
        <v>653</v>
      </c>
      <c r="E611" s="133" t="s">
        <v>1420</v>
      </c>
      <c r="F611" s="133" t="s">
        <v>655</v>
      </c>
      <c r="G611" s="133" t="str">
        <f t="shared" si="55"/>
        <v>J037EXNA</v>
      </c>
      <c r="H611" s="133" t="s">
        <v>1417</v>
      </c>
      <c r="I611" s="133"/>
      <c r="J611" s="133" t="s">
        <v>1419</v>
      </c>
      <c r="K611" s="134" t="s">
        <v>655</v>
      </c>
      <c r="L611" s="135">
        <v>1</v>
      </c>
      <c r="M611" s="133" t="s">
        <v>967</v>
      </c>
      <c r="N611" s="136">
        <f>Table1[[#This Row],[gross_weight]]-Table1[[#This Row],[tare_weight]]</f>
        <v>250.45999999999998</v>
      </c>
      <c r="O611" s="136">
        <v>558.78</v>
      </c>
      <c r="P611" s="136">
        <f>533.64-225.32</f>
        <v>308.32</v>
      </c>
      <c r="Q611" s="137">
        <f>Table1[[#This Row],[number_of_unit]]*Table1[[#This Row],[net_weight_per_unit]]</f>
        <v>250.45999999999998</v>
      </c>
      <c r="R611" s="133"/>
      <c r="S611" s="138">
        <v>45713.590277777781</v>
      </c>
      <c r="T611" s="133" t="s">
        <v>978</v>
      </c>
      <c r="U611" s="139" t="str">
        <f t="shared" si="54"/>
        <v>_extract_inhaled_bulk_Kalista</v>
      </c>
      <c r="V611" s="140" t="str">
        <f>IF(U611="_","",_xlfn.XLOOKUP(U611,internal_cansku_inventory!D:D,internal_cansku_inventory!E:E,"",0,1))</f>
        <v/>
      </c>
    </row>
    <row r="612" spans="1:22" ht="12.45" customHeight="1">
      <c r="A612" s="154">
        <v>649</v>
      </c>
      <c r="B612" s="132">
        <v>0</v>
      </c>
      <c r="C612" s="154" t="str">
        <f>Table1[[#This Row],[inventory_id_head]]&amp;"-"&amp;Table1[[#This Row],[inventory_id_tail]]</f>
        <v>649-0</v>
      </c>
      <c r="D612" s="133" t="s">
        <v>653</v>
      </c>
      <c r="E612" s="133" t="s">
        <v>1421</v>
      </c>
      <c r="F612" s="133" t="s">
        <v>655</v>
      </c>
      <c r="G612" s="133" t="str">
        <f t="shared" si="55"/>
        <v>J038EXNA</v>
      </c>
      <c r="H612" s="133" t="s">
        <v>358</v>
      </c>
      <c r="I612" s="133"/>
      <c r="J612" s="133" t="s">
        <v>1422</v>
      </c>
      <c r="K612" s="134" t="s">
        <v>655</v>
      </c>
      <c r="L612" s="135">
        <v>1</v>
      </c>
      <c r="M612" s="133" t="s">
        <v>967</v>
      </c>
      <c r="N612" s="136">
        <f>Table1[[#This Row],[gross_weight]]-Table1[[#This Row],[tare_weight]]</f>
        <v>276.12000000000006</v>
      </c>
      <c r="O612" s="136">
        <v>584.44000000000005</v>
      </c>
      <c r="P612" s="136">
        <f>533.64-225.32</f>
        <v>308.32</v>
      </c>
      <c r="Q612" s="137">
        <f>Table1[[#This Row],[number_of_unit]]*Table1[[#This Row],[net_weight_per_unit]]</f>
        <v>276.12000000000006</v>
      </c>
      <c r="R612" s="133"/>
      <c r="S612" s="138">
        <v>45713.590277777781</v>
      </c>
      <c r="T612" s="133" t="s">
        <v>978</v>
      </c>
      <c r="U612" s="139" t="str">
        <f t="shared" si="54"/>
        <v>_extract_inhaled_bulk</v>
      </c>
      <c r="V612" s="140" t="str">
        <f>IF(U612="_","",_xlfn.XLOOKUP(U612,internal_cansku_inventory!D:D,internal_cansku_inventory!E:E,"",0,1))</f>
        <v/>
      </c>
    </row>
    <row r="613" spans="1:22" ht="12.45" customHeight="1">
      <c r="A613" s="132">
        <v>650</v>
      </c>
      <c r="B613" s="132">
        <v>0</v>
      </c>
      <c r="C613" s="132" t="str">
        <f>Table1[[#This Row],[inventory_id_head]]&amp;"-"&amp;Table1[[#This Row],[inventory_id_tail]]</f>
        <v>650-0</v>
      </c>
      <c r="D613" s="133" t="s">
        <v>680</v>
      </c>
      <c r="E613" s="133" t="s">
        <v>1423</v>
      </c>
      <c r="F613" s="133" t="s">
        <v>655</v>
      </c>
      <c r="G613" s="133" t="str">
        <f t="shared" si="55"/>
        <v>T059PRNA</v>
      </c>
      <c r="H613" s="133" t="s">
        <v>308</v>
      </c>
      <c r="I613" s="133"/>
      <c r="J613" s="133" t="s">
        <v>1424</v>
      </c>
      <c r="K613" s="134">
        <v>45707</v>
      </c>
      <c r="L613" s="135">
        <v>240</v>
      </c>
      <c r="M613" s="133" t="s">
        <v>858</v>
      </c>
      <c r="N613" s="136">
        <v>5</v>
      </c>
      <c r="O613" s="136">
        <v>0</v>
      </c>
      <c r="P613" s="136">
        <v>0</v>
      </c>
      <c r="Q613" s="137">
        <f>Table1[[#This Row],[number_of_unit]]*Table1[[#This Row],[net_weight_per_unit]]</f>
        <v>1200</v>
      </c>
      <c r="R613" s="133"/>
      <c r="S613" s="138">
        <v>45713.590277777781</v>
      </c>
      <c r="T613" s="133" t="s">
        <v>657</v>
      </c>
      <c r="U613" s="139" t="str">
        <f t="shared" si="54"/>
        <v>_preroll_labelled</v>
      </c>
      <c r="V613" s="140" t="str">
        <f>IF(U613="_","",_xlfn.XLOOKUP(U613,internal_cansku_inventory!D:D,internal_cansku_inventory!E:E,"",0,1))</f>
        <v/>
      </c>
    </row>
    <row r="614" spans="1:22" ht="12.45" customHeight="1">
      <c r="A614" s="132">
        <v>651</v>
      </c>
      <c r="B614" s="132">
        <v>0</v>
      </c>
      <c r="C614" s="132" t="str">
        <f>Table1[[#This Row],[inventory_id_head]]&amp;"-"&amp;Table1[[#This Row],[inventory_id_tail]]</f>
        <v>651-0</v>
      </c>
      <c r="D614" s="133" t="s">
        <v>653</v>
      </c>
      <c r="E614" s="133" t="s">
        <v>1425</v>
      </c>
      <c r="F614" s="133" t="s">
        <v>655</v>
      </c>
      <c r="G614" s="133" t="str">
        <f t="shared" si="55"/>
        <v>T125EXNA</v>
      </c>
      <c r="H614" s="133" t="s">
        <v>304</v>
      </c>
      <c r="I614" s="133"/>
      <c r="J614" s="133" t="s">
        <v>1426</v>
      </c>
      <c r="K614" s="134">
        <v>45700</v>
      </c>
      <c r="L614" s="135">
        <v>111</v>
      </c>
      <c r="M614" s="133" t="s">
        <v>858</v>
      </c>
      <c r="N614" s="136">
        <v>50</v>
      </c>
      <c r="O614" s="136">
        <v>0</v>
      </c>
      <c r="P614" s="136">
        <v>0</v>
      </c>
      <c r="Q614" s="137">
        <f>Table1[[#This Row],[number_of_unit]]*Table1[[#This Row],[net_weight_per_unit]]</f>
        <v>5550</v>
      </c>
      <c r="R614" s="133"/>
      <c r="S614" s="138">
        <v>45713.590277777781</v>
      </c>
      <c r="T614" s="133" t="s">
        <v>657</v>
      </c>
      <c r="U614" s="139" t="str">
        <f t="shared" si="54"/>
        <v>_extract_ingested_labelled</v>
      </c>
      <c r="V614" s="140" t="str">
        <f>IF(U614="_","",_xlfn.XLOOKUP(U614,internal_cansku_inventory!D:D,internal_cansku_inventory!E:E,"",0,1))</f>
        <v/>
      </c>
    </row>
    <row r="615" spans="1:22" ht="12.45" customHeight="1">
      <c r="A615" s="154">
        <v>652</v>
      </c>
      <c r="B615" s="132">
        <v>0</v>
      </c>
      <c r="C615" s="154" t="str">
        <f>Table1[[#This Row],[inventory_id_head]]&amp;"-"&amp;Table1[[#This Row],[inventory_id_tail]]</f>
        <v>652-0</v>
      </c>
      <c r="D615" s="133" t="s">
        <v>653</v>
      </c>
      <c r="E615" s="133" t="s">
        <v>1427</v>
      </c>
      <c r="F615" s="133" t="s">
        <v>655</v>
      </c>
      <c r="G615" s="133" t="str">
        <f t="shared" si="55"/>
        <v>T126EXNA</v>
      </c>
      <c r="H615" s="133" t="s">
        <v>304</v>
      </c>
      <c r="I615" s="133"/>
      <c r="J615" s="133" t="s">
        <v>1426</v>
      </c>
      <c r="K615" s="134">
        <v>45700</v>
      </c>
      <c r="L615" s="135">
        <v>264</v>
      </c>
      <c r="M615" s="133" t="s">
        <v>858</v>
      </c>
      <c r="N615" s="136">
        <v>50</v>
      </c>
      <c r="O615" s="136">
        <v>0</v>
      </c>
      <c r="P615" s="136">
        <v>0</v>
      </c>
      <c r="Q615" s="137">
        <f>Table1[[#This Row],[number_of_unit]]*Table1[[#This Row],[net_weight_per_unit]]</f>
        <v>13200</v>
      </c>
      <c r="R615" s="133"/>
      <c r="S615" s="138">
        <v>45713.590277777781</v>
      </c>
      <c r="T615" s="133" t="s">
        <v>657</v>
      </c>
      <c r="U615" s="139" t="str">
        <f t="shared" si="54"/>
        <v>_extract_ingested_labelled</v>
      </c>
      <c r="V615" s="140" t="str">
        <f>IF(U615="_","",_xlfn.XLOOKUP(U615,internal_cansku_inventory!D:D,internal_cansku_inventory!E:E,"",0,1))</f>
        <v/>
      </c>
    </row>
    <row r="616" spans="1:22" ht="12.45" customHeight="1">
      <c r="A616" s="154">
        <v>653</v>
      </c>
      <c r="B616" s="132">
        <v>0</v>
      </c>
      <c r="C616" s="154" t="str">
        <f>Table1[[#This Row],[inventory_id_head]]&amp;"-"&amp;Table1[[#This Row],[inventory_id_tail]]</f>
        <v>653-0</v>
      </c>
      <c r="D616" s="133" t="s">
        <v>653</v>
      </c>
      <c r="E616" s="133" t="s">
        <v>1428</v>
      </c>
      <c r="F616" s="133" t="s">
        <v>655</v>
      </c>
      <c r="G616" s="133" t="str">
        <f t="shared" si="55"/>
        <v>T060PRNA</v>
      </c>
      <c r="H616" s="133" t="s">
        <v>308</v>
      </c>
      <c r="I616" s="133"/>
      <c r="J616" s="133" t="s">
        <v>1022</v>
      </c>
      <c r="K616" s="134">
        <v>45707</v>
      </c>
      <c r="L616" s="135">
        <v>172</v>
      </c>
      <c r="M616" s="133" t="s">
        <v>858</v>
      </c>
      <c r="N616" s="136">
        <v>1.5</v>
      </c>
      <c r="O616" s="136">
        <v>0</v>
      </c>
      <c r="P616" s="136">
        <v>0</v>
      </c>
      <c r="Q616" s="137">
        <f>Table1[[#This Row],[number_of_unit]]*Table1[[#This Row],[net_weight_per_unit]]</f>
        <v>258</v>
      </c>
      <c r="R616" s="133"/>
      <c r="S616" s="138">
        <v>45713.590277777781</v>
      </c>
      <c r="T616" s="133" t="s">
        <v>657</v>
      </c>
      <c r="U616" s="139" t="str">
        <f t="shared" si="54"/>
        <v>_preroll_labelled</v>
      </c>
      <c r="V616" s="140" t="str">
        <f>IF(U616="_","",_xlfn.XLOOKUP(U616,internal_cansku_inventory!D:D,internal_cansku_inventory!E:E,"",0,1))</f>
        <v/>
      </c>
    </row>
    <row r="617" spans="1:22" ht="12.45" customHeight="1">
      <c r="A617" s="132">
        <v>646</v>
      </c>
      <c r="B617" s="132">
        <v>0</v>
      </c>
      <c r="C617" s="132" t="str">
        <f>Table1[[#This Row],[inventory_id_head]]&amp;"-"&amp;Table1[[#This Row],[inventory_id_tail]]</f>
        <v>646-0</v>
      </c>
      <c r="D617" s="133" t="s">
        <v>653</v>
      </c>
      <c r="E617" s="133" t="s">
        <v>1429</v>
      </c>
      <c r="F617" s="133" t="s">
        <v>655</v>
      </c>
      <c r="G617" s="133" t="str">
        <f t="shared" si="55"/>
        <v>B005EXNA</v>
      </c>
      <c r="H617" s="133" t="s">
        <v>361</v>
      </c>
      <c r="I617" s="133"/>
      <c r="J617" s="133">
        <v>2025021901</v>
      </c>
      <c r="K617" s="134" t="s">
        <v>655</v>
      </c>
      <c r="L617" s="135">
        <v>1</v>
      </c>
      <c r="M617" s="133" t="s">
        <v>994</v>
      </c>
      <c r="N617" s="136">
        <f>Table1[[#This Row],[gross_weight]]-Table1[[#This Row],[tare_weight]]</f>
        <v>591.6</v>
      </c>
      <c r="O617" s="136">
        <v>1203</v>
      </c>
      <c r="P617" s="136">
        <v>611.4</v>
      </c>
      <c r="Q617" s="137">
        <f>Table1[[#This Row],[number_of_unit]]*Table1[[#This Row],[net_weight_per_unit]]</f>
        <v>591.6</v>
      </c>
      <c r="R617" s="133"/>
      <c r="S617" s="138">
        <v>45713.616666666669</v>
      </c>
      <c r="T617" s="133" t="s">
        <v>978</v>
      </c>
      <c r="U617" s="139" t="str">
        <f t="shared" si="54"/>
        <v>_extract_distillate_bulk</v>
      </c>
      <c r="V617" s="140" t="str">
        <f>IF(U617="_","",_xlfn.XLOOKUP(U617,internal_cansku_inventory!D:D,internal_cansku_inventory!E:E,"",0,1))</f>
        <v/>
      </c>
    </row>
    <row r="618" spans="1:22" ht="12.45" customHeight="1">
      <c r="A618" s="132">
        <v>655</v>
      </c>
      <c r="B618" s="132">
        <v>0</v>
      </c>
      <c r="C618" s="132" t="str">
        <f>Table1[[#This Row],[inventory_id_head]]&amp;"-"&amp;Table1[[#This Row],[inventory_id_tail]]</f>
        <v>655-0</v>
      </c>
      <c r="D618" s="133" t="s">
        <v>653</v>
      </c>
      <c r="E618" s="133" t="s">
        <v>1430</v>
      </c>
      <c r="F618" s="133" t="s">
        <v>655</v>
      </c>
      <c r="G618" s="133" t="str">
        <f t="shared" si="55"/>
        <v>T128EXNA</v>
      </c>
      <c r="H618" s="133" t="s">
        <v>891</v>
      </c>
      <c r="I618" s="133"/>
      <c r="J618" s="133" t="s">
        <v>1401</v>
      </c>
      <c r="K618" s="134">
        <v>45692</v>
      </c>
      <c r="L618" s="135">
        <v>8</v>
      </c>
      <c r="M618" s="133" t="s">
        <v>683</v>
      </c>
      <c r="N618" s="136">
        <f>12*50</f>
        <v>600</v>
      </c>
      <c r="O618" s="136">
        <v>0</v>
      </c>
      <c r="P618" s="136">
        <v>0</v>
      </c>
      <c r="Q618" s="137">
        <f>Table1[[#This Row],[number_of_unit]]*Table1[[#This Row],[net_weight_per_unit]]</f>
        <v>4800</v>
      </c>
      <c r="R618" s="133"/>
      <c r="S618" s="138">
        <v>45713.628472222219</v>
      </c>
      <c r="T618" s="133" t="s">
        <v>657</v>
      </c>
      <c r="U618" s="139" t="str">
        <f t="shared" si="54"/>
        <v>_extract_ingested_cased_BC</v>
      </c>
      <c r="V618" s="140" t="str">
        <f>IF(U618="_","",_xlfn.XLOOKUP(U618,internal_cansku_inventory!D:D,internal_cansku_inventory!E:E,"",0,1))</f>
        <v/>
      </c>
    </row>
    <row r="619" spans="1:22" ht="12.45" customHeight="1">
      <c r="A619" s="154">
        <v>656</v>
      </c>
      <c r="B619" s="132">
        <v>0</v>
      </c>
      <c r="C619" s="154" t="str">
        <f>Table1[[#This Row],[inventory_id_head]]&amp;"-"&amp;Table1[[#This Row],[inventory_id_tail]]</f>
        <v>656-0</v>
      </c>
      <c r="D619" s="133" t="s">
        <v>653</v>
      </c>
      <c r="E619" s="133" t="s">
        <v>1431</v>
      </c>
      <c r="F619" s="133" t="s">
        <v>655</v>
      </c>
      <c r="G619" s="133" t="str">
        <f t="shared" si="55"/>
        <v>T129EXNA</v>
      </c>
      <c r="H619" s="133" t="s">
        <v>891</v>
      </c>
      <c r="I619" s="133"/>
      <c r="J619" s="133" t="s">
        <v>1426</v>
      </c>
      <c r="K619" s="134">
        <v>45700</v>
      </c>
      <c r="L619" s="135">
        <v>1</v>
      </c>
      <c r="M619" s="133" t="s">
        <v>683</v>
      </c>
      <c r="N619" s="136">
        <f>12*50</f>
        <v>600</v>
      </c>
      <c r="O619" s="136">
        <v>0</v>
      </c>
      <c r="P619" s="136">
        <v>0</v>
      </c>
      <c r="Q619" s="137">
        <f>Table1[[#This Row],[number_of_unit]]*Table1[[#This Row],[net_weight_per_unit]]</f>
        <v>600</v>
      </c>
      <c r="R619" s="133"/>
      <c r="S619" s="138">
        <v>45876.628472222219</v>
      </c>
      <c r="T619" s="133" t="s">
        <v>657</v>
      </c>
      <c r="U619" s="139" t="str">
        <f t="shared" si="54"/>
        <v>_extract_ingested_cased_BC</v>
      </c>
      <c r="V619" s="140" t="str">
        <f>IF(U619="_","",_xlfn.XLOOKUP(U619,internal_cansku_inventory!D:D,internal_cansku_inventory!E:E,"",0,1))</f>
        <v/>
      </c>
    </row>
    <row r="620" spans="1:22" ht="12.45" customHeight="1">
      <c r="A620" s="154">
        <v>657</v>
      </c>
      <c r="B620" s="132">
        <v>0</v>
      </c>
      <c r="C620" s="154" t="str">
        <f>Table1[[#This Row],[inventory_id_head]]&amp;"-"&amp;Table1[[#This Row],[inventory_id_tail]]</f>
        <v>657-0</v>
      </c>
      <c r="D620" s="133" t="s">
        <v>653</v>
      </c>
      <c r="E620" s="133" t="s">
        <v>1432</v>
      </c>
      <c r="F620" s="133" t="s">
        <v>655</v>
      </c>
      <c r="G620" s="133" t="str">
        <f t="shared" si="55"/>
        <v>T130EXNA</v>
      </c>
      <c r="H620" s="133" t="s">
        <v>413</v>
      </c>
      <c r="I620" s="133"/>
      <c r="J620" s="133" t="s">
        <v>578</v>
      </c>
      <c r="K620" s="134">
        <v>45700</v>
      </c>
      <c r="L620" s="135">
        <v>168</v>
      </c>
      <c r="M620" s="133" t="s">
        <v>858</v>
      </c>
      <c r="N620" s="136">
        <v>50</v>
      </c>
      <c r="O620" s="136">
        <v>0</v>
      </c>
      <c r="P620" s="136">
        <v>0</v>
      </c>
      <c r="Q620" s="137">
        <f>Table1[[#This Row],[number_of_unit]]*Table1[[#This Row],[net_weight_per_unit]]</f>
        <v>8400</v>
      </c>
      <c r="R620" s="133"/>
      <c r="S620" s="138">
        <v>45713.628472222219</v>
      </c>
      <c r="T620" s="133" t="s">
        <v>657</v>
      </c>
      <c r="U620" s="139" t="str">
        <f t="shared" si="54"/>
        <v>_extract_ingested_packaged</v>
      </c>
      <c r="V620" s="140" t="str">
        <f>IF(U620="_","",_xlfn.XLOOKUP(U620,internal_cansku_inventory!D:D,internal_cansku_inventory!E:E,"",0,1))</f>
        <v/>
      </c>
    </row>
    <row r="621" spans="1:22" ht="12.45" customHeight="1">
      <c r="A621" s="132">
        <v>659</v>
      </c>
      <c r="B621" s="132">
        <v>0</v>
      </c>
      <c r="C621" s="132" t="str">
        <f>Table1[[#This Row],[inventory_id_head]]&amp;"-"&amp;Table1[[#This Row],[inventory_id_tail]]</f>
        <v>659-0</v>
      </c>
      <c r="D621" s="133" t="s">
        <v>653</v>
      </c>
      <c r="E621" s="133" t="s">
        <v>1433</v>
      </c>
      <c r="F621" s="133" t="s">
        <v>655</v>
      </c>
      <c r="G621" s="133" t="str">
        <f t="shared" ref="G621:G652" si="57">E621&amp;F621</f>
        <v>P023MFNA</v>
      </c>
      <c r="H621" s="133" t="s">
        <v>356</v>
      </c>
      <c r="I621" s="133"/>
      <c r="J621" s="133" t="s">
        <v>1435</v>
      </c>
      <c r="K621" s="134" t="s">
        <v>655</v>
      </c>
      <c r="L621" s="135">
        <v>1</v>
      </c>
      <c r="M621" s="133" t="s">
        <v>994</v>
      </c>
      <c r="N621" s="136">
        <f>Table1[[#This Row],[gross_weight]]-Table1[[#This Row],[tare_weight]]</f>
        <v>4692</v>
      </c>
      <c r="O621" s="136">
        <v>6472</v>
      </c>
      <c r="P621" s="136">
        <v>1780</v>
      </c>
      <c r="Q621" s="137">
        <f>Table1[[#This Row],[number_of_unit]]*Table1[[#This Row],[net_weight_per_unit]]</f>
        <v>4692</v>
      </c>
      <c r="R621" s="133"/>
      <c r="S621" s="138">
        <v>45713.628472222219</v>
      </c>
      <c r="T621" s="133" t="s">
        <v>978</v>
      </c>
      <c r="U621" s="139" t="str">
        <f t="shared" si="54"/>
        <v>_driedflower_milled_bulk</v>
      </c>
      <c r="V621" s="140" t="str">
        <f>IF(U621="_","",_xlfn.XLOOKUP(U621,internal_cansku_inventory!D:D,internal_cansku_inventory!E:E,"",0,1))</f>
        <v/>
      </c>
    </row>
    <row r="622" spans="1:22" ht="12.45" customHeight="1">
      <c r="A622" s="132">
        <v>660</v>
      </c>
      <c r="B622" s="132">
        <v>0</v>
      </c>
      <c r="C622" s="132" t="str">
        <f>Table1[[#This Row],[inventory_id_head]]&amp;"-"&amp;Table1[[#This Row],[inventory_id_tail]]</f>
        <v>660-0</v>
      </c>
      <c r="D622" s="133" t="s">
        <v>653</v>
      </c>
      <c r="E622" s="133" t="s">
        <v>1436</v>
      </c>
      <c r="F622" s="133" t="s">
        <v>655</v>
      </c>
      <c r="G622" s="133" t="str">
        <f t="shared" si="57"/>
        <v>P003DFNA</v>
      </c>
      <c r="H622" s="133" t="s">
        <v>365</v>
      </c>
      <c r="I622" s="133"/>
      <c r="J622" s="133">
        <v>2025021302</v>
      </c>
      <c r="K622" s="134" t="s">
        <v>655</v>
      </c>
      <c r="L622" s="135">
        <v>1</v>
      </c>
      <c r="M622" s="133" t="s">
        <v>994</v>
      </c>
      <c r="N622" s="136">
        <f>Table1[[#This Row],[gross_weight]]-Table1[[#This Row],[tare_weight]]</f>
        <v>725</v>
      </c>
      <c r="O622" s="136">
        <v>2485</v>
      </c>
      <c r="P622" s="136">
        <v>1760</v>
      </c>
      <c r="Q622" s="137">
        <f>Table1[[#This Row],[number_of_unit]]*Table1[[#This Row],[net_weight_per_unit]]</f>
        <v>725</v>
      </c>
      <c r="R622" s="133"/>
      <c r="S622" s="138">
        <v>45713.628472222219</v>
      </c>
      <c r="T622" s="133" t="s">
        <v>978</v>
      </c>
      <c r="U622" s="139" t="str">
        <f t="shared" si="54"/>
        <v>_driedflower_bulk</v>
      </c>
      <c r="V622" s="140" t="str">
        <f>IF(U622="_","",_xlfn.XLOOKUP(U622,internal_cansku_inventory!D:D,internal_cansku_inventory!E:E,"",0,1))</f>
        <v/>
      </c>
    </row>
    <row r="623" spans="1:22" ht="12.45" customHeight="1">
      <c r="A623" s="154">
        <v>695</v>
      </c>
      <c r="B623" s="132">
        <v>0</v>
      </c>
      <c r="C623" s="154" t="str">
        <f>Table1[[#This Row],[inventory_id_head]]&amp;"-"&amp;Table1[[#This Row],[inventory_id_tail]]</f>
        <v>695-0</v>
      </c>
      <c r="D623" s="133" t="s">
        <v>653</v>
      </c>
      <c r="E623" s="133" t="s">
        <v>1438</v>
      </c>
      <c r="F623" s="133" t="s">
        <v>655</v>
      </c>
      <c r="G623" s="133" t="str">
        <f t="shared" si="57"/>
        <v>T144EXNA</v>
      </c>
      <c r="H623" s="133" t="s">
        <v>445</v>
      </c>
      <c r="I623" s="133"/>
      <c r="J623" s="133" t="s">
        <v>1302</v>
      </c>
      <c r="K623" s="134">
        <v>45624</v>
      </c>
      <c r="L623" s="135">
        <v>13</v>
      </c>
      <c r="M623" s="133" t="s">
        <v>683</v>
      </c>
      <c r="N623" s="136">
        <f>12*50</f>
        <v>600</v>
      </c>
      <c r="O623" s="136">
        <v>0</v>
      </c>
      <c r="P623" s="136">
        <v>0</v>
      </c>
      <c r="Q623" s="137">
        <f>Table1[[#This Row],[number_of_unit]]*Table1[[#This Row],[net_weight_per_unit]]</f>
        <v>7800</v>
      </c>
      <c r="R623" s="133"/>
      <c r="S623" s="138">
        <v>45713.628472222219</v>
      </c>
      <c r="T623" s="133" t="s">
        <v>657</v>
      </c>
      <c r="U623" s="139" t="str">
        <f t="shared" si="54"/>
        <v>_extract_ingested_cased_ON_RTV</v>
      </c>
      <c r="V623" s="140" t="str">
        <f>IF(U623="_","",_xlfn.XLOOKUP(U623,internal_cansku_inventory!D:D,internal_cansku_inventory!E:E,"",0,1))</f>
        <v/>
      </c>
    </row>
    <row r="624" spans="1:22" ht="12.45" customHeight="1">
      <c r="A624" s="154">
        <v>164</v>
      </c>
      <c r="B624" s="132">
        <v>0</v>
      </c>
      <c r="C624" s="154" t="str">
        <f>Table1[[#This Row],[inventory_id_head]]&amp;"-"&amp;Table1[[#This Row],[inventory_id_tail]]</f>
        <v>164-0</v>
      </c>
      <c r="D624" s="133" t="s">
        <v>653</v>
      </c>
      <c r="E624" s="133" t="s">
        <v>1439</v>
      </c>
      <c r="F624" s="133" t="s">
        <v>655</v>
      </c>
      <c r="G624" s="133" t="str">
        <f t="shared" si="57"/>
        <v>B002EXNA</v>
      </c>
      <c r="H624" s="133" t="s">
        <v>891</v>
      </c>
      <c r="I624" s="133"/>
      <c r="J624" s="133" t="s">
        <v>892</v>
      </c>
      <c r="K624" s="134">
        <v>45576</v>
      </c>
      <c r="L624" s="135">
        <v>1</v>
      </c>
      <c r="M624" s="133" t="s">
        <v>683</v>
      </c>
      <c r="N624" s="136">
        <v>50</v>
      </c>
      <c r="O624" s="136">
        <v>0</v>
      </c>
      <c r="P624" s="136">
        <v>0</v>
      </c>
      <c r="Q624" s="137">
        <f>L624*N624</f>
        <v>50</v>
      </c>
      <c r="R624" s="133"/>
      <c r="S624" s="138">
        <v>45713.644444444442</v>
      </c>
      <c r="T624" s="133" t="s">
        <v>670</v>
      </c>
      <c r="U624" s="139" t="str">
        <f t="shared" si="54"/>
        <v>_extract_ingested_cased_BC</v>
      </c>
      <c r="V624" s="140" t="str">
        <f>IF(U624="_","",_xlfn.XLOOKUP(U624,internal_cansku_inventory!D:D,internal_cansku_inventory!E:E,"",0,1))</f>
        <v/>
      </c>
    </row>
    <row r="625" spans="1:22" ht="12.45" customHeight="1">
      <c r="A625" s="132">
        <v>639</v>
      </c>
      <c r="B625" s="132">
        <v>0</v>
      </c>
      <c r="C625" s="132" t="str">
        <f>Table1[[#This Row],[inventory_id_head]]&amp;"-"&amp;Table1[[#This Row],[inventory_id_tail]]</f>
        <v>639-0</v>
      </c>
      <c r="D625" s="133" t="s">
        <v>653</v>
      </c>
      <c r="E625" s="133" t="s">
        <v>1440</v>
      </c>
      <c r="F625" s="133" t="s">
        <v>55</v>
      </c>
      <c r="G625" s="133" t="str">
        <f t="shared" si="57"/>
        <v>T123EXNA</v>
      </c>
      <c r="H625" s="133" t="s">
        <v>304</v>
      </c>
      <c r="I625" s="133"/>
      <c r="J625" s="133" t="s">
        <v>1401</v>
      </c>
      <c r="K625" s="134">
        <v>45692</v>
      </c>
      <c r="L625" s="135">
        <v>111</v>
      </c>
      <c r="M625" s="133" t="s">
        <v>858</v>
      </c>
      <c r="N625" s="136">
        <v>50</v>
      </c>
      <c r="O625" s="136">
        <v>0</v>
      </c>
      <c r="P625" s="136">
        <v>0</v>
      </c>
      <c r="Q625" s="137">
        <f>Table1[[#This Row],[number_of_unit]]*Table1[[#This Row],[net_weight_per_unit]]</f>
        <v>5550</v>
      </c>
      <c r="R625" s="133"/>
      <c r="S625" s="138">
        <v>45713.652083333334</v>
      </c>
      <c r="T625" s="133" t="s">
        <v>670</v>
      </c>
      <c r="U625" s="139" t="str">
        <f t="shared" si="54"/>
        <v>_extract_ingested_labelled</v>
      </c>
      <c r="V625" s="140" t="str">
        <f>IF(U625="_","",_xlfn.XLOOKUP(U625,internal_cansku_inventory!D:D,internal_cansku_inventory!E:E,"",0,1))</f>
        <v/>
      </c>
    </row>
    <row r="626" spans="1:22" ht="12.45" customHeight="1">
      <c r="A626" s="132">
        <v>556</v>
      </c>
      <c r="B626" s="132">
        <v>0</v>
      </c>
      <c r="C626" s="132" t="str">
        <f>Table1[[#This Row],[inventory_id_head]]&amp;"-"&amp;Table1[[#This Row],[inventory_id_tail]]</f>
        <v>556-0</v>
      </c>
      <c r="D626" s="133" t="s">
        <v>653</v>
      </c>
      <c r="E626" s="133" t="s">
        <v>1441</v>
      </c>
      <c r="F626" s="133" t="s">
        <v>655</v>
      </c>
      <c r="G626" s="133" t="str">
        <f t="shared" si="57"/>
        <v>P014EXNA</v>
      </c>
      <c r="H626" s="133" t="s">
        <v>1442</v>
      </c>
      <c r="I626" s="133"/>
      <c r="J626" s="133">
        <v>2024120901</v>
      </c>
      <c r="K626" s="134" t="s">
        <v>655</v>
      </c>
      <c r="L626" s="148">
        <v>1</v>
      </c>
      <c r="M626" s="133" t="s">
        <v>994</v>
      </c>
      <c r="N626" s="136">
        <f>Table1[[#This Row],[gross_weight]]-Table1[[#This Row],[tare_weight]]</f>
        <v>722.40000000000009</v>
      </c>
      <c r="O626" s="136">
        <v>1691.4</v>
      </c>
      <c r="P626" s="136">
        <v>969</v>
      </c>
      <c r="Q626" s="137">
        <f>L626*N626</f>
        <v>722.40000000000009</v>
      </c>
      <c r="R626" s="133"/>
      <c r="S626" s="138">
        <v>45713.684027777781</v>
      </c>
      <c r="T626" s="133" t="s">
        <v>978</v>
      </c>
      <c r="U626" s="139" t="str">
        <f t="shared" si="54"/>
        <v>_extract_distillate_bulk_Kalista</v>
      </c>
      <c r="V626" s="140" t="str">
        <f>IF(U626="_","",_xlfn.XLOOKUP(U626,internal_cansku_inventory!D:D,internal_cansku_inventory!E:E,"",0,1))</f>
        <v/>
      </c>
    </row>
    <row r="627" spans="1:22" ht="12.45" customHeight="1">
      <c r="A627" s="132">
        <v>637</v>
      </c>
      <c r="B627" s="132">
        <v>1</v>
      </c>
      <c r="C627" s="132" t="str">
        <f>Table1[[#This Row],[inventory_id_head]]&amp;"-"&amp;Table1[[#This Row],[inventory_id_tail]]</f>
        <v>637-1</v>
      </c>
      <c r="D627" s="133" t="s">
        <v>653</v>
      </c>
      <c r="E627" s="133" t="s">
        <v>1397</v>
      </c>
      <c r="F627" s="133" t="s">
        <v>55</v>
      </c>
      <c r="G627" s="133" t="str">
        <f t="shared" si="57"/>
        <v>T058PRNA</v>
      </c>
      <c r="H627" s="133" t="s">
        <v>308</v>
      </c>
      <c r="I627" s="133"/>
      <c r="J627" s="133" t="s">
        <v>1021</v>
      </c>
      <c r="K627" s="134">
        <v>45735</v>
      </c>
      <c r="L627" s="135">
        <v>72</v>
      </c>
      <c r="M627" s="133" t="s">
        <v>858</v>
      </c>
      <c r="N627" s="136">
        <v>1</v>
      </c>
      <c r="O627" s="136">
        <v>0</v>
      </c>
      <c r="P627" s="136">
        <v>0</v>
      </c>
      <c r="Q627" s="137">
        <f>Table1[[#This Row],[number_of_unit]]*Table1[[#This Row],[net_weight_per_unit]]</f>
        <v>72</v>
      </c>
      <c r="R627" s="133"/>
      <c r="S627" s="138">
        <v>45713.689583333333</v>
      </c>
      <c r="T627" s="133" t="s">
        <v>657</v>
      </c>
      <c r="U627" s="139" t="str">
        <f t="shared" si="54"/>
        <v>_preroll_labelled</v>
      </c>
      <c r="V627" s="140" t="str">
        <f>IF(U627="_","",_xlfn.XLOOKUP(U627,internal_cansku_inventory!D:D,internal_cansku_inventory!E:E,"",0,1))</f>
        <v/>
      </c>
    </row>
    <row r="628" spans="1:22" ht="12.45" customHeight="1">
      <c r="A628" s="154">
        <v>661</v>
      </c>
      <c r="B628" s="132">
        <v>0</v>
      </c>
      <c r="C628" s="154" t="str">
        <f>Table1[[#This Row],[inventory_id_head]]&amp;"-"&amp;Table1[[#This Row],[inventory_id_tail]]</f>
        <v>661-0</v>
      </c>
      <c r="D628" s="133" t="s">
        <v>653</v>
      </c>
      <c r="E628" s="133" t="s">
        <v>1443</v>
      </c>
      <c r="F628" s="133" t="s">
        <v>655</v>
      </c>
      <c r="G628" s="133" t="str">
        <f t="shared" si="57"/>
        <v>T063DFNA</v>
      </c>
      <c r="H628" s="133" t="s">
        <v>314</v>
      </c>
      <c r="I628" s="133"/>
      <c r="J628" s="133" t="s">
        <v>1444</v>
      </c>
      <c r="K628" s="134">
        <v>45707</v>
      </c>
      <c r="L628" s="135">
        <v>36</v>
      </c>
      <c r="M628" s="133" t="s">
        <v>858</v>
      </c>
      <c r="N628" s="136">
        <v>28</v>
      </c>
      <c r="O628" s="136">
        <v>0</v>
      </c>
      <c r="P628" s="136">
        <v>0</v>
      </c>
      <c r="Q628" s="137">
        <f>Table1[[#This Row],[number_of_unit]]*Table1[[#This Row],[net_weight_per_unit]]</f>
        <v>1008</v>
      </c>
      <c r="R628" s="133"/>
      <c r="S628" s="138">
        <v>45713.689583333333</v>
      </c>
      <c r="T628" s="133" t="s">
        <v>657</v>
      </c>
      <c r="U628" s="139" t="str">
        <f t="shared" si="54"/>
        <v>_driedflower_labelled</v>
      </c>
      <c r="V628" s="140" t="str">
        <f>IF(U628="_","",_xlfn.XLOOKUP(U628,internal_cansku_inventory!D:D,internal_cansku_inventory!E:E,"",0,1))</f>
        <v/>
      </c>
    </row>
    <row r="629" spans="1:22" ht="12.45" customHeight="1">
      <c r="A629" s="154">
        <v>662</v>
      </c>
      <c r="B629" s="132">
        <v>0</v>
      </c>
      <c r="C629" s="154" t="str">
        <f>Table1[[#This Row],[inventory_id_head]]&amp;"-"&amp;Table1[[#This Row],[inventory_id_tail]]</f>
        <v>662-0</v>
      </c>
      <c r="D629" s="133" t="s">
        <v>653</v>
      </c>
      <c r="E629" s="133" t="s">
        <v>1397</v>
      </c>
      <c r="F629" s="133" t="s">
        <v>655</v>
      </c>
      <c r="G629" s="133" t="str">
        <f t="shared" si="57"/>
        <v>T058PRNA</v>
      </c>
      <c r="H629" s="133" t="s">
        <v>1307</v>
      </c>
      <c r="I629" s="133"/>
      <c r="J629" s="133" t="s">
        <v>1021</v>
      </c>
      <c r="K629" s="134">
        <v>45685</v>
      </c>
      <c r="L629" s="135">
        <v>2</v>
      </c>
      <c r="M629" s="133" t="s">
        <v>683</v>
      </c>
      <c r="N629" s="136">
        <v>24</v>
      </c>
      <c r="O629" s="136">
        <v>0</v>
      </c>
      <c r="P629" s="136">
        <v>0</v>
      </c>
      <c r="Q629" s="137">
        <f>Table1[[#This Row],[number_of_unit]]*Table1[[#This Row],[net_weight_per_unit]]</f>
        <v>48</v>
      </c>
      <c r="R629" s="133"/>
      <c r="S629" s="138">
        <v>45713.689583333333</v>
      </c>
      <c r="T629" s="133" t="s">
        <v>657</v>
      </c>
      <c r="U629" s="139" t="str">
        <f t="shared" si="54"/>
        <v>_preroll_cased_MB</v>
      </c>
      <c r="V629" s="140" t="str">
        <f>IF(U629="_","",_xlfn.XLOOKUP(U629,internal_cansku_inventory!D:D,internal_cansku_inventory!E:E,"",0,1))</f>
        <v/>
      </c>
    </row>
    <row r="630" spans="1:22" ht="12.45" customHeight="1">
      <c r="A630" s="132">
        <v>663</v>
      </c>
      <c r="B630" s="132">
        <v>0</v>
      </c>
      <c r="C630" s="132" t="str">
        <f>Table1[[#This Row],[inventory_id_head]]&amp;"-"&amp;Table1[[#This Row],[inventory_id_tail]]</f>
        <v>663-0</v>
      </c>
      <c r="D630" s="133" t="s">
        <v>653</v>
      </c>
      <c r="E630" s="133" t="s">
        <v>1423</v>
      </c>
      <c r="F630" s="133" t="s">
        <v>655</v>
      </c>
      <c r="G630" s="133" t="str">
        <f t="shared" si="57"/>
        <v>T059PRNA</v>
      </c>
      <c r="H630" s="133" t="s">
        <v>368</v>
      </c>
      <c r="I630" s="133"/>
      <c r="J630" s="133" t="s">
        <v>1446</v>
      </c>
      <c r="K630" s="134" t="s">
        <v>655</v>
      </c>
      <c r="L630" s="135">
        <v>12</v>
      </c>
      <c r="M630" s="133" t="s">
        <v>858</v>
      </c>
      <c r="N630" s="136">
        <v>0.5</v>
      </c>
      <c r="O630" s="136">
        <v>0</v>
      </c>
      <c r="P630" s="136">
        <v>0</v>
      </c>
      <c r="Q630" s="137">
        <f>Table1[[#This Row],[number_of_unit]]*Table1[[#This Row],[net_weight_per_unit]]</f>
        <v>6</v>
      </c>
      <c r="R630" s="133"/>
      <c r="S630" s="138">
        <v>45713.689583333333</v>
      </c>
      <c r="T630" s="133" t="s">
        <v>657</v>
      </c>
      <c r="U630" s="139" t="str">
        <f t="shared" si="54"/>
        <v>_preroll_bulk</v>
      </c>
      <c r="V630" s="140" t="str">
        <f>IF(U630="_","",_xlfn.XLOOKUP(U630,internal_cansku_inventory!D:D,internal_cansku_inventory!E:E,"",0,1))</f>
        <v/>
      </c>
    </row>
    <row r="631" spans="1:22" ht="12.45" customHeight="1">
      <c r="A631" s="132">
        <v>666</v>
      </c>
      <c r="B631" s="132">
        <v>0</v>
      </c>
      <c r="C631" s="132" t="str">
        <f>Table1[[#This Row],[inventory_id_head]]&amp;"-"&amp;Table1[[#This Row],[inventory_id_tail]]</f>
        <v>666-0</v>
      </c>
      <c r="D631" s="133" t="s">
        <v>653</v>
      </c>
      <c r="E631" s="133" t="s">
        <v>1447</v>
      </c>
      <c r="F631" s="133" t="s">
        <v>655</v>
      </c>
      <c r="G631" s="133" t="str">
        <f t="shared" si="57"/>
        <v>T133EXNA</v>
      </c>
      <c r="H631" s="133" t="s">
        <v>452</v>
      </c>
      <c r="I631" s="133"/>
      <c r="J631" s="133" t="s">
        <v>1449</v>
      </c>
      <c r="K631" s="134">
        <v>44954</v>
      </c>
      <c r="L631" s="135">
        <v>126</v>
      </c>
      <c r="M631" s="133" t="s">
        <v>858</v>
      </c>
      <c r="N631" s="136">
        <v>27.8</v>
      </c>
      <c r="O631" s="136">
        <v>0</v>
      </c>
      <c r="P631" s="136">
        <v>0</v>
      </c>
      <c r="Q631" s="137">
        <f>Table1[[#This Row],[number_of_unit]]*Table1[[#This Row],[net_weight_per_unit]]</f>
        <v>3502.8</v>
      </c>
      <c r="R631" s="133"/>
      <c r="S631" s="138">
        <v>45713.689583333333</v>
      </c>
      <c r="T631" s="133" t="s">
        <v>657</v>
      </c>
      <c r="U631" s="139" t="str">
        <f t="shared" si="54"/>
        <v>_extract_ingested_labelled_WT</v>
      </c>
      <c r="V631" s="140" t="str">
        <f>IF(U631="_","",_xlfn.XLOOKUP(U631,internal_cansku_inventory!D:D,internal_cansku_inventory!E:E,"",0,1))</f>
        <v/>
      </c>
    </row>
    <row r="632" spans="1:22" ht="12.45" customHeight="1">
      <c r="A632" s="154">
        <v>667</v>
      </c>
      <c r="B632" s="132">
        <v>0</v>
      </c>
      <c r="C632" s="154" t="str">
        <f>Table1[[#This Row],[inventory_id_head]]&amp;"-"&amp;Table1[[#This Row],[inventory_id_tail]]</f>
        <v>667-0</v>
      </c>
      <c r="D632" s="133" t="s">
        <v>653</v>
      </c>
      <c r="E632" s="133" t="s">
        <v>1450</v>
      </c>
      <c r="F632" s="133" t="s">
        <v>655</v>
      </c>
      <c r="G632" s="133" t="str">
        <f t="shared" si="57"/>
        <v>T134EXNA</v>
      </c>
      <c r="H632" s="133" t="s">
        <v>409</v>
      </c>
      <c r="I632" s="133"/>
      <c r="J632" s="133" t="s">
        <v>1452</v>
      </c>
      <c r="K632" s="134">
        <v>45702</v>
      </c>
      <c r="L632" s="135">
        <v>546</v>
      </c>
      <c r="M632" s="133" t="s">
        <v>858</v>
      </c>
      <c r="N632" s="136">
        <v>0.5</v>
      </c>
      <c r="O632" s="136">
        <v>0</v>
      </c>
      <c r="P632" s="136">
        <v>0</v>
      </c>
      <c r="Q632" s="137">
        <f>Table1[[#This Row],[number_of_unit]]*Table1[[#This Row],[net_weight_per_unit]]</f>
        <v>273</v>
      </c>
      <c r="R632" s="133"/>
      <c r="S632" s="138">
        <v>45713.689583333333</v>
      </c>
      <c r="T632" s="133" t="s">
        <v>657</v>
      </c>
      <c r="U632" s="139" t="str">
        <f t="shared" si="54"/>
        <v>_extract_inhaled_packaged</v>
      </c>
      <c r="V632" s="140" t="str">
        <f>IF(U632="_","",_xlfn.XLOOKUP(U632,internal_cansku_inventory!D:D,internal_cansku_inventory!E:E,"",0,1))</f>
        <v/>
      </c>
    </row>
    <row r="633" spans="1:22" ht="12.45" customHeight="1">
      <c r="A633" s="154">
        <v>668</v>
      </c>
      <c r="B633" s="132">
        <v>0</v>
      </c>
      <c r="C633" s="154" t="str">
        <f>Table1[[#This Row],[inventory_id_head]]&amp;"-"&amp;Table1[[#This Row],[inventory_id_tail]]</f>
        <v>668-0</v>
      </c>
      <c r="D633" s="133" t="s">
        <v>653</v>
      </c>
      <c r="E633" s="133" t="s">
        <v>1453</v>
      </c>
      <c r="F633" s="133" t="s">
        <v>655</v>
      </c>
      <c r="G633" s="133" t="str">
        <f t="shared" si="57"/>
        <v>T135EXNA</v>
      </c>
      <c r="H633" s="133" t="s">
        <v>457</v>
      </c>
      <c r="I633" s="133"/>
      <c r="J633" s="133" t="s">
        <v>1455</v>
      </c>
      <c r="K633" s="134">
        <v>45179</v>
      </c>
      <c r="L633" s="135">
        <v>21</v>
      </c>
      <c r="M633" s="133" t="s">
        <v>858</v>
      </c>
      <c r="N633" s="136">
        <v>1</v>
      </c>
      <c r="O633" s="136">
        <v>0</v>
      </c>
      <c r="P633" s="136">
        <v>0</v>
      </c>
      <c r="Q633" s="137">
        <f>Table1[[#This Row],[number_of_unit]]*Table1[[#This Row],[net_weight_per_unit]]</f>
        <v>21</v>
      </c>
      <c r="R633" s="133"/>
      <c r="S633" s="138">
        <v>45714.49722222222</v>
      </c>
      <c r="T633" s="133" t="s">
        <v>657</v>
      </c>
      <c r="U633" s="139" t="str">
        <f t="shared" si="54"/>
        <v>_extract_inhaled_labelled_WT</v>
      </c>
      <c r="V633" s="140" t="str">
        <f>IF(U633="_","",_xlfn.XLOOKUP(U633,internal_cansku_inventory!D:D,internal_cansku_inventory!E:E,"",0,1))</f>
        <v/>
      </c>
    </row>
    <row r="634" spans="1:22" ht="12.45" customHeight="1">
      <c r="A634" s="132">
        <v>669</v>
      </c>
      <c r="B634" s="132">
        <v>0</v>
      </c>
      <c r="C634" s="132" t="str">
        <f>Table1[[#This Row],[inventory_id_head]]&amp;"-"&amp;Table1[[#This Row],[inventory_id_tail]]</f>
        <v>669-0</v>
      </c>
      <c r="D634" s="133" t="s">
        <v>653</v>
      </c>
      <c r="E634" s="133" t="s">
        <v>1456</v>
      </c>
      <c r="F634" s="133" t="s">
        <v>655</v>
      </c>
      <c r="G634" s="133" t="str">
        <f t="shared" si="57"/>
        <v>T136EXNA</v>
      </c>
      <c r="H634" s="133" t="s">
        <v>457</v>
      </c>
      <c r="I634" s="133"/>
      <c r="J634" s="133" t="s">
        <v>1457</v>
      </c>
      <c r="K634" s="134">
        <v>44713</v>
      </c>
      <c r="L634" s="135">
        <v>35</v>
      </c>
      <c r="M634" s="133" t="s">
        <v>858</v>
      </c>
      <c r="N634" s="136">
        <v>1</v>
      </c>
      <c r="O634" s="136">
        <v>0</v>
      </c>
      <c r="P634" s="136">
        <v>0</v>
      </c>
      <c r="Q634" s="137">
        <f>Table1[[#This Row],[number_of_unit]]*Table1[[#This Row],[net_weight_per_unit]]</f>
        <v>35</v>
      </c>
      <c r="R634" s="133"/>
      <c r="S634" s="138">
        <v>45714.499305555553</v>
      </c>
      <c r="T634" s="133" t="s">
        <v>657</v>
      </c>
      <c r="U634" s="139" t="str">
        <f t="shared" si="54"/>
        <v>_extract_inhaled_labelled_WT</v>
      </c>
      <c r="V634" s="140" t="str">
        <f>IF(U634="_","",_xlfn.XLOOKUP(U634,internal_cansku_inventory!D:D,internal_cansku_inventory!E:E,"",0,1))</f>
        <v/>
      </c>
    </row>
    <row r="635" spans="1:22" ht="12.45" customHeight="1">
      <c r="A635" s="132">
        <v>670</v>
      </c>
      <c r="B635" s="132">
        <v>0</v>
      </c>
      <c r="C635" s="132" t="str">
        <f>Table1[[#This Row],[inventory_id_head]]&amp;"-"&amp;Table1[[#This Row],[inventory_id_tail]]</f>
        <v>670-0</v>
      </c>
      <c r="D635" s="133" t="s">
        <v>653</v>
      </c>
      <c r="E635" s="133" t="s">
        <v>1458</v>
      </c>
      <c r="F635" s="133" t="s">
        <v>655</v>
      </c>
      <c r="G635" s="133" t="str">
        <f t="shared" si="57"/>
        <v>T137EXNA</v>
      </c>
      <c r="H635" s="133" t="s">
        <v>457</v>
      </c>
      <c r="I635" s="133"/>
      <c r="J635" s="133" t="s">
        <v>1459</v>
      </c>
      <c r="K635" s="134">
        <v>44601</v>
      </c>
      <c r="L635" s="135">
        <v>72</v>
      </c>
      <c r="M635" s="133" t="s">
        <v>858</v>
      </c>
      <c r="N635" s="136">
        <v>1</v>
      </c>
      <c r="O635" s="136">
        <v>0</v>
      </c>
      <c r="P635" s="136">
        <v>0</v>
      </c>
      <c r="Q635" s="137">
        <f>Table1[[#This Row],[number_of_unit]]*Table1[[#This Row],[net_weight_per_unit]]</f>
        <v>72</v>
      </c>
      <c r="R635" s="133"/>
      <c r="S635" s="138">
        <v>45714.499305555553</v>
      </c>
      <c r="T635" s="133" t="s">
        <v>657</v>
      </c>
      <c r="U635" s="139" t="str">
        <f t="shared" si="54"/>
        <v>_extract_inhaled_labelled_WT</v>
      </c>
      <c r="V635" s="140" t="str">
        <f>IF(U635="_","",_xlfn.XLOOKUP(U635,internal_cansku_inventory!D:D,internal_cansku_inventory!E:E,"",0,1))</f>
        <v/>
      </c>
    </row>
    <row r="636" spans="1:22" ht="12.45" customHeight="1">
      <c r="A636" s="154">
        <v>671</v>
      </c>
      <c r="B636" s="132">
        <v>0</v>
      </c>
      <c r="C636" s="154" t="str">
        <f>Table1[[#This Row],[inventory_id_head]]&amp;"-"&amp;Table1[[#This Row],[inventory_id_tail]]</f>
        <v>671-0</v>
      </c>
      <c r="D636" s="133" t="s">
        <v>653</v>
      </c>
      <c r="E636" s="133" t="s">
        <v>1460</v>
      </c>
      <c r="F636" s="133" t="s">
        <v>655</v>
      </c>
      <c r="G636" s="133" t="str">
        <f t="shared" si="57"/>
        <v>T138EXNA</v>
      </c>
      <c r="H636" s="133" t="s">
        <v>457</v>
      </c>
      <c r="I636" s="133"/>
      <c r="J636" s="133" t="s">
        <v>1462</v>
      </c>
      <c r="K636" s="134">
        <v>44879</v>
      </c>
      <c r="L636" s="135">
        <v>410</v>
      </c>
      <c r="M636" s="133" t="s">
        <v>858</v>
      </c>
      <c r="N636" s="136">
        <v>1</v>
      </c>
      <c r="O636" s="136">
        <v>0</v>
      </c>
      <c r="P636" s="136">
        <v>0</v>
      </c>
      <c r="Q636" s="137">
        <f>Table1[[#This Row],[number_of_unit]]*Table1[[#This Row],[net_weight_per_unit]]</f>
        <v>410</v>
      </c>
      <c r="R636" s="133"/>
      <c r="S636" s="138">
        <v>45714.499305555553</v>
      </c>
      <c r="T636" s="133" t="s">
        <v>657</v>
      </c>
      <c r="U636" s="139" t="str">
        <f t="shared" si="54"/>
        <v>_extract_inhaled_labelled_WT</v>
      </c>
      <c r="V636" s="140" t="str">
        <f>IF(U636="_","",_xlfn.XLOOKUP(U636,internal_cansku_inventory!D:D,internal_cansku_inventory!E:E,"",0,1))</f>
        <v/>
      </c>
    </row>
    <row r="637" spans="1:22" ht="12.45" customHeight="1">
      <c r="A637" s="154">
        <v>672</v>
      </c>
      <c r="B637" s="132">
        <v>0</v>
      </c>
      <c r="C637" s="154" t="str">
        <f>Table1[[#This Row],[inventory_id_head]]&amp;"-"&amp;Table1[[#This Row],[inventory_id_tail]]</f>
        <v>672-0</v>
      </c>
      <c r="D637" s="133" t="s">
        <v>653</v>
      </c>
      <c r="E637" s="133" t="s">
        <v>1463</v>
      </c>
      <c r="F637" s="133" t="s">
        <v>655</v>
      </c>
      <c r="G637" s="133" t="str">
        <f t="shared" si="57"/>
        <v>T139EXNA</v>
      </c>
      <c r="H637" s="133" t="s">
        <v>457</v>
      </c>
      <c r="I637" s="133"/>
      <c r="J637" s="133" t="s">
        <v>1465</v>
      </c>
      <c r="K637" s="134">
        <v>44886</v>
      </c>
      <c r="L637" s="135">
        <v>166</v>
      </c>
      <c r="M637" s="133" t="s">
        <v>858</v>
      </c>
      <c r="N637" s="136">
        <v>1</v>
      </c>
      <c r="O637" s="136">
        <v>0</v>
      </c>
      <c r="P637" s="136">
        <v>0</v>
      </c>
      <c r="Q637" s="137">
        <f>Table1[[#This Row],[number_of_unit]]*Table1[[#This Row],[net_weight_per_unit]]</f>
        <v>166</v>
      </c>
      <c r="R637" s="133"/>
      <c r="S637" s="138">
        <v>45714.499305555553</v>
      </c>
      <c r="T637" s="133" t="s">
        <v>657</v>
      </c>
      <c r="U637" s="139" t="str">
        <f t="shared" si="54"/>
        <v>_extract_inhaled_labelled_WT</v>
      </c>
      <c r="V637" s="140" t="str">
        <f>IF(U637="_","",_xlfn.XLOOKUP(U637,internal_cansku_inventory!D:D,internal_cansku_inventory!E:E,"",0,1))</f>
        <v/>
      </c>
    </row>
    <row r="638" spans="1:22" ht="12.45" customHeight="1">
      <c r="A638" s="132">
        <v>673</v>
      </c>
      <c r="B638" s="132">
        <v>0</v>
      </c>
      <c r="C638" s="132" t="str">
        <f>Table1[[#This Row],[inventory_id_head]]&amp;"-"&amp;Table1[[#This Row],[inventory_id_tail]]</f>
        <v>673-0</v>
      </c>
      <c r="D638" s="133" t="s">
        <v>653</v>
      </c>
      <c r="E638" s="133" t="s">
        <v>1466</v>
      </c>
      <c r="F638" s="133" t="s">
        <v>655</v>
      </c>
      <c r="G638" s="133" t="str">
        <f t="shared" si="57"/>
        <v>T140EXNA</v>
      </c>
      <c r="H638" s="133" t="s">
        <v>457</v>
      </c>
      <c r="I638" s="133"/>
      <c r="J638" s="133" t="s">
        <v>1468</v>
      </c>
      <c r="K638" s="134">
        <v>44510</v>
      </c>
      <c r="L638" s="135">
        <v>126</v>
      </c>
      <c r="M638" s="133" t="s">
        <v>858</v>
      </c>
      <c r="N638" s="136">
        <v>1</v>
      </c>
      <c r="O638" s="136">
        <v>0</v>
      </c>
      <c r="P638" s="136">
        <v>0</v>
      </c>
      <c r="Q638" s="137">
        <f>Table1[[#This Row],[number_of_unit]]*Table1[[#This Row],[net_weight_per_unit]]</f>
        <v>126</v>
      </c>
      <c r="R638" s="133"/>
      <c r="S638" s="138">
        <v>45714.499305555553</v>
      </c>
      <c r="T638" s="133" t="s">
        <v>657</v>
      </c>
      <c r="U638" s="139" t="str">
        <f t="shared" si="54"/>
        <v>_extract_inhaled_labelled_WT</v>
      </c>
      <c r="V638" s="140" t="str">
        <f>IF(U638="_","",_xlfn.XLOOKUP(U638,internal_cansku_inventory!D:D,internal_cansku_inventory!E:E,"",0,1))</f>
        <v/>
      </c>
    </row>
    <row r="639" spans="1:22" ht="12.45" customHeight="1">
      <c r="A639" s="132">
        <v>674</v>
      </c>
      <c r="B639" s="132">
        <v>0</v>
      </c>
      <c r="C639" s="132" t="str">
        <f>Table1[[#This Row],[inventory_id_head]]&amp;"-"&amp;Table1[[#This Row],[inventory_id_tail]]</f>
        <v>674-0</v>
      </c>
      <c r="D639" s="133" t="s">
        <v>653</v>
      </c>
      <c r="E639" s="133" t="s">
        <v>1469</v>
      </c>
      <c r="F639" s="133" t="s">
        <v>655</v>
      </c>
      <c r="G639" s="133" t="str">
        <f t="shared" si="57"/>
        <v>T141EXNA</v>
      </c>
      <c r="H639" s="133" t="s">
        <v>457</v>
      </c>
      <c r="I639" s="133"/>
      <c r="J639" s="133" t="s">
        <v>1471</v>
      </c>
      <c r="K639" s="134">
        <v>45543</v>
      </c>
      <c r="L639" s="135">
        <v>279</v>
      </c>
      <c r="M639" s="133" t="s">
        <v>858</v>
      </c>
      <c r="N639" s="136">
        <v>1</v>
      </c>
      <c r="O639" s="136">
        <v>0</v>
      </c>
      <c r="P639" s="136">
        <v>0</v>
      </c>
      <c r="Q639" s="137">
        <f>Table1[[#This Row],[number_of_unit]]*Table1[[#This Row],[net_weight_per_unit]]</f>
        <v>279</v>
      </c>
      <c r="R639" s="133"/>
      <c r="S639" s="138">
        <v>45714.499305555553</v>
      </c>
      <c r="T639" s="133" t="s">
        <v>657</v>
      </c>
      <c r="U639" s="139" t="str">
        <f t="shared" si="54"/>
        <v>_extract_inhaled_labelled_WT</v>
      </c>
      <c r="V639" s="140" t="str">
        <f>IF(U639="_","",_xlfn.XLOOKUP(U639,internal_cansku_inventory!D:D,internal_cansku_inventory!E:E,"",0,1))</f>
        <v/>
      </c>
    </row>
    <row r="640" spans="1:22" ht="12.45" customHeight="1">
      <c r="A640" s="154">
        <v>675</v>
      </c>
      <c r="B640" s="132">
        <v>0</v>
      </c>
      <c r="C640" s="154" t="str">
        <f>Table1[[#This Row],[inventory_id_head]]&amp;"-"&amp;Table1[[#This Row],[inventory_id_tail]]</f>
        <v>675-0</v>
      </c>
      <c r="D640" s="133" t="s">
        <v>653</v>
      </c>
      <c r="E640" s="133" t="s">
        <v>1472</v>
      </c>
      <c r="F640" s="133" t="s">
        <v>655</v>
      </c>
      <c r="G640" s="133" t="str">
        <f t="shared" si="57"/>
        <v>T142EXNA</v>
      </c>
      <c r="H640" s="133" t="s">
        <v>452</v>
      </c>
      <c r="I640" s="133"/>
      <c r="J640" s="133" t="s">
        <v>1473</v>
      </c>
      <c r="K640" s="134">
        <v>44907</v>
      </c>
      <c r="L640" s="135">
        <v>126</v>
      </c>
      <c r="M640" s="133" t="s">
        <v>858</v>
      </c>
      <c r="N640" s="136">
        <v>1</v>
      </c>
      <c r="O640" s="136">
        <v>0</v>
      </c>
      <c r="P640" s="136">
        <v>0</v>
      </c>
      <c r="Q640" s="137">
        <f>Table1[[#This Row],[number_of_unit]]*Table1[[#This Row],[net_weight_per_unit]]</f>
        <v>126</v>
      </c>
      <c r="R640" s="133"/>
      <c r="S640" s="138">
        <v>45714.499305555553</v>
      </c>
      <c r="T640" s="133" t="s">
        <v>657</v>
      </c>
      <c r="U640" s="139" t="str">
        <f t="shared" si="54"/>
        <v>_extract_ingested_labelled_WT</v>
      </c>
      <c r="V640" s="140" t="str">
        <f>IF(U640="_","",_xlfn.XLOOKUP(U640,internal_cansku_inventory!D:D,internal_cansku_inventory!E:E,"",0,1))</f>
        <v/>
      </c>
    </row>
    <row r="641" spans="1:22" ht="12.45" customHeight="1">
      <c r="A641" s="154">
        <v>676</v>
      </c>
      <c r="B641" s="132">
        <v>0</v>
      </c>
      <c r="C641" s="154" t="str">
        <f>Table1[[#This Row],[inventory_id_head]]&amp;"-"&amp;Table1[[#This Row],[inventory_id_tail]]</f>
        <v>676-0</v>
      </c>
      <c r="D641" s="133" t="s">
        <v>653</v>
      </c>
      <c r="E641" s="133" t="s">
        <v>1474</v>
      </c>
      <c r="F641" s="133" t="s">
        <v>655</v>
      </c>
      <c r="G641" s="133" t="str">
        <f t="shared" si="57"/>
        <v>T143EXNA</v>
      </c>
      <c r="H641" s="133" t="s">
        <v>457</v>
      </c>
      <c r="I641" s="133"/>
      <c r="J641" s="133" t="s">
        <v>1476</v>
      </c>
      <c r="K641" s="134">
        <v>45689</v>
      </c>
      <c r="L641" s="135">
        <v>123</v>
      </c>
      <c r="M641" s="133" t="s">
        <v>858</v>
      </c>
      <c r="N641" s="136">
        <v>1</v>
      </c>
      <c r="O641" s="136">
        <v>0</v>
      </c>
      <c r="P641" s="136">
        <v>0</v>
      </c>
      <c r="Q641" s="137">
        <f>Table1[[#This Row],[number_of_unit]]*Table1[[#This Row],[net_weight_per_unit]]</f>
        <v>123</v>
      </c>
      <c r="R641" s="133"/>
      <c r="S641" s="138">
        <v>45714.499305555553</v>
      </c>
      <c r="T641" s="133" t="s">
        <v>657</v>
      </c>
      <c r="U641" s="139" t="str">
        <f t="shared" si="54"/>
        <v>_extract_inhaled_labelled_WT</v>
      </c>
      <c r="V641" s="140" t="str">
        <f>IF(U641="_","",_xlfn.XLOOKUP(U641,internal_cansku_inventory!D:D,internal_cansku_inventory!E:E,"",0,1))</f>
        <v/>
      </c>
    </row>
    <row r="642" spans="1:22" ht="12.45" customHeight="1">
      <c r="A642" s="132">
        <v>678</v>
      </c>
      <c r="B642" s="132">
        <v>0</v>
      </c>
      <c r="C642" s="132" t="str">
        <f>Table1[[#This Row],[inventory_id_head]]&amp;"-"&amp;Table1[[#This Row],[inventory_id_tail]]</f>
        <v>678-0</v>
      </c>
      <c r="D642" s="133" t="s">
        <v>653</v>
      </c>
      <c r="E642" s="133" t="s">
        <v>1477</v>
      </c>
      <c r="F642" s="133" t="s">
        <v>1478</v>
      </c>
      <c r="G642" s="133" t="str">
        <f t="shared" si="57"/>
        <v>T064DFB002IF</v>
      </c>
      <c r="H642" s="133" t="s">
        <v>1479</v>
      </c>
      <c r="I642" s="133"/>
      <c r="J642" s="133">
        <v>2025021303</v>
      </c>
      <c r="K642" s="134" t="s">
        <v>655</v>
      </c>
      <c r="L642" s="135">
        <v>1</v>
      </c>
      <c r="M642" s="133" t="s">
        <v>1012</v>
      </c>
      <c r="N642" s="136">
        <f>Table1[[#This Row],[gross_weight]]-Table1[[#This Row],[tare_weight]]</f>
        <v>835</v>
      </c>
      <c r="O642" s="136">
        <v>865</v>
      </c>
      <c r="P642" s="136">
        <f>865-835</f>
        <v>30</v>
      </c>
      <c r="Q642" s="137">
        <f>Table1[[#This Row],[number_of_unit]]*Table1[[#This Row],[net_weight_per_unit]]</f>
        <v>835</v>
      </c>
      <c r="R642" s="133"/>
      <c r="S642" s="138">
        <v>45714.649305555555</v>
      </c>
      <c r="T642" s="133" t="s">
        <v>978</v>
      </c>
      <c r="U642" s="139" t="str">
        <f t="shared" si="54"/>
        <v>_infusedflower_bulk</v>
      </c>
      <c r="V642" s="140" t="str">
        <f>IF(U642="_","",_xlfn.XLOOKUP(U642,internal_cansku_inventory!D:D,internal_cansku_inventory!E:E,"",0,1))</f>
        <v/>
      </c>
    </row>
    <row r="643" spans="1:22" ht="12.45" customHeight="1">
      <c r="A643" s="132">
        <v>679</v>
      </c>
      <c r="B643" s="132">
        <v>0</v>
      </c>
      <c r="C643" s="132" t="str">
        <f>Table1[[#This Row],[inventory_id_head]]&amp;"-"&amp;Table1[[#This Row],[inventory_id_tail]]</f>
        <v>679-0</v>
      </c>
      <c r="D643" s="133" t="s">
        <v>653</v>
      </c>
      <c r="E643" s="133" t="s">
        <v>1477</v>
      </c>
      <c r="F643" s="133" t="s">
        <v>1480</v>
      </c>
      <c r="G643" s="133" t="str">
        <f t="shared" si="57"/>
        <v>T064DFB003IF</v>
      </c>
      <c r="H643" s="133" t="s">
        <v>1479</v>
      </c>
      <c r="I643" s="133"/>
      <c r="J643" s="133">
        <v>2025021303</v>
      </c>
      <c r="K643" s="134" t="s">
        <v>655</v>
      </c>
      <c r="L643" s="135">
        <v>1</v>
      </c>
      <c r="M643" s="133" t="s">
        <v>1012</v>
      </c>
      <c r="N643" s="136">
        <f>Table1[[#This Row],[gross_weight]]-Table1[[#This Row],[tare_weight]]</f>
        <v>899</v>
      </c>
      <c r="O643" s="136">
        <v>930</v>
      </c>
      <c r="P643" s="136">
        <f>930-899</f>
        <v>31</v>
      </c>
      <c r="Q643" s="137">
        <f>Table1[[#This Row],[number_of_unit]]*Table1[[#This Row],[net_weight_per_unit]]</f>
        <v>899</v>
      </c>
      <c r="R643" s="133"/>
      <c r="S643" s="138">
        <v>45714.649305555555</v>
      </c>
      <c r="T643" s="133" t="s">
        <v>978</v>
      </c>
      <c r="U643" s="139" t="str">
        <f t="shared" si="54"/>
        <v>_infusedflower_bulk</v>
      </c>
      <c r="V643" s="140" t="str">
        <f>IF(U643="_","",_xlfn.XLOOKUP(U643,internal_cansku_inventory!D:D,internal_cansku_inventory!E:E,"",0,1))</f>
        <v/>
      </c>
    </row>
    <row r="644" spans="1:22" ht="12.45" customHeight="1">
      <c r="A644" s="154">
        <v>680</v>
      </c>
      <c r="B644" s="132">
        <v>0</v>
      </c>
      <c r="C644" s="154" t="str">
        <f>Table1[[#This Row],[inventory_id_head]]&amp;"-"&amp;Table1[[#This Row],[inventory_id_tail]]</f>
        <v>680-0</v>
      </c>
      <c r="D644" s="133" t="s">
        <v>653</v>
      </c>
      <c r="E644" s="133" t="s">
        <v>1481</v>
      </c>
      <c r="F644" s="133" t="s">
        <v>1482</v>
      </c>
      <c r="G644" s="133" t="str">
        <f t="shared" si="57"/>
        <v>T065DFB101DF</v>
      </c>
      <c r="H644" s="133" t="s">
        <v>365</v>
      </c>
      <c r="I644" s="133"/>
      <c r="J644" s="133">
        <v>2025021301</v>
      </c>
      <c r="K644" s="134" t="s">
        <v>655</v>
      </c>
      <c r="L644" s="135">
        <v>1</v>
      </c>
      <c r="M644" s="133" t="s">
        <v>1012</v>
      </c>
      <c r="N644" s="136">
        <f>Table1[[#This Row],[gross_weight]]-Table1[[#This Row],[tare_weight]]</f>
        <v>587.5</v>
      </c>
      <c r="O644" s="136">
        <v>620</v>
      </c>
      <c r="P644" s="136">
        <v>32.5</v>
      </c>
      <c r="Q644" s="137">
        <f>Table1[[#This Row],[number_of_unit]]*Table1[[#This Row],[net_weight_per_unit]]</f>
        <v>587.5</v>
      </c>
      <c r="R644" s="133"/>
      <c r="S644" s="138">
        <v>45714.649305555555</v>
      </c>
      <c r="T644" s="133" t="s">
        <v>978</v>
      </c>
      <c r="U644" s="139" t="str">
        <f t="shared" si="54"/>
        <v>_driedflower_bulk</v>
      </c>
      <c r="V644" s="140" t="str">
        <f>IF(U644="_","",_xlfn.XLOOKUP(U644,internal_cansku_inventory!D:D,internal_cansku_inventory!E:E,"",0,1))</f>
        <v/>
      </c>
    </row>
    <row r="645" spans="1:22" ht="12.45" customHeight="1">
      <c r="A645" s="154">
        <v>681</v>
      </c>
      <c r="B645" s="132">
        <v>0</v>
      </c>
      <c r="C645" s="154" t="str">
        <f>Table1[[#This Row],[inventory_id_head]]&amp;"-"&amp;Table1[[#This Row],[inventory_id_tail]]</f>
        <v>681-0</v>
      </c>
      <c r="D645" s="133" t="s">
        <v>653</v>
      </c>
      <c r="E645" s="133" t="s">
        <v>1481</v>
      </c>
      <c r="F645" s="133" t="s">
        <v>1484</v>
      </c>
      <c r="G645" s="133" t="str">
        <f t="shared" si="57"/>
        <v>T065DFB102DF</v>
      </c>
      <c r="H645" s="133" t="s">
        <v>365</v>
      </c>
      <c r="I645" s="133"/>
      <c r="J645" s="133">
        <v>2025021301</v>
      </c>
      <c r="K645" s="134" t="s">
        <v>655</v>
      </c>
      <c r="L645" s="135">
        <v>1</v>
      </c>
      <c r="M645" s="133" t="s">
        <v>1012</v>
      </c>
      <c r="N645" s="136">
        <f>Table1[[#This Row],[gross_weight]]-Table1[[#This Row],[tare_weight]]</f>
        <v>592.29999999999995</v>
      </c>
      <c r="O645" s="136">
        <v>625</v>
      </c>
      <c r="P645" s="136">
        <v>32.700000000000003</v>
      </c>
      <c r="Q645" s="137">
        <f>Table1[[#This Row],[number_of_unit]]*Table1[[#This Row],[net_weight_per_unit]]</f>
        <v>592.29999999999995</v>
      </c>
      <c r="R645" s="133"/>
      <c r="S645" s="138">
        <v>45714.649305555555</v>
      </c>
      <c r="T645" s="133" t="s">
        <v>978</v>
      </c>
      <c r="U645" s="139" t="str">
        <f t="shared" si="54"/>
        <v>_driedflower_bulk</v>
      </c>
      <c r="V645" s="140" t="str">
        <f>IF(U645="_","",_xlfn.XLOOKUP(U645,internal_cansku_inventory!D:D,internal_cansku_inventory!E:E,"",0,1))</f>
        <v/>
      </c>
    </row>
    <row r="646" spans="1:22" ht="12.45" customHeight="1">
      <c r="A646" s="132">
        <v>682</v>
      </c>
      <c r="B646" s="132">
        <v>0</v>
      </c>
      <c r="C646" s="132" t="str">
        <f>Table1[[#This Row],[inventory_id_head]]&amp;"-"&amp;Table1[[#This Row],[inventory_id_tail]]</f>
        <v>682-0</v>
      </c>
      <c r="D646" s="133" t="s">
        <v>653</v>
      </c>
      <c r="E646" s="133" t="s">
        <v>1481</v>
      </c>
      <c r="F646" s="133" t="s">
        <v>1485</v>
      </c>
      <c r="G646" s="133" t="str">
        <f t="shared" si="57"/>
        <v>T065DFB103DF</v>
      </c>
      <c r="H646" s="133" t="s">
        <v>365</v>
      </c>
      <c r="I646" s="133"/>
      <c r="J646" s="133">
        <v>2025021301</v>
      </c>
      <c r="K646" s="134" t="s">
        <v>655</v>
      </c>
      <c r="L646" s="135">
        <v>1</v>
      </c>
      <c r="M646" s="133" t="s">
        <v>1012</v>
      </c>
      <c r="N646" s="136">
        <f>Table1[[#This Row],[gross_weight]]-Table1[[#This Row],[tare_weight]]</f>
        <v>592.5</v>
      </c>
      <c r="O646" s="136">
        <v>625</v>
      </c>
      <c r="P646" s="136">
        <v>32.5</v>
      </c>
      <c r="Q646" s="137">
        <f>Table1[[#This Row],[number_of_unit]]*Table1[[#This Row],[net_weight_per_unit]]</f>
        <v>592.5</v>
      </c>
      <c r="R646" s="133"/>
      <c r="S646" s="138">
        <v>45714.649305555555</v>
      </c>
      <c r="T646" s="133" t="s">
        <v>978</v>
      </c>
      <c r="U646" s="139" t="str">
        <f t="shared" ref="U646:U709" si="58">I646&amp;"_"&amp;H646</f>
        <v>_driedflower_bulk</v>
      </c>
      <c r="V646" s="140" t="str">
        <f>IF(U646="_","",_xlfn.XLOOKUP(U646,internal_cansku_inventory!D:D,internal_cansku_inventory!E:E,"",0,1))</f>
        <v/>
      </c>
    </row>
    <row r="647" spans="1:22" ht="12.45" customHeight="1">
      <c r="A647" s="132">
        <v>684</v>
      </c>
      <c r="B647" s="132">
        <v>0</v>
      </c>
      <c r="C647" s="132" t="str">
        <f>Table1[[#This Row],[inventory_id_head]]&amp;"-"&amp;Table1[[#This Row],[inventory_id_tail]]</f>
        <v>684-0</v>
      </c>
      <c r="D647" s="133" t="s">
        <v>653</v>
      </c>
      <c r="E647" s="133" t="s">
        <v>1481</v>
      </c>
      <c r="F647" s="133" t="s">
        <v>1486</v>
      </c>
      <c r="G647" s="133" t="str">
        <f t="shared" si="57"/>
        <v>T065DFB105DF</v>
      </c>
      <c r="H647" s="133" t="s">
        <v>365</v>
      </c>
      <c r="I647" s="133"/>
      <c r="J647" s="133">
        <v>2025021301</v>
      </c>
      <c r="K647" s="134" t="s">
        <v>655</v>
      </c>
      <c r="L647" s="135">
        <v>1</v>
      </c>
      <c r="M647" s="133" t="s">
        <v>1012</v>
      </c>
      <c r="N647" s="136">
        <f>Table1[[#This Row],[gross_weight]]-Table1[[#This Row],[tare_weight]]</f>
        <v>627.5</v>
      </c>
      <c r="O647" s="136">
        <v>660</v>
      </c>
      <c r="P647" s="136">
        <v>32.5</v>
      </c>
      <c r="Q647" s="137">
        <f>Table1[[#This Row],[number_of_unit]]*Table1[[#This Row],[net_weight_per_unit]]</f>
        <v>627.5</v>
      </c>
      <c r="R647" s="133" t="s">
        <v>1487</v>
      </c>
      <c r="S647" s="138">
        <v>45714.649305555555</v>
      </c>
      <c r="T647" s="133" t="s">
        <v>978</v>
      </c>
      <c r="U647" s="139" t="str">
        <f t="shared" si="58"/>
        <v>_driedflower_bulk</v>
      </c>
      <c r="V647" s="140" t="str">
        <f>IF(U647="_","",_xlfn.XLOOKUP(U647,internal_cansku_inventory!D:D,internal_cansku_inventory!E:E,"",0,1))</f>
        <v/>
      </c>
    </row>
    <row r="648" spans="1:22" ht="12.45" customHeight="1">
      <c r="A648" s="154">
        <v>685</v>
      </c>
      <c r="B648" s="132">
        <v>0</v>
      </c>
      <c r="C648" s="154" t="str">
        <f>Table1[[#This Row],[inventory_id_head]]&amp;"-"&amp;Table1[[#This Row],[inventory_id_tail]]</f>
        <v>685-0</v>
      </c>
      <c r="D648" s="133" t="s">
        <v>653</v>
      </c>
      <c r="E648" s="133" t="s">
        <v>1481</v>
      </c>
      <c r="F648" s="133" t="s">
        <v>1488</v>
      </c>
      <c r="G648" s="133" t="str">
        <f t="shared" si="57"/>
        <v>T065DFB106DF</v>
      </c>
      <c r="H648" s="133" t="s">
        <v>365</v>
      </c>
      <c r="I648" s="133"/>
      <c r="J648" s="133">
        <v>2025021301</v>
      </c>
      <c r="K648" s="134" t="s">
        <v>655</v>
      </c>
      <c r="L648" s="135">
        <v>1</v>
      </c>
      <c r="M648" s="133" t="s">
        <v>1012</v>
      </c>
      <c r="N648" s="136">
        <f>Table1[[#This Row],[gross_weight]]-Table1[[#This Row],[tare_weight]]</f>
        <v>607.5</v>
      </c>
      <c r="O648" s="136">
        <v>640</v>
      </c>
      <c r="P648" s="136">
        <v>32.5</v>
      </c>
      <c r="Q648" s="137">
        <f>Table1[[#This Row],[number_of_unit]]*Table1[[#This Row],[net_weight_per_unit]]</f>
        <v>607.5</v>
      </c>
      <c r="R648" s="133"/>
      <c r="S648" s="138">
        <v>45714.649305555555</v>
      </c>
      <c r="T648" s="133" t="s">
        <v>978</v>
      </c>
      <c r="U648" s="139" t="str">
        <f t="shared" si="58"/>
        <v>_driedflower_bulk</v>
      </c>
      <c r="V648" s="140" t="str">
        <f>IF(U648="_","",_xlfn.XLOOKUP(U648,internal_cansku_inventory!D:D,internal_cansku_inventory!E:E,"",0,1))</f>
        <v/>
      </c>
    </row>
    <row r="649" spans="1:22" ht="12.45" customHeight="1">
      <c r="A649" s="154">
        <v>686</v>
      </c>
      <c r="B649" s="132">
        <v>0</v>
      </c>
      <c r="C649" s="154" t="str">
        <f>Table1[[#This Row],[inventory_id_head]]&amp;"-"&amp;Table1[[#This Row],[inventory_id_tail]]</f>
        <v>686-0</v>
      </c>
      <c r="D649" s="133" t="s">
        <v>653</v>
      </c>
      <c r="E649" s="133" t="s">
        <v>1481</v>
      </c>
      <c r="F649" s="133" t="s">
        <v>1489</v>
      </c>
      <c r="G649" s="133" t="str">
        <f t="shared" si="57"/>
        <v>T065DFB107DF</v>
      </c>
      <c r="H649" s="133" t="s">
        <v>365</v>
      </c>
      <c r="I649" s="133"/>
      <c r="J649" s="133">
        <v>2025021301</v>
      </c>
      <c r="K649" s="134" t="s">
        <v>655</v>
      </c>
      <c r="L649" s="135">
        <v>1</v>
      </c>
      <c r="M649" s="133" t="s">
        <v>1012</v>
      </c>
      <c r="N649" s="136">
        <f>Table1[[#This Row],[gross_weight]]-Table1[[#This Row],[tare_weight]]</f>
        <v>497.5</v>
      </c>
      <c r="O649" s="136">
        <v>530</v>
      </c>
      <c r="P649" s="136">
        <v>32.5</v>
      </c>
      <c r="Q649" s="137">
        <f>Table1[[#This Row],[number_of_unit]]*Table1[[#This Row],[net_weight_per_unit]]</f>
        <v>497.5</v>
      </c>
      <c r="R649" s="133"/>
      <c r="S649" s="138">
        <v>45714.649305555555</v>
      </c>
      <c r="T649" s="133" t="s">
        <v>978</v>
      </c>
      <c r="U649" s="139" t="str">
        <f t="shared" si="58"/>
        <v>_driedflower_bulk</v>
      </c>
      <c r="V649" s="140" t="str">
        <f>IF(U649="_","",_xlfn.XLOOKUP(U649,internal_cansku_inventory!D:D,internal_cansku_inventory!E:E,"",0,1))</f>
        <v/>
      </c>
    </row>
    <row r="650" spans="1:22" ht="12.45" customHeight="1">
      <c r="A650" s="132">
        <v>687</v>
      </c>
      <c r="B650" s="132">
        <v>0</v>
      </c>
      <c r="C650" s="132" t="str">
        <f>Table1[[#This Row],[inventory_id_head]]&amp;"-"&amp;Table1[[#This Row],[inventory_id_tail]]</f>
        <v>687-0</v>
      </c>
      <c r="D650" s="133" t="s">
        <v>653</v>
      </c>
      <c r="E650" s="133" t="s">
        <v>1481</v>
      </c>
      <c r="F650" s="133" t="s">
        <v>1490</v>
      </c>
      <c r="G650" s="133" t="str">
        <f t="shared" si="57"/>
        <v>T065DFB108DF</v>
      </c>
      <c r="H650" s="133" t="s">
        <v>365</v>
      </c>
      <c r="I650" s="133"/>
      <c r="J650" s="133">
        <v>2025021301</v>
      </c>
      <c r="K650" s="134" t="s">
        <v>655</v>
      </c>
      <c r="L650" s="135">
        <v>1</v>
      </c>
      <c r="M650" s="133" t="s">
        <v>1012</v>
      </c>
      <c r="N650" s="136">
        <f>Table1[[#This Row],[gross_weight]]-Table1[[#This Row],[tare_weight]]</f>
        <v>697.5</v>
      </c>
      <c r="O650" s="136">
        <v>730</v>
      </c>
      <c r="P650" s="136">
        <v>32.5</v>
      </c>
      <c r="Q650" s="137">
        <f>Table1[[#This Row],[number_of_unit]]*Table1[[#This Row],[net_weight_per_unit]]</f>
        <v>697.5</v>
      </c>
      <c r="R650" s="133"/>
      <c r="S650" s="138">
        <v>45714.649305555555</v>
      </c>
      <c r="T650" s="133" t="s">
        <v>978</v>
      </c>
      <c r="U650" s="139" t="str">
        <f t="shared" si="58"/>
        <v>_driedflower_bulk</v>
      </c>
      <c r="V650" s="140" t="str">
        <f>IF(U650="_","",_xlfn.XLOOKUP(U650,internal_cansku_inventory!D:D,internal_cansku_inventory!E:E,"",0,1))</f>
        <v/>
      </c>
    </row>
    <row r="651" spans="1:22" ht="12.45" customHeight="1">
      <c r="A651" s="132">
        <v>688</v>
      </c>
      <c r="B651" s="132">
        <v>0</v>
      </c>
      <c r="C651" s="132" t="str">
        <f>Table1[[#This Row],[inventory_id_head]]&amp;"-"&amp;Table1[[#This Row],[inventory_id_tail]]</f>
        <v>688-0</v>
      </c>
      <c r="D651" s="133" t="s">
        <v>653</v>
      </c>
      <c r="E651" s="133" t="s">
        <v>1481</v>
      </c>
      <c r="F651" s="133" t="s">
        <v>1491</v>
      </c>
      <c r="G651" s="133" t="str">
        <f t="shared" si="57"/>
        <v>T065DFB109DF</v>
      </c>
      <c r="H651" s="133" t="s">
        <v>365</v>
      </c>
      <c r="I651" s="133"/>
      <c r="J651" s="133">
        <v>2025021301</v>
      </c>
      <c r="K651" s="134" t="s">
        <v>655</v>
      </c>
      <c r="L651" s="135">
        <v>1</v>
      </c>
      <c r="M651" s="133" t="s">
        <v>1012</v>
      </c>
      <c r="N651" s="136">
        <f>Table1[[#This Row],[gross_weight]]-Table1[[#This Row],[tare_weight]]</f>
        <v>612.5</v>
      </c>
      <c r="O651" s="136">
        <v>645</v>
      </c>
      <c r="P651" s="136">
        <v>32.5</v>
      </c>
      <c r="Q651" s="137">
        <f>Table1[[#This Row],[number_of_unit]]*Table1[[#This Row],[net_weight_per_unit]]</f>
        <v>612.5</v>
      </c>
      <c r="R651" s="133"/>
      <c r="S651" s="138">
        <v>45714.649305555555</v>
      </c>
      <c r="T651" s="133" t="s">
        <v>978</v>
      </c>
      <c r="U651" s="139" t="str">
        <f t="shared" si="58"/>
        <v>_driedflower_bulk</v>
      </c>
      <c r="V651" s="140" t="str">
        <f>IF(U651="_","",_xlfn.XLOOKUP(U651,internal_cansku_inventory!D:D,internal_cansku_inventory!E:E,"",0,1))</f>
        <v/>
      </c>
    </row>
    <row r="652" spans="1:22" ht="12.45" customHeight="1">
      <c r="A652" s="154">
        <v>689</v>
      </c>
      <c r="B652" s="132">
        <v>0</v>
      </c>
      <c r="C652" s="154" t="str">
        <f>Table1[[#This Row],[inventory_id_head]]&amp;"-"&amp;Table1[[#This Row],[inventory_id_tail]]</f>
        <v>689-0</v>
      </c>
      <c r="D652" s="133" t="s">
        <v>653</v>
      </c>
      <c r="E652" s="133" t="s">
        <v>1481</v>
      </c>
      <c r="F652" s="133" t="s">
        <v>1492</v>
      </c>
      <c r="G652" s="133" t="str">
        <f t="shared" si="57"/>
        <v>T065DFB110DF</v>
      </c>
      <c r="H652" s="133" t="s">
        <v>365</v>
      </c>
      <c r="I652" s="133"/>
      <c r="J652" s="133">
        <v>2025021301</v>
      </c>
      <c r="K652" s="134" t="s">
        <v>655</v>
      </c>
      <c r="L652" s="135">
        <v>1</v>
      </c>
      <c r="M652" s="133" t="s">
        <v>1012</v>
      </c>
      <c r="N652" s="136">
        <f>Table1[[#This Row],[gross_weight]]-Table1[[#This Row],[tare_weight]]</f>
        <v>253.25</v>
      </c>
      <c r="O652" s="136">
        <v>280</v>
      </c>
      <c r="P652" s="136">
        <v>26.75</v>
      </c>
      <c r="Q652" s="137">
        <f>Table1[[#This Row],[number_of_unit]]*Table1[[#This Row],[net_weight_per_unit]]</f>
        <v>253.25</v>
      </c>
      <c r="R652" s="133"/>
      <c r="S652" s="138">
        <v>45714.649305555555</v>
      </c>
      <c r="T652" s="133" t="s">
        <v>978</v>
      </c>
      <c r="U652" s="139" t="str">
        <f t="shared" si="58"/>
        <v>_driedflower_bulk</v>
      </c>
      <c r="V652" s="140" t="str">
        <f>IF(U652="_","",_xlfn.XLOOKUP(U652,internal_cansku_inventory!D:D,internal_cansku_inventory!E:E,"",0,1))</f>
        <v/>
      </c>
    </row>
    <row r="653" spans="1:22" ht="12.45" customHeight="1">
      <c r="A653" s="154">
        <v>690</v>
      </c>
      <c r="B653" s="132">
        <v>0</v>
      </c>
      <c r="C653" s="154" t="str">
        <f>Table1[[#This Row],[inventory_id_head]]&amp;"-"&amp;Table1[[#This Row],[inventory_id_tail]]</f>
        <v>690-0</v>
      </c>
      <c r="D653" s="133" t="s">
        <v>653</v>
      </c>
      <c r="E653" s="133" t="s">
        <v>1481</v>
      </c>
      <c r="F653" s="133" t="s">
        <v>1493</v>
      </c>
      <c r="G653" s="133" t="str">
        <f t="shared" ref="G653:G684" si="59">E653&amp;F653</f>
        <v>T065DFB111DF</v>
      </c>
      <c r="H653" s="133" t="s">
        <v>365</v>
      </c>
      <c r="I653" s="133"/>
      <c r="J653" s="133">
        <v>2025021301</v>
      </c>
      <c r="K653" s="134" t="s">
        <v>655</v>
      </c>
      <c r="L653" s="135">
        <v>1</v>
      </c>
      <c r="M653" s="133" t="s">
        <v>1012</v>
      </c>
      <c r="N653" s="136">
        <f>Table1[[#This Row],[gross_weight]]-Table1[[#This Row],[tare_weight]]</f>
        <v>597.5</v>
      </c>
      <c r="O653" s="136">
        <v>630</v>
      </c>
      <c r="P653" s="136">
        <v>32.5</v>
      </c>
      <c r="Q653" s="137">
        <f>Table1[[#This Row],[number_of_unit]]*Table1[[#This Row],[net_weight_per_unit]]</f>
        <v>597.5</v>
      </c>
      <c r="R653" s="133"/>
      <c r="S653" s="138">
        <v>45714.649305555555</v>
      </c>
      <c r="T653" s="133" t="s">
        <v>978</v>
      </c>
      <c r="U653" s="139" t="str">
        <f t="shared" si="58"/>
        <v>_driedflower_bulk</v>
      </c>
      <c r="V653" s="140" t="str">
        <f>IF(U653="_","",_xlfn.XLOOKUP(U653,internal_cansku_inventory!D:D,internal_cansku_inventory!E:E,"",0,1))</f>
        <v/>
      </c>
    </row>
    <row r="654" spans="1:22" ht="12.45" customHeight="1">
      <c r="A654" s="132">
        <v>691</v>
      </c>
      <c r="B654" s="132">
        <v>0</v>
      </c>
      <c r="C654" s="132" t="str">
        <f>Table1[[#This Row],[inventory_id_head]]&amp;"-"&amp;Table1[[#This Row],[inventory_id_tail]]</f>
        <v>691-0</v>
      </c>
      <c r="D654" s="133" t="s">
        <v>653</v>
      </c>
      <c r="E654" s="133" t="s">
        <v>1481</v>
      </c>
      <c r="F654" s="133" t="s">
        <v>1494</v>
      </c>
      <c r="G654" s="133" t="str">
        <f t="shared" si="59"/>
        <v>T065DFB112DF</v>
      </c>
      <c r="H654" s="133" t="s">
        <v>365</v>
      </c>
      <c r="I654" s="133"/>
      <c r="J654" s="133">
        <v>2025021301</v>
      </c>
      <c r="K654" s="134" t="s">
        <v>655</v>
      </c>
      <c r="L654" s="135">
        <v>1</v>
      </c>
      <c r="M654" s="133" t="s">
        <v>1012</v>
      </c>
      <c r="N654" s="136">
        <f>Table1[[#This Row],[gross_weight]]-Table1[[#This Row],[tare_weight]]</f>
        <v>497.5</v>
      </c>
      <c r="O654" s="136">
        <v>530</v>
      </c>
      <c r="P654" s="136">
        <v>32.5</v>
      </c>
      <c r="Q654" s="137">
        <f>Table1[[#This Row],[number_of_unit]]*Table1[[#This Row],[net_weight_per_unit]]</f>
        <v>497.5</v>
      </c>
      <c r="R654" s="133"/>
      <c r="S654" s="138">
        <v>45714.649305555555</v>
      </c>
      <c r="T654" s="133" t="s">
        <v>978</v>
      </c>
      <c r="U654" s="139" t="str">
        <f t="shared" si="58"/>
        <v>_driedflower_bulk</v>
      </c>
      <c r="V654" s="140" t="str">
        <f>IF(U654="_","",_xlfn.XLOOKUP(U654,internal_cansku_inventory!D:D,internal_cansku_inventory!E:E,"",0,1))</f>
        <v/>
      </c>
    </row>
    <row r="655" spans="1:22" ht="12.45" customHeight="1">
      <c r="A655" s="132">
        <v>692</v>
      </c>
      <c r="B655" s="132">
        <v>0</v>
      </c>
      <c r="C655" s="132" t="str">
        <f>Table1[[#This Row],[inventory_id_head]]&amp;"-"&amp;Table1[[#This Row],[inventory_id_tail]]</f>
        <v>692-0</v>
      </c>
      <c r="D655" s="133" t="s">
        <v>653</v>
      </c>
      <c r="E655" s="133" t="s">
        <v>1481</v>
      </c>
      <c r="F655" s="133" t="s">
        <v>1495</v>
      </c>
      <c r="G655" s="133" t="str">
        <f t="shared" si="59"/>
        <v>T065DFB113DF</v>
      </c>
      <c r="H655" s="133" t="s">
        <v>365</v>
      </c>
      <c r="I655" s="133"/>
      <c r="J655" s="133">
        <v>2025021301</v>
      </c>
      <c r="K655" s="134" t="s">
        <v>655</v>
      </c>
      <c r="L655" s="135">
        <v>1</v>
      </c>
      <c r="M655" s="133" t="s">
        <v>1012</v>
      </c>
      <c r="N655" s="136">
        <f>Table1[[#This Row],[gross_weight]]-Table1[[#This Row],[tare_weight]]</f>
        <v>202.5</v>
      </c>
      <c r="O655" s="136">
        <v>235</v>
      </c>
      <c r="P655" s="136">
        <v>32.5</v>
      </c>
      <c r="Q655" s="137">
        <f>Table1[[#This Row],[number_of_unit]]*Table1[[#This Row],[net_weight_per_unit]]</f>
        <v>202.5</v>
      </c>
      <c r="R655" s="133"/>
      <c r="S655" s="138">
        <v>45714.649305555555</v>
      </c>
      <c r="T655" s="133" t="s">
        <v>978</v>
      </c>
      <c r="U655" s="139" t="str">
        <f t="shared" si="58"/>
        <v>_driedflower_bulk</v>
      </c>
      <c r="V655" s="140" t="str">
        <f>IF(U655="_","",_xlfn.XLOOKUP(U655,internal_cansku_inventory!D:D,internal_cansku_inventory!E:E,"",0,1))</f>
        <v/>
      </c>
    </row>
    <row r="656" spans="1:22" ht="12.45" customHeight="1">
      <c r="A656" s="154">
        <v>693</v>
      </c>
      <c r="B656" s="132">
        <v>0</v>
      </c>
      <c r="C656" s="154" t="str">
        <f>Table1[[#This Row],[inventory_id_head]]&amp;"-"&amp;Table1[[#This Row],[inventory_id_tail]]</f>
        <v>693-0</v>
      </c>
      <c r="D656" s="133" t="s">
        <v>653</v>
      </c>
      <c r="E656" s="133" t="s">
        <v>1481</v>
      </c>
      <c r="F656" s="133" t="s">
        <v>1496</v>
      </c>
      <c r="G656" s="133" t="str">
        <f t="shared" si="59"/>
        <v>T065DFB114DF</v>
      </c>
      <c r="H656" s="133" t="s">
        <v>365</v>
      </c>
      <c r="I656" s="133"/>
      <c r="J656" s="133">
        <v>2025021301</v>
      </c>
      <c r="K656" s="134" t="s">
        <v>655</v>
      </c>
      <c r="L656" s="135">
        <v>1</v>
      </c>
      <c r="M656" s="133" t="s">
        <v>1012</v>
      </c>
      <c r="N656" s="136">
        <f>Table1[[#This Row],[gross_weight]]-Table1[[#This Row],[tare_weight]]</f>
        <v>497.5</v>
      </c>
      <c r="O656" s="136">
        <v>530</v>
      </c>
      <c r="P656" s="136">
        <v>32.5</v>
      </c>
      <c r="Q656" s="137">
        <f>Table1[[#This Row],[number_of_unit]]*Table1[[#This Row],[net_weight_per_unit]]</f>
        <v>497.5</v>
      </c>
      <c r="R656" s="133"/>
      <c r="S656" s="138">
        <v>45714.649305555555</v>
      </c>
      <c r="T656" s="133" t="s">
        <v>978</v>
      </c>
      <c r="U656" s="139" t="str">
        <f t="shared" si="58"/>
        <v>_driedflower_bulk</v>
      </c>
      <c r="V656" s="140" t="str">
        <f>IF(U656="_","",_xlfn.XLOOKUP(U656,internal_cansku_inventory!D:D,internal_cansku_inventory!E:E,"",0,1))</f>
        <v/>
      </c>
    </row>
    <row r="657" spans="1:22" ht="12.45" customHeight="1">
      <c r="A657" s="154">
        <v>694</v>
      </c>
      <c r="B657" s="132">
        <v>0</v>
      </c>
      <c r="C657" s="154" t="str">
        <f>Table1[[#This Row],[inventory_id_head]]&amp;"-"&amp;Table1[[#This Row],[inventory_id_tail]]</f>
        <v>694-0</v>
      </c>
      <c r="D657" s="133" t="s">
        <v>653</v>
      </c>
      <c r="E657" s="133" t="s">
        <v>1497</v>
      </c>
      <c r="F657" s="133" t="s">
        <v>655</v>
      </c>
      <c r="G657" s="133" t="str">
        <f t="shared" si="59"/>
        <v>T035PRNA</v>
      </c>
      <c r="H657" s="133" t="s">
        <v>1498</v>
      </c>
      <c r="I657" s="133"/>
      <c r="J657" s="133" t="s">
        <v>1500</v>
      </c>
      <c r="K657" s="134">
        <v>45714</v>
      </c>
      <c r="L657" s="135">
        <v>11</v>
      </c>
      <c r="M657" s="133" t="s">
        <v>858</v>
      </c>
      <c r="N657" s="136">
        <v>1.5</v>
      </c>
      <c r="O657" s="136">
        <v>530</v>
      </c>
      <c r="P657" s="136">
        <v>32.5</v>
      </c>
      <c r="Q657" s="137">
        <f>Table1[[#This Row],[number_of_unit]]*Table1[[#This Row],[net_weight_per_unit]]</f>
        <v>16.5</v>
      </c>
      <c r="R657" s="133"/>
      <c r="S657" s="138">
        <v>45714.709722222222</v>
      </c>
      <c r="T657" s="133" t="s">
        <v>657</v>
      </c>
      <c r="U657" s="139" t="str">
        <f t="shared" si="58"/>
        <v>_infusedpreroll_labelled</v>
      </c>
      <c r="V657" s="140" t="str">
        <f>IF(U657="_","",_xlfn.XLOOKUP(U657,internal_cansku_inventory!D:D,internal_cansku_inventory!E:E,"",0,1))</f>
        <v/>
      </c>
    </row>
    <row r="658" spans="1:22" ht="12.45" customHeight="1">
      <c r="A658" s="132">
        <v>572</v>
      </c>
      <c r="B658" s="132">
        <v>0</v>
      </c>
      <c r="C658" s="132" t="str">
        <f>Table1[[#This Row],[inventory_id_head]]&amp;"-"&amp;Table1[[#This Row],[inventory_id_tail]]</f>
        <v>572-0</v>
      </c>
      <c r="D658" s="133" t="s">
        <v>653</v>
      </c>
      <c r="E658" s="133" t="s">
        <v>1501</v>
      </c>
      <c r="F658" s="133" t="s">
        <v>655</v>
      </c>
      <c r="G658" s="133" t="str">
        <f t="shared" si="59"/>
        <v>T056DFNA</v>
      </c>
      <c r="H658" s="133" t="s">
        <v>314</v>
      </c>
      <c r="I658" s="133"/>
      <c r="J658" s="133" t="s">
        <v>1321</v>
      </c>
      <c r="K658" s="134">
        <v>45631</v>
      </c>
      <c r="L658" s="135">
        <v>25</v>
      </c>
      <c r="M658" s="133" t="s">
        <v>858</v>
      </c>
      <c r="N658" s="136">
        <v>7</v>
      </c>
      <c r="O658" s="136">
        <v>0</v>
      </c>
      <c r="P658" s="136">
        <v>0</v>
      </c>
      <c r="Q658" s="137">
        <f>L658*N658</f>
        <v>175</v>
      </c>
      <c r="R658" s="133"/>
      <c r="S658" s="138">
        <v>45715.64166666667</v>
      </c>
      <c r="T658" s="133" t="s">
        <v>657</v>
      </c>
      <c r="U658" s="139" t="str">
        <f t="shared" si="58"/>
        <v>_driedflower_labelled</v>
      </c>
      <c r="V658" s="140" t="str">
        <f>IF(U658="_","",_xlfn.XLOOKUP(U658,internal_cansku_inventory!D:D,internal_cansku_inventory!E:E,"",0,1))</f>
        <v/>
      </c>
    </row>
    <row r="659" spans="1:22" ht="12.45" customHeight="1">
      <c r="A659" s="132">
        <v>696</v>
      </c>
      <c r="B659" s="132">
        <v>0</v>
      </c>
      <c r="C659" s="132" t="str">
        <f>Table1[[#This Row],[inventory_id_head]]&amp;"-"&amp;Table1[[#This Row],[inventory_id_tail]]</f>
        <v>696-0</v>
      </c>
      <c r="D659" s="133" t="s">
        <v>653</v>
      </c>
      <c r="E659" s="133" t="s">
        <v>1502</v>
      </c>
      <c r="F659" s="133" t="s">
        <v>655</v>
      </c>
      <c r="G659" s="133" t="str">
        <f t="shared" si="59"/>
        <v>P004DFNA</v>
      </c>
      <c r="H659" s="133" t="s">
        <v>365</v>
      </c>
      <c r="I659" s="133"/>
      <c r="J659" s="133">
        <v>2025021302</v>
      </c>
      <c r="K659" s="134" t="s">
        <v>655</v>
      </c>
      <c r="L659" s="135">
        <v>1</v>
      </c>
      <c r="M659" s="133" t="s">
        <v>994</v>
      </c>
      <c r="N659" s="136">
        <f>Table1[[#This Row],[gross_weight]]-Table1[[#This Row],[tare_weight]]</f>
        <v>800</v>
      </c>
      <c r="O659" s="136">
        <v>2730</v>
      </c>
      <c r="P659" s="136">
        <f>2730-800</f>
        <v>1930</v>
      </c>
      <c r="Q659" s="137">
        <f>Table1[[#This Row],[number_of_unit]]*Table1[[#This Row],[net_weight_per_unit]]</f>
        <v>800</v>
      </c>
      <c r="R659" s="133"/>
      <c r="S659" s="138">
        <v>45719.49722222222</v>
      </c>
      <c r="T659" s="133" t="s">
        <v>978</v>
      </c>
      <c r="U659" s="139" t="str">
        <f t="shared" si="58"/>
        <v>_driedflower_bulk</v>
      </c>
      <c r="V659" s="140" t="str">
        <f>IF(U659="_","",_xlfn.XLOOKUP(U659,internal_cansku_inventory!D:D,internal_cansku_inventory!E:E,"",0,1))</f>
        <v/>
      </c>
    </row>
    <row r="660" spans="1:22" ht="12.45" customHeight="1">
      <c r="A660" s="154">
        <v>697</v>
      </c>
      <c r="B660" s="132">
        <v>0</v>
      </c>
      <c r="C660" s="154" t="str">
        <f>Table1[[#This Row],[inventory_id_head]]&amp;"-"&amp;Table1[[#This Row],[inventory_id_tail]]</f>
        <v>697-0</v>
      </c>
      <c r="D660" s="133" t="s">
        <v>653</v>
      </c>
      <c r="E660" s="133" t="s">
        <v>1503</v>
      </c>
      <c r="F660" s="133" t="s">
        <v>655</v>
      </c>
      <c r="G660" s="133" t="str">
        <f t="shared" si="59"/>
        <v>T017TPNA</v>
      </c>
      <c r="H660" s="133" t="s">
        <v>303</v>
      </c>
      <c r="I660" s="133"/>
      <c r="J660" s="133" t="s">
        <v>1504</v>
      </c>
      <c r="K660" s="134">
        <v>45523</v>
      </c>
      <c r="L660" s="135">
        <v>12</v>
      </c>
      <c r="M660" s="133" t="s">
        <v>858</v>
      </c>
      <c r="N660" s="136">
        <v>88</v>
      </c>
      <c r="O660" s="136">
        <v>0</v>
      </c>
      <c r="P660" s="136">
        <v>0</v>
      </c>
      <c r="Q660" s="137">
        <f>Table1[[#This Row],[number_of_unit]]*Table1[[#This Row],[net_weight_per_unit]]</f>
        <v>1056</v>
      </c>
      <c r="R660" s="133"/>
      <c r="S660" s="138">
        <v>45719.553472222222</v>
      </c>
      <c r="T660" s="133" t="s">
        <v>657</v>
      </c>
      <c r="U660" s="139" t="str">
        <f t="shared" si="58"/>
        <v>_topical_labelled</v>
      </c>
      <c r="V660" s="140" t="str">
        <f>IF(U660="_","",_xlfn.XLOOKUP(U660,internal_cansku_inventory!D:D,internal_cansku_inventory!E:E,"",0,1))</f>
        <v/>
      </c>
    </row>
    <row r="661" spans="1:22" ht="12.45" customHeight="1">
      <c r="A661" s="154">
        <v>698</v>
      </c>
      <c r="B661" s="132">
        <v>0</v>
      </c>
      <c r="C661" s="154" t="str">
        <f>Table1[[#This Row],[inventory_id_head]]&amp;"-"&amp;Table1[[#This Row],[inventory_id_tail]]</f>
        <v>698-0</v>
      </c>
      <c r="D661" s="133" t="s">
        <v>653</v>
      </c>
      <c r="E661" s="133" t="s">
        <v>1505</v>
      </c>
      <c r="F661" s="133" t="s">
        <v>655</v>
      </c>
      <c r="G661" s="133" t="str">
        <f t="shared" si="59"/>
        <v>T145EXNA</v>
      </c>
      <c r="H661" s="133" t="s">
        <v>1506</v>
      </c>
      <c r="I661" s="133"/>
      <c r="J661" s="133" t="s">
        <v>1508</v>
      </c>
      <c r="K661" s="134">
        <v>45633</v>
      </c>
      <c r="L661" s="135">
        <v>233</v>
      </c>
      <c r="M661" s="133" t="s">
        <v>858</v>
      </c>
      <c r="N661" s="136">
        <v>27.6</v>
      </c>
      <c r="O661" s="136">
        <v>0</v>
      </c>
      <c r="P661" s="136">
        <v>0</v>
      </c>
      <c r="Q661" s="137">
        <f>Table1[[#This Row],[number_of_unit]]*Table1[[#This Row],[net_weight_per_unit]]</f>
        <v>6430.8</v>
      </c>
      <c r="R661" s="133"/>
      <c r="S661" s="138">
        <v>45719.652083333334</v>
      </c>
      <c r="T661" s="133" t="s">
        <v>657</v>
      </c>
      <c r="U661" s="139" t="str">
        <f t="shared" si="58"/>
        <v>_extract_ingested_packaged_WT</v>
      </c>
      <c r="V661" s="140" t="str">
        <f>IF(U661="_","",_xlfn.XLOOKUP(U661,internal_cansku_inventory!D:D,internal_cansku_inventory!E:E,"",0,1))</f>
        <v/>
      </c>
    </row>
    <row r="662" spans="1:22" ht="12.45" customHeight="1">
      <c r="A662" s="132">
        <v>699</v>
      </c>
      <c r="B662" s="132">
        <v>0</v>
      </c>
      <c r="C662" s="132" t="str">
        <f>Table1[[#This Row],[inventory_id_head]]&amp;"-"&amp;Table1[[#This Row],[inventory_id_tail]]</f>
        <v>699-0</v>
      </c>
      <c r="D662" s="133" t="s">
        <v>653</v>
      </c>
      <c r="E662" s="133" t="s">
        <v>1509</v>
      </c>
      <c r="F662" s="133" t="s">
        <v>655</v>
      </c>
      <c r="G662" s="133" t="str">
        <f t="shared" si="59"/>
        <v>T146EXNA</v>
      </c>
      <c r="H662" s="133" t="s">
        <v>1506</v>
      </c>
      <c r="I662" s="133"/>
      <c r="J662" s="133" t="s">
        <v>1508</v>
      </c>
      <c r="K662" s="134">
        <v>45633</v>
      </c>
      <c r="L662" s="135">
        <v>230</v>
      </c>
      <c r="M662" s="133" t="s">
        <v>858</v>
      </c>
      <c r="N662" s="136">
        <v>27.6</v>
      </c>
      <c r="O662" s="136">
        <v>0</v>
      </c>
      <c r="P662" s="136">
        <v>0</v>
      </c>
      <c r="Q662" s="137">
        <f>Table1[[#This Row],[number_of_unit]]*Table1[[#This Row],[net_weight_per_unit]]</f>
        <v>6348</v>
      </c>
      <c r="R662" s="133"/>
      <c r="S662" s="138">
        <v>45719.652083333334</v>
      </c>
      <c r="T662" s="133" t="s">
        <v>657</v>
      </c>
      <c r="U662" s="139" t="str">
        <f t="shared" si="58"/>
        <v>_extract_ingested_packaged_WT</v>
      </c>
      <c r="V662" s="140" t="str">
        <f>IF(U662="_","",_xlfn.XLOOKUP(U662,internal_cansku_inventory!D:D,internal_cansku_inventory!E:E,"",0,1))</f>
        <v/>
      </c>
    </row>
    <row r="663" spans="1:22" ht="12.45" customHeight="1">
      <c r="A663" s="132">
        <v>700</v>
      </c>
      <c r="B663" s="132">
        <v>0</v>
      </c>
      <c r="C663" s="132" t="str">
        <f>Table1[[#This Row],[inventory_id_head]]&amp;"-"&amp;Table1[[#This Row],[inventory_id_tail]]</f>
        <v>700-0</v>
      </c>
      <c r="D663" s="133" t="s">
        <v>653</v>
      </c>
      <c r="E663" s="133" t="s">
        <v>1510</v>
      </c>
      <c r="F663" s="133" t="s">
        <v>655</v>
      </c>
      <c r="G663" s="133" t="str">
        <f t="shared" si="59"/>
        <v>T147EXNA</v>
      </c>
      <c r="H663" s="133" t="s">
        <v>453</v>
      </c>
      <c r="I663" s="133"/>
      <c r="J663" s="133" t="s">
        <v>1512</v>
      </c>
      <c r="K663" s="134" t="s">
        <v>655</v>
      </c>
      <c r="L663" s="135">
        <f>120+120+111</f>
        <v>351</v>
      </c>
      <c r="M663" s="133" t="s">
        <v>858</v>
      </c>
      <c r="N663" s="136">
        <v>1</v>
      </c>
      <c r="O663" s="136">
        <v>0</v>
      </c>
      <c r="P663" s="136">
        <v>0</v>
      </c>
      <c r="Q663" s="137">
        <f>Table1[[#This Row],[number_of_unit]]*Table1[[#This Row],[net_weight_per_unit]]</f>
        <v>351</v>
      </c>
      <c r="R663" s="133"/>
      <c r="S663" s="138">
        <v>45719.652083333334</v>
      </c>
      <c r="T663" s="133" t="s">
        <v>657</v>
      </c>
      <c r="U663" s="139" t="str">
        <f t="shared" si="58"/>
        <v>_extract_inhaled_packaged_WT</v>
      </c>
      <c r="V663" s="140" t="str">
        <f>IF(U663="_","",_xlfn.XLOOKUP(U663,internal_cansku_inventory!D:D,internal_cansku_inventory!E:E,"",0,1))</f>
        <v/>
      </c>
    </row>
    <row r="664" spans="1:22" ht="12.45" customHeight="1">
      <c r="A664" s="154">
        <v>701</v>
      </c>
      <c r="B664" s="132">
        <v>0</v>
      </c>
      <c r="C664" s="154" t="str">
        <f>Table1[[#This Row],[inventory_id_head]]&amp;"-"&amp;Table1[[#This Row],[inventory_id_tail]]</f>
        <v>701-0</v>
      </c>
      <c r="D664" s="153" t="s">
        <v>653</v>
      </c>
      <c r="E664" s="153" t="s">
        <v>1510</v>
      </c>
      <c r="F664" s="133" t="s">
        <v>655</v>
      </c>
      <c r="G664" s="133" t="str">
        <f t="shared" si="59"/>
        <v>T147EXNA</v>
      </c>
      <c r="H664" s="153" t="s">
        <v>457</v>
      </c>
      <c r="I664" s="153"/>
      <c r="J664" s="153" t="s">
        <v>1512</v>
      </c>
      <c r="K664" s="155">
        <v>44415</v>
      </c>
      <c r="L664" s="156">
        <v>42</v>
      </c>
      <c r="M664" s="153" t="s">
        <v>858</v>
      </c>
      <c r="N664" s="157">
        <v>1</v>
      </c>
      <c r="O664" s="136">
        <v>0</v>
      </c>
      <c r="P664" s="136">
        <v>0</v>
      </c>
      <c r="Q664" s="137">
        <f>Table1[[#This Row],[number_of_unit]]*Table1[[#This Row],[net_weight_per_unit]]</f>
        <v>42</v>
      </c>
      <c r="R664" s="153"/>
      <c r="S664" s="138">
        <v>45719.652083333334</v>
      </c>
      <c r="T664" s="133" t="s">
        <v>657</v>
      </c>
      <c r="U664" s="139" t="str">
        <f t="shared" si="58"/>
        <v>_extract_inhaled_labelled_WT</v>
      </c>
      <c r="V664" s="140" t="str">
        <f>IF(U664="_","",_xlfn.XLOOKUP(U664,internal_cansku_inventory!D:D,internal_cansku_inventory!E:E,"",0,1))</f>
        <v/>
      </c>
    </row>
    <row r="665" spans="1:22" ht="12.45" customHeight="1">
      <c r="A665" s="154">
        <v>702</v>
      </c>
      <c r="B665" s="132">
        <v>0</v>
      </c>
      <c r="C665" s="154" t="str">
        <f>Table1[[#This Row],[inventory_id_head]]&amp;"-"&amp;Table1[[#This Row],[inventory_id_tail]]</f>
        <v>702-0</v>
      </c>
      <c r="D665" s="153" t="s">
        <v>653</v>
      </c>
      <c r="E665" s="153" t="s">
        <v>655</v>
      </c>
      <c r="F665" s="133" t="s">
        <v>655</v>
      </c>
      <c r="G665" s="133" t="str">
        <f t="shared" si="59"/>
        <v>NANA</v>
      </c>
      <c r="H665" s="153" t="s">
        <v>457</v>
      </c>
      <c r="I665" s="153"/>
      <c r="J665" s="153" t="s">
        <v>1514</v>
      </c>
      <c r="K665" s="155">
        <v>44415</v>
      </c>
      <c r="L665" s="156">
        <v>408</v>
      </c>
      <c r="M665" s="153" t="s">
        <v>858</v>
      </c>
      <c r="N665" s="157">
        <v>1</v>
      </c>
      <c r="O665" s="136">
        <v>0</v>
      </c>
      <c r="P665" s="136">
        <v>0</v>
      </c>
      <c r="Q665" s="137">
        <f>Table1[[#This Row],[number_of_unit]]*Table1[[#This Row],[net_weight_per_unit]]</f>
        <v>408</v>
      </c>
      <c r="R665" s="153"/>
      <c r="S665" s="138">
        <v>45719.652083333334</v>
      </c>
      <c r="T665" s="133" t="s">
        <v>657</v>
      </c>
      <c r="U665" s="139" t="str">
        <f t="shared" si="58"/>
        <v>_extract_inhaled_labelled_WT</v>
      </c>
      <c r="V665" s="140" t="str">
        <f>IF(U665="_","",_xlfn.XLOOKUP(U665,internal_cansku_inventory!D:D,internal_cansku_inventory!E:E,"",0,1))</f>
        <v/>
      </c>
    </row>
    <row r="666" spans="1:22" ht="12.45" customHeight="1">
      <c r="A666" s="154">
        <v>703</v>
      </c>
      <c r="B666" s="132">
        <v>0</v>
      </c>
      <c r="C666" s="154" t="str">
        <f>Table1[[#This Row],[inventory_id_head]]&amp;"-"&amp;Table1[[#This Row],[inventory_id_tail]]</f>
        <v>703-0</v>
      </c>
      <c r="D666" s="153" t="s">
        <v>653</v>
      </c>
      <c r="E666" s="153" t="s">
        <v>655</v>
      </c>
      <c r="F666" s="133" t="s">
        <v>655</v>
      </c>
      <c r="G666" s="133" t="str">
        <f t="shared" si="59"/>
        <v>NANA</v>
      </c>
      <c r="H666" s="153" t="s">
        <v>453</v>
      </c>
      <c r="I666" s="153"/>
      <c r="J666" s="153" t="s">
        <v>1515</v>
      </c>
      <c r="K666" s="155" t="s">
        <v>655</v>
      </c>
      <c r="L666" s="156">
        <v>290</v>
      </c>
      <c r="M666" s="153" t="s">
        <v>858</v>
      </c>
      <c r="N666" s="157">
        <v>1</v>
      </c>
      <c r="O666" s="136">
        <v>0</v>
      </c>
      <c r="P666" s="136">
        <v>0</v>
      </c>
      <c r="Q666" s="137">
        <f>Table1[[#This Row],[number_of_unit]]*Table1[[#This Row],[net_weight_per_unit]]</f>
        <v>290</v>
      </c>
      <c r="R666" s="153"/>
      <c r="S666" s="138">
        <v>45719.652083333334</v>
      </c>
      <c r="T666" s="133" t="s">
        <v>657</v>
      </c>
      <c r="U666" s="139" t="str">
        <f t="shared" si="58"/>
        <v>_extract_inhaled_packaged_WT</v>
      </c>
      <c r="V666" s="140" t="str">
        <f>IF(U666="_","",_xlfn.XLOOKUP(U666,internal_cansku_inventory!D:D,internal_cansku_inventory!E:E,"",0,1))</f>
        <v/>
      </c>
    </row>
    <row r="667" spans="1:22" ht="12.45" customHeight="1">
      <c r="A667" s="154">
        <v>704</v>
      </c>
      <c r="B667" s="132">
        <v>0</v>
      </c>
      <c r="C667" s="154" t="str">
        <f>Table1[[#This Row],[inventory_id_head]]&amp;"-"&amp;Table1[[#This Row],[inventory_id_tail]]</f>
        <v>704-0</v>
      </c>
      <c r="D667" s="153" t="s">
        <v>653</v>
      </c>
      <c r="E667" s="153" t="s">
        <v>655</v>
      </c>
      <c r="F667" s="133" t="s">
        <v>655</v>
      </c>
      <c r="G667" s="133" t="str">
        <f t="shared" si="59"/>
        <v>NANA</v>
      </c>
      <c r="H667" s="153" t="s">
        <v>453</v>
      </c>
      <c r="I667" s="153"/>
      <c r="J667" s="153" t="s">
        <v>1516</v>
      </c>
      <c r="K667" s="155">
        <v>44415</v>
      </c>
      <c r="L667" s="156">
        <v>211</v>
      </c>
      <c r="M667" s="153" t="s">
        <v>858</v>
      </c>
      <c r="N667" s="157">
        <v>1</v>
      </c>
      <c r="O667" s="136">
        <v>0</v>
      </c>
      <c r="P667" s="136">
        <v>0</v>
      </c>
      <c r="Q667" s="137">
        <f>Table1[[#This Row],[number_of_unit]]*Table1[[#This Row],[net_weight_per_unit]]</f>
        <v>211</v>
      </c>
      <c r="R667" s="153"/>
      <c r="S667" s="138">
        <v>45719.652083333334</v>
      </c>
      <c r="T667" s="133" t="s">
        <v>657</v>
      </c>
      <c r="U667" s="139" t="str">
        <f t="shared" si="58"/>
        <v>_extract_inhaled_packaged_WT</v>
      </c>
      <c r="V667" s="140" t="str">
        <f>IF(U667="_","",_xlfn.XLOOKUP(U667,internal_cansku_inventory!D:D,internal_cansku_inventory!E:E,"",0,1))</f>
        <v/>
      </c>
    </row>
    <row r="668" spans="1:22" ht="12.45" customHeight="1">
      <c r="A668" s="154">
        <v>705</v>
      </c>
      <c r="B668" s="132">
        <v>0</v>
      </c>
      <c r="C668" s="154" t="str">
        <f>Table1[[#This Row],[inventory_id_head]]&amp;"-"&amp;Table1[[#This Row],[inventory_id_tail]]</f>
        <v>705-0</v>
      </c>
      <c r="D668" s="153" t="s">
        <v>653</v>
      </c>
      <c r="E668" s="153" t="s">
        <v>655</v>
      </c>
      <c r="F668" s="133" t="s">
        <v>655</v>
      </c>
      <c r="G668" s="133" t="str">
        <f t="shared" si="59"/>
        <v>NANA</v>
      </c>
      <c r="H668" s="153" t="s">
        <v>457</v>
      </c>
      <c r="I668" s="153"/>
      <c r="J668" s="153" t="s">
        <v>1517</v>
      </c>
      <c r="K668" s="155">
        <v>44261</v>
      </c>
      <c r="L668" s="156">
        <v>733</v>
      </c>
      <c r="M668" s="153" t="s">
        <v>858</v>
      </c>
      <c r="N668" s="157">
        <v>1</v>
      </c>
      <c r="O668" s="136">
        <v>0</v>
      </c>
      <c r="P668" s="136">
        <v>0</v>
      </c>
      <c r="Q668" s="137">
        <f>Table1[[#This Row],[number_of_unit]]*Table1[[#This Row],[net_weight_per_unit]]</f>
        <v>733</v>
      </c>
      <c r="R668" s="153"/>
      <c r="S668" s="138">
        <v>45719.652083333334</v>
      </c>
      <c r="T668" s="133" t="s">
        <v>657</v>
      </c>
      <c r="U668" s="139" t="str">
        <f t="shared" si="58"/>
        <v>_extract_inhaled_labelled_WT</v>
      </c>
      <c r="V668" s="140" t="str">
        <f>IF(U668="_","",_xlfn.XLOOKUP(U668,internal_cansku_inventory!D:D,internal_cansku_inventory!E:E,"",0,1))</f>
        <v/>
      </c>
    </row>
    <row r="669" spans="1:22" ht="12.45" customHeight="1">
      <c r="A669" s="132">
        <v>706</v>
      </c>
      <c r="B669" s="132">
        <v>0</v>
      </c>
      <c r="C669" s="154" t="str">
        <f>Table1[[#This Row],[inventory_id_head]]&amp;"-"&amp;Table1[[#This Row],[inventory_id_tail]]</f>
        <v>706-0</v>
      </c>
      <c r="D669" s="153" t="s">
        <v>653</v>
      </c>
      <c r="E669" s="153" t="s">
        <v>655</v>
      </c>
      <c r="F669" s="133" t="s">
        <v>655</v>
      </c>
      <c r="G669" s="133" t="str">
        <f t="shared" si="59"/>
        <v>NANA</v>
      </c>
      <c r="H669" s="133" t="s">
        <v>1518</v>
      </c>
      <c r="I669" s="133"/>
      <c r="J669" s="133">
        <v>2022022206</v>
      </c>
      <c r="K669" s="134">
        <v>44634</v>
      </c>
      <c r="L669" s="135">
        <v>216</v>
      </c>
      <c r="M669" s="133" t="s">
        <v>858</v>
      </c>
      <c r="N669" s="157">
        <v>3.5</v>
      </c>
      <c r="O669" s="136">
        <v>0</v>
      </c>
      <c r="P669" s="136">
        <v>0</v>
      </c>
      <c r="Q669" s="137">
        <f>Table1[[#This Row],[number_of_unit]]*Table1[[#This Row],[net_weight_per_unit]]</f>
        <v>756</v>
      </c>
      <c r="R669" s="153"/>
      <c r="S669" s="138">
        <v>45719.652083333334</v>
      </c>
      <c r="T669" s="133" t="s">
        <v>657</v>
      </c>
      <c r="U669" s="139" t="str">
        <f t="shared" si="58"/>
        <v>_driedflower_labelled_BC</v>
      </c>
      <c r="V669" s="140" t="str">
        <f>IF(U669="_","",_xlfn.XLOOKUP(U669,internal_cansku_inventory!D:D,internal_cansku_inventory!E:E,"",0,1))</f>
        <v/>
      </c>
    </row>
    <row r="670" spans="1:22" ht="12.45" customHeight="1">
      <c r="A670" s="154">
        <v>707</v>
      </c>
      <c r="B670" s="132">
        <v>0</v>
      </c>
      <c r="C670" s="154" t="str">
        <f>Table1[[#This Row],[inventory_id_head]]&amp;"-"&amp;Table1[[#This Row],[inventory_id_tail]]</f>
        <v>707-0</v>
      </c>
      <c r="D670" s="153" t="s">
        <v>653</v>
      </c>
      <c r="E670" s="153" t="s">
        <v>1520</v>
      </c>
      <c r="F670" s="133" t="s">
        <v>655</v>
      </c>
      <c r="G670" s="133" t="str">
        <f t="shared" si="59"/>
        <v>T148EXNA</v>
      </c>
      <c r="H670" s="153" t="s">
        <v>1506</v>
      </c>
      <c r="I670" s="153"/>
      <c r="J670" s="153" t="s">
        <v>1508</v>
      </c>
      <c r="K670" s="155" t="s">
        <v>655</v>
      </c>
      <c r="L670" s="156">
        <v>71</v>
      </c>
      <c r="M670" s="133" t="s">
        <v>858</v>
      </c>
      <c r="N670" s="157">
        <v>27.6</v>
      </c>
      <c r="O670" s="136">
        <v>0</v>
      </c>
      <c r="P670" s="136">
        <v>0</v>
      </c>
      <c r="Q670" s="137">
        <f>Table1[[#This Row],[number_of_unit]]*Table1[[#This Row],[net_weight_per_unit]]</f>
        <v>1959.6000000000001</v>
      </c>
      <c r="R670" s="153"/>
      <c r="S670" s="158">
        <v>45719.652083333334</v>
      </c>
      <c r="T670" s="133" t="s">
        <v>657</v>
      </c>
      <c r="U670" s="139" t="str">
        <f t="shared" si="58"/>
        <v>_extract_ingested_packaged_WT</v>
      </c>
      <c r="V670" s="140" t="str">
        <f>IF(U670="_","",_xlfn.XLOOKUP(U670,internal_cansku_inventory!D:D,internal_cansku_inventory!E:E,"",0,1))</f>
        <v/>
      </c>
    </row>
    <row r="671" spans="1:22" ht="12.45" customHeight="1">
      <c r="A671" s="154">
        <v>708</v>
      </c>
      <c r="B671" s="132">
        <v>0</v>
      </c>
      <c r="C671" s="154" t="str">
        <f>Table1[[#This Row],[inventory_id_head]]&amp;"-"&amp;Table1[[#This Row],[inventory_id_tail]]</f>
        <v>708-0</v>
      </c>
      <c r="D671" s="153" t="s">
        <v>653</v>
      </c>
      <c r="E671" s="133" t="s">
        <v>655</v>
      </c>
      <c r="F671" s="133" t="s">
        <v>655</v>
      </c>
      <c r="G671" s="133" t="str">
        <f t="shared" si="59"/>
        <v>NANA</v>
      </c>
      <c r="H671" s="153" t="s">
        <v>1521</v>
      </c>
      <c r="I671" s="133"/>
      <c r="J671" s="133" t="s">
        <v>1522</v>
      </c>
      <c r="K671" s="134">
        <v>44988</v>
      </c>
      <c r="L671" s="135">
        <v>12</v>
      </c>
      <c r="M671" s="133" t="s">
        <v>858</v>
      </c>
      <c r="N671" s="136">
        <v>27.6</v>
      </c>
      <c r="O671" s="136">
        <v>0</v>
      </c>
      <c r="P671" s="136">
        <v>0</v>
      </c>
      <c r="Q671" s="137">
        <f>Table1[[#This Row],[number_of_unit]]*Table1[[#This Row],[net_weight_per_unit]]</f>
        <v>331.20000000000005</v>
      </c>
      <c r="R671" s="133"/>
      <c r="S671" s="138">
        <v>45719.652083333334</v>
      </c>
      <c r="T671" s="133" t="s">
        <v>657</v>
      </c>
      <c r="U671" s="139" t="str">
        <f t="shared" si="58"/>
        <v>_extract_ingested_labelled_BC_WT</v>
      </c>
      <c r="V671" s="140" t="str">
        <f>IF(U671="_","",_xlfn.XLOOKUP(U671,internal_cansku_inventory!D:D,internal_cansku_inventory!E:E,"",0,1))</f>
        <v/>
      </c>
    </row>
    <row r="672" spans="1:22" ht="12.45" customHeight="1">
      <c r="A672" s="132">
        <v>709</v>
      </c>
      <c r="B672" s="132">
        <v>0</v>
      </c>
      <c r="C672" s="154" t="str">
        <f>Table1[[#This Row],[inventory_id_head]]&amp;"-"&amp;Table1[[#This Row],[inventory_id_tail]]</f>
        <v>709-0</v>
      </c>
      <c r="D672" s="153" t="s">
        <v>680</v>
      </c>
      <c r="E672" s="133" t="s">
        <v>655</v>
      </c>
      <c r="F672" s="133" t="s">
        <v>655</v>
      </c>
      <c r="G672" s="133" t="str">
        <f t="shared" si="59"/>
        <v>NANA</v>
      </c>
      <c r="H672" s="153" t="s">
        <v>304</v>
      </c>
      <c r="I672" s="133"/>
      <c r="J672" s="133" t="s">
        <v>927</v>
      </c>
      <c r="K672" s="134">
        <v>45467</v>
      </c>
      <c r="L672" s="135">
        <v>12</v>
      </c>
      <c r="M672" s="133" t="s">
        <v>858</v>
      </c>
      <c r="N672" s="136">
        <v>27.3</v>
      </c>
      <c r="O672" s="136">
        <v>0</v>
      </c>
      <c r="P672" s="136">
        <v>0</v>
      </c>
      <c r="Q672" s="137">
        <f>Table1[[#This Row],[number_of_unit]]*Table1[[#This Row],[net_weight_per_unit]]</f>
        <v>327.60000000000002</v>
      </c>
      <c r="R672" s="133"/>
      <c r="S672" s="138">
        <v>45719.652083333334</v>
      </c>
      <c r="T672" s="133" t="s">
        <v>657</v>
      </c>
      <c r="U672" s="139" t="str">
        <f t="shared" si="58"/>
        <v>_extract_ingested_labelled</v>
      </c>
      <c r="V672" s="140" t="str">
        <f>IF(U672="_","",_xlfn.XLOOKUP(U672,internal_cansku_inventory!D:D,internal_cansku_inventory!E:E,"",0,1))</f>
        <v/>
      </c>
    </row>
    <row r="673" spans="1:22" ht="12.45" customHeight="1">
      <c r="A673" s="154">
        <v>710</v>
      </c>
      <c r="B673" s="132">
        <v>0</v>
      </c>
      <c r="C673" s="154" t="str">
        <f>Table1[[#This Row],[inventory_id_head]]&amp;"-"&amp;Table1[[#This Row],[inventory_id_tail]]</f>
        <v>710-0</v>
      </c>
      <c r="D673" s="153" t="s">
        <v>653</v>
      </c>
      <c r="E673" s="133" t="s">
        <v>655</v>
      </c>
      <c r="F673" s="133" t="s">
        <v>655</v>
      </c>
      <c r="G673" s="133" t="str">
        <f t="shared" si="59"/>
        <v>NANA</v>
      </c>
      <c r="H673" s="153" t="s">
        <v>457</v>
      </c>
      <c r="I673" s="133"/>
      <c r="J673" s="133" t="s">
        <v>1524</v>
      </c>
      <c r="K673" s="134">
        <v>45087</v>
      </c>
      <c r="L673" s="135">
        <v>3</v>
      </c>
      <c r="M673" s="133" t="s">
        <v>858</v>
      </c>
      <c r="N673" s="136">
        <v>27.3</v>
      </c>
      <c r="O673" s="136">
        <v>0</v>
      </c>
      <c r="P673" s="136">
        <v>0</v>
      </c>
      <c r="Q673" s="137">
        <f>Table1[[#This Row],[number_of_unit]]*Table1[[#This Row],[net_weight_per_unit]]</f>
        <v>81.900000000000006</v>
      </c>
      <c r="R673" s="133"/>
      <c r="S673" s="138">
        <v>45719.652083333334</v>
      </c>
      <c r="T673" s="133" t="s">
        <v>657</v>
      </c>
      <c r="U673" s="139" t="str">
        <f t="shared" si="58"/>
        <v>_extract_inhaled_labelled_WT</v>
      </c>
      <c r="V673" s="140" t="str">
        <f>IF(U673="_","",_xlfn.XLOOKUP(U673,internal_cansku_inventory!D:D,internal_cansku_inventory!E:E,"",0,1))</f>
        <v/>
      </c>
    </row>
    <row r="674" spans="1:22" ht="12.45" customHeight="1">
      <c r="A674" s="154">
        <v>711</v>
      </c>
      <c r="B674" s="132">
        <v>0</v>
      </c>
      <c r="C674" s="154" t="str">
        <f>Table1[[#This Row],[inventory_id_head]]&amp;"-"&amp;Table1[[#This Row],[inventory_id_tail]]</f>
        <v>711-0</v>
      </c>
      <c r="D674" s="153" t="s">
        <v>653</v>
      </c>
      <c r="E674" s="133" t="s">
        <v>655</v>
      </c>
      <c r="F674" s="133" t="s">
        <v>655</v>
      </c>
      <c r="G674" s="133" t="str">
        <f t="shared" si="59"/>
        <v>NANA</v>
      </c>
      <c r="H674" s="153" t="s">
        <v>1506</v>
      </c>
      <c r="I674" s="133"/>
      <c r="J674" s="133" t="s">
        <v>1508</v>
      </c>
      <c r="K674" s="134">
        <v>45633</v>
      </c>
      <c r="L674" s="135">
        <v>37</v>
      </c>
      <c r="M674" s="133" t="s">
        <v>858</v>
      </c>
      <c r="N674" s="136">
        <v>27.6</v>
      </c>
      <c r="O674" s="136">
        <v>0</v>
      </c>
      <c r="P674" s="136">
        <v>0</v>
      </c>
      <c r="Q674" s="137">
        <f>Table1[[#This Row],[number_of_unit]]*Table1[[#This Row],[net_weight_per_unit]]</f>
        <v>1021.2</v>
      </c>
      <c r="R674" s="133"/>
      <c r="S674" s="138">
        <v>45719.652083333334</v>
      </c>
      <c r="T674" s="133" t="s">
        <v>657</v>
      </c>
      <c r="U674" s="139" t="str">
        <f t="shared" si="58"/>
        <v>_extract_ingested_packaged_WT</v>
      </c>
      <c r="V674" s="140" t="str">
        <f>IF(U674="_","",_xlfn.XLOOKUP(U674,internal_cansku_inventory!D:D,internal_cansku_inventory!E:E,"",0,1))</f>
        <v/>
      </c>
    </row>
    <row r="675" spans="1:22" ht="12.45" customHeight="1">
      <c r="A675" s="132">
        <v>712</v>
      </c>
      <c r="B675" s="132">
        <v>0</v>
      </c>
      <c r="C675" s="154" t="str">
        <f>Table1[[#This Row],[inventory_id_head]]&amp;"-"&amp;Table1[[#This Row],[inventory_id_tail]]</f>
        <v>712-0</v>
      </c>
      <c r="D675" s="153" t="s">
        <v>653</v>
      </c>
      <c r="E675" s="133" t="s">
        <v>1525</v>
      </c>
      <c r="F675" s="133" t="s">
        <v>655</v>
      </c>
      <c r="G675" s="133" t="str">
        <f t="shared" si="59"/>
        <v>T152EXNA</v>
      </c>
      <c r="H675" s="153" t="s">
        <v>328</v>
      </c>
      <c r="I675" s="133"/>
      <c r="J675" s="133" t="s">
        <v>1527</v>
      </c>
      <c r="K675" s="134">
        <v>45170</v>
      </c>
      <c r="L675" s="135">
        <v>170</v>
      </c>
      <c r="M675" s="133" t="s">
        <v>858</v>
      </c>
      <c r="N675" s="136">
        <v>1</v>
      </c>
      <c r="O675" s="136">
        <v>0</v>
      </c>
      <c r="P675" s="136">
        <v>0</v>
      </c>
      <c r="Q675" s="137">
        <f>Table1[[#This Row],[number_of_unit]]*Table1[[#This Row],[net_weight_per_unit]]</f>
        <v>170</v>
      </c>
      <c r="R675" s="133"/>
      <c r="S675" s="138">
        <v>45719.652083333334</v>
      </c>
      <c r="T675" s="133" t="s">
        <v>657</v>
      </c>
      <c r="U675" s="139" t="str">
        <f t="shared" si="58"/>
        <v>_extract_inhaled_labelled</v>
      </c>
      <c r="V675" s="140" t="str">
        <f>IF(U675="_","",_xlfn.XLOOKUP(U675,internal_cansku_inventory!D:D,internal_cansku_inventory!E:E,"",0,1))</f>
        <v/>
      </c>
    </row>
    <row r="676" spans="1:22" ht="12.45" customHeight="1">
      <c r="A676" s="154">
        <v>713</v>
      </c>
      <c r="B676" s="132">
        <v>0</v>
      </c>
      <c r="C676" s="154" t="str">
        <f>Table1[[#This Row],[inventory_id_head]]&amp;"-"&amp;Table1[[#This Row],[inventory_id_tail]]</f>
        <v>713-0</v>
      </c>
      <c r="D676" s="153" t="s">
        <v>653</v>
      </c>
      <c r="E676" s="133" t="s">
        <v>655</v>
      </c>
      <c r="F676" s="133" t="s">
        <v>655</v>
      </c>
      <c r="G676" s="133" t="str">
        <f t="shared" si="59"/>
        <v>NANA</v>
      </c>
      <c r="H676" s="153" t="s">
        <v>1528</v>
      </c>
      <c r="I676" s="133"/>
      <c r="J676" s="133" t="s">
        <v>1529</v>
      </c>
      <c r="K676" s="134" t="s">
        <v>655</v>
      </c>
      <c r="L676" s="135">
        <v>1</v>
      </c>
      <c r="M676" s="133" t="s">
        <v>994</v>
      </c>
      <c r="N676" s="136">
        <f>Table1[[#This Row],[gross_weight]]-Table1[[#This Row],[tare_weight]]</f>
        <v>215</v>
      </c>
      <c r="O676" s="136">
        <v>1170</v>
      </c>
      <c r="P676" s="136">
        <v>955</v>
      </c>
      <c r="Q676" s="137">
        <f>Table1[[#This Row],[number_of_unit]]*Table1[[#This Row],[net_weight_per_unit]]</f>
        <v>215</v>
      </c>
      <c r="R676" s="133"/>
      <c r="S676" s="138">
        <v>45719.70416666667</v>
      </c>
      <c r="T676" s="133" t="s">
        <v>978</v>
      </c>
      <c r="U676" s="139" t="str">
        <f t="shared" si="58"/>
        <v>_extract_inhaled_bulk_WT</v>
      </c>
      <c r="V676" s="140" t="str">
        <f>IF(U676="_","",_xlfn.XLOOKUP(U676,internal_cansku_inventory!D:D,internal_cansku_inventory!E:E,"",0,1))</f>
        <v/>
      </c>
    </row>
    <row r="677" spans="1:22" ht="12.45" customHeight="1">
      <c r="A677" s="154">
        <v>714</v>
      </c>
      <c r="B677" s="132">
        <v>0</v>
      </c>
      <c r="C677" s="154" t="str">
        <f>Table1[[#This Row],[inventory_id_head]]&amp;"-"&amp;Table1[[#This Row],[inventory_id_tail]]</f>
        <v>714-0</v>
      </c>
      <c r="D677" s="153" t="s">
        <v>653</v>
      </c>
      <c r="E677" s="133" t="s">
        <v>655</v>
      </c>
      <c r="F677" s="133" t="s">
        <v>655</v>
      </c>
      <c r="G677" s="133" t="str">
        <f t="shared" si="59"/>
        <v>NANA</v>
      </c>
      <c r="H677" s="153" t="s">
        <v>1528</v>
      </c>
      <c r="I677" s="133"/>
      <c r="J677" s="133" t="s">
        <v>1530</v>
      </c>
      <c r="K677" s="134" t="s">
        <v>655</v>
      </c>
      <c r="L677" s="135">
        <v>1</v>
      </c>
      <c r="M677" s="133" t="s">
        <v>994</v>
      </c>
      <c r="N677" s="136">
        <f>Table1[[#This Row],[gross_weight]]-Table1[[#This Row],[tare_weight]]</f>
        <v>217</v>
      </c>
      <c r="O677" s="136">
        <v>1175</v>
      </c>
      <c r="P677" s="136">
        <v>958</v>
      </c>
      <c r="Q677" s="137">
        <f>Table1[[#This Row],[number_of_unit]]*Table1[[#This Row],[net_weight_per_unit]]</f>
        <v>217</v>
      </c>
      <c r="R677" s="133"/>
      <c r="S677" s="138">
        <v>45719.70416666667</v>
      </c>
      <c r="T677" s="133" t="s">
        <v>978</v>
      </c>
      <c r="U677" s="139" t="str">
        <f t="shared" si="58"/>
        <v>_extract_inhaled_bulk_WT</v>
      </c>
      <c r="V677" s="140" t="str">
        <f>IF(U677="_","",_xlfn.XLOOKUP(U677,internal_cansku_inventory!D:D,internal_cansku_inventory!E:E,"",0,1))</f>
        <v/>
      </c>
    </row>
    <row r="678" spans="1:22" ht="12.45" customHeight="1">
      <c r="A678" s="132">
        <v>715</v>
      </c>
      <c r="B678" s="132">
        <v>0</v>
      </c>
      <c r="C678" s="154" t="str">
        <f>Table1[[#This Row],[inventory_id_head]]&amp;"-"&amp;Table1[[#This Row],[inventory_id_tail]]</f>
        <v>715-0</v>
      </c>
      <c r="D678" s="153" t="s">
        <v>653</v>
      </c>
      <c r="E678" s="133" t="s">
        <v>655</v>
      </c>
      <c r="F678" s="133" t="s">
        <v>655</v>
      </c>
      <c r="G678" s="133" t="str">
        <f t="shared" si="59"/>
        <v>NANA</v>
      </c>
      <c r="H678" s="153" t="s">
        <v>1528</v>
      </c>
      <c r="I678" s="133"/>
      <c r="J678" s="133" t="s">
        <v>1531</v>
      </c>
      <c r="K678" s="134" t="s">
        <v>655</v>
      </c>
      <c r="L678" s="135">
        <v>1</v>
      </c>
      <c r="M678" s="133" t="s">
        <v>994</v>
      </c>
      <c r="N678" s="136">
        <f>Table1[[#This Row],[gross_weight]]-Table1[[#This Row],[tare_weight]]</f>
        <v>1782.1</v>
      </c>
      <c r="O678" s="136">
        <v>2735</v>
      </c>
      <c r="P678" s="136">
        <v>952.9</v>
      </c>
      <c r="Q678" s="137">
        <f>Table1[[#This Row],[number_of_unit]]*Table1[[#This Row],[net_weight_per_unit]]</f>
        <v>1782.1</v>
      </c>
      <c r="R678" s="133"/>
      <c r="S678" s="138">
        <v>45719.70416666667</v>
      </c>
      <c r="T678" s="133" t="s">
        <v>978</v>
      </c>
      <c r="U678" s="139" t="str">
        <f t="shared" si="58"/>
        <v>_extract_inhaled_bulk_WT</v>
      </c>
      <c r="V678" s="140" t="str">
        <f>IF(U678="_","",_xlfn.XLOOKUP(U678,internal_cansku_inventory!D:D,internal_cansku_inventory!E:E,"",0,1))</f>
        <v/>
      </c>
    </row>
    <row r="679" spans="1:22" ht="12.45" customHeight="1">
      <c r="A679" s="154">
        <v>716</v>
      </c>
      <c r="B679" s="132">
        <v>0</v>
      </c>
      <c r="C679" s="154" t="str">
        <f>Table1[[#This Row],[inventory_id_head]]&amp;"-"&amp;Table1[[#This Row],[inventory_id_tail]]</f>
        <v>716-0</v>
      </c>
      <c r="D679" s="153" t="s">
        <v>653</v>
      </c>
      <c r="E679" s="133" t="s">
        <v>655</v>
      </c>
      <c r="F679" s="133" t="s">
        <v>655</v>
      </c>
      <c r="G679" s="133" t="str">
        <f t="shared" si="59"/>
        <v>NANA</v>
      </c>
      <c r="H679" s="153" t="s">
        <v>1532</v>
      </c>
      <c r="I679" s="133"/>
      <c r="J679" s="133" t="s">
        <v>1534</v>
      </c>
      <c r="K679" s="134" t="s">
        <v>655</v>
      </c>
      <c r="L679" s="135">
        <v>1</v>
      </c>
      <c r="M679" s="133" t="s">
        <v>994</v>
      </c>
      <c r="N679" s="136">
        <f>Table1[[#This Row],[gross_weight]]-Table1[[#This Row],[tare_weight]]</f>
        <v>5754</v>
      </c>
      <c r="O679" s="136">
        <v>7845</v>
      </c>
      <c r="P679" s="136">
        <v>2091</v>
      </c>
      <c r="Q679" s="137">
        <f>Table1[[#This Row],[number_of_unit]]*Table1[[#This Row],[net_weight_per_unit]]</f>
        <v>5754</v>
      </c>
      <c r="R679" s="133"/>
      <c r="S679" s="138">
        <v>45719.70416666667</v>
      </c>
      <c r="T679" s="153" t="s">
        <v>978</v>
      </c>
      <c r="U679" s="139" t="str">
        <f t="shared" si="58"/>
        <v>_extract_ingested_bulk_WT</v>
      </c>
      <c r="V679" s="140" t="str">
        <f>IF(U679="_","",_xlfn.XLOOKUP(U679,internal_cansku_inventory!D:D,internal_cansku_inventory!E:E,"",0,1))</f>
        <v/>
      </c>
    </row>
    <row r="680" spans="1:22" ht="12.45" customHeight="1">
      <c r="A680" s="154">
        <v>717</v>
      </c>
      <c r="B680" s="132">
        <v>0</v>
      </c>
      <c r="C680" s="154" t="str">
        <f>Table1[[#This Row],[inventory_id_head]]&amp;"-"&amp;Table1[[#This Row],[inventory_id_tail]]</f>
        <v>717-0</v>
      </c>
      <c r="D680" s="153" t="s">
        <v>653</v>
      </c>
      <c r="E680" s="133" t="s">
        <v>655</v>
      </c>
      <c r="F680" s="133" t="s">
        <v>655</v>
      </c>
      <c r="G680" s="133" t="str">
        <f t="shared" si="59"/>
        <v>NANA</v>
      </c>
      <c r="H680" s="133" t="s">
        <v>1532</v>
      </c>
      <c r="I680" s="133"/>
      <c r="J680" s="133" t="s">
        <v>1534</v>
      </c>
      <c r="K680" s="134" t="s">
        <v>655</v>
      </c>
      <c r="L680" s="135">
        <v>1</v>
      </c>
      <c r="M680" s="133" t="s">
        <v>994</v>
      </c>
      <c r="N680" s="136">
        <f>Table1[[#This Row],[gross_weight]]-Table1[[#This Row],[tare_weight]]</f>
        <v>15014</v>
      </c>
      <c r="O680" s="136">
        <v>17450</v>
      </c>
      <c r="P680" s="136">
        <v>2436</v>
      </c>
      <c r="Q680" s="137">
        <f>Table1[[#This Row],[number_of_unit]]*Table1[[#This Row],[net_weight_per_unit]]</f>
        <v>15014</v>
      </c>
      <c r="R680" s="133"/>
      <c r="S680" s="138">
        <v>45719.70416666667</v>
      </c>
      <c r="T680" s="153" t="s">
        <v>978</v>
      </c>
      <c r="U680" s="139" t="str">
        <f t="shared" si="58"/>
        <v>_extract_ingested_bulk_WT</v>
      </c>
      <c r="V680" s="140" t="str">
        <f>IF(U680="_","",_xlfn.XLOOKUP(U680,internal_cansku_inventory!D:D,internal_cansku_inventory!E:E,"",0,1))</f>
        <v/>
      </c>
    </row>
    <row r="681" spans="1:22" ht="12.45" customHeight="1">
      <c r="A681" s="132">
        <v>718</v>
      </c>
      <c r="B681" s="132">
        <v>0</v>
      </c>
      <c r="C681" s="154" t="str">
        <f>Table1[[#This Row],[inventory_id_head]]&amp;"-"&amp;Table1[[#This Row],[inventory_id_tail]]</f>
        <v>718-0</v>
      </c>
      <c r="D681" s="153" t="s">
        <v>653</v>
      </c>
      <c r="E681" s="133" t="s">
        <v>655</v>
      </c>
      <c r="F681" s="133" t="s">
        <v>655</v>
      </c>
      <c r="G681" s="133" t="str">
        <f t="shared" si="59"/>
        <v>NANA</v>
      </c>
      <c r="H681" s="133" t="s">
        <v>1532</v>
      </c>
      <c r="I681" s="133"/>
      <c r="J681" s="133" t="s">
        <v>1534</v>
      </c>
      <c r="K681" s="134" t="s">
        <v>655</v>
      </c>
      <c r="L681" s="135">
        <v>1</v>
      </c>
      <c r="M681" s="133" t="s">
        <v>994</v>
      </c>
      <c r="N681" s="136">
        <f>Table1[[#This Row],[gross_weight]]-Table1[[#This Row],[tare_weight]]</f>
        <v>3696</v>
      </c>
      <c r="O681" s="136">
        <v>5640</v>
      </c>
      <c r="P681" s="136">
        <v>1944</v>
      </c>
      <c r="Q681" s="137">
        <f>Table1[[#This Row],[number_of_unit]]*Table1[[#This Row],[net_weight_per_unit]]</f>
        <v>3696</v>
      </c>
      <c r="R681" s="133"/>
      <c r="S681" s="138">
        <v>45719.70416666667</v>
      </c>
      <c r="T681" s="153" t="s">
        <v>978</v>
      </c>
      <c r="U681" s="139" t="str">
        <f t="shared" si="58"/>
        <v>_extract_ingested_bulk_WT</v>
      </c>
      <c r="V681" s="140" t="str">
        <f>IF(U681="_","",_xlfn.XLOOKUP(U681,internal_cansku_inventory!D:D,internal_cansku_inventory!E:E,"",0,1))</f>
        <v/>
      </c>
    </row>
    <row r="682" spans="1:22" ht="12.45" customHeight="1">
      <c r="A682" s="154">
        <v>719</v>
      </c>
      <c r="B682" s="132">
        <v>0</v>
      </c>
      <c r="C682" s="154" t="str">
        <f>Table1[[#This Row],[inventory_id_head]]&amp;"-"&amp;Table1[[#This Row],[inventory_id_tail]]</f>
        <v>719-0</v>
      </c>
      <c r="D682" s="133" t="s">
        <v>653</v>
      </c>
      <c r="E682" s="133" t="s">
        <v>655</v>
      </c>
      <c r="F682" s="133" t="s">
        <v>655</v>
      </c>
      <c r="G682" s="133" t="str">
        <f t="shared" si="59"/>
        <v>NANA</v>
      </c>
      <c r="H682" s="133" t="s">
        <v>1528</v>
      </c>
      <c r="I682" s="133"/>
      <c r="J682" s="133" t="s">
        <v>1536</v>
      </c>
      <c r="K682" s="134" t="s">
        <v>655</v>
      </c>
      <c r="L682" s="135">
        <v>1</v>
      </c>
      <c r="M682" s="133" t="s">
        <v>994</v>
      </c>
      <c r="N682" s="136">
        <f>Table1[[#This Row],[gross_weight]]-Table1[[#This Row],[tare_weight]]</f>
        <v>10875</v>
      </c>
      <c r="O682" s="136">
        <v>12845</v>
      </c>
      <c r="P682" s="136">
        <v>1970</v>
      </c>
      <c r="Q682" s="137">
        <f>Table1[[#This Row],[number_of_unit]]*Table1[[#This Row],[net_weight_per_unit]]</f>
        <v>10875</v>
      </c>
      <c r="R682" s="133"/>
      <c r="S682" s="138">
        <v>45719.70416666667</v>
      </c>
      <c r="T682" s="153" t="s">
        <v>978</v>
      </c>
      <c r="U682" s="139" t="str">
        <f t="shared" si="58"/>
        <v>_extract_inhaled_bulk_WT</v>
      </c>
      <c r="V682" s="140" t="str">
        <f>IF(U682="_","",_xlfn.XLOOKUP(U682,internal_cansku_inventory!D:D,internal_cansku_inventory!E:E,"",0,1))</f>
        <v/>
      </c>
    </row>
    <row r="683" spans="1:22" ht="12.45" customHeight="1">
      <c r="A683" s="154">
        <v>720</v>
      </c>
      <c r="B683" s="132">
        <v>0</v>
      </c>
      <c r="C683" s="154" t="str">
        <f>Table1[[#This Row],[inventory_id_head]]&amp;"-"&amp;Table1[[#This Row],[inventory_id_tail]]</f>
        <v>720-0</v>
      </c>
      <c r="D683" s="133" t="s">
        <v>653</v>
      </c>
      <c r="E683" s="133" t="s">
        <v>655</v>
      </c>
      <c r="F683" s="133" t="s">
        <v>655</v>
      </c>
      <c r="G683" s="133" t="str">
        <f t="shared" si="59"/>
        <v>NANA</v>
      </c>
      <c r="H683" s="133" t="s">
        <v>1528</v>
      </c>
      <c r="I683" s="133"/>
      <c r="J683" s="133" t="s">
        <v>1536</v>
      </c>
      <c r="K683" s="134" t="s">
        <v>655</v>
      </c>
      <c r="L683" s="135">
        <v>1</v>
      </c>
      <c r="M683" s="133" t="s">
        <v>994</v>
      </c>
      <c r="N683" s="136">
        <f>Table1[[#This Row],[gross_weight]]-Table1[[#This Row],[tare_weight]]</f>
        <v>18890</v>
      </c>
      <c r="O683" s="136">
        <v>20310</v>
      </c>
      <c r="P683" s="136">
        <v>1420</v>
      </c>
      <c r="Q683" s="137">
        <f>Table1[[#This Row],[number_of_unit]]*Table1[[#This Row],[net_weight_per_unit]]</f>
        <v>18890</v>
      </c>
      <c r="R683" s="133"/>
      <c r="S683" s="138">
        <v>45719.70416666667</v>
      </c>
      <c r="T683" s="153" t="s">
        <v>978</v>
      </c>
      <c r="U683" s="139" t="str">
        <f t="shared" si="58"/>
        <v>_extract_inhaled_bulk_WT</v>
      </c>
      <c r="V683" s="140" t="str">
        <f>IF(U683="_","",_xlfn.XLOOKUP(U683,internal_cansku_inventory!D:D,internal_cansku_inventory!E:E,"",0,1))</f>
        <v/>
      </c>
    </row>
    <row r="684" spans="1:22" ht="12.45" customHeight="1">
      <c r="A684" s="132">
        <v>721</v>
      </c>
      <c r="B684" s="132">
        <v>0</v>
      </c>
      <c r="C684" s="132" t="str">
        <f>Table1[[#This Row],[inventory_id_head]]&amp;"-"&amp;Table1[[#This Row],[inventory_id_tail]]</f>
        <v>721-0</v>
      </c>
      <c r="D684" s="133" t="s">
        <v>653</v>
      </c>
      <c r="E684" s="133" t="s">
        <v>655</v>
      </c>
      <c r="F684" s="133" t="s">
        <v>655</v>
      </c>
      <c r="G684" s="133" t="str">
        <f t="shared" si="59"/>
        <v>NANA</v>
      </c>
      <c r="H684" s="133" t="s">
        <v>453</v>
      </c>
      <c r="I684" s="133"/>
      <c r="J684" s="133" t="s">
        <v>1537</v>
      </c>
      <c r="K684" s="134" t="s">
        <v>655</v>
      </c>
      <c r="L684" s="135">
        <v>71</v>
      </c>
      <c r="M684" s="133" t="s">
        <v>858</v>
      </c>
      <c r="N684" s="136">
        <v>27.6</v>
      </c>
      <c r="O684" s="136">
        <v>20310</v>
      </c>
      <c r="P684" s="136">
        <v>1420</v>
      </c>
      <c r="Q684" s="137">
        <f>Table1[[#This Row],[number_of_unit]]*Table1[[#This Row],[net_weight_per_unit]]</f>
        <v>1959.6000000000001</v>
      </c>
      <c r="R684" s="133"/>
      <c r="S684" s="138">
        <v>45719.70416666667</v>
      </c>
      <c r="T684" s="153" t="s">
        <v>978</v>
      </c>
      <c r="U684" s="139" t="str">
        <f t="shared" si="58"/>
        <v>_extract_inhaled_packaged_WT</v>
      </c>
      <c r="V684" s="140" t="str">
        <f>IF(U684="_","",_xlfn.XLOOKUP(U684,internal_cansku_inventory!D:D,internal_cansku_inventory!E:E,"",0,1))</f>
        <v/>
      </c>
    </row>
    <row r="685" spans="1:22" ht="12.45" customHeight="1">
      <c r="A685" s="154">
        <v>723</v>
      </c>
      <c r="B685" s="132">
        <v>0</v>
      </c>
      <c r="C685" s="154" t="str">
        <f>Table1[[#This Row],[inventory_id_head]]&amp;"-"&amp;Table1[[#This Row],[inventory_id_tail]]</f>
        <v>723-0</v>
      </c>
      <c r="D685" s="133" t="s">
        <v>653</v>
      </c>
      <c r="E685" s="133" t="s">
        <v>655</v>
      </c>
      <c r="F685" s="133" t="s">
        <v>655</v>
      </c>
      <c r="G685" s="133" t="str">
        <f t="shared" ref="G685:G710" si="60">E685&amp;F685</f>
        <v>NANA</v>
      </c>
      <c r="H685" s="133" t="s">
        <v>1532</v>
      </c>
      <c r="I685" s="133"/>
      <c r="J685" s="133" t="s">
        <v>1538</v>
      </c>
      <c r="K685" s="134">
        <v>45267</v>
      </c>
      <c r="L685" s="135">
        <v>1</v>
      </c>
      <c r="M685" s="133" t="s">
        <v>1539</v>
      </c>
      <c r="N685" s="136">
        <f>Table1[[#This Row],[gross_weight]]-Table1[[#This Row],[tare_weight]]</f>
        <v>323.8</v>
      </c>
      <c r="O685" s="136">
        <v>825</v>
      </c>
      <c r="P685" s="136">
        <v>501.2</v>
      </c>
      <c r="Q685" s="137">
        <f>Table1[[#This Row],[number_of_unit]]*Table1[[#This Row],[net_weight_per_unit]]</f>
        <v>323.8</v>
      </c>
      <c r="R685" s="133"/>
      <c r="S685" s="138">
        <v>45719.70416666667</v>
      </c>
      <c r="T685" s="153" t="s">
        <v>978</v>
      </c>
      <c r="U685" s="139" t="str">
        <f t="shared" si="58"/>
        <v>_extract_ingested_bulk_WT</v>
      </c>
      <c r="V685" s="140" t="str">
        <f>IF(U685="_","",_xlfn.XLOOKUP(U685,internal_cansku_inventory!D:D,internal_cansku_inventory!E:E,"",0,1))</f>
        <v/>
      </c>
    </row>
    <row r="686" spans="1:22" ht="12.45" customHeight="1">
      <c r="A686" s="154">
        <v>724</v>
      </c>
      <c r="B686" s="132">
        <v>0</v>
      </c>
      <c r="C686" s="154" t="str">
        <f>Table1[[#This Row],[inventory_id_head]]&amp;"-"&amp;Table1[[#This Row],[inventory_id_tail]]</f>
        <v>724-0</v>
      </c>
      <c r="D686" s="133" t="s">
        <v>653</v>
      </c>
      <c r="E686" s="133" t="s">
        <v>655</v>
      </c>
      <c r="F686" s="133" t="s">
        <v>655</v>
      </c>
      <c r="G686" s="133" t="str">
        <f t="shared" si="60"/>
        <v>NANA</v>
      </c>
      <c r="H686" s="133" t="s">
        <v>457</v>
      </c>
      <c r="I686" s="133"/>
      <c r="J686" s="133" t="s">
        <v>1537</v>
      </c>
      <c r="K686" s="134">
        <v>45626</v>
      </c>
      <c r="L686" s="135">
        <v>17</v>
      </c>
      <c r="M686" s="133" t="s">
        <v>858</v>
      </c>
      <c r="N686" s="136">
        <v>27.6</v>
      </c>
      <c r="O686" s="136">
        <v>0</v>
      </c>
      <c r="P686" s="136">
        <v>0</v>
      </c>
      <c r="Q686" s="137">
        <f>Table1[[#This Row],[number_of_unit]]*Table1[[#This Row],[net_weight_per_unit]]</f>
        <v>469.20000000000005</v>
      </c>
      <c r="R686" s="133"/>
      <c r="S686" s="138">
        <v>45719.727777777778</v>
      </c>
      <c r="T686" s="153" t="s">
        <v>657</v>
      </c>
      <c r="U686" s="139" t="str">
        <f t="shared" si="58"/>
        <v>_extract_inhaled_labelled_WT</v>
      </c>
      <c r="V686" s="140" t="str">
        <f>IF(U686="_","",_xlfn.XLOOKUP(U686,internal_cansku_inventory!D:D,internal_cansku_inventory!E:E,"",0,1))</f>
        <v/>
      </c>
    </row>
    <row r="687" spans="1:22" ht="12.45" customHeight="1">
      <c r="A687" s="132">
        <v>725</v>
      </c>
      <c r="B687" s="132">
        <v>0</v>
      </c>
      <c r="C687" s="132" t="str">
        <f>Table1[[#This Row],[inventory_id_head]]&amp;"-"&amp;Table1[[#This Row],[inventory_id_tail]]</f>
        <v>725-0</v>
      </c>
      <c r="D687" s="133" t="s">
        <v>653</v>
      </c>
      <c r="E687" s="133" t="s">
        <v>655</v>
      </c>
      <c r="F687" s="133" t="s">
        <v>655</v>
      </c>
      <c r="G687" s="133" t="str">
        <f t="shared" si="60"/>
        <v>NANA</v>
      </c>
      <c r="H687" s="133" t="s">
        <v>1540</v>
      </c>
      <c r="I687" s="133"/>
      <c r="J687" s="133" t="s">
        <v>1476</v>
      </c>
      <c r="K687" s="134">
        <v>45388</v>
      </c>
      <c r="L687" s="135">
        <v>28</v>
      </c>
      <c r="M687" s="133" t="s">
        <v>683</v>
      </c>
      <c r="N687" s="136">
        <v>6</v>
      </c>
      <c r="O687" s="136">
        <v>0</v>
      </c>
      <c r="P687" s="136">
        <v>0</v>
      </c>
      <c r="Q687" s="137">
        <f>Table1[[#This Row],[number_of_unit]]*Table1[[#This Row],[net_weight_per_unit]]</f>
        <v>168</v>
      </c>
      <c r="R687" s="133"/>
      <c r="S687" s="138">
        <v>45719.727777777778</v>
      </c>
      <c r="T687" s="153" t="s">
        <v>657</v>
      </c>
      <c r="U687" s="139" t="str">
        <f t="shared" si="58"/>
        <v>_extract_inhaled_cased_AB_RTV_WT</v>
      </c>
      <c r="V687" s="140" t="str">
        <f>IF(U687="_","",_xlfn.XLOOKUP(U687,internal_cansku_inventory!D:D,internal_cansku_inventory!E:E,"",0,1))</f>
        <v/>
      </c>
    </row>
    <row r="688" spans="1:22" ht="12.45" customHeight="1">
      <c r="A688" s="154">
        <v>726</v>
      </c>
      <c r="B688" s="132">
        <v>0</v>
      </c>
      <c r="C688" s="154" t="str">
        <f>Table1[[#This Row],[inventory_id_head]]&amp;"-"&amp;Table1[[#This Row],[inventory_id_tail]]</f>
        <v>726-0</v>
      </c>
      <c r="D688" s="133" t="s">
        <v>653</v>
      </c>
      <c r="E688" s="133" t="s">
        <v>655</v>
      </c>
      <c r="F688" s="133" t="s">
        <v>655</v>
      </c>
      <c r="G688" s="133" t="str">
        <f t="shared" si="60"/>
        <v>NANA</v>
      </c>
      <c r="H688" s="133" t="s">
        <v>1542</v>
      </c>
      <c r="I688" s="133"/>
      <c r="J688" s="133" t="s">
        <v>1544</v>
      </c>
      <c r="K688" s="134">
        <v>45001</v>
      </c>
      <c r="L688" s="135">
        <v>48</v>
      </c>
      <c r="M688" s="133" t="s">
        <v>683</v>
      </c>
      <c r="N688" s="136">
        <f>12*1.5</f>
        <v>18</v>
      </c>
      <c r="O688" s="136">
        <v>0</v>
      </c>
      <c r="P688" s="136">
        <v>0</v>
      </c>
      <c r="Q688" s="137">
        <f>Table1[[#This Row],[number_of_unit]]*Table1[[#This Row],[net_weight_per_unit]]</f>
        <v>864</v>
      </c>
      <c r="R688" s="133"/>
      <c r="S688" s="138">
        <v>45719.727777777778</v>
      </c>
      <c r="T688" s="153" t="s">
        <v>657</v>
      </c>
      <c r="U688" s="139" t="str">
        <f t="shared" si="58"/>
        <v>_extract_inhaled_cased_ON_RTV_WT</v>
      </c>
      <c r="V688" s="140" t="str">
        <f>IF(U688="_","",_xlfn.XLOOKUP(U688,internal_cansku_inventory!D:D,internal_cansku_inventory!E:E,"",0,1))</f>
        <v/>
      </c>
    </row>
    <row r="689" spans="1:22" ht="12.45" customHeight="1">
      <c r="A689" s="154">
        <v>727</v>
      </c>
      <c r="B689" s="132">
        <v>0</v>
      </c>
      <c r="C689" s="154" t="str">
        <f>Table1[[#This Row],[inventory_id_head]]&amp;"-"&amp;Table1[[#This Row],[inventory_id_tail]]</f>
        <v>727-0</v>
      </c>
      <c r="D689" s="133" t="s">
        <v>653</v>
      </c>
      <c r="E689" s="133" t="s">
        <v>655</v>
      </c>
      <c r="F689" s="133" t="s">
        <v>655</v>
      </c>
      <c r="G689" s="133" t="str">
        <f t="shared" si="60"/>
        <v>NANA</v>
      </c>
      <c r="H689" s="133" t="s">
        <v>1545</v>
      </c>
      <c r="I689" s="133"/>
      <c r="J689" s="133" t="s">
        <v>1473</v>
      </c>
      <c r="K689" s="134">
        <v>44907</v>
      </c>
      <c r="L689" s="135">
        <v>6</v>
      </c>
      <c r="M689" s="133" t="s">
        <v>683</v>
      </c>
      <c r="N689" s="136">
        <f>27.6*12</f>
        <v>331.20000000000005</v>
      </c>
      <c r="O689" s="136">
        <v>0</v>
      </c>
      <c r="P689" s="136">
        <v>0</v>
      </c>
      <c r="Q689" s="137">
        <f>Table1[[#This Row],[number_of_unit]]*Table1[[#This Row],[net_weight_per_unit]]</f>
        <v>1987.2000000000003</v>
      </c>
      <c r="R689" s="133"/>
      <c r="S689" s="138">
        <v>45719.727777777778</v>
      </c>
      <c r="T689" s="153" t="s">
        <v>657</v>
      </c>
      <c r="U689" s="139" t="str">
        <f t="shared" si="58"/>
        <v>_extract_ingested_cased_ON_RTV_WT</v>
      </c>
      <c r="V689" s="140" t="str">
        <f>IF(U689="_","",_xlfn.XLOOKUP(U689,internal_cansku_inventory!D:D,internal_cansku_inventory!E:E,"",0,1))</f>
        <v/>
      </c>
    </row>
    <row r="690" spans="1:22" ht="12.45" customHeight="1">
      <c r="A690" s="132">
        <v>728</v>
      </c>
      <c r="B690" s="132">
        <v>0</v>
      </c>
      <c r="C690" s="132" t="str">
        <f>Table1[[#This Row],[inventory_id_head]]&amp;"-"&amp;Table1[[#This Row],[inventory_id_tail]]</f>
        <v>728-0</v>
      </c>
      <c r="D690" s="133" t="s">
        <v>653</v>
      </c>
      <c r="E690" s="133" t="s">
        <v>655</v>
      </c>
      <c r="F690" s="133" t="s">
        <v>655</v>
      </c>
      <c r="G690" s="133" t="str">
        <f t="shared" si="60"/>
        <v>NANA</v>
      </c>
      <c r="H690" s="133" t="s">
        <v>1546</v>
      </c>
      <c r="I690" s="133"/>
      <c r="J690" s="133" t="s">
        <v>1547</v>
      </c>
      <c r="K690" s="134">
        <v>45423</v>
      </c>
      <c r="L690" s="135">
        <v>4</v>
      </c>
      <c r="M690" s="133" t="s">
        <v>683</v>
      </c>
      <c r="N690" s="136">
        <f>12*88</f>
        <v>1056</v>
      </c>
      <c r="O690" s="136">
        <v>0</v>
      </c>
      <c r="P690" s="136">
        <v>0</v>
      </c>
      <c r="Q690" s="137">
        <f>Table1[[#This Row],[number_of_unit]]*Table1[[#This Row],[net_weight_per_unit]]</f>
        <v>4224</v>
      </c>
      <c r="R690" s="133"/>
      <c r="S690" s="138">
        <v>45719.727777777778</v>
      </c>
      <c r="T690" s="153" t="s">
        <v>657</v>
      </c>
      <c r="U690" s="139" t="str">
        <f t="shared" si="58"/>
        <v>_topical_cased_MB_RTV</v>
      </c>
      <c r="V690" s="140" t="str">
        <f>IF(U690="_","",_xlfn.XLOOKUP(U690,internal_cansku_inventory!D:D,internal_cansku_inventory!E:E,"",0,1))</f>
        <v/>
      </c>
    </row>
    <row r="691" spans="1:22" ht="12.45" customHeight="1">
      <c r="A691" s="154">
        <v>729</v>
      </c>
      <c r="B691" s="132">
        <v>0</v>
      </c>
      <c r="C691" s="154" t="str">
        <f>Table1[[#This Row],[inventory_id_head]]&amp;"-"&amp;Table1[[#This Row],[inventory_id_tail]]</f>
        <v>729-0</v>
      </c>
      <c r="D691" s="133" t="s">
        <v>653</v>
      </c>
      <c r="E691" s="133" t="s">
        <v>655</v>
      </c>
      <c r="F691" s="133" t="s">
        <v>655</v>
      </c>
      <c r="G691" s="133" t="str">
        <f t="shared" si="60"/>
        <v>NANA</v>
      </c>
      <c r="H691" s="133" t="s">
        <v>1548</v>
      </c>
      <c r="I691" s="133"/>
      <c r="J691" s="133" t="s">
        <v>1504</v>
      </c>
      <c r="K691" s="134">
        <v>45213</v>
      </c>
      <c r="L691" s="135">
        <v>3</v>
      </c>
      <c r="M691" s="133" t="s">
        <v>683</v>
      </c>
      <c r="N691" s="136">
        <f>12*88</f>
        <v>1056</v>
      </c>
      <c r="O691" s="136">
        <v>0</v>
      </c>
      <c r="P691" s="136">
        <v>0</v>
      </c>
      <c r="Q691" s="137">
        <f>Table1[[#This Row],[number_of_unit]]*Table1[[#This Row],[net_weight_per_unit]]</f>
        <v>3168</v>
      </c>
      <c r="R691" s="133"/>
      <c r="S691" s="138">
        <v>45719.727777777778</v>
      </c>
      <c r="T691" s="153" t="s">
        <v>657</v>
      </c>
      <c r="U691" s="139" t="str">
        <f t="shared" si="58"/>
        <v>_topical_cased_SK_RTV</v>
      </c>
      <c r="V691" s="140" t="str">
        <f>IF(U691="_","",_xlfn.XLOOKUP(U691,internal_cansku_inventory!D:D,internal_cansku_inventory!E:E,"",0,1))</f>
        <v/>
      </c>
    </row>
    <row r="692" spans="1:22" ht="12.45" customHeight="1">
      <c r="A692" s="132">
        <v>730</v>
      </c>
      <c r="B692" s="132">
        <v>0</v>
      </c>
      <c r="C692" s="132" t="str">
        <f>Table1[[#This Row],[inventory_id_head]]&amp;"-"&amp;Table1[[#This Row],[inventory_id_tail]]</f>
        <v>730-0</v>
      </c>
      <c r="D692" s="133" t="s">
        <v>653</v>
      </c>
      <c r="E692" s="133" t="s">
        <v>655</v>
      </c>
      <c r="F692" s="133" t="s">
        <v>655</v>
      </c>
      <c r="G692" s="133" t="str">
        <f t="shared" si="60"/>
        <v>NANA</v>
      </c>
      <c r="H692" s="133" t="s">
        <v>1548</v>
      </c>
      <c r="I692" s="133"/>
      <c r="J692" s="133" t="s">
        <v>1504</v>
      </c>
      <c r="K692" s="134">
        <v>45213</v>
      </c>
      <c r="L692" s="135">
        <v>1</v>
      </c>
      <c r="M692" s="133" t="s">
        <v>683</v>
      </c>
      <c r="N692" s="136">
        <f>12*88</f>
        <v>1056</v>
      </c>
      <c r="O692" s="136">
        <v>0</v>
      </c>
      <c r="P692" s="136">
        <v>0</v>
      </c>
      <c r="Q692" s="137">
        <f>Table1[[#This Row],[number_of_unit]]*Table1[[#This Row],[net_weight_per_unit]]</f>
        <v>1056</v>
      </c>
      <c r="R692" s="133"/>
      <c r="S692" s="138">
        <v>45719.727777777778</v>
      </c>
      <c r="T692" s="153" t="s">
        <v>657</v>
      </c>
      <c r="U692" s="139" t="str">
        <f t="shared" si="58"/>
        <v>_topical_cased_SK_RTV</v>
      </c>
      <c r="V692" s="140" t="str">
        <f>IF(U692="_","",_xlfn.XLOOKUP(U692,internal_cansku_inventory!D:D,internal_cansku_inventory!E:E,"",0,1))</f>
        <v/>
      </c>
    </row>
    <row r="693" spans="1:22" ht="12.45" customHeight="1">
      <c r="A693" s="154">
        <v>731</v>
      </c>
      <c r="B693" s="132">
        <v>0</v>
      </c>
      <c r="C693" s="154" t="str">
        <f>Table1[[#This Row],[inventory_id_head]]&amp;"-"&amp;Table1[[#This Row],[inventory_id_tail]]</f>
        <v>731-0</v>
      </c>
      <c r="D693" s="133" t="s">
        <v>653</v>
      </c>
      <c r="E693" s="133" t="s">
        <v>655</v>
      </c>
      <c r="F693" s="133" t="s">
        <v>655</v>
      </c>
      <c r="G693" s="133" t="str">
        <f t="shared" si="60"/>
        <v>NANA</v>
      </c>
      <c r="H693" s="133" t="s">
        <v>462</v>
      </c>
      <c r="I693" s="133"/>
      <c r="J693" s="133" t="s">
        <v>1547</v>
      </c>
      <c r="K693" s="134">
        <v>45423</v>
      </c>
      <c r="L693" s="135">
        <v>7</v>
      </c>
      <c r="M693" s="133" t="s">
        <v>683</v>
      </c>
      <c r="N693" s="136">
        <f>12*88</f>
        <v>1056</v>
      </c>
      <c r="O693" s="136">
        <v>0</v>
      </c>
      <c r="P693" s="136">
        <v>0</v>
      </c>
      <c r="Q693" s="137">
        <f>Table1[[#This Row],[number_of_unit]]*Table1[[#This Row],[net_weight_per_unit]]</f>
        <v>7392</v>
      </c>
      <c r="R693" s="133"/>
      <c r="S693" s="138">
        <v>45719.727777777778</v>
      </c>
      <c r="T693" s="153" t="s">
        <v>657</v>
      </c>
      <c r="U693" s="139" t="str">
        <f t="shared" si="58"/>
        <v>_topical_cased_ON_RTV</v>
      </c>
      <c r="V693" s="140" t="str">
        <f>IF(U693="_","",_xlfn.XLOOKUP(U693,internal_cansku_inventory!D:D,internal_cansku_inventory!E:E,"",0,1))</f>
        <v/>
      </c>
    </row>
    <row r="694" spans="1:22" ht="12.45" customHeight="1">
      <c r="A694" s="132">
        <v>732</v>
      </c>
      <c r="B694" s="132">
        <v>0</v>
      </c>
      <c r="C694" s="132" t="str">
        <f>Table1[[#This Row],[inventory_id_head]]&amp;"-"&amp;Table1[[#This Row],[inventory_id_tail]]</f>
        <v>732-0</v>
      </c>
      <c r="D694" s="133" t="s">
        <v>653</v>
      </c>
      <c r="E694" s="133" t="s">
        <v>655</v>
      </c>
      <c r="F694" s="133" t="s">
        <v>655</v>
      </c>
      <c r="G694" s="133" t="str">
        <f t="shared" si="60"/>
        <v>NANA</v>
      </c>
      <c r="H694" s="133" t="s">
        <v>1546</v>
      </c>
      <c r="I694" s="133"/>
      <c r="J694" s="133" t="s">
        <v>1549</v>
      </c>
      <c r="K694" s="134">
        <v>45134</v>
      </c>
      <c r="L694" s="135">
        <v>15</v>
      </c>
      <c r="M694" s="133" t="s">
        <v>683</v>
      </c>
      <c r="N694" s="136">
        <f>12*88</f>
        <v>1056</v>
      </c>
      <c r="O694" s="136">
        <v>0</v>
      </c>
      <c r="P694" s="136">
        <v>0</v>
      </c>
      <c r="Q694" s="137">
        <f>Table1[[#This Row],[number_of_unit]]*Table1[[#This Row],[net_weight_per_unit]]</f>
        <v>15840</v>
      </c>
      <c r="R694" s="133"/>
      <c r="S694" s="138">
        <v>45719.727777777778</v>
      </c>
      <c r="T694" s="153" t="s">
        <v>657</v>
      </c>
      <c r="U694" s="139" t="str">
        <f t="shared" si="58"/>
        <v>_topical_cased_MB_RTV</v>
      </c>
      <c r="V694" s="140" t="str">
        <f>IF(U694="_","",_xlfn.XLOOKUP(U694,internal_cansku_inventory!D:D,internal_cansku_inventory!E:E,"",0,1))</f>
        <v/>
      </c>
    </row>
    <row r="695" spans="1:22" ht="12.45" customHeight="1">
      <c r="A695" s="154">
        <v>4</v>
      </c>
      <c r="B695" s="132">
        <v>0</v>
      </c>
      <c r="C695" s="154" t="str">
        <f>Table1[[#This Row],[inventory_id_head]]&amp;"-"&amp;Table1[[#This Row],[inventory_id_tail]]</f>
        <v>4-0</v>
      </c>
      <c r="D695" s="133" t="s">
        <v>653</v>
      </c>
      <c r="E695" s="133" t="s">
        <v>702</v>
      </c>
      <c r="F695" s="133" t="s">
        <v>1550</v>
      </c>
      <c r="G695" s="133" t="str">
        <f t="shared" si="60"/>
        <v>T003MFB001MFI</v>
      </c>
      <c r="H695" s="133" t="s">
        <v>704</v>
      </c>
      <c r="I695" s="133"/>
      <c r="J695" s="133" t="s">
        <v>1551</v>
      </c>
      <c r="K695" s="134" t="s">
        <v>655</v>
      </c>
      <c r="L695" s="135">
        <v>1</v>
      </c>
      <c r="M695" s="133" t="s">
        <v>673</v>
      </c>
      <c r="N695" s="136">
        <f>Table1[[#This Row],[gross_weight]]-Table1[[#This Row],[tare_weight]]</f>
        <v>475</v>
      </c>
      <c r="O695" s="136">
        <v>575</v>
      </c>
      <c r="P695" s="136">
        <v>100</v>
      </c>
      <c r="Q695" s="137">
        <f>L695*N695</f>
        <v>475</v>
      </c>
      <c r="R695" s="133" t="s">
        <v>1552</v>
      </c>
      <c r="S695" s="138">
        <v>45720.451388888891</v>
      </c>
      <c r="T695" s="153" t="s">
        <v>664</v>
      </c>
      <c r="U695" s="139" t="str">
        <f t="shared" si="58"/>
        <v>_driedflower_milled_bulk</v>
      </c>
      <c r="V695" s="140" t="str">
        <f>IF(U695="_","",_xlfn.XLOOKUP(U695,internal_cansku_inventory!D:D,internal_cansku_inventory!E:E,"",0,1))</f>
        <v/>
      </c>
    </row>
    <row r="696" spans="1:22" ht="12.45" customHeight="1">
      <c r="A696" s="154">
        <v>99</v>
      </c>
      <c r="B696" s="132">
        <v>0</v>
      </c>
      <c r="C696" s="154" t="str">
        <f>Table1[[#This Row],[inventory_id_head]]&amp;"-"&amp;Table1[[#This Row],[inventory_id_tail]]</f>
        <v>99-0</v>
      </c>
      <c r="D696" s="133" t="s">
        <v>653</v>
      </c>
      <c r="E696" s="153" t="s">
        <v>1553</v>
      </c>
      <c r="F696" s="153" t="s">
        <v>55</v>
      </c>
      <c r="G696" s="133" t="str">
        <f t="shared" si="60"/>
        <v>P012MFNA</v>
      </c>
      <c r="H696" s="153" t="s">
        <v>704</v>
      </c>
      <c r="I696" s="153"/>
      <c r="J696" s="153" t="s">
        <v>801</v>
      </c>
      <c r="K696" s="155" t="s">
        <v>655</v>
      </c>
      <c r="L696" s="156">
        <v>1</v>
      </c>
      <c r="M696" s="153" t="s">
        <v>663</v>
      </c>
      <c r="N696" s="157">
        <f>O696-P696</f>
        <v>1563</v>
      </c>
      <c r="O696" s="136">
        <v>3328</v>
      </c>
      <c r="P696" s="136">
        <f>3350-1585</f>
        <v>1765</v>
      </c>
      <c r="Q696" s="137">
        <f>L696*N696</f>
        <v>1563</v>
      </c>
      <c r="R696" s="133"/>
      <c r="S696" s="138">
        <v>45720.454861111109</v>
      </c>
      <c r="T696" s="133" t="s">
        <v>664</v>
      </c>
      <c r="U696" s="139" t="str">
        <f t="shared" si="58"/>
        <v>_driedflower_milled_bulk</v>
      </c>
      <c r="V696" s="140" t="str">
        <f>IF(U696="_","",_xlfn.XLOOKUP(U696,internal_cansku_inventory!D:D,internal_cansku_inventory!E:E,"",0,1))</f>
        <v/>
      </c>
    </row>
    <row r="697" spans="1:22" ht="12.45" customHeight="1">
      <c r="A697" s="154">
        <v>139</v>
      </c>
      <c r="B697" s="132">
        <v>0</v>
      </c>
      <c r="C697" s="154" t="str">
        <f>Table1[[#This Row],[inventory_id_head]]&amp;"-"&amp;Table1[[#This Row],[inventory_id_tail]]</f>
        <v>139-0</v>
      </c>
      <c r="D697" s="133" t="s">
        <v>653</v>
      </c>
      <c r="E697" s="153" t="s">
        <v>847</v>
      </c>
      <c r="F697" s="153" t="s">
        <v>55</v>
      </c>
      <c r="G697" s="133" t="str">
        <f t="shared" si="60"/>
        <v>T025PRNA</v>
      </c>
      <c r="H697" s="153" t="s">
        <v>308</v>
      </c>
      <c r="I697" s="153"/>
      <c r="J697" s="153" t="s">
        <v>1554</v>
      </c>
      <c r="K697" s="155">
        <v>45510</v>
      </c>
      <c r="L697" s="156">
        <v>12</v>
      </c>
      <c r="M697" s="153" t="s">
        <v>644</v>
      </c>
      <c r="N697" s="136">
        <v>1</v>
      </c>
      <c r="O697" s="136">
        <v>0</v>
      </c>
      <c r="P697" s="136">
        <v>0</v>
      </c>
      <c r="Q697" s="137">
        <f>L697*N697</f>
        <v>12</v>
      </c>
      <c r="R697" s="133"/>
      <c r="S697" s="138">
        <v>45720.456250000003</v>
      </c>
      <c r="T697" s="153" t="s">
        <v>670</v>
      </c>
      <c r="U697" s="139" t="str">
        <f t="shared" si="58"/>
        <v>_preroll_labelled</v>
      </c>
      <c r="V697" s="140" t="str">
        <f>IF(U697="_","",_xlfn.XLOOKUP(U697,internal_cansku_inventory!D:D,internal_cansku_inventory!E:E,"",0,1))</f>
        <v/>
      </c>
    </row>
    <row r="698" spans="1:22" ht="12.45" customHeight="1">
      <c r="A698" s="132">
        <v>448</v>
      </c>
      <c r="B698" s="132">
        <v>0</v>
      </c>
      <c r="C698" s="132" t="str">
        <f>Table1[[#This Row],[inventory_id_head]]&amp;"-"&amp;Table1[[#This Row],[inventory_id_tail]]</f>
        <v>448-0</v>
      </c>
      <c r="D698" s="133" t="s">
        <v>680</v>
      </c>
      <c r="E698" s="133" t="s">
        <v>1555</v>
      </c>
      <c r="F698" s="153" t="s">
        <v>655</v>
      </c>
      <c r="G698" s="133" t="str">
        <f t="shared" si="60"/>
        <v>T086EXNA</v>
      </c>
      <c r="H698" s="133" t="s">
        <v>328</v>
      </c>
      <c r="I698" s="133"/>
      <c r="J698" s="133" t="s">
        <v>1187</v>
      </c>
      <c r="K698" s="134">
        <v>45594</v>
      </c>
      <c r="L698" s="148">
        <v>5</v>
      </c>
      <c r="M698" s="133" t="s">
        <v>644</v>
      </c>
      <c r="N698" s="136">
        <v>0.5</v>
      </c>
      <c r="O698" s="136">
        <v>0</v>
      </c>
      <c r="P698" s="136">
        <v>0</v>
      </c>
      <c r="Q698" s="137">
        <f>L698*N698</f>
        <v>2.5</v>
      </c>
      <c r="R698" s="133"/>
      <c r="S698" s="138">
        <v>45720.470138888886</v>
      </c>
      <c r="T698" s="153" t="s">
        <v>657</v>
      </c>
      <c r="U698" s="139" t="str">
        <f t="shared" si="58"/>
        <v>_extract_inhaled_labelled</v>
      </c>
      <c r="V698" s="140" t="str">
        <f>IF(U698="_","",_xlfn.XLOOKUP(U698,internal_cansku_inventory!D:D,internal_cansku_inventory!E:E,"",0,1))</f>
        <v/>
      </c>
    </row>
    <row r="699" spans="1:22" ht="12.45" customHeight="1">
      <c r="A699" s="154">
        <v>735</v>
      </c>
      <c r="B699" s="132">
        <v>0</v>
      </c>
      <c r="C699" s="154" t="str">
        <f>Table1[[#This Row],[inventory_id_head]]&amp;"-"&amp;Table1[[#This Row],[inventory_id_tail]]</f>
        <v>735-0</v>
      </c>
      <c r="D699" s="133" t="s">
        <v>653</v>
      </c>
      <c r="E699" s="153" t="s">
        <v>1556</v>
      </c>
      <c r="F699" s="153" t="s">
        <v>655</v>
      </c>
      <c r="G699" s="133" t="str">
        <f t="shared" si="60"/>
        <v>T061PRNA</v>
      </c>
      <c r="H699" s="153" t="s">
        <v>308</v>
      </c>
      <c r="I699" s="153"/>
      <c r="J699" s="153" t="s">
        <v>1557</v>
      </c>
      <c r="K699" s="155">
        <v>45728</v>
      </c>
      <c r="L699" s="156">
        <v>252</v>
      </c>
      <c r="M699" s="153" t="s">
        <v>644</v>
      </c>
      <c r="N699" s="157">
        <v>2</v>
      </c>
      <c r="O699" s="136">
        <v>0</v>
      </c>
      <c r="P699" s="136">
        <v>0</v>
      </c>
      <c r="Q699" s="137">
        <f>Table1[[#This Row],[number_of_unit]]*Table1[[#This Row],[net_weight_per_unit]]</f>
        <v>504</v>
      </c>
      <c r="R699" s="133"/>
      <c r="S699" s="138">
        <v>45721.678472222222</v>
      </c>
      <c r="T699" s="153" t="s">
        <v>670</v>
      </c>
      <c r="U699" s="139" t="str">
        <f t="shared" si="58"/>
        <v>_preroll_labelled</v>
      </c>
      <c r="V699" s="140" t="str">
        <f>IF(U699="_","",_xlfn.XLOOKUP(U699,internal_cansku_inventory!D:D,internal_cansku_inventory!E:E,"",0,1))</f>
        <v/>
      </c>
    </row>
    <row r="700" spans="1:22" ht="12.45" customHeight="1">
      <c r="A700" s="132">
        <v>733</v>
      </c>
      <c r="B700" s="132">
        <v>0</v>
      </c>
      <c r="C700" s="132" t="str">
        <f>Table1[[#This Row],[inventory_id_head]]&amp;"-"&amp;Table1[[#This Row],[inventory_id_tail]]</f>
        <v>733-0</v>
      </c>
      <c r="D700" s="133" t="s">
        <v>653</v>
      </c>
      <c r="E700" s="133" t="s">
        <v>655</v>
      </c>
      <c r="F700" s="153" t="s">
        <v>655</v>
      </c>
      <c r="G700" s="133" t="str">
        <f t="shared" si="60"/>
        <v>NANA</v>
      </c>
      <c r="H700" s="133" t="s">
        <v>457</v>
      </c>
      <c r="I700" s="133"/>
      <c r="J700" s="133" t="s">
        <v>1462</v>
      </c>
      <c r="K700" s="134">
        <v>44879</v>
      </c>
      <c r="L700" s="135">
        <v>417</v>
      </c>
      <c r="M700" s="153" t="s">
        <v>644</v>
      </c>
      <c r="N700" s="136">
        <v>1</v>
      </c>
      <c r="O700" s="136">
        <v>0</v>
      </c>
      <c r="P700" s="136">
        <v>0</v>
      </c>
      <c r="Q700" s="137">
        <f>Table1[[#This Row],[number_of_unit]]*Table1[[#This Row],[net_weight_per_unit]]</f>
        <v>417</v>
      </c>
      <c r="R700" s="133"/>
      <c r="S700" s="138">
        <v>45721.6875</v>
      </c>
      <c r="T700" s="153" t="s">
        <v>657</v>
      </c>
      <c r="U700" s="139" t="str">
        <f t="shared" si="58"/>
        <v>_extract_inhaled_labelled_WT</v>
      </c>
      <c r="V700" s="140" t="str">
        <f>IF(U700="_","",_xlfn.XLOOKUP(U700,internal_cansku_inventory!D:D,internal_cansku_inventory!E:E,"",0,1))</f>
        <v/>
      </c>
    </row>
    <row r="701" spans="1:22" ht="12.45" customHeight="1">
      <c r="A701" s="132">
        <v>625</v>
      </c>
      <c r="B701" s="132">
        <v>0</v>
      </c>
      <c r="C701" s="132" t="str">
        <f>Table1[[#This Row],[inventory_id_head]]&amp;"-"&amp;Table1[[#This Row],[inventory_id_tail]]</f>
        <v>625-0</v>
      </c>
      <c r="D701" s="133" t="s">
        <v>680</v>
      </c>
      <c r="E701" s="133" t="s">
        <v>1558</v>
      </c>
      <c r="F701" s="153" t="s">
        <v>655</v>
      </c>
      <c r="G701" s="133" t="str">
        <f t="shared" si="60"/>
        <v>T119EXNA</v>
      </c>
      <c r="H701" s="133" t="s">
        <v>328</v>
      </c>
      <c r="I701" s="133"/>
      <c r="J701" s="133" t="s">
        <v>1559</v>
      </c>
      <c r="K701" s="134">
        <v>45666</v>
      </c>
      <c r="L701" s="135">
        <v>10</v>
      </c>
      <c r="M701" s="153" t="s">
        <v>858</v>
      </c>
      <c r="N701" s="136">
        <v>1</v>
      </c>
      <c r="O701" s="136">
        <v>0</v>
      </c>
      <c r="P701" s="136">
        <v>0</v>
      </c>
      <c r="Q701" s="137">
        <f>L701*N701</f>
        <v>10</v>
      </c>
      <c r="R701" s="133"/>
      <c r="S701" s="138">
        <v>45722.452777777777</v>
      </c>
      <c r="T701" s="153" t="s">
        <v>657</v>
      </c>
      <c r="U701" s="139" t="str">
        <f t="shared" si="58"/>
        <v>_extract_inhaled_labelled</v>
      </c>
      <c r="V701" s="140" t="str">
        <f>IF(U701="_","",_xlfn.XLOOKUP(U701,internal_cansku_inventory!D:D,internal_cansku_inventory!E:E,"",0,1))</f>
        <v/>
      </c>
    </row>
    <row r="702" spans="1:22" ht="12.45" customHeight="1">
      <c r="A702" s="132">
        <v>536</v>
      </c>
      <c r="B702" s="132">
        <v>0</v>
      </c>
      <c r="C702" s="132" t="str">
        <f>Table1[[#This Row],[inventory_id_head]]&amp;"-"&amp;Table1[[#This Row],[inventory_id_tail]]</f>
        <v>536-0</v>
      </c>
      <c r="D702" s="133" t="s">
        <v>653</v>
      </c>
      <c r="E702" s="133" t="s">
        <v>655</v>
      </c>
      <c r="F702" s="153" t="s">
        <v>655</v>
      </c>
      <c r="G702" s="133" t="str">
        <f t="shared" si="60"/>
        <v>NANA</v>
      </c>
      <c r="H702" s="133" t="s">
        <v>343</v>
      </c>
      <c r="I702" s="133"/>
      <c r="J702" s="133">
        <v>2024120501</v>
      </c>
      <c r="K702" s="134" t="s">
        <v>655</v>
      </c>
      <c r="L702" s="148">
        <v>1</v>
      </c>
      <c r="M702" s="153" t="s">
        <v>1012</v>
      </c>
      <c r="N702" s="136">
        <f>Table1[[#This Row],[gross_weight]]-Table1[[#This Row],[tare_weight]]</f>
        <v>830.5</v>
      </c>
      <c r="O702" s="136">
        <v>890.5</v>
      </c>
      <c r="P702" s="136">
        <v>60</v>
      </c>
      <c r="Q702" s="137">
        <f>L702*N702</f>
        <v>830.5</v>
      </c>
      <c r="R702" s="133" t="s">
        <v>1277</v>
      </c>
      <c r="S702" s="138">
        <v>45722.64166666667</v>
      </c>
      <c r="T702" s="153" t="s">
        <v>978</v>
      </c>
      <c r="U702" s="139" t="str">
        <f t="shared" si="58"/>
        <v>_driedflower_bulk_BURB</v>
      </c>
      <c r="V702" s="140" t="str">
        <f>IF(U702="_","",_xlfn.XLOOKUP(U702,internal_cansku_inventory!D:D,internal_cansku_inventory!E:E,"",0,1))</f>
        <v/>
      </c>
    </row>
    <row r="703" spans="1:22" ht="12.45" customHeight="1">
      <c r="A703" s="132">
        <v>543</v>
      </c>
      <c r="B703" s="132">
        <v>0</v>
      </c>
      <c r="C703" s="132" t="str">
        <f>Table1[[#This Row],[inventory_id_head]]&amp;"-"&amp;Table1[[#This Row],[inventory_id_tail]]</f>
        <v>543-0</v>
      </c>
      <c r="D703" s="133" t="s">
        <v>653</v>
      </c>
      <c r="E703" s="133" t="s">
        <v>655</v>
      </c>
      <c r="F703" s="153" t="s">
        <v>655</v>
      </c>
      <c r="G703" s="133" t="str">
        <f t="shared" si="60"/>
        <v>NANA</v>
      </c>
      <c r="H703" s="133" t="s">
        <v>343</v>
      </c>
      <c r="I703" s="133"/>
      <c r="J703" s="133">
        <v>2024120501</v>
      </c>
      <c r="K703" s="134" t="s">
        <v>655</v>
      </c>
      <c r="L703" s="148">
        <v>1</v>
      </c>
      <c r="M703" s="153" t="s">
        <v>1012</v>
      </c>
      <c r="N703" s="136">
        <f>Table1[[#This Row],[gross_weight]]-Table1[[#This Row],[tare_weight]]</f>
        <v>555</v>
      </c>
      <c r="O703" s="136">
        <v>615</v>
      </c>
      <c r="P703" s="136">
        <v>60</v>
      </c>
      <c r="Q703" s="137">
        <f>L703*N703</f>
        <v>555</v>
      </c>
      <c r="R703" s="133" t="s">
        <v>1277</v>
      </c>
      <c r="S703" s="138">
        <v>45722.643055555556</v>
      </c>
      <c r="T703" s="153" t="s">
        <v>978</v>
      </c>
      <c r="U703" s="139" t="str">
        <f t="shared" si="58"/>
        <v>_driedflower_bulk_BURB</v>
      </c>
      <c r="V703" s="140" t="str">
        <f>IF(U703="_","",_xlfn.XLOOKUP(U703,internal_cansku_inventory!D:D,internal_cansku_inventory!E:E,"",0,1))</f>
        <v/>
      </c>
    </row>
    <row r="704" spans="1:22" ht="12.45" customHeight="1">
      <c r="A704" s="132">
        <v>737</v>
      </c>
      <c r="B704" s="132">
        <v>1</v>
      </c>
      <c r="C704" s="132" t="str">
        <f>Table1[[#This Row],[inventory_id_head]]&amp;"-"&amp;Table1[[#This Row],[inventory_id_tail]]</f>
        <v>737-1</v>
      </c>
      <c r="D704" s="133" t="s">
        <v>653</v>
      </c>
      <c r="E704" s="133" t="s">
        <v>1560</v>
      </c>
      <c r="F704" s="153" t="s">
        <v>1331</v>
      </c>
      <c r="G704" s="133" t="str">
        <f t="shared" si="60"/>
        <v>T067DFB01</v>
      </c>
      <c r="H704" s="133" t="s">
        <v>1561</v>
      </c>
      <c r="I704" s="133"/>
      <c r="J704" s="133">
        <v>2025030701</v>
      </c>
      <c r="K704" s="134" t="s">
        <v>655</v>
      </c>
      <c r="L704" s="135">
        <v>1</v>
      </c>
      <c r="M704" s="153" t="s">
        <v>1563</v>
      </c>
      <c r="N704" s="136">
        <f>Table1[[#This Row],[gross_weight]]-Table1[[#This Row],[tare_weight]]</f>
        <v>870</v>
      </c>
      <c r="O704" s="136">
        <v>895</v>
      </c>
      <c r="P704" s="136">
        <f>895-870</f>
        <v>25</v>
      </c>
      <c r="Q704" s="137">
        <f>Table1[[#This Row],[number_of_unit]]*Table1[[#This Row],[net_weight_per_unit]]</f>
        <v>870</v>
      </c>
      <c r="R704" s="133"/>
      <c r="S704" s="138">
        <v>45733.413888888892</v>
      </c>
      <c r="T704" s="153" t="s">
        <v>978</v>
      </c>
      <c r="U704" s="139" t="str">
        <f t="shared" si="58"/>
        <v>_driedflower_bulk_JEN</v>
      </c>
      <c r="V704" s="140" t="str">
        <f>IF(U704="_","",_xlfn.XLOOKUP(U704,internal_cansku_inventory!D:D,internal_cansku_inventory!E:E,"",0,1))</f>
        <v/>
      </c>
    </row>
    <row r="705" spans="1:22" ht="12.45" customHeight="1">
      <c r="A705" s="132">
        <v>737</v>
      </c>
      <c r="B705" s="132">
        <v>2</v>
      </c>
      <c r="C705" s="132" t="str">
        <f>Table1[[#This Row],[inventory_id_head]]&amp;"-"&amp;Table1[[#This Row],[inventory_id_tail]]</f>
        <v>737-2</v>
      </c>
      <c r="D705" s="133" t="s">
        <v>653</v>
      </c>
      <c r="E705" s="133" t="s">
        <v>1560</v>
      </c>
      <c r="F705" s="153" t="s">
        <v>1564</v>
      </c>
      <c r="G705" s="133" t="str">
        <f t="shared" si="60"/>
        <v>T067DFB02</v>
      </c>
      <c r="H705" s="133" t="s">
        <v>1561</v>
      </c>
      <c r="I705" s="133"/>
      <c r="J705" s="133">
        <v>2025030701</v>
      </c>
      <c r="K705" s="134" t="s">
        <v>655</v>
      </c>
      <c r="L705" s="135">
        <v>1</v>
      </c>
      <c r="M705" s="153" t="s">
        <v>1563</v>
      </c>
      <c r="N705" s="136">
        <f>Table1[[#This Row],[gross_weight]]-Table1[[#This Row],[tare_weight]]</f>
        <v>1000</v>
      </c>
      <c r="O705" s="136">
        <v>1025</v>
      </c>
      <c r="P705" s="136">
        <v>25</v>
      </c>
      <c r="Q705" s="137">
        <f>Table1[[#This Row],[number_of_unit]]*Table1[[#This Row],[net_weight_per_unit]]</f>
        <v>1000</v>
      </c>
      <c r="R705" s="133"/>
      <c r="S705" s="138">
        <v>45733.413888888892</v>
      </c>
      <c r="T705" s="153" t="s">
        <v>978</v>
      </c>
      <c r="U705" s="139" t="str">
        <f t="shared" si="58"/>
        <v>_driedflower_bulk_JEN</v>
      </c>
      <c r="V705" s="140" t="str">
        <f>IF(U705="_","",_xlfn.XLOOKUP(U705,internal_cansku_inventory!D:D,internal_cansku_inventory!E:E,"",0,1))</f>
        <v/>
      </c>
    </row>
    <row r="706" spans="1:22" ht="12.45" customHeight="1">
      <c r="A706" s="132">
        <v>737</v>
      </c>
      <c r="B706" s="132">
        <v>3</v>
      </c>
      <c r="C706" s="132" t="str">
        <f>Table1[[#This Row],[inventory_id_head]]&amp;"-"&amp;Table1[[#This Row],[inventory_id_tail]]</f>
        <v>737-3</v>
      </c>
      <c r="D706" s="133" t="s">
        <v>680</v>
      </c>
      <c r="E706" s="133" t="s">
        <v>1560</v>
      </c>
      <c r="F706" s="153" t="s">
        <v>1565</v>
      </c>
      <c r="G706" s="133" t="str">
        <f t="shared" si="60"/>
        <v>T067DFB03</v>
      </c>
      <c r="H706" s="133" t="s">
        <v>1561</v>
      </c>
      <c r="I706" s="133"/>
      <c r="J706" s="133">
        <v>2025030701</v>
      </c>
      <c r="K706" s="134" t="s">
        <v>655</v>
      </c>
      <c r="L706" s="135">
        <v>1</v>
      </c>
      <c r="M706" s="133" t="s">
        <v>1563</v>
      </c>
      <c r="N706" s="136">
        <f>Table1[[#This Row],[gross_weight]]-Table1[[#This Row],[tare_weight]]</f>
        <v>1000</v>
      </c>
      <c r="O706" s="136">
        <v>1025</v>
      </c>
      <c r="P706" s="136">
        <v>25</v>
      </c>
      <c r="Q706" s="137">
        <f>Table1[[#This Row],[number_of_unit]]*Table1[[#This Row],[net_weight_per_unit]]</f>
        <v>1000</v>
      </c>
      <c r="R706" s="133"/>
      <c r="S706" s="138">
        <v>45733.413888888892</v>
      </c>
      <c r="T706" s="153" t="s">
        <v>978</v>
      </c>
      <c r="U706" s="139" t="str">
        <f t="shared" si="58"/>
        <v>_driedflower_bulk_JEN</v>
      </c>
      <c r="V706" s="140" t="str">
        <f>IF(U706="_","",_xlfn.XLOOKUP(U706,internal_cansku_inventory!D:D,internal_cansku_inventory!E:E,"",0,1))</f>
        <v/>
      </c>
    </row>
    <row r="707" spans="1:22" ht="12.45" customHeight="1">
      <c r="A707" s="132">
        <v>737</v>
      </c>
      <c r="B707" s="132">
        <v>4</v>
      </c>
      <c r="C707" s="132" t="str">
        <f>Table1[[#This Row],[inventory_id_head]]&amp;"-"&amp;Table1[[#This Row],[inventory_id_tail]]</f>
        <v>737-4</v>
      </c>
      <c r="D707" s="133" t="s">
        <v>653</v>
      </c>
      <c r="E707" s="133" t="s">
        <v>1560</v>
      </c>
      <c r="F707" s="153" t="s">
        <v>1566</v>
      </c>
      <c r="G707" s="133" t="str">
        <f t="shared" si="60"/>
        <v>T067DFB04</v>
      </c>
      <c r="H707" s="133" t="s">
        <v>1561</v>
      </c>
      <c r="I707" s="133"/>
      <c r="J707" s="133">
        <v>2025030701</v>
      </c>
      <c r="K707" s="134" t="s">
        <v>655</v>
      </c>
      <c r="L707" s="135">
        <v>1</v>
      </c>
      <c r="M707" s="133" t="s">
        <v>1563</v>
      </c>
      <c r="N707" s="136">
        <f>Table1[[#This Row],[gross_weight]]-Table1[[#This Row],[tare_weight]]</f>
        <v>1000</v>
      </c>
      <c r="O707" s="136">
        <v>1025</v>
      </c>
      <c r="P707" s="136">
        <v>25</v>
      </c>
      <c r="Q707" s="137">
        <f>Table1[[#This Row],[number_of_unit]]*Table1[[#This Row],[net_weight_per_unit]]</f>
        <v>1000</v>
      </c>
      <c r="R707" s="133"/>
      <c r="S707" s="138">
        <v>45733.413888888892</v>
      </c>
      <c r="T707" s="153" t="s">
        <v>978</v>
      </c>
      <c r="U707" s="139" t="str">
        <f t="shared" si="58"/>
        <v>_driedflower_bulk_JEN</v>
      </c>
      <c r="V707" s="140" t="str">
        <f>IF(U707="_","",_xlfn.XLOOKUP(U707,internal_cansku_inventory!D:D,internal_cansku_inventory!E:E,"",0,1))</f>
        <v/>
      </c>
    </row>
    <row r="708" spans="1:22" ht="12.45" customHeight="1">
      <c r="A708" s="132">
        <v>737</v>
      </c>
      <c r="B708" s="132">
        <v>5</v>
      </c>
      <c r="C708" s="132" t="str">
        <f>Table1[[#This Row],[inventory_id_head]]&amp;"-"&amp;Table1[[#This Row],[inventory_id_tail]]</f>
        <v>737-5</v>
      </c>
      <c r="D708" s="133" t="s">
        <v>653</v>
      </c>
      <c r="E708" s="133" t="s">
        <v>1560</v>
      </c>
      <c r="F708" s="153" t="s">
        <v>1567</v>
      </c>
      <c r="G708" s="133" t="str">
        <f t="shared" si="60"/>
        <v>T067DFB05</v>
      </c>
      <c r="H708" s="133" t="s">
        <v>1561</v>
      </c>
      <c r="I708" s="133"/>
      <c r="J708" s="133">
        <v>2025030701</v>
      </c>
      <c r="K708" s="134" t="s">
        <v>655</v>
      </c>
      <c r="L708" s="135">
        <v>1</v>
      </c>
      <c r="M708" s="133" t="s">
        <v>1563</v>
      </c>
      <c r="N708" s="136">
        <f>Table1[[#This Row],[gross_weight]]-Table1[[#This Row],[tare_weight]]</f>
        <v>1000</v>
      </c>
      <c r="O708" s="136">
        <v>1025</v>
      </c>
      <c r="P708" s="136">
        <v>25</v>
      </c>
      <c r="Q708" s="137">
        <f>Table1[[#This Row],[number_of_unit]]*Table1[[#This Row],[net_weight_per_unit]]</f>
        <v>1000</v>
      </c>
      <c r="R708" s="133"/>
      <c r="S708" s="138">
        <v>45733.413888888892</v>
      </c>
      <c r="T708" s="153" t="s">
        <v>978</v>
      </c>
      <c r="U708" s="139" t="str">
        <f t="shared" si="58"/>
        <v>_driedflower_bulk_JEN</v>
      </c>
      <c r="V708" s="140" t="str">
        <f>IF(U708="_","",_xlfn.XLOOKUP(U708,internal_cansku_inventory!D:D,internal_cansku_inventory!E:E,"",0,1))</f>
        <v/>
      </c>
    </row>
    <row r="709" spans="1:22" ht="12.45" customHeight="1">
      <c r="A709" s="132">
        <v>737</v>
      </c>
      <c r="B709" s="132">
        <v>6</v>
      </c>
      <c r="C709" s="132" t="str">
        <f>Table1[[#This Row],[inventory_id_head]]&amp;"-"&amp;Table1[[#This Row],[inventory_id_tail]]</f>
        <v>737-6</v>
      </c>
      <c r="D709" s="133" t="s">
        <v>653</v>
      </c>
      <c r="E709" s="133" t="s">
        <v>1560</v>
      </c>
      <c r="F709" s="153" t="s">
        <v>1568</v>
      </c>
      <c r="G709" s="133" t="str">
        <f t="shared" si="60"/>
        <v>T067DFB06</v>
      </c>
      <c r="H709" s="133" t="s">
        <v>1561</v>
      </c>
      <c r="I709" s="133"/>
      <c r="J709" s="133">
        <v>2025030701</v>
      </c>
      <c r="K709" s="134" t="s">
        <v>655</v>
      </c>
      <c r="L709" s="135">
        <v>1</v>
      </c>
      <c r="M709" s="133" t="s">
        <v>1563</v>
      </c>
      <c r="N709" s="136">
        <f>Table1[[#This Row],[gross_weight]]-Table1[[#This Row],[tare_weight]]</f>
        <v>1000</v>
      </c>
      <c r="O709" s="136">
        <v>1025</v>
      </c>
      <c r="P709" s="136">
        <v>25</v>
      </c>
      <c r="Q709" s="137">
        <f>Table1[[#This Row],[number_of_unit]]*Table1[[#This Row],[net_weight_per_unit]]</f>
        <v>1000</v>
      </c>
      <c r="R709" s="133"/>
      <c r="S709" s="138">
        <v>45733.413888888892</v>
      </c>
      <c r="T709" s="153" t="s">
        <v>978</v>
      </c>
      <c r="U709" s="139" t="str">
        <f t="shared" si="58"/>
        <v>_driedflower_bulk_JEN</v>
      </c>
      <c r="V709" s="140" t="str">
        <f>IF(U709="_","",_xlfn.XLOOKUP(U709,internal_cansku_inventory!D:D,internal_cansku_inventory!E:E,"",0,1))</f>
        <v/>
      </c>
    </row>
    <row r="710" spans="1:22" ht="12.45" customHeight="1">
      <c r="A710" s="132">
        <v>737</v>
      </c>
      <c r="B710" s="132">
        <v>7</v>
      </c>
      <c r="C710" s="132" t="str">
        <f>Table1[[#This Row],[inventory_id_head]]&amp;"-"&amp;Table1[[#This Row],[inventory_id_tail]]</f>
        <v>737-7</v>
      </c>
      <c r="D710" s="133" t="s">
        <v>653</v>
      </c>
      <c r="E710" s="133" t="s">
        <v>1560</v>
      </c>
      <c r="F710" s="153" t="s">
        <v>1569</v>
      </c>
      <c r="G710" s="133" t="str">
        <f t="shared" si="60"/>
        <v>T067DFB07</v>
      </c>
      <c r="H710" s="133" t="s">
        <v>1561</v>
      </c>
      <c r="I710" s="133"/>
      <c r="J710" s="133">
        <v>2025030701</v>
      </c>
      <c r="K710" s="134" t="s">
        <v>655</v>
      </c>
      <c r="L710" s="135">
        <v>1</v>
      </c>
      <c r="M710" s="133" t="s">
        <v>1563</v>
      </c>
      <c r="N710" s="136">
        <f>Table1[[#This Row],[gross_weight]]-Table1[[#This Row],[tare_weight]]</f>
        <v>1000</v>
      </c>
      <c r="O710" s="136">
        <v>1025</v>
      </c>
      <c r="P710" s="136">
        <v>25</v>
      </c>
      <c r="Q710" s="137">
        <f>Table1[[#This Row],[number_of_unit]]*Table1[[#This Row],[net_weight_per_unit]]</f>
        <v>1000</v>
      </c>
      <c r="R710" s="133"/>
      <c r="S710" s="138">
        <v>45733.413888888892</v>
      </c>
      <c r="T710" s="153" t="s">
        <v>978</v>
      </c>
      <c r="U710" s="139" t="str">
        <f t="shared" ref="U710:U773" si="61">I710&amp;"_"&amp;H710</f>
        <v>_driedflower_bulk_JEN</v>
      </c>
      <c r="V710" s="140" t="str">
        <f>IF(U710="_","",_xlfn.XLOOKUP(U710,internal_cansku_inventory!D:D,internal_cansku_inventory!E:E,"",0,1))</f>
        <v/>
      </c>
    </row>
    <row r="711" spans="1:22" ht="12.45" customHeight="1">
      <c r="A711" s="132">
        <v>740</v>
      </c>
      <c r="B711" s="132">
        <v>1</v>
      </c>
      <c r="C711" s="132" t="str">
        <f>Table1[[#This Row],[inventory_id_head]]&amp;"-"&amp;Table1[[#This Row],[inventory_id_tail]]</f>
        <v>740-1</v>
      </c>
      <c r="D711" s="133" t="s">
        <v>653</v>
      </c>
      <c r="E711" s="133" t="s">
        <v>655</v>
      </c>
      <c r="F711" s="153" t="s">
        <v>655</v>
      </c>
      <c r="G711" s="133" t="s">
        <v>1255</v>
      </c>
      <c r="H711" s="133" t="s">
        <v>404</v>
      </c>
      <c r="I711" s="133"/>
      <c r="J711" s="133" t="s">
        <v>1571</v>
      </c>
      <c r="K711" s="134" t="s">
        <v>204</v>
      </c>
      <c r="L711" s="135">
        <v>1</v>
      </c>
      <c r="M711" s="133" t="s">
        <v>1563</v>
      </c>
      <c r="N711" s="136">
        <v>384.5</v>
      </c>
      <c r="O711" s="136">
        <v>384.5</v>
      </c>
      <c r="P711" s="136">
        <v>0</v>
      </c>
      <c r="Q711" s="137">
        <f t="shared" ref="Q711:Q716" si="62">L711*N711</f>
        <v>384.5</v>
      </c>
      <c r="R711" s="133"/>
      <c r="S711" s="138">
        <v>45734.593055555553</v>
      </c>
      <c r="T711" s="153" t="s">
        <v>978</v>
      </c>
      <c r="U711" s="139" t="str">
        <f t="shared" si="61"/>
        <v>_topical_bulk</v>
      </c>
      <c r="V711" s="140" t="str">
        <f>IF(U711="_","",_xlfn.XLOOKUP(U711,internal_cansku_inventory!D:D,internal_cansku_inventory!E:E,"",0,1))</f>
        <v/>
      </c>
    </row>
    <row r="712" spans="1:22" ht="12.45" customHeight="1">
      <c r="A712" s="132">
        <v>458</v>
      </c>
      <c r="B712" s="132">
        <v>1</v>
      </c>
      <c r="C712" s="132" t="str">
        <f>Table1[[#This Row],[inventory_id_head]]&amp;"-"&amp;Table1[[#This Row],[inventory_id_tail]]</f>
        <v>458-1</v>
      </c>
      <c r="D712" s="133" t="s">
        <v>653</v>
      </c>
      <c r="E712" s="133" t="s">
        <v>1194</v>
      </c>
      <c r="F712" s="153" t="s">
        <v>55</v>
      </c>
      <c r="G712" s="133" t="str">
        <f>E712&amp;F712</f>
        <v>T095EXNA</v>
      </c>
      <c r="H712" s="133" t="s">
        <v>891</v>
      </c>
      <c r="I712" s="133"/>
      <c r="J712" s="24" t="s">
        <v>1306</v>
      </c>
      <c r="K712" s="134">
        <v>45576</v>
      </c>
      <c r="L712" s="135">
        <v>3</v>
      </c>
      <c r="M712" s="133" t="s">
        <v>683</v>
      </c>
      <c r="N712" s="136">
        <f>12*50</f>
        <v>600</v>
      </c>
      <c r="O712" s="136">
        <v>0</v>
      </c>
      <c r="P712" s="136">
        <v>0</v>
      </c>
      <c r="Q712" s="137">
        <f t="shared" si="62"/>
        <v>1800</v>
      </c>
      <c r="R712" s="133"/>
      <c r="S712" s="138">
        <v>45734.613194444442</v>
      </c>
      <c r="T712" s="153" t="s">
        <v>1572</v>
      </c>
      <c r="U712" s="139" t="str">
        <f t="shared" si="61"/>
        <v>_extract_ingested_cased_BC</v>
      </c>
      <c r="V712" s="140" t="str">
        <f>IF(U712="_","",_xlfn.XLOOKUP(U712,internal_cansku_inventory!D:D,internal_cansku_inventory!E:E,"",0,1))</f>
        <v/>
      </c>
    </row>
    <row r="713" spans="1:22" ht="12.45" customHeight="1">
      <c r="A713" s="132">
        <v>143</v>
      </c>
      <c r="B713" s="132">
        <v>1</v>
      </c>
      <c r="C713" s="132" t="str">
        <f>Table1[[#This Row],[inventory_id_head]]&amp;"-"&amp;Table1[[#This Row],[inventory_id_tail]]</f>
        <v>143-1</v>
      </c>
      <c r="D713" s="133" t="s">
        <v>653</v>
      </c>
      <c r="E713" s="133" t="s">
        <v>1573</v>
      </c>
      <c r="F713" s="153" t="s">
        <v>55</v>
      </c>
      <c r="G713" s="133" t="str">
        <f>E713&amp;F713</f>
        <v>T073PRNA</v>
      </c>
      <c r="H713" s="133" t="s">
        <v>813</v>
      </c>
      <c r="I713" s="133"/>
      <c r="J713" s="133" t="s">
        <v>1574</v>
      </c>
      <c r="K713" s="134">
        <v>45728</v>
      </c>
      <c r="L713" s="135">
        <v>26</v>
      </c>
      <c r="M713" s="153" t="s">
        <v>644</v>
      </c>
      <c r="N713" s="136">
        <v>1.5</v>
      </c>
      <c r="O713" s="136">
        <v>0</v>
      </c>
      <c r="P713" s="136">
        <v>0</v>
      </c>
      <c r="Q713" s="137">
        <f t="shared" si="62"/>
        <v>39</v>
      </c>
      <c r="R713" s="133"/>
      <c r="S713" s="138">
        <v>45734.655555555553</v>
      </c>
      <c r="T713" s="153" t="s">
        <v>657</v>
      </c>
      <c r="U713" s="139" t="str">
        <f t="shared" si="61"/>
        <v>_preroll_labelled</v>
      </c>
      <c r="V713" s="140" t="str">
        <f>IF(U713="_","",_xlfn.XLOOKUP(U713,internal_cansku_inventory!D:D,internal_cansku_inventory!E:E,"",0,1))</f>
        <v/>
      </c>
    </row>
    <row r="714" spans="1:22" ht="12.45" customHeight="1">
      <c r="A714" s="132">
        <v>108</v>
      </c>
      <c r="B714" s="132">
        <v>1</v>
      </c>
      <c r="C714" s="132" t="str">
        <f>Table1[[#This Row],[inventory_id_head]]&amp;"-"&amp;Table1[[#This Row],[inventory_id_tail]]</f>
        <v>108-1</v>
      </c>
      <c r="D714" s="133" t="s">
        <v>653</v>
      </c>
      <c r="E714" s="133" t="s">
        <v>815</v>
      </c>
      <c r="F714" s="153" t="s">
        <v>55</v>
      </c>
      <c r="G714" s="133" t="str">
        <f>E714&amp;F714</f>
        <v>T003PRNA</v>
      </c>
      <c r="H714" s="133" t="s">
        <v>813</v>
      </c>
      <c r="I714" s="133"/>
      <c r="J714" s="133" t="s">
        <v>1575</v>
      </c>
      <c r="K714" s="134">
        <v>45728</v>
      </c>
      <c r="L714" s="135">
        <v>34</v>
      </c>
      <c r="M714" s="133" t="s">
        <v>644</v>
      </c>
      <c r="N714" s="136">
        <v>1.5</v>
      </c>
      <c r="O714" s="136">
        <v>0</v>
      </c>
      <c r="P714" s="136">
        <v>0</v>
      </c>
      <c r="Q714" s="137">
        <f t="shared" si="62"/>
        <v>51</v>
      </c>
      <c r="R714" s="133"/>
      <c r="S714" s="138">
        <v>45734.661805555559</v>
      </c>
      <c r="T714" s="153" t="s">
        <v>1572</v>
      </c>
      <c r="U714" s="139" t="str">
        <f t="shared" si="61"/>
        <v>_preroll_labelled</v>
      </c>
      <c r="V714" s="140" t="str">
        <f>IF(U714="_","",_xlfn.XLOOKUP(U714,internal_cansku_inventory!D:D,internal_cansku_inventory!E:E,"",0,1))</f>
        <v/>
      </c>
    </row>
    <row r="715" spans="1:22" ht="12.45" customHeight="1">
      <c r="A715" s="132">
        <v>741</v>
      </c>
      <c r="B715" s="132">
        <v>1</v>
      </c>
      <c r="C715" s="132" t="str">
        <f>Table1[[#This Row],[inventory_id_head]]&amp;"-"&amp;Table1[[#This Row],[inventory_id_tail]]</f>
        <v>741-1</v>
      </c>
      <c r="D715" s="133" t="s">
        <v>680</v>
      </c>
      <c r="E715" s="133" t="s">
        <v>1576</v>
      </c>
      <c r="F715" s="153" t="s">
        <v>204</v>
      </c>
      <c r="G715" s="133" t="s">
        <v>1577</v>
      </c>
      <c r="H715" s="133" t="s">
        <v>1578</v>
      </c>
      <c r="I715" s="133"/>
      <c r="J715" s="133">
        <v>2025030702</v>
      </c>
      <c r="K715" s="134" t="s">
        <v>204</v>
      </c>
      <c r="L715" s="135">
        <v>1</v>
      </c>
      <c r="M715" s="133" t="s">
        <v>1563</v>
      </c>
      <c r="N715" s="136">
        <f>Table1[[#This Row],[gross_weight]]-Table1[[#This Row],[tare_weight]]</f>
        <v>6543</v>
      </c>
      <c r="O715" s="136">
        <v>6602</v>
      </c>
      <c r="P715" s="136">
        <f>6602-6543</f>
        <v>59</v>
      </c>
      <c r="Q715" s="137">
        <f t="shared" si="62"/>
        <v>6543</v>
      </c>
      <c r="R715" s="133" t="s">
        <v>1580</v>
      </c>
      <c r="S715" s="138">
        <v>45734.681944444441</v>
      </c>
      <c r="T715" s="153" t="s">
        <v>978</v>
      </c>
      <c r="U715" s="139" t="str">
        <f t="shared" si="61"/>
        <v>_driedflower_bulk_Rohan</v>
      </c>
      <c r="V715" s="140" t="str">
        <f>IF(U715="_","",_xlfn.XLOOKUP(U715,internal_cansku_inventory!D:D,internal_cansku_inventory!E:E,"",0,1))</f>
        <v/>
      </c>
    </row>
    <row r="716" spans="1:22" ht="12.45" customHeight="1">
      <c r="A716" s="132">
        <v>741</v>
      </c>
      <c r="B716" s="132">
        <v>2</v>
      </c>
      <c r="C716" s="132" t="str">
        <f>Table1[[#This Row],[inventory_id_head]]&amp;"-"&amp;Table1[[#This Row],[inventory_id_tail]]</f>
        <v>741-2</v>
      </c>
      <c r="D716" s="133" t="s">
        <v>653</v>
      </c>
      <c r="E716" s="133" t="s">
        <v>1581</v>
      </c>
      <c r="F716" s="153" t="s">
        <v>204</v>
      </c>
      <c r="G716" s="133" t="s">
        <v>1577</v>
      </c>
      <c r="H716" s="133" t="s">
        <v>1578</v>
      </c>
      <c r="I716" s="133"/>
      <c r="J716" s="133">
        <v>2025030702</v>
      </c>
      <c r="K716" s="134" t="s">
        <v>204</v>
      </c>
      <c r="L716" s="135">
        <v>1</v>
      </c>
      <c r="M716" s="133" t="s">
        <v>1563</v>
      </c>
      <c r="N716" s="136">
        <f>Table1[[#This Row],[gross_weight]]-Table1[[#This Row],[tare_weight]]</f>
        <v>5000</v>
      </c>
      <c r="O716" s="136">
        <v>5058</v>
      </c>
      <c r="P716" s="136">
        <v>58</v>
      </c>
      <c r="Q716" s="137">
        <f t="shared" si="62"/>
        <v>5000</v>
      </c>
      <c r="R716" s="133" t="s">
        <v>1580</v>
      </c>
      <c r="S716" s="138">
        <v>45734.681944444441</v>
      </c>
      <c r="T716" s="153" t="s">
        <v>978</v>
      </c>
      <c r="U716" s="139" t="str">
        <f t="shared" si="61"/>
        <v>_driedflower_bulk_Rohan</v>
      </c>
      <c r="V716" s="140" t="str">
        <f>IF(U716="_","",_xlfn.XLOOKUP(U716,internal_cansku_inventory!D:D,internal_cansku_inventory!E:E,"",0,1))</f>
        <v/>
      </c>
    </row>
    <row r="717" spans="1:22" ht="12.45" customHeight="1">
      <c r="A717" s="132">
        <v>734</v>
      </c>
      <c r="B717" s="132">
        <v>0</v>
      </c>
      <c r="C717" s="132" t="str">
        <f>Table1[[#This Row],[inventory_id_head]]&amp;"-"&amp;Table1[[#This Row],[inventory_id_tail]]</f>
        <v>734-0</v>
      </c>
      <c r="D717" s="133" t="s">
        <v>653</v>
      </c>
      <c r="E717" s="133" t="s">
        <v>1582</v>
      </c>
      <c r="F717" s="153" t="s">
        <v>655</v>
      </c>
      <c r="G717" s="133" t="str">
        <f t="shared" ref="G717:G748" si="63">E717&amp;F717</f>
        <v>T066DFNA</v>
      </c>
      <c r="H717" s="133" t="s">
        <v>314</v>
      </c>
      <c r="I717" s="133"/>
      <c r="J717" s="133" t="s">
        <v>1583</v>
      </c>
      <c r="K717" s="134">
        <v>45721</v>
      </c>
      <c r="L717" s="135">
        <v>123</v>
      </c>
      <c r="M717" s="133" t="s">
        <v>644</v>
      </c>
      <c r="N717" s="136">
        <v>7</v>
      </c>
      <c r="O717" s="136">
        <v>0</v>
      </c>
      <c r="P717" s="136">
        <v>0</v>
      </c>
      <c r="Q717" s="137">
        <f>Table1[[#This Row],[number_of_unit]]*Table1[[#This Row],[net_weight_per_unit]]</f>
        <v>861</v>
      </c>
      <c r="R717" s="133"/>
      <c r="S717" s="138">
        <v>45741.548611111109</v>
      </c>
      <c r="T717" s="153" t="s">
        <v>670</v>
      </c>
      <c r="U717" s="139" t="str">
        <f t="shared" si="61"/>
        <v>_driedflower_labelled</v>
      </c>
      <c r="V717" s="140" t="str">
        <f>IF(U717="_","",_xlfn.XLOOKUP(U717,internal_cansku_inventory!D:D,internal_cansku_inventory!E:E,"",0,1))</f>
        <v/>
      </c>
    </row>
    <row r="718" spans="1:22" ht="12.45" customHeight="1">
      <c r="A718" s="132">
        <v>640</v>
      </c>
      <c r="B718" s="132">
        <v>1</v>
      </c>
      <c r="C718" s="132" t="str">
        <f>Table1[[#This Row],[inventory_id_head]]&amp;"-"&amp;Table1[[#This Row],[inventory_id_tail]]</f>
        <v>640-1</v>
      </c>
      <c r="D718" s="133" t="s">
        <v>653</v>
      </c>
      <c r="E718" s="133" t="s">
        <v>1584</v>
      </c>
      <c r="F718" s="153" t="s">
        <v>204</v>
      </c>
      <c r="G718" s="133" t="str">
        <f t="shared" si="63"/>
        <v>T149EXNA</v>
      </c>
      <c r="H718" s="133" t="s">
        <v>442</v>
      </c>
      <c r="I718" s="133"/>
      <c r="J718" s="133" t="s">
        <v>1401</v>
      </c>
      <c r="K718" s="134">
        <v>45692</v>
      </c>
      <c r="L718" s="135">
        <v>32</v>
      </c>
      <c r="M718" s="133" t="s">
        <v>683</v>
      </c>
      <c r="N718" s="136">
        <f>12*50</f>
        <v>600</v>
      </c>
      <c r="O718" s="136">
        <v>0</v>
      </c>
      <c r="P718" s="136">
        <v>0</v>
      </c>
      <c r="Q718" s="137">
        <f>Table1[[#This Row],[number_of_unit]]*Table1[[#This Row],[net_weight_per_unit]]</f>
        <v>19200</v>
      </c>
      <c r="R718" s="133"/>
      <c r="S718" s="138">
        <v>45741.556944444441</v>
      </c>
      <c r="T718" s="153" t="s">
        <v>657</v>
      </c>
      <c r="U718" s="139" t="str">
        <f t="shared" si="61"/>
        <v>_extract_ingested_cased_ON</v>
      </c>
      <c r="V718" s="140" t="str">
        <f>IF(U718="_","",_xlfn.XLOOKUP(U718,internal_cansku_inventory!D:D,internal_cansku_inventory!E:E,"",0,1))</f>
        <v/>
      </c>
    </row>
    <row r="719" spans="1:22" ht="12.45" customHeight="1">
      <c r="A719" s="132">
        <v>743</v>
      </c>
      <c r="B719" s="132">
        <v>0</v>
      </c>
      <c r="C719" s="132" t="str">
        <f>Table1[[#This Row],[inventory_id_head]]&amp;"-"&amp;Table1[[#This Row],[inventory_id_tail]]</f>
        <v>743-0</v>
      </c>
      <c r="D719" s="133" t="s">
        <v>653</v>
      </c>
      <c r="E719" s="133" t="s">
        <v>1585</v>
      </c>
      <c r="F719" s="153" t="s">
        <v>204</v>
      </c>
      <c r="G719" s="133" t="str">
        <f t="shared" si="63"/>
        <v>T151EXNA</v>
      </c>
      <c r="H719" s="133" t="s">
        <v>1586</v>
      </c>
      <c r="I719" s="133"/>
      <c r="J719" s="133" t="s">
        <v>1588</v>
      </c>
      <c r="K719" s="134" t="s">
        <v>204</v>
      </c>
      <c r="L719" s="135">
        <v>1</v>
      </c>
      <c r="M719" s="133" t="s">
        <v>994</v>
      </c>
      <c r="N719" s="136">
        <f>Table1[[#This Row],[gross_weight]]-Table1[[#This Row],[tare_weight]]</f>
        <v>38</v>
      </c>
      <c r="O719" s="136">
        <f>38+813</f>
        <v>851</v>
      </c>
      <c r="P719" s="136">
        <v>813</v>
      </c>
      <c r="Q719" s="137">
        <f>Table1[[#This Row],[number_of_unit]]*Table1[[#This Row],[net_weight_per_unit]]</f>
        <v>38</v>
      </c>
      <c r="R719" s="133"/>
      <c r="S719" s="138">
        <v>45743.640972222223</v>
      </c>
      <c r="T719" s="153" t="s">
        <v>978</v>
      </c>
      <c r="U719" s="139" t="str">
        <f t="shared" si="61"/>
        <v>_extract_inhaled_bulk_Rohan</v>
      </c>
      <c r="V719" s="140" t="str">
        <f>IF(U719="_","",_xlfn.XLOOKUP(U719,internal_cansku_inventory!D:D,internal_cansku_inventory!E:E,"",0,1))</f>
        <v/>
      </c>
    </row>
    <row r="720" spans="1:22" ht="12.45" customHeight="1">
      <c r="A720" s="132">
        <v>650</v>
      </c>
      <c r="B720" s="132">
        <v>1</v>
      </c>
      <c r="C720" s="132" t="str">
        <f>Table1[[#This Row],[inventory_id_head]]&amp;"-"&amp;Table1[[#This Row],[inventory_id_tail]]</f>
        <v>650-1</v>
      </c>
      <c r="D720" s="133" t="s">
        <v>680</v>
      </c>
      <c r="E720" s="133" t="s">
        <v>1589</v>
      </c>
      <c r="F720" s="153" t="s">
        <v>655</v>
      </c>
      <c r="G720" s="133" t="str">
        <f t="shared" si="63"/>
        <v>T063PRNA</v>
      </c>
      <c r="H720" s="133" t="s">
        <v>308</v>
      </c>
      <c r="I720" s="133"/>
      <c r="J720" s="133" t="s">
        <v>1424</v>
      </c>
      <c r="K720" s="134">
        <v>45742</v>
      </c>
      <c r="L720" s="135">
        <v>84</v>
      </c>
      <c r="M720" s="133" t="s">
        <v>858</v>
      </c>
      <c r="N720" s="136">
        <v>5</v>
      </c>
      <c r="O720" s="136">
        <v>0</v>
      </c>
      <c r="P720" s="136">
        <v>0</v>
      </c>
      <c r="Q720" s="137">
        <f>Table1[[#This Row],[number_of_unit]]*Table1[[#This Row],[net_weight_per_unit]]</f>
        <v>420</v>
      </c>
      <c r="R720" s="133"/>
      <c r="S720" s="138">
        <v>45747.474999999999</v>
      </c>
      <c r="T720" s="153" t="s">
        <v>657</v>
      </c>
      <c r="U720" s="139" t="str">
        <f t="shared" si="61"/>
        <v>_preroll_labelled</v>
      </c>
      <c r="V720" s="140" t="str">
        <f>IF(U720="_","",_xlfn.XLOOKUP(U720,internal_cansku_inventory!D:D,internal_cansku_inventory!E:E,"",0,1))</f>
        <v/>
      </c>
    </row>
    <row r="721" spans="1:22" ht="12.45" customHeight="1">
      <c r="A721" s="132">
        <v>734</v>
      </c>
      <c r="B721" s="132">
        <v>1</v>
      </c>
      <c r="C721" s="132" t="str">
        <f>Table1[[#This Row],[inventory_id_head]]&amp;"-"&amp;Table1[[#This Row],[inventory_id_tail]]</f>
        <v>734-1</v>
      </c>
      <c r="D721" s="133" t="s">
        <v>653</v>
      </c>
      <c r="E721" s="133" t="s">
        <v>1590</v>
      </c>
      <c r="F721" s="153" t="s">
        <v>655</v>
      </c>
      <c r="G721" s="133" t="str">
        <f t="shared" si="63"/>
        <v>T070DFNA</v>
      </c>
      <c r="H721" s="133" t="s">
        <v>314</v>
      </c>
      <c r="I721" s="133"/>
      <c r="J721" s="133" t="s">
        <v>1591</v>
      </c>
      <c r="K721" s="134">
        <v>45742</v>
      </c>
      <c r="L721" s="135">
        <v>79</v>
      </c>
      <c r="M721" s="133" t="s">
        <v>644</v>
      </c>
      <c r="N721" s="136">
        <v>7</v>
      </c>
      <c r="O721" s="136">
        <v>0</v>
      </c>
      <c r="P721" s="136">
        <v>0</v>
      </c>
      <c r="Q721" s="137">
        <f>Table1[[#This Row],[number_of_unit]]*Table1[[#This Row],[net_weight_per_unit]]</f>
        <v>553</v>
      </c>
      <c r="R721" s="133"/>
      <c r="S721" s="138">
        <v>45747.478472222225</v>
      </c>
      <c r="T721" s="153" t="s">
        <v>670</v>
      </c>
      <c r="U721" s="139" t="str">
        <f t="shared" si="61"/>
        <v>_driedflower_labelled</v>
      </c>
      <c r="V721" s="140" t="str">
        <f>IF(U721="_","",_xlfn.XLOOKUP(U721,internal_cansku_inventory!D:D,internal_cansku_inventory!E:E,"",0,1))</f>
        <v/>
      </c>
    </row>
    <row r="722" spans="1:22" ht="12.45" customHeight="1">
      <c r="A722" s="132">
        <v>526</v>
      </c>
      <c r="B722" s="132">
        <v>0</v>
      </c>
      <c r="C722" s="132" t="str">
        <f>Table1[[#This Row],[inventory_id_head]]&amp;"-"&amp;Table1[[#This Row],[inventory_id_tail]]</f>
        <v>526-0</v>
      </c>
      <c r="D722" s="133" t="s">
        <v>653</v>
      </c>
      <c r="E722" s="133" t="s">
        <v>1592</v>
      </c>
      <c r="F722" s="153" t="s">
        <v>655</v>
      </c>
      <c r="G722" s="133" t="str">
        <f t="shared" si="63"/>
        <v>T107EXNA</v>
      </c>
      <c r="H722" s="133" t="s">
        <v>328</v>
      </c>
      <c r="I722" s="133"/>
      <c r="J722" s="133" t="s">
        <v>1593</v>
      </c>
      <c r="K722" s="134">
        <v>45623</v>
      </c>
      <c r="L722" s="148">
        <v>22</v>
      </c>
      <c r="M722" s="133" t="s">
        <v>858</v>
      </c>
      <c r="N722" s="136">
        <v>0.5</v>
      </c>
      <c r="O722" s="136">
        <v>0</v>
      </c>
      <c r="P722" s="136">
        <v>0</v>
      </c>
      <c r="Q722" s="137">
        <f>L722*N722</f>
        <v>11</v>
      </c>
      <c r="R722" s="133"/>
      <c r="S722" s="138">
        <v>45747.540277777778</v>
      </c>
      <c r="T722" s="153" t="s">
        <v>657</v>
      </c>
      <c r="U722" s="139" t="str">
        <f t="shared" si="61"/>
        <v>_extract_inhaled_labelled</v>
      </c>
      <c r="V722" s="140" t="str">
        <f>IF(U722="_","",_xlfn.XLOOKUP(U722,internal_cansku_inventory!D:D,internal_cansku_inventory!E:E,"",0,1))</f>
        <v/>
      </c>
    </row>
    <row r="723" spans="1:22" ht="12.45" customHeight="1">
      <c r="A723" s="132">
        <v>633</v>
      </c>
      <c r="B723" s="132">
        <v>0</v>
      </c>
      <c r="C723" s="132" t="str">
        <f>Table1[[#This Row],[inventory_id_head]]&amp;"-"&amp;Table1[[#This Row],[inventory_id_tail]]</f>
        <v>633-0</v>
      </c>
      <c r="D723" s="133" t="s">
        <v>653</v>
      </c>
      <c r="E723" s="133" t="s">
        <v>1594</v>
      </c>
      <c r="F723" s="153" t="s">
        <v>55</v>
      </c>
      <c r="G723" s="133" t="str">
        <f t="shared" si="63"/>
        <v>T007MFNA</v>
      </c>
      <c r="H723" s="133" t="s">
        <v>356</v>
      </c>
      <c r="I723" s="133"/>
      <c r="J723" s="133" t="s">
        <v>1393</v>
      </c>
      <c r="K723" s="134" t="s">
        <v>655</v>
      </c>
      <c r="L723" s="135">
        <v>1</v>
      </c>
      <c r="M723" s="133" t="s">
        <v>994</v>
      </c>
      <c r="N723" s="136">
        <f>Table1[[#This Row],[gross_weight]]-Table1[[#This Row],[tare_weight]]</f>
        <v>1423</v>
      </c>
      <c r="O723" s="136">
        <v>3802</v>
      </c>
      <c r="P723" s="136">
        <v>2379</v>
      </c>
      <c r="Q723" s="137">
        <f>Table1[[#This Row],[number_of_unit]]*Table1[[#This Row],[net_weight_per_unit]]</f>
        <v>1423</v>
      </c>
      <c r="R723" s="133"/>
      <c r="S723" s="138">
        <v>45747.547222222223</v>
      </c>
      <c r="T723" s="153" t="s">
        <v>978</v>
      </c>
      <c r="U723" s="139" t="str">
        <f t="shared" si="61"/>
        <v>_driedflower_milled_bulk</v>
      </c>
      <c r="V723" s="140" t="str">
        <f>IF(U723="_","",_xlfn.XLOOKUP(U723,internal_cansku_inventory!D:D,internal_cansku_inventory!E:E,"",0,1))</f>
        <v/>
      </c>
    </row>
    <row r="724" spans="1:22" ht="12.45" customHeight="1">
      <c r="A724" s="132">
        <v>738</v>
      </c>
      <c r="B724" s="132">
        <v>1</v>
      </c>
      <c r="C724" s="132" t="str">
        <f>Table1[[#This Row],[inventory_id_head]]&amp;"-"&amp;Table1[[#This Row],[inventory_id_tail]]</f>
        <v>738-1</v>
      </c>
      <c r="D724" s="133" t="s">
        <v>653</v>
      </c>
      <c r="E724" s="133" t="s">
        <v>1560</v>
      </c>
      <c r="F724" s="153" t="s">
        <v>1595</v>
      </c>
      <c r="G724" s="133" t="str">
        <f t="shared" si="63"/>
        <v>T067DFB01</v>
      </c>
      <c r="H724" s="133" t="s">
        <v>1596</v>
      </c>
      <c r="I724" s="133"/>
      <c r="J724" s="133" t="s">
        <v>1598</v>
      </c>
      <c r="K724" s="134" t="s">
        <v>655</v>
      </c>
      <c r="L724" s="135">
        <v>85</v>
      </c>
      <c r="M724" s="133" t="s">
        <v>858</v>
      </c>
      <c r="N724" s="136">
        <v>1</v>
      </c>
      <c r="O724" s="136">
        <v>0</v>
      </c>
      <c r="P724" s="136">
        <v>0</v>
      </c>
      <c r="Q724" s="137">
        <f>Table1[[#This Row],[number_of_unit]]*Table1[[#This Row],[net_weight_per_unit]]</f>
        <v>85</v>
      </c>
      <c r="R724" s="133"/>
      <c r="S724" s="138">
        <v>45747.561111111114</v>
      </c>
      <c r="T724" s="153" t="s">
        <v>1572</v>
      </c>
      <c r="U724" s="139" t="str">
        <f t="shared" si="61"/>
        <v>_preroll_bulk_JEN</v>
      </c>
      <c r="V724" s="140" t="str">
        <f>IF(U724="_","",_xlfn.XLOOKUP(U724,internal_cansku_inventory!D:D,internal_cansku_inventory!E:E,"",0,1))</f>
        <v/>
      </c>
    </row>
    <row r="725" spans="1:22" ht="12.45" customHeight="1">
      <c r="A725" s="132">
        <v>739</v>
      </c>
      <c r="B725" s="132">
        <v>1</v>
      </c>
      <c r="C725" s="132" t="str">
        <f>Table1[[#This Row],[inventory_id_head]]&amp;"-"&amp;Table1[[#This Row],[inventory_id_tail]]</f>
        <v>739-1</v>
      </c>
      <c r="D725" s="133" t="s">
        <v>653</v>
      </c>
      <c r="E725" s="133" t="s">
        <v>1560</v>
      </c>
      <c r="F725" s="153" t="s">
        <v>1595</v>
      </c>
      <c r="G725" s="133" t="str">
        <f t="shared" si="63"/>
        <v>T067DFB01</v>
      </c>
      <c r="H725" s="133" t="s">
        <v>368</v>
      </c>
      <c r="I725" s="133"/>
      <c r="J725" s="133" t="s">
        <v>1599</v>
      </c>
      <c r="K725" s="134" t="s">
        <v>655</v>
      </c>
      <c r="L725" s="135">
        <v>89</v>
      </c>
      <c r="M725" s="133" t="s">
        <v>858</v>
      </c>
      <c r="N725" s="136">
        <v>0.5</v>
      </c>
      <c r="O725" s="136">
        <v>0</v>
      </c>
      <c r="P725" s="136">
        <v>0</v>
      </c>
      <c r="Q725" s="137">
        <f>Table1[[#This Row],[number_of_unit]]*Table1[[#This Row],[net_weight_per_unit]]</f>
        <v>44.5</v>
      </c>
      <c r="R725" s="133"/>
      <c r="S725" s="138">
        <v>45747.561111111114</v>
      </c>
      <c r="T725" s="153" t="s">
        <v>1572</v>
      </c>
      <c r="U725" s="139" t="str">
        <f t="shared" si="61"/>
        <v>_preroll_bulk</v>
      </c>
      <c r="V725" s="140" t="str">
        <f>IF(U725="_","",_xlfn.XLOOKUP(U725,internal_cansku_inventory!D:D,internal_cansku_inventory!E:E,"",0,1))</f>
        <v/>
      </c>
    </row>
    <row r="726" spans="1:22" ht="12.45" customHeight="1">
      <c r="A726" s="132">
        <v>626</v>
      </c>
      <c r="B726" s="132">
        <v>0</v>
      </c>
      <c r="C726" s="132" t="str">
        <f>Table1[[#This Row],[inventory_id_head]]&amp;"-"&amp;Table1[[#This Row],[inventory_id_tail]]</f>
        <v>626-0</v>
      </c>
      <c r="D726" s="133" t="s">
        <v>653</v>
      </c>
      <c r="E726" s="133" t="s">
        <v>1600</v>
      </c>
      <c r="F726" s="153" t="s">
        <v>655</v>
      </c>
      <c r="G726" s="133" t="str">
        <f t="shared" si="63"/>
        <v>T120EXNA</v>
      </c>
      <c r="H726" s="133" t="s">
        <v>328</v>
      </c>
      <c r="I726" s="133"/>
      <c r="J726" s="133" t="s">
        <v>1601</v>
      </c>
      <c r="K726" s="134">
        <v>45642</v>
      </c>
      <c r="L726" s="135">
        <v>14</v>
      </c>
      <c r="M726" s="133" t="s">
        <v>858</v>
      </c>
      <c r="N726" s="136">
        <v>0.5</v>
      </c>
      <c r="O726" s="136">
        <v>0</v>
      </c>
      <c r="P726" s="136">
        <v>0</v>
      </c>
      <c r="Q726" s="137">
        <f>L726*N726</f>
        <v>7</v>
      </c>
      <c r="R726" s="133"/>
      <c r="S726" s="138">
        <v>45747.564583333333</v>
      </c>
      <c r="T726" s="133" t="s">
        <v>657</v>
      </c>
      <c r="U726" s="139" t="str">
        <f t="shared" si="61"/>
        <v>_extract_inhaled_labelled</v>
      </c>
      <c r="V726" s="140" t="str">
        <f>IF(U726="_","",_xlfn.XLOOKUP(U726,internal_cansku_inventory!D:D,internal_cansku_inventory!E:E,"",0,1))</f>
        <v/>
      </c>
    </row>
    <row r="727" spans="1:22" ht="12.45" customHeight="1">
      <c r="A727" s="132">
        <v>591</v>
      </c>
      <c r="B727" s="132">
        <v>1</v>
      </c>
      <c r="C727" s="132" t="str">
        <f>Table1[[#This Row],[inventory_id_head]]&amp;"-"&amp;Table1[[#This Row],[inventory_id_tail]]</f>
        <v>591-1</v>
      </c>
      <c r="D727" s="133" t="s">
        <v>653</v>
      </c>
      <c r="E727" s="133" t="s">
        <v>1602</v>
      </c>
      <c r="F727" s="153" t="s">
        <v>655</v>
      </c>
      <c r="G727" s="133" t="str">
        <f t="shared" si="63"/>
        <v>P006DFNA</v>
      </c>
      <c r="H727" s="133" t="s">
        <v>451</v>
      </c>
      <c r="I727" s="133"/>
      <c r="J727" s="133" t="s">
        <v>1603</v>
      </c>
      <c r="K727" s="134" t="s">
        <v>204</v>
      </c>
      <c r="L727" s="135">
        <v>1</v>
      </c>
      <c r="M727" s="133" t="s">
        <v>994</v>
      </c>
      <c r="N727" s="136">
        <f>Table1[[#This Row],[gross_weight]]-Table1[[#This Row],[tare_weight]]</f>
        <v>2320</v>
      </c>
      <c r="O727" s="136">
        <v>4100</v>
      </c>
      <c r="P727" s="136">
        <v>1780</v>
      </c>
      <c r="Q727" s="137">
        <f>L727*N727</f>
        <v>2320</v>
      </c>
      <c r="R727" s="133"/>
      <c r="S727" s="138">
        <v>45748.584722222222</v>
      </c>
      <c r="T727" s="133" t="s">
        <v>978</v>
      </c>
      <c r="U727" s="139" t="str">
        <f t="shared" si="61"/>
        <v>_driedflower_milled_bulk_BURB</v>
      </c>
      <c r="V727" s="140" t="str">
        <f>IF(U727="_","",_xlfn.XLOOKUP(U727,internal_cansku_inventory!D:D,internal_cansku_inventory!E:E,"",0,1))</f>
        <v/>
      </c>
    </row>
    <row r="728" spans="1:22" ht="12.45" customHeight="1">
      <c r="A728" s="132">
        <v>744</v>
      </c>
      <c r="B728" s="132">
        <v>1</v>
      </c>
      <c r="C728" s="132" t="str">
        <f>Table1[[#This Row],[inventory_id_head]]&amp;"-"&amp;Table1[[#This Row],[inventory_id_tail]]</f>
        <v>744-1</v>
      </c>
      <c r="D728" s="133" t="s">
        <v>653</v>
      </c>
      <c r="E728" s="133" t="s">
        <v>867</v>
      </c>
      <c r="F728" s="153" t="s">
        <v>868</v>
      </c>
      <c r="G728" s="133" t="str">
        <f t="shared" si="63"/>
        <v>RACK_BGRID_2</v>
      </c>
      <c r="H728" s="133" t="s">
        <v>368</v>
      </c>
      <c r="I728" s="133"/>
      <c r="J728" s="133" t="s">
        <v>1605</v>
      </c>
      <c r="K728" s="134" t="s">
        <v>204</v>
      </c>
      <c r="L728" s="135">
        <v>484</v>
      </c>
      <c r="M728" s="133" t="s">
        <v>858</v>
      </c>
      <c r="N728" s="136">
        <v>0.5</v>
      </c>
      <c r="O728" s="136">
        <v>0</v>
      </c>
      <c r="P728" s="136">
        <v>0</v>
      </c>
      <c r="Q728" s="137">
        <f>Table1[[#This Row],[number_of_unit]]*Table1[[#This Row],[net_weight_per_unit]]</f>
        <v>242</v>
      </c>
      <c r="R728" s="133"/>
      <c r="S728" s="138">
        <v>45748.634722222225</v>
      </c>
      <c r="T728" s="133" t="s">
        <v>670</v>
      </c>
      <c r="U728" s="139" t="str">
        <f t="shared" si="61"/>
        <v>_preroll_bulk</v>
      </c>
      <c r="V728" s="140" t="str">
        <f>IF(U728="_","",_xlfn.XLOOKUP(U728,internal_cansku_inventory!D:D,internal_cansku_inventory!E:E,"",0,1))</f>
        <v/>
      </c>
    </row>
    <row r="729" spans="1:22" ht="12.45" customHeight="1">
      <c r="A729" s="132">
        <v>744</v>
      </c>
      <c r="B729" s="132">
        <v>2</v>
      </c>
      <c r="C729" s="132" t="str">
        <f>Table1[[#This Row],[inventory_id_head]]&amp;"-"&amp;Table1[[#This Row],[inventory_id_tail]]</f>
        <v>744-2</v>
      </c>
      <c r="D729" s="133" t="s">
        <v>653</v>
      </c>
      <c r="E729" s="133" t="s">
        <v>867</v>
      </c>
      <c r="F729" s="153" t="s">
        <v>868</v>
      </c>
      <c r="G729" s="133" t="str">
        <f t="shared" si="63"/>
        <v>RACK_BGRID_2</v>
      </c>
      <c r="H729" s="133" t="s">
        <v>368</v>
      </c>
      <c r="I729" s="133"/>
      <c r="J729" s="133" t="s">
        <v>1606</v>
      </c>
      <c r="K729" s="134" t="s">
        <v>204</v>
      </c>
      <c r="L729" s="135">
        <v>517</v>
      </c>
      <c r="M729" s="133" t="s">
        <v>858</v>
      </c>
      <c r="N729" s="136">
        <v>0.5</v>
      </c>
      <c r="O729" s="136">
        <v>0</v>
      </c>
      <c r="P729" s="136">
        <v>0</v>
      </c>
      <c r="Q729" s="137">
        <f>Table1[[#This Row],[number_of_unit]]*Table1[[#This Row],[net_weight_per_unit]]</f>
        <v>258.5</v>
      </c>
      <c r="R729" s="133"/>
      <c r="S729" s="138">
        <v>45748.634722222225</v>
      </c>
      <c r="T729" s="133" t="s">
        <v>670</v>
      </c>
      <c r="U729" s="139" t="str">
        <f t="shared" si="61"/>
        <v>_preroll_bulk</v>
      </c>
      <c r="V729" s="140" t="str">
        <f>IF(U729="_","",_xlfn.XLOOKUP(U729,internal_cansku_inventory!D:D,internal_cansku_inventory!E:E,"",0,1))</f>
        <v/>
      </c>
    </row>
    <row r="730" spans="1:22" ht="12.45" customHeight="1">
      <c r="A730" s="132">
        <v>744</v>
      </c>
      <c r="B730" s="132">
        <v>3</v>
      </c>
      <c r="C730" s="132" t="str">
        <f>Table1[[#This Row],[inventory_id_head]]&amp;"-"&amp;Table1[[#This Row],[inventory_id_tail]]</f>
        <v>744-3</v>
      </c>
      <c r="D730" s="133" t="s">
        <v>653</v>
      </c>
      <c r="E730" s="133" t="s">
        <v>867</v>
      </c>
      <c r="F730" s="153" t="s">
        <v>868</v>
      </c>
      <c r="G730" s="133" t="str">
        <f t="shared" si="63"/>
        <v>RACK_BGRID_2</v>
      </c>
      <c r="H730" s="133" t="s">
        <v>368</v>
      </c>
      <c r="I730" s="133"/>
      <c r="J730" s="133" t="s">
        <v>1606</v>
      </c>
      <c r="K730" s="134" t="s">
        <v>204</v>
      </c>
      <c r="L730" s="135">
        <v>550</v>
      </c>
      <c r="M730" s="133" t="s">
        <v>858</v>
      </c>
      <c r="N730" s="136">
        <v>0.5</v>
      </c>
      <c r="O730" s="136">
        <v>0</v>
      </c>
      <c r="P730" s="136">
        <v>0</v>
      </c>
      <c r="Q730" s="137">
        <f>Table1[[#This Row],[number_of_unit]]*Table1[[#This Row],[net_weight_per_unit]]</f>
        <v>275</v>
      </c>
      <c r="R730" s="133"/>
      <c r="S730" s="138">
        <v>45748.634722222225</v>
      </c>
      <c r="T730" s="133" t="s">
        <v>670</v>
      </c>
      <c r="U730" s="139" t="str">
        <f t="shared" si="61"/>
        <v>_preroll_bulk</v>
      </c>
      <c r="V730" s="140" t="str">
        <f>IF(U730="_","",_xlfn.XLOOKUP(U730,internal_cansku_inventory!D:D,internal_cansku_inventory!E:E,"",0,1))</f>
        <v/>
      </c>
    </row>
    <row r="731" spans="1:22" ht="12.45" customHeight="1">
      <c r="A731" s="132">
        <v>121</v>
      </c>
      <c r="B731" s="132">
        <v>0</v>
      </c>
      <c r="C731" s="132" t="str">
        <f>Table1[[#This Row],[inventory_id_head]]&amp;"-"&amp;Table1[[#This Row],[inventory_id_tail]]</f>
        <v>121-0</v>
      </c>
      <c r="D731" s="142" t="s">
        <v>653</v>
      </c>
      <c r="E731" s="133" t="s">
        <v>1608</v>
      </c>
      <c r="F731" s="153" t="s">
        <v>55</v>
      </c>
      <c r="G731" s="133" t="str">
        <f t="shared" si="63"/>
        <v>T014PRNA</v>
      </c>
      <c r="H731" s="133" t="s">
        <v>813</v>
      </c>
      <c r="I731" s="133"/>
      <c r="J731" s="133" t="s">
        <v>1609</v>
      </c>
      <c r="K731" s="134">
        <v>45462</v>
      </c>
      <c r="L731" s="135">
        <v>350</v>
      </c>
      <c r="M731" s="133" t="s">
        <v>644</v>
      </c>
      <c r="N731" s="136">
        <v>1</v>
      </c>
      <c r="O731" s="136">
        <v>0</v>
      </c>
      <c r="P731" s="136">
        <v>0</v>
      </c>
      <c r="Q731" s="137">
        <f t="shared" ref="Q731:Q766" si="64">L731*N731</f>
        <v>350</v>
      </c>
      <c r="R731" s="133"/>
      <c r="S731" s="138">
        <v>45749.568749999999</v>
      </c>
      <c r="T731" s="133" t="s">
        <v>670</v>
      </c>
      <c r="U731" s="139" t="str">
        <f t="shared" si="61"/>
        <v>_preroll_labelled</v>
      </c>
      <c r="V731" s="140" t="str">
        <f>IF(U731="_","",_xlfn.XLOOKUP(U731,internal_cansku_inventory!D:D,internal_cansku_inventory!E:E,"",0,1))</f>
        <v/>
      </c>
    </row>
    <row r="732" spans="1:22" ht="12.45" customHeight="1">
      <c r="A732" s="154">
        <v>121</v>
      </c>
      <c r="B732" s="132">
        <v>1</v>
      </c>
      <c r="C732" s="154" t="str">
        <f>Table1[[#This Row],[inventory_id_head]]&amp;"-"&amp;Table1[[#This Row],[inventory_id_tail]]</f>
        <v>121-1</v>
      </c>
      <c r="D732" s="142" t="s">
        <v>653</v>
      </c>
      <c r="E732" s="133" t="s">
        <v>1608</v>
      </c>
      <c r="F732" s="153" t="s">
        <v>55</v>
      </c>
      <c r="G732" s="133" t="str">
        <f t="shared" si="63"/>
        <v>T014PRNA</v>
      </c>
      <c r="H732" s="133" t="s">
        <v>813</v>
      </c>
      <c r="I732" s="133"/>
      <c r="J732" s="133" t="s">
        <v>1609</v>
      </c>
      <c r="K732" s="134">
        <v>45728</v>
      </c>
      <c r="L732" s="156">
        <v>29</v>
      </c>
      <c r="M732" s="133" t="s">
        <v>644</v>
      </c>
      <c r="N732" s="136">
        <v>1</v>
      </c>
      <c r="O732" s="136">
        <v>0</v>
      </c>
      <c r="P732" s="136">
        <v>0</v>
      </c>
      <c r="Q732" s="137">
        <f t="shared" si="64"/>
        <v>29</v>
      </c>
      <c r="R732" s="133"/>
      <c r="S732" s="138">
        <v>45749.568749999999</v>
      </c>
      <c r="T732" s="133" t="s">
        <v>1572</v>
      </c>
      <c r="U732" s="139" t="str">
        <f t="shared" si="61"/>
        <v>_preroll_labelled</v>
      </c>
      <c r="V732" s="140" t="str">
        <f>IF(U732="_","",_xlfn.XLOOKUP(U732,internal_cansku_inventory!D:D,internal_cansku_inventory!E:E,"",0,1))</f>
        <v/>
      </c>
    </row>
    <row r="733" spans="1:22" ht="12.45" customHeight="1">
      <c r="A733" s="154">
        <v>122</v>
      </c>
      <c r="B733" s="132">
        <v>0</v>
      </c>
      <c r="C733" s="154" t="str">
        <f>Table1[[#This Row],[inventory_id_head]]&amp;"-"&amp;Table1[[#This Row],[inventory_id_tail]]</f>
        <v>122-0</v>
      </c>
      <c r="D733" s="133" t="s">
        <v>653</v>
      </c>
      <c r="E733" s="133" t="s">
        <v>1608</v>
      </c>
      <c r="F733" s="153" t="s">
        <v>1610</v>
      </c>
      <c r="G733" s="133" t="str">
        <f t="shared" si="63"/>
        <v>T014PRB002PR</v>
      </c>
      <c r="H733" s="153" t="s">
        <v>823</v>
      </c>
      <c r="I733" s="133"/>
      <c r="J733" s="153" t="s">
        <v>1611</v>
      </c>
      <c r="K733" s="155">
        <v>45454</v>
      </c>
      <c r="L733" s="156">
        <v>144</v>
      </c>
      <c r="M733" s="133" t="s">
        <v>644</v>
      </c>
      <c r="N733" s="136">
        <v>1</v>
      </c>
      <c r="O733" s="136">
        <v>0</v>
      </c>
      <c r="P733" s="136">
        <v>0</v>
      </c>
      <c r="Q733" s="137">
        <f t="shared" si="64"/>
        <v>144</v>
      </c>
      <c r="R733" s="133"/>
      <c r="S733" s="138">
        <v>45749.568749999999</v>
      </c>
      <c r="T733" s="133" t="s">
        <v>670</v>
      </c>
      <c r="U733" s="139" t="str">
        <f t="shared" si="61"/>
        <v>_preroll_bulk</v>
      </c>
      <c r="V733" s="140" t="str">
        <f>IF(U733="_","",_xlfn.XLOOKUP(U733,internal_cansku_inventory!D:D,internal_cansku_inventory!E:E,"",0,1))</f>
        <v/>
      </c>
    </row>
    <row r="734" spans="1:22" ht="12.45" customHeight="1">
      <c r="A734" s="154">
        <v>145</v>
      </c>
      <c r="B734" s="132">
        <v>0</v>
      </c>
      <c r="C734" s="154" t="str">
        <f>Table1[[#This Row],[inventory_id_head]]&amp;"-"&amp;Table1[[#This Row],[inventory_id_tail]]</f>
        <v>145-0</v>
      </c>
      <c r="D734" s="133" t="s">
        <v>653</v>
      </c>
      <c r="E734" s="133" t="s">
        <v>856</v>
      </c>
      <c r="F734" s="153" t="s">
        <v>655</v>
      </c>
      <c r="G734" s="133" t="str">
        <f t="shared" si="63"/>
        <v>T029PRNA</v>
      </c>
      <c r="H734" s="153" t="s">
        <v>813</v>
      </c>
      <c r="I734" s="153"/>
      <c r="J734" s="153" t="s">
        <v>857</v>
      </c>
      <c r="K734" s="155">
        <v>45447</v>
      </c>
      <c r="L734" s="156">
        <v>35</v>
      </c>
      <c r="M734" s="133" t="s">
        <v>858</v>
      </c>
      <c r="N734" s="136">
        <v>1.5</v>
      </c>
      <c r="O734" s="136">
        <v>0</v>
      </c>
      <c r="P734" s="136">
        <v>0</v>
      </c>
      <c r="Q734" s="137">
        <f t="shared" si="64"/>
        <v>52.5</v>
      </c>
      <c r="R734" s="133" t="s">
        <v>1612</v>
      </c>
      <c r="S734" s="138">
        <v>45749.575694444444</v>
      </c>
      <c r="T734" s="133" t="s">
        <v>670</v>
      </c>
      <c r="U734" s="139" t="str">
        <f t="shared" si="61"/>
        <v>_preroll_labelled</v>
      </c>
      <c r="V734" s="140" t="str">
        <f>IF(U734="_","",_xlfn.XLOOKUP(U734,internal_cansku_inventory!D:D,internal_cansku_inventory!E:E,"",0,1))</f>
        <v/>
      </c>
    </row>
    <row r="735" spans="1:22" ht="12.45" customHeight="1">
      <c r="A735" s="154">
        <v>145</v>
      </c>
      <c r="B735" s="132">
        <v>1</v>
      </c>
      <c r="C735" s="154" t="str">
        <f>Table1[[#This Row],[inventory_id_head]]&amp;"-"&amp;Table1[[#This Row],[inventory_id_tail]]</f>
        <v>145-1</v>
      </c>
      <c r="D735" s="133" t="s">
        <v>680</v>
      </c>
      <c r="E735" s="133" t="s">
        <v>856</v>
      </c>
      <c r="F735" s="153" t="s">
        <v>655</v>
      </c>
      <c r="G735" s="133" t="str">
        <f t="shared" si="63"/>
        <v>T029PRNA</v>
      </c>
      <c r="H735" s="153" t="s">
        <v>813</v>
      </c>
      <c r="I735" s="153"/>
      <c r="J735" s="153" t="s">
        <v>857</v>
      </c>
      <c r="K735" s="155">
        <v>45728</v>
      </c>
      <c r="L735" s="156">
        <v>0</v>
      </c>
      <c r="M735" s="153" t="s">
        <v>858</v>
      </c>
      <c r="N735" s="157">
        <v>1.5</v>
      </c>
      <c r="O735" s="136">
        <v>0</v>
      </c>
      <c r="P735" s="136">
        <v>0</v>
      </c>
      <c r="Q735" s="137">
        <f t="shared" si="64"/>
        <v>0</v>
      </c>
      <c r="R735" s="153"/>
      <c r="S735" s="158">
        <v>45749.57916666667</v>
      </c>
      <c r="T735" s="133" t="s">
        <v>657</v>
      </c>
      <c r="U735" s="139" t="str">
        <f t="shared" si="61"/>
        <v>_preroll_labelled</v>
      </c>
      <c r="V735" s="140" t="str">
        <f>IF(U735="_","",_xlfn.XLOOKUP(U735,internal_cansku_inventory!D:D,internal_cansku_inventory!E:E,"",0,1))</f>
        <v/>
      </c>
    </row>
    <row r="736" spans="1:22" ht="12.45" customHeight="1">
      <c r="A736" s="154">
        <v>492</v>
      </c>
      <c r="B736" s="132">
        <v>1</v>
      </c>
      <c r="C736" s="154" t="str">
        <f>Table1[[#This Row],[inventory_id_head]]&amp;"-"&amp;Table1[[#This Row],[inventory_id_tail]]</f>
        <v>492-1</v>
      </c>
      <c r="D736" s="153" t="s">
        <v>653</v>
      </c>
      <c r="E736" s="153" t="s">
        <v>1613</v>
      </c>
      <c r="F736" s="153" t="s">
        <v>655</v>
      </c>
      <c r="G736" s="133" t="str">
        <f t="shared" si="63"/>
        <v>T073DFNA</v>
      </c>
      <c r="H736" s="153" t="s">
        <v>314</v>
      </c>
      <c r="I736" s="153"/>
      <c r="J736" s="153" t="s">
        <v>1615</v>
      </c>
      <c r="K736" s="155">
        <v>45744</v>
      </c>
      <c r="L736" s="156">
        <v>156</v>
      </c>
      <c r="M736" s="153" t="s">
        <v>858</v>
      </c>
      <c r="N736" s="157">
        <v>28</v>
      </c>
      <c r="O736" s="157">
        <v>0</v>
      </c>
      <c r="P736" s="157">
        <v>0</v>
      </c>
      <c r="Q736" s="137">
        <f t="shared" si="64"/>
        <v>4368</v>
      </c>
      <c r="R736" s="153"/>
      <c r="S736" s="158">
        <v>45749.581250000003</v>
      </c>
      <c r="T736" s="153" t="s">
        <v>657</v>
      </c>
      <c r="U736" s="139" t="str">
        <f t="shared" si="61"/>
        <v>_driedflower_labelled</v>
      </c>
      <c r="V736" s="140" t="str">
        <f>IF(U736="_","",_xlfn.XLOOKUP(U736,internal_cansku_inventory!D:D,internal_cansku_inventory!E:E,"",0,1))</f>
        <v/>
      </c>
    </row>
    <row r="737" spans="1:22" ht="12.45" customHeight="1">
      <c r="A737" s="154">
        <v>523</v>
      </c>
      <c r="B737" s="132">
        <v>1</v>
      </c>
      <c r="C737" s="154" t="str">
        <f>Table1[[#This Row],[inventory_id_head]]&amp;"-"&amp;Table1[[#This Row],[inventory_id_tail]]</f>
        <v>523-1</v>
      </c>
      <c r="D737" s="153" t="s">
        <v>653</v>
      </c>
      <c r="E737" s="133" t="s">
        <v>1616</v>
      </c>
      <c r="F737" s="153" t="s">
        <v>655</v>
      </c>
      <c r="G737" s="133" t="str">
        <f t="shared" si="63"/>
        <v>T005BSNA</v>
      </c>
      <c r="H737" s="133" t="s">
        <v>303</v>
      </c>
      <c r="I737" s="133"/>
      <c r="J737" s="133" t="s">
        <v>1256</v>
      </c>
      <c r="K737" s="134">
        <v>45735</v>
      </c>
      <c r="L737" s="135">
        <v>95</v>
      </c>
      <c r="M737" s="153" t="s">
        <v>858</v>
      </c>
      <c r="N737" s="136">
        <v>450</v>
      </c>
      <c r="O737" s="157">
        <v>0</v>
      </c>
      <c r="P737" s="157">
        <v>0</v>
      </c>
      <c r="Q737" s="137">
        <f t="shared" si="64"/>
        <v>42750</v>
      </c>
      <c r="R737" s="153"/>
      <c r="S737" s="158">
        <v>45749.581250000003</v>
      </c>
      <c r="T737" s="153" t="s">
        <v>657</v>
      </c>
      <c r="U737" s="139" t="str">
        <f t="shared" si="61"/>
        <v>_topical_labelled</v>
      </c>
      <c r="V737" s="140" t="str">
        <f>IF(U737="_","",_xlfn.XLOOKUP(U737,internal_cansku_inventory!D:D,internal_cansku_inventory!E:E,"",0,1))</f>
        <v/>
      </c>
    </row>
    <row r="738" spans="1:22" ht="12.45" customHeight="1">
      <c r="A738" s="154">
        <v>536</v>
      </c>
      <c r="B738" s="132">
        <v>1</v>
      </c>
      <c r="C738" s="154" t="str">
        <f>Table1[[#This Row],[inventory_id_head]]&amp;"-"&amp;Table1[[#This Row],[inventory_id_tail]]</f>
        <v>536-1</v>
      </c>
      <c r="D738" s="153" t="s">
        <v>653</v>
      </c>
      <c r="E738" s="133" t="s">
        <v>1617</v>
      </c>
      <c r="F738" s="153" t="s">
        <v>655</v>
      </c>
      <c r="G738" s="133" t="str">
        <f t="shared" si="63"/>
        <v>T071DFNA</v>
      </c>
      <c r="H738" s="133" t="s">
        <v>314</v>
      </c>
      <c r="I738" s="133"/>
      <c r="J738" s="133" t="s">
        <v>1619</v>
      </c>
      <c r="K738" s="134">
        <v>45744</v>
      </c>
      <c r="L738" s="135">
        <v>43</v>
      </c>
      <c r="M738" s="133" t="s">
        <v>858</v>
      </c>
      <c r="N738" s="136">
        <v>28</v>
      </c>
      <c r="O738" s="136">
        <v>0</v>
      </c>
      <c r="P738" s="136">
        <v>0</v>
      </c>
      <c r="Q738" s="137">
        <f t="shared" si="64"/>
        <v>1204</v>
      </c>
      <c r="R738" s="133"/>
      <c r="S738" s="138">
        <v>45749.581250000003</v>
      </c>
      <c r="T738" s="133" t="s">
        <v>657</v>
      </c>
      <c r="U738" s="139" t="str">
        <f t="shared" si="61"/>
        <v>_driedflower_labelled</v>
      </c>
      <c r="V738" s="140" t="str">
        <f>IF(U738="_","",_xlfn.XLOOKUP(U738,internal_cansku_inventory!D:D,internal_cansku_inventory!E:E,"",0,1))</f>
        <v/>
      </c>
    </row>
    <row r="739" spans="1:22" ht="12.45" customHeight="1">
      <c r="A739" s="154">
        <v>537</v>
      </c>
      <c r="B739" s="132">
        <v>1</v>
      </c>
      <c r="C739" s="132" t="str">
        <f>Table1[[#This Row],[inventory_id_head]]&amp;"-"&amp;Table1[[#This Row],[inventory_id_tail]]</f>
        <v>537-1</v>
      </c>
      <c r="D739" s="153" t="s">
        <v>653</v>
      </c>
      <c r="E739" s="133" t="s">
        <v>1620</v>
      </c>
      <c r="F739" s="153" t="s">
        <v>655</v>
      </c>
      <c r="G739" s="133" t="str">
        <f t="shared" si="63"/>
        <v>T072DFNA</v>
      </c>
      <c r="H739" s="133" t="s">
        <v>314</v>
      </c>
      <c r="I739" s="133"/>
      <c r="J739" s="133" t="s">
        <v>1619</v>
      </c>
      <c r="K739" s="134">
        <v>45744</v>
      </c>
      <c r="L739" s="135">
        <v>65</v>
      </c>
      <c r="M739" s="133" t="s">
        <v>858</v>
      </c>
      <c r="N739" s="136">
        <v>28</v>
      </c>
      <c r="O739" s="136">
        <v>0</v>
      </c>
      <c r="P739" s="136">
        <v>0</v>
      </c>
      <c r="Q739" s="137">
        <f t="shared" si="64"/>
        <v>1820</v>
      </c>
      <c r="R739" s="133"/>
      <c r="S739" s="138">
        <v>45749.581250000003</v>
      </c>
      <c r="T739" s="133" t="s">
        <v>657</v>
      </c>
      <c r="U739" s="139" t="str">
        <f t="shared" si="61"/>
        <v>_driedflower_labelled</v>
      </c>
      <c r="V739" s="140" t="str">
        <f>IF(U739="_","",_xlfn.XLOOKUP(U739,internal_cansku_inventory!D:D,internal_cansku_inventory!E:E,"",0,1))</f>
        <v/>
      </c>
    </row>
    <row r="740" spans="1:22" ht="12.45" customHeight="1">
      <c r="A740" s="154">
        <v>745</v>
      </c>
      <c r="B740" s="132">
        <v>2</v>
      </c>
      <c r="C740" s="154" t="str">
        <f>Table1[[#This Row],[inventory_id_head]]&amp;"-"&amp;Table1[[#This Row],[inventory_id_tail]]</f>
        <v>745-2</v>
      </c>
      <c r="D740" s="153" t="s">
        <v>680</v>
      </c>
      <c r="E740" s="133" t="s">
        <v>1621</v>
      </c>
      <c r="F740" s="153" t="s">
        <v>655</v>
      </c>
      <c r="G740" s="133" t="str">
        <f t="shared" si="63"/>
        <v>T019TPNA</v>
      </c>
      <c r="H740" s="133" t="s">
        <v>303</v>
      </c>
      <c r="I740" s="133"/>
      <c r="J740" s="133" t="s">
        <v>1622</v>
      </c>
      <c r="K740" s="134">
        <v>45714</v>
      </c>
      <c r="L740" s="135">
        <v>418</v>
      </c>
      <c r="M740" s="133" t="s">
        <v>858</v>
      </c>
      <c r="N740" s="136">
        <v>88</v>
      </c>
      <c r="O740" s="136">
        <v>0</v>
      </c>
      <c r="P740" s="136">
        <v>0</v>
      </c>
      <c r="Q740" s="137">
        <f t="shared" si="64"/>
        <v>36784</v>
      </c>
      <c r="R740" s="133"/>
      <c r="S740" s="138">
        <v>45749.595833333333</v>
      </c>
      <c r="T740" s="133" t="s">
        <v>657</v>
      </c>
      <c r="U740" s="139" t="str">
        <f t="shared" si="61"/>
        <v>_topical_labelled</v>
      </c>
      <c r="V740" s="140" t="str">
        <f>IF(U740="_","",_xlfn.XLOOKUP(U740,internal_cansku_inventory!D:D,internal_cansku_inventory!E:E,"",0,1))</f>
        <v/>
      </c>
    </row>
    <row r="741" spans="1:22" ht="12.45" customHeight="1">
      <c r="A741" s="154">
        <v>626</v>
      </c>
      <c r="B741" s="132">
        <v>1</v>
      </c>
      <c r="C741" s="132" t="str">
        <f>Table1[[#This Row],[inventory_id_head]]&amp;"-"&amp;Table1[[#This Row],[inventory_id_tail]]</f>
        <v>626-1</v>
      </c>
      <c r="D741" s="153" t="s">
        <v>653</v>
      </c>
      <c r="E741" s="133" t="s">
        <v>1623</v>
      </c>
      <c r="F741" s="153" t="s">
        <v>655</v>
      </c>
      <c r="G741" s="133" t="str">
        <f t="shared" si="63"/>
        <v>T154EXNA</v>
      </c>
      <c r="H741" s="133" t="s">
        <v>328</v>
      </c>
      <c r="I741" s="133"/>
      <c r="J741" s="133" t="s">
        <v>1601</v>
      </c>
      <c r="K741" s="134">
        <v>45749</v>
      </c>
      <c r="L741" s="135">
        <v>120</v>
      </c>
      <c r="M741" s="133" t="s">
        <v>858</v>
      </c>
      <c r="N741" s="136">
        <v>0.5</v>
      </c>
      <c r="O741" s="136">
        <v>0</v>
      </c>
      <c r="P741" s="136">
        <v>0</v>
      </c>
      <c r="Q741" s="137">
        <f t="shared" si="64"/>
        <v>60</v>
      </c>
      <c r="R741" s="133"/>
      <c r="S741" s="138">
        <v>45754.415277777778</v>
      </c>
      <c r="T741" s="133" t="s">
        <v>657</v>
      </c>
      <c r="U741" s="139" t="str">
        <f t="shared" si="61"/>
        <v>_extract_inhaled_labelled</v>
      </c>
      <c r="V741" s="140" t="str">
        <f>IF(U741="_","",_xlfn.XLOOKUP(U741,internal_cansku_inventory!D:D,internal_cansku_inventory!E:E,"",0,1))</f>
        <v/>
      </c>
    </row>
    <row r="742" spans="1:22" ht="12.45" customHeight="1">
      <c r="A742" s="154">
        <v>584</v>
      </c>
      <c r="B742" s="132">
        <v>0</v>
      </c>
      <c r="C742" s="154" t="str">
        <f>Table1[[#This Row],[inventory_id_head]]&amp;"-"&amp;Table1[[#This Row],[inventory_id_tail]]</f>
        <v>584-0</v>
      </c>
      <c r="D742" s="153" t="s">
        <v>653</v>
      </c>
      <c r="E742" s="133" t="s">
        <v>1624</v>
      </c>
      <c r="F742" s="153" t="s">
        <v>655</v>
      </c>
      <c r="G742" s="133" t="str">
        <f t="shared" si="63"/>
        <v>T055PRNA</v>
      </c>
      <c r="H742" s="133" t="s">
        <v>308</v>
      </c>
      <c r="I742" s="133"/>
      <c r="J742" s="133" t="s">
        <v>1625</v>
      </c>
      <c r="K742" s="134">
        <v>45642</v>
      </c>
      <c r="L742" s="135">
        <v>10</v>
      </c>
      <c r="M742" s="133" t="s">
        <v>644</v>
      </c>
      <c r="N742" s="136">
        <v>5</v>
      </c>
      <c r="O742" s="136">
        <v>0</v>
      </c>
      <c r="P742" s="136">
        <v>0</v>
      </c>
      <c r="Q742" s="137">
        <f t="shared" si="64"/>
        <v>50</v>
      </c>
      <c r="R742" s="133"/>
      <c r="S742" s="138">
        <v>45754.674305555556</v>
      </c>
      <c r="T742" s="133" t="s">
        <v>670</v>
      </c>
      <c r="U742" s="139" t="str">
        <f t="shared" si="61"/>
        <v>_preroll_labelled</v>
      </c>
      <c r="V742" s="140" t="str">
        <f>IF(U742="_","",_xlfn.XLOOKUP(U742,internal_cansku_inventory!D:D,internal_cansku_inventory!E:E,"",0,1))</f>
        <v/>
      </c>
    </row>
    <row r="743" spans="1:22" ht="12.45" customHeight="1">
      <c r="A743" s="154">
        <v>738</v>
      </c>
      <c r="B743" s="132">
        <v>0</v>
      </c>
      <c r="C743" s="132" t="str">
        <f>Table1[[#This Row],[inventory_id_head]]&amp;"-"&amp;Table1[[#This Row],[inventory_id_tail]]</f>
        <v>738-0</v>
      </c>
      <c r="D743" s="153" t="s">
        <v>653</v>
      </c>
      <c r="E743" s="133" t="s">
        <v>1626</v>
      </c>
      <c r="F743" s="153" t="s">
        <v>655</v>
      </c>
      <c r="G743" s="133" t="str">
        <f t="shared" si="63"/>
        <v>T008MFNA</v>
      </c>
      <c r="H743" s="133" t="s">
        <v>1627</v>
      </c>
      <c r="I743" s="133"/>
      <c r="J743" s="133" t="s">
        <v>1629</v>
      </c>
      <c r="K743" s="134" t="s">
        <v>204</v>
      </c>
      <c r="L743" s="135">
        <v>1</v>
      </c>
      <c r="M743" s="133" t="s">
        <v>994</v>
      </c>
      <c r="N743" s="136">
        <f>Table1[[#This Row],[gross_weight]]-Table1[[#This Row],[tare_weight]]</f>
        <v>1936</v>
      </c>
      <c r="O743" s="136">
        <v>3696</v>
      </c>
      <c r="P743" s="136">
        <f>3696-1936</f>
        <v>1760</v>
      </c>
      <c r="Q743" s="137">
        <f t="shared" si="64"/>
        <v>1936</v>
      </c>
      <c r="R743" s="133"/>
      <c r="S743" s="138">
        <v>45755</v>
      </c>
      <c r="T743" s="133" t="s">
        <v>978</v>
      </c>
      <c r="U743" s="139" t="str">
        <f t="shared" si="61"/>
        <v>_driedflower_milled_bulk_JEN</v>
      </c>
      <c r="V743" s="140" t="str">
        <f>IF(U743="_","",_xlfn.XLOOKUP(U743,internal_cansku_inventory!D:D,internal_cansku_inventory!E:E,"",0,1))</f>
        <v/>
      </c>
    </row>
    <row r="744" spans="1:22" ht="12.45" customHeight="1">
      <c r="A744" s="154">
        <v>747</v>
      </c>
      <c r="B744" s="132">
        <v>1</v>
      </c>
      <c r="C744" s="154" t="str">
        <f>Table1[[#This Row],[inventory_id_head]]&amp;"-"&amp;Table1[[#This Row],[inventory_id_tail]]</f>
        <v>747-1</v>
      </c>
      <c r="D744" s="153" t="s">
        <v>680</v>
      </c>
      <c r="E744" s="133" t="s">
        <v>1630</v>
      </c>
      <c r="F744" s="153" t="s">
        <v>655</v>
      </c>
      <c r="G744" s="133" t="str">
        <f t="shared" si="63"/>
        <v>T155EXNA</v>
      </c>
      <c r="H744" s="133" t="s">
        <v>308</v>
      </c>
      <c r="I744" s="341"/>
      <c r="J744" s="133" t="s">
        <v>1632</v>
      </c>
      <c r="K744" s="134">
        <v>45756</v>
      </c>
      <c r="L744" s="135">
        <v>85</v>
      </c>
      <c r="M744" s="133" t="s">
        <v>858</v>
      </c>
      <c r="N744" s="136">
        <v>1.5</v>
      </c>
      <c r="O744" s="136">
        <v>3696</v>
      </c>
      <c r="P744" s="136">
        <f>3696-1936</f>
        <v>1760</v>
      </c>
      <c r="Q744" s="137">
        <f t="shared" si="64"/>
        <v>127.5</v>
      </c>
      <c r="R744" s="133"/>
      <c r="S744" s="138">
        <v>45756.474305555559</v>
      </c>
      <c r="T744" s="133" t="s">
        <v>1633</v>
      </c>
      <c r="U744" s="139" t="str">
        <f t="shared" si="61"/>
        <v>_preroll_labelled</v>
      </c>
      <c r="V744" s="140" t="str">
        <f>IF(U744="_","",_xlfn.XLOOKUP(U744,internal_cansku_inventory!D:D,internal_cansku_inventory!E:E,"",0,1))</f>
        <v/>
      </c>
    </row>
    <row r="745" spans="1:22" ht="12.45" customHeight="1">
      <c r="A745" s="132">
        <v>747</v>
      </c>
      <c r="B745" s="132">
        <v>0</v>
      </c>
      <c r="C745" s="154" t="str">
        <f>Table1[[#This Row],[inventory_id_head]]&amp;"-"&amp;Table1[[#This Row],[inventory_id_tail]]</f>
        <v>747-0</v>
      </c>
      <c r="D745" s="153" t="s">
        <v>653</v>
      </c>
      <c r="E745" s="133" t="s">
        <v>1630</v>
      </c>
      <c r="F745" s="133" t="s">
        <v>655</v>
      </c>
      <c r="G745" s="133" t="str">
        <f t="shared" si="63"/>
        <v>T155EXNA</v>
      </c>
      <c r="H745" s="133" t="s">
        <v>1479</v>
      </c>
      <c r="I745" s="133"/>
      <c r="J745" s="133" t="s">
        <v>1635</v>
      </c>
      <c r="K745" s="134" t="s">
        <v>204</v>
      </c>
      <c r="L745" s="135">
        <v>1</v>
      </c>
      <c r="M745" s="133" t="s">
        <v>1563</v>
      </c>
      <c r="N745" s="136">
        <f>Table1[[#This Row],[gross_weight]]-Table1[[#This Row],[tare_weight]]</f>
        <v>180</v>
      </c>
      <c r="O745" s="136">
        <v>190</v>
      </c>
      <c r="P745" s="136">
        <v>10</v>
      </c>
      <c r="Q745" s="137">
        <f t="shared" si="64"/>
        <v>180</v>
      </c>
      <c r="R745" s="133"/>
      <c r="S745" s="138">
        <v>45756.474305555559</v>
      </c>
      <c r="T745" s="133" t="s">
        <v>978</v>
      </c>
      <c r="U745" s="139" t="str">
        <f t="shared" si="61"/>
        <v>_infusedflower_bulk</v>
      </c>
      <c r="V745" s="140" t="str">
        <f>IF(U745="_","",_xlfn.XLOOKUP(U745,internal_cansku_inventory!D:D,internal_cansku_inventory!E:E,"",0,1))</f>
        <v/>
      </c>
    </row>
    <row r="746" spans="1:22" ht="12.45" customHeight="1">
      <c r="A746" s="132">
        <v>735</v>
      </c>
      <c r="B746" s="132">
        <v>1</v>
      </c>
      <c r="C746" s="154" t="str">
        <f>Table1[[#This Row],[inventory_id_head]]&amp;"-"&amp;Table1[[#This Row],[inventory_id_tail]]</f>
        <v>735-1</v>
      </c>
      <c r="D746" s="153" t="s">
        <v>653</v>
      </c>
      <c r="E746" s="133" t="s">
        <v>1636</v>
      </c>
      <c r="F746" s="133" t="s">
        <v>655</v>
      </c>
      <c r="G746" s="133" t="str">
        <f t="shared" si="63"/>
        <v>T065PRNA</v>
      </c>
      <c r="H746" s="133" t="s">
        <v>308</v>
      </c>
      <c r="I746" s="133"/>
      <c r="J746" s="133" t="s">
        <v>1637</v>
      </c>
      <c r="K746" s="134">
        <v>45749</v>
      </c>
      <c r="L746" s="135">
        <v>22</v>
      </c>
      <c r="M746" s="133" t="s">
        <v>858</v>
      </c>
      <c r="N746" s="136">
        <v>2</v>
      </c>
      <c r="O746" s="136">
        <v>0</v>
      </c>
      <c r="P746" s="136">
        <v>0</v>
      </c>
      <c r="Q746" s="137">
        <f t="shared" si="64"/>
        <v>44</v>
      </c>
      <c r="R746" s="133"/>
      <c r="S746" s="138">
        <v>45756.556250000001</v>
      </c>
      <c r="T746" s="133" t="s">
        <v>657</v>
      </c>
      <c r="U746" s="139" t="str">
        <f t="shared" si="61"/>
        <v>_preroll_labelled</v>
      </c>
      <c r="V746" s="140" t="str">
        <f>IF(U746="_","",_xlfn.XLOOKUP(U746,internal_cansku_inventory!D:D,internal_cansku_inventory!E:E,"",0,1))</f>
        <v/>
      </c>
    </row>
    <row r="747" spans="1:22" ht="12.45" customHeight="1">
      <c r="A747" s="132">
        <v>748</v>
      </c>
      <c r="B747" s="132">
        <v>2</v>
      </c>
      <c r="C747" s="132" t="str">
        <f>Table1[[#This Row],[inventory_id_head]]&amp;"-"&amp;Table1[[#This Row],[inventory_id_tail]]</f>
        <v>748-2</v>
      </c>
      <c r="D747" s="133" t="s">
        <v>653</v>
      </c>
      <c r="E747" s="133" t="s">
        <v>1638</v>
      </c>
      <c r="F747" s="133" t="s">
        <v>204</v>
      </c>
      <c r="G747" s="133" t="str">
        <f t="shared" si="63"/>
        <v>T156EXNA</v>
      </c>
      <c r="H747" s="133" t="s">
        <v>448</v>
      </c>
      <c r="I747" s="133"/>
      <c r="J747" s="133" t="s">
        <v>1310</v>
      </c>
      <c r="K747" s="134">
        <v>45623</v>
      </c>
      <c r="L747" s="135">
        <v>10</v>
      </c>
      <c r="M747" s="133" t="s">
        <v>683</v>
      </c>
      <c r="N747" s="136">
        <v>6</v>
      </c>
      <c r="O747" s="136">
        <v>0</v>
      </c>
      <c r="P747" s="136">
        <v>0</v>
      </c>
      <c r="Q747" s="137">
        <f t="shared" si="64"/>
        <v>60</v>
      </c>
      <c r="R747" s="133"/>
      <c r="S747" s="138">
        <v>45762.522916666669</v>
      </c>
      <c r="T747" s="133" t="s">
        <v>1633</v>
      </c>
      <c r="U747" s="139" t="str">
        <f t="shared" si="61"/>
        <v>_extract_inhaled_cased_MB</v>
      </c>
      <c r="V747" s="140" t="str">
        <f>IF(U747="_","",_xlfn.XLOOKUP(U747,internal_cansku_inventory!D:D,internal_cansku_inventory!E:E,"",0,1))</f>
        <v/>
      </c>
    </row>
    <row r="748" spans="1:22" ht="12.45" customHeight="1">
      <c r="A748" s="132">
        <v>748</v>
      </c>
      <c r="B748" s="132">
        <v>3</v>
      </c>
      <c r="C748" s="132" t="str">
        <f>Table1[[#This Row],[inventory_id_head]]&amp;"-"&amp;Table1[[#This Row],[inventory_id_tail]]</f>
        <v>748-3</v>
      </c>
      <c r="D748" s="133" t="s">
        <v>653</v>
      </c>
      <c r="E748" s="133" t="s">
        <v>1639</v>
      </c>
      <c r="F748" s="133" t="s">
        <v>204</v>
      </c>
      <c r="G748" s="133" t="str">
        <f t="shared" si="63"/>
        <v>T157EXNA</v>
      </c>
      <c r="H748" s="133" t="s">
        <v>448</v>
      </c>
      <c r="I748" s="133"/>
      <c r="J748" s="270" t="s">
        <v>1640</v>
      </c>
      <c r="K748" s="134">
        <v>45581</v>
      </c>
      <c r="L748" s="135">
        <v>3</v>
      </c>
      <c r="M748" s="133" t="s">
        <v>683</v>
      </c>
      <c r="N748" s="136">
        <v>6</v>
      </c>
      <c r="O748" s="136">
        <v>0</v>
      </c>
      <c r="P748" s="136">
        <v>0</v>
      </c>
      <c r="Q748" s="137">
        <f t="shared" si="64"/>
        <v>18</v>
      </c>
      <c r="R748" s="133"/>
      <c r="S748" s="138">
        <v>45762.522916666669</v>
      </c>
      <c r="T748" s="133" t="s">
        <v>1633</v>
      </c>
      <c r="U748" s="139" t="str">
        <f t="shared" si="61"/>
        <v>_extract_inhaled_cased_MB</v>
      </c>
      <c r="V748" s="140" t="str">
        <f>IF(U748="_","",_xlfn.XLOOKUP(U748,internal_cansku_inventory!D:D,internal_cansku_inventory!E:E,"",0,1))</f>
        <v/>
      </c>
    </row>
    <row r="749" spans="1:22" ht="12.45" customHeight="1">
      <c r="A749" s="132">
        <v>748</v>
      </c>
      <c r="B749" s="132">
        <v>4</v>
      </c>
      <c r="C749" s="132" t="str">
        <f>Table1[[#This Row],[inventory_id_head]]&amp;"-"&amp;Table1[[#This Row],[inventory_id_tail]]</f>
        <v>748-4</v>
      </c>
      <c r="D749" s="133" t="s">
        <v>653</v>
      </c>
      <c r="E749" s="133" t="s">
        <v>1639</v>
      </c>
      <c r="F749" s="133" t="s">
        <v>204</v>
      </c>
      <c r="G749" s="133" t="str">
        <f t="shared" ref="G749:G780" si="65">E749&amp;F749</f>
        <v>T157EXNA</v>
      </c>
      <c r="H749" s="133" t="s">
        <v>447</v>
      </c>
      <c r="I749" s="133"/>
      <c r="J749" s="133" t="s">
        <v>1181</v>
      </c>
      <c r="K749" s="134">
        <v>45588</v>
      </c>
      <c r="L749" s="135">
        <v>9</v>
      </c>
      <c r="M749" s="133" t="s">
        <v>683</v>
      </c>
      <c r="N749" s="136">
        <f>12*27.6</f>
        <v>331.20000000000005</v>
      </c>
      <c r="O749" s="136">
        <v>0</v>
      </c>
      <c r="P749" s="136">
        <v>0</v>
      </c>
      <c r="Q749" s="137">
        <f t="shared" si="64"/>
        <v>2980.8</v>
      </c>
      <c r="R749" s="133"/>
      <c r="S749" s="138">
        <v>45762.522916666669</v>
      </c>
      <c r="T749" s="133" t="s">
        <v>1633</v>
      </c>
      <c r="U749" s="139" t="str">
        <f t="shared" si="61"/>
        <v>_extract_ingested_cased_MB</v>
      </c>
      <c r="V749" s="140" t="str">
        <f>IF(U749="_","",_xlfn.XLOOKUP(U749,internal_cansku_inventory!D:D,internal_cansku_inventory!E:E,"",0,1))</f>
        <v/>
      </c>
    </row>
    <row r="750" spans="1:22" ht="12.45" customHeight="1">
      <c r="A750" s="132">
        <v>748</v>
      </c>
      <c r="B750" s="132">
        <v>1</v>
      </c>
      <c r="C750" s="132" t="str">
        <f>Table1[[#This Row],[inventory_id_head]]&amp;"-"&amp;Table1[[#This Row],[inventory_id_tail]]</f>
        <v>748-1</v>
      </c>
      <c r="D750" s="133" t="s">
        <v>680</v>
      </c>
      <c r="E750" s="133" t="s">
        <v>1638</v>
      </c>
      <c r="F750" s="133" t="s">
        <v>204</v>
      </c>
      <c r="G750" s="133" t="str">
        <f t="shared" si="65"/>
        <v>T156EXNA</v>
      </c>
      <c r="H750" s="133" t="s">
        <v>447</v>
      </c>
      <c r="I750" s="133"/>
      <c r="J750" s="133" t="s">
        <v>1192</v>
      </c>
      <c r="K750" s="134">
        <v>45588</v>
      </c>
      <c r="L750" s="135">
        <v>7</v>
      </c>
      <c r="M750" s="133" t="s">
        <v>683</v>
      </c>
      <c r="N750" s="136">
        <f>27.6*12</f>
        <v>331.20000000000005</v>
      </c>
      <c r="O750" s="136">
        <v>0</v>
      </c>
      <c r="P750" s="136">
        <v>0</v>
      </c>
      <c r="Q750" s="137">
        <f t="shared" si="64"/>
        <v>2318.4000000000005</v>
      </c>
      <c r="R750" s="133"/>
      <c r="S750" s="138">
        <v>45762.536111111112</v>
      </c>
      <c r="T750" s="133" t="s">
        <v>1633</v>
      </c>
      <c r="U750" s="139" t="str">
        <f t="shared" si="61"/>
        <v>_extract_ingested_cased_MB</v>
      </c>
      <c r="V750" s="140" t="str">
        <f>IF(U750="_","",_xlfn.XLOOKUP(U750,internal_cansku_inventory!D:D,internal_cansku_inventory!E:E,"",0,1))</f>
        <v/>
      </c>
    </row>
    <row r="751" spans="1:22" ht="12.45" customHeight="1">
      <c r="A751" s="132">
        <v>650</v>
      </c>
      <c r="B751" s="132">
        <v>4</v>
      </c>
      <c r="C751" s="132" t="str">
        <f>Table1[[#This Row],[inventory_id_head]]&amp;"-"&amp;Table1[[#This Row],[inventory_id_tail]]</f>
        <v>650-4</v>
      </c>
      <c r="D751" s="133" t="s">
        <v>653</v>
      </c>
      <c r="E751" s="133" t="s">
        <v>1641</v>
      </c>
      <c r="F751" s="133" t="s">
        <v>204</v>
      </c>
      <c r="G751" s="133" t="str">
        <f t="shared" si="65"/>
        <v>T009MFNA</v>
      </c>
      <c r="H751" s="133" t="s">
        <v>356</v>
      </c>
      <c r="I751" s="133"/>
      <c r="J751" s="133" t="s">
        <v>1642</v>
      </c>
      <c r="K751" s="134" t="s">
        <v>204</v>
      </c>
      <c r="L751" s="135">
        <v>1</v>
      </c>
      <c r="M751" s="133" t="s">
        <v>994</v>
      </c>
      <c r="N751" s="136">
        <f>Table1[[#This Row],[gross_weight]]-Table1[[#This Row],[tare_weight]]</f>
        <v>4028</v>
      </c>
      <c r="O751" s="136">
        <v>5770</v>
      </c>
      <c r="P751" s="136">
        <v>1742</v>
      </c>
      <c r="Q751" s="137">
        <f t="shared" si="64"/>
        <v>4028</v>
      </c>
      <c r="R751" s="133"/>
      <c r="S751" s="138">
        <v>45764</v>
      </c>
      <c r="T751" s="133" t="s">
        <v>978</v>
      </c>
      <c r="U751" s="139" t="str">
        <f t="shared" si="61"/>
        <v>_driedflower_milled_bulk</v>
      </c>
      <c r="V751" s="140" t="str">
        <f>IF(U751="_","",_xlfn.XLOOKUP(U751,internal_cansku_inventory!D:D,internal_cansku_inventory!E:E,"",0,1))</f>
        <v/>
      </c>
    </row>
    <row r="752" spans="1:22" ht="12.45" customHeight="1">
      <c r="A752" s="132">
        <v>749</v>
      </c>
      <c r="B752" s="132">
        <v>2</v>
      </c>
      <c r="C752" s="132" t="str">
        <f>Table1[[#This Row],[inventory_id_head]]&amp;"-"&amp;Table1[[#This Row],[inventory_id_tail]]</f>
        <v>749-2</v>
      </c>
      <c r="D752" s="133" t="s">
        <v>680</v>
      </c>
      <c r="E752" s="133" t="s">
        <v>1643</v>
      </c>
      <c r="F752" s="133" t="s">
        <v>204</v>
      </c>
      <c r="G752" s="133" t="str">
        <f t="shared" si="65"/>
        <v>P016EXNA</v>
      </c>
      <c r="H752" s="133" t="s">
        <v>351</v>
      </c>
      <c r="I752" s="133"/>
      <c r="J752" s="133" t="s">
        <v>1644</v>
      </c>
      <c r="K752" s="134" t="s">
        <v>204</v>
      </c>
      <c r="L752" s="135">
        <v>1</v>
      </c>
      <c r="M752" s="133" t="s">
        <v>994</v>
      </c>
      <c r="N752" s="136">
        <f>Table1[[#This Row],[gross_weight]]-Table1[[#This Row],[tare_weight]]</f>
        <v>15000</v>
      </c>
      <c r="O752" s="136">
        <v>16935</v>
      </c>
      <c r="P752" s="136">
        <v>1935</v>
      </c>
      <c r="Q752" s="137">
        <f t="shared" si="64"/>
        <v>15000</v>
      </c>
      <c r="R752" s="133"/>
      <c r="S752" s="138">
        <v>45764</v>
      </c>
      <c r="T752" s="133" t="s">
        <v>978</v>
      </c>
      <c r="U752" s="139" t="str">
        <f t="shared" si="61"/>
        <v>_extract_ingested_bulk</v>
      </c>
      <c r="V752" s="140" t="str">
        <f>IF(U752="_","",_xlfn.XLOOKUP(U752,internal_cansku_inventory!D:D,internal_cansku_inventory!E:E,"",0,1))</f>
        <v/>
      </c>
    </row>
    <row r="753" spans="1:22" ht="12.45" customHeight="1">
      <c r="A753" s="132">
        <v>109</v>
      </c>
      <c r="B753" s="132">
        <v>0</v>
      </c>
      <c r="C753" s="154" t="str">
        <f>Table1[[#This Row],[inventory_id_head]]&amp;"-"&amp;Table1[[#This Row],[inventory_id_tail]]</f>
        <v>109-0</v>
      </c>
      <c r="D753" s="133" t="s">
        <v>653</v>
      </c>
      <c r="E753" s="133" t="s">
        <v>1645</v>
      </c>
      <c r="F753" s="133" t="s">
        <v>55</v>
      </c>
      <c r="G753" s="133" t="str">
        <f t="shared" si="65"/>
        <v>T004PRNA</v>
      </c>
      <c r="H753" s="133" t="s">
        <v>809</v>
      </c>
      <c r="I753" s="133"/>
      <c r="J753" s="133" t="s">
        <v>1575</v>
      </c>
      <c r="K753" s="134" t="s">
        <v>655</v>
      </c>
      <c r="L753" s="135">
        <v>54</v>
      </c>
      <c r="M753" s="133" t="s">
        <v>644</v>
      </c>
      <c r="N753" s="136">
        <v>1.5</v>
      </c>
      <c r="O753" s="136">
        <v>0</v>
      </c>
      <c r="P753" s="136">
        <v>0</v>
      </c>
      <c r="Q753" s="137">
        <f t="shared" si="64"/>
        <v>81</v>
      </c>
      <c r="R753" s="133"/>
      <c r="S753" s="138">
        <v>45778</v>
      </c>
      <c r="T753" s="133" t="s">
        <v>670</v>
      </c>
      <c r="U753" s="139" t="str">
        <f t="shared" si="61"/>
        <v>_preroll_packaged</v>
      </c>
      <c r="V753" s="140" t="str">
        <f>IF(U753="_","",_xlfn.XLOOKUP(U753,internal_cansku_inventory!D:D,internal_cansku_inventory!E:E,"",0,1))</f>
        <v/>
      </c>
    </row>
    <row r="754" spans="1:22" ht="12.45" customHeight="1">
      <c r="A754" s="154">
        <v>109</v>
      </c>
      <c r="B754" s="154">
        <v>1</v>
      </c>
      <c r="C754" s="154" t="str">
        <f>Table1[[#This Row],[inventory_id_head]]&amp;"-"&amp;Table1[[#This Row],[inventory_id_tail]]</f>
        <v>109-1</v>
      </c>
      <c r="D754" s="153" t="s">
        <v>653</v>
      </c>
      <c r="E754" s="153" t="s">
        <v>1645</v>
      </c>
      <c r="F754" s="153" t="s">
        <v>55</v>
      </c>
      <c r="G754" s="153" t="str">
        <f t="shared" si="65"/>
        <v>T004PRNA</v>
      </c>
      <c r="H754" s="153" t="s">
        <v>308</v>
      </c>
      <c r="I754" s="153"/>
      <c r="J754" s="153" t="s">
        <v>1575</v>
      </c>
      <c r="K754" s="155">
        <v>45742</v>
      </c>
      <c r="L754" s="156">
        <v>120</v>
      </c>
      <c r="M754" s="153" t="s">
        <v>644</v>
      </c>
      <c r="N754" s="136">
        <v>1.5</v>
      </c>
      <c r="O754" s="157">
        <v>0</v>
      </c>
      <c r="P754" s="157">
        <v>0</v>
      </c>
      <c r="Q754" s="137">
        <f t="shared" si="64"/>
        <v>180</v>
      </c>
      <c r="R754" s="133"/>
      <c r="S754" s="158">
        <v>45778</v>
      </c>
      <c r="T754" s="153" t="s">
        <v>670</v>
      </c>
      <c r="U754" s="139" t="str">
        <f t="shared" si="61"/>
        <v>_preroll_labelled</v>
      </c>
      <c r="V754" s="140" t="str">
        <f>IF(U754="_","",_xlfn.XLOOKUP(U754,internal_cansku_inventory!D:D,internal_cansku_inventory!E:E,"",0,1))</f>
        <v/>
      </c>
    </row>
    <row r="755" spans="1:22" ht="12.45" customHeight="1">
      <c r="A755" s="132">
        <v>121</v>
      </c>
      <c r="B755" s="132">
        <v>2</v>
      </c>
      <c r="C755" s="132" t="str">
        <f>Table1[[#This Row],[inventory_id_head]]&amp;"-"&amp;Table1[[#This Row],[inventory_id_tail]]</f>
        <v>121-2</v>
      </c>
      <c r="D755" s="340" t="s">
        <v>653</v>
      </c>
      <c r="E755" s="153" t="s">
        <v>1646</v>
      </c>
      <c r="F755" s="153" t="s">
        <v>55</v>
      </c>
      <c r="G755" s="153" t="str">
        <f t="shared" si="65"/>
        <v>T014PRNA</v>
      </c>
      <c r="H755" s="153" t="s">
        <v>813</v>
      </c>
      <c r="I755" s="153"/>
      <c r="J755" s="153" t="s">
        <v>1647</v>
      </c>
      <c r="K755" s="155">
        <v>45742</v>
      </c>
      <c r="L755" s="135">
        <v>120</v>
      </c>
      <c r="M755" s="153" t="s">
        <v>644</v>
      </c>
      <c r="N755" s="136">
        <v>1</v>
      </c>
      <c r="O755" s="136">
        <v>0</v>
      </c>
      <c r="P755" s="136">
        <v>0</v>
      </c>
      <c r="Q755" s="137">
        <f t="shared" si="64"/>
        <v>120</v>
      </c>
      <c r="R755" s="133"/>
      <c r="S755" s="158">
        <v>45778</v>
      </c>
      <c r="T755" s="153" t="s">
        <v>1572</v>
      </c>
      <c r="U755" s="139" t="str">
        <f t="shared" si="61"/>
        <v>_preroll_labelled</v>
      </c>
      <c r="V755" s="140" t="str">
        <f>IF(U755="_","",_xlfn.XLOOKUP(U755,internal_cansku_inventory!D:D,internal_cansku_inventory!E:E,"",0,1))</f>
        <v/>
      </c>
    </row>
    <row r="756" spans="1:22" ht="12.45" customHeight="1">
      <c r="A756" s="154">
        <v>143</v>
      </c>
      <c r="B756" s="154">
        <v>0</v>
      </c>
      <c r="C756" s="154" t="str">
        <f>Table1[[#This Row],[inventory_id_head]]&amp;"-"&amp;Table1[[#This Row],[inventory_id_tail]]</f>
        <v>143-0</v>
      </c>
      <c r="D756" s="133" t="s">
        <v>653</v>
      </c>
      <c r="E756" s="153" t="s">
        <v>1648</v>
      </c>
      <c r="F756" s="153" t="s">
        <v>55</v>
      </c>
      <c r="G756" s="133" t="str">
        <f t="shared" si="65"/>
        <v>T028PRNA</v>
      </c>
      <c r="H756" s="153" t="s">
        <v>813</v>
      </c>
      <c r="I756" s="153"/>
      <c r="J756" s="133" t="s">
        <v>1574</v>
      </c>
      <c r="K756" s="134">
        <v>45457</v>
      </c>
      <c r="L756" s="156">
        <v>20</v>
      </c>
      <c r="M756" s="153" t="s">
        <v>644</v>
      </c>
      <c r="N756" s="136">
        <v>1.5</v>
      </c>
      <c r="O756" s="136">
        <v>0</v>
      </c>
      <c r="P756" s="136">
        <v>0</v>
      </c>
      <c r="Q756" s="137">
        <f t="shared" si="64"/>
        <v>30</v>
      </c>
      <c r="R756" s="153"/>
      <c r="S756" s="158">
        <v>45778</v>
      </c>
      <c r="T756" s="133" t="s">
        <v>670</v>
      </c>
      <c r="U756" s="139" t="str">
        <f t="shared" si="61"/>
        <v>_preroll_labelled</v>
      </c>
      <c r="V756" s="140" t="str">
        <f>IF(U756="_","",_xlfn.XLOOKUP(U756,internal_cansku_inventory!D:D,internal_cansku_inventory!E:E,"",0,1))</f>
        <v/>
      </c>
    </row>
    <row r="757" spans="1:22" ht="12.45" customHeight="1">
      <c r="A757" s="154">
        <v>143</v>
      </c>
      <c r="B757" s="154">
        <v>2</v>
      </c>
      <c r="C757" s="154" t="str">
        <f>Table1[[#This Row],[inventory_id_head]]&amp;"-"&amp;Table1[[#This Row],[inventory_id_tail]]</f>
        <v>143-2</v>
      </c>
      <c r="D757" s="153" t="s">
        <v>653</v>
      </c>
      <c r="E757" s="153" t="s">
        <v>1573</v>
      </c>
      <c r="F757" s="153" t="s">
        <v>55</v>
      </c>
      <c r="G757" s="153" t="str">
        <f t="shared" si="65"/>
        <v>T073PRNA</v>
      </c>
      <c r="H757" s="153" t="s">
        <v>813</v>
      </c>
      <c r="I757" s="153"/>
      <c r="J757" s="153" t="s">
        <v>1574</v>
      </c>
      <c r="K757" s="155">
        <v>45742</v>
      </c>
      <c r="L757" s="156">
        <v>38</v>
      </c>
      <c r="M757" s="153" t="s">
        <v>644</v>
      </c>
      <c r="N757" s="157">
        <v>1.5</v>
      </c>
      <c r="O757" s="157">
        <v>0</v>
      </c>
      <c r="P757" s="157">
        <v>0</v>
      </c>
      <c r="Q757" s="205">
        <f t="shared" si="64"/>
        <v>57</v>
      </c>
      <c r="R757" s="153"/>
      <c r="S757" s="158">
        <v>45778</v>
      </c>
      <c r="T757" s="153" t="s">
        <v>670</v>
      </c>
      <c r="U757" s="139" t="str">
        <f t="shared" si="61"/>
        <v>_preroll_labelled</v>
      </c>
      <c r="V757" s="206" t="str">
        <f>IF(U757="_","",_xlfn.XLOOKUP(U757,internal_cansku_inventory!D:D,internal_cansku_inventory!E:E,"",0,1))</f>
        <v/>
      </c>
    </row>
    <row r="758" spans="1:22" ht="12.45" customHeight="1">
      <c r="A758" s="132">
        <v>145</v>
      </c>
      <c r="B758" s="132">
        <v>2</v>
      </c>
      <c r="C758" s="154" t="str">
        <f>Table1[[#This Row],[inventory_id_head]]&amp;"-"&amp;Table1[[#This Row],[inventory_id_tail]]</f>
        <v>145-2</v>
      </c>
      <c r="D758" s="133" t="s">
        <v>653</v>
      </c>
      <c r="E758" s="133" t="s">
        <v>856</v>
      </c>
      <c r="F758" s="133" t="s">
        <v>655</v>
      </c>
      <c r="G758" s="133" t="str">
        <f t="shared" si="65"/>
        <v>T029PRNA</v>
      </c>
      <c r="H758" s="133" t="s">
        <v>813</v>
      </c>
      <c r="I758" s="133"/>
      <c r="J758" s="133" t="s">
        <v>857</v>
      </c>
      <c r="K758" s="134">
        <v>45742</v>
      </c>
      <c r="L758" s="135">
        <v>90</v>
      </c>
      <c r="M758" s="133" t="s">
        <v>858</v>
      </c>
      <c r="N758" s="136">
        <v>1.5</v>
      </c>
      <c r="O758" s="136">
        <v>0</v>
      </c>
      <c r="P758" s="136">
        <v>0</v>
      </c>
      <c r="Q758" s="137">
        <f t="shared" si="64"/>
        <v>135</v>
      </c>
      <c r="R758" s="133"/>
      <c r="S758" s="138">
        <v>45778</v>
      </c>
      <c r="T758" s="133" t="s">
        <v>657</v>
      </c>
      <c r="U758" s="139" t="str">
        <f t="shared" si="61"/>
        <v>_preroll_labelled</v>
      </c>
      <c r="V758" s="140" t="str">
        <f>IF(U758="_","",_xlfn.XLOOKUP(U758,internal_cansku_inventory!D:D,internal_cansku_inventory!E:E,"",0,1))</f>
        <v/>
      </c>
    </row>
    <row r="759" spans="1:22" ht="12.45" customHeight="1">
      <c r="A759" s="154">
        <v>277</v>
      </c>
      <c r="B759" s="154">
        <v>0</v>
      </c>
      <c r="C759" s="154" t="str">
        <f>Table1[[#This Row],[inventory_id_head]]&amp;"-"&amp;Table1[[#This Row],[inventory_id_tail]]</f>
        <v>277-0</v>
      </c>
      <c r="D759" s="153" t="s">
        <v>653</v>
      </c>
      <c r="E759" s="153" t="s">
        <v>1167</v>
      </c>
      <c r="F759" s="153" t="s">
        <v>655</v>
      </c>
      <c r="G759" s="153" t="str">
        <f t="shared" si="65"/>
        <v>T050PRNA</v>
      </c>
      <c r="H759" s="133" t="s">
        <v>813</v>
      </c>
      <c r="I759" s="153"/>
      <c r="J759" s="153" t="s">
        <v>1143</v>
      </c>
      <c r="K759" s="155">
        <v>45532</v>
      </c>
      <c r="L759" s="156">
        <v>23</v>
      </c>
      <c r="M759" s="153" t="s">
        <v>858</v>
      </c>
      <c r="N759" s="157">
        <v>1</v>
      </c>
      <c r="O759" s="157">
        <v>0</v>
      </c>
      <c r="P759" s="157">
        <v>0</v>
      </c>
      <c r="Q759" s="205">
        <f t="shared" si="64"/>
        <v>23</v>
      </c>
      <c r="R759" s="153" t="s">
        <v>1649</v>
      </c>
      <c r="S759" s="158">
        <v>45778</v>
      </c>
      <c r="T759" s="153" t="s">
        <v>657</v>
      </c>
      <c r="U759" s="139" t="str">
        <f t="shared" si="61"/>
        <v>_preroll_labelled</v>
      </c>
      <c r="V759" s="206" t="str">
        <f>IF(U759="_","",_xlfn.XLOOKUP(U759,internal_cansku_inventory!D:D,internal_cansku_inventory!E:E,"",0,1))</f>
        <v/>
      </c>
    </row>
    <row r="760" spans="1:22" ht="12.45" customHeight="1">
      <c r="A760" s="154">
        <v>332</v>
      </c>
      <c r="B760" s="154">
        <v>0</v>
      </c>
      <c r="C760" s="154" t="str">
        <f>Table1[[#This Row],[inventory_id_head]]&amp;"-"&amp;Table1[[#This Row],[inventory_id_tail]]</f>
        <v>332-0</v>
      </c>
      <c r="D760" s="153" t="s">
        <v>653</v>
      </c>
      <c r="E760" s="153" t="s">
        <v>1650</v>
      </c>
      <c r="F760" s="153" t="s">
        <v>655</v>
      </c>
      <c r="G760" s="153" t="str">
        <f t="shared" si="65"/>
        <v>T041EXNA</v>
      </c>
      <c r="H760" s="133" t="s">
        <v>1028</v>
      </c>
      <c r="I760" s="153"/>
      <c r="J760" s="153" t="s">
        <v>1031</v>
      </c>
      <c r="K760" s="155">
        <v>45555</v>
      </c>
      <c r="L760" s="156">
        <v>62</v>
      </c>
      <c r="M760" s="153" t="s">
        <v>644</v>
      </c>
      <c r="N760" s="157">
        <v>0.5</v>
      </c>
      <c r="O760" s="157">
        <v>0</v>
      </c>
      <c r="P760" s="157">
        <v>0</v>
      </c>
      <c r="Q760" s="205">
        <f t="shared" si="64"/>
        <v>31</v>
      </c>
      <c r="R760" s="153"/>
      <c r="S760" s="158">
        <v>45778</v>
      </c>
      <c r="T760" s="153" t="s">
        <v>657</v>
      </c>
      <c r="U760" s="139" t="str">
        <f t="shared" si="61"/>
        <v>_extract_inhaled_labelled</v>
      </c>
      <c r="V760" s="206" t="str">
        <f>IF(U760="_","",_xlfn.XLOOKUP(U760,internal_cansku_inventory!D:D,internal_cansku_inventory!E:E,"",0,1))</f>
        <v/>
      </c>
    </row>
    <row r="761" spans="1:22" ht="12.45" customHeight="1">
      <c r="A761" s="154">
        <v>394</v>
      </c>
      <c r="B761" s="154">
        <v>0</v>
      </c>
      <c r="C761" s="154" t="str">
        <f>Table1[[#This Row],[inventory_id_head]]&amp;"-"&amp;Table1[[#This Row],[inventory_id_tail]]</f>
        <v>394-0</v>
      </c>
      <c r="D761" s="153" t="s">
        <v>653</v>
      </c>
      <c r="E761" s="153" t="s">
        <v>1651</v>
      </c>
      <c r="F761" s="153" t="s">
        <v>655</v>
      </c>
      <c r="G761" s="153" t="str">
        <f t="shared" si="65"/>
        <v>T072PRNA</v>
      </c>
      <c r="H761" s="133" t="s">
        <v>308</v>
      </c>
      <c r="I761" s="153"/>
      <c r="J761" s="153" t="s">
        <v>904</v>
      </c>
      <c r="K761" s="155">
        <v>45575</v>
      </c>
      <c r="L761" s="271">
        <v>2</v>
      </c>
      <c r="M761" s="153" t="s">
        <v>858</v>
      </c>
      <c r="N761" s="157">
        <f>O761-P761</f>
        <v>1.5</v>
      </c>
      <c r="O761" s="157">
        <v>1.5</v>
      </c>
      <c r="P761" s="157">
        <v>0</v>
      </c>
      <c r="Q761" s="205">
        <f t="shared" si="64"/>
        <v>3</v>
      </c>
      <c r="R761" s="153"/>
      <c r="S761" s="158">
        <v>45778</v>
      </c>
      <c r="T761" s="153" t="s">
        <v>657</v>
      </c>
      <c r="U761" s="139" t="str">
        <f t="shared" si="61"/>
        <v>_preroll_labelled</v>
      </c>
      <c r="V761" s="206" t="str">
        <f>IF(U761="_","",_xlfn.XLOOKUP(U761,internal_cansku_inventory!D:D,internal_cansku_inventory!E:E,"",0,1))</f>
        <v/>
      </c>
    </row>
    <row r="762" spans="1:22" ht="12.45" customHeight="1">
      <c r="A762" s="154">
        <v>426</v>
      </c>
      <c r="B762" s="154">
        <v>1</v>
      </c>
      <c r="C762" s="154" t="str">
        <f>Table1[[#This Row],[inventory_id_head]]&amp;"-"&amp;Table1[[#This Row],[inventory_id_tail]]</f>
        <v>426-1</v>
      </c>
      <c r="D762" s="153" t="s">
        <v>680</v>
      </c>
      <c r="E762" s="153" t="s">
        <v>1652</v>
      </c>
      <c r="F762" s="153" t="s">
        <v>204</v>
      </c>
      <c r="G762" s="153" t="str">
        <f t="shared" si="65"/>
        <v>T062PRNA</v>
      </c>
      <c r="H762" s="133" t="s">
        <v>813</v>
      </c>
      <c r="I762" s="153"/>
      <c r="J762" s="153" t="s">
        <v>1143</v>
      </c>
      <c r="K762" s="155">
        <v>45588</v>
      </c>
      <c r="L762" s="156">
        <v>10</v>
      </c>
      <c r="M762" s="153" t="s">
        <v>858</v>
      </c>
      <c r="N762" s="157">
        <v>1</v>
      </c>
      <c r="O762" s="157">
        <v>0</v>
      </c>
      <c r="P762" s="157">
        <v>0</v>
      </c>
      <c r="Q762" s="205">
        <f t="shared" si="64"/>
        <v>10</v>
      </c>
      <c r="R762" s="153"/>
      <c r="S762" s="158">
        <v>45778</v>
      </c>
      <c r="T762" s="153" t="s">
        <v>670</v>
      </c>
      <c r="U762" s="139" t="str">
        <f t="shared" si="61"/>
        <v>_preroll_labelled</v>
      </c>
      <c r="V762" s="206" t="str">
        <f>IF(U762="_","",_xlfn.XLOOKUP(U762,internal_cansku_inventory!D:D,internal_cansku_inventory!E:E,"",0,1))</f>
        <v/>
      </c>
    </row>
    <row r="763" spans="1:22" ht="12.45" customHeight="1">
      <c r="A763" s="154">
        <v>503</v>
      </c>
      <c r="B763" s="154">
        <v>0</v>
      </c>
      <c r="C763" s="154" t="str">
        <f>Table1[[#This Row],[inventory_id_head]]&amp;"-"&amp;Table1[[#This Row],[inventory_id_tail]]</f>
        <v>503-0</v>
      </c>
      <c r="D763" s="153" t="s">
        <v>653</v>
      </c>
      <c r="E763" s="133" t="s">
        <v>1236</v>
      </c>
      <c r="F763" s="133" t="s">
        <v>55</v>
      </c>
      <c r="G763" s="133" t="str">
        <f t="shared" si="65"/>
        <v>T052PRNA</v>
      </c>
      <c r="H763" s="133" t="s">
        <v>308</v>
      </c>
      <c r="I763" s="133"/>
      <c r="J763" s="133" t="s">
        <v>1139</v>
      </c>
      <c r="K763" s="134">
        <v>45660</v>
      </c>
      <c r="L763" s="148">
        <v>240</v>
      </c>
      <c r="M763" s="133" t="s">
        <v>858</v>
      </c>
      <c r="N763" s="136">
        <v>1.5</v>
      </c>
      <c r="O763" s="136">
        <v>0</v>
      </c>
      <c r="P763" s="136">
        <v>0</v>
      </c>
      <c r="Q763" s="137">
        <f t="shared" si="64"/>
        <v>360</v>
      </c>
      <c r="R763" s="153"/>
      <c r="S763" s="158">
        <v>45778</v>
      </c>
      <c r="T763" s="153" t="s">
        <v>657</v>
      </c>
      <c r="U763" s="139" t="str">
        <f t="shared" si="61"/>
        <v>_preroll_labelled</v>
      </c>
      <c r="V763" s="206" t="str">
        <f>IF(U763="_","",_xlfn.XLOOKUP(U763,internal_cansku_inventory!D:D,internal_cansku_inventory!E:E,"",0,1))</f>
        <v/>
      </c>
    </row>
    <row r="764" spans="1:22" ht="12.45" customHeight="1">
      <c r="A764" s="154">
        <v>530</v>
      </c>
      <c r="B764" s="154">
        <v>0</v>
      </c>
      <c r="C764" s="154" t="str">
        <f>Table1[[#This Row],[inventory_id_head]]&amp;"-"&amp;Table1[[#This Row],[inventory_id_tail]]</f>
        <v>530-0</v>
      </c>
      <c r="D764" s="153" t="s">
        <v>653</v>
      </c>
      <c r="E764" s="133" t="s">
        <v>1653</v>
      </c>
      <c r="F764" s="133" t="s">
        <v>655</v>
      </c>
      <c r="G764" s="133" t="str">
        <f t="shared" si="65"/>
        <v>T109EXNA</v>
      </c>
      <c r="H764" s="133" t="s">
        <v>328</v>
      </c>
      <c r="I764" s="153"/>
      <c r="J764" s="153" t="s">
        <v>1654</v>
      </c>
      <c r="K764" s="155">
        <v>45625</v>
      </c>
      <c r="L764" s="271">
        <v>73</v>
      </c>
      <c r="M764" s="153" t="s">
        <v>858</v>
      </c>
      <c r="N764" s="157">
        <v>0.5</v>
      </c>
      <c r="O764" s="136">
        <v>0</v>
      </c>
      <c r="P764" s="136">
        <v>0</v>
      </c>
      <c r="Q764" s="137">
        <f t="shared" si="64"/>
        <v>36.5</v>
      </c>
      <c r="R764" s="153"/>
      <c r="S764" s="138">
        <v>45778</v>
      </c>
      <c r="T764" s="133" t="s">
        <v>657</v>
      </c>
      <c r="U764" s="139" t="str">
        <f t="shared" si="61"/>
        <v>_extract_inhaled_labelled</v>
      </c>
      <c r="V764" s="140" t="str">
        <f>IF(U764="_","",_xlfn.XLOOKUP(U764,internal_cansku_inventory!D:D,internal_cansku_inventory!E:E,"",0,1))</f>
        <v/>
      </c>
    </row>
    <row r="765" spans="1:22" ht="12.45" customHeight="1">
      <c r="A765" s="154">
        <v>546</v>
      </c>
      <c r="B765" s="209">
        <v>0</v>
      </c>
      <c r="C765" s="154" t="str">
        <f>Table1[[#This Row],[inventory_id_head]]&amp;"-"&amp;Table1[[#This Row],[inventory_id_tail]]</f>
        <v>546-0</v>
      </c>
      <c r="D765" s="153" t="s">
        <v>653</v>
      </c>
      <c r="E765" s="153" t="s">
        <v>1655</v>
      </c>
      <c r="F765" s="153" t="s">
        <v>655</v>
      </c>
      <c r="G765" s="133" t="str">
        <f t="shared" si="65"/>
        <v>T110EXNA</v>
      </c>
      <c r="H765" s="153" t="s">
        <v>328</v>
      </c>
      <c r="I765" s="153"/>
      <c r="J765" s="153" t="s">
        <v>1187</v>
      </c>
      <c r="K765" s="155">
        <v>45629</v>
      </c>
      <c r="L765" s="271">
        <v>58</v>
      </c>
      <c r="M765" s="153" t="s">
        <v>858</v>
      </c>
      <c r="N765" s="157">
        <v>0.5</v>
      </c>
      <c r="O765" s="136">
        <v>0</v>
      </c>
      <c r="P765" s="136">
        <v>0</v>
      </c>
      <c r="Q765" s="137">
        <f t="shared" si="64"/>
        <v>29</v>
      </c>
      <c r="R765" s="153"/>
      <c r="S765" s="158">
        <v>45778</v>
      </c>
      <c r="T765" s="133" t="s">
        <v>657</v>
      </c>
      <c r="U765" s="139" t="str">
        <f t="shared" si="61"/>
        <v>_extract_inhaled_labelled</v>
      </c>
      <c r="V765" s="140" t="str">
        <f>IF(U765="_","",_xlfn.XLOOKUP(U765,internal_cansku_inventory!D:D,internal_cansku_inventory!E:E,"",0,1))</f>
        <v/>
      </c>
    </row>
    <row r="766" spans="1:22" ht="12.45" customHeight="1">
      <c r="A766" s="132">
        <v>547</v>
      </c>
      <c r="B766" s="132">
        <v>0</v>
      </c>
      <c r="C766" s="132" t="str">
        <f>Table1[[#This Row],[inventory_id_head]]&amp;"-"&amp;Table1[[#This Row],[inventory_id_tail]]</f>
        <v>547-0</v>
      </c>
      <c r="D766" s="153" t="s">
        <v>653</v>
      </c>
      <c r="E766" s="133" t="s">
        <v>1656</v>
      </c>
      <c r="F766" s="153" t="s">
        <v>655</v>
      </c>
      <c r="G766" s="133" t="str">
        <f t="shared" si="65"/>
        <v>T111EXNA</v>
      </c>
      <c r="H766" s="133" t="s">
        <v>328</v>
      </c>
      <c r="I766" s="133"/>
      <c r="J766" s="133" t="s">
        <v>1654</v>
      </c>
      <c r="K766" s="134">
        <v>45631</v>
      </c>
      <c r="L766" s="148">
        <v>518</v>
      </c>
      <c r="M766" s="133" t="s">
        <v>858</v>
      </c>
      <c r="N766" s="136">
        <v>0.5</v>
      </c>
      <c r="O766" s="136">
        <v>0</v>
      </c>
      <c r="P766" s="136">
        <v>0</v>
      </c>
      <c r="Q766" s="137">
        <f t="shared" si="64"/>
        <v>259</v>
      </c>
      <c r="R766" s="133"/>
      <c r="S766" s="138">
        <v>45778</v>
      </c>
      <c r="T766" s="133" t="s">
        <v>657</v>
      </c>
      <c r="U766" s="139" t="str">
        <f t="shared" si="61"/>
        <v>_extract_inhaled_labelled</v>
      </c>
      <c r="V766" s="140" t="str">
        <f>IF(U766="_","",_xlfn.XLOOKUP(U766,internal_cansku_inventory!D:D,internal_cansku_inventory!E:E,"",0,1))</f>
        <v/>
      </c>
    </row>
    <row r="767" spans="1:22" ht="12.45" customHeight="1">
      <c r="A767" s="132">
        <v>630</v>
      </c>
      <c r="B767" s="132">
        <v>0</v>
      </c>
      <c r="C767" s="132" t="str">
        <f>Table1[[#This Row],[inventory_id_head]]&amp;"-"&amp;Table1[[#This Row],[inventory_id_tail]]</f>
        <v>630-0</v>
      </c>
      <c r="D767" s="133" t="s">
        <v>653</v>
      </c>
      <c r="E767" s="133" t="s">
        <v>867</v>
      </c>
      <c r="F767" s="153" t="s">
        <v>1657</v>
      </c>
      <c r="G767" s="133" t="str">
        <f>E767&amp;"-"&amp;F767</f>
        <v>RACK_B-GRID_1</v>
      </c>
      <c r="H767" s="153" t="s">
        <v>813</v>
      </c>
      <c r="I767" s="153"/>
      <c r="J767" s="153" t="s">
        <v>1658</v>
      </c>
      <c r="K767" s="155">
        <v>45670</v>
      </c>
      <c r="L767" s="156">
        <v>275</v>
      </c>
      <c r="M767" s="153" t="s">
        <v>858</v>
      </c>
      <c r="N767" s="136">
        <v>1</v>
      </c>
      <c r="O767" s="157">
        <v>0</v>
      </c>
      <c r="P767" s="157">
        <v>0</v>
      </c>
      <c r="Q767" s="137">
        <v>224</v>
      </c>
      <c r="R767" s="133"/>
      <c r="S767" s="158">
        <v>45778</v>
      </c>
      <c r="T767" s="153" t="s">
        <v>670</v>
      </c>
      <c r="U767" s="139" t="str">
        <f t="shared" si="61"/>
        <v>_preroll_labelled</v>
      </c>
      <c r="V767" s="140" t="str">
        <f>IF(U767="_","",_xlfn.XLOOKUP(U767,internal_cansku_inventory!D:D,internal_cansku_inventory!E:E,"",0,1))</f>
        <v/>
      </c>
    </row>
    <row r="768" spans="1:22" ht="12.45" customHeight="1">
      <c r="A768" s="154">
        <v>650</v>
      </c>
      <c r="B768" s="154">
        <v>6</v>
      </c>
      <c r="C768" s="154" t="str">
        <f>Table1[[#This Row],[inventory_id_head]]&amp;"-"&amp;Table1[[#This Row],[inventory_id_tail]]</f>
        <v>650-6</v>
      </c>
      <c r="D768" s="133" t="s">
        <v>653</v>
      </c>
      <c r="E768" s="133" t="s">
        <v>1659</v>
      </c>
      <c r="F768" s="133" t="s">
        <v>204</v>
      </c>
      <c r="G768" s="133" t="str">
        <f t="shared" si="65"/>
        <v>T067PRNA</v>
      </c>
      <c r="H768" s="133" t="s">
        <v>308</v>
      </c>
      <c r="I768" s="133"/>
      <c r="J768" s="133" t="s">
        <v>1660</v>
      </c>
      <c r="K768" s="155">
        <v>45755</v>
      </c>
      <c r="L768" s="156">
        <v>24</v>
      </c>
      <c r="M768" s="133" t="s">
        <v>858</v>
      </c>
      <c r="N768" s="136">
        <v>5</v>
      </c>
      <c r="O768" s="136">
        <v>0</v>
      </c>
      <c r="P768" s="136">
        <v>0</v>
      </c>
      <c r="Q768" s="137">
        <f>L768*N768</f>
        <v>120</v>
      </c>
      <c r="R768" s="133"/>
      <c r="S768" s="138">
        <v>45778</v>
      </c>
      <c r="T768" s="133" t="s">
        <v>657</v>
      </c>
      <c r="U768" s="139" t="str">
        <f t="shared" si="61"/>
        <v>_preroll_labelled</v>
      </c>
      <c r="V768" s="140" t="str">
        <f>IF(U768="_","",_xlfn.XLOOKUP(U768,internal_cansku_inventory!D:D,internal_cansku_inventory!E:E,"",0,1))</f>
        <v/>
      </c>
    </row>
    <row r="769" spans="1:22" ht="12.45" customHeight="1">
      <c r="A769" s="154">
        <v>654</v>
      </c>
      <c r="B769" s="154">
        <v>0</v>
      </c>
      <c r="C769" s="154" t="str">
        <f>Table1[[#This Row],[inventory_id_head]]&amp;"-"&amp;Table1[[#This Row],[inventory_id_tail]]</f>
        <v>654-0</v>
      </c>
      <c r="D769" s="153" t="s">
        <v>653</v>
      </c>
      <c r="E769" s="153" t="s">
        <v>1661</v>
      </c>
      <c r="F769" s="133" t="s">
        <v>655</v>
      </c>
      <c r="G769" s="133" t="str">
        <f t="shared" si="65"/>
        <v>T127EXNA</v>
      </c>
      <c r="H769" s="153" t="s">
        <v>328</v>
      </c>
      <c r="I769" s="153"/>
      <c r="J769" s="153" t="s">
        <v>1662</v>
      </c>
      <c r="K769" s="155">
        <v>45707</v>
      </c>
      <c r="L769" s="156">
        <v>142</v>
      </c>
      <c r="M769" s="153" t="s">
        <v>858</v>
      </c>
      <c r="N769" s="157">
        <v>1</v>
      </c>
      <c r="O769" s="157">
        <v>0</v>
      </c>
      <c r="P769" s="157">
        <v>0</v>
      </c>
      <c r="Q769" s="137">
        <f>Table1[[#This Row],[number_of_unit]]*Table1[[#This Row],[net_weight_per_unit]]</f>
        <v>142</v>
      </c>
      <c r="R769" s="153"/>
      <c r="S769" s="158">
        <v>45778</v>
      </c>
      <c r="T769" s="153" t="s">
        <v>657</v>
      </c>
      <c r="U769" s="139" t="str">
        <f t="shared" si="61"/>
        <v>_extract_inhaled_labelled</v>
      </c>
      <c r="V769" s="140" t="str">
        <f>IF(U769="_","",_xlfn.XLOOKUP(U769,internal_cansku_inventory!D:D,internal_cansku_inventory!E:E,"",0,1))</f>
        <v/>
      </c>
    </row>
    <row r="770" spans="1:22" ht="12.45" customHeight="1">
      <c r="A770" s="154">
        <v>664</v>
      </c>
      <c r="B770" s="154">
        <v>0</v>
      </c>
      <c r="C770" s="154" t="str">
        <f>Table1[[#This Row],[inventory_id_head]]&amp;"-"&amp;Table1[[#This Row],[inventory_id_tail]]</f>
        <v>664-0</v>
      </c>
      <c r="D770" s="133" t="s">
        <v>653</v>
      </c>
      <c r="E770" s="153" t="s">
        <v>1663</v>
      </c>
      <c r="F770" s="133" t="s">
        <v>655</v>
      </c>
      <c r="G770" s="133" t="str">
        <f t="shared" si="65"/>
        <v>T131EXNA</v>
      </c>
      <c r="H770" s="133" t="s">
        <v>328</v>
      </c>
      <c r="I770" s="153"/>
      <c r="J770" s="153" t="s">
        <v>1559</v>
      </c>
      <c r="K770" s="155">
        <v>45714</v>
      </c>
      <c r="L770" s="156">
        <v>48</v>
      </c>
      <c r="M770" s="153" t="s">
        <v>858</v>
      </c>
      <c r="N770" s="136">
        <v>1</v>
      </c>
      <c r="O770" s="157">
        <v>0</v>
      </c>
      <c r="P770" s="157">
        <v>0</v>
      </c>
      <c r="Q770" s="137">
        <f>Table1[[#This Row],[number_of_unit]]*Table1[[#This Row],[net_weight_per_unit]]</f>
        <v>48</v>
      </c>
      <c r="R770" s="153"/>
      <c r="S770" s="158">
        <v>45778</v>
      </c>
      <c r="T770" s="153" t="s">
        <v>657</v>
      </c>
      <c r="U770" s="139" t="str">
        <f t="shared" si="61"/>
        <v>_extract_inhaled_labelled</v>
      </c>
      <c r="V770" s="140" t="str">
        <f>IF(U770="_","",_xlfn.XLOOKUP(U770,internal_cansku_inventory!D:D,internal_cansku_inventory!E:E,"",0,1))</f>
        <v/>
      </c>
    </row>
    <row r="771" spans="1:22" ht="12.45" customHeight="1">
      <c r="A771" s="154">
        <v>665</v>
      </c>
      <c r="B771" s="154">
        <v>0</v>
      </c>
      <c r="C771" s="154" t="str">
        <f>Table1[[#This Row],[inventory_id_head]]&amp;"-"&amp;Table1[[#This Row],[inventory_id_tail]]</f>
        <v>665-0</v>
      </c>
      <c r="D771" s="153" t="s">
        <v>653</v>
      </c>
      <c r="E771" s="153" t="s">
        <v>1664</v>
      </c>
      <c r="F771" s="133" t="s">
        <v>655</v>
      </c>
      <c r="G771" s="133" t="str">
        <f t="shared" si="65"/>
        <v>T132EXNA</v>
      </c>
      <c r="H771" s="153" t="s">
        <v>328</v>
      </c>
      <c r="I771" s="153"/>
      <c r="J771" s="153" t="s">
        <v>1262</v>
      </c>
      <c r="K771" s="155">
        <v>45707</v>
      </c>
      <c r="L771" s="156">
        <v>271</v>
      </c>
      <c r="M771" s="153" t="s">
        <v>858</v>
      </c>
      <c r="N771" s="157">
        <v>0.5</v>
      </c>
      <c r="O771" s="157">
        <v>0</v>
      </c>
      <c r="P771" s="157">
        <v>0</v>
      </c>
      <c r="Q771" s="137">
        <f>Table1[[#This Row],[number_of_unit]]*Table1[[#This Row],[net_weight_per_unit]]</f>
        <v>135.5</v>
      </c>
      <c r="R771" s="153"/>
      <c r="S771" s="158">
        <v>45778</v>
      </c>
      <c r="T771" s="153" t="s">
        <v>657</v>
      </c>
      <c r="U771" s="139" t="str">
        <f t="shared" si="61"/>
        <v>_extract_inhaled_labelled</v>
      </c>
      <c r="V771" s="140" t="str">
        <f>IF(U771="_","",_xlfn.XLOOKUP(U771,internal_cansku_inventory!D:D,internal_cansku_inventory!E:E,"",0,1))</f>
        <v/>
      </c>
    </row>
    <row r="772" spans="1:22" ht="12.45" customHeight="1">
      <c r="A772" s="154">
        <v>746</v>
      </c>
      <c r="B772" s="154">
        <v>0</v>
      </c>
      <c r="C772" s="132" t="str">
        <f>Table1[[#This Row],[inventory_id_head]]&amp;"-"&amp;Table1[[#This Row],[inventory_id_tail]]</f>
        <v>746-0</v>
      </c>
      <c r="D772" s="153" t="s">
        <v>653</v>
      </c>
      <c r="E772" s="153" t="s">
        <v>1665</v>
      </c>
      <c r="F772" s="133" t="s">
        <v>55</v>
      </c>
      <c r="G772" s="133" t="str">
        <f t="shared" si="65"/>
        <v>T064PRNA</v>
      </c>
      <c r="H772" s="153" t="s">
        <v>308</v>
      </c>
      <c r="I772" s="153"/>
      <c r="J772" s="153" t="s">
        <v>1667</v>
      </c>
      <c r="K772" s="155">
        <v>45755</v>
      </c>
      <c r="L772" s="135">
        <v>119</v>
      </c>
      <c r="M772" s="153" t="s">
        <v>858</v>
      </c>
      <c r="N772" s="157">
        <v>6</v>
      </c>
      <c r="O772" s="157">
        <v>0</v>
      </c>
      <c r="P772" s="157">
        <v>0</v>
      </c>
      <c r="Q772" s="137">
        <f t="shared" ref="Q772:Q777" si="66">L772*N772</f>
        <v>714</v>
      </c>
      <c r="R772" s="153"/>
      <c r="S772" s="158">
        <v>45778</v>
      </c>
      <c r="T772" s="153" t="s">
        <v>1572</v>
      </c>
      <c r="U772" s="139" t="str">
        <f t="shared" si="61"/>
        <v>_preroll_labelled</v>
      </c>
      <c r="V772" s="140" t="str">
        <f>IF(U772="_","",_xlfn.XLOOKUP(U772,internal_cansku_inventory!D:D,internal_cansku_inventory!E:E,"",0,1))</f>
        <v/>
      </c>
    </row>
    <row r="773" spans="1:22" ht="12.45" customHeight="1">
      <c r="A773" s="154">
        <v>746</v>
      </c>
      <c r="B773" s="154">
        <v>1</v>
      </c>
      <c r="C773" s="132" t="str">
        <f>Table1[[#This Row],[inventory_id_head]]&amp;"-"&amp;Table1[[#This Row],[inventory_id_tail]]</f>
        <v>746-1</v>
      </c>
      <c r="D773" s="153" t="s">
        <v>653</v>
      </c>
      <c r="E773" s="153" t="s">
        <v>1668</v>
      </c>
      <c r="F773" s="133" t="s">
        <v>204</v>
      </c>
      <c r="G773" s="133" t="str">
        <f t="shared" si="65"/>
        <v>T065PRNA</v>
      </c>
      <c r="H773" s="153" t="s">
        <v>308</v>
      </c>
      <c r="I773" s="153"/>
      <c r="J773" s="153" t="s">
        <v>1667</v>
      </c>
      <c r="K773" s="155">
        <v>45777</v>
      </c>
      <c r="L773" s="135">
        <v>170</v>
      </c>
      <c r="M773" s="153" t="s">
        <v>858</v>
      </c>
      <c r="N773" s="157">
        <v>6</v>
      </c>
      <c r="O773" s="157">
        <v>0</v>
      </c>
      <c r="P773" s="157">
        <v>0</v>
      </c>
      <c r="Q773" s="137">
        <f t="shared" si="66"/>
        <v>1020</v>
      </c>
      <c r="R773" s="153"/>
      <c r="S773" s="158">
        <v>45778</v>
      </c>
      <c r="T773" s="153" t="s">
        <v>1572</v>
      </c>
      <c r="U773" s="139" t="str">
        <f t="shared" si="61"/>
        <v>_preroll_labelled</v>
      </c>
      <c r="V773" s="140" t="str">
        <f>IF(U773="_","",_xlfn.XLOOKUP(U773,internal_cansku_inventory!D:D,internal_cansku_inventory!E:E,"",0,1))</f>
        <v/>
      </c>
    </row>
    <row r="774" spans="1:22" ht="12.45" customHeight="1">
      <c r="A774" s="154">
        <v>747</v>
      </c>
      <c r="B774" s="154">
        <v>2</v>
      </c>
      <c r="C774" s="154" t="str">
        <f>Table1[[#This Row],[inventory_id_head]]&amp;"-"&amp;Table1[[#This Row],[inventory_id_tail]]</f>
        <v>747-2</v>
      </c>
      <c r="D774" s="153" t="s">
        <v>680</v>
      </c>
      <c r="E774" s="153" t="s">
        <v>204</v>
      </c>
      <c r="F774" s="153" t="s">
        <v>204</v>
      </c>
      <c r="G774" s="153" t="str">
        <f t="shared" si="65"/>
        <v>NANA</v>
      </c>
      <c r="H774" s="153" t="s">
        <v>308</v>
      </c>
      <c r="I774" s="153"/>
      <c r="J774" s="153" t="s">
        <v>1632</v>
      </c>
      <c r="K774" s="155">
        <v>45756</v>
      </c>
      <c r="L774" s="156">
        <v>31</v>
      </c>
      <c r="M774" s="153" t="s">
        <v>858</v>
      </c>
      <c r="N774" s="157">
        <v>1.5</v>
      </c>
      <c r="O774" s="157">
        <v>0</v>
      </c>
      <c r="P774" s="157">
        <v>0</v>
      </c>
      <c r="Q774" s="205">
        <f t="shared" si="66"/>
        <v>46.5</v>
      </c>
      <c r="R774" s="153"/>
      <c r="S774" s="158">
        <v>45778</v>
      </c>
      <c r="T774" s="153" t="s">
        <v>1572</v>
      </c>
      <c r="U774" s="139" t="str">
        <f t="shared" ref="U774:U837" si="67">I774&amp;"_"&amp;H774</f>
        <v>_preroll_labelled</v>
      </c>
      <c r="V774" s="206" t="str">
        <f>IF(U774="_","",_xlfn.XLOOKUP(U774,internal_cansku_inventory!D:D,internal_cansku_inventory!E:E,"",0,1))</f>
        <v/>
      </c>
    </row>
    <row r="775" spans="1:22" ht="12.45" customHeight="1">
      <c r="A775" s="154">
        <v>750</v>
      </c>
      <c r="B775" s="154">
        <v>1</v>
      </c>
      <c r="C775" s="154" t="str">
        <f>Table1[[#This Row],[inventory_id_head]]&amp;"-"&amp;Table1[[#This Row],[inventory_id_tail]]</f>
        <v>750-1</v>
      </c>
      <c r="D775" s="153" t="s">
        <v>653</v>
      </c>
      <c r="E775" s="153" t="s">
        <v>1669</v>
      </c>
      <c r="F775" s="153" t="s">
        <v>204</v>
      </c>
      <c r="G775" s="153" t="str">
        <f t="shared" si="65"/>
        <v>T158EXNA</v>
      </c>
      <c r="H775" s="153" t="s">
        <v>328</v>
      </c>
      <c r="I775" s="153"/>
      <c r="J775" s="153" t="s">
        <v>1670</v>
      </c>
      <c r="K775" s="155">
        <v>45755</v>
      </c>
      <c r="L775" s="156">
        <v>34</v>
      </c>
      <c r="M775" s="153" t="s">
        <v>858</v>
      </c>
      <c r="N775" s="157">
        <v>0.5</v>
      </c>
      <c r="O775" s="157">
        <v>0</v>
      </c>
      <c r="P775" s="157">
        <v>0</v>
      </c>
      <c r="Q775" s="205">
        <f t="shared" si="66"/>
        <v>17</v>
      </c>
      <c r="R775" s="153"/>
      <c r="S775" s="158">
        <v>45778</v>
      </c>
      <c r="T775" s="153" t="s">
        <v>657</v>
      </c>
      <c r="U775" s="139" t="str">
        <f t="shared" si="67"/>
        <v>_extract_inhaled_labelled</v>
      </c>
      <c r="V775" s="206" t="str">
        <f>IF(U775="_","",_xlfn.XLOOKUP(U775,internal_cansku_inventory!D:D,internal_cansku_inventory!E:E,"",0,1))</f>
        <v/>
      </c>
    </row>
    <row r="776" spans="1:22" ht="12.45" customHeight="1">
      <c r="A776" s="154">
        <v>751</v>
      </c>
      <c r="B776" s="154">
        <v>1</v>
      </c>
      <c r="C776" s="154" t="str">
        <f>Table1[[#This Row],[inventory_id_head]]&amp;"-"&amp;Table1[[#This Row],[inventory_id_tail]]</f>
        <v>751-1</v>
      </c>
      <c r="D776" s="153" t="s">
        <v>653</v>
      </c>
      <c r="E776" s="153" t="s">
        <v>1671</v>
      </c>
      <c r="F776" s="133" t="s">
        <v>204</v>
      </c>
      <c r="G776" s="133" t="str">
        <f t="shared" si="65"/>
        <v>T159EXNA</v>
      </c>
      <c r="H776" s="153" t="s">
        <v>328</v>
      </c>
      <c r="I776" s="153"/>
      <c r="J776" s="153" t="s">
        <v>614</v>
      </c>
      <c r="K776" s="155">
        <v>45763</v>
      </c>
      <c r="L776" s="156">
        <v>14</v>
      </c>
      <c r="M776" s="153" t="s">
        <v>858</v>
      </c>
      <c r="N776" s="157">
        <v>0.5</v>
      </c>
      <c r="O776" s="136">
        <v>0</v>
      </c>
      <c r="P776" s="136">
        <v>0</v>
      </c>
      <c r="Q776" s="137">
        <f t="shared" si="66"/>
        <v>7</v>
      </c>
      <c r="R776" s="153"/>
      <c r="S776" s="138">
        <v>45778</v>
      </c>
      <c r="T776" s="133" t="s">
        <v>657</v>
      </c>
      <c r="U776" s="139" t="str">
        <f t="shared" si="67"/>
        <v>_extract_inhaled_labelled</v>
      </c>
      <c r="V776" s="140" t="str">
        <f>IF(U776="_","",_xlfn.XLOOKUP(U776,internal_cansku_inventory!D:D,internal_cansku_inventory!E:E,"",0,1))</f>
        <v/>
      </c>
    </row>
    <row r="777" spans="1:22" ht="12.45" customHeight="1">
      <c r="A777" s="132">
        <v>473</v>
      </c>
      <c r="B777" s="154">
        <v>0</v>
      </c>
      <c r="C777" s="154" t="str">
        <f>Table1[[#This Row],[inventory_id_head]]&amp;"-"&amp;Table1[[#This Row],[inventory_id_tail]]</f>
        <v>473-0</v>
      </c>
      <c r="D777" s="133" t="s">
        <v>653</v>
      </c>
      <c r="E777" s="153" t="s">
        <v>1672</v>
      </c>
      <c r="F777" s="133" t="s">
        <v>55</v>
      </c>
      <c r="G777" s="133" t="str">
        <f t="shared" si="65"/>
        <v>T100EXNA</v>
      </c>
      <c r="H777" s="133" t="s">
        <v>328</v>
      </c>
      <c r="I777" s="153"/>
      <c r="J777" s="153" t="s">
        <v>1206</v>
      </c>
      <c r="K777" s="155">
        <v>45603</v>
      </c>
      <c r="L777" s="271">
        <v>495</v>
      </c>
      <c r="M777" s="133" t="s">
        <v>858</v>
      </c>
      <c r="N777" s="136">
        <v>0.5</v>
      </c>
      <c r="O777" s="136">
        <v>589.20000000000005</v>
      </c>
      <c r="P777" s="136">
        <v>309.58</v>
      </c>
      <c r="Q777" s="137">
        <f t="shared" si="66"/>
        <v>247.5</v>
      </c>
      <c r="R777" s="133"/>
      <c r="S777" s="138">
        <v>45778.428472222222</v>
      </c>
      <c r="T777" s="133" t="s">
        <v>657</v>
      </c>
      <c r="U777" s="139" t="str">
        <f t="shared" si="67"/>
        <v>_extract_inhaled_labelled</v>
      </c>
      <c r="V777" s="140" t="str">
        <f>IF(U777="_","",_xlfn.XLOOKUP(U777,internal_cansku_inventory!D:D,internal_cansku_inventory!E:E,"",0,1))</f>
        <v/>
      </c>
    </row>
    <row r="778" spans="1:22" ht="12.45" customHeight="1">
      <c r="A778" s="132">
        <v>742</v>
      </c>
      <c r="B778" s="132">
        <v>0</v>
      </c>
      <c r="C778" s="132" t="str">
        <f>Table1[[#This Row],[inventory_id_head]]&amp;"-"&amp;Table1[[#This Row],[inventory_id_tail]]</f>
        <v>742-0</v>
      </c>
      <c r="D778" s="133" t="s">
        <v>653</v>
      </c>
      <c r="E778" s="133" t="s">
        <v>1673</v>
      </c>
      <c r="F778" s="133" t="s">
        <v>204</v>
      </c>
      <c r="G778" s="133" t="str">
        <f t="shared" si="65"/>
        <v>T150EXNA</v>
      </c>
      <c r="H778" s="133" t="s">
        <v>1674</v>
      </c>
      <c r="I778" s="133"/>
      <c r="J778" s="133" t="s">
        <v>1676</v>
      </c>
      <c r="K778" s="134">
        <v>45740</v>
      </c>
      <c r="L778" s="135">
        <v>82</v>
      </c>
      <c r="M778" s="133" t="s">
        <v>858</v>
      </c>
      <c r="N778" s="136">
        <v>1</v>
      </c>
      <c r="O778" s="136">
        <v>0</v>
      </c>
      <c r="P778" s="136">
        <v>0</v>
      </c>
      <c r="Q778" s="137">
        <f>Table1[[#This Row],[number_of_unit]]*Table1[[#This Row],[net_weight_per_unit]]</f>
        <v>82</v>
      </c>
      <c r="R778" s="133"/>
      <c r="S778" s="138">
        <v>45778.44027777778</v>
      </c>
      <c r="T778" s="133" t="s">
        <v>657</v>
      </c>
      <c r="U778" s="139" t="str">
        <f t="shared" si="67"/>
        <v>_extract_inhaled_labelled_Rohan</v>
      </c>
      <c r="V778" s="140" t="str">
        <f>IF(U778="_","",_xlfn.XLOOKUP(U778,internal_cansku_inventory!D:D,internal_cansku_inventory!E:E,"",0,1))</f>
        <v/>
      </c>
    </row>
    <row r="779" spans="1:22" ht="12.45" customHeight="1">
      <c r="A779" s="132">
        <v>667</v>
      </c>
      <c r="B779" s="132">
        <v>1</v>
      </c>
      <c r="C779" s="132" t="str">
        <f>Table1[[#This Row],[inventory_id_head]]&amp;"-"&amp;Table1[[#This Row],[inventory_id_tail]]</f>
        <v>667-1</v>
      </c>
      <c r="D779" s="133" t="s">
        <v>653</v>
      </c>
      <c r="E779" s="133" t="s">
        <v>1450</v>
      </c>
      <c r="F779" s="133" t="s">
        <v>655</v>
      </c>
      <c r="G779" s="133" t="str">
        <f t="shared" si="65"/>
        <v>T134EXNA</v>
      </c>
      <c r="H779" s="133" t="s">
        <v>328</v>
      </c>
      <c r="I779" s="133"/>
      <c r="J779" s="133" t="s">
        <v>1452</v>
      </c>
      <c r="K779" s="134">
        <v>45702</v>
      </c>
      <c r="L779" s="135">
        <v>421</v>
      </c>
      <c r="M779" s="133" t="s">
        <v>858</v>
      </c>
      <c r="N779" s="136">
        <v>0.5</v>
      </c>
      <c r="O779" s="136">
        <v>0</v>
      </c>
      <c r="P779" s="136">
        <v>0</v>
      </c>
      <c r="Q779" s="137">
        <f>Table1[[#This Row],[number_of_unit]]*Table1[[#This Row],[net_weight_per_unit]]</f>
        <v>210.5</v>
      </c>
      <c r="R779" s="133"/>
      <c r="S779" s="138">
        <v>45778.441666666666</v>
      </c>
      <c r="T779" s="133" t="s">
        <v>657</v>
      </c>
      <c r="U779" s="139" t="str">
        <f t="shared" si="67"/>
        <v>_extract_inhaled_labelled</v>
      </c>
      <c r="V779" s="140" t="str">
        <f>IF(U779="_","",_xlfn.XLOOKUP(U779,internal_cansku_inventory!D:D,internal_cansku_inventory!E:E,"",0,1))</f>
        <v/>
      </c>
    </row>
    <row r="780" spans="1:22" ht="12.45" customHeight="1">
      <c r="A780" s="154">
        <v>108</v>
      </c>
      <c r="B780" s="132">
        <v>0</v>
      </c>
      <c r="C780" s="154" t="str">
        <f>Table1[[#This Row],[inventory_id_head]]&amp;"-"&amp;Table1[[#This Row],[inventory_id_tail]]</f>
        <v>108-0</v>
      </c>
      <c r="D780" s="133" t="s">
        <v>680</v>
      </c>
      <c r="E780" s="133" t="s">
        <v>815</v>
      </c>
      <c r="F780" s="133" t="s">
        <v>55</v>
      </c>
      <c r="G780" s="133" t="str">
        <f t="shared" si="65"/>
        <v>T003PRNA</v>
      </c>
      <c r="H780" s="153" t="s">
        <v>813</v>
      </c>
      <c r="I780" s="133"/>
      <c r="J780" s="133" t="s">
        <v>1575</v>
      </c>
      <c r="K780" s="134">
        <v>45457</v>
      </c>
      <c r="L780" s="156">
        <v>12</v>
      </c>
      <c r="M780" s="133" t="s">
        <v>644</v>
      </c>
      <c r="N780" s="136">
        <v>1.5</v>
      </c>
      <c r="O780" s="136">
        <v>0</v>
      </c>
      <c r="P780" s="136">
        <v>0</v>
      </c>
      <c r="Q780" s="137">
        <f t="shared" ref="Q780:Q788" si="68">L780*N780</f>
        <v>18</v>
      </c>
      <c r="R780" s="133"/>
      <c r="S780" s="138">
        <v>45778.532638888886</v>
      </c>
      <c r="T780" s="133" t="s">
        <v>670</v>
      </c>
      <c r="U780" s="139" t="str">
        <f t="shared" si="67"/>
        <v>_preroll_labelled</v>
      </c>
      <c r="V780" s="140" t="str">
        <f>IF(U780="_","",_xlfn.XLOOKUP(U780,internal_cansku_inventory!D:D,internal_cansku_inventory!E:E,"",0,1))</f>
        <v/>
      </c>
    </row>
    <row r="781" spans="1:22" ht="12.45" customHeight="1">
      <c r="A781" s="154">
        <v>97</v>
      </c>
      <c r="B781" s="154">
        <v>1</v>
      </c>
      <c r="C781" s="154" t="str">
        <f>Table1[[#This Row],[inventory_id_head]]&amp;"-"&amp;Table1[[#This Row],[inventory_id_tail]]</f>
        <v>97-1</v>
      </c>
      <c r="D781" s="133" t="s">
        <v>653</v>
      </c>
      <c r="E781" s="153" t="s">
        <v>1677</v>
      </c>
      <c r="F781" s="133" t="s">
        <v>55</v>
      </c>
      <c r="G781" s="133" t="str">
        <f t="shared" ref="G781:G812" si="69">E781&amp;F781</f>
        <v>T007MFNA</v>
      </c>
      <c r="H781" s="153" t="s">
        <v>704</v>
      </c>
      <c r="I781" s="153"/>
      <c r="J781" s="153" t="s">
        <v>1678</v>
      </c>
      <c r="K781" s="134" t="s">
        <v>204</v>
      </c>
      <c r="L781" s="156">
        <v>1</v>
      </c>
      <c r="M781" s="133" t="s">
        <v>994</v>
      </c>
      <c r="N781" s="136">
        <f>Table1[[#This Row],[gross_weight]]-Table1[[#This Row],[tare_weight]]</f>
        <v>822</v>
      </c>
      <c r="O781" s="136">
        <v>2582</v>
      </c>
      <c r="P781" s="136">
        <f>2580-820</f>
        <v>1760</v>
      </c>
      <c r="Q781" s="137">
        <f t="shared" si="68"/>
        <v>822</v>
      </c>
      <c r="R781" s="133"/>
      <c r="S781" s="138">
        <v>45779</v>
      </c>
      <c r="T781" s="133" t="s">
        <v>978</v>
      </c>
      <c r="U781" s="139" t="str">
        <f t="shared" si="67"/>
        <v>_driedflower_milled_bulk</v>
      </c>
      <c r="V781" s="140" t="str">
        <f>IF(U781="_","",_xlfn.XLOOKUP(U781,internal_cansku_inventory!D:D,internal_cansku_inventory!E:E,"",0,1))</f>
        <v/>
      </c>
    </row>
    <row r="782" spans="1:22" ht="12.45" customHeight="1">
      <c r="A782" s="154">
        <v>106</v>
      </c>
      <c r="B782" s="154">
        <v>0</v>
      </c>
      <c r="C782" s="154" t="str">
        <f>Table1[[#This Row],[inventory_id_head]]&amp;"-"&amp;Table1[[#This Row],[inventory_id_tail]]</f>
        <v>106-0</v>
      </c>
      <c r="D782" s="153" t="s">
        <v>653</v>
      </c>
      <c r="E782" s="153" t="s">
        <v>1679</v>
      </c>
      <c r="F782" s="133" t="s">
        <v>55</v>
      </c>
      <c r="G782" s="133" t="str">
        <f t="shared" si="69"/>
        <v>J002EXNA</v>
      </c>
      <c r="H782" s="153" t="s">
        <v>358</v>
      </c>
      <c r="I782" s="153"/>
      <c r="J782" s="153" t="s">
        <v>543</v>
      </c>
      <c r="K782" s="155" t="s">
        <v>655</v>
      </c>
      <c r="L782" s="156">
        <v>1</v>
      </c>
      <c r="M782" s="133" t="s">
        <v>994</v>
      </c>
      <c r="N782" s="157">
        <f>O782-P782</f>
        <v>597.90000000000009</v>
      </c>
      <c r="O782" s="136">
        <v>1317.9</v>
      </c>
      <c r="P782" s="136">
        <v>720</v>
      </c>
      <c r="Q782" s="137">
        <f t="shared" si="68"/>
        <v>597.90000000000009</v>
      </c>
      <c r="R782" s="133"/>
      <c r="S782" s="138">
        <v>45779</v>
      </c>
      <c r="T782" s="133" t="s">
        <v>664</v>
      </c>
      <c r="U782" s="139" t="str">
        <f t="shared" si="67"/>
        <v>_extract_inhaled_bulk</v>
      </c>
      <c r="V782" s="140" t="str">
        <f>IF(U782="_","",_xlfn.XLOOKUP(U782,internal_cansku_inventory!D:D,internal_cansku_inventory!E:E,"",0,1))</f>
        <v/>
      </c>
    </row>
    <row r="783" spans="1:22" ht="12.45" customHeight="1">
      <c r="A783" s="154">
        <v>129</v>
      </c>
      <c r="B783" s="154">
        <v>1</v>
      </c>
      <c r="C783" s="154" t="str">
        <f>Table1[[#This Row],[inventory_id_head]]&amp;"-"&amp;Table1[[#This Row],[inventory_id_tail]]</f>
        <v>129-1</v>
      </c>
      <c r="D783" s="153" t="s">
        <v>653</v>
      </c>
      <c r="E783" s="153" t="s">
        <v>1573</v>
      </c>
      <c r="F783" s="133" t="s">
        <v>204</v>
      </c>
      <c r="G783" s="133" t="str">
        <f t="shared" si="69"/>
        <v>T073PRNA</v>
      </c>
      <c r="H783" s="153" t="s">
        <v>308</v>
      </c>
      <c r="I783" s="153"/>
      <c r="J783" s="153" t="s">
        <v>1680</v>
      </c>
      <c r="K783" s="155">
        <v>45779</v>
      </c>
      <c r="L783" s="156">
        <v>108</v>
      </c>
      <c r="M783" s="133" t="s">
        <v>858</v>
      </c>
      <c r="N783" s="157">
        <v>1.5</v>
      </c>
      <c r="O783" s="136">
        <v>0</v>
      </c>
      <c r="P783" s="136">
        <v>0</v>
      </c>
      <c r="Q783" s="137">
        <f t="shared" si="68"/>
        <v>162</v>
      </c>
      <c r="R783" s="153"/>
      <c r="S783" s="158">
        <v>45779</v>
      </c>
      <c r="T783" s="133" t="s">
        <v>1572</v>
      </c>
      <c r="U783" s="139" t="str">
        <f t="shared" si="67"/>
        <v>_preroll_labelled</v>
      </c>
      <c r="V783" s="140" t="str">
        <f>IF(U783="_","",_xlfn.XLOOKUP(U783,internal_cansku_inventory!D:D,internal_cansku_inventory!E:E,"",0,1))</f>
        <v/>
      </c>
    </row>
    <row r="784" spans="1:22" ht="12.45" customHeight="1">
      <c r="A784" s="154">
        <v>129</v>
      </c>
      <c r="B784" s="154">
        <v>2</v>
      </c>
      <c r="C784" s="154" t="str">
        <f>Table1[[#This Row],[inventory_id_head]]&amp;"-"&amp;Table1[[#This Row],[inventory_id_tail]]</f>
        <v>129-2</v>
      </c>
      <c r="D784" s="153" t="s">
        <v>653</v>
      </c>
      <c r="E784" s="153" t="s">
        <v>1573</v>
      </c>
      <c r="F784" s="133" t="s">
        <v>204</v>
      </c>
      <c r="G784" s="133" t="str">
        <f t="shared" si="69"/>
        <v>T073PRNA</v>
      </c>
      <c r="H784" s="153" t="s">
        <v>368</v>
      </c>
      <c r="I784" s="153"/>
      <c r="J784" s="153" t="s">
        <v>1680</v>
      </c>
      <c r="K784" s="155" t="s">
        <v>204</v>
      </c>
      <c r="L784" s="156">
        <v>6</v>
      </c>
      <c r="M784" s="133" t="s">
        <v>858</v>
      </c>
      <c r="N784" s="157">
        <v>1.5</v>
      </c>
      <c r="O784" s="136">
        <v>0</v>
      </c>
      <c r="P784" s="136">
        <v>0</v>
      </c>
      <c r="Q784" s="137">
        <f t="shared" si="68"/>
        <v>9</v>
      </c>
      <c r="R784" s="153"/>
      <c r="S784" s="158">
        <v>45779</v>
      </c>
      <c r="T784" s="133" t="s">
        <v>1572</v>
      </c>
      <c r="U784" s="139" t="str">
        <f t="shared" si="67"/>
        <v>_preroll_bulk</v>
      </c>
      <c r="V784" s="140" t="str">
        <f>IF(U784="_","",_xlfn.XLOOKUP(U784,internal_cansku_inventory!D:D,internal_cansku_inventory!E:E,"",0,1))</f>
        <v/>
      </c>
    </row>
    <row r="785" spans="1:22" ht="12.45" customHeight="1">
      <c r="A785" s="154">
        <v>134</v>
      </c>
      <c r="B785" s="154">
        <v>1</v>
      </c>
      <c r="C785" s="154" t="str">
        <f>Table1[[#This Row],[inventory_id_head]]&amp;"-"&amp;Table1[[#This Row],[inventory_id_tail]]</f>
        <v>134-1</v>
      </c>
      <c r="D785" s="153" t="s">
        <v>653</v>
      </c>
      <c r="E785" s="153" t="s">
        <v>1681</v>
      </c>
      <c r="F785" s="153" t="s">
        <v>204</v>
      </c>
      <c r="G785" s="153" t="str">
        <f t="shared" si="69"/>
        <v>T074PRNA</v>
      </c>
      <c r="H785" s="133" t="s">
        <v>308</v>
      </c>
      <c r="I785" s="153"/>
      <c r="J785" s="153" t="s">
        <v>1682</v>
      </c>
      <c r="K785" s="155">
        <v>45763</v>
      </c>
      <c r="L785" s="156">
        <v>53</v>
      </c>
      <c r="M785" s="153" t="s">
        <v>858</v>
      </c>
      <c r="N785" s="157">
        <v>1</v>
      </c>
      <c r="O785" s="157">
        <v>0</v>
      </c>
      <c r="P785" s="157">
        <v>0</v>
      </c>
      <c r="Q785" s="205">
        <f t="shared" si="68"/>
        <v>53</v>
      </c>
      <c r="R785" s="153"/>
      <c r="S785" s="158">
        <v>45779</v>
      </c>
      <c r="T785" s="153" t="s">
        <v>1572</v>
      </c>
      <c r="U785" s="139" t="str">
        <f t="shared" si="67"/>
        <v>_preroll_labelled</v>
      </c>
      <c r="V785" s="140" t="str">
        <f>IF(U785="_","",_xlfn.XLOOKUP(U785,internal_cansku_inventory!D:D,internal_cansku_inventory!E:E,"",0,1))</f>
        <v/>
      </c>
    </row>
    <row r="786" spans="1:22" ht="12.45" customHeight="1">
      <c r="A786" s="132">
        <v>134</v>
      </c>
      <c r="B786" s="132">
        <v>2</v>
      </c>
      <c r="C786" s="132" t="str">
        <f>Table1[[#This Row],[inventory_id_head]]&amp;"-"&amp;Table1[[#This Row],[inventory_id_tail]]</f>
        <v>134-2</v>
      </c>
      <c r="D786" s="153" t="s">
        <v>653</v>
      </c>
      <c r="E786" s="133" t="s">
        <v>1681</v>
      </c>
      <c r="F786" s="153" t="s">
        <v>204</v>
      </c>
      <c r="G786" s="153" t="str">
        <f t="shared" si="69"/>
        <v>T074PRNA</v>
      </c>
      <c r="H786" s="133" t="s">
        <v>375</v>
      </c>
      <c r="I786" s="133"/>
      <c r="J786" s="133" t="s">
        <v>1682</v>
      </c>
      <c r="K786" s="134" t="s">
        <v>204</v>
      </c>
      <c r="L786" s="135">
        <v>31</v>
      </c>
      <c r="M786" s="133" t="s">
        <v>858</v>
      </c>
      <c r="N786" s="136">
        <v>1</v>
      </c>
      <c r="O786" s="136">
        <v>0</v>
      </c>
      <c r="P786" s="136">
        <v>0</v>
      </c>
      <c r="Q786" s="205">
        <f t="shared" si="68"/>
        <v>31</v>
      </c>
      <c r="R786" s="133"/>
      <c r="S786" s="138">
        <v>45779</v>
      </c>
      <c r="T786" s="133" t="s">
        <v>1572</v>
      </c>
      <c r="U786" s="139" t="str">
        <f t="shared" si="67"/>
        <v>_preroll_packaged</v>
      </c>
      <c r="V786" s="140" t="str">
        <f>IF(U786="_","",_xlfn.XLOOKUP(U786,internal_cansku_inventory!D:D,internal_cansku_inventory!E:E,"",0,1))</f>
        <v/>
      </c>
    </row>
    <row r="787" spans="1:22" ht="12.45" customHeight="1">
      <c r="A787" s="154">
        <v>432</v>
      </c>
      <c r="B787" s="132">
        <v>0</v>
      </c>
      <c r="C787" s="132" t="str">
        <f>Table1[[#This Row],[inventory_id_head]]&amp;"-"&amp;Table1[[#This Row],[inventory_id_tail]]</f>
        <v>432-0</v>
      </c>
      <c r="D787" s="153" t="s">
        <v>653</v>
      </c>
      <c r="E787" s="133" t="s">
        <v>1683</v>
      </c>
      <c r="F787" s="153" t="s">
        <v>655</v>
      </c>
      <c r="G787" s="133" t="str">
        <f t="shared" si="69"/>
        <v>T011TPNA</v>
      </c>
      <c r="H787" s="133" t="s">
        <v>303</v>
      </c>
      <c r="I787" s="133"/>
      <c r="J787" s="133" t="s">
        <v>1172</v>
      </c>
      <c r="K787" s="134">
        <v>45588</v>
      </c>
      <c r="L787" s="148">
        <v>1</v>
      </c>
      <c r="M787" s="133" t="s">
        <v>858</v>
      </c>
      <c r="N787" s="136">
        <v>88</v>
      </c>
      <c r="O787" s="136">
        <v>0</v>
      </c>
      <c r="P787" s="136">
        <v>0</v>
      </c>
      <c r="Q787" s="205">
        <f t="shared" si="68"/>
        <v>88</v>
      </c>
      <c r="R787" s="133"/>
      <c r="S787" s="138">
        <v>45779</v>
      </c>
      <c r="T787" s="133" t="s">
        <v>670</v>
      </c>
      <c r="U787" s="139" t="str">
        <f t="shared" si="67"/>
        <v>_topical_labelled</v>
      </c>
      <c r="V787" s="140" t="str">
        <f>IF(U787="_","",_xlfn.XLOOKUP(U787,internal_cansku_inventory!D:D,internal_cansku_inventory!E:E,"",0,1))</f>
        <v/>
      </c>
    </row>
    <row r="788" spans="1:22" ht="12.45" customHeight="1">
      <c r="A788" s="132">
        <v>486</v>
      </c>
      <c r="B788" s="132">
        <v>0</v>
      </c>
      <c r="C788" s="132" t="str">
        <f>Table1[[#This Row],[inventory_id_head]]&amp;"-"&amp;Table1[[#This Row],[inventory_id_tail]]</f>
        <v>486-0</v>
      </c>
      <c r="D788" s="153" t="s">
        <v>653</v>
      </c>
      <c r="E788" s="133" t="s">
        <v>1684</v>
      </c>
      <c r="F788" s="153" t="s">
        <v>655</v>
      </c>
      <c r="G788" s="133" t="str">
        <f t="shared" si="69"/>
        <v>T103EXNA</v>
      </c>
      <c r="H788" s="133" t="s">
        <v>304</v>
      </c>
      <c r="I788" s="133"/>
      <c r="J788" s="133" t="s">
        <v>1183</v>
      </c>
      <c r="K788" s="134">
        <v>45590</v>
      </c>
      <c r="L788" s="148">
        <v>7</v>
      </c>
      <c r="M788" s="133" t="s">
        <v>644</v>
      </c>
      <c r="N788" s="136">
        <v>27.3</v>
      </c>
      <c r="O788" s="136">
        <v>0</v>
      </c>
      <c r="P788" s="136">
        <v>0</v>
      </c>
      <c r="Q788" s="205">
        <f t="shared" si="68"/>
        <v>191.1</v>
      </c>
      <c r="R788" s="133"/>
      <c r="S788" s="138">
        <v>45779</v>
      </c>
      <c r="T788" s="133" t="s">
        <v>657</v>
      </c>
      <c r="U788" s="139" t="str">
        <f t="shared" si="67"/>
        <v>_extract_ingested_labelled</v>
      </c>
      <c r="V788" s="140" t="str">
        <f>IF(U788="_","",_xlfn.XLOOKUP(U788,internal_cansku_inventory!D:D,internal_cansku_inventory!E:E,"",0,1))</f>
        <v/>
      </c>
    </row>
    <row r="789" spans="1:22" ht="12.45" customHeight="1">
      <c r="A789" s="154">
        <v>629</v>
      </c>
      <c r="B789" s="154">
        <v>0</v>
      </c>
      <c r="C789" s="154" t="str">
        <f>Table1[[#This Row],[inventory_id_head]]&amp;"-"&amp;Table1[[#This Row],[inventory_id_tail]]</f>
        <v>629-0</v>
      </c>
      <c r="D789" s="153" t="s">
        <v>653</v>
      </c>
      <c r="E789" s="153" t="s">
        <v>1685</v>
      </c>
      <c r="F789" s="153" t="s">
        <v>55</v>
      </c>
      <c r="G789" s="133" t="str">
        <f t="shared" si="69"/>
        <v>T056PRNA</v>
      </c>
      <c r="H789" s="153" t="s">
        <v>813</v>
      </c>
      <c r="I789" s="153"/>
      <c r="J789" s="153" t="s">
        <v>1179</v>
      </c>
      <c r="K789" s="155">
        <v>45649</v>
      </c>
      <c r="L789" s="156">
        <v>72</v>
      </c>
      <c r="M789" s="153" t="s">
        <v>858</v>
      </c>
      <c r="N789" s="157">
        <f>12*0.35</f>
        <v>4.1999999999999993</v>
      </c>
      <c r="O789" s="157">
        <v>0</v>
      </c>
      <c r="P789" s="157">
        <v>0</v>
      </c>
      <c r="Q789" s="205">
        <v>224</v>
      </c>
      <c r="R789" s="153"/>
      <c r="S789" s="158">
        <v>45779</v>
      </c>
      <c r="T789" s="153" t="s">
        <v>670</v>
      </c>
      <c r="U789" s="139" t="str">
        <f t="shared" si="67"/>
        <v>_preroll_labelled</v>
      </c>
      <c r="V789" s="140" t="str">
        <f>IF(U789="_","",_xlfn.XLOOKUP(U789,internal_cansku_inventory!D:D,internal_cansku_inventory!E:E,"",0,1))</f>
        <v/>
      </c>
    </row>
    <row r="790" spans="1:22" ht="12.45" customHeight="1">
      <c r="A790" s="154">
        <v>634</v>
      </c>
      <c r="B790" s="209">
        <v>0</v>
      </c>
      <c r="C790" s="154" t="str">
        <f>Table1[[#This Row],[inventory_id_head]]&amp;"-"&amp;Table1[[#This Row],[inventory_id_tail]]</f>
        <v>634-0</v>
      </c>
      <c r="D790" s="153" t="s">
        <v>653</v>
      </c>
      <c r="E790" s="153" t="s">
        <v>1687</v>
      </c>
      <c r="F790" s="153" t="s">
        <v>55</v>
      </c>
      <c r="G790" s="133" t="str">
        <f t="shared" si="69"/>
        <v>T006MFNA</v>
      </c>
      <c r="H790" s="153" t="s">
        <v>451</v>
      </c>
      <c r="I790" s="153"/>
      <c r="J790" s="153" t="s">
        <v>1689</v>
      </c>
      <c r="K790" s="155" t="s">
        <v>655</v>
      </c>
      <c r="L790" s="156">
        <v>1</v>
      </c>
      <c r="M790" s="153" t="s">
        <v>994</v>
      </c>
      <c r="N790" s="157">
        <f>Table1[[#This Row],[gross_weight]]-Table1[[#This Row],[tare_weight]]</f>
        <v>7</v>
      </c>
      <c r="O790" s="157">
        <v>2386</v>
      </c>
      <c r="P790" s="157">
        <v>2379</v>
      </c>
      <c r="Q790" s="205">
        <f>Table1[[#This Row],[number_of_unit]]*Table1[[#This Row],[net_weight_per_unit]]</f>
        <v>7</v>
      </c>
      <c r="R790" s="153"/>
      <c r="S790" s="158">
        <v>45779</v>
      </c>
      <c r="T790" s="153" t="s">
        <v>978</v>
      </c>
      <c r="U790" s="139" t="str">
        <f t="shared" si="67"/>
        <v>_driedflower_milled_bulk_BURB</v>
      </c>
      <c r="V790" s="140" t="str">
        <f>IF(U790="_","",_xlfn.XLOOKUP(U790,internal_cansku_inventory!D:D,internal_cansku_inventory!E:E,"",0,1))</f>
        <v/>
      </c>
    </row>
    <row r="791" spans="1:22" ht="12.45" customHeight="1">
      <c r="A791" s="154">
        <v>637</v>
      </c>
      <c r="B791" s="209">
        <v>2</v>
      </c>
      <c r="C791" s="154" t="str">
        <f>Table1[[#This Row],[inventory_id_head]]&amp;"-"&amp;Table1[[#This Row],[inventory_id_tail]]</f>
        <v>637-2</v>
      </c>
      <c r="D791" s="153" t="s">
        <v>680</v>
      </c>
      <c r="E791" s="153" t="s">
        <v>1690</v>
      </c>
      <c r="F791" s="153" t="s">
        <v>204</v>
      </c>
      <c r="G791" s="133" t="str">
        <f t="shared" si="69"/>
        <v>T058PRNA</v>
      </c>
      <c r="H791" s="153" t="s">
        <v>308</v>
      </c>
      <c r="I791" s="153"/>
      <c r="J791" s="153" t="s">
        <v>1691</v>
      </c>
      <c r="K791" s="155">
        <v>45735</v>
      </c>
      <c r="L791" s="156">
        <v>39</v>
      </c>
      <c r="M791" s="153" t="s">
        <v>858</v>
      </c>
      <c r="N791" s="157">
        <v>1</v>
      </c>
      <c r="O791" s="157">
        <v>0</v>
      </c>
      <c r="P791" s="157">
        <v>0</v>
      </c>
      <c r="Q791" s="205">
        <f>L791*N791</f>
        <v>39</v>
      </c>
      <c r="R791" s="153"/>
      <c r="S791" s="158">
        <v>45779</v>
      </c>
      <c r="T791" s="153" t="s">
        <v>1572</v>
      </c>
      <c r="U791" s="139" t="str">
        <f t="shared" si="67"/>
        <v>_preroll_labelled</v>
      </c>
      <c r="V791" s="140" t="str">
        <f>IF(U791="_","",_xlfn.XLOOKUP(U791,internal_cansku_inventory!D:D,internal_cansku_inventory!E:E,"",0,1))</f>
        <v/>
      </c>
    </row>
    <row r="792" spans="1:22" ht="12.45" customHeight="1">
      <c r="A792" s="154">
        <v>650</v>
      </c>
      <c r="B792" s="154">
        <v>2</v>
      </c>
      <c r="C792" s="154" t="str">
        <f>Table1[[#This Row],[inventory_id_head]]&amp;"-"&amp;Table1[[#This Row],[inventory_id_tail]]</f>
        <v>650-2</v>
      </c>
      <c r="D792" s="153" t="s">
        <v>653</v>
      </c>
      <c r="E792" s="153" t="s">
        <v>1692</v>
      </c>
      <c r="F792" s="153" t="s">
        <v>204</v>
      </c>
      <c r="G792" s="133" t="str">
        <f t="shared" si="69"/>
        <v>T066PRNA</v>
      </c>
      <c r="H792" s="153" t="s">
        <v>308</v>
      </c>
      <c r="I792" s="153"/>
      <c r="J792" s="153" t="s">
        <v>1660</v>
      </c>
      <c r="K792" s="155">
        <v>45763</v>
      </c>
      <c r="L792" s="156">
        <v>7</v>
      </c>
      <c r="M792" s="153" t="s">
        <v>858</v>
      </c>
      <c r="N792" s="157">
        <v>2.5</v>
      </c>
      <c r="O792" s="136">
        <v>0</v>
      </c>
      <c r="P792" s="136">
        <v>0</v>
      </c>
      <c r="Q792" s="205">
        <f>L792*N792</f>
        <v>17.5</v>
      </c>
      <c r="R792" s="153"/>
      <c r="S792" s="158">
        <v>45779</v>
      </c>
      <c r="T792" s="153" t="s">
        <v>1633</v>
      </c>
      <c r="U792" s="139" t="str">
        <f t="shared" si="67"/>
        <v>_preroll_labelled</v>
      </c>
      <c r="V792" s="140" t="str">
        <f>IF(U792="_","",_xlfn.XLOOKUP(U792,internal_cansku_inventory!D:D,internal_cansku_inventory!E:E,"",0,1))</f>
        <v/>
      </c>
    </row>
    <row r="793" spans="1:22" ht="12.45" customHeight="1">
      <c r="A793" s="154">
        <v>650</v>
      </c>
      <c r="B793" s="154">
        <v>3</v>
      </c>
      <c r="C793" s="154" t="str">
        <f>Table1[[#This Row],[inventory_id_head]]&amp;"-"&amp;Table1[[#This Row],[inventory_id_tail]]</f>
        <v>650-3</v>
      </c>
      <c r="D793" s="133" t="s">
        <v>680</v>
      </c>
      <c r="E793" s="153" t="s">
        <v>1692</v>
      </c>
      <c r="F793" s="153" t="s">
        <v>204</v>
      </c>
      <c r="G793" s="133" t="str">
        <f t="shared" si="69"/>
        <v>T066PRNA</v>
      </c>
      <c r="H793" s="153" t="s">
        <v>308</v>
      </c>
      <c r="I793" s="153"/>
      <c r="J793" s="153" t="s">
        <v>1660</v>
      </c>
      <c r="K793" s="155" t="s">
        <v>204</v>
      </c>
      <c r="L793" s="156">
        <v>0</v>
      </c>
      <c r="M793" s="153" t="s">
        <v>858</v>
      </c>
      <c r="N793" s="157">
        <v>2.5</v>
      </c>
      <c r="O793" s="136">
        <v>0</v>
      </c>
      <c r="P793" s="136">
        <v>0</v>
      </c>
      <c r="Q793" s="205">
        <f>L793*N793</f>
        <v>0</v>
      </c>
      <c r="R793" s="153"/>
      <c r="S793" s="158">
        <v>45779</v>
      </c>
      <c r="T793" s="153" t="s">
        <v>1633</v>
      </c>
      <c r="U793" s="139" t="str">
        <f t="shared" si="67"/>
        <v>_preroll_labelled</v>
      </c>
      <c r="V793" s="140" t="str">
        <f>IF(U793="_","",_xlfn.XLOOKUP(U793,internal_cansku_inventory!D:D,internal_cansku_inventory!E:E,"",0,1))</f>
        <v/>
      </c>
    </row>
    <row r="794" spans="1:22" ht="12.45" customHeight="1">
      <c r="A794" s="132">
        <v>650</v>
      </c>
      <c r="B794" s="132">
        <v>5</v>
      </c>
      <c r="C794" s="132" t="str">
        <f>Table1[[#This Row],[inventory_id_head]]&amp;"-"&amp;Table1[[#This Row],[inventory_id_tail]]</f>
        <v>650-5</v>
      </c>
      <c r="D794" s="133" t="s">
        <v>653</v>
      </c>
      <c r="E794" s="153" t="s">
        <v>1693</v>
      </c>
      <c r="F794" s="153" t="s">
        <v>204</v>
      </c>
      <c r="G794" s="133" t="str">
        <f t="shared" si="69"/>
        <v>T010MFNA</v>
      </c>
      <c r="H794" s="153" t="s">
        <v>356</v>
      </c>
      <c r="I794" s="153"/>
      <c r="J794" s="133" t="s">
        <v>1642</v>
      </c>
      <c r="K794" s="134" t="s">
        <v>204</v>
      </c>
      <c r="L794" s="135">
        <v>1</v>
      </c>
      <c r="M794" s="153" t="s">
        <v>994</v>
      </c>
      <c r="N794" s="136">
        <f>Table1[[#This Row],[gross_weight]]-Table1[[#This Row],[tare_weight]]</f>
        <v>2726</v>
      </c>
      <c r="O794" s="136">
        <v>4496</v>
      </c>
      <c r="P794" s="136">
        <v>1770</v>
      </c>
      <c r="Q794" s="205">
        <f>L794*N794</f>
        <v>2726</v>
      </c>
      <c r="R794" s="153"/>
      <c r="S794" s="158">
        <v>45779</v>
      </c>
      <c r="T794" s="153" t="s">
        <v>978</v>
      </c>
      <c r="U794" s="139" t="str">
        <f t="shared" si="67"/>
        <v>_driedflower_milled_bulk</v>
      </c>
      <c r="V794" s="140" t="str">
        <f>IF(U794="_","",_xlfn.XLOOKUP(U794,internal_cansku_inventory!D:D,internal_cansku_inventory!E:E,"",0,1))</f>
        <v/>
      </c>
    </row>
    <row r="795" spans="1:22" ht="12.45" customHeight="1">
      <c r="A795" s="154">
        <v>677</v>
      </c>
      <c r="B795" s="154">
        <v>0</v>
      </c>
      <c r="C795" s="154" t="str">
        <f>Table1[[#This Row],[inventory_id_head]]&amp;"-"&amp;Table1[[#This Row],[inventory_id_tail]]</f>
        <v>677-0</v>
      </c>
      <c r="D795" s="133" t="s">
        <v>653</v>
      </c>
      <c r="E795" s="153" t="s">
        <v>1477</v>
      </c>
      <c r="F795" s="153" t="s">
        <v>1694</v>
      </c>
      <c r="G795" s="133" t="str">
        <f t="shared" si="69"/>
        <v>T064DFB001IF</v>
      </c>
      <c r="H795" s="153" t="s">
        <v>1479</v>
      </c>
      <c r="I795" s="153"/>
      <c r="J795" s="153">
        <v>2025021303</v>
      </c>
      <c r="K795" s="155" t="s">
        <v>655</v>
      </c>
      <c r="L795" s="156">
        <v>1</v>
      </c>
      <c r="M795" s="153" t="s">
        <v>1012</v>
      </c>
      <c r="N795" s="157">
        <f>Table1[[#This Row],[gross_weight]]-Table1[[#This Row],[tare_weight]]</f>
        <v>527</v>
      </c>
      <c r="O795" s="136">
        <v>555</v>
      </c>
      <c r="P795" s="136">
        <f>810-782</f>
        <v>28</v>
      </c>
      <c r="Q795" s="205">
        <f>Table1[[#This Row],[number_of_unit]]*Table1[[#This Row],[net_weight_per_unit]]</f>
        <v>527</v>
      </c>
      <c r="R795" s="153"/>
      <c r="S795" s="158">
        <v>45779</v>
      </c>
      <c r="T795" s="153" t="s">
        <v>978</v>
      </c>
      <c r="U795" s="139" t="str">
        <f t="shared" si="67"/>
        <v>_infusedflower_bulk</v>
      </c>
      <c r="V795" s="140" t="str">
        <f>IF(U795="_","",_xlfn.XLOOKUP(U795,internal_cansku_inventory!D:D,internal_cansku_inventory!E:E,"",0,1))</f>
        <v/>
      </c>
    </row>
    <row r="796" spans="1:22" ht="12.45" customHeight="1">
      <c r="A796" s="154">
        <v>683</v>
      </c>
      <c r="B796" s="154">
        <v>0</v>
      </c>
      <c r="C796" s="154" t="str">
        <f>Table1[[#This Row],[inventory_id_head]]&amp;"-"&amp;Table1[[#This Row],[inventory_id_tail]]</f>
        <v>683-0</v>
      </c>
      <c r="D796" s="153" t="s">
        <v>653</v>
      </c>
      <c r="E796" s="153" t="s">
        <v>1481</v>
      </c>
      <c r="F796" s="153" t="s">
        <v>1695</v>
      </c>
      <c r="G796" s="133" t="str">
        <f t="shared" si="69"/>
        <v>T065DFB104DF</v>
      </c>
      <c r="H796" s="153" t="s">
        <v>365</v>
      </c>
      <c r="I796" s="153"/>
      <c r="J796" s="153">
        <v>2025021301</v>
      </c>
      <c r="K796" s="155" t="s">
        <v>655</v>
      </c>
      <c r="L796" s="156">
        <v>1</v>
      </c>
      <c r="M796" s="153" t="s">
        <v>1012</v>
      </c>
      <c r="N796" s="157">
        <f>Table1[[#This Row],[gross_weight]]-Table1[[#This Row],[tare_weight]]</f>
        <v>82.5</v>
      </c>
      <c r="O796" s="136">
        <v>115</v>
      </c>
      <c r="P796" s="136">
        <v>32.5</v>
      </c>
      <c r="Q796" s="205">
        <f>Table1[[#This Row],[number_of_unit]]*Table1[[#This Row],[net_weight_per_unit]]</f>
        <v>82.5</v>
      </c>
      <c r="R796" s="153"/>
      <c r="S796" s="158">
        <v>45779</v>
      </c>
      <c r="T796" s="153" t="s">
        <v>978</v>
      </c>
      <c r="U796" s="139" t="str">
        <f t="shared" si="67"/>
        <v>_driedflower_bulk</v>
      </c>
      <c r="V796" s="140" t="str">
        <f>IF(U796="_","",_xlfn.XLOOKUP(U796,internal_cansku_inventory!D:D,internal_cansku_inventory!E:E,"",0,1))</f>
        <v/>
      </c>
    </row>
    <row r="797" spans="1:22" ht="12.45" customHeight="1">
      <c r="A797" s="154">
        <v>722</v>
      </c>
      <c r="B797" s="154">
        <v>0</v>
      </c>
      <c r="C797" s="154" t="str">
        <f>Table1[[#This Row],[inventory_id_head]]&amp;"-"&amp;Table1[[#This Row],[inventory_id_tail]]</f>
        <v>722-0</v>
      </c>
      <c r="D797" s="153" t="s">
        <v>653</v>
      </c>
      <c r="E797" s="153" t="s">
        <v>655</v>
      </c>
      <c r="F797" s="153" t="s">
        <v>655</v>
      </c>
      <c r="G797" s="133" t="str">
        <f t="shared" si="69"/>
        <v>NANA</v>
      </c>
      <c r="H797" s="153" t="s">
        <v>361</v>
      </c>
      <c r="I797" s="153"/>
      <c r="J797" s="153">
        <v>2023110201</v>
      </c>
      <c r="K797" s="155" t="s">
        <v>655</v>
      </c>
      <c r="L797" s="156">
        <v>1</v>
      </c>
      <c r="M797" s="153" t="s">
        <v>994</v>
      </c>
      <c r="N797" s="157">
        <f>Table1[[#This Row],[gross_weight]]-Table1[[#This Row],[tare_weight]]</f>
        <v>96</v>
      </c>
      <c r="O797" s="136">
        <v>366</v>
      </c>
      <c r="P797" s="136">
        <v>270</v>
      </c>
      <c r="Q797" s="205">
        <f>Table1[[#This Row],[number_of_unit]]*Table1[[#This Row],[net_weight_per_unit]]</f>
        <v>96</v>
      </c>
      <c r="R797" s="153"/>
      <c r="S797" s="158">
        <v>45779</v>
      </c>
      <c r="T797" s="153" t="s">
        <v>978</v>
      </c>
      <c r="U797" s="139" t="str">
        <f t="shared" si="67"/>
        <v>_extract_distillate_bulk</v>
      </c>
      <c r="V797" s="140" t="str">
        <f>IF(U797="_","",_xlfn.XLOOKUP(U797,internal_cansku_inventory!D:D,internal_cansku_inventory!E:E,"",0,1))</f>
        <v/>
      </c>
    </row>
    <row r="798" spans="1:22" ht="12.45" customHeight="1">
      <c r="A798" s="154">
        <v>734</v>
      </c>
      <c r="B798" s="154">
        <v>3</v>
      </c>
      <c r="C798" s="154" t="str">
        <f>Table1[[#This Row],[inventory_id_head]]&amp;"-"&amp;Table1[[#This Row],[inventory_id_tail]]</f>
        <v>734-3</v>
      </c>
      <c r="D798" s="153" t="s">
        <v>653</v>
      </c>
      <c r="E798" s="153" t="s">
        <v>1590</v>
      </c>
      <c r="F798" s="153" t="s">
        <v>655</v>
      </c>
      <c r="G798" s="133" t="str">
        <f t="shared" si="69"/>
        <v>T070DFNA</v>
      </c>
      <c r="H798" s="153" t="s">
        <v>314</v>
      </c>
      <c r="I798" s="153"/>
      <c r="J798" s="153" t="s">
        <v>1591</v>
      </c>
      <c r="K798" s="155">
        <v>45721</v>
      </c>
      <c r="L798" s="156">
        <v>3</v>
      </c>
      <c r="M798" s="153" t="s">
        <v>858</v>
      </c>
      <c r="N798" s="157">
        <v>7</v>
      </c>
      <c r="O798" s="157">
        <v>0</v>
      </c>
      <c r="P798" s="157">
        <v>0</v>
      </c>
      <c r="Q798" s="205">
        <f t="shared" ref="Q798:Q822" si="70">L798*N798</f>
        <v>21</v>
      </c>
      <c r="R798" s="153"/>
      <c r="S798" s="158">
        <v>45779</v>
      </c>
      <c r="T798" s="153" t="s">
        <v>1572</v>
      </c>
      <c r="U798" s="139" t="str">
        <f t="shared" si="67"/>
        <v>_driedflower_labelled</v>
      </c>
      <c r="V798" s="140" t="str">
        <f>IF(U798="_","",_xlfn.XLOOKUP(U798,internal_cansku_inventory!D:D,internal_cansku_inventory!E:E,"",0,1))</f>
        <v/>
      </c>
    </row>
    <row r="799" spans="1:22" ht="12.45" customHeight="1">
      <c r="A799" s="154">
        <v>741</v>
      </c>
      <c r="B799" s="132">
        <v>3</v>
      </c>
      <c r="C799" s="132" t="str">
        <f>Table1[[#This Row],[inventory_id_head]]&amp;"-"&amp;Table1[[#This Row],[inventory_id_tail]]</f>
        <v>741-3</v>
      </c>
      <c r="D799" s="153" t="s">
        <v>653</v>
      </c>
      <c r="E799" s="133" t="s">
        <v>1697</v>
      </c>
      <c r="F799" s="153" t="s">
        <v>204</v>
      </c>
      <c r="G799" s="133" t="str">
        <f t="shared" si="69"/>
        <v>P005DFNA</v>
      </c>
      <c r="H799" s="153" t="s">
        <v>1698</v>
      </c>
      <c r="I799" s="153"/>
      <c r="J799" s="153" t="s">
        <v>1699</v>
      </c>
      <c r="K799" s="155" t="s">
        <v>204</v>
      </c>
      <c r="L799" s="156">
        <v>1</v>
      </c>
      <c r="M799" s="153" t="s">
        <v>994</v>
      </c>
      <c r="N799" s="157">
        <f>Table1[[#This Row],[gross_weight]]-Table1[[#This Row],[tare_weight]]</f>
        <v>621</v>
      </c>
      <c r="O799" s="136">
        <v>2386</v>
      </c>
      <c r="P799" s="136">
        <v>1765</v>
      </c>
      <c r="Q799" s="205">
        <f t="shared" si="70"/>
        <v>621</v>
      </c>
      <c r="R799" s="133" t="s">
        <v>1580</v>
      </c>
      <c r="S799" s="158">
        <v>45779</v>
      </c>
      <c r="T799" s="153" t="s">
        <v>978</v>
      </c>
      <c r="U799" s="139" t="str">
        <f t="shared" si="67"/>
        <v>_diredflower_milled_bulk_Rohan</v>
      </c>
      <c r="V799" s="140" t="str">
        <f>IF(U799="_","",_xlfn.XLOOKUP(U799,internal_cansku_inventory!D:D,internal_cansku_inventory!E:E,"",0,1))</f>
        <v/>
      </c>
    </row>
    <row r="800" spans="1:22" ht="12.45" customHeight="1">
      <c r="A800" s="132">
        <v>742</v>
      </c>
      <c r="B800" s="132">
        <v>1</v>
      </c>
      <c r="C800" s="132" t="str">
        <f>Table1[[#This Row],[inventory_id_head]]&amp;"-"&amp;Table1[[#This Row],[inventory_id_tail]]</f>
        <v>742-1</v>
      </c>
      <c r="D800" s="153" t="s">
        <v>653</v>
      </c>
      <c r="E800" s="133" t="s">
        <v>1700</v>
      </c>
      <c r="F800" s="153" t="s">
        <v>204</v>
      </c>
      <c r="G800" s="133" t="str">
        <f t="shared" si="69"/>
        <v>T161EXNA</v>
      </c>
      <c r="H800" s="133" t="s">
        <v>1674</v>
      </c>
      <c r="I800" s="133"/>
      <c r="J800" s="133" t="s">
        <v>1676</v>
      </c>
      <c r="K800" s="134">
        <v>45772</v>
      </c>
      <c r="L800" s="135">
        <v>480</v>
      </c>
      <c r="M800" s="153" t="s">
        <v>858</v>
      </c>
      <c r="N800" s="157">
        <v>1</v>
      </c>
      <c r="O800" s="136">
        <v>0</v>
      </c>
      <c r="P800" s="136">
        <v>0</v>
      </c>
      <c r="Q800" s="205">
        <f t="shared" si="70"/>
        <v>480</v>
      </c>
      <c r="R800" s="133"/>
      <c r="S800" s="158">
        <v>45779</v>
      </c>
      <c r="T800" s="153" t="s">
        <v>1572</v>
      </c>
      <c r="U800" s="139" t="str">
        <f t="shared" si="67"/>
        <v>_extract_inhaled_labelled_Rohan</v>
      </c>
      <c r="V800" s="140" t="str">
        <f>IF(U800="_","",_xlfn.XLOOKUP(U800,internal_cansku_inventory!D:D,internal_cansku_inventory!E:E,"",0,1))</f>
        <v/>
      </c>
    </row>
    <row r="801" spans="1:22" ht="12.45" customHeight="1">
      <c r="A801" s="132">
        <v>744</v>
      </c>
      <c r="B801" s="154">
        <v>4</v>
      </c>
      <c r="C801" s="154" t="str">
        <f>Table1[[#This Row],[inventory_id_head]]&amp;"-"&amp;Table1[[#This Row],[inventory_id_tail]]</f>
        <v>744-4</v>
      </c>
      <c r="D801" s="153" t="s">
        <v>653</v>
      </c>
      <c r="E801" s="153" t="s">
        <v>1701</v>
      </c>
      <c r="F801" s="153" t="s">
        <v>1564</v>
      </c>
      <c r="G801" s="133" t="str">
        <f t="shared" si="69"/>
        <v>T043PRB02</v>
      </c>
      <c r="H801" s="153" t="s">
        <v>368</v>
      </c>
      <c r="I801" s="153"/>
      <c r="J801" s="153" t="s">
        <v>1702</v>
      </c>
      <c r="K801" s="134" t="s">
        <v>204</v>
      </c>
      <c r="L801" s="135">
        <v>44</v>
      </c>
      <c r="M801" s="153" t="s">
        <v>858</v>
      </c>
      <c r="N801" s="157">
        <v>0.5</v>
      </c>
      <c r="O801" s="136">
        <v>0</v>
      </c>
      <c r="P801" s="136">
        <v>0</v>
      </c>
      <c r="Q801" s="205">
        <f t="shared" si="70"/>
        <v>22</v>
      </c>
      <c r="R801" s="133"/>
      <c r="S801" s="158">
        <v>45779</v>
      </c>
      <c r="T801" s="153" t="s">
        <v>1572</v>
      </c>
      <c r="U801" s="139" t="str">
        <f t="shared" si="67"/>
        <v>_preroll_bulk</v>
      </c>
      <c r="V801" s="140" t="str">
        <f>IF(U801="_","",_xlfn.XLOOKUP(U801,internal_cansku_inventory!D:D,internal_cansku_inventory!E:E,"",0,1))</f>
        <v/>
      </c>
    </row>
    <row r="802" spans="1:22" ht="12.45" customHeight="1">
      <c r="A802" s="154">
        <v>749</v>
      </c>
      <c r="B802" s="154">
        <v>1</v>
      </c>
      <c r="C802" s="154" t="str">
        <f>Table1[[#This Row],[inventory_id_head]]&amp;"-"&amp;Table1[[#This Row],[inventory_id_tail]]</f>
        <v>749-1</v>
      </c>
      <c r="D802" s="153" t="s">
        <v>680</v>
      </c>
      <c r="E802" s="153" t="s">
        <v>1703</v>
      </c>
      <c r="F802" s="153" t="s">
        <v>204</v>
      </c>
      <c r="G802" s="133" t="str">
        <f t="shared" si="69"/>
        <v>P015EXNA</v>
      </c>
      <c r="H802" s="153" t="s">
        <v>351</v>
      </c>
      <c r="I802" s="153"/>
      <c r="J802" s="153" t="s">
        <v>1644</v>
      </c>
      <c r="K802" s="155" t="s">
        <v>204</v>
      </c>
      <c r="L802" s="156">
        <v>1</v>
      </c>
      <c r="M802" s="153" t="s">
        <v>994</v>
      </c>
      <c r="N802" s="157">
        <f>Table1[[#This Row],[gross_weight]]-Table1[[#This Row],[tare_weight]]</f>
        <v>8010</v>
      </c>
      <c r="O802" s="136">
        <v>9965</v>
      </c>
      <c r="P802" s="136">
        <v>1955</v>
      </c>
      <c r="Q802" s="205">
        <f t="shared" si="70"/>
        <v>8010</v>
      </c>
      <c r="R802" s="153"/>
      <c r="S802" s="158">
        <v>45779</v>
      </c>
      <c r="T802" s="153" t="s">
        <v>978</v>
      </c>
      <c r="U802" s="139" t="str">
        <f t="shared" si="67"/>
        <v>_extract_ingested_bulk</v>
      </c>
      <c r="V802" s="140" t="str">
        <f>IF(U802="_","",_xlfn.XLOOKUP(U802,internal_cansku_inventory!D:D,internal_cansku_inventory!E:E,"",0,1))</f>
        <v/>
      </c>
    </row>
    <row r="803" spans="1:22" ht="12.45" customHeight="1">
      <c r="A803" s="154">
        <v>751</v>
      </c>
      <c r="B803" s="154">
        <v>2</v>
      </c>
      <c r="C803" s="154" t="str">
        <f>Table1[[#This Row],[inventory_id_head]]&amp;"-"&amp;Table1[[#This Row],[inventory_id_tail]]</f>
        <v>751-2</v>
      </c>
      <c r="D803" s="153" t="s">
        <v>653</v>
      </c>
      <c r="E803" s="153" t="s">
        <v>1704</v>
      </c>
      <c r="F803" s="153" t="s">
        <v>204</v>
      </c>
      <c r="G803" s="133" t="str">
        <f t="shared" si="69"/>
        <v>T162EXNA</v>
      </c>
      <c r="H803" s="153" t="s">
        <v>328</v>
      </c>
      <c r="I803" s="153"/>
      <c r="J803" s="153" t="s">
        <v>614</v>
      </c>
      <c r="K803" s="155">
        <v>45756</v>
      </c>
      <c r="L803" s="156">
        <v>254</v>
      </c>
      <c r="M803" s="153" t="s">
        <v>858</v>
      </c>
      <c r="N803" s="157">
        <v>0.5</v>
      </c>
      <c r="O803" s="136">
        <v>0</v>
      </c>
      <c r="P803" s="136">
        <v>0</v>
      </c>
      <c r="Q803" s="205">
        <f t="shared" si="70"/>
        <v>127</v>
      </c>
      <c r="R803" s="153"/>
      <c r="S803" s="158">
        <v>45779</v>
      </c>
      <c r="T803" s="153" t="s">
        <v>1572</v>
      </c>
      <c r="U803" s="139" t="str">
        <f t="shared" si="67"/>
        <v>_extract_inhaled_labelled</v>
      </c>
      <c r="V803" s="140" t="str">
        <f>IF(U803="_","",_xlfn.XLOOKUP(U803,internal_cansku_inventory!D:D,internal_cansku_inventory!E:E,"",0,1))</f>
        <v/>
      </c>
    </row>
    <row r="804" spans="1:22" ht="12.45" customHeight="1">
      <c r="A804" s="154">
        <v>753</v>
      </c>
      <c r="B804" s="154">
        <v>0</v>
      </c>
      <c r="C804" s="154" t="str">
        <f>Table1[[#This Row],[inventory_id_head]]&amp;"-"&amp;Table1[[#This Row],[inventory_id_tail]]</f>
        <v>753-0</v>
      </c>
      <c r="D804" s="153" t="s">
        <v>653</v>
      </c>
      <c r="E804" s="153" t="s">
        <v>1705</v>
      </c>
      <c r="F804" s="153" t="s">
        <v>204</v>
      </c>
      <c r="G804" s="133" t="str">
        <f t="shared" si="69"/>
        <v>T068PRNA</v>
      </c>
      <c r="H804" s="153" t="s">
        <v>308</v>
      </c>
      <c r="I804" s="153"/>
      <c r="J804" s="153" t="s">
        <v>1706</v>
      </c>
      <c r="K804" s="155">
        <v>45770</v>
      </c>
      <c r="L804" s="156">
        <v>69</v>
      </c>
      <c r="M804" s="153" t="s">
        <v>858</v>
      </c>
      <c r="N804" s="157">
        <v>1.5</v>
      </c>
      <c r="O804" s="136">
        <v>0</v>
      </c>
      <c r="P804" s="136">
        <v>0</v>
      </c>
      <c r="Q804" s="205">
        <f t="shared" si="70"/>
        <v>103.5</v>
      </c>
      <c r="R804" s="153"/>
      <c r="S804" s="158">
        <v>45779</v>
      </c>
      <c r="T804" s="153" t="s">
        <v>1572</v>
      </c>
      <c r="U804" s="139" t="str">
        <f t="shared" si="67"/>
        <v>_preroll_labelled</v>
      </c>
      <c r="V804" s="140" t="str">
        <f>IF(U804="_","",_xlfn.XLOOKUP(U804,internal_cansku_inventory!D:D,internal_cansku_inventory!E:E,"",0,1))</f>
        <v/>
      </c>
    </row>
    <row r="805" spans="1:22" ht="12.45" customHeight="1">
      <c r="A805" s="154">
        <v>754</v>
      </c>
      <c r="B805" s="154">
        <v>1</v>
      </c>
      <c r="C805" s="154" t="str">
        <f>Table1[[#This Row],[inventory_id_head]]&amp;"-"&amp;Table1[[#This Row],[inventory_id_tail]]</f>
        <v>754-1</v>
      </c>
      <c r="D805" s="153" t="s">
        <v>653</v>
      </c>
      <c r="E805" s="153" t="s">
        <v>867</v>
      </c>
      <c r="F805" s="153" t="s">
        <v>868</v>
      </c>
      <c r="G805" s="133" t="str">
        <f t="shared" si="69"/>
        <v>RACK_BGRID_2</v>
      </c>
      <c r="H805" s="153" t="s">
        <v>308</v>
      </c>
      <c r="I805" s="153"/>
      <c r="J805" s="153" t="s">
        <v>612</v>
      </c>
      <c r="K805" s="155">
        <v>45756</v>
      </c>
      <c r="L805" s="156">
        <v>1</v>
      </c>
      <c r="M805" s="153" t="s">
        <v>858</v>
      </c>
      <c r="N805" s="157">
        <v>1.5</v>
      </c>
      <c r="O805" s="136">
        <v>0</v>
      </c>
      <c r="P805" s="136">
        <v>0</v>
      </c>
      <c r="Q805" s="205">
        <f t="shared" si="70"/>
        <v>1.5</v>
      </c>
      <c r="R805" s="153"/>
      <c r="S805" s="158">
        <v>45779</v>
      </c>
      <c r="T805" s="153" t="s">
        <v>1572</v>
      </c>
      <c r="U805" s="139" t="str">
        <f t="shared" si="67"/>
        <v>_preroll_labelled</v>
      </c>
      <c r="V805" s="140" t="str">
        <f>IF(U805="_","",_xlfn.XLOOKUP(U805,internal_cansku_inventory!D:D,internal_cansku_inventory!E:E,"",0,1))</f>
        <v/>
      </c>
    </row>
    <row r="806" spans="1:22" ht="12.45" customHeight="1">
      <c r="A806" s="132">
        <v>754</v>
      </c>
      <c r="B806" s="132">
        <v>2</v>
      </c>
      <c r="C806" s="132" t="str">
        <f>Table1[[#This Row],[inventory_id_head]]&amp;"-"&amp;Table1[[#This Row],[inventory_id_tail]]</f>
        <v>754-2</v>
      </c>
      <c r="D806" s="153" t="s">
        <v>653</v>
      </c>
      <c r="E806" s="153" t="s">
        <v>867</v>
      </c>
      <c r="F806" s="153" t="s">
        <v>868</v>
      </c>
      <c r="G806" s="133" t="str">
        <f t="shared" si="69"/>
        <v>RACK_BGRID_2</v>
      </c>
      <c r="H806" s="153" t="s">
        <v>375</v>
      </c>
      <c r="I806" s="153"/>
      <c r="J806" s="153" t="s">
        <v>612</v>
      </c>
      <c r="K806" s="155" t="s">
        <v>204</v>
      </c>
      <c r="L806" s="135">
        <v>21</v>
      </c>
      <c r="M806" s="153" t="s">
        <v>858</v>
      </c>
      <c r="N806" s="157">
        <v>1.5</v>
      </c>
      <c r="O806" s="136">
        <v>0</v>
      </c>
      <c r="P806" s="136">
        <v>0</v>
      </c>
      <c r="Q806" s="205">
        <f t="shared" si="70"/>
        <v>31.5</v>
      </c>
      <c r="R806" s="153"/>
      <c r="S806" s="158">
        <v>45779</v>
      </c>
      <c r="T806" s="153" t="s">
        <v>1572</v>
      </c>
      <c r="U806" s="139" t="str">
        <f t="shared" si="67"/>
        <v>_preroll_packaged</v>
      </c>
      <c r="V806" s="140" t="str">
        <f>IF(U806="_","",_xlfn.XLOOKUP(U806,internal_cansku_inventory!D:D,internal_cansku_inventory!E:E,"",0,1))</f>
        <v/>
      </c>
    </row>
    <row r="807" spans="1:22" ht="12.45" customHeight="1">
      <c r="A807" s="132">
        <v>755</v>
      </c>
      <c r="B807" s="132">
        <v>0</v>
      </c>
      <c r="C807" s="132" t="str">
        <f>Table1[[#This Row],[inventory_id_head]]&amp;"-"&amp;Table1[[#This Row],[inventory_id_tail]]</f>
        <v>755-0</v>
      </c>
      <c r="D807" s="153" t="s">
        <v>653</v>
      </c>
      <c r="E807" s="153" t="s">
        <v>204</v>
      </c>
      <c r="F807" s="153" t="s">
        <v>204</v>
      </c>
      <c r="G807" s="133" t="str">
        <f t="shared" si="69"/>
        <v>NANA</v>
      </c>
      <c r="H807" s="153" t="s">
        <v>356</v>
      </c>
      <c r="I807" s="153"/>
      <c r="J807" s="153" t="s">
        <v>1707</v>
      </c>
      <c r="K807" s="155" t="s">
        <v>204</v>
      </c>
      <c r="L807" s="135">
        <v>1</v>
      </c>
      <c r="M807" s="153" t="s">
        <v>994</v>
      </c>
      <c r="N807" s="157">
        <f>Table1[[#This Row],[gross_weight]]-Table1[[#This Row],[tare_weight]]</f>
        <v>1594</v>
      </c>
      <c r="O807" s="136">
        <v>3358</v>
      </c>
      <c r="P807" s="136">
        <v>1764</v>
      </c>
      <c r="Q807" s="205">
        <f t="shared" si="70"/>
        <v>1594</v>
      </c>
      <c r="R807" s="153"/>
      <c r="S807" s="158">
        <v>45779</v>
      </c>
      <c r="T807" s="153" t="s">
        <v>1572</v>
      </c>
      <c r="U807" s="139" t="str">
        <f t="shared" si="67"/>
        <v>_driedflower_milled_bulk</v>
      </c>
      <c r="V807" s="140" t="str">
        <f>IF(U807="_","",_xlfn.XLOOKUP(U807,internal_cansku_inventory!D:D,internal_cansku_inventory!E:E,"",0,1))</f>
        <v/>
      </c>
    </row>
    <row r="808" spans="1:22" ht="12.45" customHeight="1">
      <c r="A808" s="154">
        <v>756</v>
      </c>
      <c r="B808" s="154">
        <v>1</v>
      </c>
      <c r="C808" s="154" t="str">
        <f>Table1[[#This Row],[inventory_id_head]]&amp;"-"&amp;Table1[[#This Row],[inventory_id_tail]]</f>
        <v>756-1</v>
      </c>
      <c r="D808" s="153" t="s">
        <v>653</v>
      </c>
      <c r="E808" s="153" t="s">
        <v>1708</v>
      </c>
      <c r="F808" s="153" t="s">
        <v>204</v>
      </c>
      <c r="G808" s="133" t="str">
        <f t="shared" si="69"/>
        <v>T070PRNA</v>
      </c>
      <c r="H808" s="153" t="s">
        <v>308</v>
      </c>
      <c r="I808" s="153"/>
      <c r="J808" s="133" t="s">
        <v>1709</v>
      </c>
      <c r="K808" s="134">
        <v>45772</v>
      </c>
      <c r="L808" s="135">
        <v>68</v>
      </c>
      <c r="M808" s="153" t="s">
        <v>858</v>
      </c>
      <c r="N808" s="136">
        <v>5</v>
      </c>
      <c r="O808" s="136">
        <v>0</v>
      </c>
      <c r="P808" s="136">
        <v>0</v>
      </c>
      <c r="Q808" s="205">
        <f t="shared" si="70"/>
        <v>340</v>
      </c>
      <c r="R808" s="153"/>
      <c r="S808" s="158">
        <v>45779</v>
      </c>
      <c r="T808" s="153" t="s">
        <v>1572</v>
      </c>
      <c r="U808" s="139" t="str">
        <f t="shared" si="67"/>
        <v>_preroll_labelled</v>
      </c>
      <c r="V808" s="140" t="str">
        <f>IF(U808="_","",_xlfn.XLOOKUP(U808,internal_cansku_inventory!D:D,internal_cansku_inventory!E:E,"",0,1))</f>
        <v/>
      </c>
    </row>
    <row r="809" spans="1:22" ht="12.45" customHeight="1">
      <c r="A809" s="154">
        <v>757</v>
      </c>
      <c r="B809" s="154">
        <v>0</v>
      </c>
      <c r="C809" s="154" t="str">
        <f>Table1[[#This Row],[inventory_id_head]]&amp;"-"&amp;Table1[[#This Row],[inventory_id_tail]]</f>
        <v>757-0</v>
      </c>
      <c r="D809" s="153" t="s">
        <v>653</v>
      </c>
      <c r="E809" s="153" t="s">
        <v>1710</v>
      </c>
      <c r="F809" s="153" t="s">
        <v>204</v>
      </c>
      <c r="G809" s="133" t="str">
        <f t="shared" si="69"/>
        <v>T071PRNA</v>
      </c>
      <c r="H809" s="153" t="s">
        <v>308</v>
      </c>
      <c r="I809" s="153"/>
      <c r="J809" s="153" t="s">
        <v>1637</v>
      </c>
      <c r="K809" s="155">
        <v>45772</v>
      </c>
      <c r="L809" s="156">
        <v>276</v>
      </c>
      <c r="M809" s="153" t="s">
        <v>858</v>
      </c>
      <c r="N809" s="157">
        <v>2</v>
      </c>
      <c r="O809" s="136">
        <v>0</v>
      </c>
      <c r="P809" s="136">
        <v>0</v>
      </c>
      <c r="Q809" s="205">
        <f t="shared" si="70"/>
        <v>552</v>
      </c>
      <c r="R809" s="153"/>
      <c r="S809" s="158">
        <v>45779</v>
      </c>
      <c r="T809" s="153" t="s">
        <v>1572</v>
      </c>
      <c r="U809" s="139" t="str">
        <f t="shared" si="67"/>
        <v>_preroll_labelled</v>
      </c>
      <c r="V809" s="140" t="str">
        <f>IF(U809="_","",_xlfn.XLOOKUP(U809,internal_cansku_inventory!D:D,internal_cansku_inventory!E:E,"",0,1))</f>
        <v/>
      </c>
    </row>
    <row r="810" spans="1:22" ht="12.45" customHeight="1">
      <c r="A810" s="132">
        <v>758</v>
      </c>
      <c r="B810" s="132">
        <v>0</v>
      </c>
      <c r="C810" s="132" t="str">
        <f>Table1[[#This Row],[inventory_id_head]]&amp;"-"&amp;Table1[[#This Row],[inventory_id_tail]]</f>
        <v>758-0</v>
      </c>
      <c r="D810" s="153" t="s">
        <v>653</v>
      </c>
      <c r="E810" s="133" t="s">
        <v>1711</v>
      </c>
      <c r="F810" s="153" t="s">
        <v>204</v>
      </c>
      <c r="G810" s="133" t="str">
        <f t="shared" si="69"/>
        <v>T072PRNA</v>
      </c>
      <c r="H810" s="153" t="s">
        <v>308</v>
      </c>
      <c r="I810" s="133"/>
      <c r="J810" s="133" t="s">
        <v>1712</v>
      </c>
      <c r="K810" s="134">
        <v>45761</v>
      </c>
      <c r="L810" s="135">
        <v>92</v>
      </c>
      <c r="M810" s="153" t="s">
        <v>858</v>
      </c>
      <c r="N810" s="157">
        <v>1.5</v>
      </c>
      <c r="O810" s="136">
        <v>0</v>
      </c>
      <c r="P810" s="136">
        <v>0</v>
      </c>
      <c r="Q810" s="205">
        <f t="shared" si="70"/>
        <v>138</v>
      </c>
      <c r="R810" s="153"/>
      <c r="S810" s="158">
        <v>45779</v>
      </c>
      <c r="T810" s="153" t="s">
        <v>1572</v>
      </c>
      <c r="U810" s="139" t="str">
        <f t="shared" si="67"/>
        <v>_preroll_labelled</v>
      </c>
      <c r="V810" s="140" t="str">
        <f>IF(U810="_","",_xlfn.XLOOKUP(U810,internal_cansku_inventory!D:D,internal_cansku_inventory!E:E,"",0,1))</f>
        <v/>
      </c>
    </row>
    <row r="811" spans="1:22" ht="12.45" customHeight="1">
      <c r="A811" s="132">
        <v>752</v>
      </c>
      <c r="B811" s="132">
        <v>1</v>
      </c>
      <c r="C811" s="132" t="str">
        <f>Table1[[#This Row],[inventory_id_head]]&amp;"-"&amp;Table1[[#This Row],[inventory_id_tail]]</f>
        <v>752-1</v>
      </c>
      <c r="D811" s="153" t="s">
        <v>653</v>
      </c>
      <c r="E811" s="133" t="s">
        <v>1713</v>
      </c>
      <c r="F811" s="153" t="s">
        <v>204</v>
      </c>
      <c r="G811" s="133" t="str">
        <f t="shared" si="69"/>
        <v>T160EXNA</v>
      </c>
      <c r="H811" s="153" t="s">
        <v>304</v>
      </c>
      <c r="I811" s="133"/>
      <c r="J811" s="133" t="s">
        <v>1714</v>
      </c>
      <c r="K811" s="134">
        <v>45777</v>
      </c>
      <c r="L811" s="135">
        <v>30</v>
      </c>
      <c r="M811" s="153" t="s">
        <v>858</v>
      </c>
      <c r="N811" s="157">
        <v>27.3</v>
      </c>
      <c r="O811" s="136">
        <v>0</v>
      </c>
      <c r="P811" s="136">
        <v>0</v>
      </c>
      <c r="Q811" s="205">
        <f t="shared" si="70"/>
        <v>819</v>
      </c>
      <c r="R811" s="153"/>
      <c r="S811" s="158">
        <v>45779.568055555559</v>
      </c>
      <c r="T811" s="153" t="s">
        <v>1572</v>
      </c>
      <c r="U811" s="139" t="str">
        <f t="shared" si="67"/>
        <v>_extract_ingested_labelled</v>
      </c>
      <c r="V811" s="140" t="str">
        <f>IF(U811="_","",_xlfn.XLOOKUP(U811,internal_cansku_inventory!D:D,internal_cansku_inventory!E:E,"",0,1))</f>
        <v/>
      </c>
    </row>
    <row r="812" spans="1:22" ht="12.45" customHeight="1">
      <c r="A812" s="154">
        <v>752</v>
      </c>
      <c r="B812" s="154">
        <v>2</v>
      </c>
      <c r="C812" s="154" t="str">
        <f>Table1[[#This Row],[inventory_id_head]]&amp;"-"&amp;Table1[[#This Row],[inventory_id_tail]]</f>
        <v>752-2</v>
      </c>
      <c r="D812" s="153" t="s">
        <v>653</v>
      </c>
      <c r="E812" s="153" t="s">
        <v>1713</v>
      </c>
      <c r="F812" s="153" t="s">
        <v>204</v>
      </c>
      <c r="G812" s="133" t="str">
        <f t="shared" si="69"/>
        <v>T160EXNA</v>
      </c>
      <c r="H812" s="153" t="s">
        <v>304</v>
      </c>
      <c r="I812" s="153"/>
      <c r="J812" s="153" t="s">
        <v>1714</v>
      </c>
      <c r="K812" s="155">
        <v>45777</v>
      </c>
      <c r="L812" s="156">
        <v>84</v>
      </c>
      <c r="M812" s="153" t="s">
        <v>858</v>
      </c>
      <c r="N812" s="157">
        <v>27.3</v>
      </c>
      <c r="O812" s="136">
        <v>0</v>
      </c>
      <c r="P812" s="136">
        <v>0</v>
      </c>
      <c r="Q812" s="205">
        <f t="shared" si="70"/>
        <v>2293.2000000000003</v>
      </c>
      <c r="R812" s="153"/>
      <c r="S812" s="158">
        <v>45779.568055555559</v>
      </c>
      <c r="T812" s="153" t="s">
        <v>1572</v>
      </c>
      <c r="U812" s="139" t="str">
        <f t="shared" si="67"/>
        <v>_extract_ingested_labelled</v>
      </c>
      <c r="V812" s="140" t="str">
        <f>IF(U812="_","",_xlfn.XLOOKUP(U812,internal_cansku_inventory!D:D,internal_cansku_inventory!E:E,"",0,1))</f>
        <v/>
      </c>
    </row>
    <row r="813" spans="1:22" ht="12.45" customHeight="1">
      <c r="A813" s="154">
        <v>752</v>
      </c>
      <c r="B813" s="154">
        <v>3</v>
      </c>
      <c r="C813" s="154" t="str">
        <f>Table1[[#This Row],[inventory_id_head]]&amp;"-"&amp;Table1[[#This Row],[inventory_id_tail]]</f>
        <v>752-3</v>
      </c>
      <c r="D813" s="153" t="s">
        <v>653</v>
      </c>
      <c r="E813" s="153" t="s">
        <v>1713</v>
      </c>
      <c r="F813" s="153" t="s">
        <v>204</v>
      </c>
      <c r="G813" s="133" t="str">
        <f t="shared" ref="G813:G844" si="71">E813&amp;F813</f>
        <v>T160EXNA</v>
      </c>
      <c r="H813" s="153" t="s">
        <v>304</v>
      </c>
      <c r="I813" s="153"/>
      <c r="J813" s="153" t="s">
        <v>1714</v>
      </c>
      <c r="K813" s="155">
        <v>45777</v>
      </c>
      <c r="L813" s="156">
        <v>84</v>
      </c>
      <c r="M813" s="153" t="s">
        <v>858</v>
      </c>
      <c r="N813" s="157">
        <v>27.3</v>
      </c>
      <c r="O813" s="157">
        <v>0</v>
      </c>
      <c r="P813" s="157">
        <v>0</v>
      </c>
      <c r="Q813" s="205">
        <f t="shared" si="70"/>
        <v>2293.2000000000003</v>
      </c>
      <c r="R813" s="153"/>
      <c r="S813" s="158">
        <v>45779.568055555559</v>
      </c>
      <c r="T813" s="153" t="s">
        <v>1572</v>
      </c>
      <c r="U813" s="139" t="str">
        <f t="shared" si="67"/>
        <v>_extract_ingested_labelled</v>
      </c>
      <c r="V813" s="140" t="str">
        <f>IF(U813="_","",_xlfn.XLOOKUP(U813,internal_cansku_inventory!D:D,internal_cansku_inventory!E:E,"",0,1))</f>
        <v/>
      </c>
    </row>
    <row r="814" spans="1:22" ht="12.45" customHeight="1">
      <c r="A814" s="154">
        <v>420</v>
      </c>
      <c r="B814" s="154">
        <v>0</v>
      </c>
      <c r="C814" s="154" t="str">
        <f>Table1[[#This Row],[inventory_id_head]]&amp;"-"&amp;Table1[[#This Row],[inventory_id_tail]]</f>
        <v>420-0</v>
      </c>
      <c r="D814" s="153" t="s">
        <v>653</v>
      </c>
      <c r="E814" s="153" t="s">
        <v>1715</v>
      </c>
      <c r="F814" s="153" t="s">
        <v>655</v>
      </c>
      <c r="G814" s="133" t="str">
        <f t="shared" si="71"/>
        <v>T009TPNA</v>
      </c>
      <c r="H814" s="153" t="s">
        <v>851</v>
      </c>
      <c r="I814" s="153"/>
      <c r="J814" s="153" t="s">
        <v>1131</v>
      </c>
      <c r="K814" s="155">
        <v>45569</v>
      </c>
      <c r="L814" s="271">
        <v>46</v>
      </c>
      <c r="M814" s="153" t="s">
        <v>858</v>
      </c>
      <c r="N814" s="157">
        <v>88</v>
      </c>
      <c r="O814" s="157">
        <v>0</v>
      </c>
      <c r="P814" s="157">
        <v>0</v>
      </c>
      <c r="Q814" s="205">
        <f t="shared" si="70"/>
        <v>4048</v>
      </c>
      <c r="R814" s="153"/>
      <c r="S814" s="158">
        <v>45783</v>
      </c>
      <c r="T814" s="153" t="s">
        <v>657</v>
      </c>
      <c r="U814" s="139" t="str">
        <f t="shared" si="67"/>
        <v>_topical_labelled</v>
      </c>
      <c r="V814" s="140" t="str">
        <f>IF(U814="_","",_xlfn.XLOOKUP(U814,internal_cansku_inventory!D:D,internal_cansku_inventory!E:E,"",0,1))</f>
        <v/>
      </c>
    </row>
    <row r="815" spans="1:22" ht="12.45" customHeight="1">
      <c r="A815" s="154">
        <v>745</v>
      </c>
      <c r="B815" s="154">
        <v>1</v>
      </c>
      <c r="C815" s="154" t="str">
        <f>Table1[[#This Row],[inventory_id_head]]&amp;"-"&amp;Table1[[#This Row],[inventory_id_tail]]</f>
        <v>745-1</v>
      </c>
      <c r="D815" s="153" t="s">
        <v>653</v>
      </c>
      <c r="E815" s="153" t="s">
        <v>1716</v>
      </c>
      <c r="F815" s="153" t="s">
        <v>655</v>
      </c>
      <c r="G815" s="133" t="str">
        <f t="shared" si="71"/>
        <v>T018TPNA</v>
      </c>
      <c r="H815" s="153" t="s">
        <v>303</v>
      </c>
      <c r="I815" s="153"/>
      <c r="J815" s="153" t="s">
        <v>1622</v>
      </c>
      <c r="K815" s="155">
        <v>45714</v>
      </c>
      <c r="L815" s="156">
        <v>59</v>
      </c>
      <c r="M815" s="153" t="s">
        <v>858</v>
      </c>
      <c r="N815" s="157">
        <v>88</v>
      </c>
      <c r="O815" s="157">
        <v>0</v>
      </c>
      <c r="P815" s="157">
        <v>0</v>
      </c>
      <c r="Q815" s="205">
        <f t="shared" si="70"/>
        <v>5192</v>
      </c>
      <c r="R815" s="153"/>
      <c r="S815" s="158">
        <v>45783.415972222225</v>
      </c>
      <c r="T815" s="153" t="s">
        <v>657</v>
      </c>
      <c r="U815" s="139" t="str">
        <f t="shared" si="67"/>
        <v>_topical_labelled</v>
      </c>
      <c r="V815" s="140" t="str">
        <f>IF(U815="_","",_xlfn.XLOOKUP(U815,internal_cansku_inventory!D:D,internal_cansku_inventory!E:E,"",0,1))</f>
        <v/>
      </c>
    </row>
    <row r="816" spans="1:22" ht="12.45" customHeight="1">
      <c r="A816" s="154">
        <v>743</v>
      </c>
      <c r="B816" s="154">
        <v>1</v>
      </c>
      <c r="C816" s="154" t="str">
        <f>Table1[[#This Row],[inventory_id_head]]&amp;"-"&amp;Table1[[#This Row],[inventory_id_tail]]</f>
        <v>743-1</v>
      </c>
      <c r="D816" s="153" t="s">
        <v>653</v>
      </c>
      <c r="E816" s="153" t="s">
        <v>1717</v>
      </c>
      <c r="F816" s="153" t="s">
        <v>655</v>
      </c>
      <c r="G816" s="133" t="str">
        <f t="shared" si="71"/>
        <v>P017EXNA</v>
      </c>
      <c r="H816" s="153" t="s">
        <v>1586</v>
      </c>
      <c r="I816" s="153"/>
      <c r="J816" s="153" t="s">
        <v>1588</v>
      </c>
      <c r="K816" s="155" t="s">
        <v>204</v>
      </c>
      <c r="L816" s="156">
        <v>1</v>
      </c>
      <c r="M816" s="153" t="s">
        <v>994</v>
      </c>
      <c r="N816" s="157">
        <f>Table1[[#This Row],[gross_weight]]-Table1[[#This Row],[tare_weight]]</f>
        <v>2000</v>
      </c>
      <c r="O816" s="157">
        <v>4450</v>
      </c>
      <c r="P816" s="157">
        <v>2450</v>
      </c>
      <c r="Q816" s="205">
        <f t="shared" si="70"/>
        <v>2000</v>
      </c>
      <c r="R816" s="153" t="s">
        <v>1718</v>
      </c>
      <c r="S816" s="158">
        <v>45784</v>
      </c>
      <c r="T816" s="153" t="s">
        <v>978</v>
      </c>
      <c r="U816" s="139" t="str">
        <f t="shared" si="67"/>
        <v>_extract_inhaled_bulk_Rohan</v>
      </c>
      <c r="V816" s="140" t="str">
        <f>IF(U816="_","",_xlfn.XLOOKUP(U816,internal_cansku_inventory!D:D,internal_cansku_inventory!E:E,"",0,1))</f>
        <v/>
      </c>
    </row>
    <row r="817" spans="1:22" ht="12.45" customHeight="1">
      <c r="A817" s="154">
        <v>759</v>
      </c>
      <c r="B817" s="154">
        <v>0</v>
      </c>
      <c r="C817" s="154" t="str">
        <f>Table1[[#This Row],[inventory_id_head]]&amp;"-"&amp;Table1[[#This Row],[inventory_id_tail]]</f>
        <v>759-0</v>
      </c>
      <c r="D817" s="153" t="s">
        <v>653</v>
      </c>
      <c r="E817" s="153" t="s">
        <v>1719</v>
      </c>
      <c r="F817" s="153" t="s">
        <v>655</v>
      </c>
      <c r="G817" s="133" t="str">
        <f t="shared" si="71"/>
        <v>T074DFNA</v>
      </c>
      <c r="H817" s="153" t="s">
        <v>1578</v>
      </c>
      <c r="I817" s="153"/>
      <c r="J817" s="153">
        <v>2025050501</v>
      </c>
      <c r="K817" s="155" t="s">
        <v>204</v>
      </c>
      <c r="L817" s="156">
        <v>1</v>
      </c>
      <c r="M817" s="153" t="s">
        <v>1563</v>
      </c>
      <c r="N817" s="157">
        <f>Table1[[#This Row],[gross_weight]]-Table1[[#This Row],[tare_weight]]</f>
        <v>3000</v>
      </c>
      <c r="O817" s="157">
        <v>3074</v>
      </c>
      <c r="P817" s="157">
        <v>74</v>
      </c>
      <c r="Q817" s="205">
        <f t="shared" si="70"/>
        <v>3000</v>
      </c>
      <c r="R817" s="153" t="s">
        <v>1487</v>
      </c>
      <c r="S817" s="158">
        <v>45784.415277777778</v>
      </c>
      <c r="T817" s="153" t="s">
        <v>978</v>
      </c>
      <c r="U817" s="139" t="str">
        <f t="shared" si="67"/>
        <v>_driedflower_bulk_Rohan</v>
      </c>
      <c r="V817" s="140" t="str">
        <f>IF(U817="_","",_xlfn.XLOOKUP(U817,internal_cansku_inventory!D:D,internal_cansku_inventory!E:E,"",0,1))</f>
        <v/>
      </c>
    </row>
    <row r="818" spans="1:22" ht="12.45" customHeight="1">
      <c r="A818" s="154">
        <v>759</v>
      </c>
      <c r="B818" s="154">
        <v>1</v>
      </c>
      <c r="C818" s="154" t="str">
        <f>Table1[[#This Row],[inventory_id_head]]&amp;"-"&amp;Table1[[#This Row],[inventory_id_tail]]</f>
        <v>759-1</v>
      </c>
      <c r="D818" s="153" t="s">
        <v>653</v>
      </c>
      <c r="E818" s="153" t="s">
        <v>1719</v>
      </c>
      <c r="F818" s="153" t="s">
        <v>655</v>
      </c>
      <c r="G818" s="133" t="str">
        <f t="shared" si="71"/>
        <v>T074DFNA</v>
      </c>
      <c r="H818" s="153" t="s">
        <v>1578</v>
      </c>
      <c r="I818" s="153"/>
      <c r="J818" s="153">
        <v>2025050501</v>
      </c>
      <c r="K818" s="155" t="s">
        <v>204</v>
      </c>
      <c r="L818" s="156">
        <v>1</v>
      </c>
      <c r="M818" s="153" t="s">
        <v>1563</v>
      </c>
      <c r="N818" s="157">
        <f>Table1[[#This Row],[gross_weight]]-Table1[[#This Row],[tare_weight]]</f>
        <v>3000</v>
      </c>
      <c r="O818" s="157">
        <v>3074</v>
      </c>
      <c r="P818" s="157">
        <v>74</v>
      </c>
      <c r="Q818" s="205">
        <f t="shared" si="70"/>
        <v>3000</v>
      </c>
      <c r="R818" s="153" t="s">
        <v>1720</v>
      </c>
      <c r="S818" s="158">
        <v>45784.415277777778</v>
      </c>
      <c r="T818" s="153" t="s">
        <v>978</v>
      </c>
      <c r="U818" s="139" t="str">
        <f t="shared" si="67"/>
        <v>_driedflower_bulk_Rohan</v>
      </c>
      <c r="V818" s="140" t="str">
        <f>IF(U818="_","",_xlfn.XLOOKUP(U818,internal_cansku_inventory!D:D,internal_cansku_inventory!E:E,"",0,1))</f>
        <v/>
      </c>
    </row>
    <row r="819" spans="1:22" ht="12.45" customHeight="1">
      <c r="A819" s="154">
        <v>759</v>
      </c>
      <c r="B819" s="154">
        <v>2</v>
      </c>
      <c r="C819" s="154" t="str">
        <f>Table1[[#This Row],[inventory_id_head]]&amp;"-"&amp;Table1[[#This Row],[inventory_id_tail]]</f>
        <v>759-2</v>
      </c>
      <c r="D819" s="153" t="s">
        <v>653</v>
      </c>
      <c r="E819" s="153" t="s">
        <v>1721</v>
      </c>
      <c r="F819" s="153" t="s">
        <v>655</v>
      </c>
      <c r="G819" s="133" t="str">
        <f t="shared" si="71"/>
        <v>T075DFNA</v>
      </c>
      <c r="H819" s="153" t="s">
        <v>1578</v>
      </c>
      <c r="I819" s="153"/>
      <c r="J819" s="153">
        <v>2025050501</v>
      </c>
      <c r="K819" s="155" t="s">
        <v>204</v>
      </c>
      <c r="L819" s="156">
        <v>1</v>
      </c>
      <c r="M819" s="153" t="s">
        <v>1563</v>
      </c>
      <c r="N819" s="157">
        <f>Table1[[#This Row],[gross_weight]]-Table1[[#This Row],[tare_weight]]</f>
        <v>1000</v>
      </c>
      <c r="O819" s="157">
        <v>1032</v>
      </c>
      <c r="P819" s="157">
        <v>32</v>
      </c>
      <c r="Q819" s="205">
        <f t="shared" si="70"/>
        <v>1000</v>
      </c>
      <c r="R819" s="153" t="s">
        <v>1722</v>
      </c>
      <c r="S819" s="158">
        <v>45784.415277777778</v>
      </c>
      <c r="T819" s="153" t="s">
        <v>978</v>
      </c>
      <c r="U819" s="139" t="str">
        <f t="shared" si="67"/>
        <v>_driedflower_bulk_Rohan</v>
      </c>
      <c r="V819" s="140" t="str">
        <f>IF(U819="_","",_xlfn.XLOOKUP(U819,internal_cansku_inventory!D:D,internal_cansku_inventory!E:E,"",0,1))</f>
        <v/>
      </c>
    </row>
    <row r="820" spans="1:22" ht="12.45" customHeight="1">
      <c r="A820" s="154">
        <v>759</v>
      </c>
      <c r="B820" s="154">
        <v>3</v>
      </c>
      <c r="C820" s="154" t="str">
        <f>Table1[[#This Row],[inventory_id_head]]&amp;"-"&amp;Table1[[#This Row],[inventory_id_tail]]</f>
        <v>759-3</v>
      </c>
      <c r="D820" s="153" t="s">
        <v>653</v>
      </c>
      <c r="E820" s="153" t="s">
        <v>1721</v>
      </c>
      <c r="F820" s="153" t="s">
        <v>655</v>
      </c>
      <c r="G820" s="133" t="str">
        <f t="shared" si="71"/>
        <v>T075DFNA</v>
      </c>
      <c r="H820" s="153" t="s">
        <v>1578</v>
      </c>
      <c r="I820" s="153"/>
      <c r="J820" s="153">
        <v>2025050501</v>
      </c>
      <c r="K820" s="155" t="s">
        <v>204</v>
      </c>
      <c r="L820" s="156">
        <v>1</v>
      </c>
      <c r="M820" s="153" t="s">
        <v>1563</v>
      </c>
      <c r="N820" s="157">
        <f>Table1[[#This Row],[gross_weight]]-Table1[[#This Row],[tare_weight]]</f>
        <v>1000</v>
      </c>
      <c r="O820" s="157">
        <v>1032</v>
      </c>
      <c r="P820" s="157">
        <v>32</v>
      </c>
      <c r="Q820" s="205">
        <f t="shared" si="70"/>
        <v>1000</v>
      </c>
      <c r="R820" s="153" t="s">
        <v>1722</v>
      </c>
      <c r="S820" s="158">
        <v>45784.415277777778</v>
      </c>
      <c r="T820" s="153" t="s">
        <v>978</v>
      </c>
      <c r="U820" s="139" t="str">
        <f t="shared" si="67"/>
        <v>_driedflower_bulk_Rohan</v>
      </c>
      <c r="V820" s="140" t="str">
        <f>IF(U820="_","",_xlfn.XLOOKUP(U820,internal_cansku_inventory!D:D,internal_cansku_inventory!E:E,"",0,1))</f>
        <v/>
      </c>
    </row>
    <row r="821" spans="1:22" ht="12.45" customHeight="1">
      <c r="A821" s="132">
        <v>759</v>
      </c>
      <c r="B821" s="132">
        <v>4</v>
      </c>
      <c r="C821" s="132" t="str">
        <f>Table1[[#This Row],[inventory_id_head]]&amp;"-"&amp;Table1[[#This Row],[inventory_id_tail]]</f>
        <v>759-4</v>
      </c>
      <c r="D821" s="133" t="s">
        <v>653</v>
      </c>
      <c r="E821" s="133" t="s">
        <v>1721</v>
      </c>
      <c r="F821" s="153" t="s">
        <v>655</v>
      </c>
      <c r="G821" s="133" t="str">
        <f t="shared" si="71"/>
        <v>T075DFNA</v>
      </c>
      <c r="H821" s="133" t="s">
        <v>1578</v>
      </c>
      <c r="I821" s="133"/>
      <c r="J821" s="133">
        <v>2025050501</v>
      </c>
      <c r="K821" s="134" t="s">
        <v>204</v>
      </c>
      <c r="L821" s="135">
        <v>1</v>
      </c>
      <c r="M821" s="133" t="s">
        <v>1563</v>
      </c>
      <c r="N821" s="136">
        <f>Table1[[#This Row],[gross_weight]]-Table1[[#This Row],[tare_weight]]</f>
        <v>1000</v>
      </c>
      <c r="O821" s="157">
        <v>1032</v>
      </c>
      <c r="P821" s="157">
        <v>32</v>
      </c>
      <c r="Q821" s="205">
        <f t="shared" si="70"/>
        <v>1000</v>
      </c>
      <c r="R821" s="153" t="s">
        <v>1722</v>
      </c>
      <c r="S821" s="158">
        <v>45784.415277777778</v>
      </c>
      <c r="T821" s="153" t="s">
        <v>978</v>
      </c>
      <c r="U821" s="139" t="str">
        <f t="shared" si="67"/>
        <v>_driedflower_bulk_Rohan</v>
      </c>
      <c r="V821" s="140" t="str">
        <f>IF(U821="_","",_xlfn.XLOOKUP(U821,internal_cansku_inventory!D:D,internal_cansku_inventory!E:E,"",0,1))</f>
        <v/>
      </c>
    </row>
    <row r="822" spans="1:22" ht="12.45" customHeight="1">
      <c r="A822" s="132">
        <v>759</v>
      </c>
      <c r="B822" s="132">
        <v>5</v>
      </c>
      <c r="C822" s="132" t="str">
        <f>Table1[[#This Row],[inventory_id_head]]&amp;"-"&amp;Table1[[#This Row],[inventory_id_tail]]</f>
        <v>759-5</v>
      </c>
      <c r="D822" s="133" t="s">
        <v>653</v>
      </c>
      <c r="E822" s="133" t="s">
        <v>1721</v>
      </c>
      <c r="F822" s="153" t="s">
        <v>655</v>
      </c>
      <c r="G822" s="133" t="str">
        <f t="shared" si="71"/>
        <v>T075DFNA</v>
      </c>
      <c r="H822" s="133" t="s">
        <v>1578</v>
      </c>
      <c r="I822" s="133"/>
      <c r="J822" s="133">
        <v>2025050501</v>
      </c>
      <c r="K822" s="134" t="s">
        <v>204</v>
      </c>
      <c r="L822" s="135">
        <v>1</v>
      </c>
      <c r="M822" s="133" t="s">
        <v>1563</v>
      </c>
      <c r="N822" s="136">
        <f>Table1[[#This Row],[gross_weight]]-Table1[[#This Row],[tare_weight]]</f>
        <v>1000</v>
      </c>
      <c r="O822" s="157">
        <v>1032</v>
      </c>
      <c r="P822" s="157">
        <v>32</v>
      </c>
      <c r="Q822" s="205">
        <f t="shared" si="70"/>
        <v>1000</v>
      </c>
      <c r="R822" s="153" t="s">
        <v>1722</v>
      </c>
      <c r="S822" s="158">
        <v>45784.415277777778</v>
      </c>
      <c r="T822" s="153" t="s">
        <v>978</v>
      </c>
      <c r="U822" s="139" t="str">
        <f t="shared" si="67"/>
        <v>_driedflower_bulk_Rohan</v>
      </c>
      <c r="V822" s="140" t="str">
        <f>IF(U822="_","",_xlfn.XLOOKUP(U822,internal_cansku_inventory!D:D,internal_cansku_inventory!E:E,"",0,1))</f>
        <v/>
      </c>
    </row>
    <row r="823" spans="1:22" ht="12.45" customHeight="1">
      <c r="A823" s="154">
        <v>646</v>
      </c>
      <c r="B823" s="154">
        <v>1</v>
      </c>
      <c r="C823" s="154" t="str">
        <f>Table1[[#This Row],[inventory_id_head]]&amp;"-"&amp;Table1[[#This Row],[inventory_id_tail]]</f>
        <v>646-1</v>
      </c>
      <c r="D823" s="153" t="s">
        <v>653</v>
      </c>
      <c r="E823" s="153" t="s">
        <v>1723</v>
      </c>
      <c r="F823" s="153" t="s">
        <v>655</v>
      </c>
      <c r="G823" s="133" t="str">
        <f t="shared" si="71"/>
        <v>P018EXNA</v>
      </c>
      <c r="H823" s="133" t="s">
        <v>361</v>
      </c>
      <c r="I823" s="153"/>
      <c r="J823" s="153">
        <v>2025050101</v>
      </c>
      <c r="K823" s="155" t="s">
        <v>655</v>
      </c>
      <c r="L823" s="156">
        <v>1</v>
      </c>
      <c r="M823" s="133" t="s">
        <v>994</v>
      </c>
      <c r="N823" s="136">
        <f>Table1[[#This Row],[gross_weight]]-Table1[[#This Row],[tare_weight]]</f>
        <v>5000</v>
      </c>
      <c r="O823" s="157">
        <v>6756</v>
      </c>
      <c r="P823" s="157">
        <f>6756-5000</f>
        <v>1756</v>
      </c>
      <c r="Q823" s="205">
        <f>Table1[[#This Row],[number_of_unit]]*Table1[[#This Row],[net_weight_per_unit]]</f>
        <v>5000</v>
      </c>
      <c r="R823" s="153"/>
      <c r="S823" s="158">
        <v>45784.465277777781</v>
      </c>
      <c r="T823" s="153" t="s">
        <v>978</v>
      </c>
      <c r="U823" s="139" t="str">
        <f t="shared" si="67"/>
        <v>_extract_distillate_bulk</v>
      </c>
      <c r="V823" s="140" t="str">
        <f>IF(U823="_","",_xlfn.XLOOKUP(U823,internal_cansku_inventory!D:D,internal_cansku_inventory!E:E,"",0,1))</f>
        <v/>
      </c>
    </row>
    <row r="824" spans="1:22" ht="12.45" customHeight="1">
      <c r="A824" s="154">
        <v>760</v>
      </c>
      <c r="B824" s="154">
        <v>0</v>
      </c>
      <c r="C824" s="154" t="str">
        <f>Table1[[#This Row],[inventory_id_head]]&amp;"-"&amp;Table1[[#This Row],[inventory_id_tail]]</f>
        <v>760-0</v>
      </c>
      <c r="D824" s="153" t="s">
        <v>653</v>
      </c>
      <c r="E824" s="153" t="s">
        <v>1724</v>
      </c>
      <c r="F824" s="153" t="s">
        <v>1331</v>
      </c>
      <c r="G824" s="133" t="str">
        <f t="shared" si="71"/>
        <v>T076DFB01</v>
      </c>
      <c r="H824" s="133" t="s">
        <v>343</v>
      </c>
      <c r="I824" s="153"/>
      <c r="J824" s="153">
        <v>2025042201</v>
      </c>
      <c r="K824" s="155" t="s">
        <v>204</v>
      </c>
      <c r="L824" s="156">
        <v>1</v>
      </c>
      <c r="M824" s="133" t="s">
        <v>1563</v>
      </c>
      <c r="N824" s="136">
        <f>Table1[[#This Row],[gross_weight]]-Table1[[#This Row],[tare_weight]]</f>
        <v>1000</v>
      </c>
      <c r="O824" s="157">
        <v>1058</v>
      </c>
      <c r="P824" s="157">
        <v>58</v>
      </c>
      <c r="Q824" s="205">
        <f>Table1[[#This Row],[number_of_unit]]*Table1[[#This Row],[net_weight_per_unit]]</f>
        <v>1000</v>
      </c>
      <c r="R824" s="153"/>
      <c r="S824" s="158">
        <v>45784.465277777781</v>
      </c>
      <c r="T824" s="153" t="s">
        <v>978</v>
      </c>
      <c r="U824" s="139" t="str">
        <f t="shared" si="67"/>
        <v>_driedflower_bulk_BURB</v>
      </c>
      <c r="V824" s="140" t="str">
        <f>IF(U824="_","",_xlfn.XLOOKUP(U824,internal_cansku_inventory!D:D,internal_cansku_inventory!E:E,"",0,1))</f>
        <v/>
      </c>
    </row>
    <row r="825" spans="1:22" ht="12.45" customHeight="1">
      <c r="A825" s="154">
        <v>760</v>
      </c>
      <c r="B825" s="154">
        <v>1</v>
      </c>
      <c r="C825" s="154" t="str">
        <f>Table1[[#This Row],[inventory_id_head]]&amp;"-"&amp;Table1[[#This Row],[inventory_id_tail]]</f>
        <v>760-1</v>
      </c>
      <c r="D825" s="153" t="s">
        <v>653</v>
      </c>
      <c r="E825" s="153" t="s">
        <v>1724</v>
      </c>
      <c r="F825" s="153" t="s">
        <v>1564</v>
      </c>
      <c r="G825" s="133" t="str">
        <f t="shared" si="71"/>
        <v>T076DFB02</v>
      </c>
      <c r="H825" s="133" t="s">
        <v>343</v>
      </c>
      <c r="I825" s="153"/>
      <c r="J825" s="153">
        <v>2025042201</v>
      </c>
      <c r="K825" s="155" t="s">
        <v>204</v>
      </c>
      <c r="L825" s="156">
        <v>1</v>
      </c>
      <c r="M825" s="153" t="s">
        <v>1563</v>
      </c>
      <c r="N825" s="157">
        <f>Table1[[#This Row],[gross_weight]]-Table1[[#This Row],[tare_weight]]</f>
        <v>1000</v>
      </c>
      <c r="O825" s="157">
        <v>1060</v>
      </c>
      <c r="P825" s="157">
        <v>60</v>
      </c>
      <c r="Q825" s="205">
        <f>Table1[[#This Row],[number_of_unit]]*Table1[[#This Row],[net_weight_per_unit]]</f>
        <v>1000</v>
      </c>
      <c r="R825" s="153"/>
      <c r="S825" s="158">
        <v>45784.465277777781</v>
      </c>
      <c r="T825" s="153" t="s">
        <v>978</v>
      </c>
      <c r="U825" s="139" t="str">
        <f t="shared" si="67"/>
        <v>_driedflower_bulk_BURB</v>
      </c>
      <c r="V825" s="140" t="str">
        <f>IF(U825="_","",_xlfn.XLOOKUP(U825,internal_cansku_inventory!D:D,internal_cansku_inventory!E:E,"",0,1))</f>
        <v/>
      </c>
    </row>
    <row r="826" spans="1:22" ht="12.45" customHeight="1">
      <c r="A826" s="132">
        <v>760</v>
      </c>
      <c r="B826" s="132">
        <v>2</v>
      </c>
      <c r="C826" s="132" t="str">
        <f>Table1[[#This Row],[inventory_id_head]]&amp;"-"&amp;Table1[[#This Row],[inventory_id_tail]]</f>
        <v>760-2</v>
      </c>
      <c r="D826" s="153" t="s">
        <v>653</v>
      </c>
      <c r="E826" s="153" t="s">
        <v>1724</v>
      </c>
      <c r="F826" s="153" t="s">
        <v>1565</v>
      </c>
      <c r="G826" s="133" t="str">
        <f t="shared" si="71"/>
        <v>T076DFB03</v>
      </c>
      <c r="H826" s="133" t="s">
        <v>343</v>
      </c>
      <c r="I826" s="153"/>
      <c r="J826" s="153">
        <v>2025042201</v>
      </c>
      <c r="K826" s="155" t="s">
        <v>204</v>
      </c>
      <c r="L826" s="156">
        <v>1</v>
      </c>
      <c r="M826" s="153" t="s">
        <v>1563</v>
      </c>
      <c r="N826" s="157">
        <f>Table1[[#This Row],[gross_weight]]-Table1[[#This Row],[tare_weight]]</f>
        <v>1100</v>
      </c>
      <c r="O826" s="157">
        <v>1198</v>
      </c>
      <c r="P826" s="157">
        <v>98</v>
      </c>
      <c r="Q826" s="205">
        <f>Table1[[#This Row],[number_of_unit]]*Table1[[#This Row],[net_weight_per_unit]]</f>
        <v>1100</v>
      </c>
      <c r="R826" s="153"/>
      <c r="S826" s="158">
        <v>45784.465277777781</v>
      </c>
      <c r="T826" s="153" t="s">
        <v>978</v>
      </c>
      <c r="U826" s="139" t="str">
        <f t="shared" si="67"/>
        <v>_driedflower_bulk_BURB</v>
      </c>
      <c r="V826" s="140" t="str">
        <f>IF(U826="_","",_xlfn.XLOOKUP(U826,internal_cansku_inventory!D:D,internal_cansku_inventory!E:E,"",0,1))</f>
        <v/>
      </c>
    </row>
    <row r="827" spans="1:22" ht="12.45" customHeight="1">
      <c r="A827" s="154">
        <v>760</v>
      </c>
      <c r="B827" s="154">
        <v>3</v>
      </c>
      <c r="C827" s="154" t="str">
        <f>Table1[[#This Row],[inventory_id_head]]&amp;"-"&amp;Table1[[#This Row],[inventory_id_tail]]</f>
        <v>760-3</v>
      </c>
      <c r="D827" s="153" t="s">
        <v>653</v>
      </c>
      <c r="E827" s="153" t="s">
        <v>1724</v>
      </c>
      <c r="F827" s="133" t="s">
        <v>1566</v>
      </c>
      <c r="G827" s="133" t="str">
        <f t="shared" si="71"/>
        <v>T076DFB04</v>
      </c>
      <c r="H827" s="153" t="s">
        <v>343</v>
      </c>
      <c r="I827" s="153"/>
      <c r="J827" s="153">
        <v>2025042201</v>
      </c>
      <c r="K827" s="155" t="s">
        <v>204</v>
      </c>
      <c r="L827" s="156">
        <v>1</v>
      </c>
      <c r="M827" s="153" t="s">
        <v>1563</v>
      </c>
      <c r="N827" s="157">
        <f>Table1[[#This Row],[gross_weight]]-Table1[[#This Row],[tare_weight]]</f>
        <v>1100</v>
      </c>
      <c r="O827" s="157">
        <v>1154</v>
      </c>
      <c r="P827" s="157">
        <v>54</v>
      </c>
      <c r="Q827" s="205">
        <f>Table1[[#This Row],[number_of_unit]]*Table1[[#This Row],[net_weight_per_unit]]</f>
        <v>1100</v>
      </c>
      <c r="R827" s="153"/>
      <c r="S827" s="158">
        <v>45784.465277777781</v>
      </c>
      <c r="T827" s="153" t="s">
        <v>978</v>
      </c>
      <c r="U827" s="139" t="str">
        <f t="shared" si="67"/>
        <v>_driedflower_bulk_BURB</v>
      </c>
      <c r="V827" s="140" t="str">
        <f>IF(U827="_","",_xlfn.XLOOKUP(U827,internal_cansku_inventory!D:D,internal_cansku_inventory!E:E,"",0,1))</f>
        <v/>
      </c>
    </row>
    <row r="828" spans="1:22" ht="12.45" customHeight="1">
      <c r="A828" s="154">
        <v>760</v>
      </c>
      <c r="B828" s="154">
        <v>4</v>
      </c>
      <c r="C828" s="154" t="str">
        <f>Table1[[#This Row],[inventory_id_head]]&amp;"-"&amp;Table1[[#This Row],[inventory_id_tail]]</f>
        <v>760-4</v>
      </c>
      <c r="D828" s="153" t="s">
        <v>653</v>
      </c>
      <c r="E828" s="153" t="s">
        <v>1724</v>
      </c>
      <c r="F828" s="133" t="s">
        <v>1567</v>
      </c>
      <c r="G828" s="133" t="str">
        <f t="shared" si="71"/>
        <v>T076DFB05</v>
      </c>
      <c r="H828" s="153" t="s">
        <v>343</v>
      </c>
      <c r="I828" s="153"/>
      <c r="J828" s="153">
        <v>2025042201</v>
      </c>
      <c r="K828" s="155" t="s">
        <v>204</v>
      </c>
      <c r="L828" s="156">
        <v>1</v>
      </c>
      <c r="M828" s="153" t="s">
        <v>1563</v>
      </c>
      <c r="N828" s="157">
        <f>Table1[[#This Row],[gross_weight]]-Table1[[#This Row],[tare_weight]]</f>
        <v>1000</v>
      </c>
      <c r="O828" s="157">
        <v>1058</v>
      </c>
      <c r="P828" s="157">
        <v>58</v>
      </c>
      <c r="Q828" s="205">
        <f>Table1[[#This Row],[number_of_unit]]*Table1[[#This Row],[net_weight_per_unit]]</f>
        <v>1000</v>
      </c>
      <c r="R828" s="153"/>
      <c r="S828" s="158">
        <v>45784.465277777781</v>
      </c>
      <c r="T828" s="153" t="s">
        <v>978</v>
      </c>
      <c r="U828" s="139" t="str">
        <f t="shared" si="67"/>
        <v>_driedflower_bulk_BURB</v>
      </c>
      <c r="V828" s="140" t="str">
        <f>IF(U828="_","",_xlfn.XLOOKUP(U828,internal_cansku_inventory!D:D,internal_cansku_inventory!E:E,"",0,1))</f>
        <v/>
      </c>
    </row>
    <row r="829" spans="1:22" ht="12.45" customHeight="1">
      <c r="A829" s="154">
        <v>505</v>
      </c>
      <c r="B829" s="154">
        <v>0</v>
      </c>
      <c r="C829" s="154" t="str">
        <f>Table1[[#This Row],[inventory_id_head]]&amp;"-"&amp;Table1[[#This Row],[inventory_id_tail]]</f>
        <v>505-0</v>
      </c>
      <c r="D829" s="153" t="s">
        <v>653</v>
      </c>
      <c r="E829" s="153" t="s">
        <v>1725</v>
      </c>
      <c r="F829" s="133" t="s">
        <v>55</v>
      </c>
      <c r="G829" s="133" t="str">
        <f t="shared" si="71"/>
        <v>J030EXNA</v>
      </c>
      <c r="H829" s="153" t="s">
        <v>361</v>
      </c>
      <c r="I829" s="153"/>
      <c r="J829" s="153">
        <v>2024111201</v>
      </c>
      <c r="K829" s="155" t="s">
        <v>655</v>
      </c>
      <c r="L829" s="271">
        <v>1</v>
      </c>
      <c r="M829" s="153" t="s">
        <v>858</v>
      </c>
      <c r="N829" s="157">
        <f>Table1[[#This Row],[gross_weight]]-Table1[[#This Row],[tare_weight]]</f>
        <v>74.300000000000011</v>
      </c>
      <c r="O829" s="157">
        <v>269.98</v>
      </c>
      <c r="P829" s="157">
        <v>195.68</v>
      </c>
      <c r="Q829" s="205">
        <f>L829*N829</f>
        <v>74.300000000000011</v>
      </c>
      <c r="R829" s="153"/>
      <c r="S829" s="158">
        <v>45784.61041666667</v>
      </c>
      <c r="T829" s="153" t="s">
        <v>978</v>
      </c>
      <c r="U829" s="139" t="str">
        <f t="shared" si="67"/>
        <v>_extract_distillate_bulk</v>
      </c>
      <c r="V829" s="140" t="str">
        <f>IF(U829="_","",_xlfn.XLOOKUP(U829,internal_cansku_inventory!D:D,internal_cansku_inventory!E:E,"",0,1))</f>
        <v/>
      </c>
    </row>
    <row r="830" spans="1:22" ht="12.45" customHeight="1">
      <c r="A830" s="154">
        <v>761</v>
      </c>
      <c r="B830" s="154">
        <v>1</v>
      </c>
      <c r="C830" s="154" t="str">
        <f>Table1[[#This Row],[inventory_id_head]]&amp;"-"&amp;Table1[[#This Row],[inventory_id_tail]]</f>
        <v>761-1</v>
      </c>
      <c r="D830" s="153" t="s">
        <v>653</v>
      </c>
      <c r="E830" s="153" t="s">
        <v>1726</v>
      </c>
      <c r="F830" s="133" t="s">
        <v>204</v>
      </c>
      <c r="G830" s="133" t="str">
        <f t="shared" si="71"/>
        <v>T077DFNA</v>
      </c>
      <c r="H830" s="153" t="s">
        <v>1727</v>
      </c>
      <c r="I830" s="153"/>
      <c r="J830" s="153" t="s">
        <v>612</v>
      </c>
      <c r="K830" s="155">
        <v>45581</v>
      </c>
      <c r="L830" s="156">
        <v>19</v>
      </c>
      <c r="M830" s="153" t="s">
        <v>1728</v>
      </c>
      <c r="N830" s="157">
        <v>1.5</v>
      </c>
      <c r="O830" s="157">
        <v>0</v>
      </c>
      <c r="P830" s="157">
        <v>0</v>
      </c>
      <c r="Q830" s="205">
        <f>Table1[[#This Row],[number_of_unit]]*Table1[[#This Row],[net_weight_per_unit]]</f>
        <v>28.5</v>
      </c>
      <c r="R830" s="153"/>
      <c r="S830" s="158">
        <v>45784.691666666666</v>
      </c>
      <c r="T830" s="153" t="s">
        <v>1572</v>
      </c>
      <c r="U830" s="139" t="str">
        <f t="shared" si="67"/>
        <v>_preroll_cased_SK_RTV</v>
      </c>
      <c r="V830" s="140" t="str">
        <f>IF(U830="_","",_xlfn.XLOOKUP(U830,internal_cansku_inventory!D:D,internal_cansku_inventory!E:E,"",0,1))</f>
        <v/>
      </c>
    </row>
    <row r="831" spans="1:22" ht="12.45" customHeight="1">
      <c r="A831" s="154">
        <v>761</v>
      </c>
      <c r="B831" s="154">
        <v>2</v>
      </c>
      <c r="C831" s="154" t="str">
        <f>Table1[[#This Row],[inventory_id_head]]&amp;"-"&amp;Table1[[#This Row],[inventory_id_tail]]</f>
        <v>761-2</v>
      </c>
      <c r="D831" s="153" t="s">
        <v>653</v>
      </c>
      <c r="E831" s="153" t="s">
        <v>1726</v>
      </c>
      <c r="F831" s="133" t="s">
        <v>204</v>
      </c>
      <c r="G831" s="133" t="str">
        <f t="shared" si="71"/>
        <v>T077DFNA</v>
      </c>
      <c r="H831" s="153" t="s">
        <v>1727</v>
      </c>
      <c r="I831" s="153"/>
      <c r="J831" s="153" t="s">
        <v>1729</v>
      </c>
      <c r="K831" s="155">
        <v>45588</v>
      </c>
      <c r="L831" s="156">
        <v>12</v>
      </c>
      <c r="M831" s="153" t="s">
        <v>1728</v>
      </c>
      <c r="N831" s="157">
        <v>1</v>
      </c>
      <c r="O831" s="157">
        <v>0</v>
      </c>
      <c r="P831" s="157">
        <v>0</v>
      </c>
      <c r="Q831" s="205">
        <f>Table1[[#This Row],[number_of_unit]]*Table1[[#This Row],[net_weight_per_unit]]</f>
        <v>12</v>
      </c>
      <c r="R831" s="153"/>
      <c r="S831" s="158">
        <v>45784.691666666666</v>
      </c>
      <c r="T831" s="153" t="s">
        <v>1572</v>
      </c>
      <c r="U831" s="139" t="str">
        <f t="shared" si="67"/>
        <v>_preroll_cased_SK_RTV</v>
      </c>
      <c r="V831" s="140" t="str">
        <f>IF(U831="_","",_xlfn.XLOOKUP(U831,internal_cansku_inventory!D:D,internal_cansku_inventory!E:E,"",0,1))</f>
        <v/>
      </c>
    </row>
    <row r="832" spans="1:22" ht="12.45" customHeight="1">
      <c r="A832" s="154">
        <v>761</v>
      </c>
      <c r="B832" s="154">
        <v>3</v>
      </c>
      <c r="C832" s="132" t="str">
        <f>Table1[[#This Row],[inventory_id_head]]&amp;"-"&amp;Table1[[#This Row],[inventory_id_tail]]</f>
        <v>761-3</v>
      </c>
      <c r="D832" s="153" t="s">
        <v>653</v>
      </c>
      <c r="E832" s="153" t="s">
        <v>1730</v>
      </c>
      <c r="F832" s="133" t="s">
        <v>204</v>
      </c>
      <c r="G832" s="133" t="str">
        <f t="shared" si="71"/>
        <v>T163EXNA</v>
      </c>
      <c r="H832" s="153" t="s">
        <v>1731</v>
      </c>
      <c r="I832" s="153"/>
      <c r="J832" s="153" t="s">
        <v>1732</v>
      </c>
      <c r="K832" s="155">
        <v>45555</v>
      </c>
      <c r="L832" s="156">
        <v>9</v>
      </c>
      <c r="M832" s="153" t="s">
        <v>1728</v>
      </c>
      <c r="N832" s="136">
        <v>6</v>
      </c>
      <c r="O832" s="136">
        <v>0</v>
      </c>
      <c r="P832" s="136">
        <v>0</v>
      </c>
      <c r="Q832" s="205">
        <f>Table1[[#This Row],[number_of_unit]]*Table1[[#This Row],[net_weight_per_unit]]</f>
        <v>54</v>
      </c>
      <c r="R832" s="153"/>
      <c r="S832" s="158">
        <v>45784.691666666666</v>
      </c>
      <c r="T832" s="153" t="s">
        <v>1572</v>
      </c>
      <c r="U832" s="139" t="str">
        <f t="shared" si="67"/>
        <v>_extract_inhaled_cased_SK_RTV</v>
      </c>
      <c r="V832" s="140" t="str">
        <f>IF(U832="_","",_xlfn.XLOOKUP(U832,internal_cansku_inventory!D:D,internal_cansku_inventory!E:E,"",0,1))</f>
        <v/>
      </c>
    </row>
    <row r="833" spans="1:22" ht="12.45" customHeight="1">
      <c r="A833" s="154">
        <v>761</v>
      </c>
      <c r="B833" s="154">
        <v>4</v>
      </c>
      <c r="C833" s="132" t="str">
        <f>Table1[[#This Row],[inventory_id_head]]&amp;"-"&amp;Table1[[#This Row],[inventory_id_tail]]</f>
        <v>761-4</v>
      </c>
      <c r="D833" s="153" t="s">
        <v>653</v>
      </c>
      <c r="E833" s="153" t="s">
        <v>1730</v>
      </c>
      <c r="F833" s="133" t="s">
        <v>204</v>
      </c>
      <c r="G833" s="133" t="str">
        <f t="shared" si="71"/>
        <v>T163EXNA</v>
      </c>
      <c r="H833" s="153" t="s">
        <v>460</v>
      </c>
      <c r="I833" s="153"/>
      <c r="J833" s="153" t="s">
        <v>1733</v>
      </c>
      <c r="K833" s="155">
        <v>45594</v>
      </c>
      <c r="L833" s="156">
        <v>8</v>
      </c>
      <c r="M833" s="153" t="s">
        <v>1728</v>
      </c>
      <c r="N833" s="136">
        <v>6</v>
      </c>
      <c r="O833" s="136">
        <v>0</v>
      </c>
      <c r="P833" s="136">
        <v>0</v>
      </c>
      <c r="Q833" s="205">
        <f>Table1[[#This Row],[number_of_unit]]*Table1[[#This Row],[net_weight_per_unit]]</f>
        <v>48</v>
      </c>
      <c r="R833" s="153"/>
      <c r="S833" s="158">
        <v>45784.691666666666</v>
      </c>
      <c r="T833" s="153" t="s">
        <v>1572</v>
      </c>
      <c r="U833" s="139" t="str">
        <f t="shared" si="67"/>
        <v>_extract_inhaled_cased_SK_RTV</v>
      </c>
      <c r="V833" s="140" t="str">
        <f>IF(U833="_","",_xlfn.XLOOKUP(U833,internal_cansku_inventory!D:D,internal_cansku_inventory!E:E,"",0,1))</f>
        <v/>
      </c>
    </row>
    <row r="834" spans="1:22" ht="12.45" customHeight="1">
      <c r="A834" s="154">
        <v>761</v>
      </c>
      <c r="B834" s="154">
        <v>5</v>
      </c>
      <c r="C834" s="132" t="str">
        <f>Table1[[#This Row],[inventory_id_head]]&amp;"-"&amp;Table1[[#This Row],[inventory_id_tail]]</f>
        <v>761-5</v>
      </c>
      <c r="D834" s="153" t="s">
        <v>653</v>
      </c>
      <c r="E834" s="153" t="s">
        <v>1730</v>
      </c>
      <c r="F834" s="133" t="s">
        <v>204</v>
      </c>
      <c r="G834" s="133" t="str">
        <f t="shared" si="71"/>
        <v>T163EXNA</v>
      </c>
      <c r="H834" s="153" t="s">
        <v>1731</v>
      </c>
      <c r="I834" s="153"/>
      <c r="J834" s="153" t="s">
        <v>1734</v>
      </c>
      <c r="K834" s="155">
        <v>45594</v>
      </c>
      <c r="L834" s="156">
        <v>7</v>
      </c>
      <c r="M834" s="153" t="s">
        <v>1728</v>
      </c>
      <c r="N834" s="136">
        <v>6</v>
      </c>
      <c r="O834" s="136">
        <v>0</v>
      </c>
      <c r="P834" s="136">
        <v>0</v>
      </c>
      <c r="Q834" s="205">
        <f>Table1[[#This Row],[number_of_unit]]*Table1[[#This Row],[net_weight_per_unit]]</f>
        <v>42</v>
      </c>
      <c r="R834" s="153"/>
      <c r="S834" s="158">
        <v>45784.691666666666</v>
      </c>
      <c r="T834" s="153" t="s">
        <v>1572</v>
      </c>
      <c r="U834" s="139" t="str">
        <f t="shared" si="67"/>
        <v>_extract_inhaled_cased_SK_RTV</v>
      </c>
      <c r="V834" s="140" t="str">
        <f>IF(U834="_","",_xlfn.XLOOKUP(U834,internal_cansku_inventory!D:D,internal_cansku_inventory!E:E,"",0,1))</f>
        <v/>
      </c>
    </row>
    <row r="835" spans="1:22" ht="12.45" customHeight="1">
      <c r="A835" s="154">
        <v>761</v>
      </c>
      <c r="B835" s="154">
        <v>6</v>
      </c>
      <c r="C835" s="154" t="str">
        <f>Table1[[#This Row],[inventory_id_head]]&amp;"-"&amp;Table1[[#This Row],[inventory_id_tail]]</f>
        <v>761-6</v>
      </c>
      <c r="D835" s="153" t="s">
        <v>653</v>
      </c>
      <c r="E835" s="153" t="s">
        <v>1730</v>
      </c>
      <c r="F835" s="153" t="s">
        <v>204</v>
      </c>
      <c r="G835" s="153" t="str">
        <f t="shared" si="71"/>
        <v>T163EXNA</v>
      </c>
      <c r="H835" s="153" t="s">
        <v>1731</v>
      </c>
      <c r="I835" s="153"/>
      <c r="J835" s="153" t="s">
        <v>1310</v>
      </c>
      <c r="K835" s="155">
        <v>45623</v>
      </c>
      <c r="L835" s="156">
        <v>10</v>
      </c>
      <c r="M835" s="153" t="s">
        <v>1728</v>
      </c>
      <c r="N835" s="136">
        <v>6</v>
      </c>
      <c r="O835" s="136">
        <v>0</v>
      </c>
      <c r="P835" s="136">
        <v>0</v>
      </c>
      <c r="Q835" s="205">
        <f>Table1[[#This Row],[number_of_unit]]*Table1[[#This Row],[net_weight_per_unit]]</f>
        <v>60</v>
      </c>
      <c r="R835" s="153"/>
      <c r="S835" s="158">
        <v>45784.691666666666</v>
      </c>
      <c r="T835" s="153" t="s">
        <v>1572</v>
      </c>
      <c r="U835" s="139" t="str">
        <f t="shared" si="67"/>
        <v>_extract_inhaled_cased_SK_RTV</v>
      </c>
      <c r="V835" s="140" t="str">
        <f>IF(U835="_","",_xlfn.XLOOKUP(U835,internal_cansku_inventory!D:D,internal_cansku_inventory!E:E,"",0,1))</f>
        <v/>
      </c>
    </row>
    <row r="836" spans="1:22" ht="12.45" customHeight="1">
      <c r="A836" s="132">
        <v>761</v>
      </c>
      <c r="B836" s="132">
        <v>7</v>
      </c>
      <c r="C836" s="154" t="str">
        <f>Table1[[#This Row],[inventory_id_head]]&amp;"-"&amp;Table1[[#This Row],[inventory_id_tail]]</f>
        <v>761-7</v>
      </c>
      <c r="D836" s="153" t="s">
        <v>653</v>
      </c>
      <c r="E836" s="133" t="s">
        <v>1730</v>
      </c>
      <c r="F836" s="133" t="s">
        <v>204</v>
      </c>
      <c r="G836" s="133" t="str">
        <f t="shared" si="71"/>
        <v>T163EXNA</v>
      </c>
      <c r="H836" s="153" t="s">
        <v>1731</v>
      </c>
      <c r="I836" s="153"/>
      <c r="J836" s="153" t="s">
        <v>1735</v>
      </c>
      <c r="K836" s="134">
        <v>45623</v>
      </c>
      <c r="L836" s="135">
        <v>9</v>
      </c>
      <c r="M836" s="133" t="s">
        <v>1728</v>
      </c>
      <c r="N836" s="157">
        <v>6</v>
      </c>
      <c r="O836" s="157">
        <v>0</v>
      </c>
      <c r="P836" s="157">
        <v>0</v>
      </c>
      <c r="Q836" s="137">
        <f>Table1[[#This Row],[number_of_unit]]*Table1[[#This Row],[net_weight_per_unit]]</f>
        <v>54</v>
      </c>
      <c r="R836" s="153"/>
      <c r="S836" s="158">
        <v>45784.691666666666</v>
      </c>
      <c r="T836" s="133" t="s">
        <v>1572</v>
      </c>
      <c r="U836" s="139" t="str">
        <f t="shared" si="67"/>
        <v>_extract_inhaled_cased_SK_RTV</v>
      </c>
      <c r="V836" s="140" t="str">
        <f>IF(U836="_","",_xlfn.XLOOKUP(U836,internal_cansku_inventory!D:D,internal_cansku_inventory!E:E,"",0,1))</f>
        <v/>
      </c>
    </row>
    <row r="837" spans="1:22" ht="12.45" customHeight="1">
      <c r="A837" s="154">
        <v>761</v>
      </c>
      <c r="B837" s="154">
        <v>8</v>
      </c>
      <c r="C837" s="154" t="str">
        <f>Table1[[#This Row],[inventory_id_head]]&amp;"-"&amp;Table1[[#This Row],[inventory_id_tail]]</f>
        <v>761-8</v>
      </c>
      <c r="D837" s="153" t="s">
        <v>653</v>
      </c>
      <c r="E837" s="153" t="s">
        <v>1730</v>
      </c>
      <c r="F837" s="133" t="s">
        <v>204</v>
      </c>
      <c r="G837" s="133" t="str">
        <f t="shared" si="71"/>
        <v>T163EXNA</v>
      </c>
      <c r="H837" s="153" t="s">
        <v>1731</v>
      </c>
      <c r="I837" s="153"/>
      <c r="J837" s="153" t="s">
        <v>1736</v>
      </c>
      <c r="K837" s="155">
        <v>45603</v>
      </c>
      <c r="L837" s="156">
        <v>3</v>
      </c>
      <c r="M837" s="153" t="s">
        <v>1728</v>
      </c>
      <c r="N837" s="157">
        <v>6</v>
      </c>
      <c r="O837" s="157">
        <v>0</v>
      </c>
      <c r="P837" s="157">
        <v>0</v>
      </c>
      <c r="Q837" s="137">
        <f>Table1[[#This Row],[number_of_unit]]*Table1[[#This Row],[net_weight_per_unit]]</f>
        <v>18</v>
      </c>
      <c r="R837" s="153"/>
      <c r="S837" s="158">
        <v>45784.691666666666</v>
      </c>
      <c r="T837" s="133" t="s">
        <v>1572</v>
      </c>
      <c r="U837" s="139" t="str">
        <f t="shared" si="67"/>
        <v>_extract_inhaled_cased_SK_RTV</v>
      </c>
      <c r="V837" s="140" t="str">
        <f>IF(U837="_","",_xlfn.XLOOKUP(U837,internal_cansku_inventory!D:D,internal_cansku_inventory!E:E,"",0,1))</f>
        <v/>
      </c>
    </row>
    <row r="838" spans="1:22" ht="12.45" customHeight="1">
      <c r="A838" s="154">
        <v>761</v>
      </c>
      <c r="B838" s="154">
        <v>9</v>
      </c>
      <c r="C838" s="154" t="str">
        <f>Table1[[#This Row],[inventory_id_head]]&amp;"-"&amp;Table1[[#This Row],[inventory_id_tail]]</f>
        <v>761-9</v>
      </c>
      <c r="D838" s="153" t="s">
        <v>653</v>
      </c>
      <c r="E838" s="153" t="s">
        <v>1737</v>
      </c>
      <c r="F838" s="133" t="s">
        <v>204</v>
      </c>
      <c r="G838" s="133" t="str">
        <f t="shared" si="71"/>
        <v>T078DFNA</v>
      </c>
      <c r="H838" s="153" t="s">
        <v>1727</v>
      </c>
      <c r="I838" s="153"/>
      <c r="J838" s="153" t="s">
        <v>1738</v>
      </c>
      <c r="K838" s="155">
        <v>45604</v>
      </c>
      <c r="L838" s="156">
        <v>18</v>
      </c>
      <c r="M838" s="153" t="s">
        <v>1728</v>
      </c>
      <c r="N838" s="157">
        <v>1.5</v>
      </c>
      <c r="O838" s="136">
        <v>0</v>
      </c>
      <c r="P838" s="136">
        <v>0</v>
      </c>
      <c r="Q838" s="137">
        <f>Table1[[#This Row],[number_of_unit]]*Table1[[#This Row],[net_weight_per_unit]]</f>
        <v>27</v>
      </c>
      <c r="R838" s="133"/>
      <c r="S838" s="158">
        <v>45784.691666666666</v>
      </c>
      <c r="T838" s="133" t="s">
        <v>1572</v>
      </c>
      <c r="U838" s="139" t="str">
        <f t="shared" ref="U838:U901" si="72">I838&amp;"_"&amp;H838</f>
        <v>_preroll_cased_SK_RTV</v>
      </c>
      <c r="V838" s="140" t="str">
        <f>IF(U838="_","",_xlfn.XLOOKUP(U838,internal_cansku_inventory!D:D,internal_cansku_inventory!E:E,"",0,1))</f>
        <v/>
      </c>
    </row>
    <row r="839" spans="1:22" ht="12.45" customHeight="1">
      <c r="A839" s="154">
        <v>761</v>
      </c>
      <c r="B839" s="154">
        <v>10</v>
      </c>
      <c r="C839" s="154" t="str">
        <f>Table1[[#This Row],[inventory_id_head]]&amp;"-"&amp;Table1[[#This Row],[inventory_id_tail]]</f>
        <v>761-10</v>
      </c>
      <c r="D839" s="153" t="s">
        <v>653</v>
      </c>
      <c r="E839" s="153" t="s">
        <v>1737</v>
      </c>
      <c r="F839" s="133" t="s">
        <v>204</v>
      </c>
      <c r="G839" s="133" t="str">
        <f t="shared" si="71"/>
        <v>T078DFNA</v>
      </c>
      <c r="H839" s="153" t="s">
        <v>1727</v>
      </c>
      <c r="I839" s="153"/>
      <c r="J839" s="153" t="s">
        <v>1739</v>
      </c>
      <c r="K839" s="155">
        <v>45575</v>
      </c>
      <c r="L839" s="156">
        <v>17</v>
      </c>
      <c r="M839" s="153" t="s">
        <v>1728</v>
      </c>
      <c r="N839" s="157">
        <v>1.5</v>
      </c>
      <c r="O839" s="136">
        <v>0</v>
      </c>
      <c r="P839" s="136">
        <v>0</v>
      </c>
      <c r="Q839" s="137">
        <f>Table1[[#This Row],[number_of_unit]]*Table1[[#This Row],[net_weight_per_unit]]</f>
        <v>25.5</v>
      </c>
      <c r="R839" s="133"/>
      <c r="S839" s="158">
        <v>45784.691666666666</v>
      </c>
      <c r="T839" s="133" t="s">
        <v>1572</v>
      </c>
      <c r="U839" s="139" t="str">
        <f t="shared" si="72"/>
        <v>_preroll_cased_SK_RTV</v>
      </c>
      <c r="V839" s="140" t="str">
        <f>IF(U839="_","",_xlfn.XLOOKUP(U839,internal_cansku_inventory!D:D,internal_cansku_inventory!E:E,"",0,1))</f>
        <v/>
      </c>
    </row>
    <row r="840" spans="1:22" ht="12.45" customHeight="1">
      <c r="A840" s="154">
        <v>761</v>
      </c>
      <c r="B840" s="154">
        <v>11</v>
      </c>
      <c r="C840" s="154" t="str">
        <f>Table1[[#This Row],[inventory_id_head]]&amp;"-"&amp;Table1[[#This Row],[inventory_id_tail]]</f>
        <v>761-11</v>
      </c>
      <c r="D840" s="153" t="s">
        <v>653</v>
      </c>
      <c r="E840" s="153" t="s">
        <v>204</v>
      </c>
      <c r="F840" s="133" t="s">
        <v>204</v>
      </c>
      <c r="G840" s="133" t="str">
        <f t="shared" si="71"/>
        <v>NANA</v>
      </c>
      <c r="H840" s="153" t="s">
        <v>1548</v>
      </c>
      <c r="I840" s="153"/>
      <c r="J840" s="153" t="s">
        <v>1740</v>
      </c>
      <c r="K840" s="155">
        <v>45629</v>
      </c>
      <c r="L840" s="156">
        <v>2</v>
      </c>
      <c r="M840" s="153" t="s">
        <v>1728</v>
      </c>
      <c r="N840" s="157">
        <f>450*6</f>
        <v>2700</v>
      </c>
      <c r="O840" s="136">
        <v>0</v>
      </c>
      <c r="P840" s="136">
        <v>0</v>
      </c>
      <c r="Q840" s="137">
        <f>Table1[[#This Row],[number_of_unit]]*Table1[[#This Row],[net_weight_per_unit]]</f>
        <v>5400</v>
      </c>
      <c r="R840" s="133"/>
      <c r="S840" s="158">
        <v>45784.691666666666</v>
      </c>
      <c r="T840" s="133" t="s">
        <v>1572</v>
      </c>
      <c r="U840" s="139" t="str">
        <f t="shared" si="72"/>
        <v>_topical_cased_SK_RTV</v>
      </c>
      <c r="V840" s="140" t="str">
        <f>IF(U840="_","",_xlfn.XLOOKUP(U840,internal_cansku_inventory!D:D,internal_cansku_inventory!E:E,"",0,1))</f>
        <v/>
      </c>
    </row>
    <row r="841" spans="1:22" ht="12.45" customHeight="1">
      <c r="A841" s="154">
        <v>761</v>
      </c>
      <c r="B841" s="154">
        <v>12</v>
      </c>
      <c r="C841" s="154" t="str">
        <f>Table1[[#This Row],[inventory_id_head]]&amp;"-"&amp;Table1[[#This Row],[inventory_id_tail]]</f>
        <v>761-12</v>
      </c>
      <c r="D841" s="153" t="s">
        <v>653</v>
      </c>
      <c r="E841" s="153" t="s">
        <v>204</v>
      </c>
      <c r="F841" s="133" t="s">
        <v>204</v>
      </c>
      <c r="G841" s="133" t="str">
        <f t="shared" si="71"/>
        <v>NANA</v>
      </c>
      <c r="H841" s="153" t="s">
        <v>1548</v>
      </c>
      <c r="I841" s="153"/>
      <c r="J841" s="153" t="s">
        <v>1256</v>
      </c>
      <c r="K841" s="155">
        <v>45630</v>
      </c>
      <c r="L841" s="156">
        <v>32</v>
      </c>
      <c r="M841" s="153" t="s">
        <v>1728</v>
      </c>
      <c r="N841" s="157">
        <f>450*6</f>
        <v>2700</v>
      </c>
      <c r="O841" s="136">
        <v>0</v>
      </c>
      <c r="P841" s="136">
        <v>0</v>
      </c>
      <c r="Q841" s="137">
        <f>Table1[[#This Row],[number_of_unit]]*Table1[[#This Row],[net_weight_per_unit]]</f>
        <v>86400</v>
      </c>
      <c r="R841" s="133"/>
      <c r="S841" s="158">
        <v>45784.691666666666</v>
      </c>
      <c r="T841" s="133" t="s">
        <v>1572</v>
      </c>
      <c r="U841" s="139" t="str">
        <f t="shared" si="72"/>
        <v>_topical_cased_SK_RTV</v>
      </c>
      <c r="V841" s="140" t="str">
        <f>IF(U841="_","",_xlfn.XLOOKUP(U841,internal_cansku_inventory!D:D,internal_cansku_inventory!E:E,"",0,1))</f>
        <v/>
      </c>
    </row>
    <row r="842" spans="1:22" ht="12.45" customHeight="1">
      <c r="A842" s="154">
        <v>747</v>
      </c>
      <c r="B842" s="154">
        <v>3</v>
      </c>
      <c r="C842" s="154" t="str">
        <f>Table1[[#This Row],[inventory_id_head]]&amp;"-"&amp;Table1[[#This Row],[inventory_id_tail]]</f>
        <v>747-3</v>
      </c>
      <c r="D842" s="153" t="s">
        <v>653</v>
      </c>
      <c r="E842" s="153" t="s">
        <v>867</v>
      </c>
      <c r="F842" s="153" t="s">
        <v>1657</v>
      </c>
      <c r="G842" s="133" t="str">
        <f>E842&amp;"-"&amp;F842</f>
        <v>RACK_B-GRID_1</v>
      </c>
      <c r="H842" s="153" t="s">
        <v>308</v>
      </c>
      <c r="I842" s="153"/>
      <c r="J842" s="153" t="s">
        <v>1632</v>
      </c>
      <c r="K842" s="155">
        <v>45778</v>
      </c>
      <c r="L842" s="156">
        <v>353</v>
      </c>
      <c r="M842" s="153" t="s">
        <v>858</v>
      </c>
      <c r="N842" s="157">
        <v>1.5</v>
      </c>
      <c r="O842" s="136">
        <v>0</v>
      </c>
      <c r="P842" s="136">
        <v>0</v>
      </c>
      <c r="Q842" s="137">
        <f>L842*N842</f>
        <v>529.5</v>
      </c>
      <c r="R842" s="153"/>
      <c r="S842" s="158">
        <v>45789.47152777778</v>
      </c>
      <c r="T842" s="153" t="s">
        <v>1572</v>
      </c>
      <c r="U842" s="139" t="str">
        <f t="shared" si="72"/>
        <v>_preroll_labelled</v>
      </c>
      <c r="V842" s="140" t="str">
        <f>IF(U842="_","",_xlfn.XLOOKUP(U842,internal_cansku_inventory!D:D,internal_cansku_inventory!E:E,"",0,1))</f>
        <v/>
      </c>
    </row>
    <row r="843" spans="1:22" ht="12.45" customHeight="1">
      <c r="A843" s="154">
        <v>586</v>
      </c>
      <c r="B843" s="154">
        <v>1</v>
      </c>
      <c r="C843" s="132" t="str">
        <f>Table1[[#This Row],[inventory_id_head]]&amp;"-"&amp;Table1[[#This Row],[inventory_id_tail]]</f>
        <v>586-1</v>
      </c>
      <c r="D843" s="153" t="s">
        <v>653</v>
      </c>
      <c r="E843" s="153" t="s">
        <v>1741</v>
      </c>
      <c r="F843" s="153" t="s">
        <v>204</v>
      </c>
      <c r="G843" s="133" t="str">
        <f t="shared" si="71"/>
        <v>T020TPNA</v>
      </c>
      <c r="H843" s="153" t="s">
        <v>1742</v>
      </c>
      <c r="I843" s="133"/>
      <c r="J843" s="133" t="s">
        <v>659</v>
      </c>
      <c r="K843" s="134">
        <v>45638</v>
      </c>
      <c r="L843" s="135">
        <v>14</v>
      </c>
      <c r="M843" s="153" t="s">
        <v>683</v>
      </c>
      <c r="N843" s="136">
        <f>45*12</f>
        <v>540</v>
      </c>
      <c r="O843" s="136">
        <v>0</v>
      </c>
      <c r="P843" s="136">
        <v>0</v>
      </c>
      <c r="Q843" s="137">
        <f>L843*N843</f>
        <v>7560</v>
      </c>
      <c r="R843" s="133"/>
      <c r="S843" s="158">
        <v>45789.48333333333</v>
      </c>
      <c r="T843" s="153" t="s">
        <v>657</v>
      </c>
      <c r="U843" s="139" t="str">
        <f t="shared" si="72"/>
        <v>_topical_cased_AB_RTV</v>
      </c>
      <c r="V843" s="140" t="str">
        <f>IF(U843="_","",_xlfn.XLOOKUP(U843,internal_cansku_inventory!D:D,internal_cansku_inventory!E:E,"",0,1))</f>
        <v/>
      </c>
    </row>
    <row r="844" spans="1:22" ht="12.45" customHeight="1">
      <c r="A844" s="154">
        <v>586</v>
      </c>
      <c r="B844" s="154">
        <v>2</v>
      </c>
      <c r="C844" s="132" t="str">
        <f>Table1[[#This Row],[inventory_id_head]]&amp;"-"&amp;Table1[[#This Row],[inventory_id_tail]]</f>
        <v>586-2</v>
      </c>
      <c r="D844" s="153" t="s">
        <v>653</v>
      </c>
      <c r="E844" s="133" t="s">
        <v>1743</v>
      </c>
      <c r="F844" s="153" t="s">
        <v>204</v>
      </c>
      <c r="G844" s="133" t="str">
        <f t="shared" si="71"/>
        <v>T021TPNA</v>
      </c>
      <c r="H844" s="133" t="s">
        <v>1742</v>
      </c>
      <c r="I844" s="133"/>
      <c r="J844" s="133" t="s">
        <v>659</v>
      </c>
      <c r="K844" s="134">
        <v>45638</v>
      </c>
      <c r="L844" s="135">
        <v>15</v>
      </c>
      <c r="M844" s="153" t="s">
        <v>683</v>
      </c>
      <c r="N844" s="136">
        <f>45*12</f>
        <v>540</v>
      </c>
      <c r="O844" s="136">
        <v>0</v>
      </c>
      <c r="P844" s="136">
        <v>0</v>
      </c>
      <c r="Q844" s="137">
        <f>L844*N844</f>
        <v>8100</v>
      </c>
      <c r="R844" s="133"/>
      <c r="S844" s="158">
        <v>45789.48333333333</v>
      </c>
      <c r="T844" s="153" t="s">
        <v>657</v>
      </c>
      <c r="U844" s="139" t="str">
        <f t="shared" si="72"/>
        <v>_topical_cased_AB_RTV</v>
      </c>
      <c r="V844" s="140" t="str">
        <f>IF(U844="_","",_xlfn.XLOOKUP(U844,internal_cansku_inventory!D:D,internal_cansku_inventory!E:E,"",0,1))</f>
        <v/>
      </c>
    </row>
    <row r="845" spans="1:22" ht="12.45" customHeight="1">
      <c r="A845" s="154">
        <v>762</v>
      </c>
      <c r="B845" s="154">
        <v>0</v>
      </c>
      <c r="C845" s="132" t="str">
        <f>Table1[[#This Row],[inventory_id_head]]&amp;"-"&amp;Table1[[#This Row],[inventory_id_tail]]</f>
        <v>762-0</v>
      </c>
      <c r="D845" s="153" t="s">
        <v>653</v>
      </c>
      <c r="E845" s="133" t="s">
        <v>1744</v>
      </c>
      <c r="F845" s="153" t="s">
        <v>1657</v>
      </c>
      <c r="G845" s="133" t="str">
        <f t="shared" ref="G845:G864" si="73">E845&amp;F845</f>
        <v>RACK_DGRID_1</v>
      </c>
      <c r="H845" s="133" t="s">
        <v>328</v>
      </c>
      <c r="I845" s="133"/>
      <c r="J845" s="133" t="s">
        <v>1746</v>
      </c>
      <c r="K845" s="134">
        <v>45793</v>
      </c>
      <c r="L845" s="135">
        <v>104</v>
      </c>
      <c r="M845" s="153" t="s">
        <v>205</v>
      </c>
      <c r="N845" s="136">
        <v>1</v>
      </c>
      <c r="O845" s="136">
        <v>0</v>
      </c>
      <c r="P845" s="136">
        <v>0</v>
      </c>
      <c r="Q845" s="137">
        <f>L845*N845</f>
        <v>104</v>
      </c>
      <c r="R845" s="133"/>
      <c r="S845" s="158">
        <v>45791.667361111111</v>
      </c>
      <c r="T845" s="153" t="s">
        <v>1572</v>
      </c>
      <c r="U845" s="139" t="str">
        <f t="shared" si="72"/>
        <v>_extract_inhaled_labelled</v>
      </c>
      <c r="V845" s="140" t="str">
        <f>IF(U845="_","",_xlfn.XLOOKUP(U845,internal_cansku_inventory!D:D,internal_cansku_inventory!E:E,"",0,1))</f>
        <v/>
      </c>
    </row>
    <row r="846" spans="1:22" ht="12.45" customHeight="1">
      <c r="A846" s="154">
        <v>744</v>
      </c>
      <c r="B846" s="154">
        <v>5</v>
      </c>
      <c r="C846" s="132" t="str">
        <f>Table1[[#This Row],[inventory_id_head]]&amp;"-"&amp;Table1[[#This Row],[inventory_id_tail]]</f>
        <v>744-5</v>
      </c>
      <c r="D846" s="153" t="s">
        <v>653</v>
      </c>
      <c r="E846" s="133" t="s">
        <v>1701</v>
      </c>
      <c r="F846" s="153" t="s">
        <v>1747</v>
      </c>
      <c r="G846" s="133" t="str">
        <f t="shared" si="73"/>
        <v>T043PRB05</v>
      </c>
      <c r="H846" s="133" t="s">
        <v>368</v>
      </c>
      <c r="I846" s="133"/>
      <c r="J846" s="133" t="s">
        <v>1748</v>
      </c>
      <c r="K846" s="134" t="s">
        <v>204</v>
      </c>
      <c r="L846" s="135">
        <v>62</v>
      </c>
      <c r="M846" s="153" t="s">
        <v>205</v>
      </c>
      <c r="N846" s="136">
        <v>0.5</v>
      </c>
      <c r="O846" s="136">
        <v>0</v>
      </c>
      <c r="P846" s="136">
        <v>0</v>
      </c>
      <c r="Q846" s="137">
        <f>L846*N846</f>
        <v>31</v>
      </c>
      <c r="R846" s="133"/>
      <c r="S846" s="158">
        <v>45791.67291666667</v>
      </c>
      <c r="T846" s="153" t="s">
        <v>1572</v>
      </c>
      <c r="U846" s="139" t="str">
        <f t="shared" si="72"/>
        <v>_preroll_bulk</v>
      </c>
      <c r="V846" s="140" t="str">
        <f>IF(U846="_","",_xlfn.XLOOKUP(U846,internal_cansku_inventory!D:D,internal_cansku_inventory!E:E,"",0,1))</f>
        <v/>
      </c>
    </row>
    <row r="847" spans="1:22" ht="12.45" customHeight="1">
      <c r="A847" s="154">
        <v>744</v>
      </c>
      <c r="B847" s="154">
        <v>6</v>
      </c>
      <c r="C847" s="132" t="str">
        <f>Table1[[#This Row],[inventory_id_head]]&amp;"-"&amp;Table1[[#This Row],[inventory_id_tail]]</f>
        <v>744-6</v>
      </c>
      <c r="D847" s="153" t="s">
        <v>653</v>
      </c>
      <c r="E847" s="133" t="s">
        <v>1701</v>
      </c>
      <c r="F847" s="153" t="s">
        <v>1749</v>
      </c>
      <c r="G847" s="133" t="str">
        <f t="shared" si="73"/>
        <v>T043PRB04</v>
      </c>
      <c r="H847" s="133" t="s">
        <v>368</v>
      </c>
      <c r="I847" s="133"/>
      <c r="J847" s="133" t="s">
        <v>1750</v>
      </c>
      <c r="K847" s="134" t="s">
        <v>204</v>
      </c>
      <c r="L847" s="135">
        <v>141</v>
      </c>
      <c r="M847" s="153" t="s">
        <v>205</v>
      </c>
      <c r="N847" s="136">
        <v>0.5</v>
      </c>
      <c r="O847" s="136">
        <v>0</v>
      </c>
      <c r="P847" s="136">
        <v>0</v>
      </c>
      <c r="Q847" s="137">
        <f>Table1[[#This Row],[number_of_unit]]*Table1[[#This Row],[net_weight_per_unit]]</f>
        <v>70.5</v>
      </c>
      <c r="R847" s="133"/>
      <c r="S847" s="158">
        <v>45791.675694444442</v>
      </c>
      <c r="T847" s="153" t="s">
        <v>1572</v>
      </c>
      <c r="U847" s="139" t="str">
        <f t="shared" si="72"/>
        <v>_preroll_bulk</v>
      </c>
      <c r="V847" s="140" t="str">
        <f>IF(U847="_","",_xlfn.XLOOKUP(U847,internal_cansku_inventory!D:D,internal_cansku_inventory!E:E,"",0,1))</f>
        <v/>
      </c>
    </row>
    <row r="848" spans="1:22" ht="12.45" customHeight="1">
      <c r="A848" s="154">
        <v>739</v>
      </c>
      <c r="B848" s="154">
        <v>2</v>
      </c>
      <c r="C848" s="132" t="str">
        <f>Table1[[#This Row],[inventory_id_head]]&amp;"-"&amp;Table1[[#This Row],[inventory_id_tail]]</f>
        <v>739-2</v>
      </c>
      <c r="D848" s="153" t="s">
        <v>653</v>
      </c>
      <c r="E848" s="133" t="s">
        <v>1560</v>
      </c>
      <c r="F848" s="153" t="s">
        <v>1751</v>
      </c>
      <c r="G848" s="133" t="str">
        <f t="shared" si="73"/>
        <v>T067DFB08</v>
      </c>
      <c r="H848" s="133" t="s">
        <v>368</v>
      </c>
      <c r="I848" s="133"/>
      <c r="J848" s="133" t="s">
        <v>1752</v>
      </c>
      <c r="K848" s="134" t="s">
        <v>204</v>
      </c>
      <c r="L848" s="135">
        <v>108</v>
      </c>
      <c r="M848" s="153" t="s">
        <v>205</v>
      </c>
      <c r="N848" s="136">
        <v>0.5</v>
      </c>
      <c r="O848" s="136">
        <v>0</v>
      </c>
      <c r="P848" s="136">
        <v>0</v>
      </c>
      <c r="Q848" s="137">
        <f>Table1[[#This Row],[number_of_unit]]*Table1[[#This Row],[net_weight_per_unit]]</f>
        <v>54</v>
      </c>
      <c r="R848" s="133"/>
      <c r="S848" s="158">
        <v>45791.679861111108</v>
      </c>
      <c r="T848" s="153" t="s">
        <v>1572</v>
      </c>
      <c r="U848" s="139" t="str">
        <f t="shared" si="72"/>
        <v>_preroll_bulk</v>
      </c>
      <c r="V848" s="140" t="str">
        <f>IF(U848="_","",_xlfn.XLOOKUP(U848,internal_cansku_inventory!D:D,internal_cansku_inventory!E:E,"",0,1))</f>
        <v/>
      </c>
    </row>
    <row r="849" spans="1:22" ht="12.45" customHeight="1">
      <c r="A849" s="154">
        <v>489</v>
      </c>
      <c r="B849" s="154">
        <v>1</v>
      </c>
      <c r="C849" s="132" t="str">
        <f>Table1[[#This Row],[inventory_id_head]]&amp;"-"&amp;Table1[[#This Row],[inventory_id_tail]]</f>
        <v>489-1</v>
      </c>
      <c r="D849" s="153" t="s">
        <v>653</v>
      </c>
      <c r="E849" s="133" t="s">
        <v>867</v>
      </c>
      <c r="F849" s="133" t="s">
        <v>868</v>
      </c>
      <c r="G849" s="133" t="str">
        <f t="shared" si="73"/>
        <v>RACK_BGRID_2</v>
      </c>
      <c r="H849" s="133" t="s">
        <v>368</v>
      </c>
      <c r="I849" s="133"/>
      <c r="J849" s="133" t="s">
        <v>1753</v>
      </c>
      <c r="K849" s="134" t="s">
        <v>204</v>
      </c>
      <c r="L849" s="135">
        <v>1</v>
      </c>
      <c r="M849" s="153" t="s">
        <v>205</v>
      </c>
      <c r="N849" s="136">
        <v>0.5</v>
      </c>
      <c r="O849" s="136">
        <v>0</v>
      </c>
      <c r="P849" s="136">
        <v>0</v>
      </c>
      <c r="Q849" s="137">
        <f t="shared" ref="Q849:Q854" si="74">L849*N849</f>
        <v>0.5</v>
      </c>
      <c r="R849" s="133"/>
      <c r="S849" s="158">
        <v>45791.6875</v>
      </c>
      <c r="T849" s="153" t="s">
        <v>1572</v>
      </c>
      <c r="U849" s="139" t="str">
        <f t="shared" si="72"/>
        <v>_preroll_bulk</v>
      </c>
      <c r="V849" s="140" t="str">
        <f>IF(U849="_","",_xlfn.XLOOKUP(U849,internal_cansku_inventory!D:D,internal_cansku_inventory!E:E,"",0,1))</f>
        <v/>
      </c>
    </row>
    <row r="850" spans="1:22" ht="12.45" customHeight="1">
      <c r="A850" s="154">
        <v>764</v>
      </c>
      <c r="B850" s="154">
        <v>0</v>
      </c>
      <c r="C850" s="132" t="str">
        <f>Table1[[#This Row],[inventory_id_head]]&amp;"-"&amp;Table1[[#This Row],[inventory_id_tail]]</f>
        <v>764-0</v>
      </c>
      <c r="D850" s="153" t="s">
        <v>653</v>
      </c>
      <c r="E850" s="133" t="s">
        <v>1754</v>
      </c>
      <c r="F850" s="153" t="s">
        <v>204</v>
      </c>
      <c r="G850" s="133" t="str">
        <f t="shared" si="73"/>
        <v>P0123MFNA</v>
      </c>
      <c r="H850" s="133" t="s">
        <v>356</v>
      </c>
      <c r="I850" s="133"/>
      <c r="J850" s="133" t="s">
        <v>1755</v>
      </c>
      <c r="K850" s="134">
        <v>45785</v>
      </c>
      <c r="L850" s="135">
        <v>1</v>
      </c>
      <c r="M850" s="153" t="s">
        <v>208</v>
      </c>
      <c r="N850" s="136">
        <f>Table1[[#This Row],[gross_weight]]-Table1[[#This Row],[tare_weight]]</f>
        <v>1782</v>
      </c>
      <c r="O850" s="136">
        <v>3546</v>
      </c>
      <c r="P850" s="136">
        <v>1764</v>
      </c>
      <c r="Q850" s="137">
        <f t="shared" si="74"/>
        <v>1782</v>
      </c>
      <c r="R850" s="133"/>
      <c r="S850" s="158">
        <v>45791.700694444444</v>
      </c>
      <c r="T850" s="153" t="s">
        <v>1756</v>
      </c>
      <c r="U850" s="139" t="str">
        <f t="shared" si="72"/>
        <v>_driedflower_milled_bulk</v>
      </c>
      <c r="V850" s="140" t="str">
        <f>IF(U850="_","",_xlfn.XLOOKUP(U850,internal_cansku_inventory!D:D,internal_cansku_inventory!E:E,"",0,1))</f>
        <v/>
      </c>
    </row>
    <row r="851" spans="1:22" ht="12.45" customHeight="1">
      <c r="A851" s="154">
        <v>763</v>
      </c>
      <c r="B851" s="154">
        <v>0</v>
      </c>
      <c r="C851" s="132" t="str">
        <f>Table1[[#This Row],[inventory_id_head]]&amp;"-"&amp;Table1[[#This Row],[inventory_id_tail]]</f>
        <v>763-0</v>
      </c>
      <c r="D851" s="153" t="s">
        <v>653</v>
      </c>
      <c r="E851" s="133" t="s">
        <v>1757</v>
      </c>
      <c r="F851" s="153" t="s">
        <v>204</v>
      </c>
      <c r="G851" s="133" t="str">
        <f t="shared" si="73"/>
        <v>P030MFNA</v>
      </c>
      <c r="H851" s="133" t="s">
        <v>1758</v>
      </c>
      <c r="I851" s="133"/>
      <c r="J851" s="133" t="s">
        <v>1759</v>
      </c>
      <c r="K851" s="134" t="s">
        <v>204</v>
      </c>
      <c r="L851" s="135">
        <v>1</v>
      </c>
      <c r="M851" s="153" t="s">
        <v>208</v>
      </c>
      <c r="N851" s="136">
        <f>Table1[[#This Row],[gross_weight]]-Table1[[#This Row],[tare_weight]]</f>
        <v>2138</v>
      </c>
      <c r="O851" s="136">
        <v>3902</v>
      </c>
      <c r="P851" s="136">
        <v>1764</v>
      </c>
      <c r="Q851" s="137">
        <f t="shared" si="74"/>
        <v>2138</v>
      </c>
      <c r="R851" s="133"/>
      <c r="S851" s="158">
        <v>45791.707638888889</v>
      </c>
      <c r="T851" s="153" t="s">
        <v>1756</v>
      </c>
      <c r="U851" s="139" t="str">
        <f t="shared" si="72"/>
        <v>_driedflower_milled_bulk_Rohan</v>
      </c>
      <c r="V851" s="140" t="str">
        <f>IF(U851="_","",_xlfn.XLOOKUP(U851,internal_cansku_inventory!D:D,internal_cansku_inventory!E:E,"",0,1))</f>
        <v/>
      </c>
    </row>
    <row r="852" spans="1:22" ht="12.45" customHeight="1">
      <c r="A852" s="154">
        <v>765</v>
      </c>
      <c r="B852" s="154">
        <v>0</v>
      </c>
      <c r="C852" s="132" t="str">
        <f>Table1[[#This Row],[inventory_id_head]]&amp;"-"&amp;Table1[[#This Row],[inventory_id_tail]]</f>
        <v>765-0</v>
      </c>
      <c r="D852" s="153" t="s">
        <v>653</v>
      </c>
      <c r="E852" s="133" t="s">
        <v>1760</v>
      </c>
      <c r="F852" s="153" t="s">
        <v>204</v>
      </c>
      <c r="G852" s="133" t="str">
        <f t="shared" si="73"/>
        <v>P019EXNA</v>
      </c>
      <c r="H852" s="133" t="s">
        <v>361</v>
      </c>
      <c r="I852" s="133"/>
      <c r="J852" s="133">
        <v>2025051501</v>
      </c>
      <c r="K852" s="134" t="s">
        <v>55</v>
      </c>
      <c r="L852" s="135">
        <v>1</v>
      </c>
      <c r="M852" s="153" t="s">
        <v>208</v>
      </c>
      <c r="N852" s="136">
        <f>Table1[[#This Row],[gross_weight]]-Table1[[#This Row],[tare_weight]]</f>
        <v>3000</v>
      </c>
      <c r="O852" s="136">
        <v>4002</v>
      </c>
      <c r="P852" s="136">
        <v>1002</v>
      </c>
      <c r="Q852" s="137">
        <f t="shared" si="74"/>
        <v>3000</v>
      </c>
      <c r="R852" s="133"/>
      <c r="S852" s="158">
        <v>45792</v>
      </c>
      <c r="T852" s="153" t="s">
        <v>664</v>
      </c>
      <c r="U852" s="139" t="str">
        <f t="shared" si="72"/>
        <v>_extract_distillate_bulk</v>
      </c>
      <c r="V852" s="140" t="str">
        <f>IF(U852="_","",_xlfn.XLOOKUP(U852,internal_cansku_inventory!D:D,internal_cansku_inventory!E:E,"",0,1))</f>
        <v/>
      </c>
    </row>
    <row r="853" spans="1:22" ht="12.45" customHeight="1">
      <c r="A853" s="154">
        <v>754</v>
      </c>
      <c r="B853" s="154">
        <v>0</v>
      </c>
      <c r="C853" s="132" t="str">
        <f>Table1[[#This Row],[inventory_id_head]]&amp;"-"&amp;Table1[[#This Row],[inventory_id_tail]]</f>
        <v>754-0</v>
      </c>
      <c r="D853" s="153" t="s">
        <v>653</v>
      </c>
      <c r="E853" s="133" t="s">
        <v>1761</v>
      </c>
      <c r="F853" s="153" t="s">
        <v>204</v>
      </c>
      <c r="G853" s="133" t="str">
        <f t="shared" si="73"/>
        <v>T069PRNA</v>
      </c>
      <c r="H853" s="133" t="s">
        <v>308</v>
      </c>
      <c r="I853" s="133"/>
      <c r="J853" s="133" t="s">
        <v>568</v>
      </c>
      <c r="K853" s="134">
        <v>45770</v>
      </c>
      <c r="L853" s="135">
        <v>16</v>
      </c>
      <c r="M853" s="153" t="s">
        <v>858</v>
      </c>
      <c r="N853" s="136">
        <v>1.5</v>
      </c>
      <c r="O853" s="136">
        <v>0</v>
      </c>
      <c r="P853" s="136">
        <v>0</v>
      </c>
      <c r="Q853" s="137">
        <f t="shared" si="74"/>
        <v>24</v>
      </c>
      <c r="R853" s="133"/>
      <c r="S853" s="158">
        <v>45793.686111111114</v>
      </c>
      <c r="T853" s="153" t="s">
        <v>1572</v>
      </c>
      <c r="U853" s="139" t="str">
        <f t="shared" si="72"/>
        <v>_preroll_labelled</v>
      </c>
      <c r="V853" s="140" t="str">
        <f>IF(U853="_","",_xlfn.XLOOKUP(U853,internal_cansku_inventory!D:D,internal_cansku_inventory!E:E,"",0,1))</f>
        <v/>
      </c>
    </row>
    <row r="854" spans="1:22" ht="12.45" customHeight="1">
      <c r="A854" s="154">
        <v>97</v>
      </c>
      <c r="B854" s="154">
        <v>0</v>
      </c>
      <c r="C854" s="154" t="str">
        <f>Table1[[#This Row],[inventory_id_head]]&amp;"-"&amp;Table1[[#This Row],[inventory_id_tail]]</f>
        <v>97-0</v>
      </c>
      <c r="D854" s="153" t="s">
        <v>653</v>
      </c>
      <c r="E854" s="153" t="s">
        <v>1762</v>
      </c>
      <c r="F854" s="153" t="s">
        <v>55</v>
      </c>
      <c r="G854" s="133" t="str">
        <f t="shared" si="73"/>
        <v>P010MFNA</v>
      </c>
      <c r="H854" s="153" t="s">
        <v>704</v>
      </c>
      <c r="I854" s="153"/>
      <c r="J854" s="153" t="s">
        <v>799</v>
      </c>
      <c r="K854" s="155">
        <v>45384</v>
      </c>
      <c r="L854" s="156">
        <v>1</v>
      </c>
      <c r="M854" s="153" t="s">
        <v>663</v>
      </c>
      <c r="N854" s="157">
        <f>O854-P854</f>
        <v>1781</v>
      </c>
      <c r="O854" s="136">
        <v>3546</v>
      </c>
      <c r="P854" s="136">
        <f>5400-3635</f>
        <v>1765</v>
      </c>
      <c r="Q854" s="205">
        <f t="shared" si="74"/>
        <v>1781</v>
      </c>
      <c r="R854" s="153"/>
      <c r="S854" s="158">
        <v>45793.698611111111</v>
      </c>
      <c r="T854" s="153" t="s">
        <v>664</v>
      </c>
      <c r="U854" s="139" t="str">
        <f t="shared" si="72"/>
        <v>_driedflower_milled_bulk</v>
      </c>
      <c r="V854" s="140" t="str">
        <f>IF(U854="_","",_xlfn.XLOOKUP(U854,internal_cansku_inventory!D:D,internal_cansku_inventory!E:E,"",0,1))</f>
        <v/>
      </c>
    </row>
    <row r="855" spans="1:22" ht="12.45" customHeight="1">
      <c r="A855" s="132">
        <v>658</v>
      </c>
      <c r="B855" s="132">
        <v>0</v>
      </c>
      <c r="C855" s="132" t="str">
        <f>Table1[[#This Row],[inventory_id_head]]&amp;"-"&amp;Table1[[#This Row],[inventory_id_tail]]</f>
        <v>658-0</v>
      </c>
      <c r="D855" s="133" t="s">
        <v>653</v>
      </c>
      <c r="E855" s="133" t="s">
        <v>1763</v>
      </c>
      <c r="F855" s="153" t="s">
        <v>655</v>
      </c>
      <c r="G855" s="133" t="str">
        <f t="shared" si="73"/>
        <v>P022MFNA</v>
      </c>
      <c r="H855" s="133" t="s">
        <v>356</v>
      </c>
      <c r="I855" s="133"/>
      <c r="J855" s="133" t="s">
        <v>1435</v>
      </c>
      <c r="K855" s="134" t="s">
        <v>655</v>
      </c>
      <c r="L855" s="135">
        <v>1</v>
      </c>
      <c r="M855" s="133" t="s">
        <v>994</v>
      </c>
      <c r="N855" s="136">
        <f>Table1[[#This Row],[gross_weight]]-Table1[[#This Row],[tare_weight]]</f>
        <v>1998</v>
      </c>
      <c r="O855" s="136">
        <v>3868</v>
      </c>
      <c r="P855" s="136">
        <v>1870</v>
      </c>
      <c r="Q855" s="137">
        <f>Table1[[#This Row],[number_of_unit]]*Table1[[#This Row],[net_weight_per_unit]]</f>
        <v>1998</v>
      </c>
      <c r="R855" s="133"/>
      <c r="S855" s="138">
        <v>45793.699305555558</v>
      </c>
      <c r="T855" s="133" t="s">
        <v>978</v>
      </c>
      <c r="U855" s="139" t="str">
        <f t="shared" si="72"/>
        <v>_driedflower_milled_bulk</v>
      </c>
      <c r="V855" s="140" t="str">
        <f>IF(U855="_","",_xlfn.XLOOKUP(U855,internal_cansku_inventory!D:D,internal_cansku_inventory!E:E,"",0,1))</f>
        <v/>
      </c>
    </row>
    <row r="856" spans="1:22" ht="12.45" customHeight="1">
      <c r="A856" s="132">
        <v>741</v>
      </c>
      <c r="B856" s="154">
        <v>4</v>
      </c>
      <c r="C856" s="154" t="str">
        <f>Table1[[#This Row],[inventory_id_head]]&amp;"-"&amp;Table1[[#This Row],[inventory_id_tail]]</f>
        <v>741-4</v>
      </c>
      <c r="D856" s="133" t="s">
        <v>653</v>
      </c>
      <c r="E856" s="153" t="s">
        <v>1764</v>
      </c>
      <c r="F856" s="153" t="s">
        <v>204</v>
      </c>
      <c r="G856" s="133" t="str">
        <f t="shared" si="73"/>
        <v>P032MFNA</v>
      </c>
      <c r="H856" s="133" t="s">
        <v>1698</v>
      </c>
      <c r="I856" s="153"/>
      <c r="J856" s="133" t="s">
        <v>1765</v>
      </c>
      <c r="K856" s="134" t="s">
        <v>204</v>
      </c>
      <c r="L856" s="156">
        <v>1</v>
      </c>
      <c r="M856" s="153" t="s">
        <v>208</v>
      </c>
      <c r="N856" s="136">
        <v>4366</v>
      </c>
      <c r="O856" s="136">
        <v>4366</v>
      </c>
      <c r="P856" s="136">
        <v>1570</v>
      </c>
      <c r="Q856" s="137">
        <f t="shared" ref="Q856:Q871" si="75">L856*N856</f>
        <v>4366</v>
      </c>
      <c r="R856" s="153"/>
      <c r="S856" s="138">
        <v>45794.582638888889</v>
      </c>
      <c r="T856" s="133" t="s">
        <v>1756</v>
      </c>
      <c r="U856" s="139" t="str">
        <f t="shared" si="72"/>
        <v>_diredflower_milled_bulk_Rohan</v>
      </c>
      <c r="V856" s="140" t="str">
        <f>IF(U856="_","",_xlfn.XLOOKUP(U856,internal_cansku_inventory!D:D,internal_cansku_inventory!E:E,"",0,1))</f>
        <v/>
      </c>
    </row>
    <row r="857" spans="1:22" ht="12.45" customHeight="1">
      <c r="A857" s="132">
        <v>501</v>
      </c>
      <c r="B857" s="154">
        <v>1</v>
      </c>
      <c r="C857" s="154" t="str">
        <f>Table1[[#This Row],[inventory_id_head]]&amp;"-"&amp;Table1[[#This Row],[inventory_id_tail]]</f>
        <v>501-1</v>
      </c>
      <c r="D857" s="133" t="s">
        <v>653</v>
      </c>
      <c r="E857" s="133" t="s">
        <v>1766</v>
      </c>
      <c r="F857" s="133" t="s">
        <v>204</v>
      </c>
      <c r="G857" s="133" t="str">
        <f t="shared" si="73"/>
        <v>J029EXNA</v>
      </c>
      <c r="H857" s="133" t="s">
        <v>358</v>
      </c>
      <c r="I857" s="133"/>
      <c r="J857" s="133" t="s">
        <v>1767</v>
      </c>
      <c r="K857" s="134" t="s">
        <v>55</v>
      </c>
      <c r="L857" s="135">
        <v>1</v>
      </c>
      <c r="M857" s="133" t="s">
        <v>208</v>
      </c>
      <c r="N857" s="136">
        <f>Table1[[#This Row],[gross_weight]]-Table1[[#This Row],[tare_weight]]</f>
        <v>105</v>
      </c>
      <c r="O857" s="136">
        <v>1085</v>
      </c>
      <c r="P857" s="136">
        <v>980</v>
      </c>
      <c r="Q857" s="137">
        <f t="shared" si="75"/>
        <v>105</v>
      </c>
      <c r="R857" s="133"/>
      <c r="S857" s="138">
        <v>45797</v>
      </c>
      <c r="T857" s="133" t="s">
        <v>664</v>
      </c>
      <c r="U857" s="139" t="str">
        <f t="shared" si="72"/>
        <v>_extract_inhaled_bulk</v>
      </c>
      <c r="V857" s="140" t="str">
        <f>IF(U857="_","",_xlfn.XLOOKUP(U857,internal_cansku_inventory!D:D,internal_cansku_inventory!E:E,"",0,1))</f>
        <v/>
      </c>
    </row>
    <row r="858" spans="1:22" ht="12.45" customHeight="1">
      <c r="A858" s="132">
        <v>764</v>
      </c>
      <c r="B858" s="154">
        <v>1</v>
      </c>
      <c r="C858" s="154" t="str">
        <f>Table1[[#This Row],[inventory_id_head]]&amp;"-"&amp;Table1[[#This Row],[inventory_id_tail]]</f>
        <v>764-1</v>
      </c>
      <c r="D858" s="133" t="s">
        <v>653</v>
      </c>
      <c r="E858" s="133" t="s">
        <v>1768</v>
      </c>
      <c r="F858" s="133" t="s">
        <v>204</v>
      </c>
      <c r="G858" s="133" t="str">
        <f t="shared" si="73"/>
        <v>P031MFNA</v>
      </c>
      <c r="H858" s="153" t="s">
        <v>356</v>
      </c>
      <c r="I858" s="133"/>
      <c r="J858" s="133" t="s">
        <v>1755</v>
      </c>
      <c r="K858" s="134" t="s">
        <v>55</v>
      </c>
      <c r="L858" s="135">
        <v>1</v>
      </c>
      <c r="M858" s="133" t="s">
        <v>208</v>
      </c>
      <c r="N858" s="136">
        <f>Table1[[#This Row],[gross_weight]]-Table1[[#This Row],[tare_weight]]</f>
        <v>2310</v>
      </c>
      <c r="O858" s="136">
        <v>4070</v>
      </c>
      <c r="P858" s="136">
        <v>1760</v>
      </c>
      <c r="Q858" s="205">
        <f t="shared" si="75"/>
        <v>2310</v>
      </c>
      <c r="R858" s="133"/>
      <c r="S858" s="138">
        <v>45797</v>
      </c>
      <c r="T858" s="133" t="s">
        <v>664</v>
      </c>
      <c r="U858" s="139" t="str">
        <f t="shared" si="72"/>
        <v>_driedflower_milled_bulk</v>
      </c>
      <c r="V858" s="140" t="str">
        <f>IF(U858="_","",_xlfn.XLOOKUP(U858,internal_cansku_inventory!D:D,internal_cansku_inventory!E:E,"",0,1))</f>
        <v/>
      </c>
    </row>
    <row r="859" spans="1:22" ht="12.45" customHeight="1">
      <c r="A859" s="132">
        <v>766</v>
      </c>
      <c r="B859" s="154">
        <v>1</v>
      </c>
      <c r="C859" s="154" t="str">
        <f>Table1[[#This Row],[inventory_id_head]]&amp;"-"&amp;Table1[[#This Row],[inventory_id_tail]]</f>
        <v>766-1</v>
      </c>
      <c r="D859" s="153" t="s">
        <v>653</v>
      </c>
      <c r="E859" s="153" t="s">
        <v>1769</v>
      </c>
      <c r="F859" s="133" t="s">
        <v>204</v>
      </c>
      <c r="G859" s="133" t="str">
        <f t="shared" si="73"/>
        <v>T077PRNA</v>
      </c>
      <c r="H859" s="153" t="s">
        <v>308</v>
      </c>
      <c r="I859" s="133"/>
      <c r="J859" s="133" t="s">
        <v>1770</v>
      </c>
      <c r="K859" s="134">
        <v>45790</v>
      </c>
      <c r="L859" s="135">
        <v>168</v>
      </c>
      <c r="M859" s="133" t="s">
        <v>644</v>
      </c>
      <c r="N859" s="136">
        <v>1.5</v>
      </c>
      <c r="O859" s="136">
        <v>0</v>
      </c>
      <c r="P859" s="136">
        <v>0</v>
      </c>
      <c r="Q859" s="205">
        <f t="shared" si="75"/>
        <v>252</v>
      </c>
      <c r="R859" s="133"/>
      <c r="S859" s="138">
        <v>45797</v>
      </c>
      <c r="T859" s="133" t="s">
        <v>670</v>
      </c>
      <c r="U859" s="139" t="str">
        <f t="shared" si="72"/>
        <v>_preroll_labelled</v>
      </c>
      <c r="V859" s="140" t="str">
        <f>IF(U859="_","",_xlfn.XLOOKUP(U859,internal_cansku_inventory!D:D,internal_cansku_inventory!E:E,"",0,1))</f>
        <v/>
      </c>
    </row>
    <row r="860" spans="1:22" ht="12.45" customHeight="1">
      <c r="A860" s="132">
        <v>398</v>
      </c>
      <c r="B860" s="154">
        <v>1</v>
      </c>
      <c r="C860" s="154" t="str">
        <f>Table1[[#This Row],[inventory_id_head]]&amp;"-"&amp;Table1[[#This Row],[inventory_id_tail]]</f>
        <v>398-1</v>
      </c>
      <c r="D860" s="133" t="s">
        <v>653</v>
      </c>
      <c r="E860" s="153" t="s">
        <v>867</v>
      </c>
      <c r="F860" s="133" t="s">
        <v>868</v>
      </c>
      <c r="G860" s="133" t="str">
        <f t="shared" si="73"/>
        <v>RACK_BGRID_2</v>
      </c>
      <c r="H860" s="153" t="s">
        <v>308</v>
      </c>
      <c r="I860" s="133"/>
      <c r="J860" s="133" t="s">
        <v>999</v>
      </c>
      <c r="K860" s="134">
        <v>45581</v>
      </c>
      <c r="L860" s="148">
        <v>1</v>
      </c>
      <c r="M860" s="133" t="s">
        <v>858</v>
      </c>
      <c r="N860" s="136">
        <f>O860-P860</f>
        <v>1.5</v>
      </c>
      <c r="O860" s="136">
        <v>1.5</v>
      </c>
      <c r="P860" s="136">
        <v>0</v>
      </c>
      <c r="Q860" s="137">
        <f t="shared" si="75"/>
        <v>1.5</v>
      </c>
      <c r="R860" s="133"/>
      <c r="S860" s="138">
        <v>45797</v>
      </c>
      <c r="T860" s="133" t="s">
        <v>657</v>
      </c>
      <c r="U860" s="139" t="str">
        <f t="shared" si="72"/>
        <v>_preroll_labelled</v>
      </c>
      <c r="V860" s="140" t="str">
        <f>IF(U860="_","",_xlfn.XLOOKUP(U860,internal_cansku_inventory!D:D,internal_cansku_inventory!E:E,"",0,1))</f>
        <v/>
      </c>
    </row>
    <row r="861" spans="1:22" ht="12.45" customHeight="1">
      <c r="A861" s="132">
        <v>143</v>
      </c>
      <c r="B861" s="154">
        <v>3</v>
      </c>
      <c r="C861" s="154" t="str">
        <f>Table1[[#This Row],[inventory_id_head]]&amp;"-"&amp;Table1[[#This Row],[inventory_id_tail]]</f>
        <v>143-3</v>
      </c>
      <c r="D861" s="133" t="s">
        <v>653</v>
      </c>
      <c r="E861" s="133" t="s">
        <v>1573</v>
      </c>
      <c r="F861" s="133" t="s">
        <v>204</v>
      </c>
      <c r="G861" s="133" t="str">
        <f t="shared" si="73"/>
        <v>T073PRNA</v>
      </c>
      <c r="H861" s="133" t="s">
        <v>375</v>
      </c>
      <c r="I861" s="133"/>
      <c r="J861" s="133" t="s">
        <v>1574</v>
      </c>
      <c r="K861" s="134" t="s">
        <v>55</v>
      </c>
      <c r="L861" s="135">
        <v>288</v>
      </c>
      <c r="M861" s="133" t="s">
        <v>644</v>
      </c>
      <c r="N861" s="136">
        <v>1.5</v>
      </c>
      <c r="O861" s="136">
        <v>0</v>
      </c>
      <c r="P861" s="136">
        <v>0</v>
      </c>
      <c r="Q861" s="137">
        <f t="shared" si="75"/>
        <v>432</v>
      </c>
      <c r="R861" s="133"/>
      <c r="S861" s="138">
        <v>45797</v>
      </c>
      <c r="T861" s="133" t="s">
        <v>657</v>
      </c>
      <c r="U861" s="139" t="str">
        <f t="shared" si="72"/>
        <v>_preroll_packaged</v>
      </c>
      <c r="V861" s="140" t="str">
        <f>IF(U861="_","",_xlfn.XLOOKUP(U861,internal_cansku_inventory!D:D,internal_cansku_inventory!E:E,"",0,1))</f>
        <v/>
      </c>
    </row>
    <row r="862" spans="1:22" ht="12.45" customHeight="1">
      <c r="A862" s="154">
        <v>434</v>
      </c>
      <c r="B862" s="154">
        <v>0</v>
      </c>
      <c r="C862" s="154" t="str">
        <f>Table1[[#This Row],[inventory_id_head]]&amp;"-"&amp;Table1[[#This Row],[inventory_id_tail]]</f>
        <v>434-0</v>
      </c>
      <c r="D862" s="153" t="s">
        <v>653</v>
      </c>
      <c r="E862" s="153" t="s">
        <v>1771</v>
      </c>
      <c r="F862" s="153" t="s">
        <v>655</v>
      </c>
      <c r="G862" s="133" t="str">
        <f t="shared" si="73"/>
        <v>T054PRNA</v>
      </c>
      <c r="H862" s="133" t="s">
        <v>308</v>
      </c>
      <c r="I862" s="153"/>
      <c r="J862" s="153" t="s">
        <v>1122</v>
      </c>
      <c r="K862" s="155">
        <v>45588</v>
      </c>
      <c r="L862" s="271">
        <v>20</v>
      </c>
      <c r="M862" s="153" t="s">
        <v>858</v>
      </c>
      <c r="N862" s="157">
        <v>1.5</v>
      </c>
      <c r="O862" s="157">
        <v>588.61</v>
      </c>
      <c r="P862" s="157">
        <v>308.92</v>
      </c>
      <c r="Q862" s="205">
        <f t="shared" si="75"/>
        <v>30</v>
      </c>
      <c r="R862" s="153"/>
      <c r="S862" s="158">
        <v>45797.658333333333</v>
      </c>
      <c r="T862" s="153" t="s">
        <v>657</v>
      </c>
      <c r="U862" s="139" t="str">
        <f t="shared" si="72"/>
        <v>_preroll_labelled</v>
      </c>
      <c r="V862" s="206" t="str">
        <f>IF(U862="_","",_xlfn.XLOOKUP(U862,internal_cansku_inventory!D:D,internal_cansku_inventory!E:E,"",0,1))</f>
        <v/>
      </c>
    </row>
    <row r="863" spans="1:22" ht="12.45" customHeight="1">
      <c r="A863" s="154">
        <v>426</v>
      </c>
      <c r="B863" s="154">
        <v>0</v>
      </c>
      <c r="C863" s="154" t="str">
        <f>Table1[[#This Row],[inventory_id_head]]&amp;"-"&amp;Table1[[#This Row],[inventory_id_tail]]</f>
        <v>426-0</v>
      </c>
      <c r="D863" s="153" t="s">
        <v>653</v>
      </c>
      <c r="E863" s="153" t="s">
        <v>1167</v>
      </c>
      <c r="F863" s="153" t="s">
        <v>655</v>
      </c>
      <c r="G863" s="133" t="str">
        <f t="shared" si="73"/>
        <v>T050PRNA</v>
      </c>
      <c r="H863" s="133" t="s">
        <v>813</v>
      </c>
      <c r="I863" s="153"/>
      <c r="J863" s="153" t="s">
        <v>1143</v>
      </c>
      <c r="K863" s="155">
        <v>45588</v>
      </c>
      <c r="L863" s="156">
        <v>130</v>
      </c>
      <c r="M863" s="153" t="s">
        <v>858</v>
      </c>
      <c r="N863" s="157">
        <v>1</v>
      </c>
      <c r="O863" s="157">
        <v>0</v>
      </c>
      <c r="P863" s="157">
        <v>0</v>
      </c>
      <c r="Q863" s="205">
        <f t="shared" si="75"/>
        <v>130</v>
      </c>
      <c r="R863" s="153"/>
      <c r="S863" s="158">
        <v>45797.679861111108</v>
      </c>
      <c r="T863" s="153" t="s">
        <v>657</v>
      </c>
      <c r="U863" s="139" t="str">
        <f t="shared" si="72"/>
        <v>_preroll_labelled</v>
      </c>
      <c r="V863" s="206" t="str">
        <f>IF(U863="_","",_xlfn.XLOOKUP(U863,internal_cansku_inventory!D:D,internal_cansku_inventory!E:E,"",0,1))</f>
        <v/>
      </c>
    </row>
    <row r="864" spans="1:22" ht="12.45" customHeight="1">
      <c r="A864" s="154">
        <v>522</v>
      </c>
      <c r="B864" s="154">
        <v>0</v>
      </c>
      <c r="C864" s="154" t="str">
        <f>Table1[[#This Row],[inventory_id_head]]&amp;"-"&amp;Table1[[#This Row],[inventory_id_tail]]</f>
        <v>522-0</v>
      </c>
      <c r="D864" s="153" t="s">
        <v>653</v>
      </c>
      <c r="E864" s="153" t="s">
        <v>1772</v>
      </c>
      <c r="F864" s="153" t="s">
        <v>655</v>
      </c>
      <c r="G864" s="133" t="str">
        <f t="shared" si="73"/>
        <v>T050PRNA</v>
      </c>
      <c r="H864" s="153" t="s">
        <v>813</v>
      </c>
      <c r="I864" s="153"/>
      <c r="J864" s="153" t="s">
        <v>1143</v>
      </c>
      <c r="K864" s="155">
        <v>45616</v>
      </c>
      <c r="L864" s="271">
        <v>5</v>
      </c>
      <c r="M864" s="153" t="s">
        <v>858</v>
      </c>
      <c r="N864" s="157">
        <v>1</v>
      </c>
      <c r="O864" s="157">
        <v>0</v>
      </c>
      <c r="P864" s="157">
        <v>0</v>
      </c>
      <c r="Q864" s="205">
        <f t="shared" si="75"/>
        <v>5</v>
      </c>
      <c r="R864" s="153"/>
      <c r="S864" s="158">
        <v>45797.679861111108</v>
      </c>
      <c r="T864" s="153" t="s">
        <v>657</v>
      </c>
      <c r="U864" s="139" t="str">
        <f t="shared" si="72"/>
        <v>_preroll_labelled</v>
      </c>
      <c r="V864" s="206" t="str">
        <f>IF(U864="_","",_xlfn.XLOOKUP(U864,internal_cansku_inventory!D:D,internal_cansku_inventory!E:E,"",0,1))</f>
        <v/>
      </c>
    </row>
    <row r="865" spans="1:22" ht="12.45" customHeight="1">
      <c r="A865" s="154">
        <v>767</v>
      </c>
      <c r="B865" s="154">
        <v>1</v>
      </c>
      <c r="C865" s="154" t="str">
        <f>Table1[[#This Row],[inventory_id_head]]&amp;"-"&amp;Table1[[#This Row],[inventory_id_tail]]</f>
        <v>767-1</v>
      </c>
      <c r="D865" s="153" t="s">
        <v>653</v>
      </c>
      <c r="E865" s="153" t="s">
        <v>55</v>
      </c>
      <c r="F865" s="153" t="s">
        <v>55</v>
      </c>
      <c r="G865" s="133" t="s">
        <v>55</v>
      </c>
      <c r="H865" s="153" t="s">
        <v>444</v>
      </c>
      <c r="I865" s="153"/>
      <c r="J865" s="153" t="s">
        <v>659</v>
      </c>
      <c r="K865" s="155">
        <v>45638</v>
      </c>
      <c r="L865" s="156">
        <v>1</v>
      </c>
      <c r="M865" s="153" t="s">
        <v>1298</v>
      </c>
      <c r="N865" s="157">
        <f>12*45</f>
        <v>540</v>
      </c>
      <c r="O865" s="157">
        <v>0</v>
      </c>
      <c r="P865" s="157">
        <v>0</v>
      </c>
      <c r="Q865" s="205">
        <f t="shared" si="75"/>
        <v>540</v>
      </c>
      <c r="R865" s="153" t="s">
        <v>1773</v>
      </c>
      <c r="S865" s="158">
        <v>45798</v>
      </c>
      <c r="T865" s="153" t="s">
        <v>657</v>
      </c>
      <c r="U865" s="139" t="str">
        <f t="shared" si="72"/>
        <v>_topical_cased_ON</v>
      </c>
      <c r="V865" s="206" t="str">
        <f>IF(U865="_","",_xlfn.XLOOKUP(U865,internal_cansku_inventory!D:D,internal_cansku_inventory!E:E,"",0,1))</f>
        <v/>
      </c>
    </row>
    <row r="866" spans="1:22" ht="12.45" customHeight="1">
      <c r="A866" s="154">
        <v>767</v>
      </c>
      <c r="B866" s="154">
        <v>2</v>
      </c>
      <c r="C866" s="154" t="str">
        <f>Table1[[#This Row],[inventory_id_head]]&amp;"-"&amp;Table1[[#This Row],[inventory_id_tail]]</f>
        <v>767-2</v>
      </c>
      <c r="D866" s="153" t="s">
        <v>653</v>
      </c>
      <c r="E866" s="153" t="s">
        <v>55</v>
      </c>
      <c r="F866" s="153" t="s">
        <v>55</v>
      </c>
      <c r="G866" s="133" t="s">
        <v>55</v>
      </c>
      <c r="H866" s="153" t="s">
        <v>442</v>
      </c>
      <c r="I866" s="153"/>
      <c r="J866" s="153" t="s">
        <v>1774</v>
      </c>
      <c r="K866" s="155">
        <v>45790</v>
      </c>
      <c r="L866" s="156">
        <v>10</v>
      </c>
      <c r="M866" s="153" t="s">
        <v>1298</v>
      </c>
      <c r="N866" s="157">
        <f>12*50</f>
        <v>600</v>
      </c>
      <c r="O866" s="157">
        <v>0</v>
      </c>
      <c r="P866" s="157">
        <v>0</v>
      </c>
      <c r="Q866" s="205">
        <f t="shared" si="75"/>
        <v>6000</v>
      </c>
      <c r="R866" s="153" t="s">
        <v>1773</v>
      </c>
      <c r="S866" s="158">
        <v>45798</v>
      </c>
      <c r="T866" s="153" t="s">
        <v>657</v>
      </c>
      <c r="U866" s="139" t="str">
        <f t="shared" si="72"/>
        <v>_extract_ingested_cased_ON</v>
      </c>
      <c r="V866" s="206" t="str">
        <f>IF(U866="_","",_xlfn.XLOOKUP(U866,internal_cansku_inventory!D:D,internal_cansku_inventory!E:E,"",0,1))</f>
        <v/>
      </c>
    </row>
    <row r="867" spans="1:22" ht="12.45" customHeight="1">
      <c r="A867" s="132">
        <v>765</v>
      </c>
      <c r="B867" s="132">
        <v>1</v>
      </c>
      <c r="C867" s="132" t="str">
        <f>Table1[[#This Row],[inventory_id_head]]&amp;"-"&amp;Table1[[#This Row],[inventory_id_tail]]</f>
        <v>765-1</v>
      </c>
      <c r="D867" s="153" t="s">
        <v>653</v>
      </c>
      <c r="E867" s="133" t="s">
        <v>1775</v>
      </c>
      <c r="F867" s="153" t="s">
        <v>204</v>
      </c>
      <c r="G867" s="133" t="str">
        <f t="shared" ref="G867:G898" si="76">E867&amp;F867</f>
        <v>P020EXNA</v>
      </c>
      <c r="H867" s="153" t="s">
        <v>361</v>
      </c>
      <c r="I867" s="133"/>
      <c r="J867" s="133">
        <v>2025051501</v>
      </c>
      <c r="K867" s="134" t="s">
        <v>55</v>
      </c>
      <c r="L867" s="135">
        <v>1</v>
      </c>
      <c r="M867" s="133" t="s">
        <v>208</v>
      </c>
      <c r="N867" s="157">
        <f>Table1[[#This Row],[gross_weight]]-Table1[[#This Row],[tare_weight]]</f>
        <v>2000</v>
      </c>
      <c r="O867" s="136">
        <v>2992</v>
      </c>
      <c r="P867" s="136">
        <v>992</v>
      </c>
      <c r="Q867" s="205">
        <f t="shared" si="75"/>
        <v>2000</v>
      </c>
      <c r="R867" s="133"/>
      <c r="S867" s="158">
        <v>45798</v>
      </c>
      <c r="T867" s="133" t="s">
        <v>664</v>
      </c>
      <c r="U867" s="139" t="str">
        <f t="shared" si="72"/>
        <v>_extract_distillate_bulk</v>
      </c>
      <c r="V867" s="206" t="str">
        <f>IF(U867="_","",_xlfn.XLOOKUP(U867,internal_cansku_inventory!D:D,internal_cansku_inventory!E:E,"",0,1))</f>
        <v/>
      </c>
    </row>
    <row r="868" spans="1:22" ht="12.45" customHeight="1">
      <c r="A868" s="132">
        <v>768</v>
      </c>
      <c r="B868" s="132">
        <v>1</v>
      </c>
      <c r="C868" s="132" t="str">
        <f>Table1[[#This Row],[inventory_id_head]]&amp;"-"&amp;Table1[[#This Row],[inventory_id_tail]]</f>
        <v>768-1</v>
      </c>
      <c r="D868" s="133" t="s">
        <v>653</v>
      </c>
      <c r="E868" s="133" t="s">
        <v>1776</v>
      </c>
      <c r="F868" s="133" t="s">
        <v>204</v>
      </c>
      <c r="G868" s="133" t="str">
        <f t="shared" si="76"/>
        <v>T165EXNA</v>
      </c>
      <c r="H868" s="133" t="s">
        <v>413</v>
      </c>
      <c r="I868" s="133"/>
      <c r="J868" s="133" t="s">
        <v>1774</v>
      </c>
      <c r="K868" s="134" t="s">
        <v>55</v>
      </c>
      <c r="L868" s="135">
        <v>86</v>
      </c>
      <c r="M868" s="133" t="s">
        <v>644</v>
      </c>
      <c r="N868" s="136">
        <v>50</v>
      </c>
      <c r="O868" s="136">
        <v>0</v>
      </c>
      <c r="P868" s="136">
        <v>0</v>
      </c>
      <c r="Q868" s="137">
        <f t="shared" si="75"/>
        <v>4300</v>
      </c>
      <c r="R868" s="133"/>
      <c r="S868" s="158">
        <v>45798</v>
      </c>
      <c r="T868" s="133" t="s">
        <v>670</v>
      </c>
      <c r="U868" s="139" t="str">
        <f t="shared" si="72"/>
        <v>_extract_ingested_packaged</v>
      </c>
      <c r="V868" s="140" t="str">
        <f>IF(U868="_","",_xlfn.XLOOKUP(U868,internal_cansku_inventory!D:D,internal_cansku_inventory!E:E,"",0,1))</f>
        <v/>
      </c>
    </row>
    <row r="869" spans="1:22" ht="12.45" customHeight="1">
      <c r="A869" s="132">
        <v>768</v>
      </c>
      <c r="B869" s="132">
        <v>2</v>
      </c>
      <c r="C869" s="132" t="str">
        <f>Table1[[#This Row],[inventory_id_head]]&amp;"-"&amp;Table1[[#This Row],[inventory_id_tail]]</f>
        <v>768-2</v>
      </c>
      <c r="D869" s="133" t="s">
        <v>653</v>
      </c>
      <c r="E869" s="133" t="s">
        <v>1777</v>
      </c>
      <c r="F869" s="133" t="s">
        <v>204</v>
      </c>
      <c r="G869" s="133" t="str">
        <f t="shared" si="76"/>
        <v>T166EXNA</v>
      </c>
      <c r="H869" s="133" t="s">
        <v>413</v>
      </c>
      <c r="I869" s="133"/>
      <c r="J869" s="133" t="s">
        <v>1774</v>
      </c>
      <c r="K869" s="134">
        <v>45790</v>
      </c>
      <c r="L869" s="135">
        <v>482</v>
      </c>
      <c r="M869" s="133" t="s">
        <v>644</v>
      </c>
      <c r="N869" s="157">
        <v>50</v>
      </c>
      <c r="O869" s="136">
        <v>0</v>
      </c>
      <c r="P869" s="136">
        <v>0</v>
      </c>
      <c r="Q869" s="205">
        <f t="shared" si="75"/>
        <v>24100</v>
      </c>
      <c r="R869" s="133"/>
      <c r="S869" s="138">
        <v>45798</v>
      </c>
      <c r="T869" s="133" t="s">
        <v>670</v>
      </c>
      <c r="U869" s="139" t="str">
        <f t="shared" si="72"/>
        <v>_extract_ingested_packaged</v>
      </c>
      <c r="V869" s="140" t="str">
        <f>IF(U869="_","",_xlfn.XLOOKUP(U869,internal_cansku_inventory!D:D,internal_cansku_inventory!E:E,"",0,1))</f>
        <v/>
      </c>
    </row>
    <row r="870" spans="1:22" ht="12.45" customHeight="1">
      <c r="A870" s="132">
        <v>195</v>
      </c>
      <c r="B870" s="132">
        <v>0</v>
      </c>
      <c r="C870" s="132" t="str">
        <f>Table1[[#This Row],[inventory_id_head]]&amp;"-"&amp;Table1[[#This Row],[inventory_id_tail]]</f>
        <v>195-0</v>
      </c>
      <c r="D870" s="147" t="s">
        <v>653</v>
      </c>
      <c r="E870" s="133" t="s">
        <v>867</v>
      </c>
      <c r="F870" s="133" t="s">
        <v>868</v>
      </c>
      <c r="G870" s="133" t="str">
        <f t="shared" si="76"/>
        <v>RACK_BGRID_2</v>
      </c>
      <c r="H870" s="133" t="s">
        <v>823</v>
      </c>
      <c r="I870" s="133"/>
      <c r="J870" s="133" t="s">
        <v>913</v>
      </c>
      <c r="K870" s="134" t="s">
        <v>655</v>
      </c>
      <c r="L870" s="135">
        <v>49</v>
      </c>
      <c r="M870" s="147" t="s">
        <v>858</v>
      </c>
      <c r="N870" s="157">
        <v>0.5</v>
      </c>
      <c r="O870" s="136">
        <v>0</v>
      </c>
      <c r="P870" s="136">
        <v>0</v>
      </c>
      <c r="Q870" s="205">
        <f t="shared" si="75"/>
        <v>24.5</v>
      </c>
      <c r="R870" s="133"/>
      <c r="S870" s="138">
        <v>45798.458333333336</v>
      </c>
      <c r="T870" s="133" t="s">
        <v>670</v>
      </c>
      <c r="U870" s="139" t="str">
        <f t="shared" si="72"/>
        <v>_preroll_bulk</v>
      </c>
      <c r="V870" s="206" t="str">
        <f>IF(U870="_","",_xlfn.XLOOKUP(U870,internal_cansku_inventory!D:D,internal_cansku_inventory!E:E,"",0,1))</f>
        <v/>
      </c>
    </row>
    <row r="871" spans="1:22" ht="12.45" customHeight="1">
      <c r="A871" s="132">
        <v>209</v>
      </c>
      <c r="B871" s="132">
        <v>0</v>
      </c>
      <c r="C871" s="132" t="str">
        <f>Table1[[#This Row],[inventory_id_head]]&amp;"-"&amp;Table1[[#This Row],[inventory_id_tail]]</f>
        <v>209-0</v>
      </c>
      <c r="D871" s="133" t="s">
        <v>653</v>
      </c>
      <c r="E871" s="133" t="s">
        <v>1778</v>
      </c>
      <c r="F871" s="133" t="s">
        <v>655</v>
      </c>
      <c r="G871" s="133" t="str">
        <f t="shared" si="76"/>
        <v>T012EXNA</v>
      </c>
      <c r="H871" s="133" t="s">
        <v>861</v>
      </c>
      <c r="I871" s="133"/>
      <c r="J871" s="133" t="s">
        <v>934</v>
      </c>
      <c r="K871" s="134">
        <v>45777</v>
      </c>
      <c r="L871" s="135">
        <v>27</v>
      </c>
      <c r="M871" s="133" t="s">
        <v>644</v>
      </c>
      <c r="N871" s="136">
        <v>27.4</v>
      </c>
      <c r="O871" s="136">
        <v>0</v>
      </c>
      <c r="P871" s="136">
        <v>0</v>
      </c>
      <c r="Q871" s="205">
        <f t="shared" si="75"/>
        <v>739.8</v>
      </c>
      <c r="R871" s="133"/>
      <c r="S871" s="138">
        <v>45800</v>
      </c>
      <c r="T871" s="133" t="s">
        <v>670</v>
      </c>
      <c r="U871" s="139" t="str">
        <f t="shared" si="72"/>
        <v>_extract_ingested_labelled</v>
      </c>
      <c r="V871" s="206" t="str">
        <f>IF(U871="_","",_xlfn.XLOOKUP(U871,internal_cansku_inventory!D:D,internal_cansku_inventory!E:E,"",0,1))</f>
        <v/>
      </c>
    </row>
    <row r="872" spans="1:22" ht="12.45" customHeight="1">
      <c r="A872" s="132">
        <v>667</v>
      </c>
      <c r="B872" s="132">
        <v>2</v>
      </c>
      <c r="C872" s="132" t="str">
        <f>Table1[[#This Row],[inventory_id_head]]&amp;"-"&amp;Table1[[#This Row],[inventory_id_tail]]</f>
        <v>667-2</v>
      </c>
      <c r="D872" s="153" t="s">
        <v>653</v>
      </c>
      <c r="E872" s="153" t="s">
        <v>1779</v>
      </c>
      <c r="F872" s="153" t="s">
        <v>655</v>
      </c>
      <c r="G872" s="133" t="str">
        <f t="shared" si="76"/>
        <v>P021EXNA</v>
      </c>
      <c r="H872" s="153" t="s">
        <v>358</v>
      </c>
      <c r="I872" s="133"/>
      <c r="J872" s="133" t="s">
        <v>1780</v>
      </c>
      <c r="K872" s="155" t="s">
        <v>55</v>
      </c>
      <c r="L872" s="135">
        <v>1</v>
      </c>
      <c r="M872" s="153" t="s">
        <v>663</v>
      </c>
      <c r="N872" s="157">
        <f>Table1[[#This Row],[gross_weight]]-Table1[[#This Row],[tare_weight]]</f>
        <v>108.39999999999998</v>
      </c>
      <c r="O872" s="136">
        <v>1096.4000000000001</v>
      </c>
      <c r="P872" s="136">
        <f>1096.4-108.4</f>
        <v>988.00000000000011</v>
      </c>
      <c r="Q872" s="205">
        <f>Table1[[#This Row],[number_of_unit]]*Table1[[#This Row],[net_weight_per_unit]]</f>
        <v>108.39999999999998</v>
      </c>
      <c r="R872" s="133"/>
      <c r="S872" s="158">
        <v>45800.441666666666</v>
      </c>
      <c r="T872" s="153" t="s">
        <v>664</v>
      </c>
      <c r="U872" s="139" t="str">
        <f t="shared" si="72"/>
        <v>_extract_inhaled_bulk</v>
      </c>
      <c r="V872" s="206" t="str">
        <f>IF(U872="_","",_xlfn.XLOOKUP(U872,internal_cansku_inventory!D:D,internal_cansku_inventory!E:E,"",0,1))</f>
        <v/>
      </c>
    </row>
    <row r="873" spans="1:22" ht="12.45" customHeight="1">
      <c r="A873" s="132">
        <v>769</v>
      </c>
      <c r="B873" s="132">
        <v>0</v>
      </c>
      <c r="C873" s="132" t="str">
        <f>Table1[[#This Row],[inventory_id_head]]&amp;"-"&amp;Table1[[#This Row],[inventory_id_tail]]</f>
        <v>769-0</v>
      </c>
      <c r="D873" s="153" t="s">
        <v>653</v>
      </c>
      <c r="E873" s="133" t="s">
        <v>1781</v>
      </c>
      <c r="F873" s="153" t="s">
        <v>655</v>
      </c>
      <c r="G873" s="133" t="str">
        <f t="shared" si="76"/>
        <v>P022EXNA</v>
      </c>
      <c r="H873" s="133" t="s">
        <v>361</v>
      </c>
      <c r="I873" s="133"/>
      <c r="J873" s="133">
        <v>2025052701</v>
      </c>
      <c r="K873" s="134" t="s">
        <v>55</v>
      </c>
      <c r="L873" s="135">
        <v>1</v>
      </c>
      <c r="M873" s="133" t="s">
        <v>663</v>
      </c>
      <c r="N873" s="136">
        <f>Table1[[#This Row],[gross_weight]]-Table1[[#This Row],[tare_weight]]</f>
        <v>1000</v>
      </c>
      <c r="O873" s="136">
        <v>1938</v>
      </c>
      <c r="P873" s="136">
        <v>938</v>
      </c>
      <c r="Q873" s="205">
        <f>Table1[[#This Row],[number_of_unit]]*Table1[[#This Row],[net_weight_per_unit]]</f>
        <v>1000</v>
      </c>
      <c r="R873" s="133"/>
      <c r="S873" s="158">
        <v>45804</v>
      </c>
      <c r="T873" s="153" t="s">
        <v>664</v>
      </c>
      <c r="U873" s="139" t="str">
        <f t="shared" si="72"/>
        <v>_extract_distillate_bulk</v>
      </c>
      <c r="V873" s="206" t="str">
        <f>IF(U873="_","",_xlfn.XLOOKUP(U873,internal_cansku_inventory!D:D,internal_cansku_inventory!E:E,"",0,1))</f>
        <v/>
      </c>
    </row>
    <row r="874" spans="1:22" ht="12.45" customHeight="1">
      <c r="A874" s="132">
        <v>770</v>
      </c>
      <c r="B874" s="154">
        <v>1</v>
      </c>
      <c r="C874" s="154" t="str">
        <f>Table1[[#This Row],[inventory_id_head]]&amp;"-"&amp;Table1[[#This Row],[inventory_id_tail]]</f>
        <v>770-1</v>
      </c>
      <c r="D874" s="153" t="s">
        <v>653</v>
      </c>
      <c r="E874" s="153" t="s">
        <v>1782</v>
      </c>
      <c r="F874" s="153" t="s">
        <v>55</v>
      </c>
      <c r="G874" s="133" t="str">
        <f t="shared" si="76"/>
        <v>T078PRNA</v>
      </c>
      <c r="H874" s="133" t="s">
        <v>308</v>
      </c>
      <c r="I874" s="133"/>
      <c r="J874" s="133" t="s">
        <v>1783</v>
      </c>
      <c r="K874" s="134">
        <v>45800</v>
      </c>
      <c r="L874" s="156">
        <v>271</v>
      </c>
      <c r="M874" s="133" t="s">
        <v>644</v>
      </c>
      <c r="N874" s="136">
        <v>1.5</v>
      </c>
      <c r="O874" s="136">
        <v>0</v>
      </c>
      <c r="P874" s="136">
        <v>0</v>
      </c>
      <c r="Q874" s="205">
        <f t="shared" ref="Q874:Q905" si="77">L874*N874</f>
        <v>406.5</v>
      </c>
      <c r="R874" s="153"/>
      <c r="S874" s="158">
        <v>45811</v>
      </c>
      <c r="T874" s="153" t="s">
        <v>670</v>
      </c>
      <c r="U874" s="139" t="str">
        <f t="shared" si="72"/>
        <v>_preroll_labelled</v>
      </c>
      <c r="V874" s="206" t="str">
        <f>IF(U874="_","",_xlfn.XLOOKUP(U874,internal_cansku_inventory!D:D,internal_cansku_inventory!E:E,"",0,1))</f>
        <v/>
      </c>
    </row>
    <row r="875" spans="1:22" ht="12.45" customHeight="1">
      <c r="A875" s="154">
        <v>746</v>
      </c>
      <c r="B875" s="154">
        <v>2</v>
      </c>
      <c r="C875" s="154" t="str">
        <f>Table1[[#This Row],[inventory_id_head]]&amp;"-"&amp;Table1[[#This Row],[inventory_id_tail]]</f>
        <v>746-2</v>
      </c>
      <c r="D875" s="133" t="s">
        <v>653</v>
      </c>
      <c r="E875" s="153" t="s">
        <v>1784</v>
      </c>
      <c r="F875" s="153" t="s">
        <v>55</v>
      </c>
      <c r="G875" s="133" t="str">
        <f t="shared" si="76"/>
        <v>T079PRNA</v>
      </c>
      <c r="H875" s="153" t="s">
        <v>308</v>
      </c>
      <c r="I875" s="153"/>
      <c r="J875" s="153" t="s">
        <v>585</v>
      </c>
      <c r="K875" s="155">
        <v>45803</v>
      </c>
      <c r="L875" s="156">
        <v>98</v>
      </c>
      <c r="M875" s="153" t="s">
        <v>644</v>
      </c>
      <c r="N875" s="136">
        <v>6</v>
      </c>
      <c r="O875" s="157">
        <v>0</v>
      </c>
      <c r="P875" s="157">
        <v>0</v>
      </c>
      <c r="Q875" s="137">
        <f t="shared" si="77"/>
        <v>588</v>
      </c>
      <c r="R875" s="153"/>
      <c r="S875" s="138">
        <v>45811</v>
      </c>
      <c r="T875" s="153" t="s">
        <v>670</v>
      </c>
      <c r="U875" s="139" t="str">
        <f t="shared" si="72"/>
        <v>_preroll_labelled</v>
      </c>
      <c r="V875" s="140" t="str">
        <f>IF(U875="_","",_xlfn.XLOOKUP(U875,internal_cansku_inventory!D:D,internal_cansku_inventory!E:E,"",0,1))</f>
        <v/>
      </c>
    </row>
    <row r="876" spans="1:22" ht="12.45" customHeight="1">
      <c r="A876" s="154">
        <v>756</v>
      </c>
      <c r="B876" s="154">
        <v>2</v>
      </c>
      <c r="C876" s="154" t="str">
        <f>Table1[[#This Row],[inventory_id_head]]&amp;"-"&amp;Table1[[#This Row],[inventory_id_tail]]</f>
        <v>756-2</v>
      </c>
      <c r="D876" s="133" t="s">
        <v>653</v>
      </c>
      <c r="E876" s="153" t="s">
        <v>1785</v>
      </c>
      <c r="F876" s="153" t="s">
        <v>55</v>
      </c>
      <c r="G876" s="133" t="str">
        <f t="shared" si="76"/>
        <v>T080PRNA</v>
      </c>
      <c r="H876" s="153" t="s">
        <v>308</v>
      </c>
      <c r="I876" s="153"/>
      <c r="J876" s="153" t="s">
        <v>591</v>
      </c>
      <c r="K876" s="155">
        <v>45783</v>
      </c>
      <c r="L876" s="156">
        <v>112</v>
      </c>
      <c r="M876" s="153" t="s">
        <v>644</v>
      </c>
      <c r="N876" s="136">
        <v>5</v>
      </c>
      <c r="O876" s="157">
        <v>0</v>
      </c>
      <c r="P876" s="157">
        <v>0</v>
      </c>
      <c r="Q876" s="137">
        <f t="shared" si="77"/>
        <v>560</v>
      </c>
      <c r="R876" s="153"/>
      <c r="S876" s="138">
        <v>45811</v>
      </c>
      <c r="T876" s="153" t="s">
        <v>670</v>
      </c>
      <c r="U876" s="139" t="str">
        <f t="shared" si="72"/>
        <v>_preroll_labelled</v>
      </c>
      <c r="V876" s="140" t="str">
        <f>IF(U876="_","",_xlfn.XLOOKUP(U876,internal_cansku_inventory!D:D,internal_cansku_inventory!E:E,"",0,1))</f>
        <v/>
      </c>
    </row>
    <row r="877" spans="1:22" ht="12.45" customHeight="1">
      <c r="A877" s="154">
        <v>737</v>
      </c>
      <c r="B877" s="154">
        <v>8</v>
      </c>
      <c r="C877" s="154" t="str">
        <f>Table1[[#This Row],[inventory_id_head]]&amp;"-"&amp;Table1[[#This Row],[inventory_id_tail]]</f>
        <v>737-8</v>
      </c>
      <c r="D877" s="153" t="s">
        <v>653</v>
      </c>
      <c r="E877" s="153" t="s">
        <v>1786</v>
      </c>
      <c r="F877" s="153" t="s">
        <v>55</v>
      </c>
      <c r="G877" s="133" t="str">
        <f t="shared" si="76"/>
        <v>T079DFNA</v>
      </c>
      <c r="H877" s="153" t="s">
        <v>464</v>
      </c>
      <c r="I877" s="153"/>
      <c r="J877" s="153" t="s">
        <v>595</v>
      </c>
      <c r="K877" s="155">
        <v>45786</v>
      </c>
      <c r="L877" s="156">
        <v>36</v>
      </c>
      <c r="M877" s="153" t="s">
        <v>644</v>
      </c>
      <c r="N877" s="157">
        <v>28</v>
      </c>
      <c r="O877" s="136">
        <v>0</v>
      </c>
      <c r="P877" s="136">
        <v>0</v>
      </c>
      <c r="Q877" s="205">
        <f t="shared" si="77"/>
        <v>1008</v>
      </c>
      <c r="R877" s="153"/>
      <c r="S877" s="138">
        <v>45811</v>
      </c>
      <c r="T877" s="153" t="s">
        <v>670</v>
      </c>
      <c r="U877" s="139" t="str">
        <f t="shared" si="72"/>
        <v>_diredflower_labelled_JEN</v>
      </c>
      <c r="V877" s="140" t="str">
        <f>IF(U877="_","",_xlfn.XLOOKUP(U877,internal_cansku_inventory!D:D,internal_cansku_inventory!E:E,"",0,1))</f>
        <v/>
      </c>
    </row>
    <row r="878" spans="1:22" ht="12.45" customHeight="1">
      <c r="A878" s="154">
        <v>757</v>
      </c>
      <c r="B878" s="154">
        <v>1</v>
      </c>
      <c r="C878" s="154" t="str">
        <f>Table1[[#This Row],[inventory_id_head]]&amp;"-"&amp;Table1[[#This Row],[inventory_id_tail]]</f>
        <v>757-1</v>
      </c>
      <c r="D878" s="153" t="s">
        <v>653</v>
      </c>
      <c r="E878" s="153" t="s">
        <v>1787</v>
      </c>
      <c r="F878" s="153" t="s">
        <v>55</v>
      </c>
      <c r="G878" s="133" t="str">
        <f t="shared" si="76"/>
        <v>T081PRNA</v>
      </c>
      <c r="H878" s="153" t="s">
        <v>308</v>
      </c>
      <c r="I878" s="153"/>
      <c r="J878" s="153" t="s">
        <v>574</v>
      </c>
      <c r="K878" s="155">
        <v>45799</v>
      </c>
      <c r="L878" s="156">
        <v>895</v>
      </c>
      <c r="M878" s="153" t="s">
        <v>644</v>
      </c>
      <c r="N878" s="157">
        <v>2</v>
      </c>
      <c r="O878" s="136">
        <v>0</v>
      </c>
      <c r="P878" s="136">
        <v>0</v>
      </c>
      <c r="Q878" s="205">
        <f t="shared" si="77"/>
        <v>1790</v>
      </c>
      <c r="R878" s="153"/>
      <c r="S878" s="138">
        <v>45811</v>
      </c>
      <c r="T878" s="153" t="s">
        <v>670</v>
      </c>
      <c r="U878" s="139" t="str">
        <f t="shared" si="72"/>
        <v>_preroll_labelled</v>
      </c>
      <c r="V878" s="140" t="str">
        <f>IF(U878="_","",_xlfn.XLOOKUP(U878,internal_cansku_inventory!D:D,internal_cansku_inventory!E:E,"",0,1))</f>
        <v/>
      </c>
    </row>
    <row r="879" spans="1:22" ht="12.45" customHeight="1">
      <c r="A879" s="154">
        <v>756</v>
      </c>
      <c r="B879" s="154">
        <v>3</v>
      </c>
      <c r="C879" s="154" t="str">
        <f>Table1[[#This Row],[inventory_id_head]]&amp;"-"&amp;Table1[[#This Row],[inventory_id_tail]]</f>
        <v>756-3</v>
      </c>
      <c r="D879" s="153" t="s">
        <v>653</v>
      </c>
      <c r="E879" s="153" t="s">
        <v>1788</v>
      </c>
      <c r="F879" s="153" t="s">
        <v>55</v>
      </c>
      <c r="G879" s="133" t="str">
        <f t="shared" si="76"/>
        <v>T083PRNA</v>
      </c>
      <c r="H879" s="153" t="s">
        <v>308</v>
      </c>
      <c r="I879" s="153"/>
      <c r="J879" s="153" t="s">
        <v>591</v>
      </c>
      <c r="K879" s="155">
        <v>45821</v>
      </c>
      <c r="L879" s="156">
        <f>96+481</f>
        <v>577</v>
      </c>
      <c r="M879" s="153" t="s">
        <v>644</v>
      </c>
      <c r="N879" s="157">
        <v>5</v>
      </c>
      <c r="O879" s="136">
        <v>0</v>
      </c>
      <c r="P879" s="136">
        <v>0</v>
      </c>
      <c r="Q879" s="205">
        <f t="shared" si="77"/>
        <v>2885</v>
      </c>
      <c r="R879" s="153"/>
      <c r="S879" s="138">
        <v>45811</v>
      </c>
      <c r="T879" s="153" t="s">
        <v>670</v>
      </c>
      <c r="U879" s="139" t="str">
        <f t="shared" si="72"/>
        <v>_preroll_labelled</v>
      </c>
      <c r="V879" s="140" t="str">
        <f>IF(U879="_","",_xlfn.XLOOKUP(U879,internal_cansku_inventory!D:D,internal_cansku_inventory!E:E,"",0,1))</f>
        <v/>
      </c>
    </row>
    <row r="880" spans="1:22" ht="12.45" customHeight="1">
      <c r="A880" s="154">
        <v>527</v>
      </c>
      <c r="B880" s="154">
        <v>0</v>
      </c>
      <c r="C880" s="154" t="str">
        <f>Table1[[#This Row],[inventory_id_head]]&amp;"-"&amp;Table1[[#This Row],[inventory_id_tail]]</f>
        <v>527-0</v>
      </c>
      <c r="D880" s="153" t="s">
        <v>653</v>
      </c>
      <c r="E880" s="153" t="s">
        <v>1789</v>
      </c>
      <c r="F880" s="153" t="s">
        <v>655</v>
      </c>
      <c r="G880" s="133" t="str">
        <f t="shared" si="76"/>
        <v>T108EXNA</v>
      </c>
      <c r="H880" s="153" t="s">
        <v>328</v>
      </c>
      <c r="I880" s="153"/>
      <c r="J880" s="153" t="s">
        <v>1208</v>
      </c>
      <c r="K880" s="155">
        <v>45618</v>
      </c>
      <c r="L880" s="271">
        <v>2</v>
      </c>
      <c r="M880" s="153" t="s">
        <v>858</v>
      </c>
      <c r="N880" s="157">
        <v>0.5</v>
      </c>
      <c r="O880" s="136">
        <v>0</v>
      </c>
      <c r="P880" s="136">
        <v>0</v>
      </c>
      <c r="Q880" s="205">
        <f t="shared" si="77"/>
        <v>1</v>
      </c>
      <c r="R880" s="153"/>
      <c r="S880" s="138">
        <v>45811.665972222225</v>
      </c>
      <c r="T880" s="153" t="s">
        <v>657</v>
      </c>
      <c r="U880" s="139" t="str">
        <f t="shared" si="72"/>
        <v>_extract_inhaled_labelled</v>
      </c>
      <c r="V880" s="140" t="str">
        <f>IF(U880="_","",_xlfn.XLOOKUP(U880,internal_cansku_inventory!D:D,internal_cansku_inventory!E:E,"",0,1))</f>
        <v/>
      </c>
    </row>
    <row r="881" spans="1:22" ht="12.45" customHeight="1">
      <c r="A881" s="132">
        <v>637</v>
      </c>
      <c r="B881" s="132">
        <v>3</v>
      </c>
      <c r="C881" s="132" t="str">
        <f>Table1[[#This Row],[inventory_id_head]]&amp;"-"&amp;Table1[[#This Row],[inventory_id_tail]]</f>
        <v>637-3</v>
      </c>
      <c r="D881" s="153" t="s">
        <v>653</v>
      </c>
      <c r="E881" s="133" t="s">
        <v>867</v>
      </c>
      <c r="F881" s="153" t="s">
        <v>1657</v>
      </c>
      <c r="G881" s="133" t="str">
        <f>E881&amp;"-"&amp;F881</f>
        <v>RACK_B-GRID_1</v>
      </c>
      <c r="H881" s="133" t="s">
        <v>375</v>
      </c>
      <c r="I881" s="133"/>
      <c r="J881" s="133" t="s">
        <v>1691</v>
      </c>
      <c r="K881" s="134">
        <v>45735</v>
      </c>
      <c r="L881" s="135">
        <v>223</v>
      </c>
      <c r="M881" s="153" t="s">
        <v>858</v>
      </c>
      <c r="N881" s="136">
        <v>1</v>
      </c>
      <c r="O881" s="136">
        <v>0</v>
      </c>
      <c r="P881" s="136">
        <v>0</v>
      </c>
      <c r="Q881" s="205">
        <f t="shared" si="77"/>
        <v>223</v>
      </c>
      <c r="R881" s="153"/>
      <c r="S881" s="138">
        <v>45812</v>
      </c>
      <c r="T881" s="153" t="s">
        <v>1572</v>
      </c>
      <c r="U881" s="139" t="str">
        <f t="shared" si="72"/>
        <v>_preroll_packaged</v>
      </c>
      <c r="V881" s="140" t="str">
        <f>IF(U881="_","",_xlfn.XLOOKUP(U881,internal_cansku_inventory!D:D,internal_cansku_inventory!E:E,"",0,1))</f>
        <v/>
      </c>
    </row>
    <row r="882" spans="1:22" ht="12.45" customHeight="1">
      <c r="A882" s="154">
        <v>771</v>
      </c>
      <c r="B882" s="154">
        <v>0</v>
      </c>
      <c r="C882" s="154" t="str">
        <f>Table1[[#This Row],[inventory_id_head]]&amp;"-"&amp;Table1[[#This Row],[inventory_id_tail]]</f>
        <v>771-0</v>
      </c>
      <c r="D882" s="153" t="s">
        <v>653</v>
      </c>
      <c r="E882" s="153" t="s">
        <v>1790</v>
      </c>
      <c r="F882" s="153" t="s">
        <v>1791</v>
      </c>
      <c r="G882" s="133" t="str">
        <f t="shared" si="76"/>
        <v>T080DFB1</v>
      </c>
      <c r="H882" s="153" t="s">
        <v>365</v>
      </c>
      <c r="I882" s="153"/>
      <c r="J882" s="153">
        <v>2025060402</v>
      </c>
      <c r="K882" s="155" t="s">
        <v>55</v>
      </c>
      <c r="L882" s="156">
        <v>1</v>
      </c>
      <c r="M882" s="153" t="s">
        <v>673</v>
      </c>
      <c r="N882" s="136">
        <f>Table1[[#This Row],[gross_weight]]-Table1[[#This Row],[tare_weight]]</f>
        <v>743.2</v>
      </c>
      <c r="O882" s="157">
        <v>772</v>
      </c>
      <c r="P882" s="157">
        <f>Table1[[#This Row],[gross_weight]]-743.2</f>
        <v>28.799999999999955</v>
      </c>
      <c r="Q882" s="205">
        <f t="shared" si="77"/>
        <v>743.2</v>
      </c>
      <c r="R882" s="153"/>
      <c r="S882" s="138">
        <v>45812</v>
      </c>
      <c r="T882" s="153" t="s">
        <v>664</v>
      </c>
      <c r="U882" s="139" t="str">
        <f t="shared" si="72"/>
        <v>_driedflower_bulk</v>
      </c>
      <c r="V882" s="140" t="str">
        <f>IF(U882="_","",_xlfn.XLOOKUP(U882,internal_cansku_inventory!D:D,internal_cansku_inventory!E:E,"",0,1))</f>
        <v/>
      </c>
    </row>
    <row r="883" spans="1:22" ht="12.45" customHeight="1">
      <c r="A883" s="154">
        <v>771</v>
      </c>
      <c r="B883" s="132">
        <v>1</v>
      </c>
      <c r="C883" s="132" t="str">
        <f>Table1[[#This Row],[inventory_id_head]]&amp;"-"&amp;Table1[[#This Row],[inventory_id_tail]]</f>
        <v>771-1</v>
      </c>
      <c r="D883" s="153" t="s">
        <v>653</v>
      </c>
      <c r="E883" s="153" t="s">
        <v>1790</v>
      </c>
      <c r="F883" s="153" t="s">
        <v>1792</v>
      </c>
      <c r="G883" s="133" t="str">
        <f t="shared" si="76"/>
        <v>T080DFB2</v>
      </c>
      <c r="H883" s="153" t="s">
        <v>365</v>
      </c>
      <c r="I883" s="153"/>
      <c r="J883" s="153">
        <v>2025060402</v>
      </c>
      <c r="K883" s="155" t="s">
        <v>55</v>
      </c>
      <c r="L883" s="156">
        <v>1</v>
      </c>
      <c r="M883" s="153" t="s">
        <v>673</v>
      </c>
      <c r="N883" s="136">
        <f>Table1[[#This Row],[gross_weight]]-Table1[[#This Row],[tare_weight]]</f>
        <v>351.89</v>
      </c>
      <c r="O883" s="157">
        <v>368</v>
      </c>
      <c r="P883" s="157">
        <f>Table1[[#This Row],[gross_weight]]-351.89</f>
        <v>16.110000000000014</v>
      </c>
      <c r="Q883" s="205">
        <f t="shared" si="77"/>
        <v>351.89</v>
      </c>
      <c r="R883" s="133"/>
      <c r="S883" s="138">
        <v>45812</v>
      </c>
      <c r="T883" s="153" t="s">
        <v>664</v>
      </c>
      <c r="U883" s="139" t="str">
        <f t="shared" si="72"/>
        <v>_driedflower_bulk</v>
      </c>
      <c r="V883" s="140" t="str">
        <f>IF(U883="_","",_xlfn.XLOOKUP(U883,internal_cansku_inventory!D:D,internal_cansku_inventory!E:E,"",0,1))</f>
        <v/>
      </c>
    </row>
    <row r="884" spans="1:22" ht="12.45" customHeight="1">
      <c r="A884" s="154">
        <v>771</v>
      </c>
      <c r="B884" s="132">
        <v>2</v>
      </c>
      <c r="C884" s="132" t="str">
        <f>Table1[[#This Row],[inventory_id_head]]&amp;"-"&amp;Table1[[#This Row],[inventory_id_tail]]</f>
        <v>771-2</v>
      </c>
      <c r="D884" s="153" t="s">
        <v>653</v>
      </c>
      <c r="E884" s="153" t="s">
        <v>1790</v>
      </c>
      <c r="F884" s="153" t="s">
        <v>1793</v>
      </c>
      <c r="G884" s="133" t="str">
        <f t="shared" si="76"/>
        <v>T080DFB3</v>
      </c>
      <c r="H884" s="153" t="s">
        <v>365</v>
      </c>
      <c r="I884" s="153"/>
      <c r="J884" s="153">
        <v>2025060402</v>
      </c>
      <c r="K884" s="155" t="s">
        <v>55</v>
      </c>
      <c r="L884" s="156">
        <v>1</v>
      </c>
      <c r="M884" s="153" t="s">
        <v>673</v>
      </c>
      <c r="N884" s="136">
        <f>Table1[[#This Row],[gross_weight]]-Table1[[#This Row],[tare_weight]]</f>
        <v>799.19</v>
      </c>
      <c r="O884" s="157">
        <v>828</v>
      </c>
      <c r="P884" s="157">
        <f>Table1[[#This Row],[gross_weight]]-799.19</f>
        <v>28.809999999999945</v>
      </c>
      <c r="Q884" s="205">
        <f t="shared" si="77"/>
        <v>799.19</v>
      </c>
      <c r="R884" s="133"/>
      <c r="S884" s="138">
        <v>45812</v>
      </c>
      <c r="T884" s="153" t="s">
        <v>664</v>
      </c>
      <c r="U884" s="139" t="str">
        <f t="shared" si="72"/>
        <v>_driedflower_bulk</v>
      </c>
      <c r="V884" s="140" t="str">
        <f>IF(U884="_","",_xlfn.XLOOKUP(U884,internal_cansku_inventory!D:D,internal_cansku_inventory!E:E,"",0,1))</f>
        <v/>
      </c>
    </row>
    <row r="885" spans="1:22" ht="12.45" customHeight="1">
      <c r="A885" s="154">
        <v>771</v>
      </c>
      <c r="B885" s="132">
        <v>3</v>
      </c>
      <c r="C885" s="132" t="str">
        <f>Table1[[#This Row],[inventory_id_head]]&amp;"-"&amp;Table1[[#This Row],[inventory_id_tail]]</f>
        <v>771-3</v>
      </c>
      <c r="D885" s="153" t="s">
        <v>653</v>
      </c>
      <c r="E885" s="153" t="s">
        <v>1790</v>
      </c>
      <c r="F885" s="153" t="s">
        <v>1794</v>
      </c>
      <c r="G885" s="133" t="str">
        <f t="shared" si="76"/>
        <v>T080DFB4</v>
      </c>
      <c r="H885" s="153" t="s">
        <v>365</v>
      </c>
      <c r="I885" s="153"/>
      <c r="J885" s="153">
        <v>2025060402</v>
      </c>
      <c r="K885" s="155" t="s">
        <v>55</v>
      </c>
      <c r="L885" s="156">
        <v>1</v>
      </c>
      <c r="M885" s="153" t="s">
        <v>673</v>
      </c>
      <c r="N885" s="136">
        <f>Table1[[#This Row],[gross_weight]]-Table1[[#This Row],[tare_weight]]</f>
        <v>743.2</v>
      </c>
      <c r="O885" s="157">
        <v>770</v>
      </c>
      <c r="P885" s="157">
        <f>Table1[[#This Row],[gross_weight]]-743.2</f>
        <v>26.799999999999955</v>
      </c>
      <c r="Q885" s="205">
        <f t="shared" si="77"/>
        <v>743.2</v>
      </c>
      <c r="R885" s="133"/>
      <c r="S885" s="138">
        <v>45812</v>
      </c>
      <c r="T885" s="153" t="s">
        <v>664</v>
      </c>
      <c r="U885" s="139" t="str">
        <f t="shared" si="72"/>
        <v>_driedflower_bulk</v>
      </c>
      <c r="V885" s="140" t="str">
        <f>IF(U885="_","",_xlfn.XLOOKUP(U885,internal_cansku_inventory!D:D,internal_cansku_inventory!E:E,"",0,1))</f>
        <v/>
      </c>
    </row>
    <row r="886" spans="1:22" ht="12.45" customHeight="1">
      <c r="A886" s="154">
        <v>771</v>
      </c>
      <c r="B886" s="154">
        <v>4</v>
      </c>
      <c r="C886" s="132" t="str">
        <f>Table1[[#This Row],[inventory_id_head]]&amp;"-"&amp;Table1[[#This Row],[inventory_id_tail]]</f>
        <v>771-4</v>
      </c>
      <c r="D886" s="153" t="s">
        <v>653</v>
      </c>
      <c r="E886" s="153" t="s">
        <v>1790</v>
      </c>
      <c r="F886" s="153" t="s">
        <v>1795</v>
      </c>
      <c r="G886" s="133" t="str">
        <f t="shared" si="76"/>
        <v>T080DFB5</v>
      </c>
      <c r="H886" s="153" t="s">
        <v>365</v>
      </c>
      <c r="I886" s="153"/>
      <c r="J886" s="153">
        <v>2025060402</v>
      </c>
      <c r="K886" s="155" t="s">
        <v>55</v>
      </c>
      <c r="L886" s="156">
        <v>1</v>
      </c>
      <c r="M886" s="153" t="s">
        <v>673</v>
      </c>
      <c r="N886" s="136">
        <f>Table1[[#This Row],[gross_weight]]-Table1[[#This Row],[tare_weight]]</f>
        <v>712.89</v>
      </c>
      <c r="O886" s="157">
        <v>740</v>
      </c>
      <c r="P886" s="157">
        <f>Table1[[#This Row],[gross_weight]]-712.89</f>
        <v>27.110000000000014</v>
      </c>
      <c r="Q886" s="205">
        <f t="shared" si="77"/>
        <v>712.89</v>
      </c>
      <c r="R886" s="133"/>
      <c r="S886" s="138">
        <v>45812</v>
      </c>
      <c r="T886" s="153" t="s">
        <v>664</v>
      </c>
      <c r="U886" s="139" t="str">
        <f t="shared" si="72"/>
        <v>_driedflower_bulk</v>
      </c>
      <c r="V886" s="140" t="str">
        <f>IF(U886="_","",_xlfn.XLOOKUP(U886,internal_cansku_inventory!D:D,internal_cansku_inventory!E:E,"",0,1))</f>
        <v/>
      </c>
    </row>
    <row r="887" spans="1:22" ht="12.45" customHeight="1">
      <c r="A887" s="154">
        <v>771</v>
      </c>
      <c r="B887" s="132">
        <v>5</v>
      </c>
      <c r="C887" s="132" t="str">
        <f>Table1[[#This Row],[inventory_id_head]]&amp;"-"&amp;Table1[[#This Row],[inventory_id_tail]]</f>
        <v>771-5</v>
      </c>
      <c r="D887" s="153" t="s">
        <v>653</v>
      </c>
      <c r="E887" s="153" t="s">
        <v>1790</v>
      </c>
      <c r="F887" s="153" t="s">
        <v>1796</v>
      </c>
      <c r="G887" s="133" t="str">
        <f t="shared" si="76"/>
        <v>T080DFB6</v>
      </c>
      <c r="H887" s="153" t="s">
        <v>365</v>
      </c>
      <c r="I887" s="153"/>
      <c r="J887" s="153">
        <v>2025060402</v>
      </c>
      <c r="K887" s="155" t="s">
        <v>55</v>
      </c>
      <c r="L887" s="156">
        <v>1</v>
      </c>
      <c r="M887" s="153" t="s">
        <v>673</v>
      </c>
      <c r="N887" s="136">
        <f>Table1[[#This Row],[gross_weight]]-Table1[[#This Row],[tare_weight]]</f>
        <v>876.64</v>
      </c>
      <c r="O887" s="157">
        <v>906</v>
      </c>
      <c r="P887" s="157">
        <f>Table1[[#This Row],[gross_weight]]-876.64</f>
        <v>29.360000000000014</v>
      </c>
      <c r="Q887" s="205">
        <f t="shared" si="77"/>
        <v>876.64</v>
      </c>
      <c r="R887" s="133"/>
      <c r="S887" s="138">
        <v>45812</v>
      </c>
      <c r="T887" s="153" t="s">
        <v>664</v>
      </c>
      <c r="U887" s="139" t="str">
        <f t="shared" si="72"/>
        <v>_driedflower_bulk</v>
      </c>
      <c r="V887" s="140" t="str">
        <f>IF(U887="_","",_xlfn.XLOOKUP(U887,internal_cansku_inventory!D:D,internal_cansku_inventory!E:E,"",0,1))</f>
        <v/>
      </c>
    </row>
    <row r="888" spans="1:22" ht="12.45" customHeight="1">
      <c r="A888" s="154">
        <v>771</v>
      </c>
      <c r="B888" s="132">
        <v>6</v>
      </c>
      <c r="C888" s="132" t="str">
        <f>Table1[[#This Row],[inventory_id_head]]&amp;"-"&amp;Table1[[#This Row],[inventory_id_tail]]</f>
        <v>771-6</v>
      </c>
      <c r="D888" s="153" t="s">
        <v>653</v>
      </c>
      <c r="E888" s="153" t="s">
        <v>1790</v>
      </c>
      <c r="F888" s="153" t="s">
        <v>1797</v>
      </c>
      <c r="G888" s="133" t="str">
        <f t="shared" si="76"/>
        <v>T080DFB7</v>
      </c>
      <c r="H888" s="153" t="s">
        <v>365</v>
      </c>
      <c r="I888" s="153"/>
      <c r="J888" s="153">
        <v>2025060402</v>
      </c>
      <c r="K888" s="155" t="s">
        <v>55</v>
      </c>
      <c r="L888" s="156">
        <v>1</v>
      </c>
      <c r="M888" s="153" t="s">
        <v>673</v>
      </c>
      <c r="N888" s="136">
        <f>Table1[[#This Row],[gross_weight]]-Table1[[#This Row],[tare_weight]]</f>
        <v>746.43</v>
      </c>
      <c r="O888" s="157">
        <v>774</v>
      </c>
      <c r="P888" s="157">
        <f>Table1[[#This Row],[gross_weight]]-746.43</f>
        <v>27.57000000000005</v>
      </c>
      <c r="Q888" s="205">
        <f t="shared" si="77"/>
        <v>746.43</v>
      </c>
      <c r="R888" s="133"/>
      <c r="S888" s="138">
        <v>45812</v>
      </c>
      <c r="T888" s="153" t="s">
        <v>664</v>
      </c>
      <c r="U888" s="139" t="str">
        <f t="shared" si="72"/>
        <v>_driedflower_bulk</v>
      </c>
      <c r="V888" s="140" t="str">
        <f>IF(U888="_","",_xlfn.XLOOKUP(U888,internal_cansku_inventory!D:D,internal_cansku_inventory!E:E,"",0,1))</f>
        <v/>
      </c>
    </row>
    <row r="889" spans="1:22" ht="12.45" customHeight="1">
      <c r="A889" s="154">
        <v>771</v>
      </c>
      <c r="B889" s="132">
        <v>7</v>
      </c>
      <c r="C889" s="132" t="str">
        <f>Table1[[#This Row],[inventory_id_head]]&amp;"-"&amp;Table1[[#This Row],[inventory_id_tail]]</f>
        <v>771-7</v>
      </c>
      <c r="D889" s="153" t="s">
        <v>653</v>
      </c>
      <c r="E889" s="153" t="s">
        <v>1790</v>
      </c>
      <c r="F889" s="153" t="s">
        <v>1798</v>
      </c>
      <c r="G889" s="133" t="str">
        <f t="shared" si="76"/>
        <v>T080DFB8</v>
      </c>
      <c r="H889" s="153" t="s">
        <v>365</v>
      </c>
      <c r="I889" s="153"/>
      <c r="J889" s="153">
        <v>2025060402</v>
      </c>
      <c r="K889" s="155" t="s">
        <v>55</v>
      </c>
      <c r="L889" s="156">
        <v>1</v>
      </c>
      <c r="M889" s="153" t="s">
        <v>673</v>
      </c>
      <c r="N889" s="136">
        <f>Table1[[#This Row],[gross_weight]]-Table1[[#This Row],[tare_weight]]</f>
        <v>901.33</v>
      </c>
      <c r="O889" s="157">
        <v>912</v>
      </c>
      <c r="P889" s="157">
        <f>Table1[[#This Row],[gross_weight]]-901.33</f>
        <v>10.669999999999959</v>
      </c>
      <c r="Q889" s="205">
        <f t="shared" si="77"/>
        <v>901.33</v>
      </c>
      <c r="R889" s="133"/>
      <c r="S889" s="138">
        <v>45812</v>
      </c>
      <c r="T889" s="153" t="s">
        <v>664</v>
      </c>
      <c r="U889" s="139" t="str">
        <f t="shared" si="72"/>
        <v>_driedflower_bulk</v>
      </c>
      <c r="V889" s="140" t="str">
        <f>IF(U889="_","",_xlfn.XLOOKUP(U889,internal_cansku_inventory!D:D,internal_cansku_inventory!E:E,"",0,1))</f>
        <v/>
      </c>
    </row>
    <row r="890" spans="1:22" ht="12.45" customHeight="1">
      <c r="A890" s="154">
        <v>772</v>
      </c>
      <c r="B890" s="154">
        <v>0</v>
      </c>
      <c r="C890" s="132" t="str">
        <f>Table1[[#This Row],[inventory_id_head]]&amp;"-"&amp;Table1[[#This Row],[inventory_id_tail]]</f>
        <v>772-0</v>
      </c>
      <c r="D890" s="153" t="s">
        <v>653</v>
      </c>
      <c r="E890" s="133" t="s">
        <v>1799</v>
      </c>
      <c r="F890" s="133" t="s">
        <v>55</v>
      </c>
      <c r="G890" s="133" t="str">
        <f t="shared" si="76"/>
        <v>T081DFNA</v>
      </c>
      <c r="H890" s="153" t="s">
        <v>365</v>
      </c>
      <c r="I890" s="133"/>
      <c r="J890" s="133">
        <v>2025060401</v>
      </c>
      <c r="K890" s="155" t="s">
        <v>55</v>
      </c>
      <c r="L890" s="135">
        <v>1</v>
      </c>
      <c r="M890" s="153" t="s">
        <v>673</v>
      </c>
      <c r="N890" s="136">
        <f>Table1[[#This Row],[gross_weight]]-Table1[[#This Row],[tare_weight]]</f>
        <v>4654</v>
      </c>
      <c r="O890" s="136">
        <v>7800</v>
      </c>
      <c r="P890" s="136">
        <v>3146</v>
      </c>
      <c r="Q890" s="205">
        <f t="shared" si="77"/>
        <v>4654</v>
      </c>
      <c r="R890" s="133"/>
      <c r="S890" s="138">
        <v>45812</v>
      </c>
      <c r="T890" s="153" t="s">
        <v>664</v>
      </c>
      <c r="U890" s="139" t="str">
        <f t="shared" si="72"/>
        <v>_driedflower_bulk</v>
      </c>
      <c r="V890" s="140" t="str">
        <f>IF(U890="_","",_xlfn.XLOOKUP(U890,internal_cansku_inventory!D:D,internal_cansku_inventory!E:E,"",0,1))</f>
        <v/>
      </c>
    </row>
    <row r="891" spans="1:22" ht="12.45" customHeight="1">
      <c r="A891" s="132">
        <v>772</v>
      </c>
      <c r="B891" s="132">
        <v>1</v>
      </c>
      <c r="C891" s="132" t="str">
        <f>Table1[[#This Row],[inventory_id_head]]&amp;"-"&amp;Table1[[#This Row],[inventory_id_tail]]</f>
        <v>772-1</v>
      </c>
      <c r="D891" s="153" t="s">
        <v>653</v>
      </c>
      <c r="E891" s="133" t="s">
        <v>1800</v>
      </c>
      <c r="F891" s="133" t="s">
        <v>55</v>
      </c>
      <c r="G891" s="133" t="str">
        <f t="shared" si="76"/>
        <v>T082DFNA</v>
      </c>
      <c r="H891" s="153" t="s">
        <v>365</v>
      </c>
      <c r="I891" s="133"/>
      <c r="J891" s="133">
        <v>2025060401</v>
      </c>
      <c r="K891" s="155" t="s">
        <v>55</v>
      </c>
      <c r="L891" s="135">
        <v>1</v>
      </c>
      <c r="M891" s="153" t="s">
        <v>673</v>
      </c>
      <c r="N891" s="136">
        <f>Table1[[#This Row],[gross_weight]]-Table1[[#This Row],[tare_weight]]</f>
        <v>3484</v>
      </c>
      <c r="O891" s="136">
        <v>6534</v>
      </c>
      <c r="P891" s="136">
        <f>6534-3484</f>
        <v>3050</v>
      </c>
      <c r="Q891" s="205">
        <f t="shared" si="77"/>
        <v>3484</v>
      </c>
      <c r="R891" s="133"/>
      <c r="S891" s="138">
        <v>45813</v>
      </c>
      <c r="T891" s="153" t="s">
        <v>664</v>
      </c>
      <c r="U891" s="139" t="str">
        <f t="shared" si="72"/>
        <v>_driedflower_bulk</v>
      </c>
      <c r="V891" s="140" t="str">
        <f>IF(U891="_","",_xlfn.XLOOKUP(U891,internal_cansku_inventory!D:D,internal_cansku_inventory!E:E,"",0,1))</f>
        <v/>
      </c>
    </row>
    <row r="892" spans="1:22" ht="12.45" customHeight="1">
      <c r="A892" s="132">
        <v>772</v>
      </c>
      <c r="B892" s="132">
        <v>2</v>
      </c>
      <c r="C892" s="132" t="str">
        <f>Table1[[#This Row],[inventory_id_head]]&amp;"-"&amp;Table1[[#This Row],[inventory_id_tail]]</f>
        <v>772-2</v>
      </c>
      <c r="D892" s="153" t="s">
        <v>653</v>
      </c>
      <c r="E892" s="133" t="s">
        <v>1801</v>
      </c>
      <c r="F892" s="133" t="s">
        <v>55</v>
      </c>
      <c r="G892" s="133" t="str">
        <f t="shared" si="76"/>
        <v>T083DFNA</v>
      </c>
      <c r="H892" s="153" t="s">
        <v>365</v>
      </c>
      <c r="I892" s="133"/>
      <c r="J892" s="133">
        <v>2025060401</v>
      </c>
      <c r="K892" s="155" t="s">
        <v>55</v>
      </c>
      <c r="L892" s="135">
        <v>1</v>
      </c>
      <c r="M892" s="153" t="s">
        <v>673</v>
      </c>
      <c r="N892" s="136">
        <f>Table1[[#This Row],[gross_weight]]-Table1[[#This Row],[tare_weight]]</f>
        <v>3650</v>
      </c>
      <c r="O892" s="136">
        <f>3650+2888</f>
        <v>6538</v>
      </c>
      <c r="P892" s="136">
        <v>2888</v>
      </c>
      <c r="Q892" s="205">
        <f t="shared" si="77"/>
        <v>3650</v>
      </c>
      <c r="R892" s="133"/>
      <c r="S892" s="138">
        <v>45813</v>
      </c>
      <c r="T892" s="153" t="s">
        <v>664</v>
      </c>
      <c r="U892" s="139" t="str">
        <f t="shared" si="72"/>
        <v>_driedflower_bulk</v>
      </c>
      <c r="V892" s="140" t="str">
        <f>IF(U892="_","",_xlfn.XLOOKUP(U892,internal_cansku_inventory!D:D,internal_cansku_inventory!E:E,"",0,1))</f>
        <v/>
      </c>
    </row>
    <row r="893" spans="1:22" ht="12.45" customHeight="1">
      <c r="A893" s="132">
        <v>772</v>
      </c>
      <c r="B893" s="154">
        <v>3</v>
      </c>
      <c r="C893" s="132" t="str">
        <f>Table1[[#This Row],[inventory_id_head]]&amp;"-"&amp;Table1[[#This Row],[inventory_id_tail]]</f>
        <v>772-3</v>
      </c>
      <c r="D893" s="153" t="s">
        <v>653</v>
      </c>
      <c r="E893" s="133" t="s">
        <v>1802</v>
      </c>
      <c r="F893" s="133" t="s">
        <v>55</v>
      </c>
      <c r="G893" s="133" t="str">
        <f t="shared" si="76"/>
        <v>T084DFNA</v>
      </c>
      <c r="H893" s="153" t="s">
        <v>365</v>
      </c>
      <c r="I893" s="133"/>
      <c r="J893" s="133">
        <v>2025060401</v>
      </c>
      <c r="K893" s="155" t="s">
        <v>55</v>
      </c>
      <c r="L893" s="135">
        <v>1</v>
      </c>
      <c r="M893" s="153" t="s">
        <v>673</v>
      </c>
      <c r="N893" s="136">
        <f>Table1[[#This Row],[gross_weight]]-Table1[[#This Row],[tare_weight]]</f>
        <v>3158</v>
      </c>
      <c r="O893" s="136">
        <v>5884</v>
      </c>
      <c r="P893" s="136">
        <v>2726</v>
      </c>
      <c r="Q893" s="205">
        <f t="shared" si="77"/>
        <v>3158</v>
      </c>
      <c r="R893" s="133"/>
      <c r="S893" s="138">
        <v>45813</v>
      </c>
      <c r="T893" s="153" t="s">
        <v>664</v>
      </c>
      <c r="U893" s="139" t="str">
        <f t="shared" si="72"/>
        <v>_driedflower_bulk</v>
      </c>
      <c r="V893" s="140" t="str">
        <f>IF(U893="_","",_xlfn.XLOOKUP(U893,internal_cansku_inventory!D:D,internal_cansku_inventory!E:E,"",0,1))</f>
        <v/>
      </c>
    </row>
    <row r="894" spans="1:22" ht="12.45" customHeight="1">
      <c r="A894" s="132">
        <v>772</v>
      </c>
      <c r="B894" s="132">
        <v>5</v>
      </c>
      <c r="C894" s="132" t="str">
        <f>Table1[[#This Row],[inventory_id_head]]&amp;"-"&amp;Table1[[#This Row],[inventory_id_tail]]</f>
        <v>772-5</v>
      </c>
      <c r="D894" s="153" t="s">
        <v>653</v>
      </c>
      <c r="E894" s="133" t="s">
        <v>1803</v>
      </c>
      <c r="F894" s="133" t="s">
        <v>55</v>
      </c>
      <c r="G894" s="133" t="str">
        <f t="shared" si="76"/>
        <v>T086DFNA</v>
      </c>
      <c r="H894" s="153" t="s">
        <v>365</v>
      </c>
      <c r="I894" s="133"/>
      <c r="J894" s="133">
        <v>2025060401</v>
      </c>
      <c r="K894" s="155" t="s">
        <v>55</v>
      </c>
      <c r="L894" s="135">
        <v>1</v>
      </c>
      <c r="M894" s="153" t="s">
        <v>673</v>
      </c>
      <c r="N894" s="136">
        <f>Table1[[#This Row],[gross_weight]]-Table1[[#This Row],[tare_weight]]</f>
        <v>3608</v>
      </c>
      <c r="O894" s="136">
        <v>6522</v>
      </c>
      <c r="P894" s="136">
        <v>2914</v>
      </c>
      <c r="Q894" s="205">
        <f t="shared" si="77"/>
        <v>3608</v>
      </c>
      <c r="R894" s="133"/>
      <c r="S894" s="138">
        <v>45813</v>
      </c>
      <c r="T894" s="153" t="s">
        <v>664</v>
      </c>
      <c r="U894" s="139" t="str">
        <f t="shared" si="72"/>
        <v>_driedflower_bulk</v>
      </c>
      <c r="V894" s="140" t="str">
        <f>IF(U894="_","",_xlfn.XLOOKUP(U894,internal_cansku_inventory!D:D,internal_cansku_inventory!E:E,"",0,1))</f>
        <v/>
      </c>
    </row>
    <row r="895" spans="1:22" ht="12.45" customHeight="1">
      <c r="A895" s="132">
        <v>772</v>
      </c>
      <c r="B895" s="132">
        <v>6</v>
      </c>
      <c r="C895" s="132" t="str">
        <f>Table1[[#This Row],[inventory_id_head]]&amp;"-"&amp;Table1[[#This Row],[inventory_id_tail]]</f>
        <v>772-6</v>
      </c>
      <c r="D895" s="153" t="s">
        <v>653</v>
      </c>
      <c r="E895" s="133" t="s">
        <v>1804</v>
      </c>
      <c r="F895" s="133" t="s">
        <v>55</v>
      </c>
      <c r="G895" s="133" t="str">
        <f t="shared" si="76"/>
        <v>T087DFNA</v>
      </c>
      <c r="H895" s="153" t="s">
        <v>365</v>
      </c>
      <c r="I895" s="133"/>
      <c r="J895" s="133">
        <v>2025060401</v>
      </c>
      <c r="K895" s="155" t="s">
        <v>55</v>
      </c>
      <c r="L895" s="135">
        <v>1</v>
      </c>
      <c r="M895" s="153" t="s">
        <v>673</v>
      </c>
      <c r="N895" s="136">
        <f>Table1[[#This Row],[gross_weight]]-Table1[[#This Row],[tare_weight]]</f>
        <v>2650</v>
      </c>
      <c r="O895" s="136">
        <v>5560</v>
      </c>
      <c r="P895" s="136">
        <v>2910</v>
      </c>
      <c r="Q895" s="205">
        <f t="shared" si="77"/>
        <v>2650</v>
      </c>
      <c r="R895" s="133"/>
      <c r="S895" s="138">
        <v>45813</v>
      </c>
      <c r="T895" s="153" t="s">
        <v>664</v>
      </c>
      <c r="U895" s="139" t="str">
        <f t="shared" si="72"/>
        <v>_driedflower_bulk</v>
      </c>
      <c r="V895" s="140" t="str">
        <f>IF(U895="_","",_xlfn.XLOOKUP(U895,internal_cansku_inventory!D:D,internal_cansku_inventory!E:E,"",0,1))</f>
        <v/>
      </c>
    </row>
    <row r="896" spans="1:22" ht="12.45" customHeight="1">
      <c r="A896" s="132">
        <v>772</v>
      </c>
      <c r="B896" s="132">
        <v>7</v>
      </c>
      <c r="C896" s="132" t="str">
        <f>Table1[[#This Row],[inventory_id_head]]&amp;"-"&amp;Table1[[#This Row],[inventory_id_tail]]</f>
        <v>772-7</v>
      </c>
      <c r="D896" s="153" t="s">
        <v>653</v>
      </c>
      <c r="E896" s="133" t="s">
        <v>1805</v>
      </c>
      <c r="F896" s="133" t="s">
        <v>55</v>
      </c>
      <c r="G896" s="133" t="str">
        <f t="shared" si="76"/>
        <v>T088DFNA</v>
      </c>
      <c r="H896" s="153" t="s">
        <v>365</v>
      </c>
      <c r="I896" s="133"/>
      <c r="J896" s="133">
        <v>2025060401</v>
      </c>
      <c r="K896" s="155" t="s">
        <v>55</v>
      </c>
      <c r="L896" s="135">
        <v>1</v>
      </c>
      <c r="M896" s="153" t="s">
        <v>673</v>
      </c>
      <c r="N896" s="136">
        <f>Table1[[#This Row],[gross_weight]]-Table1[[#This Row],[tare_weight]]</f>
        <v>4054</v>
      </c>
      <c r="O896" s="136">
        <v>6980</v>
      </c>
      <c r="P896" s="136">
        <v>2926</v>
      </c>
      <c r="Q896" s="205">
        <f t="shared" si="77"/>
        <v>4054</v>
      </c>
      <c r="R896" s="133"/>
      <c r="S896" s="138">
        <v>45813</v>
      </c>
      <c r="T896" s="153" t="s">
        <v>664</v>
      </c>
      <c r="U896" s="139" t="str">
        <f t="shared" si="72"/>
        <v>_driedflower_bulk</v>
      </c>
      <c r="V896" s="140" t="str">
        <f>IF(U896="_","",_xlfn.XLOOKUP(U896,internal_cansku_inventory!D:D,internal_cansku_inventory!E:E,"",0,1))</f>
        <v/>
      </c>
    </row>
    <row r="897" spans="1:22" ht="12.45" customHeight="1">
      <c r="A897" s="132">
        <v>773</v>
      </c>
      <c r="B897" s="132">
        <v>1</v>
      </c>
      <c r="C897" s="132" t="str">
        <f>Table1[[#This Row],[inventory_id_head]]&amp;"-"&amp;Table1[[#This Row],[inventory_id_tail]]</f>
        <v>773-1</v>
      </c>
      <c r="D897" s="153" t="s">
        <v>653</v>
      </c>
      <c r="E897" s="153" t="s">
        <v>867</v>
      </c>
      <c r="F897" s="133" t="s">
        <v>1657</v>
      </c>
      <c r="G897" s="133" t="str">
        <f>E897&amp;"-"&amp;F897</f>
        <v>RACK_B-GRID_1</v>
      </c>
      <c r="H897" s="133" t="s">
        <v>308</v>
      </c>
      <c r="I897" s="133"/>
      <c r="J897" s="133" t="s">
        <v>1806</v>
      </c>
      <c r="K897" s="134">
        <v>45826</v>
      </c>
      <c r="L897" s="135">
        <v>1098</v>
      </c>
      <c r="M897" s="133" t="s">
        <v>644</v>
      </c>
      <c r="N897" s="157">
        <v>1.5</v>
      </c>
      <c r="O897" s="157">
        <v>0</v>
      </c>
      <c r="P897" s="157">
        <v>0</v>
      </c>
      <c r="Q897" s="205">
        <f t="shared" si="77"/>
        <v>1647</v>
      </c>
      <c r="R897" s="133"/>
      <c r="S897" s="138">
        <v>45821</v>
      </c>
      <c r="T897" s="153" t="s">
        <v>1572</v>
      </c>
      <c r="U897" s="139" t="str">
        <f t="shared" si="72"/>
        <v>_preroll_labelled</v>
      </c>
      <c r="V897" s="140" t="str">
        <f>IF(U897="_","",_xlfn.XLOOKUP(U897,internal_cansku_inventory!D:D,internal_cansku_inventory!E:E,"",0,1))</f>
        <v/>
      </c>
    </row>
    <row r="898" spans="1:22" ht="12.45" customHeight="1">
      <c r="A898" s="154">
        <v>774</v>
      </c>
      <c r="B898" s="154">
        <v>1</v>
      </c>
      <c r="C898" s="154" t="str">
        <f>Table1[[#This Row],[inventory_id_head]]&amp;"-"&amp;Table1[[#This Row],[inventory_id_tail]]</f>
        <v>774-1</v>
      </c>
      <c r="D898" s="153" t="s">
        <v>653</v>
      </c>
      <c r="E898" s="153" t="s">
        <v>1788</v>
      </c>
      <c r="F898" s="133" t="s">
        <v>55</v>
      </c>
      <c r="G898" s="133" t="str">
        <f t="shared" si="76"/>
        <v>T083PRNA</v>
      </c>
      <c r="H898" s="153" t="s">
        <v>308</v>
      </c>
      <c r="I898" s="153"/>
      <c r="J898" s="153" t="s">
        <v>1807</v>
      </c>
      <c r="K898" s="155">
        <v>45804</v>
      </c>
      <c r="L898" s="156">
        <v>408</v>
      </c>
      <c r="M898" s="133" t="s">
        <v>644</v>
      </c>
      <c r="N898" s="157">
        <v>1.5</v>
      </c>
      <c r="O898" s="157">
        <v>0</v>
      </c>
      <c r="P898" s="157">
        <v>0</v>
      </c>
      <c r="Q898" s="205">
        <f t="shared" si="77"/>
        <v>612</v>
      </c>
      <c r="R898" s="133"/>
      <c r="S898" s="138">
        <v>45821</v>
      </c>
      <c r="T898" s="153" t="s">
        <v>1572</v>
      </c>
      <c r="U898" s="139" t="str">
        <f t="shared" si="72"/>
        <v>_preroll_labelled</v>
      </c>
      <c r="V898" s="206" t="str">
        <f>IF(U898="_","",_xlfn.XLOOKUP(U898,internal_cansku_inventory!D:D,internal_cansku_inventory!E:E,"",0,1))</f>
        <v/>
      </c>
    </row>
    <row r="899" spans="1:22" ht="12.45" customHeight="1">
      <c r="A899" s="154">
        <v>775</v>
      </c>
      <c r="B899" s="154">
        <v>0</v>
      </c>
      <c r="C899" s="154" t="str">
        <f>Table1[[#This Row],[inventory_id_head]]&amp;"-"&amp;Table1[[#This Row],[inventory_id_tail]]</f>
        <v>775-0</v>
      </c>
      <c r="D899" s="153" t="s">
        <v>653</v>
      </c>
      <c r="E899" s="153" t="s">
        <v>1808</v>
      </c>
      <c r="F899" s="133" t="s">
        <v>55</v>
      </c>
      <c r="G899" s="133" t="str">
        <f t="shared" ref="G899:G930" si="78">E899&amp;F899</f>
        <v>P023EXNA</v>
      </c>
      <c r="H899" s="153" t="s">
        <v>1586</v>
      </c>
      <c r="I899" s="153"/>
      <c r="J899" s="153" t="s">
        <v>1809</v>
      </c>
      <c r="K899" s="155" t="s">
        <v>55</v>
      </c>
      <c r="L899" s="156">
        <v>1</v>
      </c>
      <c r="M899" s="153" t="s">
        <v>663</v>
      </c>
      <c r="N899" s="136">
        <f>Table1[[#This Row],[gross_weight]]-Table1[[#This Row],[tare_weight]]</f>
        <v>2000</v>
      </c>
      <c r="O899" s="157">
        <v>3282</v>
      </c>
      <c r="P899" s="157">
        <v>1282</v>
      </c>
      <c r="Q899" s="205">
        <f t="shared" si="77"/>
        <v>2000</v>
      </c>
      <c r="R899" s="153"/>
      <c r="S899" s="138">
        <v>45823</v>
      </c>
      <c r="T899" s="153" t="s">
        <v>664</v>
      </c>
      <c r="U899" s="139" t="str">
        <f t="shared" si="72"/>
        <v>_extract_inhaled_bulk_Rohan</v>
      </c>
      <c r="V899" s="206" t="str">
        <f>IF(U899="_","",_xlfn.XLOOKUP(U899,internal_cansku_inventory!D:D,internal_cansku_inventory!E:E,"",0,1))</f>
        <v/>
      </c>
    </row>
    <row r="900" spans="1:22" ht="12.45" customHeight="1">
      <c r="A900" s="154">
        <v>776</v>
      </c>
      <c r="B900" s="154">
        <v>1</v>
      </c>
      <c r="C900" s="154" t="str">
        <f>Table1[[#This Row],[inventory_id_head]]&amp;"-"&amp;Table1[[#This Row],[inventory_id_tail]]</f>
        <v>776-1</v>
      </c>
      <c r="D900" s="153" t="s">
        <v>653</v>
      </c>
      <c r="E900" s="153" t="s">
        <v>1810</v>
      </c>
      <c r="F900" s="133" t="s">
        <v>55</v>
      </c>
      <c r="G900" s="133" t="str">
        <f t="shared" si="78"/>
        <v>T022TPNA</v>
      </c>
      <c r="H900" s="153" t="s">
        <v>303</v>
      </c>
      <c r="I900" s="153"/>
      <c r="J900" s="153" t="s">
        <v>1811</v>
      </c>
      <c r="K900" s="155">
        <v>45805</v>
      </c>
      <c r="L900" s="156">
        <v>384</v>
      </c>
      <c r="M900" s="153" t="s">
        <v>644</v>
      </c>
      <c r="N900" s="157">
        <v>88</v>
      </c>
      <c r="O900" s="157">
        <v>3282</v>
      </c>
      <c r="P900" s="157">
        <v>1282</v>
      </c>
      <c r="Q900" s="205">
        <f t="shared" si="77"/>
        <v>33792</v>
      </c>
      <c r="R900" s="153"/>
      <c r="S900" s="138">
        <v>45825</v>
      </c>
      <c r="T900" s="153" t="s">
        <v>670</v>
      </c>
      <c r="U900" s="139" t="str">
        <f t="shared" si="72"/>
        <v>_topical_labelled</v>
      </c>
      <c r="V900" s="206" t="str">
        <f>IF(U900="_","",_xlfn.XLOOKUP(U900,internal_cansku_inventory!D:D,internal_cansku_inventory!E:E,"",0,1))</f>
        <v/>
      </c>
    </row>
    <row r="901" spans="1:22" ht="12.45" customHeight="1">
      <c r="A901" s="154">
        <v>776</v>
      </c>
      <c r="B901" s="154">
        <v>2</v>
      </c>
      <c r="C901" s="132" t="str">
        <f>Table1[[#This Row],[inventory_id_head]]&amp;"-"&amp;Table1[[#This Row],[inventory_id_tail]]</f>
        <v>776-2</v>
      </c>
      <c r="D901" s="153" t="s">
        <v>653</v>
      </c>
      <c r="E901" s="153" t="s">
        <v>1812</v>
      </c>
      <c r="F901" s="133" t="s">
        <v>55</v>
      </c>
      <c r="G901" s="133" t="str">
        <f t="shared" si="78"/>
        <v>T023TPNA</v>
      </c>
      <c r="H901" s="153" t="s">
        <v>303</v>
      </c>
      <c r="I901" s="153"/>
      <c r="J901" s="153" t="s">
        <v>1811</v>
      </c>
      <c r="K901" s="155">
        <v>45805</v>
      </c>
      <c r="L901" s="135">
        <v>122</v>
      </c>
      <c r="M901" s="153" t="s">
        <v>644</v>
      </c>
      <c r="N901" s="157">
        <v>88</v>
      </c>
      <c r="O901" s="157">
        <v>3282</v>
      </c>
      <c r="P901" s="157">
        <v>1282</v>
      </c>
      <c r="Q901" s="205">
        <f t="shared" si="77"/>
        <v>10736</v>
      </c>
      <c r="R901" s="153"/>
      <c r="S901" s="138">
        <v>45825</v>
      </c>
      <c r="T901" s="153" t="s">
        <v>670</v>
      </c>
      <c r="U901" s="139" t="str">
        <f t="shared" si="72"/>
        <v>_topical_labelled</v>
      </c>
      <c r="V901" s="140" t="str">
        <f>IF(U901="_","",_xlfn.XLOOKUP(U901,internal_cansku_inventory!D:D,internal_cansku_inventory!E:E,"",0,1))</f>
        <v/>
      </c>
    </row>
    <row r="902" spans="1:22" ht="12.45" customHeight="1">
      <c r="A902" s="154">
        <v>776</v>
      </c>
      <c r="B902" s="154">
        <v>3</v>
      </c>
      <c r="C902" s="132" t="str">
        <f>Table1[[#This Row],[inventory_id_head]]&amp;"-"&amp;Table1[[#This Row],[inventory_id_tail]]</f>
        <v>776-3</v>
      </c>
      <c r="D902" s="153" t="s">
        <v>653</v>
      </c>
      <c r="E902" s="133" t="s">
        <v>1813</v>
      </c>
      <c r="F902" s="133" t="s">
        <v>55</v>
      </c>
      <c r="G902" s="133" t="str">
        <f t="shared" si="78"/>
        <v>T024TPNA</v>
      </c>
      <c r="H902" s="153" t="s">
        <v>303</v>
      </c>
      <c r="I902" s="153"/>
      <c r="J902" s="153" t="s">
        <v>1811</v>
      </c>
      <c r="K902" s="155">
        <v>45805</v>
      </c>
      <c r="L902" s="135">
        <v>282</v>
      </c>
      <c r="M902" s="153" t="s">
        <v>644</v>
      </c>
      <c r="N902" s="157">
        <v>88</v>
      </c>
      <c r="O902" s="157">
        <v>3282</v>
      </c>
      <c r="P902" s="157">
        <v>1282</v>
      </c>
      <c r="Q902" s="205">
        <f t="shared" si="77"/>
        <v>24816</v>
      </c>
      <c r="R902" s="153"/>
      <c r="S902" s="138">
        <v>45825</v>
      </c>
      <c r="T902" s="153" t="s">
        <v>670</v>
      </c>
      <c r="U902" s="139" t="str">
        <f t="shared" ref="U902:U947" si="79">I902&amp;"_"&amp;H902</f>
        <v>_topical_labelled</v>
      </c>
      <c r="V902" s="140" t="str">
        <f>IF(U902="_","",_xlfn.XLOOKUP(U902,internal_cansku_inventory!D:D,internal_cansku_inventory!E:E,"",0,1))</f>
        <v/>
      </c>
    </row>
    <row r="903" spans="1:22" ht="12.45" customHeight="1">
      <c r="A903" s="154">
        <v>776</v>
      </c>
      <c r="B903" s="154">
        <v>4</v>
      </c>
      <c r="C903" s="154" t="str">
        <f>Table1[[#This Row],[inventory_id_head]]&amp;"-"&amp;Table1[[#This Row],[inventory_id_tail]]</f>
        <v>776-4</v>
      </c>
      <c r="D903" s="153" t="s">
        <v>653</v>
      </c>
      <c r="E903" s="153" t="s">
        <v>1814</v>
      </c>
      <c r="F903" s="133" t="s">
        <v>55</v>
      </c>
      <c r="G903" s="133" t="str">
        <f t="shared" si="78"/>
        <v>T025TPNA</v>
      </c>
      <c r="H903" s="153" t="s">
        <v>303</v>
      </c>
      <c r="I903" s="153"/>
      <c r="J903" s="153" t="s">
        <v>1811</v>
      </c>
      <c r="K903" s="155">
        <v>45805</v>
      </c>
      <c r="L903" s="156">
        <v>520</v>
      </c>
      <c r="M903" s="153" t="s">
        <v>644</v>
      </c>
      <c r="N903" s="157">
        <v>88</v>
      </c>
      <c r="O903" s="157">
        <v>3282</v>
      </c>
      <c r="P903" s="157">
        <v>1282</v>
      </c>
      <c r="Q903" s="205">
        <f t="shared" si="77"/>
        <v>45760</v>
      </c>
      <c r="R903" s="153"/>
      <c r="S903" s="138">
        <v>45825</v>
      </c>
      <c r="T903" s="153" t="s">
        <v>670</v>
      </c>
      <c r="U903" s="139" t="str">
        <f t="shared" si="79"/>
        <v>_topical_labelled</v>
      </c>
      <c r="V903" s="206" t="str">
        <f>IF(U903="_","",_xlfn.XLOOKUP(U903,internal_cansku_inventory!D:D,internal_cansku_inventory!E:E,"",0,1))</f>
        <v/>
      </c>
    </row>
    <row r="904" spans="1:22" ht="12.45" customHeight="1">
      <c r="A904" s="154">
        <v>776</v>
      </c>
      <c r="B904" s="154">
        <v>5</v>
      </c>
      <c r="C904" s="154" t="str">
        <f>Table1[[#This Row],[inventory_id_head]]&amp;"-"&amp;Table1[[#This Row],[inventory_id_tail]]</f>
        <v>776-5</v>
      </c>
      <c r="D904" s="153" t="s">
        <v>653</v>
      </c>
      <c r="E904" s="153" t="s">
        <v>1815</v>
      </c>
      <c r="F904" s="133" t="s">
        <v>55</v>
      </c>
      <c r="G904" s="133" t="str">
        <f t="shared" si="78"/>
        <v>T026TPNA</v>
      </c>
      <c r="H904" s="153" t="s">
        <v>303</v>
      </c>
      <c r="I904" s="153"/>
      <c r="J904" s="153" t="s">
        <v>1811</v>
      </c>
      <c r="K904" s="155">
        <v>45805</v>
      </c>
      <c r="L904" s="156">
        <v>451</v>
      </c>
      <c r="M904" s="153" t="s">
        <v>644</v>
      </c>
      <c r="N904" s="157">
        <v>88</v>
      </c>
      <c r="O904" s="157">
        <v>3282</v>
      </c>
      <c r="P904" s="157">
        <v>1282</v>
      </c>
      <c r="Q904" s="205">
        <f t="shared" si="77"/>
        <v>39688</v>
      </c>
      <c r="R904" s="153"/>
      <c r="S904" s="138">
        <v>45825</v>
      </c>
      <c r="T904" s="153" t="s">
        <v>670</v>
      </c>
      <c r="U904" s="139" t="str">
        <f t="shared" si="79"/>
        <v>_topical_labelled</v>
      </c>
      <c r="V904" s="206" t="str">
        <f>IF(U904="_","",_xlfn.XLOOKUP(U904,internal_cansku_inventory!D:D,internal_cansku_inventory!E:E,"",0,1))</f>
        <v/>
      </c>
    </row>
    <row r="905" spans="1:22" ht="12.45" customHeight="1">
      <c r="A905" s="154">
        <v>777</v>
      </c>
      <c r="B905" s="154">
        <v>0</v>
      </c>
      <c r="C905" s="154" t="str">
        <f>Table1[[#This Row],[inventory_id_head]]&amp;"-"&amp;Table1[[#This Row],[inventory_id_tail]]</f>
        <v>777-0</v>
      </c>
      <c r="D905" s="153" t="s">
        <v>653</v>
      </c>
      <c r="E905" s="153" t="s">
        <v>1816</v>
      </c>
      <c r="F905" s="153" t="s">
        <v>55</v>
      </c>
      <c r="G905" s="133" t="str">
        <f t="shared" si="78"/>
        <v>T089DFNA</v>
      </c>
      <c r="H905" s="153" t="s">
        <v>1578</v>
      </c>
      <c r="I905" s="153"/>
      <c r="J905" s="153">
        <v>2025050501</v>
      </c>
      <c r="K905" s="155" t="s">
        <v>55</v>
      </c>
      <c r="L905" s="156">
        <v>1</v>
      </c>
      <c r="M905" s="153" t="s">
        <v>673</v>
      </c>
      <c r="N905" s="157">
        <f>Table1[[#This Row],[gross_weight]]-Table1[[#This Row],[tare_weight]]</f>
        <v>5480</v>
      </c>
      <c r="O905" s="157">
        <v>8532</v>
      </c>
      <c r="P905" s="157">
        <f>Table1[[#This Row],[gross_weight]]-5480</f>
        <v>3052</v>
      </c>
      <c r="Q905" s="205">
        <f t="shared" si="77"/>
        <v>5480</v>
      </c>
      <c r="R905" s="153" t="s">
        <v>1817</v>
      </c>
      <c r="S905" s="158">
        <v>45834</v>
      </c>
      <c r="T905" s="153" t="s">
        <v>664</v>
      </c>
      <c r="U905" s="139" t="str">
        <f t="shared" si="79"/>
        <v>_driedflower_bulk_Rohan</v>
      </c>
      <c r="V905" s="206" t="str">
        <f>IF(U905="_","",_xlfn.XLOOKUP(U905,internal_cansku_inventory!D:D,internal_cansku_inventory!E:E,"",0,1))</f>
        <v/>
      </c>
    </row>
    <row r="906" spans="1:22" ht="12" customHeight="1">
      <c r="A906" s="154">
        <v>777</v>
      </c>
      <c r="B906" s="154">
        <v>1</v>
      </c>
      <c r="C906" s="154" t="str">
        <f>Table1[[#This Row],[inventory_id_head]]&amp;"-"&amp;Table1[[#This Row],[inventory_id_tail]]</f>
        <v>777-1</v>
      </c>
      <c r="D906" s="153" t="s">
        <v>653</v>
      </c>
      <c r="E906" s="153" t="s">
        <v>1818</v>
      </c>
      <c r="F906" s="153" t="s">
        <v>55</v>
      </c>
      <c r="G906" s="133" t="str">
        <f t="shared" si="78"/>
        <v>T090DFNA</v>
      </c>
      <c r="H906" s="153" t="s">
        <v>1578</v>
      </c>
      <c r="I906" s="153"/>
      <c r="J906" s="153">
        <v>2025062602</v>
      </c>
      <c r="K906" s="155" t="s">
        <v>55</v>
      </c>
      <c r="L906" s="156">
        <v>1</v>
      </c>
      <c r="M906" s="153" t="s">
        <v>673</v>
      </c>
      <c r="N906" s="157">
        <f>Table1[[#This Row],[gross_weight]]-Table1[[#This Row],[tare_weight]]</f>
        <v>1000</v>
      </c>
      <c r="O906" s="136">
        <v>1028</v>
      </c>
      <c r="P906" s="136">
        <v>28</v>
      </c>
      <c r="Q906" s="205">
        <f t="shared" ref="Q906:Q923" si="80">L906*N906</f>
        <v>1000</v>
      </c>
      <c r="R906" s="153"/>
      <c r="S906" s="138">
        <v>45834</v>
      </c>
      <c r="T906" s="153" t="s">
        <v>664</v>
      </c>
      <c r="U906" s="139" t="str">
        <f t="shared" si="79"/>
        <v>_driedflower_bulk_Rohan</v>
      </c>
      <c r="V906" s="206" t="str">
        <f>IF(U906="_","",_xlfn.XLOOKUP(U906,internal_cansku_inventory!D:D,internal_cansku_inventory!E:E,"",0,1))</f>
        <v/>
      </c>
    </row>
    <row r="907" spans="1:22" ht="12.45" customHeight="1">
      <c r="A907" s="154">
        <v>777</v>
      </c>
      <c r="B907" s="154">
        <v>2</v>
      </c>
      <c r="C907" s="154" t="str">
        <f>Table1[[#This Row],[inventory_id_head]]&amp;"-"&amp;Table1[[#This Row],[inventory_id_tail]]</f>
        <v>777-2</v>
      </c>
      <c r="D907" s="153" t="s">
        <v>653</v>
      </c>
      <c r="E907" s="153" t="s">
        <v>1818</v>
      </c>
      <c r="F907" s="153" t="s">
        <v>1819</v>
      </c>
      <c r="G907" s="133" t="str">
        <f t="shared" si="78"/>
        <v>T090DFB01</v>
      </c>
      <c r="H907" s="153" t="s">
        <v>1578</v>
      </c>
      <c r="I907" s="153"/>
      <c r="J907" s="153">
        <v>2025062602</v>
      </c>
      <c r="K907" s="155" t="s">
        <v>55</v>
      </c>
      <c r="L907" s="156">
        <v>1</v>
      </c>
      <c r="M907" s="153" t="s">
        <v>673</v>
      </c>
      <c r="N907" s="136">
        <f>Table1[[#This Row],[gross_weight]]-Table1[[#This Row],[tare_weight]]</f>
        <v>1000</v>
      </c>
      <c r="O907" s="157">
        <v>1030</v>
      </c>
      <c r="P907" s="157">
        <v>30</v>
      </c>
      <c r="Q907" s="205">
        <f t="shared" si="80"/>
        <v>1000</v>
      </c>
      <c r="R907" s="153"/>
      <c r="S907" s="158">
        <v>45834</v>
      </c>
      <c r="T907" s="153" t="s">
        <v>664</v>
      </c>
      <c r="U907" s="139" t="str">
        <f t="shared" si="79"/>
        <v>_driedflower_bulk_Rohan</v>
      </c>
      <c r="V907" s="206" t="str">
        <f>IF(U907="_","",_xlfn.XLOOKUP(U907,internal_cansku_inventory!D:D,internal_cansku_inventory!E:E,"",0,1))</f>
        <v/>
      </c>
    </row>
    <row r="908" spans="1:22" ht="12.45" customHeight="1">
      <c r="A908" s="154">
        <v>777</v>
      </c>
      <c r="B908" s="154">
        <v>3</v>
      </c>
      <c r="C908" s="154" t="str">
        <f>Table1[[#This Row],[inventory_id_head]]&amp;"-"&amp;Table1[[#This Row],[inventory_id_tail]]</f>
        <v>777-3</v>
      </c>
      <c r="D908" s="153" t="s">
        <v>653</v>
      </c>
      <c r="E908" s="153" t="s">
        <v>1818</v>
      </c>
      <c r="F908" s="153" t="s">
        <v>1564</v>
      </c>
      <c r="G908" s="133" t="str">
        <f t="shared" si="78"/>
        <v>T090DFB02</v>
      </c>
      <c r="H908" s="153" t="s">
        <v>1578</v>
      </c>
      <c r="I908" s="153"/>
      <c r="J908" s="153">
        <v>2025062602</v>
      </c>
      <c r="K908" s="155" t="s">
        <v>55</v>
      </c>
      <c r="L908" s="156">
        <v>1</v>
      </c>
      <c r="M908" s="153" t="s">
        <v>673</v>
      </c>
      <c r="N908" s="136">
        <f>Table1[[#This Row],[gross_weight]]-Table1[[#This Row],[tare_weight]]</f>
        <v>1000</v>
      </c>
      <c r="O908" s="157">
        <v>1028</v>
      </c>
      <c r="P908" s="157">
        <v>28</v>
      </c>
      <c r="Q908" s="205">
        <f t="shared" si="80"/>
        <v>1000</v>
      </c>
      <c r="R908" s="153"/>
      <c r="S908" s="158">
        <v>45834</v>
      </c>
      <c r="T908" s="153" t="s">
        <v>664</v>
      </c>
      <c r="U908" s="139" t="str">
        <f t="shared" si="79"/>
        <v>_driedflower_bulk_Rohan</v>
      </c>
      <c r="V908" s="206" t="str">
        <f>IF(U908="_","",_xlfn.XLOOKUP(U908,internal_cansku_inventory!D:D,internal_cansku_inventory!E:E,"",0,1))</f>
        <v/>
      </c>
    </row>
    <row r="909" spans="1:22" ht="12.45" customHeight="1">
      <c r="A909" s="154">
        <v>777</v>
      </c>
      <c r="B909" s="154">
        <v>4</v>
      </c>
      <c r="C909" s="154" t="str">
        <f>Table1[[#This Row],[inventory_id_head]]&amp;"-"&amp;Table1[[#This Row],[inventory_id_tail]]</f>
        <v>777-4</v>
      </c>
      <c r="D909" s="153" t="s">
        <v>653</v>
      </c>
      <c r="E909" s="153" t="s">
        <v>1818</v>
      </c>
      <c r="F909" s="153" t="s">
        <v>1565</v>
      </c>
      <c r="G909" s="133" t="str">
        <f t="shared" si="78"/>
        <v>T090DFB03</v>
      </c>
      <c r="H909" s="153" t="s">
        <v>1578</v>
      </c>
      <c r="I909" s="153"/>
      <c r="J909" s="153">
        <v>2025062602</v>
      </c>
      <c r="K909" s="155" t="s">
        <v>55</v>
      </c>
      <c r="L909" s="156">
        <v>1</v>
      </c>
      <c r="M909" s="153" t="s">
        <v>673</v>
      </c>
      <c r="N909" s="136">
        <f>Table1[[#This Row],[gross_weight]]-Table1[[#This Row],[tare_weight]]</f>
        <v>1000</v>
      </c>
      <c r="O909" s="157">
        <v>1028</v>
      </c>
      <c r="P909" s="157">
        <v>28</v>
      </c>
      <c r="Q909" s="205">
        <f t="shared" si="80"/>
        <v>1000</v>
      </c>
      <c r="R909" s="153"/>
      <c r="S909" s="158">
        <v>45834</v>
      </c>
      <c r="T909" s="153" t="s">
        <v>664</v>
      </c>
      <c r="U909" s="139" t="str">
        <f t="shared" si="79"/>
        <v>_driedflower_bulk_Rohan</v>
      </c>
      <c r="V909" s="206" t="str">
        <f>IF(U909="_","",_xlfn.XLOOKUP(U909,internal_cansku_inventory!D:D,internal_cansku_inventory!E:E,"",0,1))</f>
        <v/>
      </c>
    </row>
    <row r="910" spans="1:22" ht="12.45" customHeight="1">
      <c r="A910" s="154">
        <v>777</v>
      </c>
      <c r="B910" s="154">
        <v>5</v>
      </c>
      <c r="C910" s="154" t="str">
        <f>Table1[[#This Row],[inventory_id_head]]&amp;"-"&amp;Table1[[#This Row],[inventory_id_tail]]</f>
        <v>777-5</v>
      </c>
      <c r="D910" s="153" t="s">
        <v>653</v>
      </c>
      <c r="E910" s="153" t="s">
        <v>1818</v>
      </c>
      <c r="F910" s="153" t="s">
        <v>1566</v>
      </c>
      <c r="G910" s="133" t="str">
        <f t="shared" si="78"/>
        <v>T090DFB04</v>
      </c>
      <c r="H910" s="153" t="s">
        <v>1578</v>
      </c>
      <c r="I910" s="153"/>
      <c r="J910" s="153">
        <v>2025050501</v>
      </c>
      <c r="K910" s="155" t="s">
        <v>55</v>
      </c>
      <c r="L910" s="156">
        <v>1</v>
      </c>
      <c r="M910" s="153" t="s">
        <v>673</v>
      </c>
      <c r="N910" s="136">
        <f>Table1[[#This Row],[gross_weight]]-Table1[[#This Row],[tare_weight]]</f>
        <v>1000</v>
      </c>
      <c r="O910" s="157">
        <v>1028</v>
      </c>
      <c r="P910" s="157">
        <v>28</v>
      </c>
      <c r="Q910" s="205">
        <f t="shared" si="80"/>
        <v>1000</v>
      </c>
      <c r="R910" s="153"/>
      <c r="S910" s="158">
        <v>45834</v>
      </c>
      <c r="T910" s="153" t="s">
        <v>664</v>
      </c>
      <c r="U910" s="139" t="str">
        <f t="shared" si="79"/>
        <v>_driedflower_bulk_Rohan</v>
      </c>
      <c r="V910" s="206" t="str">
        <f>IF(U910="_","",_xlfn.XLOOKUP(U910,internal_cansku_inventory!D:D,internal_cansku_inventory!E:E,"",0,1))</f>
        <v/>
      </c>
    </row>
    <row r="911" spans="1:22" ht="12.45" customHeight="1">
      <c r="A911" s="154">
        <v>777</v>
      </c>
      <c r="B911" s="154">
        <v>6</v>
      </c>
      <c r="C911" s="132" t="str">
        <f>Table1[[#This Row],[inventory_id_head]]&amp;"-"&amp;Table1[[#This Row],[inventory_id_tail]]</f>
        <v>777-6</v>
      </c>
      <c r="D911" s="153" t="s">
        <v>653</v>
      </c>
      <c r="E911" s="153" t="s">
        <v>1818</v>
      </c>
      <c r="F911" s="153" t="s">
        <v>1567</v>
      </c>
      <c r="G911" s="133" t="str">
        <f t="shared" si="78"/>
        <v>T090DFB05</v>
      </c>
      <c r="H911" s="153" t="s">
        <v>1578</v>
      </c>
      <c r="I911" s="153"/>
      <c r="J911" s="153">
        <v>2025062602</v>
      </c>
      <c r="K911" s="155" t="s">
        <v>55</v>
      </c>
      <c r="L911" s="156">
        <v>1</v>
      </c>
      <c r="M911" s="153" t="s">
        <v>673</v>
      </c>
      <c r="N911" s="136">
        <f>Table1[[#This Row],[gross_weight]]-Table1[[#This Row],[tare_weight]]</f>
        <v>1000</v>
      </c>
      <c r="O911" s="157">
        <v>1034</v>
      </c>
      <c r="P911" s="157">
        <v>34</v>
      </c>
      <c r="Q911" s="205">
        <f t="shared" si="80"/>
        <v>1000</v>
      </c>
      <c r="R911" s="133"/>
      <c r="S911" s="158">
        <v>45834</v>
      </c>
      <c r="T911" s="153" t="s">
        <v>664</v>
      </c>
      <c r="U911" s="139" t="str">
        <f t="shared" si="79"/>
        <v>_driedflower_bulk_Rohan</v>
      </c>
      <c r="V911" s="140" t="str">
        <f>IF(U911="_","",_xlfn.XLOOKUP(U911,internal_cansku_inventory!D:D,internal_cansku_inventory!E:E,"",0,1))</f>
        <v/>
      </c>
    </row>
    <row r="912" spans="1:22" ht="12.45" customHeight="1">
      <c r="A912" s="154">
        <v>777</v>
      </c>
      <c r="B912" s="154">
        <v>7</v>
      </c>
      <c r="C912" s="132" t="str">
        <f>Table1[[#This Row],[inventory_id_head]]&amp;"-"&amp;Table1[[#This Row],[inventory_id_tail]]</f>
        <v>777-7</v>
      </c>
      <c r="D912" s="153" t="s">
        <v>653</v>
      </c>
      <c r="E912" s="153" t="s">
        <v>1818</v>
      </c>
      <c r="F912" s="153" t="s">
        <v>1568</v>
      </c>
      <c r="G912" s="133" t="str">
        <f t="shared" si="78"/>
        <v>T090DFB06</v>
      </c>
      <c r="H912" s="153" t="s">
        <v>1578</v>
      </c>
      <c r="I912" s="153"/>
      <c r="J912" s="153">
        <v>2025062602</v>
      </c>
      <c r="K912" s="155" t="s">
        <v>55</v>
      </c>
      <c r="L912" s="156">
        <v>1</v>
      </c>
      <c r="M912" s="153" t="s">
        <v>673</v>
      </c>
      <c r="N912" s="136">
        <f>Table1[[#This Row],[gross_weight]]-Table1[[#This Row],[tare_weight]]</f>
        <v>6000</v>
      </c>
      <c r="O912" s="157">
        <v>9060</v>
      </c>
      <c r="P912" s="157">
        <v>3060</v>
      </c>
      <c r="Q912" s="205">
        <f t="shared" si="80"/>
        <v>6000</v>
      </c>
      <c r="R912" s="133" t="s">
        <v>1820</v>
      </c>
      <c r="S912" s="158">
        <v>45834</v>
      </c>
      <c r="T912" s="153" t="s">
        <v>664</v>
      </c>
      <c r="U912" s="139" t="str">
        <f t="shared" si="79"/>
        <v>_driedflower_bulk_Rohan</v>
      </c>
      <c r="V912" s="140" t="str">
        <f>IF(U912="_","",_xlfn.XLOOKUP(U912,internal_cansku_inventory!D:D,internal_cansku_inventory!E:E,"",0,1))</f>
        <v/>
      </c>
    </row>
    <row r="913" spans="1:22" ht="12.45" customHeight="1">
      <c r="A913" s="154">
        <v>778</v>
      </c>
      <c r="B913" s="154">
        <v>0</v>
      </c>
      <c r="C913" s="132" t="str">
        <f>Table1[[#This Row],[inventory_id_head]]&amp;"-"&amp;Table1[[#This Row],[inventory_id_tail]]</f>
        <v>778-0</v>
      </c>
      <c r="D913" s="153" t="s">
        <v>653</v>
      </c>
      <c r="E913" s="153" t="s">
        <v>1821</v>
      </c>
      <c r="F913" s="153" t="s">
        <v>55</v>
      </c>
      <c r="G913" s="133" t="str">
        <f t="shared" si="78"/>
        <v>P024EXNA</v>
      </c>
      <c r="H913" s="153" t="s">
        <v>358</v>
      </c>
      <c r="I913" s="153"/>
      <c r="J913" s="153">
        <v>2025062601</v>
      </c>
      <c r="K913" s="155" t="s">
        <v>55</v>
      </c>
      <c r="L913" s="156">
        <v>1</v>
      </c>
      <c r="M913" s="153" t="s">
        <v>663</v>
      </c>
      <c r="N913" s="136">
        <f>Table1[[#This Row],[gross_weight]]-Table1[[#This Row],[tare_weight]]</f>
        <v>1000</v>
      </c>
      <c r="O913" s="157">
        <v>1590</v>
      </c>
      <c r="P913" s="157">
        <v>590</v>
      </c>
      <c r="Q913" s="205">
        <f t="shared" si="80"/>
        <v>1000</v>
      </c>
      <c r="R913" s="133"/>
      <c r="S913" s="158">
        <v>45834</v>
      </c>
      <c r="T913" s="153" t="s">
        <v>664</v>
      </c>
      <c r="U913" s="139" t="str">
        <f t="shared" si="79"/>
        <v>_extract_inhaled_bulk</v>
      </c>
      <c r="V913" s="140" t="str">
        <f>IF(U913="_","",_xlfn.XLOOKUP(U913,internal_cansku_inventory!D:D,internal_cansku_inventory!E:E,"",0,1))</f>
        <v/>
      </c>
    </row>
    <row r="914" spans="1:22" ht="12.45" customHeight="1">
      <c r="A914" s="154">
        <v>734</v>
      </c>
      <c r="B914" s="154">
        <v>2</v>
      </c>
      <c r="C914" s="132" t="str">
        <f>Table1[[#This Row],[inventory_id_head]]&amp;"-"&amp;Table1[[#This Row],[inventory_id_tail]]</f>
        <v>734-2</v>
      </c>
      <c r="D914" s="153" t="s">
        <v>653</v>
      </c>
      <c r="E914" s="153" t="s">
        <v>1590</v>
      </c>
      <c r="F914" s="153" t="s">
        <v>655</v>
      </c>
      <c r="G914" s="133" t="str">
        <f t="shared" si="78"/>
        <v>T070DFNA</v>
      </c>
      <c r="H914" s="153" t="s">
        <v>314</v>
      </c>
      <c r="I914" s="153"/>
      <c r="J914" s="153" t="s">
        <v>1591</v>
      </c>
      <c r="K914" s="155">
        <v>45763</v>
      </c>
      <c r="L914" s="156">
        <v>10</v>
      </c>
      <c r="M914" s="153" t="s">
        <v>858</v>
      </c>
      <c r="N914" s="136">
        <v>7</v>
      </c>
      <c r="O914" s="136">
        <v>0</v>
      </c>
      <c r="P914" s="136">
        <v>0</v>
      </c>
      <c r="Q914" s="205">
        <f t="shared" si="80"/>
        <v>70</v>
      </c>
      <c r="R914" s="133"/>
      <c r="S914" s="158">
        <v>45836</v>
      </c>
      <c r="T914" s="153" t="s">
        <v>1572</v>
      </c>
      <c r="U914" s="139" t="str">
        <f t="shared" si="79"/>
        <v>_driedflower_labelled</v>
      </c>
      <c r="V914" s="140" t="str">
        <f>IF(U914="_","",_xlfn.XLOOKUP(U914,internal_cansku_inventory!D:D,internal_cansku_inventory!E:E,"",0,1))</f>
        <v/>
      </c>
    </row>
    <row r="915" spans="1:22" ht="12.45" customHeight="1">
      <c r="A915" s="154">
        <v>779</v>
      </c>
      <c r="B915" s="154">
        <v>0</v>
      </c>
      <c r="C915" s="154" t="str">
        <f>Table1[[#This Row],[inventory_id_head]]&amp;"-"&amp;Table1[[#This Row],[inventory_id_tail]]</f>
        <v>779-0</v>
      </c>
      <c r="D915" s="153" t="s">
        <v>653</v>
      </c>
      <c r="E915" s="153" t="s">
        <v>1822</v>
      </c>
      <c r="F915" s="153" t="s">
        <v>55</v>
      </c>
      <c r="G915" s="133" t="str">
        <f t="shared" si="78"/>
        <v>T084PRNA</v>
      </c>
      <c r="H915" s="153" t="s">
        <v>308</v>
      </c>
      <c r="I915" s="153"/>
      <c r="J915" s="153" t="s">
        <v>1823</v>
      </c>
      <c r="K915" s="155">
        <v>45831</v>
      </c>
      <c r="L915" s="156">
        <v>180</v>
      </c>
      <c r="M915" s="153" t="s">
        <v>644</v>
      </c>
      <c r="N915" s="136">
        <v>2</v>
      </c>
      <c r="O915" s="157">
        <v>0</v>
      </c>
      <c r="P915" s="157">
        <v>0</v>
      </c>
      <c r="Q915" s="205">
        <f t="shared" si="80"/>
        <v>360</v>
      </c>
      <c r="R915" s="153"/>
      <c r="S915" s="158">
        <v>45842</v>
      </c>
      <c r="T915" s="153" t="s">
        <v>670</v>
      </c>
      <c r="U915" s="139" t="str">
        <f t="shared" si="79"/>
        <v>_preroll_labelled</v>
      </c>
      <c r="V915" s="140" t="str">
        <f>IF(U915="_","",_xlfn.XLOOKUP(U915,internal_cansku_inventory!D:D,internal_cansku_inventory!E:E,"",0,1))</f>
        <v/>
      </c>
    </row>
    <row r="916" spans="1:22" ht="12.45" customHeight="1">
      <c r="A916" s="154">
        <v>780</v>
      </c>
      <c r="B916" s="154">
        <v>0</v>
      </c>
      <c r="C916" s="154" t="str">
        <f>Table1[[#This Row],[inventory_id_head]]&amp;"-"&amp;Table1[[#This Row],[inventory_id_tail]]</f>
        <v>780-0</v>
      </c>
      <c r="D916" s="153" t="s">
        <v>680</v>
      </c>
      <c r="E916" s="153" t="s">
        <v>1824</v>
      </c>
      <c r="F916" s="153" t="s">
        <v>55</v>
      </c>
      <c r="G916" s="133" t="str">
        <f t="shared" si="78"/>
        <v>T085PRNA</v>
      </c>
      <c r="H916" s="153" t="s">
        <v>308</v>
      </c>
      <c r="I916" s="153"/>
      <c r="J916" s="153" t="s">
        <v>1825</v>
      </c>
      <c r="K916" s="155">
        <v>45833</v>
      </c>
      <c r="L916" s="156">
        <v>198</v>
      </c>
      <c r="M916" s="153" t="s">
        <v>644</v>
      </c>
      <c r="N916" s="157">
        <v>2.5</v>
      </c>
      <c r="O916" s="157">
        <v>0</v>
      </c>
      <c r="P916" s="157">
        <v>0</v>
      </c>
      <c r="Q916" s="205">
        <f t="shared" si="80"/>
        <v>495</v>
      </c>
      <c r="R916" s="153"/>
      <c r="S916" s="158">
        <v>45842</v>
      </c>
      <c r="T916" s="153" t="s">
        <v>670</v>
      </c>
      <c r="U916" s="139" t="str">
        <f t="shared" si="79"/>
        <v>_preroll_labelled</v>
      </c>
      <c r="V916" s="140" t="str">
        <f>IF(U916="_","",_xlfn.XLOOKUP(U916,internal_cansku_inventory!D:D,internal_cansku_inventory!E:E,"",0,1))</f>
        <v/>
      </c>
    </row>
    <row r="917" spans="1:22" ht="12.45" customHeight="1">
      <c r="A917" s="132">
        <v>746</v>
      </c>
      <c r="B917" s="132">
        <v>3</v>
      </c>
      <c r="C917" s="132" t="str">
        <f>Table1[[#This Row],[inventory_id_head]]&amp;"-"&amp;Table1[[#This Row],[inventory_id_tail]]</f>
        <v>746-3</v>
      </c>
      <c r="D917" s="133" t="s">
        <v>653</v>
      </c>
      <c r="E917" s="133" t="s">
        <v>1826</v>
      </c>
      <c r="F917" s="153" t="s">
        <v>55</v>
      </c>
      <c r="G917" s="133" t="str">
        <f t="shared" si="78"/>
        <v>T086PRNA</v>
      </c>
      <c r="H917" s="153" t="s">
        <v>308</v>
      </c>
      <c r="I917" s="133"/>
      <c r="J917" s="133" t="s">
        <v>1827</v>
      </c>
      <c r="K917" s="134">
        <v>45825</v>
      </c>
      <c r="L917" s="135">
        <v>168</v>
      </c>
      <c r="M917" s="153" t="s">
        <v>644</v>
      </c>
      <c r="N917" s="136">
        <v>6</v>
      </c>
      <c r="O917" s="136">
        <v>0</v>
      </c>
      <c r="P917" s="136">
        <v>0</v>
      </c>
      <c r="Q917" s="205">
        <f t="shared" si="80"/>
        <v>1008</v>
      </c>
      <c r="R917" s="133"/>
      <c r="S917" s="158">
        <v>45842</v>
      </c>
      <c r="T917" s="153" t="s">
        <v>670</v>
      </c>
      <c r="U917" s="139" t="str">
        <f t="shared" si="79"/>
        <v>_preroll_labelled</v>
      </c>
      <c r="V917" s="140" t="str">
        <f>IF(U917="_","",_xlfn.XLOOKUP(U917,internal_cansku_inventory!D:D,internal_cansku_inventory!E:E,"",0,1))</f>
        <v/>
      </c>
    </row>
    <row r="918" spans="1:22" ht="12.45" customHeight="1">
      <c r="A918" s="154">
        <v>734</v>
      </c>
      <c r="B918" s="154">
        <v>4</v>
      </c>
      <c r="C918" s="154" t="str">
        <f>Table1[[#This Row],[inventory_id_head]]&amp;"-"&amp;Table1[[#This Row],[inventory_id_tail]]</f>
        <v>734-4</v>
      </c>
      <c r="D918" s="133" t="s">
        <v>653</v>
      </c>
      <c r="E918" s="133" t="s">
        <v>1828</v>
      </c>
      <c r="F918" s="153" t="s">
        <v>55</v>
      </c>
      <c r="G918" s="133" t="str">
        <f t="shared" si="78"/>
        <v>T091DFNA</v>
      </c>
      <c r="H918" s="153" t="s">
        <v>314</v>
      </c>
      <c r="I918" s="153"/>
      <c r="J918" s="153" t="s">
        <v>1829</v>
      </c>
      <c r="K918" s="134">
        <v>45826</v>
      </c>
      <c r="L918" s="156">
        <v>154</v>
      </c>
      <c r="M918" s="153" t="s">
        <v>644</v>
      </c>
      <c r="N918" s="157">
        <v>7</v>
      </c>
      <c r="O918" s="136">
        <v>0</v>
      </c>
      <c r="P918" s="136">
        <v>0</v>
      </c>
      <c r="Q918" s="205">
        <f t="shared" si="80"/>
        <v>1078</v>
      </c>
      <c r="R918" s="153"/>
      <c r="S918" s="158">
        <v>45842</v>
      </c>
      <c r="T918" s="153" t="s">
        <v>670</v>
      </c>
      <c r="U918" s="139" t="str">
        <f t="shared" si="79"/>
        <v>_driedflower_labelled</v>
      </c>
      <c r="V918" s="206" t="str">
        <f>IF(U918="_","",_xlfn.XLOOKUP(U918,internal_cansku_inventory!D:D,internal_cansku_inventory!E:E,"",0,1))</f>
        <v/>
      </c>
    </row>
    <row r="919" spans="1:22" ht="12.45" customHeight="1">
      <c r="A919" s="154">
        <v>781</v>
      </c>
      <c r="B919" s="154">
        <v>0</v>
      </c>
      <c r="C919" s="154" t="str">
        <f>Table1[[#This Row],[inventory_id_head]]&amp;"-"&amp;Table1[[#This Row],[inventory_id_tail]]</f>
        <v>781-0</v>
      </c>
      <c r="D919" s="153" t="s">
        <v>653</v>
      </c>
      <c r="E919" s="153" t="s">
        <v>1830</v>
      </c>
      <c r="F919" s="153" t="s">
        <v>55</v>
      </c>
      <c r="G919" s="133" t="str">
        <f t="shared" si="78"/>
        <v>T087PRNA</v>
      </c>
      <c r="H919" s="153" t="s">
        <v>308</v>
      </c>
      <c r="I919" s="153"/>
      <c r="J919" s="153" t="s">
        <v>574</v>
      </c>
      <c r="K919" s="155">
        <v>45818</v>
      </c>
      <c r="L919" s="156">
        <v>408</v>
      </c>
      <c r="M919" s="153" t="s">
        <v>644</v>
      </c>
      <c r="N919" s="157">
        <v>2</v>
      </c>
      <c r="O919" s="157">
        <v>0</v>
      </c>
      <c r="P919" s="157">
        <v>0</v>
      </c>
      <c r="Q919" s="205">
        <f t="shared" si="80"/>
        <v>816</v>
      </c>
      <c r="R919" s="153"/>
      <c r="S919" s="158">
        <v>45842</v>
      </c>
      <c r="T919" s="153" t="s">
        <v>670</v>
      </c>
      <c r="U919" s="139" t="str">
        <f t="shared" si="79"/>
        <v>_preroll_labelled</v>
      </c>
      <c r="V919" s="206" t="str">
        <f>IF(U919="_","",_xlfn.XLOOKUP(U919,internal_cansku_inventory!D:D,internal_cansku_inventory!E:E,"",0,1))</f>
        <v/>
      </c>
    </row>
    <row r="920" spans="1:22" ht="12.45" customHeight="1">
      <c r="A920" s="154">
        <v>782</v>
      </c>
      <c r="B920" s="154">
        <v>0</v>
      </c>
      <c r="C920" s="154" t="str">
        <f>Table1[[#This Row],[inventory_id_head]]&amp;"-"&amp;Table1[[#This Row],[inventory_id_tail]]</f>
        <v>782-0</v>
      </c>
      <c r="D920" s="153" t="s">
        <v>653</v>
      </c>
      <c r="E920" s="153" t="s">
        <v>1831</v>
      </c>
      <c r="F920" s="153" t="s">
        <v>55</v>
      </c>
      <c r="G920" s="133" t="str">
        <f t="shared" si="78"/>
        <v>T092DFNA</v>
      </c>
      <c r="H920" s="133" t="s">
        <v>314</v>
      </c>
      <c r="I920" s="153"/>
      <c r="J920" s="133" t="s">
        <v>1832</v>
      </c>
      <c r="K920" s="155">
        <v>45840</v>
      </c>
      <c r="L920" s="156">
        <v>55</v>
      </c>
      <c r="M920" s="153" t="s">
        <v>644</v>
      </c>
      <c r="N920" s="136">
        <v>14</v>
      </c>
      <c r="O920" s="136">
        <v>0</v>
      </c>
      <c r="P920" s="136">
        <v>0</v>
      </c>
      <c r="Q920" s="205">
        <f t="shared" si="80"/>
        <v>770</v>
      </c>
      <c r="R920" s="153"/>
      <c r="S920" s="158">
        <v>45845</v>
      </c>
      <c r="T920" s="153" t="s">
        <v>670</v>
      </c>
      <c r="U920" s="139" t="str">
        <f t="shared" si="79"/>
        <v>_driedflower_labelled</v>
      </c>
      <c r="V920" s="206" t="str">
        <f>IF(U920="_","",_xlfn.XLOOKUP(U920,internal_cansku_inventory!D:D,internal_cansku_inventory!E:E,"",0,1))</f>
        <v/>
      </c>
    </row>
    <row r="921" spans="1:22" ht="12.45" customHeight="1">
      <c r="A921" s="154">
        <v>783</v>
      </c>
      <c r="B921" s="154">
        <v>0</v>
      </c>
      <c r="C921" s="154" t="str">
        <f>Table1[[#This Row],[inventory_id_head]]&amp;"-"&amp;Table1[[#This Row],[inventory_id_tail]]</f>
        <v>783-0</v>
      </c>
      <c r="D921" s="153" t="s">
        <v>653</v>
      </c>
      <c r="E921" s="153" t="s">
        <v>1833</v>
      </c>
      <c r="F921" s="153" t="s">
        <v>204</v>
      </c>
      <c r="G921" s="133" t="str">
        <f t="shared" si="78"/>
        <v>T167EXNA</v>
      </c>
      <c r="H921" s="153" t="s">
        <v>891</v>
      </c>
      <c r="I921" s="153"/>
      <c r="J921" s="153" t="s">
        <v>1306</v>
      </c>
      <c r="K921" s="155">
        <v>45576</v>
      </c>
      <c r="L921" s="156">
        <v>4</v>
      </c>
      <c r="M921" s="133" t="s">
        <v>1298</v>
      </c>
      <c r="N921" s="157">
        <v>50</v>
      </c>
      <c r="O921" s="136">
        <v>0</v>
      </c>
      <c r="P921" s="136">
        <v>0</v>
      </c>
      <c r="Q921" s="205">
        <f t="shared" si="80"/>
        <v>200</v>
      </c>
      <c r="R921" s="153"/>
      <c r="S921" s="158">
        <v>45845.583333333336</v>
      </c>
      <c r="T921" s="153" t="s">
        <v>670</v>
      </c>
      <c r="U921" s="139" t="str">
        <f t="shared" si="79"/>
        <v>_extract_ingested_cased_BC</v>
      </c>
      <c r="V921" s="206" t="str">
        <f>IF(U921="_","",_xlfn.XLOOKUP(U921,internal_cansku_inventory!D:D,internal_cansku_inventory!E:E,"",0,1))</f>
        <v/>
      </c>
    </row>
    <row r="922" spans="1:22" ht="12.45" customHeight="1">
      <c r="A922" s="154">
        <v>783</v>
      </c>
      <c r="B922" s="154">
        <v>1</v>
      </c>
      <c r="C922" s="154" t="str">
        <f>Table1[[#This Row],[inventory_id_head]]&amp;"-"&amp;Table1[[#This Row],[inventory_id_tail]]</f>
        <v>783-1</v>
      </c>
      <c r="D922" s="153" t="s">
        <v>653</v>
      </c>
      <c r="E922" s="153" t="s">
        <v>1833</v>
      </c>
      <c r="F922" s="153" t="s">
        <v>204</v>
      </c>
      <c r="G922" s="133" t="str">
        <f t="shared" si="78"/>
        <v>T167EXNA</v>
      </c>
      <c r="H922" s="153" t="s">
        <v>891</v>
      </c>
      <c r="I922" s="133"/>
      <c r="J922" s="153" t="s">
        <v>578</v>
      </c>
      <c r="K922" s="134">
        <v>45700</v>
      </c>
      <c r="L922" s="156">
        <v>7</v>
      </c>
      <c r="M922" s="153" t="s">
        <v>1298</v>
      </c>
      <c r="N922" s="157">
        <v>50</v>
      </c>
      <c r="O922" s="157">
        <v>0</v>
      </c>
      <c r="P922" s="157">
        <v>0</v>
      </c>
      <c r="Q922" s="205">
        <f t="shared" si="80"/>
        <v>350</v>
      </c>
      <c r="R922" s="153"/>
      <c r="S922" s="158">
        <v>45845.583333333336</v>
      </c>
      <c r="T922" s="153" t="s">
        <v>670</v>
      </c>
      <c r="U922" s="139" t="str">
        <f t="shared" si="79"/>
        <v>_extract_ingested_cased_BC</v>
      </c>
      <c r="V922" s="206" t="str">
        <f>IF(U922="_","",_xlfn.XLOOKUP(U922,internal_cansku_inventory!D:D,internal_cansku_inventory!E:E,"",0,1))</f>
        <v/>
      </c>
    </row>
    <row r="923" spans="1:22" ht="12.45" customHeight="1">
      <c r="A923" s="154">
        <v>783</v>
      </c>
      <c r="B923" s="154">
        <v>2</v>
      </c>
      <c r="C923" s="154" t="str">
        <f>Table1[[#This Row],[inventory_id_head]]&amp;"-"&amp;Table1[[#This Row],[inventory_id_tail]]</f>
        <v>783-2</v>
      </c>
      <c r="D923" s="153" t="s">
        <v>653</v>
      </c>
      <c r="E923" s="153" t="s">
        <v>1833</v>
      </c>
      <c r="F923" s="153" t="s">
        <v>204</v>
      </c>
      <c r="G923" s="133" t="str">
        <f t="shared" si="78"/>
        <v>T167EXNA</v>
      </c>
      <c r="H923" s="153" t="s">
        <v>891</v>
      </c>
      <c r="I923" s="133"/>
      <c r="J923" s="153" t="s">
        <v>1774</v>
      </c>
      <c r="K923" s="155">
        <v>45790</v>
      </c>
      <c r="L923" s="156">
        <v>9</v>
      </c>
      <c r="M923" s="153" t="s">
        <v>1298</v>
      </c>
      <c r="N923" s="157">
        <v>50</v>
      </c>
      <c r="O923" s="157">
        <v>0</v>
      </c>
      <c r="P923" s="157">
        <v>0</v>
      </c>
      <c r="Q923" s="205">
        <f t="shared" si="80"/>
        <v>450</v>
      </c>
      <c r="R923" s="153"/>
      <c r="S923" s="158">
        <v>45845.583333333336</v>
      </c>
      <c r="T923" s="153" t="s">
        <v>670</v>
      </c>
      <c r="U923" s="139" t="str">
        <f t="shared" si="79"/>
        <v>_extract_ingested_cased_BC</v>
      </c>
      <c r="V923" s="206" t="str">
        <f>IF(U923="_","",_xlfn.XLOOKUP(U923,internal_cansku_inventory!D:D,internal_cansku_inventory!E:E,"",0,1))</f>
        <v/>
      </c>
    </row>
    <row r="924" spans="1:22" ht="12.45" customHeight="1">
      <c r="A924" s="154">
        <v>665</v>
      </c>
      <c r="B924" s="154">
        <v>1</v>
      </c>
      <c r="C924" s="154" t="str">
        <f>Table1[[#This Row],[inventory_id_head]]&amp;"-"&amp;Table1[[#This Row],[inventory_id_tail]]</f>
        <v>665-1</v>
      </c>
      <c r="D924" s="153" t="s">
        <v>653</v>
      </c>
      <c r="E924" s="153" t="s">
        <v>1834</v>
      </c>
      <c r="F924" s="153" t="s">
        <v>655</v>
      </c>
      <c r="G924" s="133" t="str">
        <f t="shared" si="78"/>
        <v>T153EXNA</v>
      </c>
      <c r="H924" s="153" t="s">
        <v>328</v>
      </c>
      <c r="I924" s="153"/>
      <c r="J924" s="153" t="s">
        <v>1559</v>
      </c>
      <c r="K924" s="155">
        <v>45742</v>
      </c>
      <c r="L924" s="156">
        <v>36</v>
      </c>
      <c r="M924" s="153" t="s">
        <v>858</v>
      </c>
      <c r="N924" s="157">
        <v>1</v>
      </c>
      <c r="O924" s="157">
        <v>0</v>
      </c>
      <c r="P924" s="157">
        <v>0</v>
      </c>
      <c r="Q924" s="205">
        <f>Table1[[#This Row],[number_of_unit]]*Table1[[#This Row],[net_weight_per_unit]]</f>
        <v>36</v>
      </c>
      <c r="R924" s="153"/>
      <c r="S924" s="158">
        <v>45853</v>
      </c>
      <c r="T924" s="153" t="s">
        <v>657</v>
      </c>
      <c r="U924" s="139" t="str">
        <f t="shared" si="79"/>
        <v>_extract_inhaled_labelled</v>
      </c>
      <c r="V924" s="206" t="str">
        <f>IF(U924="_","",_xlfn.XLOOKUP(U924,internal_cansku_inventory!D:D,internal_cansku_inventory!E:E,"",0,1))</f>
        <v/>
      </c>
    </row>
    <row r="925" spans="1:22" ht="12.45" customHeight="1">
      <c r="A925" s="154">
        <v>784</v>
      </c>
      <c r="B925" s="154">
        <v>0</v>
      </c>
      <c r="C925" s="154" t="str">
        <f>Table1[[#This Row],[inventory_id_head]]&amp;"-"&amp;Table1[[#This Row],[inventory_id_tail]]</f>
        <v>784-0</v>
      </c>
      <c r="D925" s="153" t="s">
        <v>653</v>
      </c>
      <c r="E925" s="153" t="s">
        <v>1835</v>
      </c>
      <c r="F925" s="153" t="s">
        <v>55</v>
      </c>
      <c r="G925" s="133" t="str">
        <f t="shared" si="78"/>
        <v>P025EXNA</v>
      </c>
      <c r="H925" s="153" t="s">
        <v>358</v>
      </c>
      <c r="I925" s="153"/>
      <c r="J925" s="153" t="s">
        <v>1836</v>
      </c>
      <c r="K925" s="155" t="s">
        <v>55</v>
      </c>
      <c r="L925" s="156">
        <v>1</v>
      </c>
      <c r="M925" s="153" t="s">
        <v>663</v>
      </c>
      <c r="N925" s="136">
        <f>Table1[[#This Row],[gross_weight]]-Table1[[#This Row],[tare_weight]]</f>
        <v>190</v>
      </c>
      <c r="O925" s="157">
        <v>1480</v>
      </c>
      <c r="P925" s="157">
        <v>1290</v>
      </c>
      <c r="Q925" s="205">
        <f t="shared" ref="Q925:Q943" si="81">L925*N925</f>
        <v>190</v>
      </c>
      <c r="R925" s="153"/>
      <c r="S925" s="138">
        <v>45853</v>
      </c>
      <c r="T925" s="153" t="s">
        <v>664</v>
      </c>
      <c r="U925" s="139" t="str">
        <f t="shared" si="79"/>
        <v>_extract_inhaled_bulk</v>
      </c>
      <c r="V925" s="206" t="str">
        <f>IF(U925="_","",_xlfn.XLOOKUP(U925,internal_cansku_inventory!D:D,internal_cansku_inventory!E:E,"",0,1))</f>
        <v/>
      </c>
    </row>
    <row r="926" spans="1:22" ht="12.45" customHeight="1">
      <c r="A926" s="154">
        <v>650</v>
      </c>
      <c r="B926" s="209">
        <v>7</v>
      </c>
      <c r="C926" s="154" t="str">
        <f>Table1[[#This Row],[inventory_id_head]]&amp;"-"&amp;Table1[[#This Row],[inventory_id_tail]]</f>
        <v>650-7</v>
      </c>
      <c r="D926" s="133" t="s">
        <v>653</v>
      </c>
      <c r="E926" s="153" t="s">
        <v>1837</v>
      </c>
      <c r="F926" s="133" t="s">
        <v>204</v>
      </c>
      <c r="G926" s="133" t="str">
        <f t="shared" si="78"/>
        <v>T011MFNA</v>
      </c>
      <c r="H926" s="133" t="s">
        <v>356</v>
      </c>
      <c r="I926" s="153"/>
      <c r="J926" s="153" t="s">
        <v>1838</v>
      </c>
      <c r="K926" s="134" t="s">
        <v>204</v>
      </c>
      <c r="L926" s="156">
        <v>1</v>
      </c>
      <c r="M926" s="153" t="s">
        <v>663</v>
      </c>
      <c r="N926" s="136">
        <f>Table1[[#This Row],[gross_weight]]-Table1[[#This Row],[tare_weight]]</f>
        <v>1473</v>
      </c>
      <c r="O926" s="157">
        <v>3238</v>
      </c>
      <c r="P926" s="157">
        <f>3238-1473</f>
        <v>1765</v>
      </c>
      <c r="Q926" s="137">
        <f t="shared" si="81"/>
        <v>1473</v>
      </c>
      <c r="R926" s="153"/>
      <c r="S926" s="138">
        <v>45853</v>
      </c>
      <c r="T926" s="153" t="s">
        <v>978</v>
      </c>
      <c r="U926" s="139" t="str">
        <f t="shared" si="79"/>
        <v>_driedflower_milled_bulk</v>
      </c>
      <c r="V926" s="140" t="str">
        <f>IF(U926="_","",_xlfn.XLOOKUP(U926,internal_cansku_inventory!D:D,internal_cansku_inventory!E:E,"",0,1))</f>
        <v/>
      </c>
    </row>
    <row r="927" spans="1:22" ht="12.45" customHeight="1">
      <c r="A927" s="154">
        <v>60</v>
      </c>
      <c r="B927" s="154">
        <v>1</v>
      </c>
      <c r="C927" s="154" t="str">
        <f>Table1[[#This Row],[inventory_id_head]]&amp;"-"&amp;Table1[[#This Row],[inventory_id_tail]]</f>
        <v>60-1</v>
      </c>
      <c r="D927" s="133" t="s">
        <v>653</v>
      </c>
      <c r="E927" s="153" t="s">
        <v>1839</v>
      </c>
      <c r="F927" s="133" t="s">
        <v>204</v>
      </c>
      <c r="G927" s="133" t="str">
        <f t="shared" si="78"/>
        <v>T012MFNA</v>
      </c>
      <c r="H927" s="133" t="s">
        <v>356</v>
      </c>
      <c r="I927" s="153"/>
      <c r="J927" s="153" t="s">
        <v>1840</v>
      </c>
      <c r="K927" s="134" t="s">
        <v>204</v>
      </c>
      <c r="L927" s="156">
        <v>1</v>
      </c>
      <c r="M927" s="153" t="s">
        <v>663</v>
      </c>
      <c r="N927" s="136">
        <f>Table1[[#This Row],[gross_weight]]-Table1[[#This Row],[tare_weight]]</f>
        <v>2449</v>
      </c>
      <c r="O927" s="157">
        <v>4214</v>
      </c>
      <c r="P927" s="157">
        <v>1765</v>
      </c>
      <c r="Q927" s="137">
        <f t="shared" si="81"/>
        <v>2449</v>
      </c>
      <c r="R927" s="153"/>
      <c r="S927" s="138">
        <v>45853</v>
      </c>
      <c r="T927" s="153" t="s">
        <v>978</v>
      </c>
      <c r="U927" s="139" t="str">
        <f t="shared" si="79"/>
        <v>_driedflower_milled_bulk</v>
      </c>
      <c r="V927" s="140" t="str">
        <f>IF(U927="_","",_xlfn.XLOOKUP(U927,internal_cansku_inventory!D:D,internal_cansku_inventory!E:E,"",0,1))</f>
        <v/>
      </c>
    </row>
    <row r="928" spans="1:22" ht="12.45" customHeight="1">
      <c r="A928" s="132">
        <v>785</v>
      </c>
      <c r="B928" s="132">
        <v>0</v>
      </c>
      <c r="C928" s="132" t="str">
        <f>Table1[[#This Row],[inventory_id_head]]&amp;"-"&amp;Table1[[#This Row],[inventory_id_tail]]</f>
        <v>785-0</v>
      </c>
      <c r="D928" s="133" t="s">
        <v>653</v>
      </c>
      <c r="E928" s="133" t="s">
        <v>1841</v>
      </c>
      <c r="F928" s="133" t="s">
        <v>204</v>
      </c>
      <c r="G928" s="133" t="str">
        <f t="shared" si="78"/>
        <v>T088PRNA</v>
      </c>
      <c r="H928" s="133" t="s">
        <v>308</v>
      </c>
      <c r="I928" s="133"/>
      <c r="J928" s="133" t="s">
        <v>1842</v>
      </c>
      <c r="K928" s="134">
        <v>45846</v>
      </c>
      <c r="L928" s="135">
        <v>14</v>
      </c>
      <c r="M928" s="133" t="s">
        <v>644</v>
      </c>
      <c r="N928" s="136">
        <v>6</v>
      </c>
      <c r="O928" s="136">
        <v>0</v>
      </c>
      <c r="P928" s="136">
        <v>0</v>
      </c>
      <c r="Q928" s="137">
        <f t="shared" si="81"/>
        <v>84</v>
      </c>
      <c r="R928" s="133"/>
      <c r="S928" s="138">
        <v>45853</v>
      </c>
      <c r="T928" s="153" t="s">
        <v>670</v>
      </c>
      <c r="U928" s="139" t="str">
        <f t="shared" si="79"/>
        <v>_preroll_labelled</v>
      </c>
      <c r="V928" s="140" t="str">
        <f>IF(U928="_","",_xlfn.XLOOKUP(U928,internal_cansku_inventory!D:D,internal_cansku_inventory!E:E,"",0,1))</f>
        <v/>
      </c>
    </row>
    <row r="929" spans="1:22" ht="12.45" customHeight="1">
      <c r="A929" s="154">
        <v>756</v>
      </c>
      <c r="B929" s="154">
        <v>4</v>
      </c>
      <c r="C929" s="154" t="str">
        <f>Table1[[#This Row],[inventory_id_head]]&amp;"-"&amp;Table1[[#This Row],[inventory_id_tail]]</f>
        <v>756-4</v>
      </c>
      <c r="D929" s="153" t="s">
        <v>653</v>
      </c>
      <c r="E929" s="153" t="s">
        <v>1843</v>
      </c>
      <c r="F929" s="153" t="s">
        <v>204</v>
      </c>
      <c r="G929" s="153" t="str">
        <f t="shared" si="78"/>
        <v>T089PRNA</v>
      </c>
      <c r="H929" s="153" t="s">
        <v>308</v>
      </c>
      <c r="I929" s="153"/>
      <c r="J929" s="153" t="s">
        <v>591</v>
      </c>
      <c r="K929" s="155">
        <v>45841</v>
      </c>
      <c r="L929" s="156">
        <v>139</v>
      </c>
      <c r="M929" s="133" t="s">
        <v>644</v>
      </c>
      <c r="N929" s="136">
        <v>5</v>
      </c>
      <c r="O929" s="136">
        <v>0</v>
      </c>
      <c r="P929" s="136">
        <v>0</v>
      </c>
      <c r="Q929" s="137">
        <f t="shared" si="81"/>
        <v>695</v>
      </c>
      <c r="R929" s="133"/>
      <c r="S929" s="138">
        <v>45853</v>
      </c>
      <c r="T929" s="153" t="s">
        <v>670</v>
      </c>
      <c r="U929" s="139" t="str">
        <f t="shared" si="79"/>
        <v>_preroll_labelled</v>
      </c>
      <c r="V929" s="140" t="str">
        <f>IF(U929="_","",_xlfn.XLOOKUP(U929,internal_cansku_inventory!D:D,internal_cansku_inventory!E:E,"",0,1))</f>
        <v/>
      </c>
    </row>
    <row r="930" spans="1:22" ht="12.45" customHeight="1">
      <c r="A930" s="154">
        <v>786</v>
      </c>
      <c r="B930" s="154">
        <v>1</v>
      </c>
      <c r="C930" s="154" t="str">
        <f>Table1[[#This Row],[inventory_id_head]]&amp;"-"&amp;Table1[[#This Row],[inventory_id_tail]]</f>
        <v>786-1</v>
      </c>
      <c r="D930" s="153" t="s">
        <v>653</v>
      </c>
      <c r="E930" s="153" t="s">
        <v>1844</v>
      </c>
      <c r="F930" s="153" t="s">
        <v>204</v>
      </c>
      <c r="G930" s="153" t="str">
        <f t="shared" si="78"/>
        <v>T090PRNA</v>
      </c>
      <c r="H930" s="153" t="s">
        <v>308</v>
      </c>
      <c r="I930" s="153"/>
      <c r="J930" s="153" t="s">
        <v>1845</v>
      </c>
      <c r="K930" s="155">
        <v>45846</v>
      </c>
      <c r="L930" s="156">
        <v>96</v>
      </c>
      <c r="M930" s="133" t="s">
        <v>644</v>
      </c>
      <c r="N930" s="157">
        <v>1.5</v>
      </c>
      <c r="O930" s="136">
        <v>0</v>
      </c>
      <c r="P930" s="136">
        <v>0</v>
      </c>
      <c r="Q930" s="137">
        <f t="shared" si="81"/>
        <v>144</v>
      </c>
      <c r="R930" s="133"/>
      <c r="S930" s="138">
        <v>45853</v>
      </c>
      <c r="T930" s="153" t="s">
        <v>670</v>
      </c>
      <c r="U930" s="139" t="str">
        <f t="shared" si="79"/>
        <v>_preroll_labelled</v>
      </c>
      <c r="V930" s="206" t="str">
        <f>IF(U930="_","",_xlfn.XLOOKUP(U930,internal_cansku_inventory!D:D,internal_cansku_inventory!E:E,"",0,1))</f>
        <v/>
      </c>
    </row>
    <row r="931" spans="1:22" ht="12.45" customHeight="1">
      <c r="A931" s="154">
        <v>787</v>
      </c>
      <c r="B931" s="154">
        <v>0</v>
      </c>
      <c r="C931" s="154" t="str">
        <f>Table1[[#This Row],[inventory_id_head]]&amp;"-"&amp;Table1[[#This Row],[inventory_id_tail]]</f>
        <v>787-0</v>
      </c>
      <c r="D931" s="153" t="s">
        <v>653</v>
      </c>
      <c r="E931" s="153" t="s">
        <v>1846</v>
      </c>
      <c r="F931" s="153" t="s">
        <v>204</v>
      </c>
      <c r="G931" s="153" t="str">
        <f t="shared" ref="G931:G940" si="82">E931&amp;F931</f>
        <v>T093DFNA</v>
      </c>
      <c r="H931" s="153" t="s">
        <v>314</v>
      </c>
      <c r="I931" s="153"/>
      <c r="J931" s="153" t="s">
        <v>1847</v>
      </c>
      <c r="K931" s="155">
        <v>45822</v>
      </c>
      <c r="L931" s="156">
        <v>60</v>
      </c>
      <c r="M931" s="133" t="s">
        <v>644</v>
      </c>
      <c r="N931" s="157">
        <v>14</v>
      </c>
      <c r="O931" s="136">
        <v>0</v>
      </c>
      <c r="P931" s="136">
        <v>0</v>
      </c>
      <c r="Q931" s="137">
        <f t="shared" si="81"/>
        <v>840</v>
      </c>
      <c r="R931" s="133"/>
      <c r="S931" s="138">
        <v>45853</v>
      </c>
      <c r="T931" s="153" t="s">
        <v>670</v>
      </c>
      <c r="U931" s="139" t="str">
        <f t="shared" si="79"/>
        <v>_driedflower_labelled</v>
      </c>
      <c r="V931" s="206" t="str">
        <f>IF(U931="_","",_xlfn.XLOOKUP(U931,internal_cansku_inventory!D:D,internal_cansku_inventory!E:E,"",0,1))</f>
        <v/>
      </c>
    </row>
    <row r="932" spans="1:22" ht="12.45" customHeight="1">
      <c r="A932" s="154">
        <v>757</v>
      </c>
      <c r="B932" s="154">
        <v>2</v>
      </c>
      <c r="C932" s="154" t="str">
        <f>Table1[[#This Row],[inventory_id_head]]&amp;"-"&amp;Table1[[#This Row],[inventory_id_tail]]</f>
        <v>757-2</v>
      </c>
      <c r="D932" s="153" t="s">
        <v>653</v>
      </c>
      <c r="E932" s="153" t="s">
        <v>867</v>
      </c>
      <c r="F932" s="153" t="s">
        <v>868</v>
      </c>
      <c r="G932" s="153" t="str">
        <f t="shared" si="82"/>
        <v>RACK_BGRID_2</v>
      </c>
      <c r="H932" s="153" t="s">
        <v>308</v>
      </c>
      <c r="I932" s="153"/>
      <c r="J932" s="153" t="s">
        <v>574</v>
      </c>
      <c r="K932" s="155">
        <v>45848</v>
      </c>
      <c r="L932" s="156">
        <v>81</v>
      </c>
      <c r="M932" s="133" t="s">
        <v>644</v>
      </c>
      <c r="N932" s="157">
        <v>2</v>
      </c>
      <c r="O932" s="136">
        <v>0</v>
      </c>
      <c r="P932" s="136">
        <v>0</v>
      </c>
      <c r="Q932" s="137">
        <f t="shared" si="81"/>
        <v>162</v>
      </c>
      <c r="R932" s="133"/>
      <c r="S932" s="138">
        <v>45897.572916666664</v>
      </c>
      <c r="T932" s="153" t="s">
        <v>670</v>
      </c>
      <c r="U932" s="139" t="str">
        <f t="shared" si="79"/>
        <v>_preroll_labelled</v>
      </c>
      <c r="V932" s="206" t="str">
        <f>IF(U932="_","",_xlfn.XLOOKUP(U932,internal_cansku_inventory!D:D,internal_cansku_inventory!E:E,"",0,1))</f>
        <v/>
      </c>
    </row>
    <row r="933" spans="1:22" ht="12.45" customHeight="1">
      <c r="A933" s="154">
        <v>787</v>
      </c>
      <c r="B933" s="154">
        <v>1</v>
      </c>
      <c r="C933" s="154" t="str">
        <f>Table1[[#This Row],[inventory_id_head]]&amp;"-"&amp;Table1[[#This Row],[inventory_id_tail]]</f>
        <v>787-1</v>
      </c>
      <c r="D933" s="153" t="s">
        <v>653</v>
      </c>
      <c r="E933" s="153" t="s">
        <v>1848</v>
      </c>
      <c r="F933" s="153" t="s">
        <v>204</v>
      </c>
      <c r="G933" s="153" t="str">
        <f t="shared" si="82"/>
        <v>T094DFNA</v>
      </c>
      <c r="H933" s="153" t="s">
        <v>365</v>
      </c>
      <c r="I933" s="153"/>
      <c r="J933" s="153" t="s">
        <v>1849</v>
      </c>
      <c r="K933" s="155" t="s">
        <v>55</v>
      </c>
      <c r="L933" s="156">
        <v>1</v>
      </c>
      <c r="M933" s="153" t="s">
        <v>1850</v>
      </c>
      <c r="N933" s="136">
        <f>Table1[[#This Row],[gross_weight]]-Table1[[#This Row],[tare_weight]]</f>
        <v>942</v>
      </c>
      <c r="O933" s="157">
        <v>3472</v>
      </c>
      <c r="P933" s="157">
        <f>3472-942</f>
        <v>2530</v>
      </c>
      <c r="Q933" s="137">
        <f t="shared" si="81"/>
        <v>942</v>
      </c>
      <c r="R933" s="153"/>
      <c r="S933" s="138">
        <v>45853</v>
      </c>
      <c r="T933" s="153" t="s">
        <v>664</v>
      </c>
      <c r="U933" s="139" t="str">
        <f t="shared" si="79"/>
        <v>_driedflower_bulk</v>
      </c>
      <c r="V933" s="206" t="str">
        <f>IF(U933="_","",_xlfn.XLOOKUP(U933,internal_cansku_inventory!D:D,internal_cansku_inventory!E:E,"",0,1))</f>
        <v/>
      </c>
    </row>
    <row r="934" spans="1:22" ht="12.45" customHeight="1">
      <c r="A934" s="154">
        <v>788</v>
      </c>
      <c r="B934" s="154">
        <v>1</v>
      </c>
      <c r="C934" s="154" t="str">
        <f>Table1[[#This Row],[inventory_id_head]]&amp;"-"&amp;Table1[[#This Row],[inventory_id_tail]]</f>
        <v>788-1</v>
      </c>
      <c r="D934" s="153" t="s">
        <v>653</v>
      </c>
      <c r="E934" s="153" t="s">
        <v>55</v>
      </c>
      <c r="F934" s="153" t="s">
        <v>1819</v>
      </c>
      <c r="G934" s="153" t="str">
        <f t="shared" si="82"/>
        <v>NAB01</v>
      </c>
      <c r="H934" s="153" t="s">
        <v>1578</v>
      </c>
      <c r="I934" s="153"/>
      <c r="J934" s="153">
        <v>2025072101</v>
      </c>
      <c r="K934" s="155" t="s">
        <v>55</v>
      </c>
      <c r="L934" s="156">
        <v>1</v>
      </c>
      <c r="M934" s="153" t="s">
        <v>673</v>
      </c>
      <c r="N934" s="157">
        <f>Table1[[#This Row],[gross_weight]]-Table1[[#This Row],[tare_weight]]</f>
        <v>5000</v>
      </c>
      <c r="O934" s="157">
        <v>5202</v>
      </c>
      <c r="P934" s="157">
        <v>202</v>
      </c>
      <c r="Q934" s="137">
        <f t="shared" si="81"/>
        <v>5000</v>
      </c>
      <c r="R934" s="153" t="s">
        <v>1851</v>
      </c>
      <c r="S934" s="138">
        <v>45860</v>
      </c>
      <c r="T934" s="153" t="s">
        <v>664</v>
      </c>
      <c r="U934" s="139" t="str">
        <f t="shared" si="79"/>
        <v>_driedflower_bulk_Rohan</v>
      </c>
      <c r="V934" s="206" t="str">
        <f>IF(U934="_","",_xlfn.XLOOKUP(U934,internal_cansku_inventory!D:D,internal_cansku_inventory!E:E,"",0,1))</f>
        <v/>
      </c>
    </row>
    <row r="935" spans="1:22" ht="12.45" customHeight="1">
      <c r="A935" s="154">
        <v>788</v>
      </c>
      <c r="B935" s="154">
        <v>2</v>
      </c>
      <c r="C935" s="154" t="str">
        <f>Table1[[#This Row],[inventory_id_head]]&amp;"-"&amp;Table1[[#This Row],[inventory_id_tail]]</f>
        <v>788-2</v>
      </c>
      <c r="D935" s="153" t="s">
        <v>653</v>
      </c>
      <c r="E935" s="153" t="s">
        <v>55</v>
      </c>
      <c r="F935" s="153" t="s">
        <v>1564</v>
      </c>
      <c r="G935" s="153" t="str">
        <f t="shared" si="82"/>
        <v>NAB02</v>
      </c>
      <c r="H935" s="153" t="s">
        <v>1578</v>
      </c>
      <c r="I935" s="153"/>
      <c r="J935" s="153">
        <v>2025072101</v>
      </c>
      <c r="K935" s="155" t="s">
        <v>55</v>
      </c>
      <c r="L935" s="156">
        <v>1</v>
      </c>
      <c r="M935" s="153" t="s">
        <v>673</v>
      </c>
      <c r="N935" s="157">
        <f>Table1[[#This Row],[gross_weight]]-Table1[[#This Row],[tare_weight]]</f>
        <v>5000</v>
      </c>
      <c r="O935" s="157">
        <v>5164</v>
      </c>
      <c r="P935" s="157">
        <v>164</v>
      </c>
      <c r="Q935" s="137">
        <f t="shared" si="81"/>
        <v>5000</v>
      </c>
      <c r="R935" s="153" t="s">
        <v>1820</v>
      </c>
      <c r="S935" s="138">
        <v>45860</v>
      </c>
      <c r="T935" s="153" t="s">
        <v>664</v>
      </c>
      <c r="U935" s="139" t="str">
        <f t="shared" si="79"/>
        <v>_driedflower_bulk_Rohan</v>
      </c>
      <c r="V935" s="206" t="str">
        <f>IF(U935="_","",_xlfn.XLOOKUP(U935,internal_cansku_inventory!D:D,internal_cansku_inventory!E:E,"",0,1))</f>
        <v/>
      </c>
    </row>
    <row r="936" spans="1:22" ht="12.45" customHeight="1">
      <c r="A936" s="154">
        <v>788</v>
      </c>
      <c r="B936" s="154">
        <v>3</v>
      </c>
      <c r="C936" s="154" t="str">
        <f>Table1[[#This Row],[inventory_id_head]]&amp;"-"&amp;Table1[[#This Row],[inventory_id_tail]]</f>
        <v>788-3</v>
      </c>
      <c r="D936" s="153" t="s">
        <v>653</v>
      </c>
      <c r="E936" s="153" t="s">
        <v>55</v>
      </c>
      <c r="F936" s="153" t="s">
        <v>1565</v>
      </c>
      <c r="G936" s="153" t="str">
        <f t="shared" si="82"/>
        <v>NAB03</v>
      </c>
      <c r="H936" s="153" t="s">
        <v>1578</v>
      </c>
      <c r="I936" s="153"/>
      <c r="J936" s="153">
        <v>2025072101</v>
      </c>
      <c r="K936" s="155" t="s">
        <v>55</v>
      </c>
      <c r="L936" s="156">
        <v>1</v>
      </c>
      <c r="M936" s="153" t="s">
        <v>673</v>
      </c>
      <c r="N936" s="157">
        <f>Table1[[#This Row],[gross_weight]]-Table1[[#This Row],[tare_weight]]</f>
        <v>5000</v>
      </c>
      <c r="O936" s="157">
        <v>5148</v>
      </c>
      <c r="P936" s="157">
        <v>148</v>
      </c>
      <c r="Q936" s="137">
        <f t="shared" si="81"/>
        <v>5000</v>
      </c>
      <c r="R936" s="153" t="s">
        <v>1817</v>
      </c>
      <c r="S936" s="138">
        <v>45860</v>
      </c>
      <c r="T936" s="153" t="s">
        <v>664</v>
      </c>
      <c r="U936" s="139" t="str">
        <f t="shared" si="79"/>
        <v>_driedflower_bulk_Rohan</v>
      </c>
      <c r="V936" s="206" t="str">
        <f>IF(U936="_","",_xlfn.XLOOKUP(U936,internal_cansku_inventory!D:D,internal_cansku_inventory!E:E,"",0,1))</f>
        <v/>
      </c>
    </row>
    <row r="937" spans="1:22" ht="12.45" customHeight="1">
      <c r="A937" s="154">
        <v>789</v>
      </c>
      <c r="B937" s="154">
        <v>0</v>
      </c>
      <c r="C937" s="154" t="str">
        <f>Table1[[#This Row],[inventory_id_head]]&amp;"-"&amp;Table1[[#This Row],[inventory_id_tail]]</f>
        <v>789-0</v>
      </c>
      <c r="D937" s="153" t="s">
        <v>653</v>
      </c>
      <c r="E937" s="153" t="s">
        <v>55</v>
      </c>
      <c r="F937" s="153" t="s">
        <v>55</v>
      </c>
      <c r="G937" s="153" t="str">
        <f t="shared" si="82"/>
        <v>NANA</v>
      </c>
      <c r="H937" s="153" t="s">
        <v>308</v>
      </c>
      <c r="I937" s="153"/>
      <c r="J937" s="153" t="s">
        <v>1845</v>
      </c>
      <c r="K937" s="345">
        <v>45859</v>
      </c>
      <c r="L937" s="156">
        <v>157</v>
      </c>
      <c r="M937" s="153" t="s">
        <v>644</v>
      </c>
      <c r="N937" s="157">
        <v>1.5</v>
      </c>
      <c r="O937" s="157">
        <v>0</v>
      </c>
      <c r="P937" s="157">
        <v>0</v>
      </c>
      <c r="Q937" s="137">
        <f t="shared" si="81"/>
        <v>235.5</v>
      </c>
      <c r="R937" s="153"/>
      <c r="S937" s="158">
        <v>45863.536682754631</v>
      </c>
      <c r="T937" s="153" t="s">
        <v>670</v>
      </c>
      <c r="U937" s="139" t="str">
        <f t="shared" si="79"/>
        <v>_preroll_labelled</v>
      </c>
      <c r="V937" s="206" t="str">
        <f>IF(U937="_","",_xlfn.XLOOKUP(U937,internal_cansku_inventory!D:D,internal_cansku_inventory!E:E,"",0,1))</f>
        <v/>
      </c>
    </row>
    <row r="938" spans="1:22" ht="12.45" customHeight="1">
      <c r="A938" s="154">
        <v>741</v>
      </c>
      <c r="B938" s="154">
        <v>5</v>
      </c>
      <c r="C938" s="154" t="str">
        <f>Table1[[#This Row],[inventory_id_head]]&amp;"-"&amp;Table1[[#This Row],[inventory_id_tail]]</f>
        <v>741-5</v>
      </c>
      <c r="D938" s="153" t="s">
        <v>653</v>
      </c>
      <c r="E938" s="153" t="s">
        <v>55</v>
      </c>
      <c r="F938" s="153" t="s">
        <v>55</v>
      </c>
      <c r="G938" s="133" t="str">
        <f t="shared" si="82"/>
        <v>NANA</v>
      </c>
      <c r="H938" s="153" t="s">
        <v>1698</v>
      </c>
      <c r="I938" s="153"/>
      <c r="J938" s="153" t="s">
        <v>1699</v>
      </c>
      <c r="K938" s="134" t="s">
        <v>204</v>
      </c>
      <c r="L938" s="156">
        <v>1</v>
      </c>
      <c r="M938" s="153" t="s">
        <v>663</v>
      </c>
      <c r="N938" s="157">
        <v>3002</v>
      </c>
      <c r="O938" s="157">
        <v>4772</v>
      </c>
      <c r="P938" s="157">
        <v>1770</v>
      </c>
      <c r="Q938" s="205">
        <f t="shared" si="81"/>
        <v>3002</v>
      </c>
      <c r="R938" s="153"/>
      <c r="S938" s="158">
        <v>45863.604654166666</v>
      </c>
      <c r="T938" s="153" t="s">
        <v>664</v>
      </c>
      <c r="U938" s="139" t="str">
        <f t="shared" si="79"/>
        <v>_diredflower_milled_bulk_Rohan</v>
      </c>
      <c r="V938" s="206" t="str">
        <f>IF(U938="_","",_xlfn.XLOOKUP(U938,internal_cansku_inventory!D:D,internal_cansku_inventory!E:E,"",0,1))</f>
        <v/>
      </c>
    </row>
    <row r="939" spans="1:22" ht="12.45" customHeight="1">
      <c r="A939" s="154">
        <v>650</v>
      </c>
      <c r="B939" s="154">
        <v>8</v>
      </c>
      <c r="C939" s="154" t="str">
        <f>Table1[[#This Row],[inventory_id_head]]&amp;"-"&amp;Table1[[#This Row],[inventory_id_tail]]</f>
        <v>650-8</v>
      </c>
      <c r="D939" s="153" t="s">
        <v>653</v>
      </c>
      <c r="E939" s="153" t="s">
        <v>55</v>
      </c>
      <c r="F939" s="153" t="s">
        <v>55</v>
      </c>
      <c r="G939" s="133" t="str">
        <f t="shared" si="82"/>
        <v>NANA</v>
      </c>
      <c r="H939" s="133" t="s">
        <v>356</v>
      </c>
      <c r="I939" s="153"/>
      <c r="J939" s="153" t="s">
        <v>1838</v>
      </c>
      <c r="K939" s="134" t="s">
        <v>204</v>
      </c>
      <c r="L939" s="156">
        <v>1</v>
      </c>
      <c r="M939" s="153" t="s">
        <v>663</v>
      </c>
      <c r="N939" s="157">
        <v>1968</v>
      </c>
      <c r="O939" s="157">
        <v>3710</v>
      </c>
      <c r="P939" s="157">
        <v>1742</v>
      </c>
      <c r="Q939" s="137">
        <f t="shared" si="81"/>
        <v>1968</v>
      </c>
      <c r="R939" s="153"/>
      <c r="S939" s="158">
        <v>45863.61770185185</v>
      </c>
      <c r="T939" s="153" t="s">
        <v>978</v>
      </c>
      <c r="U939" s="139" t="str">
        <f t="shared" si="79"/>
        <v>_driedflower_milled_bulk</v>
      </c>
      <c r="V939" s="206" t="str">
        <f>IF(U939="_","",_xlfn.XLOOKUP(U939,internal_cansku_inventory!D:D,internal_cansku_inventory!E:E,"",0,1))</f>
        <v/>
      </c>
    </row>
    <row r="940" spans="1:22" ht="12.45" customHeight="1">
      <c r="A940" s="154">
        <v>785</v>
      </c>
      <c r="B940" s="154">
        <v>1</v>
      </c>
      <c r="C940" s="154" t="str">
        <f>Table1[[#This Row],[inventory_id_head]]&amp;"-"&amp;Table1[[#This Row],[inventory_id_tail]]</f>
        <v>785-1</v>
      </c>
      <c r="D940" s="153" t="s">
        <v>653</v>
      </c>
      <c r="E940" s="153" t="s">
        <v>55</v>
      </c>
      <c r="F940" s="153" t="s">
        <v>55</v>
      </c>
      <c r="G940" s="133" t="str">
        <f t="shared" si="82"/>
        <v>NANA</v>
      </c>
      <c r="H940" s="133" t="s">
        <v>308</v>
      </c>
      <c r="I940" s="133"/>
      <c r="J940" s="133" t="s">
        <v>1842</v>
      </c>
      <c r="K940" s="346">
        <v>45854</v>
      </c>
      <c r="L940" s="156">
        <v>159</v>
      </c>
      <c r="M940" s="133" t="s">
        <v>644</v>
      </c>
      <c r="N940" s="136">
        <v>6</v>
      </c>
      <c r="O940" s="157">
        <v>0</v>
      </c>
      <c r="P940" s="157">
        <v>0</v>
      </c>
      <c r="Q940" s="137">
        <f t="shared" si="81"/>
        <v>954</v>
      </c>
      <c r="R940" s="153"/>
      <c r="S940" s="158">
        <v>45863.640175115739</v>
      </c>
      <c r="T940" s="153" t="s">
        <v>670</v>
      </c>
      <c r="U940" s="139" t="str">
        <f t="shared" si="79"/>
        <v>_preroll_labelled</v>
      </c>
      <c r="V940" s="206" t="str">
        <f>IF(U940="_","",_xlfn.XLOOKUP(U940,internal_cansku_inventory!D:D,internal_cansku_inventory!E:E,"",0,1))</f>
        <v/>
      </c>
    </row>
    <row r="941" spans="1:22" ht="12.45" customHeight="1">
      <c r="A941" s="154">
        <v>734</v>
      </c>
      <c r="B941" s="154">
        <v>5</v>
      </c>
      <c r="C941" s="154" t="str">
        <f>Table1[[#This Row],[inventory_id_head]]&amp;"-"&amp;Table1[[#This Row],[inventory_id_tail]]</f>
        <v>734-5</v>
      </c>
      <c r="D941" s="153" t="s">
        <v>653</v>
      </c>
      <c r="E941" s="153" t="s">
        <v>55</v>
      </c>
      <c r="F941" s="153" t="s">
        <v>55</v>
      </c>
      <c r="G941" s="133" t="str">
        <f t="shared" ref="G941:G947" si="83">E941&amp;F941</f>
        <v>NANA</v>
      </c>
      <c r="H941" s="153" t="s">
        <v>314</v>
      </c>
      <c r="I941" s="153"/>
      <c r="J941" s="153" t="s">
        <v>1591</v>
      </c>
      <c r="K941" s="345">
        <v>45849</v>
      </c>
      <c r="L941" s="156">
        <v>61</v>
      </c>
      <c r="M941" s="153" t="s">
        <v>644</v>
      </c>
      <c r="N941" s="157">
        <v>7</v>
      </c>
      <c r="O941" s="136">
        <v>0</v>
      </c>
      <c r="P941" s="136">
        <v>0</v>
      </c>
      <c r="Q941" s="205">
        <f t="shared" si="81"/>
        <v>427</v>
      </c>
      <c r="R941" s="153"/>
      <c r="S941" s="158">
        <v>45863.648922222223</v>
      </c>
      <c r="T941" s="153" t="s">
        <v>670</v>
      </c>
      <c r="U941" s="139" t="str">
        <f t="shared" si="79"/>
        <v>_driedflower_labelled</v>
      </c>
      <c r="V941" s="206" t="str">
        <f>IF(U941="_","",_xlfn.XLOOKUP(U941,internal_cansku_inventory!D:D,internal_cansku_inventory!E:E,"",0,1))</f>
        <v/>
      </c>
    </row>
    <row r="942" spans="1:22" ht="12.45" customHeight="1">
      <c r="A942" s="154">
        <v>775</v>
      </c>
      <c r="B942" s="154">
        <v>1</v>
      </c>
      <c r="C942" s="154" t="str">
        <f>Table1[[#This Row],[inventory_id_head]]&amp;"-"&amp;Table1[[#This Row],[inventory_id_tail]]</f>
        <v>775-1</v>
      </c>
      <c r="D942" s="153" t="s">
        <v>653</v>
      </c>
      <c r="E942" s="153" t="s">
        <v>1744</v>
      </c>
      <c r="F942" s="153" t="s">
        <v>1852</v>
      </c>
      <c r="G942" s="133" t="str">
        <f t="shared" si="83"/>
        <v>RACK_DGRID_0</v>
      </c>
      <c r="H942" s="153" t="s">
        <v>1674</v>
      </c>
      <c r="I942" s="153"/>
      <c r="J942" s="153" t="s">
        <v>1853</v>
      </c>
      <c r="K942" s="345">
        <v>45828</v>
      </c>
      <c r="L942" s="156">
        <v>300</v>
      </c>
      <c r="M942" s="153" t="s">
        <v>644</v>
      </c>
      <c r="N942" s="157">
        <v>1</v>
      </c>
      <c r="O942" s="157">
        <v>0</v>
      </c>
      <c r="P942" s="157">
        <v>0</v>
      </c>
      <c r="Q942" s="205">
        <f t="shared" si="81"/>
        <v>300</v>
      </c>
      <c r="R942" s="153"/>
      <c r="S942" s="158">
        <v>45863.65405902778</v>
      </c>
      <c r="T942" s="153" t="s">
        <v>670</v>
      </c>
      <c r="U942" s="139" t="str">
        <f t="shared" si="79"/>
        <v>_extract_inhaled_labelled_Rohan</v>
      </c>
      <c r="V942" s="206" t="str">
        <f>IF(U942="_","",_xlfn.XLOOKUP(U942,internal_cansku_inventory!D:D,internal_cansku_inventory!E:E,"",0,1))</f>
        <v/>
      </c>
    </row>
    <row r="943" spans="1:22" ht="12.45" customHeight="1">
      <c r="A943" s="154">
        <v>780</v>
      </c>
      <c r="B943" s="154">
        <v>1</v>
      </c>
      <c r="C943" s="154" t="str">
        <f>Table1[[#This Row],[inventory_id_head]]&amp;"-"&amp;Table1[[#This Row],[inventory_id_tail]]</f>
        <v>780-1</v>
      </c>
      <c r="D943" s="153" t="s">
        <v>653</v>
      </c>
      <c r="E943" s="153" t="s">
        <v>55</v>
      </c>
      <c r="F943" s="153" t="s">
        <v>55</v>
      </c>
      <c r="G943" s="133" t="str">
        <f t="shared" si="83"/>
        <v>NANA</v>
      </c>
      <c r="H943" s="153" t="s">
        <v>308</v>
      </c>
      <c r="I943" s="153"/>
      <c r="J943" s="153" t="s">
        <v>1854</v>
      </c>
      <c r="K943" s="345">
        <v>45861</v>
      </c>
      <c r="L943" s="156">
        <v>36</v>
      </c>
      <c r="M943" s="153" t="s">
        <v>644</v>
      </c>
      <c r="N943" s="157">
        <v>1</v>
      </c>
      <c r="O943" s="157">
        <v>0</v>
      </c>
      <c r="P943" s="157">
        <v>0</v>
      </c>
      <c r="Q943" s="205">
        <f t="shared" si="81"/>
        <v>36</v>
      </c>
      <c r="R943" s="153"/>
      <c r="S943" s="158">
        <v>45863.666290856483</v>
      </c>
      <c r="T943" s="153" t="s">
        <v>670</v>
      </c>
      <c r="U943" s="139" t="str">
        <f t="shared" si="79"/>
        <v>_preroll_labelled</v>
      </c>
      <c r="V943" s="206" t="str">
        <f>IF(U943="_","",_xlfn.XLOOKUP(U943,internal_cansku_inventory!D:D,internal_cansku_inventory!E:E,"",0,1))</f>
        <v/>
      </c>
    </row>
    <row r="944" spans="1:22" ht="12.45" customHeight="1">
      <c r="A944" s="154">
        <v>761</v>
      </c>
      <c r="B944" s="154">
        <v>13</v>
      </c>
      <c r="C944" s="154" t="str">
        <f>Table1[[#This Row],[inventory_id_head]]&amp;"-"&amp;Table1[[#This Row],[inventory_id_tail]]</f>
        <v>761-13</v>
      </c>
      <c r="D944" s="153" t="s">
        <v>680</v>
      </c>
      <c r="E944" s="153" t="s">
        <v>867</v>
      </c>
      <c r="F944" s="153" t="s">
        <v>1855</v>
      </c>
      <c r="G944" s="133" t="str">
        <f t="shared" si="83"/>
        <v>RACK_BGRID_3</v>
      </c>
      <c r="H944" s="133" t="s">
        <v>308</v>
      </c>
      <c r="I944" s="153"/>
      <c r="J944" s="153" t="s">
        <v>1312</v>
      </c>
      <c r="K944" s="345">
        <v>45854</v>
      </c>
      <c r="L944" s="156">
        <v>300</v>
      </c>
      <c r="M944" s="153" t="s">
        <v>644</v>
      </c>
      <c r="N944" s="157">
        <v>1.5</v>
      </c>
      <c r="O944" s="157">
        <v>0</v>
      </c>
      <c r="P944" s="157">
        <v>0</v>
      </c>
      <c r="Q944" s="137">
        <f>Table1[[#This Row],[number_of_unit]]*Table1[[#This Row],[net_weight_per_unit]]</f>
        <v>450</v>
      </c>
      <c r="R944" s="153"/>
      <c r="S944" s="158">
        <v>45863.672104513891</v>
      </c>
      <c r="T944" s="153" t="s">
        <v>670</v>
      </c>
      <c r="U944" s="139" t="str">
        <f t="shared" si="79"/>
        <v>_preroll_labelled</v>
      </c>
      <c r="V944" s="206" t="str">
        <f>IF(U944="_","",_xlfn.XLOOKUP(U944,internal_cansku_inventory!D:D,internal_cansku_inventory!E:E,"",0,1))</f>
        <v/>
      </c>
    </row>
    <row r="945" spans="1:22" ht="12.45" customHeight="1">
      <c r="A945" s="154">
        <v>775</v>
      </c>
      <c r="B945" s="154">
        <v>2</v>
      </c>
      <c r="C945" s="154" t="str">
        <f>Table1[[#This Row],[inventory_id_head]]&amp;"-"&amp;Table1[[#This Row],[inventory_id_tail]]</f>
        <v>775-2</v>
      </c>
      <c r="D945" s="153" t="s">
        <v>653</v>
      </c>
      <c r="E945" s="153" t="s">
        <v>1744</v>
      </c>
      <c r="F945" s="153" t="s">
        <v>1852</v>
      </c>
      <c r="G945" s="133" t="str">
        <f t="shared" si="83"/>
        <v>RACK_DGRID_0</v>
      </c>
      <c r="H945" s="153" t="s">
        <v>1586</v>
      </c>
      <c r="I945" s="153"/>
      <c r="J945" s="153" t="s">
        <v>1853</v>
      </c>
      <c r="K945" s="345">
        <v>45828</v>
      </c>
      <c r="L945" s="156">
        <v>250</v>
      </c>
      <c r="M945" s="153" t="s">
        <v>644</v>
      </c>
      <c r="N945" s="157">
        <v>1</v>
      </c>
      <c r="O945" s="157">
        <v>0</v>
      </c>
      <c r="P945" s="157">
        <v>0</v>
      </c>
      <c r="Q945" s="137">
        <f>Table1[[#This Row],[number_of_unit]]*Table1[[#This Row],[net_weight_per_unit]]</f>
        <v>250</v>
      </c>
      <c r="R945" s="153"/>
      <c r="S945" s="158">
        <v>45863.67555983796</v>
      </c>
      <c r="T945" s="153" t="s">
        <v>670</v>
      </c>
      <c r="U945" s="139" t="str">
        <f t="shared" si="79"/>
        <v>_extract_inhaled_bulk_Rohan</v>
      </c>
      <c r="V945" s="206" t="str">
        <f>IF(U945="_","",_xlfn.XLOOKUP(U945,internal_cansku_inventory!D:D,internal_cansku_inventory!E:E,"",0,1))</f>
        <v/>
      </c>
    </row>
    <row r="946" spans="1:22" ht="12.45" customHeight="1">
      <c r="A946" s="154">
        <v>756</v>
      </c>
      <c r="B946" s="154">
        <v>5</v>
      </c>
      <c r="C946" s="154" t="str">
        <f>Table1[[#This Row],[inventory_id_head]]&amp;"-"&amp;Table1[[#This Row],[inventory_id_tail]]</f>
        <v>756-5</v>
      </c>
      <c r="D946" s="153" t="s">
        <v>653</v>
      </c>
      <c r="E946" s="153" t="s">
        <v>55</v>
      </c>
      <c r="F946" s="153" t="s">
        <v>55</v>
      </c>
      <c r="G946" s="153" t="str">
        <f t="shared" si="83"/>
        <v>NANA</v>
      </c>
      <c r="H946" s="153" t="s">
        <v>308</v>
      </c>
      <c r="I946" s="153"/>
      <c r="J946" s="153" t="s">
        <v>591</v>
      </c>
      <c r="K946" s="345">
        <v>45859</v>
      </c>
      <c r="L946" s="156">
        <v>235</v>
      </c>
      <c r="M946" s="133" t="s">
        <v>644</v>
      </c>
      <c r="N946" s="136">
        <v>5</v>
      </c>
      <c r="O946" s="136">
        <v>0</v>
      </c>
      <c r="P946" s="136">
        <v>0</v>
      </c>
      <c r="Q946" s="137">
        <f t="shared" ref="Q946:Q961" si="84">L946*N946</f>
        <v>1175</v>
      </c>
      <c r="R946" s="153"/>
      <c r="S946" s="158">
        <v>45863.691838657411</v>
      </c>
      <c r="T946" s="153" t="s">
        <v>670</v>
      </c>
      <c r="U946" s="139" t="str">
        <f t="shared" si="79"/>
        <v>_preroll_labelled</v>
      </c>
      <c r="V946" s="206" t="str">
        <f>IF(U946="_","",_xlfn.XLOOKUP(U946,internal_cansku_inventory!D:D,internal_cansku_inventory!E:E,"",0,1))</f>
        <v/>
      </c>
    </row>
    <row r="947" spans="1:22" ht="12.45" customHeight="1">
      <c r="A947" s="154">
        <v>790</v>
      </c>
      <c r="B947" s="154">
        <v>0</v>
      </c>
      <c r="C947" s="154" t="str">
        <f>Table1[[#This Row],[inventory_id_head]]&amp;"-"&amp;Table1[[#This Row],[inventory_id_tail]]</f>
        <v>790-0</v>
      </c>
      <c r="D947" s="153" t="s">
        <v>653</v>
      </c>
      <c r="E947" s="153" t="s">
        <v>55</v>
      </c>
      <c r="F947" s="153" t="s">
        <v>55</v>
      </c>
      <c r="G947" s="153" t="str">
        <f t="shared" si="83"/>
        <v>NANA</v>
      </c>
      <c r="H947" s="153" t="s">
        <v>308</v>
      </c>
      <c r="J947" s="153" t="s">
        <v>1856</v>
      </c>
      <c r="K947" s="345">
        <v>45847</v>
      </c>
      <c r="L947" s="156">
        <v>87</v>
      </c>
      <c r="M947" s="153" t="s">
        <v>644</v>
      </c>
      <c r="N947" s="157">
        <v>4.2</v>
      </c>
      <c r="O947" s="157">
        <v>0</v>
      </c>
      <c r="P947" s="157">
        <v>0</v>
      </c>
      <c r="Q947" s="137">
        <f t="shared" si="84"/>
        <v>365.40000000000003</v>
      </c>
      <c r="R947" s="153"/>
      <c r="S947" s="158">
        <v>45863.692356828702</v>
      </c>
      <c r="T947" s="153" t="s">
        <v>670</v>
      </c>
      <c r="U947" s="139" t="str">
        <f t="shared" si="79"/>
        <v>_preroll_labelled</v>
      </c>
      <c r="V947" s="206" t="str">
        <f>IF(U947="_","",_xlfn.XLOOKUP(U947,internal_cansku_inventory!D:D,internal_cansku_inventory!E:E,"",0,1))</f>
        <v/>
      </c>
    </row>
    <row r="948" spans="1:22" ht="12.45" customHeight="1">
      <c r="A948" s="154">
        <v>791</v>
      </c>
      <c r="B948" s="209">
        <v>1</v>
      </c>
      <c r="C948" s="154" t="str">
        <f>Table1[[#This Row],[inventory_id_head]]&amp;"-"&amp;Table1[[#This Row],[inventory_id_tail]]</f>
        <v>791-1</v>
      </c>
      <c r="D948" s="153" t="s">
        <v>653</v>
      </c>
      <c r="E948" s="153" t="s">
        <v>1857</v>
      </c>
      <c r="F948" s="153" t="s">
        <v>55</v>
      </c>
      <c r="G948" s="153" t="str">
        <f>E948&amp;F948</f>
        <v>T001RTVNA</v>
      </c>
      <c r="H948" s="153" t="s">
        <v>438</v>
      </c>
      <c r="I948" s="153"/>
      <c r="J948" s="153" t="s">
        <v>934</v>
      </c>
      <c r="K948" s="155">
        <v>45596</v>
      </c>
      <c r="L948" s="156">
        <v>5</v>
      </c>
      <c r="M948" s="153" t="s">
        <v>1298</v>
      </c>
      <c r="N948" s="157">
        <f>27.3*12</f>
        <v>327.60000000000002</v>
      </c>
      <c r="O948" s="157">
        <v>0</v>
      </c>
      <c r="P948" s="157">
        <v>0</v>
      </c>
      <c r="Q948" s="137">
        <f t="shared" si="84"/>
        <v>1638</v>
      </c>
      <c r="R948" s="153"/>
      <c r="S948" s="158">
        <v>45869.615497222221</v>
      </c>
      <c r="T948" s="153" t="s">
        <v>670</v>
      </c>
      <c r="U948" s="139" t="str">
        <f t="shared" ref="U948:U963" si="85">I948&amp;"_"&amp;H948</f>
        <v>_extract_ingested_cased_MB_RTV</v>
      </c>
      <c r="V948" s="206" t="str">
        <f>IF(U948="_","",_xlfn.XLOOKUP(U948,internal_cansku_inventory!D:D,internal_cansku_inventory!E:E,"",0,1))</f>
        <v/>
      </c>
    </row>
    <row r="949" spans="1:22" ht="12.45" customHeight="1">
      <c r="A949" s="154">
        <v>791</v>
      </c>
      <c r="B949" s="154">
        <v>2</v>
      </c>
      <c r="C949" s="132" t="str">
        <f>Table1[[#This Row],[inventory_id_head]]&amp;"-"&amp;Table1[[#This Row],[inventory_id_tail]]</f>
        <v>791-2</v>
      </c>
      <c r="D949" s="153" t="s">
        <v>653</v>
      </c>
      <c r="E949" s="153" t="s">
        <v>1858</v>
      </c>
      <c r="F949" s="153" t="s">
        <v>55</v>
      </c>
      <c r="G949" s="153" t="str">
        <f>E949&amp;F949</f>
        <v>T002RTVNA</v>
      </c>
      <c r="H949" s="133" t="s">
        <v>439</v>
      </c>
      <c r="I949" s="133"/>
      <c r="J949" s="133" t="s">
        <v>1309</v>
      </c>
      <c r="K949" s="134">
        <v>45623</v>
      </c>
      <c r="L949" s="135">
        <v>4</v>
      </c>
      <c r="M949" s="133" t="s">
        <v>1298</v>
      </c>
      <c r="N949" s="136">
        <v>6</v>
      </c>
      <c r="O949" s="157">
        <v>0</v>
      </c>
      <c r="P949" s="157">
        <v>0</v>
      </c>
      <c r="Q949" s="137">
        <f t="shared" si="84"/>
        <v>24</v>
      </c>
      <c r="R949" s="153"/>
      <c r="S949" s="158">
        <v>45869.615497222221</v>
      </c>
      <c r="T949" s="153" t="s">
        <v>670</v>
      </c>
      <c r="U949" s="139" t="str">
        <f t="shared" si="85"/>
        <v>_extract_inhaled_cased_MB_RTV</v>
      </c>
      <c r="V949" s="206" t="str">
        <f>IF(U949="_","",_xlfn.XLOOKUP(U949,internal_cansku_inventory!D:D,internal_cansku_inventory!E:E,"",0,1))</f>
        <v/>
      </c>
    </row>
    <row r="950" spans="1:22" ht="12.45" customHeight="1">
      <c r="A950" s="132">
        <v>791</v>
      </c>
      <c r="B950" s="132">
        <v>3</v>
      </c>
      <c r="C950" s="132" t="str">
        <f>Table1[[#This Row],[inventory_id_head]]&amp;"-"&amp;Table1[[#This Row],[inventory_id_tail]]</f>
        <v>791-3</v>
      </c>
      <c r="D950" s="153" t="s">
        <v>653</v>
      </c>
      <c r="E950" s="153" t="s">
        <v>867</v>
      </c>
      <c r="F950" s="153" t="s">
        <v>1657</v>
      </c>
      <c r="G950" s="133" t="str">
        <f>E950&amp;"-"&amp;F950</f>
        <v>RACK_B-GRID_1</v>
      </c>
      <c r="H950" s="133" t="s">
        <v>1307</v>
      </c>
      <c r="I950" s="133"/>
      <c r="J950" s="133" t="s">
        <v>828</v>
      </c>
      <c r="K950" s="134">
        <v>45593</v>
      </c>
      <c r="L950" s="135">
        <v>5</v>
      </c>
      <c r="M950" s="133" t="s">
        <v>1298</v>
      </c>
      <c r="N950" s="136">
        <v>24</v>
      </c>
      <c r="O950" s="157">
        <v>0</v>
      </c>
      <c r="P950" s="157">
        <v>0</v>
      </c>
      <c r="Q950" s="137">
        <f t="shared" si="84"/>
        <v>120</v>
      </c>
      <c r="R950" s="153"/>
      <c r="S950" s="158">
        <v>45869.615497222221</v>
      </c>
      <c r="T950" s="153" t="s">
        <v>670</v>
      </c>
      <c r="U950" s="139" t="str">
        <f t="shared" si="85"/>
        <v>_preroll_cased_MB</v>
      </c>
      <c r="V950" s="206" t="str">
        <f>IF(U950="_","",_xlfn.XLOOKUP(U950,internal_cansku_inventory!D:D,internal_cansku_inventory!E:E,"",0,1))</f>
        <v/>
      </c>
    </row>
    <row r="951" spans="1:22" ht="12.45" customHeight="1">
      <c r="A951" s="132">
        <v>791</v>
      </c>
      <c r="B951" s="154">
        <v>4</v>
      </c>
      <c r="C951" s="132" t="str">
        <f>Table1[[#This Row],[inventory_id_head]]&amp;"-"&amp;Table1[[#This Row],[inventory_id_tail]]</f>
        <v>791-4</v>
      </c>
      <c r="D951" s="153" t="s">
        <v>653</v>
      </c>
      <c r="E951" s="153" t="s">
        <v>867</v>
      </c>
      <c r="F951" s="153" t="s">
        <v>868</v>
      </c>
      <c r="G951" s="153" t="str">
        <f t="shared" ref="G951:G961" si="86">E951&amp;F951</f>
        <v>RACK_BGRID_2</v>
      </c>
      <c r="H951" s="133" t="s">
        <v>1307</v>
      </c>
      <c r="I951" s="133"/>
      <c r="J951" s="133" t="s">
        <v>1312</v>
      </c>
      <c r="K951" s="134">
        <v>45604</v>
      </c>
      <c r="L951" s="135">
        <v>2</v>
      </c>
      <c r="M951" s="133" t="s">
        <v>1298</v>
      </c>
      <c r="N951" s="136">
        <f>12*1.5</f>
        <v>18</v>
      </c>
      <c r="O951" s="157">
        <v>0</v>
      </c>
      <c r="P951" s="157">
        <v>0</v>
      </c>
      <c r="Q951" s="137">
        <f t="shared" si="84"/>
        <v>36</v>
      </c>
      <c r="R951" s="153"/>
      <c r="S951" s="158">
        <v>45869.615497222221</v>
      </c>
      <c r="T951" s="153" t="s">
        <v>670</v>
      </c>
      <c r="U951" s="139" t="str">
        <f t="shared" si="85"/>
        <v>_preroll_cased_MB</v>
      </c>
      <c r="V951" s="140" t="str">
        <f>IF(U951="_","",_xlfn.XLOOKUP(U951,internal_cansku_inventory!D:D,internal_cansku_inventory!E:E,"",0,1))</f>
        <v/>
      </c>
    </row>
    <row r="952" spans="1:22" ht="12.45" customHeight="1">
      <c r="A952" s="132">
        <v>791</v>
      </c>
      <c r="B952" s="154">
        <v>5</v>
      </c>
      <c r="C952" s="132" t="str">
        <f>Table1[[#This Row],[inventory_id_head]]&amp;"-"&amp;Table1[[#This Row],[inventory_id_tail]]</f>
        <v>791-5</v>
      </c>
      <c r="D952" s="153" t="s">
        <v>653</v>
      </c>
      <c r="E952" s="153" t="s">
        <v>867</v>
      </c>
      <c r="F952" s="153" t="s">
        <v>868</v>
      </c>
      <c r="G952" s="153" t="str">
        <f t="shared" si="86"/>
        <v>RACK_BGRID_2</v>
      </c>
      <c r="H952" s="133" t="s">
        <v>1307</v>
      </c>
      <c r="I952" s="133"/>
      <c r="J952" s="133" t="s">
        <v>1312</v>
      </c>
      <c r="K952" s="134">
        <v>45575</v>
      </c>
      <c r="L952" s="135">
        <v>2</v>
      </c>
      <c r="M952" s="133" t="s">
        <v>1298</v>
      </c>
      <c r="N952" s="136">
        <f>12*1.5</f>
        <v>18</v>
      </c>
      <c r="O952" s="157">
        <v>0</v>
      </c>
      <c r="P952" s="157">
        <v>0</v>
      </c>
      <c r="Q952" s="137">
        <f t="shared" si="84"/>
        <v>36</v>
      </c>
      <c r="R952" s="153"/>
      <c r="S952" s="158">
        <v>45869.615497222221</v>
      </c>
      <c r="T952" s="153" t="s">
        <v>670</v>
      </c>
      <c r="U952" s="139" t="str">
        <f t="shared" si="85"/>
        <v>_preroll_cased_MB</v>
      </c>
      <c r="V952" s="140" t="str">
        <f>IF(U952="_","",_xlfn.XLOOKUP(U952,internal_cansku_inventory!D:D,internal_cansku_inventory!E:E,"",0,1))</f>
        <v/>
      </c>
    </row>
    <row r="953" spans="1:22" ht="12.45" customHeight="1">
      <c r="A953" s="132">
        <v>791</v>
      </c>
      <c r="B953" s="132">
        <v>6</v>
      </c>
      <c r="C953" s="132" t="str">
        <f>Table1[[#This Row],[inventory_id_head]]&amp;"-"&amp;Table1[[#This Row],[inventory_id_tail]]</f>
        <v>791-6</v>
      </c>
      <c r="D953" s="153" t="s">
        <v>653</v>
      </c>
      <c r="E953" s="153" t="s">
        <v>867</v>
      </c>
      <c r="F953" s="153" t="s">
        <v>868</v>
      </c>
      <c r="G953" s="153" t="str">
        <f t="shared" si="86"/>
        <v>RACK_BGRID_2</v>
      </c>
      <c r="H953" s="133" t="s">
        <v>1307</v>
      </c>
      <c r="I953" s="133"/>
      <c r="J953" s="133" t="s">
        <v>869</v>
      </c>
      <c r="K953" s="134">
        <v>45447</v>
      </c>
      <c r="L953" s="135">
        <v>8</v>
      </c>
      <c r="M953" s="133" t="s">
        <v>1298</v>
      </c>
      <c r="N953" s="136">
        <f>12*1.5</f>
        <v>18</v>
      </c>
      <c r="O953" s="157">
        <v>0</v>
      </c>
      <c r="P953" s="157">
        <v>0</v>
      </c>
      <c r="Q953" s="137">
        <f t="shared" si="84"/>
        <v>144</v>
      </c>
      <c r="R953" s="153"/>
      <c r="S953" s="158">
        <v>45869.615497222221</v>
      </c>
      <c r="T953" s="153" t="s">
        <v>670</v>
      </c>
      <c r="U953" s="139" t="str">
        <f t="shared" si="85"/>
        <v>_preroll_cased_MB</v>
      </c>
      <c r="V953" s="140" t="str">
        <f>IF(U953="_","",_xlfn.XLOOKUP(U953,internal_cansku_inventory!D:D,internal_cansku_inventory!E:E,"",0,1))</f>
        <v/>
      </c>
    </row>
    <row r="954" spans="1:22" ht="12.45" customHeight="1">
      <c r="A954" s="132">
        <v>791</v>
      </c>
      <c r="B954" s="154">
        <v>7</v>
      </c>
      <c r="C954" s="132" t="str">
        <f>Table1[[#This Row],[inventory_id_head]]&amp;"-"&amp;Table1[[#This Row],[inventory_id_tail]]</f>
        <v>791-7</v>
      </c>
      <c r="D954" s="153" t="s">
        <v>653</v>
      </c>
      <c r="E954" s="153" t="s">
        <v>867</v>
      </c>
      <c r="F954" s="153" t="s">
        <v>868</v>
      </c>
      <c r="G954" s="153" t="str">
        <f t="shared" si="86"/>
        <v>RACK_BGRID_2</v>
      </c>
      <c r="H954" s="133" t="s">
        <v>1307</v>
      </c>
      <c r="I954" s="133"/>
      <c r="J954" s="133" t="s">
        <v>1311</v>
      </c>
      <c r="K954" s="134">
        <v>45588</v>
      </c>
      <c r="L954" s="135">
        <v>10</v>
      </c>
      <c r="M954" s="133" t="s">
        <v>1298</v>
      </c>
      <c r="N954" s="136">
        <f>12</f>
        <v>12</v>
      </c>
      <c r="O954" s="157">
        <v>0</v>
      </c>
      <c r="P954" s="157">
        <v>0</v>
      </c>
      <c r="Q954" s="137">
        <f t="shared" si="84"/>
        <v>120</v>
      </c>
      <c r="R954" s="153"/>
      <c r="S954" s="158">
        <v>45869.615497222221</v>
      </c>
      <c r="T954" s="153" t="s">
        <v>670</v>
      </c>
      <c r="U954" s="139" t="str">
        <f t="shared" si="85"/>
        <v>_preroll_cased_MB</v>
      </c>
      <c r="V954" s="140" t="str">
        <f>IF(U954="_","",_xlfn.XLOOKUP(U954,internal_cansku_inventory!D:D,internal_cansku_inventory!E:E,"",0,1))</f>
        <v/>
      </c>
    </row>
    <row r="955" spans="1:22" ht="12.45" customHeight="1">
      <c r="A955" s="132">
        <v>791</v>
      </c>
      <c r="B955" s="154">
        <v>8</v>
      </c>
      <c r="C955" s="132" t="str">
        <f>Table1[[#This Row],[inventory_id_head]]&amp;"-"&amp;Table1[[#This Row],[inventory_id_tail]]</f>
        <v>791-8</v>
      </c>
      <c r="D955" s="153" t="s">
        <v>653</v>
      </c>
      <c r="E955" s="153" t="s">
        <v>867</v>
      </c>
      <c r="F955" s="153" t="s">
        <v>868</v>
      </c>
      <c r="G955" s="153" t="str">
        <f t="shared" si="86"/>
        <v>RACK_BGRID_2</v>
      </c>
      <c r="H955" s="133" t="s">
        <v>1307</v>
      </c>
      <c r="I955" s="133"/>
      <c r="J955" s="133" t="s">
        <v>1311</v>
      </c>
      <c r="K955" s="134">
        <v>45532</v>
      </c>
      <c r="L955" s="135">
        <v>6</v>
      </c>
      <c r="M955" s="133" t="s">
        <v>1298</v>
      </c>
      <c r="N955" s="136">
        <f>12</f>
        <v>12</v>
      </c>
      <c r="O955" s="157">
        <v>0</v>
      </c>
      <c r="P955" s="157">
        <v>0</v>
      </c>
      <c r="Q955" s="137">
        <f t="shared" si="84"/>
        <v>72</v>
      </c>
      <c r="R955" s="153"/>
      <c r="S955" s="158">
        <v>45869.615497222221</v>
      </c>
      <c r="T955" s="153" t="s">
        <v>670</v>
      </c>
      <c r="U955" s="139" t="str">
        <f t="shared" si="85"/>
        <v>_preroll_cased_MB</v>
      </c>
      <c r="V955" s="140" t="str">
        <f>IF(U955="_","",_xlfn.XLOOKUP(U955,internal_cansku_inventory!D:D,internal_cansku_inventory!E:E,"",0,1))</f>
        <v/>
      </c>
    </row>
    <row r="956" spans="1:22" ht="12.45" customHeight="1">
      <c r="A956" s="132">
        <v>791</v>
      </c>
      <c r="B956" s="132">
        <v>9</v>
      </c>
      <c r="C956" s="132" t="str">
        <f>Table1[[#This Row],[inventory_id_head]]&amp;"-"&amp;Table1[[#This Row],[inventory_id_tail]]</f>
        <v>791-9</v>
      </c>
      <c r="D956" s="153" t="s">
        <v>653</v>
      </c>
      <c r="E956" s="153" t="s">
        <v>867</v>
      </c>
      <c r="F956" s="153" t="s">
        <v>868</v>
      </c>
      <c r="G956" s="153" t="str">
        <f t="shared" si="86"/>
        <v>RACK_BGRID_2</v>
      </c>
      <c r="H956" s="133" t="s">
        <v>1307</v>
      </c>
      <c r="I956" s="133"/>
      <c r="J956" s="133" t="s">
        <v>1313</v>
      </c>
      <c r="K956" s="134">
        <v>45575</v>
      </c>
      <c r="L956" s="135">
        <v>5</v>
      </c>
      <c r="M956" s="133" t="s">
        <v>1298</v>
      </c>
      <c r="N956" s="136">
        <f>12*1.5</f>
        <v>18</v>
      </c>
      <c r="O956" s="157">
        <v>0</v>
      </c>
      <c r="P956" s="157">
        <v>0</v>
      </c>
      <c r="Q956" s="137">
        <f t="shared" si="84"/>
        <v>90</v>
      </c>
      <c r="R956" s="153"/>
      <c r="S956" s="158">
        <v>45869.615497222221</v>
      </c>
      <c r="T956" s="153" t="s">
        <v>670</v>
      </c>
      <c r="U956" s="139" t="str">
        <f t="shared" si="85"/>
        <v>_preroll_cased_MB</v>
      </c>
      <c r="V956" s="140" t="str">
        <f>IF(U956="_","",_xlfn.XLOOKUP(U956,internal_cansku_inventory!D:D,internal_cansku_inventory!E:E,"",0,1))</f>
        <v/>
      </c>
    </row>
    <row r="957" spans="1:22" ht="12.45" customHeight="1">
      <c r="A957" s="132">
        <v>791</v>
      </c>
      <c r="B957" s="154">
        <v>10</v>
      </c>
      <c r="C957" s="132" t="str">
        <f>Table1[[#This Row],[inventory_id_head]]&amp;"-"&amp;Table1[[#This Row],[inventory_id_tail]]</f>
        <v>791-10</v>
      </c>
      <c r="D957" s="153" t="s">
        <v>653</v>
      </c>
      <c r="E957" s="153" t="s">
        <v>867</v>
      </c>
      <c r="F957" s="153" t="s">
        <v>868</v>
      </c>
      <c r="G957" s="153" t="str">
        <f t="shared" si="86"/>
        <v>RACK_BGRID_2</v>
      </c>
      <c r="H957" s="133" t="s">
        <v>1307</v>
      </c>
      <c r="I957" s="133"/>
      <c r="J957" s="133" t="s">
        <v>1313</v>
      </c>
      <c r="K957" s="134">
        <v>45541</v>
      </c>
      <c r="L957" s="135">
        <v>3</v>
      </c>
      <c r="M957" s="133" t="s">
        <v>1298</v>
      </c>
      <c r="N957" s="136">
        <f>12*1.5</f>
        <v>18</v>
      </c>
      <c r="O957" s="157">
        <v>0</v>
      </c>
      <c r="P957" s="157">
        <v>0</v>
      </c>
      <c r="Q957" s="137">
        <f t="shared" si="84"/>
        <v>54</v>
      </c>
      <c r="R957" s="153"/>
      <c r="S957" s="158">
        <v>45869.615497222221</v>
      </c>
      <c r="T957" s="153" t="s">
        <v>670</v>
      </c>
      <c r="U957" s="139" t="str">
        <f t="shared" si="85"/>
        <v>_preroll_cased_MB</v>
      </c>
      <c r="V957" s="140" t="str">
        <f>IF(U957="_","",_xlfn.XLOOKUP(U957,internal_cansku_inventory!D:D,internal_cansku_inventory!E:E,"",0,1))</f>
        <v/>
      </c>
    </row>
    <row r="958" spans="1:22" ht="12.45" customHeight="1">
      <c r="A958" s="132">
        <v>791</v>
      </c>
      <c r="B958" s="154">
        <v>11</v>
      </c>
      <c r="C958" s="132" t="str">
        <f>Table1[[#This Row],[inventory_id_head]]&amp;"-"&amp;Table1[[#This Row],[inventory_id_tail]]</f>
        <v>791-11</v>
      </c>
      <c r="D958" s="153" t="s">
        <v>653</v>
      </c>
      <c r="E958" s="153" t="s">
        <v>867</v>
      </c>
      <c r="F958" s="153" t="s">
        <v>868</v>
      </c>
      <c r="G958" s="153" t="str">
        <f t="shared" si="86"/>
        <v>RACK_BGRID_2</v>
      </c>
      <c r="H958" s="133" t="s">
        <v>1307</v>
      </c>
      <c r="I958" s="133"/>
      <c r="J958" s="133" t="s">
        <v>630</v>
      </c>
      <c r="K958" s="134">
        <v>45574</v>
      </c>
      <c r="L958" s="135">
        <v>1</v>
      </c>
      <c r="M958" s="133" t="s">
        <v>1298</v>
      </c>
      <c r="N958" s="136">
        <f>12*1.5</f>
        <v>18</v>
      </c>
      <c r="O958" s="157">
        <v>0</v>
      </c>
      <c r="P958" s="157">
        <v>0</v>
      </c>
      <c r="Q958" s="137">
        <f t="shared" si="84"/>
        <v>18</v>
      </c>
      <c r="R958" s="153"/>
      <c r="S958" s="158">
        <v>45869.615497222221</v>
      </c>
      <c r="T958" s="153" t="s">
        <v>670</v>
      </c>
      <c r="U958" s="139" t="str">
        <f t="shared" si="85"/>
        <v>_preroll_cased_MB</v>
      </c>
      <c r="V958" s="140" t="str">
        <f>IF(U958="_","",_xlfn.XLOOKUP(U958,internal_cansku_inventory!D:D,internal_cansku_inventory!E:E,"",0,1))</f>
        <v/>
      </c>
    </row>
    <row r="959" spans="1:22" ht="12.45" customHeight="1">
      <c r="A959" s="154">
        <v>792</v>
      </c>
      <c r="B959" s="209">
        <v>1</v>
      </c>
      <c r="C959" s="154" t="str">
        <f>Table1[[#This Row],[inventory_id_head]]&amp;"-"&amp;Table1[[#This Row],[inventory_id_tail]]</f>
        <v>792-1</v>
      </c>
      <c r="D959" s="153" t="s">
        <v>653</v>
      </c>
      <c r="E959" s="153" t="s">
        <v>1859</v>
      </c>
      <c r="F959" s="153" t="s">
        <v>55</v>
      </c>
      <c r="G959" s="153" t="str">
        <f t="shared" si="86"/>
        <v>T005RTVNA</v>
      </c>
      <c r="H959" s="153" t="s">
        <v>1731</v>
      </c>
      <c r="I959" s="153"/>
      <c r="J959" s="153" t="s">
        <v>1860</v>
      </c>
      <c r="K959" s="155">
        <v>45560</v>
      </c>
      <c r="L959" s="156">
        <v>2</v>
      </c>
      <c r="M959" s="133" t="s">
        <v>1298</v>
      </c>
      <c r="N959" s="157">
        <v>6</v>
      </c>
      <c r="O959" s="157">
        <v>0</v>
      </c>
      <c r="P959" s="157">
        <v>0</v>
      </c>
      <c r="Q959" s="137">
        <f t="shared" si="84"/>
        <v>12</v>
      </c>
      <c r="R959" s="153"/>
      <c r="S959" s="158">
        <v>45869.615497222221</v>
      </c>
      <c r="T959" s="153" t="s">
        <v>670</v>
      </c>
      <c r="U959" s="139" t="str">
        <f t="shared" si="85"/>
        <v>_extract_inhaled_cased_SK_RTV</v>
      </c>
      <c r="V959" s="206" t="str">
        <f>IF(U959="_","",_xlfn.XLOOKUP(U959,internal_cansku_inventory!D:D,internal_cansku_inventory!E:E,"",0,1))</f>
        <v/>
      </c>
    </row>
    <row r="960" spans="1:22" ht="12.45" customHeight="1">
      <c r="A960" s="154">
        <v>792</v>
      </c>
      <c r="B960" s="209">
        <v>2</v>
      </c>
      <c r="C960" s="154" t="str">
        <f>Table1[[#This Row],[inventory_id_head]]&amp;"-"&amp;Table1[[#This Row],[inventory_id_tail]]</f>
        <v>792-2</v>
      </c>
      <c r="D960" s="153" t="s">
        <v>653</v>
      </c>
      <c r="E960" s="153" t="s">
        <v>1859</v>
      </c>
      <c r="F960" s="153" t="s">
        <v>55</v>
      </c>
      <c r="G960" s="153" t="str">
        <f t="shared" si="86"/>
        <v>T005RTVNA</v>
      </c>
      <c r="H960" s="153" t="s">
        <v>1731</v>
      </c>
      <c r="I960" s="153"/>
      <c r="J960" s="153" t="s">
        <v>1861</v>
      </c>
      <c r="K960" s="155">
        <v>45623</v>
      </c>
      <c r="L960" s="156">
        <v>10</v>
      </c>
      <c r="M960" s="153" t="s">
        <v>1298</v>
      </c>
      <c r="N960" s="157">
        <v>6</v>
      </c>
      <c r="O960" s="157">
        <v>0</v>
      </c>
      <c r="P960" s="157">
        <v>0</v>
      </c>
      <c r="Q960" s="137">
        <f t="shared" si="84"/>
        <v>60</v>
      </c>
      <c r="R960" s="153"/>
      <c r="S960" s="158">
        <v>45869.615497222221</v>
      </c>
      <c r="T960" s="153" t="s">
        <v>670</v>
      </c>
      <c r="U960" s="139" t="str">
        <f t="shared" si="85"/>
        <v>_extract_inhaled_cased_SK_RTV</v>
      </c>
      <c r="V960" s="206" t="str">
        <f>IF(U960="_","",_xlfn.XLOOKUP(U960,internal_cansku_inventory!D:D,internal_cansku_inventory!E:E,"",0,1))</f>
        <v/>
      </c>
    </row>
    <row r="961" spans="1:22" ht="12.45" customHeight="1">
      <c r="A961" s="154">
        <v>792</v>
      </c>
      <c r="B961" s="209">
        <v>3</v>
      </c>
      <c r="C961" s="154" t="str">
        <f>Table1[[#This Row],[inventory_id_head]]&amp;"-"&amp;Table1[[#This Row],[inventory_id_tail]]</f>
        <v>792-3</v>
      </c>
      <c r="D961" s="153" t="s">
        <v>653</v>
      </c>
      <c r="E961" s="153" t="s">
        <v>1859</v>
      </c>
      <c r="F961" s="153" t="s">
        <v>55</v>
      </c>
      <c r="G961" s="153" t="str">
        <f t="shared" si="86"/>
        <v>T005RTVNA</v>
      </c>
      <c r="H961" s="153" t="s">
        <v>1731</v>
      </c>
      <c r="I961" s="153"/>
      <c r="J961" s="153" t="s">
        <v>1862</v>
      </c>
      <c r="K961" s="155">
        <v>45618</v>
      </c>
      <c r="L961" s="156">
        <v>15</v>
      </c>
      <c r="M961" s="153" t="s">
        <v>1298</v>
      </c>
      <c r="N961" s="157">
        <v>6</v>
      </c>
      <c r="O961" s="157">
        <v>0</v>
      </c>
      <c r="P961" s="157">
        <v>0</v>
      </c>
      <c r="Q961" s="137">
        <f t="shared" si="84"/>
        <v>90</v>
      </c>
      <c r="R961" s="153"/>
      <c r="S961" s="158">
        <v>45869.615497222221</v>
      </c>
      <c r="T961" s="153" t="s">
        <v>670</v>
      </c>
      <c r="U961" s="139" t="str">
        <f t="shared" si="85"/>
        <v>_extract_inhaled_cased_SK_RTV</v>
      </c>
      <c r="V961" s="206" t="str">
        <f>IF(U961="_","",_xlfn.XLOOKUP(U961,internal_cansku_inventory!D:D,internal_cansku_inventory!E:E,"",0,1))</f>
        <v/>
      </c>
    </row>
    <row r="962" spans="1:22" ht="12.45" customHeight="1">
      <c r="A962" s="154">
        <v>793</v>
      </c>
      <c r="B962" s="154">
        <v>0</v>
      </c>
      <c r="C962" s="154" t="str">
        <f>Table1[[#This Row],[inventory_id_head]]&amp;"-"&amp;Table1[[#This Row],[inventory_id_tail]]</f>
        <v>793-0</v>
      </c>
      <c r="D962" s="153" t="s">
        <v>653</v>
      </c>
      <c r="E962" s="153" t="s">
        <v>1863</v>
      </c>
      <c r="F962" s="153"/>
      <c r="G962" s="133" t="str">
        <f>E962&amp;"-"&amp;F962</f>
        <v>RACK_A-</v>
      </c>
      <c r="H962" s="133" t="s">
        <v>413</v>
      </c>
      <c r="I962" s="133"/>
      <c r="J962" s="153" t="s">
        <v>1864</v>
      </c>
      <c r="K962" s="155"/>
      <c r="L962" s="156">
        <v>501</v>
      </c>
      <c r="M962" s="153" t="s">
        <v>644</v>
      </c>
      <c r="N962" s="157">
        <v>151</v>
      </c>
      <c r="O962" s="157">
        <v>0</v>
      </c>
      <c r="P962" s="157">
        <v>0</v>
      </c>
      <c r="Q962" s="205">
        <f t="shared" ref="Q962:Q963" si="87">L962*N962</f>
        <v>75651</v>
      </c>
      <c r="R962" s="153"/>
      <c r="S962" s="158">
        <v>45876.380439814813</v>
      </c>
      <c r="T962" s="153" t="s">
        <v>670</v>
      </c>
      <c r="U962" s="139" t="str">
        <f t="shared" si="85"/>
        <v>_extract_ingested_packaged</v>
      </c>
      <c r="V962" s="206" t="str">
        <f>IF(U962="_","",_xlfn.XLOOKUP(U962,internal_cansku_inventory!D:D,internal_cansku_inventory!E:E,"",0,1))</f>
        <v/>
      </c>
    </row>
    <row r="963" spans="1:22" ht="12.45" customHeight="1">
      <c r="A963" s="154">
        <v>793</v>
      </c>
      <c r="B963" s="154">
        <v>1</v>
      </c>
      <c r="C963" s="154" t="str">
        <f>Table1[[#This Row],[inventory_id_head]]&amp;"-"&amp;Table1[[#This Row],[inventory_id_tail]]</f>
        <v>793-1</v>
      </c>
      <c r="D963" s="153" t="s">
        <v>653</v>
      </c>
      <c r="E963" s="153" t="s">
        <v>1863</v>
      </c>
      <c r="F963" s="153"/>
      <c r="G963" s="133" t="str">
        <f>E963&amp;"-"&amp;F963</f>
        <v>RACK_A-</v>
      </c>
      <c r="H963" s="133" t="s">
        <v>304</v>
      </c>
      <c r="I963" s="133"/>
      <c r="J963" s="153" t="s">
        <v>1774</v>
      </c>
      <c r="K963" s="155">
        <v>45790</v>
      </c>
      <c r="L963" s="156">
        <v>9</v>
      </c>
      <c r="M963" s="153" t="s">
        <v>644</v>
      </c>
      <c r="N963" s="157">
        <v>151</v>
      </c>
      <c r="O963" s="157">
        <v>0</v>
      </c>
      <c r="P963" s="157">
        <v>0</v>
      </c>
      <c r="Q963" s="205">
        <f t="shared" si="87"/>
        <v>1359</v>
      </c>
      <c r="R963" s="153"/>
      <c r="S963" s="158">
        <v>45876.380439814813</v>
      </c>
      <c r="T963" s="153" t="s">
        <v>670</v>
      </c>
      <c r="U963" s="139" t="str">
        <f t="shared" si="85"/>
        <v>_extract_ingested_labelled</v>
      </c>
      <c r="V963" s="206" t="str">
        <f>IF(U963="_","",_xlfn.XLOOKUP(U963,internal_cansku_inventory!D:D,internal_cansku_inventory!E:E,"",0,1))</f>
        <v/>
      </c>
    </row>
    <row r="964" spans="1:22" ht="12.45" customHeight="1">
      <c r="A964" s="154">
        <v>784</v>
      </c>
      <c r="B964" s="154">
        <v>1</v>
      </c>
      <c r="C964" s="154" t="str">
        <f>Table1[[#This Row],[inventory_id_head]]&amp;"-"&amp;Table1[[#This Row],[inventory_id_tail]]</f>
        <v>784-1</v>
      </c>
      <c r="D964" s="153" t="s">
        <v>653</v>
      </c>
      <c r="E964" s="153" t="s">
        <v>1865</v>
      </c>
      <c r="F964" s="153" t="s">
        <v>1866</v>
      </c>
      <c r="G964" s="133" t="str">
        <f t="shared" ref="G964" si="88">E964&amp;F964</f>
        <v>RACK_C_BACK</v>
      </c>
      <c r="H964" s="153" t="s">
        <v>328</v>
      </c>
      <c r="I964" s="153"/>
      <c r="J964" s="153" t="s">
        <v>1867</v>
      </c>
      <c r="K964" s="155">
        <v>45870</v>
      </c>
      <c r="L964" s="156">
        <v>106</v>
      </c>
      <c r="M964" s="153" t="s">
        <v>644</v>
      </c>
      <c r="N964" s="157">
        <v>1</v>
      </c>
      <c r="O964" s="157">
        <v>0</v>
      </c>
      <c r="P964" s="157">
        <v>0</v>
      </c>
      <c r="Q964" s="205">
        <f>Table1[[#This Row],[number_of_unit]]*Table1[[#This Row],[net_weight_per_unit]]</f>
        <v>106</v>
      </c>
      <c r="R964" s="153"/>
      <c r="S964" s="158">
        <v>45853</v>
      </c>
      <c r="T964" s="153" t="s">
        <v>657</v>
      </c>
      <c r="U964" s="139" t="str">
        <f t="shared" ref="U964:U966" si="89">I964&amp;"_"&amp;H964</f>
        <v>_extract_inhaled_labelled</v>
      </c>
      <c r="V964" s="206" t="str">
        <f>IF(U964="_","",_xlfn.XLOOKUP(U964,internal_cansku_inventory!D:D,internal_cansku_inventory!E:E,"",0,1))</f>
        <v/>
      </c>
    </row>
    <row r="965" spans="1:22" ht="12.45" customHeight="1">
      <c r="A965" s="154">
        <v>794</v>
      </c>
      <c r="B965" s="154">
        <v>0</v>
      </c>
      <c r="C965" s="154" t="str">
        <f>Table1[[#This Row],[inventory_id_head]]&amp;"-"&amp;Table1[[#This Row],[inventory_id_tail]]</f>
        <v>794-0</v>
      </c>
      <c r="D965" s="153" t="s">
        <v>653</v>
      </c>
      <c r="E965" s="153" t="s">
        <v>1868</v>
      </c>
      <c r="F965" s="153" t="s">
        <v>1869</v>
      </c>
      <c r="G965" s="133" t="str">
        <f t="shared" ref="G965:G982" si="90">E965&amp;"-"&amp;F965</f>
        <v>RACK_E-_PAILS</v>
      </c>
      <c r="H965" s="153" t="s">
        <v>356</v>
      </c>
      <c r="I965" s="153"/>
      <c r="J965" s="153" t="s">
        <v>1870</v>
      </c>
      <c r="K965" s="155" t="s">
        <v>55</v>
      </c>
      <c r="L965" s="156">
        <v>1</v>
      </c>
      <c r="M965" s="153" t="s">
        <v>663</v>
      </c>
      <c r="N965" s="136">
        <f>Table1[[#This Row],[gross_weight]]-Table1[[#This Row],[tare_weight]]</f>
        <v>2184</v>
      </c>
      <c r="O965" s="157">
        <v>3956</v>
      </c>
      <c r="P965" s="157">
        <v>1772</v>
      </c>
      <c r="Q965" s="137">
        <f>L965*N965</f>
        <v>2184</v>
      </c>
      <c r="R965" s="153"/>
      <c r="S965" s="158">
        <v>45877.38044108796</v>
      </c>
      <c r="T965" s="153" t="s">
        <v>664</v>
      </c>
      <c r="U965" s="139" t="str">
        <f t="shared" si="89"/>
        <v>_driedflower_milled_bulk</v>
      </c>
      <c r="V965" s="206" t="str">
        <f>IF(U965="_","",_xlfn.XLOOKUP(U965,internal_cansku_inventory!D:D,internal_cansku_inventory!E:E,"",0,1))</f>
        <v/>
      </c>
    </row>
    <row r="966" spans="1:22" ht="12.45" customHeight="1">
      <c r="A966" s="154">
        <v>794</v>
      </c>
      <c r="B966" s="154">
        <v>1</v>
      </c>
      <c r="C966" s="154" t="str">
        <f>Table1[[#This Row],[inventory_id_head]]&amp;"-"&amp;Table1[[#This Row],[inventory_id_tail]]</f>
        <v>794-1</v>
      </c>
      <c r="D966" s="153" t="s">
        <v>653</v>
      </c>
      <c r="E966" s="153" t="s">
        <v>1868</v>
      </c>
      <c r="F966" s="153" t="s">
        <v>1869</v>
      </c>
      <c r="G966" s="133" t="str">
        <f t="shared" si="90"/>
        <v>RACK_E-_PAILS</v>
      </c>
      <c r="H966" s="153" t="s">
        <v>356</v>
      </c>
      <c r="I966" s="153"/>
      <c r="J966" s="153" t="s">
        <v>1870</v>
      </c>
      <c r="K966" s="155" t="s">
        <v>55</v>
      </c>
      <c r="L966" s="156">
        <v>1</v>
      </c>
      <c r="M966" s="153" t="s">
        <v>663</v>
      </c>
      <c r="N966" s="136">
        <f>Table1[[#This Row],[gross_weight]]-Table1[[#This Row],[tare_weight]]</f>
        <v>1994</v>
      </c>
      <c r="O966" s="157">
        <v>3739</v>
      </c>
      <c r="P966" s="157">
        <v>1745</v>
      </c>
      <c r="Q966" s="137">
        <f>L966*N966</f>
        <v>1994</v>
      </c>
      <c r="R966" s="153"/>
      <c r="S966" s="158">
        <v>45877.38044108796</v>
      </c>
      <c r="T966" s="153" t="s">
        <v>664</v>
      </c>
      <c r="U966" s="139" t="str">
        <f t="shared" si="89"/>
        <v>_driedflower_milled_bulk</v>
      </c>
      <c r="V966" s="206" t="str">
        <f>IF(U966="_","",_xlfn.XLOOKUP(U966,internal_cansku_inventory!D:D,internal_cansku_inventory!E:E,"",0,1))</f>
        <v/>
      </c>
    </row>
    <row r="967" spans="1:22" ht="12.45" customHeight="1">
      <c r="A967" s="154">
        <v>795</v>
      </c>
      <c r="B967" s="209">
        <v>0</v>
      </c>
      <c r="C967" s="154" t="str">
        <f>Table1[[#This Row],[inventory_id_head]]&amp;"-"&amp;Table1[[#This Row],[inventory_id_tail]]</f>
        <v>795-0</v>
      </c>
      <c r="D967" s="153" t="s">
        <v>653</v>
      </c>
      <c r="E967" s="153" t="s">
        <v>867</v>
      </c>
      <c r="F967" s="153" t="s">
        <v>1657</v>
      </c>
      <c r="G967" s="133" t="str">
        <f t="shared" si="90"/>
        <v>RACK_B-GRID_1</v>
      </c>
      <c r="H967" s="153" t="s">
        <v>308</v>
      </c>
      <c r="I967" s="153"/>
      <c r="J967" s="153" t="s">
        <v>1825</v>
      </c>
      <c r="K967" s="155">
        <v>45875</v>
      </c>
      <c r="L967" s="156">
        <v>77</v>
      </c>
      <c r="M967" s="153" t="s">
        <v>644</v>
      </c>
      <c r="N967" s="157">
        <v>2.5</v>
      </c>
      <c r="O967" s="157">
        <v>0</v>
      </c>
      <c r="P967" s="157">
        <v>0</v>
      </c>
      <c r="Q967" s="137">
        <f>L967*N967</f>
        <v>192.5</v>
      </c>
      <c r="R967" s="153"/>
      <c r="S967" s="158">
        <v>45877.394432870373</v>
      </c>
      <c r="T967" s="153" t="s">
        <v>657</v>
      </c>
      <c r="U967" s="139" t="str">
        <f t="shared" ref="U967:U972" si="91">I967&amp;"_"&amp;H967</f>
        <v>_preroll_labelled</v>
      </c>
      <c r="V967" s="206" t="str">
        <f>IF(U967="_","",_xlfn.XLOOKUP(U967,internal_cansku_inventory!D:D,internal_cansku_inventory!E:E,"",0,1))</f>
        <v/>
      </c>
    </row>
    <row r="968" spans="1:22" ht="12.45" customHeight="1">
      <c r="A968" s="154">
        <v>796</v>
      </c>
      <c r="B968" s="154">
        <v>0</v>
      </c>
      <c r="C968" s="154" t="str">
        <f>Table1[[#This Row],[inventory_id_head]]&amp;"-"&amp;Table1[[#This Row],[inventory_id_tail]]</f>
        <v>796-0</v>
      </c>
      <c r="D968" s="153" t="s">
        <v>653</v>
      </c>
      <c r="E968" s="153" t="s">
        <v>867</v>
      </c>
      <c r="F968" s="153" t="s">
        <v>1855</v>
      </c>
      <c r="G968" s="133" t="str">
        <f t="shared" si="90"/>
        <v>RACK_B-GRID_3</v>
      </c>
      <c r="H968" s="153" t="s">
        <v>308</v>
      </c>
      <c r="I968" s="153"/>
      <c r="J968" s="153" t="s">
        <v>1871</v>
      </c>
      <c r="K968" s="155">
        <v>45870</v>
      </c>
      <c r="L968" s="156">
        <v>384</v>
      </c>
      <c r="M968" s="153" t="s">
        <v>644</v>
      </c>
      <c r="N968" s="157">
        <v>1.5</v>
      </c>
      <c r="O968" s="136">
        <v>0</v>
      </c>
      <c r="P968" s="136">
        <v>0</v>
      </c>
      <c r="Q968" s="137">
        <f>Table1[[#This Row],[number_of_unit]]*Table1[[#This Row],[net_weight_per_unit]]</f>
        <v>576</v>
      </c>
      <c r="R968" s="153"/>
      <c r="S968" s="158">
        <v>45877.549964467595</v>
      </c>
      <c r="T968" s="153" t="s">
        <v>657</v>
      </c>
      <c r="U968" s="139" t="str">
        <f t="shared" si="91"/>
        <v>_preroll_labelled</v>
      </c>
      <c r="V968" s="206" t="str">
        <f>IF(U968="_","",_xlfn.XLOOKUP(U968,internal_cansku_inventory!D:D,internal_cansku_inventory!E:E,"",0,1))</f>
        <v/>
      </c>
    </row>
    <row r="969" spans="1:22" ht="12.45" customHeight="1">
      <c r="A969" s="154">
        <v>796</v>
      </c>
      <c r="B969" s="154">
        <v>1</v>
      </c>
      <c r="C969" s="154" t="str">
        <f>Table1[[#This Row],[inventory_id_head]]&amp;"-"&amp;Table1[[#This Row],[inventory_id_tail]]</f>
        <v>796-1</v>
      </c>
      <c r="D969" s="153" t="s">
        <v>653</v>
      </c>
      <c r="E969" s="153" t="s">
        <v>867</v>
      </c>
      <c r="F969" s="153" t="s">
        <v>1657</v>
      </c>
      <c r="G969" s="133" t="str">
        <f t="shared" si="90"/>
        <v>RACK_B-GRID_1</v>
      </c>
      <c r="H969" s="153" t="s">
        <v>308</v>
      </c>
      <c r="I969" s="153"/>
      <c r="J969" s="153" t="s">
        <v>1313</v>
      </c>
      <c r="K969" s="155">
        <v>45875</v>
      </c>
      <c r="L969" s="156">
        <v>96</v>
      </c>
      <c r="M969" s="153" t="s">
        <v>644</v>
      </c>
      <c r="N969" s="157">
        <v>1.5</v>
      </c>
      <c r="O969" s="136">
        <v>0</v>
      </c>
      <c r="P969" s="136">
        <v>0</v>
      </c>
      <c r="Q969" s="137">
        <f>Table1[[#This Row],[number_of_unit]]*Table1[[#This Row],[net_weight_per_unit]]</f>
        <v>144</v>
      </c>
      <c r="R969" s="153"/>
      <c r="S969" s="158">
        <v>45877.549964467595</v>
      </c>
      <c r="T969" s="153" t="s">
        <v>657</v>
      </c>
      <c r="U969" s="139" t="str">
        <f t="shared" si="91"/>
        <v>_preroll_labelled</v>
      </c>
      <c r="V969" s="206" t="str">
        <f>IF(U969="_","",_xlfn.XLOOKUP(U969,internal_cansku_inventory!D:D,internal_cansku_inventory!E:E,"",0,1))</f>
        <v/>
      </c>
    </row>
    <row r="970" spans="1:22" ht="12.45" customHeight="1">
      <c r="A970" s="154">
        <v>796</v>
      </c>
      <c r="B970" s="154">
        <v>2</v>
      </c>
      <c r="C970" s="154" t="str">
        <f>Table1[[#This Row],[inventory_id_head]]&amp;"-"&amp;Table1[[#This Row],[inventory_id_tail]]</f>
        <v>796-2</v>
      </c>
      <c r="D970" s="153" t="s">
        <v>653</v>
      </c>
      <c r="E970" s="153" t="s">
        <v>867</v>
      </c>
      <c r="F970" s="153" t="s">
        <v>4240</v>
      </c>
      <c r="G970" s="133" t="str">
        <f t="shared" si="90"/>
        <v>RACK_B-GRID_7</v>
      </c>
      <c r="H970" s="153" t="s">
        <v>308</v>
      </c>
      <c r="I970" s="153"/>
      <c r="J970" s="153" t="s">
        <v>3749</v>
      </c>
      <c r="K970" s="155">
        <v>45870</v>
      </c>
      <c r="L970" s="156">
        <v>552</v>
      </c>
      <c r="M970" s="153" t="s">
        <v>644</v>
      </c>
      <c r="N970" s="157">
        <v>1.5</v>
      </c>
      <c r="O970" s="136">
        <v>0</v>
      </c>
      <c r="P970" s="136">
        <v>0</v>
      </c>
      <c r="Q970" s="137">
        <f>Table1[[#This Row],[number_of_unit]]*Table1[[#This Row],[net_weight_per_unit]]</f>
        <v>828</v>
      </c>
      <c r="R970" s="153"/>
      <c r="S970" s="158">
        <v>45880.66200300926</v>
      </c>
      <c r="T970" s="153" t="s">
        <v>657</v>
      </c>
      <c r="U970" s="139" t="str">
        <f t="shared" si="91"/>
        <v>_preroll_labelled</v>
      </c>
      <c r="V970" s="206" t="str">
        <f>IF(U970="_","",_xlfn.XLOOKUP(U970,internal_cansku_inventory!D:D,internal_cansku_inventory!E:E,"",0,1))</f>
        <v/>
      </c>
    </row>
    <row r="971" spans="1:22" ht="12.45" customHeight="1">
      <c r="A971" s="154">
        <v>796</v>
      </c>
      <c r="B971" s="154">
        <v>3</v>
      </c>
      <c r="C971" s="154" t="str">
        <f>Table1[[#This Row],[inventory_id_head]]&amp;"-"&amp;Table1[[#This Row],[inventory_id_tail]]</f>
        <v>796-3</v>
      </c>
      <c r="D971" s="153" t="s">
        <v>653</v>
      </c>
      <c r="E971" s="153" t="s">
        <v>867</v>
      </c>
      <c r="F971" s="153" t="s">
        <v>4240</v>
      </c>
      <c r="G971" s="133" t="str">
        <f t="shared" si="90"/>
        <v>RACK_B-GRID_7</v>
      </c>
      <c r="H971" s="153" t="s">
        <v>308</v>
      </c>
      <c r="I971" s="153"/>
      <c r="J971" s="153" t="s">
        <v>1845</v>
      </c>
      <c r="K971" s="155">
        <v>45859</v>
      </c>
      <c r="L971" s="156">
        <v>199</v>
      </c>
      <c r="M971" s="153" t="s">
        <v>644</v>
      </c>
      <c r="N971" s="157">
        <v>1.5</v>
      </c>
      <c r="O971" s="136">
        <v>0</v>
      </c>
      <c r="P971" s="136">
        <v>0</v>
      </c>
      <c r="Q971" s="137">
        <f>Table1[[#This Row],[number_of_unit]]*Table1[[#This Row],[net_weight_per_unit]]</f>
        <v>298.5</v>
      </c>
      <c r="R971" s="153"/>
      <c r="S971" s="158">
        <v>45880.669525231482</v>
      </c>
      <c r="T971" s="153" t="s">
        <v>657</v>
      </c>
      <c r="U971" s="139" t="str">
        <f t="shared" si="91"/>
        <v>_preroll_labelled</v>
      </c>
      <c r="V971" s="206" t="str">
        <f>IF(U971="_","",_xlfn.XLOOKUP(U971,internal_cansku_inventory!D:D,internal_cansku_inventory!E:E,"",0,1))</f>
        <v/>
      </c>
    </row>
    <row r="972" spans="1:22" ht="12.45" customHeight="1">
      <c r="A972" s="154">
        <v>796</v>
      </c>
      <c r="B972" s="154">
        <v>4</v>
      </c>
      <c r="C972" s="154" t="str">
        <f>Table1[[#This Row],[inventory_id_head]]&amp;"-"&amp;Table1[[#This Row],[inventory_id_tail]]</f>
        <v>796-4</v>
      </c>
      <c r="D972" s="153" t="s">
        <v>653</v>
      </c>
      <c r="E972" s="153" t="s">
        <v>867</v>
      </c>
      <c r="F972" s="153" t="s">
        <v>4240</v>
      </c>
      <c r="G972" s="133" t="str">
        <f t="shared" si="90"/>
        <v>RACK_B-GRID_7</v>
      </c>
      <c r="H972" s="153" t="s">
        <v>308</v>
      </c>
      <c r="I972" s="153"/>
      <c r="J972" s="153" t="s">
        <v>3746</v>
      </c>
      <c r="K972" s="155">
        <v>45870</v>
      </c>
      <c r="L972" s="156">
        <v>460</v>
      </c>
      <c r="M972" s="153" t="s">
        <v>644</v>
      </c>
      <c r="N972" s="157">
        <v>1.5</v>
      </c>
      <c r="O972" s="136">
        <v>0</v>
      </c>
      <c r="P972" s="136">
        <v>0</v>
      </c>
      <c r="Q972" s="137">
        <f>Table1[[#This Row],[number_of_unit]]*Table1[[#This Row],[net_weight_per_unit]]</f>
        <v>690</v>
      </c>
      <c r="R972" s="153"/>
      <c r="S972" s="158">
        <v>45880.700946759258</v>
      </c>
      <c r="T972" s="153" t="s">
        <v>657</v>
      </c>
      <c r="U972" s="139" t="str">
        <f t="shared" si="91"/>
        <v>_preroll_labelled</v>
      </c>
      <c r="V972" s="206" t="str">
        <f>IF(U972="_","",_xlfn.XLOOKUP(U972,internal_cansku_inventory!D:D,internal_cansku_inventory!E:E,"",0,1))</f>
        <v/>
      </c>
    </row>
    <row r="973" spans="1:22" ht="12.45" customHeight="1">
      <c r="A973" s="154">
        <v>796</v>
      </c>
      <c r="B973" s="154">
        <v>5</v>
      </c>
      <c r="C973" s="154" t="str">
        <f>Table1[[#This Row],[inventory_id_head]]&amp;"-"&amp;Table1[[#This Row],[inventory_id_tail]]</f>
        <v>796-5</v>
      </c>
      <c r="D973" s="153" t="s">
        <v>653</v>
      </c>
      <c r="E973" s="153" t="s">
        <v>867</v>
      </c>
      <c r="F973" s="153" t="s">
        <v>4240</v>
      </c>
      <c r="G973" s="133" t="str">
        <f t="shared" si="90"/>
        <v>RACK_B-GRID_7</v>
      </c>
      <c r="H973" s="133" t="s">
        <v>314</v>
      </c>
      <c r="I973" s="153"/>
      <c r="J973" s="153" t="s">
        <v>3284</v>
      </c>
      <c r="K973" s="155">
        <v>45875</v>
      </c>
      <c r="L973" s="156">
        <v>175</v>
      </c>
      <c r="M973" s="153" t="s">
        <v>644</v>
      </c>
      <c r="N973" s="157">
        <v>7</v>
      </c>
      <c r="O973" s="136">
        <v>0</v>
      </c>
      <c r="P973" s="136">
        <v>0</v>
      </c>
      <c r="Q973" s="137">
        <f>Table1[[#This Row],[number_of_unit]]*Table1[[#This Row],[net_weight_per_unit]]</f>
        <v>1225</v>
      </c>
      <c r="R973" s="153"/>
      <c r="S973" s="158">
        <v>45880.702477314815</v>
      </c>
      <c r="T973" s="153" t="s">
        <v>670</v>
      </c>
      <c r="U973" s="139" t="str">
        <f t="shared" ref="U973:U982" si="92">I973&amp;"_"&amp;H973</f>
        <v>_driedflower_labelled</v>
      </c>
      <c r="V973" s="206" t="str">
        <f>IF(U973="_","",_xlfn.XLOOKUP(U973,internal_cansku_inventory!D:D,internal_cansku_inventory!E:E,"",0,1))</f>
        <v/>
      </c>
    </row>
    <row r="974" spans="1:22" ht="12.45" customHeight="1">
      <c r="A974" s="154">
        <v>796</v>
      </c>
      <c r="B974" s="154">
        <v>6</v>
      </c>
      <c r="C974" s="154" t="str">
        <f>Table1[[#This Row],[inventory_id_head]]&amp;"-"&amp;Table1[[#This Row],[inventory_id_tail]]</f>
        <v>796-6</v>
      </c>
      <c r="D974" s="153" t="s">
        <v>653</v>
      </c>
      <c r="E974" s="153" t="s">
        <v>867</v>
      </c>
      <c r="F974" s="153" t="s">
        <v>4240</v>
      </c>
      <c r="G974" s="133" t="str">
        <f t="shared" si="90"/>
        <v>RACK_B-GRID_7</v>
      </c>
      <c r="H974" s="153" t="s">
        <v>308</v>
      </c>
      <c r="I974" s="153"/>
      <c r="J974" s="153" t="s">
        <v>4233</v>
      </c>
      <c r="K974" s="155">
        <v>45877</v>
      </c>
      <c r="L974" s="156">
        <v>114</v>
      </c>
      <c r="M974" s="153" t="s">
        <v>644</v>
      </c>
      <c r="N974" s="157">
        <v>1.5</v>
      </c>
      <c r="O974" s="136">
        <v>0</v>
      </c>
      <c r="P974" s="136">
        <v>0</v>
      </c>
      <c r="Q974" s="137">
        <f>Table1[[#This Row],[number_of_unit]]*Table1[[#This Row],[net_weight_per_unit]]</f>
        <v>171</v>
      </c>
      <c r="R974" s="153"/>
      <c r="S974" s="158">
        <v>45880.705935532409</v>
      </c>
      <c r="T974" s="153" t="s">
        <v>670</v>
      </c>
      <c r="U974" s="139" t="str">
        <f t="shared" si="92"/>
        <v>_preroll_labelled</v>
      </c>
      <c r="V974" s="206" t="str">
        <f>IF(U974="_","",_xlfn.XLOOKUP(U974,internal_cansku_inventory!D:D,internal_cansku_inventory!E:E,"",0,1))</f>
        <v/>
      </c>
    </row>
    <row r="975" spans="1:22" ht="12.45" customHeight="1">
      <c r="A975" s="154">
        <v>796</v>
      </c>
      <c r="B975" s="154">
        <v>7</v>
      </c>
      <c r="C975" s="154" t="str">
        <f>Table1[[#This Row],[inventory_id_head]]&amp;"-"&amp;Table1[[#This Row],[inventory_id_tail]]</f>
        <v>796-7</v>
      </c>
      <c r="D975" s="153" t="s">
        <v>653</v>
      </c>
      <c r="E975" s="153" t="s">
        <v>867</v>
      </c>
      <c r="F975" s="153" t="s">
        <v>4240</v>
      </c>
      <c r="G975" s="133" t="str">
        <f t="shared" si="90"/>
        <v>RACK_B-GRID_7</v>
      </c>
      <c r="H975" s="153" t="s">
        <v>308</v>
      </c>
      <c r="I975" s="153"/>
      <c r="J975" s="153" t="s">
        <v>1823</v>
      </c>
      <c r="K975" s="155">
        <v>45880</v>
      </c>
      <c r="L975" s="156">
        <v>588</v>
      </c>
      <c r="M975" s="153" t="s">
        <v>644</v>
      </c>
      <c r="N975" s="157">
        <v>1.5</v>
      </c>
      <c r="O975" s="136">
        <v>0</v>
      </c>
      <c r="P975" s="136">
        <v>0</v>
      </c>
      <c r="Q975" s="137">
        <f>Table1[[#This Row],[number_of_unit]]*Table1[[#This Row],[net_weight_per_unit]]</f>
        <v>882</v>
      </c>
      <c r="R975" s="153"/>
      <c r="S975" s="158">
        <v>45880.706089004627</v>
      </c>
      <c r="T975" s="153" t="s">
        <v>670</v>
      </c>
      <c r="U975" s="139" t="str">
        <f t="shared" si="92"/>
        <v>_preroll_labelled</v>
      </c>
      <c r="V975" s="206" t="str">
        <f>IF(U975="_","",_xlfn.XLOOKUP(U975,internal_cansku_inventory!D:D,internal_cansku_inventory!E:E,"",0,1))</f>
        <v/>
      </c>
    </row>
    <row r="976" spans="1:22" ht="12.45" customHeight="1">
      <c r="A976" s="154">
        <v>797</v>
      </c>
      <c r="B976" s="154">
        <v>0</v>
      </c>
      <c r="C976" s="154" t="str">
        <f>Table1[[#This Row],[inventory_id_head]]&amp;"-"&amp;Table1[[#This Row],[inventory_id_tail]]</f>
        <v>797-0</v>
      </c>
      <c r="D976" s="153" t="s">
        <v>653</v>
      </c>
      <c r="E976" s="153" t="s">
        <v>867</v>
      </c>
      <c r="F976" s="153" t="s">
        <v>1657</v>
      </c>
      <c r="G976" s="133" t="str">
        <f t="shared" si="90"/>
        <v>RACK_B-GRID_1</v>
      </c>
      <c r="H976" s="153" t="s">
        <v>308</v>
      </c>
      <c r="I976" s="153"/>
      <c r="J976" s="153" t="s">
        <v>591</v>
      </c>
      <c r="K976" s="155">
        <v>45877</v>
      </c>
      <c r="L976" s="156">
        <v>186</v>
      </c>
      <c r="M976" s="153" t="s">
        <v>644</v>
      </c>
      <c r="N976" s="157">
        <v>5</v>
      </c>
      <c r="O976" s="136">
        <v>0</v>
      </c>
      <c r="P976" s="136">
        <v>0</v>
      </c>
      <c r="Q976" s="137">
        <f>Table1[[#This Row],[number_of_unit]]*Table1[[#This Row],[net_weight_per_unit]]</f>
        <v>930</v>
      </c>
      <c r="R976" s="153"/>
      <c r="S976" s="158">
        <v>45881.383465856481</v>
      </c>
      <c r="T976" s="153" t="s">
        <v>670</v>
      </c>
      <c r="U976" s="139" t="str">
        <f t="shared" si="92"/>
        <v>_preroll_labelled</v>
      </c>
      <c r="V976" s="206" t="str">
        <f>IF(U976="_","",_xlfn.XLOOKUP(U976,internal_cansku_inventory!D:D,internal_cansku_inventory!E:E,"",0,1))</f>
        <v/>
      </c>
    </row>
    <row r="977" spans="1:22" ht="12.45" customHeight="1">
      <c r="A977" s="154">
        <v>797</v>
      </c>
      <c r="B977" s="154">
        <v>1</v>
      </c>
      <c r="C977" s="154" t="str">
        <f>Table1[[#This Row],[inventory_id_head]]&amp;"-"&amp;Table1[[#This Row],[inventory_id_tail]]</f>
        <v>797-1</v>
      </c>
      <c r="D977" s="153" t="s">
        <v>653</v>
      </c>
      <c r="E977" s="153" t="s">
        <v>867</v>
      </c>
      <c r="F977" s="153" t="s">
        <v>1657</v>
      </c>
      <c r="G977" s="133" t="str">
        <f t="shared" si="90"/>
        <v>RACK_B-GRID_1</v>
      </c>
      <c r="H977" s="133" t="s">
        <v>308</v>
      </c>
      <c r="I977" s="133"/>
      <c r="J977" s="153" t="s">
        <v>1842</v>
      </c>
      <c r="K977" s="155">
        <v>45877</v>
      </c>
      <c r="L977" s="156">
        <v>279</v>
      </c>
      <c r="M977" s="153" t="s">
        <v>644</v>
      </c>
      <c r="N977" s="157">
        <v>6</v>
      </c>
      <c r="O977" s="136">
        <v>0</v>
      </c>
      <c r="P977" s="136">
        <v>0</v>
      </c>
      <c r="Q977" s="137">
        <f>Table1[[#This Row],[number_of_unit]]*Table1[[#This Row],[net_weight_per_unit]]</f>
        <v>1674</v>
      </c>
      <c r="R977" s="153"/>
      <c r="S977" s="158">
        <v>45881.385608564815</v>
      </c>
      <c r="T977" s="153" t="s">
        <v>670</v>
      </c>
      <c r="U977" s="139" t="str">
        <f t="shared" si="92"/>
        <v>_preroll_labelled</v>
      </c>
      <c r="V977" s="206" t="str">
        <f>IF(U977="_","",_xlfn.XLOOKUP(U977,internal_cansku_inventory!D:D,internal_cansku_inventory!E:E,"",0,1))</f>
        <v/>
      </c>
    </row>
    <row r="978" spans="1:22" ht="12.45" customHeight="1">
      <c r="A978" s="154">
        <v>797</v>
      </c>
      <c r="B978" s="154">
        <v>2</v>
      </c>
      <c r="C978" s="154" t="str">
        <f>Table1[[#This Row],[inventory_id_head]]&amp;"-"&amp;Table1[[#This Row],[inventory_id_tail]]</f>
        <v>797-2</v>
      </c>
      <c r="D978" s="153" t="s">
        <v>653</v>
      </c>
      <c r="E978" s="153" t="s">
        <v>1863</v>
      </c>
      <c r="F978" s="153"/>
      <c r="G978" s="153"/>
      <c r="H978" s="133" t="s">
        <v>314</v>
      </c>
      <c r="I978" s="153"/>
      <c r="J978" s="153" t="s">
        <v>1829</v>
      </c>
      <c r="K978" s="155">
        <v>45881</v>
      </c>
      <c r="L978" s="156">
        <v>153</v>
      </c>
      <c r="M978" s="153" t="s">
        <v>644</v>
      </c>
      <c r="N978" s="157">
        <v>7</v>
      </c>
      <c r="O978" s="136">
        <v>0</v>
      </c>
      <c r="P978" s="136">
        <v>0</v>
      </c>
      <c r="Q978" s="137">
        <f>Table1[[#This Row],[number_of_unit]]*Table1[[#This Row],[net_weight_per_unit]]</f>
        <v>1071</v>
      </c>
      <c r="R978" s="153"/>
      <c r="S978" s="158">
        <v>45882.773469444444</v>
      </c>
      <c r="T978" s="153" t="s">
        <v>670</v>
      </c>
      <c r="U978" s="139" t="str">
        <f t="shared" si="92"/>
        <v>_driedflower_labelled</v>
      </c>
      <c r="V978" s="206" t="str">
        <f>IF(U978="_","",_xlfn.XLOOKUP(U978,internal_cansku_inventory!D:D,internal_cansku_inventory!E:E,"",0,1))</f>
        <v/>
      </c>
    </row>
    <row r="979" spans="1:22" ht="12.45" customHeight="1">
      <c r="A979" s="154">
        <v>797</v>
      </c>
      <c r="B979" s="154">
        <v>3</v>
      </c>
      <c r="C979" s="154" t="str">
        <f>Table1[[#This Row],[inventory_id_head]]&amp;"-"&amp;Table1[[#This Row],[inventory_id_tail]]</f>
        <v>797-3</v>
      </c>
      <c r="D979" s="153" t="s">
        <v>653</v>
      </c>
      <c r="E979" s="153" t="s">
        <v>867</v>
      </c>
      <c r="F979" s="153" t="s">
        <v>1657</v>
      </c>
      <c r="G979" s="133" t="str">
        <f t="shared" si="90"/>
        <v>RACK_B-GRID_1</v>
      </c>
      <c r="H979" s="153" t="s">
        <v>308</v>
      </c>
      <c r="I979" s="153"/>
      <c r="J979" s="153" t="s">
        <v>3306</v>
      </c>
      <c r="K979" s="155">
        <v>45883</v>
      </c>
      <c r="L979" s="156">
        <v>24</v>
      </c>
      <c r="M979" s="153" t="s">
        <v>644</v>
      </c>
      <c r="N979" s="157">
        <v>2.5</v>
      </c>
      <c r="O979" s="136">
        <v>0</v>
      </c>
      <c r="P979" s="136">
        <v>0</v>
      </c>
      <c r="Q979" s="137">
        <f>Table1[[#This Row],[number_of_unit]]*Table1[[#This Row],[net_weight_per_unit]]</f>
        <v>60</v>
      </c>
      <c r="R979" s="153"/>
      <c r="S979" s="158">
        <v>45884.437935416667</v>
      </c>
      <c r="T979" s="153" t="s">
        <v>670</v>
      </c>
      <c r="U979" s="139" t="str">
        <f t="shared" si="92"/>
        <v>_preroll_labelled</v>
      </c>
      <c r="V979" s="206" t="str">
        <f>IF(U979="_","",_xlfn.XLOOKUP(U979,internal_cansku_inventory!D:D,internal_cansku_inventory!E:E,"",0,1))</f>
        <v/>
      </c>
    </row>
    <row r="980" spans="1:22" ht="12.45" customHeight="1">
      <c r="A980" s="154">
        <v>797</v>
      </c>
      <c r="B980" s="154">
        <v>4</v>
      </c>
      <c r="C980" s="154" t="str">
        <f>Table1[[#This Row],[inventory_id_head]]&amp;"-"&amp;Table1[[#This Row],[inventory_id_tail]]</f>
        <v>797-4</v>
      </c>
      <c r="D980" s="153" t="s">
        <v>653</v>
      </c>
      <c r="E980" s="153" t="s">
        <v>1744</v>
      </c>
      <c r="F980" s="153" t="s">
        <v>1869</v>
      </c>
      <c r="G980" s="133" t="str">
        <f t="shared" si="90"/>
        <v>RACK_D-_PAILS</v>
      </c>
      <c r="H980" s="133" t="s">
        <v>361</v>
      </c>
      <c r="I980" s="153"/>
      <c r="J980" s="153">
        <v>2025080701</v>
      </c>
      <c r="K980" s="155">
        <v>45875</v>
      </c>
      <c r="L980" s="156">
        <v>1</v>
      </c>
      <c r="M980" s="133" t="s">
        <v>994</v>
      </c>
      <c r="N980" s="157">
        <v>6000</v>
      </c>
      <c r="O980" s="157">
        <v>6089</v>
      </c>
      <c r="P980" s="157">
        <v>89</v>
      </c>
      <c r="Q980" s="205">
        <f>Table1[[#This Row],[number_of_unit]]*Table1[[#This Row],[net_weight_per_unit]]</f>
        <v>6000</v>
      </c>
      <c r="R980" s="153"/>
      <c r="S980" s="158">
        <v>45884.442860069445</v>
      </c>
      <c r="T980" s="153" t="s">
        <v>978</v>
      </c>
      <c r="U980" s="139" t="str">
        <f t="shared" si="92"/>
        <v>_extract_distillate_bulk</v>
      </c>
      <c r="V980" s="206" t="str">
        <f>IF(U980="_","",_xlfn.XLOOKUP(U980,internal_cansku_inventory!D:D,internal_cansku_inventory!E:E,"",0,1))</f>
        <v/>
      </c>
    </row>
    <row r="981" spans="1:22" ht="12.45" customHeight="1">
      <c r="A981" s="154">
        <v>797</v>
      </c>
      <c r="B981" s="154">
        <v>5</v>
      </c>
      <c r="C981" s="154" t="str">
        <f>Table1[[#This Row],[inventory_id_head]]&amp;"-"&amp;Table1[[#This Row],[inventory_id_tail]]</f>
        <v>797-5</v>
      </c>
      <c r="D981" s="153" t="s">
        <v>653</v>
      </c>
      <c r="E981" s="153" t="s">
        <v>1868</v>
      </c>
      <c r="F981" s="153" t="s">
        <v>1869</v>
      </c>
      <c r="G981" s="133" t="str">
        <f t="shared" si="90"/>
        <v>RACK_E-_PAILS</v>
      </c>
      <c r="H981" s="153" t="s">
        <v>356</v>
      </c>
      <c r="I981" s="153"/>
      <c r="J981" s="153" t="s">
        <v>4285</v>
      </c>
      <c r="K981" s="155" t="s">
        <v>55</v>
      </c>
      <c r="L981" s="156">
        <v>1</v>
      </c>
      <c r="M981" s="133" t="s">
        <v>994</v>
      </c>
      <c r="N981" s="157">
        <v>1478</v>
      </c>
      <c r="O981" s="157">
        <v>3248</v>
      </c>
      <c r="P981" s="157">
        <v>1770</v>
      </c>
      <c r="Q981" s="205">
        <f>Table1[[#This Row],[number_of_unit]]*Table1[[#This Row],[net_weight_per_unit]]</f>
        <v>1478</v>
      </c>
      <c r="R981" s="153"/>
      <c r="S981" s="158">
        <v>45884.442860069445</v>
      </c>
      <c r="T981" s="153" t="s">
        <v>978</v>
      </c>
      <c r="U981" s="139" t="str">
        <f t="shared" si="92"/>
        <v>_driedflower_milled_bulk</v>
      </c>
      <c r="V981" s="206" t="str">
        <f>IF(U981="_","",_xlfn.XLOOKUP(U981,internal_cansku_inventory!D:D,internal_cansku_inventory!E:E,"",0,1))</f>
        <v/>
      </c>
    </row>
    <row r="982" spans="1:22" ht="12.45" customHeight="1">
      <c r="A982" s="154">
        <v>798</v>
      </c>
      <c r="B982" s="154">
        <v>1</v>
      </c>
      <c r="C982" s="154" t="str">
        <f>Table1[[#This Row],[inventory_id_head]]&amp;"-"&amp;Table1[[#This Row],[inventory_id_tail]]</f>
        <v>798-1</v>
      </c>
      <c r="D982" s="153" t="s">
        <v>653</v>
      </c>
      <c r="E982" s="153" t="s">
        <v>55</v>
      </c>
      <c r="F982" s="153" t="s">
        <v>55</v>
      </c>
      <c r="G982" s="133" t="str">
        <f t="shared" si="90"/>
        <v>NA-NA</v>
      </c>
      <c r="H982" s="153" t="s">
        <v>314</v>
      </c>
      <c r="I982" s="153"/>
      <c r="J982" s="153" t="s">
        <v>1829</v>
      </c>
      <c r="K982" s="155">
        <v>45880</v>
      </c>
      <c r="L982" s="156">
        <v>60</v>
      </c>
      <c r="M982" s="153" t="s">
        <v>644</v>
      </c>
      <c r="N982" s="157">
        <v>7</v>
      </c>
      <c r="O982" s="157">
        <v>0</v>
      </c>
      <c r="P982" s="157">
        <v>0</v>
      </c>
      <c r="Q982" s="205">
        <f>Table1[[#This Row],[number_of_unit]]*Table1[[#This Row],[net_weight_per_unit]]</f>
        <v>420</v>
      </c>
      <c r="R982" s="153"/>
      <c r="S982" s="158">
        <v>45897.664583333331</v>
      </c>
      <c r="T982" s="153" t="s">
        <v>670</v>
      </c>
      <c r="U982" s="139" t="str">
        <f t="shared" si="92"/>
        <v>_driedflower_labelled</v>
      </c>
      <c r="V982" s="206" t="str">
        <f>IF(U982="_","",_xlfn.XLOOKUP(U982,internal_cansku_inventory!D:D,internal_cansku_inventory!E:E,"",0,1))</f>
        <v/>
      </c>
    </row>
  </sheetData>
  <protectedRanges>
    <protectedRange algorithmName="SHA-512" hashValue="0MX2HNVIrjO4B8P2J9XDr3kLs3KDiFqKjWCCKh5VVgUaDhGUp36NC8PfPNFOBK3LzN/jD6R9QKvyDBm3EuZYmQ==" saltValue="JXQNO2vu76darqOxQxKefA==" spinCount="100000" sqref="J373" name="Range1_1"/>
  </protectedRanges>
  <phoneticPr fontId="19" type="noConversion"/>
  <conditionalFormatting sqref="A1:U1 W1:XFD1 D2:D399 D402:D1048576">
    <cfRule type="containsText" dxfId="212" priority="56" operator="containsText" text="Closed">
      <formula>NOT(ISERROR(SEARCH("Closed",A1)))</formula>
    </cfRule>
  </conditionalFormatting>
  <conditionalFormatting sqref="C1:C1048576 A1:A1048576">
    <cfRule type="duplicateValues" dxfId="211" priority="57"/>
  </conditionalFormatting>
  <conditionalFormatting sqref="E579:E585 E587:E634 E1:E399 E401:E576 E636:E897 E899:E1048576">
    <cfRule type="duplicateValues" dxfId="210" priority="60"/>
  </conditionalFormatting>
  <conditionalFormatting sqref="F1:F405 F510:F536 F599:F610 F538:F597 F612:F678 F425:F508 F407:F422 F682:F869 F872:F1048576">
    <cfRule type="duplicateValues" dxfId="209" priority="61"/>
  </conditionalFormatting>
  <conditionalFormatting sqref="F247:F250 F107">
    <cfRule type="duplicateValues" dxfId="208" priority="58"/>
  </conditionalFormatting>
  <conditionalFormatting sqref="F406:F411">
    <cfRule type="duplicateValues" dxfId="207" priority="55"/>
  </conditionalFormatting>
  <conditionalFormatting sqref="F423">
    <cfRule type="duplicateValues" dxfId="206" priority="54"/>
  </conditionalFormatting>
  <conditionalFormatting sqref="F509:F519">
    <cfRule type="duplicateValues" dxfId="205" priority="53"/>
  </conditionalFormatting>
  <conditionalFormatting sqref="F537:F546">
    <cfRule type="duplicateValues" dxfId="204" priority="51"/>
  </conditionalFormatting>
  <conditionalFormatting sqref="F546">
    <cfRule type="duplicateValues" dxfId="203" priority="49"/>
  </conditionalFormatting>
  <conditionalFormatting sqref="F679:F681">
    <cfRule type="duplicateValues" dxfId="202" priority="48"/>
  </conditionalFormatting>
  <conditionalFormatting sqref="F870:G871">
    <cfRule type="duplicateValues" dxfId="201" priority="32"/>
  </conditionalFormatting>
  <conditionalFormatting sqref="G1:G869 G872:G1048576">
    <cfRule type="duplicateValues" dxfId="200" priority="62"/>
  </conditionalFormatting>
  <conditionalFormatting sqref="G247:G250 G107">
    <cfRule type="duplicateValues" dxfId="199" priority="59"/>
  </conditionalFormatting>
  <conditionalFormatting sqref="G509">
    <cfRule type="duplicateValues" dxfId="198" priority="52"/>
  </conditionalFormatting>
  <conditionalFormatting sqref="G546:G557">
    <cfRule type="duplicateValues" dxfId="197" priority="50"/>
  </conditionalFormatting>
  <conditionalFormatting sqref="G571:G746">
    <cfRule type="duplicateValues" dxfId="196" priority="63"/>
  </conditionalFormatting>
  <conditionalFormatting sqref="G757">
    <cfRule type="duplicateValues" dxfId="195" priority="47"/>
  </conditionalFormatting>
  <conditionalFormatting sqref="G758">
    <cfRule type="duplicateValues" dxfId="194" priority="45"/>
  </conditionalFormatting>
  <conditionalFormatting sqref="G759:G762">
    <cfRule type="duplicateValues" dxfId="193" priority="44"/>
  </conditionalFormatting>
  <conditionalFormatting sqref="G764:G767">
    <cfRule type="duplicateValues" dxfId="192" priority="43"/>
  </conditionalFormatting>
  <conditionalFormatting sqref="G768:G773">
    <cfRule type="duplicateValues" dxfId="191" priority="427"/>
  </conditionalFormatting>
  <conditionalFormatting sqref="G776">
    <cfRule type="duplicateValues" dxfId="190" priority="41"/>
  </conditionalFormatting>
  <conditionalFormatting sqref="G787:G826">
    <cfRule type="duplicateValues" dxfId="189" priority="40"/>
  </conditionalFormatting>
  <conditionalFormatting sqref="G827:G835">
    <cfRule type="duplicateValues" dxfId="188" priority="39"/>
  </conditionalFormatting>
  <conditionalFormatting sqref="G836:G861">
    <cfRule type="duplicateValues" dxfId="187" priority="38"/>
  </conditionalFormatting>
  <conditionalFormatting sqref="G842">
    <cfRule type="duplicateValues" dxfId="186" priority="11"/>
  </conditionalFormatting>
  <conditionalFormatting sqref="G858">
    <cfRule type="duplicateValues" dxfId="185" priority="37"/>
  </conditionalFormatting>
  <conditionalFormatting sqref="G859">
    <cfRule type="duplicateValues" dxfId="184" priority="36"/>
  </conditionalFormatting>
  <conditionalFormatting sqref="G862:G864">
    <cfRule type="duplicateValues" dxfId="183" priority="34"/>
  </conditionalFormatting>
  <conditionalFormatting sqref="G865:G867">
    <cfRule type="duplicateValues" dxfId="182" priority="33"/>
  </conditionalFormatting>
  <conditionalFormatting sqref="G872:G874">
    <cfRule type="duplicateValues" dxfId="181" priority="31"/>
  </conditionalFormatting>
  <conditionalFormatting sqref="G875:G904">
    <cfRule type="duplicateValues" dxfId="180" priority="650"/>
  </conditionalFormatting>
  <conditionalFormatting sqref="G881">
    <cfRule type="duplicateValues" dxfId="179" priority="10"/>
  </conditionalFormatting>
  <conditionalFormatting sqref="G897">
    <cfRule type="duplicateValues" dxfId="178" priority="9"/>
  </conditionalFormatting>
  <conditionalFormatting sqref="G905">
    <cfRule type="duplicateValues" dxfId="177" priority="29"/>
  </conditionalFormatting>
  <conditionalFormatting sqref="G906:G919">
    <cfRule type="duplicateValues" dxfId="176" priority="744"/>
  </conditionalFormatting>
  <conditionalFormatting sqref="G920:G921">
    <cfRule type="duplicateValues" dxfId="175" priority="804"/>
  </conditionalFormatting>
  <conditionalFormatting sqref="G922">
    <cfRule type="duplicateValues" dxfId="174" priority="24"/>
  </conditionalFormatting>
  <conditionalFormatting sqref="G923">
    <cfRule type="duplicateValues" dxfId="173" priority="23"/>
  </conditionalFormatting>
  <conditionalFormatting sqref="G924">
    <cfRule type="duplicateValues" dxfId="172" priority="22"/>
  </conditionalFormatting>
  <conditionalFormatting sqref="G925">
    <cfRule type="duplicateValues" dxfId="171" priority="21"/>
  </conditionalFormatting>
  <conditionalFormatting sqref="G926:G937">
    <cfRule type="duplicateValues" dxfId="170" priority="20"/>
  </conditionalFormatting>
  <conditionalFormatting sqref="G938">
    <cfRule type="duplicateValues" dxfId="169" priority="19"/>
  </conditionalFormatting>
  <conditionalFormatting sqref="G939:G940">
    <cfRule type="duplicateValues" dxfId="168" priority="18"/>
  </conditionalFormatting>
  <conditionalFormatting sqref="G941">
    <cfRule type="duplicateValues" dxfId="167" priority="17"/>
  </conditionalFormatting>
  <conditionalFormatting sqref="G942">
    <cfRule type="duplicateValues" dxfId="166" priority="16"/>
  </conditionalFormatting>
  <conditionalFormatting sqref="G943">
    <cfRule type="duplicateValues" dxfId="165" priority="15"/>
  </conditionalFormatting>
  <conditionalFormatting sqref="G944:G945">
    <cfRule type="duplicateValues" dxfId="164" priority="14"/>
  </conditionalFormatting>
  <conditionalFormatting sqref="G946:G961">
    <cfRule type="duplicateValues" dxfId="163" priority="13"/>
  </conditionalFormatting>
  <conditionalFormatting sqref="G950">
    <cfRule type="duplicateValues" dxfId="162" priority="8"/>
  </conditionalFormatting>
  <conditionalFormatting sqref="G962">
    <cfRule type="duplicateValues" dxfId="161" priority="2"/>
  </conditionalFormatting>
  <conditionalFormatting sqref="G963">
    <cfRule type="duplicateValues" dxfId="160" priority="3"/>
  </conditionalFormatting>
  <conditionalFormatting sqref="G964">
    <cfRule type="duplicateValues" dxfId="159" priority="12"/>
  </conditionalFormatting>
  <conditionalFormatting sqref="G965">
    <cfRule type="duplicateValues" dxfId="158" priority="4"/>
  </conditionalFormatting>
  <conditionalFormatting sqref="G966">
    <cfRule type="duplicateValues" dxfId="157" priority="5"/>
  </conditionalFormatting>
  <conditionalFormatting sqref="G967">
    <cfRule type="duplicateValues" dxfId="156" priority="7"/>
  </conditionalFormatting>
  <conditionalFormatting sqref="G968:G977">
    <cfRule type="duplicateValues" dxfId="155" priority="837"/>
  </conditionalFormatting>
  <conditionalFormatting sqref="G979:G982">
    <cfRule type="duplicateValues" dxfId="154" priority="1"/>
  </conditionalFormatting>
  <dataValidations count="1">
    <dataValidation type="list" allowBlank="1" showInputMessage="1" showErrorMessage="1" sqref="D1:D399 D402:D1048576" xr:uid="{B9409DBD-28B1-49D7-9583-38CAA93CFF05}">
      <formula1>"Active, Closed, OutsideLP"</formula1>
    </dataValidation>
  </dataValidations>
  <pageMargins left="0.46" right="0.7" top="0.75" bottom="0.75" header="0.3" footer="0.3"/>
  <pageSetup scale="12" fitToHeight="0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9D59E5-0D15-4799-8A7C-86C417EF0B8C}">
          <x14:formula1>
            <xm:f>internal_cansku_inventory!$C:$C</xm:f>
          </x14:formula1>
          <xm:sqref>H1:H1048576</xm:sqref>
        </x14:dataValidation>
        <x14:dataValidation type="list" allowBlank="1" showInputMessage="1" showErrorMessage="1" xr:uid="{836583E6-A4F2-4242-A22C-E1B5C75306F3}">
          <x14:formula1>
            <xm:f>internal_cansku_inventory!$B:$B</xm:f>
          </x14:formula1>
          <xm:sqref>I1:I1048576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24E4-EE6F-446E-9A13-028C08B7A7AC}">
  <sheetPr published="0">
    <pageSetUpPr fitToPage="1"/>
  </sheetPr>
  <dimension ref="A1:O2493"/>
  <sheetViews>
    <sheetView zoomScaleNormal="100" workbookViewId="0">
      <pane ySplit="1" topLeftCell="A8" activePane="bottomLeft" state="frozen"/>
      <selection activeCell="C1" sqref="C1"/>
      <selection pane="bottomLeft" activeCell="M1" sqref="M1"/>
    </sheetView>
  </sheetViews>
  <sheetFormatPr defaultRowHeight="13.8"/>
  <cols>
    <col min="1" max="1" width="12.88671875" customWidth="1"/>
    <col min="2" max="2" width="22.109375" customWidth="1"/>
    <col min="3" max="3" width="13.21875" bestFit="1" customWidth="1"/>
    <col min="4" max="4" width="18.21875" customWidth="1"/>
    <col min="5" max="5" width="15.44140625" style="13" bestFit="1" customWidth="1"/>
    <col min="6" max="6" width="17.109375" bestFit="1" customWidth="1"/>
    <col min="7" max="7" width="54.5546875" customWidth="1"/>
    <col min="8" max="8" width="30" customWidth="1"/>
    <col min="9" max="9" width="17.109375" customWidth="1"/>
    <col min="10" max="10" width="24.44140625" customWidth="1"/>
    <col min="11" max="11" width="33.88671875" customWidth="1"/>
    <col min="12" max="12" width="31.77734375" customWidth="1"/>
    <col min="13" max="13" width="42.21875" bestFit="1" customWidth="1"/>
    <col min="14" max="14" width="22.44140625" customWidth="1"/>
    <col min="15" max="15" width="28.21875" customWidth="1"/>
  </cols>
  <sheetData>
    <row r="1" spans="1:15" ht="14.4" thickBot="1">
      <c r="A1" s="165" t="s">
        <v>1912</v>
      </c>
      <c r="B1" s="166" t="s">
        <v>650</v>
      </c>
      <c r="C1" s="167" t="s">
        <v>1913</v>
      </c>
      <c r="D1" s="167" t="s">
        <v>1914</v>
      </c>
      <c r="E1" s="214" t="s">
        <v>1915</v>
      </c>
      <c r="F1" s="168" t="s">
        <v>641</v>
      </c>
      <c r="G1" s="168" t="s">
        <v>4331</v>
      </c>
      <c r="H1" s="168" t="s">
        <v>1916</v>
      </c>
      <c r="I1" s="169" t="s">
        <v>642</v>
      </c>
      <c r="J1" s="170" t="s">
        <v>1917</v>
      </c>
      <c r="K1" s="171" t="s">
        <v>1918</v>
      </c>
      <c r="L1" s="287" t="s">
        <v>1919</v>
      </c>
      <c r="M1" s="168" t="s">
        <v>649</v>
      </c>
      <c r="N1" s="168" t="s">
        <v>651</v>
      </c>
      <c r="O1" s="172" t="s">
        <v>1920</v>
      </c>
    </row>
    <row r="2" spans="1:15">
      <c r="A2" s="173" t="str">
        <f t="shared" ref="A2:A65" si="0">IF(ISBLANK(J2),"",IF(J2+K2+L2&lt;0,"outbound","inbound"))</f>
        <v>outbound</v>
      </c>
      <c r="B2" s="174">
        <v>45485</v>
      </c>
      <c r="C2" s="175" t="s">
        <v>1921</v>
      </c>
      <c r="D2" s="175" t="s">
        <v>1922</v>
      </c>
      <c r="E2" s="215" t="s">
        <v>1923</v>
      </c>
      <c r="F2" s="176" t="s">
        <v>775</v>
      </c>
      <c r="G2" s="176"/>
      <c r="H2" s="112" t="str">
        <f>IF(ISBLANK(E2),"",_xlfn.XLOOKUP(E2,cannabis_log!C:C,cannabis_log!H:H,"",0,1))</f>
        <v>topical_labelled</v>
      </c>
      <c r="I2" s="177">
        <v>45467</v>
      </c>
      <c r="J2" s="178">
        <v>-47</v>
      </c>
      <c r="K2" s="179">
        <v>0</v>
      </c>
      <c r="L2" s="288">
        <v>-8460</v>
      </c>
      <c r="M2" s="176"/>
      <c r="N2" s="176" t="s">
        <v>670</v>
      </c>
      <c r="O2" s="180">
        <v>180</v>
      </c>
    </row>
    <row r="3" spans="1:15">
      <c r="A3" s="181" t="str">
        <f t="shared" si="0"/>
        <v>outbound</v>
      </c>
      <c r="B3" s="182">
        <v>45485.000694444447</v>
      </c>
      <c r="C3" s="183" t="s">
        <v>1924</v>
      </c>
      <c r="D3" s="183" t="s">
        <v>1925</v>
      </c>
      <c r="E3" s="215" t="s">
        <v>1926</v>
      </c>
      <c r="F3" s="112" t="s">
        <v>1551</v>
      </c>
      <c r="G3" s="112"/>
      <c r="H3" s="112" t="str">
        <f>IF(ISBLANK(E3),"",_xlfn.XLOOKUP(E3,cannabis_log!C:C,cannabis_log!H:H,"",0,1))</f>
        <v>driedflower_milled_bulk</v>
      </c>
      <c r="I3" s="184" t="s">
        <v>55</v>
      </c>
      <c r="J3" s="185">
        <v>-1</v>
      </c>
      <c r="K3" s="186">
        <v>-830</v>
      </c>
      <c r="L3" s="288">
        <v>0</v>
      </c>
      <c r="M3" s="24"/>
      <c r="N3" s="112" t="s">
        <v>664</v>
      </c>
      <c r="O3" s="187">
        <v>0</v>
      </c>
    </row>
    <row r="4" spans="1:15">
      <c r="A4" s="173" t="str">
        <f t="shared" si="0"/>
        <v>inbound</v>
      </c>
      <c r="B4" s="182">
        <v>45489</v>
      </c>
      <c r="C4" s="183" t="s">
        <v>1927</v>
      </c>
      <c r="D4" s="183" t="s">
        <v>1928</v>
      </c>
      <c r="E4" s="215" t="s">
        <v>1923</v>
      </c>
      <c r="F4" s="176" t="s">
        <v>775</v>
      </c>
      <c r="G4" s="176"/>
      <c r="H4" s="112" t="str">
        <f>IF(ISBLANK(E4),"",_xlfn.XLOOKUP(E4,cannabis_log!C:C,cannabis_log!H:H,"",0,1))</f>
        <v>topical_labelled</v>
      </c>
      <c r="I4" s="177">
        <v>45467</v>
      </c>
      <c r="J4" s="185">
        <v>47</v>
      </c>
      <c r="K4" s="186">
        <v>0</v>
      </c>
      <c r="L4" s="288">
        <v>8460</v>
      </c>
      <c r="M4" s="188"/>
      <c r="N4" s="176" t="s">
        <v>670</v>
      </c>
      <c r="O4" s="180">
        <v>180</v>
      </c>
    </row>
    <row r="5" spans="1:15">
      <c r="A5" s="181" t="str">
        <f t="shared" si="0"/>
        <v>outbound</v>
      </c>
      <c r="B5" s="182">
        <v>45489.000694444447</v>
      </c>
      <c r="C5" s="183" t="s">
        <v>1929</v>
      </c>
      <c r="D5" s="183" t="s">
        <v>1928</v>
      </c>
      <c r="E5" s="215" t="s">
        <v>1923</v>
      </c>
      <c r="F5" s="112" t="s">
        <v>775</v>
      </c>
      <c r="G5" s="112"/>
      <c r="H5" s="112" t="str">
        <f>IF(ISBLANK(E5),"",_xlfn.XLOOKUP(E5,cannabis_log!C:C,cannabis_log!H:H,"",0,1))</f>
        <v>topical_labelled</v>
      </c>
      <c r="I5" s="184">
        <v>45467</v>
      </c>
      <c r="J5" s="185">
        <v>-6</v>
      </c>
      <c r="K5" s="186">
        <v>0</v>
      </c>
      <c r="L5" s="288">
        <v>-1080</v>
      </c>
      <c r="M5" s="24"/>
      <c r="N5" s="112" t="s">
        <v>670</v>
      </c>
      <c r="O5" s="187">
        <v>180</v>
      </c>
    </row>
    <row r="6" spans="1:15">
      <c r="A6" s="173" t="str">
        <f t="shared" si="0"/>
        <v>inbound</v>
      </c>
      <c r="B6" s="182">
        <v>45489.001388888886</v>
      </c>
      <c r="C6" s="183" t="s">
        <v>1927</v>
      </c>
      <c r="D6" s="183"/>
      <c r="E6" s="215" t="s">
        <v>1926</v>
      </c>
      <c r="F6" s="176" t="s">
        <v>1551</v>
      </c>
      <c r="G6" s="176"/>
      <c r="H6" s="112" t="str">
        <f>IF(ISBLANK(E6),"",_xlfn.XLOOKUP(E6,cannabis_log!C:C,cannabis_log!H:H,"",0,1))</f>
        <v>driedflower_milled_bulk</v>
      </c>
      <c r="I6" s="177" t="s">
        <v>55</v>
      </c>
      <c r="J6" s="185">
        <v>1</v>
      </c>
      <c r="K6" s="186">
        <v>830</v>
      </c>
      <c r="L6" s="288">
        <v>0</v>
      </c>
      <c r="M6" s="188"/>
      <c r="N6" s="176" t="s">
        <v>664</v>
      </c>
      <c r="O6" s="180">
        <v>0</v>
      </c>
    </row>
    <row r="7" spans="1:15">
      <c r="A7" s="181" t="str">
        <f t="shared" si="0"/>
        <v>outbound</v>
      </c>
      <c r="B7" s="182">
        <v>45495</v>
      </c>
      <c r="C7" s="175" t="s">
        <v>1924</v>
      </c>
      <c r="D7" s="175" t="s">
        <v>1930</v>
      </c>
      <c r="E7" s="215" t="s">
        <v>1923</v>
      </c>
      <c r="F7" s="112" t="s">
        <v>775</v>
      </c>
      <c r="G7" s="112"/>
      <c r="H7" s="112" t="str">
        <f>IF(ISBLANK(E7),"",_xlfn.XLOOKUP(E7,cannabis_log!C:C,cannabis_log!H:H,"",0,1))</f>
        <v>topical_labelled</v>
      </c>
      <c r="I7" s="184">
        <v>45467</v>
      </c>
      <c r="J7" s="185">
        <v>-41</v>
      </c>
      <c r="K7" s="186">
        <v>0</v>
      </c>
      <c r="L7" s="288">
        <v>-7380</v>
      </c>
      <c r="M7" s="24"/>
      <c r="N7" s="112" t="s">
        <v>670</v>
      </c>
      <c r="O7" s="187">
        <v>180</v>
      </c>
    </row>
    <row r="8" spans="1:15">
      <c r="A8" s="173" t="str">
        <f t="shared" si="0"/>
        <v>outbound</v>
      </c>
      <c r="B8" s="182">
        <v>45495.000694444447</v>
      </c>
      <c r="C8" s="175" t="s">
        <v>1924</v>
      </c>
      <c r="D8" s="175" t="s">
        <v>1930</v>
      </c>
      <c r="E8" s="215" t="s">
        <v>1931</v>
      </c>
      <c r="F8" s="176" t="s">
        <v>775</v>
      </c>
      <c r="G8" s="176"/>
      <c r="H8" s="112" t="str">
        <f>IF(ISBLANK(E8),"",_xlfn.XLOOKUP(E8,cannabis_log!C:C,cannabis_log!H:H,"",0,1))</f>
        <v>topical_labelled</v>
      </c>
      <c r="I8" s="189">
        <v>45467</v>
      </c>
      <c r="J8" s="185">
        <v>-9</v>
      </c>
      <c r="K8" s="186">
        <v>0</v>
      </c>
      <c r="L8" s="288">
        <v>-1620</v>
      </c>
      <c r="M8" s="188"/>
      <c r="N8" s="176" t="s">
        <v>670</v>
      </c>
      <c r="O8" s="180">
        <v>180</v>
      </c>
    </row>
    <row r="9" spans="1:15">
      <c r="A9" s="181" t="str">
        <f t="shared" si="0"/>
        <v>outbound</v>
      </c>
      <c r="B9" s="182">
        <v>45495.001388888886</v>
      </c>
      <c r="C9" s="175" t="s">
        <v>1924</v>
      </c>
      <c r="D9" s="175" t="s">
        <v>1930</v>
      </c>
      <c r="E9" s="215" t="s">
        <v>1932</v>
      </c>
      <c r="F9" s="112" t="s">
        <v>797</v>
      </c>
      <c r="G9" s="112"/>
      <c r="H9" s="112" t="str">
        <f>IF(ISBLANK(E9),"",_xlfn.XLOOKUP(E9,cannabis_log!C:C,cannabis_log!H:H,"",0,1))</f>
        <v>topical_labelled</v>
      </c>
      <c r="I9" s="113">
        <v>45448</v>
      </c>
      <c r="J9" s="185">
        <v>-4</v>
      </c>
      <c r="K9" s="186">
        <v>0</v>
      </c>
      <c r="L9" s="288">
        <v>-352</v>
      </c>
      <c r="M9" s="24"/>
      <c r="N9" s="112" t="s">
        <v>670</v>
      </c>
      <c r="O9" s="187">
        <v>88</v>
      </c>
    </row>
    <row r="10" spans="1:15">
      <c r="A10" s="173" t="str">
        <f t="shared" si="0"/>
        <v>outbound</v>
      </c>
      <c r="B10" s="182">
        <v>45495.002083333333</v>
      </c>
      <c r="C10" s="183" t="s">
        <v>1924</v>
      </c>
      <c r="D10" s="183"/>
      <c r="E10" s="215" t="s">
        <v>1932</v>
      </c>
      <c r="F10" s="176" t="s">
        <v>797</v>
      </c>
      <c r="G10" s="176"/>
      <c r="H10" s="112" t="str">
        <f>IF(ISBLANK(E10),"",_xlfn.XLOOKUP(E10,cannabis_log!C:C,cannabis_log!H:H,"",0,1))</f>
        <v>topical_labelled</v>
      </c>
      <c r="I10" s="189">
        <v>45448</v>
      </c>
      <c r="J10" s="185">
        <v>-4</v>
      </c>
      <c r="K10" s="186">
        <v>0</v>
      </c>
      <c r="L10" s="288">
        <v>-352</v>
      </c>
      <c r="M10" s="188"/>
      <c r="N10" s="176" t="s">
        <v>670</v>
      </c>
      <c r="O10" s="180">
        <v>88</v>
      </c>
    </row>
    <row r="11" spans="1:15">
      <c r="A11" s="181" t="str">
        <f t="shared" si="0"/>
        <v>outbound</v>
      </c>
      <c r="B11" s="182">
        <v>45495.00277777778</v>
      </c>
      <c r="C11" s="183" t="s">
        <v>1921</v>
      </c>
      <c r="D11" s="183"/>
      <c r="E11" s="215" t="s">
        <v>1933</v>
      </c>
      <c r="F11" s="112" t="s">
        <v>777</v>
      </c>
      <c r="G11" s="112"/>
      <c r="H11" s="112" t="str">
        <f>IF(ISBLANK(E11),"",_xlfn.XLOOKUP(E11,cannabis_log!C:C,cannabis_log!H:H,"",0,1))</f>
        <v>driedflower_milled_bulk</v>
      </c>
      <c r="I11" s="113" t="s">
        <v>55</v>
      </c>
      <c r="J11" s="185">
        <v>-1</v>
      </c>
      <c r="K11" s="186">
        <v>-3635</v>
      </c>
      <c r="L11" s="288">
        <v>0</v>
      </c>
      <c r="M11" s="24"/>
      <c r="N11" s="112" t="s">
        <v>664</v>
      </c>
      <c r="O11" s="187">
        <v>0</v>
      </c>
    </row>
    <row r="12" spans="1:15">
      <c r="A12" s="173" t="str">
        <f t="shared" si="0"/>
        <v>inbound</v>
      </c>
      <c r="B12" s="182">
        <v>45495.003472222219</v>
      </c>
      <c r="C12" s="183" t="s">
        <v>1927</v>
      </c>
      <c r="D12" s="183"/>
      <c r="E12" s="215" t="s">
        <v>1933</v>
      </c>
      <c r="F12" s="176" t="s">
        <v>777</v>
      </c>
      <c r="G12" s="176"/>
      <c r="H12" s="112" t="str">
        <f>IF(ISBLANK(E12),"",_xlfn.XLOOKUP(E12,cannabis_log!C:C,cannabis_log!H:H,"",0,1))</f>
        <v>driedflower_milled_bulk</v>
      </c>
      <c r="I12" s="189" t="s">
        <v>55</v>
      </c>
      <c r="J12" s="185">
        <v>1</v>
      </c>
      <c r="K12" s="186">
        <v>5210</v>
      </c>
      <c r="L12" s="288">
        <v>0</v>
      </c>
      <c r="M12" s="188"/>
      <c r="N12" s="176" t="s">
        <v>664</v>
      </c>
      <c r="O12" s="180">
        <v>0</v>
      </c>
    </row>
    <row r="13" spans="1:15">
      <c r="A13" s="181" t="str">
        <f t="shared" si="0"/>
        <v>outbound</v>
      </c>
      <c r="B13" s="182">
        <v>45495.004166666666</v>
      </c>
      <c r="C13" s="183" t="s">
        <v>1921</v>
      </c>
      <c r="D13" s="183"/>
      <c r="E13" s="215" t="s">
        <v>1934</v>
      </c>
      <c r="F13" s="112" t="s">
        <v>777</v>
      </c>
      <c r="G13" s="112"/>
      <c r="H13" s="112" t="str">
        <f>IF(ISBLANK(E13),"",_xlfn.XLOOKUP(E13,cannabis_log!C:C,cannabis_log!H:H,"",0,1))</f>
        <v>driedflower_milled_bulk</v>
      </c>
      <c r="I13" s="113" t="s">
        <v>55</v>
      </c>
      <c r="J13" s="185">
        <v>-1</v>
      </c>
      <c r="K13" s="186">
        <v>-2410</v>
      </c>
      <c r="L13" s="288">
        <v>0</v>
      </c>
      <c r="M13" s="24"/>
      <c r="N13" s="112" t="s">
        <v>664</v>
      </c>
      <c r="O13" s="187">
        <v>0</v>
      </c>
    </row>
    <row r="14" spans="1:15">
      <c r="A14" s="173" t="str">
        <f t="shared" si="0"/>
        <v>inbound</v>
      </c>
      <c r="B14" s="182">
        <v>45496</v>
      </c>
      <c r="C14" s="183" t="s">
        <v>1927</v>
      </c>
      <c r="D14" s="183" t="s">
        <v>1935</v>
      </c>
      <c r="E14" s="215" t="s">
        <v>1923</v>
      </c>
      <c r="F14" s="176" t="s">
        <v>775</v>
      </c>
      <c r="G14" s="176"/>
      <c r="H14" s="112" t="str">
        <f>IF(ISBLANK(E14),"",_xlfn.XLOOKUP(E14,cannabis_log!C:C,cannabis_log!H:H,"",0,1))</f>
        <v>topical_labelled</v>
      </c>
      <c r="I14" s="189">
        <v>45467</v>
      </c>
      <c r="J14" s="185">
        <v>50</v>
      </c>
      <c r="K14" s="186">
        <v>0</v>
      </c>
      <c r="L14" s="288">
        <v>9000</v>
      </c>
      <c r="M14" s="188"/>
      <c r="N14" s="176" t="s">
        <v>670</v>
      </c>
      <c r="O14" s="180">
        <v>180</v>
      </c>
    </row>
    <row r="15" spans="1:15">
      <c r="A15" s="181" t="str">
        <f t="shared" si="0"/>
        <v>outbound</v>
      </c>
      <c r="B15" s="182">
        <v>45496.000694444447</v>
      </c>
      <c r="C15" s="183" t="s">
        <v>1924</v>
      </c>
      <c r="D15" s="183" t="s">
        <v>1930</v>
      </c>
      <c r="E15" s="215" t="s">
        <v>1926</v>
      </c>
      <c r="F15" s="112" t="s">
        <v>1551</v>
      </c>
      <c r="G15" s="112"/>
      <c r="H15" s="112" t="str">
        <f>IF(ISBLANK(E15),"",_xlfn.XLOOKUP(E15,cannabis_log!C:C,cannabis_log!H:H,"",0,1))</f>
        <v>driedflower_milled_bulk</v>
      </c>
      <c r="I15" s="113" t="s">
        <v>55</v>
      </c>
      <c r="J15" s="185">
        <v>-1</v>
      </c>
      <c r="K15" s="186">
        <v>-830</v>
      </c>
      <c r="L15" s="288">
        <v>0</v>
      </c>
      <c r="M15" s="24"/>
      <c r="N15" s="112" t="s">
        <v>664</v>
      </c>
      <c r="O15" s="187">
        <v>0</v>
      </c>
    </row>
    <row r="16" spans="1:15">
      <c r="A16" s="173" t="str">
        <f t="shared" si="0"/>
        <v>outbound</v>
      </c>
      <c r="B16" s="182">
        <v>45496.001388888886</v>
      </c>
      <c r="C16" s="183" t="s">
        <v>1921</v>
      </c>
      <c r="D16" s="183"/>
      <c r="E16" s="215" t="s">
        <v>1933</v>
      </c>
      <c r="F16" s="176" t="s">
        <v>777</v>
      </c>
      <c r="G16" s="176"/>
      <c r="H16" s="112" t="str">
        <f>IF(ISBLANK(E16),"",_xlfn.XLOOKUP(E16,cannabis_log!C:C,cannabis_log!H:H,"",0,1))</f>
        <v>driedflower_milled_bulk</v>
      </c>
      <c r="I16" s="189" t="s">
        <v>55</v>
      </c>
      <c r="J16" s="185">
        <v>0</v>
      </c>
      <c r="K16" s="186">
        <v>-655</v>
      </c>
      <c r="L16" s="288">
        <v>0</v>
      </c>
      <c r="M16" s="188"/>
      <c r="N16" s="176" t="s">
        <v>664</v>
      </c>
      <c r="O16" s="180">
        <v>0</v>
      </c>
    </row>
    <row r="17" spans="1:15">
      <c r="A17" s="181" t="str">
        <f t="shared" si="0"/>
        <v>inbound</v>
      </c>
      <c r="B17" s="182">
        <v>45497</v>
      </c>
      <c r="C17" s="183" t="s">
        <v>1927</v>
      </c>
      <c r="D17" s="183"/>
      <c r="E17" s="215" t="s">
        <v>1926</v>
      </c>
      <c r="F17" s="112" t="s">
        <v>1551</v>
      </c>
      <c r="G17" s="112"/>
      <c r="H17" s="112" t="str">
        <f>IF(ISBLANK(E17),"",_xlfn.XLOOKUP(E17,cannabis_log!C:C,cannabis_log!H:H,"",0,1))</f>
        <v>driedflower_milled_bulk</v>
      </c>
      <c r="I17" s="113" t="s">
        <v>55</v>
      </c>
      <c r="J17" s="185">
        <v>1</v>
      </c>
      <c r="K17" s="186">
        <v>827.6</v>
      </c>
      <c r="L17" s="288">
        <v>0</v>
      </c>
      <c r="M17" s="24"/>
      <c r="N17" s="112" t="s">
        <v>664</v>
      </c>
      <c r="O17" s="187">
        <v>0</v>
      </c>
    </row>
    <row r="18" spans="1:15">
      <c r="A18" s="173" t="str">
        <f t="shared" si="0"/>
        <v>outbound</v>
      </c>
      <c r="B18" s="182">
        <v>45497</v>
      </c>
      <c r="C18" s="183" t="s">
        <v>1924</v>
      </c>
      <c r="D18" s="183"/>
      <c r="E18" s="215" t="s">
        <v>1931</v>
      </c>
      <c r="F18" s="176" t="s">
        <v>775</v>
      </c>
      <c r="G18" s="176"/>
      <c r="H18" s="112" t="str">
        <f>IF(ISBLANK(E18),"",_xlfn.XLOOKUP(E18,cannabis_log!C:C,cannabis_log!H:H,"",0,1))</f>
        <v>topical_labelled</v>
      </c>
      <c r="I18" s="189">
        <v>45467</v>
      </c>
      <c r="J18" s="185">
        <v>-9</v>
      </c>
      <c r="K18" s="186">
        <v>0</v>
      </c>
      <c r="L18" s="288">
        <v>-1620</v>
      </c>
      <c r="M18" s="188"/>
      <c r="N18" s="176" t="s">
        <v>670</v>
      </c>
      <c r="O18" s="180">
        <v>180</v>
      </c>
    </row>
    <row r="19" spans="1:15">
      <c r="A19" s="181" t="str">
        <f t="shared" si="0"/>
        <v>outbound</v>
      </c>
      <c r="B19" s="182">
        <v>45497.000694444447</v>
      </c>
      <c r="C19" s="183" t="s">
        <v>1924</v>
      </c>
      <c r="D19" s="183" t="s">
        <v>1936</v>
      </c>
      <c r="E19" s="215" t="s">
        <v>1932</v>
      </c>
      <c r="F19" s="112" t="s">
        <v>797</v>
      </c>
      <c r="G19" s="112"/>
      <c r="H19" s="112" t="str">
        <f>IF(ISBLANK(E19),"",_xlfn.XLOOKUP(E19,cannabis_log!C:C,cannabis_log!H:H,"",0,1))</f>
        <v>topical_labelled</v>
      </c>
      <c r="I19" s="113">
        <v>45448</v>
      </c>
      <c r="J19" s="185">
        <v>-1</v>
      </c>
      <c r="K19" s="186">
        <v>0</v>
      </c>
      <c r="L19" s="288">
        <v>-88</v>
      </c>
      <c r="M19" s="24"/>
      <c r="N19" s="112" t="s">
        <v>670</v>
      </c>
      <c r="O19" s="187">
        <v>88</v>
      </c>
    </row>
    <row r="20" spans="1:15">
      <c r="A20" s="173" t="str">
        <f t="shared" si="0"/>
        <v>outbound</v>
      </c>
      <c r="B20" s="182">
        <v>45497.001388888886</v>
      </c>
      <c r="C20" s="175" t="s">
        <v>1921</v>
      </c>
      <c r="D20" s="175"/>
      <c r="E20" s="215" t="s">
        <v>1937</v>
      </c>
      <c r="F20" s="176" t="s">
        <v>55</v>
      </c>
      <c r="G20" s="176"/>
      <c r="H20" s="112" t="str">
        <f>IF(ISBLANK(E20),"",_xlfn.XLOOKUP(E20,cannabis_log!C:C,cannabis_log!H:H,"",0,1))</f>
        <v>extract_ingested_cased_BC</v>
      </c>
      <c r="I20" s="189" t="s">
        <v>55</v>
      </c>
      <c r="J20" s="185">
        <v>0</v>
      </c>
      <c r="K20" s="179">
        <v>-375</v>
      </c>
      <c r="L20" s="288">
        <v>0</v>
      </c>
      <c r="M20" s="188"/>
      <c r="N20" s="176" t="s">
        <v>664</v>
      </c>
      <c r="O20" s="180">
        <v>0</v>
      </c>
    </row>
    <row r="21" spans="1:15">
      <c r="A21" s="181" t="str">
        <f t="shared" si="0"/>
        <v>inbound</v>
      </c>
      <c r="B21" s="182">
        <v>45497.002083333333</v>
      </c>
      <c r="C21" s="183" t="s">
        <v>1927</v>
      </c>
      <c r="D21" s="183"/>
      <c r="E21" s="215" t="s">
        <v>1938</v>
      </c>
      <c r="F21" s="112" t="s">
        <v>55</v>
      </c>
      <c r="G21" s="112"/>
      <c r="H21" s="112" t="str">
        <f>IF(ISBLANK(E21),"",_xlfn.XLOOKUP(E21,cannabis_log!C:C,cannabis_log!H:H,"",0,1))</f>
        <v>extract_ingested_cased_BC</v>
      </c>
      <c r="I21" s="113" t="s">
        <v>55</v>
      </c>
      <c r="J21" s="185">
        <v>0</v>
      </c>
      <c r="K21" s="186">
        <v>15</v>
      </c>
      <c r="L21" s="288">
        <v>0</v>
      </c>
      <c r="M21" s="24"/>
      <c r="N21" s="112" t="s">
        <v>664</v>
      </c>
      <c r="O21" s="187">
        <v>0</v>
      </c>
    </row>
    <row r="22" spans="1:15">
      <c r="A22" s="173" t="str">
        <f t="shared" si="0"/>
        <v>outbound</v>
      </c>
      <c r="B22" s="182">
        <v>45498</v>
      </c>
      <c r="C22" s="183" t="s">
        <v>1929</v>
      </c>
      <c r="D22" s="183"/>
      <c r="E22" s="215" t="s">
        <v>1923</v>
      </c>
      <c r="F22" s="176" t="s">
        <v>775</v>
      </c>
      <c r="G22" s="176"/>
      <c r="H22" s="112" t="str">
        <f>IF(ISBLANK(E22),"",_xlfn.XLOOKUP(E22,cannabis_log!C:C,cannabis_log!H:H,"",0,1))</f>
        <v>topical_labelled</v>
      </c>
      <c r="I22" s="189">
        <v>45467</v>
      </c>
      <c r="J22" s="185">
        <v>-6</v>
      </c>
      <c r="K22" s="186">
        <v>0</v>
      </c>
      <c r="L22" s="288">
        <v>-1080</v>
      </c>
      <c r="M22" s="188"/>
      <c r="N22" s="176" t="s">
        <v>670</v>
      </c>
      <c r="O22" s="180">
        <v>180</v>
      </c>
    </row>
    <row r="23" spans="1:15">
      <c r="A23" s="181" t="str">
        <f t="shared" si="0"/>
        <v>outbound</v>
      </c>
      <c r="B23" s="182">
        <v>45498.000694444447</v>
      </c>
      <c r="C23" s="183" t="s">
        <v>1924</v>
      </c>
      <c r="D23" s="183"/>
      <c r="E23" s="215" t="s">
        <v>1926</v>
      </c>
      <c r="F23" s="112" t="s">
        <v>1551</v>
      </c>
      <c r="G23" s="112"/>
      <c r="H23" s="112" t="str">
        <f>IF(ISBLANK(E23),"",_xlfn.XLOOKUP(E23,cannabis_log!C:C,cannabis_log!H:H,"",0,1))</f>
        <v>driedflower_milled_bulk</v>
      </c>
      <c r="I23" s="113" t="s">
        <v>55</v>
      </c>
      <c r="J23" s="185">
        <v>0</v>
      </c>
      <c r="K23" s="186">
        <v>-7.6</v>
      </c>
      <c r="L23" s="288">
        <v>0</v>
      </c>
      <c r="M23" s="24"/>
      <c r="N23" s="112" t="s">
        <v>664</v>
      </c>
      <c r="O23" s="187">
        <v>0</v>
      </c>
    </row>
    <row r="24" spans="1:15">
      <c r="A24" s="173" t="str">
        <f t="shared" si="0"/>
        <v>outbound</v>
      </c>
      <c r="B24" s="182">
        <v>45498.001388888886</v>
      </c>
      <c r="C24" s="183" t="s">
        <v>1924</v>
      </c>
      <c r="D24" s="183" t="s">
        <v>1939</v>
      </c>
      <c r="E24" s="215" t="s">
        <v>1926</v>
      </c>
      <c r="F24" s="176" t="s">
        <v>1551</v>
      </c>
      <c r="G24" s="176"/>
      <c r="H24" s="112" t="str">
        <f>IF(ISBLANK(E24),"",_xlfn.XLOOKUP(E24,cannabis_log!C:C,cannabis_log!H:H,"",0,1))</f>
        <v>driedflower_milled_bulk</v>
      </c>
      <c r="I24" s="189" t="s">
        <v>55</v>
      </c>
      <c r="J24" s="185">
        <v>-1</v>
      </c>
      <c r="K24" s="186">
        <v>-820</v>
      </c>
      <c r="L24" s="288">
        <v>0</v>
      </c>
      <c r="M24" s="188"/>
      <c r="N24" s="176" t="s">
        <v>664</v>
      </c>
      <c r="O24" s="180">
        <v>0</v>
      </c>
    </row>
    <row r="25" spans="1:15">
      <c r="A25" s="181" t="str">
        <f t="shared" si="0"/>
        <v>inbound</v>
      </c>
      <c r="B25" s="182">
        <v>45498.002083333333</v>
      </c>
      <c r="C25" s="183" t="s">
        <v>1924</v>
      </c>
      <c r="D25" s="183" t="s">
        <v>1939</v>
      </c>
      <c r="E25" s="215" t="s">
        <v>1926</v>
      </c>
      <c r="F25" s="112" t="s">
        <v>1551</v>
      </c>
      <c r="G25" s="112"/>
      <c r="H25" s="112" t="str">
        <f>IF(ISBLANK(E25),"",_xlfn.XLOOKUP(E25,cannabis_log!C:C,cannabis_log!H:H,"",0,1))</f>
        <v>driedflower_milled_bulk</v>
      </c>
      <c r="I25" s="113" t="s">
        <v>55</v>
      </c>
      <c r="J25" s="185">
        <v>1</v>
      </c>
      <c r="K25" s="186">
        <v>821.1</v>
      </c>
      <c r="L25" s="288">
        <v>0</v>
      </c>
      <c r="M25" s="24"/>
      <c r="N25" s="112" t="s">
        <v>664</v>
      </c>
      <c r="O25" s="187">
        <v>0</v>
      </c>
    </row>
    <row r="26" spans="1:15">
      <c r="A26" s="173" t="str">
        <f t="shared" si="0"/>
        <v>outbound</v>
      </c>
      <c r="B26" s="182">
        <v>45498.00277777778</v>
      </c>
      <c r="C26" s="183" t="s">
        <v>1929</v>
      </c>
      <c r="D26" s="183" t="s">
        <v>1940</v>
      </c>
      <c r="E26" s="215" t="s">
        <v>1941</v>
      </c>
      <c r="F26" s="176" t="s">
        <v>1324</v>
      </c>
      <c r="G26" s="176"/>
      <c r="H26" s="112" t="str">
        <f>IF(ISBLANK(E26),"",_xlfn.XLOOKUP(E26,cannabis_log!C:C,cannabis_log!H:H,"",0,1))</f>
        <v>topical_labelled</v>
      </c>
      <c r="I26" s="189">
        <v>45234</v>
      </c>
      <c r="J26" s="185">
        <v>-7</v>
      </c>
      <c r="K26" s="186">
        <v>0</v>
      </c>
      <c r="L26" s="288">
        <v>-3150</v>
      </c>
      <c r="M26" s="188"/>
      <c r="N26" s="176" t="s">
        <v>670</v>
      </c>
      <c r="O26" s="180">
        <v>450</v>
      </c>
    </row>
    <row r="27" spans="1:15">
      <c r="A27" s="181" t="str">
        <f t="shared" si="0"/>
        <v>outbound</v>
      </c>
      <c r="B27" s="182">
        <v>45498.003472222219</v>
      </c>
      <c r="C27" s="183" t="s">
        <v>1929</v>
      </c>
      <c r="D27" s="183"/>
      <c r="E27" s="215" t="s">
        <v>1942</v>
      </c>
      <c r="F27" s="112" t="s">
        <v>885</v>
      </c>
      <c r="G27" s="112"/>
      <c r="H27" s="112" t="str">
        <f>IF(ISBLANK(E27),"",_xlfn.XLOOKUP(E27,cannabis_log!C:C,cannabis_log!H:H,"",0,1))</f>
        <v>topical_labelled</v>
      </c>
      <c r="I27" s="113">
        <v>45423</v>
      </c>
      <c r="J27" s="185">
        <v>-12</v>
      </c>
      <c r="K27" s="186">
        <v>0</v>
      </c>
      <c r="L27" s="288">
        <v>-1056</v>
      </c>
      <c r="M27" s="24"/>
      <c r="N27" s="112" t="s">
        <v>670</v>
      </c>
      <c r="O27" s="187">
        <v>88</v>
      </c>
    </row>
    <row r="28" spans="1:15">
      <c r="A28" s="173" t="str">
        <f t="shared" si="0"/>
        <v>outbound</v>
      </c>
      <c r="B28" s="182">
        <v>45498.004166666666</v>
      </c>
      <c r="C28" s="183" t="s">
        <v>1924</v>
      </c>
      <c r="D28" s="183" t="s">
        <v>1939</v>
      </c>
      <c r="E28" s="215" t="s">
        <v>1943</v>
      </c>
      <c r="F28" s="176" t="s">
        <v>790</v>
      </c>
      <c r="G28" s="176"/>
      <c r="H28" s="112" t="str">
        <f>IF(ISBLANK(E28),"",_xlfn.XLOOKUP(E28,cannabis_log!C:C,cannabis_log!H:H,"",0,1))</f>
        <v>extract_ingested_bulk</v>
      </c>
      <c r="I28" s="189">
        <v>45345</v>
      </c>
      <c r="J28" s="185">
        <v>0</v>
      </c>
      <c r="K28" s="179">
        <v>-40</v>
      </c>
      <c r="L28" s="288">
        <v>0</v>
      </c>
      <c r="M28" s="188"/>
      <c r="N28" s="176" t="s">
        <v>664</v>
      </c>
      <c r="O28" s="180">
        <v>0</v>
      </c>
    </row>
    <row r="29" spans="1:15">
      <c r="A29" s="181" t="str">
        <f t="shared" si="0"/>
        <v>outbound</v>
      </c>
      <c r="B29" s="182">
        <v>45498.004861111112</v>
      </c>
      <c r="C29" s="183" t="s">
        <v>1924</v>
      </c>
      <c r="D29" s="183" t="s">
        <v>1939</v>
      </c>
      <c r="E29" s="215" t="s">
        <v>1944</v>
      </c>
      <c r="F29" s="112" t="s">
        <v>792</v>
      </c>
      <c r="G29" s="112"/>
      <c r="H29" s="112" t="str">
        <f>IF(ISBLANK(E29),"",_xlfn.XLOOKUP(E29,cannabis_log!C:C,cannabis_log!H:H,"",0,1))</f>
        <v>extract_ingested_bulk</v>
      </c>
      <c r="I29" s="113">
        <v>45345</v>
      </c>
      <c r="J29" s="185">
        <v>0</v>
      </c>
      <c r="K29" s="179">
        <v>-40</v>
      </c>
      <c r="L29" s="288">
        <v>0</v>
      </c>
      <c r="M29" s="24"/>
      <c r="N29" s="112" t="s">
        <v>664</v>
      </c>
      <c r="O29" s="187">
        <v>0</v>
      </c>
    </row>
    <row r="30" spans="1:15">
      <c r="A30" s="173" t="str">
        <f t="shared" si="0"/>
        <v>outbound</v>
      </c>
      <c r="B30" s="182">
        <v>45498.005555555559</v>
      </c>
      <c r="C30" s="183" t="s">
        <v>1924</v>
      </c>
      <c r="D30" s="183" t="s">
        <v>1939</v>
      </c>
      <c r="E30" s="215" t="s">
        <v>1945</v>
      </c>
      <c r="F30" s="176" t="s">
        <v>543</v>
      </c>
      <c r="G30" s="176"/>
      <c r="H30" s="112" t="str">
        <f>IF(ISBLANK(E30),"",_xlfn.XLOOKUP(E30,cannabis_log!C:C,cannabis_log!H:H,"",0,1))</f>
        <v>extract_inhaled_bulk</v>
      </c>
      <c r="I30" s="189" t="s">
        <v>55</v>
      </c>
      <c r="J30" s="185">
        <v>0</v>
      </c>
      <c r="K30" s="186">
        <v>-6.3000000000001819</v>
      </c>
      <c r="L30" s="288">
        <v>0</v>
      </c>
      <c r="M30" s="188"/>
      <c r="N30" s="176" t="s">
        <v>664</v>
      </c>
      <c r="O30" s="180">
        <v>0</v>
      </c>
    </row>
    <row r="31" spans="1:15">
      <c r="A31" s="181" t="str">
        <f t="shared" si="0"/>
        <v>outbound</v>
      </c>
      <c r="B31" s="182">
        <v>45499</v>
      </c>
      <c r="C31" s="183" t="s">
        <v>1921</v>
      </c>
      <c r="D31" s="183"/>
      <c r="E31" s="215" t="s">
        <v>1933</v>
      </c>
      <c r="F31" s="112" t="s">
        <v>777</v>
      </c>
      <c r="G31" s="112"/>
      <c r="H31" s="112" t="str">
        <f>IF(ISBLANK(E31),"",_xlfn.XLOOKUP(E31,cannabis_log!C:C,cannabis_log!H:H,"",0,1))</f>
        <v>driedflower_milled_bulk</v>
      </c>
      <c r="I31" s="113" t="s">
        <v>55</v>
      </c>
      <c r="J31" s="185">
        <v>-1</v>
      </c>
      <c r="K31" s="186">
        <v>-6320</v>
      </c>
      <c r="L31" s="288">
        <v>0</v>
      </c>
      <c r="M31" s="24"/>
      <c r="N31" s="112" t="s">
        <v>664</v>
      </c>
      <c r="O31" s="187">
        <v>0</v>
      </c>
    </row>
    <row r="32" spans="1:15">
      <c r="A32" s="173" t="str">
        <f t="shared" si="0"/>
        <v>outbound</v>
      </c>
      <c r="B32" s="182">
        <v>45502</v>
      </c>
      <c r="C32" s="183" t="s">
        <v>1921</v>
      </c>
      <c r="D32" s="183" t="s">
        <v>1946</v>
      </c>
      <c r="E32" s="215" t="s">
        <v>1937</v>
      </c>
      <c r="F32" s="176" t="s">
        <v>55</v>
      </c>
      <c r="G32" s="176"/>
      <c r="H32" s="112" t="str">
        <f>IF(ISBLANK(E32),"",_xlfn.XLOOKUP(E32,cannabis_log!C:C,cannabis_log!H:H,"",0,1))</f>
        <v>extract_ingested_cased_BC</v>
      </c>
      <c r="I32" s="189">
        <v>45482</v>
      </c>
      <c r="J32" s="185">
        <v>-1</v>
      </c>
      <c r="K32" s="186">
        <v>-15145</v>
      </c>
      <c r="L32" s="288">
        <v>0</v>
      </c>
      <c r="M32" s="188"/>
      <c r="N32" s="176" t="s">
        <v>664</v>
      </c>
      <c r="O32" s="180">
        <v>0</v>
      </c>
    </row>
    <row r="33" spans="1:15">
      <c r="A33" s="181" t="str">
        <f t="shared" si="0"/>
        <v>outbound</v>
      </c>
      <c r="B33" s="182">
        <v>45502.000694444447</v>
      </c>
      <c r="C33" s="183" t="s">
        <v>1921</v>
      </c>
      <c r="D33" s="183" t="s">
        <v>1946</v>
      </c>
      <c r="E33" s="215" t="s">
        <v>1938</v>
      </c>
      <c r="F33" s="112" t="s">
        <v>55</v>
      </c>
      <c r="G33" s="112"/>
      <c r="H33" s="112" t="str">
        <f>IF(ISBLANK(E33),"",_xlfn.XLOOKUP(E33,cannabis_log!C:C,cannabis_log!H:H,"",0,1))</f>
        <v>extract_ingested_cased_BC</v>
      </c>
      <c r="I33" s="113">
        <v>45482</v>
      </c>
      <c r="J33" s="185">
        <v>-1</v>
      </c>
      <c r="K33" s="186">
        <v>-15115</v>
      </c>
      <c r="L33" s="288">
        <v>0</v>
      </c>
      <c r="M33" s="24"/>
      <c r="N33" s="112" t="s">
        <v>664</v>
      </c>
      <c r="O33" s="187">
        <v>0</v>
      </c>
    </row>
    <row r="34" spans="1:15">
      <c r="A34" s="173" t="str">
        <f t="shared" si="0"/>
        <v>outbound</v>
      </c>
      <c r="B34" s="182">
        <v>45502.001388888886</v>
      </c>
      <c r="C34" s="183" t="s">
        <v>1921</v>
      </c>
      <c r="D34" s="183" t="s">
        <v>1946</v>
      </c>
      <c r="E34" s="215" t="s">
        <v>1947</v>
      </c>
      <c r="F34" s="176" t="s">
        <v>55</v>
      </c>
      <c r="G34" s="176"/>
      <c r="H34" s="112" t="str">
        <f>IF(ISBLANK(E34),"",_xlfn.XLOOKUP(E34,cannabis_log!C:C,cannabis_log!H:H,"",0,1))</f>
        <v>extract_ingested_bulk</v>
      </c>
      <c r="I34" s="189">
        <v>45482</v>
      </c>
      <c r="J34" s="185">
        <v>-1</v>
      </c>
      <c r="K34" s="186">
        <v>-14210</v>
      </c>
      <c r="L34" s="288">
        <v>0</v>
      </c>
      <c r="M34" s="188"/>
      <c r="N34" s="176" t="s">
        <v>664</v>
      </c>
      <c r="O34" s="180">
        <v>0</v>
      </c>
    </row>
    <row r="35" spans="1:15">
      <c r="A35" s="181" t="str">
        <f t="shared" si="0"/>
        <v>outbound</v>
      </c>
      <c r="B35" s="182">
        <v>45502.002083333333</v>
      </c>
      <c r="C35" s="183" t="s">
        <v>1921</v>
      </c>
      <c r="D35" s="183" t="s">
        <v>1946</v>
      </c>
      <c r="E35" s="215" t="s">
        <v>1948</v>
      </c>
      <c r="F35" s="112" t="s">
        <v>55</v>
      </c>
      <c r="G35" s="112"/>
      <c r="H35" s="112" t="str">
        <f>IF(ISBLANK(E35),"",_xlfn.XLOOKUP(E35,cannabis_log!C:C,cannabis_log!H:H,"",0,1))</f>
        <v>extract_ingested_bulk</v>
      </c>
      <c r="I35" s="113">
        <v>45482</v>
      </c>
      <c r="J35" s="185">
        <v>-1</v>
      </c>
      <c r="K35" s="186">
        <v>-15770</v>
      </c>
      <c r="L35" s="288">
        <v>0</v>
      </c>
      <c r="M35" s="24"/>
      <c r="N35" s="112" t="s">
        <v>664</v>
      </c>
      <c r="O35" s="187">
        <v>0</v>
      </c>
    </row>
    <row r="36" spans="1:15">
      <c r="A36" s="173" t="str">
        <f t="shared" si="0"/>
        <v>outbound</v>
      </c>
      <c r="B36" s="182">
        <v>45503</v>
      </c>
      <c r="C36" s="183" t="s">
        <v>1929</v>
      </c>
      <c r="D36" s="183" t="s">
        <v>1949</v>
      </c>
      <c r="E36" s="215" t="s">
        <v>1942</v>
      </c>
      <c r="F36" s="176" t="s">
        <v>885</v>
      </c>
      <c r="G36" s="176"/>
      <c r="H36" s="112" t="str">
        <f>IF(ISBLANK(E36),"",_xlfn.XLOOKUP(E36,cannabis_log!C:C,cannabis_log!H:H,"",0,1))</f>
        <v>topical_labelled</v>
      </c>
      <c r="I36" s="189">
        <v>45423</v>
      </c>
      <c r="J36" s="185">
        <v>-240</v>
      </c>
      <c r="K36" s="186">
        <v>0</v>
      </c>
      <c r="L36" s="288">
        <v>-21120</v>
      </c>
      <c r="M36" s="188"/>
      <c r="N36" s="176" t="s">
        <v>670</v>
      </c>
      <c r="O36" s="180">
        <v>88</v>
      </c>
    </row>
    <row r="37" spans="1:15">
      <c r="A37" s="181" t="str">
        <f t="shared" si="0"/>
        <v>outbound</v>
      </c>
      <c r="B37" s="182">
        <v>45503.000694444447</v>
      </c>
      <c r="C37" s="183" t="s">
        <v>1929</v>
      </c>
      <c r="D37" s="183" t="s">
        <v>1950</v>
      </c>
      <c r="E37" s="215" t="s">
        <v>1951</v>
      </c>
      <c r="F37" s="112" t="s">
        <v>828</v>
      </c>
      <c r="G37" s="112"/>
      <c r="H37" s="112" t="str">
        <f>IF(ISBLANK(E37),"",_xlfn.XLOOKUP(E37,cannabis_log!C:C,cannabis_log!H:H,"",0,1))</f>
        <v>preroll_labelled</v>
      </c>
      <c r="I37" s="113">
        <v>44888</v>
      </c>
      <c r="J37" s="185">
        <v>-36</v>
      </c>
      <c r="K37" s="186">
        <v>0</v>
      </c>
      <c r="L37" s="288">
        <v>-36</v>
      </c>
      <c r="M37" s="24"/>
      <c r="N37" s="112" t="s">
        <v>670</v>
      </c>
      <c r="O37" s="187">
        <v>1</v>
      </c>
    </row>
    <row r="38" spans="1:15">
      <c r="A38" s="173" t="str">
        <f t="shared" si="0"/>
        <v>outbound</v>
      </c>
      <c r="B38" s="182">
        <v>45503.001388888886</v>
      </c>
      <c r="C38" s="183" t="s">
        <v>1929</v>
      </c>
      <c r="D38" s="183" t="s">
        <v>1950</v>
      </c>
      <c r="E38" s="215" t="s">
        <v>1952</v>
      </c>
      <c r="F38" s="176" t="s">
        <v>1609</v>
      </c>
      <c r="G38" s="176"/>
      <c r="H38" s="112" t="str">
        <f>IF(ISBLANK(E38),"",_xlfn.XLOOKUP(E38,cannabis_log!C:C,cannabis_log!H:H,"",0,1))</f>
        <v>preroll_labelled</v>
      </c>
      <c r="I38" s="189">
        <v>45462</v>
      </c>
      <c r="J38" s="185">
        <v>-36</v>
      </c>
      <c r="K38" s="186">
        <v>0</v>
      </c>
      <c r="L38" s="288">
        <v>-36</v>
      </c>
      <c r="M38" s="188"/>
      <c r="N38" s="176" t="s">
        <v>670</v>
      </c>
      <c r="O38" s="180">
        <v>1</v>
      </c>
    </row>
    <row r="39" spans="1:15">
      <c r="A39" s="181" t="str">
        <f t="shared" si="0"/>
        <v>outbound</v>
      </c>
      <c r="B39" s="182">
        <v>45505.673611111109</v>
      </c>
      <c r="C39" s="183" t="s">
        <v>1921</v>
      </c>
      <c r="D39" s="183" t="s">
        <v>1946</v>
      </c>
      <c r="E39" s="215" t="s">
        <v>1953</v>
      </c>
      <c r="F39" s="112" t="s">
        <v>872</v>
      </c>
      <c r="G39" s="112"/>
      <c r="H39" s="112" t="str">
        <f>IF(ISBLANK(E39),"",_xlfn.XLOOKUP(E39,cannabis_log!C:C,cannabis_log!H:H,"",0,1))</f>
        <v>preroll_bulk</v>
      </c>
      <c r="I39" s="113" t="s">
        <v>55</v>
      </c>
      <c r="J39" s="185">
        <v>-268</v>
      </c>
      <c r="K39" s="186">
        <v>0</v>
      </c>
      <c r="L39" s="288">
        <v>-134</v>
      </c>
      <c r="M39" s="24"/>
      <c r="N39" s="112" t="s">
        <v>670</v>
      </c>
      <c r="O39" s="187">
        <v>0.5</v>
      </c>
    </row>
    <row r="40" spans="1:15">
      <c r="A40" s="181" t="str">
        <f t="shared" si="0"/>
        <v>outbound</v>
      </c>
      <c r="B40" s="182">
        <v>45510.705555555556</v>
      </c>
      <c r="C40" s="183" t="s">
        <v>1954</v>
      </c>
      <c r="D40" s="183" t="s">
        <v>1955</v>
      </c>
      <c r="E40" s="215" t="s">
        <v>1933</v>
      </c>
      <c r="F40" s="112" t="s">
        <v>777</v>
      </c>
      <c r="G40" s="112"/>
      <c r="H40" s="112" t="str">
        <f>IF(ISBLANK(E40),"",_xlfn.XLOOKUP(E40,cannabis_log!C:C,cannabis_log!H:H,"",0,1))</f>
        <v>driedflower_milled_bulk</v>
      </c>
      <c r="I40" s="113" t="s">
        <v>55</v>
      </c>
      <c r="J40" s="185">
        <v>-1</v>
      </c>
      <c r="K40" s="186">
        <v>-3365</v>
      </c>
      <c r="L40" s="288">
        <v>0</v>
      </c>
      <c r="M40" s="24"/>
      <c r="N40" s="112" t="s">
        <v>664</v>
      </c>
      <c r="O40" s="187">
        <v>0</v>
      </c>
    </row>
    <row r="41" spans="1:15">
      <c r="A41" s="173" t="str">
        <f t="shared" si="0"/>
        <v>outbound</v>
      </c>
      <c r="B41" s="182">
        <v>45511.693055555559</v>
      </c>
      <c r="C41" s="183" t="s">
        <v>1921</v>
      </c>
      <c r="D41" s="183" t="s">
        <v>1956</v>
      </c>
      <c r="E41" s="215" t="s">
        <v>1957</v>
      </c>
      <c r="F41" s="176" t="s">
        <v>694</v>
      </c>
      <c r="G41" s="176"/>
      <c r="H41" s="112" t="str">
        <f>IF(ISBLANK(E41),"",_xlfn.XLOOKUP(E41,cannabis_log!C:C,cannabis_log!H:H,"",0,1))</f>
        <v>driedflower_packaged</v>
      </c>
      <c r="I41" s="189">
        <v>45100</v>
      </c>
      <c r="J41" s="185">
        <v>-73</v>
      </c>
      <c r="K41" s="186">
        <v>0</v>
      </c>
      <c r="L41" s="288">
        <v>-1022</v>
      </c>
      <c r="M41" s="188" t="s">
        <v>1958</v>
      </c>
      <c r="N41" s="176" t="s">
        <v>670</v>
      </c>
      <c r="O41" s="180">
        <v>14</v>
      </c>
    </row>
    <row r="42" spans="1:15">
      <c r="A42" s="181" t="str">
        <f t="shared" si="0"/>
        <v>outbound</v>
      </c>
      <c r="B42" s="182">
        <v>45512.574305555558</v>
      </c>
      <c r="C42" s="183" t="s">
        <v>1924</v>
      </c>
      <c r="D42" s="183" t="s">
        <v>1959</v>
      </c>
      <c r="E42" s="215" t="s">
        <v>1960</v>
      </c>
      <c r="F42" s="112" t="s">
        <v>797</v>
      </c>
      <c r="G42" s="112"/>
      <c r="H42" s="112" t="str">
        <f>IF(ISBLANK(E42),"",_xlfn.XLOOKUP(E42,cannabis_log!C:C,cannabis_log!H:H,"",0,1))</f>
        <v>topical_bulk</v>
      </c>
      <c r="I42" s="113">
        <v>45448</v>
      </c>
      <c r="J42" s="185">
        <v>-1</v>
      </c>
      <c r="K42" s="186">
        <v>-18260</v>
      </c>
      <c r="L42" s="288">
        <v>0</v>
      </c>
      <c r="M42" s="24"/>
      <c r="N42" s="112" t="s">
        <v>664</v>
      </c>
      <c r="O42" s="187">
        <v>0</v>
      </c>
    </row>
    <row r="43" spans="1:15">
      <c r="A43" s="173" t="str">
        <f t="shared" si="0"/>
        <v>inbound</v>
      </c>
      <c r="B43" s="182">
        <v>45512.629166666666</v>
      </c>
      <c r="C43" s="183" t="s">
        <v>1927</v>
      </c>
      <c r="D43" s="183"/>
      <c r="E43" s="215" t="s">
        <v>1960</v>
      </c>
      <c r="F43" s="176" t="s">
        <v>797</v>
      </c>
      <c r="G43" s="176"/>
      <c r="H43" s="112" t="str">
        <f>IF(ISBLANK(E43),"",_xlfn.XLOOKUP(E43,cannabis_log!C:C,cannabis_log!H:H,"",0,1))</f>
        <v>topical_bulk</v>
      </c>
      <c r="I43" s="189">
        <v>45448</v>
      </c>
      <c r="J43" s="185">
        <v>1</v>
      </c>
      <c r="K43" s="186">
        <v>18260</v>
      </c>
      <c r="L43" s="288">
        <v>0</v>
      </c>
      <c r="M43" s="188"/>
      <c r="N43" s="176" t="s">
        <v>664</v>
      </c>
      <c r="O43" s="180">
        <v>0</v>
      </c>
    </row>
    <row r="44" spans="1:15">
      <c r="A44" s="181" t="str">
        <f t="shared" si="0"/>
        <v>inbound</v>
      </c>
      <c r="B44" s="182">
        <v>45513.484722222223</v>
      </c>
      <c r="C44" s="183" t="s">
        <v>1927</v>
      </c>
      <c r="D44" s="183"/>
      <c r="E44" s="215" t="s">
        <v>1933</v>
      </c>
      <c r="F44" s="112" t="s">
        <v>777</v>
      </c>
      <c r="G44" s="112"/>
      <c r="H44" s="112" t="str">
        <f>IF(ISBLANK(E44),"",_xlfn.XLOOKUP(E44,cannabis_log!C:C,cannabis_log!H:H,"",0,1))</f>
        <v>driedflower_milled_bulk</v>
      </c>
      <c r="I44" s="113" t="s">
        <v>55</v>
      </c>
      <c r="J44" s="185">
        <v>1</v>
      </c>
      <c r="K44" s="179">
        <v>2065</v>
      </c>
      <c r="L44" s="288">
        <v>0</v>
      </c>
      <c r="M44" s="24"/>
      <c r="N44" s="112" t="s">
        <v>664</v>
      </c>
      <c r="O44" s="187">
        <v>0</v>
      </c>
    </row>
    <row r="45" spans="1:15">
      <c r="A45" s="173" t="str">
        <f t="shared" si="0"/>
        <v>outbound</v>
      </c>
      <c r="B45" s="182">
        <v>45513.565972222219</v>
      </c>
      <c r="C45" s="183" t="s">
        <v>1921</v>
      </c>
      <c r="D45" s="183"/>
      <c r="E45" s="215" t="s">
        <v>1961</v>
      </c>
      <c r="F45" s="176" t="s">
        <v>694</v>
      </c>
      <c r="G45" s="176"/>
      <c r="H45" s="112" t="str">
        <f>IF(ISBLANK(E45),"",_xlfn.XLOOKUP(E45,cannabis_log!C:C,cannabis_log!H:H,"",0,1))</f>
        <v>driedflower_bulk</v>
      </c>
      <c r="I45" s="189">
        <v>44686</v>
      </c>
      <c r="J45" s="185">
        <v>-1</v>
      </c>
      <c r="K45" s="186">
        <v>-603.6</v>
      </c>
      <c r="L45" s="288">
        <v>0</v>
      </c>
      <c r="M45" s="188"/>
      <c r="N45" s="176" t="s">
        <v>664</v>
      </c>
      <c r="O45" s="180">
        <v>0</v>
      </c>
    </row>
    <row r="46" spans="1:15">
      <c r="A46" s="181" t="str">
        <f t="shared" si="0"/>
        <v>outbound</v>
      </c>
      <c r="B46" s="182">
        <v>45513.565972222219</v>
      </c>
      <c r="C46" s="183" t="s">
        <v>1921</v>
      </c>
      <c r="D46" s="183" t="s">
        <v>1962</v>
      </c>
      <c r="E46" s="215" t="s">
        <v>1963</v>
      </c>
      <c r="F46" s="112" t="s">
        <v>1313</v>
      </c>
      <c r="G46" s="112"/>
      <c r="H46" s="112" t="str">
        <f>IF(ISBLANK(E46),"",_xlfn.XLOOKUP(E46,cannabis_log!C:C,cannabis_log!H:H,"",0,1))</f>
        <v>preroll_packaged</v>
      </c>
      <c r="I46" s="113">
        <v>45541</v>
      </c>
      <c r="J46" s="185">
        <v>-36</v>
      </c>
      <c r="K46" s="186">
        <v>0</v>
      </c>
      <c r="L46" s="288">
        <v>-54</v>
      </c>
      <c r="M46" s="24"/>
      <c r="N46" s="112" t="s">
        <v>670</v>
      </c>
      <c r="O46" s="187">
        <v>1.5</v>
      </c>
    </row>
    <row r="47" spans="1:15">
      <c r="A47" s="173" t="str">
        <f t="shared" si="0"/>
        <v>outbound</v>
      </c>
      <c r="B47" s="182">
        <v>45513.565972222219</v>
      </c>
      <c r="C47" s="183" t="s">
        <v>1921</v>
      </c>
      <c r="D47" s="183" t="s">
        <v>1962</v>
      </c>
      <c r="E47" s="215" t="s">
        <v>1964</v>
      </c>
      <c r="F47" s="176" t="s">
        <v>535</v>
      </c>
      <c r="G47" s="176"/>
      <c r="H47" s="112" t="str">
        <f>IF(ISBLANK(E47),"",_xlfn.XLOOKUP(E47,cannabis_log!C:C,cannabis_log!H:H,"",0,1))</f>
        <v>preroll_labelled</v>
      </c>
      <c r="I47" s="189">
        <v>45567</v>
      </c>
      <c r="J47" s="185">
        <v>-36</v>
      </c>
      <c r="K47" s="186">
        <v>0</v>
      </c>
      <c r="L47" s="288">
        <v>-54</v>
      </c>
      <c r="M47" s="188"/>
      <c r="N47" s="176" t="s">
        <v>670</v>
      </c>
      <c r="O47" s="180">
        <v>1.5</v>
      </c>
    </row>
    <row r="48" spans="1:15">
      <c r="A48" s="181" t="str">
        <f t="shared" si="0"/>
        <v>outbound</v>
      </c>
      <c r="B48" s="182">
        <v>45513.565972222219</v>
      </c>
      <c r="C48" s="183" t="s">
        <v>1921</v>
      </c>
      <c r="D48" s="183" t="s">
        <v>1962</v>
      </c>
      <c r="E48" s="215" t="s">
        <v>1965</v>
      </c>
      <c r="F48" s="112" t="s">
        <v>630</v>
      </c>
      <c r="G48" s="112"/>
      <c r="H48" s="112" t="str">
        <f>IF(ISBLANK(E48),"",_xlfn.XLOOKUP(E48,cannabis_log!C:C,cannabis_log!H:H,"",0,1))</f>
        <v>preroll_labelled</v>
      </c>
      <c r="I48" s="113">
        <v>45543</v>
      </c>
      <c r="J48" s="185">
        <v>-36</v>
      </c>
      <c r="K48" s="186">
        <v>0</v>
      </c>
      <c r="L48" s="288">
        <v>-54</v>
      </c>
      <c r="M48" s="24"/>
      <c r="N48" s="112" t="s">
        <v>670</v>
      </c>
      <c r="O48" s="187">
        <v>1.5</v>
      </c>
    </row>
    <row r="49" spans="1:15">
      <c r="A49" s="173" t="str">
        <f t="shared" si="0"/>
        <v>outbound</v>
      </c>
      <c r="B49" s="182">
        <v>45513.565972222219</v>
      </c>
      <c r="C49" s="183" t="s">
        <v>1921</v>
      </c>
      <c r="D49" s="183" t="s">
        <v>1966</v>
      </c>
      <c r="E49" s="215" t="s">
        <v>1967</v>
      </c>
      <c r="F49" s="176" t="s">
        <v>901</v>
      </c>
      <c r="G49" s="176"/>
      <c r="H49" s="112" t="str">
        <f>IF(ISBLANK(E49),"",_xlfn.XLOOKUP(E49,cannabis_log!C:C,cannabis_log!H:H,"",0,1))</f>
        <v>preroll_labelled</v>
      </c>
      <c r="I49" s="189">
        <v>45491</v>
      </c>
      <c r="J49" s="185">
        <v>-68</v>
      </c>
      <c r="K49" s="186">
        <v>0</v>
      </c>
      <c r="L49" s="288">
        <v>-102</v>
      </c>
      <c r="M49" s="188"/>
      <c r="N49" s="176" t="s">
        <v>670</v>
      </c>
      <c r="O49" s="180">
        <v>1.5</v>
      </c>
    </row>
    <row r="50" spans="1:15">
      <c r="A50" s="181" t="str">
        <f t="shared" si="0"/>
        <v>outbound</v>
      </c>
      <c r="B50" s="182">
        <v>45513.565972222219</v>
      </c>
      <c r="C50" s="183" t="s">
        <v>1921</v>
      </c>
      <c r="D50" s="183" t="s">
        <v>1966</v>
      </c>
      <c r="E50" s="215" t="s">
        <v>1968</v>
      </c>
      <c r="F50" s="112" t="s">
        <v>905</v>
      </c>
      <c r="G50" s="112"/>
      <c r="H50" s="112" t="str">
        <f>IF(ISBLANK(E50),"",_xlfn.XLOOKUP(E50,cannabis_log!C:C,cannabis_log!H:H,"",0,1))</f>
        <v>preroll_labelled</v>
      </c>
      <c r="I50" s="113">
        <v>45511</v>
      </c>
      <c r="J50" s="185">
        <v>-12</v>
      </c>
      <c r="K50" s="186">
        <v>0</v>
      </c>
      <c r="L50" s="288">
        <v>-18</v>
      </c>
      <c r="M50" s="24"/>
      <c r="N50" s="112" t="s">
        <v>670</v>
      </c>
      <c r="O50" s="187">
        <v>1.5</v>
      </c>
    </row>
    <row r="51" spans="1:15">
      <c r="A51" s="173" t="str">
        <f t="shared" si="0"/>
        <v>inbound</v>
      </c>
      <c r="B51" s="182">
        <v>45513.603472222225</v>
      </c>
      <c r="C51" s="183" t="s">
        <v>1927</v>
      </c>
      <c r="D51" s="183"/>
      <c r="E51" s="215" t="s">
        <v>1967</v>
      </c>
      <c r="F51" s="176" t="s">
        <v>901</v>
      </c>
      <c r="G51" s="176"/>
      <c r="H51" s="112" t="str">
        <f>IF(ISBLANK(E51),"",_xlfn.XLOOKUP(E51,cannabis_log!C:C,cannabis_log!H:H,"",0,1))</f>
        <v>preroll_labelled</v>
      </c>
      <c r="I51" s="189">
        <v>45491</v>
      </c>
      <c r="J51" s="185">
        <v>24</v>
      </c>
      <c r="K51" s="186">
        <v>0</v>
      </c>
      <c r="L51" s="288">
        <v>36</v>
      </c>
      <c r="M51" s="188"/>
      <c r="N51" s="176" t="s">
        <v>670</v>
      </c>
      <c r="O51" s="180">
        <v>1.5</v>
      </c>
    </row>
    <row r="52" spans="1:15">
      <c r="A52" s="181" t="str">
        <f t="shared" si="0"/>
        <v>inbound</v>
      </c>
      <c r="B52" s="182">
        <v>45513.603472222225</v>
      </c>
      <c r="C52" s="183" t="s">
        <v>1927</v>
      </c>
      <c r="D52" s="183"/>
      <c r="E52" s="215" t="s">
        <v>1968</v>
      </c>
      <c r="F52" s="112" t="s">
        <v>905</v>
      </c>
      <c r="G52" s="112"/>
      <c r="H52" s="112" t="str">
        <f>IF(ISBLANK(E52),"",_xlfn.XLOOKUP(E52,cannabis_log!C:C,cannabis_log!H:H,"",0,1))</f>
        <v>preroll_labelled</v>
      </c>
      <c r="I52" s="113">
        <v>45511</v>
      </c>
      <c r="J52" s="185">
        <v>56</v>
      </c>
      <c r="K52" s="186">
        <v>0</v>
      </c>
      <c r="L52" s="288">
        <v>84</v>
      </c>
      <c r="M52" s="24"/>
      <c r="N52" s="112" t="s">
        <v>670</v>
      </c>
      <c r="O52" s="187">
        <v>1.5</v>
      </c>
    </row>
    <row r="53" spans="1:15">
      <c r="A53" s="173" t="str">
        <f t="shared" si="0"/>
        <v>outbound</v>
      </c>
      <c r="B53" s="182">
        <v>45513.673611111109</v>
      </c>
      <c r="C53" s="183" t="s">
        <v>1921</v>
      </c>
      <c r="D53" s="183" t="s">
        <v>1969</v>
      </c>
      <c r="E53" s="215" t="s">
        <v>1963</v>
      </c>
      <c r="F53" s="176" t="s">
        <v>1313</v>
      </c>
      <c r="G53" s="176"/>
      <c r="H53" s="112" t="str">
        <f>IF(ISBLANK(E53),"",_xlfn.XLOOKUP(E53,cannabis_log!C:C,cannabis_log!H:H,"",0,1))</f>
        <v>preroll_packaged</v>
      </c>
      <c r="I53" s="189">
        <v>45541</v>
      </c>
      <c r="J53" s="185">
        <v>-103</v>
      </c>
      <c r="K53" s="186">
        <v>0</v>
      </c>
      <c r="L53" s="288">
        <v>-154.5</v>
      </c>
      <c r="M53" s="188"/>
      <c r="N53" s="176" t="s">
        <v>670</v>
      </c>
      <c r="O53" s="180">
        <v>1.5</v>
      </c>
    </row>
    <row r="54" spans="1:15">
      <c r="A54" s="181" t="str">
        <f t="shared" si="0"/>
        <v>inbound</v>
      </c>
      <c r="B54" s="182">
        <v>45513.695138888892</v>
      </c>
      <c r="C54" s="183" t="s">
        <v>1927</v>
      </c>
      <c r="D54" s="183" t="s">
        <v>1969</v>
      </c>
      <c r="E54" s="215" t="s">
        <v>1963</v>
      </c>
      <c r="F54" s="112" t="s">
        <v>1313</v>
      </c>
      <c r="G54" s="112"/>
      <c r="H54" s="112" t="str">
        <f>IF(ISBLANK(E54),"",_xlfn.XLOOKUP(E54,cannabis_log!C:C,cannabis_log!H:H,"",0,1))</f>
        <v>preroll_packaged</v>
      </c>
      <c r="I54" s="113">
        <v>45541</v>
      </c>
      <c r="J54" s="185">
        <v>103</v>
      </c>
      <c r="K54" s="179">
        <v>0</v>
      </c>
      <c r="L54" s="288">
        <v>154.5</v>
      </c>
      <c r="M54" s="24"/>
      <c r="N54" s="112" t="s">
        <v>670</v>
      </c>
      <c r="O54" s="187">
        <v>1.5</v>
      </c>
    </row>
    <row r="55" spans="1:15">
      <c r="A55" s="173" t="str">
        <f t="shared" si="0"/>
        <v>outbound</v>
      </c>
      <c r="B55" s="182">
        <v>45516.39166666667</v>
      </c>
      <c r="C55" s="183" t="s">
        <v>1921</v>
      </c>
      <c r="D55" s="183" t="s">
        <v>1970</v>
      </c>
      <c r="E55" s="215" t="s">
        <v>1971</v>
      </c>
      <c r="F55" s="176">
        <v>2024080701</v>
      </c>
      <c r="G55" s="176"/>
      <c r="H55" s="112" t="str">
        <f>IF(ISBLANK(E55),"",_xlfn.XLOOKUP(E55,cannabis_log!C:C,cannabis_log!H:H,"",0,1))</f>
        <v>driedflower_bulk</v>
      </c>
      <c r="I55" s="189" t="s">
        <v>55</v>
      </c>
      <c r="J55" s="185">
        <v>-1</v>
      </c>
      <c r="K55" s="179">
        <v>-588.20000000000005</v>
      </c>
      <c r="L55" s="288">
        <v>0</v>
      </c>
      <c r="M55" s="188"/>
      <c r="N55" s="176" t="s">
        <v>664</v>
      </c>
      <c r="O55" s="180">
        <v>0</v>
      </c>
    </row>
    <row r="56" spans="1:15">
      <c r="A56" s="181" t="str">
        <f t="shared" si="0"/>
        <v>outbound</v>
      </c>
      <c r="B56" s="182">
        <v>45516.39166666667</v>
      </c>
      <c r="C56" s="183" t="s">
        <v>1921</v>
      </c>
      <c r="D56" s="183" t="s">
        <v>1970</v>
      </c>
      <c r="E56" s="215" t="s">
        <v>1972</v>
      </c>
      <c r="F56" s="112">
        <v>2024080701</v>
      </c>
      <c r="G56" s="112"/>
      <c r="H56" s="112" t="str">
        <f>IF(ISBLANK(E56),"",_xlfn.XLOOKUP(E56,cannabis_log!C:C,cannabis_log!H:H,"",0,1))</f>
        <v>driedflower_bulk</v>
      </c>
      <c r="I56" s="113" t="s">
        <v>55</v>
      </c>
      <c r="J56" s="185">
        <v>-1</v>
      </c>
      <c r="K56" s="179">
        <v>-1107.2</v>
      </c>
      <c r="L56" s="288">
        <v>0</v>
      </c>
      <c r="M56" s="24"/>
      <c r="N56" s="112" t="s">
        <v>664</v>
      </c>
      <c r="O56" s="187">
        <v>0</v>
      </c>
    </row>
    <row r="57" spans="1:15">
      <c r="A57" s="173" t="str">
        <f t="shared" si="0"/>
        <v>outbound</v>
      </c>
      <c r="B57" s="182">
        <v>45516.39166666667</v>
      </c>
      <c r="C57" s="183" t="s">
        <v>1921</v>
      </c>
      <c r="D57" s="183" t="s">
        <v>1970</v>
      </c>
      <c r="E57" s="215" t="s">
        <v>1973</v>
      </c>
      <c r="F57" s="176">
        <v>2024080701</v>
      </c>
      <c r="G57" s="176"/>
      <c r="H57" s="112" t="str">
        <f>IF(ISBLANK(E57),"",_xlfn.XLOOKUP(E57,cannabis_log!C:C,cannabis_log!H:H,"",0,1))</f>
        <v>driedflower_bulk</v>
      </c>
      <c r="I57" s="189" t="s">
        <v>55</v>
      </c>
      <c r="J57" s="185">
        <v>-1</v>
      </c>
      <c r="K57" s="179">
        <v>-1097.5999999999999</v>
      </c>
      <c r="L57" s="288">
        <v>0</v>
      </c>
      <c r="M57" s="188"/>
      <c r="N57" s="176" t="s">
        <v>664</v>
      </c>
      <c r="O57" s="180">
        <v>0</v>
      </c>
    </row>
    <row r="58" spans="1:15">
      <c r="A58" s="181" t="str">
        <f t="shared" si="0"/>
        <v>outbound</v>
      </c>
      <c r="B58" s="182">
        <v>45516.39166666667</v>
      </c>
      <c r="C58" s="183" t="s">
        <v>1921</v>
      </c>
      <c r="D58" s="183" t="s">
        <v>1970</v>
      </c>
      <c r="E58" s="215" t="s">
        <v>1974</v>
      </c>
      <c r="F58" s="112">
        <v>2024080701</v>
      </c>
      <c r="G58" s="112"/>
      <c r="H58" s="112" t="str">
        <f>IF(ISBLANK(E58),"",_xlfn.XLOOKUP(E58,cannabis_log!C:C,cannabis_log!H:H,"",0,1))</f>
        <v>driedflower_bulk</v>
      </c>
      <c r="I58" s="113" t="s">
        <v>55</v>
      </c>
      <c r="J58" s="185">
        <v>-1</v>
      </c>
      <c r="K58" s="186">
        <v>-1102</v>
      </c>
      <c r="L58" s="288">
        <v>0</v>
      </c>
      <c r="M58" s="24"/>
      <c r="N58" s="112" t="s">
        <v>664</v>
      </c>
      <c r="O58" s="187">
        <v>0</v>
      </c>
    </row>
    <row r="59" spans="1:15">
      <c r="A59" s="173" t="str">
        <f t="shared" si="0"/>
        <v>outbound</v>
      </c>
      <c r="B59" s="182">
        <v>45516.538194444445</v>
      </c>
      <c r="C59" s="183" t="s">
        <v>1929</v>
      </c>
      <c r="D59" s="183" t="s">
        <v>1975</v>
      </c>
      <c r="E59" s="215" t="s">
        <v>1942</v>
      </c>
      <c r="F59" s="176" t="s">
        <v>885</v>
      </c>
      <c r="G59" s="176"/>
      <c r="H59" s="112" t="str">
        <f>IF(ISBLANK(E59),"",_xlfn.XLOOKUP(E59,cannabis_log!C:C,cannabis_log!H:H,"",0,1))</f>
        <v>topical_labelled</v>
      </c>
      <c r="I59" s="189">
        <v>45423</v>
      </c>
      <c r="J59" s="185">
        <v>-48</v>
      </c>
      <c r="K59" s="179">
        <v>0</v>
      </c>
      <c r="L59" s="288">
        <v>-4224</v>
      </c>
      <c r="M59" s="188" t="s">
        <v>1976</v>
      </c>
      <c r="N59" s="176" t="s">
        <v>670</v>
      </c>
      <c r="O59" s="180">
        <v>88</v>
      </c>
    </row>
    <row r="60" spans="1:15">
      <c r="A60" s="181" t="str">
        <f t="shared" si="0"/>
        <v>outbound</v>
      </c>
      <c r="B60" s="182">
        <v>45516.62777777778</v>
      </c>
      <c r="C60" s="183" t="s">
        <v>1921</v>
      </c>
      <c r="D60" s="183" t="s">
        <v>1977</v>
      </c>
      <c r="E60" s="215" t="s">
        <v>1978</v>
      </c>
      <c r="F60" s="112" t="s">
        <v>694</v>
      </c>
      <c r="G60" s="112"/>
      <c r="H60" s="112" t="str">
        <f>IF(ISBLANK(E60),"",_xlfn.XLOOKUP(E60,cannabis_log!C:C,cannabis_log!H:H,"",0,1))</f>
        <v>driedflower_bulk</v>
      </c>
      <c r="I60" s="113">
        <v>44686</v>
      </c>
      <c r="J60" s="185">
        <v>-1</v>
      </c>
      <c r="K60" s="179">
        <v>-982.3</v>
      </c>
      <c r="L60" s="288">
        <v>0</v>
      </c>
      <c r="M60" s="24"/>
      <c r="N60" s="112" t="s">
        <v>664</v>
      </c>
      <c r="O60" s="187">
        <v>0</v>
      </c>
    </row>
    <row r="61" spans="1:15">
      <c r="A61" s="173" t="str">
        <f t="shared" si="0"/>
        <v>outbound</v>
      </c>
      <c r="B61" s="182">
        <v>45516.63958333333</v>
      </c>
      <c r="C61" s="183" t="s">
        <v>1921</v>
      </c>
      <c r="D61" s="183" t="s">
        <v>1977</v>
      </c>
      <c r="E61" s="215" t="s">
        <v>1979</v>
      </c>
      <c r="F61" s="176" t="s">
        <v>694</v>
      </c>
      <c r="G61" s="176"/>
      <c r="H61" s="112" t="str">
        <f>IF(ISBLANK(E61),"",_xlfn.XLOOKUP(E61,cannabis_log!C:C,cannabis_log!H:H,"",0,1))</f>
        <v>driedflower_bulk</v>
      </c>
      <c r="I61" s="189">
        <v>44686</v>
      </c>
      <c r="J61" s="185">
        <v>-1</v>
      </c>
      <c r="K61" s="186">
        <v>-1025</v>
      </c>
      <c r="L61" s="288">
        <v>0</v>
      </c>
      <c r="M61" s="188"/>
      <c r="N61" s="176" t="s">
        <v>664</v>
      </c>
      <c r="O61" s="180">
        <v>0</v>
      </c>
    </row>
    <row r="62" spans="1:15">
      <c r="A62" s="181" t="str">
        <f t="shared" si="0"/>
        <v>inbound</v>
      </c>
      <c r="B62" s="182">
        <v>45516.63958333333</v>
      </c>
      <c r="C62" s="183" t="s">
        <v>1927</v>
      </c>
      <c r="D62" s="183" t="s">
        <v>1980</v>
      </c>
      <c r="E62" s="215" t="s">
        <v>1978</v>
      </c>
      <c r="F62" s="112" t="s">
        <v>694</v>
      </c>
      <c r="G62" s="112"/>
      <c r="H62" s="112" t="str">
        <f>IF(ISBLANK(E62),"",_xlfn.XLOOKUP(E62,cannabis_log!C:C,cannabis_log!H:H,"",0,1))</f>
        <v>driedflower_bulk</v>
      </c>
      <c r="I62" s="113">
        <v>44686</v>
      </c>
      <c r="J62" s="185">
        <v>1</v>
      </c>
      <c r="K62" s="186">
        <v>985</v>
      </c>
      <c r="L62" s="288">
        <v>0</v>
      </c>
      <c r="M62" s="24"/>
      <c r="N62" s="112" t="s">
        <v>664</v>
      </c>
      <c r="O62" s="187">
        <v>0</v>
      </c>
    </row>
    <row r="63" spans="1:15">
      <c r="A63" s="173" t="str">
        <f t="shared" si="0"/>
        <v>inbound</v>
      </c>
      <c r="B63" s="182">
        <v>45516.657638888886</v>
      </c>
      <c r="C63" s="183" t="s">
        <v>1927</v>
      </c>
      <c r="D63" s="183" t="s">
        <v>1977</v>
      </c>
      <c r="E63" s="215" t="s">
        <v>1961</v>
      </c>
      <c r="F63" s="176" t="s">
        <v>694</v>
      </c>
      <c r="G63" s="176"/>
      <c r="H63" s="112" t="str">
        <f>IF(ISBLANK(E63),"",_xlfn.XLOOKUP(E63,cannabis_log!C:C,cannabis_log!H:H,"",0,1))</f>
        <v>driedflower_bulk</v>
      </c>
      <c r="I63" s="189">
        <v>44686</v>
      </c>
      <c r="J63" s="185">
        <v>1</v>
      </c>
      <c r="K63" s="186">
        <v>177.65</v>
      </c>
      <c r="L63" s="288">
        <v>0</v>
      </c>
      <c r="M63" s="188"/>
      <c r="N63" s="176" t="s">
        <v>664</v>
      </c>
      <c r="O63" s="180">
        <v>0</v>
      </c>
    </row>
    <row r="64" spans="1:15">
      <c r="A64" s="181" t="str">
        <f t="shared" si="0"/>
        <v>inbound</v>
      </c>
      <c r="B64" s="182">
        <v>45516.657638888886</v>
      </c>
      <c r="C64" s="183" t="s">
        <v>1927</v>
      </c>
      <c r="D64" s="183" t="s">
        <v>1977</v>
      </c>
      <c r="E64" s="215" t="s">
        <v>1979</v>
      </c>
      <c r="F64" s="112" t="s">
        <v>694</v>
      </c>
      <c r="G64" s="112"/>
      <c r="H64" s="112" t="str">
        <f>IF(ISBLANK(E64),"",_xlfn.XLOOKUP(E64,cannabis_log!C:C,cannabis_log!H:H,"",0,1))</f>
        <v>driedflower_bulk</v>
      </c>
      <c r="I64" s="113">
        <v>44686</v>
      </c>
      <c r="J64" s="185">
        <v>1</v>
      </c>
      <c r="K64" s="186">
        <v>770</v>
      </c>
      <c r="L64" s="288">
        <v>0</v>
      </c>
      <c r="M64" s="24"/>
      <c r="N64" s="112" t="s">
        <v>664</v>
      </c>
      <c r="O64" s="187">
        <v>0</v>
      </c>
    </row>
    <row r="65" spans="1:15">
      <c r="A65" s="173" t="str">
        <f t="shared" si="0"/>
        <v>outbound</v>
      </c>
      <c r="B65" s="182">
        <v>45517.386111111111</v>
      </c>
      <c r="C65" s="183" t="s">
        <v>1921</v>
      </c>
      <c r="D65" s="183" t="s">
        <v>1981</v>
      </c>
      <c r="E65" s="215" t="s">
        <v>1933</v>
      </c>
      <c r="F65" s="176" t="s">
        <v>777</v>
      </c>
      <c r="G65" s="176"/>
      <c r="H65" s="112" t="str">
        <f>IF(ISBLANK(E65),"",_xlfn.XLOOKUP(E65,cannabis_log!C:C,cannabis_log!H:H,"",0,1))</f>
        <v>driedflower_milled_bulk</v>
      </c>
      <c r="I65" s="189" t="s">
        <v>55</v>
      </c>
      <c r="J65" s="185">
        <v>-1</v>
      </c>
      <c r="K65" s="190">
        <v>-2065</v>
      </c>
      <c r="L65" s="288">
        <v>0</v>
      </c>
      <c r="M65" s="188"/>
      <c r="N65" s="176" t="s">
        <v>664</v>
      </c>
      <c r="O65" s="180">
        <v>0</v>
      </c>
    </row>
    <row r="66" spans="1:15">
      <c r="A66" s="181" t="str">
        <f t="shared" ref="A66:A128" si="1">IF(ISBLANK(J66),"",IF(J66+K66+L66&lt;0,"outbound","inbound"))</f>
        <v>outbound</v>
      </c>
      <c r="B66" s="182">
        <v>45518</v>
      </c>
      <c r="C66" s="183" t="s">
        <v>1924</v>
      </c>
      <c r="D66" s="183" t="s">
        <v>1939</v>
      </c>
      <c r="E66" s="215" t="s">
        <v>1982</v>
      </c>
      <c r="F66" s="112" t="s">
        <v>934</v>
      </c>
      <c r="G66" s="112"/>
      <c r="H66" s="112" t="str">
        <f>IF(ISBLANK(E66),"",_xlfn.XLOOKUP(E66,cannabis_log!C:C,cannabis_log!H:H,"",0,1))</f>
        <v>extract_ingested_labelled</v>
      </c>
      <c r="I66" s="113">
        <v>45094</v>
      </c>
      <c r="J66" s="185">
        <v>-1</v>
      </c>
      <c r="K66" s="186">
        <v>0</v>
      </c>
      <c r="L66" s="288">
        <v>-27.4</v>
      </c>
      <c r="M66" s="24"/>
      <c r="N66" s="112" t="s">
        <v>670</v>
      </c>
      <c r="O66" s="187">
        <v>27.4</v>
      </c>
    </row>
    <row r="67" spans="1:15">
      <c r="A67" s="173" t="str">
        <f t="shared" si="1"/>
        <v>outbound</v>
      </c>
      <c r="B67" s="182">
        <v>45519.554166666669</v>
      </c>
      <c r="C67" s="183" t="s">
        <v>1983</v>
      </c>
      <c r="D67" s="183" t="s">
        <v>1984</v>
      </c>
      <c r="E67" s="215" t="s">
        <v>1985</v>
      </c>
      <c r="F67" s="176" t="s">
        <v>1986</v>
      </c>
      <c r="G67" s="176"/>
      <c r="H67" s="112" t="str">
        <f>IF(ISBLANK(E67),"",_xlfn.XLOOKUP(E67,cannabis_log!C:C,cannabis_log!H:H,"",0,1))</f>
        <v>preroll_bulk</v>
      </c>
      <c r="I67" s="189" t="s">
        <v>55</v>
      </c>
      <c r="J67" s="185">
        <v>-605</v>
      </c>
      <c r="K67" s="186">
        <v>0</v>
      </c>
      <c r="L67" s="288">
        <v>-302.5</v>
      </c>
      <c r="M67" s="188"/>
      <c r="N67" s="176" t="s">
        <v>670</v>
      </c>
      <c r="O67" s="180">
        <v>0.5</v>
      </c>
    </row>
    <row r="68" spans="1:15">
      <c r="A68" s="181" t="str">
        <f t="shared" si="1"/>
        <v>outbound</v>
      </c>
      <c r="B68" s="182">
        <v>45519.554166666669</v>
      </c>
      <c r="C68" s="183" t="s">
        <v>1983</v>
      </c>
      <c r="D68" s="183" t="s">
        <v>1984</v>
      </c>
      <c r="E68" s="215" t="s">
        <v>1987</v>
      </c>
      <c r="F68" s="112" t="s">
        <v>1986</v>
      </c>
      <c r="G68" s="112"/>
      <c r="H68" s="112" t="str">
        <f>IF(ISBLANK(E68),"",_xlfn.XLOOKUP(E68,cannabis_log!C:C,cannabis_log!H:H,"",0,1))</f>
        <v>preroll_bulk</v>
      </c>
      <c r="I68" s="113" t="s">
        <v>55</v>
      </c>
      <c r="J68" s="185">
        <v>-160</v>
      </c>
      <c r="K68" s="186">
        <v>0</v>
      </c>
      <c r="L68" s="288">
        <v>-80</v>
      </c>
      <c r="M68" s="24"/>
      <c r="N68" s="112" t="s">
        <v>670</v>
      </c>
      <c r="O68" s="187">
        <v>0.5</v>
      </c>
    </row>
    <row r="69" spans="1:15">
      <c r="A69" s="181" t="str">
        <f t="shared" si="1"/>
        <v>outbound</v>
      </c>
      <c r="B69" s="182">
        <v>45519.554166666669</v>
      </c>
      <c r="C69" s="183" t="s">
        <v>1924</v>
      </c>
      <c r="D69" s="183" t="s">
        <v>1984</v>
      </c>
      <c r="E69" s="215" t="s">
        <v>1943</v>
      </c>
      <c r="F69" s="112" t="s">
        <v>790</v>
      </c>
      <c r="G69" s="112"/>
      <c r="H69" s="112" t="str">
        <f>IF(ISBLANK(E69),"",_xlfn.XLOOKUP(E69,cannabis_log!C:C,cannabis_log!H:H,"",0,1))</f>
        <v>extract_ingested_bulk</v>
      </c>
      <c r="I69" s="113">
        <v>45345</v>
      </c>
      <c r="J69" s="185">
        <v>-1</v>
      </c>
      <c r="K69" s="186">
        <v>-4110</v>
      </c>
      <c r="L69" s="288">
        <v>0</v>
      </c>
      <c r="M69" s="24"/>
      <c r="N69" s="112" t="s">
        <v>664</v>
      </c>
      <c r="O69" s="187">
        <v>0</v>
      </c>
    </row>
    <row r="70" spans="1:15">
      <c r="A70" s="173" t="str">
        <f t="shared" si="1"/>
        <v>outbound</v>
      </c>
      <c r="B70" s="182">
        <v>45520.455555555556</v>
      </c>
      <c r="C70" s="183" t="s">
        <v>1929</v>
      </c>
      <c r="D70" s="183" t="s">
        <v>1989</v>
      </c>
      <c r="E70" s="215" t="s">
        <v>1990</v>
      </c>
      <c r="F70" s="176" t="s">
        <v>862</v>
      </c>
      <c r="G70" s="176"/>
      <c r="H70" s="112" t="str">
        <f>IF(ISBLANK(E70),"",_xlfn.XLOOKUP(E70,cannabis_log!C:C,cannabis_log!H:H,"",0,1))</f>
        <v>extract_ingested_labelled</v>
      </c>
      <c r="I70" s="189">
        <v>45488</v>
      </c>
      <c r="J70" s="185">
        <v>-12</v>
      </c>
      <c r="K70" s="186">
        <v>0</v>
      </c>
      <c r="L70" s="288">
        <v>-331.20000000000005</v>
      </c>
      <c r="M70" s="188"/>
      <c r="N70" s="176" t="s">
        <v>670</v>
      </c>
      <c r="O70" s="180">
        <v>27.6</v>
      </c>
    </row>
    <row r="71" spans="1:15">
      <c r="A71" s="181" t="str">
        <f t="shared" si="1"/>
        <v>inbound</v>
      </c>
      <c r="B71" s="182">
        <v>45520.609722222223</v>
      </c>
      <c r="C71" s="183" t="s">
        <v>1927</v>
      </c>
      <c r="D71" s="183" t="s">
        <v>1991</v>
      </c>
      <c r="E71" s="215" t="s">
        <v>1988</v>
      </c>
      <c r="F71" s="112" t="s">
        <v>1221</v>
      </c>
      <c r="G71" s="112"/>
      <c r="H71" s="112" t="str">
        <f>IF(ISBLANK(E71),"",_xlfn.XLOOKUP(E71,cannabis_log!C:C,cannabis_log!H:H,"",0,1))</f>
        <v>preroll_bulk</v>
      </c>
      <c r="I71" s="113">
        <v>45443</v>
      </c>
      <c r="J71" s="185">
        <v>745</v>
      </c>
      <c r="K71" s="186">
        <v>0</v>
      </c>
      <c r="L71" s="288">
        <v>372.5</v>
      </c>
      <c r="M71" s="24"/>
      <c r="N71" s="112" t="s">
        <v>670</v>
      </c>
      <c r="O71" s="187">
        <v>0.5</v>
      </c>
    </row>
    <row r="72" spans="1:15">
      <c r="A72" s="173" t="str">
        <f t="shared" si="1"/>
        <v>outbound</v>
      </c>
      <c r="B72" s="182">
        <v>45520.622916666667</v>
      </c>
      <c r="C72" s="183" t="s">
        <v>1929</v>
      </c>
      <c r="D72" s="183" t="s">
        <v>1992</v>
      </c>
      <c r="E72" s="215" t="s">
        <v>1967</v>
      </c>
      <c r="F72" s="176" t="s">
        <v>901</v>
      </c>
      <c r="G72" s="176"/>
      <c r="H72" s="112" t="str">
        <f>IF(ISBLANK(E72),"",_xlfn.XLOOKUP(E72,cannabis_log!C:C,cannabis_log!H:H,"",0,1))</f>
        <v>preroll_labelled</v>
      </c>
      <c r="I72" s="189">
        <v>45491</v>
      </c>
      <c r="J72" s="185">
        <v>-24</v>
      </c>
      <c r="K72" s="186">
        <v>0</v>
      </c>
      <c r="L72" s="288">
        <v>-36</v>
      </c>
      <c r="M72" s="188"/>
      <c r="N72" s="176" t="s">
        <v>670</v>
      </c>
      <c r="O72" s="180">
        <v>1.5</v>
      </c>
    </row>
    <row r="73" spans="1:15">
      <c r="A73" s="181" t="str">
        <f t="shared" si="1"/>
        <v>outbound</v>
      </c>
      <c r="B73" s="182">
        <v>45520.622916666667</v>
      </c>
      <c r="C73" s="183" t="s">
        <v>1929</v>
      </c>
      <c r="D73" s="183" t="s">
        <v>1992</v>
      </c>
      <c r="E73" s="215" t="s">
        <v>1968</v>
      </c>
      <c r="F73" s="112" t="s">
        <v>905</v>
      </c>
      <c r="G73" s="112"/>
      <c r="H73" s="112" t="str">
        <f>IF(ISBLANK(E73),"",_xlfn.XLOOKUP(E73,cannabis_log!C:C,cannabis_log!H:H,"",0,1))</f>
        <v>preroll_labelled</v>
      </c>
      <c r="I73" s="113">
        <v>45511</v>
      </c>
      <c r="J73" s="185">
        <v>-12</v>
      </c>
      <c r="K73" s="186">
        <v>0</v>
      </c>
      <c r="L73" s="288">
        <v>-18</v>
      </c>
      <c r="M73" s="24"/>
      <c r="N73" s="112" t="s">
        <v>670</v>
      </c>
      <c r="O73" s="187">
        <v>1.5</v>
      </c>
    </row>
    <row r="74" spans="1:15">
      <c r="A74" s="173" t="str">
        <f t="shared" si="1"/>
        <v>outbound</v>
      </c>
      <c r="B74" s="182">
        <v>45520.622916666667</v>
      </c>
      <c r="C74" s="183" t="s">
        <v>1929</v>
      </c>
      <c r="D74" s="183" t="s">
        <v>1992</v>
      </c>
      <c r="E74" s="215" t="s">
        <v>1993</v>
      </c>
      <c r="F74" s="176" t="s">
        <v>905</v>
      </c>
      <c r="G74" s="176"/>
      <c r="H74" s="112" t="str">
        <f>IF(ISBLANK(E74),"",_xlfn.XLOOKUP(E74,cannabis_log!C:C,cannabis_log!H:H,"",0,1))</f>
        <v>preroll_packaged</v>
      </c>
      <c r="I74" s="189" t="s">
        <v>55</v>
      </c>
      <c r="J74" s="185">
        <v>-48</v>
      </c>
      <c r="K74" s="186">
        <v>0</v>
      </c>
      <c r="L74" s="288">
        <v>-72</v>
      </c>
      <c r="M74" s="188"/>
      <c r="N74" s="176" t="s">
        <v>670</v>
      </c>
      <c r="O74" s="180">
        <v>1.5</v>
      </c>
    </row>
    <row r="75" spans="1:15">
      <c r="A75" s="181" t="str">
        <f t="shared" si="1"/>
        <v>outbound</v>
      </c>
      <c r="B75" s="182">
        <v>45520.679166666669</v>
      </c>
      <c r="C75" s="183" t="s">
        <v>1921</v>
      </c>
      <c r="D75" s="183" t="s">
        <v>1994</v>
      </c>
      <c r="E75" s="215" t="s">
        <v>1993</v>
      </c>
      <c r="F75" s="112" t="s">
        <v>905</v>
      </c>
      <c r="G75" s="112"/>
      <c r="H75" s="112" t="str">
        <f>IF(ISBLANK(E75),"",_xlfn.XLOOKUP(E75,cannabis_log!C:C,cannabis_log!H:H,"",0,1))</f>
        <v>preroll_packaged</v>
      </c>
      <c r="I75" s="113" t="s">
        <v>55</v>
      </c>
      <c r="J75" s="185">
        <v>-48</v>
      </c>
      <c r="K75" s="186">
        <v>0</v>
      </c>
      <c r="L75" s="288">
        <v>-72</v>
      </c>
      <c r="M75" s="24"/>
      <c r="N75" s="112" t="s">
        <v>670</v>
      </c>
      <c r="O75" s="187">
        <v>1.5</v>
      </c>
    </row>
    <row r="76" spans="1:15">
      <c r="A76" s="173" t="str">
        <f t="shared" si="1"/>
        <v>outbound</v>
      </c>
      <c r="B76" s="182">
        <v>45523.409722222219</v>
      </c>
      <c r="C76" s="183" t="s">
        <v>1921</v>
      </c>
      <c r="D76" s="183" t="s">
        <v>1984</v>
      </c>
      <c r="E76" s="215" t="s">
        <v>1945</v>
      </c>
      <c r="F76" s="176" t="s">
        <v>543</v>
      </c>
      <c r="G76" s="176"/>
      <c r="H76" s="112" t="str">
        <f>IF(ISBLANK(E76),"",_xlfn.XLOOKUP(E76,cannabis_log!C:C,cannabis_log!H:H,"",0,1))</f>
        <v>extract_inhaled_bulk</v>
      </c>
      <c r="I76" s="189" t="s">
        <v>55</v>
      </c>
      <c r="J76" s="185">
        <v>-1</v>
      </c>
      <c r="K76" s="186">
        <v>-2253.6999999999998</v>
      </c>
      <c r="L76" s="288">
        <v>0</v>
      </c>
      <c r="M76" s="188"/>
      <c r="N76" s="176" t="s">
        <v>664</v>
      </c>
      <c r="O76" s="180">
        <v>0</v>
      </c>
    </row>
    <row r="77" spans="1:15">
      <c r="A77" s="181" t="str">
        <f t="shared" si="1"/>
        <v>outbound</v>
      </c>
      <c r="B77" s="182">
        <v>45523.409722222219</v>
      </c>
      <c r="C77" s="183" t="s">
        <v>1921</v>
      </c>
      <c r="D77" s="183" t="s">
        <v>1984</v>
      </c>
      <c r="E77" s="215" t="s">
        <v>1995</v>
      </c>
      <c r="F77" s="112">
        <v>2024022201</v>
      </c>
      <c r="G77" s="112"/>
      <c r="H77" s="112" t="str">
        <f>IF(ISBLANK(E77),"",_xlfn.XLOOKUP(E77,cannabis_log!C:C,cannabis_log!H:H,"",0,1))</f>
        <v>extract_distillate_bulk</v>
      </c>
      <c r="I77" s="113">
        <v>45407</v>
      </c>
      <c r="J77" s="185">
        <v>-1</v>
      </c>
      <c r="K77" s="186">
        <v>-524.6</v>
      </c>
      <c r="L77" s="288">
        <v>0</v>
      </c>
      <c r="M77" s="24"/>
      <c r="N77" s="112" t="s">
        <v>664</v>
      </c>
      <c r="O77" s="187">
        <v>0</v>
      </c>
    </row>
    <row r="78" spans="1:15">
      <c r="A78" s="173" t="str">
        <f t="shared" si="1"/>
        <v>outbound</v>
      </c>
      <c r="B78" s="182">
        <v>45523.418749999997</v>
      </c>
      <c r="C78" s="183" t="s">
        <v>1921</v>
      </c>
      <c r="D78" s="183" t="s">
        <v>1984</v>
      </c>
      <c r="E78" s="215" t="s">
        <v>1993</v>
      </c>
      <c r="F78" s="176" t="s">
        <v>905</v>
      </c>
      <c r="G78" s="176"/>
      <c r="H78" s="112" t="str">
        <f>IF(ISBLANK(E78),"",_xlfn.XLOOKUP(E78,cannabis_log!C:C,cannabis_log!H:H,"",0,1))</f>
        <v>preroll_packaged</v>
      </c>
      <c r="I78" s="189" t="s">
        <v>55</v>
      </c>
      <c r="J78" s="185">
        <v>-68</v>
      </c>
      <c r="K78" s="186">
        <v>0</v>
      </c>
      <c r="L78" s="288">
        <v>-102</v>
      </c>
      <c r="M78" s="188"/>
      <c r="N78" s="176" t="s">
        <v>670</v>
      </c>
      <c r="O78" s="180">
        <v>1.5</v>
      </c>
    </row>
    <row r="79" spans="1:15">
      <c r="A79" s="181" t="str">
        <f t="shared" si="1"/>
        <v>outbound</v>
      </c>
      <c r="B79" s="182">
        <v>45523.436111111114</v>
      </c>
      <c r="C79" s="183" t="s">
        <v>1983</v>
      </c>
      <c r="D79" s="183" t="s">
        <v>1984</v>
      </c>
      <c r="E79" s="215" t="s">
        <v>1996</v>
      </c>
      <c r="F79" s="112" t="s">
        <v>905</v>
      </c>
      <c r="G79" s="112"/>
      <c r="H79" s="112" t="str">
        <f>IF(ISBLANK(E79),"",_xlfn.XLOOKUP(E79,cannabis_log!C:C,cannabis_log!H:H,"",0,1))</f>
        <v>preroll_bulk</v>
      </c>
      <c r="I79" s="113" t="s">
        <v>55</v>
      </c>
      <c r="J79" s="185">
        <v>-67</v>
      </c>
      <c r="K79" s="186">
        <v>0</v>
      </c>
      <c r="L79" s="288">
        <v>-33.5</v>
      </c>
      <c r="M79" s="24"/>
      <c r="N79" s="112" t="s">
        <v>670</v>
      </c>
      <c r="O79" s="187">
        <v>0.5</v>
      </c>
    </row>
    <row r="80" spans="1:15">
      <c r="A80" s="173" t="str">
        <f t="shared" si="1"/>
        <v>outbound</v>
      </c>
      <c r="B80" s="182">
        <v>45523.436111111114</v>
      </c>
      <c r="C80" s="183" t="s">
        <v>1983</v>
      </c>
      <c r="D80" s="183" t="s">
        <v>1984</v>
      </c>
      <c r="E80" s="215" t="s">
        <v>1997</v>
      </c>
      <c r="F80" s="176" t="s">
        <v>905</v>
      </c>
      <c r="G80" s="176"/>
      <c r="H80" s="112" t="str">
        <f>IF(ISBLANK(E80),"",_xlfn.XLOOKUP(E80,cannabis_log!C:C,cannabis_log!H:H,"",0,1))</f>
        <v>preroll_bulk</v>
      </c>
      <c r="I80" s="189" t="s">
        <v>55</v>
      </c>
      <c r="J80" s="185">
        <v>-337</v>
      </c>
      <c r="K80" s="186">
        <v>0</v>
      </c>
      <c r="L80" s="288">
        <v>-168.5</v>
      </c>
      <c r="M80" s="188"/>
      <c r="N80" s="176" t="s">
        <v>670</v>
      </c>
      <c r="O80" s="180">
        <v>0.5</v>
      </c>
    </row>
    <row r="81" spans="1:15">
      <c r="A81" s="181" t="str">
        <f t="shared" si="1"/>
        <v>outbound</v>
      </c>
      <c r="B81" s="182">
        <v>45523.436111111114</v>
      </c>
      <c r="C81" s="183" t="s">
        <v>1921</v>
      </c>
      <c r="D81" s="183" t="s">
        <v>1984</v>
      </c>
      <c r="E81" s="215" t="s">
        <v>1998</v>
      </c>
      <c r="F81" s="112">
        <v>2024030601</v>
      </c>
      <c r="G81" s="112"/>
      <c r="H81" s="112" t="str">
        <f>IF(ISBLANK(E81),"",_xlfn.XLOOKUP(E81,cannabis_log!C:C,cannabis_log!H:H,"",0,1))</f>
        <v>extract_inhaled_bulk</v>
      </c>
      <c r="I81" s="113">
        <v>45296</v>
      </c>
      <c r="J81" s="185">
        <v>-1</v>
      </c>
      <c r="K81" s="186">
        <v>-123.6</v>
      </c>
      <c r="L81" s="288">
        <v>0</v>
      </c>
      <c r="M81" s="24"/>
      <c r="N81" s="112" t="s">
        <v>664</v>
      </c>
      <c r="O81" s="187">
        <v>0</v>
      </c>
    </row>
    <row r="82" spans="1:15">
      <c r="A82" s="173" t="str">
        <f t="shared" si="1"/>
        <v>outbound</v>
      </c>
      <c r="B82" s="182">
        <v>45523.436111111114</v>
      </c>
      <c r="C82" s="183" t="s">
        <v>1983</v>
      </c>
      <c r="D82" s="183" t="s">
        <v>1984</v>
      </c>
      <c r="E82" s="215" t="s">
        <v>1999</v>
      </c>
      <c r="F82" s="176" t="s">
        <v>879</v>
      </c>
      <c r="G82" s="176"/>
      <c r="H82" s="112" t="str">
        <f>IF(ISBLANK(E82),"",_xlfn.XLOOKUP(E82,cannabis_log!C:C,cannabis_log!H:H,"",0,1))</f>
        <v>preroll_bulk</v>
      </c>
      <c r="I82" s="189" t="s">
        <v>55</v>
      </c>
      <c r="J82" s="185">
        <v>-242</v>
      </c>
      <c r="K82" s="179">
        <v>0</v>
      </c>
      <c r="L82" s="288">
        <v>-121</v>
      </c>
      <c r="M82" s="188"/>
      <c r="N82" s="176" t="s">
        <v>670</v>
      </c>
      <c r="O82" s="180">
        <v>0.5</v>
      </c>
    </row>
    <row r="83" spans="1:15">
      <c r="A83" s="181" t="str">
        <f t="shared" si="1"/>
        <v>inbound</v>
      </c>
      <c r="B83" s="182">
        <v>45523.466666666667</v>
      </c>
      <c r="C83" s="183" t="s">
        <v>1927</v>
      </c>
      <c r="D83" s="183"/>
      <c r="E83" s="215" t="s">
        <v>1945</v>
      </c>
      <c r="F83" s="112" t="s">
        <v>543</v>
      </c>
      <c r="G83" s="112"/>
      <c r="H83" s="112" t="str">
        <f>IF(ISBLANK(E83),"",_xlfn.XLOOKUP(E83,cannabis_log!C:C,cannabis_log!H:H,"",0,1))</f>
        <v>extract_inhaled_bulk</v>
      </c>
      <c r="I83" s="113" t="s">
        <v>55</v>
      </c>
      <c r="J83" s="185">
        <v>1</v>
      </c>
      <c r="K83" s="186">
        <v>2055</v>
      </c>
      <c r="L83" s="288">
        <v>0</v>
      </c>
      <c r="M83" s="24"/>
      <c r="N83" s="112" t="s">
        <v>664</v>
      </c>
      <c r="O83" s="187">
        <v>0</v>
      </c>
    </row>
    <row r="84" spans="1:15">
      <c r="A84" s="173" t="str">
        <f t="shared" si="1"/>
        <v>outbound</v>
      </c>
      <c r="B84" s="182">
        <v>45523.550694444442</v>
      </c>
      <c r="C84" s="183" t="s">
        <v>1921</v>
      </c>
      <c r="D84" s="183" t="s">
        <v>2000</v>
      </c>
      <c r="E84" s="215" t="s">
        <v>2001</v>
      </c>
      <c r="F84" s="176" t="s">
        <v>1986</v>
      </c>
      <c r="G84" s="176"/>
      <c r="H84" s="112" t="str">
        <f>IF(ISBLANK(E84),"",_xlfn.XLOOKUP(E84,cannabis_log!C:C,cannabis_log!H:H,"",0,1))</f>
        <v>preroll_bulk</v>
      </c>
      <c r="I84" s="189" t="s">
        <v>55</v>
      </c>
      <c r="J84" s="185">
        <v>-241</v>
      </c>
      <c r="K84" s="186">
        <v>0</v>
      </c>
      <c r="L84" s="288">
        <v>-120.5</v>
      </c>
      <c r="M84" s="188"/>
      <c r="N84" s="176" t="s">
        <v>670</v>
      </c>
      <c r="O84" s="180">
        <v>0.5</v>
      </c>
    </row>
    <row r="85" spans="1:15">
      <c r="A85" s="181" t="str">
        <f t="shared" si="1"/>
        <v>outbound</v>
      </c>
      <c r="B85" s="182">
        <v>45523.550694444442</v>
      </c>
      <c r="C85" s="183" t="s">
        <v>1921</v>
      </c>
      <c r="D85" s="183" t="s">
        <v>2000</v>
      </c>
      <c r="E85" s="215" t="s">
        <v>2002</v>
      </c>
      <c r="F85" s="112" t="s">
        <v>1986</v>
      </c>
      <c r="G85" s="112"/>
      <c r="H85" s="112" t="str">
        <f>IF(ISBLANK(E85),"",_xlfn.XLOOKUP(E85,cannabis_log!C:C,cannabis_log!H:H,"",0,1))</f>
        <v>preroll_bulk</v>
      </c>
      <c r="I85" s="113" t="s">
        <v>55</v>
      </c>
      <c r="J85" s="185">
        <v>-479</v>
      </c>
      <c r="K85" s="186">
        <v>0</v>
      </c>
      <c r="L85" s="288">
        <v>-239.5</v>
      </c>
      <c r="M85" s="24"/>
      <c r="N85" s="112" t="s">
        <v>670</v>
      </c>
      <c r="O85" s="187">
        <v>0.5</v>
      </c>
    </row>
    <row r="86" spans="1:15">
      <c r="A86" s="173" t="str">
        <f t="shared" si="1"/>
        <v>outbound</v>
      </c>
      <c r="B86" s="182">
        <v>45523.550694444442</v>
      </c>
      <c r="C86" s="183" t="s">
        <v>1921</v>
      </c>
      <c r="D86" s="183" t="s">
        <v>2000</v>
      </c>
      <c r="E86" s="215" t="s">
        <v>2003</v>
      </c>
      <c r="F86" s="176" t="s">
        <v>1986</v>
      </c>
      <c r="G86" s="176"/>
      <c r="H86" s="112" t="str">
        <f>IF(ISBLANK(E86),"",_xlfn.XLOOKUP(E86,cannabis_log!C:C,cannabis_log!H:H,"",0,1))</f>
        <v>preroll_bulk</v>
      </c>
      <c r="I86" s="189" t="s">
        <v>55</v>
      </c>
      <c r="J86" s="185">
        <v>-484</v>
      </c>
      <c r="K86" s="186">
        <v>0</v>
      </c>
      <c r="L86" s="288">
        <v>-242</v>
      </c>
      <c r="M86" s="188"/>
      <c r="N86" s="176" t="s">
        <v>670</v>
      </c>
      <c r="O86" s="180">
        <v>0.5</v>
      </c>
    </row>
    <row r="87" spans="1:15">
      <c r="A87" s="181" t="str">
        <f t="shared" si="1"/>
        <v>outbound</v>
      </c>
      <c r="B87" s="182">
        <v>45523.550694444442</v>
      </c>
      <c r="C87" s="183" t="s">
        <v>1921</v>
      </c>
      <c r="D87" s="183" t="s">
        <v>2000</v>
      </c>
      <c r="E87" s="215" t="s">
        <v>2004</v>
      </c>
      <c r="F87" s="112" t="s">
        <v>1986</v>
      </c>
      <c r="G87" s="112"/>
      <c r="H87" s="112" t="str">
        <f>IF(ISBLANK(E87),"",_xlfn.XLOOKUP(E87,cannabis_log!C:C,cannabis_log!H:H,"",0,1))</f>
        <v>preroll_bulk</v>
      </c>
      <c r="I87" s="113" t="s">
        <v>55</v>
      </c>
      <c r="J87" s="185">
        <v>-358</v>
      </c>
      <c r="K87" s="186">
        <v>0</v>
      </c>
      <c r="L87" s="288">
        <v>-179</v>
      </c>
      <c r="M87" s="24"/>
      <c r="N87" s="112" t="s">
        <v>670</v>
      </c>
      <c r="O87" s="187">
        <v>0.5</v>
      </c>
    </row>
    <row r="88" spans="1:15">
      <c r="A88" s="173" t="str">
        <f t="shared" si="1"/>
        <v>outbound</v>
      </c>
      <c r="B88" s="182">
        <v>45523.550694444442</v>
      </c>
      <c r="C88" s="183" t="s">
        <v>1921</v>
      </c>
      <c r="D88" s="183" t="s">
        <v>2000</v>
      </c>
      <c r="E88" s="215" t="s">
        <v>2005</v>
      </c>
      <c r="F88" s="176" t="s">
        <v>1986</v>
      </c>
      <c r="G88" s="176"/>
      <c r="H88" s="112" t="str">
        <f>IF(ISBLANK(E88),"",_xlfn.XLOOKUP(E88,cannabis_log!C:C,cannabis_log!H:H,"",0,1))</f>
        <v>preroll_bulk</v>
      </c>
      <c r="I88" s="189" t="s">
        <v>55</v>
      </c>
      <c r="J88" s="185">
        <v>-487</v>
      </c>
      <c r="K88" s="186">
        <v>0</v>
      </c>
      <c r="L88" s="288">
        <v>-243.5</v>
      </c>
      <c r="M88" s="188"/>
      <c r="N88" s="176" t="s">
        <v>670</v>
      </c>
      <c r="O88" s="180">
        <v>0.5</v>
      </c>
    </row>
    <row r="89" spans="1:15">
      <c r="A89" s="181" t="str">
        <f t="shared" si="1"/>
        <v>outbound</v>
      </c>
      <c r="B89" s="182">
        <v>45523.550694444442</v>
      </c>
      <c r="C89" s="183" t="s">
        <v>1921</v>
      </c>
      <c r="D89" s="183" t="s">
        <v>2000</v>
      </c>
      <c r="E89" s="215" t="s">
        <v>2006</v>
      </c>
      <c r="F89" s="112" t="s">
        <v>1986</v>
      </c>
      <c r="G89" s="112"/>
      <c r="H89" s="112" t="str">
        <f>IF(ISBLANK(E89),"",_xlfn.XLOOKUP(E89,cannabis_log!C:C,cannabis_log!H:H,"",0,1))</f>
        <v>preroll_bulk</v>
      </c>
      <c r="I89" s="113" t="s">
        <v>55</v>
      </c>
      <c r="J89" s="185">
        <v>-240</v>
      </c>
      <c r="K89" s="186">
        <v>0</v>
      </c>
      <c r="L89" s="288">
        <v>-120</v>
      </c>
      <c r="M89" s="24"/>
      <c r="N89" s="112" t="s">
        <v>670</v>
      </c>
      <c r="O89" s="187">
        <v>0.5</v>
      </c>
    </row>
    <row r="90" spans="1:15">
      <c r="A90" s="173" t="str">
        <f t="shared" si="1"/>
        <v>outbound</v>
      </c>
      <c r="B90" s="182">
        <v>45523.550694444442</v>
      </c>
      <c r="C90" s="183" t="s">
        <v>1921</v>
      </c>
      <c r="D90" s="183" t="s">
        <v>2007</v>
      </c>
      <c r="E90" s="215" t="s">
        <v>2008</v>
      </c>
      <c r="F90" s="176" t="s">
        <v>879</v>
      </c>
      <c r="G90" s="176"/>
      <c r="H90" s="112" t="str">
        <f>IF(ISBLANK(E90),"",_xlfn.XLOOKUP(E90,cannabis_log!C:C,cannabis_log!H:H,"",0,1))</f>
        <v>preroll_bulk</v>
      </c>
      <c r="I90" s="189" t="s">
        <v>55</v>
      </c>
      <c r="J90" s="185">
        <v>-211</v>
      </c>
      <c r="K90" s="186">
        <v>0</v>
      </c>
      <c r="L90" s="288">
        <v>-105.5</v>
      </c>
      <c r="M90" s="188"/>
      <c r="N90" s="176" t="s">
        <v>670</v>
      </c>
      <c r="O90" s="180">
        <v>0.5</v>
      </c>
    </row>
    <row r="91" spans="1:15">
      <c r="A91" s="181" t="str">
        <f t="shared" si="1"/>
        <v>outbound</v>
      </c>
      <c r="B91" s="182">
        <v>45523.550694444442</v>
      </c>
      <c r="C91" s="183" t="s">
        <v>1921</v>
      </c>
      <c r="D91" s="183" t="s">
        <v>2007</v>
      </c>
      <c r="E91" s="215" t="s">
        <v>2009</v>
      </c>
      <c r="F91" s="112" t="s">
        <v>879</v>
      </c>
      <c r="G91" s="112"/>
      <c r="H91" s="112" t="str">
        <f>IF(ISBLANK(E91),"",_xlfn.XLOOKUP(E91,cannabis_log!C:C,cannabis_log!H:H,"",0,1))</f>
        <v>preroll_bulk</v>
      </c>
      <c r="I91" s="113" t="s">
        <v>55</v>
      </c>
      <c r="J91" s="185">
        <v>-242</v>
      </c>
      <c r="K91" s="186">
        <v>0</v>
      </c>
      <c r="L91" s="288">
        <v>-121</v>
      </c>
      <c r="M91" s="24"/>
      <c r="N91" s="112" t="s">
        <v>670</v>
      </c>
      <c r="O91" s="187">
        <v>0.5</v>
      </c>
    </row>
    <row r="92" spans="1:15">
      <c r="A92" s="173" t="str">
        <f t="shared" si="1"/>
        <v>outbound</v>
      </c>
      <c r="B92" s="182">
        <v>45523.550694444442</v>
      </c>
      <c r="C92" s="183" t="s">
        <v>1921</v>
      </c>
      <c r="D92" s="183" t="s">
        <v>2010</v>
      </c>
      <c r="E92" s="215" t="s">
        <v>2011</v>
      </c>
      <c r="F92" s="176" t="s">
        <v>905</v>
      </c>
      <c r="G92" s="176"/>
      <c r="H92" s="112" t="str">
        <f>IF(ISBLANK(E92),"",_xlfn.XLOOKUP(E92,cannabis_log!C:C,cannabis_log!H:H,"",0,1))</f>
        <v>preroll_bulk</v>
      </c>
      <c r="I92" s="189" t="s">
        <v>55</v>
      </c>
      <c r="J92" s="185">
        <v>-500</v>
      </c>
      <c r="K92" s="186">
        <v>0</v>
      </c>
      <c r="L92" s="288">
        <v>-250</v>
      </c>
      <c r="M92" s="188"/>
      <c r="N92" s="176" t="s">
        <v>670</v>
      </c>
      <c r="O92" s="180">
        <v>0.5</v>
      </c>
    </row>
    <row r="93" spans="1:15">
      <c r="A93" s="181" t="str">
        <f t="shared" si="1"/>
        <v>outbound</v>
      </c>
      <c r="B93" s="182">
        <v>45523.550694444442</v>
      </c>
      <c r="C93" s="183" t="s">
        <v>1921</v>
      </c>
      <c r="D93" s="183" t="s">
        <v>2010</v>
      </c>
      <c r="E93" s="215" t="s">
        <v>2012</v>
      </c>
      <c r="F93" s="112" t="s">
        <v>905</v>
      </c>
      <c r="G93" s="112"/>
      <c r="H93" s="112" t="str">
        <f>IF(ISBLANK(E93),"",_xlfn.XLOOKUP(E93,cannabis_log!C:C,cannabis_log!H:H,"",0,1))</f>
        <v>preroll_bulk</v>
      </c>
      <c r="I93" s="113" t="s">
        <v>55</v>
      </c>
      <c r="J93" s="185">
        <v>-507</v>
      </c>
      <c r="K93" s="186">
        <v>0</v>
      </c>
      <c r="L93" s="288">
        <v>-253.5</v>
      </c>
      <c r="M93" s="24"/>
      <c r="N93" s="112" t="s">
        <v>670</v>
      </c>
      <c r="O93" s="187">
        <v>0.5</v>
      </c>
    </row>
    <row r="94" spans="1:15">
      <c r="A94" s="173" t="str">
        <f t="shared" si="1"/>
        <v>outbound</v>
      </c>
      <c r="B94" s="182">
        <v>45523.550694444442</v>
      </c>
      <c r="C94" s="183" t="s">
        <v>1921</v>
      </c>
      <c r="D94" s="183" t="s">
        <v>2013</v>
      </c>
      <c r="E94" s="215" t="s">
        <v>2014</v>
      </c>
      <c r="F94" s="176" t="s">
        <v>866</v>
      </c>
      <c r="G94" s="176"/>
      <c r="H94" s="112" t="str">
        <f>IF(ISBLANK(E94),"",_xlfn.XLOOKUP(E94,cannabis_log!C:C,cannabis_log!H:H,"",0,1))</f>
        <v>preroll_labelled</v>
      </c>
      <c r="I94" s="189">
        <v>45497</v>
      </c>
      <c r="J94" s="185">
        <v>-160</v>
      </c>
      <c r="K94" s="186">
        <v>0</v>
      </c>
      <c r="L94" s="288">
        <v>-240</v>
      </c>
      <c r="M94" s="188"/>
      <c r="N94" s="176" t="s">
        <v>670</v>
      </c>
      <c r="O94" s="180">
        <v>1.5</v>
      </c>
    </row>
    <row r="95" spans="1:15">
      <c r="A95" s="173" t="str">
        <f t="shared" si="1"/>
        <v>outbound</v>
      </c>
      <c r="B95" s="182">
        <v>45523.564583333333</v>
      </c>
      <c r="C95" s="183" t="s">
        <v>1929</v>
      </c>
      <c r="D95" s="183" t="s">
        <v>2015</v>
      </c>
      <c r="E95" s="215" t="s">
        <v>2016</v>
      </c>
      <c r="F95" s="176" t="s">
        <v>869</v>
      </c>
      <c r="G95" s="176"/>
      <c r="H95" s="112" t="str">
        <f>IF(ISBLANK(E95),"",_xlfn.XLOOKUP(E95,cannabis_log!C:C,cannabis_log!H:H,"",0,1))</f>
        <v>preroll_labelled</v>
      </c>
      <c r="I95" s="189">
        <v>45498</v>
      </c>
      <c r="J95" s="185">
        <v>-24</v>
      </c>
      <c r="K95" s="186">
        <v>0</v>
      </c>
      <c r="L95" s="288">
        <v>-36</v>
      </c>
      <c r="M95" s="188"/>
      <c r="N95" s="176" t="s">
        <v>670</v>
      </c>
      <c r="O95" s="180">
        <v>1.5</v>
      </c>
    </row>
    <row r="96" spans="1:15">
      <c r="A96" s="181" t="str">
        <f t="shared" si="1"/>
        <v>outbound</v>
      </c>
      <c r="B96" s="182">
        <v>45523.564583333333</v>
      </c>
      <c r="C96" s="183" t="s">
        <v>1929</v>
      </c>
      <c r="D96" s="183" t="s">
        <v>2017</v>
      </c>
      <c r="E96" s="215" t="s">
        <v>1965</v>
      </c>
      <c r="F96" s="112" t="s">
        <v>630</v>
      </c>
      <c r="G96" s="112"/>
      <c r="H96" s="112" t="str">
        <f>IF(ISBLANK(E96),"",_xlfn.XLOOKUP(E96,cannabis_log!C:C,cannabis_log!H:H,"",0,1))</f>
        <v>preroll_labelled</v>
      </c>
      <c r="I96" s="113">
        <v>45543</v>
      </c>
      <c r="J96" s="185">
        <v>-12</v>
      </c>
      <c r="K96" s="186">
        <v>0</v>
      </c>
      <c r="L96" s="288">
        <v>-18</v>
      </c>
      <c r="M96" s="24"/>
      <c r="N96" s="112" t="s">
        <v>670</v>
      </c>
      <c r="O96" s="187">
        <v>1.5</v>
      </c>
    </row>
    <row r="97" spans="1:15">
      <c r="A97" s="173" t="str">
        <f t="shared" si="1"/>
        <v>outbound</v>
      </c>
      <c r="B97" s="182">
        <v>45523.564583333333</v>
      </c>
      <c r="C97" s="183" t="s">
        <v>1929</v>
      </c>
      <c r="D97" s="183" t="s">
        <v>2017</v>
      </c>
      <c r="E97" s="215" t="s">
        <v>2016</v>
      </c>
      <c r="F97" s="176" t="s">
        <v>869</v>
      </c>
      <c r="G97" s="176"/>
      <c r="H97" s="112" t="str">
        <f>IF(ISBLANK(E97),"",_xlfn.XLOOKUP(E97,cannabis_log!C:C,cannabis_log!H:H,"",0,1))</f>
        <v>preroll_labelled</v>
      </c>
      <c r="I97" s="189">
        <v>45498</v>
      </c>
      <c r="J97" s="185">
        <v>-12</v>
      </c>
      <c r="K97" s="186">
        <v>0</v>
      </c>
      <c r="L97" s="288">
        <v>-18</v>
      </c>
      <c r="M97" s="188"/>
      <c r="N97" s="176" t="s">
        <v>670</v>
      </c>
      <c r="O97" s="180">
        <v>1.5</v>
      </c>
    </row>
    <row r="98" spans="1:15">
      <c r="A98" s="181" t="str">
        <f t="shared" si="1"/>
        <v>outbound</v>
      </c>
      <c r="B98" s="182">
        <v>45523.59375</v>
      </c>
      <c r="C98" s="183" t="s">
        <v>1929</v>
      </c>
      <c r="D98" s="183" t="s">
        <v>2018</v>
      </c>
      <c r="E98" s="215" t="s">
        <v>2019</v>
      </c>
      <c r="F98" s="112" t="s">
        <v>874</v>
      </c>
      <c r="G98" s="112"/>
      <c r="H98" s="112" t="str">
        <f>IF(ISBLANK(E98),"",_xlfn.XLOOKUP(E98,cannabis_log!C:C,cannabis_log!H:H,"",0,1))</f>
        <v>extract_ingested_labelled</v>
      </c>
      <c r="I98" s="113">
        <v>45307</v>
      </c>
      <c r="J98" s="185">
        <v>-12</v>
      </c>
      <c r="K98" s="186">
        <v>0</v>
      </c>
      <c r="L98" s="288">
        <v>-327.60000000000002</v>
      </c>
      <c r="M98" s="24"/>
      <c r="N98" s="112" t="s">
        <v>670</v>
      </c>
      <c r="O98" s="187">
        <v>27.3</v>
      </c>
    </row>
    <row r="99" spans="1:15">
      <c r="A99" s="173" t="str">
        <f t="shared" si="1"/>
        <v>outbound</v>
      </c>
      <c r="B99" s="182">
        <v>45523.59375</v>
      </c>
      <c r="C99" s="183" t="s">
        <v>1929</v>
      </c>
      <c r="D99" s="183" t="s">
        <v>2018</v>
      </c>
      <c r="E99" s="215" t="s">
        <v>1990</v>
      </c>
      <c r="F99" s="176" t="s">
        <v>862</v>
      </c>
      <c r="G99" s="176"/>
      <c r="H99" s="112" t="str">
        <f>IF(ISBLANK(E99),"",_xlfn.XLOOKUP(E99,cannabis_log!C:C,cannabis_log!H:H,"",0,1))</f>
        <v>extract_ingested_labelled</v>
      </c>
      <c r="I99" s="189">
        <v>45488</v>
      </c>
      <c r="J99" s="185">
        <v>-12</v>
      </c>
      <c r="K99" s="186">
        <v>0</v>
      </c>
      <c r="L99" s="288">
        <v>-331.20000000000005</v>
      </c>
      <c r="M99" s="188"/>
      <c r="N99" s="176" t="s">
        <v>670</v>
      </c>
      <c r="O99" s="180">
        <v>27.6</v>
      </c>
    </row>
    <row r="100" spans="1:15">
      <c r="A100" s="181" t="str">
        <f t="shared" si="1"/>
        <v>outbound</v>
      </c>
      <c r="B100" s="182">
        <v>45523.59375</v>
      </c>
      <c r="C100" s="183" t="s">
        <v>1929</v>
      </c>
      <c r="D100" s="183" t="s">
        <v>2018</v>
      </c>
      <c r="E100" s="215" t="s">
        <v>1965</v>
      </c>
      <c r="F100" s="112" t="s">
        <v>630</v>
      </c>
      <c r="G100" s="112"/>
      <c r="H100" s="112" t="str">
        <f>IF(ISBLANK(E100),"",_xlfn.XLOOKUP(E100,cannabis_log!C:C,cannabis_log!H:H,"",0,1))</f>
        <v>preroll_labelled</v>
      </c>
      <c r="I100" s="113">
        <v>45543</v>
      </c>
      <c r="J100" s="185">
        <v>-12</v>
      </c>
      <c r="K100" s="186">
        <v>0</v>
      </c>
      <c r="L100" s="288">
        <v>-18</v>
      </c>
      <c r="M100" s="24"/>
      <c r="N100" s="112" t="s">
        <v>670</v>
      </c>
      <c r="O100" s="187">
        <v>1.5</v>
      </c>
    </row>
    <row r="101" spans="1:15">
      <c r="A101" s="173" t="str">
        <f t="shared" si="1"/>
        <v>outbound</v>
      </c>
      <c r="B101" s="182">
        <v>45523.59375</v>
      </c>
      <c r="C101" s="183" t="s">
        <v>1929</v>
      </c>
      <c r="D101" s="183" t="s">
        <v>2018</v>
      </c>
      <c r="E101" s="215" t="s">
        <v>2020</v>
      </c>
      <c r="F101" s="176" t="s">
        <v>964</v>
      </c>
      <c r="G101" s="176"/>
      <c r="H101" s="112" t="str">
        <f>IF(ISBLANK(E101),"",_xlfn.XLOOKUP(E101,cannabis_log!C:C,cannabis_log!H:H,"",0,1))</f>
        <v>preroll_labelled</v>
      </c>
      <c r="I101" s="189">
        <v>45432</v>
      </c>
      <c r="J101" s="185">
        <v>-12</v>
      </c>
      <c r="K101" s="186">
        <v>0</v>
      </c>
      <c r="L101" s="288">
        <v>-18</v>
      </c>
      <c r="M101" s="188"/>
      <c r="N101" s="176" t="s">
        <v>670</v>
      </c>
      <c r="O101" s="180">
        <v>1.5</v>
      </c>
    </row>
    <row r="102" spans="1:15">
      <c r="A102" s="181" t="str">
        <f t="shared" si="1"/>
        <v>outbound</v>
      </c>
      <c r="B102" s="182">
        <v>45523.59375</v>
      </c>
      <c r="C102" s="183" t="s">
        <v>1929</v>
      </c>
      <c r="D102" s="183" t="s">
        <v>2018</v>
      </c>
      <c r="E102" s="215" t="s">
        <v>1964</v>
      </c>
      <c r="F102" s="112" t="s">
        <v>535</v>
      </c>
      <c r="G102" s="112"/>
      <c r="H102" s="112" t="str">
        <f>IF(ISBLANK(E102),"",_xlfn.XLOOKUP(E102,cannabis_log!C:C,cannabis_log!H:H,"",0,1))</f>
        <v>preroll_labelled</v>
      </c>
      <c r="I102" s="113">
        <v>45567</v>
      </c>
      <c r="J102" s="185">
        <v>-12</v>
      </c>
      <c r="K102" s="186">
        <v>0</v>
      </c>
      <c r="L102" s="288">
        <v>-18</v>
      </c>
      <c r="M102" s="24"/>
      <c r="N102" s="112" t="s">
        <v>670</v>
      </c>
      <c r="O102" s="187">
        <v>1.5</v>
      </c>
    </row>
    <row r="103" spans="1:15">
      <c r="A103" s="181" t="str">
        <f t="shared" si="1"/>
        <v>inbound</v>
      </c>
      <c r="B103" s="182">
        <v>45524.613194444442</v>
      </c>
      <c r="C103" s="183" t="s">
        <v>1927</v>
      </c>
      <c r="D103" s="183" t="s">
        <v>2021</v>
      </c>
      <c r="E103" s="215" t="s">
        <v>2022</v>
      </c>
      <c r="F103" s="112">
        <v>2024050601</v>
      </c>
      <c r="G103" s="112"/>
      <c r="H103" s="112" t="str">
        <f>IF(ISBLANK(E103),"",_xlfn.XLOOKUP(E103,cannabis_log!C:C,cannabis_log!H:H,"",0,1))</f>
        <v>extract_inhaled_bulk</v>
      </c>
      <c r="I103" s="113" t="s">
        <v>55</v>
      </c>
      <c r="J103" s="185">
        <v>1</v>
      </c>
      <c r="K103" s="186">
        <v>105.59</v>
      </c>
      <c r="L103" s="288">
        <v>0</v>
      </c>
      <c r="M103" s="24"/>
      <c r="N103" s="112" t="s">
        <v>664</v>
      </c>
      <c r="O103" s="187">
        <v>0</v>
      </c>
    </row>
    <row r="104" spans="1:15">
      <c r="A104" s="173" t="str">
        <f t="shared" si="1"/>
        <v>inbound</v>
      </c>
      <c r="B104" s="182">
        <v>45524.613194444442</v>
      </c>
      <c r="C104" s="183" t="s">
        <v>1927</v>
      </c>
      <c r="D104" s="183" t="s">
        <v>2021</v>
      </c>
      <c r="E104" s="215" t="s">
        <v>2023</v>
      </c>
      <c r="F104" s="176">
        <v>2024022201</v>
      </c>
      <c r="G104" s="176"/>
      <c r="H104" s="112" t="str">
        <f>IF(ISBLANK(E104),"",_xlfn.XLOOKUP(E104,cannabis_log!C:C,cannabis_log!H:H,"",0,1))</f>
        <v>extract_distillate_bulk</v>
      </c>
      <c r="I104" s="189" t="s">
        <v>55</v>
      </c>
      <c r="J104" s="185">
        <v>1</v>
      </c>
      <c r="K104" s="186">
        <v>117.51</v>
      </c>
      <c r="L104" s="288">
        <v>0</v>
      </c>
      <c r="M104" s="188"/>
      <c r="N104" s="176" t="s">
        <v>664</v>
      </c>
      <c r="O104" s="180">
        <v>0</v>
      </c>
    </row>
    <row r="105" spans="1:15">
      <c r="A105" s="181" t="str">
        <f t="shared" si="1"/>
        <v>inbound</v>
      </c>
      <c r="B105" s="182">
        <v>45524.613194444442</v>
      </c>
      <c r="C105" s="183" t="s">
        <v>1927</v>
      </c>
      <c r="D105" s="183" t="s">
        <v>2021</v>
      </c>
      <c r="E105" s="215" t="s">
        <v>1995</v>
      </c>
      <c r="F105" s="112">
        <v>2024022201</v>
      </c>
      <c r="G105" s="112"/>
      <c r="H105" s="112" t="str">
        <f>IF(ISBLANK(E105),"",_xlfn.XLOOKUP(E105,cannabis_log!C:C,cannabis_log!H:H,"",0,1))</f>
        <v>extract_distillate_bulk</v>
      </c>
      <c r="I105" s="113">
        <v>45407</v>
      </c>
      <c r="J105" s="185">
        <v>1</v>
      </c>
      <c r="K105" s="186">
        <v>459.26</v>
      </c>
      <c r="L105" s="288">
        <v>0</v>
      </c>
      <c r="M105" s="24"/>
      <c r="N105" s="112" t="s">
        <v>664</v>
      </c>
      <c r="O105" s="187">
        <v>0</v>
      </c>
    </row>
    <row r="106" spans="1:15">
      <c r="A106" s="173" t="str">
        <f t="shared" si="1"/>
        <v>outbound</v>
      </c>
      <c r="B106" s="182">
        <v>45524.613194444442</v>
      </c>
      <c r="C106" s="183" t="s">
        <v>1929</v>
      </c>
      <c r="D106" s="183" t="s">
        <v>2018</v>
      </c>
      <c r="E106" s="215" t="s">
        <v>2024</v>
      </c>
      <c r="F106" s="176" t="s">
        <v>2025</v>
      </c>
      <c r="G106" s="176"/>
      <c r="H106" s="112" t="str">
        <f>IF(ISBLANK(E106),"",_xlfn.XLOOKUP(E106,cannabis_log!C:C,cannabis_log!H:H,"",0,1))</f>
        <v>extract_ingested_labelled</v>
      </c>
      <c r="I106" s="189">
        <v>45433</v>
      </c>
      <c r="J106" s="185">
        <v>-12</v>
      </c>
      <c r="K106" s="186">
        <v>0</v>
      </c>
      <c r="L106" s="288">
        <v>-1812</v>
      </c>
      <c r="M106" s="188"/>
      <c r="N106" s="176" t="s">
        <v>670</v>
      </c>
      <c r="O106" s="180">
        <v>151</v>
      </c>
    </row>
    <row r="107" spans="1:15">
      <c r="A107" s="181" t="str">
        <f t="shared" si="1"/>
        <v>outbound</v>
      </c>
      <c r="B107" s="182">
        <v>45525.472222222219</v>
      </c>
      <c r="C107" s="183" t="s">
        <v>1929</v>
      </c>
      <c r="D107" s="183" t="s">
        <v>2026</v>
      </c>
      <c r="E107" s="215" t="s">
        <v>1947</v>
      </c>
      <c r="F107" s="112" t="s">
        <v>1019</v>
      </c>
      <c r="G107" s="112"/>
      <c r="H107" s="112" t="str">
        <f>IF(ISBLANK(E107),"",_xlfn.XLOOKUP(E107,cannabis_log!C:C,cannabis_log!H:H,"",0,1))</f>
        <v>extract_ingested_bulk</v>
      </c>
      <c r="I107" s="113">
        <v>45482</v>
      </c>
      <c r="J107" s="185">
        <v>-1</v>
      </c>
      <c r="K107" s="186">
        <v>-18565</v>
      </c>
      <c r="L107" s="288">
        <v>0</v>
      </c>
      <c r="M107" s="24"/>
      <c r="N107" s="112" t="s">
        <v>664</v>
      </c>
      <c r="O107" s="187">
        <v>0</v>
      </c>
    </row>
    <row r="108" spans="1:15">
      <c r="A108" s="173" t="str">
        <f t="shared" si="1"/>
        <v>outbound</v>
      </c>
      <c r="B108" s="182">
        <v>45525.472222222219</v>
      </c>
      <c r="C108" s="183" t="s">
        <v>1929</v>
      </c>
      <c r="D108" s="183" t="s">
        <v>2026</v>
      </c>
      <c r="E108" s="215" t="s">
        <v>2027</v>
      </c>
      <c r="F108" s="176" t="s">
        <v>1019</v>
      </c>
      <c r="G108" s="176"/>
      <c r="H108" s="112" t="str">
        <f>IF(ISBLANK(E108),"",_xlfn.XLOOKUP(E108,cannabis_log!C:C,cannabis_log!H:H,"",0,1))</f>
        <v>extract_ingested_bulk</v>
      </c>
      <c r="I108" s="189" t="s">
        <v>55</v>
      </c>
      <c r="J108" s="185">
        <v>-1</v>
      </c>
      <c r="K108" s="186">
        <v>-18555</v>
      </c>
      <c r="L108" s="288">
        <v>0</v>
      </c>
      <c r="M108" s="188"/>
      <c r="N108" s="176" t="s">
        <v>664</v>
      </c>
      <c r="O108" s="180">
        <v>0</v>
      </c>
    </row>
    <row r="109" spans="1:15">
      <c r="A109" s="181" t="str">
        <f t="shared" si="1"/>
        <v>outbound</v>
      </c>
      <c r="B109" s="182">
        <v>45525.472222222219</v>
      </c>
      <c r="C109" s="183" t="s">
        <v>1929</v>
      </c>
      <c r="D109" s="183" t="s">
        <v>2026</v>
      </c>
      <c r="E109" s="215" t="s">
        <v>2028</v>
      </c>
      <c r="F109" s="112" t="s">
        <v>2029</v>
      </c>
      <c r="G109" s="112"/>
      <c r="H109" s="112" t="str">
        <f>IF(ISBLANK(E109),"",_xlfn.XLOOKUP(E109,cannabis_log!C:C,cannabis_log!H:H,"",0,1))</f>
        <v>extract_ingested_labelled</v>
      </c>
      <c r="I109" s="113">
        <v>45503</v>
      </c>
      <c r="J109" s="185">
        <v>-54</v>
      </c>
      <c r="K109" s="186">
        <v>0</v>
      </c>
      <c r="L109" s="288">
        <v>-8154</v>
      </c>
      <c r="M109" s="24"/>
      <c r="N109" s="112" t="s">
        <v>670</v>
      </c>
      <c r="O109" s="187">
        <v>151</v>
      </c>
    </row>
    <row r="110" spans="1:15">
      <c r="A110" s="173" t="str">
        <f t="shared" si="1"/>
        <v>inbound</v>
      </c>
      <c r="B110" s="182">
        <v>45525.472222222219</v>
      </c>
      <c r="C110" s="183" t="s">
        <v>1927</v>
      </c>
      <c r="D110" s="183" t="s">
        <v>2030</v>
      </c>
      <c r="E110" s="215" t="s">
        <v>2031</v>
      </c>
      <c r="F110" s="176">
        <v>2024101701</v>
      </c>
      <c r="G110" s="176"/>
      <c r="H110" s="112" t="str">
        <f>IF(ISBLANK(E110),"",_xlfn.XLOOKUP(E110,cannabis_log!C:C,cannabis_log!H:H,"",0,1))</f>
        <v>extract_distillate_bulk</v>
      </c>
      <c r="I110" s="189">
        <v>45523</v>
      </c>
      <c r="J110" s="185">
        <v>1</v>
      </c>
      <c r="K110" s="186">
        <v>3065</v>
      </c>
      <c r="L110" s="288">
        <v>0</v>
      </c>
      <c r="M110" s="188"/>
      <c r="N110" s="176" t="s">
        <v>664</v>
      </c>
      <c r="O110" s="180">
        <v>0</v>
      </c>
    </row>
    <row r="111" spans="1:15">
      <c r="A111" s="181" t="str">
        <f t="shared" si="1"/>
        <v>outbound</v>
      </c>
      <c r="B111" s="182">
        <v>45526.571527777778</v>
      </c>
      <c r="C111" s="183" t="s">
        <v>1929</v>
      </c>
      <c r="D111" s="183" t="s">
        <v>2032</v>
      </c>
      <c r="E111" s="215" t="s">
        <v>1964</v>
      </c>
      <c r="F111" s="112" t="s">
        <v>535</v>
      </c>
      <c r="G111" s="112"/>
      <c r="H111" s="112" t="str">
        <f>IF(ISBLANK(E111),"",_xlfn.XLOOKUP(E111,cannabis_log!C:C,cannabis_log!H:H,"",0,1))</f>
        <v>preroll_labelled</v>
      </c>
      <c r="I111" s="113">
        <v>45567</v>
      </c>
      <c r="J111" s="185">
        <v>-12</v>
      </c>
      <c r="K111" s="186">
        <v>0</v>
      </c>
      <c r="L111" s="288">
        <v>-18</v>
      </c>
      <c r="M111" s="24"/>
      <c r="N111" s="112" t="s">
        <v>670</v>
      </c>
      <c r="O111" s="187">
        <v>1.5</v>
      </c>
    </row>
    <row r="112" spans="1:15">
      <c r="A112" s="173" t="str">
        <f t="shared" si="1"/>
        <v>outbound</v>
      </c>
      <c r="B112" s="182">
        <v>45526.571527777778</v>
      </c>
      <c r="C112" s="183" t="s">
        <v>1929</v>
      </c>
      <c r="D112" s="183" t="s">
        <v>2033</v>
      </c>
      <c r="E112" s="215" t="s">
        <v>1965</v>
      </c>
      <c r="F112" s="176" t="s">
        <v>630</v>
      </c>
      <c r="G112" s="176"/>
      <c r="H112" s="112" t="str">
        <f>IF(ISBLANK(E112),"",_xlfn.XLOOKUP(E112,cannabis_log!C:C,cannabis_log!H:H,"",0,1))</f>
        <v>preroll_labelled</v>
      </c>
      <c r="I112" s="189">
        <v>45543</v>
      </c>
      <c r="J112" s="185">
        <v>-12</v>
      </c>
      <c r="K112" s="186">
        <v>0</v>
      </c>
      <c r="L112" s="288">
        <v>-18</v>
      </c>
      <c r="M112" s="188"/>
      <c r="N112" s="176" t="s">
        <v>670</v>
      </c>
      <c r="O112" s="180">
        <v>1.5</v>
      </c>
    </row>
    <row r="113" spans="1:15">
      <c r="A113" s="173" t="str">
        <f t="shared" si="1"/>
        <v>outbound</v>
      </c>
      <c r="B113" s="182">
        <v>45527.379861111112</v>
      </c>
      <c r="C113" s="183" t="s">
        <v>1921</v>
      </c>
      <c r="D113" s="183" t="s">
        <v>2034</v>
      </c>
      <c r="E113" s="215" t="s">
        <v>1960</v>
      </c>
      <c r="F113" s="176" t="s">
        <v>797</v>
      </c>
      <c r="G113" s="176"/>
      <c r="H113" s="112" t="str">
        <f>IF(ISBLANK(E113),"",_xlfn.XLOOKUP(E113,cannabis_log!C:C,cannabis_log!H:H,"",0,1))</f>
        <v>topical_bulk</v>
      </c>
      <c r="I113" s="189">
        <v>45448</v>
      </c>
      <c r="J113" s="185">
        <v>-1</v>
      </c>
      <c r="K113" s="186">
        <v>-18260</v>
      </c>
      <c r="L113" s="288">
        <v>0</v>
      </c>
      <c r="M113" s="188"/>
      <c r="N113" s="176" t="s">
        <v>664</v>
      </c>
      <c r="O113" s="180">
        <v>0</v>
      </c>
    </row>
    <row r="114" spans="1:15">
      <c r="A114" s="181" t="str">
        <f t="shared" si="1"/>
        <v>outbound</v>
      </c>
      <c r="B114" s="182">
        <v>45527.442361111112</v>
      </c>
      <c r="C114" s="183" t="s">
        <v>1954</v>
      </c>
      <c r="D114" s="183" t="s">
        <v>2035</v>
      </c>
      <c r="E114" s="215" t="s">
        <v>1960</v>
      </c>
      <c r="F114" s="112" t="s">
        <v>797</v>
      </c>
      <c r="G114" s="112"/>
      <c r="H114" s="112" t="str">
        <f>IF(ISBLANK(E114),"",_xlfn.XLOOKUP(E114,cannabis_log!C:C,cannabis_log!H:H,"",0,1))</f>
        <v>topical_bulk</v>
      </c>
      <c r="I114" s="113">
        <v>45448</v>
      </c>
      <c r="J114" s="185">
        <v>0</v>
      </c>
      <c r="K114" s="186">
        <v>-325</v>
      </c>
      <c r="L114" s="288">
        <v>0</v>
      </c>
      <c r="M114" s="24"/>
      <c r="N114" s="112" t="s">
        <v>664</v>
      </c>
      <c r="O114" s="187">
        <v>0</v>
      </c>
    </row>
    <row r="115" spans="1:15">
      <c r="A115" s="173" t="str">
        <f t="shared" si="1"/>
        <v>outbound</v>
      </c>
      <c r="B115" s="182">
        <v>45527.466666666667</v>
      </c>
      <c r="C115" s="183" t="s">
        <v>1929</v>
      </c>
      <c r="D115" s="183" t="s">
        <v>2036</v>
      </c>
      <c r="E115" s="215" t="s">
        <v>1965</v>
      </c>
      <c r="F115" s="176" t="s">
        <v>630</v>
      </c>
      <c r="G115" s="176"/>
      <c r="H115" s="112" t="str">
        <f>IF(ISBLANK(E115),"",_xlfn.XLOOKUP(E115,cannabis_log!C:C,cannabis_log!H:H,"",0,1))</f>
        <v>preroll_labelled</v>
      </c>
      <c r="I115" s="189">
        <v>45543</v>
      </c>
      <c r="J115" s="185">
        <v>-12</v>
      </c>
      <c r="K115" s="186">
        <v>0</v>
      </c>
      <c r="L115" s="288">
        <v>-18</v>
      </c>
      <c r="M115" s="188"/>
      <c r="N115" s="176" t="s">
        <v>670</v>
      </c>
      <c r="O115" s="180">
        <v>1.5</v>
      </c>
    </row>
    <row r="116" spans="1:15">
      <c r="A116" s="181" t="str">
        <f t="shared" si="1"/>
        <v>outbound</v>
      </c>
      <c r="B116" s="182">
        <v>45527.466666666667</v>
      </c>
      <c r="C116" s="183" t="s">
        <v>1929</v>
      </c>
      <c r="D116" s="183" t="s">
        <v>2036</v>
      </c>
      <c r="E116" s="215" t="s">
        <v>1952</v>
      </c>
      <c r="F116" s="112" t="s">
        <v>1609</v>
      </c>
      <c r="G116" s="112"/>
      <c r="H116" s="112" t="str">
        <f>IF(ISBLANK(E116),"",_xlfn.XLOOKUP(E116,cannabis_log!C:C,cannabis_log!H:H,"",0,1))</f>
        <v>preroll_labelled</v>
      </c>
      <c r="I116" s="113">
        <v>45462</v>
      </c>
      <c r="J116" s="185">
        <v>-12</v>
      </c>
      <c r="K116" s="186">
        <v>0</v>
      </c>
      <c r="L116" s="288">
        <v>-12</v>
      </c>
      <c r="M116" s="24"/>
      <c r="N116" s="112" t="s">
        <v>670</v>
      </c>
      <c r="O116" s="187">
        <v>1</v>
      </c>
    </row>
    <row r="117" spans="1:15">
      <c r="A117" s="173" t="str">
        <f t="shared" si="1"/>
        <v>outbound</v>
      </c>
      <c r="B117" s="182">
        <v>45527.466666666667</v>
      </c>
      <c r="C117" s="183" t="s">
        <v>1921</v>
      </c>
      <c r="D117" s="183" t="s">
        <v>2037</v>
      </c>
      <c r="E117" s="215" t="s">
        <v>2038</v>
      </c>
      <c r="F117" s="176" t="s">
        <v>846</v>
      </c>
      <c r="G117" s="176"/>
      <c r="H117" s="112" t="str">
        <f>IF(ISBLANK(E117),"",_xlfn.XLOOKUP(E117,cannabis_log!C:C,cannabis_log!H:H,"",0,1))</f>
        <v>preroll_packaged</v>
      </c>
      <c r="I117" s="189" t="s">
        <v>55</v>
      </c>
      <c r="J117" s="185">
        <v>-137</v>
      </c>
      <c r="K117" s="186">
        <v>0</v>
      </c>
      <c r="L117" s="288">
        <v>-137</v>
      </c>
      <c r="M117" s="188"/>
      <c r="N117" s="176" t="s">
        <v>670</v>
      </c>
      <c r="O117" s="180">
        <v>1</v>
      </c>
    </row>
    <row r="118" spans="1:15">
      <c r="A118" s="181" t="str">
        <f t="shared" si="1"/>
        <v>outbound</v>
      </c>
      <c r="B118" s="182">
        <v>45527.466666666667</v>
      </c>
      <c r="C118" s="183" t="s">
        <v>1921</v>
      </c>
      <c r="D118" s="183" t="s">
        <v>2039</v>
      </c>
      <c r="E118" s="215" t="s">
        <v>2040</v>
      </c>
      <c r="F118" s="112" t="s">
        <v>846</v>
      </c>
      <c r="G118" s="112"/>
      <c r="H118" s="112" t="str">
        <f>IF(ISBLANK(E118),"",_xlfn.XLOOKUP(E118,cannabis_log!C:C,cannabis_log!H:H,"",0,1))</f>
        <v>preroll_bulk</v>
      </c>
      <c r="I118" s="113" t="s">
        <v>55</v>
      </c>
      <c r="J118" s="185">
        <v>-221</v>
      </c>
      <c r="K118" s="186">
        <v>0</v>
      </c>
      <c r="L118" s="288">
        <v>-221</v>
      </c>
      <c r="M118" s="24"/>
      <c r="N118" s="112" t="s">
        <v>670</v>
      </c>
      <c r="O118" s="187">
        <v>1</v>
      </c>
    </row>
    <row r="119" spans="1:15">
      <c r="A119" s="173" t="str">
        <f t="shared" si="1"/>
        <v>outbound</v>
      </c>
      <c r="B119" s="182">
        <v>45527.466666666667</v>
      </c>
      <c r="C119" s="183" t="s">
        <v>1929</v>
      </c>
      <c r="D119" s="183" t="s">
        <v>2036</v>
      </c>
      <c r="E119" s="215" t="s">
        <v>2041</v>
      </c>
      <c r="F119" s="176" t="s">
        <v>824</v>
      </c>
      <c r="G119" s="176"/>
      <c r="H119" s="112" t="str">
        <f>IF(ISBLANK(E119),"",_xlfn.XLOOKUP(E119,cannabis_log!C:C,cannabis_log!H:H,"",0,1))</f>
        <v>preroll_labelled</v>
      </c>
      <c r="I119" s="189">
        <v>44999</v>
      </c>
      <c r="J119" s="185">
        <v>-12</v>
      </c>
      <c r="K119" s="186">
        <v>0</v>
      </c>
      <c r="L119" s="288">
        <v>-12</v>
      </c>
      <c r="M119" s="188"/>
      <c r="N119" s="176" t="s">
        <v>670</v>
      </c>
      <c r="O119" s="180">
        <v>1</v>
      </c>
    </row>
    <row r="120" spans="1:15">
      <c r="A120" s="181" t="str">
        <f t="shared" si="1"/>
        <v>outbound</v>
      </c>
      <c r="B120" s="182">
        <v>45527.466666666667</v>
      </c>
      <c r="C120" s="183" t="s">
        <v>1929</v>
      </c>
      <c r="D120" s="183" t="s">
        <v>2036</v>
      </c>
      <c r="E120" s="215" t="s">
        <v>2016</v>
      </c>
      <c r="F120" s="112" t="s">
        <v>869</v>
      </c>
      <c r="G120" s="112"/>
      <c r="H120" s="112" t="str">
        <f>IF(ISBLANK(E120),"",_xlfn.XLOOKUP(E120,cannabis_log!C:C,cannabis_log!H:H,"",0,1))</f>
        <v>preroll_labelled</v>
      </c>
      <c r="I120" s="113">
        <v>45498</v>
      </c>
      <c r="J120" s="185">
        <v>-12</v>
      </c>
      <c r="K120" s="186">
        <v>0</v>
      </c>
      <c r="L120" s="288">
        <v>-18</v>
      </c>
      <c r="M120" s="24"/>
      <c r="N120" s="112" t="s">
        <v>670</v>
      </c>
      <c r="O120" s="187">
        <v>1.5</v>
      </c>
    </row>
    <row r="121" spans="1:15">
      <c r="A121" s="173" t="str">
        <f t="shared" si="1"/>
        <v>outbound</v>
      </c>
      <c r="B121" s="182">
        <v>45527.466666666667</v>
      </c>
      <c r="C121" s="183" t="s">
        <v>1929</v>
      </c>
      <c r="D121" s="183" t="s">
        <v>2036</v>
      </c>
      <c r="E121" s="215" t="s">
        <v>2042</v>
      </c>
      <c r="F121" s="176" t="s">
        <v>701</v>
      </c>
      <c r="G121" s="176"/>
      <c r="H121" s="112" t="str">
        <f>IF(ISBLANK(E121),"",_xlfn.XLOOKUP(E121,cannabis_log!C:C,cannabis_log!H:H,"",0,1))</f>
        <v>driedflower_milled_labelled</v>
      </c>
      <c r="I121" s="189">
        <v>44941</v>
      </c>
      <c r="J121" s="185">
        <v>-12</v>
      </c>
      <c r="K121" s="186">
        <v>0</v>
      </c>
      <c r="L121" s="288">
        <v>-84</v>
      </c>
      <c r="M121" s="188"/>
      <c r="N121" s="176" t="s">
        <v>670</v>
      </c>
      <c r="O121" s="180">
        <v>7</v>
      </c>
    </row>
    <row r="122" spans="1:15">
      <c r="A122" s="181" t="str">
        <f t="shared" si="1"/>
        <v>outbound</v>
      </c>
      <c r="B122" s="182">
        <v>45527.466666666667</v>
      </c>
      <c r="C122" s="183" t="s">
        <v>1929</v>
      </c>
      <c r="D122" s="183" t="s">
        <v>2036</v>
      </c>
      <c r="E122" s="215" t="s">
        <v>2043</v>
      </c>
      <c r="F122" s="112" t="s">
        <v>981</v>
      </c>
      <c r="G122" s="112"/>
      <c r="H122" s="112" t="str">
        <f>IF(ISBLANK(E122),"",_xlfn.XLOOKUP(E122,cannabis_log!C:C,cannabis_log!H:H,"",0,1))</f>
        <v>driedflower_labelled</v>
      </c>
      <c r="I122" s="113">
        <v>45531</v>
      </c>
      <c r="J122" s="185">
        <v>-9</v>
      </c>
      <c r="K122" s="186">
        <v>0</v>
      </c>
      <c r="L122" s="288">
        <v>-63</v>
      </c>
      <c r="M122" s="24"/>
      <c r="N122" s="112" t="s">
        <v>670</v>
      </c>
      <c r="O122" s="187">
        <v>7</v>
      </c>
    </row>
    <row r="123" spans="1:15">
      <c r="A123" s="173" t="str">
        <f t="shared" si="1"/>
        <v>outbound</v>
      </c>
      <c r="B123" s="182">
        <v>45527.466666666667</v>
      </c>
      <c r="C123" s="183" t="s">
        <v>1929</v>
      </c>
      <c r="D123" s="183" t="s">
        <v>2036</v>
      </c>
      <c r="E123" s="215" t="s">
        <v>2044</v>
      </c>
      <c r="F123" s="176" t="s">
        <v>1849</v>
      </c>
      <c r="G123" s="176"/>
      <c r="H123" s="112" t="str">
        <f>IF(ISBLANK(E123),"",_xlfn.XLOOKUP(E123,cannabis_log!C:C,cannabis_log!H:H,"",0,1))</f>
        <v>driedflower_labelled_RTV</v>
      </c>
      <c r="I123" s="189">
        <v>45447</v>
      </c>
      <c r="J123" s="185">
        <v>-12</v>
      </c>
      <c r="K123" s="186">
        <v>0</v>
      </c>
      <c r="L123" s="288">
        <v>-42</v>
      </c>
      <c r="M123" s="188"/>
      <c r="N123" s="176" t="s">
        <v>670</v>
      </c>
      <c r="O123" s="180">
        <v>3.5</v>
      </c>
    </row>
    <row r="124" spans="1:15">
      <c r="A124" s="181" t="str">
        <f t="shared" si="1"/>
        <v>outbound</v>
      </c>
      <c r="B124" s="182">
        <v>45527.466666666667</v>
      </c>
      <c r="C124" s="183" t="s">
        <v>1929</v>
      </c>
      <c r="D124" s="183" t="s">
        <v>2036</v>
      </c>
      <c r="E124" s="215" t="s">
        <v>1951</v>
      </c>
      <c r="F124" s="112" t="s">
        <v>828</v>
      </c>
      <c r="G124" s="112"/>
      <c r="H124" s="112" t="str">
        <f>IF(ISBLANK(E124),"",_xlfn.XLOOKUP(E124,cannabis_log!C:C,cannabis_log!H:H,"",0,1))</f>
        <v>preroll_labelled</v>
      </c>
      <c r="I124" s="113">
        <v>44888</v>
      </c>
      <c r="J124" s="185">
        <v>-12</v>
      </c>
      <c r="K124" s="186">
        <v>0</v>
      </c>
      <c r="L124" s="288">
        <v>-12</v>
      </c>
      <c r="M124" s="24"/>
      <c r="N124" s="112" t="s">
        <v>670</v>
      </c>
      <c r="O124" s="187">
        <v>1</v>
      </c>
    </row>
    <row r="125" spans="1:15">
      <c r="A125" s="173" t="str">
        <f t="shared" si="1"/>
        <v>inbound</v>
      </c>
      <c r="B125" s="182">
        <v>45527.714583333334</v>
      </c>
      <c r="C125" s="183" t="s">
        <v>1927</v>
      </c>
      <c r="D125" s="183"/>
      <c r="E125" s="215" t="s">
        <v>2028</v>
      </c>
      <c r="F125" s="176" t="s">
        <v>2029</v>
      </c>
      <c r="G125" s="176"/>
      <c r="H125" s="112" t="str">
        <f>IF(ISBLANK(E125),"",_xlfn.XLOOKUP(E125,cannabis_log!C:C,cannabis_log!H:H,"",0,1))</f>
        <v>extract_ingested_labelled</v>
      </c>
      <c r="I125" s="189">
        <v>45503</v>
      </c>
      <c r="J125" s="185">
        <v>6</v>
      </c>
      <c r="K125" s="186">
        <v>0</v>
      </c>
      <c r="L125" s="288">
        <v>906</v>
      </c>
      <c r="M125" s="188"/>
      <c r="N125" s="176" t="s">
        <v>670</v>
      </c>
      <c r="O125" s="180">
        <v>151</v>
      </c>
    </row>
    <row r="126" spans="1:15">
      <c r="A126" s="181" t="str">
        <f t="shared" si="1"/>
        <v>outbound</v>
      </c>
      <c r="B126" s="182">
        <v>45530.418749999997</v>
      </c>
      <c r="C126" s="183" t="s">
        <v>1921</v>
      </c>
      <c r="D126" s="183" t="s">
        <v>2045</v>
      </c>
      <c r="E126" s="215" t="s">
        <v>2046</v>
      </c>
      <c r="F126" s="112" t="s">
        <v>1986</v>
      </c>
      <c r="G126" s="112"/>
      <c r="H126" s="112" t="str">
        <f>IF(ISBLANK(E126),"",_xlfn.XLOOKUP(E126,cannabis_log!C:C,cannabis_log!H:H,"",0,1))</f>
        <v>preroll_bulk</v>
      </c>
      <c r="I126" s="113" t="s">
        <v>55</v>
      </c>
      <c r="J126" s="185">
        <v>-361</v>
      </c>
      <c r="K126" s="186">
        <v>0</v>
      </c>
      <c r="L126" s="288">
        <v>-180.5</v>
      </c>
      <c r="M126" s="24"/>
      <c r="N126" s="112" t="s">
        <v>670</v>
      </c>
      <c r="O126" s="187">
        <v>0.5</v>
      </c>
    </row>
    <row r="127" spans="1:15">
      <c r="A127" s="173" t="str">
        <f t="shared" si="1"/>
        <v>outbound</v>
      </c>
      <c r="B127" s="182">
        <v>45530.418749999997</v>
      </c>
      <c r="C127" s="183" t="s">
        <v>1921</v>
      </c>
      <c r="D127" s="183" t="s">
        <v>2045</v>
      </c>
      <c r="E127" s="215" t="s">
        <v>2047</v>
      </c>
      <c r="F127" s="176" t="s">
        <v>1986</v>
      </c>
      <c r="G127" s="176"/>
      <c r="H127" s="112" t="str">
        <f>IF(ISBLANK(E127),"",_xlfn.XLOOKUP(E127,cannabis_log!C:C,cannabis_log!H:H,"",0,1))</f>
        <v>preroll_bulk</v>
      </c>
      <c r="I127" s="189" t="s">
        <v>55</v>
      </c>
      <c r="J127" s="185">
        <v>-362</v>
      </c>
      <c r="K127" s="186">
        <v>0</v>
      </c>
      <c r="L127" s="288">
        <v>-181</v>
      </c>
      <c r="M127" s="188"/>
      <c r="N127" s="176" t="s">
        <v>670</v>
      </c>
      <c r="O127" s="180">
        <v>0.5</v>
      </c>
    </row>
    <row r="128" spans="1:15">
      <c r="A128" s="181" t="str">
        <f t="shared" si="1"/>
        <v>outbound</v>
      </c>
      <c r="B128" s="182">
        <v>45530.462500000001</v>
      </c>
      <c r="C128" s="183" t="s">
        <v>1921</v>
      </c>
      <c r="D128" s="183" t="s">
        <v>2045</v>
      </c>
      <c r="E128" s="215" t="s">
        <v>1988</v>
      </c>
      <c r="F128" s="112" t="s">
        <v>1221</v>
      </c>
      <c r="G128" s="112"/>
      <c r="H128" s="112" t="str">
        <f>IF(ISBLANK(E128),"",_xlfn.XLOOKUP(E128,cannabis_log!C:C,cannabis_log!H:H,"",0,1))</f>
        <v>preroll_bulk</v>
      </c>
      <c r="I128" s="113">
        <v>45443</v>
      </c>
      <c r="J128" s="185">
        <v>-3990</v>
      </c>
      <c r="K128" s="186">
        <v>0</v>
      </c>
      <c r="L128" s="288">
        <v>-1995</v>
      </c>
      <c r="M128" s="24"/>
      <c r="N128" s="112" t="s">
        <v>670</v>
      </c>
      <c r="O128" s="187">
        <v>0.5</v>
      </c>
    </row>
    <row r="129" spans="1:15">
      <c r="A129" s="173" t="str">
        <f t="shared" ref="A129:A192" si="2">IF(ISBLANK(J129),"",IF(J129+K129+L129&lt;0,"outbound","inbound"))</f>
        <v>outbound</v>
      </c>
      <c r="B129" s="182">
        <v>45531.544444444444</v>
      </c>
      <c r="C129" s="183" t="s">
        <v>1921</v>
      </c>
      <c r="D129" s="183" t="s">
        <v>2036</v>
      </c>
      <c r="E129" s="215" t="s">
        <v>1978</v>
      </c>
      <c r="F129" s="176" t="s">
        <v>694</v>
      </c>
      <c r="G129" s="176"/>
      <c r="H129" s="112" t="str">
        <f>IF(ISBLANK(E129),"",_xlfn.XLOOKUP(E129,cannabis_log!C:C,cannabis_log!H:H,"",0,1))</f>
        <v>driedflower_bulk</v>
      </c>
      <c r="I129" s="189">
        <v>44686</v>
      </c>
      <c r="J129" s="185">
        <v>-1</v>
      </c>
      <c r="K129" s="186">
        <v>-985</v>
      </c>
      <c r="L129" s="288">
        <v>0</v>
      </c>
      <c r="M129" s="188"/>
      <c r="N129" s="176" t="s">
        <v>664</v>
      </c>
      <c r="O129" s="180">
        <v>0</v>
      </c>
    </row>
    <row r="130" spans="1:15">
      <c r="A130" s="181" t="str">
        <f t="shared" si="2"/>
        <v>outbound</v>
      </c>
      <c r="B130" s="182">
        <v>45531.544444444444</v>
      </c>
      <c r="C130" s="183" t="s">
        <v>1921</v>
      </c>
      <c r="D130" s="183" t="s">
        <v>2036</v>
      </c>
      <c r="E130" s="215" t="s">
        <v>2048</v>
      </c>
      <c r="F130" s="112" t="s">
        <v>694</v>
      </c>
      <c r="G130" s="112"/>
      <c r="H130" s="112" t="str">
        <f>IF(ISBLANK(E130),"",_xlfn.XLOOKUP(E130,cannabis_log!C:C,cannabis_log!H:H,"",0,1))</f>
        <v>driedflower_bulk</v>
      </c>
      <c r="I130" s="113">
        <v>44686</v>
      </c>
      <c r="J130" s="185">
        <v>-1</v>
      </c>
      <c r="K130" s="186">
        <v>-450.8</v>
      </c>
      <c r="L130" s="288">
        <v>0</v>
      </c>
      <c r="M130" s="24"/>
      <c r="N130" s="112" t="s">
        <v>664</v>
      </c>
      <c r="O130" s="187">
        <v>0</v>
      </c>
    </row>
    <row r="131" spans="1:15">
      <c r="A131" s="173" t="str">
        <f t="shared" si="2"/>
        <v>outbound</v>
      </c>
      <c r="B131" s="182">
        <v>45532</v>
      </c>
      <c r="C131" s="183" t="s">
        <v>1921</v>
      </c>
      <c r="D131" s="183" t="s">
        <v>2049</v>
      </c>
      <c r="E131" s="215" t="s">
        <v>2050</v>
      </c>
      <c r="F131" s="176" t="s">
        <v>694</v>
      </c>
      <c r="G131" s="176"/>
      <c r="H131" s="112" t="str">
        <f>IF(ISBLANK(E131),"",_xlfn.XLOOKUP(E131,cannabis_log!C:C,cannabis_log!H:H,"",0,1))</f>
        <v>driedflower_bulk</v>
      </c>
      <c r="I131" s="189">
        <v>44686</v>
      </c>
      <c r="J131" s="185">
        <v>-1</v>
      </c>
      <c r="K131" s="186">
        <v>-1016.1</v>
      </c>
      <c r="L131" s="288">
        <v>0</v>
      </c>
      <c r="M131" s="188"/>
      <c r="N131" s="176" t="s">
        <v>664</v>
      </c>
      <c r="O131" s="180">
        <v>0</v>
      </c>
    </row>
    <row r="132" spans="1:15">
      <c r="A132" s="173" t="str">
        <f t="shared" si="2"/>
        <v>outbound</v>
      </c>
      <c r="B132" s="182">
        <v>45532.470833333333</v>
      </c>
      <c r="C132" s="183" t="s">
        <v>1921</v>
      </c>
      <c r="D132" s="183" t="s">
        <v>2051</v>
      </c>
      <c r="E132" s="215" t="s">
        <v>1964</v>
      </c>
      <c r="F132" s="176" t="s">
        <v>535</v>
      </c>
      <c r="G132" s="176"/>
      <c r="H132" s="112" t="str">
        <f>IF(ISBLANK(E132),"",_xlfn.XLOOKUP(E132,cannabis_log!C:C,cannabis_log!H:H,"",0,1))</f>
        <v>preroll_labelled</v>
      </c>
      <c r="I132" s="189">
        <v>45567</v>
      </c>
      <c r="J132" s="185">
        <v>-12</v>
      </c>
      <c r="K132" s="186">
        <v>0</v>
      </c>
      <c r="L132" s="288">
        <v>-18</v>
      </c>
      <c r="M132" s="188"/>
      <c r="N132" s="176" t="s">
        <v>670</v>
      </c>
      <c r="O132" s="180">
        <v>1.5</v>
      </c>
    </row>
    <row r="133" spans="1:15">
      <c r="A133" s="181" t="str">
        <f t="shared" si="2"/>
        <v>inbound</v>
      </c>
      <c r="B133" s="182">
        <v>45532.486805555556</v>
      </c>
      <c r="C133" s="183" t="s">
        <v>1927</v>
      </c>
      <c r="D133" s="183"/>
      <c r="E133" s="215" t="s">
        <v>1963</v>
      </c>
      <c r="F133" s="112" t="s">
        <v>1313</v>
      </c>
      <c r="G133" s="112"/>
      <c r="H133" s="112" t="str">
        <f>IF(ISBLANK(E133),"",_xlfn.XLOOKUP(E133,cannabis_log!C:C,cannabis_log!H:H,"",0,1))</f>
        <v>preroll_packaged</v>
      </c>
      <c r="I133" s="113">
        <v>45541</v>
      </c>
      <c r="J133" s="185">
        <v>241</v>
      </c>
      <c r="K133" s="186">
        <v>0</v>
      </c>
      <c r="L133" s="288">
        <v>361.5</v>
      </c>
      <c r="M133" s="24"/>
      <c r="N133" s="112" t="s">
        <v>670</v>
      </c>
      <c r="O133" s="187">
        <v>1.5</v>
      </c>
    </row>
    <row r="134" spans="1:15">
      <c r="A134" s="173" t="str">
        <f t="shared" si="2"/>
        <v>outbound</v>
      </c>
      <c r="B134" s="182">
        <v>45533.417361111111</v>
      </c>
      <c r="C134" s="183" t="s">
        <v>1921</v>
      </c>
      <c r="D134" s="183" t="s">
        <v>2052</v>
      </c>
      <c r="E134" s="215" t="s">
        <v>2053</v>
      </c>
      <c r="F134" s="176" t="s">
        <v>2054</v>
      </c>
      <c r="G134" s="176"/>
      <c r="H134" s="112" t="str">
        <f>IF(ISBLANK(E134),"",_xlfn.XLOOKUP(E134,cannabis_log!C:C,cannabis_log!H:H,"",0,1))</f>
        <v>extract_ingested_labelled</v>
      </c>
      <c r="I134" s="189">
        <v>45457</v>
      </c>
      <c r="J134" s="185">
        <v>-9</v>
      </c>
      <c r="K134" s="186">
        <v>0</v>
      </c>
      <c r="L134" s="288">
        <v>-1359</v>
      </c>
      <c r="M134" s="188"/>
      <c r="N134" s="176" t="s">
        <v>670</v>
      </c>
      <c r="O134" s="180">
        <v>151</v>
      </c>
    </row>
    <row r="135" spans="1:15">
      <c r="A135" s="181" t="str">
        <f t="shared" si="2"/>
        <v>outbound</v>
      </c>
      <c r="B135" s="182">
        <v>45533.417361111111</v>
      </c>
      <c r="C135" s="183" t="s">
        <v>1921</v>
      </c>
      <c r="D135" s="183" t="s">
        <v>2052</v>
      </c>
      <c r="E135" s="215" t="s">
        <v>2055</v>
      </c>
      <c r="F135" s="112" t="s">
        <v>1314</v>
      </c>
      <c r="G135" s="112"/>
      <c r="H135" s="112" t="str">
        <f>IF(ISBLANK(E135),"",_xlfn.XLOOKUP(E135,cannabis_log!C:C,cannabis_log!H:H,"",0,1))</f>
        <v>extract_ingested_cased_BC</v>
      </c>
      <c r="I135" s="113">
        <v>45503</v>
      </c>
      <c r="J135" s="185">
        <v>-48</v>
      </c>
      <c r="K135" s="186">
        <v>0</v>
      </c>
      <c r="L135" s="288">
        <v>-7248</v>
      </c>
      <c r="M135" s="24"/>
      <c r="N135" s="112" t="s">
        <v>670</v>
      </c>
      <c r="O135" s="187">
        <v>151</v>
      </c>
    </row>
    <row r="136" spans="1:15">
      <c r="A136" s="173" t="str">
        <f t="shared" si="2"/>
        <v>outbound</v>
      </c>
      <c r="B136" s="182">
        <v>45533.417361111111</v>
      </c>
      <c r="C136" s="183" t="s">
        <v>1921</v>
      </c>
      <c r="D136" s="183" t="s">
        <v>2052</v>
      </c>
      <c r="E136" s="215" t="s">
        <v>2056</v>
      </c>
      <c r="F136" s="176" t="s">
        <v>1019</v>
      </c>
      <c r="G136" s="176"/>
      <c r="H136" s="112" t="str">
        <f>IF(ISBLANK(E136),"",_xlfn.XLOOKUP(E136,cannabis_log!C:C,cannabis_log!H:H,"",0,1))</f>
        <v>extract_ingested_labelled_damaged</v>
      </c>
      <c r="I136" s="189">
        <v>45523</v>
      </c>
      <c r="J136" s="185">
        <v>-87</v>
      </c>
      <c r="K136" s="186">
        <v>0</v>
      </c>
      <c r="L136" s="288">
        <v>-13137</v>
      </c>
      <c r="M136" s="188"/>
      <c r="N136" s="176" t="s">
        <v>670</v>
      </c>
      <c r="O136" s="180">
        <v>151</v>
      </c>
    </row>
    <row r="137" spans="1:15">
      <c r="A137" s="181" t="str">
        <f t="shared" si="2"/>
        <v>outbound</v>
      </c>
      <c r="B137" s="182">
        <v>45533.588888888888</v>
      </c>
      <c r="C137" s="183" t="s">
        <v>1921</v>
      </c>
      <c r="D137" s="183" t="s">
        <v>2057</v>
      </c>
      <c r="E137" s="215" t="s">
        <v>2022</v>
      </c>
      <c r="F137" s="112">
        <v>2024050601</v>
      </c>
      <c r="G137" s="112"/>
      <c r="H137" s="112" t="str">
        <f>IF(ISBLANK(E137),"",_xlfn.XLOOKUP(E137,cannabis_log!C:C,cannabis_log!H:H,"",0,1))</f>
        <v>extract_inhaled_bulk</v>
      </c>
      <c r="I137" s="113" t="s">
        <v>55</v>
      </c>
      <c r="J137" s="185">
        <v>-1</v>
      </c>
      <c r="K137" s="186">
        <v>-104.86</v>
      </c>
      <c r="L137" s="288">
        <v>0</v>
      </c>
      <c r="M137" s="24"/>
      <c r="N137" s="112" t="s">
        <v>664</v>
      </c>
      <c r="O137" s="187">
        <v>0</v>
      </c>
    </row>
    <row r="138" spans="1:15">
      <c r="A138" s="173" t="str">
        <f t="shared" si="2"/>
        <v>outbound</v>
      </c>
      <c r="B138" s="182">
        <v>45533.588888888888</v>
      </c>
      <c r="C138" s="183" t="s">
        <v>1921</v>
      </c>
      <c r="D138" s="183" t="s">
        <v>2057</v>
      </c>
      <c r="E138" s="215" t="s">
        <v>2058</v>
      </c>
      <c r="F138" s="176">
        <v>2024030601</v>
      </c>
      <c r="G138" s="176"/>
      <c r="H138" s="112" t="str">
        <f>IF(ISBLANK(E138),"",_xlfn.XLOOKUP(E138,cannabis_log!C:C,cannabis_log!H:H,"",0,1))</f>
        <v>extract_inhaled_bulk</v>
      </c>
      <c r="I138" s="189">
        <v>45296</v>
      </c>
      <c r="J138" s="185">
        <v>-1</v>
      </c>
      <c r="K138" s="186">
        <v>-2133.6</v>
      </c>
      <c r="L138" s="288">
        <v>0</v>
      </c>
      <c r="M138" s="188"/>
      <c r="N138" s="176" t="s">
        <v>664</v>
      </c>
      <c r="O138" s="180">
        <v>0</v>
      </c>
    </row>
    <row r="139" spans="1:15">
      <c r="A139" s="181" t="str">
        <f t="shared" si="2"/>
        <v>outbound</v>
      </c>
      <c r="B139" s="182">
        <v>45533.593055555553</v>
      </c>
      <c r="C139" s="183" t="s">
        <v>1921</v>
      </c>
      <c r="D139" s="183" t="s">
        <v>2059</v>
      </c>
      <c r="E139" s="215" t="s">
        <v>2060</v>
      </c>
      <c r="F139" s="112">
        <v>2024082701</v>
      </c>
      <c r="G139" s="112"/>
      <c r="H139" s="112" t="str">
        <f>IF(ISBLANK(E139),"",_xlfn.XLOOKUP(E139,cannabis_log!C:C,cannabis_log!H:H,"",0,1))</f>
        <v>extract_distillate_bulk</v>
      </c>
      <c r="I139" s="113" t="s">
        <v>55</v>
      </c>
      <c r="J139" s="185">
        <v>-1</v>
      </c>
      <c r="K139" s="186">
        <v>-2082.8000000000002</v>
      </c>
      <c r="L139" s="288">
        <v>0</v>
      </c>
      <c r="M139" s="24"/>
      <c r="N139" s="112" t="s">
        <v>664</v>
      </c>
      <c r="O139" s="187">
        <v>0</v>
      </c>
    </row>
    <row r="140" spans="1:15">
      <c r="A140" s="181" t="str">
        <f t="shared" si="2"/>
        <v>inbound</v>
      </c>
      <c r="B140" s="182">
        <v>45533.609722222223</v>
      </c>
      <c r="C140" s="183" t="s">
        <v>1927</v>
      </c>
      <c r="D140" s="183"/>
      <c r="E140" s="215" t="s">
        <v>1978</v>
      </c>
      <c r="F140" s="112" t="s">
        <v>694</v>
      </c>
      <c r="G140" s="112"/>
      <c r="H140" s="112" t="str">
        <f>IF(ISBLANK(E140),"",_xlfn.XLOOKUP(E140,cannabis_log!C:C,cannabis_log!H:H,"",0,1))</f>
        <v>driedflower_bulk</v>
      </c>
      <c r="I140" s="113">
        <v>44686</v>
      </c>
      <c r="J140" s="185">
        <v>1</v>
      </c>
      <c r="K140" s="186">
        <v>980</v>
      </c>
      <c r="L140" s="288">
        <v>0</v>
      </c>
      <c r="M140" s="24"/>
      <c r="N140" s="112" t="s">
        <v>664</v>
      </c>
      <c r="O140" s="187">
        <v>0</v>
      </c>
    </row>
    <row r="141" spans="1:15">
      <c r="A141" s="173" t="str">
        <f t="shared" si="2"/>
        <v>inbound</v>
      </c>
      <c r="B141" s="182">
        <v>45533.609722222223</v>
      </c>
      <c r="C141" s="183" t="s">
        <v>1927</v>
      </c>
      <c r="D141" s="183"/>
      <c r="E141" s="215" t="s">
        <v>2050</v>
      </c>
      <c r="F141" s="176" t="s">
        <v>694</v>
      </c>
      <c r="G141" s="176"/>
      <c r="H141" s="112" t="str">
        <f>IF(ISBLANK(E141),"",_xlfn.XLOOKUP(E141,cannabis_log!C:C,cannabis_log!H:H,"",0,1))</f>
        <v>driedflower_bulk</v>
      </c>
      <c r="I141" s="189">
        <v>44686</v>
      </c>
      <c r="J141" s="185">
        <v>1</v>
      </c>
      <c r="K141" s="186">
        <v>705</v>
      </c>
      <c r="L141" s="288">
        <v>0</v>
      </c>
      <c r="M141" s="188"/>
      <c r="N141" s="176" t="s">
        <v>664</v>
      </c>
      <c r="O141" s="180">
        <v>0</v>
      </c>
    </row>
    <row r="142" spans="1:15">
      <c r="A142" s="181" t="str">
        <f t="shared" si="2"/>
        <v>outbound</v>
      </c>
      <c r="B142" s="182">
        <v>45533.666666666664</v>
      </c>
      <c r="C142" s="183" t="s">
        <v>1921</v>
      </c>
      <c r="D142" s="183" t="s">
        <v>2061</v>
      </c>
      <c r="E142" s="215" t="s">
        <v>1995</v>
      </c>
      <c r="F142" s="112">
        <v>2024022201</v>
      </c>
      <c r="G142" s="112"/>
      <c r="H142" s="112" t="str">
        <f>IF(ISBLANK(E142),"",_xlfn.XLOOKUP(E142,cannabis_log!C:C,cannabis_log!H:H,"",0,1))</f>
        <v>extract_distillate_bulk</v>
      </c>
      <c r="I142" s="113">
        <v>45407</v>
      </c>
      <c r="J142" s="185">
        <v>-1</v>
      </c>
      <c r="K142" s="186">
        <v>-459.27</v>
      </c>
      <c r="L142" s="288">
        <v>0</v>
      </c>
      <c r="M142" s="24"/>
      <c r="N142" s="112" t="s">
        <v>664</v>
      </c>
      <c r="O142" s="187">
        <v>0</v>
      </c>
    </row>
    <row r="143" spans="1:15">
      <c r="A143" s="173" t="str">
        <f t="shared" si="2"/>
        <v>outbound</v>
      </c>
      <c r="B143" s="182">
        <v>45533.666666666664</v>
      </c>
      <c r="C143" s="183" t="s">
        <v>1921</v>
      </c>
      <c r="D143" s="183" t="s">
        <v>2061</v>
      </c>
      <c r="E143" s="215" t="s">
        <v>2062</v>
      </c>
      <c r="F143" s="176">
        <v>2022082401</v>
      </c>
      <c r="G143" s="176"/>
      <c r="H143" s="112" t="str">
        <f>IF(ISBLANK(E143),"",_xlfn.XLOOKUP(E143,cannabis_log!C:C,cannabis_log!H:H,"",0,1))</f>
        <v>extract_distillate_bulk</v>
      </c>
      <c r="I143" s="189" t="s">
        <v>55</v>
      </c>
      <c r="J143" s="185">
        <v>-1</v>
      </c>
      <c r="K143" s="186">
        <v>-641</v>
      </c>
      <c r="L143" s="288">
        <v>0</v>
      </c>
      <c r="M143" s="188"/>
      <c r="N143" s="176" t="s">
        <v>664</v>
      </c>
      <c r="O143" s="180">
        <v>0</v>
      </c>
    </row>
    <row r="144" spans="1:15">
      <c r="A144" s="181" t="str">
        <f t="shared" si="2"/>
        <v>outbound</v>
      </c>
      <c r="B144" s="182">
        <v>45533.666666666664</v>
      </c>
      <c r="C144" s="183" t="s">
        <v>1921</v>
      </c>
      <c r="D144" s="183" t="s">
        <v>2061</v>
      </c>
      <c r="E144" s="215" t="s">
        <v>2031</v>
      </c>
      <c r="F144" s="112">
        <v>2024101701</v>
      </c>
      <c r="G144" s="112"/>
      <c r="H144" s="112" t="str">
        <f>IF(ISBLANK(E144),"",_xlfn.XLOOKUP(E144,cannabis_log!C:C,cannabis_log!H:H,"",0,1))</f>
        <v>extract_distillate_bulk</v>
      </c>
      <c r="I144" s="113">
        <v>45523</v>
      </c>
      <c r="J144" s="185">
        <v>-1</v>
      </c>
      <c r="K144" s="186">
        <v>-2002</v>
      </c>
      <c r="L144" s="288">
        <v>0</v>
      </c>
      <c r="M144" s="24"/>
      <c r="N144" s="112" t="s">
        <v>664</v>
      </c>
      <c r="O144" s="187">
        <v>0</v>
      </c>
    </row>
    <row r="145" spans="1:15">
      <c r="A145" s="173" t="str">
        <f t="shared" si="2"/>
        <v>inbound</v>
      </c>
      <c r="B145" s="182">
        <v>45533.6875</v>
      </c>
      <c r="C145" s="183" t="s">
        <v>1927</v>
      </c>
      <c r="D145" s="183"/>
      <c r="E145" s="215" t="s">
        <v>2056</v>
      </c>
      <c r="F145" s="176" t="s">
        <v>1019</v>
      </c>
      <c r="G145" s="176"/>
      <c r="H145" s="112" t="str">
        <f>IF(ISBLANK(E145),"",_xlfn.XLOOKUP(E145,cannabis_log!C:C,cannabis_log!H:H,"",0,1))</f>
        <v>extract_ingested_labelled_damaged</v>
      </c>
      <c r="I145" s="189">
        <v>45523</v>
      </c>
      <c r="J145" s="185">
        <v>48</v>
      </c>
      <c r="K145" s="186">
        <v>0</v>
      </c>
      <c r="L145" s="288">
        <v>7248</v>
      </c>
      <c r="M145" s="188"/>
      <c r="N145" s="176" t="s">
        <v>670</v>
      </c>
      <c r="O145" s="180">
        <v>151</v>
      </c>
    </row>
    <row r="146" spans="1:15">
      <c r="A146" s="181" t="str">
        <f t="shared" si="2"/>
        <v>outbound</v>
      </c>
      <c r="B146" s="182">
        <v>45534.428472222222</v>
      </c>
      <c r="C146" s="183" t="s">
        <v>1929</v>
      </c>
      <c r="D146" s="183" t="s">
        <v>2063</v>
      </c>
      <c r="E146" s="215" t="s">
        <v>2064</v>
      </c>
      <c r="F146" s="112" t="s">
        <v>828</v>
      </c>
      <c r="G146" s="112"/>
      <c r="H146" s="112" t="str">
        <f>IF(ISBLANK(E146),"",_xlfn.XLOOKUP(E146,cannabis_log!C:C,cannabis_log!H:H,"",0,1))</f>
        <v>preroll_labelled</v>
      </c>
      <c r="I146" s="113">
        <v>44888</v>
      </c>
      <c r="J146" s="185">
        <v>-12</v>
      </c>
      <c r="K146" s="186">
        <v>0</v>
      </c>
      <c r="L146" s="288">
        <v>-12</v>
      </c>
      <c r="M146" s="24"/>
      <c r="N146" s="112" t="s">
        <v>670</v>
      </c>
      <c r="O146" s="187">
        <v>1</v>
      </c>
    </row>
    <row r="147" spans="1:15">
      <c r="A147" s="173" t="str">
        <f t="shared" si="2"/>
        <v>outbound</v>
      </c>
      <c r="B147" s="182">
        <v>45534.428472222222</v>
      </c>
      <c r="C147" s="183" t="s">
        <v>1929</v>
      </c>
      <c r="D147" s="183" t="s">
        <v>2063</v>
      </c>
      <c r="E147" s="215" t="s">
        <v>1952</v>
      </c>
      <c r="F147" s="176" t="s">
        <v>1609</v>
      </c>
      <c r="G147" s="176"/>
      <c r="H147" s="112" t="str">
        <f>IF(ISBLANK(E147),"",_xlfn.XLOOKUP(E147,cannabis_log!C:C,cannabis_log!H:H,"",0,1))</f>
        <v>preroll_labelled</v>
      </c>
      <c r="I147" s="189">
        <v>45462</v>
      </c>
      <c r="J147" s="185">
        <v>-12</v>
      </c>
      <c r="K147" s="186">
        <v>0</v>
      </c>
      <c r="L147" s="288">
        <v>-12</v>
      </c>
      <c r="M147" s="188"/>
      <c r="N147" s="176" t="s">
        <v>670</v>
      </c>
      <c r="O147" s="180">
        <v>1</v>
      </c>
    </row>
    <row r="148" spans="1:15">
      <c r="A148" s="181" t="str">
        <f t="shared" si="2"/>
        <v>outbound</v>
      </c>
      <c r="B148" s="182">
        <v>45534.436111111114</v>
      </c>
      <c r="C148" s="183" t="s">
        <v>1929</v>
      </c>
      <c r="D148" s="183" t="s">
        <v>2063</v>
      </c>
      <c r="E148" s="215" t="s">
        <v>2065</v>
      </c>
      <c r="F148" s="112" t="s">
        <v>587</v>
      </c>
      <c r="G148" s="112"/>
      <c r="H148" s="112" t="str">
        <f>IF(ISBLANK(E148),"",_xlfn.XLOOKUP(E148,cannabis_log!C:C,cannabis_log!H:H,"",0,1))</f>
        <v>preroll_labelled</v>
      </c>
      <c r="I148" s="113">
        <v>45457</v>
      </c>
      <c r="J148" s="185">
        <v>-12</v>
      </c>
      <c r="K148" s="186">
        <v>0</v>
      </c>
      <c r="L148" s="288">
        <v>-18</v>
      </c>
      <c r="M148" s="24"/>
      <c r="N148" s="112" t="s">
        <v>670</v>
      </c>
      <c r="O148" s="187">
        <v>1.5</v>
      </c>
    </row>
    <row r="149" spans="1:15">
      <c r="A149" s="173" t="str">
        <f t="shared" si="2"/>
        <v>outbound</v>
      </c>
      <c r="B149" s="182">
        <v>45534.436111111114</v>
      </c>
      <c r="C149" s="183" t="s">
        <v>1929</v>
      </c>
      <c r="D149" s="183" t="s">
        <v>2063</v>
      </c>
      <c r="E149" s="215" t="s">
        <v>1964</v>
      </c>
      <c r="F149" s="176" t="s">
        <v>535</v>
      </c>
      <c r="G149" s="176"/>
      <c r="H149" s="112" t="str">
        <f>IF(ISBLANK(E149),"",_xlfn.XLOOKUP(E149,cannabis_log!C:C,cannabis_log!H:H,"",0,1))</f>
        <v>preroll_labelled</v>
      </c>
      <c r="I149" s="189">
        <v>45567</v>
      </c>
      <c r="J149" s="185">
        <v>-12</v>
      </c>
      <c r="K149" s="186">
        <v>0</v>
      </c>
      <c r="L149" s="288">
        <v>-18</v>
      </c>
      <c r="M149" s="188"/>
      <c r="N149" s="176" t="s">
        <v>670</v>
      </c>
      <c r="O149" s="180">
        <v>1.5</v>
      </c>
    </row>
    <row r="150" spans="1:15">
      <c r="A150" s="181" t="str">
        <f t="shared" si="2"/>
        <v>outbound</v>
      </c>
      <c r="B150" s="182">
        <v>45534.436111111114</v>
      </c>
      <c r="C150" s="183" t="s">
        <v>1929</v>
      </c>
      <c r="D150" s="183" t="s">
        <v>2063</v>
      </c>
      <c r="E150" s="215" t="s">
        <v>1965</v>
      </c>
      <c r="F150" s="112" t="s">
        <v>630</v>
      </c>
      <c r="G150" s="112"/>
      <c r="H150" s="112" t="str">
        <f>IF(ISBLANK(E150),"",_xlfn.XLOOKUP(E150,cannabis_log!C:C,cannabis_log!H:H,"",0,1))</f>
        <v>preroll_labelled</v>
      </c>
      <c r="I150" s="113">
        <v>45543</v>
      </c>
      <c r="J150" s="185">
        <v>-12</v>
      </c>
      <c r="K150" s="186">
        <v>0</v>
      </c>
      <c r="L150" s="288">
        <v>-18</v>
      </c>
      <c r="M150" s="24"/>
      <c r="N150" s="112" t="s">
        <v>670</v>
      </c>
      <c r="O150" s="187">
        <v>1.5</v>
      </c>
    </row>
    <row r="151" spans="1:15">
      <c r="A151" s="173" t="str">
        <f t="shared" si="2"/>
        <v>outbound</v>
      </c>
      <c r="B151" s="182">
        <v>45534.436111111114</v>
      </c>
      <c r="C151" s="183" t="s">
        <v>1929</v>
      </c>
      <c r="D151" s="183" t="s">
        <v>2063</v>
      </c>
      <c r="E151" s="215" t="s">
        <v>2066</v>
      </c>
      <c r="F151" s="176" t="s">
        <v>1575</v>
      </c>
      <c r="G151" s="176"/>
      <c r="H151" s="112" t="str">
        <f>IF(ISBLANK(E151),"",_xlfn.XLOOKUP(E151,cannabis_log!C:C,cannabis_log!H:H,"",0,1))</f>
        <v>preroll_labelled</v>
      </c>
      <c r="I151" s="189">
        <v>45457</v>
      </c>
      <c r="J151" s="185">
        <v>-12</v>
      </c>
      <c r="K151" s="186">
        <v>0</v>
      </c>
      <c r="L151" s="288">
        <v>-18</v>
      </c>
      <c r="M151" s="188"/>
      <c r="N151" s="176" t="s">
        <v>670</v>
      </c>
      <c r="O151" s="180">
        <v>1.5</v>
      </c>
    </row>
    <row r="152" spans="1:15">
      <c r="A152" s="173" t="str">
        <f t="shared" si="2"/>
        <v>inbound</v>
      </c>
      <c r="B152" s="182">
        <v>45538</v>
      </c>
      <c r="C152" s="183" t="s">
        <v>1927</v>
      </c>
      <c r="D152" s="183"/>
      <c r="E152" s="215" t="s">
        <v>2031</v>
      </c>
      <c r="F152" s="176">
        <v>2024101701</v>
      </c>
      <c r="G152" s="176"/>
      <c r="H152" s="112" t="str">
        <f>IF(ISBLANK(E152),"",_xlfn.XLOOKUP(E152,cannabis_log!C:C,cannabis_log!H:H,"",0,1))</f>
        <v>extract_distillate_bulk</v>
      </c>
      <c r="I152" s="189">
        <v>45523</v>
      </c>
      <c r="J152" s="185">
        <v>1</v>
      </c>
      <c r="K152" s="186">
        <v>2911</v>
      </c>
      <c r="L152" s="288">
        <v>0</v>
      </c>
      <c r="M152" s="188"/>
      <c r="N152" s="176" t="s">
        <v>664</v>
      </c>
      <c r="O152" s="180">
        <v>0</v>
      </c>
    </row>
    <row r="153" spans="1:15">
      <c r="A153" s="181" t="str">
        <f t="shared" si="2"/>
        <v>outbound</v>
      </c>
      <c r="B153" s="182">
        <v>45538.38958333333</v>
      </c>
      <c r="C153" s="183" t="s">
        <v>1921</v>
      </c>
      <c r="D153" s="183"/>
      <c r="E153" s="215" t="s">
        <v>2067</v>
      </c>
      <c r="F153" s="112" t="s">
        <v>907</v>
      </c>
      <c r="G153" s="112"/>
      <c r="H153" s="112" t="str">
        <f>IF(ISBLANK(E153),"",_xlfn.XLOOKUP(E153,cannabis_log!C:C,cannabis_log!H:H,"",0,1))</f>
        <v>driedflower_milled_bulk</v>
      </c>
      <c r="I153" s="113" t="s">
        <v>55</v>
      </c>
      <c r="J153" s="185">
        <v>-1</v>
      </c>
      <c r="K153" s="186">
        <v>-5655</v>
      </c>
      <c r="L153" s="288">
        <v>0</v>
      </c>
      <c r="M153" s="24"/>
      <c r="N153" s="112" t="s">
        <v>664</v>
      </c>
      <c r="O153" s="187">
        <v>0</v>
      </c>
    </row>
    <row r="154" spans="1:15">
      <c r="A154" s="181" t="str">
        <f t="shared" si="2"/>
        <v>inbound</v>
      </c>
      <c r="B154" s="182">
        <v>45538.490277777775</v>
      </c>
      <c r="C154" s="183" t="s">
        <v>1927</v>
      </c>
      <c r="D154" s="183"/>
      <c r="E154" s="215" t="s">
        <v>1995</v>
      </c>
      <c r="F154" s="112">
        <v>2024022201</v>
      </c>
      <c r="G154" s="112"/>
      <c r="H154" s="112" t="str">
        <f>IF(ISBLANK(E154),"",_xlfn.XLOOKUP(E154,cannabis_log!C:C,cannabis_log!H:H,"",0,1))</f>
        <v>extract_distillate_bulk</v>
      </c>
      <c r="I154" s="113">
        <v>45407</v>
      </c>
      <c r="J154" s="185">
        <v>1</v>
      </c>
      <c r="K154" s="186">
        <v>365.2</v>
      </c>
      <c r="L154" s="288">
        <v>0</v>
      </c>
      <c r="M154" s="24"/>
      <c r="N154" s="112" t="s">
        <v>664</v>
      </c>
      <c r="O154" s="187">
        <v>0</v>
      </c>
    </row>
    <row r="155" spans="1:15">
      <c r="A155" s="173" t="str">
        <f t="shared" si="2"/>
        <v>outbound</v>
      </c>
      <c r="B155" s="182">
        <v>45538.501388888886</v>
      </c>
      <c r="C155" s="183" t="s">
        <v>1929</v>
      </c>
      <c r="D155" s="183"/>
      <c r="E155" s="215" t="s">
        <v>2068</v>
      </c>
      <c r="F155" s="176" t="s">
        <v>1019</v>
      </c>
      <c r="G155" s="176"/>
      <c r="H155" s="112" t="str">
        <f>IF(ISBLANK(E155),"",_xlfn.XLOOKUP(E155,cannabis_log!C:C,cannabis_log!H:H,"",0,1))</f>
        <v>extract_ingested_labelled</v>
      </c>
      <c r="I155" s="189">
        <v>45523</v>
      </c>
      <c r="J155" s="185">
        <v>-154</v>
      </c>
      <c r="K155" s="186">
        <v>0</v>
      </c>
      <c r="L155" s="288">
        <v>-23254</v>
      </c>
      <c r="M155" s="188"/>
      <c r="N155" s="176" t="s">
        <v>670</v>
      </c>
      <c r="O155" s="180">
        <v>151</v>
      </c>
    </row>
    <row r="156" spans="1:15">
      <c r="A156" s="181" t="str">
        <f t="shared" si="2"/>
        <v>outbound</v>
      </c>
      <c r="B156" s="182">
        <v>45538.501388888886</v>
      </c>
      <c r="C156" s="183" t="s">
        <v>1929</v>
      </c>
      <c r="D156" s="183"/>
      <c r="E156" s="215" t="s">
        <v>2056</v>
      </c>
      <c r="F156" s="112" t="s">
        <v>1019</v>
      </c>
      <c r="G156" s="112"/>
      <c r="H156" s="112" t="str">
        <f>IF(ISBLANK(E156),"",_xlfn.XLOOKUP(E156,cannabis_log!C:C,cannabis_log!H:H,"",0,1))</f>
        <v>extract_ingested_labelled_damaged</v>
      </c>
      <c r="I156" s="113">
        <v>45523</v>
      </c>
      <c r="J156" s="185">
        <v>-48</v>
      </c>
      <c r="K156" s="186">
        <v>0</v>
      </c>
      <c r="L156" s="288">
        <v>-7248</v>
      </c>
      <c r="M156" s="24"/>
      <c r="N156" s="112" t="s">
        <v>670</v>
      </c>
      <c r="O156" s="187">
        <v>151</v>
      </c>
    </row>
    <row r="157" spans="1:15">
      <c r="A157" s="173" t="str">
        <f t="shared" si="2"/>
        <v>outbound</v>
      </c>
      <c r="B157" s="182">
        <v>45538.503472222219</v>
      </c>
      <c r="C157" s="183" t="s">
        <v>1929</v>
      </c>
      <c r="D157" s="183"/>
      <c r="E157" s="215" t="s">
        <v>2069</v>
      </c>
      <c r="F157" s="176" t="s">
        <v>1314</v>
      </c>
      <c r="G157" s="176"/>
      <c r="H157" s="112" t="str">
        <f>IF(ISBLANK(E157),"",_xlfn.XLOOKUP(E157,cannabis_log!C:C,cannabis_log!H:H,"",0,1))</f>
        <v>extract_ingested_labelled</v>
      </c>
      <c r="I157" s="189">
        <v>45503</v>
      </c>
      <c r="J157" s="185">
        <v>-253</v>
      </c>
      <c r="K157" s="186">
        <v>0</v>
      </c>
      <c r="L157" s="288">
        <v>-38203</v>
      </c>
      <c r="M157" s="188"/>
      <c r="N157" s="176" t="s">
        <v>670</v>
      </c>
      <c r="O157" s="180">
        <v>151</v>
      </c>
    </row>
    <row r="158" spans="1:15">
      <c r="A158" s="181" t="str">
        <f t="shared" si="2"/>
        <v>outbound</v>
      </c>
      <c r="B158" s="182">
        <v>45538.503472222219</v>
      </c>
      <c r="C158" s="183" t="s">
        <v>1929</v>
      </c>
      <c r="D158" s="183"/>
      <c r="E158" s="215" t="s">
        <v>2070</v>
      </c>
      <c r="F158" s="112" t="s">
        <v>1314</v>
      </c>
      <c r="G158" s="112"/>
      <c r="H158" s="112" t="str">
        <f>IF(ISBLANK(E158),"",_xlfn.XLOOKUP(E158,cannabis_log!C:C,cannabis_log!H:H,"",0,1))</f>
        <v>extract_ingested_cased_BC</v>
      </c>
      <c r="I158" s="113">
        <v>45503</v>
      </c>
      <c r="J158" s="185">
        <v>-288</v>
      </c>
      <c r="K158" s="186">
        <v>0</v>
      </c>
      <c r="L158" s="288">
        <v>-43488</v>
      </c>
      <c r="M158" s="24"/>
      <c r="N158" s="112" t="s">
        <v>670</v>
      </c>
      <c r="O158" s="187">
        <v>151</v>
      </c>
    </row>
    <row r="159" spans="1:15">
      <c r="A159" s="173" t="str">
        <f t="shared" si="2"/>
        <v>inbound</v>
      </c>
      <c r="B159" s="182">
        <v>45538.65902777778</v>
      </c>
      <c r="C159" s="183" t="s">
        <v>1927</v>
      </c>
      <c r="D159" s="183"/>
      <c r="E159" s="215" t="s">
        <v>2068</v>
      </c>
      <c r="F159" s="176" t="s">
        <v>1019</v>
      </c>
      <c r="G159" s="176"/>
      <c r="H159" s="112" t="str">
        <f>IF(ISBLANK(E159),"",_xlfn.XLOOKUP(E159,cannabis_log!C:C,cannabis_log!H:H,"",0,1))</f>
        <v>extract_ingested_labelled</v>
      </c>
      <c r="I159" s="189">
        <v>45523</v>
      </c>
      <c r="J159" s="185">
        <v>22</v>
      </c>
      <c r="K159" s="186">
        <v>0</v>
      </c>
      <c r="L159" s="288">
        <v>3322</v>
      </c>
      <c r="M159" s="188"/>
      <c r="N159" s="176" t="s">
        <v>670</v>
      </c>
      <c r="O159" s="180">
        <v>151</v>
      </c>
    </row>
    <row r="160" spans="1:15">
      <c r="A160" s="181" t="str">
        <f t="shared" si="2"/>
        <v>inbound</v>
      </c>
      <c r="B160" s="182">
        <v>45538.65902777778</v>
      </c>
      <c r="C160" s="183" t="s">
        <v>1927</v>
      </c>
      <c r="D160" s="183"/>
      <c r="E160" s="215" t="s">
        <v>2069</v>
      </c>
      <c r="F160" s="112" t="s">
        <v>1314</v>
      </c>
      <c r="G160" s="112"/>
      <c r="H160" s="112" t="str">
        <f>IF(ISBLANK(E160),"",_xlfn.XLOOKUP(E160,cannabis_log!C:C,cannabis_log!H:H,"",0,1))</f>
        <v>extract_ingested_labelled</v>
      </c>
      <c r="I160" s="113">
        <v>45503</v>
      </c>
      <c r="J160" s="185">
        <v>241</v>
      </c>
      <c r="K160" s="186">
        <v>0</v>
      </c>
      <c r="L160" s="288">
        <v>36391</v>
      </c>
      <c r="M160" s="24"/>
      <c r="N160" s="112" t="s">
        <v>670</v>
      </c>
      <c r="O160" s="187">
        <v>151</v>
      </c>
    </row>
    <row r="161" spans="1:15">
      <c r="A161" s="173" t="str">
        <f t="shared" si="2"/>
        <v>outbound</v>
      </c>
      <c r="B161" s="182">
        <v>45539.468055555553</v>
      </c>
      <c r="C161" s="183" t="s">
        <v>1929</v>
      </c>
      <c r="D161" s="183" t="s">
        <v>2071</v>
      </c>
      <c r="E161" s="215" t="s">
        <v>2072</v>
      </c>
      <c r="F161" s="176" t="s">
        <v>797</v>
      </c>
      <c r="G161" s="176"/>
      <c r="H161" s="112" t="str">
        <f>IF(ISBLANK(E161),"",_xlfn.XLOOKUP(E161,cannabis_log!C:C,cannabis_log!H:H,"",0,1))</f>
        <v>topical_labelled</v>
      </c>
      <c r="I161" s="189">
        <v>45531</v>
      </c>
      <c r="J161" s="185">
        <v>-24</v>
      </c>
      <c r="K161" s="186">
        <v>0</v>
      </c>
      <c r="L161" s="288">
        <v>-2112</v>
      </c>
      <c r="M161" s="188"/>
      <c r="N161" s="176" t="s">
        <v>670</v>
      </c>
      <c r="O161" s="180">
        <v>88</v>
      </c>
    </row>
    <row r="162" spans="1:15">
      <c r="A162" s="181" t="str">
        <f t="shared" si="2"/>
        <v>inbound</v>
      </c>
      <c r="B162" s="182">
        <v>45539.62777777778</v>
      </c>
      <c r="C162" s="183" t="s">
        <v>1927</v>
      </c>
      <c r="D162" s="183"/>
      <c r="E162" s="215" t="s">
        <v>2073</v>
      </c>
      <c r="F162" s="112" t="s">
        <v>1221</v>
      </c>
      <c r="G162" s="112"/>
      <c r="H162" s="112" t="str">
        <f>IF(ISBLANK(E162),"",_xlfn.XLOOKUP(E162,cannabis_log!C:C,cannabis_log!H:H,"",0,1))</f>
        <v>preroll_bulk_inferior</v>
      </c>
      <c r="I162" s="113" t="s">
        <v>55</v>
      </c>
      <c r="J162" s="185">
        <v>63</v>
      </c>
      <c r="K162" s="186">
        <v>0</v>
      </c>
      <c r="L162" s="288">
        <v>31.5</v>
      </c>
      <c r="M162" s="24"/>
      <c r="N162" s="112" t="s">
        <v>670</v>
      </c>
      <c r="O162" s="187">
        <v>0.5</v>
      </c>
    </row>
    <row r="163" spans="1:15">
      <c r="A163" s="173" t="str">
        <f t="shared" si="2"/>
        <v>inbound</v>
      </c>
      <c r="B163" s="182">
        <v>45539.62777777778</v>
      </c>
      <c r="C163" s="183" t="s">
        <v>1927</v>
      </c>
      <c r="D163" s="183"/>
      <c r="E163" s="215" t="s">
        <v>1988</v>
      </c>
      <c r="F163" s="176" t="s">
        <v>1221</v>
      </c>
      <c r="G163" s="176"/>
      <c r="H163" s="112" t="str">
        <f>IF(ISBLANK(E163),"",_xlfn.XLOOKUP(E163,cannabis_log!C:C,cannabis_log!H:H,"",0,1))</f>
        <v>preroll_bulk</v>
      </c>
      <c r="I163" s="189">
        <v>45443</v>
      </c>
      <c r="J163" s="185">
        <v>388</v>
      </c>
      <c r="K163" s="186">
        <v>0</v>
      </c>
      <c r="L163" s="288">
        <v>194</v>
      </c>
      <c r="M163" s="188"/>
      <c r="N163" s="176" t="s">
        <v>670</v>
      </c>
      <c r="O163" s="180">
        <v>0.5</v>
      </c>
    </row>
    <row r="164" spans="1:15">
      <c r="A164" s="181" t="str">
        <f t="shared" si="2"/>
        <v>inbound</v>
      </c>
      <c r="B164" s="182">
        <v>45539.62777777778</v>
      </c>
      <c r="C164" s="183" t="s">
        <v>1927</v>
      </c>
      <c r="D164" s="183"/>
      <c r="E164" s="215" t="s">
        <v>2011</v>
      </c>
      <c r="F164" s="112" t="s">
        <v>905</v>
      </c>
      <c r="G164" s="112"/>
      <c r="H164" s="112" t="str">
        <f>IF(ISBLANK(E164),"",_xlfn.XLOOKUP(E164,cannabis_log!C:C,cannabis_log!H:H,"",0,1))</f>
        <v>preroll_bulk</v>
      </c>
      <c r="I164" s="113" t="s">
        <v>55</v>
      </c>
      <c r="J164" s="185">
        <v>500</v>
      </c>
      <c r="K164" s="186">
        <v>0</v>
      </c>
      <c r="L164" s="288">
        <v>250</v>
      </c>
      <c r="M164" s="24"/>
      <c r="N164" s="112" t="s">
        <v>670</v>
      </c>
      <c r="O164" s="187">
        <v>0.5</v>
      </c>
    </row>
    <row r="165" spans="1:15">
      <c r="A165" s="173" t="str">
        <f t="shared" si="2"/>
        <v>inbound</v>
      </c>
      <c r="B165" s="182">
        <v>45539.62777777778</v>
      </c>
      <c r="C165" s="183" t="s">
        <v>1927</v>
      </c>
      <c r="D165" s="183"/>
      <c r="E165" s="215" t="s">
        <v>2012</v>
      </c>
      <c r="F165" s="176" t="s">
        <v>905</v>
      </c>
      <c r="G165" s="176"/>
      <c r="H165" s="112" t="str">
        <f>IF(ISBLANK(E165),"",_xlfn.XLOOKUP(E165,cannabis_log!C:C,cannabis_log!H:H,"",0,1))</f>
        <v>preroll_bulk</v>
      </c>
      <c r="I165" s="189" t="s">
        <v>55</v>
      </c>
      <c r="J165" s="185">
        <v>507</v>
      </c>
      <c r="K165" s="186">
        <v>0</v>
      </c>
      <c r="L165" s="288">
        <v>253.5</v>
      </c>
      <c r="M165" s="188"/>
      <c r="N165" s="176" t="s">
        <v>670</v>
      </c>
      <c r="O165" s="180">
        <v>0.5</v>
      </c>
    </row>
    <row r="166" spans="1:15">
      <c r="A166" s="181" t="str">
        <f t="shared" si="2"/>
        <v>outbound</v>
      </c>
      <c r="B166" s="182">
        <v>45540.486805555556</v>
      </c>
      <c r="C166" s="183" t="s">
        <v>1921</v>
      </c>
      <c r="D166" s="183"/>
      <c r="E166" s="215" t="s">
        <v>2074</v>
      </c>
      <c r="F166" s="112" t="s">
        <v>2075</v>
      </c>
      <c r="G166" s="112"/>
      <c r="H166" s="112" t="str">
        <f>IF(ISBLANK(E166),"",_xlfn.XLOOKUP(E166,cannabis_log!C:C,cannabis_log!H:H,"",0,1))</f>
        <v>preroll_bulk</v>
      </c>
      <c r="I166" s="113" t="s">
        <v>55</v>
      </c>
      <c r="J166" s="185">
        <v>-339</v>
      </c>
      <c r="K166" s="186">
        <v>0</v>
      </c>
      <c r="L166" s="288">
        <v>-169.5</v>
      </c>
      <c r="M166" s="24"/>
      <c r="N166" s="112" t="s">
        <v>670</v>
      </c>
      <c r="O166" s="187">
        <v>0.5</v>
      </c>
    </row>
    <row r="167" spans="1:15">
      <c r="A167" s="173" t="str">
        <f t="shared" si="2"/>
        <v>outbound</v>
      </c>
      <c r="B167" s="182">
        <v>45540.486805555556</v>
      </c>
      <c r="C167" s="183" t="s">
        <v>1921</v>
      </c>
      <c r="D167" s="183"/>
      <c r="E167" s="215" t="s">
        <v>2012</v>
      </c>
      <c r="F167" s="176" t="s">
        <v>905</v>
      </c>
      <c r="G167" s="176"/>
      <c r="H167" s="112" t="str">
        <f>IF(ISBLANK(E167),"",_xlfn.XLOOKUP(E167,cannabis_log!C:C,cannabis_log!H:H,"",0,1))</f>
        <v>preroll_bulk</v>
      </c>
      <c r="I167" s="189" t="s">
        <v>55</v>
      </c>
      <c r="J167" s="185">
        <v>-507</v>
      </c>
      <c r="K167" s="186">
        <v>0</v>
      </c>
      <c r="L167" s="288">
        <v>-253.5</v>
      </c>
      <c r="M167" s="188"/>
      <c r="N167" s="176" t="s">
        <v>670</v>
      </c>
      <c r="O167" s="180">
        <v>0.5</v>
      </c>
    </row>
    <row r="168" spans="1:15">
      <c r="A168" s="181" t="str">
        <f t="shared" si="2"/>
        <v>outbound</v>
      </c>
      <c r="B168" s="182">
        <v>45540.486805555556</v>
      </c>
      <c r="C168" s="183" t="s">
        <v>1921</v>
      </c>
      <c r="D168" s="183"/>
      <c r="E168" s="215" t="s">
        <v>2011</v>
      </c>
      <c r="F168" s="112" t="s">
        <v>905</v>
      </c>
      <c r="G168" s="112"/>
      <c r="H168" s="112" t="str">
        <f>IF(ISBLANK(E168),"",_xlfn.XLOOKUP(E168,cannabis_log!C:C,cannabis_log!H:H,"",0,1))</f>
        <v>preroll_bulk</v>
      </c>
      <c r="I168" s="113" t="s">
        <v>55</v>
      </c>
      <c r="J168" s="185">
        <v>-500</v>
      </c>
      <c r="K168" s="186">
        <v>0</v>
      </c>
      <c r="L168" s="288">
        <v>-250</v>
      </c>
      <c r="M168" s="24"/>
      <c r="N168" s="112" t="s">
        <v>670</v>
      </c>
      <c r="O168" s="187">
        <v>0.5</v>
      </c>
    </row>
    <row r="169" spans="1:15">
      <c r="A169" s="173" t="str">
        <f t="shared" si="2"/>
        <v>outbound</v>
      </c>
      <c r="B169" s="182">
        <v>45540.546527777777</v>
      </c>
      <c r="C169" s="183" t="s">
        <v>1921</v>
      </c>
      <c r="D169" s="183" t="s">
        <v>2076</v>
      </c>
      <c r="E169" s="215" t="s">
        <v>2060</v>
      </c>
      <c r="F169" s="176">
        <v>2024082701</v>
      </c>
      <c r="G169" s="176"/>
      <c r="H169" s="112" t="str">
        <f>IF(ISBLANK(E169),"",_xlfn.XLOOKUP(E169,cannabis_log!C:C,cannabis_log!H:H,"",0,1))</f>
        <v>extract_distillate_bulk</v>
      </c>
      <c r="I169" s="189" t="s">
        <v>55</v>
      </c>
      <c r="J169" s="185">
        <v>-1</v>
      </c>
      <c r="K169" s="186">
        <v>-1705</v>
      </c>
      <c r="L169" s="288">
        <v>0</v>
      </c>
      <c r="M169" s="188"/>
      <c r="N169" s="176" t="s">
        <v>664</v>
      </c>
      <c r="O169" s="180">
        <v>0</v>
      </c>
    </row>
    <row r="170" spans="1:15">
      <c r="A170" s="181" t="str">
        <f t="shared" si="2"/>
        <v>outbound</v>
      </c>
      <c r="B170" s="182">
        <v>45540.546527777777</v>
      </c>
      <c r="C170" s="183" t="s">
        <v>1921</v>
      </c>
      <c r="D170" s="183" t="s">
        <v>2076</v>
      </c>
      <c r="E170" s="215" t="s">
        <v>2058</v>
      </c>
      <c r="F170" s="112">
        <v>2024030601</v>
      </c>
      <c r="G170" s="112"/>
      <c r="H170" s="112" t="str">
        <f>IF(ISBLANK(E170),"",_xlfn.XLOOKUP(E170,cannabis_log!C:C,cannabis_log!H:H,"",0,1))</f>
        <v>extract_inhaled_bulk</v>
      </c>
      <c r="I170" s="113">
        <v>45296</v>
      </c>
      <c r="J170" s="185">
        <v>-1</v>
      </c>
      <c r="K170" s="186">
        <v>-1960.8</v>
      </c>
      <c r="L170" s="288">
        <v>0</v>
      </c>
      <c r="M170" s="24"/>
      <c r="N170" s="112" t="s">
        <v>664</v>
      </c>
      <c r="O170" s="187">
        <v>0</v>
      </c>
    </row>
    <row r="171" spans="1:15">
      <c r="A171" s="173" t="str">
        <f t="shared" si="2"/>
        <v>inbound</v>
      </c>
      <c r="B171" s="182">
        <v>45540.702777777777</v>
      </c>
      <c r="C171" s="183" t="s">
        <v>1927</v>
      </c>
      <c r="D171" s="183"/>
      <c r="E171" s="215" t="s">
        <v>2012</v>
      </c>
      <c r="F171" s="176" t="s">
        <v>905</v>
      </c>
      <c r="G171" s="176"/>
      <c r="H171" s="112" t="str">
        <f>IF(ISBLANK(E171),"",_xlfn.XLOOKUP(E171,cannabis_log!C:C,cannabis_log!H:H,"",0,1))</f>
        <v>preroll_bulk</v>
      </c>
      <c r="I171" s="189" t="s">
        <v>55</v>
      </c>
      <c r="J171" s="185">
        <v>35</v>
      </c>
      <c r="K171" s="186">
        <v>0</v>
      </c>
      <c r="L171" s="288">
        <v>17.5</v>
      </c>
      <c r="M171" s="188"/>
      <c r="N171" s="176" t="s">
        <v>670</v>
      </c>
      <c r="O171" s="180">
        <v>0.5</v>
      </c>
    </row>
    <row r="172" spans="1:15">
      <c r="A172" s="181" t="str">
        <f t="shared" si="2"/>
        <v>outbound</v>
      </c>
      <c r="B172" s="182">
        <v>45541.459027777775</v>
      </c>
      <c r="C172" s="183" t="s">
        <v>1929</v>
      </c>
      <c r="D172" s="183"/>
      <c r="E172" s="215" t="s">
        <v>1965</v>
      </c>
      <c r="F172" s="112" t="s">
        <v>630</v>
      </c>
      <c r="G172" s="112"/>
      <c r="H172" s="112" t="str">
        <f>IF(ISBLANK(E172),"",_xlfn.XLOOKUP(E172,cannabis_log!C:C,cannabis_log!H:H,"",0,1))</f>
        <v>preroll_labelled</v>
      </c>
      <c r="I172" s="113">
        <v>45543</v>
      </c>
      <c r="J172" s="185">
        <v>-17</v>
      </c>
      <c r="K172" s="186">
        <v>0</v>
      </c>
      <c r="L172" s="288">
        <v>-25.5</v>
      </c>
      <c r="M172" s="24"/>
      <c r="N172" s="112" t="s">
        <v>670</v>
      </c>
      <c r="O172" s="187">
        <v>1.5</v>
      </c>
    </row>
    <row r="173" spans="1:15">
      <c r="A173" s="173" t="str">
        <f t="shared" si="2"/>
        <v>outbound</v>
      </c>
      <c r="B173" s="182">
        <v>45541.459027777775</v>
      </c>
      <c r="C173" s="183" t="s">
        <v>1929</v>
      </c>
      <c r="D173" s="183"/>
      <c r="E173" s="215" t="s">
        <v>1964</v>
      </c>
      <c r="F173" s="176" t="s">
        <v>535</v>
      </c>
      <c r="G173" s="176"/>
      <c r="H173" s="112" t="str">
        <f>IF(ISBLANK(E173),"",_xlfn.XLOOKUP(E173,cannabis_log!C:C,cannabis_log!H:H,"",0,1))</f>
        <v>preroll_labelled</v>
      </c>
      <c r="I173" s="189">
        <v>45567</v>
      </c>
      <c r="J173" s="185">
        <v>-12</v>
      </c>
      <c r="K173" s="186">
        <v>0</v>
      </c>
      <c r="L173" s="288">
        <v>-18</v>
      </c>
      <c r="M173" s="188"/>
      <c r="N173" s="176" t="s">
        <v>670</v>
      </c>
      <c r="O173" s="180">
        <v>1.5</v>
      </c>
    </row>
    <row r="174" spans="1:15">
      <c r="A174" s="181" t="str">
        <f t="shared" si="2"/>
        <v>outbound</v>
      </c>
      <c r="B174" s="182">
        <v>45541.463194444441</v>
      </c>
      <c r="C174" s="183" t="s">
        <v>1929</v>
      </c>
      <c r="D174" s="183"/>
      <c r="E174" s="215" t="s">
        <v>2077</v>
      </c>
      <c r="F174" s="112" t="s">
        <v>866</v>
      </c>
      <c r="G174" s="112"/>
      <c r="H174" s="112" t="str">
        <f>IF(ISBLANK(E174),"",_xlfn.XLOOKUP(E174,cannabis_log!C:C,cannabis_log!H:H,"",0,1))</f>
        <v>preroll_labelled</v>
      </c>
      <c r="I174" s="113">
        <v>45523</v>
      </c>
      <c r="J174" s="185">
        <v>-12</v>
      </c>
      <c r="K174" s="186">
        <v>0</v>
      </c>
      <c r="L174" s="288">
        <v>-18</v>
      </c>
      <c r="M174" s="24"/>
      <c r="N174" s="112" t="s">
        <v>670</v>
      </c>
      <c r="O174" s="187">
        <v>1.5</v>
      </c>
    </row>
    <row r="175" spans="1:15">
      <c r="A175" s="173" t="str">
        <f t="shared" si="2"/>
        <v>outbound</v>
      </c>
      <c r="B175" s="182">
        <v>45541.464583333334</v>
      </c>
      <c r="C175" s="183" t="s">
        <v>1929</v>
      </c>
      <c r="D175" s="183"/>
      <c r="E175" s="215" t="s">
        <v>2016</v>
      </c>
      <c r="F175" s="176" t="s">
        <v>869</v>
      </c>
      <c r="G175" s="176"/>
      <c r="H175" s="112" t="str">
        <f>IF(ISBLANK(E175),"",_xlfn.XLOOKUP(E175,cannabis_log!C:C,cannabis_log!H:H,"",0,1))</f>
        <v>preroll_labelled</v>
      </c>
      <c r="I175" s="189">
        <v>45498</v>
      </c>
      <c r="J175" s="185">
        <v>-12</v>
      </c>
      <c r="K175" s="186">
        <v>0</v>
      </c>
      <c r="L175" s="288">
        <v>-18</v>
      </c>
      <c r="M175" s="188"/>
      <c r="N175" s="176" t="s">
        <v>670</v>
      </c>
      <c r="O175" s="180">
        <v>1.5</v>
      </c>
    </row>
    <row r="176" spans="1:15">
      <c r="A176" s="181" t="str">
        <f t="shared" si="2"/>
        <v>outbound</v>
      </c>
      <c r="B176" s="182">
        <v>45541.464583333334</v>
      </c>
      <c r="C176" s="183" t="s">
        <v>1929</v>
      </c>
      <c r="D176" s="183"/>
      <c r="E176" s="215" t="s">
        <v>2064</v>
      </c>
      <c r="F176" s="112" t="s">
        <v>828</v>
      </c>
      <c r="G176" s="112"/>
      <c r="H176" s="112" t="str">
        <f>IF(ISBLANK(E176),"",_xlfn.XLOOKUP(E176,cannabis_log!C:C,cannabis_log!H:H,"",0,1))</f>
        <v>preroll_labelled</v>
      </c>
      <c r="I176" s="113">
        <v>44888</v>
      </c>
      <c r="J176" s="185">
        <v>-24</v>
      </c>
      <c r="K176" s="186">
        <v>0</v>
      </c>
      <c r="L176" s="288">
        <v>-24</v>
      </c>
      <c r="M176" s="24"/>
      <c r="N176" s="112" t="s">
        <v>670</v>
      </c>
      <c r="O176" s="187">
        <v>1</v>
      </c>
    </row>
    <row r="177" spans="1:15">
      <c r="A177" s="173" t="str">
        <f t="shared" si="2"/>
        <v>outbound</v>
      </c>
      <c r="B177" s="182">
        <v>45541.464583333334</v>
      </c>
      <c r="C177" s="183" t="s">
        <v>1921</v>
      </c>
      <c r="D177" s="183"/>
      <c r="E177" s="215" t="s">
        <v>1963</v>
      </c>
      <c r="F177" s="176" t="s">
        <v>1313</v>
      </c>
      <c r="G177" s="176"/>
      <c r="H177" s="112" t="str">
        <f>IF(ISBLANK(E177),"",_xlfn.XLOOKUP(E177,cannabis_log!C:C,cannabis_log!H:H,"",0,1))</f>
        <v>preroll_packaged</v>
      </c>
      <c r="I177" s="189">
        <v>45541</v>
      </c>
      <c r="J177" s="185">
        <v>-344</v>
      </c>
      <c r="K177" s="186">
        <v>0</v>
      </c>
      <c r="L177" s="288">
        <v>-516</v>
      </c>
      <c r="M177" s="188"/>
      <c r="N177" s="176" t="s">
        <v>670</v>
      </c>
      <c r="O177" s="180">
        <v>1.5</v>
      </c>
    </row>
    <row r="178" spans="1:15">
      <c r="A178" s="181" t="str">
        <f t="shared" si="2"/>
        <v>outbound</v>
      </c>
      <c r="B178" s="182">
        <v>45544.434027777781</v>
      </c>
      <c r="C178" s="183" t="s">
        <v>1921</v>
      </c>
      <c r="D178" s="183"/>
      <c r="E178" s="215" t="s">
        <v>2078</v>
      </c>
      <c r="F178" s="112" t="s">
        <v>2079</v>
      </c>
      <c r="G178" s="112"/>
      <c r="H178" s="112" t="str">
        <f>IF(ISBLANK(E178),"",_xlfn.XLOOKUP(E178,cannabis_log!C:C,cannabis_log!H:H,"",0,1))</f>
        <v>extract_ingested_bulk</v>
      </c>
      <c r="I178" s="113" t="s">
        <v>55</v>
      </c>
      <c r="J178" s="185">
        <v>-1</v>
      </c>
      <c r="K178" s="186">
        <v>-18545</v>
      </c>
      <c r="L178" s="288">
        <v>0</v>
      </c>
      <c r="M178" s="24"/>
      <c r="N178" s="112" t="s">
        <v>664</v>
      </c>
      <c r="O178" s="187">
        <v>0</v>
      </c>
    </row>
    <row r="179" spans="1:15">
      <c r="A179" s="173" t="str">
        <f t="shared" si="2"/>
        <v>outbound</v>
      </c>
      <c r="B179" s="182">
        <v>45544.434027777781</v>
      </c>
      <c r="C179" s="183" t="s">
        <v>1921</v>
      </c>
      <c r="D179" s="183"/>
      <c r="E179" s="215" t="s">
        <v>2080</v>
      </c>
      <c r="F179" s="176" t="s">
        <v>2079</v>
      </c>
      <c r="G179" s="176"/>
      <c r="H179" s="112" t="str">
        <f>IF(ISBLANK(E179),"",_xlfn.XLOOKUP(E179,cannabis_log!C:C,cannabis_log!H:H,"",0,1))</f>
        <v>extract_ingested_bulk</v>
      </c>
      <c r="I179" s="189" t="s">
        <v>55</v>
      </c>
      <c r="J179" s="185">
        <v>-1</v>
      </c>
      <c r="K179" s="186">
        <v>-18545</v>
      </c>
      <c r="L179" s="288">
        <v>0</v>
      </c>
      <c r="M179" s="188"/>
      <c r="N179" s="176" t="s">
        <v>664</v>
      </c>
      <c r="O179" s="180">
        <v>0</v>
      </c>
    </row>
    <row r="180" spans="1:15">
      <c r="A180" s="181" t="str">
        <f t="shared" si="2"/>
        <v>inbound</v>
      </c>
      <c r="B180" s="182">
        <v>45544.489583333336</v>
      </c>
      <c r="C180" s="183" t="s">
        <v>1927</v>
      </c>
      <c r="D180" s="183"/>
      <c r="E180" s="215" t="s">
        <v>2005</v>
      </c>
      <c r="F180" s="112" t="s">
        <v>1986</v>
      </c>
      <c r="G180" s="112"/>
      <c r="H180" s="112" t="str">
        <f>IF(ISBLANK(E180),"",_xlfn.XLOOKUP(E180,cannabis_log!C:C,cannabis_log!H:H,"",0,1))</f>
        <v>preroll_bulk</v>
      </c>
      <c r="I180" s="113" t="s">
        <v>55</v>
      </c>
      <c r="J180" s="185">
        <v>494</v>
      </c>
      <c r="K180" s="186">
        <v>0</v>
      </c>
      <c r="L180" s="288">
        <v>247</v>
      </c>
      <c r="M180" s="24"/>
      <c r="N180" s="112" t="s">
        <v>670</v>
      </c>
      <c r="O180" s="187">
        <v>0.5</v>
      </c>
    </row>
    <row r="181" spans="1:15">
      <c r="A181" s="173" t="str">
        <f t="shared" si="2"/>
        <v>inbound</v>
      </c>
      <c r="B181" s="182">
        <v>45544.489583333336</v>
      </c>
      <c r="C181" s="183" t="s">
        <v>1927</v>
      </c>
      <c r="D181" s="183"/>
      <c r="E181" s="215" t="s">
        <v>2003</v>
      </c>
      <c r="F181" s="176" t="s">
        <v>1986</v>
      </c>
      <c r="G181" s="176"/>
      <c r="H181" s="112" t="str">
        <f>IF(ISBLANK(E181),"",_xlfn.XLOOKUP(E181,cannabis_log!C:C,cannabis_log!H:H,"",0,1))</f>
        <v>preroll_bulk</v>
      </c>
      <c r="I181" s="189" t="s">
        <v>55</v>
      </c>
      <c r="J181" s="185">
        <v>484</v>
      </c>
      <c r="K181" s="186">
        <v>0</v>
      </c>
      <c r="L181" s="288">
        <v>242</v>
      </c>
      <c r="M181" s="188"/>
      <c r="N181" s="176" t="s">
        <v>670</v>
      </c>
      <c r="O181" s="180">
        <v>0.5</v>
      </c>
    </row>
    <row r="182" spans="1:15">
      <c r="A182" s="181" t="str">
        <f t="shared" si="2"/>
        <v>outbound</v>
      </c>
      <c r="B182" s="182">
        <v>45544.590277777781</v>
      </c>
      <c r="C182" s="183" t="s">
        <v>1929</v>
      </c>
      <c r="D182" s="183" t="s">
        <v>2081</v>
      </c>
      <c r="E182" s="215" t="s">
        <v>2072</v>
      </c>
      <c r="F182" s="112" t="s">
        <v>797</v>
      </c>
      <c r="G182" s="112"/>
      <c r="H182" s="112" t="str">
        <f>IF(ISBLANK(E182),"",_xlfn.XLOOKUP(E182,cannabis_log!C:C,cannabis_log!H:H,"",0,1))</f>
        <v>topical_labelled</v>
      </c>
      <c r="I182" s="113">
        <v>45531</v>
      </c>
      <c r="J182" s="185">
        <v>-12</v>
      </c>
      <c r="K182" s="186">
        <v>0</v>
      </c>
      <c r="L182" s="288">
        <v>-1056</v>
      </c>
      <c r="M182" s="24"/>
      <c r="N182" s="112" t="s">
        <v>670</v>
      </c>
      <c r="O182" s="187">
        <v>88</v>
      </c>
    </row>
    <row r="183" spans="1:15">
      <c r="A183" s="173" t="str">
        <f t="shared" si="2"/>
        <v>outbound</v>
      </c>
      <c r="B183" s="182">
        <v>45546.42291666667</v>
      </c>
      <c r="C183" s="183" t="s">
        <v>1929</v>
      </c>
      <c r="D183" s="183" t="s">
        <v>2082</v>
      </c>
      <c r="E183" s="215" t="s">
        <v>2072</v>
      </c>
      <c r="F183" s="176" t="s">
        <v>797</v>
      </c>
      <c r="G183" s="176"/>
      <c r="H183" s="112" t="str">
        <f>IF(ISBLANK(E183),"",_xlfn.XLOOKUP(E183,cannabis_log!C:C,cannabis_log!H:H,"",0,1))</f>
        <v>topical_labelled</v>
      </c>
      <c r="I183" s="189">
        <v>45531</v>
      </c>
      <c r="J183" s="185">
        <v>-36</v>
      </c>
      <c r="K183" s="186">
        <v>0</v>
      </c>
      <c r="L183" s="288">
        <v>-3168</v>
      </c>
      <c r="M183" s="188"/>
      <c r="N183" s="176" t="s">
        <v>670</v>
      </c>
      <c r="O183" s="180">
        <v>88</v>
      </c>
    </row>
    <row r="184" spans="1:15">
      <c r="A184" s="181" t="str">
        <f t="shared" si="2"/>
        <v>outbound</v>
      </c>
      <c r="B184" s="182">
        <v>45546.591666666667</v>
      </c>
      <c r="C184" s="183" t="s">
        <v>1921</v>
      </c>
      <c r="D184" s="183"/>
      <c r="E184" s="215" t="s">
        <v>2064</v>
      </c>
      <c r="F184" s="112" t="s">
        <v>828</v>
      </c>
      <c r="G184" s="112"/>
      <c r="H184" s="112" t="str">
        <f>IF(ISBLANK(E184),"",_xlfn.XLOOKUP(E184,cannabis_log!C:C,cannabis_log!H:H,"",0,1))</f>
        <v>preroll_labelled</v>
      </c>
      <c r="I184" s="113">
        <v>44888</v>
      </c>
      <c r="J184" s="185">
        <v>-60</v>
      </c>
      <c r="K184" s="186">
        <v>0</v>
      </c>
      <c r="L184" s="288">
        <v>-60</v>
      </c>
      <c r="M184" s="24"/>
      <c r="N184" s="112" t="s">
        <v>670</v>
      </c>
      <c r="O184" s="187">
        <v>1</v>
      </c>
    </row>
    <row r="185" spans="1:15">
      <c r="A185" s="173" t="str">
        <f t="shared" si="2"/>
        <v>outbound</v>
      </c>
      <c r="B185" s="182">
        <v>45546.591666666667</v>
      </c>
      <c r="C185" s="183" t="s">
        <v>1921</v>
      </c>
      <c r="D185" s="183" t="s">
        <v>2083</v>
      </c>
      <c r="E185" s="215" t="s">
        <v>2084</v>
      </c>
      <c r="F185" s="176" t="s">
        <v>589</v>
      </c>
      <c r="G185" s="176"/>
      <c r="H185" s="112" t="str">
        <f>IF(ISBLANK(E185),"",_xlfn.XLOOKUP(E185,cannabis_log!C:C,cannabis_log!H:H,"",0,1))</f>
        <v>preroll_bulk</v>
      </c>
      <c r="I185" s="189" t="s">
        <v>55</v>
      </c>
      <c r="J185" s="185">
        <v>-120</v>
      </c>
      <c r="K185" s="186">
        <v>0</v>
      </c>
      <c r="L185" s="288">
        <v>-180</v>
      </c>
      <c r="M185" s="188"/>
      <c r="N185" s="176" t="s">
        <v>670</v>
      </c>
      <c r="O185" s="180">
        <v>1.5</v>
      </c>
    </row>
    <row r="186" spans="1:15">
      <c r="A186" s="181" t="str">
        <f t="shared" si="2"/>
        <v>outbound</v>
      </c>
      <c r="B186" s="182">
        <v>45546.591666666667</v>
      </c>
      <c r="C186" s="183" t="s">
        <v>1921</v>
      </c>
      <c r="D186" s="183" t="s">
        <v>2083</v>
      </c>
      <c r="E186" s="215" t="s">
        <v>2085</v>
      </c>
      <c r="F186" s="112" t="s">
        <v>589</v>
      </c>
      <c r="G186" s="112"/>
      <c r="H186" s="112" t="str">
        <f>IF(ISBLANK(E186),"",_xlfn.XLOOKUP(E186,cannabis_log!C:C,cannabis_log!H:H,"",0,1))</f>
        <v>preroll_bulk</v>
      </c>
      <c r="I186" s="113" t="s">
        <v>55</v>
      </c>
      <c r="J186" s="185">
        <v>-484</v>
      </c>
      <c r="K186" s="186">
        <v>0</v>
      </c>
      <c r="L186" s="288">
        <v>-726</v>
      </c>
      <c r="M186" s="24"/>
      <c r="N186" s="112" t="s">
        <v>670</v>
      </c>
      <c r="O186" s="187">
        <v>1.5</v>
      </c>
    </row>
    <row r="187" spans="1:15">
      <c r="A187" s="173" t="str">
        <f t="shared" si="2"/>
        <v>outbound</v>
      </c>
      <c r="B187" s="182">
        <v>45546.591666666667</v>
      </c>
      <c r="C187" s="183" t="s">
        <v>1921</v>
      </c>
      <c r="D187" s="183" t="s">
        <v>2083</v>
      </c>
      <c r="E187" s="215" t="s">
        <v>2086</v>
      </c>
      <c r="F187" s="176" t="s">
        <v>589</v>
      </c>
      <c r="G187" s="176"/>
      <c r="H187" s="112" t="str">
        <f>IF(ISBLANK(E187),"",_xlfn.XLOOKUP(E187,cannabis_log!C:C,cannabis_log!H:H,"",0,1))</f>
        <v>preroll_bulk</v>
      </c>
      <c r="I187" s="189" t="s">
        <v>55</v>
      </c>
      <c r="J187" s="185">
        <v>-242</v>
      </c>
      <c r="K187" s="186">
        <v>0</v>
      </c>
      <c r="L187" s="288">
        <v>-363</v>
      </c>
      <c r="M187" s="188"/>
      <c r="N187" s="176" t="s">
        <v>670</v>
      </c>
      <c r="O187" s="180">
        <v>1.5</v>
      </c>
    </row>
    <row r="188" spans="1:15">
      <c r="A188" s="181" t="str">
        <f t="shared" si="2"/>
        <v>outbound</v>
      </c>
      <c r="B188" s="182">
        <v>45546.591666666667</v>
      </c>
      <c r="C188" s="183" t="s">
        <v>1921</v>
      </c>
      <c r="D188" s="183" t="s">
        <v>2083</v>
      </c>
      <c r="E188" s="215" t="s">
        <v>2087</v>
      </c>
      <c r="F188" s="112" t="s">
        <v>589</v>
      </c>
      <c r="G188" s="112"/>
      <c r="H188" s="112" t="str">
        <f>IF(ISBLANK(E188),"",_xlfn.XLOOKUP(E188,cannabis_log!C:C,cannabis_log!H:H,"",0,1))</f>
        <v>preroll_bulk</v>
      </c>
      <c r="I188" s="113" t="s">
        <v>55</v>
      </c>
      <c r="J188" s="185">
        <v>-437</v>
      </c>
      <c r="K188" s="186">
        <v>0</v>
      </c>
      <c r="L188" s="288">
        <v>-655.5</v>
      </c>
      <c r="M188" s="24"/>
      <c r="N188" s="112" t="s">
        <v>670</v>
      </c>
      <c r="O188" s="187">
        <v>1.5</v>
      </c>
    </row>
    <row r="189" spans="1:15">
      <c r="A189" s="173" t="str">
        <f t="shared" si="2"/>
        <v>outbound</v>
      </c>
      <c r="B189" s="182">
        <v>45546.591666666667</v>
      </c>
      <c r="C189" s="183" t="s">
        <v>1921</v>
      </c>
      <c r="D189" s="183" t="s">
        <v>2083</v>
      </c>
      <c r="E189" s="215" t="s">
        <v>2088</v>
      </c>
      <c r="F189" s="176" t="s">
        <v>589</v>
      </c>
      <c r="G189" s="176"/>
      <c r="H189" s="112" t="str">
        <f>IF(ISBLANK(E189),"",_xlfn.XLOOKUP(E189,cannabis_log!C:C,cannabis_log!H:H,"",0,1))</f>
        <v>preroll_bulk</v>
      </c>
      <c r="I189" s="189" t="s">
        <v>55</v>
      </c>
      <c r="J189" s="185">
        <v>-395</v>
      </c>
      <c r="K189" s="186">
        <v>0</v>
      </c>
      <c r="L189" s="288">
        <v>-592.5</v>
      </c>
      <c r="M189" s="188"/>
      <c r="N189" s="176" t="s">
        <v>670</v>
      </c>
      <c r="O189" s="180">
        <v>1.5</v>
      </c>
    </row>
    <row r="190" spans="1:15">
      <c r="A190" s="181" t="str">
        <f t="shared" si="2"/>
        <v>outbound</v>
      </c>
      <c r="B190" s="182">
        <v>45546.591666666667</v>
      </c>
      <c r="C190" s="183" t="s">
        <v>1921</v>
      </c>
      <c r="D190" s="191" t="s">
        <v>2089</v>
      </c>
      <c r="E190" s="215" t="s">
        <v>1964</v>
      </c>
      <c r="F190" s="112" t="s">
        <v>535</v>
      </c>
      <c r="G190" s="112"/>
      <c r="H190" s="112" t="str">
        <f>IF(ISBLANK(E190),"",_xlfn.XLOOKUP(E190,cannabis_log!C:C,cannabis_log!H:H,"",0,1))</f>
        <v>preroll_labelled</v>
      </c>
      <c r="I190" s="113">
        <v>45567</v>
      </c>
      <c r="J190" s="185">
        <v>-12</v>
      </c>
      <c r="K190" s="186">
        <v>0</v>
      </c>
      <c r="L190" s="288">
        <v>-18</v>
      </c>
      <c r="M190" s="24"/>
      <c r="N190" s="112" t="s">
        <v>670</v>
      </c>
      <c r="O190" s="187">
        <v>1.5</v>
      </c>
    </row>
    <row r="191" spans="1:15">
      <c r="A191" s="173" t="str">
        <f t="shared" si="2"/>
        <v>outbound</v>
      </c>
      <c r="B191" s="182">
        <v>45546.591666666667</v>
      </c>
      <c r="C191" s="183" t="s">
        <v>1929</v>
      </c>
      <c r="D191" s="183" t="s">
        <v>2090</v>
      </c>
      <c r="E191" s="215" t="s">
        <v>2056</v>
      </c>
      <c r="F191" s="176" t="s">
        <v>1019</v>
      </c>
      <c r="G191" s="176"/>
      <c r="H191" s="112" t="str">
        <f>IF(ISBLANK(E191),"",_xlfn.XLOOKUP(E191,cannabis_log!C:C,cannabis_log!H:H,"",0,1))</f>
        <v>extract_ingested_labelled_damaged</v>
      </c>
      <c r="I191" s="189">
        <v>45523</v>
      </c>
      <c r="J191" s="185">
        <v>-12</v>
      </c>
      <c r="K191" s="186">
        <v>0</v>
      </c>
      <c r="L191" s="288">
        <v>-1812</v>
      </c>
      <c r="M191" s="188"/>
      <c r="N191" s="176" t="s">
        <v>670</v>
      </c>
      <c r="O191" s="180">
        <v>151</v>
      </c>
    </row>
    <row r="192" spans="1:15">
      <c r="A192" s="181" t="str">
        <f t="shared" si="2"/>
        <v>outbound</v>
      </c>
      <c r="B192" s="182">
        <v>45546.591666666667</v>
      </c>
      <c r="C192" s="183" t="s">
        <v>1929</v>
      </c>
      <c r="D192" s="183" t="s">
        <v>2090</v>
      </c>
      <c r="E192" s="215" t="s">
        <v>2069</v>
      </c>
      <c r="F192" s="112" t="s">
        <v>1314</v>
      </c>
      <c r="G192" s="112"/>
      <c r="H192" s="112" t="str">
        <f>IF(ISBLANK(E192),"",_xlfn.XLOOKUP(E192,cannabis_log!C:C,cannabis_log!H:H,"",0,1))</f>
        <v>extract_ingested_labelled</v>
      </c>
      <c r="I192" s="113">
        <v>45503</v>
      </c>
      <c r="J192" s="185">
        <v>-12</v>
      </c>
      <c r="K192" s="186">
        <v>0</v>
      </c>
      <c r="L192" s="288">
        <v>-1812</v>
      </c>
      <c r="M192" s="24"/>
      <c r="N192" s="112" t="s">
        <v>670</v>
      </c>
      <c r="O192" s="187">
        <v>151</v>
      </c>
    </row>
    <row r="193" spans="1:15">
      <c r="A193" s="173" t="str">
        <f t="shared" ref="A193:A256" si="3">IF(ISBLANK(J193),"",IF(J193+K193+L193&lt;0,"outbound","inbound"))</f>
        <v>outbound</v>
      </c>
      <c r="B193" s="182">
        <v>45548.435416666667</v>
      </c>
      <c r="C193" s="183" t="s">
        <v>1924</v>
      </c>
      <c r="D193" s="183"/>
      <c r="E193" s="215" t="s">
        <v>2072</v>
      </c>
      <c r="F193" s="176" t="s">
        <v>797</v>
      </c>
      <c r="G193" s="176"/>
      <c r="H193" s="112" t="str">
        <f>IF(ISBLANK(E193),"",_xlfn.XLOOKUP(E193,cannabis_log!C:C,cannabis_log!H:H,"",0,1))</f>
        <v>topical_labelled</v>
      </c>
      <c r="I193" s="189">
        <v>45531</v>
      </c>
      <c r="J193" s="185">
        <v>-1</v>
      </c>
      <c r="K193" s="186">
        <v>0</v>
      </c>
      <c r="L193" s="288">
        <v>-88</v>
      </c>
      <c r="M193" s="188"/>
      <c r="N193" s="176" t="s">
        <v>670</v>
      </c>
      <c r="O193" s="180">
        <v>88</v>
      </c>
    </row>
    <row r="194" spans="1:15">
      <c r="A194" s="181" t="str">
        <f t="shared" si="3"/>
        <v>outbound</v>
      </c>
      <c r="B194" s="182">
        <v>45551.4</v>
      </c>
      <c r="C194" s="183" t="s">
        <v>1924</v>
      </c>
      <c r="D194" s="183" t="s">
        <v>2091</v>
      </c>
      <c r="E194" s="215" t="s">
        <v>2092</v>
      </c>
      <c r="F194" s="112" t="s">
        <v>2075</v>
      </c>
      <c r="G194" s="112"/>
      <c r="H194" s="112" t="str">
        <f>IF(ISBLANK(E194),"",_xlfn.XLOOKUP(E194,cannabis_log!C:C,cannabis_log!H:H,"",0,1))</f>
        <v>preroll_bulk</v>
      </c>
      <c r="I194" s="113" t="s">
        <v>55</v>
      </c>
      <c r="J194" s="185">
        <v>-275</v>
      </c>
      <c r="K194" s="186">
        <v>0</v>
      </c>
      <c r="L194" s="288">
        <v>-137.5</v>
      </c>
      <c r="M194" s="24"/>
      <c r="N194" s="112" t="s">
        <v>670</v>
      </c>
      <c r="O194" s="187">
        <v>0.5</v>
      </c>
    </row>
    <row r="195" spans="1:15">
      <c r="A195" s="173" t="str">
        <f t="shared" si="3"/>
        <v>outbound</v>
      </c>
      <c r="B195" s="182">
        <v>45551.4</v>
      </c>
      <c r="C195" s="183" t="s">
        <v>1924</v>
      </c>
      <c r="D195" s="183" t="s">
        <v>2091</v>
      </c>
      <c r="E195" s="215" t="s">
        <v>2005</v>
      </c>
      <c r="F195" s="176" t="s">
        <v>1986</v>
      </c>
      <c r="G195" s="176"/>
      <c r="H195" s="112" t="str">
        <f>IF(ISBLANK(E195),"",_xlfn.XLOOKUP(E195,cannabis_log!C:C,cannabis_log!H:H,"",0,1))</f>
        <v>preroll_bulk</v>
      </c>
      <c r="I195" s="189" t="s">
        <v>55</v>
      </c>
      <c r="J195" s="185">
        <v>-494</v>
      </c>
      <c r="K195" s="186">
        <v>0</v>
      </c>
      <c r="L195" s="288">
        <v>-247</v>
      </c>
      <c r="M195" s="188"/>
      <c r="N195" s="176" t="s">
        <v>670</v>
      </c>
      <c r="O195" s="180">
        <v>0.5</v>
      </c>
    </row>
    <row r="196" spans="1:15">
      <c r="A196" s="181" t="str">
        <f t="shared" si="3"/>
        <v>outbound</v>
      </c>
      <c r="B196" s="182">
        <v>45551.4</v>
      </c>
      <c r="C196" s="183" t="s">
        <v>1921</v>
      </c>
      <c r="D196" s="183"/>
      <c r="E196" s="215" t="s">
        <v>2058</v>
      </c>
      <c r="F196" s="112">
        <v>2024030601</v>
      </c>
      <c r="G196" s="112"/>
      <c r="H196" s="112" t="str">
        <f>IF(ISBLANK(E196),"",_xlfn.XLOOKUP(E196,cannabis_log!C:C,cannabis_log!H:H,"",0,1))</f>
        <v>extract_inhaled_bulk</v>
      </c>
      <c r="I196" s="113">
        <v>45296</v>
      </c>
      <c r="J196" s="185">
        <v>-1</v>
      </c>
      <c r="K196" s="186">
        <v>-1960.8</v>
      </c>
      <c r="L196" s="288">
        <v>0</v>
      </c>
      <c r="M196" s="24"/>
      <c r="N196" s="112" t="s">
        <v>664</v>
      </c>
      <c r="O196" s="187">
        <v>0</v>
      </c>
    </row>
    <row r="197" spans="1:15">
      <c r="A197" s="173" t="str">
        <f t="shared" si="3"/>
        <v>outbound</v>
      </c>
      <c r="B197" s="182">
        <v>45551.4</v>
      </c>
      <c r="C197" s="183" t="s">
        <v>1921</v>
      </c>
      <c r="D197" s="183"/>
      <c r="E197" s="215" t="s">
        <v>1995</v>
      </c>
      <c r="F197" s="176">
        <v>2024022201</v>
      </c>
      <c r="G197" s="176"/>
      <c r="H197" s="112" t="str">
        <f>IF(ISBLANK(E197),"",_xlfn.XLOOKUP(E197,cannabis_log!C:C,cannabis_log!H:H,"",0,1))</f>
        <v>extract_distillate_bulk</v>
      </c>
      <c r="I197" s="189">
        <v>45407</v>
      </c>
      <c r="J197" s="185">
        <v>-1</v>
      </c>
      <c r="K197" s="186">
        <v>-365.2</v>
      </c>
      <c r="L197" s="288">
        <v>0</v>
      </c>
      <c r="M197" s="188"/>
      <c r="N197" s="176" t="s">
        <v>664</v>
      </c>
      <c r="O197" s="180">
        <v>0</v>
      </c>
    </row>
    <row r="198" spans="1:15">
      <c r="A198" s="181" t="str">
        <f t="shared" si="3"/>
        <v>outbound</v>
      </c>
      <c r="B198" s="182">
        <v>45551.4</v>
      </c>
      <c r="C198" s="183" t="s">
        <v>1921</v>
      </c>
      <c r="D198" s="183"/>
      <c r="E198" s="215" t="s">
        <v>2060</v>
      </c>
      <c r="F198" s="112">
        <v>2024082701</v>
      </c>
      <c r="G198" s="112"/>
      <c r="H198" s="112" t="str">
        <f>IF(ISBLANK(E198),"",_xlfn.XLOOKUP(E198,cannabis_log!C:C,cannabis_log!H:H,"",0,1))</f>
        <v>extract_distillate_bulk</v>
      </c>
      <c r="I198" s="113" t="s">
        <v>55</v>
      </c>
      <c r="J198" s="185">
        <v>-1</v>
      </c>
      <c r="K198" s="186">
        <v>-1316</v>
      </c>
      <c r="L198" s="288">
        <v>0</v>
      </c>
      <c r="M198" s="24"/>
      <c r="N198" s="112" t="s">
        <v>664</v>
      </c>
      <c r="O198" s="187">
        <v>0</v>
      </c>
    </row>
    <row r="199" spans="1:15">
      <c r="A199" s="173" t="str">
        <f t="shared" si="3"/>
        <v>outbound</v>
      </c>
      <c r="B199" s="182">
        <v>45551.445833333331</v>
      </c>
      <c r="C199" s="183" t="s">
        <v>1929</v>
      </c>
      <c r="D199" s="183" t="s">
        <v>2039</v>
      </c>
      <c r="E199" s="215" t="s">
        <v>2093</v>
      </c>
      <c r="F199" s="176" t="s">
        <v>2094</v>
      </c>
      <c r="G199" s="176"/>
      <c r="H199" s="112" t="str">
        <f>IF(ISBLANK(E199),"",_xlfn.XLOOKUP(E199,cannabis_log!C:C,cannabis_log!H:H,"",0,1))</f>
        <v>extract_inhaled_labelled</v>
      </c>
      <c r="I199" s="189">
        <v>45555</v>
      </c>
      <c r="J199" s="185">
        <v>-178</v>
      </c>
      <c r="K199" s="186">
        <v>0</v>
      </c>
      <c r="L199" s="288">
        <v>-89</v>
      </c>
      <c r="M199" s="188"/>
      <c r="N199" s="176" t="s">
        <v>670</v>
      </c>
      <c r="O199" s="180">
        <v>0.5</v>
      </c>
    </row>
    <row r="200" spans="1:15">
      <c r="A200" s="181" t="str">
        <f t="shared" si="3"/>
        <v>outbound</v>
      </c>
      <c r="B200" s="182">
        <v>45551.445833333331</v>
      </c>
      <c r="C200" s="183" t="s">
        <v>1929</v>
      </c>
      <c r="D200" s="183" t="s">
        <v>2039</v>
      </c>
      <c r="E200" s="215" t="s">
        <v>2095</v>
      </c>
      <c r="F200" s="112" t="s">
        <v>2096</v>
      </c>
      <c r="G200" s="112"/>
      <c r="H200" s="112" t="str">
        <f>IF(ISBLANK(E200),"",_xlfn.XLOOKUP(E200,cannabis_log!C:C,cannabis_log!H:H,"",0,1))</f>
        <v>extract_inhaled_labelled</v>
      </c>
      <c r="I200" s="113">
        <v>45555</v>
      </c>
      <c r="J200" s="185">
        <v>-165</v>
      </c>
      <c r="K200" s="186">
        <v>0</v>
      </c>
      <c r="L200" s="288">
        <v>-82.5</v>
      </c>
      <c r="M200" s="24"/>
      <c r="N200" s="112" t="s">
        <v>670</v>
      </c>
      <c r="O200" s="187">
        <v>0.5</v>
      </c>
    </row>
    <row r="201" spans="1:15">
      <c r="A201" s="173" t="str">
        <f t="shared" si="3"/>
        <v>outbound</v>
      </c>
      <c r="B201" s="182">
        <v>45551.445833333331</v>
      </c>
      <c r="C201" s="183" t="s">
        <v>1929</v>
      </c>
      <c r="D201" s="183" t="s">
        <v>2039</v>
      </c>
      <c r="E201" s="215" t="s">
        <v>2097</v>
      </c>
      <c r="F201" s="176" t="s">
        <v>1860</v>
      </c>
      <c r="G201" s="176"/>
      <c r="H201" s="112" t="str">
        <f>IF(ISBLANK(E201),"",_xlfn.XLOOKUP(E201,cannabis_log!C:C,cannabis_log!H:H,"",0,1))</f>
        <v>extract_inhaled_labelled</v>
      </c>
      <c r="I201" s="189">
        <v>45555</v>
      </c>
      <c r="J201" s="185">
        <v>-164</v>
      </c>
      <c r="K201" s="186">
        <v>0</v>
      </c>
      <c r="L201" s="288">
        <v>-82</v>
      </c>
      <c r="M201" s="188"/>
      <c r="N201" s="176" t="s">
        <v>670</v>
      </c>
      <c r="O201" s="180">
        <v>0.5</v>
      </c>
    </row>
    <row r="202" spans="1:15">
      <c r="A202" s="181" t="str">
        <f t="shared" si="3"/>
        <v>outbound</v>
      </c>
      <c r="B202" s="182">
        <v>45551.445833333331</v>
      </c>
      <c r="C202" s="183" t="s">
        <v>1929</v>
      </c>
      <c r="D202" s="183" t="s">
        <v>2039</v>
      </c>
      <c r="E202" s="215" t="s">
        <v>2098</v>
      </c>
      <c r="F202" s="112" t="s">
        <v>1315</v>
      </c>
      <c r="G202" s="112"/>
      <c r="H202" s="112" t="str">
        <f>IF(ISBLANK(E202),"",_xlfn.XLOOKUP(E202,cannabis_log!C:C,cannabis_log!H:H,"",0,1))</f>
        <v>extract_inhaled_labelled</v>
      </c>
      <c r="I202" s="113">
        <v>45555</v>
      </c>
      <c r="J202" s="185">
        <v>-200</v>
      </c>
      <c r="K202" s="186">
        <v>0</v>
      </c>
      <c r="L202" s="288">
        <v>-100</v>
      </c>
      <c r="M202" s="24"/>
      <c r="N202" s="112" t="s">
        <v>670</v>
      </c>
      <c r="O202" s="187">
        <v>0.5</v>
      </c>
    </row>
    <row r="203" spans="1:15">
      <c r="A203" s="173" t="str">
        <f t="shared" si="3"/>
        <v>outbound</v>
      </c>
      <c r="B203" s="182">
        <v>45551.445833333331</v>
      </c>
      <c r="C203" s="183" t="s">
        <v>1929</v>
      </c>
      <c r="D203" s="183" t="s">
        <v>2039</v>
      </c>
      <c r="E203" s="215" t="s">
        <v>2099</v>
      </c>
      <c r="F203" s="176" t="s">
        <v>2100</v>
      </c>
      <c r="G203" s="176"/>
      <c r="H203" s="112" t="str">
        <f>IF(ISBLANK(E203),"",_xlfn.XLOOKUP(E203,cannabis_log!C:C,cannabis_log!H:H,"",0,1))</f>
        <v>extract_inhaled_packaged</v>
      </c>
      <c r="I203" s="189" t="s">
        <v>55</v>
      </c>
      <c r="J203" s="185">
        <v>-164</v>
      </c>
      <c r="K203" s="186">
        <v>0</v>
      </c>
      <c r="L203" s="288">
        <v>-82</v>
      </c>
      <c r="M203" s="188"/>
      <c r="N203" s="176" t="s">
        <v>670</v>
      </c>
      <c r="O203" s="180">
        <v>0.5</v>
      </c>
    </row>
    <row r="204" spans="1:15">
      <c r="A204" s="181" t="str">
        <f t="shared" si="3"/>
        <v>outbound</v>
      </c>
      <c r="B204" s="182">
        <v>45551.469444444447</v>
      </c>
      <c r="C204" s="183" t="s">
        <v>1929</v>
      </c>
      <c r="D204" s="183" t="s">
        <v>2101</v>
      </c>
      <c r="E204" s="215" t="s">
        <v>2102</v>
      </c>
      <c r="F204" s="112" t="s">
        <v>828</v>
      </c>
      <c r="G204" s="112"/>
      <c r="H204" s="112" t="str">
        <f>IF(ISBLANK(E204),"",_xlfn.XLOOKUP(E204,cannabis_log!C:C,cannabis_log!H:H,"",0,1))</f>
        <v>preroll_labelled</v>
      </c>
      <c r="I204" s="113">
        <v>45541</v>
      </c>
      <c r="J204" s="185">
        <v>-60</v>
      </c>
      <c r="K204" s="186">
        <v>0</v>
      </c>
      <c r="L204" s="288">
        <v>-60</v>
      </c>
      <c r="M204" s="24"/>
      <c r="N204" s="112" t="s">
        <v>670</v>
      </c>
      <c r="O204" s="187">
        <v>1</v>
      </c>
    </row>
    <row r="205" spans="1:15">
      <c r="A205" s="173" t="str">
        <f t="shared" si="3"/>
        <v>outbound</v>
      </c>
      <c r="B205" s="182">
        <v>45551.469444444447</v>
      </c>
      <c r="C205" s="183" t="s">
        <v>1929</v>
      </c>
      <c r="D205" s="183" t="s">
        <v>2101</v>
      </c>
      <c r="E205" s="215" t="s">
        <v>2065</v>
      </c>
      <c r="F205" s="176" t="s">
        <v>587</v>
      </c>
      <c r="G205" s="176"/>
      <c r="H205" s="112" t="str">
        <f>IF(ISBLANK(E205),"",_xlfn.XLOOKUP(E205,cannabis_log!C:C,cannabis_log!H:H,"",0,1))</f>
        <v>preroll_labelled</v>
      </c>
      <c r="I205" s="189">
        <v>45457</v>
      </c>
      <c r="J205" s="185">
        <v>-60</v>
      </c>
      <c r="K205" s="186">
        <v>0</v>
      </c>
      <c r="L205" s="288">
        <v>-90</v>
      </c>
      <c r="M205" s="188"/>
      <c r="N205" s="176" t="s">
        <v>670</v>
      </c>
      <c r="O205" s="180">
        <v>1.5</v>
      </c>
    </row>
    <row r="206" spans="1:15">
      <c r="A206" s="181" t="str">
        <f t="shared" si="3"/>
        <v>outbound</v>
      </c>
      <c r="B206" s="182">
        <v>45551.469444444447</v>
      </c>
      <c r="C206" s="183" t="s">
        <v>1929</v>
      </c>
      <c r="D206" s="183" t="s">
        <v>2103</v>
      </c>
      <c r="E206" s="215" t="s">
        <v>2016</v>
      </c>
      <c r="F206" s="112" t="s">
        <v>869</v>
      </c>
      <c r="G206" s="112"/>
      <c r="H206" s="112" t="str">
        <f>IF(ISBLANK(E206),"",_xlfn.XLOOKUP(E206,cannabis_log!C:C,cannabis_log!H:H,"",0,1))</f>
        <v>preroll_labelled</v>
      </c>
      <c r="I206" s="113">
        <v>45498</v>
      </c>
      <c r="J206" s="185">
        <v>-36</v>
      </c>
      <c r="K206" s="186">
        <v>0</v>
      </c>
      <c r="L206" s="288">
        <v>-54</v>
      </c>
      <c r="M206" s="24"/>
      <c r="N206" s="112" t="s">
        <v>670</v>
      </c>
      <c r="O206" s="187">
        <v>1.5</v>
      </c>
    </row>
    <row r="207" spans="1:15">
      <c r="A207" s="173" t="str">
        <f t="shared" si="3"/>
        <v>outbound</v>
      </c>
      <c r="B207" s="182">
        <v>45551.469444444447</v>
      </c>
      <c r="C207" s="183" t="s">
        <v>1929</v>
      </c>
      <c r="D207" s="183" t="s">
        <v>2103</v>
      </c>
      <c r="E207" s="215" t="s">
        <v>1964</v>
      </c>
      <c r="F207" s="176" t="s">
        <v>535</v>
      </c>
      <c r="G207" s="176"/>
      <c r="H207" s="112" t="str">
        <f>IF(ISBLANK(E207),"",_xlfn.XLOOKUP(E207,cannabis_log!C:C,cannabis_log!H:H,"",0,1))</f>
        <v>preroll_labelled</v>
      </c>
      <c r="I207" s="189">
        <v>45567</v>
      </c>
      <c r="J207" s="185">
        <v>-12</v>
      </c>
      <c r="K207" s="186">
        <v>0</v>
      </c>
      <c r="L207" s="288">
        <v>-18</v>
      </c>
      <c r="M207" s="188"/>
      <c r="N207" s="176" t="s">
        <v>670</v>
      </c>
      <c r="O207" s="180">
        <v>1.5</v>
      </c>
    </row>
    <row r="208" spans="1:15">
      <c r="A208" s="181" t="str">
        <f t="shared" si="3"/>
        <v>outbound</v>
      </c>
      <c r="B208" s="182">
        <v>45551.469444444447</v>
      </c>
      <c r="C208" s="183" t="s">
        <v>1929</v>
      </c>
      <c r="D208" s="183" t="s">
        <v>2104</v>
      </c>
      <c r="E208" s="215" t="s">
        <v>2105</v>
      </c>
      <c r="F208" s="112" t="s">
        <v>1313</v>
      </c>
      <c r="G208" s="112"/>
      <c r="H208" s="112" t="str">
        <f>IF(ISBLANK(E208),"",_xlfn.XLOOKUP(E208,cannabis_log!C:C,cannabis_log!H:H,"",0,1))</f>
        <v>preroll_labelled</v>
      </c>
      <c r="I208" s="113">
        <v>45575</v>
      </c>
      <c r="J208" s="185">
        <v>-36</v>
      </c>
      <c r="K208" s="186">
        <v>0</v>
      </c>
      <c r="L208" s="288">
        <v>-54</v>
      </c>
      <c r="M208" s="24"/>
      <c r="N208" s="112" t="s">
        <v>670</v>
      </c>
      <c r="O208" s="187">
        <v>1.5</v>
      </c>
    </row>
    <row r="209" spans="1:15">
      <c r="A209" s="173" t="str">
        <f t="shared" si="3"/>
        <v>outbound</v>
      </c>
      <c r="B209" s="182">
        <v>45551.469444444447</v>
      </c>
      <c r="C209" s="183" t="s">
        <v>1929</v>
      </c>
      <c r="D209" s="183" t="s">
        <v>2103</v>
      </c>
      <c r="E209" s="215" t="s">
        <v>2077</v>
      </c>
      <c r="F209" s="176" t="s">
        <v>866</v>
      </c>
      <c r="G209" s="176"/>
      <c r="H209" s="112" t="str">
        <f>IF(ISBLANK(E209),"",_xlfn.XLOOKUP(E209,cannabis_log!C:C,cannabis_log!H:H,"",0,1))</f>
        <v>preroll_labelled</v>
      </c>
      <c r="I209" s="189">
        <v>45523</v>
      </c>
      <c r="J209" s="185">
        <v>-12</v>
      </c>
      <c r="K209" s="186">
        <v>0</v>
      </c>
      <c r="L209" s="288">
        <v>-18</v>
      </c>
      <c r="M209" s="188"/>
      <c r="N209" s="176" t="s">
        <v>670</v>
      </c>
      <c r="O209" s="180">
        <v>1.5</v>
      </c>
    </row>
    <row r="210" spans="1:15">
      <c r="A210" s="181" t="str">
        <f t="shared" si="3"/>
        <v>outbound</v>
      </c>
      <c r="B210" s="182">
        <v>45551.469444444447</v>
      </c>
      <c r="C210" s="183" t="s">
        <v>1929</v>
      </c>
      <c r="D210" s="183" t="s">
        <v>2106</v>
      </c>
      <c r="E210" s="215" t="s">
        <v>1965</v>
      </c>
      <c r="F210" s="112" t="s">
        <v>630</v>
      </c>
      <c r="G210" s="112"/>
      <c r="H210" s="112" t="str">
        <f>IF(ISBLANK(E210),"",_xlfn.XLOOKUP(E210,cannabis_log!C:C,cannabis_log!H:H,"",0,1))</f>
        <v>preroll_labelled</v>
      </c>
      <c r="I210" s="113">
        <v>45543</v>
      </c>
      <c r="J210" s="185">
        <v>-36</v>
      </c>
      <c r="K210" s="186">
        <v>0</v>
      </c>
      <c r="L210" s="288">
        <v>-54</v>
      </c>
      <c r="M210" s="24"/>
      <c r="N210" s="112" t="s">
        <v>670</v>
      </c>
      <c r="O210" s="187">
        <v>1.5</v>
      </c>
    </row>
    <row r="211" spans="1:15">
      <c r="A211" s="173" t="str">
        <f t="shared" si="3"/>
        <v>outbound</v>
      </c>
      <c r="B211" s="182">
        <v>45551.487500000003</v>
      </c>
      <c r="C211" s="183" t="s">
        <v>1929</v>
      </c>
      <c r="D211" s="183" t="s">
        <v>2103</v>
      </c>
      <c r="E211" s="215" t="s">
        <v>2107</v>
      </c>
      <c r="F211" s="176" t="s">
        <v>905</v>
      </c>
      <c r="G211" s="176"/>
      <c r="H211" s="112" t="str">
        <f>IF(ISBLANK(E211),"",_xlfn.XLOOKUP(E211,cannabis_log!C:C,cannabis_log!H:H,"",0,1))</f>
        <v>preroll_labelled</v>
      </c>
      <c r="I211" s="189">
        <v>45570</v>
      </c>
      <c r="J211" s="185">
        <v>-24</v>
      </c>
      <c r="K211" s="186">
        <v>0</v>
      </c>
      <c r="L211" s="288">
        <v>-36</v>
      </c>
      <c r="M211" s="188"/>
      <c r="N211" s="176" t="s">
        <v>670</v>
      </c>
      <c r="O211" s="180">
        <v>1.5</v>
      </c>
    </row>
    <row r="212" spans="1:15">
      <c r="A212" s="181" t="str">
        <f t="shared" si="3"/>
        <v>outbound</v>
      </c>
      <c r="B212" s="182">
        <v>45551.607638888891</v>
      </c>
      <c r="C212" s="183" t="s">
        <v>1929</v>
      </c>
      <c r="D212" s="183" t="s">
        <v>2108</v>
      </c>
      <c r="E212" s="215" t="s">
        <v>2072</v>
      </c>
      <c r="F212" s="112" t="s">
        <v>797</v>
      </c>
      <c r="G212" s="112"/>
      <c r="H212" s="112" t="str">
        <f>IF(ISBLANK(E212),"",_xlfn.XLOOKUP(E212,cannabis_log!C:C,cannabis_log!H:H,"",0,1))</f>
        <v>topical_labelled</v>
      </c>
      <c r="I212" s="113">
        <v>45531</v>
      </c>
      <c r="J212" s="185">
        <v>-109</v>
      </c>
      <c r="K212" s="186">
        <v>0</v>
      </c>
      <c r="L212" s="288">
        <v>-9592</v>
      </c>
      <c r="M212" s="24"/>
      <c r="N212" s="112" t="s">
        <v>670</v>
      </c>
      <c r="O212" s="187">
        <v>88</v>
      </c>
    </row>
    <row r="213" spans="1:15">
      <c r="A213" s="173" t="str">
        <f t="shared" si="3"/>
        <v>outbound</v>
      </c>
      <c r="B213" s="182">
        <v>45551.607638888891</v>
      </c>
      <c r="C213" s="183" t="s">
        <v>1929</v>
      </c>
      <c r="D213" s="192" t="s">
        <v>2109</v>
      </c>
      <c r="E213" s="215" t="s">
        <v>1932</v>
      </c>
      <c r="F213" s="176" t="s">
        <v>797</v>
      </c>
      <c r="G213" s="176"/>
      <c r="H213" s="112" t="str">
        <f>IF(ISBLANK(E213),"",_xlfn.XLOOKUP(E213,cannabis_log!C:C,cannabis_log!H:H,"",0,1))</f>
        <v>topical_labelled</v>
      </c>
      <c r="I213" s="189">
        <v>45448</v>
      </c>
      <c r="J213" s="185">
        <v>-11</v>
      </c>
      <c r="K213" s="186">
        <v>0</v>
      </c>
      <c r="L213" s="288">
        <v>-968</v>
      </c>
      <c r="M213" s="188"/>
      <c r="N213" s="176" t="s">
        <v>670</v>
      </c>
      <c r="O213" s="180">
        <v>88</v>
      </c>
    </row>
    <row r="214" spans="1:15">
      <c r="A214" s="181" t="str">
        <f t="shared" si="3"/>
        <v>inbound</v>
      </c>
      <c r="B214" s="182">
        <v>45552</v>
      </c>
      <c r="C214" s="183" t="s">
        <v>1927</v>
      </c>
      <c r="D214" s="183"/>
      <c r="E214" s="215" t="s">
        <v>2093</v>
      </c>
      <c r="F214" s="112" t="s">
        <v>2094</v>
      </c>
      <c r="G214" s="112"/>
      <c r="H214" s="112" t="str">
        <f>IF(ISBLANK(E214),"",_xlfn.XLOOKUP(E214,cannabis_log!C:C,cannabis_log!H:H,"",0,1))</f>
        <v>extract_inhaled_labelled</v>
      </c>
      <c r="I214" s="113">
        <v>45555</v>
      </c>
      <c r="J214" s="185">
        <v>31</v>
      </c>
      <c r="K214" s="186">
        <v>0</v>
      </c>
      <c r="L214" s="288">
        <v>15.5</v>
      </c>
      <c r="M214" s="24"/>
      <c r="N214" s="112" t="s">
        <v>670</v>
      </c>
      <c r="O214" s="187">
        <v>0.5</v>
      </c>
    </row>
    <row r="215" spans="1:15">
      <c r="A215" s="173" t="str">
        <f t="shared" si="3"/>
        <v>inbound</v>
      </c>
      <c r="B215" s="182">
        <v>45552</v>
      </c>
      <c r="C215" s="183" t="s">
        <v>1927</v>
      </c>
      <c r="D215" s="183"/>
      <c r="E215" s="215" t="s">
        <v>2098</v>
      </c>
      <c r="F215" s="176" t="s">
        <v>1315</v>
      </c>
      <c r="G215" s="176"/>
      <c r="H215" s="112" t="str">
        <f>IF(ISBLANK(E215),"",_xlfn.XLOOKUP(E215,cannabis_log!C:C,cannabis_log!H:H,"",0,1))</f>
        <v>extract_inhaled_labelled</v>
      </c>
      <c r="I215" s="189">
        <v>45555</v>
      </c>
      <c r="J215" s="185">
        <v>93</v>
      </c>
      <c r="K215" s="186">
        <v>0</v>
      </c>
      <c r="L215" s="288">
        <v>46.5</v>
      </c>
      <c r="M215" s="188"/>
      <c r="N215" s="176" t="s">
        <v>670</v>
      </c>
      <c r="O215" s="180">
        <v>0.5</v>
      </c>
    </row>
    <row r="216" spans="1:15">
      <c r="A216" s="181" t="str">
        <f t="shared" si="3"/>
        <v>outbound</v>
      </c>
      <c r="B216" s="182">
        <v>45552.39166666667</v>
      </c>
      <c r="C216" s="183" t="s">
        <v>1924</v>
      </c>
      <c r="D216" s="183" t="s">
        <v>2091</v>
      </c>
      <c r="E216" s="215" t="s">
        <v>2110</v>
      </c>
      <c r="F216" s="112" t="s">
        <v>971</v>
      </c>
      <c r="G216" s="112"/>
      <c r="H216" s="112" t="str">
        <f>IF(ISBLANK(E216),"",_xlfn.XLOOKUP(E216,cannabis_log!C:C,cannabis_log!H:H,"",0,1))</f>
        <v>extract_ingested_labelled</v>
      </c>
      <c r="I216" s="113">
        <v>45467</v>
      </c>
      <c r="J216" s="185">
        <v>-1</v>
      </c>
      <c r="K216" s="186">
        <v>0</v>
      </c>
      <c r="L216" s="288">
        <v>-27.3</v>
      </c>
      <c r="M216" s="24"/>
      <c r="N216" s="112" t="s">
        <v>670</v>
      </c>
      <c r="O216" s="187">
        <v>27.3</v>
      </c>
    </row>
    <row r="217" spans="1:15">
      <c r="A217" s="173" t="str">
        <f t="shared" si="3"/>
        <v>outbound</v>
      </c>
      <c r="B217" s="182">
        <v>45552.39166666667</v>
      </c>
      <c r="C217" s="183" t="s">
        <v>1924</v>
      </c>
      <c r="D217" s="183" t="s">
        <v>2091</v>
      </c>
      <c r="E217" s="215" t="s">
        <v>1982</v>
      </c>
      <c r="F217" s="176" t="s">
        <v>934</v>
      </c>
      <c r="G217" s="176"/>
      <c r="H217" s="112" t="str">
        <f>IF(ISBLANK(E217),"",_xlfn.XLOOKUP(E217,cannabis_log!C:C,cannabis_log!H:H,"",0,1))</f>
        <v>extract_ingested_labelled</v>
      </c>
      <c r="I217" s="189">
        <v>45094</v>
      </c>
      <c r="J217" s="185">
        <v>-1</v>
      </c>
      <c r="K217" s="186">
        <v>0</v>
      </c>
      <c r="L217" s="288">
        <v>-27.4</v>
      </c>
      <c r="M217" s="188"/>
      <c r="N217" s="176" t="s">
        <v>670</v>
      </c>
      <c r="O217" s="180">
        <v>27.4</v>
      </c>
    </row>
    <row r="218" spans="1:15">
      <c r="A218" s="181" t="str">
        <f t="shared" si="3"/>
        <v>outbound</v>
      </c>
      <c r="B218" s="182">
        <v>45552.425694444442</v>
      </c>
      <c r="C218" s="183" t="s">
        <v>1921</v>
      </c>
      <c r="D218" s="183" t="s">
        <v>2039</v>
      </c>
      <c r="E218" s="215" t="s">
        <v>2111</v>
      </c>
      <c r="F218" s="112" t="s">
        <v>2112</v>
      </c>
      <c r="G218" s="112"/>
      <c r="H218" s="112" t="str">
        <f>IF(ISBLANK(E218),"",_xlfn.XLOOKUP(E218,cannabis_log!C:C,cannabis_log!H:H,"",0,1))</f>
        <v>extract_ingested_labelled</v>
      </c>
      <c r="I218" s="113">
        <v>45550</v>
      </c>
      <c r="J218" s="185">
        <v>-231</v>
      </c>
      <c r="K218" s="186">
        <v>0</v>
      </c>
      <c r="L218" s="288">
        <v>-34881</v>
      </c>
      <c r="M218" s="24"/>
      <c r="N218" s="112" t="s">
        <v>670</v>
      </c>
      <c r="O218" s="187">
        <v>151</v>
      </c>
    </row>
    <row r="219" spans="1:15">
      <c r="A219" s="173" t="str">
        <f t="shared" si="3"/>
        <v>outbound</v>
      </c>
      <c r="B219" s="182">
        <v>45552.425694444442</v>
      </c>
      <c r="C219" s="183" t="s">
        <v>1921</v>
      </c>
      <c r="D219" s="183" t="s">
        <v>2039</v>
      </c>
      <c r="E219" s="215" t="s">
        <v>2113</v>
      </c>
      <c r="F219" s="176" t="s">
        <v>2112</v>
      </c>
      <c r="G219" s="176"/>
      <c r="H219" s="112" t="str">
        <f>IF(ISBLANK(E219),"",_xlfn.XLOOKUP(E219,cannabis_log!C:C,cannabis_log!H:H,"",0,1))</f>
        <v>extract_ingested_labelled</v>
      </c>
      <c r="I219" s="189">
        <v>45550</v>
      </c>
      <c r="J219" s="185">
        <v>-231</v>
      </c>
      <c r="K219" s="186">
        <v>0</v>
      </c>
      <c r="L219" s="288">
        <v>-34881</v>
      </c>
      <c r="M219" s="188"/>
      <c r="N219" s="176" t="s">
        <v>670</v>
      </c>
      <c r="O219" s="180">
        <v>151</v>
      </c>
    </row>
    <row r="220" spans="1:15">
      <c r="A220" s="181" t="str">
        <f t="shared" si="3"/>
        <v>outbound</v>
      </c>
      <c r="B220" s="182">
        <v>45552.425694444442</v>
      </c>
      <c r="C220" s="183" t="s">
        <v>1921</v>
      </c>
      <c r="D220" s="183" t="s">
        <v>2039</v>
      </c>
      <c r="E220" s="215" t="s">
        <v>2114</v>
      </c>
      <c r="F220" s="112" t="s">
        <v>2112</v>
      </c>
      <c r="G220" s="112"/>
      <c r="H220" s="112" t="str">
        <f>IF(ISBLANK(E220),"",_xlfn.XLOOKUP(E220,cannabis_log!C:C,cannabis_log!H:H,"",0,1))</f>
        <v>extract_ingested_labelled</v>
      </c>
      <c r="I220" s="113">
        <v>45550</v>
      </c>
      <c r="J220" s="185">
        <v>-228</v>
      </c>
      <c r="K220" s="186">
        <v>0</v>
      </c>
      <c r="L220" s="288">
        <v>-34428</v>
      </c>
      <c r="M220" s="24"/>
      <c r="N220" s="112" t="s">
        <v>670</v>
      </c>
      <c r="O220" s="187">
        <v>151</v>
      </c>
    </row>
    <row r="221" spans="1:15">
      <c r="A221" s="173" t="str">
        <f t="shared" si="3"/>
        <v>outbound</v>
      </c>
      <c r="B221" s="182">
        <v>45552.425694444442</v>
      </c>
      <c r="C221" s="183" t="s">
        <v>1921</v>
      </c>
      <c r="D221" s="183" t="s">
        <v>2039</v>
      </c>
      <c r="E221" s="215" t="s">
        <v>2028</v>
      </c>
      <c r="F221" s="176" t="s">
        <v>2029</v>
      </c>
      <c r="G221" s="176"/>
      <c r="H221" s="112" t="str">
        <f>IF(ISBLANK(E221),"",_xlfn.XLOOKUP(E221,cannabis_log!C:C,cannabis_log!H:H,"",0,1))</f>
        <v>extract_ingested_labelled</v>
      </c>
      <c r="I221" s="189">
        <v>45503</v>
      </c>
      <c r="J221" s="185">
        <v>-7</v>
      </c>
      <c r="K221" s="186">
        <v>0</v>
      </c>
      <c r="L221" s="288">
        <v>-1057</v>
      </c>
      <c r="M221" s="188"/>
      <c r="N221" s="176" t="s">
        <v>670</v>
      </c>
      <c r="O221" s="180">
        <v>151</v>
      </c>
    </row>
    <row r="222" spans="1:15">
      <c r="A222" s="181" t="str">
        <f t="shared" si="3"/>
        <v>outbound</v>
      </c>
      <c r="B222" s="182">
        <v>45552.425694444442</v>
      </c>
      <c r="C222" s="183" t="s">
        <v>1921</v>
      </c>
      <c r="D222" s="183" t="s">
        <v>2039</v>
      </c>
      <c r="E222" s="215" t="s">
        <v>2056</v>
      </c>
      <c r="F222" s="112" t="s">
        <v>1019</v>
      </c>
      <c r="G222" s="112"/>
      <c r="H222" s="112" t="str">
        <f>IF(ISBLANK(E222),"",_xlfn.XLOOKUP(E222,cannabis_log!C:C,cannabis_log!H:H,"",0,1))</f>
        <v>extract_ingested_labelled_damaged</v>
      </c>
      <c r="I222" s="113">
        <v>45523</v>
      </c>
      <c r="J222" s="185">
        <v>-9</v>
      </c>
      <c r="K222" s="186">
        <v>0</v>
      </c>
      <c r="L222" s="288">
        <v>-1359</v>
      </c>
      <c r="M222" s="24"/>
      <c r="N222" s="112" t="s">
        <v>670</v>
      </c>
      <c r="O222" s="187">
        <v>151</v>
      </c>
    </row>
    <row r="223" spans="1:15">
      <c r="A223" s="173" t="str">
        <f t="shared" si="3"/>
        <v>inbound</v>
      </c>
      <c r="B223" s="182">
        <v>45552.567361111112</v>
      </c>
      <c r="C223" s="183" t="s">
        <v>1927</v>
      </c>
      <c r="D223" s="183"/>
      <c r="E223" s="215" t="s">
        <v>2111</v>
      </c>
      <c r="F223" s="176" t="s">
        <v>2112</v>
      </c>
      <c r="G223" s="176"/>
      <c r="H223" s="112" t="str">
        <f>IF(ISBLANK(E223),"",_xlfn.XLOOKUP(E223,cannabis_log!C:C,cannabis_log!H:H,"",0,1))</f>
        <v>extract_ingested_labelled</v>
      </c>
      <c r="I223" s="189">
        <v>45550</v>
      </c>
      <c r="J223" s="185">
        <v>231</v>
      </c>
      <c r="K223" s="186">
        <v>0</v>
      </c>
      <c r="L223" s="288">
        <v>34881</v>
      </c>
      <c r="M223" s="188"/>
      <c r="N223" s="176" t="s">
        <v>670</v>
      </c>
      <c r="O223" s="180">
        <v>151</v>
      </c>
    </row>
    <row r="224" spans="1:15">
      <c r="A224" s="181" t="str">
        <f t="shared" si="3"/>
        <v>inbound</v>
      </c>
      <c r="B224" s="182">
        <v>45552.567361111112</v>
      </c>
      <c r="C224" s="183" t="s">
        <v>1927</v>
      </c>
      <c r="D224" s="183"/>
      <c r="E224" s="215" t="s">
        <v>2113</v>
      </c>
      <c r="F224" s="112" t="s">
        <v>2112</v>
      </c>
      <c r="G224" s="112"/>
      <c r="H224" s="112" t="str">
        <f>IF(ISBLANK(E224),"",_xlfn.XLOOKUP(E224,cannabis_log!C:C,cannabis_log!H:H,"",0,1))</f>
        <v>extract_ingested_labelled</v>
      </c>
      <c r="I224" s="113">
        <v>45550</v>
      </c>
      <c r="J224" s="185">
        <v>231</v>
      </c>
      <c r="K224" s="186">
        <v>0</v>
      </c>
      <c r="L224" s="288">
        <v>34881</v>
      </c>
      <c r="M224" s="24"/>
      <c r="N224" s="112" t="s">
        <v>670</v>
      </c>
      <c r="O224" s="187">
        <v>151</v>
      </c>
    </row>
    <row r="225" spans="1:15">
      <c r="A225" s="173" t="str">
        <f t="shared" si="3"/>
        <v>inbound</v>
      </c>
      <c r="B225" s="182">
        <v>45552.567361111112</v>
      </c>
      <c r="C225" s="183" t="s">
        <v>1927</v>
      </c>
      <c r="D225" s="183"/>
      <c r="E225" s="215" t="s">
        <v>2114</v>
      </c>
      <c r="F225" s="176" t="s">
        <v>2112</v>
      </c>
      <c r="G225" s="176"/>
      <c r="H225" s="112" t="str">
        <f>IF(ISBLANK(E225),"",_xlfn.XLOOKUP(E225,cannabis_log!C:C,cannabis_log!H:H,"",0,1))</f>
        <v>extract_ingested_labelled</v>
      </c>
      <c r="I225" s="189">
        <v>45550</v>
      </c>
      <c r="J225" s="185">
        <v>228</v>
      </c>
      <c r="K225" s="186">
        <v>0</v>
      </c>
      <c r="L225" s="288">
        <v>34428</v>
      </c>
      <c r="M225" s="188"/>
      <c r="N225" s="176" t="s">
        <v>670</v>
      </c>
      <c r="O225" s="180">
        <v>151</v>
      </c>
    </row>
    <row r="226" spans="1:15">
      <c r="A226" s="181" t="str">
        <f t="shared" si="3"/>
        <v>inbound</v>
      </c>
      <c r="B226" s="182">
        <v>45552.567361111112</v>
      </c>
      <c r="C226" s="183" t="s">
        <v>1927</v>
      </c>
      <c r="D226" s="183"/>
      <c r="E226" s="215" t="s">
        <v>2028</v>
      </c>
      <c r="F226" s="112" t="s">
        <v>2029</v>
      </c>
      <c r="G226" s="112"/>
      <c r="H226" s="112" t="str">
        <f>IF(ISBLANK(E226),"",_xlfn.XLOOKUP(E226,cannabis_log!C:C,cannabis_log!H:H,"",0,1))</f>
        <v>extract_ingested_labelled</v>
      </c>
      <c r="I226" s="113">
        <v>45503</v>
      </c>
      <c r="J226" s="185">
        <v>7</v>
      </c>
      <c r="K226" s="186">
        <v>0</v>
      </c>
      <c r="L226" s="288">
        <v>1057</v>
      </c>
      <c r="M226" s="24"/>
      <c r="N226" s="112" t="s">
        <v>670</v>
      </c>
      <c r="O226" s="187">
        <v>151</v>
      </c>
    </row>
    <row r="227" spans="1:15">
      <c r="A227" s="173" t="str">
        <f t="shared" si="3"/>
        <v>inbound</v>
      </c>
      <c r="B227" s="182">
        <v>45552.567361111112</v>
      </c>
      <c r="C227" s="183" t="s">
        <v>1927</v>
      </c>
      <c r="D227" s="183"/>
      <c r="E227" s="215" t="s">
        <v>2056</v>
      </c>
      <c r="F227" s="176" t="s">
        <v>1019</v>
      </c>
      <c r="G227" s="176"/>
      <c r="H227" s="112" t="str">
        <f>IF(ISBLANK(E227),"",_xlfn.XLOOKUP(E227,cannabis_log!C:C,cannabis_log!H:H,"",0,1))</f>
        <v>extract_ingested_labelled_damaged</v>
      </c>
      <c r="I227" s="189">
        <v>45523</v>
      </c>
      <c r="J227" s="185">
        <v>9</v>
      </c>
      <c r="K227" s="186">
        <v>0</v>
      </c>
      <c r="L227" s="288">
        <v>1359</v>
      </c>
      <c r="M227" s="188"/>
      <c r="N227" s="176" t="s">
        <v>670</v>
      </c>
      <c r="O227" s="180">
        <v>151</v>
      </c>
    </row>
    <row r="228" spans="1:15">
      <c r="A228" s="181" t="str">
        <f t="shared" si="3"/>
        <v>outbound</v>
      </c>
      <c r="B228" s="182">
        <v>45553.398611111108</v>
      </c>
      <c r="C228" s="183" t="s">
        <v>1929</v>
      </c>
      <c r="D228" s="183" t="s">
        <v>2115</v>
      </c>
      <c r="E228" s="215" t="s">
        <v>2107</v>
      </c>
      <c r="F228" s="112" t="s">
        <v>905</v>
      </c>
      <c r="G228" s="112"/>
      <c r="H228" s="112" t="str">
        <f>IF(ISBLANK(E228),"",_xlfn.XLOOKUP(E228,cannabis_log!C:C,cannabis_log!H:H,"",0,1))</f>
        <v>preroll_labelled</v>
      </c>
      <c r="I228" s="113">
        <v>45570</v>
      </c>
      <c r="J228" s="185">
        <v>-12</v>
      </c>
      <c r="K228" s="186">
        <v>0</v>
      </c>
      <c r="L228" s="288">
        <v>-18</v>
      </c>
      <c r="M228" s="24"/>
      <c r="N228" s="112" t="s">
        <v>670</v>
      </c>
      <c r="O228" s="187">
        <v>1.5</v>
      </c>
    </row>
    <row r="229" spans="1:15">
      <c r="A229" s="173" t="str">
        <f t="shared" si="3"/>
        <v>outbound</v>
      </c>
      <c r="B229" s="182">
        <v>45553.42083333333</v>
      </c>
      <c r="C229" s="183" t="s">
        <v>1929</v>
      </c>
      <c r="D229" s="192" t="s">
        <v>2116</v>
      </c>
      <c r="E229" s="215" t="s">
        <v>2117</v>
      </c>
      <c r="F229" s="176" t="s">
        <v>1315</v>
      </c>
      <c r="G229" s="176"/>
      <c r="H229" s="112" t="str">
        <f>IF(ISBLANK(E229),"",_xlfn.XLOOKUP(E229,cannabis_log!C:C,cannabis_log!H:H,"",0,1))</f>
        <v>extract_inhaled_labelled</v>
      </c>
      <c r="I229" s="189">
        <v>45555</v>
      </c>
      <c r="J229" s="185">
        <v>-11</v>
      </c>
      <c r="K229" s="186">
        <v>0</v>
      </c>
      <c r="L229" s="288">
        <v>-5.5</v>
      </c>
      <c r="M229" s="188"/>
      <c r="N229" s="176" t="s">
        <v>670</v>
      </c>
      <c r="O229" s="180">
        <v>0.5</v>
      </c>
    </row>
    <row r="230" spans="1:15">
      <c r="A230" s="181" t="str">
        <f t="shared" si="3"/>
        <v>outbound</v>
      </c>
      <c r="B230" s="182">
        <v>45553.42083333333</v>
      </c>
      <c r="C230" s="183" t="s">
        <v>1929</v>
      </c>
      <c r="D230" s="22" t="s">
        <v>2116</v>
      </c>
      <c r="E230" s="215" t="s">
        <v>2093</v>
      </c>
      <c r="F230" s="112" t="s">
        <v>2094</v>
      </c>
      <c r="G230" s="112"/>
      <c r="H230" s="112" t="str">
        <f>IF(ISBLANK(E230),"",_xlfn.XLOOKUP(E230,cannabis_log!C:C,cannabis_log!H:H,"",0,1))</f>
        <v>extract_inhaled_labelled</v>
      </c>
      <c r="I230" s="113">
        <v>45555</v>
      </c>
      <c r="J230" s="185">
        <v>-12</v>
      </c>
      <c r="K230" s="186">
        <v>0</v>
      </c>
      <c r="L230" s="288">
        <v>-6</v>
      </c>
      <c r="M230" s="24"/>
      <c r="N230" s="112" t="s">
        <v>670</v>
      </c>
      <c r="O230" s="187">
        <v>0.5</v>
      </c>
    </row>
    <row r="231" spans="1:15">
      <c r="A231" s="173" t="str">
        <f t="shared" si="3"/>
        <v>inbound</v>
      </c>
      <c r="B231" s="182">
        <v>45553.427083333336</v>
      </c>
      <c r="C231" s="183" t="s">
        <v>1927</v>
      </c>
      <c r="D231" s="183" t="s">
        <v>2118</v>
      </c>
      <c r="E231" s="215" t="s">
        <v>2072</v>
      </c>
      <c r="F231" s="176" t="s">
        <v>797</v>
      </c>
      <c r="G231" s="176"/>
      <c r="H231" s="112" t="str">
        <f>IF(ISBLANK(E231),"",_xlfn.XLOOKUP(E231,cannabis_log!C:C,cannabis_log!H:H,"",0,1))</f>
        <v>topical_labelled</v>
      </c>
      <c r="I231" s="189">
        <v>45531</v>
      </c>
      <c r="J231" s="185">
        <v>109</v>
      </c>
      <c r="K231" s="186">
        <v>0</v>
      </c>
      <c r="L231" s="288">
        <v>9592</v>
      </c>
      <c r="M231" s="188"/>
      <c r="N231" s="176" t="s">
        <v>670</v>
      </c>
      <c r="O231" s="180">
        <v>88</v>
      </c>
    </row>
    <row r="232" spans="1:15">
      <c r="A232" s="181" t="str">
        <f t="shared" si="3"/>
        <v>outbound</v>
      </c>
      <c r="B232" s="182">
        <v>45553.427083333336</v>
      </c>
      <c r="C232" s="183" t="s">
        <v>1927</v>
      </c>
      <c r="D232" s="183" t="s">
        <v>2119</v>
      </c>
      <c r="E232" s="215" t="s">
        <v>1932</v>
      </c>
      <c r="F232" s="112" t="s">
        <v>797</v>
      </c>
      <c r="G232" s="112"/>
      <c r="H232" s="112" t="str">
        <f>IF(ISBLANK(E232),"",_xlfn.XLOOKUP(E232,cannabis_log!C:C,cannabis_log!H:H,"",0,1))</f>
        <v>topical_labelled</v>
      </c>
      <c r="I232" s="113">
        <v>45448</v>
      </c>
      <c r="J232" s="185">
        <v>-37</v>
      </c>
      <c r="K232" s="186">
        <v>0</v>
      </c>
      <c r="L232" s="288">
        <v>-3256</v>
      </c>
      <c r="M232" s="24"/>
      <c r="N232" s="112" t="s">
        <v>670</v>
      </c>
      <c r="O232" s="187">
        <v>88</v>
      </c>
    </row>
    <row r="233" spans="1:15">
      <c r="A233" s="173" t="str">
        <f t="shared" si="3"/>
        <v>outbound</v>
      </c>
      <c r="B233" s="182">
        <v>45553.427083333336</v>
      </c>
      <c r="C233" s="183" t="s">
        <v>1929</v>
      </c>
      <c r="D233" s="192" t="s">
        <v>2116</v>
      </c>
      <c r="E233" s="215" t="s">
        <v>2098</v>
      </c>
      <c r="F233" s="176" t="s">
        <v>1315</v>
      </c>
      <c r="G233" s="176"/>
      <c r="H233" s="112" t="str">
        <f>IF(ISBLANK(E233),"",_xlfn.XLOOKUP(E233,cannabis_log!C:C,cannabis_log!H:H,"",0,1))</f>
        <v>extract_inhaled_labelled</v>
      </c>
      <c r="I233" s="189">
        <v>45555</v>
      </c>
      <c r="J233" s="185">
        <v>-1</v>
      </c>
      <c r="K233" s="186">
        <v>0</v>
      </c>
      <c r="L233" s="288">
        <v>-0.5</v>
      </c>
      <c r="M233" s="188"/>
      <c r="N233" s="176" t="s">
        <v>670</v>
      </c>
      <c r="O233" s="180">
        <v>0.5</v>
      </c>
    </row>
    <row r="234" spans="1:15">
      <c r="A234" s="181" t="str">
        <f t="shared" si="3"/>
        <v>outbound</v>
      </c>
      <c r="B234" s="182">
        <v>45554.576388888891</v>
      </c>
      <c r="C234" s="183" t="s">
        <v>1929</v>
      </c>
      <c r="D234" s="191" t="s">
        <v>2120</v>
      </c>
      <c r="E234" s="215" t="s">
        <v>1941</v>
      </c>
      <c r="F234" s="112" t="s">
        <v>1324</v>
      </c>
      <c r="G234" s="112"/>
      <c r="H234" s="112" t="str">
        <f>IF(ISBLANK(E234),"",_xlfn.XLOOKUP(E234,cannabis_log!C:C,cannabis_log!H:H,"",0,1))</f>
        <v>topical_labelled</v>
      </c>
      <c r="I234" s="113">
        <v>45467</v>
      </c>
      <c r="J234" s="185">
        <v>-120</v>
      </c>
      <c r="K234" s="186">
        <v>0</v>
      </c>
      <c r="L234" s="288">
        <v>-54000</v>
      </c>
      <c r="M234" s="24"/>
      <c r="N234" s="112" t="s">
        <v>670</v>
      </c>
      <c r="O234" s="187">
        <v>450</v>
      </c>
    </row>
    <row r="235" spans="1:15">
      <c r="A235" s="173" t="str">
        <f t="shared" si="3"/>
        <v>outbound</v>
      </c>
      <c r="B235" s="182">
        <v>45555.572916666664</v>
      </c>
      <c r="C235" s="183" t="s">
        <v>1921</v>
      </c>
      <c r="D235" s="183"/>
      <c r="E235" s="215" t="s">
        <v>2060</v>
      </c>
      <c r="F235" s="176">
        <v>2024082701</v>
      </c>
      <c r="G235" s="176"/>
      <c r="H235" s="112" t="str">
        <f>IF(ISBLANK(E235),"",_xlfn.XLOOKUP(E235,cannabis_log!C:C,cannabis_log!H:H,"",0,1))</f>
        <v>extract_distillate_bulk</v>
      </c>
      <c r="I235" s="189" t="s">
        <v>55</v>
      </c>
      <c r="J235" s="185">
        <v>-1</v>
      </c>
      <c r="K235" s="186">
        <v>-355.1</v>
      </c>
      <c r="L235" s="288">
        <v>0</v>
      </c>
      <c r="M235" s="188"/>
      <c r="N235" s="176" t="s">
        <v>664</v>
      </c>
      <c r="O235" s="180">
        <v>0</v>
      </c>
    </row>
    <row r="236" spans="1:15">
      <c r="A236" s="181" t="str">
        <f t="shared" si="3"/>
        <v>outbound</v>
      </c>
      <c r="B236" s="182">
        <v>45558.396527777775</v>
      </c>
      <c r="C236" s="183" t="s">
        <v>1921</v>
      </c>
      <c r="D236" s="183"/>
      <c r="E236" s="215" t="s">
        <v>2121</v>
      </c>
      <c r="F236" s="112" t="s">
        <v>2094</v>
      </c>
      <c r="G236" s="112"/>
      <c r="H236" s="112" t="str">
        <f>IF(ISBLANK(E236),"",_xlfn.XLOOKUP(E236,cannabis_log!C:C,cannabis_log!H:H,"",0,1))</f>
        <v>extract_inhaled_labelled</v>
      </c>
      <c r="I236" s="113">
        <v>45555</v>
      </c>
      <c r="J236" s="185">
        <v>-200</v>
      </c>
      <c r="K236" s="186">
        <v>0</v>
      </c>
      <c r="L236" s="288">
        <v>-100</v>
      </c>
      <c r="M236" s="24"/>
      <c r="N236" s="112" t="s">
        <v>670</v>
      </c>
      <c r="O236" s="187">
        <v>0.5</v>
      </c>
    </row>
    <row r="237" spans="1:15">
      <c r="A237" s="173" t="str">
        <f t="shared" si="3"/>
        <v>outbound</v>
      </c>
      <c r="B237" s="182">
        <v>45558.396527777775</v>
      </c>
      <c r="C237" s="183" t="s">
        <v>1921</v>
      </c>
      <c r="D237" s="183"/>
      <c r="E237" s="215" t="s">
        <v>2122</v>
      </c>
      <c r="F237" s="176" t="s">
        <v>1010</v>
      </c>
      <c r="G237" s="176"/>
      <c r="H237" s="112" t="str">
        <f>IF(ISBLANK(E237),"",_xlfn.XLOOKUP(E237,cannabis_log!C:C,cannabis_log!H:H,"",0,1))</f>
        <v>extract_inhaled_packaged</v>
      </c>
      <c r="I237" s="189" t="s">
        <v>55</v>
      </c>
      <c r="J237" s="185">
        <v>-200</v>
      </c>
      <c r="K237" s="186">
        <v>0</v>
      </c>
      <c r="L237" s="288">
        <v>-100</v>
      </c>
      <c r="M237" s="188"/>
      <c r="N237" s="176" t="s">
        <v>670</v>
      </c>
      <c r="O237" s="180">
        <v>0.5</v>
      </c>
    </row>
    <row r="238" spans="1:15">
      <c r="A238" s="181" t="str">
        <f t="shared" si="3"/>
        <v>outbound</v>
      </c>
      <c r="B238" s="182">
        <v>45558.396527777775</v>
      </c>
      <c r="C238" s="183" t="s">
        <v>1921</v>
      </c>
      <c r="D238" s="183"/>
      <c r="E238" s="215" t="s">
        <v>2123</v>
      </c>
      <c r="F238" s="112" t="s">
        <v>1315</v>
      </c>
      <c r="G238" s="112"/>
      <c r="H238" s="112" t="str">
        <f>IF(ISBLANK(E238),"",_xlfn.XLOOKUP(E238,cannabis_log!C:C,cannabis_log!H:H,"",0,1))</f>
        <v>extract_inhaled_labelled</v>
      </c>
      <c r="I238" s="113">
        <v>45555</v>
      </c>
      <c r="J238" s="185">
        <v>-200</v>
      </c>
      <c r="K238" s="186">
        <v>0</v>
      </c>
      <c r="L238" s="288">
        <v>-100</v>
      </c>
      <c r="M238" s="24"/>
      <c r="N238" s="112" t="s">
        <v>670</v>
      </c>
      <c r="O238" s="187">
        <v>0.5</v>
      </c>
    </row>
    <row r="239" spans="1:15">
      <c r="A239" s="173" t="str">
        <f t="shared" si="3"/>
        <v>outbound</v>
      </c>
      <c r="B239" s="182">
        <v>45558.396527777775</v>
      </c>
      <c r="C239" s="183" t="s">
        <v>1921</v>
      </c>
      <c r="D239" s="183"/>
      <c r="E239" s="215" t="s">
        <v>2124</v>
      </c>
      <c r="F239" s="176" t="s">
        <v>1315</v>
      </c>
      <c r="G239" s="176"/>
      <c r="H239" s="112" t="str">
        <f>IF(ISBLANK(E239),"",_xlfn.XLOOKUP(E239,cannabis_log!C:C,cannabis_log!H:H,"",0,1))</f>
        <v>extract_inhaled_labelled</v>
      </c>
      <c r="I239" s="189">
        <v>45555</v>
      </c>
      <c r="J239" s="185">
        <v>-208</v>
      </c>
      <c r="K239" s="186">
        <v>0</v>
      </c>
      <c r="L239" s="288">
        <v>-104</v>
      </c>
      <c r="M239" s="188"/>
      <c r="N239" s="176" t="s">
        <v>670</v>
      </c>
      <c r="O239" s="180">
        <v>0.5</v>
      </c>
    </row>
    <row r="240" spans="1:15">
      <c r="A240" s="181" t="str">
        <f t="shared" si="3"/>
        <v>outbound</v>
      </c>
      <c r="B240" s="182">
        <v>45558.396527777775</v>
      </c>
      <c r="C240" s="183" t="s">
        <v>1921</v>
      </c>
      <c r="D240" s="183"/>
      <c r="E240" s="215" t="s">
        <v>2125</v>
      </c>
      <c r="F240" s="112" t="s">
        <v>2100</v>
      </c>
      <c r="G240" s="112"/>
      <c r="H240" s="112" t="str">
        <f>IF(ISBLANK(E240),"",_xlfn.XLOOKUP(E240,cannabis_log!C:C,cannabis_log!H:H,"",0,1))</f>
        <v>extract_inhaled_labelled</v>
      </c>
      <c r="I240" s="113">
        <v>45555</v>
      </c>
      <c r="J240" s="185">
        <v>-200</v>
      </c>
      <c r="K240" s="186">
        <v>-200</v>
      </c>
      <c r="L240" s="288">
        <v>-100</v>
      </c>
      <c r="M240" s="24"/>
      <c r="N240" s="112" t="s">
        <v>670</v>
      </c>
      <c r="O240" s="187">
        <v>0.5</v>
      </c>
    </row>
    <row r="241" spans="1:15">
      <c r="A241" s="173" t="str">
        <f t="shared" si="3"/>
        <v>outbound</v>
      </c>
      <c r="B241" s="182">
        <v>45558.396527777775</v>
      </c>
      <c r="C241" s="183" t="s">
        <v>1921</v>
      </c>
      <c r="D241" s="183"/>
      <c r="E241" s="215" t="s">
        <v>2126</v>
      </c>
      <c r="F241" s="176" t="s">
        <v>2100</v>
      </c>
      <c r="G241" s="176"/>
      <c r="H241" s="112" t="str">
        <f>IF(ISBLANK(E241),"",_xlfn.XLOOKUP(E241,cannabis_log!C:C,cannabis_log!H:H,"",0,1))</f>
        <v>extract_inhaled_labelled</v>
      </c>
      <c r="I241" s="189">
        <v>45555</v>
      </c>
      <c r="J241" s="185">
        <v>-200</v>
      </c>
      <c r="K241" s="186">
        <v>0</v>
      </c>
      <c r="L241" s="288">
        <v>-100</v>
      </c>
      <c r="M241" s="188"/>
      <c r="N241" s="176" t="s">
        <v>670</v>
      </c>
      <c r="O241" s="180">
        <v>0.5</v>
      </c>
    </row>
    <row r="242" spans="1:15">
      <c r="A242" s="181" t="str">
        <f t="shared" si="3"/>
        <v>outbound</v>
      </c>
      <c r="B242" s="182">
        <v>45558.581944444442</v>
      </c>
      <c r="C242" s="183" t="s">
        <v>1929</v>
      </c>
      <c r="D242" s="191" t="s">
        <v>2127</v>
      </c>
      <c r="E242" s="215" t="s">
        <v>2072</v>
      </c>
      <c r="F242" s="112" t="s">
        <v>797</v>
      </c>
      <c r="G242" s="112"/>
      <c r="H242" s="112" t="str">
        <f>IF(ISBLANK(E242),"",_xlfn.XLOOKUP(E242,cannabis_log!C:C,cannabis_log!H:H,"",0,1))</f>
        <v>topical_labelled</v>
      </c>
      <c r="I242" s="113">
        <v>45531</v>
      </c>
      <c r="J242" s="185">
        <v>-109</v>
      </c>
      <c r="K242" s="186">
        <v>0</v>
      </c>
      <c r="L242" s="288">
        <v>-9592</v>
      </c>
      <c r="M242" s="24"/>
      <c r="N242" s="112" t="s">
        <v>670</v>
      </c>
      <c r="O242" s="187">
        <v>88</v>
      </c>
    </row>
    <row r="243" spans="1:15">
      <c r="A243" s="173" t="str">
        <f t="shared" si="3"/>
        <v>outbound</v>
      </c>
      <c r="B243" s="182">
        <v>45558.581944444442</v>
      </c>
      <c r="C243" s="183" t="s">
        <v>1929</v>
      </c>
      <c r="D243" s="193" t="s">
        <v>2127</v>
      </c>
      <c r="E243" s="215" t="s">
        <v>1932</v>
      </c>
      <c r="F243" s="176" t="s">
        <v>797</v>
      </c>
      <c r="G243" s="176"/>
      <c r="H243" s="112" t="str">
        <f>IF(ISBLANK(E243),"",_xlfn.XLOOKUP(E243,cannabis_log!C:C,cannabis_log!H:H,"",0,1))</f>
        <v>topical_labelled</v>
      </c>
      <c r="I243" s="189">
        <v>45448</v>
      </c>
      <c r="J243" s="185">
        <v>-142</v>
      </c>
      <c r="K243" s="186">
        <v>0</v>
      </c>
      <c r="L243" s="288">
        <v>-12496</v>
      </c>
      <c r="M243" s="188"/>
      <c r="N243" s="176" t="s">
        <v>670</v>
      </c>
      <c r="O243" s="180">
        <v>88</v>
      </c>
    </row>
    <row r="244" spans="1:15">
      <c r="A244" s="181" t="str">
        <f t="shared" si="3"/>
        <v>outbound</v>
      </c>
      <c r="B244" s="182">
        <v>45558.581944444442</v>
      </c>
      <c r="C244" s="183" t="s">
        <v>1929</v>
      </c>
      <c r="D244" s="191" t="s">
        <v>2128</v>
      </c>
      <c r="E244" s="215" t="s">
        <v>2129</v>
      </c>
      <c r="F244" s="112" t="s">
        <v>814</v>
      </c>
      <c r="G244" s="112"/>
      <c r="H244" s="112" t="str">
        <f>IF(ISBLANK(E244),"",_xlfn.XLOOKUP(E244,cannabis_log!C:C,cannabis_log!H:H,"",0,1))</f>
        <v>preroll_labelled</v>
      </c>
      <c r="I244" s="113">
        <v>44999</v>
      </c>
      <c r="J244" s="185">
        <v>-102</v>
      </c>
      <c r="K244" s="186">
        <v>0</v>
      </c>
      <c r="L244" s="288">
        <v>-102</v>
      </c>
      <c r="M244" s="24"/>
      <c r="N244" s="112" t="s">
        <v>670</v>
      </c>
      <c r="O244" s="187">
        <v>1</v>
      </c>
    </row>
    <row r="245" spans="1:15">
      <c r="A245" s="173" t="str">
        <f t="shared" si="3"/>
        <v>outbound</v>
      </c>
      <c r="B245" s="182">
        <v>45558.581944444442</v>
      </c>
      <c r="C245" s="183" t="s">
        <v>1929</v>
      </c>
      <c r="D245" s="193" t="s">
        <v>2128</v>
      </c>
      <c r="E245" s="215" t="s">
        <v>2041</v>
      </c>
      <c r="F245" s="176" t="s">
        <v>824</v>
      </c>
      <c r="G245" s="176"/>
      <c r="H245" s="112" t="str">
        <f>IF(ISBLANK(E245),"",_xlfn.XLOOKUP(E245,cannabis_log!C:C,cannabis_log!H:H,"",0,1))</f>
        <v>preroll_labelled</v>
      </c>
      <c r="I245" s="189">
        <v>44999</v>
      </c>
      <c r="J245" s="185">
        <v>-36</v>
      </c>
      <c r="K245" s="186">
        <v>0</v>
      </c>
      <c r="L245" s="288">
        <v>-36</v>
      </c>
      <c r="M245" s="188"/>
      <c r="N245" s="176" t="s">
        <v>670</v>
      </c>
      <c r="O245" s="180">
        <v>1</v>
      </c>
    </row>
    <row r="246" spans="1:15">
      <c r="A246" s="181" t="str">
        <f t="shared" si="3"/>
        <v>outbound</v>
      </c>
      <c r="B246" s="182">
        <v>45558.581944444442</v>
      </c>
      <c r="C246" s="183" t="s">
        <v>1929</v>
      </c>
      <c r="D246" s="191" t="s">
        <v>2128</v>
      </c>
      <c r="E246" s="215" t="s">
        <v>2130</v>
      </c>
      <c r="F246" s="112" t="s">
        <v>846</v>
      </c>
      <c r="G246" s="112"/>
      <c r="H246" s="112" t="str">
        <f>IF(ISBLANK(E246),"",_xlfn.XLOOKUP(E246,cannabis_log!C:C,cannabis_log!H:H,"",0,1))</f>
        <v>preroll_labelled</v>
      </c>
      <c r="I246" s="113">
        <v>45492</v>
      </c>
      <c r="J246" s="185">
        <v>-12</v>
      </c>
      <c r="K246" s="186">
        <v>0</v>
      </c>
      <c r="L246" s="288">
        <v>-12</v>
      </c>
      <c r="M246" s="24"/>
      <c r="N246" s="112" t="s">
        <v>670</v>
      </c>
      <c r="O246" s="187">
        <v>1</v>
      </c>
    </row>
    <row r="247" spans="1:15">
      <c r="A247" s="173" t="str">
        <f t="shared" si="3"/>
        <v>outbound</v>
      </c>
      <c r="B247" s="182">
        <v>45558.581944444442</v>
      </c>
      <c r="C247" s="183" t="s">
        <v>1929</v>
      </c>
      <c r="D247" s="193" t="s">
        <v>2128</v>
      </c>
      <c r="E247" s="215" t="s">
        <v>2131</v>
      </c>
      <c r="F247" s="176" t="s">
        <v>846</v>
      </c>
      <c r="G247" s="176"/>
      <c r="H247" s="112" t="str">
        <f>IF(ISBLANK(E247),"",_xlfn.XLOOKUP(E247,cannabis_log!C:C,cannabis_log!H:H,"",0,1))</f>
        <v>preroll_labelled</v>
      </c>
      <c r="I247" s="189">
        <v>45531</v>
      </c>
      <c r="J247" s="185">
        <v>-24</v>
      </c>
      <c r="K247" s="186">
        <v>0</v>
      </c>
      <c r="L247" s="288">
        <v>-24</v>
      </c>
      <c r="M247" s="188"/>
      <c r="N247" s="176" t="s">
        <v>670</v>
      </c>
      <c r="O247" s="180">
        <v>1</v>
      </c>
    </row>
    <row r="248" spans="1:15">
      <c r="A248" s="181" t="str">
        <f t="shared" si="3"/>
        <v>outbound</v>
      </c>
      <c r="B248" s="182">
        <v>45558.581944444442</v>
      </c>
      <c r="C248" s="183" t="s">
        <v>1929</v>
      </c>
      <c r="D248" s="191" t="s">
        <v>2128</v>
      </c>
      <c r="E248" s="215" t="s">
        <v>1965</v>
      </c>
      <c r="F248" s="112" t="s">
        <v>630</v>
      </c>
      <c r="G248" s="112"/>
      <c r="H248" s="112" t="str">
        <f>IF(ISBLANK(E248),"",_xlfn.XLOOKUP(E248,cannabis_log!C:C,cannabis_log!H:H,"",0,1))</f>
        <v>preroll_labelled</v>
      </c>
      <c r="I248" s="113">
        <v>45543</v>
      </c>
      <c r="J248" s="185">
        <v>-12</v>
      </c>
      <c r="K248" s="186">
        <v>0</v>
      </c>
      <c r="L248" s="288">
        <v>-18</v>
      </c>
      <c r="M248" s="24"/>
      <c r="N248" s="112" t="s">
        <v>670</v>
      </c>
      <c r="O248" s="187">
        <v>1.5</v>
      </c>
    </row>
    <row r="249" spans="1:15">
      <c r="A249" s="173" t="str">
        <f t="shared" si="3"/>
        <v>outbound</v>
      </c>
      <c r="B249" s="182">
        <v>45558.581944444442</v>
      </c>
      <c r="C249" s="183" t="s">
        <v>1929</v>
      </c>
      <c r="D249" s="193" t="s">
        <v>2128</v>
      </c>
      <c r="E249" s="215" t="s">
        <v>2132</v>
      </c>
      <c r="F249" s="176" t="s">
        <v>1313</v>
      </c>
      <c r="G249" s="176"/>
      <c r="H249" s="112" t="str">
        <f>IF(ISBLANK(E249),"",_xlfn.XLOOKUP(E249,cannabis_log!C:C,cannabis_log!H:H,"",0,1))</f>
        <v>preroll_labelled</v>
      </c>
      <c r="I249" s="189">
        <v>45523</v>
      </c>
      <c r="J249" s="185">
        <v>-12</v>
      </c>
      <c r="K249" s="186">
        <v>0</v>
      </c>
      <c r="L249" s="288">
        <v>-18</v>
      </c>
      <c r="M249" s="188"/>
      <c r="N249" s="176" t="s">
        <v>670</v>
      </c>
      <c r="O249" s="180">
        <v>1.5</v>
      </c>
    </row>
    <row r="250" spans="1:15">
      <c r="A250" s="181" t="str">
        <f t="shared" si="3"/>
        <v>outbound</v>
      </c>
      <c r="B250" s="182">
        <v>45558.615972222222</v>
      </c>
      <c r="C250" s="183" t="s">
        <v>1929</v>
      </c>
      <c r="D250" s="191" t="s">
        <v>2128</v>
      </c>
      <c r="E250" s="215" t="s">
        <v>2107</v>
      </c>
      <c r="F250" s="112" t="s">
        <v>905</v>
      </c>
      <c r="G250" s="112"/>
      <c r="H250" s="112" t="str">
        <f>IF(ISBLANK(E250),"",_xlfn.XLOOKUP(E250,cannabis_log!C:C,cannabis_log!H:H,"",0,1))</f>
        <v>preroll_labelled</v>
      </c>
      <c r="I250" s="113">
        <v>45570</v>
      </c>
      <c r="J250" s="185">
        <v>-12</v>
      </c>
      <c r="K250" s="186">
        <v>0</v>
      </c>
      <c r="L250" s="288">
        <v>-18</v>
      </c>
      <c r="M250" s="24"/>
      <c r="N250" s="112" t="s">
        <v>670</v>
      </c>
      <c r="O250" s="187">
        <v>1.5</v>
      </c>
    </row>
    <row r="251" spans="1:15">
      <c r="A251" s="173" t="str">
        <f t="shared" si="3"/>
        <v>inbound</v>
      </c>
      <c r="B251" s="182">
        <v>45558.615972222222</v>
      </c>
      <c r="C251" s="183" t="s">
        <v>1927</v>
      </c>
      <c r="D251" s="183"/>
      <c r="E251" s="215" t="s">
        <v>2123</v>
      </c>
      <c r="F251" s="176" t="s">
        <v>1315</v>
      </c>
      <c r="G251" s="176"/>
      <c r="H251" s="112" t="str">
        <f>IF(ISBLANK(E251),"",_xlfn.XLOOKUP(E251,cannabis_log!C:C,cannabis_log!H:H,"",0,1))</f>
        <v>extract_inhaled_labelled</v>
      </c>
      <c r="I251" s="189">
        <v>45555</v>
      </c>
      <c r="J251" s="185">
        <v>120</v>
      </c>
      <c r="K251" s="186">
        <v>0</v>
      </c>
      <c r="L251" s="288">
        <v>60</v>
      </c>
      <c r="M251" s="188"/>
      <c r="N251" s="176" t="s">
        <v>670</v>
      </c>
      <c r="O251" s="180">
        <v>0.5</v>
      </c>
    </row>
    <row r="252" spans="1:15">
      <c r="A252" s="181" t="str">
        <f t="shared" si="3"/>
        <v>outbound</v>
      </c>
      <c r="B252" s="182">
        <v>45558.615972222222</v>
      </c>
      <c r="C252" s="183" t="s">
        <v>1927</v>
      </c>
      <c r="D252" s="183"/>
      <c r="E252" s="215" t="s">
        <v>2133</v>
      </c>
      <c r="F252" s="112" t="s">
        <v>2134</v>
      </c>
      <c r="G252" s="112"/>
      <c r="H252" s="112" t="str">
        <f>IF(ISBLANK(E252),"",_xlfn.XLOOKUP(E252,cannabis_log!C:C,cannabis_log!H:H,"",0,1))</f>
        <v>extract_inhaled_packaged</v>
      </c>
      <c r="I252" s="113" t="s">
        <v>55</v>
      </c>
      <c r="J252" s="185">
        <v>-36</v>
      </c>
      <c r="K252" s="186">
        <v>0</v>
      </c>
      <c r="L252" s="288">
        <v>-18</v>
      </c>
      <c r="M252" s="24"/>
      <c r="N252" s="112" t="s">
        <v>670</v>
      </c>
      <c r="O252" s="187">
        <v>0.5</v>
      </c>
    </row>
    <row r="253" spans="1:15">
      <c r="A253" s="173" t="str">
        <f t="shared" si="3"/>
        <v>inbound</v>
      </c>
      <c r="B253" s="182">
        <v>45558.615972222222</v>
      </c>
      <c r="C253" s="183" t="s">
        <v>1927</v>
      </c>
      <c r="D253" s="183"/>
      <c r="E253" s="215" t="s">
        <v>2124</v>
      </c>
      <c r="F253" s="176" t="s">
        <v>1315</v>
      </c>
      <c r="G253" s="176"/>
      <c r="H253" s="112" t="str">
        <f>IF(ISBLANK(E253),"",_xlfn.XLOOKUP(E253,cannabis_log!C:C,cannabis_log!H:H,"",0,1))</f>
        <v>extract_inhaled_labelled</v>
      </c>
      <c r="I253" s="189">
        <v>45555</v>
      </c>
      <c r="J253" s="185">
        <v>73</v>
      </c>
      <c r="K253" s="186">
        <v>0</v>
      </c>
      <c r="L253" s="288">
        <v>36.5</v>
      </c>
      <c r="M253" s="188"/>
      <c r="N253" s="176" t="s">
        <v>670</v>
      </c>
      <c r="O253" s="180">
        <v>0.5</v>
      </c>
    </row>
    <row r="254" spans="1:15">
      <c r="A254" s="181" t="str">
        <f t="shared" si="3"/>
        <v>outbound</v>
      </c>
      <c r="B254" s="182">
        <v>45559.422222222223</v>
      </c>
      <c r="C254" s="183" t="s">
        <v>1929</v>
      </c>
      <c r="D254" s="183" t="s">
        <v>2135</v>
      </c>
      <c r="E254" s="215" t="s">
        <v>1988</v>
      </c>
      <c r="F254" s="112" t="s">
        <v>1221</v>
      </c>
      <c r="G254" s="112"/>
      <c r="H254" s="112" t="str">
        <f>IF(ISBLANK(E254),"",_xlfn.XLOOKUP(E254,cannabis_log!C:C,cannabis_log!H:H,"",0,1))</f>
        <v>preroll_bulk</v>
      </c>
      <c r="I254" s="113">
        <v>45443</v>
      </c>
      <c r="J254" s="185">
        <v>-10</v>
      </c>
      <c r="K254" s="186">
        <v>0</v>
      </c>
      <c r="L254" s="288">
        <v>-5</v>
      </c>
      <c r="M254" s="24"/>
      <c r="N254" s="112" t="s">
        <v>670</v>
      </c>
      <c r="O254" s="187">
        <v>0.5</v>
      </c>
    </row>
    <row r="255" spans="1:15">
      <c r="A255" s="173" t="str">
        <f t="shared" si="3"/>
        <v>outbound</v>
      </c>
      <c r="B255" s="182">
        <v>45559.48333333333</v>
      </c>
      <c r="C255" s="183" t="s">
        <v>1921</v>
      </c>
      <c r="D255" s="183" t="s">
        <v>2034</v>
      </c>
      <c r="E255" s="215" t="s">
        <v>2136</v>
      </c>
      <c r="F255" s="176" t="s">
        <v>1095</v>
      </c>
      <c r="G255" s="176"/>
      <c r="H255" s="112" t="str">
        <f>IF(ISBLANK(E255),"",_xlfn.XLOOKUP(E255,cannabis_log!C:C,cannabis_log!H:H,"",0,1))</f>
        <v>extract_inhaled_bulk</v>
      </c>
      <c r="I255" s="189" t="s">
        <v>55</v>
      </c>
      <c r="J255" s="185">
        <v>-1</v>
      </c>
      <c r="K255" s="186">
        <v>-1168.3</v>
      </c>
      <c r="L255" s="288">
        <v>0</v>
      </c>
      <c r="M255" s="188"/>
      <c r="N255" s="176" t="s">
        <v>664</v>
      </c>
      <c r="O255" s="180">
        <v>0</v>
      </c>
    </row>
    <row r="256" spans="1:15">
      <c r="A256" s="181" t="str">
        <f t="shared" si="3"/>
        <v>inbound</v>
      </c>
      <c r="B256" s="182">
        <v>45559.48541666667</v>
      </c>
      <c r="C256" s="183" t="s">
        <v>1927</v>
      </c>
      <c r="D256" s="183"/>
      <c r="E256" s="215" t="s">
        <v>2126</v>
      </c>
      <c r="F256" s="112" t="s">
        <v>2100</v>
      </c>
      <c r="G256" s="112"/>
      <c r="H256" s="112" t="str">
        <f>IF(ISBLANK(E256),"",_xlfn.XLOOKUP(E256,cannabis_log!C:C,cannabis_log!H:H,"",0,1))</f>
        <v>extract_inhaled_labelled</v>
      </c>
      <c r="I256" s="113">
        <v>45555</v>
      </c>
      <c r="J256" s="185">
        <v>84</v>
      </c>
      <c r="K256" s="186">
        <v>0</v>
      </c>
      <c r="L256" s="288">
        <v>42</v>
      </c>
      <c r="M256" s="24"/>
      <c r="N256" s="112" t="s">
        <v>670</v>
      </c>
      <c r="O256" s="187">
        <v>0.5</v>
      </c>
    </row>
    <row r="257" spans="1:15">
      <c r="A257" s="173" t="str">
        <f t="shared" ref="A257:A320" si="4">IF(ISBLANK(J257),"",IF(J257+K257+L257&lt;0,"outbound","inbound"))</f>
        <v>inbound</v>
      </c>
      <c r="B257" s="182">
        <v>45559.493055555555</v>
      </c>
      <c r="C257" s="183" t="s">
        <v>1927</v>
      </c>
      <c r="D257" s="183"/>
      <c r="E257" s="215" t="s">
        <v>1941</v>
      </c>
      <c r="F257" s="176" t="s">
        <v>1324</v>
      </c>
      <c r="G257" s="176"/>
      <c r="H257" s="112" t="str">
        <f>IF(ISBLANK(E257),"",_xlfn.XLOOKUP(E257,cannabis_log!C:C,cannabis_log!H:H,"",0,1))</f>
        <v>topical_labelled</v>
      </c>
      <c r="I257" s="189">
        <v>45467</v>
      </c>
      <c r="J257" s="185">
        <v>43</v>
      </c>
      <c r="K257" s="186">
        <v>0</v>
      </c>
      <c r="L257" s="288">
        <v>19350</v>
      </c>
      <c r="M257" s="188"/>
      <c r="N257" s="176" t="s">
        <v>670</v>
      </c>
      <c r="O257" s="180">
        <v>450</v>
      </c>
    </row>
    <row r="258" spans="1:15">
      <c r="A258" s="181" t="str">
        <f t="shared" si="4"/>
        <v>outbound</v>
      </c>
      <c r="B258" s="182">
        <v>45559.611111111109</v>
      </c>
      <c r="C258" s="183" t="s">
        <v>1929</v>
      </c>
      <c r="D258" s="183" t="s">
        <v>2137</v>
      </c>
      <c r="E258" s="215" t="s">
        <v>1965</v>
      </c>
      <c r="F258" s="112" t="s">
        <v>630</v>
      </c>
      <c r="G258" s="112"/>
      <c r="H258" s="112" t="str">
        <f>IF(ISBLANK(E258),"",_xlfn.XLOOKUP(E258,cannabis_log!C:C,cannabis_log!H:H,"",0,1))</f>
        <v>preroll_labelled</v>
      </c>
      <c r="I258" s="113">
        <v>45543</v>
      </c>
      <c r="J258" s="185">
        <v>-60</v>
      </c>
      <c r="K258" s="186">
        <v>0</v>
      </c>
      <c r="L258" s="288">
        <v>-90</v>
      </c>
      <c r="M258" s="24"/>
      <c r="N258" s="112" t="s">
        <v>670</v>
      </c>
      <c r="O258" s="187">
        <v>1.5</v>
      </c>
    </row>
    <row r="259" spans="1:15">
      <c r="A259" s="173" t="str">
        <f t="shared" si="4"/>
        <v>outbound</v>
      </c>
      <c r="B259" s="182">
        <v>45559.611111111109</v>
      </c>
      <c r="C259" s="183" t="s">
        <v>1929</v>
      </c>
      <c r="D259" s="183" t="s">
        <v>2137</v>
      </c>
      <c r="E259" s="215" t="s">
        <v>2105</v>
      </c>
      <c r="F259" s="176" t="s">
        <v>1313</v>
      </c>
      <c r="G259" s="176"/>
      <c r="H259" s="112" t="str">
        <f>IF(ISBLANK(E259),"",_xlfn.XLOOKUP(E259,cannabis_log!C:C,cannabis_log!H:H,"",0,1))</f>
        <v>preroll_labelled</v>
      </c>
      <c r="I259" s="189">
        <v>45575</v>
      </c>
      <c r="J259" s="185">
        <v>-120</v>
      </c>
      <c r="K259" s="186">
        <v>0</v>
      </c>
      <c r="L259" s="288">
        <v>-180</v>
      </c>
      <c r="M259" s="188"/>
      <c r="N259" s="176" t="s">
        <v>670</v>
      </c>
      <c r="O259" s="180">
        <v>1.5</v>
      </c>
    </row>
    <row r="260" spans="1:15">
      <c r="A260" s="181" t="str">
        <f t="shared" si="4"/>
        <v>outbound</v>
      </c>
      <c r="B260" s="182">
        <v>45559.611111111109</v>
      </c>
      <c r="C260" s="183" t="s">
        <v>1929</v>
      </c>
      <c r="D260" s="183" t="s">
        <v>2137</v>
      </c>
      <c r="E260" s="215" t="s">
        <v>2107</v>
      </c>
      <c r="F260" s="112" t="s">
        <v>905</v>
      </c>
      <c r="G260" s="112"/>
      <c r="H260" s="112" t="str">
        <f>IF(ISBLANK(E260),"",_xlfn.XLOOKUP(E260,cannabis_log!C:C,cannabis_log!H:H,"",0,1))</f>
        <v>preroll_labelled</v>
      </c>
      <c r="I260" s="113">
        <v>45570</v>
      </c>
      <c r="J260" s="185">
        <v>-120</v>
      </c>
      <c r="K260" s="186">
        <v>0</v>
      </c>
      <c r="L260" s="288">
        <v>-180</v>
      </c>
      <c r="M260" s="24"/>
      <c r="N260" s="112" t="s">
        <v>670</v>
      </c>
      <c r="O260" s="187">
        <v>1.5</v>
      </c>
    </row>
    <row r="261" spans="1:15">
      <c r="A261" s="173" t="str">
        <f t="shared" si="4"/>
        <v>outbound</v>
      </c>
      <c r="B261" s="182">
        <v>45559.611111111109</v>
      </c>
      <c r="C261" s="183" t="s">
        <v>1929</v>
      </c>
      <c r="D261" s="183" t="s">
        <v>2137</v>
      </c>
      <c r="E261" s="215" t="s">
        <v>1964</v>
      </c>
      <c r="F261" s="176" t="s">
        <v>535</v>
      </c>
      <c r="G261" s="176"/>
      <c r="H261" s="112" t="str">
        <f>IF(ISBLANK(E261),"",_xlfn.XLOOKUP(E261,cannabis_log!C:C,cannabis_log!H:H,"",0,1))</f>
        <v>preroll_labelled</v>
      </c>
      <c r="I261" s="189">
        <v>45567</v>
      </c>
      <c r="J261" s="185">
        <v>-24</v>
      </c>
      <c r="K261" s="186">
        <v>0</v>
      </c>
      <c r="L261" s="288">
        <v>-36</v>
      </c>
      <c r="M261" s="188"/>
      <c r="N261" s="176" t="s">
        <v>670</v>
      </c>
      <c r="O261" s="180">
        <v>1.5</v>
      </c>
    </row>
    <row r="262" spans="1:15">
      <c r="A262" s="181" t="str">
        <f t="shared" si="4"/>
        <v>outbound</v>
      </c>
      <c r="B262" s="182">
        <v>45559.611111111109</v>
      </c>
      <c r="C262" s="183" t="s">
        <v>1929</v>
      </c>
      <c r="D262" s="183" t="s">
        <v>2137</v>
      </c>
      <c r="E262" s="215" t="s">
        <v>2077</v>
      </c>
      <c r="F262" s="112" t="s">
        <v>866</v>
      </c>
      <c r="G262" s="112"/>
      <c r="H262" s="112" t="str">
        <f>IF(ISBLANK(E262),"",_xlfn.XLOOKUP(E262,cannabis_log!C:C,cannabis_log!H:H,"",0,1))</f>
        <v>preroll_labelled</v>
      </c>
      <c r="I262" s="113">
        <v>45523</v>
      </c>
      <c r="J262" s="185">
        <v>-24</v>
      </c>
      <c r="K262" s="186">
        <v>0</v>
      </c>
      <c r="L262" s="288">
        <v>-36</v>
      </c>
      <c r="M262" s="24"/>
      <c r="N262" s="112" t="s">
        <v>670</v>
      </c>
      <c r="O262" s="187">
        <v>1.5</v>
      </c>
    </row>
    <row r="263" spans="1:15">
      <c r="A263" s="173" t="str">
        <f t="shared" si="4"/>
        <v>outbound</v>
      </c>
      <c r="B263" s="182">
        <v>45560.376388888886</v>
      </c>
      <c r="C263" s="183" t="s">
        <v>1921</v>
      </c>
      <c r="D263" s="183" t="s">
        <v>1984</v>
      </c>
      <c r="E263" s="215" t="s">
        <v>2138</v>
      </c>
      <c r="F263" s="176" t="s">
        <v>1010</v>
      </c>
      <c r="G263" s="176"/>
      <c r="H263" s="112" t="str">
        <f>IF(ISBLANK(E263),"",_xlfn.XLOOKUP(E263,cannabis_log!C:C,cannabis_log!H:H,"",0,1))</f>
        <v>extract_inhaled_bulk</v>
      </c>
      <c r="I263" s="189" t="s">
        <v>55</v>
      </c>
      <c r="J263" s="185">
        <v>-1</v>
      </c>
      <c r="K263" s="186">
        <v>-336.3</v>
      </c>
      <c r="L263" s="288">
        <v>0</v>
      </c>
      <c r="M263" s="188"/>
      <c r="N263" s="176" t="s">
        <v>664</v>
      </c>
      <c r="O263" s="180">
        <v>0</v>
      </c>
    </row>
    <row r="264" spans="1:15">
      <c r="A264" s="181" t="str">
        <f t="shared" si="4"/>
        <v>outbound</v>
      </c>
      <c r="B264" s="182">
        <v>45560.376388888886</v>
      </c>
      <c r="C264" s="183" t="s">
        <v>1924</v>
      </c>
      <c r="D264" s="183" t="s">
        <v>2139</v>
      </c>
      <c r="E264" s="215" t="s">
        <v>2140</v>
      </c>
      <c r="F264" s="112" t="s">
        <v>2075</v>
      </c>
      <c r="G264" s="112"/>
      <c r="H264" s="112" t="str">
        <f>IF(ISBLANK(E264),"",_xlfn.XLOOKUP(E264,cannabis_log!C:C,cannabis_log!H:H,"",0,1))</f>
        <v>preroll_bulk</v>
      </c>
      <c r="I264" s="113" t="s">
        <v>55</v>
      </c>
      <c r="J264" s="185">
        <v>-338</v>
      </c>
      <c r="K264" s="186">
        <v>0</v>
      </c>
      <c r="L264" s="288">
        <v>-169</v>
      </c>
      <c r="M264" s="24"/>
      <c r="N264" s="112" t="s">
        <v>670</v>
      </c>
      <c r="O264" s="187">
        <v>0.5</v>
      </c>
    </row>
    <row r="265" spans="1:15">
      <c r="A265" s="173" t="str">
        <f t="shared" si="4"/>
        <v>outbound</v>
      </c>
      <c r="B265" s="182">
        <v>45560.376388888886</v>
      </c>
      <c r="C265" s="183" t="s">
        <v>1924</v>
      </c>
      <c r="D265" s="183" t="s">
        <v>2139</v>
      </c>
      <c r="E265" s="215" t="s">
        <v>2003</v>
      </c>
      <c r="F265" s="176" t="s">
        <v>1986</v>
      </c>
      <c r="G265" s="176"/>
      <c r="H265" s="112" t="str">
        <f>IF(ISBLANK(E265),"",_xlfn.XLOOKUP(E265,cannabis_log!C:C,cannabis_log!H:H,"",0,1))</f>
        <v>preroll_bulk</v>
      </c>
      <c r="I265" s="189" t="s">
        <v>55</v>
      </c>
      <c r="J265" s="185">
        <v>-484</v>
      </c>
      <c r="K265" s="186">
        <v>0</v>
      </c>
      <c r="L265" s="288">
        <v>-242</v>
      </c>
      <c r="M265" s="188"/>
      <c r="N265" s="176" t="s">
        <v>670</v>
      </c>
      <c r="O265" s="180">
        <v>0.5</v>
      </c>
    </row>
    <row r="266" spans="1:15">
      <c r="A266" s="181" t="str">
        <f t="shared" si="4"/>
        <v>outbound</v>
      </c>
      <c r="B266" s="182">
        <v>45560.376388888886</v>
      </c>
      <c r="C266" s="183" t="s">
        <v>1924</v>
      </c>
      <c r="D266" s="183" t="s">
        <v>2139</v>
      </c>
      <c r="E266" s="215" t="s">
        <v>1988</v>
      </c>
      <c r="F266" s="112" t="s">
        <v>1221</v>
      </c>
      <c r="G266" s="112"/>
      <c r="H266" s="112" t="str">
        <f>IF(ISBLANK(E266),"",_xlfn.XLOOKUP(E266,cannabis_log!C:C,cannabis_log!H:H,"",0,1))</f>
        <v>preroll_bulk</v>
      </c>
      <c r="I266" s="113">
        <v>45443</v>
      </c>
      <c r="J266" s="185">
        <v>-378</v>
      </c>
      <c r="K266" s="186">
        <v>0</v>
      </c>
      <c r="L266" s="288">
        <v>-189</v>
      </c>
      <c r="M266" s="24"/>
      <c r="N266" s="112" t="s">
        <v>670</v>
      </c>
      <c r="O266" s="187">
        <v>0.5</v>
      </c>
    </row>
    <row r="267" spans="1:15">
      <c r="A267" s="173" t="str">
        <f t="shared" si="4"/>
        <v>outbound</v>
      </c>
      <c r="B267" s="182">
        <v>45560.376388888886</v>
      </c>
      <c r="C267" s="183" t="s">
        <v>1924</v>
      </c>
      <c r="D267" s="183" t="s">
        <v>2139</v>
      </c>
      <c r="E267" s="215" t="s">
        <v>2133</v>
      </c>
      <c r="F267" s="176" t="s">
        <v>2134</v>
      </c>
      <c r="G267" s="176"/>
      <c r="H267" s="112" t="str">
        <f>IF(ISBLANK(E267),"",_xlfn.XLOOKUP(E267,cannabis_log!C:C,cannabis_log!H:H,"",0,1))</f>
        <v>extract_inhaled_packaged</v>
      </c>
      <c r="I267" s="189" t="s">
        <v>55</v>
      </c>
      <c r="J267" s="185">
        <v>-1</v>
      </c>
      <c r="K267" s="186">
        <v>0</v>
      </c>
      <c r="L267" s="288">
        <v>-0.5</v>
      </c>
      <c r="M267" s="188"/>
      <c r="N267" s="176" t="s">
        <v>670</v>
      </c>
      <c r="O267" s="180">
        <v>0.5</v>
      </c>
    </row>
    <row r="268" spans="1:15">
      <c r="A268" s="181" t="str">
        <f t="shared" si="4"/>
        <v>outbound</v>
      </c>
      <c r="B268" s="182">
        <v>45560.376388888886</v>
      </c>
      <c r="C268" s="183" t="s">
        <v>1924</v>
      </c>
      <c r="D268" s="183" t="s">
        <v>2139</v>
      </c>
      <c r="E268" s="215" t="s">
        <v>2093</v>
      </c>
      <c r="F268" s="112" t="s">
        <v>2094</v>
      </c>
      <c r="G268" s="112"/>
      <c r="H268" s="112" t="str">
        <f>IF(ISBLANK(E268),"",_xlfn.XLOOKUP(E268,cannabis_log!C:C,cannabis_log!H:H,"",0,1))</f>
        <v>extract_inhaled_labelled</v>
      </c>
      <c r="I268" s="113">
        <v>45555</v>
      </c>
      <c r="J268" s="185">
        <v>-1</v>
      </c>
      <c r="K268" s="186">
        <v>0</v>
      </c>
      <c r="L268" s="288">
        <v>-0.5</v>
      </c>
      <c r="M268" s="24"/>
      <c r="N268" s="112" t="s">
        <v>670</v>
      </c>
      <c r="O268" s="187">
        <v>0.5</v>
      </c>
    </row>
    <row r="269" spans="1:15">
      <c r="A269" s="173" t="str">
        <f t="shared" si="4"/>
        <v>inbound</v>
      </c>
      <c r="B269" s="182">
        <v>45560.42291666667</v>
      </c>
      <c r="C269" s="183" t="s">
        <v>1927</v>
      </c>
      <c r="D269" s="183"/>
      <c r="E269" s="215" t="s">
        <v>2097</v>
      </c>
      <c r="F269" s="176" t="s">
        <v>1860</v>
      </c>
      <c r="G269" s="176"/>
      <c r="H269" s="112" t="str">
        <f>IF(ISBLANK(E269),"",_xlfn.XLOOKUP(E269,cannabis_log!C:C,cannabis_log!H:H,"",0,1))</f>
        <v>extract_inhaled_labelled</v>
      </c>
      <c r="I269" s="189">
        <v>45555</v>
      </c>
      <c r="J269" s="185">
        <v>17</v>
      </c>
      <c r="K269" s="186">
        <v>0</v>
      </c>
      <c r="L269" s="288">
        <v>8.5</v>
      </c>
      <c r="M269" s="188"/>
      <c r="N269" s="176" t="s">
        <v>670</v>
      </c>
      <c r="O269" s="180">
        <v>0.5</v>
      </c>
    </row>
    <row r="270" spans="1:15">
      <c r="A270" s="181" t="str">
        <f t="shared" si="4"/>
        <v>inbound</v>
      </c>
      <c r="B270" s="182">
        <v>45560.42291666667</v>
      </c>
      <c r="C270" s="183" t="s">
        <v>1927</v>
      </c>
      <c r="D270" s="183"/>
      <c r="E270" s="215" t="s">
        <v>2095</v>
      </c>
      <c r="F270" s="112" t="s">
        <v>2096</v>
      </c>
      <c r="G270" s="112"/>
      <c r="H270" s="112" t="str">
        <f>IF(ISBLANK(E270),"",_xlfn.XLOOKUP(E270,cannabis_log!C:C,cannabis_log!H:H,"",0,1))</f>
        <v>extract_inhaled_labelled</v>
      </c>
      <c r="I270" s="113">
        <v>45555</v>
      </c>
      <c r="J270" s="185">
        <v>9</v>
      </c>
      <c r="K270" s="186">
        <v>0</v>
      </c>
      <c r="L270" s="288">
        <v>4.5</v>
      </c>
      <c r="M270" s="24"/>
      <c r="N270" s="112" t="s">
        <v>670</v>
      </c>
      <c r="O270" s="187">
        <v>0.5</v>
      </c>
    </row>
    <row r="271" spans="1:15">
      <c r="A271" s="173" t="str">
        <f t="shared" si="4"/>
        <v>inbound</v>
      </c>
      <c r="B271" s="182">
        <v>45560.42291666667</v>
      </c>
      <c r="C271" s="183" t="s">
        <v>1927</v>
      </c>
      <c r="D271" s="183"/>
      <c r="E271" s="215" t="s">
        <v>2121</v>
      </c>
      <c r="F271" s="176" t="s">
        <v>2094</v>
      </c>
      <c r="G271" s="176"/>
      <c r="H271" s="112" t="str">
        <f>IF(ISBLANK(E271),"",_xlfn.XLOOKUP(E271,cannabis_log!C:C,cannabis_log!H:H,"",0,1))</f>
        <v>extract_inhaled_labelled</v>
      </c>
      <c r="I271" s="189">
        <v>45555</v>
      </c>
      <c r="J271" s="185">
        <v>87</v>
      </c>
      <c r="K271" s="186">
        <v>0</v>
      </c>
      <c r="L271" s="288">
        <v>43.5</v>
      </c>
      <c r="M271" s="188"/>
      <c r="N271" s="176" t="s">
        <v>670</v>
      </c>
      <c r="O271" s="180">
        <v>0.5</v>
      </c>
    </row>
    <row r="272" spans="1:15">
      <c r="A272" s="181" t="str">
        <f t="shared" si="4"/>
        <v>inbound</v>
      </c>
      <c r="B272" s="182">
        <v>45560.428472222222</v>
      </c>
      <c r="C272" s="183" t="s">
        <v>1927</v>
      </c>
      <c r="D272" s="183"/>
      <c r="E272" s="215" t="s">
        <v>2125</v>
      </c>
      <c r="F272" s="112" t="s">
        <v>2100</v>
      </c>
      <c r="G272" s="112"/>
      <c r="H272" s="112" t="str">
        <f>IF(ISBLANK(E272),"",_xlfn.XLOOKUP(E272,cannabis_log!C:C,cannabis_log!H:H,"",0,1))</f>
        <v>extract_inhaled_labelled</v>
      </c>
      <c r="I272" s="113">
        <v>45555</v>
      </c>
      <c r="J272" s="185">
        <v>108</v>
      </c>
      <c r="K272" s="186">
        <v>0</v>
      </c>
      <c r="L272" s="288">
        <v>54</v>
      </c>
      <c r="M272" s="24"/>
      <c r="N272" s="112" t="s">
        <v>670</v>
      </c>
      <c r="O272" s="187">
        <v>0.5</v>
      </c>
    </row>
    <row r="273" spans="1:15">
      <c r="A273" s="173" t="str">
        <f t="shared" si="4"/>
        <v>inbound</v>
      </c>
      <c r="B273" s="182">
        <v>45560.433333333334</v>
      </c>
      <c r="C273" s="183" t="s">
        <v>1927</v>
      </c>
      <c r="D273" s="183"/>
      <c r="E273" s="215" t="s">
        <v>2072</v>
      </c>
      <c r="F273" s="176" t="s">
        <v>797</v>
      </c>
      <c r="G273" s="176"/>
      <c r="H273" s="112" t="str">
        <f>IF(ISBLANK(E273),"",_xlfn.XLOOKUP(E273,cannabis_log!C:C,cannabis_log!H:H,"",0,1))</f>
        <v>topical_labelled</v>
      </c>
      <c r="I273" s="189">
        <v>45531</v>
      </c>
      <c r="J273" s="185">
        <v>18</v>
      </c>
      <c r="K273" s="186">
        <v>0</v>
      </c>
      <c r="L273" s="288">
        <v>1584</v>
      </c>
      <c r="M273" s="188"/>
      <c r="N273" s="176" t="s">
        <v>670</v>
      </c>
      <c r="O273" s="180">
        <v>88</v>
      </c>
    </row>
    <row r="274" spans="1:15">
      <c r="A274" s="181" t="str">
        <f t="shared" si="4"/>
        <v>inbound</v>
      </c>
      <c r="B274" s="182">
        <v>45560.588194444441</v>
      </c>
      <c r="C274" s="183" t="s">
        <v>1927</v>
      </c>
      <c r="D274" s="183"/>
      <c r="E274" s="215" t="s">
        <v>1988</v>
      </c>
      <c r="F274" s="112" t="s">
        <v>1221</v>
      </c>
      <c r="G274" s="112"/>
      <c r="H274" s="112" t="str">
        <f>IF(ISBLANK(E274),"",_xlfn.XLOOKUP(E274,cannabis_log!C:C,cannabis_log!H:H,"",0,1))</f>
        <v>preroll_bulk</v>
      </c>
      <c r="I274" s="113">
        <v>45443</v>
      </c>
      <c r="J274" s="185">
        <v>338</v>
      </c>
      <c r="K274" s="186">
        <v>0</v>
      </c>
      <c r="L274" s="288">
        <v>169</v>
      </c>
      <c r="M274" s="24"/>
      <c r="N274" s="112" t="s">
        <v>670</v>
      </c>
      <c r="O274" s="187">
        <v>0.5</v>
      </c>
    </row>
    <row r="275" spans="1:15">
      <c r="A275" s="173" t="str">
        <f t="shared" si="4"/>
        <v>inbound</v>
      </c>
      <c r="B275" s="182">
        <v>45560.590277777781</v>
      </c>
      <c r="C275" s="183" t="s">
        <v>1927</v>
      </c>
      <c r="D275" s="183"/>
      <c r="E275" s="215" t="s">
        <v>2003</v>
      </c>
      <c r="F275" s="176" t="s">
        <v>1986</v>
      </c>
      <c r="G275" s="176"/>
      <c r="H275" s="112" t="str">
        <f>IF(ISBLANK(E275),"",_xlfn.XLOOKUP(E275,cannabis_log!C:C,cannabis_log!H:H,"",0,1))</f>
        <v>preroll_bulk</v>
      </c>
      <c r="I275" s="189" t="s">
        <v>55</v>
      </c>
      <c r="J275" s="185">
        <v>484</v>
      </c>
      <c r="K275" s="186">
        <v>0</v>
      </c>
      <c r="L275" s="288">
        <v>242</v>
      </c>
      <c r="M275" s="188"/>
      <c r="N275" s="176" t="s">
        <v>670</v>
      </c>
      <c r="O275" s="180">
        <v>0.5</v>
      </c>
    </row>
    <row r="276" spans="1:15">
      <c r="A276" s="181" t="str">
        <f t="shared" si="4"/>
        <v>inbound</v>
      </c>
      <c r="B276" s="182">
        <v>45560.590277777781</v>
      </c>
      <c r="C276" s="183" t="s">
        <v>1927</v>
      </c>
      <c r="D276" s="183"/>
      <c r="E276" s="215" t="s">
        <v>2005</v>
      </c>
      <c r="F276" s="112" t="s">
        <v>1986</v>
      </c>
      <c r="G276" s="112"/>
      <c r="H276" s="112" t="str">
        <f>IF(ISBLANK(E276),"",_xlfn.XLOOKUP(E276,cannabis_log!C:C,cannabis_log!H:H,"",0,1))</f>
        <v>preroll_bulk</v>
      </c>
      <c r="I276" s="113" t="s">
        <v>55</v>
      </c>
      <c r="J276" s="185">
        <v>433</v>
      </c>
      <c r="K276" s="186">
        <v>0</v>
      </c>
      <c r="L276" s="288">
        <v>216.5</v>
      </c>
      <c r="M276" s="24"/>
      <c r="N276" s="112" t="s">
        <v>670</v>
      </c>
      <c r="O276" s="187">
        <v>0.5</v>
      </c>
    </row>
    <row r="277" spans="1:15">
      <c r="A277" s="173" t="str">
        <f t="shared" si="4"/>
        <v>inbound</v>
      </c>
      <c r="B277" s="182">
        <v>45560.590277777781</v>
      </c>
      <c r="C277" s="183" t="s">
        <v>1927</v>
      </c>
      <c r="D277" s="183"/>
      <c r="E277" s="215" t="s">
        <v>2140</v>
      </c>
      <c r="F277" s="176" t="s">
        <v>2075</v>
      </c>
      <c r="G277" s="176"/>
      <c r="H277" s="112" t="str">
        <f>IF(ISBLANK(E277),"",_xlfn.XLOOKUP(E277,cannabis_log!C:C,cannabis_log!H:H,"",0,1))</f>
        <v>preroll_bulk</v>
      </c>
      <c r="I277" s="189" t="s">
        <v>55</v>
      </c>
      <c r="J277" s="185">
        <v>338</v>
      </c>
      <c r="K277" s="186">
        <v>0</v>
      </c>
      <c r="L277" s="288">
        <v>169</v>
      </c>
      <c r="M277" s="188"/>
      <c r="N277" s="176" t="s">
        <v>670</v>
      </c>
      <c r="O277" s="180">
        <v>0.5</v>
      </c>
    </row>
    <row r="278" spans="1:15">
      <c r="A278" s="181" t="str">
        <f t="shared" si="4"/>
        <v>outbound</v>
      </c>
      <c r="B278" s="182">
        <v>45560.670138888891</v>
      </c>
      <c r="C278" s="183" t="s">
        <v>2141</v>
      </c>
      <c r="D278" s="22" t="s">
        <v>2128</v>
      </c>
      <c r="E278" s="215" t="s">
        <v>2124</v>
      </c>
      <c r="F278" s="112" t="s">
        <v>1315</v>
      </c>
      <c r="G278" s="112"/>
      <c r="H278" s="112" t="str">
        <f>IF(ISBLANK(E278),"",_xlfn.XLOOKUP(E278,cannabis_log!C:C,cannabis_log!H:H,"",0,1))</f>
        <v>extract_inhaled_labelled</v>
      </c>
      <c r="I278" s="113">
        <v>45555</v>
      </c>
      <c r="J278" s="185">
        <v>-24</v>
      </c>
      <c r="K278" s="186">
        <v>0</v>
      </c>
      <c r="L278" s="288">
        <v>-12</v>
      </c>
      <c r="M278" s="24"/>
      <c r="N278" s="112" t="s">
        <v>670</v>
      </c>
      <c r="O278" s="187">
        <v>0.5</v>
      </c>
    </row>
    <row r="279" spans="1:15">
      <c r="A279" s="173" t="str">
        <f t="shared" si="4"/>
        <v>outbound</v>
      </c>
      <c r="B279" s="182">
        <v>45560.670138888891</v>
      </c>
      <c r="C279" s="183" t="s">
        <v>2141</v>
      </c>
      <c r="D279" s="192" t="s">
        <v>2128</v>
      </c>
      <c r="E279" s="215" t="s">
        <v>2125</v>
      </c>
      <c r="F279" s="176" t="s">
        <v>2100</v>
      </c>
      <c r="G279" s="176"/>
      <c r="H279" s="112" t="str">
        <f>IF(ISBLANK(E279),"",_xlfn.XLOOKUP(E279,cannabis_log!C:C,cannabis_log!H:H,"",0,1))</f>
        <v>extract_inhaled_labelled</v>
      </c>
      <c r="I279" s="189">
        <v>45555</v>
      </c>
      <c r="J279" s="185">
        <v>-24</v>
      </c>
      <c r="K279" s="186">
        <v>0</v>
      </c>
      <c r="L279" s="288">
        <v>-12</v>
      </c>
      <c r="M279" s="188"/>
      <c r="N279" s="176" t="s">
        <v>670</v>
      </c>
      <c r="O279" s="180">
        <v>0.5</v>
      </c>
    </row>
    <row r="280" spans="1:15">
      <c r="A280" s="181" t="str">
        <f t="shared" si="4"/>
        <v>inbound</v>
      </c>
      <c r="B280" s="182">
        <v>45561</v>
      </c>
      <c r="C280" s="183" t="s">
        <v>1927</v>
      </c>
      <c r="D280" s="183"/>
      <c r="E280" s="215" t="s">
        <v>2142</v>
      </c>
      <c r="F280" s="112" t="s">
        <v>2094</v>
      </c>
      <c r="G280" s="112"/>
      <c r="H280" s="112" t="str">
        <f>IF(ISBLANK(E280),"",_xlfn.XLOOKUP(E280,cannabis_log!C:C,cannabis_log!H:H,"",0,1))</f>
        <v>extract_inhaled_labelled</v>
      </c>
      <c r="I280" s="113">
        <v>45560</v>
      </c>
      <c r="J280" s="185">
        <v>83</v>
      </c>
      <c r="K280" s="186">
        <v>0</v>
      </c>
      <c r="L280" s="288">
        <v>41.5</v>
      </c>
      <c r="M280" s="24"/>
      <c r="N280" s="112" t="s">
        <v>670</v>
      </c>
      <c r="O280" s="187">
        <v>0.5</v>
      </c>
    </row>
    <row r="281" spans="1:15">
      <c r="A281" s="173" t="str">
        <f t="shared" si="4"/>
        <v>inbound</v>
      </c>
      <c r="B281" s="182">
        <v>45561</v>
      </c>
      <c r="C281" s="183" t="s">
        <v>1927</v>
      </c>
      <c r="D281" s="183"/>
      <c r="E281" s="215" t="s">
        <v>2143</v>
      </c>
      <c r="F281" s="176" t="s">
        <v>2094</v>
      </c>
      <c r="G281" s="176"/>
      <c r="H281" s="112" t="str">
        <f>IF(ISBLANK(E281),"",_xlfn.XLOOKUP(E281,cannabis_log!C:C,cannabis_log!H:H,"",0,1))</f>
        <v>extract_inhaled_packaged</v>
      </c>
      <c r="I281" s="189" t="s">
        <v>55</v>
      </c>
      <c r="J281" s="185">
        <v>200</v>
      </c>
      <c r="K281" s="186">
        <v>0</v>
      </c>
      <c r="L281" s="288">
        <v>100</v>
      </c>
      <c r="M281" s="188"/>
      <c r="N281" s="176" t="s">
        <v>670</v>
      </c>
      <c r="O281" s="180">
        <v>0.5</v>
      </c>
    </row>
    <row r="282" spans="1:15">
      <c r="A282" s="181" t="str">
        <f t="shared" si="4"/>
        <v>inbound</v>
      </c>
      <c r="B282" s="182">
        <v>45561</v>
      </c>
      <c r="C282" s="183" t="s">
        <v>1927</v>
      </c>
      <c r="D282" s="183"/>
      <c r="E282" s="215" t="s">
        <v>2144</v>
      </c>
      <c r="F282" s="112" t="s">
        <v>2094</v>
      </c>
      <c r="G282" s="112"/>
      <c r="H282" s="112" t="str">
        <f>IF(ISBLANK(E282),"",_xlfn.XLOOKUP(E282,cannabis_log!C:C,cannabis_log!H:H,"",0,1))</f>
        <v>extract_inhaled_packaged</v>
      </c>
      <c r="I282" s="113" t="s">
        <v>55</v>
      </c>
      <c r="J282" s="185">
        <v>200</v>
      </c>
      <c r="K282" s="186">
        <v>0</v>
      </c>
      <c r="L282" s="288">
        <v>100</v>
      </c>
      <c r="M282" s="24"/>
      <c r="N282" s="112" t="s">
        <v>670</v>
      </c>
      <c r="O282" s="187">
        <v>0.5</v>
      </c>
    </row>
    <row r="283" spans="1:15">
      <c r="A283" s="173" t="str">
        <f t="shared" si="4"/>
        <v>inbound</v>
      </c>
      <c r="B283" s="182">
        <v>45561</v>
      </c>
      <c r="C283" s="183" t="s">
        <v>1927</v>
      </c>
      <c r="D283" s="183"/>
      <c r="E283" s="215" t="s">
        <v>2145</v>
      </c>
      <c r="F283" s="176" t="s">
        <v>2094</v>
      </c>
      <c r="G283" s="176"/>
      <c r="H283" s="112" t="str">
        <f>IF(ISBLANK(E283),"",_xlfn.XLOOKUP(E283,cannabis_log!C:C,cannabis_log!H:H,"",0,1))</f>
        <v>extract_inhaled_packaged</v>
      </c>
      <c r="I283" s="189" t="s">
        <v>55</v>
      </c>
      <c r="J283" s="185">
        <v>200</v>
      </c>
      <c r="K283" s="186">
        <v>0</v>
      </c>
      <c r="L283" s="288">
        <v>100</v>
      </c>
      <c r="M283" s="188"/>
      <c r="N283" s="176" t="s">
        <v>670</v>
      </c>
      <c r="O283" s="180">
        <v>0.5</v>
      </c>
    </row>
    <row r="284" spans="1:15">
      <c r="A284" s="173" t="str">
        <f t="shared" si="4"/>
        <v>inbound</v>
      </c>
      <c r="B284" s="182">
        <v>45561</v>
      </c>
      <c r="C284" s="183" t="s">
        <v>1927</v>
      </c>
      <c r="D284" s="192"/>
      <c r="E284" s="215" t="s">
        <v>2146</v>
      </c>
      <c r="F284" s="176" t="s">
        <v>2100</v>
      </c>
      <c r="G284" s="176"/>
      <c r="H284" s="112" t="str">
        <f>IF(ISBLANK(E284),"",_xlfn.XLOOKUP(E284,cannabis_log!C:C,cannabis_log!H:H,"",0,1))</f>
        <v>extract_inhaled_packaged</v>
      </c>
      <c r="I284" s="189" t="s">
        <v>55</v>
      </c>
      <c r="J284" s="185">
        <v>200</v>
      </c>
      <c r="K284" s="186">
        <v>0</v>
      </c>
      <c r="L284" s="288">
        <v>100</v>
      </c>
      <c r="M284" s="188"/>
      <c r="N284" s="176" t="s">
        <v>670</v>
      </c>
      <c r="O284" s="180">
        <v>0.5</v>
      </c>
    </row>
    <row r="285" spans="1:15">
      <c r="A285" s="181" t="str">
        <f t="shared" si="4"/>
        <v>inbound</v>
      </c>
      <c r="B285" s="182">
        <v>45561</v>
      </c>
      <c r="C285" s="183" t="s">
        <v>1927</v>
      </c>
      <c r="D285" s="183"/>
      <c r="E285" s="215" t="s">
        <v>2147</v>
      </c>
      <c r="F285" s="112" t="s">
        <v>2100</v>
      </c>
      <c r="G285" s="112"/>
      <c r="H285" s="112" t="str">
        <f>IF(ISBLANK(E285),"",_xlfn.XLOOKUP(E285,cannabis_log!C:C,cannabis_log!H:H,"",0,1))</f>
        <v>extract_inhaled_packaged</v>
      </c>
      <c r="I285" s="113" t="s">
        <v>55</v>
      </c>
      <c r="J285" s="185">
        <v>133</v>
      </c>
      <c r="K285" s="186">
        <v>0</v>
      </c>
      <c r="L285" s="288">
        <v>66.5</v>
      </c>
      <c r="M285" s="24"/>
      <c r="N285" s="112" t="s">
        <v>670</v>
      </c>
      <c r="O285" s="187">
        <v>0.5</v>
      </c>
    </row>
    <row r="286" spans="1:15">
      <c r="A286" s="173" t="str">
        <f t="shared" si="4"/>
        <v>inbound</v>
      </c>
      <c r="B286" s="182">
        <v>45561</v>
      </c>
      <c r="C286" s="183" t="s">
        <v>1927</v>
      </c>
      <c r="D286" s="183"/>
      <c r="E286" s="215" t="s">
        <v>2148</v>
      </c>
      <c r="F286" s="176" t="s">
        <v>2100</v>
      </c>
      <c r="G286" s="176"/>
      <c r="H286" s="112" t="str">
        <f>IF(ISBLANK(E286),"",_xlfn.XLOOKUP(E286,cannabis_log!C:C,cannabis_log!H:H,"",0,1))</f>
        <v>extract_inhaled_packaged</v>
      </c>
      <c r="I286" s="189" t="s">
        <v>55</v>
      </c>
      <c r="J286" s="185">
        <v>200</v>
      </c>
      <c r="K286" s="186">
        <v>0</v>
      </c>
      <c r="L286" s="288">
        <v>100</v>
      </c>
      <c r="M286" s="188"/>
      <c r="N286" s="176" t="s">
        <v>670</v>
      </c>
      <c r="O286" s="180">
        <v>0.5</v>
      </c>
    </row>
    <row r="287" spans="1:15">
      <c r="A287" s="181" t="str">
        <f t="shared" si="4"/>
        <v>inbound</v>
      </c>
      <c r="B287" s="182">
        <v>45561</v>
      </c>
      <c r="C287" s="183" t="s">
        <v>1927</v>
      </c>
      <c r="D287" s="183"/>
      <c r="E287" s="215" t="s">
        <v>2149</v>
      </c>
      <c r="F287" s="112" t="s">
        <v>2100</v>
      </c>
      <c r="G287" s="112"/>
      <c r="H287" s="112" t="str">
        <f>IF(ISBLANK(E287),"",_xlfn.XLOOKUP(E287,cannabis_log!C:C,cannabis_log!H:H,"",0,1))</f>
        <v>extract_inhaled_labelled</v>
      </c>
      <c r="I287" s="113">
        <v>45560</v>
      </c>
      <c r="J287" s="185">
        <v>200</v>
      </c>
      <c r="K287" s="186">
        <v>0</v>
      </c>
      <c r="L287" s="288">
        <v>100</v>
      </c>
      <c r="M287" s="24"/>
      <c r="N287" s="112" t="s">
        <v>670</v>
      </c>
      <c r="O287" s="187">
        <v>0.5</v>
      </c>
    </row>
    <row r="288" spans="1:15">
      <c r="A288" s="181" t="str">
        <f t="shared" si="4"/>
        <v/>
      </c>
      <c r="B288" s="182">
        <v>45561</v>
      </c>
      <c r="C288" s="183" t="s">
        <v>1927</v>
      </c>
      <c r="D288" s="183"/>
      <c r="E288" s="215" t="s">
        <v>2150</v>
      </c>
      <c r="F288" s="112" t="s">
        <v>1134</v>
      </c>
      <c r="G288" s="112"/>
      <c r="H288" s="112" t="str">
        <f>IF(ISBLANK(E288),"",_xlfn.XLOOKUP(E288,cannabis_log!C:C,cannabis_log!H:H,"",0,1))</f>
        <v>extract_inhaled_labelled</v>
      </c>
      <c r="I288" s="113">
        <v>45560</v>
      </c>
      <c r="J288" s="185"/>
      <c r="K288" s="186">
        <v>0</v>
      </c>
      <c r="L288" s="288">
        <v>41.5</v>
      </c>
      <c r="M288" s="24" t="s">
        <v>4297</v>
      </c>
      <c r="N288" s="112" t="s">
        <v>670</v>
      </c>
      <c r="O288" s="187">
        <v>0.5</v>
      </c>
    </row>
    <row r="289" spans="1:15">
      <c r="A289" s="173" t="str">
        <f t="shared" si="4"/>
        <v>inbound</v>
      </c>
      <c r="B289" s="182">
        <v>45561</v>
      </c>
      <c r="C289" s="183" t="s">
        <v>1927</v>
      </c>
      <c r="D289" s="183"/>
      <c r="E289" s="215" t="s">
        <v>2060</v>
      </c>
      <c r="F289" s="176">
        <v>2024082701</v>
      </c>
      <c r="G289" s="176"/>
      <c r="H289" s="112" t="str">
        <f>IF(ISBLANK(E289),"",_xlfn.XLOOKUP(E289,cannabis_log!C:C,cannabis_log!H:H,"",0,1))</f>
        <v>extract_distillate_bulk</v>
      </c>
      <c r="I289" s="189" t="s">
        <v>55</v>
      </c>
      <c r="J289" s="185">
        <v>1</v>
      </c>
      <c r="K289" s="186">
        <v>355.1</v>
      </c>
      <c r="L289" s="288">
        <v>0</v>
      </c>
      <c r="M289" s="188"/>
      <c r="N289" s="176" t="s">
        <v>664</v>
      </c>
      <c r="O289" s="180">
        <v>0</v>
      </c>
    </row>
    <row r="290" spans="1:15">
      <c r="A290" s="181" t="str">
        <f t="shared" si="4"/>
        <v>inbound</v>
      </c>
      <c r="B290" s="182">
        <v>45561</v>
      </c>
      <c r="C290" s="183" t="s">
        <v>1927</v>
      </c>
      <c r="D290" s="183"/>
      <c r="E290" s="215" t="s">
        <v>1995</v>
      </c>
      <c r="F290" s="112">
        <v>2024022201</v>
      </c>
      <c r="G290" s="112"/>
      <c r="H290" s="112" t="str">
        <f>IF(ISBLANK(E290),"",_xlfn.XLOOKUP(E290,cannabis_log!C:C,cannabis_log!H:H,"",0,1))</f>
        <v>extract_distillate_bulk</v>
      </c>
      <c r="I290" s="113">
        <v>45407</v>
      </c>
      <c r="J290" s="185">
        <v>1</v>
      </c>
      <c r="K290" s="186">
        <v>365.2</v>
      </c>
      <c r="L290" s="288">
        <v>0</v>
      </c>
      <c r="M290" s="24"/>
      <c r="N290" s="112" t="s">
        <v>664</v>
      </c>
      <c r="O290" s="187">
        <v>0</v>
      </c>
    </row>
    <row r="291" spans="1:15">
      <c r="A291" s="173" t="str">
        <f t="shared" si="4"/>
        <v>inbound</v>
      </c>
      <c r="B291" s="182">
        <v>45561</v>
      </c>
      <c r="C291" s="183" t="s">
        <v>1927</v>
      </c>
      <c r="D291" s="183"/>
      <c r="E291" s="215" t="s">
        <v>2058</v>
      </c>
      <c r="F291" s="176">
        <v>2024030601</v>
      </c>
      <c r="G291" s="176"/>
      <c r="H291" s="112" t="str">
        <f>IF(ISBLANK(E291),"",_xlfn.XLOOKUP(E291,cannabis_log!C:C,cannabis_log!H:H,"",0,1))</f>
        <v>extract_inhaled_bulk</v>
      </c>
      <c r="I291" s="189">
        <v>45296</v>
      </c>
      <c r="J291" s="185">
        <v>1</v>
      </c>
      <c r="K291" s="186">
        <v>1233.4000000000001</v>
      </c>
      <c r="L291" s="288">
        <v>0</v>
      </c>
      <c r="M291" s="188"/>
      <c r="N291" s="176" t="s">
        <v>664</v>
      </c>
      <c r="O291" s="180">
        <v>0</v>
      </c>
    </row>
    <row r="292" spans="1:15">
      <c r="A292" s="181" t="str">
        <f t="shared" si="4"/>
        <v>outbound</v>
      </c>
      <c r="B292" s="182">
        <v>45561.429861111108</v>
      </c>
      <c r="C292" s="183" t="s">
        <v>1929</v>
      </c>
      <c r="D292" s="22" t="s">
        <v>2151</v>
      </c>
      <c r="E292" s="215" t="s">
        <v>2152</v>
      </c>
      <c r="F292" s="112" t="s">
        <v>1860</v>
      </c>
      <c r="G292" s="112"/>
      <c r="H292" s="112" t="str">
        <f>IF(ISBLANK(E292),"",_xlfn.XLOOKUP(E292,cannabis_log!C:C,cannabis_log!H:H,"",0,1))</f>
        <v>extract_inhaled_packaged</v>
      </c>
      <c r="I292" s="113" t="s">
        <v>55</v>
      </c>
      <c r="J292" s="185">
        <v>-73</v>
      </c>
      <c r="K292" s="186">
        <v>0</v>
      </c>
      <c r="L292" s="288">
        <v>-36.5</v>
      </c>
      <c r="M292" s="24"/>
      <c r="N292" s="112" t="s">
        <v>670</v>
      </c>
      <c r="O292" s="187">
        <v>0.5</v>
      </c>
    </row>
    <row r="293" spans="1:15">
      <c r="A293" s="173" t="str">
        <f t="shared" si="4"/>
        <v>outbound</v>
      </c>
      <c r="B293" s="182">
        <v>45561.429861111108</v>
      </c>
      <c r="C293" s="183" t="s">
        <v>1929</v>
      </c>
      <c r="D293" s="192" t="s">
        <v>2151</v>
      </c>
      <c r="E293" s="215" t="s">
        <v>2153</v>
      </c>
      <c r="F293" s="176" t="s">
        <v>2094</v>
      </c>
      <c r="G293" s="176"/>
      <c r="H293" s="112" t="str">
        <f>IF(ISBLANK(E293),"",_xlfn.XLOOKUP(E293,cannabis_log!C:C,cannabis_log!H:H,"",0,1))</f>
        <v>extract_inhaled_labelled</v>
      </c>
      <c r="I293" s="189">
        <v>45555</v>
      </c>
      <c r="J293" s="185">
        <v>-100</v>
      </c>
      <c r="K293" s="186">
        <v>0</v>
      </c>
      <c r="L293" s="288">
        <v>-50</v>
      </c>
      <c r="M293" s="188"/>
      <c r="N293" s="176" t="s">
        <v>670</v>
      </c>
      <c r="O293" s="180">
        <v>0.5</v>
      </c>
    </row>
    <row r="294" spans="1:15">
      <c r="A294" s="181" t="str">
        <f t="shared" si="4"/>
        <v>outbound</v>
      </c>
      <c r="B294" s="182">
        <v>45561.429861111108</v>
      </c>
      <c r="C294" s="183" t="s">
        <v>1929</v>
      </c>
      <c r="D294" s="22" t="s">
        <v>2151</v>
      </c>
      <c r="E294" s="215" t="s">
        <v>2154</v>
      </c>
      <c r="F294" s="112" t="s">
        <v>1860</v>
      </c>
      <c r="G294" s="112"/>
      <c r="H294" s="112" t="str">
        <f>IF(ISBLANK(E294),"",_xlfn.XLOOKUP(E294,cannabis_log!C:C,cannabis_log!H:H,"",0,1))</f>
        <v>extract_inhaled_packaged</v>
      </c>
      <c r="I294" s="113" t="s">
        <v>55</v>
      </c>
      <c r="J294" s="185">
        <v>-100</v>
      </c>
      <c r="K294" s="186">
        <v>0</v>
      </c>
      <c r="L294" s="288">
        <v>-50</v>
      </c>
      <c r="M294" s="24"/>
      <c r="N294" s="112" t="s">
        <v>670</v>
      </c>
      <c r="O294" s="187">
        <v>0.5</v>
      </c>
    </row>
    <row r="295" spans="1:15">
      <c r="A295" s="173" t="str">
        <f t="shared" si="4"/>
        <v>outbound</v>
      </c>
      <c r="B295" s="182">
        <v>45561.429861111108</v>
      </c>
      <c r="C295" s="183" t="s">
        <v>1929</v>
      </c>
      <c r="D295" s="192" t="s">
        <v>2151</v>
      </c>
      <c r="E295" s="215" t="s">
        <v>2155</v>
      </c>
      <c r="F295" s="176" t="s">
        <v>1860</v>
      </c>
      <c r="G295" s="176"/>
      <c r="H295" s="112" t="str">
        <f>IF(ISBLANK(E295),"",_xlfn.XLOOKUP(E295,cannabis_log!C:C,cannabis_log!H:H,"",0,1))</f>
        <v>extract_inhaled_packaged</v>
      </c>
      <c r="I295" s="189" t="s">
        <v>55</v>
      </c>
      <c r="J295" s="185">
        <v>-100</v>
      </c>
      <c r="K295" s="186">
        <v>0</v>
      </c>
      <c r="L295" s="288">
        <v>-50</v>
      </c>
      <c r="M295" s="188"/>
      <c r="N295" s="176" t="s">
        <v>670</v>
      </c>
      <c r="O295" s="180">
        <v>0.5</v>
      </c>
    </row>
    <row r="296" spans="1:15">
      <c r="A296" s="181" t="str">
        <f t="shared" si="4"/>
        <v>outbound</v>
      </c>
      <c r="B296" s="182">
        <v>45561.429861111108</v>
      </c>
      <c r="C296" s="183" t="s">
        <v>1929</v>
      </c>
      <c r="D296" s="22" t="s">
        <v>2151</v>
      </c>
      <c r="E296" s="215" t="s">
        <v>2156</v>
      </c>
      <c r="F296" s="112" t="s">
        <v>1860</v>
      </c>
      <c r="G296" s="112"/>
      <c r="H296" s="112" t="str">
        <f>IF(ISBLANK(E296),"",_xlfn.XLOOKUP(E296,cannabis_log!C:C,cannabis_log!H:H,"",0,1))</f>
        <v>extract_inhaled_packaged</v>
      </c>
      <c r="I296" s="113" t="s">
        <v>55</v>
      </c>
      <c r="J296" s="185">
        <v>-100</v>
      </c>
      <c r="K296" s="186">
        <v>0</v>
      </c>
      <c r="L296" s="288">
        <v>-50</v>
      </c>
      <c r="M296" s="24"/>
      <c r="N296" s="112" t="s">
        <v>670</v>
      </c>
      <c r="O296" s="187">
        <v>0.5</v>
      </c>
    </row>
    <row r="297" spans="1:15">
      <c r="A297" s="173" t="str">
        <f t="shared" si="4"/>
        <v>outbound</v>
      </c>
      <c r="B297" s="182">
        <v>45561.429861111108</v>
      </c>
      <c r="C297" s="183" t="s">
        <v>1929</v>
      </c>
      <c r="D297" s="192" t="s">
        <v>2151</v>
      </c>
      <c r="E297" s="215" t="s">
        <v>2157</v>
      </c>
      <c r="F297" s="176" t="s">
        <v>1860</v>
      </c>
      <c r="G297" s="176"/>
      <c r="H297" s="112" t="str">
        <f>IF(ISBLANK(E297),"",_xlfn.XLOOKUP(E297,cannabis_log!C:C,cannabis_log!H:H,"",0,1))</f>
        <v>extract_inhaled_packaged</v>
      </c>
      <c r="I297" s="189" t="s">
        <v>55</v>
      </c>
      <c r="J297" s="185">
        <v>-100</v>
      </c>
      <c r="K297" s="186">
        <v>0</v>
      </c>
      <c r="L297" s="288">
        <v>-50</v>
      </c>
      <c r="M297" s="188"/>
      <c r="N297" s="176" t="s">
        <v>670</v>
      </c>
      <c r="O297" s="180">
        <v>0.5</v>
      </c>
    </row>
    <row r="298" spans="1:15">
      <c r="A298" s="181" t="str">
        <f t="shared" si="4"/>
        <v>outbound</v>
      </c>
      <c r="B298" s="182">
        <v>45561.429861111108</v>
      </c>
      <c r="C298" s="183" t="s">
        <v>1929</v>
      </c>
      <c r="D298" s="22" t="s">
        <v>2151</v>
      </c>
      <c r="E298" s="215" t="s">
        <v>2158</v>
      </c>
      <c r="F298" s="112" t="s">
        <v>1860</v>
      </c>
      <c r="G298" s="112"/>
      <c r="H298" s="112" t="str">
        <f>IF(ISBLANK(E298),"",_xlfn.XLOOKUP(E298,cannabis_log!C:C,cannabis_log!H:H,"",0,1))</f>
        <v>extract_inhaled_packaged</v>
      </c>
      <c r="I298" s="113" t="s">
        <v>55</v>
      </c>
      <c r="J298" s="185">
        <v>-100</v>
      </c>
      <c r="K298" s="186">
        <v>0</v>
      </c>
      <c r="L298" s="288">
        <v>-50</v>
      </c>
      <c r="M298" s="24"/>
      <c r="N298" s="112" t="s">
        <v>670</v>
      </c>
      <c r="O298" s="187">
        <v>0.5</v>
      </c>
    </row>
    <row r="299" spans="1:15">
      <c r="A299" s="173" t="str">
        <f t="shared" si="4"/>
        <v>outbound</v>
      </c>
      <c r="B299" s="182">
        <v>45561.429861111108</v>
      </c>
      <c r="C299" s="183" t="s">
        <v>1929</v>
      </c>
      <c r="D299" s="192" t="s">
        <v>2151</v>
      </c>
      <c r="E299" s="215" t="s">
        <v>2159</v>
      </c>
      <c r="F299" s="176" t="s">
        <v>1860</v>
      </c>
      <c r="G299" s="176"/>
      <c r="H299" s="112" t="str">
        <f>IF(ISBLANK(E299),"",_xlfn.XLOOKUP(E299,cannabis_log!C:C,cannabis_log!H:H,"",0,1))</f>
        <v>extract_inhaled_packaged</v>
      </c>
      <c r="I299" s="189" t="s">
        <v>55</v>
      </c>
      <c r="J299" s="185">
        <v>-100</v>
      </c>
      <c r="K299" s="186">
        <v>0</v>
      </c>
      <c r="L299" s="288">
        <v>-50</v>
      </c>
      <c r="M299" s="188"/>
      <c r="N299" s="176" t="s">
        <v>670</v>
      </c>
      <c r="O299" s="180">
        <v>0.5</v>
      </c>
    </row>
    <row r="300" spans="1:15">
      <c r="A300" s="181" t="str">
        <f t="shared" si="4"/>
        <v>outbound</v>
      </c>
      <c r="B300" s="182">
        <v>45561.429861111108</v>
      </c>
      <c r="C300" s="183" t="s">
        <v>1929</v>
      </c>
      <c r="D300" s="22" t="s">
        <v>2151</v>
      </c>
      <c r="E300" s="215" t="s">
        <v>2160</v>
      </c>
      <c r="F300" s="112" t="s">
        <v>1860</v>
      </c>
      <c r="G300" s="112"/>
      <c r="H300" s="112" t="str">
        <f>IF(ISBLANK(E300),"",_xlfn.XLOOKUP(E300,cannabis_log!C:C,cannabis_log!H:H,"",0,1))</f>
        <v>extract_inhaled_packaged</v>
      </c>
      <c r="I300" s="113" t="s">
        <v>55</v>
      </c>
      <c r="J300" s="185">
        <v>-100</v>
      </c>
      <c r="K300" s="186">
        <v>0</v>
      </c>
      <c r="L300" s="288">
        <v>-50</v>
      </c>
      <c r="M300" s="24"/>
      <c r="N300" s="112" t="s">
        <v>670</v>
      </c>
      <c r="O300" s="187">
        <v>0.5</v>
      </c>
    </row>
    <row r="301" spans="1:15">
      <c r="A301" s="173" t="str">
        <f t="shared" si="4"/>
        <v>outbound</v>
      </c>
      <c r="B301" s="182">
        <v>45561.429861111108</v>
      </c>
      <c r="C301" s="183" t="s">
        <v>1929</v>
      </c>
      <c r="D301" s="192" t="s">
        <v>2151</v>
      </c>
      <c r="E301" s="215" t="s">
        <v>2161</v>
      </c>
      <c r="F301" s="176" t="s">
        <v>1860</v>
      </c>
      <c r="G301" s="176"/>
      <c r="H301" s="112" t="str">
        <f>IF(ISBLANK(E301),"",_xlfn.XLOOKUP(E301,cannabis_log!C:C,cannabis_log!H:H,"",0,1))</f>
        <v>extract_inhaled_packaged</v>
      </c>
      <c r="I301" s="189" t="s">
        <v>55</v>
      </c>
      <c r="J301" s="185">
        <v>-100</v>
      </c>
      <c r="K301" s="186">
        <v>0</v>
      </c>
      <c r="L301" s="288">
        <v>-50</v>
      </c>
      <c r="M301" s="188"/>
      <c r="N301" s="176" t="s">
        <v>670</v>
      </c>
      <c r="O301" s="180">
        <v>0.5</v>
      </c>
    </row>
    <row r="302" spans="1:15">
      <c r="A302" s="181" t="str">
        <f t="shared" si="4"/>
        <v>outbound</v>
      </c>
      <c r="B302" s="182">
        <v>45561.429861111108</v>
      </c>
      <c r="C302" s="183" t="s">
        <v>1929</v>
      </c>
      <c r="D302" s="22" t="s">
        <v>2162</v>
      </c>
      <c r="E302" s="215" t="s">
        <v>2133</v>
      </c>
      <c r="F302" s="112" t="s">
        <v>2134</v>
      </c>
      <c r="G302" s="112"/>
      <c r="H302" s="112" t="str">
        <f>IF(ISBLANK(E302),"",_xlfn.XLOOKUP(E302,cannabis_log!C:C,cannabis_log!H:H,"",0,1))</f>
        <v>extract_inhaled_packaged</v>
      </c>
      <c r="I302" s="113" t="s">
        <v>55</v>
      </c>
      <c r="J302" s="185">
        <v>-83</v>
      </c>
      <c r="K302" s="186">
        <v>0</v>
      </c>
      <c r="L302" s="288">
        <v>-41.5</v>
      </c>
      <c r="M302" s="24"/>
      <c r="N302" s="112" t="s">
        <v>670</v>
      </c>
      <c r="O302" s="187">
        <v>0.5</v>
      </c>
    </row>
    <row r="303" spans="1:15">
      <c r="A303" s="173" t="str">
        <f t="shared" si="4"/>
        <v>outbound</v>
      </c>
      <c r="B303" s="182">
        <v>45561.467361111114</v>
      </c>
      <c r="C303" s="183" t="s">
        <v>1929</v>
      </c>
      <c r="D303" s="192" t="s">
        <v>2151</v>
      </c>
      <c r="E303" s="215" t="s">
        <v>2163</v>
      </c>
      <c r="F303" s="176" t="s">
        <v>2100</v>
      </c>
      <c r="G303" s="176"/>
      <c r="H303" s="112" t="str">
        <f>IF(ISBLANK(E303),"",_xlfn.XLOOKUP(E303,cannabis_log!C:C,cannabis_log!H:H,"",0,1))</f>
        <v>extract_inhaled_labelled</v>
      </c>
      <c r="I303" s="189">
        <v>45555</v>
      </c>
      <c r="J303" s="185">
        <v>-204</v>
      </c>
      <c r="K303" s="186">
        <v>0</v>
      </c>
      <c r="L303" s="288">
        <v>-102</v>
      </c>
      <c r="M303" s="188"/>
      <c r="N303" s="176" t="s">
        <v>670</v>
      </c>
      <c r="O303" s="180">
        <v>0.5</v>
      </c>
    </row>
    <row r="304" spans="1:15">
      <c r="A304" s="181" t="str">
        <f t="shared" si="4"/>
        <v>outbound</v>
      </c>
      <c r="B304" s="182">
        <v>45561.467361111114</v>
      </c>
      <c r="C304" s="183" t="s">
        <v>1929</v>
      </c>
      <c r="D304" s="22" t="s">
        <v>2151</v>
      </c>
      <c r="E304" s="215" t="s">
        <v>2164</v>
      </c>
      <c r="F304" s="112" t="s">
        <v>2094</v>
      </c>
      <c r="G304" s="112"/>
      <c r="H304" s="112" t="str">
        <f>IF(ISBLANK(E304),"",_xlfn.XLOOKUP(E304,cannabis_log!C:C,cannabis_log!H:H,"",0,1))</f>
        <v>extract_inhaled_labelled</v>
      </c>
      <c r="I304" s="113">
        <v>45555</v>
      </c>
      <c r="J304" s="185">
        <v>-149</v>
      </c>
      <c r="K304" s="186">
        <v>0</v>
      </c>
      <c r="L304" s="288">
        <v>-74.5</v>
      </c>
      <c r="M304" s="24"/>
      <c r="N304" s="112" t="s">
        <v>670</v>
      </c>
      <c r="O304" s="187">
        <v>0.5</v>
      </c>
    </row>
    <row r="305" spans="1:15">
      <c r="A305" s="173" t="str">
        <f t="shared" si="4"/>
        <v>outbound</v>
      </c>
      <c r="B305" s="182">
        <v>45561.467361111114</v>
      </c>
      <c r="C305" s="183" t="s">
        <v>1929</v>
      </c>
      <c r="D305" s="192" t="s">
        <v>2151</v>
      </c>
      <c r="E305" s="215" t="s">
        <v>2165</v>
      </c>
      <c r="F305" s="176" t="s">
        <v>2094</v>
      </c>
      <c r="G305" s="176"/>
      <c r="H305" s="112" t="str">
        <f>IF(ISBLANK(E305),"",_xlfn.XLOOKUP(E305,cannabis_log!C:C,cannabis_log!H:H,"",0,1))</f>
        <v>extract_inhaled_labelled</v>
      </c>
      <c r="I305" s="189">
        <v>45555</v>
      </c>
      <c r="J305" s="185">
        <v>-141</v>
      </c>
      <c r="K305" s="186">
        <v>0</v>
      </c>
      <c r="L305" s="288">
        <v>-70.5</v>
      </c>
      <c r="M305" s="188"/>
      <c r="N305" s="176" t="s">
        <v>670</v>
      </c>
      <c r="O305" s="180">
        <v>0.5</v>
      </c>
    </row>
    <row r="306" spans="1:15">
      <c r="A306" s="181" t="str">
        <f t="shared" si="4"/>
        <v>outbound</v>
      </c>
      <c r="B306" s="182">
        <v>45561.467361111114</v>
      </c>
      <c r="C306" s="183" t="s">
        <v>1929</v>
      </c>
      <c r="D306" s="22" t="s">
        <v>2151</v>
      </c>
      <c r="E306" s="215" t="s">
        <v>2093</v>
      </c>
      <c r="F306" s="112" t="s">
        <v>2094</v>
      </c>
      <c r="G306" s="112"/>
      <c r="H306" s="112" t="str">
        <f>IF(ISBLANK(E306),"",_xlfn.XLOOKUP(E306,cannabis_log!C:C,cannabis_log!H:H,"",0,1))</f>
        <v>extract_inhaled_labelled</v>
      </c>
      <c r="I306" s="113">
        <v>45555</v>
      </c>
      <c r="J306" s="185">
        <v>-18</v>
      </c>
      <c r="K306" s="186">
        <v>0</v>
      </c>
      <c r="L306" s="288">
        <v>-9</v>
      </c>
      <c r="M306" s="24"/>
      <c r="N306" s="112" t="s">
        <v>670</v>
      </c>
      <c r="O306" s="187">
        <v>0.5</v>
      </c>
    </row>
    <row r="307" spans="1:15">
      <c r="A307" s="173" t="str">
        <f t="shared" si="4"/>
        <v>outbound</v>
      </c>
      <c r="B307" s="182">
        <v>45561.467361111114</v>
      </c>
      <c r="C307" s="183" t="s">
        <v>1929</v>
      </c>
      <c r="D307" s="192" t="s">
        <v>2151</v>
      </c>
      <c r="E307" s="215" t="s">
        <v>2121</v>
      </c>
      <c r="F307" s="176" t="s">
        <v>2094</v>
      </c>
      <c r="G307" s="176"/>
      <c r="H307" s="112" t="str">
        <f>IF(ISBLANK(E307),"",_xlfn.XLOOKUP(E307,cannabis_log!C:C,cannabis_log!H:H,"",0,1))</f>
        <v>extract_inhaled_labelled</v>
      </c>
      <c r="I307" s="189">
        <v>45555</v>
      </c>
      <c r="J307" s="185">
        <v>-87</v>
      </c>
      <c r="K307" s="186">
        <v>0</v>
      </c>
      <c r="L307" s="288">
        <v>-43.5</v>
      </c>
      <c r="M307" s="188"/>
      <c r="N307" s="176" t="s">
        <v>670</v>
      </c>
      <c r="O307" s="180">
        <v>0.5</v>
      </c>
    </row>
    <row r="308" spans="1:15">
      <c r="A308" s="181" t="str">
        <f t="shared" si="4"/>
        <v>outbound</v>
      </c>
      <c r="B308" s="182">
        <v>45561.467361111114</v>
      </c>
      <c r="C308" s="183" t="s">
        <v>1929</v>
      </c>
      <c r="D308" s="22" t="s">
        <v>2151</v>
      </c>
      <c r="E308" s="215" t="s">
        <v>2125</v>
      </c>
      <c r="F308" s="112" t="s">
        <v>2100</v>
      </c>
      <c r="G308" s="112"/>
      <c r="H308" s="112" t="str">
        <f>IF(ISBLANK(E308),"",_xlfn.XLOOKUP(E308,cannabis_log!C:C,cannabis_log!H:H,"",0,1))</f>
        <v>extract_inhaled_labelled</v>
      </c>
      <c r="I308" s="113">
        <v>45555</v>
      </c>
      <c r="J308" s="185">
        <v>-84</v>
      </c>
      <c r="K308" s="186">
        <v>0</v>
      </c>
      <c r="L308" s="288">
        <v>-42</v>
      </c>
      <c r="M308" s="24"/>
      <c r="N308" s="112" t="s">
        <v>670</v>
      </c>
      <c r="O308" s="187">
        <v>0.5</v>
      </c>
    </row>
    <row r="309" spans="1:15">
      <c r="A309" s="173" t="str">
        <f t="shared" si="4"/>
        <v>outbound</v>
      </c>
      <c r="B309" s="182">
        <v>45561.467361111114</v>
      </c>
      <c r="C309" s="183" t="s">
        <v>1929</v>
      </c>
      <c r="D309" s="192" t="s">
        <v>2151</v>
      </c>
      <c r="E309" s="215" t="s">
        <v>2126</v>
      </c>
      <c r="F309" s="176" t="s">
        <v>2100</v>
      </c>
      <c r="G309" s="176"/>
      <c r="H309" s="112" t="str">
        <f>IF(ISBLANK(E309),"",_xlfn.XLOOKUP(E309,cannabis_log!C:C,cannabis_log!H:H,"",0,1))</f>
        <v>extract_inhaled_labelled</v>
      </c>
      <c r="I309" s="189">
        <v>45555</v>
      </c>
      <c r="J309" s="185">
        <v>-84</v>
      </c>
      <c r="K309" s="186">
        <v>0</v>
      </c>
      <c r="L309" s="288">
        <v>-42</v>
      </c>
      <c r="M309" s="188"/>
      <c r="N309" s="176" t="s">
        <v>670</v>
      </c>
      <c r="O309" s="180">
        <v>0.5</v>
      </c>
    </row>
    <row r="310" spans="1:15">
      <c r="A310" s="181" t="str">
        <f t="shared" si="4"/>
        <v>outbound</v>
      </c>
      <c r="B310" s="182">
        <v>45561.474305555559</v>
      </c>
      <c r="C310" s="183" t="s">
        <v>1929</v>
      </c>
      <c r="D310" s="22" t="s">
        <v>2166</v>
      </c>
      <c r="E310" s="215" t="s">
        <v>2069</v>
      </c>
      <c r="F310" s="112" t="s">
        <v>1314</v>
      </c>
      <c r="G310" s="112"/>
      <c r="H310" s="112" t="str">
        <f>IF(ISBLANK(E310),"",_xlfn.XLOOKUP(E310,cannabis_log!C:C,cannabis_log!H:H,"",0,1))</f>
        <v>extract_ingested_labelled</v>
      </c>
      <c r="I310" s="113">
        <v>45503</v>
      </c>
      <c r="J310" s="185">
        <v>-229</v>
      </c>
      <c r="K310" s="186">
        <v>0</v>
      </c>
      <c r="L310" s="288">
        <v>-34579</v>
      </c>
      <c r="M310" s="24"/>
      <c r="N310" s="112" t="s">
        <v>670</v>
      </c>
      <c r="O310" s="187">
        <v>151</v>
      </c>
    </row>
    <row r="311" spans="1:15">
      <c r="A311" s="173" t="str">
        <f t="shared" si="4"/>
        <v>outbound</v>
      </c>
      <c r="B311" s="182">
        <v>45561.474305555559</v>
      </c>
      <c r="C311" s="183" t="s">
        <v>1929</v>
      </c>
      <c r="D311" s="192" t="s">
        <v>2167</v>
      </c>
      <c r="E311" s="215" t="s">
        <v>2111</v>
      </c>
      <c r="F311" s="176" t="s">
        <v>2112</v>
      </c>
      <c r="G311" s="176"/>
      <c r="H311" s="112" t="str">
        <f>IF(ISBLANK(E311),"",_xlfn.XLOOKUP(E311,cannabis_log!C:C,cannabis_log!H:H,"",0,1))</f>
        <v>extract_ingested_labelled</v>
      </c>
      <c r="I311" s="189">
        <v>45550</v>
      </c>
      <c r="J311" s="185">
        <v>-231</v>
      </c>
      <c r="K311" s="186">
        <v>0</v>
      </c>
      <c r="L311" s="288">
        <v>-34881</v>
      </c>
      <c r="M311" s="188"/>
      <c r="N311" s="176" t="s">
        <v>670</v>
      </c>
      <c r="O311" s="180">
        <v>151</v>
      </c>
    </row>
    <row r="312" spans="1:15">
      <c r="A312" s="173" t="str">
        <f t="shared" si="4"/>
        <v>inbound</v>
      </c>
      <c r="B312" s="182">
        <v>45561.551388888889</v>
      </c>
      <c r="C312" s="183" t="s">
        <v>1927</v>
      </c>
      <c r="D312" s="183"/>
      <c r="E312" s="215" t="s">
        <v>2111</v>
      </c>
      <c r="F312" s="176" t="s">
        <v>2112</v>
      </c>
      <c r="G312" s="176"/>
      <c r="H312" s="112" t="str">
        <f>IF(ISBLANK(E312),"",_xlfn.XLOOKUP(E312,cannabis_log!C:C,cannabis_log!H:H,"",0,1))</f>
        <v>extract_ingested_labelled</v>
      </c>
      <c r="I312" s="189">
        <v>45550</v>
      </c>
      <c r="J312" s="185">
        <v>75</v>
      </c>
      <c r="K312" s="186">
        <v>0</v>
      </c>
      <c r="L312" s="288">
        <v>11325</v>
      </c>
      <c r="M312" s="188"/>
      <c r="N312" s="176" t="s">
        <v>670</v>
      </c>
      <c r="O312" s="180">
        <v>151</v>
      </c>
    </row>
    <row r="313" spans="1:15">
      <c r="A313" s="181" t="str">
        <f t="shared" si="4"/>
        <v>inbound</v>
      </c>
      <c r="B313" s="182">
        <v>45561.551388888889</v>
      </c>
      <c r="C313" s="183" t="s">
        <v>1927</v>
      </c>
      <c r="D313" s="183"/>
      <c r="E313" s="215" t="s">
        <v>2069</v>
      </c>
      <c r="F313" s="112" t="s">
        <v>1314</v>
      </c>
      <c r="G313" s="112"/>
      <c r="H313" s="112" t="str">
        <f>IF(ISBLANK(E313),"",_xlfn.XLOOKUP(E313,cannabis_log!C:C,cannabis_log!H:H,"",0,1))</f>
        <v>extract_ingested_labelled</v>
      </c>
      <c r="I313" s="113">
        <v>45503</v>
      </c>
      <c r="J313" s="185">
        <v>73</v>
      </c>
      <c r="K313" s="186">
        <v>0</v>
      </c>
      <c r="L313" s="288">
        <v>11023</v>
      </c>
      <c r="M313" s="24"/>
      <c r="N313" s="112" t="s">
        <v>670</v>
      </c>
      <c r="O313" s="187">
        <v>151</v>
      </c>
    </row>
    <row r="314" spans="1:15">
      <c r="A314" s="181" t="str">
        <f t="shared" si="4"/>
        <v>outbound</v>
      </c>
      <c r="B314" s="182">
        <v>45561.637499999997</v>
      </c>
      <c r="C314" s="183" t="s">
        <v>1929</v>
      </c>
      <c r="D314" s="183" t="s">
        <v>2168</v>
      </c>
      <c r="E314" s="215" t="s">
        <v>2150</v>
      </c>
      <c r="F314" s="112" t="s">
        <v>1134</v>
      </c>
      <c r="G314" s="112"/>
      <c r="H314" s="112" t="str">
        <f>IF(ISBLANK(E314),"",_xlfn.XLOOKUP(E314,cannabis_log!C:C,cannabis_log!H:H,"",0,1))</f>
        <v>extract_inhaled_labelled</v>
      </c>
      <c r="I314" s="113">
        <v>45560</v>
      </c>
      <c r="J314" s="185">
        <v>-1</v>
      </c>
      <c r="K314" s="186">
        <v>0</v>
      </c>
      <c r="L314" s="288">
        <v>-0.5</v>
      </c>
      <c r="M314" s="24"/>
      <c r="N314" s="112" t="s">
        <v>670</v>
      </c>
      <c r="O314" s="187">
        <v>0.5</v>
      </c>
    </row>
    <row r="315" spans="1:15">
      <c r="A315" s="173" t="str">
        <f t="shared" si="4"/>
        <v>outbound</v>
      </c>
      <c r="B315" s="182">
        <v>45561.637499999997</v>
      </c>
      <c r="C315" s="183" t="s">
        <v>1929</v>
      </c>
      <c r="D315" s="183" t="s">
        <v>2168</v>
      </c>
      <c r="E315" s="215" t="s">
        <v>2072</v>
      </c>
      <c r="F315" s="176" t="s">
        <v>797</v>
      </c>
      <c r="G315" s="176"/>
      <c r="H315" s="112" t="str">
        <f>IF(ISBLANK(E315),"",_xlfn.XLOOKUP(E315,cannabis_log!C:C,cannabis_log!H:H,"",0,1))</f>
        <v>topical_labelled</v>
      </c>
      <c r="I315" s="189">
        <v>45531</v>
      </c>
      <c r="J315" s="185">
        <v>-1</v>
      </c>
      <c r="K315" s="186">
        <v>0</v>
      </c>
      <c r="L315" s="288">
        <v>-88</v>
      </c>
      <c r="M315" s="188"/>
      <c r="N315" s="176" t="s">
        <v>670</v>
      </c>
      <c r="O315" s="180">
        <v>88</v>
      </c>
    </row>
    <row r="316" spans="1:15">
      <c r="A316" s="181" t="str">
        <f t="shared" si="4"/>
        <v>outbound</v>
      </c>
      <c r="B316" s="182">
        <v>45561.637499999997</v>
      </c>
      <c r="C316" s="183" t="s">
        <v>1929</v>
      </c>
      <c r="D316" s="183" t="s">
        <v>2168</v>
      </c>
      <c r="E316" s="215" t="s">
        <v>1990</v>
      </c>
      <c r="F316" s="112" t="s">
        <v>862</v>
      </c>
      <c r="G316" s="112"/>
      <c r="H316" s="112" t="str">
        <f>IF(ISBLANK(E316),"",_xlfn.XLOOKUP(E316,cannabis_log!C:C,cannabis_log!H:H,"",0,1))</f>
        <v>extract_ingested_labelled</v>
      </c>
      <c r="I316" s="113">
        <v>45488</v>
      </c>
      <c r="J316" s="185">
        <v>-1</v>
      </c>
      <c r="K316" s="186">
        <v>0</v>
      </c>
      <c r="L316" s="288">
        <v>-27.6</v>
      </c>
      <c r="M316" s="24"/>
      <c r="N316" s="112" t="s">
        <v>670</v>
      </c>
      <c r="O316" s="187">
        <v>27.6</v>
      </c>
    </row>
    <row r="317" spans="1:15">
      <c r="A317" s="173" t="str">
        <f t="shared" si="4"/>
        <v>outbound</v>
      </c>
      <c r="B317" s="182">
        <v>45561.637499999997</v>
      </c>
      <c r="C317" s="183" t="s">
        <v>1929</v>
      </c>
      <c r="D317" s="183" t="s">
        <v>2168</v>
      </c>
      <c r="E317" s="215" t="s">
        <v>2169</v>
      </c>
      <c r="F317" s="176" t="s">
        <v>1311</v>
      </c>
      <c r="G317" s="176"/>
      <c r="H317" s="112" t="str">
        <f>IF(ISBLANK(E317),"",_xlfn.XLOOKUP(E317,cannabis_log!C:C,cannabis_log!H:H,"",0,1))</f>
        <v>preroll_labelled</v>
      </c>
      <c r="I317" s="189">
        <v>45532</v>
      </c>
      <c r="J317" s="185">
        <v>-1</v>
      </c>
      <c r="K317" s="186">
        <v>0</v>
      </c>
      <c r="L317" s="288">
        <v>-1</v>
      </c>
      <c r="M317" s="188"/>
      <c r="N317" s="176" t="s">
        <v>670</v>
      </c>
      <c r="O317" s="180">
        <v>1</v>
      </c>
    </row>
    <row r="318" spans="1:15">
      <c r="A318" s="181" t="str">
        <f t="shared" si="4"/>
        <v>outbound</v>
      </c>
      <c r="B318" s="182">
        <v>45561.637499999997</v>
      </c>
      <c r="C318" s="183" t="s">
        <v>1929</v>
      </c>
      <c r="D318" s="183" t="s">
        <v>2168</v>
      </c>
      <c r="E318" s="215" t="s">
        <v>2132</v>
      </c>
      <c r="F318" s="112" t="s">
        <v>1313</v>
      </c>
      <c r="G318" s="112"/>
      <c r="H318" s="112" t="str">
        <f>IF(ISBLANK(E318),"",_xlfn.XLOOKUP(E318,cannabis_log!C:C,cannabis_log!H:H,"",0,1))</f>
        <v>preroll_labelled</v>
      </c>
      <c r="I318" s="113">
        <v>45523</v>
      </c>
      <c r="J318" s="185">
        <v>-1</v>
      </c>
      <c r="K318" s="186">
        <v>0</v>
      </c>
      <c r="L318" s="288">
        <v>-1.5</v>
      </c>
      <c r="M318" s="24"/>
      <c r="N318" s="112" t="s">
        <v>670</v>
      </c>
      <c r="O318" s="187">
        <v>1.5</v>
      </c>
    </row>
    <row r="319" spans="1:15">
      <c r="A319" s="173" t="str">
        <f t="shared" si="4"/>
        <v>outbound</v>
      </c>
      <c r="B319" s="182">
        <v>45561.637499999997</v>
      </c>
      <c r="C319" s="183" t="s">
        <v>1929</v>
      </c>
      <c r="D319" s="183" t="s">
        <v>2168</v>
      </c>
      <c r="E319" s="215" t="s">
        <v>1965</v>
      </c>
      <c r="F319" s="176" t="s">
        <v>630</v>
      </c>
      <c r="G319" s="176"/>
      <c r="H319" s="112" t="str">
        <f>IF(ISBLANK(E319),"",_xlfn.XLOOKUP(E319,cannabis_log!C:C,cannabis_log!H:H,"",0,1))</f>
        <v>preroll_labelled</v>
      </c>
      <c r="I319" s="189">
        <v>45543</v>
      </c>
      <c r="J319" s="185">
        <v>-1</v>
      </c>
      <c r="K319" s="186">
        <v>0</v>
      </c>
      <c r="L319" s="288">
        <v>-1.5</v>
      </c>
      <c r="M319" s="188"/>
      <c r="N319" s="176" t="s">
        <v>670</v>
      </c>
      <c r="O319" s="180">
        <v>1.5</v>
      </c>
    </row>
    <row r="320" spans="1:15">
      <c r="A320" s="181" t="str">
        <f t="shared" si="4"/>
        <v>outbound</v>
      </c>
      <c r="B320" s="182">
        <v>45562.395138888889</v>
      </c>
      <c r="C320" s="183" t="s">
        <v>1921</v>
      </c>
      <c r="D320" s="22" t="s">
        <v>2151</v>
      </c>
      <c r="E320" s="215" t="s">
        <v>2170</v>
      </c>
      <c r="F320" s="112" t="s">
        <v>2096</v>
      </c>
      <c r="G320" s="112"/>
      <c r="H320" s="112" t="str">
        <f>IF(ISBLANK(E320),"",_xlfn.XLOOKUP(E320,cannabis_log!C:C,cannabis_log!H:H,"",0,1))</f>
        <v>extract_inhaled_packaged</v>
      </c>
      <c r="I320" s="113" t="s">
        <v>55</v>
      </c>
      <c r="J320" s="185">
        <v>-66</v>
      </c>
      <c r="K320" s="186">
        <v>0</v>
      </c>
      <c r="L320" s="288">
        <v>-33</v>
      </c>
      <c r="M320" s="24"/>
      <c r="N320" s="112" t="s">
        <v>670</v>
      </c>
      <c r="O320" s="187">
        <v>0.5</v>
      </c>
    </row>
    <row r="321" spans="1:15">
      <c r="A321" s="173" t="str">
        <f t="shared" ref="A321:A384" si="5">IF(ISBLANK(J321),"",IF(J321+K321+L321&lt;0,"outbound","inbound"))</f>
        <v>outbound</v>
      </c>
      <c r="B321" s="182">
        <v>45562.395138888889</v>
      </c>
      <c r="C321" s="183" t="s">
        <v>1921</v>
      </c>
      <c r="D321" s="192" t="s">
        <v>2151</v>
      </c>
      <c r="E321" s="215" t="s">
        <v>2149</v>
      </c>
      <c r="F321" s="176" t="s">
        <v>2100</v>
      </c>
      <c r="G321" s="176"/>
      <c r="H321" s="112" t="str">
        <f>IF(ISBLANK(E321),"",_xlfn.XLOOKUP(E321,cannabis_log!C:C,cannabis_log!H:H,"",0,1))</f>
        <v>extract_inhaled_labelled</v>
      </c>
      <c r="I321" s="189">
        <v>45560</v>
      </c>
      <c r="J321" s="185">
        <v>-200</v>
      </c>
      <c r="K321" s="186">
        <v>0</v>
      </c>
      <c r="L321" s="288">
        <v>-100</v>
      </c>
      <c r="M321" s="188"/>
      <c r="N321" s="176" t="s">
        <v>670</v>
      </c>
      <c r="O321" s="180">
        <v>0.5</v>
      </c>
    </row>
    <row r="322" spans="1:15">
      <c r="A322" s="181" t="str">
        <f t="shared" si="5"/>
        <v>outbound</v>
      </c>
      <c r="B322" s="182">
        <v>45562.395138888889</v>
      </c>
      <c r="C322" s="183" t="s">
        <v>1921</v>
      </c>
      <c r="D322" s="22" t="s">
        <v>2151</v>
      </c>
      <c r="E322" s="215" t="s">
        <v>2147</v>
      </c>
      <c r="F322" s="112" t="s">
        <v>2100</v>
      </c>
      <c r="G322" s="112"/>
      <c r="H322" s="112" t="str">
        <f>IF(ISBLANK(E322),"",_xlfn.XLOOKUP(E322,cannabis_log!C:C,cannabis_log!H:H,"",0,1))</f>
        <v>extract_inhaled_packaged</v>
      </c>
      <c r="I322" s="113" t="s">
        <v>55</v>
      </c>
      <c r="J322" s="185">
        <v>-133</v>
      </c>
      <c r="K322" s="186">
        <v>0</v>
      </c>
      <c r="L322" s="288">
        <v>-66.5</v>
      </c>
      <c r="M322" s="24"/>
      <c r="N322" s="112" t="s">
        <v>670</v>
      </c>
      <c r="O322" s="187">
        <v>0.5</v>
      </c>
    </row>
    <row r="323" spans="1:15">
      <c r="A323" s="173" t="str">
        <f t="shared" si="5"/>
        <v>outbound</v>
      </c>
      <c r="B323" s="182">
        <v>45562.395138888889</v>
      </c>
      <c r="C323" s="183" t="s">
        <v>1921</v>
      </c>
      <c r="D323" s="192" t="s">
        <v>2151</v>
      </c>
      <c r="E323" s="215" t="s">
        <v>2148</v>
      </c>
      <c r="F323" s="176" t="s">
        <v>2100</v>
      </c>
      <c r="G323" s="176"/>
      <c r="H323" s="112" t="str">
        <f>IF(ISBLANK(E323),"",_xlfn.XLOOKUP(E323,cannabis_log!C:C,cannabis_log!H:H,"",0,1))</f>
        <v>extract_inhaled_packaged</v>
      </c>
      <c r="I323" s="189" t="s">
        <v>55</v>
      </c>
      <c r="J323" s="185">
        <v>-200</v>
      </c>
      <c r="K323" s="186">
        <v>0</v>
      </c>
      <c r="L323" s="288">
        <v>-100</v>
      </c>
      <c r="M323" s="188"/>
      <c r="N323" s="176" t="s">
        <v>670</v>
      </c>
      <c r="O323" s="180">
        <v>0.5</v>
      </c>
    </row>
    <row r="324" spans="1:15">
      <c r="A324" s="181" t="str">
        <f t="shared" si="5"/>
        <v>outbound</v>
      </c>
      <c r="B324" s="182">
        <v>45562.395138888889</v>
      </c>
      <c r="C324" s="183" t="s">
        <v>1921</v>
      </c>
      <c r="D324" s="22" t="s">
        <v>2151</v>
      </c>
      <c r="E324" s="215" t="s">
        <v>2146</v>
      </c>
      <c r="F324" s="112" t="s">
        <v>2100</v>
      </c>
      <c r="G324" s="112"/>
      <c r="H324" s="112" t="str">
        <f>IF(ISBLANK(E324),"",_xlfn.XLOOKUP(E324,cannabis_log!C:C,cannabis_log!H:H,"",0,1))</f>
        <v>extract_inhaled_packaged</v>
      </c>
      <c r="I324" s="113" t="s">
        <v>55</v>
      </c>
      <c r="J324" s="185">
        <v>-200</v>
      </c>
      <c r="K324" s="186">
        <v>0</v>
      </c>
      <c r="L324" s="288">
        <v>-100</v>
      </c>
      <c r="M324" s="24"/>
      <c r="N324" s="112" t="s">
        <v>670</v>
      </c>
      <c r="O324" s="187">
        <v>0.5</v>
      </c>
    </row>
    <row r="325" spans="1:15">
      <c r="A325" s="173" t="str">
        <f t="shared" si="5"/>
        <v>outbound</v>
      </c>
      <c r="B325" s="182">
        <v>45562.395138888889</v>
      </c>
      <c r="C325" s="183" t="s">
        <v>1921</v>
      </c>
      <c r="D325" s="192" t="s">
        <v>2151</v>
      </c>
      <c r="E325" s="215" t="s">
        <v>2144</v>
      </c>
      <c r="F325" s="176" t="s">
        <v>2094</v>
      </c>
      <c r="G325" s="176"/>
      <c r="H325" s="112" t="str">
        <f>IF(ISBLANK(E325),"",_xlfn.XLOOKUP(E325,cannabis_log!C:C,cannabis_log!H:H,"",0,1))</f>
        <v>extract_inhaled_packaged</v>
      </c>
      <c r="I325" s="189" t="s">
        <v>55</v>
      </c>
      <c r="J325" s="185">
        <v>-200</v>
      </c>
      <c r="K325" s="186">
        <v>0</v>
      </c>
      <c r="L325" s="288">
        <v>-100</v>
      </c>
      <c r="M325" s="188"/>
      <c r="N325" s="176" t="s">
        <v>670</v>
      </c>
      <c r="O325" s="180">
        <v>0.5</v>
      </c>
    </row>
    <row r="326" spans="1:15">
      <c r="A326" s="181" t="str">
        <f t="shared" si="5"/>
        <v>outbound</v>
      </c>
      <c r="B326" s="182">
        <v>45562.395138888889</v>
      </c>
      <c r="C326" s="183" t="s">
        <v>1921</v>
      </c>
      <c r="D326" s="22" t="s">
        <v>2151</v>
      </c>
      <c r="E326" s="215" t="s">
        <v>2145</v>
      </c>
      <c r="F326" s="112" t="s">
        <v>2094</v>
      </c>
      <c r="G326" s="112"/>
      <c r="H326" s="112" t="str">
        <f>IF(ISBLANK(E326),"",_xlfn.XLOOKUP(E326,cannabis_log!C:C,cannabis_log!H:H,"",0,1))</f>
        <v>extract_inhaled_packaged</v>
      </c>
      <c r="I326" s="113" t="s">
        <v>55</v>
      </c>
      <c r="J326" s="185">
        <v>-200</v>
      </c>
      <c r="K326" s="186">
        <v>0</v>
      </c>
      <c r="L326" s="288">
        <v>-100</v>
      </c>
      <c r="M326" s="24"/>
      <c r="N326" s="112" t="s">
        <v>670</v>
      </c>
      <c r="O326" s="187">
        <v>0.5</v>
      </c>
    </row>
    <row r="327" spans="1:15">
      <c r="A327" s="173" t="str">
        <f t="shared" si="5"/>
        <v>outbound</v>
      </c>
      <c r="B327" s="182">
        <v>45562.395138888889</v>
      </c>
      <c r="C327" s="183" t="s">
        <v>1921</v>
      </c>
      <c r="D327" s="192" t="s">
        <v>2151</v>
      </c>
      <c r="E327" s="215" t="s">
        <v>2142</v>
      </c>
      <c r="F327" s="176" t="s">
        <v>2094</v>
      </c>
      <c r="G327" s="176"/>
      <c r="H327" s="112" t="str">
        <f>IF(ISBLANK(E327),"",_xlfn.XLOOKUP(E327,cannabis_log!C:C,cannabis_log!H:H,"",0,1))</f>
        <v>extract_inhaled_labelled</v>
      </c>
      <c r="I327" s="189">
        <v>45560</v>
      </c>
      <c r="J327" s="185">
        <v>-83</v>
      </c>
      <c r="K327" s="186">
        <v>0</v>
      </c>
      <c r="L327" s="288">
        <v>-41.5</v>
      </c>
      <c r="M327" s="188"/>
      <c r="N327" s="176" t="s">
        <v>670</v>
      </c>
      <c r="O327" s="180">
        <v>0.5</v>
      </c>
    </row>
    <row r="328" spans="1:15">
      <c r="A328" s="181" t="str">
        <f t="shared" si="5"/>
        <v>outbound</v>
      </c>
      <c r="B328" s="182">
        <v>45562.395138888889</v>
      </c>
      <c r="C328" s="183" t="s">
        <v>1921</v>
      </c>
      <c r="D328" s="22" t="s">
        <v>2151</v>
      </c>
      <c r="E328" s="215" t="s">
        <v>2143</v>
      </c>
      <c r="F328" s="112" t="s">
        <v>2094</v>
      </c>
      <c r="G328" s="112"/>
      <c r="H328" s="112" t="str">
        <f>IF(ISBLANK(E328),"",_xlfn.XLOOKUP(E328,cannabis_log!C:C,cannabis_log!H:H,"",0,1))</f>
        <v>extract_inhaled_packaged</v>
      </c>
      <c r="I328" s="113" t="s">
        <v>55</v>
      </c>
      <c r="J328" s="185">
        <v>-200</v>
      </c>
      <c r="K328" s="186">
        <v>0</v>
      </c>
      <c r="L328" s="288">
        <v>-100</v>
      </c>
      <c r="M328" s="24"/>
      <c r="N328" s="112" t="s">
        <v>670</v>
      </c>
      <c r="O328" s="187">
        <v>0.5</v>
      </c>
    </row>
    <row r="329" spans="1:15">
      <c r="A329" s="173" t="str">
        <f t="shared" si="5"/>
        <v>outbound</v>
      </c>
      <c r="B329" s="182">
        <v>45562.45416666667</v>
      </c>
      <c r="C329" s="183" t="s">
        <v>1929</v>
      </c>
      <c r="D329" s="192" t="s">
        <v>2171</v>
      </c>
      <c r="E329" s="215" t="s">
        <v>2110</v>
      </c>
      <c r="F329" s="176" t="s">
        <v>971</v>
      </c>
      <c r="G329" s="176"/>
      <c r="H329" s="112" t="str">
        <f>IF(ISBLANK(E329),"",_xlfn.XLOOKUP(E329,cannabis_log!C:C,cannabis_log!H:H,"",0,1))</f>
        <v>extract_ingested_labelled</v>
      </c>
      <c r="I329" s="189">
        <v>45467</v>
      </c>
      <c r="J329" s="185">
        <v>-12</v>
      </c>
      <c r="K329" s="186">
        <v>0</v>
      </c>
      <c r="L329" s="288">
        <v>-327.60000000000002</v>
      </c>
      <c r="M329" s="188"/>
      <c r="N329" s="176" t="s">
        <v>670</v>
      </c>
      <c r="O329" s="180">
        <v>27.3</v>
      </c>
    </row>
    <row r="330" spans="1:15">
      <c r="A330" s="181" t="str">
        <f t="shared" si="5"/>
        <v>outbound</v>
      </c>
      <c r="B330" s="182">
        <v>45562.45416666667</v>
      </c>
      <c r="C330" s="183" t="s">
        <v>1929</v>
      </c>
      <c r="D330" s="22" t="s">
        <v>2171</v>
      </c>
      <c r="E330" s="215" t="s">
        <v>1990</v>
      </c>
      <c r="F330" s="112" t="s">
        <v>862</v>
      </c>
      <c r="G330" s="112"/>
      <c r="H330" s="112" t="str">
        <f>IF(ISBLANK(E330),"",_xlfn.XLOOKUP(E330,cannabis_log!C:C,cannabis_log!H:H,"",0,1))</f>
        <v>extract_ingested_labelled</v>
      </c>
      <c r="I330" s="113">
        <v>45488</v>
      </c>
      <c r="J330" s="185">
        <v>-12</v>
      </c>
      <c r="K330" s="186">
        <v>0</v>
      </c>
      <c r="L330" s="288">
        <v>-331.20000000000005</v>
      </c>
      <c r="M330" s="24"/>
      <c r="N330" s="112" t="s">
        <v>670</v>
      </c>
      <c r="O330" s="187">
        <v>27.6</v>
      </c>
    </row>
    <row r="331" spans="1:15">
      <c r="A331" s="173" t="str">
        <f t="shared" si="5"/>
        <v>outbound</v>
      </c>
      <c r="B331" s="182">
        <v>45562.477777777778</v>
      </c>
      <c r="C331" s="183" t="s">
        <v>1929</v>
      </c>
      <c r="D331" s="192" t="s">
        <v>2171</v>
      </c>
      <c r="E331" s="215" t="s">
        <v>1941</v>
      </c>
      <c r="F331" s="176" t="s">
        <v>1324</v>
      </c>
      <c r="G331" s="176"/>
      <c r="H331" s="112" t="str">
        <f>IF(ISBLANK(E331),"",_xlfn.XLOOKUP(E331,cannabis_log!C:C,cannabis_log!H:H,"",0,1))</f>
        <v>topical_labelled</v>
      </c>
      <c r="I331" s="189">
        <v>45467</v>
      </c>
      <c r="J331" s="185">
        <v>-12</v>
      </c>
      <c r="K331" s="186">
        <v>0</v>
      </c>
      <c r="L331" s="288">
        <v>-5400</v>
      </c>
      <c r="M331" s="188"/>
      <c r="N331" s="176" t="s">
        <v>670</v>
      </c>
      <c r="O331" s="180">
        <v>450</v>
      </c>
    </row>
    <row r="332" spans="1:15">
      <c r="A332" s="181" t="str">
        <f t="shared" si="5"/>
        <v>outbound</v>
      </c>
      <c r="B332" s="182">
        <v>45562.477777777778</v>
      </c>
      <c r="C332" s="183" t="s">
        <v>1929</v>
      </c>
      <c r="D332" s="22" t="s">
        <v>2171</v>
      </c>
      <c r="E332" s="215" t="s">
        <v>2105</v>
      </c>
      <c r="F332" s="112" t="s">
        <v>1313</v>
      </c>
      <c r="G332" s="112"/>
      <c r="H332" s="112" t="str">
        <f>IF(ISBLANK(E332),"",_xlfn.XLOOKUP(E332,cannabis_log!C:C,cannabis_log!H:H,"",0,1))</f>
        <v>preroll_labelled</v>
      </c>
      <c r="I332" s="113">
        <v>45575</v>
      </c>
      <c r="J332" s="185">
        <v>-12</v>
      </c>
      <c r="K332" s="186">
        <v>0</v>
      </c>
      <c r="L332" s="288">
        <v>-18</v>
      </c>
      <c r="M332" s="24"/>
      <c r="N332" s="112" t="s">
        <v>670</v>
      </c>
      <c r="O332" s="187">
        <v>1.5</v>
      </c>
    </row>
    <row r="333" spans="1:15">
      <c r="A333" s="173" t="str">
        <f t="shared" si="5"/>
        <v>outbound</v>
      </c>
      <c r="B333" s="182">
        <v>45562.484027777777</v>
      </c>
      <c r="C333" s="183" t="s">
        <v>1929</v>
      </c>
      <c r="D333" s="192" t="s">
        <v>2171</v>
      </c>
      <c r="E333" s="215" t="s">
        <v>2172</v>
      </c>
      <c r="F333" s="176" t="s">
        <v>1312</v>
      </c>
      <c r="G333" s="176"/>
      <c r="H333" s="112" t="str">
        <f>IF(ISBLANK(E333),"",_xlfn.XLOOKUP(E333,cannabis_log!C:C,cannabis_log!H:H,"",0,1))</f>
        <v>preroll_labelled</v>
      </c>
      <c r="I333" s="189">
        <v>45575</v>
      </c>
      <c r="J333" s="185">
        <v>-12</v>
      </c>
      <c r="K333" s="186">
        <v>0</v>
      </c>
      <c r="L333" s="288">
        <v>-18</v>
      </c>
      <c r="M333" s="188"/>
      <c r="N333" s="176" t="s">
        <v>670</v>
      </c>
      <c r="O333" s="180">
        <v>1.5</v>
      </c>
    </row>
    <row r="334" spans="1:15">
      <c r="A334" s="181" t="str">
        <f t="shared" si="5"/>
        <v>outbound</v>
      </c>
      <c r="B334" s="182">
        <v>45562.490972222222</v>
      </c>
      <c r="C334" s="183" t="s">
        <v>1929</v>
      </c>
      <c r="D334" s="183" t="s">
        <v>2173</v>
      </c>
      <c r="E334" s="215" t="s">
        <v>2097</v>
      </c>
      <c r="F334" s="112" t="s">
        <v>1860</v>
      </c>
      <c r="G334" s="112"/>
      <c r="H334" s="112" t="str">
        <f>IF(ISBLANK(E334),"",_xlfn.XLOOKUP(E334,cannabis_log!C:C,cannabis_log!H:H,"",0,1))</f>
        <v>extract_inhaled_labelled</v>
      </c>
      <c r="I334" s="113">
        <v>45555</v>
      </c>
      <c r="J334" s="185">
        <v>-17</v>
      </c>
      <c r="K334" s="186">
        <v>0</v>
      </c>
      <c r="L334" s="288">
        <v>-8.5</v>
      </c>
      <c r="M334" s="24"/>
      <c r="N334" s="112" t="s">
        <v>670</v>
      </c>
      <c r="O334" s="187">
        <v>0.5</v>
      </c>
    </row>
    <row r="335" spans="1:15">
      <c r="A335" s="173" t="str">
        <f t="shared" si="5"/>
        <v>outbound</v>
      </c>
      <c r="B335" s="182">
        <v>45562.529861111114</v>
      </c>
      <c r="C335" s="183" t="s">
        <v>1924</v>
      </c>
      <c r="D335" s="183" t="s">
        <v>2174</v>
      </c>
      <c r="E335" s="215" t="s">
        <v>1945</v>
      </c>
      <c r="F335" s="176" t="s">
        <v>543</v>
      </c>
      <c r="G335" s="176"/>
      <c r="H335" s="112" t="str">
        <f>IF(ISBLANK(E335),"",_xlfn.XLOOKUP(E335,cannabis_log!C:C,cannabis_log!H:H,"",0,1))</f>
        <v>extract_inhaled_bulk</v>
      </c>
      <c r="I335" s="189" t="s">
        <v>55</v>
      </c>
      <c r="J335" s="185">
        <v>-1</v>
      </c>
      <c r="K335" s="186">
        <v>-2055</v>
      </c>
      <c r="L335" s="288">
        <v>0</v>
      </c>
      <c r="M335" s="188"/>
      <c r="N335" s="176" t="s">
        <v>664</v>
      </c>
      <c r="O335" s="180">
        <v>0</v>
      </c>
    </row>
    <row r="336" spans="1:15">
      <c r="A336" s="181" t="str">
        <f t="shared" si="5"/>
        <v>outbound</v>
      </c>
      <c r="B336" s="182">
        <v>45562.57916666667</v>
      </c>
      <c r="C336" s="183" t="s">
        <v>1929</v>
      </c>
      <c r="D336" s="22" t="s">
        <v>2171</v>
      </c>
      <c r="E336" s="215" t="s">
        <v>1923</v>
      </c>
      <c r="F336" s="112" t="s">
        <v>775</v>
      </c>
      <c r="G336" s="112"/>
      <c r="H336" s="112" t="str">
        <f>IF(ISBLANK(E336),"",_xlfn.XLOOKUP(E336,cannabis_log!C:C,cannabis_log!H:H,"",0,1))</f>
        <v>topical_labelled</v>
      </c>
      <c r="I336" s="113">
        <v>45467</v>
      </c>
      <c r="J336" s="185">
        <v>-12</v>
      </c>
      <c r="K336" s="186">
        <v>0</v>
      </c>
      <c r="L336" s="288">
        <v>-2160</v>
      </c>
      <c r="M336" s="24"/>
      <c r="N336" s="112" t="s">
        <v>670</v>
      </c>
      <c r="O336" s="187">
        <v>180</v>
      </c>
    </row>
    <row r="337" spans="1:15">
      <c r="A337" s="173" t="str">
        <f t="shared" si="5"/>
        <v>outbound</v>
      </c>
      <c r="B337" s="182">
        <v>45562.57916666667</v>
      </c>
      <c r="C337" s="183" t="s">
        <v>1929</v>
      </c>
      <c r="D337" s="192" t="s">
        <v>2171</v>
      </c>
      <c r="E337" s="215" t="s">
        <v>2028</v>
      </c>
      <c r="F337" s="176" t="s">
        <v>2029</v>
      </c>
      <c r="G337" s="176"/>
      <c r="H337" s="112" t="str">
        <f>IF(ISBLANK(E337),"",_xlfn.XLOOKUP(E337,cannabis_log!C:C,cannabis_log!H:H,"",0,1))</f>
        <v>extract_ingested_labelled</v>
      </c>
      <c r="I337" s="189">
        <v>45503</v>
      </c>
      <c r="J337" s="185">
        <v>-9</v>
      </c>
      <c r="K337" s="186">
        <v>0</v>
      </c>
      <c r="L337" s="288">
        <v>-1359</v>
      </c>
      <c r="M337" s="188"/>
      <c r="N337" s="176" t="s">
        <v>670</v>
      </c>
      <c r="O337" s="180">
        <v>151</v>
      </c>
    </row>
    <row r="338" spans="1:15">
      <c r="A338" s="181" t="str">
        <f t="shared" si="5"/>
        <v>outbound</v>
      </c>
      <c r="B338" s="182">
        <v>45562.57916666667</v>
      </c>
      <c r="C338" s="183" t="s">
        <v>1929</v>
      </c>
      <c r="D338" s="22" t="s">
        <v>2171</v>
      </c>
      <c r="E338" s="215" t="s">
        <v>2056</v>
      </c>
      <c r="F338" s="112" t="s">
        <v>1019</v>
      </c>
      <c r="G338" s="112"/>
      <c r="H338" s="112" t="str">
        <f>IF(ISBLANK(E338),"",_xlfn.XLOOKUP(E338,cannabis_log!C:C,cannabis_log!H:H,"",0,1))</f>
        <v>extract_ingested_labelled_damaged</v>
      </c>
      <c r="I338" s="113">
        <v>45523</v>
      </c>
      <c r="J338" s="185">
        <v>-9</v>
      </c>
      <c r="K338" s="186">
        <v>0</v>
      </c>
      <c r="L338" s="288">
        <v>-1359</v>
      </c>
      <c r="M338" s="24"/>
      <c r="N338" s="112" t="s">
        <v>670</v>
      </c>
      <c r="O338" s="187">
        <v>151</v>
      </c>
    </row>
    <row r="339" spans="1:15">
      <c r="A339" s="173" t="str">
        <f t="shared" si="5"/>
        <v>outbound</v>
      </c>
      <c r="B339" s="182">
        <v>45562.57916666667</v>
      </c>
      <c r="C339" s="183" t="s">
        <v>1921</v>
      </c>
      <c r="D339" s="183" t="s">
        <v>2039</v>
      </c>
      <c r="E339" s="215" t="s">
        <v>2175</v>
      </c>
      <c r="F339" s="176" t="s">
        <v>905</v>
      </c>
      <c r="G339" s="176"/>
      <c r="H339" s="112" t="str">
        <f>IF(ISBLANK(E339),"",_xlfn.XLOOKUP(E339,cannabis_log!C:C,cannabis_log!H:H,"",0,1))</f>
        <v>preroll_packaged</v>
      </c>
      <c r="I339" s="189" t="s">
        <v>55</v>
      </c>
      <c r="J339" s="185">
        <v>-418</v>
      </c>
      <c r="K339" s="186">
        <v>0</v>
      </c>
      <c r="L339" s="288">
        <v>-627</v>
      </c>
      <c r="M339" s="188"/>
      <c r="N339" s="176" t="s">
        <v>670</v>
      </c>
      <c r="O339" s="180">
        <v>1.5</v>
      </c>
    </row>
    <row r="340" spans="1:15">
      <c r="A340" s="173" t="str">
        <f t="shared" si="5"/>
        <v>outbound</v>
      </c>
      <c r="B340" s="182">
        <v>45562.589583333334</v>
      </c>
      <c r="C340" s="183" t="s">
        <v>1929</v>
      </c>
      <c r="D340" s="192" t="s">
        <v>2176</v>
      </c>
      <c r="E340" s="215" t="s">
        <v>2150</v>
      </c>
      <c r="F340" s="176" t="s">
        <v>1134</v>
      </c>
      <c r="G340" s="176"/>
      <c r="H340" s="112" t="str">
        <f>IF(ISBLANK(E340),"",_xlfn.XLOOKUP(E340,cannabis_log!C:C,cannabis_log!H:H,"",0,1))</f>
        <v>extract_inhaled_labelled</v>
      </c>
      <c r="I340" s="189">
        <v>45560</v>
      </c>
      <c r="J340" s="185">
        <v>-13</v>
      </c>
      <c r="K340" s="186">
        <v>0</v>
      </c>
      <c r="L340" s="288">
        <v>-6.5</v>
      </c>
      <c r="M340" s="188"/>
      <c r="N340" s="176" t="s">
        <v>670</v>
      </c>
      <c r="O340" s="180">
        <v>0.5</v>
      </c>
    </row>
    <row r="341" spans="1:15">
      <c r="A341" s="181" t="str">
        <f t="shared" si="5"/>
        <v>inbound</v>
      </c>
      <c r="B341" s="182">
        <v>45562.591666666667</v>
      </c>
      <c r="C341" s="183" t="s">
        <v>1927</v>
      </c>
      <c r="D341" s="183"/>
      <c r="E341" s="215" t="s">
        <v>1945</v>
      </c>
      <c r="F341" s="112" t="s">
        <v>543</v>
      </c>
      <c r="G341" s="112"/>
      <c r="H341" s="112" t="str">
        <f>IF(ISBLANK(E341),"",_xlfn.XLOOKUP(E341,cannabis_log!C:C,cannabis_log!H:H,"",0,1))</f>
        <v>extract_inhaled_bulk</v>
      </c>
      <c r="I341" s="113" t="s">
        <v>55</v>
      </c>
      <c r="J341" s="185">
        <v>1</v>
      </c>
      <c r="K341" s="186">
        <v>2050.6999999999998</v>
      </c>
      <c r="L341" s="288">
        <v>0</v>
      </c>
      <c r="M341" s="24"/>
      <c r="N341" s="112" t="s">
        <v>664</v>
      </c>
      <c r="O341" s="187">
        <v>0</v>
      </c>
    </row>
    <row r="342" spans="1:15">
      <c r="A342" s="173" t="str">
        <f t="shared" si="5"/>
        <v>outbound</v>
      </c>
      <c r="B342" s="182">
        <v>45562.599305555559</v>
      </c>
      <c r="C342" s="183" t="s">
        <v>1921</v>
      </c>
      <c r="D342" s="183" t="s">
        <v>2039</v>
      </c>
      <c r="E342" s="215" t="s">
        <v>2172</v>
      </c>
      <c r="F342" s="176" t="s">
        <v>1312</v>
      </c>
      <c r="G342" s="176"/>
      <c r="H342" s="112" t="str">
        <f>IF(ISBLANK(E342),"",_xlfn.XLOOKUP(E342,cannabis_log!C:C,cannabis_log!H:H,"",0,1))</f>
        <v>preroll_labelled</v>
      </c>
      <c r="I342" s="189">
        <v>45575</v>
      </c>
      <c r="J342" s="185">
        <v>-108</v>
      </c>
      <c r="K342" s="186">
        <v>0</v>
      </c>
      <c r="L342" s="288">
        <v>-162</v>
      </c>
      <c r="M342" s="188"/>
      <c r="N342" s="176" t="s">
        <v>670</v>
      </c>
      <c r="O342" s="180">
        <v>1.5</v>
      </c>
    </row>
    <row r="343" spans="1:15">
      <c r="A343" s="181" t="str">
        <f t="shared" si="5"/>
        <v>outbound</v>
      </c>
      <c r="B343" s="182">
        <v>45562.607638888891</v>
      </c>
      <c r="C343" s="183" t="s">
        <v>1921</v>
      </c>
      <c r="D343" s="183" t="s">
        <v>2039</v>
      </c>
      <c r="E343" s="215" t="s">
        <v>2177</v>
      </c>
      <c r="F343" s="112" t="s">
        <v>1860</v>
      </c>
      <c r="G343" s="112"/>
      <c r="H343" s="112" t="str">
        <f>IF(ISBLANK(E343),"",_xlfn.XLOOKUP(E343,cannabis_log!C:C,cannabis_log!H:H,"",0,1))</f>
        <v>extract_inhaled_packaged</v>
      </c>
      <c r="I343" s="113" t="s">
        <v>55</v>
      </c>
      <c r="J343" s="185">
        <v>-100</v>
      </c>
      <c r="K343" s="186">
        <v>0</v>
      </c>
      <c r="L343" s="288">
        <v>-50</v>
      </c>
      <c r="M343" s="24"/>
      <c r="N343" s="112" t="s">
        <v>670</v>
      </c>
      <c r="O343" s="187">
        <v>0.5</v>
      </c>
    </row>
    <row r="344" spans="1:15">
      <c r="A344" s="181" t="str">
        <f t="shared" si="5"/>
        <v>outbound</v>
      </c>
      <c r="B344" s="182">
        <v>45562.611435185187</v>
      </c>
      <c r="C344" s="183" t="s">
        <v>1929</v>
      </c>
      <c r="D344" s="22" t="s">
        <v>2171</v>
      </c>
      <c r="E344" s="215" t="s">
        <v>2111</v>
      </c>
      <c r="F344" s="112" t="s">
        <v>2112</v>
      </c>
      <c r="G344" s="112"/>
      <c r="H344" s="112" t="str">
        <f>IF(ISBLANK(E344),"",_xlfn.XLOOKUP(E344,cannabis_log!C:C,cannabis_log!H:H,"",0,1))</f>
        <v>extract_ingested_labelled</v>
      </c>
      <c r="I344" s="113">
        <v>45550</v>
      </c>
      <c r="J344" s="185">
        <v>-17</v>
      </c>
      <c r="K344" s="186">
        <v>0</v>
      </c>
      <c r="L344" s="288">
        <v>-2567</v>
      </c>
      <c r="M344" s="24"/>
      <c r="N344" s="112" t="s">
        <v>670</v>
      </c>
      <c r="O344" s="187">
        <v>151</v>
      </c>
    </row>
    <row r="345" spans="1:15">
      <c r="A345" s="173" t="str">
        <f t="shared" si="5"/>
        <v>outbound</v>
      </c>
      <c r="B345" s="182">
        <v>45562.62222222222</v>
      </c>
      <c r="C345" s="183" t="s">
        <v>1929</v>
      </c>
      <c r="D345" s="192" t="s">
        <v>2178</v>
      </c>
      <c r="E345" s="215" t="s">
        <v>2111</v>
      </c>
      <c r="F345" s="176" t="s">
        <v>2112</v>
      </c>
      <c r="G345" s="176"/>
      <c r="H345" s="112" t="str">
        <f>IF(ISBLANK(E345),"",_xlfn.XLOOKUP(E345,cannabis_log!C:C,cannabis_log!H:H,"",0,1))</f>
        <v>extract_ingested_labelled</v>
      </c>
      <c r="I345" s="189">
        <v>45550</v>
      </c>
      <c r="J345" s="185">
        <v>-2</v>
      </c>
      <c r="K345" s="186">
        <v>0</v>
      </c>
      <c r="L345" s="288">
        <v>-302</v>
      </c>
      <c r="M345" s="188"/>
      <c r="N345" s="176" t="s">
        <v>670</v>
      </c>
      <c r="O345" s="180">
        <v>151</v>
      </c>
    </row>
    <row r="346" spans="1:15">
      <c r="A346" s="181" t="str">
        <f t="shared" si="5"/>
        <v>inbound</v>
      </c>
      <c r="B346" s="182">
        <v>45562.628472222219</v>
      </c>
      <c r="C346" s="183" t="s">
        <v>1927</v>
      </c>
      <c r="D346" s="183" t="s">
        <v>2179</v>
      </c>
      <c r="E346" s="215" t="s">
        <v>2056</v>
      </c>
      <c r="F346" s="112" t="s">
        <v>1019</v>
      </c>
      <c r="G346" s="112"/>
      <c r="H346" s="112" t="str">
        <f>IF(ISBLANK(E346),"",_xlfn.XLOOKUP(E346,cannabis_log!C:C,cannabis_log!H:H,"",0,1))</f>
        <v>extract_ingested_labelled_damaged</v>
      </c>
      <c r="I346" s="113">
        <v>45523</v>
      </c>
      <c r="J346" s="185">
        <v>1</v>
      </c>
      <c r="K346" s="186">
        <v>0</v>
      </c>
      <c r="L346" s="288">
        <v>151</v>
      </c>
      <c r="M346" s="24"/>
      <c r="N346" s="112" t="s">
        <v>670</v>
      </c>
      <c r="O346" s="187">
        <v>151</v>
      </c>
    </row>
    <row r="347" spans="1:15">
      <c r="A347" s="173" t="str">
        <f t="shared" si="5"/>
        <v>inbound</v>
      </c>
      <c r="B347" s="182">
        <v>45562.630555555559</v>
      </c>
      <c r="C347" s="183" t="s">
        <v>1927</v>
      </c>
      <c r="D347" s="183"/>
      <c r="E347" s="215" t="s">
        <v>2177</v>
      </c>
      <c r="F347" s="176" t="s">
        <v>1860</v>
      </c>
      <c r="G347" s="176"/>
      <c r="H347" s="112" t="str">
        <f>IF(ISBLANK(E347),"",_xlfn.XLOOKUP(E347,cannabis_log!C:C,cannabis_log!H:H,"",0,1))</f>
        <v>extract_inhaled_packaged</v>
      </c>
      <c r="I347" s="189" t="s">
        <v>55</v>
      </c>
      <c r="J347" s="185">
        <v>100</v>
      </c>
      <c r="K347" s="186">
        <v>0</v>
      </c>
      <c r="L347" s="288">
        <v>50</v>
      </c>
      <c r="M347" s="188"/>
      <c r="N347" s="176" t="s">
        <v>670</v>
      </c>
      <c r="O347" s="180">
        <v>0.5</v>
      </c>
    </row>
    <row r="348" spans="1:15">
      <c r="A348" s="181" t="str">
        <f t="shared" si="5"/>
        <v>outbound</v>
      </c>
      <c r="B348" s="182">
        <v>45562.660416666666</v>
      </c>
      <c r="C348" s="183" t="s">
        <v>1929</v>
      </c>
      <c r="D348" s="194" t="s">
        <v>2127</v>
      </c>
      <c r="E348" s="215" t="s">
        <v>2169</v>
      </c>
      <c r="F348" s="112" t="s">
        <v>1311</v>
      </c>
      <c r="G348" s="112"/>
      <c r="H348" s="112" t="str">
        <f>IF(ISBLANK(E348),"",_xlfn.XLOOKUP(E348,cannabis_log!C:C,cannabis_log!H:H,"",0,1))</f>
        <v>preroll_labelled</v>
      </c>
      <c r="I348" s="113">
        <v>45532</v>
      </c>
      <c r="J348" s="185">
        <v>-120</v>
      </c>
      <c r="K348" s="186">
        <v>0</v>
      </c>
      <c r="L348" s="288">
        <v>-120</v>
      </c>
      <c r="M348" s="24"/>
      <c r="N348" s="112" t="s">
        <v>670</v>
      </c>
      <c r="O348" s="187">
        <v>1</v>
      </c>
    </row>
    <row r="349" spans="1:15">
      <c r="A349" s="173" t="str">
        <f t="shared" si="5"/>
        <v>inbound</v>
      </c>
      <c r="B349" s="182">
        <v>45566</v>
      </c>
      <c r="C349" s="183" t="s">
        <v>1927</v>
      </c>
      <c r="D349" s="183"/>
      <c r="E349" s="215" t="s">
        <v>2107</v>
      </c>
      <c r="F349" s="176" t="s">
        <v>905</v>
      </c>
      <c r="G349" s="176"/>
      <c r="H349" s="112" t="str">
        <f>IF(ISBLANK(E349),"",_xlfn.XLOOKUP(E349,cannabis_log!C:C,cannabis_log!H:H,"",0,1))</f>
        <v>preroll_labelled</v>
      </c>
      <c r="I349" s="189">
        <v>45570</v>
      </c>
      <c r="J349" s="185">
        <v>360</v>
      </c>
      <c r="K349" s="186">
        <v>0</v>
      </c>
      <c r="L349" s="288">
        <v>540</v>
      </c>
      <c r="M349" s="188"/>
      <c r="N349" s="176" t="s">
        <v>670</v>
      </c>
      <c r="O349" s="180">
        <v>1.5</v>
      </c>
    </row>
    <row r="350" spans="1:15">
      <c r="A350" s="181" t="str">
        <f t="shared" si="5"/>
        <v>inbound</v>
      </c>
      <c r="B350" s="182">
        <v>45566</v>
      </c>
      <c r="C350" s="183" t="s">
        <v>1927</v>
      </c>
      <c r="D350" s="183"/>
      <c r="E350" s="215" t="s">
        <v>2175</v>
      </c>
      <c r="F350" s="112" t="s">
        <v>905</v>
      </c>
      <c r="G350" s="112"/>
      <c r="H350" s="112" t="str">
        <f>IF(ISBLANK(E350),"",_xlfn.XLOOKUP(E350,cannabis_log!C:C,cannabis_log!H:H,"",0,1))</f>
        <v>preroll_packaged</v>
      </c>
      <c r="I350" s="113" t="s">
        <v>55</v>
      </c>
      <c r="J350" s="185">
        <v>58</v>
      </c>
      <c r="K350" s="186">
        <v>0</v>
      </c>
      <c r="L350" s="288">
        <v>87</v>
      </c>
      <c r="M350" s="24"/>
      <c r="N350" s="112" t="s">
        <v>670</v>
      </c>
      <c r="O350" s="187">
        <v>1.5</v>
      </c>
    </row>
    <row r="351" spans="1:15">
      <c r="A351" s="173" t="str">
        <f t="shared" si="5"/>
        <v>outbound</v>
      </c>
      <c r="B351" s="182">
        <v>45566.568749999999</v>
      </c>
      <c r="C351" s="183" t="s">
        <v>1929</v>
      </c>
      <c r="D351" s="192" t="s">
        <v>2180</v>
      </c>
      <c r="E351" s="215" t="s">
        <v>2107</v>
      </c>
      <c r="F351" s="176" t="s">
        <v>905</v>
      </c>
      <c r="G351" s="176"/>
      <c r="H351" s="112" t="str">
        <f>IF(ISBLANK(E351),"",_xlfn.XLOOKUP(E351,cannabis_log!C:C,cannabis_log!H:H,"",0,1))</f>
        <v>preroll_labelled</v>
      </c>
      <c r="I351" s="189">
        <v>45570</v>
      </c>
      <c r="J351" s="185">
        <v>-240</v>
      </c>
      <c r="K351" s="186">
        <v>0</v>
      </c>
      <c r="L351" s="288">
        <v>-360</v>
      </c>
      <c r="M351" s="188"/>
      <c r="N351" s="176" t="s">
        <v>670</v>
      </c>
      <c r="O351" s="180">
        <v>1.5</v>
      </c>
    </row>
    <row r="352" spans="1:15">
      <c r="A352" s="181" t="str">
        <f t="shared" si="5"/>
        <v>outbound</v>
      </c>
      <c r="B352" s="182">
        <v>45566.579861111109</v>
      </c>
      <c r="C352" s="183" t="s">
        <v>1929</v>
      </c>
      <c r="D352" s="22" t="s">
        <v>2128</v>
      </c>
      <c r="E352" s="215" t="s">
        <v>2095</v>
      </c>
      <c r="F352" s="112" t="s">
        <v>2096</v>
      </c>
      <c r="G352" s="112"/>
      <c r="H352" s="112" t="str">
        <f>IF(ISBLANK(E352),"",_xlfn.XLOOKUP(E352,cannabis_log!C:C,cannabis_log!H:H,"",0,1))</f>
        <v>extract_inhaled_labelled</v>
      </c>
      <c r="I352" s="113">
        <v>45555</v>
      </c>
      <c r="J352" s="185">
        <v>-9</v>
      </c>
      <c r="K352" s="186">
        <v>0</v>
      </c>
      <c r="L352" s="288">
        <v>-4.5</v>
      </c>
      <c r="M352" s="24"/>
      <c r="N352" s="112" t="s">
        <v>670</v>
      </c>
      <c r="O352" s="187">
        <v>0.5</v>
      </c>
    </row>
    <row r="353" spans="1:15">
      <c r="A353" s="173" t="str">
        <f t="shared" si="5"/>
        <v>outbound</v>
      </c>
      <c r="B353" s="182">
        <v>45566.579861111109</v>
      </c>
      <c r="C353" s="183" t="s">
        <v>1929</v>
      </c>
      <c r="D353" s="192" t="s">
        <v>2181</v>
      </c>
      <c r="E353" s="215" t="s">
        <v>2072</v>
      </c>
      <c r="F353" s="176" t="s">
        <v>797</v>
      </c>
      <c r="G353" s="176"/>
      <c r="H353" s="112" t="str">
        <f>IF(ISBLANK(E353),"",_xlfn.XLOOKUP(E353,cannabis_log!C:C,cannabis_log!H:H,"",0,1))</f>
        <v>topical_labelled</v>
      </c>
      <c r="I353" s="189">
        <v>45531</v>
      </c>
      <c r="J353" s="185">
        <v>-12</v>
      </c>
      <c r="K353" s="186">
        <v>0</v>
      </c>
      <c r="L353" s="288">
        <v>-1056</v>
      </c>
      <c r="M353" s="188"/>
      <c r="N353" s="176" t="s">
        <v>670</v>
      </c>
      <c r="O353" s="180">
        <v>88</v>
      </c>
    </row>
    <row r="354" spans="1:15">
      <c r="A354" s="173" t="str">
        <f t="shared" si="5"/>
        <v>inbound</v>
      </c>
      <c r="B354" s="182">
        <v>45568</v>
      </c>
      <c r="C354" s="183" t="s">
        <v>1927</v>
      </c>
      <c r="D354" s="183"/>
      <c r="E354" s="215" t="s">
        <v>2169</v>
      </c>
      <c r="F354" s="176" t="s">
        <v>1311</v>
      </c>
      <c r="G354" s="176"/>
      <c r="H354" s="112" t="str">
        <f>IF(ISBLANK(E354),"",_xlfn.XLOOKUP(E354,cannabis_log!C:C,cannabis_log!H:H,"",0,1))</f>
        <v>preroll_labelled</v>
      </c>
      <c r="I354" s="189">
        <v>45532</v>
      </c>
      <c r="J354" s="185">
        <v>239</v>
      </c>
      <c r="K354" s="186">
        <v>0</v>
      </c>
      <c r="L354" s="288">
        <v>239</v>
      </c>
      <c r="M354" s="188"/>
      <c r="N354" s="176" t="s">
        <v>670</v>
      </c>
      <c r="O354" s="180">
        <v>1</v>
      </c>
    </row>
    <row r="355" spans="1:15">
      <c r="A355" s="181" t="str">
        <f t="shared" si="5"/>
        <v>outbound</v>
      </c>
      <c r="B355" s="182">
        <v>45568.427777777775</v>
      </c>
      <c r="C355" s="183" t="s">
        <v>1929</v>
      </c>
      <c r="D355" s="183"/>
      <c r="E355" s="215" t="s">
        <v>2111</v>
      </c>
      <c r="F355" s="112" t="s">
        <v>2112</v>
      </c>
      <c r="G355" s="112"/>
      <c r="H355" s="112" t="str">
        <f>IF(ISBLANK(E355),"",_xlfn.XLOOKUP(E355,cannabis_log!C:C,cannabis_log!H:H,"",0,1))</f>
        <v>extract_ingested_labelled</v>
      </c>
      <c r="I355" s="113">
        <v>45550</v>
      </c>
      <c r="J355" s="185">
        <v>-56</v>
      </c>
      <c r="K355" s="186">
        <v>0</v>
      </c>
      <c r="L355" s="288">
        <v>-8456</v>
      </c>
      <c r="M355" s="24"/>
      <c r="N355" s="112" t="s">
        <v>670</v>
      </c>
      <c r="O355" s="187">
        <v>151</v>
      </c>
    </row>
    <row r="356" spans="1:15">
      <c r="A356" s="173" t="str">
        <f t="shared" si="5"/>
        <v>outbound</v>
      </c>
      <c r="B356" s="182">
        <v>45568.427777777775</v>
      </c>
      <c r="C356" s="183" t="s">
        <v>1929</v>
      </c>
      <c r="D356" s="183"/>
      <c r="E356" s="215" t="s">
        <v>2113</v>
      </c>
      <c r="F356" s="176" t="s">
        <v>2112</v>
      </c>
      <c r="G356" s="176"/>
      <c r="H356" s="112" t="str">
        <f>IF(ISBLANK(E356),"",_xlfn.XLOOKUP(E356,cannabis_log!C:C,cannabis_log!H:H,"",0,1))</f>
        <v>extract_ingested_labelled</v>
      </c>
      <c r="I356" s="189">
        <v>45550</v>
      </c>
      <c r="J356" s="185">
        <v>-231</v>
      </c>
      <c r="K356" s="186">
        <v>0</v>
      </c>
      <c r="L356" s="288">
        <v>-34881</v>
      </c>
      <c r="M356" s="188"/>
      <c r="N356" s="176" t="s">
        <v>670</v>
      </c>
      <c r="O356" s="180">
        <v>151</v>
      </c>
    </row>
    <row r="357" spans="1:15">
      <c r="A357" s="181" t="str">
        <f t="shared" si="5"/>
        <v>outbound</v>
      </c>
      <c r="B357" s="182">
        <v>45568.427777777775</v>
      </c>
      <c r="C357" s="183" t="s">
        <v>1929</v>
      </c>
      <c r="D357" s="183"/>
      <c r="E357" s="215" t="s">
        <v>2114</v>
      </c>
      <c r="F357" s="112" t="s">
        <v>2112</v>
      </c>
      <c r="G357" s="112"/>
      <c r="H357" s="112" t="str">
        <f>IF(ISBLANK(E357),"",_xlfn.XLOOKUP(E357,cannabis_log!C:C,cannabis_log!H:H,"",0,1))</f>
        <v>extract_ingested_labelled</v>
      </c>
      <c r="I357" s="113">
        <v>45550</v>
      </c>
      <c r="J357" s="185">
        <v>-228</v>
      </c>
      <c r="K357" s="186">
        <v>0</v>
      </c>
      <c r="L357" s="288">
        <v>-34428</v>
      </c>
      <c r="M357" s="24"/>
      <c r="N357" s="112" t="s">
        <v>670</v>
      </c>
      <c r="O357" s="187">
        <v>151</v>
      </c>
    </row>
    <row r="358" spans="1:15">
      <c r="A358" s="181" t="str">
        <f t="shared" si="5"/>
        <v>outbound</v>
      </c>
      <c r="B358" s="182">
        <v>45568.603472222225</v>
      </c>
      <c r="C358" s="183" t="s">
        <v>1921</v>
      </c>
      <c r="D358" s="183" t="s">
        <v>1129</v>
      </c>
      <c r="E358" s="215" t="s">
        <v>2182</v>
      </c>
      <c r="F358" s="112" t="s">
        <v>907</v>
      </c>
      <c r="G358" s="112"/>
      <c r="H358" s="112" t="str">
        <f>IF(ISBLANK(E358),"",_xlfn.XLOOKUP(E358,cannabis_log!C:C,cannabis_log!H:H,"",0,1))</f>
        <v>driedflower_milled_bulk</v>
      </c>
      <c r="I358" s="113" t="s">
        <v>55</v>
      </c>
      <c r="J358" s="185">
        <v>-1</v>
      </c>
      <c r="K358" s="186">
        <v>-998.5</v>
      </c>
      <c r="L358" s="288">
        <v>0</v>
      </c>
      <c r="M358" s="24"/>
      <c r="N358" s="112" t="s">
        <v>664</v>
      </c>
      <c r="O358" s="187">
        <v>0</v>
      </c>
    </row>
    <row r="359" spans="1:15">
      <c r="A359" s="173" t="str">
        <f t="shared" si="5"/>
        <v>outbound</v>
      </c>
      <c r="B359" s="182">
        <v>45568.603472222225</v>
      </c>
      <c r="C359" s="183" t="s">
        <v>1921</v>
      </c>
      <c r="D359" s="183" t="s">
        <v>1129</v>
      </c>
      <c r="E359" s="215" t="s">
        <v>2183</v>
      </c>
      <c r="F359" s="176" t="s">
        <v>907</v>
      </c>
      <c r="G359" s="176"/>
      <c r="H359" s="112" t="str">
        <f>IF(ISBLANK(E359),"",_xlfn.XLOOKUP(E359,cannabis_log!C:C,cannabis_log!H:H,"",0,1))</f>
        <v>driedflower_milled_bulk</v>
      </c>
      <c r="I359" s="189" t="s">
        <v>55</v>
      </c>
      <c r="J359" s="185">
        <v>-1</v>
      </c>
      <c r="K359" s="186">
        <v>-998.90000000000009</v>
      </c>
      <c r="L359" s="288">
        <v>0</v>
      </c>
      <c r="M359" s="188"/>
      <c r="N359" s="176" t="s">
        <v>664</v>
      </c>
      <c r="O359" s="180">
        <v>0</v>
      </c>
    </row>
    <row r="360" spans="1:15">
      <c r="A360" s="181" t="str">
        <f t="shared" si="5"/>
        <v>outbound</v>
      </c>
      <c r="B360" s="182">
        <v>45568.603472222225</v>
      </c>
      <c r="C360" s="183" t="s">
        <v>1921</v>
      </c>
      <c r="D360" s="183" t="s">
        <v>1129</v>
      </c>
      <c r="E360" s="215" t="s">
        <v>2184</v>
      </c>
      <c r="F360" s="112">
        <v>2024080701</v>
      </c>
      <c r="G360" s="112"/>
      <c r="H360" s="112" t="str">
        <f>IF(ISBLANK(E360),"",_xlfn.XLOOKUP(E360,cannabis_log!C:C,cannabis_log!H:H,"",0,1))</f>
        <v>driedflower_bulk</v>
      </c>
      <c r="I360" s="113" t="s">
        <v>55</v>
      </c>
      <c r="J360" s="185">
        <v>-1</v>
      </c>
      <c r="K360" s="186">
        <v>-1000.3000000000001</v>
      </c>
      <c r="L360" s="288">
        <v>0</v>
      </c>
      <c r="M360" s="24"/>
      <c r="N360" s="112" t="s">
        <v>664</v>
      </c>
      <c r="O360" s="187">
        <v>0</v>
      </c>
    </row>
    <row r="361" spans="1:15">
      <c r="A361" s="173" t="str">
        <f t="shared" si="5"/>
        <v>outbound</v>
      </c>
      <c r="B361" s="182">
        <v>45568.603472222225</v>
      </c>
      <c r="C361" s="183" t="s">
        <v>1921</v>
      </c>
      <c r="D361" s="183" t="s">
        <v>1129</v>
      </c>
      <c r="E361" s="215" t="s">
        <v>2185</v>
      </c>
      <c r="F361" s="176">
        <v>2024080701</v>
      </c>
      <c r="G361" s="176"/>
      <c r="H361" s="112" t="str">
        <f>IF(ISBLANK(E361),"",_xlfn.XLOOKUP(E361,cannabis_log!C:C,cannabis_log!H:H,"",0,1))</f>
        <v>driedflower_bulk</v>
      </c>
      <c r="I361" s="189" t="s">
        <v>55</v>
      </c>
      <c r="J361" s="185">
        <v>-1</v>
      </c>
      <c r="K361" s="186">
        <v>-994.19999999999993</v>
      </c>
      <c r="L361" s="288">
        <v>0</v>
      </c>
      <c r="M361" s="188"/>
      <c r="N361" s="176" t="s">
        <v>664</v>
      </c>
      <c r="O361" s="180">
        <v>0</v>
      </c>
    </row>
    <row r="362" spans="1:15">
      <c r="A362" s="181" t="str">
        <f t="shared" si="5"/>
        <v>outbound</v>
      </c>
      <c r="B362" s="182">
        <v>45568.603472222225</v>
      </c>
      <c r="C362" s="183" t="s">
        <v>1921</v>
      </c>
      <c r="D362" s="183" t="s">
        <v>1129</v>
      </c>
      <c r="E362" s="215" t="s">
        <v>2186</v>
      </c>
      <c r="F362" s="112">
        <v>2024080701</v>
      </c>
      <c r="G362" s="112"/>
      <c r="H362" s="112" t="str">
        <f>IF(ISBLANK(E362),"",_xlfn.XLOOKUP(E362,cannabis_log!C:C,cannabis_log!H:H,"",0,1))</f>
        <v>driedflower_bulk</v>
      </c>
      <c r="I362" s="113" t="s">
        <v>55</v>
      </c>
      <c r="J362" s="185">
        <v>-1</v>
      </c>
      <c r="K362" s="186">
        <v>-998.40000000000009</v>
      </c>
      <c r="L362" s="288">
        <v>0</v>
      </c>
      <c r="M362" s="24"/>
      <c r="N362" s="112" t="s">
        <v>664</v>
      </c>
      <c r="O362" s="187">
        <v>0</v>
      </c>
    </row>
    <row r="363" spans="1:15">
      <c r="A363" s="173" t="str">
        <f t="shared" si="5"/>
        <v>outbound</v>
      </c>
      <c r="B363" s="182">
        <v>45568.603472222225</v>
      </c>
      <c r="C363" s="183" t="s">
        <v>1921</v>
      </c>
      <c r="D363" s="183" t="s">
        <v>1129</v>
      </c>
      <c r="E363" s="215" t="s">
        <v>2187</v>
      </c>
      <c r="F363" s="176">
        <v>2024080701</v>
      </c>
      <c r="G363" s="176"/>
      <c r="H363" s="112" t="str">
        <f>IF(ISBLANK(E363),"",_xlfn.XLOOKUP(E363,cannabis_log!C:C,cannabis_log!H:H,"",0,1))</f>
        <v>driedflower_bulk</v>
      </c>
      <c r="I363" s="189" t="s">
        <v>55</v>
      </c>
      <c r="J363" s="185">
        <v>-1</v>
      </c>
      <c r="K363" s="186">
        <v>-998.9</v>
      </c>
      <c r="L363" s="288">
        <v>0</v>
      </c>
      <c r="M363" s="188"/>
      <c r="N363" s="176" t="s">
        <v>664</v>
      </c>
      <c r="O363" s="180">
        <v>0</v>
      </c>
    </row>
    <row r="364" spans="1:15">
      <c r="A364" s="181" t="str">
        <f t="shared" si="5"/>
        <v>outbound</v>
      </c>
      <c r="B364" s="182">
        <v>45568.603472222225</v>
      </c>
      <c r="C364" s="183" t="s">
        <v>1921</v>
      </c>
      <c r="D364" s="183" t="s">
        <v>1129</v>
      </c>
      <c r="E364" s="215" t="s">
        <v>2188</v>
      </c>
      <c r="F364" s="112">
        <v>2024080701</v>
      </c>
      <c r="G364" s="112"/>
      <c r="H364" s="112" t="str">
        <f>IF(ISBLANK(E364),"",_xlfn.XLOOKUP(E364,cannabis_log!C:C,cannabis_log!H:H,"",0,1))</f>
        <v>driedflower_bulk</v>
      </c>
      <c r="I364" s="113" t="s">
        <v>55</v>
      </c>
      <c r="J364" s="185">
        <v>-1</v>
      </c>
      <c r="K364" s="186">
        <v>-992.00000000000011</v>
      </c>
      <c r="L364" s="288">
        <v>0</v>
      </c>
      <c r="M364" s="24"/>
      <c r="N364" s="112" t="s">
        <v>664</v>
      </c>
      <c r="O364" s="187">
        <v>0</v>
      </c>
    </row>
    <row r="365" spans="1:15">
      <c r="A365" s="173" t="str">
        <f t="shared" si="5"/>
        <v>inbound</v>
      </c>
      <c r="B365" s="182">
        <v>45568.60833333333</v>
      </c>
      <c r="C365" s="183" t="s">
        <v>1927</v>
      </c>
      <c r="D365" s="183"/>
      <c r="E365" s="215" t="s">
        <v>2111</v>
      </c>
      <c r="F365" s="176" t="s">
        <v>2112</v>
      </c>
      <c r="G365" s="176"/>
      <c r="H365" s="112" t="str">
        <f>IF(ISBLANK(E365),"",_xlfn.XLOOKUP(E365,cannabis_log!C:C,cannabis_log!H:H,"",0,1))</f>
        <v>extract_ingested_labelled</v>
      </c>
      <c r="I365" s="189">
        <v>45550</v>
      </c>
      <c r="J365" s="185">
        <v>11</v>
      </c>
      <c r="K365" s="186">
        <v>0</v>
      </c>
      <c r="L365" s="288">
        <v>1661</v>
      </c>
      <c r="M365" s="188"/>
      <c r="N365" s="176" t="s">
        <v>670</v>
      </c>
      <c r="O365" s="180">
        <v>151</v>
      </c>
    </row>
    <row r="366" spans="1:15">
      <c r="A366" s="181" t="str">
        <f t="shared" si="5"/>
        <v>outbound</v>
      </c>
      <c r="B366" s="182">
        <v>45568.630555555559</v>
      </c>
      <c r="C366" s="183" t="s">
        <v>1924</v>
      </c>
      <c r="D366" s="183" t="s">
        <v>2189</v>
      </c>
      <c r="E366" s="215" t="s">
        <v>2003</v>
      </c>
      <c r="F366" s="112" t="s">
        <v>1986</v>
      </c>
      <c r="G366" s="112"/>
      <c r="H366" s="112" t="str">
        <f>IF(ISBLANK(E366),"",_xlfn.XLOOKUP(E366,cannabis_log!C:C,cannabis_log!H:H,"",0,1))</f>
        <v>preroll_bulk</v>
      </c>
      <c r="I366" s="113" t="s">
        <v>55</v>
      </c>
      <c r="J366" s="185">
        <v>-484</v>
      </c>
      <c r="K366" s="186">
        <v>0</v>
      </c>
      <c r="L366" s="288">
        <v>-242</v>
      </c>
      <c r="M366" s="24"/>
      <c r="N366" s="112" t="s">
        <v>670</v>
      </c>
      <c r="O366" s="187">
        <v>0.5</v>
      </c>
    </row>
    <row r="367" spans="1:15">
      <c r="A367" s="173" t="str">
        <f t="shared" si="5"/>
        <v>outbound</v>
      </c>
      <c r="B367" s="182">
        <v>45568.630555555559</v>
      </c>
      <c r="C367" s="183" t="s">
        <v>1924</v>
      </c>
      <c r="D367" s="183" t="s">
        <v>2189</v>
      </c>
      <c r="E367" s="215" t="s">
        <v>1988</v>
      </c>
      <c r="F367" s="176" t="s">
        <v>1221</v>
      </c>
      <c r="G367" s="176"/>
      <c r="H367" s="112" t="str">
        <f>IF(ISBLANK(E367),"",_xlfn.XLOOKUP(E367,cannabis_log!C:C,cannabis_log!H:H,"",0,1))</f>
        <v>preroll_bulk</v>
      </c>
      <c r="I367" s="189">
        <v>45443</v>
      </c>
      <c r="J367" s="185">
        <v>-338</v>
      </c>
      <c r="K367" s="186">
        <v>0</v>
      </c>
      <c r="L367" s="288">
        <v>-169</v>
      </c>
      <c r="M367" s="188"/>
      <c r="N367" s="176" t="s">
        <v>670</v>
      </c>
      <c r="O367" s="180">
        <v>0.5</v>
      </c>
    </row>
    <row r="368" spans="1:15">
      <c r="A368" s="181" t="str">
        <f t="shared" si="5"/>
        <v>outbound</v>
      </c>
      <c r="B368" s="182">
        <v>45568.630555555559</v>
      </c>
      <c r="C368" s="183" t="s">
        <v>1924</v>
      </c>
      <c r="D368" s="183" t="s">
        <v>2189</v>
      </c>
      <c r="E368" s="215" t="s">
        <v>2177</v>
      </c>
      <c r="F368" s="112" t="s">
        <v>1860</v>
      </c>
      <c r="G368" s="112"/>
      <c r="H368" s="112" t="str">
        <f>IF(ISBLANK(E368),"",_xlfn.XLOOKUP(E368,cannabis_log!C:C,cannabis_log!H:H,"",0,1))</f>
        <v>extract_inhaled_packaged</v>
      </c>
      <c r="I368" s="113" t="s">
        <v>55</v>
      </c>
      <c r="J368" s="185">
        <v>-1</v>
      </c>
      <c r="K368" s="186">
        <v>0</v>
      </c>
      <c r="L368" s="288">
        <v>-0.5</v>
      </c>
      <c r="M368" s="24"/>
      <c r="N368" s="112" t="s">
        <v>670</v>
      </c>
      <c r="O368" s="187">
        <v>0.5</v>
      </c>
    </row>
    <row r="369" spans="1:15">
      <c r="A369" s="173" t="str">
        <f t="shared" si="5"/>
        <v>outbound</v>
      </c>
      <c r="B369" s="182">
        <v>45568.630555555559</v>
      </c>
      <c r="C369" s="183" t="s">
        <v>1924</v>
      </c>
      <c r="D369" s="183" t="s">
        <v>2189</v>
      </c>
      <c r="E369" s="215" t="s">
        <v>2150</v>
      </c>
      <c r="F369" s="176" t="s">
        <v>1134</v>
      </c>
      <c r="G369" s="176"/>
      <c r="H369" s="112" t="str">
        <f>IF(ISBLANK(E369),"",_xlfn.XLOOKUP(E369,cannabis_log!C:C,cannabis_log!H:H,"",0,1))</f>
        <v>extract_inhaled_labelled</v>
      </c>
      <c r="I369" s="189">
        <v>45560</v>
      </c>
      <c r="J369" s="185">
        <v>-6</v>
      </c>
      <c r="K369" s="186">
        <v>0</v>
      </c>
      <c r="L369" s="288">
        <v>-3</v>
      </c>
      <c r="M369" s="188"/>
      <c r="N369" s="176" t="s">
        <v>670</v>
      </c>
      <c r="O369" s="180">
        <v>0.5</v>
      </c>
    </row>
    <row r="370" spans="1:15">
      <c r="A370" s="181" t="str">
        <f t="shared" si="5"/>
        <v>outbound</v>
      </c>
      <c r="B370" s="182">
        <v>45568.630555555559</v>
      </c>
      <c r="C370" s="183" t="s">
        <v>1924</v>
      </c>
      <c r="D370" s="183" t="s">
        <v>2189</v>
      </c>
      <c r="E370" s="215" t="s">
        <v>2153</v>
      </c>
      <c r="F370" s="112" t="s">
        <v>2094</v>
      </c>
      <c r="G370" s="112"/>
      <c r="H370" s="112" t="str">
        <f>IF(ISBLANK(E370),"",_xlfn.XLOOKUP(E370,cannabis_log!C:C,cannabis_log!H:H,"",0,1))</f>
        <v>extract_inhaled_labelled</v>
      </c>
      <c r="I370" s="113">
        <v>45555</v>
      </c>
      <c r="J370" s="185">
        <v>-2</v>
      </c>
      <c r="K370" s="186">
        <v>0</v>
      </c>
      <c r="L370" s="288">
        <v>-1</v>
      </c>
      <c r="M370" s="24"/>
      <c r="N370" s="112" t="s">
        <v>670</v>
      </c>
      <c r="O370" s="187">
        <v>0.5</v>
      </c>
    </row>
    <row r="371" spans="1:15">
      <c r="A371" s="173" t="str">
        <f t="shared" si="5"/>
        <v>outbound</v>
      </c>
      <c r="B371" s="182">
        <v>45568.630555555559</v>
      </c>
      <c r="C371" s="183" t="s">
        <v>1924</v>
      </c>
      <c r="D371" s="183" t="s">
        <v>2189</v>
      </c>
      <c r="E371" s="215" t="s">
        <v>2072</v>
      </c>
      <c r="F371" s="176" t="s">
        <v>797</v>
      </c>
      <c r="G371" s="176"/>
      <c r="H371" s="112" t="str">
        <f>IF(ISBLANK(E371),"",_xlfn.XLOOKUP(E371,cannabis_log!C:C,cannabis_log!H:H,"",0,1))</f>
        <v>topical_labelled</v>
      </c>
      <c r="I371" s="189">
        <v>45531</v>
      </c>
      <c r="J371" s="185">
        <v>-2</v>
      </c>
      <c r="K371" s="186">
        <v>0</v>
      </c>
      <c r="L371" s="288">
        <v>-176</v>
      </c>
      <c r="M371" s="188"/>
      <c r="N371" s="176" t="s">
        <v>670</v>
      </c>
      <c r="O371" s="180">
        <v>88</v>
      </c>
    </row>
    <row r="372" spans="1:15">
      <c r="A372" s="181" t="str">
        <f t="shared" si="5"/>
        <v>outbound</v>
      </c>
      <c r="B372" s="182">
        <v>45568.630555555559</v>
      </c>
      <c r="C372" s="183" t="s">
        <v>1924</v>
      </c>
      <c r="D372" s="183" t="s">
        <v>2189</v>
      </c>
      <c r="E372" s="215" t="s">
        <v>2170</v>
      </c>
      <c r="F372" s="112" t="s">
        <v>2096</v>
      </c>
      <c r="G372" s="112"/>
      <c r="H372" s="112" t="str">
        <f>IF(ISBLANK(E372),"",_xlfn.XLOOKUP(E372,cannabis_log!C:C,cannabis_log!H:H,"",0,1))</f>
        <v>extract_inhaled_packaged</v>
      </c>
      <c r="I372" s="113" t="s">
        <v>55</v>
      </c>
      <c r="J372" s="185">
        <v>-2</v>
      </c>
      <c r="K372" s="186">
        <v>0</v>
      </c>
      <c r="L372" s="288">
        <v>-1</v>
      </c>
      <c r="M372" s="24"/>
      <c r="N372" s="112" t="s">
        <v>670</v>
      </c>
      <c r="O372" s="187">
        <v>0.5</v>
      </c>
    </row>
    <row r="373" spans="1:15">
      <c r="A373" s="173" t="str">
        <f t="shared" si="5"/>
        <v>outbound</v>
      </c>
      <c r="B373" s="182">
        <v>45568.630555555559</v>
      </c>
      <c r="C373" s="183" t="s">
        <v>1924</v>
      </c>
      <c r="D373" s="183" t="s">
        <v>2189</v>
      </c>
      <c r="E373" s="215" t="s">
        <v>2110</v>
      </c>
      <c r="F373" s="176" t="s">
        <v>971</v>
      </c>
      <c r="G373" s="176"/>
      <c r="H373" s="112" t="str">
        <f>IF(ISBLANK(E373),"",_xlfn.XLOOKUP(E373,cannabis_log!C:C,cannabis_log!H:H,"",0,1))</f>
        <v>extract_ingested_labelled</v>
      </c>
      <c r="I373" s="189">
        <v>45467</v>
      </c>
      <c r="J373" s="185">
        <v>-1</v>
      </c>
      <c r="K373" s="186">
        <v>0</v>
      </c>
      <c r="L373" s="288">
        <v>-27.3</v>
      </c>
      <c r="M373" s="188"/>
      <c r="N373" s="176" t="s">
        <v>670</v>
      </c>
      <c r="O373" s="180">
        <v>27.3</v>
      </c>
    </row>
    <row r="374" spans="1:15">
      <c r="A374" s="181" t="str">
        <f t="shared" si="5"/>
        <v>outbound</v>
      </c>
      <c r="B374" s="182">
        <v>45568.630555555559</v>
      </c>
      <c r="C374" s="183" t="s">
        <v>1924</v>
      </c>
      <c r="D374" s="183" t="s">
        <v>2189</v>
      </c>
      <c r="E374" s="215" t="s">
        <v>1982</v>
      </c>
      <c r="F374" s="112" t="s">
        <v>934</v>
      </c>
      <c r="G374" s="112"/>
      <c r="H374" s="112" t="str">
        <f>IF(ISBLANK(E374),"",_xlfn.XLOOKUP(E374,cannabis_log!C:C,cannabis_log!H:H,"",0,1))</f>
        <v>extract_ingested_labelled</v>
      </c>
      <c r="I374" s="113">
        <v>45094</v>
      </c>
      <c r="J374" s="185">
        <v>-1</v>
      </c>
      <c r="K374" s="186">
        <v>0</v>
      </c>
      <c r="L374" s="288">
        <v>-27.4</v>
      </c>
      <c r="M374" s="24"/>
      <c r="N374" s="112" t="s">
        <v>670</v>
      </c>
      <c r="O374" s="187">
        <v>27.4</v>
      </c>
    </row>
    <row r="375" spans="1:15">
      <c r="A375" s="173" t="str">
        <f t="shared" si="5"/>
        <v>outbound</v>
      </c>
      <c r="B375" s="182">
        <v>45568.681250000001</v>
      </c>
      <c r="C375" s="183" t="s">
        <v>1924</v>
      </c>
      <c r="D375" s="183" t="s">
        <v>2189</v>
      </c>
      <c r="E375" s="215" t="s">
        <v>2190</v>
      </c>
      <c r="F375" s="176" t="s">
        <v>2100</v>
      </c>
      <c r="G375" s="176"/>
      <c r="H375" s="112" t="str">
        <f>IF(ISBLANK(E375),"",_xlfn.XLOOKUP(E375,cannabis_log!C:C,cannabis_log!H:H,"",0,1))</f>
        <v>extract_inhaled_labelled</v>
      </c>
      <c r="I375" s="189">
        <v>45555</v>
      </c>
      <c r="J375" s="185">
        <v>-1</v>
      </c>
      <c r="K375" s="186">
        <v>0</v>
      </c>
      <c r="L375" s="288">
        <v>-0.5</v>
      </c>
      <c r="M375" s="188"/>
      <c r="N375" s="176" t="s">
        <v>670</v>
      </c>
      <c r="O375" s="180">
        <v>0.5</v>
      </c>
    </row>
    <row r="376" spans="1:15">
      <c r="A376" s="181" t="str">
        <f t="shared" si="5"/>
        <v>outbound</v>
      </c>
      <c r="B376" s="182">
        <v>45569.633333333331</v>
      </c>
      <c r="C376" s="183" t="s">
        <v>1921</v>
      </c>
      <c r="D376" s="183" t="s">
        <v>2039</v>
      </c>
      <c r="E376" s="215" t="s">
        <v>2170</v>
      </c>
      <c r="F376" s="112" t="s">
        <v>2096</v>
      </c>
      <c r="G376" s="112"/>
      <c r="H376" s="112" t="str">
        <f>IF(ISBLANK(E376),"",_xlfn.XLOOKUP(E376,cannabis_log!C:C,cannabis_log!H:H,"",0,1))</f>
        <v>extract_inhaled_packaged</v>
      </c>
      <c r="I376" s="113" t="s">
        <v>55</v>
      </c>
      <c r="J376" s="185">
        <v>-4</v>
      </c>
      <c r="K376" s="186">
        <v>0</v>
      </c>
      <c r="L376" s="288">
        <v>-2</v>
      </c>
      <c r="M376" s="24"/>
      <c r="N376" s="112" t="s">
        <v>670</v>
      </c>
      <c r="O376" s="187">
        <v>0.5</v>
      </c>
    </row>
    <row r="377" spans="1:15">
      <c r="A377" s="173" t="str">
        <f t="shared" si="5"/>
        <v>outbound</v>
      </c>
      <c r="B377" s="182">
        <v>45569.633333333331</v>
      </c>
      <c r="C377" s="183" t="s">
        <v>1921</v>
      </c>
      <c r="D377" s="183" t="s">
        <v>2039</v>
      </c>
      <c r="E377" s="215" t="s">
        <v>2191</v>
      </c>
      <c r="F377" s="176" t="s">
        <v>2096</v>
      </c>
      <c r="G377" s="176"/>
      <c r="H377" s="112" t="str">
        <f>IF(ISBLANK(E377),"",_xlfn.XLOOKUP(E377,cannabis_log!C:C,cannabis_log!H:H,"",0,1))</f>
        <v>extract_inhaled_packaged</v>
      </c>
      <c r="I377" s="189" t="s">
        <v>55</v>
      </c>
      <c r="J377" s="185">
        <v>-100</v>
      </c>
      <c r="K377" s="186">
        <v>0</v>
      </c>
      <c r="L377" s="288">
        <v>-50</v>
      </c>
      <c r="M377" s="188"/>
      <c r="N377" s="176" t="s">
        <v>670</v>
      </c>
      <c r="O377" s="180">
        <v>0.5</v>
      </c>
    </row>
    <row r="378" spans="1:15">
      <c r="A378" s="181" t="str">
        <f t="shared" si="5"/>
        <v>outbound</v>
      </c>
      <c r="B378" s="182">
        <v>45569.633333333331</v>
      </c>
      <c r="C378" s="183" t="s">
        <v>1921</v>
      </c>
      <c r="D378" s="183" t="s">
        <v>2039</v>
      </c>
      <c r="E378" s="215" t="s">
        <v>2192</v>
      </c>
      <c r="F378" s="112" t="s">
        <v>2096</v>
      </c>
      <c r="G378" s="112"/>
      <c r="H378" s="112" t="str">
        <f>IF(ISBLANK(E378),"",_xlfn.XLOOKUP(E378,cannabis_log!C:C,cannabis_log!H:H,"",0,1))</f>
        <v>extract_inhaled_packaged</v>
      </c>
      <c r="I378" s="113" t="s">
        <v>55</v>
      </c>
      <c r="J378" s="185">
        <v>-100</v>
      </c>
      <c r="K378" s="186">
        <v>0</v>
      </c>
      <c r="L378" s="288">
        <v>-50</v>
      </c>
      <c r="M378" s="24"/>
      <c r="N378" s="112" t="s">
        <v>670</v>
      </c>
      <c r="O378" s="187">
        <v>0.5</v>
      </c>
    </row>
    <row r="379" spans="1:15">
      <c r="A379" s="173" t="str">
        <f t="shared" si="5"/>
        <v>outbound</v>
      </c>
      <c r="B379" s="182">
        <v>45569.633333333331</v>
      </c>
      <c r="C379" s="183" t="s">
        <v>1929</v>
      </c>
      <c r="D379" s="192" t="s">
        <v>2193</v>
      </c>
      <c r="E379" s="215" t="s">
        <v>2194</v>
      </c>
      <c r="F379" s="176" t="s">
        <v>1019</v>
      </c>
      <c r="G379" s="176"/>
      <c r="H379" s="112" t="str">
        <f>IF(ISBLANK(E379),"",_xlfn.XLOOKUP(E379,cannabis_log!C:C,cannabis_log!H:H,"",0,1))</f>
        <v>extract_ingested_labelled</v>
      </c>
      <c r="I379" s="189">
        <v>45523</v>
      </c>
      <c r="J379" s="185">
        <v>-96</v>
      </c>
      <c r="K379" s="186">
        <v>0</v>
      </c>
      <c r="L379" s="288">
        <v>-14496</v>
      </c>
      <c r="M379" s="188"/>
      <c r="N379" s="176" t="s">
        <v>670</v>
      </c>
      <c r="O379" s="180">
        <v>151</v>
      </c>
    </row>
    <row r="380" spans="1:15">
      <c r="A380" s="181" t="str">
        <f t="shared" si="5"/>
        <v>inbound</v>
      </c>
      <c r="B380" s="182">
        <v>45572.579861111109</v>
      </c>
      <c r="C380" s="183" t="s">
        <v>1927</v>
      </c>
      <c r="D380" s="183"/>
      <c r="E380" s="215" t="s">
        <v>2003</v>
      </c>
      <c r="F380" s="112" t="s">
        <v>1986</v>
      </c>
      <c r="G380" s="112"/>
      <c r="H380" s="112" t="str">
        <f>IF(ISBLANK(E380),"",_xlfn.XLOOKUP(E380,cannabis_log!C:C,cannabis_log!H:H,"",0,1))</f>
        <v>preroll_bulk</v>
      </c>
      <c r="I380" s="113" t="s">
        <v>55</v>
      </c>
      <c r="J380" s="185">
        <v>484</v>
      </c>
      <c r="K380" s="186">
        <v>0</v>
      </c>
      <c r="L380" s="288">
        <v>242</v>
      </c>
      <c r="M380" s="24"/>
      <c r="N380" s="112" t="s">
        <v>670</v>
      </c>
      <c r="O380" s="187">
        <v>0.5</v>
      </c>
    </row>
    <row r="381" spans="1:15">
      <c r="A381" s="173" t="str">
        <f t="shared" si="5"/>
        <v>inbound</v>
      </c>
      <c r="B381" s="182">
        <v>45572.579861111109</v>
      </c>
      <c r="C381" s="183" t="s">
        <v>1927</v>
      </c>
      <c r="D381" s="183"/>
      <c r="E381" s="215" t="s">
        <v>2092</v>
      </c>
      <c r="F381" s="176" t="s">
        <v>2075</v>
      </c>
      <c r="G381" s="176"/>
      <c r="H381" s="112" t="str">
        <f>IF(ISBLANK(E381),"",_xlfn.XLOOKUP(E381,cannabis_log!C:C,cannabis_log!H:H,"",0,1))</f>
        <v>preroll_bulk</v>
      </c>
      <c r="I381" s="189" t="s">
        <v>55</v>
      </c>
      <c r="J381" s="185">
        <v>188</v>
      </c>
      <c r="K381" s="186">
        <v>0</v>
      </c>
      <c r="L381" s="288">
        <v>94</v>
      </c>
      <c r="M381" s="188"/>
      <c r="N381" s="176" t="s">
        <v>670</v>
      </c>
      <c r="O381" s="180">
        <v>0.5</v>
      </c>
    </row>
    <row r="382" spans="1:15">
      <c r="A382" s="181" t="str">
        <f t="shared" si="5"/>
        <v>outbound</v>
      </c>
      <c r="B382" s="182">
        <v>45572.579861111109</v>
      </c>
      <c r="C382" s="183" t="s">
        <v>1924</v>
      </c>
      <c r="D382" s="183" t="s">
        <v>2195</v>
      </c>
      <c r="E382" s="215" t="s">
        <v>2177</v>
      </c>
      <c r="F382" s="112" t="s">
        <v>1860</v>
      </c>
      <c r="G382" s="112"/>
      <c r="H382" s="112" t="str">
        <f>IF(ISBLANK(E382),"",_xlfn.XLOOKUP(E382,cannabis_log!C:C,cannabis_log!H:H,"",0,1))</f>
        <v>extract_inhaled_packaged</v>
      </c>
      <c r="I382" s="113" t="s">
        <v>55</v>
      </c>
      <c r="J382" s="185">
        <v>-1</v>
      </c>
      <c r="K382" s="186">
        <v>0</v>
      </c>
      <c r="L382" s="288">
        <v>-0.5</v>
      </c>
      <c r="M382" s="24"/>
      <c r="N382" s="112" t="s">
        <v>670</v>
      </c>
      <c r="O382" s="187">
        <v>0.5</v>
      </c>
    </row>
    <row r="383" spans="1:15">
      <c r="A383" s="173" t="str">
        <f t="shared" si="5"/>
        <v>outbound</v>
      </c>
      <c r="B383" s="182">
        <v>45572.579861111109</v>
      </c>
      <c r="C383" s="183" t="s">
        <v>1924</v>
      </c>
      <c r="D383" s="183" t="s">
        <v>2195</v>
      </c>
      <c r="E383" s="215" t="s">
        <v>2190</v>
      </c>
      <c r="F383" s="176" t="s">
        <v>2100</v>
      </c>
      <c r="G383" s="176"/>
      <c r="H383" s="112" t="str">
        <f>IF(ISBLANK(E383),"",_xlfn.XLOOKUP(E383,cannabis_log!C:C,cannabis_log!H:H,"",0,1))</f>
        <v>extract_inhaled_labelled</v>
      </c>
      <c r="I383" s="189">
        <v>45555</v>
      </c>
      <c r="J383" s="185">
        <v>-1</v>
      </c>
      <c r="K383" s="186">
        <v>0</v>
      </c>
      <c r="L383" s="288">
        <v>-0.5</v>
      </c>
      <c r="M383" s="188"/>
      <c r="N383" s="176" t="s">
        <v>670</v>
      </c>
      <c r="O383" s="180">
        <v>0.5</v>
      </c>
    </row>
    <row r="384" spans="1:15">
      <c r="A384" s="181" t="str">
        <f t="shared" si="5"/>
        <v>outbound</v>
      </c>
      <c r="B384" s="182">
        <v>45572.579861111109</v>
      </c>
      <c r="C384" s="183" t="s">
        <v>1924</v>
      </c>
      <c r="D384" s="183" t="s">
        <v>2195</v>
      </c>
      <c r="E384" s="215" t="s">
        <v>2153</v>
      </c>
      <c r="F384" s="112" t="s">
        <v>2094</v>
      </c>
      <c r="G384" s="112"/>
      <c r="H384" s="112" t="str">
        <f>IF(ISBLANK(E384),"",_xlfn.XLOOKUP(E384,cannabis_log!C:C,cannabis_log!H:H,"",0,1))</f>
        <v>extract_inhaled_labelled</v>
      </c>
      <c r="I384" s="113">
        <v>45555</v>
      </c>
      <c r="J384" s="185">
        <v>-1</v>
      </c>
      <c r="K384" s="186">
        <v>0</v>
      </c>
      <c r="L384" s="288">
        <v>-0.5</v>
      </c>
      <c r="M384" s="24"/>
      <c r="N384" s="112" t="s">
        <v>670</v>
      </c>
      <c r="O384" s="187">
        <v>0.5</v>
      </c>
    </row>
    <row r="385" spans="1:15">
      <c r="A385" s="173" t="str">
        <f t="shared" ref="A385:A448" si="6">IF(ISBLANK(J385),"",IF(J385+K385+L385&lt;0,"outbound","inbound"))</f>
        <v>outbound</v>
      </c>
      <c r="B385" s="182">
        <v>45573.419444444444</v>
      </c>
      <c r="C385" s="183" t="s">
        <v>1929</v>
      </c>
      <c r="D385" s="192" t="s">
        <v>2196</v>
      </c>
      <c r="E385" s="215" t="s">
        <v>2132</v>
      </c>
      <c r="F385" s="176" t="s">
        <v>1313</v>
      </c>
      <c r="G385" s="176"/>
      <c r="H385" s="112" t="str">
        <f>IF(ISBLANK(E385),"",_xlfn.XLOOKUP(E385,cannabis_log!C:C,cannabis_log!H:H,"",0,1))</f>
        <v>preroll_labelled</v>
      </c>
      <c r="I385" s="189">
        <v>45523</v>
      </c>
      <c r="J385" s="185">
        <v>-24</v>
      </c>
      <c r="K385" s="186">
        <v>0</v>
      </c>
      <c r="L385" s="288">
        <v>-36</v>
      </c>
      <c r="M385" s="188"/>
      <c r="N385" s="176" t="s">
        <v>670</v>
      </c>
      <c r="O385" s="180">
        <v>1.5</v>
      </c>
    </row>
    <row r="386" spans="1:15">
      <c r="A386" s="181" t="str">
        <f t="shared" si="6"/>
        <v>outbound</v>
      </c>
      <c r="B386" s="182">
        <v>45573.419444444444</v>
      </c>
      <c r="C386" s="183" t="s">
        <v>1929</v>
      </c>
      <c r="D386" s="22" t="s">
        <v>2196</v>
      </c>
      <c r="E386" s="215" t="s">
        <v>1964</v>
      </c>
      <c r="F386" s="112" t="s">
        <v>535</v>
      </c>
      <c r="G386" s="112"/>
      <c r="H386" s="112" t="str">
        <f>IF(ISBLANK(E386),"",_xlfn.XLOOKUP(E386,cannabis_log!C:C,cannabis_log!H:H,"",0,1))</f>
        <v>preroll_labelled</v>
      </c>
      <c r="I386" s="113">
        <v>45567</v>
      </c>
      <c r="J386" s="185">
        <v>-24</v>
      </c>
      <c r="K386" s="186">
        <v>0</v>
      </c>
      <c r="L386" s="288">
        <v>-36</v>
      </c>
      <c r="M386" s="24"/>
      <c r="N386" s="112" t="s">
        <v>670</v>
      </c>
      <c r="O386" s="187">
        <v>1.5</v>
      </c>
    </row>
    <row r="387" spans="1:15">
      <c r="A387" s="173" t="str">
        <f t="shared" si="6"/>
        <v>outbound</v>
      </c>
      <c r="B387" s="182">
        <v>45573.419444444444</v>
      </c>
      <c r="C387" s="183" t="s">
        <v>1921</v>
      </c>
      <c r="D387" s="192" t="s">
        <v>2197</v>
      </c>
      <c r="E387" s="215" t="s">
        <v>2198</v>
      </c>
      <c r="F387" s="176" t="s">
        <v>784</v>
      </c>
      <c r="G387" s="176"/>
      <c r="H387" s="112" t="str">
        <f>IF(ISBLANK(E387),"",_xlfn.XLOOKUP(E387,cannabis_log!C:C,cannabis_log!H:H,"",0,1))</f>
        <v>extract_ingested_bulk</v>
      </c>
      <c r="I387" s="189">
        <v>44798</v>
      </c>
      <c r="J387" s="185">
        <v>-1</v>
      </c>
      <c r="K387" s="186">
        <v>-20895</v>
      </c>
      <c r="L387" s="288">
        <v>0</v>
      </c>
      <c r="M387" s="188"/>
      <c r="N387" s="176" t="s">
        <v>664</v>
      </c>
      <c r="O387" s="180">
        <v>0</v>
      </c>
    </row>
    <row r="388" spans="1:15">
      <c r="A388" s="181" t="str">
        <f t="shared" si="6"/>
        <v>outbound</v>
      </c>
      <c r="B388" s="182">
        <v>45573.419444444444</v>
      </c>
      <c r="C388" s="183" t="s">
        <v>1921</v>
      </c>
      <c r="D388" s="22" t="s">
        <v>2197</v>
      </c>
      <c r="E388" s="215" t="s">
        <v>2031</v>
      </c>
      <c r="F388" s="112">
        <v>2024101701</v>
      </c>
      <c r="G388" s="112"/>
      <c r="H388" s="112" t="str">
        <f>IF(ISBLANK(E388),"",_xlfn.XLOOKUP(E388,cannabis_log!C:C,cannabis_log!H:H,"",0,1))</f>
        <v>extract_distillate_bulk</v>
      </c>
      <c r="I388" s="113">
        <v>45523</v>
      </c>
      <c r="J388" s="185">
        <v>-1</v>
      </c>
      <c r="K388" s="186">
        <v>-2911</v>
      </c>
      <c r="L388" s="288">
        <v>0</v>
      </c>
      <c r="M388" s="24"/>
      <c r="N388" s="112" t="s">
        <v>664</v>
      </c>
      <c r="O388" s="187">
        <v>0</v>
      </c>
    </row>
    <row r="389" spans="1:15">
      <c r="A389" s="173" t="str">
        <f t="shared" si="6"/>
        <v>outbound</v>
      </c>
      <c r="B389" s="182">
        <v>45573.419444444444</v>
      </c>
      <c r="C389" s="183" t="s">
        <v>1929</v>
      </c>
      <c r="D389" s="192" t="s">
        <v>2199</v>
      </c>
      <c r="E389" s="215" t="s">
        <v>2150</v>
      </c>
      <c r="F389" s="176" t="s">
        <v>1134</v>
      </c>
      <c r="G389" s="176"/>
      <c r="H389" s="112" t="str">
        <f>IF(ISBLANK(E389),"",_xlfn.XLOOKUP(E389,cannabis_log!C:C,cannabis_log!H:H,"",0,1))</f>
        <v>extract_inhaled_labelled</v>
      </c>
      <c r="I389" s="189">
        <v>45560</v>
      </c>
      <c r="J389" s="185">
        <v>-24</v>
      </c>
      <c r="K389" s="186">
        <v>0</v>
      </c>
      <c r="L389" s="288">
        <v>-12</v>
      </c>
      <c r="M389" s="188"/>
      <c r="N389" s="176" t="s">
        <v>670</v>
      </c>
      <c r="O389" s="180">
        <v>0.5</v>
      </c>
    </row>
    <row r="390" spans="1:15">
      <c r="A390" s="181" t="str">
        <f t="shared" si="6"/>
        <v>outbound</v>
      </c>
      <c r="B390" s="182">
        <v>45573.419444444444</v>
      </c>
      <c r="C390" s="183" t="s">
        <v>1929</v>
      </c>
      <c r="D390" s="183" t="s">
        <v>2200</v>
      </c>
      <c r="E390" s="215" t="s">
        <v>2150</v>
      </c>
      <c r="F390" s="112" t="s">
        <v>1134</v>
      </c>
      <c r="G390" s="112"/>
      <c r="H390" s="112" t="str">
        <f>IF(ISBLANK(E390),"",_xlfn.XLOOKUP(E390,cannabis_log!C:C,cannabis_log!H:H,"",0,1))</f>
        <v>extract_inhaled_labelled</v>
      </c>
      <c r="I390" s="113">
        <v>45560</v>
      </c>
      <c r="J390" s="185">
        <v>-40</v>
      </c>
      <c r="K390" s="186">
        <v>0</v>
      </c>
      <c r="L390" s="288">
        <v>-20</v>
      </c>
      <c r="M390" s="24"/>
      <c r="N390" s="112" t="s">
        <v>670</v>
      </c>
      <c r="O390" s="187">
        <v>0.5</v>
      </c>
    </row>
    <row r="391" spans="1:15">
      <c r="A391" s="173" t="str">
        <f t="shared" si="6"/>
        <v>inbound</v>
      </c>
      <c r="B391" s="182">
        <v>45573.472916666666</v>
      </c>
      <c r="C391" s="183" t="s">
        <v>1921</v>
      </c>
      <c r="D391" s="183"/>
      <c r="E391" s="215" t="s">
        <v>2198</v>
      </c>
      <c r="F391" s="176" t="s">
        <v>784</v>
      </c>
      <c r="G391" s="176"/>
      <c r="H391" s="112" t="str">
        <f>IF(ISBLANK(E391),"",_xlfn.XLOOKUP(E391,cannabis_log!C:C,cannabis_log!H:H,"",0,1))</f>
        <v>extract_ingested_bulk</v>
      </c>
      <c r="I391" s="189">
        <v>44798</v>
      </c>
      <c r="J391" s="185">
        <v>1</v>
      </c>
      <c r="K391" s="186">
        <v>20895</v>
      </c>
      <c r="L391" s="288">
        <v>0</v>
      </c>
      <c r="M391" s="188"/>
      <c r="N391" s="176" t="s">
        <v>664</v>
      </c>
      <c r="O391" s="180">
        <v>0</v>
      </c>
    </row>
    <row r="392" spans="1:15">
      <c r="A392" s="181" t="str">
        <f t="shared" si="6"/>
        <v>outbound</v>
      </c>
      <c r="B392" s="182">
        <v>45573.472916666666</v>
      </c>
      <c r="C392" s="183" t="s">
        <v>1921</v>
      </c>
      <c r="D392" s="183"/>
      <c r="E392" s="215" t="s">
        <v>2201</v>
      </c>
      <c r="F392" s="112" t="s">
        <v>55</v>
      </c>
      <c r="G392" s="112"/>
      <c r="H392" s="112" t="str">
        <f>IF(ISBLANK(E392),"",_xlfn.XLOOKUP(E392,cannabis_log!C:C,cannabis_log!H:H,"",0,1))</f>
        <v>extract_ingested_bulk</v>
      </c>
      <c r="I392" s="113">
        <v>44938</v>
      </c>
      <c r="J392" s="185">
        <v>-1</v>
      </c>
      <c r="K392" s="186">
        <v>-13470</v>
      </c>
      <c r="L392" s="288">
        <v>0</v>
      </c>
      <c r="M392" s="24"/>
      <c r="N392" s="112" t="s">
        <v>664</v>
      </c>
      <c r="O392" s="187">
        <v>0</v>
      </c>
    </row>
    <row r="393" spans="1:15">
      <c r="A393" s="173" t="str">
        <f t="shared" si="6"/>
        <v>outbound</v>
      </c>
      <c r="B393" s="182">
        <v>45573.472916666666</v>
      </c>
      <c r="C393" s="183" t="s">
        <v>1924</v>
      </c>
      <c r="D393" s="183" t="s">
        <v>2202</v>
      </c>
      <c r="E393" s="215" t="s">
        <v>2069</v>
      </c>
      <c r="F393" s="176" t="s">
        <v>1314</v>
      </c>
      <c r="G393" s="176"/>
      <c r="H393" s="112" t="str">
        <f>IF(ISBLANK(E393),"",_xlfn.XLOOKUP(E393,cannabis_log!C:C,cannabis_log!H:H,"",0,1))</f>
        <v>extract_ingested_labelled</v>
      </c>
      <c r="I393" s="189">
        <v>45503</v>
      </c>
      <c r="J393" s="185">
        <v>-4</v>
      </c>
      <c r="K393" s="186">
        <v>0</v>
      </c>
      <c r="L393" s="288">
        <v>-604</v>
      </c>
      <c r="M393" s="188"/>
      <c r="N393" s="176" t="s">
        <v>670</v>
      </c>
      <c r="O393" s="180">
        <v>151</v>
      </c>
    </row>
    <row r="394" spans="1:15">
      <c r="A394" s="181" t="str">
        <f t="shared" si="6"/>
        <v>outbound</v>
      </c>
      <c r="B394" s="182">
        <v>45573.472916666666</v>
      </c>
      <c r="C394" s="183" t="s">
        <v>1924</v>
      </c>
      <c r="D394" s="183"/>
      <c r="E394" s="215" t="s">
        <v>2111</v>
      </c>
      <c r="F394" s="112" t="s">
        <v>2112</v>
      </c>
      <c r="G394" s="112"/>
      <c r="H394" s="112" t="str">
        <f>IF(ISBLANK(E394),"",_xlfn.XLOOKUP(E394,cannabis_log!C:C,cannabis_log!H:H,"",0,1))</f>
        <v>extract_ingested_labelled</v>
      </c>
      <c r="I394" s="113">
        <v>45550</v>
      </c>
      <c r="J394" s="185">
        <v>-4</v>
      </c>
      <c r="K394" s="186">
        <v>0</v>
      </c>
      <c r="L394" s="288">
        <v>-604</v>
      </c>
      <c r="M394" s="24"/>
      <c r="N394" s="112" t="s">
        <v>670</v>
      </c>
      <c r="O394" s="187">
        <v>151</v>
      </c>
    </row>
    <row r="395" spans="1:15">
      <c r="A395" s="173" t="str">
        <f t="shared" si="6"/>
        <v>outbound</v>
      </c>
      <c r="B395" s="182">
        <v>45573.472916666666</v>
      </c>
      <c r="C395" s="183" t="s">
        <v>1924</v>
      </c>
      <c r="D395" s="183"/>
      <c r="E395" s="215" t="s">
        <v>2056</v>
      </c>
      <c r="F395" s="176" t="s">
        <v>1019</v>
      </c>
      <c r="G395" s="176"/>
      <c r="H395" s="112" t="str">
        <f>IF(ISBLANK(E395),"",_xlfn.XLOOKUP(E395,cannabis_log!C:C,cannabis_log!H:H,"",0,1))</f>
        <v>extract_ingested_labelled_damaged</v>
      </c>
      <c r="I395" s="189">
        <v>45523</v>
      </c>
      <c r="J395" s="185">
        <v>-1</v>
      </c>
      <c r="K395" s="186">
        <v>0</v>
      </c>
      <c r="L395" s="288">
        <v>-151</v>
      </c>
      <c r="M395" s="188"/>
      <c r="N395" s="176" t="s">
        <v>670</v>
      </c>
      <c r="O395" s="180">
        <v>151</v>
      </c>
    </row>
    <row r="396" spans="1:15">
      <c r="A396" s="181" t="str">
        <f t="shared" si="6"/>
        <v>outbound</v>
      </c>
      <c r="B396" s="182">
        <v>45573.472916666666</v>
      </c>
      <c r="C396" s="183" t="s">
        <v>1921</v>
      </c>
      <c r="D396" s="183"/>
      <c r="E396" s="215" t="s">
        <v>2203</v>
      </c>
      <c r="F396" s="112" t="s">
        <v>55</v>
      </c>
      <c r="G396" s="112"/>
      <c r="H396" s="112" t="str">
        <f>IF(ISBLANK(E396),"",_xlfn.XLOOKUP(E396,cannabis_log!C:C,cannabis_log!H:H,"",0,1))</f>
        <v>extract_ingested_labelled</v>
      </c>
      <c r="I396" s="113" t="s">
        <v>55</v>
      </c>
      <c r="J396" s="185">
        <v>-1</v>
      </c>
      <c r="K396" s="186">
        <v>-16080</v>
      </c>
      <c r="L396" s="288">
        <v>-131</v>
      </c>
      <c r="M396" s="24"/>
      <c r="N396" s="112" t="s">
        <v>670</v>
      </c>
      <c r="O396" s="187">
        <v>131</v>
      </c>
    </row>
    <row r="397" spans="1:15">
      <c r="A397" s="173" t="str">
        <f t="shared" si="6"/>
        <v>outbound</v>
      </c>
      <c r="B397" s="182">
        <v>45573.472916666666</v>
      </c>
      <c r="C397" s="183" t="s">
        <v>1921</v>
      </c>
      <c r="D397" s="183"/>
      <c r="E397" s="215" t="s">
        <v>2204</v>
      </c>
      <c r="F397" s="176" t="s">
        <v>55</v>
      </c>
      <c r="G397" s="176"/>
      <c r="H397" s="112" t="str">
        <f>IF(ISBLANK(E397),"",_xlfn.XLOOKUP(E397,cannabis_log!C:C,cannabis_log!H:H,"",0,1))</f>
        <v>extract_ingested_packaged</v>
      </c>
      <c r="I397" s="189" t="s">
        <v>55</v>
      </c>
      <c r="J397" s="185">
        <v>-1</v>
      </c>
      <c r="K397" s="186">
        <v>-16052</v>
      </c>
      <c r="L397" s="288">
        <v>-131</v>
      </c>
      <c r="M397" s="188"/>
      <c r="N397" s="176" t="s">
        <v>670</v>
      </c>
      <c r="O397" s="180">
        <v>131</v>
      </c>
    </row>
    <row r="398" spans="1:15">
      <c r="A398" s="181" t="str">
        <f t="shared" si="6"/>
        <v>outbound</v>
      </c>
      <c r="B398" s="182">
        <v>45573.472916666666</v>
      </c>
      <c r="C398" s="183" t="s">
        <v>1929</v>
      </c>
      <c r="D398" s="183" t="s">
        <v>2196</v>
      </c>
      <c r="E398" s="215" t="s">
        <v>2205</v>
      </c>
      <c r="F398" s="112" t="s">
        <v>1860</v>
      </c>
      <c r="G398" s="112"/>
      <c r="H398" s="112" t="str">
        <f>IF(ISBLANK(E398),"",_xlfn.XLOOKUP(E398,cannabis_log!C:C,cannabis_log!H:H,"",0,1))</f>
        <v>extract_inhaled_labelled</v>
      </c>
      <c r="I398" s="113">
        <v>45560</v>
      </c>
      <c r="J398" s="185">
        <v>-12</v>
      </c>
      <c r="K398" s="186">
        <v>0</v>
      </c>
      <c r="L398" s="288">
        <v>-6</v>
      </c>
      <c r="M398" s="24"/>
      <c r="N398" s="112" t="s">
        <v>670</v>
      </c>
      <c r="O398" s="187">
        <v>0.5</v>
      </c>
    </row>
    <row r="399" spans="1:15">
      <c r="A399" s="173" t="str">
        <f t="shared" si="6"/>
        <v>outbound</v>
      </c>
      <c r="B399" s="182">
        <v>45573.689583333333</v>
      </c>
      <c r="C399" s="183" t="s">
        <v>1929</v>
      </c>
      <c r="D399" s="183" t="s">
        <v>2206</v>
      </c>
      <c r="E399" s="215" t="s">
        <v>2205</v>
      </c>
      <c r="F399" s="176" t="s">
        <v>1860</v>
      </c>
      <c r="G399" s="176"/>
      <c r="H399" s="112" t="str">
        <f>IF(ISBLANK(E399),"",_xlfn.XLOOKUP(E399,cannabis_log!C:C,cannabis_log!H:H,"",0,1))</f>
        <v>extract_inhaled_labelled</v>
      </c>
      <c r="I399" s="189">
        <v>45560</v>
      </c>
      <c r="J399" s="185">
        <v>-6</v>
      </c>
      <c r="K399" s="186">
        <v>0</v>
      </c>
      <c r="L399" s="288">
        <v>-3</v>
      </c>
      <c r="M399" s="188"/>
      <c r="N399" s="176" t="s">
        <v>670</v>
      </c>
      <c r="O399" s="180">
        <v>0.5</v>
      </c>
    </row>
    <row r="400" spans="1:15">
      <c r="A400" s="181" t="str">
        <f t="shared" si="6"/>
        <v>outbound</v>
      </c>
      <c r="B400" s="182">
        <v>45573.689583333333</v>
      </c>
      <c r="C400" s="183" t="s">
        <v>1929</v>
      </c>
      <c r="D400" s="183"/>
      <c r="E400" s="215" t="s">
        <v>2207</v>
      </c>
      <c r="F400" s="112" t="s">
        <v>1315</v>
      </c>
      <c r="G400" s="112"/>
      <c r="H400" s="112" t="str">
        <f>IF(ISBLANK(E400),"",_xlfn.XLOOKUP(E400,cannabis_log!C:C,cannabis_log!H:H,"",0,1))</f>
        <v>extract_inhaled_labelled</v>
      </c>
      <c r="I400" s="113">
        <v>45555</v>
      </c>
      <c r="J400" s="185">
        <v>-12</v>
      </c>
      <c r="K400" s="186">
        <v>0</v>
      </c>
      <c r="L400" s="288">
        <v>-6</v>
      </c>
      <c r="M400" s="24"/>
      <c r="N400" s="112" t="s">
        <v>670</v>
      </c>
      <c r="O400" s="187">
        <v>0.5</v>
      </c>
    </row>
    <row r="401" spans="1:15">
      <c r="A401" s="173" t="str">
        <f t="shared" si="6"/>
        <v>outbound</v>
      </c>
      <c r="B401" s="182">
        <v>45573.689583333333</v>
      </c>
      <c r="C401" s="183" t="s">
        <v>1929</v>
      </c>
      <c r="D401" s="183"/>
      <c r="E401" s="215" t="s">
        <v>2207</v>
      </c>
      <c r="F401" s="176" t="s">
        <v>1315</v>
      </c>
      <c r="G401" s="176"/>
      <c r="H401" s="112" t="str">
        <f>IF(ISBLANK(E401),"",_xlfn.XLOOKUP(E401,cannabis_log!C:C,cannabis_log!H:H,"",0,1))</f>
        <v>extract_inhaled_labelled</v>
      </c>
      <c r="I401" s="189">
        <v>45555</v>
      </c>
      <c r="J401" s="185">
        <v>-24</v>
      </c>
      <c r="K401" s="186">
        <v>0</v>
      </c>
      <c r="L401" s="288">
        <v>-12</v>
      </c>
      <c r="M401" s="188"/>
      <c r="N401" s="176" t="s">
        <v>670</v>
      </c>
      <c r="O401" s="180">
        <v>0.5</v>
      </c>
    </row>
    <row r="402" spans="1:15">
      <c r="A402" s="181" t="str">
        <f t="shared" si="6"/>
        <v>outbound</v>
      </c>
      <c r="B402" s="182">
        <v>45573.689583333333</v>
      </c>
      <c r="C402" s="183" t="s">
        <v>1929</v>
      </c>
      <c r="D402" s="183"/>
      <c r="E402" s="215" t="s">
        <v>2190</v>
      </c>
      <c r="F402" s="112" t="s">
        <v>2100</v>
      </c>
      <c r="G402" s="112"/>
      <c r="H402" s="112" t="str">
        <f>IF(ISBLANK(E402),"",_xlfn.XLOOKUP(E402,cannabis_log!C:C,cannabis_log!H:H,"",0,1))</f>
        <v>extract_inhaled_labelled</v>
      </c>
      <c r="I402" s="113">
        <v>45555</v>
      </c>
      <c r="J402" s="185">
        <v>-12</v>
      </c>
      <c r="K402" s="186">
        <v>0</v>
      </c>
      <c r="L402" s="288">
        <v>-6</v>
      </c>
      <c r="M402" s="24"/>
      <c r="N402" s="112" t="s">
        <v>670</v>
      </c>
      <c r="O402" s="187">
        <v>0.5</v>
      </c>
    </row>
    <row r="403" spans="1:15">
      <c r="A403" s="173" t="str">
        <f t="shared" si="6"/>
        <v>outbound</v>
      </c>
      <c r="B403" s="182">
        <v>45573.689583333333</v>
      </c>
      <c r="C403" s="183" t="s">
        <v>1929</v>
      </c>
      <c r="D403" s="183"/>
      <c r="E403" s="215" t="s">
        <v>2208</v>
      </c>
      <c r="F403" s="176" t="s">
        <v>2094</v>
      </c>
      <c r="G403" s="176"/>
      <c r="H403" s="112" t="str">
        <f>IF(ISBLANK(E403),"",_xlfn.XLOOKUP(E403,cannabis_log!C:C,cannabis_log!H:H,"",0,1))</f>
        <v>extract_inhaled_labelled</v>
      </c>
      <c r="I403" s="189">
        <v>45560</v>
      </c>
      <c r="J403" s="185">
        <v>-12</v>
      </c>
      <c r="K403" s="186">
        <v>0</v>
      </c>
      <c r="L403" s="288">
        <v>-6</v>
      </c>
      <c r="M403" s="188"/>
      <c r="N403" s="176" t="s">
        <v>670</v>
      </c>
      <c r="O403" s="180">
        <v>0.5</v>
      </c>
    </row>
    <row r="404" spans="1:15">
      <c r="A404" s="181" t="str">
        <f t="shared" si="6"/>
        <v>outbound</v>
      </c>
      <c r="B404" s="182">
        <v>45573.689583333333</v>
      </c>
      <c r="C404" s="183" t="s">
        <v>1929</v>
      </c>
      <c r="D404" s="183"/>
      <c r="E404" s="215" t="s">
        <v>2209</v>
      </c>
      <c r="F404" s="112" t="s">
        <v>775</v>
      </c>
      <c r="G404" s="112"/>
      <c r="H404" s="112" t="str">
        <f>IF(ISBLANK(E404),"",_xlfn.XLOOKUP(E404,cannabis_log!C:C,cannabis_log!H:H,"",0,1))</f>
        <v>topical_labelled</v>
      </c>
      <c r="I404" s="113">
        <v>45523</v>
      </c>
      <c r="J404" s="185">
        <v>-12</v>
      </c>
      <c r="K404" s="186">
        <v>0</v>
      </c>
      <c r="L404" s="288">
        <v>-2160</v>
      </c>
      <c r="M404" s="24"/>
      <c r="N404" s="112" t="s">
        <v>670</v>
      </c>
      <c r="O404" s="187">
        <v>180</v>
      </c>
    </row>
    <row r="405" spans="1:15">
      <c r="A405" s="173" t="str">
        <f t="shared" si="6"/>
        <v>outbound</v>
      </c>
      <c r="B405" s="182">
        <v>45573.689583333333</v>
      </c>
      <c r="C405" s="183" t="s">
        <v>1929</v>
      </c>
      <c r="D405" s="183" t="s">
        <v>2199</v>
      </c>
      <c r="E405" s="215" t="s">
        <v>2190</v>
      </c>
      <c r="F405" s="176" t="s">
        <v>2100</v>
      </c>
      <c r="G405" s="176"/>
      <c r="H405" s="112" t="str">
        <f>IF(ISBLANK(E405),"",_xlfn.XLOOKUP(E405,cannabis_log!C:C,cannabis_log!H:H,"",0,1))</f>
        <v>extract_inhaled_labelled</v>
      </c>
      <c r="I405" s="189">
        <v>45555</v>
      </c>
      <c r="J405" s="185">
        <v>-10</v>
      </c>
      <c r="K405" s="186">
        <v>0</v>
      </c>
      <c r="L405" s="288">
        <v>-5</v>
      </c>
      <c r="M405" s="188"/>
      <c r="N405" s="176" t="s">
        <v>670</v>
      </c>
      <c r="O405" s="180">
        <v>0.5</v>
      </c>
    </row>
    <row r="406" spans="1:15">
      <c r="A406" s="181" t="str">
        <f t="shared" si="6"/>
        <v>outbound</v>
      </c>
      <c r="B406" s="182">
        <v>45573.689583333333</v>
      </c>
      <c r="C406" s="183" t="s">
        <v>1929</v>
      </c>
      <c r="D406" s="183" t="s">
        <v>2199</v>
      </c>
      <c r="E406" s="215" t="s">
        <v>2210</v>
      </c>
      <c r="F406" s="112" t="s">
        <v>2100</v>
      </c>
      <c r="G406" s="112"/>
      <c r="H406" s="112" t="str">
        <f>IF(ISBLANK(E406),"",_xlfn.XLOOKUP(E406,cannabis_log!C:C,cannabis_log!H:H,"",0,1))</f>
        <v>extract_inhaled_labelled</v>
      </c>
      <c r="I406" s="113">
        <v>45560</v>
      </c>
      <c r="J406" s="185">
        <v>-2</v>
      </c>
      <c r="K406" s="186">
        <v>0</v>
      </c>
      <c r="L406" s="288">
        <v>-1</v>
      </c>
      <c r="M406" s="24"/>
      <c r="N406" s="112" t="s">
        <v>670</v>
      </c>
      <c r="O406" s="187">
        <v>0.5</v>
      </c>
    </row>
    <row r="407" spans="1:15">
      <c r="A407" s="173" t="str">
        <f t="shared" si="6"/>
        <v>outbound</v>
      </c>
      <c r="B407" s="182">
        <v>45573.689583333333</v>
      </c>
      <c r="C407" s="183" t="s">
        <v>1929</v>
      </c>
      <c r="D407" s="183"/>
      <c r="E407" s="215" t="s">
        <v>2142</v>
      </c>
      <c r="F407" s="176" t="s">
        <v>2094</v>
      </c>
      <c r="G407" s="176"/>
      <c r="H407" s="112" t="str">
        <f>IF(ISBLANK(E407),"",_xlfn.XLOOKUP(E407,cannabis_log!C:C,cannabis_log!H:H,"",0,1))</f>
        <v>extract_inhaled_labelled</v>
      </c>
      <c r="I407" s="189">
        <v>45560</v>
      </c>
      <c r="J407" s="185">
        <v>-24</v>
      </c>
      <c r="K407" s="186">
        <v>0</v>
      </c>
      <c r="L407" s="288">
        <v>-12</v>
      </c>
      <c r="M407" s="188"/>
      <c r="N407" s="176" t="s">
        <v>670</v>
      </c>
      <c r="O407" s="180">
        <v>0.5</v>
      </c>
    </row>
    <row r="408" spans="1:15">
      <c r="A408" s="181" t="str">
        <f t="shared" si="6"/>
        <v>outbound</v>
      </c>
      <c r="B408" s="182">
        <v>45573.689583333333</v>
      </c>
      <c r="C408" s="183" t="s">
        <v>1929</v>
      </c>
      <c r="D408" s="183"/>
      <c r="E408" s="215" t="s">
        <v>1941</v>
      </c>
      <c r="F408" s="112" t="s">
        <v>1324</v>
      </c>
      <c r="G408" s="112"/>
      <c r="H408" s="112" t="str">
        <f>IF(ISBLANK(E408),"",_xlfn.XLOOKUP(E408,cannabis_log!C:C,cannabis_log!H:H,"",0,1))</f>
        <v>topical_labelled</v>
      </c>
      <c r="I408" s="113">
        <v>45467</v>
      </c>
      <c r="J408" s="185">
        <v>-12</v>
      </c>
      <c r="K408" s="186">
        <v>0</v>
      </c>
      <c r="L408" s="288">
        <v>-5400</v>
      </c>
      <c r="M408" s="24"/>
      <c r="N408" s="112" t="s">
        <v>670</v>
      </c>
      <c r="O408" s="187">
        <v>450</v>
      </c>
    </row>
    <row r="409" spans="1:15">
      <c r="A409" s="173" t="str">
        <f t="shared" si="6"/>
        <v>outbound</v>
      </c>
      <c r="B409" s="182">
        <v>45573.689583333333</v>
      </c>
      <c r="C409" s="183" t="s">
        <v>1921</v>
      </c>
      <c r="D409" s="183"/>
      <c r="E409" s="215" t="s">
        <v>2058</v>
      </c>
      <c r="F409" s="176">
        <v>2024030601</v>
      </c>
      <c r="G409" s="176"/>
      <c r="H409" s="112" t="str">
        <f>IF(ISBLANK(E409),"",_xlfn.XLOOKUP(E409,cannabis_log!C:C,cannabis_log!H:H,"",0,1))</f>
        <v>extract_inhaled_bulk</v>
      </c>
      <c r="I409" s="189">
        <v>45296</v>
      </c>
      <c r="J409" s="185">
        <v>-1</v>
      </c>
      <c r="K409" s="186">
        <v>-1233.4000000000001</v>
      </c>
      <c r="L409" s="288">
        <v>0</v>
      </c>
      <c r="M409" s="188"/>
      <c r="N409" s="176" t="s">
        <v>664</v>
      </c>
      <c r="O409" s="180">
        <v>0</v>
      </c>
    </row>
    <row r="410" spans="1:15">
      <c r="A410" s="181" t="str">
        <f t="shared" si="6"/>
        <v>inbound</v>
      </c>
      <c r="B410" s="182">
        <v>45573.689583333333</v>
      </c>
      <c r="C410" s="183" t="s">
        <v>1927</v>
      </c>
      <c r="D410" s="183"/>
      <c r="E410" s="215" t="s">
        <v>1988</v>
      </c>
      <c r="F410" s="112" t="s">
        <v>1221</v>
      </c>
      <c r="G410" s="112"/>
      <c r="H410" s="112" t="str">
        <f>IF(ISBLANK(E410),"",_xlfn.XLOOKUP(E410,cannabis_log!C:C,cannabis_log!H:H,"",0,1))</f>
        <v>preroll_bulk</v>
      </c>
      <c r="I410" s="113">
        <v>45443</v>
      </c>
      <c r="J410" s="185">
        <v>338</v>
      </c>
      <c r="K410" s="186">
        <v>0</v>
      </c>
      <c r="L410" s="288">
        <v>169</v>
      </c>
      <c r="M410" s="24"/>
      <c r="N410" s="112" t="s">
        <v>670</v>
      </c>
      <c r="O410" s="187">
        <v>0.5</v>
      </c>
    </row>
    <row r="411" spans="1:15">
      <c r="A411" s="173" t="str">
        <f t="shared" si="6"/>
        <v>inbound</v>
      </c>
      <c r="B411" s="182">
        <v>45573.708333333336</v>
      </c>
      <c r="C411" s="183" t="s">
        <v>1927</v>
      </c>
      <c r="D411" s="183"/>
      <c r="E411" s="215" t="s">
        <v>2058</v>
      </c>
      <c r="F411" s="176">
        <v>2024030601</v>
      </c>
      <c r="G411" s="176"/>
      <c r="H411" s="112" t="str">
        <f>IF(ISBLANK(E411),"",_xlfn.XLOOKUP(E411,cannabis_log!C:C,cannabis_log!H:H,"",0,1))</f>
        <v>extract_inhaled_bulk</v>
      </c>
      <c r="I411" s="189">
        <v>45296</v>
      </c>
      <c r="J411" s="185">
        <v>1</v>
      </c>
      <c r="K411" s="186">
        <v>1024.2</v>
      </c>
      <c r="L411" s="288">
        <v>0</v>
      </c>
      <c r="M411" s="188"/>
      <c r="N411" s="176" t="s">
        <v>664</v>
      </c>
      <c r="O411" s="180">
        <v>0</v>
      </c>
    </row>
    <row r="412" spans="1:15">
      <c r="A412" s="173" t="str">
        <f t="shared" si="6"/>
        <v>outbound</v>
      </c>
      <c r="B412" s="182">
        <v>45574</v>
      </c>
      <c r="C412" s="183" t="s">
        <v>1929</v>
      </c>
      <c r="D412" s="183" t="s">
        <v>2211</v>
      </c>
      <c r="E412" s="215" t="s">
        <v>2212</v>
      </c>
      <c r="F412" s="176" t="s">
        <v>2096</v>
      </c>
      <c r="G412" s="176"/>
      <c r="H412" s="112" t="str">
        <f>IF(ISBLANK(E412),"",_xlfn.XLOOKUP(E412,cannabis_log!C:C,cannabis_log!H:H,"",0,1))</f>
        <v>extract_inhaled_labelled</v>
      </c>
      <c r="I412" s="189">
        <v>45569</v>
      </c>
      <c r="J412" s="185">
        <v>-36</v>
      </c>
      <c r="K412" s="186">
        <v>0</v>
      </c>
      <c r="L412" s="288">
        <v>-18</v>
      </c>
      <c r="M412" s="188"/>
      <c r="N412" s="176" t="s">
        <v>670</v>
      </c>
      <c r="O412" s="180">
        <v>0.5</v>
      </c>
    </row>
    <row r="413" spans="1:15">
      <c r="A413" s="181" t="str">
        <f t="shared" si="6"/>
        <v>outbound</v>
      </c>
      <c r="B413" s="182">
        <v>45574.429861111108</v>
      </c>
      <c r="C413" s="183" t="s">
        <v>1921</v>
      </c>
      <c r="D413" s="183"/>
      <c r="E413" s="215" t="s">
        <v>2183</v>
      </c>
      <c r="F413" s="112" t="s">
        <v>907</v>
      </c>
      <c r="G413" s="112"/>
      <c r="H413" s="112" t="str">
        <f>IF(ISBLANK(E413),"",_xlfn.XLOOKUP(E413,cannabis_log!C:C,cannabis_log!H:H,"",0,1))</f>
        <v>driedflower_milled_bulk</v>
      </c>
      <c r="I413" s="113" t="s">
        <v>55</v>
      </c>
      <c r="J413" s="185">
        <v>-1</v>
      </c>
      <c r="K413" s="186">
        <v>-3058</v>
      </c>
      <c r="L413" s="288">
        <v>0</v>
      </c>
      <c r="M413" s="24"/>
      <c r="N413" s="112" t="s">
        <v>664</v>
      </c>
      <c r="O413" s="187">
        <v>0</v>
      </c>
    </row>
    <row r="414" spans="1:15">
      <c r="A414" s="173" t="str">
        <f t="shared" si="6"/>
        <v>outbound</v>
      </c>
      <c r="B414" s="182">
        <v>45574.470138888886</v>
      </c>
      <c r="C414" s="183" t="s">
        <v>1921</v>
      </c>
      <c r="D414" s="183" t="s">
        <v>2039</v>
      </c>
      <c r="E414" s="215" t="s">
        <v>2177</v>
      </c>
      <c r="F414" s="176" t="s">
        <v>1860</v>
      </c>
      <c r="G414" s="176"/>
      <c r="H414" s="112" t="str">
        <f>IF(ISBLANK(E414),"",_xlfn.XLOOKUP(E414,cannabis_log!C:C,cannabis_log!H:H,"",0,1))</f>
        <v>extract_inhaled_packaged</v>
      </c>
      <c r="I414" s="189" t="s">
        <v>55</v>
      </c>
      <c r="J414" s="185">
        <v>-94</v>
      </c>
      <c r="K414" s="186">
        <v>0</v>
      </c>
      <c r="L414" s="288">
        <v>-47</v>
      </c>
      <c r="M414" s="188"/>
      <c r="N414" s="176" t="s">
        <v>670</v>
      </c>
      <c r="O414" s="180">
        <v>0.5</v>
      </c>
    </row>
    <row r="415" spans="1:15">
      <c r="A415" s="181" t="str">
        <f t="shared" si="6"/>
        <v>outbound</v>
      </c>
      <c r="B415" s="182">
        <v>45574.470138888886</v>
      </c>
      <c r="C415" s="183" t="s">
        <v>1921</v>
      </c>
      <c r="D415" s="183" t="s">
        <v>2039</v>
      </c>
      <c r="E415" s="215" t="s">
        <v>2213</v>
      </c>
      <c r="F415" s="112" t="s">
        <v>1860</v>
      </c>
      <c r="G415" s="112"/>
      <c r="H415" s="112" t="str">
        <f>IF(ISBLANK(E415),"",_xlfn.XLOOKUP(E415,cannabis_log!C:C,cannabis_log!H:H,"",0,1))</f>
        <v>extract_inhaled_labelled</v>
      </c>
      <c r="I415" s="113">
        <v>45574</v>
      </c>
      <c r="J415" s="185">
        <v>-100</v>
      </c>
      <c r="K415" s="186">
        <v>0</v>
      </c>
      <c r="L415" s="288">
        <v>-50</v>
      </c>
      <c r="M415" s="24"/>
      <c r="N415" s="112" t="s">
        <v>670</v>
      </c>
      <c r="O415" s="187">
        <v>0.5</v>
      </c>
    </row>
    <row r="416" spans="1:15">
      <c r="A416" s="181" t="str">
        <f t="shared" si="6"/>
        <v>outbound</v>
      </c>
      <c r="B416" s="182">
        <v>45574.668749999997</v>
      </c>
      <c r="C416" s="183" t="s">
        <v>1921</v>
      </c>
      <c r="D416" s="191" t="s">
        <v>2214</v>
      </c>
      <c r="E416" s="215" t="s">
        <v>2208</v>
      </c>
      <c r="F416" s="112" t="s">
        <v>2094</v>
      </c>
      <c r="G416" s="112"/>
      <c r="H416" s="112" t="str">
        <f>IF(ISBLANK(E416),"",_xlfn.XLOOKUP(E416,cannabis_log!C:C,cannabis_log!H:H,"",0,1))</f>
        <v>extract_inhaled_labelled</v>
      </c>
      <c r="I416" s="113">
        <v>45560</v>
      </c>
      <c r="J416" s="185">
        <v>-108</v>
      </c>
      <c r="K416" s="186">
        <v>0</v>
      </c>
      <c r="L416" s="288">
        <v>-54</v>
      </c>
      <c r="M416" s="24"/>
      <c r="N416" s="112" t="s">
        <v>670</v>
      </c>
      <c r="O416" s="187">
        <v>0.5</v>
      </c>
    </row>
    <row r="417" spans="1:15">
      <c r="A417" s="173" t="str">
        <f t="shared" si="6"/>
        <v>outbound</v>
      </c>
      <c r="B417" s="182">
        <v>45574.668749999997</v>
      </c>
      <c r="C417" s="183" t="s">
        <v>1921</v>
      </c>
      <c r="D417" s="193" t="s">
        <v>2214</v>
      </c>
      <c r="E417" s="215" t="s">
        <v>2153</v>
      </c>
      <c r="F417" s="176" t="s">
        <v>2094</v>
      </c>
      <c r="G417" s="176"/>
      <c r="H417" s="112" t="str">
        <f>IF(ISBLANK(E417),"",_xlfn.XLOOKUP(E417,cannabis_log!C:C,cannabis_log!H:H,"",0,1))</f>
        <v>extract_inhaled_labelled</v>
      </c>
      <c r="I417" s="189">
        <v>45555</v>
      </c>
      <c r="J417" s="185">
        <v>-5</v>
      </c>
      <c r="K417" s="186">
        <v>0</v>
      </c>
      <c r="L417" s="288">
        <v>-2.5</v>
      </c>
      <c r="M417" s="188"/>
      <c r="N417" s="176" t="s">
        <v>670</v>
      </c>
      <c r="O417" s="180">
        <v>0.5</v>
      </c>
    </row>
    <row r="418" spans="1:15">
      <c r="A418" s="181" t="str">
        <f t="shared" si="6"/>
        <v>outbound</v>
      </c>
      <c r="B418" s="182">
        <v>45574.668749999997</v>
      </c>
      <c r="C418" s="183" t="s">
        <v>1921</v>
      </c>
      <c r="D418" s="191" t="s">
        <v>2214</v>
      </c>
      <c r="E418" s="215" t="s">
        <v>2142</v>
      </c>
      <c r="F418" s="112" t="s">
        <v>2094</v>
      </c>
      <c r="G418" s="112"/>
      <c r="H418" s="112" t="str">
        <f>IF(ISBLANK(E418),"",_xlfn.XLOOKUP(E418,cannabis_log!C:C,cannabis_log!H:H,"",0,1))</f>
        <v>extract_inhaled_labelled</v>
      </c>
      <c r="I418" s="113">
        <v>45560</v>
      </c>
      <c r="J418" s="185">
        <v>-5</v>
      </c>
      <c r="K418" s="186">
        <v>0</v>
      </c>
      <c r="L418" s="288">
        <v>-2.5</v>
      </c>
      <c r="M418" s="24"/>
      <c r="N418" s="112" t="s">
        <v>670</v>
      </c>
      <c r="O418" s="187">
        <v>0.5</v>
      </c>
    </row>
    <row r="419" spans="1:15">
      <c r="A419" s="173" t="str">
        <f t="shared" si="6"/>
        <v>outbound</v>
      </c>
      <c r="B419" s="182">
        <v>45574.668749999997</v>
      </c>
      <c r="C419" s="183" t="s">
        <v>1921</v>
      </c>
      <c r="D419" s="193" t="s">
        <v>2214</v>
      </c>
      <c r="E419" s="215" t="s">
        <v>2210</v>
      </c>
      <c r="F419" s="176" t="s">
        <v>2100</v>
      </c>
      <c r="G419" s="176"/>
      <c r="H419" s="112" t="str">
        <f>IF(ISBLANK(E419),"",_xlfn.XLOOKUP(E419,cannabis_log!C:C,cannabis_log!H:H,"",0,1))</f>
        <v>extract_inhaled_labelled</v>
      </c>
      <c r="I419" s="189">
        <v>45560</v>
      </c>
      <c r="J419" s="185">
        <v>-108</v>
      </c>
      <c r="K419" s="186">
        <v>0</v>
      </c>
      <c r="L419" s="288">
        <v>-54</v>
      </c>
      <c r="M419" s="188"/>
      <c r="N419" s="176" t="s">
        <v>670</v>
      </c>
      <c r="O419" s="180">
        <v>0.5</v>
      </c>
    </row>
    <row r="420" spans="1:15">
      <c r="A420" s="181" t="str">
        <f t="shared" si="6"/>
        <v>outbound</v>
      </c>
      <c r="B420" s="182">
        <v>45574.668749999997</v>
      </c>
      <c r="C420" s="183" t="s">
        <v>1921</v>
      </c>
      <c r="D420" s="191" t="s">
        <v>2214</v>
      </c>
      <c r="E420" s="215" t="s">
        <v>2149</v>
      </c>
      <c r="F420" s="112" t="s">
        <v>2100</v>
      </c>
      <c r="G420" s="112"/>
      <c r="H420" s="112" t="str">
        <f>IF(ISBLANK(E420),"",_xlfn.XLOOKUP(E420,cannabis_log!C:C,cannabis_log!H:H,"",0,1))</f>
        <v>extract_inhaled_labelled</v>
      </c>
      <c r="I420" s="113">
        <v>45560</v>
      </c>
      <c r="J420" s="185">
        <v>-12</v>
      </c>
      <c r="K420" s="186">
        <v>0</v>
      </c>
      <c r="L420" s="288">
        <v>-6</v>
      </c>
      <c r="M420" s="24"/>
      <c r="N420" s="112" t="s">
        <v>670</v>
      </c>
      <c r="O420" s="187">
        <v>0.5</v>
      </c>
    </row>
    <row r="421" spans="1:15">
      <c r="A421" s="173" t="str">
        <f t="shared" si="6"/>
        <v>outbound</v>
      </c>
      <c r="B421" s="182">
        <v>45574.668749999997</v>
      </c>
      <c r="C421" s="183" t="s">
        <v>1921</v>
      </c>
      <c r="D421" s="183"/>
      <c r="E421" s="215" t="s">
        <v>2175</v>
      </c>
      <c r="F421" s="176" t="s">
        <v>905</v>
      </c>
      <c r="G421" s="176"/>
      <c r="H421" s="112" t="str">
        <f>IF(ISBLANK(E421),"",_xlfn.XLOOKUP(E421,cannabis_log!C:C,cannabis_log!H:H,"",0,1))</f>
        <v>preroll_packaged</v>
      </c>
      <c r="I421" s="189" t="s">
        <v>55</v>
      </c>
      <c r="J421" s="185">
        <v>-58</v>
      </c>
      <c r="K421" s="186">
        <v>0</v>
      </c>
      <c r="L421" s="288">
        <v>-87</v>
      </c>
      <c r="M421" s="188"/>
      <c r="N421" s="176" t="s">
        <v>670</v>
      </c>
      <c r="O421" s="180">
        <v>1.5</v>
      </c>
    </row>
    <row r="422" spans="1:15">
      <c r="A422" s="181" t="str">
        <f t="shared" si="6"/>
        <v>outbound</v>
      </c>
      <c r="B422" s="182">
        <v>45574.713888888888</v>
      </c>
      <c r="C422" s="183" t="s">
        <v>1921</v>
      </c>
      <c r="D422" s="183"/>
      <c r="E422" s="215" t="s">
        <v>2012</v>
      </c>
      <c r="F422" s="112" t="s">
        <v>905</v>
      </c>
      <c r="G422" s="112"/>
      <c r="H422" s="112" t="str">
        <f>IF(ISBLANK(E422),"",_xlfn.XLOOKUP(E422,cannabis_log!C:C,cannabis_log!H:H,"",0,1))</f>
        <v>preroll_bulk</v>
      </c>
      <c r="I422" s="113" t="s">
        <v>55</v>
      </c>
      <c r="J422" s="185">
        <v>-35</v>
      </c>
      <c r="K422" s="186">
        <v>0</v>
      </c>
      <c r="L422" s="288">
        <v>-17.5</v>
      </c>
      <c r="M422" s="24"/>
      <c r="N422" s="112" t="s">
        <v>670</v>
      </c>
      <c r="O422" s="187">
        <v>0.5</v>
      </c>
    </row>
    <row r="423" spans="1:15">
      <c r="A423" s="173" t="str">
        <f t="shared" si="6"/>
        <v>outbound</v>
      </c>
      <c r="B423" s="182">
        <v>45574.713888888888</v>
      </c>
      <c r="C423" s="183" t="s">
        <v>1921</v>
      </c>
      <c r="D423" s="183"/>
      <c r="E423" s="215" t="s">
        <v>2092</v>
      </c>
      <c r="F423" s="176" t="s">
        <v>2075</v>
      </c>
      <c r="G423" s="176"/>
      <c r="H423" s="112" t="str">
        <f>IF(ISBLANK(E423),"",_xlfn.XLOOKUP(E423,cannabis_log!C:C,cannabis_log!H:H,"",0,1))</f>
        <v>preroll_bulk</v>
      </c>
      <c r="I423" s="189" t="s">
        <v>55</v>
      </c>
      <c r="J423" s="185">
        <v>-188</v>
      </c>
      <c r="K423" s="186">
        <v>0</v>
      </c>
      <c r="L423" s="288">
        <v>-94</v>
      </c>
      <c r="M423" s="188"/>
      <c r="N423" s="176" t="s">
        <v>670</v>
      </c>
      <c r="O423" s="180">
        <v>0.5</v>
      </c>
    </row>
    <row r="424" spans="1:15">
      <c r="A424" s="181" t="str">
        <f t="shared" si="6"/>
        <v>outbound</v>
      </c>
      <c r="B424" s="182">
        <v>45574.713888888888</v>
      </c>
      <c r="C424" s="183" t="s">
        <v>1921</v>
      </c>
      <c r="D424" s="183"/>
      <c r="E424" s="215" t="s">
        <v>2215</v>
      </c>
      <c r="F424" s="112" t="s">
        <v>2075</v>
      </c>
      <c r="G424" s="112"/>
      <c r="H424" s="112" t="str">
        <f>IF(ISBLANK(E424),"",_xlfn.XLOOKUP(E424,cannabis_log!C:C,cannabis_log!H:H,"",0,1))</f>
        <v>preroll_bulk</v>
      </c>
      <c r="I424" s="113" t="s">
        <v>55</v>
      </c>
      <c r="J424" s="185">
        <v>-337</v>
      </c>
      <c r="K424" s="186">
        <v>0</v>
      </c>
      <c r="L424" s="288">
        <v>-168.5</v>
      </c>
      <c r="M424" s="24"/>
      <c r="N424" s="112" t="s">
        <v>670</v>
      </c>
      <c r="O424" s="187">
        <v>0.5</v>
      </c>
    </row>
    <row r="425" spans="1:15">
      <c r="A425" s="173" t="str">
        <f t="shared" si="6"/>
        <v>outbound</v>
      </c>
      <c r="B425" s="182">
        <v>45574.713888888888</v>
      </c>
      <c r="C425" s="183" t="s">
        <v>1921</v>
      </c>
      <c r="D425" s="183"/>
      <c r="E425" s="215" t="s">
        <v>2216</v>
      </c>
      <c r="F425" s="176" t="s">
        <v>2075</v>
      </c>
      <c r="G425" s="176"/>
      <c r="H425" s="112" t="str">
        <f>IF(ISBLANK(E425),"",_xlfn.XLOOKUP(E425,cannabis_log!C:C,cannabis_log!H:H,"",0,1))</f>
        <v>preroll_bulk</v>
      </c>
      <c r="I425" s="189" t="s">
        <v>55</v>
      </c>
      <c r="J425" s="185">
        <v>-338</v>
      </c>
      <c r="K425" s="186">
        <v>0</v>
      </c>
      <c r="L425" s="288">
        <v>-169</v>
      </c>
      <c r="M425" s="188"/>
      <c r="N425" s="176" t="s">
        <v>670</v>
      </c>
      <c r="O425" s="180">
        <v>0.5</v>
      </c>
    </row>
    <row r="426" spans="1:15">
      <c r="A426" s="181" t="str">
        <f t="shared" si="6"/>
        <v>outbound</v>
      </c>
      <c r="B426" s="182">
        <v>45574.713888888888</v>
      </c>
      <c r="C426" s="183" t="s">
        <v>1921</v>
      </c>
      <c r="D426" s="183"/>
      <c r="E426" s="215" t="s">
        <v>2140</v>
      </c>
      <c r="F426" s="112" t="s">
        <v>2075</v>
      </c>
      <c r="G426" s="112"/>
      <c r="H426" s="112" t="str">
        <f>IF(ISBLANK(E426),"",_xlfn.XLOOKUP(E426,cannabis_log!C:C,cannabis_log!H:H,"",0,1))</f>
        <v>preroll_bulk</v>
      </c>
      <c r="I426" s="113" t="s">
        <v>55</v>
      </c>
      <c r="J426" s="185">
        <v>-338</v>
      </c>
      <c r="K426" s="186">
        <v>0</v>
      </c>
      <c r="L426" s="288">
        <v>-169</v>
      </c>
      <c r="M426" s="24"/>
      <c r="N426" s="112" t="s">
        <v>670</v>
      </c>
      <c r="O426" s="187">
        <v>0.5</v>
      </c>
    </row>
    <row r="427" spans="1:15">
      <c r="A427" s="173" t="str">
        <f t="shared" si="6"/>
        <v>outbound</v>
      </c>
      <c r="B427" s="182">
        <v>45574.713888888888</v>
      </c>
      <c r="C427" s="183" t="s">
        <v>1921</v>
      </c>
      <c r="D427" s="183"/>
      <c r="E427" s="215" t="s">
        <v>2217</v>
      </c>
      <c r="F427" s="176" t="s">
        <v>2075</v>
      </c>
      <c r="G427" s="176"/>
      <c r="H427" s="112" t="str">
        <f>IF(ISBLANK(E427),"",_xlfn.XLOOKUP(E427,cannabis_log!C:C,cannabis_log!H:H,"",0,1))</f>
        <v>preroll_bulk</v>
      </c>
      <c r="I427" s="189" t="s">
        <v>55</v>
      </c>
      <c r="J427" s="185">
        <v>-338</v>
      </c>
      <c r="K427" s="186">
        <v>0</v>
      </c>
      <c r="L427" s="288">
        <v>-169</v>
      </c>
      <c r="M427" s="188"/>
      <c r="N427" s="176" t="s">
        <v>670</v>
      </c>
      <c r="O427" s="180">
        <v>0.5</v>
      </c>
    </row>
    <row r="428" spans="1:15">
      <c r="A428" s="181" t="str">
        <f t="shared" si="6"/>
        <v>outbound</v>
      </c>
      <c r="B428" s="182">
        <v>45574.713888888888</v>
      </c>
      <c r="C428" s="183" t="s">
        <v>1921</v>
      </c>
      <c r="D428" s="183"/>
      <c r="E428" s="215" t="s">
        <v>2218</v>
      </c>
      <c r="F428" s="112" t="s">
        <v>1313</v>
      </c>
      <c r="G428" s="112"/>
      <c r="H428" s="112" t="str">
        <f>IF(ISBLANK(E428),"",_xlfn.XLOOKUP(E428,cannabis_log!C:C,cannabis_log!H:H,"",0,1))</f>
        <v>preroll_packaged</v>
      </c>
      <c r="I428" s="113" t="s">
        <v>55</v>
      </c>
      <c r="J428" s="185">
        <v>-345</v>
      </c>
      <c r="K428" s="186">
        <v>0</v>
      </c>
      <c r="L428" s="288">
        <v>-517.5</v>
      </c>
      <c r="M428" s="24"/>
      <c r="N428" s="112" t="s">
        <v>670</v>
      </c>
      <c r="O428" s="187">
        <v>1.5</v>
      </c>
    </row>
    <row r="429" spans="1:15">
      <c r="A429" s="181" t="str">
        <f t="shared" si="6"/>
        <v>outbound</v>
      </c>
      <c r="B429" s="182">
        <v>45575</v>
      </c>
      <c r="C429" s="183" t="s">
        <v>1929</v>
      </c>
      <c r="D429" s="183"/>
      <c r="E429" s="215" t="s">
        <v>2219</v>
      </c>
      <c r="F429" s="112" t="s">
        <v>535</v>
      </c>
      <c r="G429" s="112"/>
      <c r="H429" s="112" t="str">
        <f>IF(ISBLANK(E429),"",_xlfn.XLOOKUP(E429,cannabis_log!C:C,cannabis_log!H:H,"",0,1))</f>
        <v>preroll_cased_MB</v>
      </c>
      <c r="I429" s="113">
        <v>45588</v>
      </c>
      <c r="J429" s="185">
        <v>-12</v>
      </c>
      <c r="K429" s="186">
        <v>0</v>
      </c>
      <c r="L429" s="288">
        <v>-18</v>
      </c>
      <c r="M429" s="24"/>
      <c r="N429" s="112" t="s">
        <v>670</v>
      </c>
      <c r="O429" s="187">
        <v>1.5</v>
      </c>
    </row>
    <row r="430" spans="1:15">
      <c r="A430" s="173" t="str">
        <f t="shared" si="6"/>
        <v>outbound</v>
      </c>
      <c r="B430" s="182">
        <v>45575.464583333334</v>
      </c>
      <c r="C430" s="183" t="s">
        <v>1929</v>
      </c>
      <c r="D430" s="193" t="s">
        <v>2214</v>
      </c>
      <c r="E430" s="215" t="s">
        <v>2142</v>
      </c>
      <c r="F430" s="176" t="s">
        <v>2094</v>
      </c>
      <c r="G430" s="176"/>
      <c r="H430" s="112" t="str">
        <f>IF(ISBLANK(E430),"",_xlfn.XLOOKUP(E430,cannabis_log!C:C,cannabis_log!H:H,"",0,1))</f>
        <v>extract_inhaled_labelled</v>
      </c>
      <c r="I430" s="189">
        <v>45560</v>
      </c>
      <c r="J430" s="185">
        <v>-2</v>
      </c>
      <c r="K430" s="186">
        <v>0</v>
      </c>
      <c r="L430" s="288">
        <v>-1</v>
      </c>
      <c r="M430" s="188"/>
      <c r="N430" s="176" t="s">
        <v>670</v>
      </c>
      <c r="O430" s="180">
        <v>0.5</v>
      </c>
    </row>
    <row r="431" spans="1:15">
      <c r="A431" s="173" t="str">
        <f t="shared" si="6"/>
        <v>outbound</v>
      </c>
      <c r="B431" s="182">
        <v>45575.509722222225</v>
      </c>
      <c r="C431" s="183" t="s">
        <v>1929</v>
      </c>
      <c r="D431" s="183" t="s">
        <v>2220</v>
      </c>
      <c r="E431" s="215" t="s">
        <v>2132</v>
      </c>
      <c r="F431" s="176" t="s">
        <v>1313</v>
      </c>
      <c r="G431" s="176"/>
      <c r="H431" s="112" t="str">
        <f>IF(ISBLANK(E431),"",_xlfn.XLOOKUP(E431,cannabis_log!C:C,cannabis_log!H:H,"",0,1))</f>
        <v>preroll_labelled</v>
      </c>
      <c r="I431" s="189">
        <v>45523</v>
      </c>
      <c r="J431" s="185">
        <v>-12</v>
      </c>
      <c r="K431" s="186">
        <v>0</v>
      </c>
      <c r="L431" s="288">
        <v>-18</v>
      </c>
      <c r="M431" s="188"/>
      <c r="N431" s="176" t="s">
        <v>670</v>
      </c>
      <c r="O431" s="180">
        <v>1.5</v>
      </c>
    </row>
    <row r="432" spans="1:15">
      <c r="A432" s="181" t="str">
        <f t="shared" si="6"/>
        <v>outbound</v>
      </c>
      <c r="B432" s="182">
        <v>45575.509722222225</v>
      </c>
      <c r="C432" s="183" t="s">
        <v>1929</v>
      </c>
      <c r="D432" s="183" t="s">
        <v>2220</v>
      </c>
      <c r="E432" s="215" t="s">
        <v>2016</v>
      </c>
      <c r="F432" s="112" t="s">
        <v>869</v>
      </c>
      <c r="G432" s="112"/>
      <c r="H432" s="112" t="str">
        <f>IF(ISBLANK(E432),"",_xlfn.XLOOKUP(E432,cannabis_log!C:C,cannabis_log!H:H,"",0,1))</f>
        <v>preroll_labelled</v>
      </c>
      <c r="I432" s="113">
        <v>45498</v>
      </c>
      <c r="J432" s="185">
        <v>-12</v>
      </c>
      <c r="K432" s="186">
        <v>0</v>
      </c>
      <c r="L432" s="288">
        <v>-18</v>
      </c>
      <c r="M432" s="24"/>
      <c r="N432" s="112" t="s">
        <v>670</v>
      </c>
      <c r="O432" s="187">
        <v>1.5</v>
      </c>
    </row>
    <row r="433" spans="1:15">
      <c r="A433" s="173" t="str">
        <f t="shared" si="6"/>
        <v>inbound</v>
      </c>
      <c r="B433" s="182">
        <v>45575.624305555553</v>
      </c>
      <c r="C433" s="183" t="s">
        <v>1927</v>
      </c>
      <c r="D433" s="183"/>
      <c r="E433" s="215" t="s">
        <v>2213</v>
      </c>
      <c r="F433" s="176" t="s">
        <v>1860</v>
      </c>
      <c r="G433" s="176"/>
      <c r="H433" s="112" t="str">
        <f>IF(ISBLANK(E433),"",_xlfn.XLOOKUP(E433,cannabis_log!C:C,cannabis_log!H:H,"",0,1))</f>
        <v>extract_inhaled_labelled</v>
      </c>
      <c r="I433" s="189">
        <v>45574</v>
      </c>
      <c r="J433" s="185">
        <v>20</v>
      </c>
      <c r="K433" s="186">
        <v>0</v>
      </c>
      <c r="L433" s="288">
        <v>10</v>
      </c>
      <c r="M433" s="188"/>
      <c r="N433" s="176" t="s">
        <v>670</v>
      </c>
      <c r="O433" s="180">
        <v>0.5</v>
      </c>
    </row>
    <row r="434" spans="1:15">
      <c r="A434" s="181" t="str">
        <f t="shared" si="6"/>
        <v>inbound</v>
      </c>
      <c r="B434" s="182">
        <v>45575.654861111114</v>
      </c>
      <c r="C434" s="183" t="s">
        <v>1927</v>
      </c>
      <c r="D434" s="183"/>
      <c r="E434" s="215" t="s">
        <v>2031</v>
      </c>
      <c r="F434" s="112">
        <v>2024101701</v>
      </c>
      <c r="G434" s="112"/>
      <c r="H434" s="112" t="str">
        <f>IF(ISBLANK(E434),"",_xlfn.XLOOKUP(E434,cannabis_log!C:C,cannabis_log!H:H,"",0,1))</f>
        <v>extract_distillate_bulk</v>
      </c>
      <c r="I434" s="113">
        <v>45523</v>
      </c>
      <c r="J434" s="185">
        <v>1</v>
      </c>
      <c r="K434" s="186">
        <v>2835</v>
      </c>
      <c r="L434" s="288">
        <v>0</v>
      </c>
      <c r="M434" s="24"/>
      <c r="N434" s="112" t="s">
        <v>664</v>
      </c>
      <c r="O434" s="187">
        <v>0</v>
      </c>
    </row>
    <row r="435" spans="1:15">
      <c r="A435" s="173" t="str">
        <f t="shared" si="6"/>
        <v>outbound</v>
      </c>
      <c r="B435" s="182">
        <v>45576.409722222219</v>
      </c>
      <c r="C435" s="183" t="s">
        <v>1929</v>
      </c>
      <c r="D435" s="183" t="s">
        <v>2221</v>
      </c>
      <c r="E435" s="215" t="s">
        <v>1952</v>
      </c>
      <c r="F435" s="176" t="s">
        <v>1609</v>
      </c>
      <c r="G435" s="176"/>
      <c r="H435" s="112" t="str">
        <f>IF(ISBLANK(E435),"",_xlfn.XLOOKUP(E435,cannabis_log!C:C,cannabis_log!H:H,"",0,1))</f>
        <v>preroll_labelled</v>
      </c>
      <c r="I435" s="189">
        <v>45462</v>
      </c>
      <c r="J435" s="185">
        <v>-12</v>
      </c>
      <c r="K435" s="186">
        <v>0</v>
      </c>
      <c r="L435" s="288">
        <v>-12</v>
      </c>
      <c r="M435" s="188"/>
      <c r="N435" s="176" t="s">
        <v>670</v>
      </c>
      <c r="O435" s="180">
        <v>1</v>
      </c>
    </row>
    <row r="436" spans="1:15">
      <c r="A436" s="181" t="str">
        <f t="shared" si="6"/>
        <v>outbound</v>
      </c>
      <c r="B436" s="182">
        <v>45576.413888888892</v>
      </c>
      <c r="C436" s="183" t="s">
        <v>1929</v>
      </c>
      <c r="D436" s="183" t="s">
        <v>2221</v>
      </c>
      <c r="E436" s="215" t="s">
        <v>2102</v>
      </c>
      <c r="F436" s="112" t="s">
        <v>828</v>
      </c>
      <c r="G436" s="112"/>
      <c r="H436" s="112" t="str">
        <f>IF(ISBLANK(E436),"",_xlfn.XLOOKUP(E436,cannabis_log!C:C,cannabis_log!H:H,"",0,1))</f>
        <v>preroll_labelled</v>
      </c>
      <c r="I436" s="113">
        <v>45541</v>
      </c>
      <c r="J436" s="185">
        <v>-12</v>
      </c>
      <c r="K436" s="186">
        <v>0</v>
      </c>
      <c r="L436" s="288">
        <v>-12</v>
      </c>
      <c r="M436" s="24"/>
      <c r="N436" s="112" t="s">
        <v>670</v>
      </c>
      <c r="O436" s="187">
        <v>1</v>
      </c>
    </row>
    <row r="437" spans="1:15">
      <c r="A437" s="173" t="str">
        <f t="shared" si="6"/>
        <v>outbound</v>
      </c>
      <c r="B437" s="182">
        <v>45576.413888888892</v>
      </c>
      <c r="C437" s="183" t="s">
        <v>1929</v>
      </c>
      <c r="D437" s="183" t="s">
        <v>2221</v>
      </c>
      <c r="E437" s="215" t="s">
        <v>2212</v>
      </c>
      <c r="F437" s="176" t="s">
        <v>2096</v>
      </c>
      <c r="G437" s="176"/>
      <c r="H437" s="112" t="str">
        <f>IF(ISBLANK(E437),"",_xlfn.XLOOKUP(E437,cannabis_log!C:C,cannabis_log!H:H,"",0,1))</f>
        <v>extract_inhaled_labelled</v>
      </c>
      <c r="I437" s="189">
        <v>45569</v>
      </c>
      <c r="J437" s="185">
        <v>-12</v>
      </c>
      <c r="K437" s="186">
        <v>0</v>
      </c>
      <c r="L437" s="288">
        <v>-6</v>
      </c>
      <c r="M437" s="188"/>
      <c r="N437" s="176" t="s">
        <v>670</v>
      </c>
      <c r="O437" s="180">
        <v>0.5</v>
      </c>
    </row>
    <row r="438" spans="1:15">
      <c r="A438" s="181" t="str">
        <f t="shared" si="6"/>
        <v>outbound</v>
      </c>
      <c r="B438" s="182">
        <v>45576.413888888892</v>
      </c>
      <c r="C438" s="183" t="s">
        <v>1929</v>
      </c>
      <c r="D438" s="183" t="s">
        <v>2221</v>
      </c>
      <c r="E438" s="215" t="s">
        <v>2213</v>
      </c>
      <c r="F438" s="112" t="s">
        <v>1860</v>
      </c>
      <c r="G438" s="112"/>
      <c r="H438" s="112" t="str">
        <f>IF(ISBLANK(E438),"",_xlfn.XLOOKUP(E438,cannabis_log!C:C,cannabis_log!H:H,"",0,1))</f>
        <v>extract_inhaled_labelled</v>
      </c>
      <c r="I438" s="113">
        <v>45574</v>
      </c>
      <c r="J438" s="185">
        <v>-12</v>
      </c>
      <c r="K438" s="186">
        <v>0</v>
      </c>
      <c r="L438" s="288">
        <v>-6</v>
      </c>
      <c r="M438" s="24"/>
      <c r="N438" s="112" t="s">
        <v>670</v>
      </c>
      <c r="O438" s="187">
        <v>0.5</v>
      </c>
    </row>
    <row r="439" spans="1:15">
      <c r="A439" s="173" t="str">
        <f t="shared" si="6"/>
        <v>outbound</v>
      </c>
      <c r="B439" s="182">
        <v>45576.425694444442</v>
      </c>
      <c r="C439" s="183" t="s">
        <v>1929</v>
      </c>
      <c r="D439" s="193" t="s">
        <v>2222</v>
      </c>
      <c r="E439" s="215" t="s">
        <v>2169</v>
      </c>
      <c r="F439" s="176" t="s">
        <v>1311</v>
      </c>
      <c r="G439" s="176"/>
      <c r="H439" s="112" t="str">
        <f>IF(ISBLANK(E439),"",_xlfn.XLOOKUP(E439,cannabis_log!C:C,cannabis_log!H:H,"",0,1))</f>
        <v>preroll_labelled</v>
      </c>
      <c r="I439" s="189">
        <v>45532</v>
      </c>
      <c r="J439" s="185">
        <v>-216</v>
      </c>
      <c r="K439" s="186">
        <v>0</v>
      </c>
      <c r="L439" s="288">
        <v>-216</v>
      </c>
      <c r="M439" s="188"/>
      <c r="N439" s="176" t="s">
        <v>670</v>
      </c>
      <c r="O439" s="180">
        <v>1</v>
      </c>
    </row>
    <row r="440" spans="1:15">
      <c r="A440" s="181" t="str">
        <f t="shared" si="6"/>
        <v>outbound</v>
      </c>
      <c r="B440" s="182">
        <v>45576.433333333334</v>
      </c>
      <c r="C440" s="183" t="s">
        <v>1929</v>
      </c>
      <c r="D440" s="191" t="s">
        <v>2222</v>
      </c>
      <c r="E440" s="215" t="s">
        <v>1988</v>
      </c>
      <c r="F440" s="112" t="s">
        <v>1221</v>
      </c>
      <c r="G440" s="112"/>
      <c r="H440" s="112" t="str">
        <f>IF(ISBLANK(E440),"",_xlfn.XLOOKUP(E440,cannabis_log!C:C,cannabis_log!H:H,"",0,1))</f>
        <v>preroll_bulk</v>
      </c>
      <c r="I440" s="113">
        <v>45443</v>
      </c>
      <c r="J440" s="185">
        <v>-3293</v>
      </c>
      <c r="K440" s="186">
        <v>0</v>
      </c>
      <c r="L440" s="288">
        <v>-1646.5</v>
      </c>
      <c r="M440" s="24"/>
      <c r="N440" s="112" t="s">
        <v>670</v>
      </c>
      <c r="O440" s="187">
        <v>0.5</v>
      </c>
    </row>
    <row r="441" spans="1:15">
      <c r="A441" s="173" t="str">
        <f t="shared" si="6"/>
        <v>outbound</v>
      </c>
      <c r="B441" s="182">
        <v>45576.439583333333</v>
      </c>
      <c r="C441" s="183" t="s">
        <v>1921</v>
      </c>
      <c r="D441" s="193" t="s">
        <v>2223</v>
      </c>
      <c r="E441" s="215" t="s">
        <v>2172</v>
      </c>
      <c r="F441" s="176" t="s">
        <v>1312</v>
      </c>
      <c r="G441" s="176"/>
      <c r="H441" s="112" t="str">
        <f>IF(ISBLANK(E441),"",_xlfn.XLOOKUP(E441,cannabis_log!C:C,cannabis_log!H:H,"",0,1))</f>
        <v>preroll_labelled</v>
      </c>
      <c r="I441" s="189">
        <v>45575</v>
      </c>
      <c r="J441" s="185">
        <v>-34</v>
      </c>
      <c r="K441" s="186">
        <v>0</v>
      </c>
      <c r="L441" s="288">
        <v>-51</v>
      </c>
      <c r="M441" s="188"/>
      <c r="N441" s="176" t="s">
        <v>670</v>
      </c>
      <c r="O441" s="180">
        <v>1.5</v>
      </c>
    </row>
    <row r="442" spans="1:15">
      <c r="A442" s="181" t="str">
        <f t="shared" si="6"/>
        <v>outbound</v>
      </c>
      <c r="B442" s="182">
        <v>45579.621527777781</v>
      </c>
      <c r="C442" s="183" t="s">
        <v>1929</v>
      </c>
      <c r="D442" s="183" t="s">
        <v>2224</v>
      </c>
      <c r="E442" s="215" t="s">
        <v>2207</v>
      </c>
      <c r="F442" s="112" t="s">
        <v>1315</v>
      </c>
      <c r="G442" s="112"/>
      <c r="H442" s="112" t="str">
        <f>IF(ISBLANK(E442),"",_xlfn.XLOOKUP(E442,cannabis_log!C:C,cannabis_log!H:H,"",0,1))</f>
        <v>extract_inhaled_labelled</v>
      </c>
      <c r="I442" s="113">
        <v>45555</v>
      </c>
      <c r="J442" s="185">
        <v>-12</v>
      </c>
      <c r="K442" s="186">
        <v>0</v>
      </c>
      <c r="L442" s="288">
        <v>-6</v>
      </c>
      <c r="M442" s="24"/>
      <c r="N442" s="112" t="s">
        <v>670</v>
      </c>
      <c r="O442" s="187">
        <v>0.5</v>
      </c>
    </row>
    <row r="443" spans="1:15">
      <c r="A443" s="173" t="str">
        <f t="shared" si="6"/>
        <v>outbound</v>
      </c>
      <c r="B443" s="182">
        <v>45579.621527777781</v>
      </c>
      <c r="C443" s="183" t="s">
        <v>1929</v>
      </c>
      <c r="D443" s="183" t="s">
        <v>2224</v>
      </c>
      <c r="E443" s="215" t="s">
        <v>2142</v>
      </c>
      <c r="F443" s="176" t="s">
        <v>2094</v>
      </c>
      <c r="G443" s="176"/>
      <c r="H443" s="112" t="str">
        <f>IF(ISBLANK(E443),"",_xlfn.XLOOKUP(E443,cannabis_log!C:C,cannabis_log!H:H,"",0,1))</f>
        <v>extract_inhaled_labelled</v>
      </c>
      <c r="I443" s="189">
        <v>45560</v>
      </c>
      <c r="J443" s="185">
        <v>-12</v>
      </c>
      <c r="K443" s="186">
        <v>0</v>
      </c>
      <c r="L443" s="288">
        <v>-6</v>
      </c>
      <c r="M443" s="188"/>
      <c r="N443" s="176" t="s">
        <v>670</v>
      </c>
      <c r="O443" s="180">
        <v>0.5</v>
      </c>
    </row>
    <row r="444" spans="1:15">
      <c r="A444" s="181" t="str">
        <f t="shared" si="6"/>
        <v>outbound</v>
      </c>
      <c r="B444" s="182">
        <v>45579.621527777781</v>
      </c>
      <c r="C444" s="183" t="s">
        <v>1929</v>
      </c>
      <c r="D444" s="183" t="s">
        <v>2224</v>
      </c>
      <c r="E444" s="215" t="s">
        <v>2149</v>
      </c>
      <c r="F444" s="112" t="s">
        <v>2100</v>
      </c>
      <c r="G444" s="112"/>
      <c r="H444" s="112" t="str">
        <f>IF(ISBLANK(E444),"",_xlfn.XLOOKUP(E444,cannabis_log!C:C,cannabis_log!H:H,"",0,1))</f>
        <v>extract_inhaled_labelled</v>
      </c>
      <c r="I444" s="113">
        <v>45560</v>
      </c>
      <c r="J444" s="185">
        <v>-12</v>
      </c>
      <c r="K444" s="186">
        <v>0</v>
      </c>
      <c r="L444" s="288">
        <v>-6</v>
      </c>
      <c r="M444" s="24"/>
      <c r="N444" s="112" t="s">
        <v>670</v>
      </c>
      <c r="O444" s="187">
        <v>0.5</v>
      </c>
    </row>
    <row r="445" spans="1:15">
      <c r="A445" s="173" t="str">
        <f t="shared" si="6"/>
        <v>outbound</v>
      </c>
      <c r="B445" s="182">
        <v>45579.621527777781</v>
      </c>
      <c r="C445" s="183" t="s">
        <v>1929</v>
      </c>
      <c r="D445" s="183" t="s">
        <v>2224</v>
      </c>
      <c r="E445" s="215" t="s">
        <v>2212</v>
      </c>
      <c r="F445" s="176" t="s">
        <v>2096</v>
      </c>
      <c r="G445" s="176"/>
      <c r="H445" s="112" t="str">
        <f>IF(ISBLANK(E445),"",_xlfn.XLOOKUP(E445,cannabis_log!C:C,cannabis_log!H:H,"",0,1))</f>
        <v>extract_inhaled_labelled</v>
      </c>
      <c r="I445" s="189">
        <v>45569</v>
      </c>
      <c r="J445" s="185">
        <v>-12</v>
      </c>
      <c r="K445" s="186">
        <v>0</v>
      </c>
      <c r="L445" s="288">
        <v>-6</v>
      </c>
      <c r="M445" s="188"/>
      <c r="N445" s="176" t="s">
        <v>670</v>
      </c>
      <c r="O445" s="180">
        <v>0.5</v>
      </c>
    </row>
    <row r="446" spans="1:15">
      <c r="A446" s="181" t="str">
        <f t="shared" si="6"/>
        <v>outbound</v>
      </c>
      <c r="B446" s="182">
        <v>45579.621527777781</v>
      </c>
      <c r="C446" s="183" t="s">
        <v>1929</v>
      </c>
      <c r="D446" s="183" t="s">
        <v>2224</v>
      </c>
      <c r="E446" s="215" t="s">
        <v>2213</v>
      </c>
      <c r="F446" s="112" t="s">
        <v>1860</v>
      </c>
      <c r="G446" s="112"/>
      <c r="H446" s="112" t="str">
        <f>IF(ISBLANK(E446),"",_xlfn.XLOOKUP(E446,cannabis_log!C:C,cannabis_log!H:H,"",0,1))</f>
        <v>extract_inhaled_labelled</v>
      </c>
      <c r="I446" s="113">
        <v>45574</v>
      </c>
      <c r="J446" s="185">
        <v>-12</v>
      </c>
      <c r="K446" s="186">
        <v>0</v>
      </c>
      <c r="L446" s="288">
        <v>-6</v>
      </c>
      <c r="M446" s="24"/>
      <c r="N446" s="112" t="s">
        <v>670</v>
      </c>
      <c r="O446" s="187">
        <v>0.5</v>
      </c>
    </row>
    <row r="447" spans="1:15">
      <c r="A447" s="173" t="str">
        <f t="shared" si="6"/>
        <v>outbound</v>
      </c>
      <c r="B447" s="182">
        <v>45579.629166666666</v>
      </c>
      <c r="C447" s="183" t="s">
        <v>1921</v>
      </c>
      <c r="D447" s="183" t="s">
        <v>2225</v>
      </c>
      <c r="E447" s="215" t="s">
        <v>2003</v>
      </c>
      <c r="F447" s="176" t="s">
        <v>1986</v>
      </c>
      <c r="G447" s="176"/>
      <c r="H447" s="112" t="str">
        <f>IF(ISBLANK(E447),"",_xlfn.XLOOKUP(E447,cannabis_log!C:C,cannabis_log!H:H,"",0,1))</f>
        <v>preroll_bulk</v>
      </c>
      <c r="I447" s="189" t="s">
        <v>55</v>
      </c>
      <c r="J447" s="185">
        <v>-484</v>
      </c>
      <c r="K447" s="186">
        <v>0</v>
      </c>
      <c r="L447" s="288">
        <v>-242</v>
      </c>
      <c r="M447" s="188"/>
      <c r="N447" s="176" t="s">
        <v>670</v>
      </c>
      <c r="O447" s="180">
        <v>0.5</v>
      </c>
    </row>
    <row r="448" spans="1:15">
      <c r="A448" s="181" t="str">
        <f t="shared" si="6"/>
        <v>outbound</v>
      </c>
      <c r="B448" s="182">
        <v>45579.629166666666</v>
      </c>
      <c r="C448" s="183" t="s">
        <v>1921</v>
      </c>
      <c r="D448" s="183" t="s">
        <v>2225</v>
      </c>
      <c r="E448" s="215" t="s">
        <v>2005</v>
      </c>
      <c r="F448" s="112" t="s">
        <v>1986</v>
      </c>
      <c r="G448" s="112"/>
      <c r="H448" s="112" t="str">
        <f>IF(ISBLANK(E448),"",_xlfn.XLOOKUP(E448,cannabis_log!C:C,cannabis_log!H:H,"",0,1))</f>
        <v>preroll_bulk</v>
      </c>
      <c r="I448" s="113" t="s">
        <v>55</v>
      </c>
      <c r="J448" s="185">
        <v>-433</v>
      </c>
      <c r="K448" s="186">
        <v>0</v>
      </c>
      <c r="L448" s="288">
        <v>-216.5</v>
      </c>
      <c r="M448" s="24"/>
      <c r="N448" s="112" t="s">
        <v>670</v>
      </c>
      <c r="O448" s="187">
        <v>0.5</v>
      </c>
    </row>
    <row r="449" spans="1:15">
      <c r="A449" s="173" t="str">
        <f t="shared" ref="A449:A512" si="7">IF(ISBLANK(J449),"",IF(J449+K449+L449&lt;0,"outbound","inbound"))</f>
        <v>outbound</v>
      </c>
      <c r="B449" s="182">
        <v>45579.629166666666</v>
      </c>
      <c r="C449" s="183" t="s">
        <v>1921</v>
      </c>
      <c r="D449" s="183" t="s">
        <v>2225</v>
      </c>
      <c r="E449" s="215" t="s">
        <v>2226</v>
      </c>
      <c r="F449" s="176" t="s">
        <v>905</v>
      </c>
      <c r="G449" s="176"/>
      <c r="H449" s="112" t="str">
        <f>IF(ISBLANK(E449),"",_xlfn.XLOOKUP(E449,cannabis_log!C:C,cannabis_log!H:H,"",0,1))</f>
        <v>preroll_labelled</v>
      </c>
      <c r="I449" s="189">
        <v>45575</v>
      </c>
      <c r="J449" s="185">
        <v>-584</v>
      </c>
      <c r="K449" s="186">
        <v>0</v>
      </c>
      <c r="L449" s="288">
        <v>-876</v>
      </c>
      <c r="M449" s="188"/>
      <c r="N449" s="176" t="s">
        <v>670</v>
      </c>
      <c r="O449" s="180">
        <v>1.5</v>
      </c>
    </row>
    <row r="450" spans="1:15">
      <c r="A450" s="181" t="str">
        <f t="shared" si="7"/>
        <v>outbound</v>
      </c>
      <c r="B450" s="182">
        <v>45580.386805555558</v>
      </c>
      <c r="C450" s="183" t="s">
        <v>1921</v>
      </c>
      <c r="D450" s="183" t="s">
        <v>1994</v>
      </c>
      <c r="E450" s="215" t="s">
        <v>1963</v>
      </c>
      <c r="F450" s="112" t="s">
        <v>1313</v>
      </c>
      <c r="G450" s="112"/>
      <c r="H450" s="112" t="str">
        <f>IF(ISBLANK(E450),"",_xlfn.XLOOKUP(E450,cannabis_log!C:C,cannabis_log!H:H,"",0,1))</f>
        <v>preroll_packaged</v>
      </c>
      <c r="I450" s="113">
        <v>45541</v>
      </c>
      <c r="J450" s="185">
        <v>-164</v>
      </c>
      <c r="K450" s="186">
        <v>0</v>
      </c>
      <c r="L450" s="288">
        <v>-246</v>
      </c>
      <c r="M450" s="24"/>
      <c r="N450" s="112" t="s">
        <v>670</v>
      </c>
      <c r="O450" s="187">
        <v>1.5</v>
      </c>
    </row>
    <row r="451" spans="1:15">
      <c r="A451" s="173" t="str">
        <f t="shared" si="7"/>
        <v>outbound</v>
      </c>
      <c r="B451" s="182">
        <v>45580.648611111108</v>
      </c>
      <c r="C451" s="183" t="s">
        <v>1921</v>
      </c>
      <c r="D451" s="183" t="s">
        <v>2227</v>
      </c>
      <c r="E451" s="215" t="s">
        <v>1944</v>
      </c>
      <c r="F451" s="176" t="s">
        <v>792</v>
      </c>
      <c r="G451" s="176"/>
      <c r="H451" s="112" t="str">
        <f>IF(ISBLANK(E451),"",_xlfn.XLOOKUP(E451,cannabis_log!C:C,cannabis_log!H:H,"",0,1))</f>
        <v>extract_ingested_bulk</v>
      </c>
      <c r="I451" s="189">
        <v>45345</v>
      </c>
      <c r="J451" s="185">
        <v>-1</v>
      </c>
      <c r="K451" s="186">
        <v>-3950</v>
      </c>
      <c r="L451" s="288">
        <v>0</v>
      </c>
      <c r="M451" s="188"/>
      <c r="N451" s="176" t="s">
        <v>664</v>
      </c>
      <c r="O451" s="180">
        <v>0</v>
      </c>
    </row>
    <row r="452" spans="1:15">
      <c r="A452" s="181" t="str">
        <f t="shared" si="7"/>
        <v>outbound</v>
      </c>
      <c r="B452" s="182">
        <v>45581.381944444445</v>
      </c>
      <c r="C452" s="183" t="s">
        <v>1921</v>
      </c>
      <c r="D452" s="183"/>
      <c r="E452" s="215" t="s">
        <v>2182</v>
      </c>
      <c r="F452" s="112" t="s">
        <v>907</v>
      </c>
      <c r="G452" s="112"/>
      <c r="H452" s="112" t="str">
        <f>IF(ISBLANK(E452),"",_xlfn.XLOOKUP(E452,cannabis_log!C:C,cannabis_log!H:H,"",0,1))</f>
        <v>driedflower_milled_bulk</v>
      </c>
      <c r="I452" s="113" t="s">
        <v>55</v>
      </c>
      <c r="J452" s="185">
        <v>-1</v>
      </c>
      <c r="K452" s="186">
        <v>-2268</v>
      </c>
      <c r="L452" s="288">
        <v>0</v>
      </c>
      <c r="M452" s="24"/>
      <c r="N452" s="112" t="s">
        <v>664</v>
      </c>
      <c r="O452" s="187">
        <v>0</v>
      </c>
    </row>
    <row r="453" spans="1:15">
      <c r="A453" s="173" t="str">
        <f t="shared" si="7"/>
        <v>outbound</v>
      </c>
      <c r="B453" s="182">
        <v>45581.408333333333</v>
      </c>
      <c r="C453" s="183" t="s">
        <v>1929</v>
      </c>
      <c r="D453" s="183" t="s">
        <v>2228</v>
      </c>
      <c r="E453" s="215" t="s">
        <v>2149</v>
      </c>
      <c r="F453" s="176" t="s">
        <v>2100</v>
      </c>
      <c r="G453" s="176"/>
      <c r="H453" s="112" t="str">
        <f>IF(ISBLANK(E453),"",_xlfn.XLOOKUP(E453,cannabis_log!C:C,cannabis_log!H:H,"",0,1))</f>
        <v>extract_inhaled_labelled</v>
      </c>
      <c r="I453" s="189">
        <v>45560</v>
      </c>
      <c r="J453" s="185">
        <v>-23</v>
      </c>
      <c r="K453" s="186">
        <v>0</v>
      </c>
      <c r="L453" s="288">
        <v>-11.5</v>
      </c>
      <c r="M453" s="188"/>
      <c r="N453" s="176" t="s">
        <v>670</v>
      </c>
      <c r="O453" s="180">
        <v>0.5</v>
      </c>
    </row>
    <row r="454" spans="1:15">
      <c r="A454" s="181" t="str">
        <f t="shared" si="7"/>
        <v>outbound</v>
      </c>
      <c r="B454" s="182">
        <v>45581.408333333333</v>
      </c>
      <c r="C454" s="183" t="s">
        <v>1929</v>
      </c>
      <c r="D454" s="183" t="s">
        <v>2228</v>
      </c>
      <c r="E454" s="215" t="s">
        <v>2229</v>
      </c>
      <c r="F454" s="112" t="s">
        <v>1134</v>
      </c>
      <c r="G454" s="112"/>
      <c r="H454" s="112" t="str">
        <f>IF(ISBLANK(E454),"",_xlfn.XLOOKUP(E454,cannabis_log!C:C,cannabis_log!H:H,"",0,1))</f>
        <v>extract_inhaled_labelled</v>
      </c>
      <c r="I454" s="113">
        <v>45574</v>
      </c>
      <c r="J454" s="185">
        <v>-12</v>
      </c>
      <c r="K454" s="186">
        <v>0</v>
      </c>
      <c r="L454" s="288">
        <v>-6</v>
      </c>
      <c r="M454" s="24"/>
      <c r="N454" s="112" t="s">
        <v>670</v>
      </c>
      <c r="O454" s="187">
        <v>0.5</v>
      </c>
    </row>
    <row r="455" spans="1:15">
      <c r="A455" s="173" t="str">
        <f t="shared" si="7"/>
        <v>outbound</v>
      </c>
      <c r="B455" s="182">
        <v>45581.408333333333</v>
      </c>
      <c r="C455" s="183" t="s">
        <v>1929</v>
      </c>
      <c r="D455" s="183" t="s">
        <v>2228</v>
      </c>
      <c r="E455" s="215" t="s">
        <v>1964</v>
      </c>
      <c r="F455" s="176" t="s">
        <v>535</v>
      </c>
      <c r="G455" s="176"/>
      <c r="H455" s="112" t="str">
        <f>IF(ISBLANK(E455),"",_xlfn.XLOOKUP(E455,cannabis_log!C:C,cannabis_log!H:H,"",0,1))</f>
        <v>preroll_labelled</v>
      </c>
      <c r="I455" s="189">
        <v>45567</v>
      </c>
      <c r="J455" s="185">
        <v>-24</v>
      </c>
      <c r="K455" s="186">
        <v>0</v>
      </c>
      <c r="L455" s="288">
        <v>-36</v>
      </c>
      <c r="M455" s="188"/>
      <c r="N455" s="176" t="s">
        <v>670</v>
      </c>
      <c r="O455" s="180">
        <v>1.5</v>
      </c>
    </row>
    <row r="456" spans="1:15">
      <c r="A456" s="181" t="str">
        <f t="shared" si="7"/>
        <v>outbound</v>
      </c>
      <c r="B456" s="182">
        <v>45581.408333333333</v>
      </c>
      <c r="C456" s="183" t="s">
        <v>1929</v>
      </c>
      <c r="D456" s="183" t="s">
        <v>2228</v>
      </c>
      <c r="E456" s="215" t="s">
        <v>2064</v>
      </c>
      <c r="F456" s="112" t="s">
        <v>828</v>
      </c>
      <c r="G456" s="112"/>
      <c r="H456" s="112" t="str">
        <f>IF(ISBLANK(E456),"",_xlfn.XLOOKUP(E456,cannabis_log!C:C,cannabis_log!H:H,"",0,1))</f>
        <v>preroll_labelled</v>
      </c>
      <c r="I456" s="113">
        <v>44888</v>
      </c>
      <c r="J456" s="185">
        <v>-12</v>
      </c>
      <c r="K456" s="186">
        <v>0</v>
      </c>
      <c r="L456" s="288">
        <v>-12</v>
      </c>
      <c r="M456" s="24"/>
      <c r="N456" s="112" t="s">
        <v>670</v>
      </c>
      <c r="O456" s="187">
        <v>1</v>
      </c>
    </row>
    <row r="457" spans="1:15">
      <c r="A457" s="173" t="str">
        <f t="shared" si="7"/>
        <v>outbound</v>
      </c>
      <c r="B457" s="182">
        <v>45581.408333333333</v>
      </c>
      <c r="C457" s="183" t="s">
        <v>1929</v>
      </c>
      <c r="D457" s="183" t="s">
        <v>2228</v>
      </c>
      <c r="E457" s="215" t="s">
        <v>2019</v>
      </c>
      <c r="F457" s="176" t="s">
        <v>874</v>
      </c>
      <c r="G457" s="176"/>
      <c r="H457" s="112" t="str">
        <f>IF(ISBLANK(E457),"",_xlfn.XLOOKUP(E457,cannabis_log!C:C,cannabis_log!H:H,"",0,1))</f>
        <v>extract_ingested_labelled</v>
      </c>
      <c r="I457" s="189">
        <v>45307</v>
      </c>
      <c r="J457" s="185">
        <v>-12</v>
      </c>
      <c r="K457" s="186">
        <v>0</v>
      </c>
      <c r="L457" s="288">
        <v>-327.60000000000002</v>
      </c>
      <c r="M457" s="188"/>
      <c r="N457" s="176" t="s">
        <v>670</v>
      </c>
      <c r="O457" s="180">
        <v>27.3</v>
      </c>
    </row>
    <row r="458" spans="1:15">
      <c r="A458" s="181" t="str">
        <f t="shared" si="7"/>
        <v>outbound</v>
      </c>
      <c r="B458" s="182">
        <v>45581.645833333336</v>
      </c>
      <c r="C458" s="183" t="s">
        <v>1921</v>
      </c>
      <c r="D458" s="183" t="s">
        <v>2230</v>
      </c>
      <c r="E458" s="215" t="s">
        <v>2058</v>
      </c>
      <c r="F458" s="112">
        <v>2024030601</v>
      </c>
      <c r="G458" s="112"/>
      <c r="H458" s="112" t="str">
        <f>IF(ISBLANK(E458),"",_xlfn.XLOOKUP(E458,cannabis_log!C:C,cannabis_log!H:H,"",0,1))</f>
        <v>extract_inhaled_bulk</v>
      </c>
      <c r="I458" s="113">
        <v>45296</v>
      </c>
      <c r="J458" s="185">
        <v>-1</v>
      </c>
      <c r="K458" s="186">
        <v>-1024.2</v>
      </c>
      <c r="L458" s="288">
        <v>0</v>
      </c>
      <c r="M458" s="24"/>
      <c r="N458" s="112" t="s">
        <v>664</v>
      </c>
      <c r="O458" s="187">
        <v>0</v>
      </c>
    </row>
    <row r="459" spans="1:15">
      <c r="A459" s="173" t="str">
        <f t="shared" si="7"/>
        <v>outbound</v>
      </c>
      <c r="B459" s="182">
        <v>45581.645833333336</v>
      </c>
      <c r="C459" s="183" t="s">
        <v>1921</v>
      </c>
      <c r="D459" s="183" t="s">
        <v>2230</v>
      </c>
      <c r="E459" s="215" t="s">
        <v>2060</v>
      </c>
      <c r="F459" s="176">
        <v>2024082701</v>
      </c>
      <c r="G459" s="176"/>
      <c r="H459" s="112" t="str">
        <f>IF(ISBLANK(E459),"",_xlfn.XLOOKUP(E459,cannabis_log!C:C,cannabis_log!H:H,"",0,1))</f>
        <v>extract_distillate_bulk</v>
      </c>
      <c r="I459" s="189" t="s">
        <v>55</v>
      </c>
      <c r="J459" s="185">
        <v>-1</v>
      </c>
      <c r="K459" s="186">
        <v>-355.1</v>
      </c>
      <c r="L459" s="288">
        <v>0</v>
      </c>
      <c r="M459" s="188"/>
      <c r="N459" s="176" t="s">
        <v>664</v>
      </c>
      <c r="O459" s="180">
        <v>0</v>
      </c>
    </row>
    <row r="460" spans="1:15">
      <c r="A460" s="181" t="str">
        <f t="shared" si="7"/>
        <v>outbound</v>
      </c>
      <c r="B460" s="182">
        <v>45581.645833333336</v>
      </c>
      <c r="C460" s="183" t="s">
        <v>1921</v>
      </c>
      <c r="D460" s="183" t="s">
        <v>2230</v>
      </c>
      <c r="E460" s="215" t="s">
        <v>2023</v>
      </c>
      <c r="F460" s="112">
        <v>2024022201</v>
      </c>
      <c r="G460" s="112"/>
      <c r="H460" s="112" t="str">
        <f>IF(ISBLANK(E460),"",_xlfn.XLOOKUP(E460,cannabis_log!C:C,cannabis_log!H:H,"",0,1))</f>
        <v>extract_distillate_bulk</v>
      </c>
      <c r="I460" s="113" t="s">
        <v>55</v>
      </c>
      <c r="J460" s="185">
        <v>-1</v>
      </c>
      <c r="K460" s="186">
        <v>-117.5</v>
      </c>
      <c r="L460" s="288">
        <v>0</v>
      </c>
      <c r="M460" s="24"/>
      <c r="N460" s="112" t="s">
        <v>664</v>
      </c>
      <c r="O460" s="187">
        <v>0</v>
      </c>
    </row>
    <row r="461" spans="1:15">
      <c r="A461" s="173" t="str">
        <f t="shared" si="7"/>
        <v>outbound</v>
      </c>
      <c r="B461" s="182">
        <v>45581.645833333336</v>
      </c>
      <c r="C461" s="183" t="s">
        <v>1921</v>
      </c>
      <c r="D461" s="183" t="s">
        <v>2230</v>
      </c>
      <c r="E461" s="215" t="s">
        <v>1995</v>
      </c>
      <c r="F461" s="176">
        <v>2024022201</v>
      </c>
      <c r="G461" s="176"/>
      <c r="H461" s="112" t="str">
        <f>IF(ISBLANK(E461),"",_xlfn.XLOOKUP(E461,cannabis_log!C:C,cannabis_log!H:H,"",0,1))</f>
        <v>extract_distillate_bulk</v>
      </c>
      <c r="I461" s="189">
        <v>45407</v>
      </c>
      <c r="J461" s="185">
        <v>-1</v>
      </c>
      <c r="K461" s="186">
        <v>-365.2</v>
      </c>
      <c r="L461" s="288">
        <v>0</v>
      </c>
      <c r="M461" s="188"/>
      <c r="N461" s="176" t="s">
        <v>664</v>
      </c>
      <c r="O461" s="180">
        <v>0</v>
      </c>
    </row>
    <row r="462" spans="1:15">
      <c r="A462" s="181" t="str">
        <f t="shared" si="7"/>
        <v>outbound</v>
      </c>
      <c r="B462" s="182">
        <v>45582</v>
      </c>
      <c r="C462" s="183" t="s">
        <v>1921</v>
      </c>
      <c r="D462" s="183" t="s">
        <v>2231</v>
      </c>
      <c r="E462" s="215" t="s">
        <v>2232</v>
      </c>
      <c r="F462" s="112">
        <v>2024092001</v>
      </c>
      <c r="G462" s="112"/>
      <c r="H462" s="112" t="str">
        <f>IF(ISBLANK(E462),"",_xlfn.XLOOKUP(E462,cannabis_log!C:C,cannabis_log!H:H,"",0,1))</f>
        <v>driedflower_bulk_BURB</v>
      </c>
      <c r="I462" s="113" t="s">
        <v>55</v>
      </c>
      <c r="J462" s="185">
        <v>-1</v>
      </c>
      <c r="K462" s="186">
        <v>-2866</v>
      </c>
      <c r="L462" s="288">
        <v>0</v>
      </c>
      <c r="M462" s="24"/>
      <c r="N462" s="112" t="s">
        <v>664</v>
      </c>
      <c r="O462" s="187">
        <v>0</v>
      </c>
    </row>
    <row r="463" spans="1:15">
      <c r="A463" s="173" t="str">
        <f t="shared" si="7"/>
        <v>outbound</v>
      </c>
      <c r="B463" s="182">
        <v>45582</v>
      </c>
      <c r="C463" s="183" t="s">
        <v>1921</v>
      </c>
      <c r="D463" s="183" t="s">
        <v>2231</v>
      </c>
      <c r="E463" s="215" t="s">
        <v>2233</v>
      </c>
      <c r="F463" s="176">
        <v>2024092001</v>
      </c>
      <c r="G463" s="176"/>
      <c r="H463" s="112" t="str">
        <f>IF(ISBLANK(E463),"",_xlfn.XLOOKUP(E463,cannabis_log!C:C,cannabis_log!H:H,"",0,1))</f>
        <v>driedflower_bulk_BURB</v>
      </c>
      <c r="I463" s="189" t="s">
        <v>55</v>
      </c>
      <c r="J463" s="185">
        <v>-1</v>
      </c>
      <c r="K463" s="186">
        <v>-3932</v>
      </c>
      <c r="L463" s="288">
        <v>0</v>
      </c>
      <c r="M463" s="188"/>
      <c r="N463" s="176" t="s">
        <v>664</v>
      </c>
      <c r="O463" s="180">
        <v>0</v>
      </c>
    </row>
    <row r="464" spans="1:15">
      <c r="A464" s="181" t="str">
        <f t="shared" si="7"/>
        <v>outbound</v>
      </c>
      <c r="B464" s="182">
        <v>45582.579861111109</v>
      </c>
      <c r="C464" s="183" t="s">
        <v>1921</v>
      </c>
      <c r="D464" s="183" t="s">
        <v>2234</v>
      </c>
      <c r="E464" s="215" t="s">
        <v>2235</v>
      </c>
      <c r="F464" s="112">
        <v>2024100401</v>
      </c>
      <c r="G464" s="112"/>
      <c r="H464" s="112" t="str">
        <f>IF(ISBLANK(E464),"",_xlfn.XLOOKUP(E464,cannabis_log!C:C,cannabis_log!H:H,"",0,1))</f>
        <v>extract_distillate_bulk</v>
      </c>
      <c r="I464" s="113" t="s">
        <v>55</v>
      </c>
      <c r="J464" s="185">
        <v>-1</v>
      </c>
      <c r="K464" s="186">
        <v>-2686.1</v>
      </c>
      <c r="L464" s="288">
        <v>0</v>
      </c>
      <c r="M464" s="24"/>
      <c r="N464" s="112" t="s">
        <v>664</v>
      </c>
      <c r="O464" s="187">
        <v>0</v>
      </c>
    </row>
    <row r="465" spans="1:15">
      <c r="A465" s="173" t="str">
        <f t="shared" si="7"/>
        <v>outbound</v>
      </c>
      <c r="B465" s="182">
        <v>45583.413888888892</v>
      </c>
      <c r="C465" s="183" t="s">
        <v>1921</v>
      </c>
      <c r="D465" s="183" t="s">
        <v>2225</v>
      </c>
      <c r="E465" s="215" t="s">
        <v>2236</v>
      </c>
      <c r="F465" s="176">
        <v>2024092001</v>
      </c>
      <c r="G465" s="176"/>
      <c r="H465" s="112" t="str">
        <f>IF(ISBLANK(E465),"",_xlfn.XLOOKUP(E465,cannabis_log!C:C,cannabis_log!H:H,"",0,1))</f>
        <v>driedflower_bulk_BURB</v>
      </c>
      <c r="I465" s="189" t="s">
        <v>55</v>
      </c>
      <c r="J465" s="185">
        <v>-1</v>
      </c>
      <c r="K465" s="186">
        <v>-3104</v>
      </c>
      <c r="L465" s="288">
        <v>0</v>
      </c>
      <c r="M465" s="188"/>
      <c r="N465" s="176" t="s">
        <v>664</v>
      </c>
      <c r="O465" s="180">
        <v>0</v>
      </c>
    </row>
    <row r="466" spans="1:15">
      <c r="A466" s="181" t="str">
        <f t="shared" si="7"/>
        <v>outbound</v>
      </c>
      <c r="B466" s="182">
        <v>45583.413888888892</v>
      </c>
      <c r="C466" s="183" t="s">
        <v>1921</v>
      </c>
      <c r="D466" s="183" t="s">
        <v>2225</v>
      </c>
      <c r="E466" s="215" t="s">
        <v>2237</v>
      </c>
      <c r="F466" s="112">
        <v>2024092001</v>
      </c>
      <c r="G466" s="112"/>
      <c r="H466" s="112" t="str">
        <f>IF(ISBLANK(E466),"",_xlfn.XLOOKUP(E466,cannabis_log!C:C,cannabis_log!H:H,"",0,1))</f>
        <v>driedflower_bulk_BURB</v>
      </c>
      <c r="I466" s="113" t="s">
        <v>55</v>
      </c>
      <c r="J466" s="185">
        <v>-1</v>
      </c>
      <c r="K466" s="186">
        <v>-3100</v>
      </c>
      <c r="L466" s="288">
        <v>0</v>
      </c>
      <c r="M466" s="24"/>
      <c r="N466" s="112" t="s">
        <v>664</v>
      </c>
      <c r="O466" s="187">
        <v>0</v>
      </c>
    </row>
    <row r="467" spans="1:15">
      <c r="A467" s="173" t="str">
        <f t="shared" si="7"/>
        <v>outbound</v>
      </c>
      <c r="B467" s="182">
        <v>45583.413888888892</v>
      </c>
      <c r="C467" s="183" t="s">
        <v>1921</v>
      </c>
      <c r="D467" s="183" t="s">
        <v>2225</v>
      </c>
      <c r="E467" s="215" t="s">
        <v>2238</v>
      </c>
      <c r="F467" s="176">
        <v>2024092002</v>
      </c>
      <c r="G467" s="176"/>
      <c r="H467" s="112" t="str">
        <f>IF(ISBLANK(E467),"",_xlfn.XLOOKUP(E467,cannabis_log!C:C,cannabis_log!H:H,"",0,1))</f>
        <v>driedflower_bulk_BURB</v>
      </c>
      <c r="I467" s="189" t="s">
        <v>55</v>
      </c>
      <c r="J467" s="185">
        <v>-1</v>
      </c>
      <c r="K467" s="186">
        <v>-1562</v>
      </c>
      <c r="L467" s="288">
        <v>0</v>
      </c>
      <c r="M467" s="188"/>
      <c r="N467" s="176" t="s">
        <v>664</v>
      </c>
      <c r="O467" s="180">
        <v>0</v>
      </c>
    </row>
    <row r="468" spans="1:15">
      <c r="A468" s="181" t="str">
        <f t="shared" si="7"/>
        <v>outbound</v>
      </c>
      <c r="B468" s="182">
        <v>45583.413888888892</v>
      </c>
      <c r="C468" s="183" t="s">
        <v>1921</v>
      </c>
      <c r="D468" s="183" t="s">
        <v>2225</v>
      </c>
      <c r="E468" s="215" t="s">
        <v>2239</v>
      </c>
      <c r="F468" s="112">
        <v>2024092002</v>
      </c>
      <c r="G468" s="112"/>
      <c r="H468" s="112" t="str">
        <f>IF(ISBLANK(E468),"",_xlfn.XLOOKUP(E468,cannabis_log!C:C,cannabis_log!H:H,"",0,1))</f>
        <v>driedflower_bulk_BURB</v>
      </c>
      <c r="I468" s="113" t="s">
        <v>55</v>
      </c>
      <c r="J468" s="185">
        <v>-1</v>
      </c>
      <c r="K468" s="186">
        <v>-2616</v>
      </c>
      <c r="L468" s="288">
        <v>0</v>
      </c>
      <c r="M468" s="24"/>
      <c r="N468" s="112" t="s">
        <v>664</v>
      </c>
      <c r="O468" s="187">
        <v>0</v>
      </c>
    </row>
    <row r="469" spans="1:15">
      <c r="A469" s="173" t="str">
        <f t="shared" si="7"/>
        <v>outbound</v>
      </c>
      <c r="B469" s="182">
        <v>45583.413888888892</v>
      </c>
      <c r="C469" s="183" t="s">
        <v>1921</v>
      </c>
      <c r="D469" s="183" t="s">
        <v>2225</v>
      </c>
      <c r="E469" s="215" t="s">
        <v>2240</v>
      </c>
      <c r="F469" s="176">
        <v>2024092002</v>
      </c>
      <c r="G469" s="176"/>
      <c r="H469" s="112" t="str">
        <f>IF(ISBLANK(E469),"",_xlfn.XLOOKUP(E469,cannabis_log!C:C,cannabis_log!H:H,"",0,1))</f>
        <v>driedflower_bulk_BURB</v>
      </c>
      <c r="I469" s="189" t="s">
        <v>55</v>
      </c>
      <c r="J469" s="185">
        <v>-1</v>
      </c>
      <c r="K469" s="186">
        <v>-3600</v>
      </c>
      <c r="L469" s="288">
        <v>0</v>
      </c>
      <c r="M469" s="188"/>
      <c r="N469" s="176" t="s">
        <v>664</v>
      </c>
      <c r="O469" s="180">
        <v>0</v>
      </c>
    </row>
    <row r="470" spans="1:15">
      <c r="A470" s="181" t="str">
        <f t="shared" si="7"/>
        <v>outbound</v>
      </c>
      <c r="B470" s="182">
        <v>45583.42083333333</v>
      </c>
      <c r="C470" s="183" t="s">
        <v>1921</v>
      </c>
      <c r="D470" s="183" t="s">
        <v>2225</v>
      </c>
      <c r="E470" s="215" t="s">
        <v>2241</v>
      </c>
      <c r="F470" s="112">
        <v>2024092002</v>
      </c>
      <c r="G470" s="112"/>
      <c r="H470" s="112" t="str">
        <f>IF(ISBLANK(E470),"",_xlfn.XLOOKUP(E470,cannabis_log!C:C,cannabis_log!H:H,"",0,1))</f>
        <v>driedflower_bulk_BURB</v>
      </c>
      <c r="I470" s="113" t="s">
        <v>55</v>
      </c>
      <c r="J470" s="185">
        <v>-1</v>
      </c>
      <c r="K470" s="186">
        <v>-1560</v>
      </c>
      <c r="L470" s="288">
        <v>0</v>
      </c>
      <c r="M470" s="24"/>
      <c r="N470" s="112" t="s">
        <v>664</v>
      </c>
      <c r="O470" s="187">
        <v>0</v>
      </c>
    </row>
    <row r="471" spans="1:15">
      <c r="A471" s="173" t="str">
        <f t="shared" si="7"/>
        <v>outbound</v>
      </c>
      <c r="B471" s="182">
        <v>45583.42083333333</v>
      </c>
      <c r="C471" s="183" t="s">
        <v>1921</v>
      </c>
      <c r="D471" s="183" t="s">
        <v>2225</v>
      </c>
      <c r="E471" s="215" t="s">
        <v>2242</v>
      </c>
      <c r="F471" s="176">
        <v>2024092002</v>
      </c>
      <c r="G471" s="176"/>
      <c r="H471" s="112" t="str">
        <f>IF(ISBLANK(E471),"",_xlfn.XLOOKUP(E471,cannabis_log!C:C,cannabis_log!H:H,"",0,1))</f>
        <v>driedflower_bulk_BURB</v>
      </c>
      <c r="I471" s="189" t="s">
        <v>55</v>
      </c>
      <c r="J471" s="185">
        <v>-1</v>
      </c>
      <c r="K471" s="186">
        <v>-3596</v>
      </c>
      <c r="L471" s="288">
        <v>0</v>
      </c>
      <c r="M471" s="188"/>
      <c r="N471" s="176" t="s">
        <v>664</v>
      </c>
      <c r="O471" s="180">
        <v>0</v>
      </c>
    </row>
    <row r="472" spans="1:15">
      <c r="A472" s="181" t="str">
        <f t="shared" si="7"/>
        <v>outbound</v>
      </c>
      <c r="B472" s="182">
        <v>45583.42083333333</v>
      </c>
      <c r="C472" s="183" t="s">
        <v>1921</v>
      </c>
      <c r="D472" s="183" t="s">
        <v>2225</v>
      </c>
      <c r="E472" s="215" t="s">
        <v>2243</v>
      </c>
      <c r="F472" s="112">
        <v>2024092002</v>
      </c>
      <c r="G472" s="112"/>
      <c r="H472" s="112" t="str">
        <f>IF(ISBLANK(E472),"",_xlfn.XLOOKUP(E472,cannabis_log!C:C,cannabis_log!H:H,"",0,1))</f>
        <v>driedflower_bulk_BURB</v>
      </c>
      <c r="I472" s="113" t="s">
        <v>55</v>
      </c>
      <c r="J472" s="185">
        <v>-1</v>
      </c>
      <c r="K472" s="186">
        <v>-2072</v>
      </c>
      <c r="L472" s="288">
        <v>0</v>
      </c>
      <c r="M472" s="24"/>
      <c r="N472" s="112" t="s">
        <v>664</v>
      </c>
      <c r="O472" s="187">
        <v>0</v>
      </c>
    </row>
    <row r="473" spans="1:15">
      <c r="A473" s="173" t="str">
        <f t="shared" si="7"/>
        <v>outbound</v>
      </c>
      <c r="B473" s="182">
        <v>45583.42083333333</v>
      </c>
      <c r="C473" s="183" t="s">
        <v>1921</v>
      </c>
      <c r="D473" s="183" t="s">
        <v>2225</v>
      </c>
      <c r="E473" s="215" t="s">
        <v>2244</v>
      </c>
      <c r="F473" s="176">
        <v>2024092002</v>
      </c>
      <c r="G473" s="176"/>
      <c r="H473" s="112" t="str">
        <f>IF(ISBLANK(E473),"",_xlfn.XLOOKUP(E473,cannabis_log!C:C,cannabis_log!H:H,"",0,1))</f>
        <v>driedflower_bulk_BURB</v>
      </c>
      <c r="I473" s="189" t="s">
        <v>55</v>
      </c>
      <c r="J473" s="185">
        <v>-1</v>
      </c>
      <c r="K473" s="186">
        <v>-1560</v>
      </c>
      <c r="L473" s="288">
        <v>0</v>
      </c>
      <c r="M473" s="188"/>
      <c r="N473" s="176" t="s">
        <v>664</v>
      </c>
      <c r="O473" s="180">
        <v>0</v>
      </c>
    </row>
    <row r="474" spans="1:15">
      <c r="A474" s="181" t="str">
        <f t="shared" si="7"/>
        <v>outbound</v>
      </c>
      <c r="B474" s="182">
        <v>45583.423611111109</v>
      </c>
      <c r="C474" s="183" t="s">
        <v>1921</v>
      </c>
      <c r="D474" s="183" t="s">
        <v>2225</v>
      </c>
      <c r="E474" s="215" t="s">
        <v>2245</v>
      </c>
      <c r="F474" s="112">
        <v>2024092002</v>
      </c>
      <c r="G474" s="112"/>
      <c r="H474" s="112" t="str">
        <f>IF(ISBLANK(E474),"",_xlfn.XLOOKUP(E474,cannabis_log!C:C,cannabis_log!H:H,"",0,1))</f>
        <v>driedflower_bulk_BURB</v>
      </c>
      <c r="I474" s="113" t="s">
        <v>55</v>
      </c>
      <c r="J474" s="185">
        <v>-1</v>
      </c>
      <c r="K474" s="186">
        <v>-454</v>
      </c>
      <c r="L474" s="288">
        <v>0</v>
      </c>
      <c r="M474" s="24"/>
      <c r="N474" s="112" t="s">
        <v>664</v>
      </c>
      <c r="O474" s="187">
        <v>0</v>
      </c>
    </row>
    <row r="475" spans="1:15">
      <c r="A475" s="173" t="str">
        <f t="shared" si="7"/>
        <v>outbound</v>
      </c>
      <c r="B475" s="182">
        <v>45583.423611111109</v>
      </c>
      <c r="C475" s="183" t="s">
        <v>1921</v>
      </c>
      <c r="D475" s="183" t="s">
        <v>2225</v>
      </c>
      <c r="E475" s="215" t="s">
        <v>2246</v>
      </c>
      <c r="F475" s="176">
        <v>2024092003</v>
      </c>
      <c r="G475" s="176"/>
      <c r="H475" s="112" t="str">
        <f>IF(ISBLANK(E475),"",_xlfn.XLOOKUP(E475,cannabis_log!C:C,cannabis_log!H:H,"",0,1))</f>
        <v>driedflower_bulk_BURB</v>
      </c>
      <c r="I475" s="189" t="s">
        <v>55</v>
      </c>
      <c r="J475" s="185">
        <v>-1</v>
      </c>
      <c r="K475" s="186">
        <v>-2294</v>
      </c>
      <c r="L475" s="288">
        <v>0</v>
      </c>
      <c r="M475" s="188"/>
      <c r="N475" s="176" t="s">
        <v>664</v>
      </c>
      <c r="O475" s="180">
        <v>0</v>
      </c>
    </row>
    <row r="476" spans="1:15">
      <c r="A476" s="181" t="str">
        <f t="shared" si="7"/>
        <v>outbound</v>
      </c>
      <c r="B476" s="182">
        <v>45583.423611111109</v>
      </c>
      <c r="C476" s="183" t="s">
        <v>1921</v>
      </c>
      <c r="D476" s="183" t="s">
        <v>2225</v>
      </c>
      <c r="E476" s="215" t="s">
        <v>2247</v>
      </c>
      <c r="F476" s="112">
        <v>2024092003</v>
      </c>
      <c r="G476" s="112"/>
      <c r="H476" s="112" t="str">
        <f>IF(ISBLANK(E476),"",_xlfn.XLOOKUP(E476,cannabis_log!C:C,cannabis_log!H:H,"",0,1))</f>
        <v>driedflower_bulk_BURB</v>
      </c>
      <c r="I476" s="113" t="s">
        <v>55</v>
      </c>
      <c r="J476" s="185">
        <v>-1</v>
      </c>
      <c r="K476" s="186">
        <v>-3102</v>
      </c>
      <c r="L476" s="288">
        <v>0</v>
      </c>
      <c r="M476" s="24"/>
      <c r="N476" s="112" t="s">
        <v>664</v>
      </c>
      <c r="O476" s="187">
        <v>0</v>
      </c>
    </row>
    <row r="477" spans="1:15">
      <c r="A477" s="173" t="str">
        <f t="shared" si="7"/>
        <v>outbound</v>
      </c>
      <c r="B477" s="182">
        <v>45586</v>
      </c>
      <c r="C477" s="183" t="s">
        <v>1921</v>
      </c>
      <c r="D477" s="183" t="s">
        <v>2248</v>
      </c>
      <c r="E477" s="215" t="s">
        <v>1964</v>
      </c>
      <c r="F477" s="176" t="s">
        <v>535</v>
      </c>
      <c r="G477" s="176"/>
      <c r="H477" s="112" t="str">
        <f>IF(ISBLANK(E477),"",_xlfn.XLOOKUP(E477,cannabis_log!C:C,cannabis_log!H:H,"",0,1))</f>
        <v>preroll_labelled</v>
      </c>
      <c r="I477" s="189">
        <v>45567</v>
      </c>
      <c r="J477" s="185">
        <v>-24</v>
      </c>
      <c r="K477" s="186">
        <v>0</v>
      </c>
      <c r="L477" s="288">
        <v>-36</v>
      </c>
      <c r="M477" s="188"/>
      <c r="N477" s="176" t="s">
        <v>670</v>
      </c>
      <c r="O477" s="180">
        <v>1.5</v>
      </c>
    </row>
    <row r="478" spans="1:15">
      <c r="A478" s="181" t="str">
        <f t="shared" si="7"/>
        <v>outbound</v>
      </c>
      <c r="B478" s="182">
        <v>45586</v>
      </c>
      <c r="C478" s="183" t="s">
        <v>1921</v>
      </c>
      <c r="D478" s="183" t="s">
        <v>2248</v>
      </c>
      <c r="E478" s="215" t="s">
        <v>2249</v>
      </c>
      <c r="F478" s="112" t="s">
        <v>535</v>
      </c>
      <c r="G478" s="112"/>
      <c r="H478" s="112" t="str">
        <f>IF(ISBLANK(E478),"",_xlfn.XLOOKUP(E478,cannabis_log!C:C,cannabis_log!H:H,"",0,1))</f>
        <v>preroll_labelled</v>
      </c>
      <c r="I478" s="113">
        <v>45575</v>
      </c>
      <c r="J478" s="185">
        <v>-240</v>
      </c>
      <c r="K478" s="186">
        <v>0</v>
      </c>
      <c r="L478" s="288">
        <v>-360</v>
      </c>
      <c r="M478" s="24"/>
      <c r="N478" s="112" t="s">
        <v>670</v>
      </c>
      <c r="O478" s="187">
        <v>1.5</v>
      </c>
    </row>
    <row r="479" spans="1:15">
      <c r="A479" s="173" t="str">
        <f t="shared" si="7"/>
        <v>outbound</v>
      </c>
      <c r="B479" s="182">
        <v>45586.571527777778</v>
      </c>
      <c r="C479" s="183" t="s">
        <v>1921</v>
      </c>
      <c r="D479" s="183" t="s">
        <v>2250</v>
      </c>
      <c r="E479" s="215" t="s">
        <v>2251</v>
      </c>
      <c r="F479" s="176">
        <v>2024101702</v>
      </c>
      <c r="G479" s="176"/>
      <c r="H479" s="112" t="str">
        <f>IF(ISBLANK(E479),"",_xlfn.XLOOKUP(E479,cannabis_log!C:C,cannabis_log!H:H,"",0,1))</f>
        <v>driedflower_bulk</v>
      </c>
      <c r="I479" s="189" t="s">
        <v>55</v>
      </c>
      <c r="J479" s="185">
        <v>-1</v>
      </c>
      <c r="K479" s="186">
        <v>-899.1</v>
      </c>
      <c r="L479" s="288">
        <v>0</v>
      </c>
      <c r="M479" s="188"/>
      <c r="N479" s="176" t="s">
        <v>664</v>
      </c>
      <c r="O479" s="180">
        <v>0</v>
      </c>
    </row>
    <row r="480" spans="1:15">
      <c r="A480" s="181" t="str">
        <f t="shared" si="7"/>
        <v>outbound</v>
      </c>
      <c r="B480" s="182">
        <v>45586.571527777778</v>
      </c>
      <c r="C480" s="183" t="s">
        <v>1921</v>
      </c>
      <c r="D480" s="183" t="s">
        <v>2250</v>
      </c>
      <c r="E480" s="215" t="s">
        <v>2252</v>
      </c>
      <c r="F480" s="112">
        <v>2024101702</v>
      </c>
      <c r="G480" s="112"/>
      <c r="H480" s="112" t="str">
        <f>IF(ISBLANK(E480),"",_xlfn.XLOOKUP(E480,cannabis_log!C:C,cannabis_log!H:H,"",0,1))</f>
        <v>driedflower_bulk</v>
      </c>
      <c r="I480" s="113" t="s">
        <v>55</v>
      </c>
      <c r="J480" s="185">
        <v>-1</v>
      </c>
      <c r="K480" s="186">
        <v>-1000</v>
      </c>
      <c r="L480" s="288">
        <v>0</v>
      </c>
      <c r="M480" s="24"/>
      <c r="N480" s="112" t="s">
        <v>664</v>
      </c>
      <c r="O480" s="187">
        <v>0</v>
      </c>
    </row>
    <row r="481" spans="1:15">
      <c r="A481" s="173" t="str">
        <f t="shared" si="7"/>
        <v>outbound</v>
      </c>
      <c r="B481" s="182">
        <v>45586.571527777778</v>
      </c>
      <c r="C481" s="183" t="s">
        <v>1921</v>
      </c>
      <c r="D481" s="183" t="s">
        <v>2250</v>
      </c>
      <c r="E481" s="215" t="s">
        <v>2253</v>
      </c>
      <c r="F481" s="176">
        <v>2024101702</v>
      </c>
      <c r="G481" s="176"/>
      <c r="H481" s="112" t="str">
        <f>IF(ISBLANK(E481),"",_xlfn.XLOOKUP(E481,cannabis_log!C:C,cannabis_log!H:H,"",0,1))</f>
        <v>driedflower_bulk</v>
      </c>
      <c r="I481" s="189" t="s">
        <v>55</v>
      </c>
      <c r="J481" s="185">
        <v>-1</v>
      </c>
      <c r="K481" s="186">
        <v>-1000</v>
      </c>
      <c r="L481" s="288">
        <v>0</v>
      </c>
      <c r="M481" s="188"/>
      <c r="N481" s="176" t="s">
        <v>664</v>
      </c>
      <c r="O481" s="180">
        <v>0</v>
      </c>
    </row>
    <row r="482" spans="1:15">
      <c r="A482" s="173" t="str">
        <f t="shared" si="7"/>
        <v>outbound</v>
      </c>
      <c r="B482" s="182">
        <v>45587</v>
      </c>
      <c r="C482" s="183"/>
      <c r="D482" s="183"/>
      <c r="E482" s="215" t="s">
        <v>2254</v>
      </c>
      <c r="F482" s="176" t="s">
        <v>1377</v>
      </c>
      <c r="G482" s="176"/>
      <c r="H482" s="112" t="str">
        <f>IF(ISBLANK(E482),"",_xlfn.XLOOKUP(E482,cannabis_log!C:C,cannabis_log!H:H,"",0,1))</f>
        <v>topical_labelled</v>
      </c>
      <c r="I482" s="189">
        <v>45569</v>
      </c>
      <c r="J482" s="185">
        <v>-12</v>
      </c>
      <c r="K482" s="186">
        <v>0</v>
      </c>
      <c r="L482" s="288">
        <v>-1056</v>
      </c>
      <c r="M482" s="188"/>
      <c r="N482" s="176" t="s">
        <v>670</v>
      </c>
      <c r="O482" s="180">
        <v>88</v>
      </c>
    </row>
    <row r="483" spans="1:15">
      <c r="A483" s="181" t="str">
        <f t="shared" si="7"/>
        <v>outbound</v>
      </c>
      <c r="B483" s="182">
        <v>45587</v>
      </c>
      <c r="C483" s="183"/>
      <c r="D483" s="183"/>
      <c r="E483" s="215" t="s">
        <v>2064</v>
      </c>
      <c r="F483" s="112" t="s">
        <v>828</v>
      </c>
      <c r="G483" s="112"/>
      <c r="H483" s="112" t="str">
        <f>IF(ISBLANK(E483),"",_xlfn.XLOOKUP(E483,cannabis_log!C:C,cannabis_log!H:H,"",0,1))</f>
        <v>preroll_labelled</v>
      </c>
      <c r="I483" s="113">
        <v>44888</v>
      </c>
      <c r="J483" s="185">
        <v>-87</v>
      </c>
      <c r="K483" s="186">
        <v>0</v>
      </c>
      <c r="L483" s="288">
        <v>-87</v>
      </c>
      <c r="M483" s="24"/>
      <c r="N483" s="112" t="s">
        <v>670</v>
      </c>
      <c r="O483" s="187">
        <v>1</v>
      </c>
    </row>
    <row r="484" spans="1:15">
      <c r="A484" s="173" t="str">
        <f t="shared" si="7"/>
        <v>outbound</v>
      </c>
      <c r="B484" s="182">
        <v>45587</v>
      </c>
      <c r="C484" s="183"/>
      <c r="D484" s="183"/>
      <c r="E484" s="215" t="s">
        <v>1951</v>
      </c>
      <c r="F484" s="176" t="s">
        <v>828</v>
      </c>
      <c r="G484" s="176"/>
      <c r="H484" s="112" t="str">
        <f>IF(ISBLANK(E484),"",_xlfn.XLOOKUP(E484,cannabis_log!C:C,cannabis_log!H:H,"",0,1))</f>
        <v>preroll_labelled</v>
      </c>
      <c r="I484" s="189">
        <v>44888</v>
      </c>
      <c r="J484" s="185">
        <v>-144</v>
      </c>
      <c r="K484" s="186">
        <v>0</v>
      </c>
      <c r="L484" s="288">
        <v>-144</v>
      </c>
      <c r="M484" s="188"/>
      <c r="N484" s="176" t="s">
        <v>670</v>
      </c>
      <c r="O484" s="180">
        <v>1</v>
      </c>
    </row>
    <row r="485" spans="1:15">
      <c r="A485" s="181" t="str">
        <f t="shared" si="7"/>
        <v>outbound</v>
      </c>
      <c r="B485" s="182">
        <v>45587.566666666666</v>
      </c>
      <c r="C485" s="183" t="s">
        <v>1921</v>
      </c>
      <c r="D485" s="183" t="s">
        <v>2045</v>
      </c>
      <c r="E485" s="215" t="s">
        <v>2255</v>
      </c>
      <c r="F485" s="112" t="s">
        <v>854</v>
      </c>
      <c r="G485" s="112"/>
      <c r="H485" s="112" t="str">
        <f>IF(ISBLANK(E485),"",_xlfn.XLOOKUP(E485,cannabis_log!C:C,cannabis_log!H:H,"",0,1))</f>
        <v>preroll_bulk</v>
      </c>
      <c r="I485" s="113" t="s">
        <v>55</v>
      </c>
      <c r="J485" s="185">
        <v>-1354</v>
      </c>
      <c r="K485" s="186">
        <v>0</v>
      </c>
      <c r="L485" s="288">
        <v>-473.9</v>
      </c>
      <c r="M485" s="24"/>
      <c r="N485" s="112" t="s">
        <v>670</v>
      </c>
      <c r="O485" s="187">
        <v>0.35</v>
      </c>
    </row>
    <row r="486" spans="1:15">
      <c r="A486" s="181" t="str">
        <f t="shared" si="7"/>
        <v>outbound</v>
      </c>
      <c r="B486" s="182">
        <v>45587.61041666667</v>
      </c>
      <c r="C486" s="183" t="s">
        <v>1929</v>
      </c>
      <c r="D486" s="183" t="s">
        <v>2256</v>
      </c>
      <c r="E486" s="215" t="s">
        <v>2229</v>
      </c>
      <c r="F486" s="112" t="s">
        <v>1134</v>
      </c>
      <c r="G486" s="112"/>
      <c r="H486" s="112" t="str">
        <f>IF(ISBLANK(E486),"",_xlfn.XLOOKUP(E486,cannabis_log!C:C,cannabis_log!H:H,"",0,1))</f>
        <v>extract_inhaled_labelled</v>
      </c>
      <c r="I486" s="113">
        <v>45574</v>
      </c>
      <c r="J486" s="185">
        <v>-42</v>
      </c>
      <c r="K486" s="186">
        <v>0</v>
      </c>
      <c r="L486" s="288">
        <v>-21</v>
      </c>
      <c r="M486" s="24"/>
      <c r="N486" s="112" t="s">
        <v>670</v>
      </c>
      <c r="O486" s="187">
        <v>0.5</v>
      </c>
    </row>
    <row r="487" spans="1:15">
      <c r="A487" s="173" t="str">
        <f t="shared" si="7"/>
        <v>outbound</v>
      </c>
      <c r="B487" s="182">
        <v>45587.61041666667</v>
      </c>
      <c r="C487" s="183" t="s">
        <v>1929</v>
      </c>
      <c r="D487" s="183" t="s">
        <v>2257</v>
      </c>
      <c r="E487" s="215" t="s">
        <v>2213</v>
      </c>
      <c r="F487" s="176" t="s">
        <v>1860</v>
      </c>
      <c r="G487" s="176"/>
      <c r="H487" s="112" t="str">
        <f>IF(ISBLANK(E487),"",_xlfn.XLOOKUP(E487,cannabis_log!C:C,cannabis_log!H:H,"",0,1))</f>
        <v>extract_inhaled_labelled</v>
      </c>
      <c r="I487" s="189">
        <v>45574</v>
      </c>
      <c r="J487" s="185">
        <v>-8</v>
      </c>
      <c r="K487" s="186">
        <v>0</v>
      </c>
      <c r="L487" s="288">
        <v>-4</v>
      </c>
      <c r="M487" s="188"/>
      <c r="N487" s="176" t="s">
        <v>670</v>
      </c>
      <c r="O487" s="180">
        <v>0.5</v>
      </c>
    </row>
    <row r="488" spans="1:15">
      <c r="A488" s="181" t="str">
        <f t="shared" si="7"/>
        <v>outbound</v>
      </c>
      <c r="B488" s="182">
        <v>45587.620138888888</v>
      </c>
      <c r="C488" s="183" t="s">
        <v>1929</v>
      </c>
      <c r="D488" s="183"/>
      <c r="E488" s="215" t="s">
        <v>2016</v>
      </c>
      <c r="F488" s="112" t="s">
        <v>869</v>
      </c>
      <c r="G488" s="112"/>
      <c r="H488" s="112" t="str">
        <f>IF(ISBLANK(E488),"",_xlfn.XLOOKUP(E488,cannabis_log!C:C,cannabis_log!H:H,"",0,1))</f>
        <v>preroll_labelled</v>
      </c>
      <c r="I488" s="113">
        <v>45498</v>
      </c>
      <c r="J488" s="185">
        <v>-60</v>
      </c>
      <c r="K488" s="186">
        <v>0</v>
      </c>
      <c r="L488" s="288">
        <v>-90</v>
      </c>
      <c r="M488" s="24"/>
      <c r="N488" s="112" t="s">
        <v>670</v>
      </c>
      <c r="O488" s="187">
        <v>1.5</v>
      </c>
    </row>
    <row r="489" spans="1:15">
      <c r="A489" s="173" t="str">
        <f t="shared" si="7"/>
        <v>outbound</v>
      </c>
      <c r="B489" s="182">
        <v>45587.624305555553</v>
      </c>
      <c r="C489" s="183" t="s">
        <v>1929</v>
      </c>
      <c r="D489" s="192" t="s">
        <v>2258</v>
      </c>
      <c r="E489" s="215" t="s">
        <v>2259</v>
      </c>
      <c r="F489" s="176" t="s">
        <v>1134</v>
      </c>
      <c r="G489" s="176"/>
      <c r="H489" s="112" t="str">
        <f>IF(ISBLANK(E489),"",_xlfn.XLOOKUP(E489,cannabis_log!C:C,cannabis_log!H:H,"",0,1))</f>
        <v>extract_inhaled_labelled</v>
      </c>
      <c r="I489" s="189">
        <v>45581</v>
      </c>
      <c r="J489" s="185">
        <v>-193</v>
      </c>
      <c r="K489" s="186">
        <v>0</v>
      </c>
      <c r="L489" s="288">
        <v>-96.5</v>
      </c>
      <c r="M489" s="188"/>
      <c r="N489" s="176" t="s">
        <v>670</v>
      </c>
      <c r="O489" s="180">
        <v>0.5</v>
      </c>
    </row>
    <row r="490" spans="1:15">
      <c r="A490" s="181" t="str">
        <f t="shared" si="7"/>
        <v>outbound</v>
      </c>
      <c r="B490" s="182">
        <v>45587.624305555553</v>
      </c>
      <c r="C490" s="183" t="s">
        <v>1929</v>
      </c>
      <c r="D490" s="22" t="s">
        <v>2258</v>
      </c>
      <c r="E490" s="215" t="s">
        <v>2105</v>
      </c>
      <c r="F490" s="112" t="s">
        <v>1313</v>
      </c>
      <c r="G490" s="112"/>
      <c r="H490" s="112" t="str">
        <f>IF(ISBLANK(E490),"",_xlfn.XLOOKUP(E490,cannabis_log!C:C,cannabis_log!H:H,"",0,1))</f>
        <v>preroll_labelled</v>
      </c>
      <c r="I490" s="113">
        <v>45575</v>
      </c>
      <c r="J490" s="185">
        <v>-60</v>
      </c>
      <c r="K490" s="186">
        <v>0</v>
      </c>
      <c r="L490" s="288">
        <v>-90</v>
      </c>
      <c r="M490" s="24"/>
      <c r="N490" s="112" t="s">
        <v>670</v>
      </c>
      <c r="O490" s="187">
        <v>1.5</v>
      </c>
    </row>
    <row r="491" spans="1:15">
      <c r="A491" s="173" t="str">
        <f t="shared" si="7"/>
        <v>outbound</v>
      </c>
      <c r="B491" s="182">
        <v>45587.624305555553</v>
      </c>
      <c r="C491" s="183" t="s">
        <v>1929</v>
      </c>
      <c r="D491" s="192" t="s">
        <v>2258</v>
      </c>
      <c r="E491" s="215" t="s">
        <v>2254</v>
      </c>
      <c r="F491" s="176" t="s">
        <v>1377</v>
      </c>
      <c r="G491" s="176"/>
      <c r="H491" s="112" t="str">
        <f>IF(ISBLANK(E491),"",_xlfn.XLOOKUP(E491,cannabis_log!C:C,cannabis_log!H:H,"",0,1))</f>
        <v>topical_labelled</v>
      </c>
      <c r="I491" s="189">
        <v>45569</v>
      </c>
      <c r="J491" s="185">
        <v>-350</v>
      </c>
      <c r="K491" s="186">
        <v>0</v>
      </c>
      <c r="L491" s="288">
        <v>-30800</v>
      </c>
      <c r="M491" s="188"/>
      <c r="N491" s="176" t="s">
        <v>670</v>
      </c>
      <c r="O491" s="180">
        <v>88</v>
      </c>
    </row>
    <row r="492" spans="1:15">
      <c r="A492" s="181" t="str">
        <f t="shared" si="7"/>
        <v>outbound</v>
      </c>
      <c r="B492" s="182">
        <v>45588.50277777778</v>
      </c>
      <c r="C492" s="183"/>
      <c r="D492" s="183"/>
      <c r="E492" s="215" t="s">
        <v>2260</v>
      </c>
      <c r="F492" s="112">
        <v>2024092001</v>
      </c>
      <c r="G492" s="112"/>
      <c r="H492" s="112" t="str">
        <f>IF(ISBLANK(E492),"",_xlfn.XLOOKUP(E492,cannabis_log!C:C,cannabis_log!H:H,"",0,1))</f>
        <v>driedflower_labelled_BC_BURB</v>
      </c>
      <c r="I492" s="113">
        <v>45581</v>
      </c>
      <c r="J492" s="185">
        <v>-88</v>
      </c>
      <c r="K492" s="186">
        <v>0</v>
      </c>
      <c r="L492" s="288">
        <v>-1232</v>
      </c>
      <c r="M492" s="24"/>
      <c r="N492" s="112" t="s">
        <v>670</v>
      </c>
      <c r="O492" s="187">
        <v>14</v>
      </c>
    </row>
    <row r="493" spans="1:15">
      <c r="A493" s="173" t="str">
        <f t="shared" si="7"/>
        <v>outbound</v>
      </c>
      <c r="B493" s="182">
        <v>45588.50277777778</v>
      </c>
      <c r="C493" s="183"/>
      <c r="D493" s="183"/>
      <c r="E493" s="215" t="s">
        <v>2261</v>
      </c>
      <c r="F493" s="176">
        <v>2024092001</v>
      </c>
      <c r="G493" s="176"/>
      <c r="H493" s="112" t="str">
        <f>IF(ISBLANK(E493),"",_xlfn.XLOOKUP(E493,cannabis_log!C:C,cannabis_log!H:H,"",0,1))</f>
        <v>driedflower_labelled_BC_BURB</v>
      </c>
      <c r="I493" s="189">
        <v>45581</v>
      </c>
      <c r="J493" s="185">
        <v>-400</v>
      </c>
      <c r="K493" s="186">
        <v>0</v>
      </c>
      <c r="L493" s="288">
        <v>-5600</v>
      </c>
      <c r="M493" s="188"/>
      <c r="N493" s="176" t="s">
        <v>670</v>
      </c>
      <c r="O493" s="180">
        <v>14</v>
      </c>
    </row>
    <row r="494" spans="1:15">
      <c r="A494" s="181" t="str">
        <f t="shared" si="7"/>
        <v>outbound</v>
      </c>
      <c r="B494" s="182">
        <v>45588.50277777778</v>
      </c>
      <c r="C494" s="183"/>
      <c r="D494" s="183"/>
      <c r="E494" s="215" t="s">
        <v>2262</v>
      </c>
      <c r="F494" s="112">
        <v>2024092001</v>
      </c>
      <c r="G494" s="112"/>
      <c r="H494" s="112" t="str">
        <f>IF(ISBLANK(E494),"",_xlfn.XLOOKUP(E494,cannabis_log!C:C,cannabis_log!H:H,"",0,1))</f>
        <v>driedflower_labelled_BC_BURB</v>
      </c>
      <c r="I494" s="113">
        <v>45581</v>
      </c>
      <c r="J494" s="185">
        <v>-400</v>
      </c>
      <c r="K494" s="186">
        <v>0</v>
      </c>
      <c r="L494" s="288">
        <v>-5600</v>
      </c>
      <c r="M494" s="24"/>
      <c r="N494" s="112" t="s">
        <v>670</v>
      </c>
      <c r="O494" s="187">
        <v>14</v>
      </c>
    </row>
    <row r="495" spans="1:15">
      <c r="A495" s="173" t="str">
        <f t="shared" si="7"/>
        <v>outbound</v>
      </c>
      <c r="B495" s="182">
        <v>45588.506249999999</v>
      </c>
      <c r="C495" s="183"/>
      <c r="D495" s="183"/>
      <c r="E495" s="215" t="s">
        <v>2263</v>
      </c>
      <c r="F495" s="176">
        <v>2024092003</v>
      </c>
      <c r="G495" s="176"/>
      <c r="H495" s="112" t="str">
        <f>IF(ISBLANK(E495),"",_xlfn.XLOOKUP(E495,cannabis_log!C:C,cannabis_log!H:H,"",0,1))</f>
        <v>driedflower_labelled_BC_BURB</v>
      </c>
      <c r="I495" s="189">
        <v>45581</v>
      </c>
      <c r="J495" s="185">
        <v>-411</v>
      </c>
      <c r="K495" s="186">
        <v>0</v>
      </c>
      <c r="L495" s="288">
        <v>-5754</v>
      </c>
      <c r="M495" s="188"/>
      <c r="N495" s="176" t="s">
        <v>670</v>
      </c>
      <c r="O495" s="180">
        <v>14</v>
      </c>
    </row>
    <row r="496" spans="1:15">
      <c r="A496" s="181" t="str">
        <f t="shared" si="7"/>
        <v>outbound</v>
      </c>
      <c r="B496" s="182">
        <v>45588.506249999999</v>
      </c>
      <c r="C496" s="183"/>
      <c r="D496" s="183"/>
      <c r="E496" s="215" t="s">
        <v>2264</v>
      </c>
      <c r="F496" s="112">
        <v>2024092002</v>
      </c>
      <c r="G496" s="112"/>
      <c r="H496" s="112" t="str">
        <f>IF(ISBLANK(E496),"",_xlfn.XLOOKUP(E496,cannabis_log!C:C,cannabis_log!H:H,"",0,1))</f>
        <v>driedflower_labelled_BC_BURB</v>
      </c>
      <c r="I496" s="113">
        <v>45581</v>
      </c>
      <c r="J496" s="185">
        <v>-349</v>
      </c>
      <c r="K496" s="186">
        <v>0</v>
      </c>
      <c r="L496" s="288">
        <v>-4886</v>
      </c>
      <c r="M496" s="24"/>
      <c r="N496" s="112" t="s">
        <v>670</v>
      </c>
      <c r="O496" s="187">
        <v>14</v>
      </c>
    </row>
    <row r="497" spans="1:15">
      <c r="A497" s="173" t="str">
        <f t="shared" si="7"/>
        <v>outbound</v>
      </c>
      <c r="B497" s="182">
        <v>45588.506249999999</v>
      </c>
      <c r="C497" s="183"/>
      <c r="D497" s="183"/>
      <c r="E497" s="215" t="s">
        <v>2265</v>
      </c>
      <c r="F497" s="176">
        <v>2024092002</v>
      </c>
      <c r="G497" s="176"/>
      <c r="H497" s="112" t="str">
        <f>IF(ISBLANK(E497),"",_xlfn.XLOOKUP(E497,cannabis_log!C:C,cannabis_log!H:H,"",0,1))</f>
        <v>driedflower_labelled_BC_BURB</v>
      </c>
      <c r="I497" s="189">
        <v>45581</v>
      </c>
      <c r="J497" s="185">
        <v>-400</v>
      </c>
      <c r="K497" s="186">
        <v>0</v>
      </c>
      <c r="L497" s="288">
        <v>-5600</v>
      </c>
      <c r="M497" s="188"/>
      <c r="N497" s="176" t="s">
        <v>670</v>
      </c>
      <c r="O497" s="180">
        <v>14</v>
      </c>
    </row>
    <row r="498" spans="1:15">
      <c r="A498" s="181" t="str">
        <f t="shared" si="7"/>
        <v>outbound</v>
      </c>
      <c r="B498" s="182">
        <v>45588.506249999999</v>
      </c>
      <c r="C498" s="183"/>
      <c r="D498" s="183"/>
      <c r="E498" s="215" t="s">
        <v>2266</v>
      </c>
      <c r="F498" s="112">
        <v>2024092002</v>
      </c>
      <c r="G498" s="112"/>
      <c r="H498" s="112" t="str">
        <f>IF(ISBLANK(E498),"",_xlfn.XLOOKUP(E498,cannabis_log!C:C,cannabis_log!H:H,"",0,1))</f>
        <v>driedflower_labelled_BC_BURB</v>
      </c>
      <c r="I498" s="113">
        <v>45581</v>
      </c>
      <c r="J498" s="185">
        <v>-400</v>
      </c>
      <c r="K498" s="186">
        <v>0</v>
      </c>
      <c r="L498" s="288">
        <v>-5600</v>
      </c>
      <c r="M498" s="24"/>
      <c r="N498" s="112" t="s">
        <v>670</v>
      </c>
      <c r="O498" s="187">
        <v>14</v>
      </c>
    </row>
    <row r="499" spans="1:15">
      <c r="A499" s="173" t="str">
        <f t="shared" si="7"/>
        <v>outbound</v>
      </c>
      <c r="B499" s="182">
        <v>45588.560416666667</v>
      </c>
      <c r="C499" s="183"/>
      <c r="D499" s="183" t="s">
        <v>2267</v>
      </c>
      <c r="E499" s="215" t="s">
        <v>2142</v>
      </c>
      <c r="F499" s="176" t="s">
        <v>2094</v>
      </c>
      <c r="G499" s="176"/>
      <c r="H499" s="112" t="str">
        <f>IF(ISBLANK(E499),"",_xlfn.XLOOKUP(E499,cannabis_log!C:C,cannabis_log!H:H,"",0,1))</f>
        <v>extract_inhaled_labelled</v>
      </c>
      <c r="I499" s="189">
        <v>45560</v>
      </c>
      <c r="J499" s="185">
        <v>-6</v>
      </c>
      <c r="K499" s="186">
        <v>0</v>
      </c>
      <c r="L499" s="288">
        <v>-3</v>
      </c>
      <c r="M499" s="188"/>
      <c r="N499" s="176" t="s">
        <v>670</v>
      </c>
      <c r="O499" s="180">
        <v>0.5</v>
      </c>
    </row>
    <row r="500" spans="1:15">
      <c r="A500" s="181" t="str">
        <f t="shared" si="7"/>
        <v>outbound</v>
      </c>
      <c r="B500" s="182">
        <v>45588.560416666667</v>
      </c>
      <c r="C500" s="183"/>
      <c r="D500" s="183"/>
      <c r="E500" s="215" t="s">
        <v>2268</v>
      </c>
      <c r="F500" s="112" t="s">
        <v>535</v>
      </c>
      <c r="G500" s="112"/>
      <c r="H500" s="112" t="str">
        <f>IF(ISBLANK(E500),"",_xlfn.XLOOKUP(E500,cannabis_log!C:C,cannabis_log!H:H,"",0,1))</f>
        <v>preroll_packaged</v>
      </c>
      <c r="I500" s="113" t="s">
        <v>55</v>
      </c>
      <c r="J500" s="185">
        <v>-644</v>
      </c>
      <c r="K500" s="186">
        <v>0</v>
      </c>
      <c r="L500" s="288">
        <v>-966</v>
      </c>
      <c r="M500" s="24"/>
      <c r="N500" s="112" t="s">
        <v>670</v>
      </c>
      <c r="O500" s="187">
        <v>1.5</v>
      </c>
    </row>
    <row r="501" spans="1:15">
      <c r="A501" s="173" t="str">
        <f t="shared" si="7"/>
        <v>outbound</v>
      </c>
      <c r="B501" s="182">
        <v>45588.631249999999</v>
      </c>
      <c r="C501" s="183"/>
      <c r="D501" s="183"/>
      <c r="E501" s="215" t="s">
        <v>2077</v>
      </c>
      <c r="F501" s="176" t="s">
        <v>866</v>
      </c>
      <c r="G501" s="176"/>
      <c r="H501" s="112" t="str">
        <f>IF(ISBLANK(E501),"",_xlfn.XLOOKUP(E501,cannabis_log!C:C,cannabis_log!H:H,"",0,1))</f>
        <v>preroll_labelled</v>
      </c>
      <c r="I501" s="189">
        <v>45523</v>
      </c>
      <c r="J501" s="185">
        <v>-5</v>
      </c>
      <c r="K501" s="186">
        <v>0</v>
      </c>
      <c r="L501" s="288">
        <v>-7.5</v>
      </c>
      <c r="M501" s="188"/>
      <c r="N501" s="176" t="s">
        <v>670</v>
      </c>
      <c r="O501" s="180">
        <v>1.5</v>
      </c>
    </row>
    <row r="502" spans="1:15">
      <c r="A502" s="181" t="str">
        <f t="shared" si="7"/>
        <v>outbound</v>
      </c>
      <c r="B502" s="182">
        <v>45588.631249999999</v>
      </c>
      <c r="C502" s="183"/>
      <c r="D502" s="183"/>
      <c r="E502" s="215" t="s">
        <v>2269</v>
      </c>
      <c r="F502" s="112" t="s">
        <v>866</v>
      </c>
      <c r="G502" s="112"/>
      <c r="H502" s="112" t="str">
        <f>IF(ISBLANK(E502),"",_xlfn.XLOOKUP(E502,cannabis_log!C:C,cannabis_log!H:H,"",0,1))</f>
        <v>preroll_labelled</v>
      </c>
      <c r="I502" s="113">
        <v>45567</v>
      </c>
      <c r="J502" s="185">
        <v>-9</v>
      </c>
      <c r="K502" s="186">
        <v>0</v>
      </c>
      <c r="L502" s="288">
        <v>-13.5</v>
      </c>
      <c r="M502" s="24"/>
      <c r="N502" s="112" t="s">
        <v>670</v>
      </c>
      <c r="O502" s="187">
        <v>1.5</v>
      </c>
    </row>
    <row r="503" spans="1:15">
      <c r="A503" s="173" t="str">
        <f t="shared" si="7"/>
        <v>outbound</v>
      </c>
      <c r="B503" s="182">
        <v>45588.631249999999</v>
      </c>
      <c r="C503" s="183"/>
      <c r="D503" s="183"/>
      <c r="E503" s="215" t="s">
        <v>2270</v>
      </c>
      <c r="F503" s="176" t="s">
        <v>866</v>
      </c>
      <c r="G503" s="176"/>
      <c r="H503" s="112" t="str">
        <f>IF(ISBLANK(E503),"",_xlfn.XLOOKUP(E503,cannabis_log!C:C,cannabis_log!H:H,"",0,1))</f>
        <v>preroll_labelled</v>
      </c>
      <c r="I503" s="189">
        <v>45575</v>
      </c>
      <c r="J503" s="185">
        <v>-34</v>
      </c>
      <c r="K503" s="186">
        <v>0</v>
      </c>
      <c r="L503" s="288">
        <v>-51</v>
      </c>
      <c r="M503" s="188"/>
      <c r="N503" s="176" t="s">
        <v>670</v>
      </c>
      <c r="O503" s="180">
        <v>1.5</v>
      </c>
    </row>
    <row r="504" spans="1:15">
      <c r="A504" s="181" t="str">
        <f t="shared" si="7"/>
        <v>outbound</v>
      </c>
      <c r="B504" s="182">
        <v>45588.631249999999</v>
      </c>
      <c r="C504" s="183"/>
      <c r="D504" s="183"/>
      <c r="E504" s="215" t="s">
        <v>2132</v>
      </c>
      <c r="F504" s="112" t="s">
        <v>1313</v>
      </c>
      <c r="G504" s="112"/>
      <c r="H504" s="112" t="str">
        <f>IF(ISBLANK(E504),"",_xlfn.XLOOKUP(E504,cannabis_log!C:C,cannabis_log!H:H,"",0,1))</f>
        <v>preroll_labelled</v>
      </c>
      <c r="I504" s="113">
        <v>45523</v>
      </c>
      <c r="J504" s="185">
        <v>-48</v>
      </c>
      <c r="K504" s="186">
        <v>0</v>
      </c>
      <c r="L504" s="288">
        <v>-72</v>
      </c>
      <c r="M504" s="24"/>
      <c r="N504" s="112" t="s">
        <v>670</v>
      </c>
      <c r="O504" s="187">
        <v>1.5</v>
      </c>
    </row>
    <row r="505" spans="1:15">
      <c r="A505" s="173" t="str">
        <f t="shared" si="7"/>
        <v>outbound</v>
      </c>
      <c r="B505" s="182">
        <v>45588.632638888892</v>
      </c>
      <c r="C505" s="183"/>
      <c r="D505" s="183"/>
      <c r="E505" s="215" t="s">
        <v>1965</v>
      </c>
      <c r="F505" s="176" t="s">
        <v>630</v>
      </c>
      <c r="G505" s="176"/>
      <c r="H505" s="112" t="str">
        <f>IF(ISBLANK(E505),"",_xlfn.XLOOKUP(E505,cannabis_log!C:C,cannabis_log!H:H,"",0,1))</f>
        <v>preroll_labelled</v>
      </c>
      <c r="I505" s="189">
        <v>45543</v>
      </c>
      <c r="J505" s="185">
        <v>-5</v>
      </c>
      <c r="K505" s="186">
        <v>0</v>
      </c>
      <c r="L505" s="288">
        <v>-7.5</v>
      </c>
      <c r="M505" s="188"/>
      <c r="N505" s="176" t="s">
        <v>670</v>
      </c>
      <c r="O505" s="180">
        <v>1.5</v>
      </c>
    </row>
    <row r="506" spans="1:15">
      <c r="A506" s="181" t="str">
        <f t="shared" si="7"/>
        <v>outbound</v>
      </c>
      <c r="B506" s="182">
        <v>45588.632638888892</v>
      </c>
      <c r="C506" s="183"/>
      <c r="D506" s="183"/>
      <c r="E506" s="215" t="s">
        <v>2271</v>
      </c>
      <c r="F506" s="112" t="s">
        <v>630</v>
      </c>
      <c r="G506" s="112"/>
      <c r="H506" s="112" t="str">
        <f>IF(ISBLANK(E506),"",_xlfn.XLOOKUP(E506,cannabis_log!C:C,cannabis_log!H:H,"",0,1))</f>
        <v>preroll_labelled</v>
      </c>
      <c r="I506" s="113">
        <v>45574</v>
      </c>
      <c r="J506" s="185">
        <v>-43</v>
      </c>
      <c r="K506" s="186">
        <v>0</v>
      </c>
      <c r="L506" s="288">
        <v>-64.5</v>
      </c>
      <c r="M506" s="24"/>
      <c r="N506" s="112" t="s">
        <v>670</v>
      </c>
      <c r="O506" s="187">
        <v>1.5</v>
      </c>
    </row>
    <row r="507" spans="1:15">
      <c r="A507" s="173" t="str">
        <f t="shared" si="7"/>
        <v>outbound</v>
      </c>
      <c r="B507" s="182">
        <v>45588.642361111109</v>
      </c>
      <c r="C507" s="183"/>
      <c r="D507" s="183"/>
      <c r="E507" s="215" t="s">
        <v>2226</v>
      </c>
      <c r="F507" s="176" t="s">
        <v>905</v>
      </c>
      <c r="G507" s="176"/>
      <c r="H507" s="112" t="str">
        <f>IF(ISBLANK(E507),"",_xlfn.XLOOKUP(E507,cannabis_log!C:C,cannabis_log!H:H,"",0,1))</f>
        <v>preroll_labelled</v>
      </c>
      <c r="I507" s="189">
        <v>45575</v>
      </c>
      <c r="J507" s="185">
        <v>-36</v>
      </c>
      <c r="K507" s="186">
        <v>0</v>
      </c>
      <c r="L507" s="288">
        <v>-54</v>
      </c>
      <c r="M507" s="188"/>
      <c r="N507" s="176" t="s">
        <v>670</v>
      </c>
      <c r="O507" s="180">
        <v>1.5</v>
      </c>
    </row>
    <row r="508" spans="1:15">
      <c r="A508" s="181" t="str">
        <f t="shared" si="7"/>
        <v>outbound</v>
      </c>
      <c r="B508" s="182">
        <v>45588.642361111109</v>
      </c>
      <c r="C508" s="183"/>
      <c r="D508" s="183"/>
      <c r="E508" s="215" t="s">
        <v>2124</v>
      </c>
      <c r="F508" s="112" t="s">
        <v>1315</v>
      </c>
      <c r="G508" s="112"/>
      <c r="H508" s="112" t="str">
        <f>IF(ISBLANK(E508),"",_xlfn.XLOOKUP(E508,cannabis_log!C:C,cannabis_log!H:H,"",0,1))</f>
        <v>extract_inhaled_labelled</v>
      </c>
      <c r="I508" s="113">
        <v>45555</v>
      </c>
      <c r="J508" s="185">
        <v>-24</v>
      </c>
      <c r="K508" s="186">
        <v>0</v>
      </c>
      <c r="L508" s="288">
        <v>-12</v>
      </c>
      <c r="M508" s="24"/>
      <c r="N508" s="112" t="s">
        <v>670</v>
      </c>
      <c r="O508" s="187">
        <v>0.5</v>
      </c>
    </row>
    <row r="509" spans="1:15">
      <c r="A509" s="173" t="str">
        <f t="shared" si="7"/>
        <v>outbound</v>
      </c>
      <c r="B509" s="182">
        <v>45588.646527777775</v>
      </c>
      <c r="C509" s="183"/>
      <c r="D509" s="183"/>
      <c r="E509" s="215" t="s">
        <v>2142</v>
      </c>
      <c r="F509" s="176" t="s">
        <v>2094</v>
      </c>
      <c r="G509" s="176"/>
      <c r="H509" s="112" t="str">
        <f>IF(ISBLANK(E509),"",_xlfn.XLOOKUP(E509,cannabis_log!C:C,cannabis_log!H:H,"",0,1))</f>
        <v>extract_inhaled_labelled</v>
      </c>
      <c r="I509" s="189">
        <v>45560</v>
      </c>
      <c r="J509" s="185">
        <v>-3</v>
      </c>
      <c r="K509" s="186">
        <v>0</v>
      </c>
      <c r="L509" s="288">
        <v>-1.5</v>
      </c>
      <c r="M509" s="188"/>
      <c r="N509" s="176" t="s">
        <v>670</v>
      </c>
      <c r="O509" s="180">
        <v>0.5</v>
      </c>
    </row>
    <row r="510" spans="1:15">
      <c r="A510" s="181" t="str">
        <f t="shared" si="7"/>
        <v>outbound</v>
      </c>
      <c r="B510" s="182">
        <v>45588.646527777775</v>
      </c>
      <c r="C510" s="183"/>
      <c r="D510" s="183" t="s">
        <v>2272</v>
      </c>
      <c r="E510" s="215" t="s">
        <v>2209</v>
      </c>
      <c r="F510" s="112" t="s">
        <v>775</v>
      </c>
      <c r="G510" s="112"/>
      <c r="H510" s="112" t="str">
        <f>IF(ISBLANK(E510),"",_xlfn.XLOOKUP(E510,cannabis_log!C:C,cannabis_log!H:H,"",0,1))</f>
        <v>topical_labelled</v>
      </c>
      <c r="I510" s="113">
        <v>45523</v>
      </c>
      <c r="J510" s="185">
        <v>-6</v>
      </c>
      <c r="K510" s="186">
        <v>0</v>
      </c>
      <c r="L510" s="288">
        <v>-1080</v>
      </c>
      <c r="M510" s="24"/>
      <c r="N510" s="112" t="s">
        <v>670</v>
      </c>
      <c r="O510" s="187">
        <v>180</v>
      </c>
    </row>
    <row r="511" spans="1:15">
      <c r="A511" s="173" t="str">
        <f t="shared" si="7"/>
        <v>outbound</v>
      </c>
      <c r="B511" s="182">
        <v>45589.65347222222</v>
      </c>
      <c r="C511" s="183"/>
      <c r="D511" s="183" t="s">
        <v>2039</v>
      </c>
      <c r="E511" s="215" t="s">
        <v>2273</v>
      </c>
      <c r="F511" s="176" t="s">
        <v>1162</v>
      </c>
      <c r="G511" s="176"/>
      <c r="H511" s="112" t="str">
        <f>IF(ISBLANK(E511),"",_xlfn.XLOOKUP(E511,cannabis_log!C:C,cannabis_log!H:H,"",0,1))</f>
        <v>extract_ingested_packaged</v>
      </c>
      <c r="I511" s="189" t="s">
        <v>55</v>
      </c>
      <c r="J511" s="185">
        <v>-18</v>
      </c>
      <c r="K511" s="186">
        <v>0</v>
      </c>
      <c r="L511" s="288">
        <v>-495</v>
      </c>
      <c r="M511" s="188"/>
      <c r="N511" s="176" t="s">
        <v>670</v>
      </c>
      <c r="O511" s="180">
        <v>27.5</v>
      </c>
    </row>
    <row r="512" spans="1:15">
      <c r="A512" s="181" t="str">
        <f t="shared" si="7"/>
        <v>outbound</v>
      </c>
      <c r="B512" s="182">
        <v>45589.65347222222</v>
      </c>
      <c r="C512" s="183"/>
      <c r="D512" s="183" t="s">
        <v>2039</v>
      </c>
      <c r="E512" s="215" t="s">
        <v>2274</v>
      </c>
      <c r="F512" s="112" t="s">
        <v>1162</v>
      </c>
      <c r="G512" s="112"/>
      <c r="H512" s="112" t="str">
        <f>IF(ISBLANK(E512),"",_xlfn.XLOOKUP(E512,cannabis_log!C:C,cannabis_log!H:H,"",0,1))</f>
        <v>extract_ingested_packaged</v>
      </c>
      <c r="I512" s="113" t="s">
        <v>55</v>
      </c>
      <c r="J512" s="185">
        <v>-63</v>
      </c>
      <c r="K512" s="186">
        <v>0</v>
      </c>
      <c r="L512" s="288">
        <v>-1732.5</v>
      </c>
      <c r="M512" s="24"/>
      <c r="N512" s="112" t="s">
        <v>670</v>
      </c>
      <c r="O512" s="187">
        <v>27.5</v>
      </c>
    </row>
    <row r="513" spans="1:15">
      <c r="A513" s="173" t="str">
        <f t="shared" ref="A513:A576" si="8">IF(ISBLANK(J513),"",IF(J513+K513+L513&lt;0,"outbound","inbound"))</f>
        <v>outbound</v>
      </c>
      <c r="B513" s="182">
        <v>45589.654166666667</v>
      </c>
      <c r="C513" s="183"/>
      <c r="D513" s="183" t="s">
        <v>2275</v>
      </c>
      <c r="E513" s="215" t="s">
        <v>2276</v>
      </c>
      <c r="F513" s="176" t="s">
        <v>2277</v>
      </c>
      <c r="G513" s="176"/>
      <c r="H513" s="112" t="str">
        <f>IF(ISBLANK(E513),"",_xlfn.XLOOKUP(E513,cannabis_log!C:C,cannabis_log!H:H,"",0,1))</f>
        <v>extract_inhaled_bulk</v>
      </c>
      <c r="I513" s="189" t="s">
        <v>55</v>
      </c>
      <c r="J513" s="185">
        <v>-1</v>
      </c>
      <c r="K513" s="186">
        <v>-610.9</v>
      </c>
      <c r="L513" s="288">
        <v>0</v>
      </c>
      <c r="M513" s="188"/>
      <c r="N513" s="176" t="s">
        <v>664</v>
      </c>
      <c r="O513" s="180">
        <v>0</v>
      </c>
    </row>
    <row r="514" spans="1:15">
      <c r="A514" s="181" t="str">
        <f t="shared" si="8"/>
        <v>outbound</v>
      </c>
      <c r="B514" s="182">
        <v>45589.695138888892</v>
      </c>
      <c r="C514" s="183"/>
      <c r="D514" s="183"/>
      <c r="E514" s="215" t="s">
        <v>2278</v>
      </c>
      <c r="F514" s="112" t="s">
        <v>1134</v>
      </c>
      <c r="G514" s="112"/>
      <c r="H514" s="112" t="str">
        <f>IF(ISBLANK(E514),"",_xlfn.XLOOKUP(E514,cannabis_log!C:C,cannabis_log!H:H,"",0,1))</f>
        <v>extract_inhaled_labelled</v>
      </c>
      <c r="I514" s="113">
        <v>45574</v>
      </c>
      <c r="J514" s="185">
        <v>-3</v>
      </c>
      <c r="K514" s="186">
        <v>0</v>
      </c>
      <c r="L514" s="288">
        <v>-1.5</v>
      </c>
      <c r="M514" s="24"/>
      <c r="N514" s="112" t="s">
        <v>670</v>
      </c>
      <c r="O514" s="187">
        <v>0.5</v>
      </c>
    </row>
    <row r="515" spans="1:15">
      <c r="A515" s="173" t="str">
        <f t="shared" si="8"/>
        <v>outbound</v>
      </c>
      <c r="B515" s="182">
        <v>45589.695138888892</v>
      </c>
      <c r="C515" s="183"/>
      <c r="D515" s="183"/>
      <c r="E515" s="215" t="s">
        <v>2207</v>
      </c>
      <c r="F515" s="176" t="s">
        <v>1315</v>
      </c>
      <c r="G515" s="176"/>
      <c r="H515" s="112" t="str">
        <f>IF(ISBLANK(E515),"",_xlfn.XLOOKUP(E515,cannabis_log!C:C,cannabis_log!H:H,"",0,1))</f>
        <v>extract_inhaled_labelled</v>
      </c>
      <c r="I515" s="189">
        <v>45555</v>
      </c>
      <c r="J515" s="185">
        <v>-3</v>
      </c>
      <c r="K515" s="186">
        <v>0</v>
      </c>
      <c r="L515" s="288">
        <v>-1.5</v>
      </c>
      <c r="M515" s="188"/>
      <c r="N515" s="176" t="s">
        <v>670</v>
      </c>
      <c r="O515" s="180">
        <v>0.5</v>
      </c>
    </row>
    <row r="516" spans="1:15">
      <c r="A516" s="181" t="str">
        <f t="shared" si="8"/>
        <v>outbound</v>
      </c>
      <c r="B516" s="182">
        <v>45590.503472222219</v>
      </c>
      <c r="C516" s="183"/>
      <c r="D516" s="191" t="s">
        <v>2279</v>
      </c>
      <c r="E516" s="215" t="s">
        <v>2280</v>
      </c>
      <c r="F516" s="112" t="s">
        <v>2112</v>
      </c>
      <c r="G516" s="112"/>
      <c r="H516" s="112" t="str">
        <f>IF(ISBLANK(E516),"",_xlfn.XLOOKUP(E516,cannabis_log!C:C,cannabis_log!H:H,"",0,1))</f>
        <v>extract_ingested_labelled_ON</v>
      </c>
      <c r="I516" s="113">
        <v>45550</v>
      </c>
      <c r="J516" s="185">
        <v>-84</v>
      </c>
      <c r="K516" s="186">
        <v>0</v>
      </c>
      <c r="L516" s="288">
        <v>-12684</v>
      </c>
      <c r="M516" s="24"/>
      <c r="N516" s="112" t="s">
        <v>670</v>
      </c>
      <c r="O516" s="187">
        <v>151</v>
      </c>
    </row>
    <row r="517" spans="1:15">
      <c r="A517" s="173" t="str">
        <f t="shared" si="8"/>
        <v>outbound</v>
      </c>
      <c r="B517" s="182">
        <v>45593.427777777775</v>
      </c>
      <c r="C517" s="183"/>
      <c r="D517" s="183"/>
      <c r="E517" s="215" t="s">
        <v>2281</v>
      </c>
      <c r="F517" s="176">
        <v>2024101703</v>
      </c>
      <c r="G517" s="176"/>
      <c r="H517" s="112" t="str">
        <f>IF(ISBLANK(E517),"",_xlfn.XLOOKUP(E517,cannabis_log!C:C,cannabis_log!H:H,"",0,1))</f>
        <v>driedflower_bulk</v>
      </c>
      <c r="I517" s="189" t="s">
        <v>55</v>
      </c>
      <c r="J517" s="185">
        <v>-1</v>
      </c>
      <c r="K517" s="186">
        <v>-3080</v>
      </c>
      <c r="L517" s="288">
        <v>0</v>
      </c>
      <c r="M517" s="188"/>
      <c r="N517" s="176" t="s">
        <v>664</v>
      </c>
      <c r="O517" s="180">
        <v>0</v>
      </c>
    </row>
    <row r="518" spans="1:15">
      <c r="A518" s="181" t="str">
        <f t="shared" si="8"/>
        <v>outbound</v>
      </c>
      <c r="B518" s="182">
        <v>45593.427777777775</v>
      </c>
      <c r="C518" s="183"/>
      <c r="D518" s="183"/>
      <c r="E518" s="215" t="s">
        <v>2282</v>
      </c>
      <c r="F518" s="112">
        <v>2024101703</v>
      </c>
      <c r="G518" s="112"/>
      <c r="H518" s="112" t="str">
        <f>IF(ISBLANK(E518),"",_xlfn.XLOOKUP(E518,cannabis_log!C:C,cannabis_log!H:H,"",0,1))</f>
        <v>driedflower_bulk</v>
      </c>
      <c r="I518" s="113" t="s">
        <v>55</v>
      </c>
      <c r="J518" s="185">
        <v>-1</v>
      </c>
      <c r="K518" s="186">
        <v>-2094</v>
      </c>
      <c r="L518" s="288">
        <v>0</v>
      </c>
      <c r="M518" s="24"/>
      <c r="N518" s="112" t="s">
        <v>664</v>
      </c>
      <c r="O518" s="187">
        <v>0</v>
      </c>
    </row>
    <row r="519" spans="1:15">
      <c r="A519" s="173" t="str">
        <f t="shared" si="8"/>
        <v>outbound</v>
      </c>
      <c r="B519" s="182">
        <v>45593.427777777775</v>
      </c>
      <c r="C519" s="183"/>
      <c r="D519" s="183"/>
      <c r="E519" s="215" t="s">
        <v>2283</v>
      </c>
      <c r="F519" s="176">
        <v>2024101703</v>
      </c>
      <c r="G519" s="176"/>
      <c r="H519" s="112" t="str">
        <f>IF(ISBLANK(E519),"",_xlfn.XLOOKUP(E519,cannabis_log!C:C,cannabis_log!H:H,"",0,1))</f>
        <v>driedflower_bulk</v>
      </c>
      <c r="I519" s="189" t="s">
        <v>55</v>
      </c>
      <c r="J519" s="185">
        <v>-1</v>
      </c>
      <c r="K519" s="186">
        <v>-3090</v>
      </c>
      <c r="L519" s="288">
        <v>0</v>
      </c>
      <c r="M519" s="188"/>
      <c r="N519" s="176" t="s">
        <v>664</v>
      </c>
      <c r="O519" s="180">
        <v>0</v>
      </c>
    </row>
    <row r="520" spans="1:15">
      <c r="A520" s="181" t="str">
        <f t="shared" si="8"/>
        <v>outbound</v>
      </c>
      <c r="B520" s="182">
        <v>45593.427777777775</v>
      </c>
      <c r="C520" s="183" t="s">
        <v>1921</v>
      </c>
      <c r="D520" s="183" t="s">
        <v>2284</v>
      </c>
      <c r="E520" s="215" t="s">
        <v>2285</v>
      </c>
      <c r="F520" s="112" t="s">
        <v>694</v>
      </c>
      <c r="G520" s="112"/>
      <c r="H520" s="112" t="str">
        <f>IF(ISBLANK(E520),"",_xlfn.XLOOKUP(E520,cannabis_log!C:C,cannabis_log!H:H,"",0,1))</f>
        <v>driedflower_bulk</v>
      </c>
      <c r="I520" s="113">
        <v>44686</v>
      </c>
      <c r="J520" s="185">
        <v>-1</v>
      </c>
      <c r="K520" s="186">
        <v>-1021.2</v>
      </c>
      <c r="L520" s="288">
        <v>0</v>
      </c>
      <c r="M520" s="24"/>
      <c r="N520" s="112" t="s">
        <v>664</v>
      </c>
      <c r="O520" s="187">
        <v>0</v>
      </c>
    </row>
    <row r="521" spans="1:15">
      <c r="A521" s="173" t="str">
        <f t="shared" si="8"/>
        <v>outbound</v>
      </c>
      <c r="B521" s="182">
        <v>45593.427777777775</v>
      </c>
      <c r="C521" s="183" t="s">
        <v>1921</v>
      </c>
      <c r="D521" s="183"/>
      <c r="E521" s="215" t="s">
        <v>2286</v>
      </c>
      <c r="F521" s="176" t="s">
        <v>694</v>
      </c>
      <c r="G521" s="176"/>
      <c r="H521" s="112" t="str">
        <f>IF(ISBLANK(E521),"",_xlfn.XLOOKUP(E521,cannabis_log!C:C,cannabis_log!H:H,"",0,1))</f>
        <v>driedflower_bulk</v>
      </c>
      <c r="I521" s="189" t="s">
        <v>55</v>
      </c>
      <c r="J521" s="185">
        <v>-1</v>
      </c>
      <c r="K521" s="186">
        <v>-89.9</v>
      </c>
      <c r="L521" s="288">
        <v>0</v>
      </c>
      <c r="M521" s="188"/>
      <c r="N521" s="176" t="s">
        <v>664</v>
      </c>
      <c r="O521" s="180">
        <v>0</v>
      </c>
    </row>
    <row r="522" spans="1:15">
      <c r="A522" s="181" t="str">
        <f t="shared" si="8"/>
        <v>outbound</v>
      </c>
      <c r="B522" s="182">
        <v>45593.427777777775</v>
      </c>
      <c r="C522" s="183" t="s">
        <v>1921</v>
      </c>
      <c r="D522" s="183"/>
      <c r="E522" s="215" t="s">
        <v>2287</v>
      </c>
      <c r="F522" s="112" t="s">
        <v>694</v>
      </c>
      <c r="G522" s="112"/>
      <c r="H522" s="112" t="str">
        <f>IF(ISBLANK(E522),"",_xlfn.XLOOKUP(E522,cannabis_log!C:C,cannabis_log!H:H,"",0,1))</f>
        <v>driedflower_bulk</v>
      </c>
      <c r="I522" s="113">
        <v>45079</v>
      </c>
      <c r="J522" s="185">
        <v>-1</v>
      </c>
      <c r="K522" s="186">
        <v>-471.6</v>
      </c>
      <c r="L522" s="288">
        <v>0</v>
      </c>
      <c r="M522" s="24"/>
      <c r="N522" s="112" t="s">
        <v>664</v>
      </c>
      <c r="O522" s="187">
        <v>0</v>
      </c>
    </row>
    <row r="523" spans="1:15">
      <c r="A523" s="173" t="str">
        <f t="shared" si="8"/>
        <v>outbound</v>
      </c>
      <c r="B523" s="182">
        <v>45593.427777777775</v>
      </c>
      <c r="C523" s="183" t="s">
        <v>1921</v>
      </c>
      <c r="D523" s="183"/>
      <c r="E523" s="215" t="s">
        <v>2288</v>
      </c>
      <c r="F523" s="176" t="s">
        <v>694</v>
      </c>
      <c r="G523" s="176"/>
      <c r="H523" s="112" t="str">
        <f>IF(ISBLANK(E523),"",_xlfn.XLOOKUP(E523,cannabis_log!C:C,cannabis_log!H:H,"",0,1))</f>
        <v>driedflower_bulk</v>
      </c>
      <c r="I523" s="189">
        <v>44686</v>
      </c>
      <c r="J523" s="185">
        <v>-1</v>
      </c>
      <c r="K523" s="186">
        <v>-1027.5999999999999</v>
      </c>
      <c r="L523" s="288">
        <v>0</v>
      </c>
      <c r="M523" s="188"/>
      <c r="N523" s="176" t="s">
        <v>664</v>
      </c>
      <c r="O523" s="180">
        <v>0</v>
      </c>
    </row>
    <row r="524" spans="1:15">
      <c r="A524" s="181" t="str">
        <f t="shared" si="8"/>
        <v>outbound</v>
      </c>
      <c r="B524" s="182">
        <v>45593.533333333333</v>
      </c>
      <c r="C524" s="183" t="s">
        <v>1921</v>
      </c>
      <c r="D524" s="183"/>
      <c r="E524" s="215" t="s">
        <v>2124</v>
      </c>
      <c r="F524" s="112" t="s">
        <v>1315</v>
      </c>
      <c r="G524" s="112"/>
      <c r="H524" s="112" t="str">
        <f>IF(ISBLANK(E524),"",_xlfn.XLOOKUP(E524,cannabis_log!C:C,cannabis_log!H:H,"",0,1))</f>
        <v>extract_inhaled_labelled</v>
      </c>
      <c r="I524" s="113">
        <v>45555</v>
      </c>
      <c r="J524" s="185">
        <v>-49</v>
      </c>
      <c r="K524" s="186">
        <v>0</v>
      </c>
      <c r="L524" s="288">
        <v>-24.5</v>
      </c>
      <c r="M524" s="24"/>
      <c r="N524" s="112" t="s">
        <v>670</v>
      </c>
      <c r="O524" s="187">
        <v>0.5</v>
      </c>
    </row>
    <row r="525" spans="1:15">
      <c r="A525" s="173" t="str">
        <f t="shared" si="8"/>
        <v>outbound</v>
      </c>
      <c r="B525" s="182">
        <v>45593.533333333333</v>
      </c>
      <c r="C525" s="183" t="s">
        <v>1921</v>
      </c>
      <c r="D525" s="183"/>
      <c r="E525" s="215" t="s">
        <v>2098</v>
      </c>
      <c r="F525" s="176" t="s">
        <v>1315</v>
      </c>
      <c r="G525" s="176"/>
      <c r="H525" s="112" t="str">
        <f>IF(ISBLANK(E525),"",_xlfn.XLOOKUP(E525,cannabis_log!C:C,cannabis_log!H:H,"",0,1))</f>
        <v>extract_inhaled_labelled</v>
      </c>
      <c r="I525" s="189">
        <v>45555</v>
      </c>
      <c r="J525" s="185">
        <v>-71</v>
      </c>
      <c r="K525" s="186">
        <v>0</v>
      </c>
      <c r="L525" s="288">
        <v>-35.5</v>
      </c>
      <c r="M525" s="188"/>
      <c r="N525" s="176" t="s">
        <v>670</v>
      </c>
      <c r="O525" s="180">
        <v>0.5</v>
      </c>
    </row>
    <row r="526" spans="1:15">
      <c r="A526" s="181" t="str">
        <f t="shared" si="8"/>
        <v>outbound</v>
      </c>
      <c r="B526" s="182">
        <v>45594.406944444447</v>
      </c>
      <c r="C526" s="183" t="s">
        <v>1924</v>
      </c>
      <c r="D526" s="183" t="s">
        <v>2289</v>
      </c>
      <c r="E526" s="215" t="s">
        <v>1978</v>
      </c>
      <c r="F526" s="112" t="s">
        <v>694</v>
      </c>
      <c r="G526" s="112"/>
      <c r="H526" s="112" t="str">
        <f>IF(ISBLANK(E526),"",_xlfn.XLOOKUP(E526,cannabis_log!C:C,cannabis_log!H:H,"",0,1))</f>
        <v>driedflower_bulk</v>
      </c>
      <c r="I526" s="113">
        <v>44686</v>
      </c>
      <c r="J526" s="185">
        <v>-1</v>
      </c>
      <c r="K526" s="186">
        <v>-980</v>
      </c>
      <c r="L526" s="288">
        <v>0</v>
      </c>
      <c r="M526" s="24"/>
      <c r="N526" s="112" t="s">
        <v>664</v>
      </c>
      <c r="O526" s="187">
        <v>0</v>
      </c>
    </row>
    <row r="527" spans="1:15">
      <c r="A527" s="173" t="str">
        <f t="shared" si="8"/>
        <v>outbound</v>
      </c>
      <c r="B527" s="182">
        <v>45594.406944444447</v>
      </c>
      <c r="C527" s="183" t="s">
        <v>1924</v>
      </c>
      <c r="D527" s="183" t="s">
        <v>2289</v>
      </c>
      <c r="E527" s="215" t="s">
        <v>2290</v>
      </c>
      <c r="F527" s="176">
        <v>2022051603</v>
      </c>
      <c r="G527" s="176"/>
      <c r="H527" s="112" t="str">
        <f>IF(ISBLANK(E527),"",_xlfn.XLOOKUP(E527,cannabis_log!C:C,cannabis_log!H:H,"",0,1))</f>
        <v>driedflower_bulk</v>
      </c>
      <c r="I527" s="189">
        <v>44830</v>
      </c>
      <c r="J527" s="185">
        <v>-1</v>
      </c>
      <c r="K527" s="186">
        <v>-994</v>
      </c>
      <c r="L527" s="288">
        <v>0</v>
      </c>
      <c r="M527" s="188"/>
      <c r="N527" s="176" t="s">
        <v>664</v>
      </c>
      <c r="O527" s="180">
        <v>0</v>
      </c>
    </row>
    <row r="528" spans="1:15">
      <c r="A528" s="181" t="str">
        <f t="shared" si="8"/>
        <v>outbound</v>
      </c>
      <c r="B528" s="182">
        <v>45594.406944444447</v>
      </c>
      <c r="C528" s="183" t="s">
        <v>1924</v>
      </c>
      <c r="D528" s="183" t="s">
        <v>2289</v>
      </c>
      <c r="E528" s="215" t="s">
        <v>2291</v>
      </c>
      <c r="F528" s="112">
        <v>2022051601</v>
      </c>
      <c r="G528" s="112"/>
      <c r="H528" s="112" t="str">
        <f>IF(ISBLANK(E528),"",_xlfn.XLOOKUP(E528,cannabis_log!C:C,cannabis_log!H:H,"",0,1))</f>
        <v>driedflower_bulk</v>
      </c>
      <c r="I528" s="113">
        <v>44830</v>
      </c>
      <c r="J528" s="185">
        <v>-1</v>
      </c>
      <c r="K528" s="186">
        <v>-1046</v>
      </c>
      <c r="L528" s="288">
        <v>0</v>
      </c>
      <c r="M528" s="24"/>
      <c r="N528" s="112" t="s">
        <v>664</v>
      </c>
      <c r="O528" s="187">
        <v>0</v>
      </c>
    </row>
    <row r="529" spans="1:15">
      <c r="A529" s="173" t="str">
        <f t="shared" si="8"/>
        <v>outbound</v>
      </c>
      <c r="B529" s="182">
        <v>45594.406944444447</v>
      </c>
      <c r="C529" s="183" t="s">
        <v>1921</v>
      </c>
      <c r="D529" s="183" t="s">
        <v>2227</v>
      </c>
      <c r="E529" s="215" t="s">
        <v>2292</v>
      </c>
      <c r="F529" s="176" t="s">
        <v>55</v>
      </c>
      <c r="G529" s="176"/>
      <c r="H529" s="112" t="str">
        <f>IF(ISBLANK(E529),"",_xlfn.XLOOKUP(E529,cannabis_log!C:C,cannabis_log!H:H,"",0,1))</f>
        <v>extract_ingested_labelled</v>
      </c>
      <c r="I529" s="189" t="s">
        <v>55</v>
      </c>
      <c r="J529" s="185">
        <v>-1</v>
      </c>
      <c r="K529" s="186">
        <v>-16015</v>
      </c>
      <c r="L529" s="288">
        <v>0</v>
      </c>
      <c r="M529" s="188"/>
      <c r="N529" s="176" t="s">
        <v>664</v>
      </c>
      <c r="O529" s="180">
        <v>0</v>
      </c>
    </row>
    <row r="530" spans="1:15">
      <c r="A530" s="181" t="str">
        <f t="shared" si="8"/>
        <v>outbound</v>
      </c>
      <c r="B530" s="182">
        <v>45594.406944444447</v>
      </c>
      <c r="C530" s="183" t="s">
        <v>1921</v>
      </c>
      <c r="D530" s="183" t="s">
        <v>2227</v>
      </c>
      <c r="E530" s="215" t="s">
        <v>2293</v>
      </c>
      <c r="F530" s="112" t="s">
        <v>55</v>
      </c>
      <c r="G530" s="112"/>
      <c r="H530" s="112" t="str">
        <f>IF(ISBLANK(E530),"",_xlfn.XLOOKUP(E530,cannabis_log!C:C,cannabis_log!H:H,"",0,1))</f>
        <v>extract_ingested_bulk</v>
      </c>
      <c r="I530" s="113" t="s">
        <v>55</v>
      </c>
      <c r="J530" s="185">
        <v>-1</v>
      </c>
      <c r="K530" s="186">
        <v>-16075</v>
      </c>
      <c r="L530" s="288">
        <v>0</v>
      </c>
      <c r="M530" s="24"/>
      <c r="N530" s="112" t="s">
        <v>664</v>
      </c>
      <c r="O530" s="187">
        <v>0</v>
      </c>
    </row>
    <row r="531" spans="1:15">
      <c r="A531" s="173" t="str">
        <f t="shared" si="8"/>
        <v>outbound</v>
      </c>
      <c r="B531" s="182">
        <v>45595.393750000003</v>
      </c>
      <c r="C531" s="183" t="s">
        <v>1929</v>
      </c>
      <c r="D531" s="193" t="s">
        <v>2294</v>
      </c>
      <c r="E531" s="215" t="s">
        <v>2295</v>
      </c>
      <c r="F531" s="176" t="s">
        <v>630</v>
      </c>
      <c r="G531" s="176"/>
      <c r="H531" s="112" t="str">
        <f>IF(ISBLANK(E531),"",_xlfn.XLOOKUP(E531,cannabis_log!C:C,cannabis_log!H:H,"",0,1))</f>
        <v>preroll_labelled</v>
      </c>
      <c r="I531" s="189">
        <v>45581</v>
      </c>
      <c r="J531" s="185">
        <v>-72</v>
      </c>
      <c r="K531" s="186">
        <v>0</v>
      </c>
      <c r="L531" s="288">
        <v>-108</v>
      </c>
      <c r="M531" s="188"/>
      <c r="N531" s="176" t="s">
        <v>670</v>
      </c>
      <c r="O531" s="180">
        <v>1.5</v>
      </c>
    </row>
    <row r="532" spans="1:15">
      <c r="A532" s="181" t="str">
        <f t="shared" si="8"/>
        <v>outbound</v>
      </c>
      <c r="B532" s="182">
        <v>45595.413194444445</v>
      </c>
      <c r="C532" s="183" t="s">
        <v>1929</v>
      </c>
      <c r="D532" s="191" t="s">
        <v>2294</v>
      </c>
      <c r="E532" s="215" t="s">
        <v>2269</v>
      </c>
      <c r="F532" s="112" t="s">
        <v>866</v>
      </c>
      <c r="G532" s="112"/>
      <c r="H532" s="112" t="str">
        <f>IF(ISBLANK(E532),"",_xlfn.XLOOKUP(E532,cannabis_log!C:C,cannabis_log!H:H,"",0,1))</f>
        <v>preroll_labelled</v>
      </c>
      <c r="I532" s="113">
        <v>45567</v>
      </c>
      <c r="J532" s="185">
        <v>-72</v>
      </c>
      <c r="K532" s="186">
        <v>0</v>
      </c>
      <c r="L532" s="288">
        <v>-108</v>
      </c>
      <c r="M532" s="24"/>
      <c r="N532" s="112" t="s">
        <v>670</v>
      </c>
      <c r="O532" s="187">
        <v>1.5</v>
      </c>
    </row>
    <row r="533" spans="1:15">
      <c r="A533" s="173" t="str">
        <f t="shared" si="8"/>
        <v>outbound</v>
      </c>
      <c r="B533" s="182">
        <v>45595.413194444445</v>
      </c>
      <c r="C533" s="183" t="s">
        <v>1929</v>
      </c>
      <c r="D533" s="193" t="s">
        <v>2294</v>
      </c>
      <c r="E533" s="215" t="s">
        <v>2105</v>
      </c>
      <c r="F533" s="176" t="s">
        <v>1313</v>
      </c>
      <c r="G533" s="176"/>
      <c r="H533" s="112" t="str">
        <f>IF(ISBLANK(E533),"",_xlfn.XLOOKUP(E533,cannabis_log!C:C,cannabis_log!H:H,"",0,1))</f>
        <v>preroll_labelled</v>
      </c>
      <c r="I533" s="189">
        <v>45575</v>
      </c>
      <c r="J533" s="185">
        <v>-72</v>
      </c>
      <c r="K533" s="186">
        <v>0</v>
      </c>
      <c r="L533" s="288">
        <v>-108</v>
      </c>
      <c r="M533" s="188"/>
      <c r="N533" s="176" t="s">
        <v>670</v>
      </c>
      <c r="O533" s="180">
        <v>1.5</v>
      </c>
    </row>
    <row r="534" spans="1:15">
      <c r="A534" s="181" t="str">
        <f t="shared" si="8"/>
        <v>outbound</v>
      </c>
      <c r="B534" s="182">
        <v>45595.425694444442</v>
      </c>
      <c r="C534" s="183" t="s">
        <v>1929</v>
      </c>
      <c r="D534" s="191" t="s">
        <v>2294</v>
      </c>
      <c r="E534" s="215" t="s">
        <v>2226</v>
      </c>
      <c r="F534" s="112" t="s">
        <v>905</v>
      </c>
      <c r="G534" s="112"/>
      <c r="H534" s="112" t="str">
        <f>IF(ISBLANK(E534),"",_xlfn.XLOOKUP(E534,cannabis_log!C:C,cannabis_log!H:H,"",0,1))</f>
        <v>preroll_labelled</v>
      </c>
      <c r="I534" s="113">
        <v>45575</v>
      </c>
      <c r="J534" s="185">
        <v>-72</v>
      </c>
      <c r="K534" s="186">
        <v>0</v>
      </c>
      <c r="L534" s="288">
        <v>-108</v>
      </c>
      <c r="M534" s="24"/>
      <c r="N534" s="112" t="s">
        <v>670</v>
      </c>
      <c r="O534" s="187">
        <v>1.5</v>
      </c>
    </row>
    <row r="535" spans="1:15">
      <c r="A535" s="173" t="str">
        <f t="shared" si="8"/>
        <v>outbound</v>
      </c>
      <c r="B535" s="182">
        <v>45595.425694444442</v>
      </c>
      <c r="C535" s="183" t="s">
        <v>1929</v>
      </c>
      <c r="D535" s="193" t="s">
        <v>2294</v>
      </c>
      <c r="E535" s="215" t="s">
        <v>2123</v>
      </c>
      <c r="F535" s="176" t="s">
        <v>1315</v>
      </c>
      <c r="G535" s="176"/>
      <c r="H535" s="112" t="str">
        <f>IF(ISBLANK(E535),"",_xlfn.XLOOKUP(E535,cannabis_log!C:C,cannabis_log!H:H,"",0,1))</f>
        <v>extract_inhaled_labelled</v>
      </c>
      <c r="I535" s="189">
        <v>45555</v>
      </c>
      <c r="J535" s="185">
        <v>-36</v>
      </c>
      <c r="K535" s="186">
        <v>0</v>
      </c>
      <c r="L535" s="288">
        <v>-18</v>
      </c>
      <c r="M535" s="188"/>
      <c r="N535" s="176" t="s">
        <v>670</v>
      </c>
      <c r="O535" s="180">
        <v>0.5</v>
      </c>
    </row>
    <row r="536" spans="1:15">
      <c r="A536" s="181" t="str">
        <f t="shared" si="8"/>
        <v>outbound</v>
      </c>
      <c r="B536" s="182">
        <v>45595.479166666664</v>
      </c>
      <c r="C536" s="183" t="s">
        <v>1921</v>
      </c>
      <c r="D536" s="183" t="s">
        <v>2284</v>
      </c>
      <c r="E536" s="215" t="s">
        <v>2050</v>
      </c>
      <c r="F536" s="112" t="s">
        <v>694</v>
      </c>
      <c r="G536" s="112"/>
      <c r="H536" s="112" t="str">
        <f>IF(ISBLANK(E536),"",_xlfn.XLOOKUP(E536,cannabis_log!C:C,cannabis_log!H:H,"",0,1))</f>
        <v>driedflower_bulk</v>
      </c>
      <c r="I536" s="113">
        <v>44686</v>
      </c>
      <c r="J536" s="185">
        <v>-1</v>
      </c>
      <c r="K536" s="186">
        <v>-705</v>
      </c>
      <c r="L536" s="288">
        <v>0</v>
      </c>
      <c r="M536" s="24"/>
      <c r="N536" s="112" t="s">
        <v>664</v>
      </c>
      <c r="O536" s="187">
        <v>0</v>
      </c>
    </row>
    <row r="537" spans="1:15">
      <c r="A537" s="173" t="str">
        <f t="shared" si="8"/>
        <v>outbound</v>
      </c>
      <c r="B537" s="182">
        <v>45595.479166666664</v>
      </c>
      <c r="C537" s="183" t="s">
        <v>1921</v>
      </c>
      <c r="D537" s="183" t="s">
        <v>2284</v>
      </c>
      <c r="E537" s="215" t="s">
        <v>1979</v>
      </c>
      <c r="F537" s="176" t="s">
        <v>694</v>
      </c>
      <c r="G537" s="176"/>
      <c r="H537" s="112" t="str">
        <f>IF(ISBLANK(E537),"",_xlfn.XLOOKUP(E537,cannabis_log!C:C,cannabis_log!H:H,"",0,1))</f>
        <v>driedflower_bulk</v>
      </c>
      <c r="I537" s="189">
        <v>44686</v>
      </c>
      <c r="J537" s="185">
        <v>-1</v>
      </c>
      <c r="K537" s="186">
        <v>-770</v>
      </c>
      <c r="L537" s="288">
        <v>0</v>
      </c>
      <c r="M537" s="188"/>
      <c r="N537" s="176" t="s">
        <v>664</v>
      </c>
      <c r="O537" s="180">
        <v>0</v>
      </c>
    </row>
    <row r="538" spans="1:15">
      <c r="A538" s="181" t="str">
        <f t="shared" si="8"/>
        <v>outbound</v>
      </c>
      <c r="B538" s="182">
        <v>45596</v>
      </c>
      <c r="C538" s="183"/>
      <c r="D538" s="183"/>
      <c r="E538" s="215" t="s">
        <v>2296</v>
      </c>
      <c r="F538" s="112" t="s">
        <v>55</v>
      </c>
      <c r="G538" s="112"/>
      <c r="H538" s="112" t="str">
        <f>IF(ISBLANK(E538),"",_xlfn.XLOOKUP(E538,cannabis_log!C:C,cannabis_log!H:H,"",0,1))</f>
        <v>extract_ingested_labelled</v>
      </c>
      <c r="I538" s="113" t="s">
        <v>55</v>
      </c>
      <c r="J538" s="185">
        <v>-79</v>
      </c>
      <c r="K538" s="186">
        <v>0</v>
      </c>
      <c r="L538" s="288">
        <v>-11929</v>
      </c>
      <c r="M538" s="24"/>
      <c r="N538" s="112" t="s">
        <v>670</v>
      </c>
      <c r="O538" s="187">
        <v>151</v>
      </c>
    </row>
    <row r="539" spans="1:15">
      <c r="A539" s="173" t="str">
        <f t="shared" si="8"/>
        <v>outbound</v>
      </c>
      <c r="B539" s="182">
        <v>45596</v>
      </c>
      <c r="C539" s="183"/>
      <c r="D539" s="183"/>
      <c r="E539" s="215" t="s">
        <v>2204</v>
      </c>
      <c r="F539" s="176" t="s">
        <v>55</v>
      </c>
      <c r="G539" s="176"/>
      <c r="H539" s="112" t="str">
        <f>IF(ISBLANK(E539),"",_xlfn.XLOOKUP(E539,cannabis_log!C:C,cannabis_log!H:H,"",0,1))</f>
        <v>extract_ingested_packaged</v>
      </c>
      <c r="I539" s="189" t="s">
        <v>55</v>
      </c>
      <c r="J539" s="185">
        <v>-231</v>
      </c>
      <c r="K539" s="186">
        <v>0</v>
      </c>
      <c r="L539" s="288">
        <v>-30261</v>
      </c>
      <c r="M539" s="188"/>
      <c r="N539" s="176" t="s">
        <v>670</v>
      </c>
      <c r="O539" s="180">
        <v>131</v>
      </c>
    </row>
    <row r="540" spans="1:15">
      <c r="A540" s="181" t="str">
        <f t="shared" si="8"/>
        <v>outbound</v>
      </c>
      <c r="B540" s="182">
        <v>45596.634027777778</v>
      </c>
      <c r="C540" s="183" t="s">
        <v>1921</v>
      </c>
      <c r="D540" s="183" t="s">
        <v>2039</v>
      </c>
      <c r="E540" s="215" t="s">
        <v>2297</v>
      </c>
      <c r="F540" s="112" t="s">
        <v>934</v>
      </c>
      <c r="G540" s="112"/>
      <c r="H540" s="112" t="str">
        <f>IF(ISBLANK(E540),"",_xlfn.XLOOKUP(E540,cannabis_log!C:C,cannabis_log!H:H,"",0,1))</f>
        <v>extract_ingested_labelled</v>
      </c>
      <c r="I540" s="113">
        <v>45094</v>
      </c>
      <c r="J540" s="185">
        <v>-84</v>
      </c>
      <c r="K540" s="186">
        <v>0</v>
      </c>
      <c r="L540" s="288">
        <v>-2301.6</v>
      </c>
      <c r="M540" s="24"/>
      <c r="N540" s="112" t="s">
        <v>670</v>
      </c>
      <c r="O540" s="187">
        <v>27.4</v>
      </c>
    </row>
    <row r="541" spans="1:15">
      <c r="A541" s="173" t="str">
        <f t="shared" si="8"/>
        <v>outbound</v>
      </c>
      <c r="B541" s="182">
        <v>45596.634027777778</v>
      </c>
      <c r="C541" s="183" t="s">
        <v>1921</v>
      </c>
      <c r="D541" s="183" t="s">
        <v>2039</v>
      </c>
      <c r="E541" s="215" t="s">
        <v>1982</v>
      </c>
      <c r="F541" s="176" t="s">
        <v>934</v>
      </c>
      <c r="G541" s="176"/>
      <c r="H541" s="112" t="str">
        <f>IF(ISBLANK(E541),"",_xlfn.XLOOKUP(E541,cannabis_log!C:C,cannabis_log!H:H,"",0,1))</f>
        <v>extract_ingested_labelled</v>
      </c>
      <c r="I541" s="189">
        <v>45094</v>
      </c>
      <c r="J541" s="185">
        <v>-43</v>
      </c>
      <c r="K541" s="186">
        <v>0</v>
      </c>
      <c r="L541" s="288">
        <v>-1178.2</v>
      </c>
      <c r="M541" s="188"/>
      <c r="N541" s="176" t="s">
        <v>670</v>
      </c>
      <c r="O541" s="180">
        <v>27.4</v>
      </c>
    </row>
    <row r="542" spans="1:15">
      <c r="A542" s="181" t="str">
        <f t="shared" si="8"/>
        <v>outbound</v>
      </c>
      <c r="B542" s="182">
        <v>45596.634027777778</v>
      </c>
      <c r="C542" s="183" t="s">
        <v>1921</v>
      </c>
      <c r="D542" s="183" t="s">
        <v>2039</v>
      </c>
      <c r="E542" s="215" t="s">
        <v>2298</v>
      </c>
      <c r="F542" s="112" t="s">
        <v>934</v>
      </c>
      <c r="G542" s="112"/>
      <c r="H542" s="112" t="str">
        <f>IF(ISBLANK(E542),"",_xlfn.XLOOKUP(E542,cannabis_log!C:C,cannabis_log!H:H,"",0,1))</f>
        <v>extract_ingested_labelled</v>
      </c>
      <c r="I542" s="113">
        <v>45094</v>
      </c>
      <c r="J542" s="185">
        <v>-84</v>
      </c>
      <c r="K542" s="186">
        <v>0</v>
      </c>
      <c r="L542" s="288">
        <v>-2301.6</v>
      </c>
      <c r="M542" s="24"/>
      <c r="N542" s="112" t="s">
        <v>670</v>
      </c>
      <c r="O542" s="187">
        <v>27.4</v>
      </c>
    </row>
    <row r="543" spans="1:15">
      <c r="A543" s="173" t="str">
        <f t="shared" si="8"/>
        <v>outbound</v>
      </c>
      <c r="B543" s="182">
        <v>45596.634027777778</v>
      </c>
      <c r="C543" s="183" t="s">
        <v>1921</v>
      </c>
      <c r="D543" s="183" t="s">
        <v>2039</v>
      </c>
      <c r="E543" s="215" t="s">
        <v>2299</v>
      </c>
      <c r="F543" s="176" t="s">
        <v>934</v>
      </c>
      <c r="G543" s="176"/>
      <c r="H543" s="112" t="str">
        <f>IF(ISBLANK(E543),"",_xlfn.XLOOKUP(E543,cannabis_log!C:C,cannabis_log!H:H,"",0,1))</f>
        <v>extract_ingested_labelled</v>
      </c>
      <c r="I543" s="189">
        <v>45094</v>
      </c>
      <c r="J543" s="185">
        <v>-84</v>
      </c>
      <c r="K543" s="186">
        <v>0</v>
      </c>
      <c r="L543" s="288">
        <v>-2301.6</v>
      </c>
      <c r="M543" s="188"/>
      <c r="N543" s="176" t="s">
        <v>670</v>
      </c>
      <c r="O543" s="180">
        <v>27.4</v>
      </c>
    </row>
    <row r="544" spans="1:15">
      <c r="A544" s="181" t="str">
        <f t="shared" si="8"/>
        <v>outbound</v>
      </c>
      <c r="B544" s="182">
        <v>45596.634027777778</v>
      </c>
      <c r="C544" s="183" t="s">
        <v>1921</v>
      </c>
      <c r="D544" s="183" t="s">
        <v>2039</v>
      </c>
      <c r="E544" s="215" t="s">
        <v>2300</v>
      </c>
      <c r="F544" s="112" t="s">
        <v>934</v>
      </c>
      <c r="G544" s="112"/>
      <c r="H544" s="112" t="str">
        <f>IF(ISBLANK(E544),"",_xlfn.XLOOKUP(E544,cannabis_log!C:C,cannabis_log!H:H,"",0,1))</f>
        <v>extract_ingested_labelled</v>
      </c>
      <c r="I544" s="113">
        <v>45094</v>
      </c>
      <c r="J544" s="185">
        <v>-84</v>
      </c>
      <c r="K544" s="186">
        <v>0</v>
      </c>
      <c r="L544" s="288">
        <v>-2301.6</v>
      </c>
      <c r="M544" s="24"/>
      <c r="N544" s="112" t="s">
        <v>670</v>
      </c>
      <c r="O544" s="187">
        <v>27.4</v>
      </c>
    </row>
    <row r="545" spans="1:15">
      <c r="A545" s="173" t="str">
        <f t="shared" si="8"/>
        <v>outbound</v>
      </c>
      <c r="B545" s="182">
        <v>45596.634027777778</v>
      </c>
      <c r="C545" s="183" t="s">
        <v>1921</v>
      </c>
      <c r="D545" s="183" t="s">
        <v>2039</v>
      </c>
      <c r="E545" s="215" t="s">
        <v>2301</v>
      </c>
      <c r="F545" s="176" t="s">
        <v>934</v>
      </c>
      <c r="G545" s="176"/>
      <c r="H545" s="112" t="str">
        <f>IF(ISBLANK(E545),"",_xlfn.XLOOKUP(E545,cannabis_log!C:C,cannabis_log!H:H,"",0,1))</f>
        <v>extract_ingested_labelled</v>
      </c>
      <c r="I545" s="189">
        <v>45094</v>
      </c>
      <c r="J545" s="185">
        <v>-84</v>
      </c>
      <c r="K545" s="186">
        <v>0</v>
      </c>
      <c r="L545" s="288">
        <v>-2301.6</v>
      </c>
      <c r="M545" s="188"/>
      <c r="N545" s="176" t="s">
        <v>670</v>
      </c>
      <c r="O545" s="180">
        <v>27.4</v>
      </c>
    </row>
    <row r="546" spans="1:15">
      <c r="A546" s="181" t="str">
        <f t="shared" si="8"/>
        <v>outbound</v>
      </c>
      <c r="B546" s="182">
        <v>45597.486111111109</v>
      </c>
      <c r="C546" s="183" t="s">
        <v>1924</v>
      </c>
      <c r="D546" s="183" t="s">
        <v>2302</v>
      </c>
      <c r="E546" s="215" t="s">
        <v>1988</v>
      </c>
      <c r="F546" s="112" t="s">
        <v>1221</v>
      </c>
      <c r="G546" s="112"/>
      <c r="H546" s="112" t="str">
        <f>IF(ISBLANK(E546),"",_xlfn.XLOOKUP(E546,cannabis_log!C:C,cannabis_log!H:H,"",0,1))</f>
        <v>preroll_bulk</v>
      </c>
      <c r="I546" s="113">
        <v>45443</v>
      </c>
      <c r="J546" s="185">
        <v>-338</v>
      </c>
      <c r="K546" s="186">
        <v>0</v>
      </c>
      <c r="L546" s="288">
        <v>-169</v>
      </c>
      <c r="M546" s="24"/>
      <c r="N546" s="112" t="s">
        <v>670</v>
      </c>
      <c r="O546" s="187">
        <v>0.5</v>
      </c>
    </row>
    <row r="547" spans="1:15">
      <c r="A547" s="173" t="str">
        <f t="shared" si="8"/>
        <v>outbound</v>
      </c>
      <c r="B547" s="182">
        <v>45597.486111111109</v>
      </c>
      <c r="C547" s="183" t="s">
        <v>1924</v>
      </c>
      <c r="D547" s="183" t="s">
        <v>2302</v>
      </c>
      <c r="E547" s="215" t="s">
        <v>1945</v>
      </c>
      <c r="F547" s="176" t="s">
        <v>543</v>
      </c>
      <c r="G547" s="176"/>
      <c r="H547" s="112" t="str">
        <f>IF(ISBLANK(E547),"",_xlfn.XLOOKUP(E547,cannabis_log!C:C,cannabis_log!H:H,"",0,1))</f>
        <v>extract_inhaled_bulk</v>
      </c>
      <c r="I547" s="189" t="s">
        <v>55</v>
      </c>
      <c r="J547" s="185">
        <v>-1</v>
      </c>
      <c r="K547" s="186">
        <v>-2050.6999999999998</v>
      </c>
      <c r="L547" s="288">
        <v>0</v>
      </c>
      <c r="M547" s="188"/>
      <c r="N547" s="176" t="s">
        <v>664</v>
      </c>
      <c r="O547" s="180">
        <v>0</v>
      </c>
    </row>
    <row r="548" spans="1:15">
      <c r="A548" s="181" t="str">
        <f t="shared" si="8"/>
        <v>inbound</v>
      </c>
      <c r="B548" s="182">
        <v>45597.507638888892</v>
      </c>
      <c r="C548" s="183" t="s">
        <v>1927</v>
      </c>
      <c r="D548" s="183"/>
      <c r="E548" s="215" t="s">
        <v>1978</v>
      </c>
      <c r="F548" s="112" t="s">
        <v>694</v>
      </c>
      <c r="G548" s="112"/>
      <c r="H548" s="112" t="str">
        <f>IF(ISBLANK(E548),"",_xlfn.XLOOKUP(E548,cannabis_log!C:C,cannabis_log!H:H,"",0,1))</f>
        <v>driedflower_bulk</v>
      </c>
      <c r="I548" s="113">
        <v>44686</v>
      </c>
      <c r="J548" s="185">
        <v>1</v>
      </c>
      <c r="K548" s="186">
        <v>968</v>
      </c>
      <c r="L548" s="288">
        <v>0</v>
      </c>
      <c r="M548" s="24"/>
      <c r="N548" s="112" t="s">
        <v>664</v>
      </c>
      <c r="O548" s="187">
        <v>0</v>
      </c>
    </row>
    <row r="549" spans="1:15">
      <c r="A549" s="173" t="str">
        <f t="shared" si="8"/>
        <v>inbound</v>
      </c>
      <c r="B549" s="182">
        <v>45597.507638888892</v>
      </c>
      <c r="C549" s="183" t="s">
        <v>1927</v>
      </c>
      <c r="D549" s="183"/>
      <c r="E549" s="215" t="s">
        <v>2290</v>
      </c>
      <c r="F549" s="176">
        <v>2022051603</v>
      </c>
      <c r="G549" s="176"/>
      <c r="H549" s="112" t="str">
        <f>IF(ISBLANK(E549),"",_xlfn.XLOOKUP(E549,cannabis_log!C:C,cannabis_log!H:H,"",0,1))</f>
        <v>driedflower_bulk</v>
      </c>
      <c r="I549" s="189">
        <v>44830</v>
      </c>
      <c r="J549" s="185">
        <v>1</v>
      </c>
      <c r="K549" s="186">
        <v>988</v>
      </c>
      <c r="L549" s="288">
        <v>0</v>
      </c>
      <c r="M549" s="188"/>
      <c r="N549" s="176" t="s">
        <v>664</v>
      </c>
      <c r="O549" s="180">
        <v>0</v>
      </c>
    </row>
    <row r="550" spans="1:15">
      <c r="A550" s="181" t="str">
        <f t="shared" si="8"/>
        <v>inbound</v>
      </c>
      <c r="B550" s="182">
        <v>45597.507638888892</v>
      </c>
      <c r="C550" s="183" t="s">
        <v>1927</v>
      </c>
      <c r="D550" s="183"/>
      <c r="E550" s="215" t="s">
        <v>2291</v>
      </c>
      <c r="F550" s="112">
        <v>2022051601</v>
      </c>
      <c r="G550" s="112"/>
      <c r="H550" s="112" t="str">
        <f>IF(ISBLANK(E550),"",_xlfn.XLOOKUP(E550,cannabis_log!C:C,cannabis_log!H:H,"",0,1))</f>
        <v>driedflower_bulk</v>
      </c>
      <c r="I550" s="113">
        <v>44830</v>
      </c>
      <c r="J550" s="185">
        <v>1</v>
      </c>
      <c r="K550" s="186">
        <v>1043</v>
      </c>
      <c r="L550" s="288">
        <v>0</v>
      </c>
      <c r="M550" s="24"/>
      <c r="N550" s="112" t="s">
        <v>664</v>
      </c>
      <c r="O550" s="187">
        <v>0</v>
      </c>
    </row>
    <row r="551" spans="1:15">
      <c r="A551" s="173" t="str">
        <f t="shared" si="8"/>
        <v>inbound</v>
      </c>
      <c r="B551" s="182">
        <v>45597.507638888892</v>
      </c>
      <c r="C551" s="183" t="s">
        <v>1927</v>
      </c>
      <c r="D551" s="183"/>
      <c r="E551" s="215" t="s">
        <v>2283</v>
      </c>
      <c r="F551" s="176">
        <v>2024101703</v>
      </c>
      <c r="G551" s="176"/>
      <c r="H551" s="112" t="str">
        <f>IF(ISBLANK(E551),"",_xlfn.XLOOKUP(E551,cannabis_log!C:C,cannabis_log!H:H,"",0,1))</f>
        <v>driedflower_bulk</v>
      </c>
      <c r="I551" s="189" t="s">
        <v>55</v>
      </c>
      <c r="J551" s="185">
        <v>1</v>
      </c>
      <c r="K551" s="186">
        <v>1700</v>
      </c>
      <c r="L551" s="288">
        <v>0</v>
      </c>
      <c r="M551" s="188"/>
      <c r="N551" s="176" t="s">
        <v>664</v>
      </c>
      <c r="O551" s="180">
        <v>0</v>
      </c>
    </row>
    <row r="552" spans="1:15">
      <c r="A552" s="181" t="str">
        <f t="shared" si="8"/>
        <v>inbound</v>
      </c>
      <c r="B552" s="182">
        <v>45597.507638888892</v>
      </c>
      <c r="C552" s="183" t="s">
        <v>1927</v>
      </c>
      <c r="D552" s="183"/>
      <c r="E552" s="215" t="s">
        <v>2282</v>
      </c>
      <c r="F552" s="112">
        <v>2024101703</v>
      </c>
      <c r="G552" s="112"/>
      <c r="H552" s="112" t="str">
        <f>IF(ISBLANK(E552),"",_xlfn.XLOOKUP(E552,cannabis_log!C:C,cannabis_log!H:H,"",0,1))</f>
        <v>driedflower_bulk</v>
      </c>
      <c r="I552" s="113" t="s">
        <v>55</v>
      </c>
      <c r="J552" s="185">
        <v>1</v>
      </c>
      <c r="K552" s="186">
        <v>2094</v>
      </c>
      <c r="L552" s="288">
        <v>0</v>
      </c>
      <c r="M552" s="24"/>
      <c r="N552" s="112" t="s">
        <v>664</v>
      </c>
      <c r="O552" s="187">
        <v>0</v>
      </c>
    </row>
    <row r="553" spans="1:15">
      <c r="A553" s="173" t="str">
        <f t="shared" si="8"/>
        <v>outbound</v>
      </c>
      <c r="B553" s="182">
        <v>45597.568749999999</v>
      </c>
      <c r="C553" s="183" t="s">
        <v>1929</v>
      </c>
      <c r="D553" s="183" t="s">
        <v>2303</v>
      </c>
      <c r="E553" s="215" t="s">
        <v>2123</v>
      </c>
      <c r="F553" s="176" t="s">
        <v>1315</v>
      </c>
      <c r="G553" s="176"/>
      <c r="H553" s="112" t="str">
        <f>IF(ISBLANK(E553),"",_xlfn.XLOOKUP(E553,cannabis_log!C:C,cannabis_log!H:H,"",0,1))</f>
        <v>extract_inhaled_labelled</v>
      </c>
      <c r="I553" s="189">
        <v>45555</v>
      </c>
      <c r="J553" s="185">
        <v>-12</v>
      </c>
      <c r="K553" s="186">
        <v>0</v>
      </c>
      <c r="L553" s="288">
        <v>-6</v>
      </c>
      <c r="M553" s="188"/>
      <c r="N553" s="176" t="s">
        <v>670</v>
      </c>
      <c r="O553" s="180">
        <v>0.5</v>
      </c>
    </row>
    <row r="554" spans="1:15">
      <c r="A554" s="181" t="str">
        <f t="shared" si="8"/>
        <v>outbound</v>
      </c>
      <c r="B554" s="182">
        <v>45597.568749999999</v>
      </c>
      <c r="C554" s="183" t="s">
        <v>1929</v>
      </c>
      <c r="D554" s="183" t="s">
        <v>2303</v>
      </c>
      <c r="E554" s="215" t="s">
        <v>2278</v>
      </c>
      <c r="F554" s="112" t="s">
        <v>1134</v>
      </c>
      <c r="G554" s="112"/>
      <c r="H554" s="112" t="str">
        <f>IF(ISBLANK(E554),"",_xlfn.XLOOKUP(E554,cannabis_log!C:C,cannabis_log!H:H,"",0,1))</f>
        <v>extract_inhaled_labelled</v>
      </c>
      <c r="I554" s="113">
        <v>45574</v>
      </c>
      <c r="J554" s="185">
        <v>-12</v>
      </c>
      <c r="K554" s="186">
        <v>0</v>
      </c>
      <c r="L554" s="288">
        <v>-6</v>
      </c>
      <c r="M554" s="24"/>
      <c r="N554" s="112" t="s">
        <v>670</v>
      </c>
      <c r="O554" s="187">
        <v>0.5</v>
      </c>
    </row>
    <row r="555" spans="1:15">
      <c r="A555" s="173" t="str">
        <f t="shared" si="8"/>
        <v>outbound</v>
      </c>
      <c r="B555" s="182">
        <v>45597.586805555555</v>
      </c>
      <c r="C555" s="183" t="s">
        <v>1929</v>
      </c>
      <c r="D555" s="183" t="s">
        <v>2303</v>
      </c>
      <c r="E555" s="215" t="s">
        <v>2295</v>
      </c>
      <c r="F555" s="176" t="s">
        <v>630</v>
      </c>
      <c r="G555" s="176"/>
      <c r="H555" s="112" t="str">
        <f>IF(ISBLANK(E555),"",_xlfn.XLOOKUP(E555,cannabis_log!C:C,cannabis_log!H:H,"",0,1))</f>
        <v>preroll_labelled</v>
      </c>
      <c r="I555" s="189">
        <v>45581</v>
      </c>
      <c r="J555" s="185">
        <v>-12</v>
      </c>
      <c r="K555" s="186">
        <v>0</v>
      </c>
      <c r="L555" s="288">
        <v>-18</v>
      </c>
      <c r="M555" s="188"/>
      <c r="N555" s="176" t="s">
        <v>670</v>
      </c>
      <c r="O555" s="180">
        <v>1.5</v>
      </c>
    </row>
    <row r="556" spans="1:15">
      <c r="A556" s="181" t="str">
        <f t="shared" si="8"/>
        <v>outbound</v>
      </c>
      <c r="B556" s="182">
        <v>45597.586805555555</v>
      </c>
      <c r="C556" s="183" t="s">
        <v>1929</v>
      </c>
      <c r="D556" s="183" t="s">
        <v>2303</v>
      </c>
      <c r="E556" s="215" t="s">
        <v>2107</v>
      </c>
      <c r="F556" s="112" t="s">
        <v>905</v>
      </c>
      <c r="G556" s="112"/>
      <c r="H556" s="112" t="str">
        <f>IF(ISBLANK(E556),"",_xlfn.XLOOKUP(E556,cannabis_log!C:C,cannabis_log!H:H,"",0,1))</f>
        <v>preroll_labelled</v>
      </c>
      <c r="I556" s="113">
        <v>45570</v>
      </c>
      <c r="J556" s="185">
        <v>-12</v>
      </c>
      <c r="K556" s="186">
        <v>0</v>
      </c>
      <c r="L556" s="288">
        <v>-18</v>
      </c>
      <c r="M556" s="24"/>
      <c r="N556" s="112" t="s">
        <v>670</v>
      </c>
      <c r="O556" s="187">
        <v>1.5</v>
      </c>
    </row>
    <row r="557" spans="1:15">
      <c r="A557" s="173" t="str">
        <f t="shared" si="8"/>
        <v>outbound</v>
      </c>
      <c r="B557" s="182">
        <v>45597.586805555555</v>
      </c>
      <c r="C557" s="183" t="s">
        <v>1929</v>
      </c>
      <c r="D557" s="183" t="s">
        <v>2303</v>
      </c>
      <c r="E557" s="215" t="s">
        <v>2304</v>
      </c>
      <c r="F557" s="176" t="s">
        <v>589</v>
      </c>
      <c r="G557" s="176"/>
      <c r="H557" s="112" t="str">
        <f>IF(ISBLANK(E557),"",_xlfn.XLOOKUP(E557,cannabis_log!C:C,cannabis_log!H:H,"",0,1))</f>
        <v>preroll_labelled</v>
      </c>
      <c r="I557" s="189">
        <v>45581</v>
      </c>
      <c r="J557" s="185">
        <v>-12</v>
      </c>
      <c r="K557" s="186">
        <v>0</v>
      </c>
      <c r="L557" s="288">
        <v>-18</v>
      </c>
      <c r="M557" s="188"/>
      <c r="N557" s="176" t="s">
        <v>670</v>
      </c>
      <c r="O557" s="180">
        <v>1.5</v>
      </c>
    </row>
    <row r="558" spans="1:15">
      <c r="A558" s="181" t="str">
        <f t="shared" si="8"/>
        <v>outbound</v>
      </c>
      <c r="B558" s="182">
        <v>45600.612500000003</v>
      </c>
      <c r="C558" s="183" t="s">
        <v>1929</v>
      </c>
      <c r="D558" s="22" t="s">
        <v>2305</v>
      </c>
      <c r="E558" s="215" t="s">
        <v>2306</v>
      </c>
      <c r="F558" s="112" t="s">
        <v>1311</v>
      </c>
      <c r="G558" s="112"/>
      <c r="H558" s="112" t="str">
        <f>IF(ISBLANK(E558),"",_xlfn.XLOOKUP(E558,cannabis_log!C:C,cannabis_log!H:H,"",0,1))</f>
        <v>preroll_labelled</v>
      </c>
      <c r="I558" s="113">
        <v>45588</v>
      </c>
      <c r="J558" s="185">
        <v>-180</v>
      </c>
      <c r="K558" s="186">
        <v>0</v>
      </c>
      <c r="L558" s="288">
        <v>-180</v>
      </c>
      <c r="M558" s="24"/>
      <c r="N558" s="112" t="s">
        <v>670</v>
      </c>
      <c r="O558" s="187">
        <v>1</v>
      </c>
    </row>
    <row r="559" spans="1:15">
      <c r="A559" s="173" t="str">
        <f t="shared" si="8"/>
        <v>outbound</v>
      </c>
      <c r="B559" s="182">
        <v>45600.612500000003</v>
      </c>
      <c r="C559" s="183" t="s">
        <v>1929</v>
      </c>
      <c r="D559" s="192" t="s">
        <v>2305</v>
      </c>
      <c r="E559" s="215" t="s">
        <v>2226</v>
      </c>
      <c r="F559" s="176" t="s">
        <v>905</v>
      </c>
      <c r="G559" s="176"/>
      <c r="H559" s="112" t="str">
        <f>IF(ISBLANK(E559),"",_xlfn.XLOOKUP(E559,cannabis_log!C:C,cannabis_log!H:H,"",0,1))</f>
        <v>preroll_labelled</v>
      </c>
      <c r="I559" s="189">
        <v>45575</v>
      </c>
      <c r="J559" s="185">
        <v>-240</v>
      </c>
      <c r="K559" s="186">
        <v>0</v>
      </c>
      <c r="L559" s="288">
        <v>-360</v>
      </c>
      <c r="M559" s="188"/>
      <c r="N559" s="176" t="s">
        <v>670</v>
      </c>
      <c r="O559" s="180">
        <v>1.5</v>
      </c>
    </row>
    <row r="560" spans="1:15">
      <c r="A560" s="181" t="str">
        <f t="shared" si="8"/>
        <v>outbound</v>
      </c>
      <c r="B560" s="182">
        <v>45600.612500000003</v>
      </c>
      <c r="C560" s="183" t="s">
        <v>1929</v>
      </c>
      <c r="D560" s="22" t="s">
        <v>2305</v>
      </c>
      <c r="E560" s="215" t="s">
        <v>2207</v>
      </c>
      <c r="F560" s="112" t="s">
        <v>1315</v>
      </c>
      <c r="G560" s="112"/>
      <c r="H560" s="112" t="str">
        <f>IF(ISBLANK(E560),"",_xlfn.XLOOKUP(E560,cannabis_log!C:C,cannabis_log!H:H,"",0,1))</f>
        <v>extract_inhaled_labelled</v>
      </c>
      <c r="I560" s="113">
        <v>45555</v>
      </c>
      <c r="J560" s="185">
        <v>-165</v>
      </c>
      <c r="K560" s="186">
        <v>0</v>
      </c>
      <c r="L560" s="288">
        <v>-82.5</v>
      </c>
      <c r="M560" s="24"/>
      <c r="N560" s="112" t="s">
        <v>670</v>
      </c>
      <c r="O560" s="187">
        <v>0.5</v>
      </c>
    </row>
    <row r="561" spans="1:15">
      <c r="A561" s="173" t="str">
        <f t="shared" si="8"/>
        <v>outbound</v>
      </c>
      <c r="B561" s="182">
        <v>45600.691666666666</v>
      </c>
      <c r="C561" s="183" t="s">
        <v>1929</v>
      </c>
      <c r="D561" s="192" t="s">
        <v>2305</v>
      </c>
      <c r="E561" s="215" t="s">
        <v>2307</v>
      </c>
      <c r="F561" s="176" t="s">
        <v>1172</v>
      </c>
      <c r="G561" s="176"/>
      <c r="H561" s="112" t="str">
        <f>IF(ISBLANK(E561),"",_xlfn.XLOOKUP(E561,cannabis_log!C:C,cannabis_log!H:H,"",0,1))</f>
        <v>topical_labelled</v>
      </c>
      <c r="I561" s="113">
        <f>IF(ISBLANK(E561),"",_xlfn.XLOOKUP(E561,cannabis_log!C:C,cannabis_log!K:K,"NOT FOUND",0,1))</f>
        <v>45588</v>
      </c>
      <c r="J561" s="185">
        <v>-2</v>
      </c>
      <c r="K561" s="186">
        <v>0</v>
      </c>
      <c r="L561" s="288">
        <v>-176</v>
      </c>
      <c r="M561" s="188"/>
      <c r="N561" s="176" t="s">
        <v>670</v>
      </c>
      <c r="O561" s="180">
        <v>88</v>
      </c>
    </row>
    <row r="562" spans="1:15">
      <c r="A562" s="181" t="str">
        <f t="shared" si="8"/>
        <v>outbound</v>
      </c>
      <c r="B562" s="182">
        <v>45601.384027777778</v>
      </c>
      <c r="C562" s="183" t="s">
        <v>1921</v>
      </c>
      <c r="D562" s="183"/>
      <c r="E562" s="215" t="s">
        <v>2182</v>
      </c>
      <c r="F562" s="112" t="str">
        <f>IF(ISBLANK(E562),"",_xlfn.XLOOKUP(E562,[1]cannabis_log!C:C,[1]cannabis_log!J:J,"",0,))</f>
        <v>PR2411</v>
      </c>
      <c r="G562" s="112"/>
      <c r="H562" s="112" t="str">
        <f>IF(ISBLANK(E562),"",_xlfn.XLOOKUP(E562,cannabis_log!C:C,cannabis_log!H:H,"",0,1))</f>
        <v>driedflower_milled_bulk</v>
      </c>
      <c r="I562" s="113" t="str">
        <f>IF(ISBLANK(E562),"",_xlfn.XLOOKUP(E562,cannabis_log!C:C,cannabis_log!K:K,"NOT FOUND",0,1))</f>
        <v>NA</v>
      </c>
      <c r="J562" s="185">
        <v>-1</v>
      </c>
      <c r="K562" s="186">
        <v>-1920</v>
      </c>
      <c r="L562" s="288">
        <f t="shared" ref="L562:L625" si="9">IFERROR(J562*O562,"")</f>
        <v>0</v>
      </c>
      <c r="M562" s="24"/>
      <c r="N562" s="112" t="str">
        <f>IF(ISBLANK(E562),"",_xlfn.XLOOKUP(E562,[1]cannabis_log!C:C,[1]cannabis_log!T:T,"Not Found",0,))</f>
        <v>gross</v>
      </c>
      <c r="O562" s="187">
        <f>IF(N562="net",_xlfn.XLOOKUP(E562,[1]cannabis_log!A:A,[1]cannabis_log!N:N,"NOT FOUND",0,1),IF(N562="gross",0,""))</f>
        <v>0</v>
      </c>
    </row>
    <row r="563" spans="1:15">
      <c r="A563" s="173" t="str">
        <f t="shared" si="8"/>
        <v>outbound</v>
      </c>
      <c r="B563" s="182">
        <v>45601.661111111112</v>
      </c>
      <c r="C563" s="183" t="s">
        <v>1929</v>
      </c>
      <c r="D563" s="183" t="s">
        <v>2308</v>
      </c>
      <c r="E563" s="215" t="s">
        <v>2107</v>
      </c>
      <c r="F563" s="112" t="str">
        <f>IF(ISBLANK(E563),"",_xlfn.XLOOKUP(E563,[1]cannabis_log!C:C,[1]cannabis_log!J:J,"",0,))</f>
        <v>PR241003F5P3</v>
      </c>
      <c r="G563" s="112"/>
      <c r="H563" s="112" t="str">
        <f>IF(ISBLANK(E563),"",_xlfn.XLOOKUP(E563,cannabis_log!C:C,cannabis_log!H:H,"",0,1))</f>
        <v>preroll_labelled</v>
      </c>
      <c r="I563" s="113">
        <f>IF(ISBLANK(E563),"",_xlfn.XLOOKUP(E563,cannabis_log!C:C,cannabis_log!K:K,"NOT FOUND",0,1))</f>
        <v>45570</v>
      </c>
      <c r="J563" s="185">
        <v>-12</v>
      </c>
      <c r="K563" s="186">
        <f>IF(N563="net",0,"")</f>
        <v>0</v>
      </c>
      <c r="L563" s="288">
        <f t="shared" si="9"/>
        <v>-18</v>
      </c>
      <c r="M563" s="188"/>
      <c r="N563" s="112" t="str">
        <f>IF(ISBLANK(E563),"",_xlfn.XLOOKUP(E563,[1]cannabis_log!C:C,[1]cannabis_log!T:T,"Not Found",0,))</f>
        <v>net</v>
      </c>
      <c r="O563" s="180">
        <f>IF(N563="net",_xlfn.XLOOKUP(E563,[1]cannabis_log!C:C,[1]cannabis_log!N:N,"NOT FOUND",0,1),IF(N563="gross",0,""))</f>
        <v>1.5</v>
      </c>
    </row>
    <row r="564" spans="1:15">
      <c r="A564" s="181" t="str">
        <f t="shared" si="8"/>
        <v>inbound</v>
      </c>
      <c r="B564" s="182">
        <v>45601.961805555555</v>
      </c>
      <c r="C564" s="183" t="s">
        <v>1927</v>
      </c>
      <c r="D564" s="183"/>
      <c r="E564" s="215" t="s">
        <v>2276</v>
      </c>
      <c r="F564" s="112" t="str">
        <f>IF(ISBLANK(E564),"",_xlfn.XLOOKUP(E564,[1]cannabis_log!C:C,[1]cannabis_log!J:J,"",0,))</f>
        <v>EX24101701</v>
      </c>
      <c r="G564" s="112"/>
      <c r="H564" s="112" t="str">
        <f>IF(ISBLANK(E564),"",_xlfn.XLOOKUP(E564,cannabis_log!C:C,cannabis_log!H:H,"",0,1))</f>
        <v>extract_inhaled_bulk</v>
      </c>
      <c r="I564" s="113" t="str">
        <f>IF(ISBLANK(E564),"",_xlfn.XLOOKUP(E564,cannabis_log!C:C,cannabis_log!K:K,"NOT FOUND",0,1))</f>
        <v>NA</v>
      </c>
      <c r="J564" s="185">
        <v>1</v>
      </c>
      <c r="K564" s="186">
        <v>458.46</v>
      </c>
      <c r="L564" s="288">
        <f t="shared" si="9"/>
        <v>0</v>
      </c>
      <c r="M564" s="24"/>
      <c r="N564" s="112" t="str">
        <f>IF(ISBLANK(E564),"",_xlfn.XLOOKUP(E564,[1]cannabis_log!C:C,[1]cannabis_log!T:T,"Not Found",0,))</f>
        <v>gross</v>
      </c>
      <c r="O564" s="180">
        <f>IF(N564="net",_xlfn.XLOOKUP(E564,[1]cannabis_log!C:C,[1]cannabis_log!N:N,"NOT FOUND",0,1),IF(N564="gross",0,""))</f>
        <v>0</v>
      </c>
    </row>
    <row r="565" spans="1:15">
      <c r="A565" s="173" t="str">
        <f t="shared" si="8"/>
        <v>outbound</v>
      </c>
      <c r="B565" s="182">
        <v>45602.381249999999</v>
      </c>
      <c r="C565" s="183" t="s">
        <v>1921</v>
      </c>
      <c r="D565" s="183" t="s">
        <v>2039</v>
      </c>
      <c r="E565" s="215" t="s">
        <v>2304</v>
      </c>
      <c r="F565" s="112" t="str">
        <f>IF(ISBLANK(E565),"",_xlfn.XLOOKUP(E565,[1]cannabis_log!C:C,[1]cannabis_log!J:J,"",0,))</f>
        <v>PR241105F5P3</v>
      </c>
      <c r="G565" s="112"/>
      <c r="H565" s="112" t="str">
        <f>IF(ISBLANK(E565),"",_xlfn.XLOOKUP(E565,cannabis_log!C:C,cannabis_log!H:H,"",0,1))</f>
        <v>preroll_labelled</v>
      </c>
      <c r="I565" s="113">
        <f>IF(ISBLANK(E565),"",_xlfn.XLOOKUP(E565,cannabis_log!C:C,cannabis_log!K:K,"NOT FOUND",0,1))</f>
        <v>45581</v>
      </c>
      <c r="J565" s="185">
        <v>-152</v>
      </c>
      <c r="K565" s="186">
        <f t="shared" ref="K565:K570" si="10">IF(N565="net",0,"")</f>
        <v>0</v>
      </c>
      <c r="L565" s="288">
        <f t="shared" si="9"/>
        <v>-228</v>
      </c>
      <c r="M565" s="188"/>
      <c r="N565" s="112" t="str">
        <f>IF(ISBLANK(E565),"",_xlfn.XLOOKUP(E565,[1]cannabis_log!C:C,[1]cannabis_log!T:T,"Not Found",0,))</f>
        <v>net</v>
      </c>
      <c r="O565" s="180">
        <f>IF(N565="net",_xlfn.XLOOKUP(E565,[1]cannabis_log!C:C,[1]cannabis_log!N:N,"NOT FOUND",0,1),IF(N565="gross",0,""))</f>
        <v>1.5</v>
      </c>
    </row>
    <row r="566" spans="1:15">
      <c r="A566" s="181" t="str">
        <f t="shared" si="8"/>
        <v>outbound</v>
      </c>
      <c r="B566" s="182">
        <v>45602.381249999999</v>
      </c>
      <c r="C566" s="183" t="s">
        <v>1921</v>
      </c>
      <c r="D566" s="183" t="s">
        <v>2039</v>
      </c>
      <c r="E566" s="215" t="s">
        <v>2309</v>
      </c>
      <c r="F566" s="112" t="str">
        <f>IF(ISBLANK(E566),"",_xlfn.XLOOKUP(E566,[1]cannabis_log!C:C,[1]cannabis_log!J:J,"",0,))</f>
        <v>PR241105F5P3</v>
      </c>
      <c r="G566" s="112"/>
      <c r="H566" s="112" t="str">
        <f>IF(ISBLANK(E566),"",_xlfn.XLOOKUP(E566,cannabis_log!C:C,cannabis_log!H:H,"",0,1))</f>
        <v>preroll_packaged</v>
      </c>
      <c r="I566" s="113" t="str">
        <f>IF(ISBLANK(E566),"",_xlfn.XLOOKUP(E566,cannabis_log!C:C,cannabis_log!K:K,"NOT FOUND",0,1))</f>
        <v>NA</v>
      </c>
      <c r="J566" s="185">
        <v>-180</v>
      </c>
      <c r="K566" s="186">
        <f t="shared" si="10"/>
        <v>0</v>
      </c>
      <c r="L566" s="288">
        <f t="shared" si="9"/>
        <v>-270</v>
      </c>
      <c r="M566" s="24"/>
      <c r="N566" s="112" t="str">
        <f>IF(ISBLANK(E566),"",_xlfn.XLOOKUP(E566,[1]cannabis_log!C:C,[1]cannabis_log!T:T,"Not Found",0,))</f>
        <v>net</v>
      </c>
      <c r="O566" s="180">
        <f>IF(N566="net",_xlfn.XLOOKUP(E566,[1]cannabis_log!C:C,[1]cannabis_log!N:N,"NOT FOUND",0,1),IF(N566="gross",0,""))</f>
        <v>1.5</v>
      </c>
    </row>
    <row r="567" spans="1:15">
      <c r="A567" s="173" t="str">
        <f t="shared" si="8"/>
        <v>outbound</v>
      </c>
      <c r="B567" s="182">
        <v>45602.39166666667</v>
      </c>
      <c r="C567" s="183" t="s">
        <v>1929</v>
      </c>
      <c r="D567" s="22" t="s">
        <v>2310</v>
      </c>
      <c r="E567" s="215" t="s">
        <v>2311</v>
      </c>
      <c r="F567" s="112" t="str">
        <f>IF(ISBLANK(E567),"",_xlfn.XLOOKUP(E567,[1]cannabis_log!C:C,[1]cannabis_log!J:J,"",0,))</f>
        <v>PR241104F5P3</v>
      </c>
      <c r="G567" s="112"/>
      <c r="H567" s="112" t="str">
        <f>IF(ISBLANK(E567),"",_xlfn.XLOOKUP(E567,cannabis_log!C:C,cannabis_log!H:H,"",0,1))</f>
        <v>preroll_labelled</v>
      </c>
      <c r="I567" s="113">
        <f>IF(ISBLANK(E567),"",_xlfn.XLOOKUP(E567,cannabis_log!C:C,cannabis_log!K:K,"NOT FOUND",0,1))</f>
        <v>45588</v>
      </c>
      <c r="J567" s="185">
        <v>-60</v>
      </c>
      <c r="K567" s="186">
        <f t="shared" si="10"/>
        <v>0</v>
      </c>
      <c r="L567" s="288">
        <f t="shared" si="9"/>
        <v>-90</v>
      </c>
      <c r="M567" s="188"/>
      <c r="N567" s="112" t="str">
        <f>IF(ISBLANK(E567),"",_xlfn.XLOOKUP(E567,[1]cannabis_log!C:C,[1]cannabis_log!T:T,"Not Found",0,))</f>
        <v>net</v>
      </c>
      <c r="O567" s="180">
        <f>IF(N567="net",_xlfn.XLOOKUP(E567,[1]cannabis_log!C:C,[1]cannabis_log!N:N,"NOT FOUND",0,1),IF(N567="gross",0,""))</f>
        <v>1.5</v>
      </c>
    </row>
    <row r="568" spans="1:15">
      <c r="A568" s="181" t="str">
        <f t="shared" si="8"/>
        <v>outbound</v>
      </c>
      <c r="B568" s="182">
        <v>45602.39166666667</v>
      </c>
      <c r="C568" s="183" t="s">
        <v>1929</v>
      </c>
      <c r="D568" s="22" t="s">
        <v>2312</v>
      </c>
      <c r="E568" s="215" t="s">
        <v>2307</v>
      </c>
      <c r="F568" s="112" t="str">
        <f>IF(ISBLANK(E568),"",_xlfn.XLOOKUP(E568,[1]cannabis_log!C:C,[1]cannabis_log!J:J,"",0,))</f>
        <v>TP24101701</v>
      </c>
      <c r="G568" s="112"/>
      <c r="H568" s="112" t="str">
        <f>IF(ISBLANK(E568),"",_xlfn.XLOOKUP(E568,cannabis_log!C:C,cannabis_log!H:H,"",0,1))</f>
        <v>topical_labelled</v>
      </c>
      <c r="I568" s="113">
        <f>IF(ISBLANK(E568),"",_xlfn.XLOOKUP(E568,cannabis_log!C:C,cannabis_log!K:K,"NOT FOUND",0,1))</f>
        <v>45588</v>
      </c>
      <c r="J568" s="185">
        <v>-36</v>
      </c>
      <c r="K568" s="186">
        <f t="shared" si="10"/>
        <v>0</v>
      </c>
      <c r="L568" s="288">
        <f t="shared" si="9"/>
        <v>-3168</v>
      </c>
      <c r="M568" s="24"/>
      <c r="N568" s="112" t="str">
        <f>IF(ISBLANK(E568),"",_xlfn.XLOOKUP(E568,[1]cannabis_log!C:C,[1]cannabis_log!T:T,"Not Found",0,))</f>
        <v>net</v>
      </c>
      <c r="O568" s="180">
        <f>IF(N568="net",_xlfn.XLOOKUP(E568,[1]cannabis_log!C:C,[1]cannabis_log!N:N,"NOT FOUND",0,1),IF(N568="gross",0,""))</f>
        <v>88</v>
      </c>
    </row>
    <row r="569" spans="1:15">
      <c r="A569" s="173" t="str">
        <f t="shared" si="8"/>
        <v>outbound</v>
      </c>
      <c r="B569" s="182">
        <v>45602.39166666667</v>
      </c>
      <c r="C569" s="183" t="s">
        <v>1929</v>
      </c>
      <c r="D569" s="22" t="s">
        <v>2313</v>
      </c>
      <c r="E569" s="215" t="s">
        <v>2314</v>
      </c>
      <c r="F569" s="112" t="str">
        <f>IF(ISBLANK(E569),"",_xlfn.XLOOKUP(E569,[1]cannabis_log!C:C,[1]cannabis_log!J:J,"",0,))</f>
        <v>EX24070901V50</v>
      </c>
      <c r="G569" s="112"/>
      <c r="H569" s="112" t="str">
        <f>IF(ISBLANK(E569),"",_xlfn.XLOOKUP(E569,cannabis_log!C:C,cannabis_log!H:H,"",0,1))</f>
        <v>extract_ingested_cased_BC</v>
      </c>
      <c r="I569" s="113">
        <f>IF(ISBLANK(E569),"",_xlfn.XLOOKUP(E569,cannabis_log!C:C,cannabis_log!K:K,"NOT FOUND",0,1))</f>
        <v>45503</v>
      </c>
      <c r="J569" s="185">
        <v>-72</v>
      </c>
      <c r="K569" s="186">
        <f t="shared" si="10"/>
        <v>0</v>
      </c>
      <c r="L569" s="288">
        <f t="shared" si="9"/>
        <v>-43200</v>
      </c>
      <c r="M569" s="188"/>
      <c r="N569" s="112" t="str">
        <f>IF(ISBLANK(E569),"",_xlfn.XLOOKUP(E569,[1]cannabis_log!C:C,[1]cannabis_log!T:T,"Not Found",0,))</f>
        <v>net</v>
      </c>
      <c r="O569" s="180">
        <f>IF(N569="net",_xlfn.XLOOKUP(E569,[1]cannabis_log!C:C,[1]cannabis_log!N:N,"NOT FOUND",0,1),IF(N569="gross",0,""))</f>
        <v>600</v>
      </c>
    </row>
    <row r="570" spans="1:15">
      <c r="A570" s="181" t="str">
        <f t="shared" si="8"/>
        <v>outbound</v>
      </c>
      <c r="B570" s="182">
        <v>45602.45</v>
      </c>
      <c r="C570" s="183" t="s">
        <v>1929</v>
      </c>
      <c r="D570" s="22" t="s">
        <v>2315</v>
      </c>
      <c r="E570" s="215" t="s">
        <v>2316</v>
      </c>
      <c r="F570" s="112" t="str">
        <f>IF(ISBLANK(E570),"",_xlfn.XLOOKUP(E570,[1]cannabis_log!C:C,[1]cannabis_log!J:J,"",0,))</f>
        <v>EX24101705G05</v>
      </c>
      <c r="G570" s="112"/>
      <c r="H570" s="112" t="str">
        <f>IF(ISBLANK(E570),"",_xlfn.XLOOKUP(E570,cannabis_log!C:C,cannabis_log!H:H,"",0,1))</f>
        <v>extract_inhaled_labelled</v>
      </c>
      <c r="I570" s="113">
        <f>IF(ISBLANK(E570),"",_xlfn.XLOOKUP(E570,cannabis_log!C:C,cannabis_log!K:K,"NOT FOUND",0,1))</f>
        <v>45594</v>
      </c>
      <c r="J570" s="185">
        <v>-24</v>
      </c>
      <c r="K570" s="186">
        <f t="shared" si="10"/>
        <v>0</v>
      </c>
      <c r="L570" s="288">
        <f t="shared" si="9"/>
        <v>-12</v>
      </c>
      <c r="M570" s="24"/>
      <c r="N570" s="112" t="str">
        <f>IF(ISBLANK(E570),"",_xlfn.XLOOKUP(E570,[1]cannabis_log!C:C,[1]cannabis_log!T:T,"Not Found",0,))</f>
        <v>net</v>
      </c>
      <c r="O570" s="180">
        <f>IF(N570="net",_xlfn.XLOOKUP(E570,[1]cannabis_log!C:C,[1]cannabis_log!N:N,"NOT FOUND",0,1),IF(N570="gross",0,""))</f>
        <v>0.5</v>
      </c>
    </row>
    <row r="571" spans="1:15">
      <c r="A571" s="173" t="str">
        <f t="shared" si="8"/>
        <v>outbound</v>
      </c>
      <c r="B571" s="182">
        <v>45602.59375</v>
      </c>
      <c r="C571" s="183" t="s">
        <v>1921</v>
      </c>
      <c r="D571" s="183" t="s">
        <v>2317</v>
      </c>
      <c r="E571" s="215" t="s">
        <v>2318</v>
      </c>
      <c r="F571" s="112">
        <f>IF(ISBLANK(E571),"",_xlfn.XLOOKUP(E571,[1]cannabis_log!C:C,[1]cannabis_log!J:J,"",0,))</f>
        <v>2024080702</v>
      </c>
      <c r="G571" s="112"/>
      <c r="H571" s="112" t="str">
        <f>IF(ISBLANK(E571),"",_xlfn.XLOOKUP(E571,cannabis_log!C:C,cannabis_log!H:H,"",0,1))</f>
        <v>driedflower_bulk</v>
      </c>
      <c r="I571" s="113" t="str">
        <f>IF(ISBLANK(E571),"",_xlfn.XLOOKUP(E571,cannabis_log!C:C,cannabis_log!K:K,"NOT FOUND",0,1))</f>
        <v>NA</v>
      </c>
      <c r="J571" s="185">
        <v>-1</v>
      </c>
      <c r="K571" s="186">
        <v>-3355</v>
      </c>
      <c r="L571" s="288">
        <f t="shared" si="9"/>
        <v>0</v>
      </c>
      <c r="M571" s="188"/>
      <c r="N571" s="112" t="str">
        <f>IF(ISBLANK(E571),"",_xlfn.XLOOKUP(E571,[1]cannabis_log!C:C,[1]cannabis_log!T:T,"Not Found",0,))</f>
        <v>gross</v>
      </c>
      <c r="O571" s="180">
        <f>IF(N571="net",_xlfn.XLOOKUP(E571,[1]cannabis_log!C:C,[1]cannabis_log!N:N,"NOT FOUND",0,1),IF(N571="gross",0,""))</f>
        <v>0</v>
      </c>
    </row>
    <row r="572" spans="1:15">
      <c r="A572" s="181" t="str">
        <f t="shared" si="8"/>
        <v>outbound</v>
      </c>
      <c r="B572" s="182">
        <v>45602.59375</v>
      </c>
      <c r="C572" s="183" t="s">
        <v>1921</v>
      </c>
      <c r="D572" s="183" t="s">
        <v>2319</v>
      </c>
      <c r="E572" s="215" t="s">
        <v>2320</v>
      </c>
      <c r="F572" s="112">
        <f>IF(ISBLANK(E572),"",_xlfn.XLOOKUP(E572,[1]cannabis_log!C:C,[1]cannabis_log!J:J,"",0,))</f>
        <v>2024100401</v>
      </c>
      <c r="G572" s="112"/>
      <c r="H572" s="112" t="str">
        <f>IF(ISBLANK(E572),"",_xlfn.XLOOKUP(E572,cannabis_log!C:C,cannabis_log!H:H,"",0,1))</f>
        <v>extract_distillate_bulk</v>
      </c>
      <c r="I572" s="113">
        <f>IF(ISBLANK(E572),"",_xlfn.XLOOKUP(E572,cannabis_log!C:C,cannabis_log!K:K,"NOT FOUND",0,1))</f>
        <v>45595</v>
      </c>
      <c r="J572" s="185">
        <v>-1</v>
      </c>
      <c r="K572" s="186">
        <v>-2099.9</v>
      </c>
      <c r="L572" s="288">
        <f t="shared" si="9"/>
        <v>0</v>
      </c>
      <c r="M572" s="24"/>
      <c r="N572" s="112" t="str">
        <f>IF(ISBLANK(E572),"",_xlfn.XLOOKUP(E572,[1]cannabis_log!C:C,[1]cannabis_log!T:T,"Not Found",0,))</f>
        <v>gross</v>
      </c>
      <c r="O572" s="180">
        <f>IF(N572="net",_xlfn.XLOOKUP(E572,[1]cannabis_log!C:C,[1]cannabis_log!N:N,"NOT FOUND",0,1),IF(N572="gross",0,""))</f>
        <v>0</v>
      </c>
    </row>
    <row r="573" spans="1:15">
      <c r="A573" s="173" t="str">
        <f t="shared" si="8"/>
        <v>outbound</v>
      </c>
      <c r="B573" s="182">
        <v>45602.665972222225</v>
      </c>
      <c r="C573" s="183" t="s">
        <v>1929</v>
      </c>
      <c r="D573" s="22" t="s">
        <v>2312</v>
      </c>
      <c r="E573" s="215" t="s">
        <v>2321</v>
      </c>
      <c r="F573" s="112" t="str">
        <f>IF(ISBLANK(E573),"",_xlfn.XLOOKUP(E573,[1]cannabis_log!C:C,[1]cannabis_log!J:J,"",0,))</f>
        <v>EX24102201V50</v>
      </c>
      <c r="G573" s="112"/>
      <c r="H573" s="112" t="str">
        <f>IF(ISBLANK(E573),"",_xlfn.XLOOKUP(E573,cannabis_log!C:C,cannabis_log!H:H,"",0,1))</f>
        <v>extract_ingested_cased_ON</v>
      </c>
      <c r="I573" s="113">
        <f>IF(ISBLANK(E573),"",_xlfn.XLOOKUP(E573,cannabis_log!C:C,cannabis_log!K:K,"NOT FOUND",0,1))</f>
        <v>45594</v>
      </c>
      <c r="J573" s="185">
        <v>-84</v>
      </c>
      <c r="K573" s="186">
        <f>IF(N573="net",0,"")</f>
        <v>0</v>
      </c>
      <c r="L573" s="288">
        <f t="shared" si="9"/>
        <v>-50400</v>
      </c>
      <c r="M573" s="188"/>
      <c r="N573" s="112" t="str">
        <f>IF(ISBLANK(E573),"",_xlfn.XLOOKUP(E573,[1]cannabis_log!C:C,[1]cannabis_log!T:T,"Not Found",0,))</f>
        <v>net</v>
      </c>
      <c r="O573" s="180">
        <f>IF(N573="net",_xlfn.XLOOKUP(E573,[1]cannabis_log!C:C,[1]cannabis_log!N:N,"NOT FOUND",0,1),IF(N573="gross",0,""))</f>
        <v>600</v>
      </c>
    </row>
    <row r="574" spans="1:15">
      <c r="A574" s="181" t="str">
        <f t="shared" si="8"/>
        <v>outbound</v>
      </c>
      <c r="B574" s="182">
        <v>45603.40625</v>
      </c>
      <c r="C574" s="183" t="s">
        <v>1921</v>
      </c>
      <c r="D574" s="183" t="s">
        <v>2317</v>
      </c>
      <c r="E574" s="215" t="s">
        <v>2322</v>
      </c>
      <c r="F574" s="112" t="str">
        <f>IF(ISBLANK(E574),"",_xlfn.XLOOKUP(E574,[1]cannabis_log!C:C,[1]cannabis_log!J:J,"",0,))</f>
        <v>PR2411</v>
      </c>
      <c r="G574" s="112"/>
      <c r="H574" s="112" t="str">
        <f>IF(ISBLANK(E574),"",_xlfn.XLOOKUP(E574,cannabis_log!C:C,cannabis_log!H:H,"",0,1))</f>
        <v>driedflower_milled_bulk</v>
      </c>
      <c r="I574" s="113" t="str">
        <f>IF(ISBLANK(E574),"",_xlfn.XLOOKUP(E574,cannabis_log!C:C,cannabis_log!K:K,"NOT FOUND",0,1))</f>
        <v>NA</v>
      </c>
      <c r="J574" s="185">
        <v>-1</v>
      </c>
      <c r="K574" s="186">
        <v>-3545</v>
      </c>
      <c r="L574" s="288">
        <f t="shared" si="9"/>
        <v>0</v>
      </c>
      <c r="M574" s="24"/>
      <c r="N574" s="112" t="str">
        <f>IF(ISBLANK(E574),"",_xlfn.XLOOKUP(E574,[1]cannabis_log!C:C,[1]cannabis_log!T:T,"Not Found",0,))</f>
        <v>gross</v>
      </c>
      <c r="O574" s="180">
        <f>IF(N574="net",_xlfn.XLOOKUP(E574,[1]cannabis_log!C:C,[1]cannabis_log!N:N,"NOT FOUND",0,1),IF(N574="gross",0,""))</f>
        <v>0</v>
      </c>
    </row>
    <row r="575" spans="1:15">
      <c r="A575" s="173" t="str">
        <f t="shared" si="8"/>
        <v>outbound</v>
      </c>
      <c r="B575" s="182">
        <v>45604.45208333333</v>
      </c>
      <c r="C575" s="183" t="s">
        <v>1921</v>
      </c>
      <c r="D575" s="183" t="s">
        <v>2039</v>
      </c>
      <c r="E575" s="215" t="s">
        <v>2323</v>
      </c>
      <c r="F575" s="112" t="str">
        <f>IF(ISBLANK(E575),"",_xlfn.XLOOKUP(E575,[1]cannabis_log!C:C,[1]cannabis_log!J:J,"",0,))</f>
        <v>EX24101703G05</v>
      </c>
      <c r="G575" s="112"/>
      <c r="H575" s="112" t="str">
        <f>IF(ISBLANK(E575),"",_xlfn.XLOOKUP(E575,cannabis_log!C:C,cannabis_log!H:H,"",0,1))</f>
        <v>extract_inhaled_packaged</v>
      </c>
      <c r="I575" s="113" t="str">
        <f>IF(ISBLANK(E575),"",_xlfn.XLOOKUP(E575,cannabis_log!C:C,cannabis_log!K:K,"NOT FOUND",0,1))</f>
        <v>NA</v>
      </c>
      <c r="J575" s="185">
        <v>-244</v>
      </c>
      <c r="K575" s="186">
        <f>IF(N575="net",0,"")</f>
        <v>0</v>
      </c>
      <c r="L575" s="288">
        <f t="shared" si="9"/>
        <v>-122</v>
      </c>
      <c r="M575" s="188"/>
      <c r="N575" s="112" t="str">
        <f>IF(ISBLANK(E575),"",_xlfn.XLOOKUP(E575,[1]cannabis_log!C:C,[1]cannabis_log!T:T,"Not Found",0,))</f>
        <v>net</v>
      </c>
      <c r="O575" s="180">
        <f>IF(N575="net",_xlfn.XLOOKUP(E575,[1]cannabis_log!C:C,[1]cannabis_log!N:N,"NOT FOUND",0,1),IF(N575="gross",0,""))</f>
        <v>0.5</v>
      </c>
    </row>
    <row r="576" spans="1:15">
      <c r="A576" s="181" t="str">
        <f t="shared" si="8"/>
        <v>outbound</v>
      </c>
      <c r="B576" s="182">
        <v>45604.45208333333</v>
      </c>
      <c r="C576" s="183" t="s">
        <v>1921</v>
      </c>
      <c r="D576" s="183" t="s">
        <v>2039</v>
      </c>
      <c r="E576" s="215" t="s">
        <v>2324</v>
      </c>
      <c r="F576" s="112" t="str">
        <f>IF(ISBLANK(E576),"",_xlfn.XLOOKUP(E576,[1]cannabis_log!C:C,[1]cannabis_log!J:J,"",0,))</f>
        <v>EX24101703G05</v>
      </c>
      <c r="G576" s="112"/>
      <c r="H576" s="112" t="str">
        <f>IF(ISBLANK(E576),"",_xlfn.XLOOKUP(E576,cannabis_log!C:C,cannabis_log!H:H,"",0,1))</f>
        <v>extract_inhaled_labelled</v>
      </c>
      <c r="I576" s="113">
        <f>IF(ISBLANK(E576),"",_xlfn.XLOOKUP(E576,cannabis_log!C:C,cannabis_log!K:K,"NOT FOUND",0,1))</f>
        <v>45603</v>
      </c>
      <c r="J576" s="185">
        <v>-530</v>
      </c>
      <c r="K576" s="186">
        <f>IF(N576="net",0,"")</f>
        <v>0</v>
      </c>
      <c r="L576" s="288">
        <f t="shared" si="9"/>
        <v>-265</v>
      </c>
      <c r="M576" s="24"/>
      <c r="N576" s="112" t="str">
        <f>IF(ISBLANK(E576),"",_xlfn.XLOOKUP(E576,[1]cannabis_log!C:C,[1]cannabis_log!T:T,"Not Found",0,))</f>
        <v>net</v>
      </c>
      <c r="O576" s="180">
        <f>IF(N576="net",_xlfn.XLOOKUP(E576,[1]cannabis_log!C:C,[1]cannabis_log!N:N,"NOT FOUND",0,1),IF(N576="gross",0,""))</f>
        <v>0.5</v>
      </c>
    </row>
    <row r="577" spans="1:15">
      <c r="A577" s="173" t="str">
        <f t="shared" ref="A577:A640" si="11">IF(ISBLANK(J577),"",IF(J577+K577+L577&lt;0,"outbound","inbound"))</f>
        <v>outbound</v>
      </c>
      <c r="B577" s="182">
        <v>45608.493750000001</v>
      </c>
      <c r="C577" s="183" t="s">
        <v>1929</v>
      </c>
      <c r="D577" s="22" t="s">
        <v>2325</v>
      </c>
      <c r="E577" s="215" t="s">
        <v>2311</v>
      </c>
      <c r="F577" s="112" t="str">
        <f>IF(ISBLANK(E577),"",_xlfn.XLOOKUP(E577,[1]cannabis_log!C:C,[1]cannabis_log!J:J,"",0,))</f>
        <v>PR241104F5P3</v>
      </c>
      <c r="G577" s="112"/>
      <c r="H577" s="112" t="str">
        <f>IF(ISBLANK(E577),"",_xlfn.XLOOKUP(E577,cannabis_log!C:C,cannabis_log!H:H,"",0,1))</f>
        <v>preroll_labelled</v>
      </c>
      <c r="I577" s="113">
        <f>IF(ISBLANK(E577),"",_xlfn.XLOOKUP(E577,cannabis_log!C:C,cannabis_log!K:K,"NOT FOUND",0,1))</f>
        <v>45588</v>
      </c>
      <c r="J577" s="185">
        <v>-264</v>
      </c>
      <c r="K577" s="186">
        <f>IF(N577="net",0,"")</f>
        <v>0</v>
      </c>
      <c r="L577" s="288">
        <f t="shared" si="9"/>
        <v>-396</v>
      </c>
      <c r="M577" s="188"/>
      <c r="N577" s="112" t="str">
        <f>IF(ISBLANK(E577),"",_xlfn.XLOOKUP(E577,[1]cannabis_log!C:C,[1]cannabis_log!T:T,"Not Found",0,))</f>
        <v>net</v>
      </c>
      <c r="O577" s="180">
        <f>IF(N577="net",_xlfn.XLOOKUP(E577,[1]cannabis_log!C:C,[1]cannabis_log!N:N,"NOT FOUND",0,1),IF(N577="gross",0,""))</f>
        <v>1.5</v>
      </c>
    </row>
    <row r="578" spans="1:15">
      <c r="A578" s="181" t="str">
        <f t="shared" si="11"/>
        <v>outbound</v>
      </c>
      <c r="B578" s="182">
        <v>45608.493750000001</v>
      </c>
      <c r="C578" s="183" t="s">
        <v>1929</v>
      </c>
      <c r="D578" s="22" t="s">
        <v>2325</v>
      </c>
      <c r="E578" s="215" t="s">
        <v>2307</v>
      </c>
      <c r="F578" s="112" t="str">
        <f>IF(ISBLANK(E578),"",_xlfn.XLOOKUP(E578,[1]cannabis_log!C:C,[1]cannabis_log!J:J,"",0,))</f>
        <v>TP24101701</v>
      </c>
      <c r="G578" s="112"/>
      <c r="H578" s="112" t="str">
        <f>IF(ISBLANK(E578),"",_xlfn.XLOOKUP(E578,cannabis_log!C:C,cannabis_log!H:H,"",0,1))</f>
        <v>topical_labelled</v>
      </c>
      <c r="I578" s="113">
        <f>IF(ISBLANK(E578),"",_xlfn.XLOOKUP(E578,cannabis_log!C:C,cannabis_log!K:K,"NOT FOUND",0,1))</f>
        <v>45588</v>
      </c>
      <c r="J578" s="185">
        <v>-12</v>
      </c>
      <c r="K578" s="186">
        <f>IF(N578="net",0,"")</f>
        <v>0</v>
      </c>
      <c r="L578" s="288">
        <f t="shared" si="9"/>
        <v>-1056</v>
      </c>
      <c r="M578" s="24"/>
      <c r="N578" s="112" t="str">
        <f>IF(ISBLANK(E578),"",_xlfn.XLOOKUP(E578,[1]cannabis_log!C:C,[1]cannabis_log!T:T,"Not Found",0,))</f>
        <v>net</v>
      </c>
      <c r="O578" s="180">
        <f>IF(N578="net",_xlfn.XLOOKUP(E578,[1]cannabis_log!C:C,[1]cannabis_log!N:N,"NOT FOUND",0,1),IF(N578="gross",0,""))</f>
        <v>88</v>
      </c>
    </row>
    <row r="579" spans="1:15">
      <c r="A579" s="173" t="str">
        <f t="shared" si="11"/>
        <v>inbound</v>
      </c>
      <c r="B579" s="182">
        <v>45608.521527777775</v>
      </c>
      <c r="C579" s="183" t="s">
        <v>1927</v>
      </c>
      <c r="D579" s="183"/>
      <c r="E579" s="215" t="s">
        <v>2235</v>
      </c>
      <c r="F579" s="112">
        <f>IF(ISBLANK(E579),"",_xlfn.XLOOKUP(E579,[1]cannabis_log!C:C,[1]cannabis_log!J:J,"",0,))</f>
        <v>2024100401</v>
      </c>
      <c r="G579" s="112"/>
      <c r="H579" s="112" t="str">
        <f>IF(ISBLANK(E579),"",_xlfn.XLOOKUP(E579,cannabis_log!C:C,cannabis_log!H:H,"",0,1))</f>
        <v>extract_distillate_bulk</v>
      </c>
      <c r="I579" s="113" t="str">
        <f>IF(ISBLANK(E579),"",_xlfn.XLOOKUP(E579,cannabis_log!C:C,cannabis_log!K:K,"NOT FOUND",0,1))</f>
        <v>NA</v>
      </c>
      <c r="J579" s="185">
        <v>1</v>
      </c>
      <c r="K579" s="186">
        <v>1494.1</v>
      </c>
      <c r="L579" s="288">
        <f t="shared" si="9"/>
        <v>0</v>
      </c>
      <c r="M579" s="188"/>
      <c r="N579" s="112" t="str">
        <f>IF(ISBLANK(E579),"",_xlfn.XLOOKUP(E579,[1]cannabis_log!C:C,[1]cannabis_log!T:T,"Not Found",0,))</f>
        <v>gross</v>
      </c>
      <c r="O579" s="180">
        <f>IF(N579="net",_xlfn.XLOOKUP(E579,[1]cannabis_log!C:C,[1]cannabis_log!N:N,"NOT FOUND",0,1),IF(N579="gross",0,""))</f>
        <v>0</v>
      </c>
    </row>
    <row r="580" spans="1:15">
      <c r="A580" s="181" t="str">
        <f t="shared" si="11"/>
        <v>outbound</v>
      </c>
      <c r="B580" s="182">
        <v>45609.506249999999</v>
      </c>
      <c r="C580" s="183" t="s">
        <v>1929</v>
      </c>
      <c r="D580" s="183" t="s">
        <v>2326</v>
      </c>
      <c r="E580" s="215" t="s">
        <v>2316</v>
      </c>
      <c r="F580" s="112" t="str">
        <f>IF(ISBLANK(E580),"",_xlfn.XLOOKUP(E580,[1]cannabis_log!C:C,[1]cannabis_log!J:J,"",0,))</f>
        <v>EX24101705G05</v>
      </c>
      <c r="G580" s="112"/>
      <c r="H580" s="112" t="str">
        <f>IF(ISBLANK(E580),"",_xlfn.XLOOKUP(E580,cannabis_log!C:C,cannabis_log!H:H,"",0,1))</f>
        <v>extract_inhaled_labelled</v>
      </c>
      <c r="I580" s="113">
        <f>IF(ISBLANK(E580),"",_xlfn.XLOOKUP(E580,cannabis_log!C:C,cannabis_log!K:K,"NOT FOUND",0,1))</f>
        <v>45594</v>
      </c>
      <c r="J580" s="185">
        <v>-12</v>
      </c>
      <c r="K580" s="186">
        <f>IF(N580="net",0,"")</f>
        <v>0</v>
      </c>
      <c r="L580" s="288">
        <f t="shared" si="9"/>
        <v>-6</v>
      </c>
      <c r="M580" s="24"/>
      <c r="N580" s="112" t="str">
        <f>IF(ISBLANK(E580),"",_xlfn.XLOOKUP(E580,[1]cannabis_log!C:C,[1]cannabis_log!T:T,"Not Found",0,))</f>
        <v>net</v>
      </c>
      <c r="O580" s="180">
        <f>IF(N580="net",_xlfn.XLOOKUP(E580,[1]cannabis_log!C:C,[1]cannabis_log!N:N,"NOT FOUND",0,1),IF(N580="gross",0,""))</f>
        <v>0.5</v>
      </c>
    </row>
    <row r="581" spans="1:15">
      <c r="A581" s="173" t="str">
        <f t="shared" si="11"/>
        <v>outbound</v>
      </c>
      <c r="B581" s="182">
        <v>45609.506249999999</v>
      </c>
      <c r="C581" s="183" t="s">
        <v>1929</v>
      </c>
      <c r="D581" s="183" t="s">
        <v>2326</v>
      </c>
      <c r="E581" s="215" t="s">
        <v>2327</v>
      </c>
      <c r="F581" s="112" t="str">
        <f>IF(ISBLANK(E581),"",_xlfn.XLOOKUP(E581,[1]cannabis_log!C:C,[1]cannabis_log!J:J,"",0,))</f>
        <v>EX24082906G05</v>
      </c>
      <c r="G581" s="112"/>
      <c r="H581" s="112" t="str">
        <f>IF(ISBLANK(E581),"",_xlfn.XLOOKUP(E581,cannabis_log!C:C,cannabis_log!H:H,"",0,1))</f>
        <v>extract_inhaled_labelled</v>
      </c>
      <c r="I581" s="113">
        <f>IF(ISBLANK(E581),"",_xlfn.XLOOKUP(E581,cannabis_log!C:C,cannabis_log!K:K,"NOT FOUND",0,1))</f>
        <v>45588</v>
      </c>
      <c r="J581" s="185">
        <v>-12</v>
      </c>
      <c r="K581" s="186">
        <f>IF(N581="net",0,"")</f>
        <v>0</v>
      </c>
      <c r="L581" s="288">
        <f t="shared" si="9"/>
        <v>-6</v>
      </c>
      <c r="M581" s="188"/>
      <c r="N581" s="112" t="str">
        <f>IF(ISBLANK(E581),"",_xlfn.XLOOKUP(E581,[1]cannabis_log!C:C,[1]cannabis_log!T:T,"Not Found",0,))</f>
        <v>net</v>
      </c>
      <c r="O581" s="180">
        <f>IF(N581="net",_xlfn.XLOOKUP(E581,[1]cannabis_log!C:C,[1]cannabis_log!N:N,"NOT FOUND",0,1),IF(N581="gross",0,""))</f>
        <v>0.5</v>
      </c>
    </row>
    <row r="582" spans="1:15">
      <c r="A582" s="181" t="str">
        <f t="shared" si="11"/>
        <v>outbound</v>
      </c>
      <c r="B582" s="182">
        <v>45609.602083333331</v>
      </c>
      <c r="C582" s="183" t="s">
        <v>1929</v>
      </c>
      <c r="D582" s="183" t="s">
        <v>2328</v>
      </c>
      <c r="E582" s="215" t="s">
        <v>2311</v>
      </c>
      <c r="F582" s="112" t="str">
        <f>IF(ISBLANK(E582),"",_xlfn.XLOOKUP(E582,[1]cannabis_log!C:C,[1]cannabis_log!J:J,"",0,))</f>
        <v>PR241104F5P3</v>
      </c>
      <c r="G582" s="112"/>
      <c r="H582" s="112" t="str">
        <f>IF(ISBLANK(E582),"",_xlfn.XLOOKUP(E582,cannabis_log!C:C,cannabis_log!H:H,"",0,1))</f>
        <v>preroll_labelled</v>
      </c>
      <c r="I582" s="113">
        <f>IF(ISBLANK(E582),"",_xlfn.XLOOKUP(E582,cannabis_log!C:C,cannabis_log!K:K,"NOT FOUND",0,1))</f>
        <v>45588</v>
      </c>
      <c r="J582" s="185">
        <v>-19</v>
      </c>
      <c r="K582" s="186">
        <f>IF(N582="net",0,"")</f>
        <v>0</v>
      </c>
      <c r="L582" s="288">
        <f t="shared" si="9"/>
        <v>-28.5</v>
      </c>
      <c r="M582" s="24"/>
      <c r="N582" s="112" t="str">
        <f>IF(ISBLANK(E582),"",_xlfn.XLOOKUP(E582,[1]cannabis_log!C:C,[1]cannabis_log!T:T,"Not Found",0,))</f>
        <v>net</v>
      </c>
      <c r="O582" s="180">
        <f>IF(N582="net",_xlfn.XLOOKUP(E582,[1]cannabis_log!C:C,[1]cannabis_log!N:N,"NOT FOUND",0,1),IF(N582="gross",0,""))</f>
        <v>1.5</v>
      </c>
    </row>
    <row r="583" spans="1:15">
      <c r="A583" s="173" t="str">
        <f t="shared" si="11"/>
        <v>outbound</v>
      </c>
      <c r="B583" s="182">
        <v>45609.602083333331</v>
      </c>
      <c r="C583" s="183" t="s">
        <v>1929</v>
      </c>
      <c r="D583" s="183" t="s">
        <v>2328</v>
      </c>
      <c r="E583" s="215" t="s">
        <v>2249</v>
      </c>
      <c r="F583" s="112" t="str">
        <f>IF(ISBLANK(E583),"",_xlfn.XLOOKUP(E583,[1]cannabis_log!C:C,[1]cannabis_log!J:J,"",0,))</f>
        <v>PR241104F5P3</v>
      </c>
      <c r="G583" s="112"/>
      <c r="H583" s="112" t="str">
        <f>IF(ISBLANK(E583),"",_xlfn.XLOOKUP(E583,cannabis_log!C:C,cannabis_log!H:H,"",0,1))</f>
        <v>preroll_labelled</v>
      </c>
      <c r="I583" s="113">
        <f>IF(ISBLANK(E583),"",_xlfn.XLOOKUP(E583,cannabis_log!C:C,cannabis_log!K:K,"NOT FOUND",0,1))</f>
        <v>45575</v>
      </c>
      <c r="J583" s="185">
        <v>-11</v>
      </c>
      <c r="K583" s="186">
        <f>IF(N583="net",0,"")</f>
        <v>0</v>
      </c>
      <c r="L583" s="288">
        <f t="shared" si="9"/>
        <v>-16.5</v>
      </c>
      <c r="M583" s="188"/>
      <c r="N583" s="112" t="str">
        <f>IF(ISBLANK(E583),"",_xlfn.XLOOKUP(E583,[1]cannabis_log!C:C,[1]cannabis_log!T:T,"Not Found",0,))</f>
        <v>net</v>
      </c>
      <c r="O583" s="180">
        <f>IF(N583="net",_xlfn.XLOOKUP(E583,[1]cannabis_log!C:C,[1]cannabis_log!N:N,"NOT FOUND",0,1),IF(N583="gross",0,""))</f>
        <v>1.5</v>
      </c>
    </row>
    <row r="584" spans="1:15">
      <c r="A584" s="181" t="str">
        <f t="shared" si="11"/>
        <v>inbound</v>
      </c>
      <c r="B584" s="182">
        <v>45609.703472222223</v>
      </c>
      <c r="C584" s="183" t="s">
        <v>1927</v>
      </c>
      <c r="D584" s="183"/>
      <c r="E584" s="215" t="s">
        <v>2329</v>
      </c>
      <c r="F584" s="112">
        <f>IF(ISBLANK(E584),"",_xlfn.XLOOKUP(E584,[1]cannabis_log!C:C,[1]cannabis_log!J:J,"",0,))</f>
        <v>2024111201</v>
      </c>
      <c r="G584" s="112"/>
      <c r="H584" s="112" t="str">
        <f>IF(ISBLANK(E584),"",_xlfn.XLOOKUP(E584,cannabis_log!C:C,cannabis_log!H:H,"",0,1))</f>
        <v>extract_distillate_bulk</v>
      </c>
      <c r="I584" s="113" t="str">
        <f>IF(ISBLANK(E584),"",_xlfn.XLOOKUP(E584,cannabis_log!C:C,cannabis_log!K:K,"NOT FOUND",0,1))</f>
        <v>NA</v>
      </c>
      <c r="J584" s="185">
        <v>1</v>
      </c>
      <c r="K584" s="186">
        <v>1421.5</v>
      </c>
      <c r="L584" s="288">
        <f t="shared" si="9"/>
        <v>0</v>
      </c>
      <c r="M584" s="24"/>
      <c r="N584" s="112" t="str">
        <f>IF(ISBLANK(E584),"",_xlfn.XLOOKUP(E584,[1]cannabis_log!C:C,[1]cannabis_log!T:T,"Not Found",0,))</f>
        <v>gross</v>
      </c>
      <c r="O584" s="180">
        <f>IF(N584="net",_xlfn.XLOOKUP(E584,[1]cannabis_log!C:C,[1]cannabis_log!N:N,"NOT FOUND",0,1),IF(N584="gross",0,""))</f>
        <v>0</v>
      </c>
    </row>
    <row r="585" spans="1:15">
      <c r="A585" s="173" t="str">
        <f t="shared" si="11"/>
        <v>outbound</v>
      </c>
      <c r="B585" s="182">
        <v>45610.606944444444</v>
      </c>
      <c r="C585" s="183" t="s">
        <v>1924</v>
      </c>
      <c r="D585" s="183" t="s">
        <v>2330</v>
      </c>
      <c r="E585" s="215" t="s">
        <v>2329</v>
      </c>
      <c r="F585" s="112">
        <f>IF(ISBLANK(E585),"",_xlfn.XLOOKUP(E585,[1]cannabis_log!C:C,[1]cannabis_log!J:J,"",0,))</f>
        <v>2024111201</v>
      </c>
      <c r="G585" s="112"/>
      <c r="H585" s="112" t="str">
        <f>IF(ISBLANK(E585),"",_xlfn.XLOOKUP(E585,cannabis_log!C:C,cannabis_log!H:H,"",0,1))</f>
        <v>extract_distillate_bulk</v>
      </c>
      <c r="I585" s="113" t="str">
        <f>IF(ISBLANK(E585),"",_xlfn.XLOOKUP(E585,cannabis_log!C:C,cannabis_log!K:K,"NOT FOUND",0,1))</f>
        <v>NA</v>
      </c>
      <c r="J585" s="185">
        <v>-1</v>
      </c>
      <c r="K585" s="186">
        <v>-1421.5</v>
      </c>
      <c r="L585" s="288">
        <f t="shared" si="9"/>
        <v>0</v>
      </c>
      <c r="M585" s="188"/>
      <c r="N585" s="112" t="str">
        <f>IF(ISBLANK(E585),"",_xlfn.XLOOKUP(E585,[1]cannabis_log!C:C,[1]cannabis_log!T:T,"Not Found",0,))</f>
        <v>gross</v>
      </c>
      <c r="O585" s="180">
        <f>IF(N585="net",_xlfn.XLOOKUP(E585,[1]cannabis_log!C:C,[1]cannabis_log!N:N,"NOT FOUND",0,1),IF(N585="gross",0,""))</f>
        <v>0</v>
      </c>
    </row>
    <row r="586" spans="1:15">
      <c r="A586" s="181" t="str">
        <f t="shared" si="11"/>
        <v>outbound</v>
      </c>
      <c r="B586" s="182">
        <v>45610.611111111109</v>
      </c>
      <c r="C586" s="183" t="s">
        <v>1924</v>
      </c>
      <c r="D586" s="183" t="s">
        <v>2331</v>
      </c>
      <c r="E586" s="215" t="s">
        <v>2307</v>
      </c>
      <c r="F586" s="112" t="str">
        <f>IF(ISBLANK(E586),"",_xlfn.XLOOKUP(E586,[1]cannabis_log!C:C,[1]cannabis_log!J:J,"",0,))</f>
        <v>TP24101701</v>
      </c>
      <c r="G586" s="112"/>
      <c r="H586" s="112" t="str">
        <f>IF(ISBLANK(E586),"",_xlfn.XLOOKUP(E586,cannabis_log!C:C,cannabis_log!H:H,"",0,1))</f>
        <v>topical_labelled</v>
      </c>
      <c r="I586" s="113">
        <f>IF(ISBLANK(E586),"",_xlfn.XLOOKUP(E586,cannabis_log!C:C,cannabis_log!K:K,"NOT FOUND",0,1))</f>
        <v>45588</v>
      </c>
      <c r="J586" s="185">
        <v>-1</v>
      </c>
      <c r="K586" s="186">
        <f>IF(N586="net",0,"")</f>
        <v>0</v>
      </c>
      <c r="L586" s="288">
        <f t="shared" si="9"/>
        <v>-88</v>
      </c>
      <c r="M586" s="24"/>
      <c r="N586" s="112" t="str">
        <f>IF(ISBLANK(E586),"",_xlfn.XLOOKUP(E586,[1]cannabis_log!C:C,[1]cannabis_log!T:T,"Not Found",0,))</f>
        <v>net</v>
      </c>
      <c r="O586" s="180">
        <f>IF(N586="net",_xlfn.XLOOKUP(E586,[1]cannabis_log!C:C,[1]cannabis_log!N:N,"NOT FOUND",0,1),IF(N586="gross",0,""))</f>
        <v>88</v>
      </c>
    </row>
    <row r="587" spans="1:15">
      <c r="A587" s="173" t="str">
        <f t="shared" si="11"/>
        <v>outbound</v>
      </c>
      <c r="B587" s="182">
        <v>45610.611111111109</v>
      </c>
      <c r="C587" s="183" t="s">
        <v>1924</v>
      </c>
      <c r="D587" s="183" t="s">
        <v>2331</v>
      </c>
      <c r="E587" s="215" t="s">
        <v>2072</v>
      </c>
      <c r="F587" s="112" t="str">
        <f>IF(ISBLANK(E587),"",_xlfn.XLOOKUP(E587,[1]cannabis_log!C:C,[1]cannabis_log!J:J,"",0,))</f>
        <v>TP24041201</v>
      </c>
      <c r="G587" s="112"/>
      <c r="H587" s="112" t="str">
        <f>IF(ISBLANK(E587),"",_xlfn.XLOOKUP(E587,cannabis_log!C:C,cannabis_log!H:H,"",0,1))</f>
        <v>topical_labelled</v>
      </c>
      <c r="I587" s="113">
        <f>IF(ISBLANK(E587),"",_xlfn.XLOOKUP(E587,cannabis_log!C:C,cannabis_log!K:K,"NOT FOUND",0,1))</f>
        <v>45531</v>
      </c>
      <c r="J587" s="185">
        <v>-3</v>
      </c>
      <c r="K587" s="186">
        <f>IF(N587="net",0,"")</f>
        <v>0</v>
      </c>
      <c r="L587" s="288">
        <f t="shared" si="9"/>
        <v>-264</v>
      </c>
      <c r="M587" s="188"/>
      <c r="N587" s="112" t="str">
        <f>IF(ISBLANK(E587),"",_xlfn.XLOOKUP(E587,[1]cannabis_log!C:C,[1]cannabis_log!T:T,"Not Found",0,))</f>
        <v>net</v>
      </c>
      <c r="O587" s="180">
        <f>IF(N587="net",_xlfn.XLOOKUP(E587,[1]cannabis_log!C:C,[1]cannabis_log!N:N,"NOT FOUND",0,1),IF(N587="gross",0,""))</f>
        <v>88</v>
      </c>
    </row>
    <row r="588" spans="1:15">
      <c r="A588" s="181" t="str">
        <f t="shared" si="11"/>
        <v>outbound</v>
      </c>
      <c r="B588" s="182">
        <v>45610.661111111112</v>
      </c>
      <c r="C588" s="183" t="s">
        <v>1924</v>
      </c>
      <c r="D588" s="183" t="s">
        <v>2331</v>
      </c>
      <c r="E588" s="215" t="s">
        <v>2332</v>
      </c>
      <c r="F588" s="112">
        <f>IF(ISBLANK(E588),"",_xlfn.XLOOKUP(E588,[1]cannabis_log!C:C,[1]cannabis_log!J:J,"",0,))</f>
        <v>2022051603</v>
      </c>
      <c r="G588" s="112"/>
      <c r="H588" s="112" t="str">
        <f>IF(ISBLANK(E588),"",_xlfn.XLOOKUP(E588,cannabis_log!C:C,cannabis_log!H:H,"",0,1))</f>
        <v>driedflower_bulk</v>
      </c>
      <c r="I588" s="113">
        <f>IF(ISBLANK(E588),"",_xlfn.XLOOKUP(E588,cannabis_log!C:C,cannabis_log!K:K,"NOT FOUND",0,1))</f>
        <v>44830</v>
      </c>
      <c r="J588" s="185">
        <v>-1</v>
      </c>
      <c r="K588" s="186">
        <v>-1024</v>
      </c>
      <c r="L588" s="288">
        <f t="shared" si="9"/>
        <v>0</v>
      </c>
      <c r="M588" s="24"/>
      <c r="N588" s="112" t="str">
        <f>IF(ISBLANK(E588),"",_xlfn.XLOOKUP(E588,[1]cannabis_log!C:C,[1]cannabis_log!T:T,"Not Found",0,))</f>
        <v>gross</v>
      </c>
      <c r="O588" s="180">
        <f>IF(N588="net",_xlfn.XLOOKUP(E588,[1]cannabis_log!C:C,[1]cannabis_log!N:N,"NOT FOUND",0,1),IF(N588="gross",0,""))</f>
        <v>0</v>
      </c>
    </row>
    <row r="589" spans="1:15">
      <c r="A589" s="173" t="str">
        <f t="shared" si="11"/>
        <v>outbound</v>
      </c>
      <c r="B589" s="182">
        <v>45610.668749999997</v>
      </c>
      <c r="C589" s="183" t="s">
        <v>1924</v>
      </c>
      <c r="D589" s="183" t="s">
        <v>2331</v>
      </c>
      <c r="E589" s="215" t="s">
        <v>2291</v>
      </c>
      <c r="F589" s="112">
        <f>IF(ISBLANK(E589),"",_xlfn.XLOOKUP(E589,[1]cannabis_log!C:C,[1]cannabis_log!J:J,"",0,))</f>
        <v>2022051601</v>
      </c>
      <c r="G589" s="112"/>
      <c r="H589" s="112" t="str">
        <f>IF(ISBLANK(E589),"",_xlfn.XLOOKUP(E589,cannabis_log!C:C,cannabis_log!H:H,"",0,1))</f>
        <v>driedflower_bulk</v>
      </c>
      <c r="I589" s="113">
        <f>IF(ISBLANK(E589),"",_xlfn.XLOOKUP(E589,cannabis_log!C:C,cannabis_log!K:K,"NOT FOUND",0,1))</f>
        <v>44830</v>
      </c>
      <c r="J589" s="185">
        <v>-1</v>
      </c>
      <c r="K589" s="186">
        <v>-1043</v>
      </c>
      <c r="L589" s="288">
        <f t="shared" si="9"/>
        <v>0</v>
      </c>
      <c r="M589" s="188"/>
      <c r="N589" s="112" t="str">
        <f>IF(ISBLANK(E589),"",_xlfn.XLOOKUP(E589,[1]cannabis_log!C:C,[1]cannabis_log!T:T,"Not Found",0,))</f>
        <v>gross</v>
      </c>
      <c r="O589" s="180">
        <f>IF(N589="net",_xlfn.XLOOKUP(E589,[1]cannabis_log!C:C,[1]cannabis_log!N:N,"NOT FOUND",0,1),IF(N589="gross",0,""))</f>
        <v>0</v>
      </c>
    </row>
    <row r="590" spans="1:15">
      <c r="A590" s="181" t="str">
        <f t="shared" si="11"/>
        <v>outbound</v>
      </c>
      <c r="B590" s="182">
        <v>45610.668749999997</v>
      </c>
      <c r="C590" s="183" t="s">
        <v>1924</v>
      </c>
      <c r="D590" s="183" t="s">
        <v>2331</v>
      </c>
      <c r="E590" s="215" t="s">
        <v>1978</v>
      </c>
      <c r="F590" s="112" t="str">
        <f>IF(ISBLANK(E590),"",_xlfn.XLOOKUP(E590,[1]cannabis_log!C:C,[1]cannabis_log!J:J,"",0,))</f>
        <v>2022012401R1</v>
      </c>
      <c r="G590" s="112"/>
      <c r="H590" s="112" t="str">
        <f>IF(ISBLANK(E590),"",_xlfn.XLOOKUP(E590,cannabis_log!C:C,cannabis_log!H:H,"",0,1))</f>
        <v>driedflower_bulk</v>
      </c>
      <c r="I590" s="113">
        <f>IF(ISBLANK(E590),"",_xlfn.XLOOKUP(E590,cannabis_log!C:C,cannabis_log!K:K,"NOT FOUND",0,1))</f>
        <v>44686</v>
      </c>
      <c r="J590" s="185">
        <v>-1</v>
      </c>
      <c r="K590" s="186">
        <v>-968</v>
      </c>
      <c r="L590" s="288">
        <f t="shared" si="9"/>
        <v>0</v>
      </c>
      <c r="M590" s="24"/>
      <c r="N590" s="112" t="str">
        <f>IF(ISBLANK(E590),"",_xlfn.XLOOKUP(E590,[1]cannabis_log!C:C,[1]cannabis_log!T:T,"Not Found",0,))</f>
        <v>gross</v>
      </c>
      <c r="O590" s="180">
        <f>IF(N590="net",_xlfn.XLOOKUP(E590,[1]cannabis_log!C:C,[1]cannabis_log!N:N,"NOT FOUND",0,1),IF(N590="gross",0,""))</f>
        <v>0</v>
      </c>
    </row>
    <row r="591" spans="1:15">
      <c r="A591" s="173" t="str">
        <f t="shared" si="11"/>
        <v>outbound</v>
      </c>
      <c r="B591" s="182">
        <v>45610.668749999997</v>
      </c>
      <c r="C591" s="183" t="s">
        <v>1924</v>
      </c>
      <c r="D591" s="183" t="s">
        <v>2331</v>
      </c>
      <c r="E591" s="215" t="s">
        <v>2333</v>
      </c>
      <c r="F591" s="112">
        <f>IF(ISBLANK(E591),"",_xlfn.XLOOKUP(E591,[1]cannabis_log!C:C,[1]cannabis_log!J:J,"",0,))</f>
        <v>2021120901</v>
      </c>
      <c r="G591" s="112"/>
      <c r="H591" s="112" t="str">
        <f>IF(ISBLANK(E591),"",_xlfn.XLOOKUP(E591,cannabis_log!C:C,cannabis_log!H:H,"",0,1))</f>
        <v>driedflower_bulk_unknown</v>
      </c>
      <c r="I591" s="113" t="str">
        <f>IF(ISBLANK(E591),"",_xlfn.XLOOKUP(E591,cannabis_log!C:C,cannabis_log!K:K,"NOT FOUND",0,1))</f>
        <v>NA</v>
      </c>
      <c r="J591" s="185">
        <v>-1</v>
      </c>
      <c r="K591" s="186">
        <v>-530</v>
      </c>
      <c r="L591" s="288">
        <f t="shared" si="9"/>
        <v>0</v>
      </c>
      <c r="M591" s="188"/>
      <c r="N591" s="112" t="str">
        <f>IF(ISBLANK(E591),"",_xlfn.XLOOKUP(E591,[1]cannabis_log!C:C,[1]cannabis_log!T:T,"Not Found",0,))</f>
        <v>gross</v>
      </c>
      <c r="O591" s="180">
        <f>IF(N591="net",_xlfn.XLOOKUP(E591,[1]cannabis_log!C:C,[1]cannabis_log!N:N,"NOT FOUND",0,1),IF(N591="gross",0,""))</f>
        <v>0</v>
      </c>
    </row>
    <row r="592" spans="1:15">
      <c r="A592" s="181" t="str">
        <f t="shared" si="11"/>
        <v>inbound</v>
      </c>
      <c r="B592" s="182">
        <v>45610.697222222225</v>
      </c>
      <c r="C592" s="183" t="s">
        <v>1927</v>
      </c>
      <c r="D592" s="183"/>
      <c r="E592" s="215" t="s">
        <v>2322</v>
      </c>
      <c r="F592" s="112" t="str">
        <f>IF(ISBLANK(E592),"",_xlfn.XLOOKUP(E592,[1]cannabis_log!C:C,[1]cannabis_log!J:J,"",0,))</f>
        <v>PR2411</v>
      </c>
      <c r="G592" s="112"/>
      <c r="H592" s="112" t="str">
        <f>IF(ISBLANK(E592),"",_xlfn.XLOOKUP(E592,cannabis_log!C:C,cannabis_log!H:H,"",0,1))</f>
        <v>driedflower_milled_bulk</v>
      </c>
      <c r="I592" s="113" t="str">
        <f>IF(ISBLANK(E592),"",_xlfn.XLOOKUP(E592,cannabis_log!C:C,cannabis_log!K:K,"NOT FOUND",0,1))</f>
        <v>NA</v>
      </c>
      <c r="J592" s="185">
        <v>1</v>
      </c>
      <c r="K592" s="186">
        <v>2335</v>
      </c>
      <c r="L592" s="288">
        <f t="shared" si="9"/>
        <v>0</v>
      </c>
      <c r="M592" s="24"/>
      <c r="N592" s="112" t="str">
        <f>IF(ISBLANK(E592),"",_xlfn.XLOOKUP(E592,[1]cannabis_log!C:C,[1]cannabis_log!T:T,"Not Found",0,))</f>
        <v>gross</v>
      </c>
      <c r="O592" s="180">
        <f>IF(N592="net",_xlfn.XLOOKUP(E592,[1]cannabis_log!C:C,[1]cannabis_log!N:N,"NOT FOUND",0,1),IF(N592="gross",0,""))</f>
        <v>0</v>
      </c>
    </row>
    <row r="593" spans="1:15">
      <c r="A593" s="173" t="str">
        <f t="shared" si="11"/>
        <v>outbound</v>
      </c>
      <c r="B593" s="182">
        <v>45611.486805555556</v>
      </c>
      <c r="C593" s="183" t="s">
        <v>1929</v>
      </c>
      <c r="D593" s="183" t="s">
        <v>2334</v>
      </c>
      <c r="E593" s="215" t="s">
        <v>2335</v>
      </c>
      <c r="F593" s="112" t="str">
        <f>IF(ISBLANK(E593),"",_xlfn.XLOOKUP(E593,[1]cannabis_log!C:C,[1]cannabis_log!J:J,"",0,))</f>
        <v>PR2301F35P12</v>
      </c>
      <c r="G593" s="112"/>
      <c r="H593" s="112" t="str">
        <f>IF(ISBLANK(E593),"",_xlfn.XLOOKUP(E593,cannabis_log!C:C,cannabis_log!H:H,"",0,1))</f>
        <v>preroll_labelled</v>
      </c>
      <c r="I593" s="113">
        <f>IF(ISBLANK(E593),"",_xlfn.XLOOKUP(E593,cannabis_log!C:C,cannabis_log!K:K,"NOT FOUND",0,1))</f>
        <v>45597</v>
      </c>
      <c r="J593" s="185">
        <v>-36</v>
      </c>
      <c r="K593" s="186">
        <f t="shared" ref="K593:K607" si="12">IF(N593="net",0,"")</f>
        <v>0</v>
      </c>
      <c r="L593" s="288">
        <f t="shared" si="9"/>
        <v>-151.19999999999999</v>
      </c>
      <c r="M593" s="188"/>
      <c r="N593" s="112" t="str">
        <f>IF(ISBLANK(E593),"",_xlfn.XLOOKUP(E593,[1]cannabis_log!C:C,[1]cannabis_log!T:T,"Not Found",0,))</f>
        <v>net</v>
      </c>
      <c r="O593" s="180">
        <f>IF(N593="net",_xlfn.XLOOKUP(E593,[1]cannabis_log!C:C,[1]cannabis_log!N:N,"NOT FOUND",0,1),IF(N593="gross",0,""))</f>
        <v>4.1999999999999993</v>
      </c>
    </row>
    <row r="594" spans="1:15">
      <c r="A594" s="181" t="str">
        <f t="shared" si="11"/>
        <v>outbound</v>
      </c>
      <c r="B594" s="182">
        <v>45611.486805555556</v>
      </c>
      <c r="C594" s="183" t="s">
        <v>1929</v>
      </c>
      <c r="D594" s="183" t="s">
        <v>2334</v>
      </c>
      <c r="E594" s="215" t="s">
        <v>2336</v>
      </c>
      <c r="F594" s="112" t="str">
        <f>IF(ISBLANK(E594),"",_xlfn.XLOOKUP(E594,[1]cannabis_log!C:C,[1]cannabis_log!J:J,"",0,))</f>
        <v>2022012401G28</v>
      </c>
      <c r="G594" s="112"/>
      <c r="H594" s="112" t="str">
        <f>IF(ISBLANK(E594),"",_xlfn.XLOOKUP(E594,cannabis_log!C:C,cannabis_log!H:H,"",0,1))</f>
        <v>driedflower_labelled</v>
      </c>
      <c r="I594" s="113">
        <f>IF(ISBLANK(E594),"",_xlfn.XLOOKUP(E594,cannabis_log!C:C,cannabis_log!K:K,"NOT FOUND",0,1))</f>
        <v>45594</v>
      </c>
      <c r="J594" s="185">
        <v>-24</v>
      </c>
      <c r="K594" s="186">
        <f t="shared" si="12"/>
        <v>0</v>
      </c>
      <c r="L594" s="288">
        <f t="shared" si="9"/>
        <v>-672</v>
      </c>
      <c r="M594" s="24"/>
      <c r="N594" s="112" t="str">
        <f>IF(ISBLANK(E594),"",_xlfn.XLOOKUP(E594,[1]cannabis_log!C:C,[1]cannabis_log!T:T,"Not Found",0,))</f>
        <v>net</v>
      </c>
      <c r="O594" s="180">
        <f>IF(N594="net",_xlfn.XLOOKUP(E594,[1]cannabis_log!C:C,[1]cannabis_log!N:N,"NOT FOUND",0,1),IF(N594="gross",0,""))</f>
        <v>28</v>
      </c>
    </row>
    <row r="595" spans="1:15">
      <c r="A595" s="173" t="str">
        <f t="shared" si="11"/>
        <v>outbound</v>
      </c>
      <c r="B595" s="182">
        <v>45611.486805555556</v>
      </c>
      <c r="C595" s="183" t="s">
        <v>1929</v>
      </c>
      <c r="D595" s="183" t="s">
        <v>2334</v>
      </c>
      <c r="E595" s="215" t="s">
        <v>2044</v>
      </c>
      <c r="F595" s="112" t="str">
        <f>IF(ISBLANK(E595),"",_xlfn.XLOOKUP(E595,[1]cannabis_log!C:C,[1]cannabis_log!J:J,"",0,))</f>
        <v>2021082601R1</v>
      </c>
      <c r="G595" s="112"/>
      <c r="H595" s="112" t="str">
        <f>IF(ISBLANK(E595),"",_xlfn.XLOOKUP(E595,cannabis_log!C:C,cannabis_log!H:H,"",0,1))</f>
        <v>driedflower_labelled_RTV</v>
      </c>
      <c r="I595" s="113">
        <f>IF(ISBLANK(E595),"",_xlfn.XLOOKUP(E595,cannabis_log!C:C,cannabis_log!K:K,"NOT FOUND",0,1))</f>
        <v>45447</v>
      </c>
      <c r="J595" s="185">
        <v>-14</v>
      </c>
      <c r="K595" s="186">
        <f t="shared" si="12"/>
        <v>0</v>
      </c>
      <c r="L595" s="288">
        <f t="shared" si="9"/>
        <v>-49</v>
      </c>
      <c r="M595" s="188"/>
      <c r="N595" s="112" t="str">
        <f>IF(ISBLANK(E595),"",_xlfn.XLOOKUP(E595,[1]cannabis_log!C:C,[1]cannabis_log!T:T,"Not Found",0,))</f>
        <v>net</v>
      </c>
      <c r="O595" s="180">
        <f>IF(N595="net",_xlfn.XLOOKUP(E595,[1]cannabis_log!C:C,[1]cannabis_log!N:N,"NOT FOUND",0,1),IF(N595="gross",0,""))</f>
        <v>3.5</v>
      </c>
    </row>
    <row r="596" spans="1:15">
      <c r="A596" s="181" t="str">
        <f t="shared" si="11"/>
        <v>outbound</v>
      </c>
      <c r="B596" s="182">
        <v>45611.486805555556</v>
      </c>
      <c r="C596" s="183" t="s">
        <v>1929</v>
      </c>
      <c r="D596" s="183" t="s">
        <v>2334</v>
      </c>
      <c r="E596" s="215" t="s">
        <v>2337</v>
      </c>
      <c r="F596" s="112" t="str">
        <f>IF(ISBLANK(E596),"",_xlfn.XLOOKUP(E596,[1]cannabis_log!C:C,[1]cannabis_log!J:J,"",0,))</f>
        <v>2021082601R1</v>
      </c>
      <c r="G596" s="112"/>
      <c r="H596" s="112" t="str">
        <f>IF(ISBLANK(E596),"",_xlfn.XLOOKUP(E596,cannabis_log!C:C,cannabis_log!H:H,"",0,1))</f>
        <v>driedflower_labelled_RTV</v>
      </c>
      <c r="I596" s="113">
        <f>IF(ISBLANK(E596),"",_xlfn.XLOOKUP(E596,cannabis_log!C:C,cannabis_log!K:K,"NOT FOUND",0,1))</f>
        <v>44646</v>
      </c>
      <c r="J596" s="185">
        <v>-22</v>
      </c>
      <c r="K596" s="186">
        <f t="shared" si="12"/>
        <v>0</v>
      </c>
      <c r="L596" s="288">
        <f t="shared" si="9"/>
        <v>-77</v>
      </c>
      <c r="M596" s="24"/>
      <c r="N596" s="112" t="str">
        <f>IF(ISBLANK(E596),"",_xlfn.XLOOKUP(E596,[1]cannabis_log!C:C,[1]cannabis_log!T:T,"Not Found",0,))</f>
        <v>net</v>
      </c>
      <c r="O596" s="180">
        <f>IF(N596="net",_xlfn.XLOOKUP(E596,[1]cannabis_log!C:C,[1]cannabis_log!N:N,"NOT FOUND",0,1),IF(N596="gross",0,""))</f>
        <v>3.5</v>
      </c>
    </row>
    <row r="597" spans="1:15">
      <c r="A597" s="173" t="str">
        <f t="shared" si="11"/>
        <v>outbound</v>
      </c>
      <c r="B597" s="182">
        <v>45611.486805555556</v>
      </c>
      <c r="C597" s="183" t="s">
        <v>1929</v>
      </c>
      <c r="D597" s="183" t="s">
        <v>2334</v>
      </c>
      <c r="E597" s="215" t="s">
        <v>2338</v>
      </c>
      <c r="F597" s="112" t="str">
        <f>IF(ISBLANK(E597),"",_xlfn.XLOOKUP(E597,[1]cannabis_log!C:C,[1]cannabis_log!J:J,"",0,))</f>
        <v>PR241005F5P3</v>
      </c>
      <c r="G597" s="112"/>
      <c r="H597" s="112" t="str">
        <f>IF(ISBLANK(E597),"",_xlfn.XLOOKUP(E597,cannabis_log!C:C,cannabis_log!H:H,"",0,1))</f>
        <v>preroll_labelled</v>
      </c>
      <c r="I597" s="113">
        <f>IF(ISBLANK(E597),"",_xlfn.XLOOKUP(E597,cannabis_log!C:C,cannabis_log!K:K,"NOT FOUND",0,1))</f>
        <v>45575</v>
      </c>
      <c r="J597" s="185">
        <v>-24</v>
      </c>
      <c r="K597" s="186">
        <f t="shared" si="12"/>
        <v>0</v>
      </c>
      <c r="L597" s="288">
        <f t="shared" si="9"/>
        <v>-36</v>
      </c>
      <c r="M597" s="188"/>
      <c r="N597" s="112" t="str">
        <f>IF(ISBLANK(E597),"",_xlfn.XLOOKUP(E597,[1]cannabis_log!C:C,[1]cannabis_log!T:T,"Not Found",0,))</f>
        <v>net</v>
      </c>
      <c r="O597" s="180">
        <f>IF(N597="net",_xlfn.XLOOKUP(E597,[1]cannabis_log!C:C,[1]cannabis_log!N:N,"NOT FOUND",0,1),IF(N597="gross",0,""))</f>
        <v>1.5</v>
      </c>
    </row>
    <row r="598" spans="1:15">
      <c r="A598" s="181" t="str">
        <f t="shared" si="11"/>
        <v>outbound</v>
      </c>
      <c r="B598" s="182">
        <v>45611.486805555556</v>
      </c>
      <c r="C598" s="183" t="s">
        <v>1929</v>
      </c>
      <c r="D598" s="183" t="s">
        <v>2334</v>
      </c>
      <c r="E598" s="215" t="s">
        <v>2295</v>
      </c>
      <c r="F598" s="112" t="str">
        <f>IF(ISBLANK(E598),"",_xlfn.XLOOKUP(E598,[1]cannabis_log!C:C,[1]cannabis_log!J:J,"",0,))</f>
        <v>PR241101F5P3</v>
      </c>
      <c r="G598" s="112"/>
      <c r="H598" s="112" t="str">
        <f>IF(ISBLANK(E598),"",_xlfn.XLOOKUP(E598,cannabis_log!C:C,cannabis_log!H:H,"",0,1))</f>
        <v>preroll_labelled</v>
      </c>
      <c r="I598" s="113">
        <f>IF(ISBLANK(E598),"",_xlfn.XLOOKUP(E598,cannabis_log!C:C,cannabis_log!K:K,"NOT FOUND",0,1))</f>
        <v>45581</v>
      </c>
      <c r="J598" s="185">
        <v>-24</v>
      </c>
      <c r="K598" s="186">
        <f t="shared" si="12"/>
        <v>0</v>
      </c>
      <c r="L598" s="288">
        <f t="shared" si="9"/>
        <v>-36</v>
      </c>
      <c r="M598" s="24"/>
      <c r="N598" s="112" t="str">
        <f>IF(ISBLANK(E598),"",_xlfn.XLOOKUP(E598,[1]cannabis_log!C:C,[1]cannabis_log!T:T,"Not Found",0,))</f>
        <v>net</v>
      </c>
      <c r="O598" s="180">
        <f>IF(N598="net",_xlfn.XLOOKUP(E598,[1]cannabis_log!C:C,[1]cannabis_log!N:N,"NOT FOUND",0,1),IF(N598="gross",0,""))</f>
        <v>1.5</v>
      </c>
    </row>
    <row r="599" spans="1:15">
      <c r="A599" s="173" t="str">
        <f t="shared" si="11"/>
        <v>outbound</v>
      </c>
      <c r="B599" s="182">
        <v>45611.486805555556</v>
      </c>
      <c r="C599" s="183" t="s">
        <v>1929</v>
      </c>
      <c r="D599" s="183" t="s">
        <v>2334</v>
      </c>
      <c r="E599" s="215" t="s">
        <v>2107</v>
      </c>
      <c r="F599" s="112" t="str">
        <f>IF(ISBLANK(E599),"",_xlfn.XLOOKUP(E599,[1]cannabis_log!C:C,[1]cannabis_log!J:J,"",0,))</f>
        <v>PR241003F5P3</v>
      </c>
      <c r="G599" s="112"/>
      <c r="H599" s="112" t="str">
        <f>IF(ISBLANK(E599),"",_xlfn.XLOOKUP(E599,cannabis_log!C:C,cannabis_log!H:H,"",0,1))</f>
        <v>preroll_labelled</v>
      </c>
      <c r="I599" s="113">
        <f>IF(ISBLANK(E599),"",_xlfn.XLOOKUP(E599,cannabis_log!C:C,cannabis_log!K:K,"NOT FOUND",0,1))</f>
        <v>45570</v>
      </c>
      <c r="J599" s="185">
        <v>-24</v>
      </c>
      <c r="K599" s="186">
        <f t="shared" si="12"/>
        <v>0</v>
      </c>
      <c r="L599" s="288">
        <f t="shared" si="9"/>
        <v>-36</v>
      </c>
      <c r="M599" s="188"/>
      <c r="N599" s="112" t="str">
        <f>IF(ISBLANK(E599),"",_xlfn.XLOOKUP(E599,[1]cannabis_log!C:C,[1]cannabis_log!T:T,"Not Found",0,))</f>
        <v>net</v>
      </c>
      <c r="O599" s="180">
        <f>IF(N599="net",_xlfn.XLOOKUP(E599,[1]cannabis_log!C:C,[1]cannabis_log!N:N,"NOT FOUND",0,1),IF(N599="gross",0,""))</f>
        <v>1.5</v>
      </c>
    </row>
    <row r="600" spans="1:15">
      <c r="A600" s="181" t="str">
        <f t="shared" si="11"/>
        <v>outbound</v>
      </c>
      <c r="B600" s="182">
        <v>45611.486805555556</v>
      </c>
      <c r="C600" s="183" t="s">
        <v>1929</v>
      </c>
      <c r="D600" s="183" t="s">
        <v>2334</v>
      </c>
      <c r="E600" s="215" t="s">
        <v>2269</v>
      </c>
      <c r="F600" s="112" t="str">
        <f>IF(ISBLANK(E600),"",_xlfn.XLOOKUP(E600,[1]cannabis_log!C:C,[1]cannabis_log!J:J,"",0,))</f>
        <v>PR241002F5P3</v>
      </c>
      <c r="G600" s="112"/>
      <c r="H600" s="112" t="str">
        <f>IF(ISBLANK(E600),"",_xlfn.XLOOKUP(E600,cannabis_log!C:C,cannabis_log!H:H,"",0,1))</f>
        <v>preroll_labelled</v>
      </c>
      <c r="I600" s="113">
        <f>IF(ISBLANK(E600),"",_xlfn.XLOOKUP(E600,cannabis_log!C:C,cannabis_log!K:K,"NOT FOUND",0,1))</f>
        <v>45567</v>
      </c>
      <c r="J600" s="185">
        <v>-24</v>
      </c>
      <c r="K600" s="186">
        <f t="shared" si="12"/>
        <v>0</v>
      </c>
      <c r="L600" s="288">
        <f t="shared" si="9"/>
        <v>-36</v>
      </c>
      <c r="M600" s="24"/>
      <c r="N600" s="112" t="str">
        <f>IF(ISBLANK(E600),"",_xlfn.XLOOKUP(E600,[1]cannabis_log!C:C,[1]cannabis_log!T:T,"Not Found",0,))</f>
        <v>net</v>
      </c>
      <c r="O600" s="180">
        <f>IF(N600="net",_xlfn.XLOOKUP(E600,[1]cannabis_log!C:C,[1]cannabis_log!N:N,"NOT FOUND",0,1),IF(N600="gross",0,""))</f>
        <v>1.5</v>
      </c>
    </row>
    <row r="601" spans="1:15">
      <c r="A601" s="173" t="str">
        <f t="shared" si="11"/>
        <v>outbound</v>
      </c>
      <c r="B601" s="182">
        <v>45611.486805555556</v>
      </c>
      <c r="C601" s="183" t="s">
        <v>1929</v>
      </c>
      <c r="D601" s="183" t="s">
        <v>2334</v>
      </c>
      <c r="E601" s="215" t="s">
        <v>2339</v>
      </c>
      <c r="F601" s="112" t="str">
        <f>IF(ISBLANK(E601),"",_xlfn.XLOOKUP(E601,[1]cannabis_log!C:C,[1]cannabis_log!J:J,"",0,))</f>
        <v>EX24101701G05</v>
      </c>
      <c r="G601" s="112"/>
      <c r="H601" s="112" t="str">
        <f>IF(ISBLANK(E601),"",_xlfn.XLOOKUP(E601,cannabis_log!C:C,cannabis_log!H:H,"",0,1))</f>
        <v>extract_inhaled_labelled</v>
      </c>
      <c r="I601" s="113">
        <f>IF(ISBLANK(E601),"",_xlfn.XLOOKUP(E601,cannabis_log!C:C,cannabis_log!K:K,"NOT FOUND",0,1))</f>
        <v>45594</v>
      </c>
      <c r="J601" s="185">
        <v>-24</v>
      </c>
      <c r="K601" s="186">
        <f t="shared" si="12"/>
        <v>0</v>
      </c>
      <c r="L601" s="288">
        <f t="shared" si="9"/>
        <v>-12</v>
      </c>
      <c r="M601" s="188"/>
      <c r="N601" s="112" t="str">
        <f>IF(ISBLANK(E601),"",_xlfn.XLOOKUP(E601,[1]cannabis_log!C:C,[1]cannabis_log!T:T,"Not Found",0,))</f>
        <v>net</v>
      </c>
      <c r="O601" s="180">
        <f>IF(N601="net",_xlfn.XLOOKUP(E601,[1]cannabis_log!C:C,[1]cannabis_log!N:N,"NOT FOUND",0,1),IF(N601="gross",0,""))</f>
        <v>0.5</v>
      </c>
    </row>
    <row r="602" spans="1:15">
      <c r="A602" s="181" t="str">
        <f t="shared" si="11"/>
        <v>outbound</v>
      </c>
      <c r="B602" s="182">
        <v>45611.486805555556</v>
      </c>
      <c r="C602" s="183" t="s">
        <v>1929</v>
      </c>
      <c r="D602" s="183" t="s">
        <v>2334</v>
      </c>
      <c r="E602" s="215" t="s">
        <v>2324</v>
      </c>
      <c r="F602" s="112" t="str">
        <f>IF(ISBLANK(E602),"",_xlfn.XLOOKUP(E602,[1]cannabis_log!C:C,[1]cannabis_log!J:J,"",0,))</f>
        <v>EX24101703G05</v>
      </c>
      <c r="G602" s="112"/>
      <c r="H602" s="112" t="str">
        <f>IF(ISBLANK(E602),"",_xlfn.XLOOKUP(E602,cannabis_log!C:C,cannabis_log!H:H,"",0,1))</f>
        <v>extract_inhaled_labelled</v>
      </c>
      <c r="I602" s="113">
        <f>IF(ISBLANK(E602),"",_xlfn.XLOOKUP(E602,cannabis_log!C:C,cannabis_log!K:K,"NOT FOUND",0,1))</f>
        <v>45603</v>
      </c>
      <c r="J602" s="185">
        <v>-12</v>
      </c>
      <c r="K602" s="186">
        <f t="shared" si="12"/>
        <v>0</v>
      </c>
      <c r="L602" s="288">
        <f t="shared" si="9"/>
        <v>-6</v>
      </c>
      <c r="M602" s="24"/>
      <c r="N602" s="112" t="str">
        <f>IF(ISBLANK(E602),"",_xlfn.XLOOKUP(E602,[1]cannabis_log!C:C,[1]cannabis_log!T:T,"Not Found",0,))</f>
        <v>net</v>
      </c>
      <c r="O602" s="180">
        <f>IF(N602="net",_xlfn.XLOOKUP(E602,[1]cannabis_log!C:C,[1]cannabis_log!N:N,"NOT FOUND",0,1),IF(N602="gross",0,""))</f>
        <v>0.5</v>
      </c>
    </row>
    <row r="603" spans="1:15">
      <c r="A603" s="173" t="str">
        <f t="shared" si="11"/>
        <v>outbound</v>
      </c>
      <c r="B603" s="182">
        <v>45611.486805555556</v>
      </c>
      <c r="C603" s="183" t="s">
        <v>1929</v>
      </c>
      <c r="D603" s="183" t="s">
        <v>2334</v>
      </c>
      <c r="E603" s="215" t="s">
        <v>2207</v>
      </c>
      <c r="F603" s="112" t="str">
        <f>IF(ISBLANK(E603),"",_xlfn.XLOOKUP(E603,[1]cannabis_log!C:C,[1]cannabis_log!J:J,"",0,))</f>
        <v>EX24082904G05</v>
      </c>
      <c r="G603" s="112"/>
      <c r="H603" s="112" t="str">
        <f>IF(ISBLANK(E603),"",_xlfn.XLOOKUP(E603,cannabis_log!C:C,cannabis_log!H:H,"",0,1))</f>
        <v>extract_inhaled_labelled</v>
      </c>
      <c r="I603" s="113">
        <f>IF(ISBLANK(E603),"",_xlfn.XLOOKUP(E603,cannabis_log!C:C,cannabis_log!K:K,"NOT FOUND",0,1))</f>
        <v>45555</v>
      </c>
      <c r="J603" s="185">
        <v>-12</v>
      </c>
      <c r="K603" s="186">
        <f t="shared" si="12"/>
        <v>0</v>
      </c>
      <c r="L603" s="288">
        <f t="shared" si="9"/>
        <v>-6</v>
      </c>
      <c r="M603" s="188"/>
      <c r="N603" s="112" t="str">
        <f>IF(ISBLANK(E603),"",_xlfn.XLOOKUP(E603,[1]cannabis_log!C:C,[1]cannabis_log!T:T,"Not Found",0,))</f>
        <v>net</v>
      </c>
      <c r="O603" s="180">
        <f>IF(N603="net",_xlfn.XLOOKUP(E603,[1]cannabis_log!C:C,[1]cannabis_log!N:N,"NOT FOUND",0,1),IF(N603="gross",0,""))</f>
        <v>0.5</v>
      </c>
    </row>
    <row r="604" spans="1:15">
      <c r="A604" s="181" t="str">
        <f t="shared" si="11"/>
        <v>outbound</v>
      </c>
      <c r="B604" s="182">
        <v>45611.486805555556</v>
      </c>
      <c r="C604" s="183" t="s">
        <v>1929</v>
      </c>
      <c r="D604" s="183" t="s">
        <v>2334</v>
      </c>
      <c r="E604" s="215" t="s">
        <v>2316</v>
      </c>
      <c r="F604" s="112" t="str">
        <f>IF(ISBLANK(E604),"",_xlfn.XLOOKUP(E604,[1]cannabis_log!C:C,[1]cannabis_log!J:J,"",0,))</f>
        <v>EX24101705G05</v>
      </c>
      <c r="G604" s="112"/>
      <c r="H604" s="112" t="str">
        <f>IF(ISBLANK(E604),"",_xlfn.XLOOKUP(E604,cannabis_log!C:C,cannabis_log!H:H,"",0,1))</f>
        <v>extract_inhaled_labelled</v>
      </c>
      <c r="I604" s="113">
        <f>IF(ISBLANK(E604),"",_xlfn.XLOOKUP(E604,cannabis_log!C:C,cannabis_log!K:K,"NOT FOUND",0,1))</f>
        <v>45594</v>
      </c>
      <c r="J604" s="185">
        <v>-12</v>
      </c>
      <c r="K604" s="186">
        <f t="shared" si="12"/>
        <v>0</v>
      </c>
      <c r="L604" s="288">
        <f t="shared" si="9"/>
        <v>-6</v>
      </c>
      <c r="M604" s="24"/>
      <c r="N604" s="112" t="str">
        <f>IF(ISBLANK(E604),"",_xlfn.XLOOKUP(E604,[1]cannabis_log!C:C,[1]cannabis_log!T:T,"Not Found",0,))</f>
        <v>net</v>
      </c>
      <c r="O604" s="180">
        <f>IF(N604="net",_xlfn.XLOOKUP(E604,[1]cannabis_log!C:C,[1]cannabis_log!N:N,"NOT FOUND",0,1),IF(N604="gross",0,""))</f>
        <v>0.5</v>
      </c>
    </row>
    <row r="605" spans="1:15">
      <c r="A605" s="173" t="str">
        <f t="shared" si="11"/>
        <v>outbound</v>
      </c>
      <c r="B605" s="182">
        <v>45611.486805555556</v>
      </c>
      <c r="C605" s="183" t="s">
        <v>1929</v>
      </c>
      <c r="D605" s="183" t="s">
        <v>2334</v>
      </c>
      <c r="E605" s="215" t="s">
        <v>2327</v>
      </c>
      <c r="F605" s="112" t="str">
        <f>IF(ISBLANK(E605),"",_xlfn.XLOOKUP(E605,[1]cannabis_log!C:C,[1]cannabis_log!J:J,"",0,))</f>
        <v>EX24082906G05</v>
      </c>
      <c r="G605" s="112"/>
      <c r="H605" s="112" t="str">
        <f>IF(ISBLANK(E605),"",_xlfn.XLOOKUP(E605,cannabis_log!C:C,cannabis_log!H:H,"",0,1))</f>
        <v>extract_inhaled_labelled</v>
      </c>
      <c r="I605" s="113">
        <f>IF(ISBLANK(E605),"",_xlfn.XLOOKUP(E605,cannabis_log!C:C,cannabis_log!K:K,"NOT FOUND",0,1))</f>
        <v>45588</v>
      </c>
      <c r="J605" s="185">
        <v>-24</v>
      </c>
      <c r="K605" s="186">
        <f t="shared" si="12"/>
        <v>0</v>
      </c>
      <c r="L605" s="288">
        <f t="shared" si="9"/>
        <v>-12</v>
      </c>
      <c r="M605" s="188"/>
      <c r="N605" s="112" t="str">
        <f>IF(ISBLANK(E605),"",_xlfn.XLOOKUP(E605,[1]cannabis_log!C:C,[1]cannabis_log!T:T,"Not Found",0,))</f>
        <v>net</v>
      </c>
      <c r="O605" s="180">
        <f>IF(N605="net",_xlfn.XLOOKUP(E605,[1]cannabis_log!C:C,[1]cannabis_log!N:N,"NOT FOUND",0,1),IF(N605="gross",0,""))</f>
        <v>0.5</v>
      </c>
    </row>
    <row r="606" spans="1:15">
      <c r="A606" s="181" t="str">
        <f t="shared" si="11"/>
        <v>outbound</v>
      </c>
      <c r="B606" s="182">
        <v>45611.486805555556</v>
      </c>
      <c r="C606" s="183" t="s">
        <v>1929</v>
      </c>
      <c r="D606" s="183" t="s">
        <v>2334</v>
      </c>
      <c r="E606" s="215" t="s">
        <v>2340</v>
      </c>
      <c r="F606" s="112" t="str">
        <f>IF(ISBLANK(E606),"",_xlfn.XLOOKUP(E606,[1]cannabis_log!C:C,[1]cannabis_log!J:J,"",0,))</f>
        <v>CPR22102101G5</v>
      </c>
      <c r="G606" s="112"/>
      <c r="H606" s="112" t="str">
        <f>IF(ISBLANK(E606),"",_xlfn.XLOOKUP(E606,cannabis_log!C:C,cannabis_log!H:H,"",0,1))</f>
        <v>preroll_labelled</v>
      </c>
      <c r="I606" s="113">
        <f>IF(ISBLANK(E606),"",_xlfn.XLOOKUP(E606,cannabis_log!C:C,cannabis_log!K:K,"NOT FOUND",0,1))</f>
        <v>45510</v>
      </c>
      <c r="J606" s="185">
        <v>-36</v>
      </c>
      <c r="K606" s="186">
        <f t="shared" si="12"/>
        <v>0</v>
      </c>
      <c r="L606" s="288">
        <f t="shared" si="9"/>
        <v>-36</v>
      </c>
      <c r="M606" s="24"/>
      <c r="N606" s="112" t="str">
        <f>IF(ISBLANK(E606),"",_xlfn.XLOOKUP(E606,[1]cannabis_log!C:C,[1]cannabis_log!T:T,"Not Found",0,))</f>
        <v>net</v>
      </c>
      <c r="O606" s="180">
        <f>IF(N606="net",_xlfn.XLOOKUP(E606,[1]cannabis_log!C:C,[1]cannabis_log!N:N,"NOT FOUND",0,1),IF(N606="gross",0,""))</f>
        <v>1</v>
      </c>
    </row>
    <row r="607" spans="1:15">
      <c r="A607" s="173" t="str">
        <f t="shared" si="11"/>
        <v>outbound</v>
      </c>
      <c r="B607" s="182">
        <v>45611.486805555556</v>
      </c>
      <c r="C607" s="183" t="s">
        <v>1929</v>
      </c>
      <c r="D607" s="183" t="s">
        <v>2334</v>
      </c>
      <c r="E607" s="215" t="s">
        <v>2209</v>
      </c>
      <c r="F607" s="112" t="str">
        <f>IF(ISBLANK(E607),"",_xlfn.XLOOKUP(E607,[1]cannabis_log!C:C,[1]cannabis_log!J:J,"",0,))</f>
        <v>BS23041701G180</v>
      </c>
      <c r="G607" s="112"/>
      <c r="H607" s="112" t="str">
        <f>IF(ISBLANK(E607),"",_xlfn.XLOOKUP(E607,cannabis_log!C:C,cannabis_log!H:H,"",0,1))</f>
        <v>topical_labelled</v>
      </c>
      <c r="I607" s="113">
        <f>IF(ISBLANK(E607),"",_xlfn.XLOOKUP(E607,cannabis_log!C:C,cannabis_log!K:K,"NOT FOUND",0,1))</f>
        <v>45523</v>
      </c>
      <c r="J607" s="185">
        <v>-6</v>
      </c>
      <c r="K607" s="186">
        <f t="shared" si="12"/>
        <v>0</v>
      </c>
      <c r="L607" s="288">
        <f t="shared" si="9"/>
        <v>-1080</v>
      </c>
      <c r="M607" s="188"/>
      <c r="N607" s="112" t="str">
        <f>IF(ISBLANK(E607),"",_xlfn.XLOOKUP(E607,[1]cannabis_log!C:C,[1]cannabis_log!T:T,"Not Found",0,))</f>
        <v>net</v>
      </c>
      <c r="O607" s="180">
        <f>IF(N607="net",_xlfn.XLOOKUP(E607,[1]cannabis_log!C:C,[1]cannabis_log!N:N,"NOT FOUND",0,1),IF(N607="gross",0,""))</f>
        <v>180</v>
      </c>
    </row>
    <row r="608" spans="1:15">
      <c r="A608" s="181" t="str">
        <f t="shared" si="11"/>
        <v>inbound</v>
      </c>
      <c r="B608" s="182">
        <v>45611.493055555555</v>
      </c>
      <c r="C608" s="183" t="s">
        <v>1927</v>
      </c>
      <c r="D608" s="183"/>
      <c r="E608" s="215" t="s">
        <v>2291</v>
      </c>
      <c r="F608" s="112">
        <f>IF(ISBLANK(E608),"",_xlfn.XLOOKUP(E608,[1]cannabis_log!C:C,[1]cannabis_log!J:J,"",0,))</f>
        <v>2022051601</v>
      </c>
      <c r="G608" s="112"/>
      <c r="H608" s="112" t="str">
        <f>IF(ISBLANK(E608),"",_xlfn.XLOOKUP(E608,cannabis_log!C:C,cannabis_log!H:H,"",0,1))</f>
        <v>driedflower_bulk</v>
      </c>
      <c r="I608" s="113">
        <f>IF(ISBLANK(E608),"",_xlfn.XLOOKUP(E608,cannabis_log!C:C,cannabis_log!K:K,"NOT FOUND",0,1))</f>
        <v>44830</v>
      </c>
      <c r="J608" s="185">
        <v>1</v>
      </c>
      <c r="K608" s="186">
        <v>1030</v>
      </c>
      <c r="L608" s="288">
        <f t="shared" si="9"/>
        <v>0</v>
      </c>
      <c r="M608" s="24"/>
      <c r="N608" s="112" t="str">
        <f>IF(ISBLANK(E608),"",_xlfn.XLOOKUP(E608,[1]cannabis_log!C:C,[1]cannabis_log!T:T,"Not Found",0,))</f>
        <v>gross</v>
      </c>
      <c r="O608" s="180">
        <f>IF(N608="net",_xlfn.XLOOKUP(E608,[1]cannabis_log!C:C,[1]cannabis_log!N:N,"NOT FOUND",0,1),IF(N608="gross",0,""))</f>
        <v>0</v>
      </c>
    </row>
    <row r="609" spans="1:15">
      <c r="A609" s="173" t="str">
        <f t="shared" si="11"/>
        <v>inbound</v>
      </c>
      <c r="B609" s="182">
        <v>45611.493055555555</v>
      </c>
      <c r="C609" s="183" t="s">
        <v>1927</v>
      </c>
      <c r="D609" s="183"/>
      <c r="E609" s="215" t="s">
        <v>2332</v>
      </c>
      <c r="F609" s="112">
        <f>IF(ISBLANK(E609),"",_xlfn.XLOOKUP(E609,[1]cannabis_log!C:C,[1]cannabis_log!J:J,"",0,))</f>
        <v>2022051603</v>
      </c>
      <c r="G609" s="112"/>
      <c r="H609" s="112" t="str">
        <f>IF(ISBLANK(E609),"",_xlfn.XLOOKUP(E609,cannabis_log!C:C,cannabis_log!H:H,"",0,1))</f>
        <v>driedflower_bulk</v>
      </c>
      <c r="I609" s="113">
        <f>IF(ISBLANK(E609),"",_xlfn.XLOOKUP(E609,cannabis_log!C:C,cannabis_log!K:K,"NOT FOUND",0,1))</f>
        <v>44830</v>
      </c>
      <c r="J609" s="185">
        <v>1</v>
      </c>
      <c r="K609" s="186">
        <v>1010</v>
      </c>
      <c r="L609" s="288">
        <f t="shared" si="9"/>
        <v>0</v>
      </c>
      <c r="M609" s="188"/>
      <c r="N609" s="112" t="str">
        <f>IF(ISBLANK(E609),"",_xlfn.XLOOKUP(E609,[1]cannabis_log!C:C,[1]cannabis_log!T:T,"Not Found",0,))</f>
        <v>gross</v>
      </c>
      <c r="O609" s="180">
        <f>IF(N609="net",_xlfn.XLOOKUP(E609,[1]cannabis_log!C:C,[1]cannabis_log!N:N,"NOT FOUND",0,1),IF(N609="gross",0,""))</f>
        <v>0</v>
      </c>
    </row>
    <row r="610" spans="1:15">
      <c r="A610" s="181" t="str">
        <f t="shared" si="11"/>
        <v>inbound</v>
      </c>
      <c r="B610" s="182">
        <v>45611.493055555555</v>
      </c>
      <c r="C610" s="183" t="s">
        <v>1927</v>
      </c>
      <c r="D610" s="183"/>
      <c r="E610" s="215" t="s">
        <v>1978</v>
      </c>
      <c r="F610" s="112" t="str">
        <f>IF(ISBLANK(E610),"",_xlfn.XLOOKUP(E610,[1]cannabis_log!C:C,[1]cannabis_log!J:J,"",0,))</f>
        <v>2022012401R1</v>
      </c>
      <c r="G610" s="112"/>
      <c r="H610" s="112" t="str">
        <f>IF(ISBLANK(E610),"",_xlfn.XLOOKUP(E610,cannabis_log!C:C,cannabis_log!H:H,"",0,1))</f>
        <v>driedflower_bulk</v>
      </c>
      <c r="I610" s="113">
        <f>IF(ISBLANK(E610),"",_xlfn.XLOOKUP(E610,cannabis_log!C:C,cannabis_log!K:K,"NOT FOUND",0,1))</f>
        <v>44686</v>
      </c>
      <c r="J610" s="185">
        <v>1</v>
      </c>
      <c r="K610" s="186">
        <v>1010</v>
      </c>
      <c r="L610" s="288">
        <f t="shared" si="9"/>
        <v>0</v>
      </c>
      <c r="M610" s="24"/>
      <c r="N610" s="112" t="str">
        <f>IF(ISBLANK(E610),"",_xlfn.XLOOKUP(E610,[1]cannabis_log!C:C,[1]cannabis_log!T:T,"Not Found",0,))</f>
        <v>gross</v>
      </c>
      <c r="O610" s="180">
        <f>IF(N610="net",_xlfn.XLOOKUP(E610,[1]cannabis_log!C:C,[1]cannabis_log!N:N,"NOT FOUND",0,1),IF(N610="gross",0,""))</f>
        <v>0</v>
      </c>
    </row>
    <row r="611" spans="1:15">
      <c r="A611" s="173" t="str">
        <f t="shared" si="11"/>
        <v>inbound</v>
      </c>
      <c r="B611" s="182">
        <v>45611.493055555555</v>
      </c>
      <c r="C611" s="183" t="s">
        <v>1927</v>
      </c>
      <c r="D611" s="183"/>
      <c r="E611" s="215" t="s">
        <v>2333</v>
      </c>
      <c r="F611" s="112">
        <f>IF(ISBLANK(E611),"",_xlfn.XLOOKUP(E611,[1]cannabis_log!C:C,[1]cannabis_log!J:J,"",0,))</f>
        <v>2021120901</v>
      </c>
      <c r="G611" s="112"/>
      <c r="H611" s="112" t="str">
        <f>IF(ISBLANK(E611),"",_xlfn.XLOOKUP(E611,cannabis_log!C:C,cannabis_log!H:H,"",0,1))</f>
        <v>driedflower_bulk_unknown</v>
      </c>
      <c r="I611" s="113" t="str">
        <f>IF(ISBLANK(E611),"",_xlfn.XLOOKUP(E611,cannabis_log!C:C,cannabis_log!K:K,"NOT FOUND",0,1))</f>
        <v>NA</v>
      </c>
      <c r="J611" s="185">
        <v>1</v>
      </c>
      <c r="K611" s="186">
        <v>512.6</v>
      </c>
      <c r="L611" s="288">
        <f t="shared" si="9"/>
        <v>0</v>
      </c>
      <c r="M611" s="188"/>
      <c r="N611" s="112" t="str">
        <f>IF(ISBLANK(E611),"",_xlfn.XLOOKUP(E611,[1]cannabis_log!C:C,[1]cannabis_log!T:T,"Not Found",0,))</f>
        <v>gross</v>
      </c>
      <c r="O611" s="180">
        <f>IF(N611="net",_xlfn.XLOOKUP(E611,[1]cannabis_log!C:C,[1]cannabis_log!N:N,"NOT FOUND",0,1),IF(N611="gross",0,""))</f>
        <v>0</v>
      </c>
    </row>
    <row r="612" spans="1:15">
      <c r="A612" s="181" t="str">
        <f t="shared" si="11"/>
        <v>outbound</v>
      </c>
      <c r="B612" s="182">
        <v>45611.496527777781</v>
      </c>
      <c r="C612" s="183" t="s">
        <v>1929</v>
      </c>
      <c r="D612" s="22" t="s">
        <v>2341</v>
      </c>
      <c r="E612" s="215" t="s">
        <v>2300</v>
      </c>
      <c r="F612" s="112" t="str">
        <f>IF(ISBLANK(E612),"",_xlfn.XLOOKUP(E612,[1]cannabis_log!C:C,[1]cannabis_log!J:J,"",0,))</f>
        <v>EX23060701V30</v>
      </c>
      <c r="G612" s="112"/>
      <c r="H612" s="112" t="str">
        <f>IF(ISBLANK(E612),"",_xlfn.XLOOKUP(E612,cannabis_log!C:C,cannabis_log!H:H,"",0,1))</f>
        <v>extract_ingested_labelled</v>
      </c>
      <c r="I612" s="113">
        <f>IF(ISBLANK(E612),"",_xlfn.XLOOKUP(E612,cannabis_log!C:C,cannabis_log!K:K,"NOT FOUND",0,1))</f>
        <v>45596</v>
      </c>
      <c r="J612" s="185">
        <v>-12</v>
      </c>
      <c r="K612" s="186">
        <f>IF(N612="net",0,"")</f>
        <v>0</v>
      </c>
      <c r="L612" s="288">
        <f t="shared" si="9"/>
        <v>-328.79999999999995</v>
      </c>
      <c r="M612" s="24"/>
      <c r="N612" s="112" t="str">
        <f>IF(ISBLANK(E612),"",_xlfn.XLOOKUP(E612,[1]cannabis_log!C:C,[1]cannabis_log!T:T,"Not Found",0,))</f>
        <v>net</v>
      </c>
      <c r="O612" s="180">
        <f>IF(N612="net",_xlfn.XLOOKUP(E612,[1]cannabis_log!C:C,[1]cannabis_log!N:N,"NOT FOUND",0,1),IF(N612="gross",0,""))</f>
        <v>27.4</v>
      </c>
    </row>
    <row r="613" spans="1:15">
      <c r="A613" s="173" t="str">
        <f t="shared" si="11"/>
        <v>inbound</v>
      </c>
      <c r="B613" s="182">
        <v>45611.603472222225</v>
      </c>
      <c r="C613" s="183" t="s">
        <v>1927</v>
      </c>
      <c r="D613" s="183" t="s">
        <v>2039</v>
      </c>
      <c r="E613" s="215" t="s">
        <v>2340</v>
      </c>
      <c r="F613" s="112" t="str">
        <f>IF(ISBLANK(E613),"",_xlfn.XLOOKUP(E613,[1]cannabis_log!C:C,[1]cannabis_log!J:J,"",0,))</f>
        <v>CPR22102101G5</v>
      </c>
      <c r="G613" s="112"/>
      <c r="H613" s="112" t="str">
        <f>IF(ISBLANK(E613),"",_xlfn.XLOOKUP(E613,cannabis_log!C:C,cannabis_log!H:H,"",0,1))</f>
        <v>preroll_labelled</v>
      </c>
      <c r="I613" s="113">
        <f>IF(ISBLANK(E613),"",_xlfn.XLOOKUP(E613,cannabis_log!C:C,cannabis_log!K:K,"NOT FOUND",0,1))</f>
        <v>45510</v>
      </c>
      <c r="J613" s="185">
        <v>24</v>
      </c>
      <c r="K613" s="186">
        <f>IF(N613="net",0,"")</f>
        <v>0</v>
      </c>
      <c r="L613" s="288">
        <f t="shared" si="9"/>
        <v>24</v>
      </c>
      <c r="M613" s="188"/>
      <c r="N613" s="112" t="str">
        <f>IF(ISBLANK(E613),"",_xlfn.XLOOKUP(E613,[1]cannabis_log!C:C,[1]cannabis_log!T:T,"Not Found",0,))</f>
        <v>net</v>
      </c>
      <c r="O613" s="180">
        <f>IF(N613="net",_xlfn.XLOOKUP(E613,[1]cannabis_log!C:C,[1]cannabis_log!N:N,"NOT FOUND",0,1),IF(N613="gross",0,""))</f>
        <v>1</v>
      </c>
    </row>
    <row r="614" spans="1:15">
      <c r="A614" s="181" t="str">
        <f t="shared" si="11"/>
        <v>outbound</v>
      </c>
      <c r="B614" s="182">
        <v>45611.609027777777</v>
      </c>
      <c r="C614" s="183" t="s">
        <v>1929</v>
      </c>
      <c r="D614" s="22" t="s">
        <v>2342</v>
      </c>
      <c r="E614" s="215" t="s">
        <v>2298</v>
      </c>
      <c r="F614" s="112" t="str">
        <f>IF(ISBLANK(E614),"",_xlfn.XLOOKUP(E614,[1]cannabis_log!C:C,[1]cannabis_log!J:J,"",0,))</f>
        <v>EX23060701V30</v>
      </c>
      <c r="G614" s="112"/>
      <c r="H614" s="112" t="str">
        <f>IF(ISBLANK(E614),"",_xlfn.XLOOKUP(E614,cannabis_log!C:C,cannabis_log!H:H,"",0,1))</f>
        <v>extract_ingested_labelled</v>
      </c>
      <c r="I614" s="113">
        <f>IF(ISBLANK(E614),"",_xlfn.XLOOKUP(E614,cannabis_log!C:C,cannabis_log!K:K,"NOT FOUND",0,1))</f>
        <v>45596</v>
      </c>
      <c r="J614" s="185">
        <v>-1</v>
      </c>
      <c r="K614" s="186">
        <f>IF(N614="net",0,"")</f>
        <v>0</v>
      </c>
      <c r="L614" s="288">
        <f t="shared" si="9"/>
        <v>-27.4</v>
      </c>
      <c r="M614" s="24"/>
      <c r="N614" s="112" t="str">
        <f>IF(ISBLANK(E614),"",_xlfn.XLOOKUP(E614,[1]cannabis_log!C:C,[1]cannabis_log!T:T,"Not Found",0,))</f>
        <v>net</v>
      </c>
      <c r="O614" s="180">
        <f>IF(N614="net",_xlfn.XLOOKUP(E614,[1]cannabis_log!C:C,[1]cannabis_log!N:N,"NOT FOUND",0,1),IF(N614="gross",0,""))</f>
        <v>27.4</v>
      </c>
    </row>
    <row r="615" spans="1:15">
      <c r="A615" s="173" t="str">
        <f t="shared" si="11"/>
        <v>inbound</v>
      </c>
      <c r="B615" s="182">
        <v>45611.663194444445</v>
      </c>
      <c r="C615" s="183" t="s">
        <v>1927</v>
      </c>
      <c r="D615" s="183"/>
      <c r="E615" s="215" t="s">
        <v>2329</v>
      </c>
      <c r="F615" s="112">
        <f>IF(ISBLANK(E615),"",_xlfn.XLOOKUP(E615,[1]cannabis_log!C:C,[1]cannabis_log!J:J,"",0,))</f>
        <v>2024111201</v>
      </c>
      <c r="G615" s="112"/>
      <c r="H615" s="112" t="str">
        <f>IF(ISBLANK(E615),"",_xlfn.XLOOKUP(E615,cannabis_log!C:C,cannabis_log!H:H,"",0,1))</f>
        <v>extract_distillate_bulk</v>
      </c>
      <c r="I615" s="113" t="str">
        <f>IF(ISBLANK(E615),"",_xlfn.XLOOKUP(E615,cannabis_log!C:C,cannabis_log!K:K,"NOT FOUND",0,1))</f>
        <v>NA</v>
      </c>
      <c r="J615" s="185">
        <v>1</v>
      </c>
      <c r="K615" s="186">
        <v>1326.1</v>
      </c>
      <c r="L615" s="288">
        <f t="shared" si="9"/>
        <v>0</v>
      </c>
      <c r="M615" s="188"/>
      <c r="N615" s="112" t="str">
        <f>IF(ISBLANK(E615),"",_xlfn.XLOOKUP(E615,[1]cannabis_log!C:C,[1]cannabis_log!T:T,"Not Found",0,))</f>
        <v>gross</v>
      </c>
      <c r="O615" s="180">
        <f>IF(N615="net",_xlfn.XLOOKUP(E615,[1]cannabis_log!C:C,[1]cannabis_log!N:N,"NOT FOUND",0,1),IF(N615="gross",0,""))</f>
        <v>0</v>
      </c>
    </row>
    <row r="616" spans="1:15">
      <c r="A616" s="181" t="str">
        <f t="shared" si="11"/>
        <v>outbound</v>
      </c>
      <c r="B616" s="182">
        <v>45611.669444444444</v>
      </c>
      <c r="C616" s="183" t="s">
        <v>1929</v>
      </c>
      <c r="D616" s="183" t="s">
        <v>2343</v>
      </c>
      <c r="E616" s="215" t="s">
        <v>2344</v>
      </c>
      <c r="F616" s="112" t="str">
        <f>IF(ISBLANK(E616),"",_xlfn.XLOOKUP(E616,[1]cannabis_log!C:C,[1]cannabis_log!J:J,"",0,))</f>
        <v>2021082601R1</v>
      </c>
      <c r="G616" s="112"/>
      <c r="H616" s="112" t="str">
        <f>IF(ISBLANK(E616),"",_xlfn.XLOOKUP(E616,cannabis_log!C:C,cannabis_log!H:H,"",0,1))</f>
        <v>driedflower_labelled_RTV</v>
      </c>
      <c r="I616" s="113">
        <f>IF(ISBLANK(E616),"",_xlfn.XLOOKUP(E616,cannabis_log!C:C,cannabis_log!K:K,"NOT FOUND",0,1))</f>
        <v>45616</v>
      </c>
      <c r="J616" s="185">
        <v>-1</v>
      </c>
      <c r="K616" s="186">
        <f t="shared" ref="K616:K627" si="13">IF(N616="net",0,"")</f>
        <v>0</v>
      </c>
      <c r="L616" s="288">
        <f t="shared" si="9"/>
        <v>-3.5</v>
      </c>
      <c r="M616" s="24"/>
      <c r="N616" s="112" t="str">
        <f>IF(ISBLANK(E616),"",_xlfn.XLOOKUP(E616,[1]cannabis_log!C:C,[1]cannabis_log!T:T,"Not Found",0,))</f>
        <v>net</v>
      </c>
      <c r="O616" s="180">
        <f>IF(N616="net",_xlfn.XLOOKUP(E616,[1]cannabis_log!C:C,[1]cannabis_log!N:N,"NOT FOUND",0,1),IF(N616="gross",0,""))</f>
        <v>3.5</v>
      </c>
    </row>
    <row r="617" spans="1:15">
      <c r="A617" s="173" t="str">
        <f t="shared" si="11"/>
        <v>outbound</v>
      </c>
      <c r="B617" s="182">
        <v>45614.392361111109</v>
      </c>
      <c r="C617" s="183" t="s">
        <v>1929</v>
      </c>
      <c r="D617" s="183" t="s">
        <v>2345</v>
      </c>
      <c r="E617" s="215" t="s">
        <v>2346</v>
      </c>
      <c r="F617" s="112" t="str">
        <f>IF(ISBLANK(E617),"",_xlfn.XLOOKUP(E617,[1]cannabis_log!C:C,[1]cannabis_log!J:J,"",0,))</f>
        <v>PR21071201G5</v>
      </c>
      <c r="G617" s="112"/>
      <c r="H617" s="112" t="str">
        <f>IF(ISBLANK(E617),"",_xlfn.XLOOKUP(E617,cannabis_log!C:C,cannabis_log!H:H,"",0,1))</f>
        <v>preroll_labelled</v>
      </c>
      <c r="I617" s="113">
        <f>IF(ISBLANK(E617),"",_xlfn.XLOOKUP(E617,cannabis_log!C:C,cannabis_log!K:K,"NOT FOUND",0,1))</f>
        <v>45051</v>
      </c>
      <c r="J617" s="185">
        <v>-12</v>
      </c>
      <c r="K617" s="186">
        <f t="shared" si="13"/>
        <v>0</v>
      </c>
      <c r="L617" s="288">
        <f t="shared" si="9"/>
        <v>-12</v>
      </c>
      <c r="M617" s="188"/>
      <c r="N617" s="112" t="str">
        <f>IF(ISBLANK(E617),"",_xlfn.XLOOKUP(E617,[1]cannabis_log!C:C,[1]cannabis_log!T:T,"Not Found",0,))</f>
        <v>net</v>
      </c>
      <c r="O617" s="180">
        <f>IF(N617="net",_xlfn.XLOOKUP(E617,[1]cannabis_log!C:C,[1]cannabis_log!N:N,"NOT FOUND",0,1),IF(N617="gross",0,""))</f>
        <v>1</v>
      </c>
    </row>
    <row r="618" spans="1:15">
      <c r="A618" s="181" t="str">
        <f t="shared" si="11"/>
        <v>outbound</v>
      </c>
      <c r="B618" s="182">
        <v>45614.392361111109</v>
      </c>
      <c r="C618" s="183" t="s">
        <v>1929</v>
      </c>
      <c r="D618" s="183" t="s">
        <v>2345</v>
      </c>
      <c r="E618" s="215" t="s">
        <v>2316</v>
      </c>
      <c r="F618" s="112" t="str">
        <f>IF(ISBLANK(E618),"",_xlfn.XLOOKUP(E618,[1]cannabis_log!C:C,[1]cannabis_log!J:J,"",0,))</f>
        <v>EX24101705G05</v>
      </c>
      <c r="G618" s="112"/>
      <c r="H618" s="112" t="str">
        <f>IF(ISBLANK(E618),"",_xlfn.XLOOKUP(E618,cannabis_log!C:C,cannabis_log!H:H,"",0,1))</f>
        <v>extract_inhaled_labelled</v>
      </c>
      <c r="I618" s="113">
        <f>IF(ISBLANK(E618),"",_xlfn.XLOOKUP(E618,cannabis_log!C:C,cannabis_log!K:K,"NOT FOUND",0,1))</f>
        <v>45594</v>
      </c>
      <c r="J618" s="185">
        <v>-12</v>
      </c>
      <c r="K618" s="186">
        <f t="shared" si="13"/>
        <v>0</v>
      </c>
      <c r="L618" s="288">
        <f t="shared" si="9"/>
        <v>-6</v>
      </c>
      <c r="M618" s="24"/>
      <c r="N618" s="112" t="str">
        <f>IF(ISBLANK(E618),"",_xlfn.XLOOKUP(E618,[1]cannabis_log!C:C,[1]cannabis_log!T:T,"Not Found",0,))</f>
        <v>net</v>
      </c>
      <c r="O618" s="180">
        <f>IF(N618="net",_xlfn.XLOOKUP(E618,[1]cannabis_log!C:C,[1]cannabis_log!N:N,"NOT FOUND",0,1),IF(N618="gross",0,""))</f>
        <v>0.5</v>
      </c>
    </row>
    <row r="619" spans="1:15">
      <c r="A619" s="173" t="str">
        <f t="shared" si="11"/>
        <v>outbound</v>
      </c>
      <c r="B619" s="182">
        <v>45614.392361111109</v>
      </c>
      <c r="C619" s="183" t="s">
        <v>1929</v>
      </c>
      <c r="D619" s="22" t="s">
        <v>2347</v>
      </c>
      <c r="E619" s="215" t="s">
        <v>2324</v>
      </c>
      <c r="F619" s="112" t="str">
        <f>IF(ISBLANK(E619),"",_xlfn.XLOOKUP(E619,[1]cannabis_log!C:C,[1]cannabis_log!J:J,"",0,))</f>
        <v>EX24101703G05</v>
      </c>
      <c r="G619" s="112"/>
      <c r="H619" s="112" t="str">
        <f>IF(ISBLANK(E619),"",_xlfn.XLOOKUP(E619,cannabis_log!C:C,cannabis_log!H:H,"",0,1))</f>
        <v>extract_inhaled_labelled</v>
      </c>
      <c r="I619" s="113">
        <f>IF(ISBLANK(E619),"",_xlfn.XLOOKUP(E619,cannabis_log!C:C,cannabis_log!K:K,"NOT FOUND",0,1))</f>
        <v>45603</v>
      </c>
      <c r="J619" s="185">
        <v>-12</v>
      </c>
      <c r="K619" s="186">
        <f t="shared" si="13"/>
        <v>0</v>
      </c>
      <c r="L619" s="288">
        <f t="shared" si="9"/>
        <v>-6</v>
      </c>
      <c r="M619" s="188"/>
      <c r="N619" s="112" t="str">
        <f>IF(ISBLANK(E619),"",_xlfn.XLOOKUP(E619,[1]cannabis_log!C:C,[1]cannabis_log!T:T,"Not Found",0,))</f>
        <v>net</v>
      </c>
      <c r="O619" s="180">
        <f>IF(N619="net",_xlfn.XLOOKUP(E619,[1]cannabis_log!C:C,[1]cannabis_log!N:N,"NOT FOUND",0,1),IF(N619="gross",0,""))</f>
        <v>0.5</v>
      </c>
    </row>
    <row r="620" spans="1:15">
      <c r="A620" s="181" t="str">
        <f t="shared" si="11"/>
        <v>outbound</v>
      </c>
      <c r="B620" s="182">
        <v>45614.392361111109</v>
      </c>
      <c r="C620" s="183" t="s">
        <v>1929</v>
      </c>
      <c r="D620" s="22" t="s">
        <v>2347</v>
      </c>
      <c r="E620" s="215" t="s">
        <v>2316</v>
      </c>
      <c r="F620" s="112" t="str">
        <f>IF(ISBLANK(E620),"",_xlfn.XLOOKUP(E620,[1]cannabis_log!C:C,[1]cannabis_log!J:J,"",0,))</f>
        <v>EX24101705G05</v>
      </c>
      <c r="G620" s="112"/>
      <c r="H620" s="112" t="str">
        <f>IF(ISBLANK(E620),"",_xlfn.XLOOKUP(E620,cannabis_log!C:C,cannabis_log!H:H,"",0,1))</f>
        <v>extract_inhaled_labelled</v>
      </c>
      <c r="I620" s="113">
        <f>IF(ISBLANK(E620),"",_xlfn.XLOOKUP(E620,cannabis_log!C:C,cannabis_log!K:K,"NOT FOUND",0,1))</f>
        <v>45594</v>
      </c>
      <c r="J620" s="185">
        <v>-12</v>
      </c>
      <c r="K620" s="186">
        <f t="shared" si="13"/>
        <v>0</v>
      </c>
      <c r="L620" s="288">
        <f t="shared" si="9"/>
        <v>-6</v>
      </c>
      <c r="M620" s="24"/>
      <c r="N620" s="112" t="str">
        <f>IF(ISBLANK(E620),"",_xlfn.XLOOKUP(E620,[1]cannabis_log!C:C,[1]cannabis_log!T:T,"Not Found",0,))</f>
        <v>net</v>
      </c>
      <c r="O620" s="180">
        <f>IF(N620="net",_xlfn.XLOOKUP(E620,[1]cannabis_log!C:C,[1]cannabis_log!N:N,"NOT FOUND",0,1),IF(N620="gross",0,""))</f>
        <v>0.5</v>
      </c>
    </row>
    <row r="621" spans="1:15">
      <c r="A621" s="173" t="str">
        <f t="shared" si="11"/>
        <v>outbound</v>
      </c>
      <c r="B621" s="182">
        <v>45614.40347222222</v>
      </c>
      <c r="C621" s="183" t="s">
        <v>1929</v>
      </c>
      <c r="D621" s="22" t="s">
        <v>2347</v>
      </c>
      <c r="E621" s="215" t="s">
        <v>2107</v>
      </c>
      <c r="F621" s="112" t="str">
        <f>IF(ISBLANK(E621),"",_xlfn.XLOOKUP(E621,[1]cannabis_log!C:C,[1]cannabis_log!J:J,"",0,))</f>
        <v>PR241003F5P3</v>
      </c>
      <c r="G621" s="112"/>
      <c r="H621" s="112" t="str">
        <f>IF(ISBLANK(E621),"",_xlfn.XLOOKUP(E621,cannabis_log!C:C,cannabis_log!H:H,"",0,1))</f>
        <v>preroll_labelled</v>
      </c>
      <c r="I621" s="113">
        <f>IF(ISBLANK(E621),"",_xlfn.XLOOKUP(E621,cannabis_log!C:C,cannabis_log!K:K,"NOT FOUND",0,1))</f>
        <v>45570</v>
      </c>
      <c r="J621" s="185">
        <v>-12</v>
      </c>
      <c r="K621" s="186">
        <f t="shared" si="13"/>
        <v>0</v>
      </c>
      <c r="L621" s="288">
        <f t="shared" si="9"/>
        <v>-18</v>
      </c>
      <c r="M621" s="188"/>
      <c r="N621" s="112" t="str">
        <f>IF(ISBLANK(E621),"",_xlfn.XLOOKUP(E621,[1]cannabis_log!C:C,[1]cannabis_log!T:T,"Not Found",0,))</f>
        <v>net</v>
      </c>
      <c r="O621" s="180">
        <f>IF(N621="net",_xlfn.XLOOKUP(E621,[1]cannabis_log!C:C,[1]cannabis_log!N:N,"NOT FOUND",0,1),IF(N621="gross",0,""))</f>
        <v>1.5</v>
      </c>
    </row>
    <row r="622" spans="1:15">
      <c r="A622" s="181" t="str">
        <f t="shared" si="11"/>
        <v>outbound</v>
      </c>
      <c r="B622" s="182">
        <v>45614.40347222222</v>
      </c>
      <c r="C622" s="183" t="s">
        <v>1929</v>
      </c>
      <c r="D622" s="22" t="s">
        <v>2347</v>
      </c>
      <c r="E622" s="215" t="s">
        <v>2306</v>
      </c>
      <c r="F622" s="112" t="str">
        <f>IF(ISBLANK(E622),"",_xlfn.XLOOKUP(E622,[1]cannabis_log!C:C,[1]cannabis_log!J:J,"",0,))</f>
        <v>PR2407F5P2</v>
      </c>
      <c r="G622" s="112"/>
      <c r="H622" s="112" t="str">
        <f>IF(ISBLANK(E622),"",_xlfn.XLOOKUP(E622,cannabis_log!C:C,cannabis_log!H:H,"",0,1))</f>
        <v>preroll_labelled</v>
      </c>
      <c r="I622" s="113">
        <f>IF(ISBLANK(E622),"",_xlfn.XLOOKUP(E622,cannabis_log!C:C,cannabis_log!K:K,"NOT FOUND",0,1))</f>
        <v>45588</v>
      </c>
      <c r="J622" s="185">
        <v>-12</v>
      </c>
      <c r="K622" s="186">
        <f t="shared" si="13"/>
        <v>0</v>
      </c>
      <c r="L622" s="288">
        <f t="shared" si="9"/>
        <v>-12</v>
      </c>
      <c r="M622" s="24"/>
      <c r="N622" s="112" t="str">
        <f>IF(ISBLANK(E622),"",_xlfn.XLOOKUP(E622,[1]cannabis_log!C:C,[1]cannabis_log!T:T,"Not Found",0,))</f>
        <v>net</v>
      </c>
      <c r="O622" s="180">
        <f>IF(N622="net",_xlfn.XLOOKUP(E622,[1]cannabis_log!C:C,[1]cannabis_log!N:N,"NOT FOUND",0,1),IF(N622="gross",0,""))</f>
        <v>1</v>
      </c>
    </row>
    <row r="623" spans="1:15">
      <c r="A623" s="173" t="str">
        <f t="shared" si="11"/>
        <v>outbound</v>
      </c>
      <c r="B623" s="182">
        <v>45614.40347222222</v>
      </c>
      <c r="C623" s="183" t="s">
        <v>1929</v>
      </c>
      <c r="D623" s="22" t="s">
        <v>2347</v>
      </c>
      <c r="E623" s="215" t="s">
        <v>2307</v>
      </c>
      <c r="F623" s="112" t="str">
        <f>IF(ISBLANK(E623),"",_xlfn.XLOOKUP(E623,[1]cannabis_log!C:C,[1]cannabis_log!J:J,"",0,))</f>
        <v>TP24101701</v>
      </c>
      <c r="G623" s="112"/>
      <c r="H623" s="112" t="str">
        <f>IF(ISBLANK(E623),"",_xlfn.XLOOKUP(E623,cannabis_log!C:C,cannabis_log!H:H,"",0,1))</f>
        <v>topical_labelled</v>
      </c>
      <c r="I623" s="113">
        <f>IF(ISBLANK(E623),"",_xlfn.XLOOKUP(E623,cannabis_log!C:C,cannabis_log!K:K,"NOT FOUND",0,1))</f>
        <v>45588</v>
      </c>
      <c r="J623" s="185">
        <v>-12</v>
      </c>
      <c r="K623" s="186">
        <f t="shared" si="13"/>
        <v>0</v>
      </c>
      <c r="L623" s="288">
        <f t="shared" si="9"/>
        <v>-1056</v>
      </c>
      <c r="M623" s="188"/>
      <c r="N623" s="112" t="str">
        <f>IF(ISBLANK(E623),"",_xlfn.XLOOKUP(E623,[1]cannabis_log!C:C,[1]cannabis_log!T:T,"Not Found",0,))</f>
        <v>net</v>
      </c>
      <c r="O623" s="180">
        <f>IF(N623="net",_xlfn.XLOOKUP(E623,[1]cannabis_log!C:C,[1]cannabis_log!N:N,"NOT FOUND",0,1),IF(N623="gross",0,""))</f>
        <v>88</v>
      </c>
    </row>
    <row r="624" spans="1:15">
      <c r="A624" s="181" t="str">
        <f t="shared" si="11"/>
        <v>outbound</v>
      </c>
      <c r="B624" s="182">
        <v>45614.416666666664</v>
      </c>
      <c r="C624" s="183" t="s">
        <v>1921</v>
      </c>
      <c r="D624" s="183" t="s">
        <v>2348</v>
      </c>
      <c r="E624" s="215" t="s">
        <v>2349</v>
      </c>
      <c r="F624" s="112" t="str">
        <f>IF(ISBLANK(E624),"",_xlfn.XLOOKUP(E624,[1]cannabis_log!C:C,[1]cannabis_log!J:J,"",0,))</f>
        <v>PR241105F5</v>
      </c>
      <c r="G624" s="112"/>
      <c r="H624" s="112" t="str">
        <f>IF(ISBLANK(E624),"",_xlfn.XLOOKUP(E624,cannabis_log!C:C,cannabis_log!H:H,"",0,1))</f>
        <v>preroll_bulk</v>
      </c>
      <c r="I624" s="113" t="str">
        <f>IF(ISBLANK(E624),"",_xlfn.XLOOKUP(E624,cannabis_log!C:C,cannabis_log!K:K,"NOT FOUND",0,1))</f>
        <v>NA</v>
      </c>
      <c r="J624" s="185">
        <v>-718</v>
      </c>
      <c r="K624" s="186">
        <f t="shared" si="13"/>
        <v>0</v>
      </c>
      <c r="L624" s="288">
        <f t="shared" si="9"/>
        <v>-359</v>
      </c>
      <c r="M624" s="24"/>
      <c r="N624" s="112" t="str">
        <f>IF(ISBLANK(E624),"",_xlfn.XLOOKUP(E624,[1]cannabis_log!C:C,[1]cannabis_log!T:T,"Not Found",0,))</f>
        <v>net</v>
      </c>
      <c r="O624" s="180">
        <f>IF(N624="net",_xlfn.XLOOKUP(E624,[1]cannabis_log!C:C,[1]cannabis_log!N:N,"NOT FOUND",0,1),IF(N624="gross",0,""))</f>
        <v>0.5</v>
      </c>
    </row>
    <row r="625" spans="1:15">
      <c r="A625" s="173" t="str">
        <f t="shared" si="11"/>
        <v>outbound</v>
      </c>
      <c r="B625" s="182">
        <v>45614.416666666664</v>
      </c>
      <c r="C625" s="183" t="s">
        <v>1921</v>
      </c>
      <c r="D625" s="183" t="s">
        <v>2348</v>
      </c>
      <c r="E625" s="215" t="s">
        <v>2350</v>
      </c>
      <c r="F625" s="112" t="str">
        <f>IF(ISBLANK(E625),"",_xlfn.XLOOKUP(E625,[1]cannabis_log!C:C,[1]cannabis_log!J:J,"",0,))</f>
        <v>PR241105F5</v>
      </c>
      <c r="G625" s="112"/>
      <c r="H625" s="112" t="str">
        <f>IF(ISBLANK(E625),"",_xlfn.XLOOKUP(E625,cannabis_log!C:C,cannabis_log!H:H,"",0,1))</f>
        <v>preroll_bulk</v>
      </c>
      <c r="I625" s="113" t="str">
        <f>IF(ISBLANK(E625),"",_xlfn.XLOOKUP(E625,cannabis_log!C:C,cannabis_log!K:K,"NOT FOUND",0,1))</f>
        <v>NA</v>
      </c>
      <c r="J625" s="185">
        <v>-704</v>
      </c>
      <c r="K625" s="186">
        <f t="shared" si="13"/>
        <v>0</v>
      </c>
      <c r="L625" s="288">
        <f t="shared" si="9"/>
        <v>-352</v>
      </c>
      <c r="M625" s="188"/>
      <c r="N625" s="112" t="str">
        <f>IF(ISBLANK(E625),"",_xlfn.XLOOKUP(E625,[1]cannabis_log!C:C,[1]cannabis_log!T:T,"Not Found",0,))</f>
        <v>net</v>
      </c>
      <c r="O625" s="180">
        <f>IF(N625="net",_xlfn.XLOOKUP(E625,[1]cannabis_log!C:C,[1]cannabis_log!N:N,"NOT FOUND",0,1),IF(N625="gross",0,""))</f>
        <v>0.5</v>
      </c>
    </row>
    <row r="626" spans="1:15">
      <c r="A626" s="181" t="str">
        <f t="shared" si="11"/>
        <v>outbound</v>
      </c>
      <c r="B626" s="182">
        <v>45614.416666666664</v>
      </c>
      <c r="C626" s="183" t="s">
        <v>1921</v>
      </c>
      <c r="D626" s="183" t="s">
        <v>2348</v>
      </c>
      <c r="E626" s="215" t="s">
        <v>2351</v>
      </c>
      <c r="F626" s="112" t="str">
        <f>IF(ISBLANK(E626),"",_xlfn.XLOOKUP(E626,[1]cannabis_log!C:C,[1]cannabis_log!J:J,"",0,))</f>
        <v>PR241105F5</v>
      </c>
      <c r="G626" s="112"/>
      <c r="H626" s="112" t="str">
        <f>IF(ISBLANK(E626),"",_xlfn.XLOOKUP(E626,cannabis_log!C:C,cannabis_log!H:H,"",0,1))</f>
        <v>preroll_bulk</v>
      </c>
      <c r="I626" s="113" t="str">
        <f>IF(ISBLANK(E626),"",_xlfn.XLOOKUP(E626,cannabis_log!C:C,cannabis_log!K:K,"NOT FOUND",0,1))</f>
        <v>NA</v>
      </c>
      <c r="J626" s="185">
        <v>-847</v>
      </c>
      <c r="K626" s="186">
        <f t="shared" si="13"/>
        <v>0</v>
      </c>
      <c r="L626" s="288">
        <f t="shared" ref="L626:L689" si="14">IFERROR(J626*O626,"")</f>
        <v>-423.5</v>
      </c>
      <c r="M626" s="24"/>
      <c r="N626" s="112" t="str">
        <f>IF(ISBLANK(E626),"",_xlfn.XLOOKUP(E626,[1]cannabis_log!C:C,[1]cannabis_log!T:T,"Not Found",0,))</f>
        <v>net</v>
      </c>
      <c r="O626" s="180">
        <f>IF(N626="net",_xlfn.XLOOKUP(E626,[1]cannabis_log!C:C,[1]cannabis_log!N:N,"NOT FOUND",0,1),IF(N626="gross",0,""))</f>
        <v>0.5</v>
      </c>
    </row>
    <row r="627" spans="1:15">
      <c r="A627" s="173" t="str">
        <f t="shared" si="11"/>
        <v>outbound</v>
      </c>
      <c r="B627" s="182">
        <v>45614.422222222223</v>
      </c>
      <c r="C627" s="183" t="s">
        <v>1929</v>
      </c>
      <c r="D627" s="22" t="s">
        <v>2352</v>
      </c>
      <c r="E627" s="215" t="s">
        <v>2296</v>
      </c>
      <c r="F627" s="112" t="str">
        <f>IF(ISBLANK(E627),"",_xlfn.XLOOKUP(E627,[1]cannabis_log!C:C,[1]cannabis_log!J:J,"",0,))</f>
        <v>EX24092601V50</v>
      </c>
      <c r="G627" s="112"/>
      <c r="H627" s="112" t="str">
        <f>IF(ISBLANK(E627),"",_xlfn.XLOOKUP(E627,cannabis_log!C:C,cannabis_log!H:H,"",0,1))</f>
        <v>extract_ingested_labelled</v>
      </c>
      <c r="I627" s="113">
        <f>IF(ISBLANK(E627),"",_xlfn.XLOOKUP(E627,cannabis_log!C:C,cannabis_log!K:K,"NOT FOUND",0,1))</f>
        <v>45576</v>
      </c>
      <c r="J627" s="185">
        <v>-24</v>
      </c>
      <c r="K627" s="186">
        <f t="shared" si="13"/>
        <v>0</v>
      </c>
      <c r="L627" s="288">
        <f t="shared" si="14"/>
        <v>-1200</v>
      </c>
      <c r="M627" s="188"/>
      <c r="N627" s="112" t="str">
        <f>IF(ISBLANK(E627),"",_xlfn.XLOOKUP(E627,[1]cannabis_log!C:C,[1]cannabis_log!T:T,"Not Found",0,))</f>
        <v>net</v>
      </c>
      <c r="O627" s="180">
        <f>IF(N627="net",_xlfn.XLOOKUP(E627,[1]cannabis_log!C:C,[1]cannabis_log!N:N,"NOT FOUND",0,1),IF(N627="gross",0,""))</f>
        <v>50</v>
      </c>
    </row>
    <row r="628" spans="1:15">
      <c r="A628" s="181" t="str">
        <f t="shared" si="11"/>
        <v>outbound</v>
      </c>
      <c r="B628" s="182">
        <v>45615.481249999997</v>
      </c>
      <c r="C628" s="183" t="s">
        <v>1921</v>
      </c>
      <c r="D628" s="183" t="s">
        <v>2353</v>
      </c>
      <c r="E628" s="215" t="s">
        <v>1945</v>
      </c>
      <c r="F628" s="112" t="str">
        <f>IF(ISBLANK(E628),"",_xlfn.XLOOKUP(E628,[1]cannabis_log!C:C,[1]cannabis_log!J:J,"",0,))</f>
        <v>LR23032101</v>
      </c>
      <c r="G628" s="112"/>
      <c r="H628" s="112" t="str">
        <f>IF(ISBLANK(E628),"",_xlfn.XLOOKUP(E628,cannabis_log!C:C,cannabis_log!H:H,"",0,1))</f>
        <v>extract_inhaled_bulk</v>
      </c>
      <c r="I628" s="113" t="str">
        <f>IF(ISBLANK(E628),"",_xlfn.XLOOKUP(E628,cannabis_log!C:C,cannabis_log!K:K,"NOT FOUND",0,1))</f>
        <v>NA</v>
      </c>
      <c r="J628" s="185">
        <v>-1</v>
      </c>
      <c r="K628" s="186">
        <v>-2048</v>
      </c>
      <c r="L628" s="288">
        <f t="shared" si="14"/>
        <v>0</v>
      </c>
      <c r="M628" s="24"/>
      <c r="N628" s="112" t="str">
        <f>IF(ISBLANK(E628),"",_xlfn.XLOOKUP(E628,[1]cannabis_log!C:C,[1]cannabis_log!T:T,"Not Found",0,))</f>
        <v>gross</v>
      </c>
      <c r="O628" s="180">
        <f>IF(N628="net",_xlfn.XLOOKUP(E628,[1]cannabis_log!C:C,[1]cannabis_log!N:N,"NOT FOUND",0,1),IF(N628="gross",0,""))</f>
        <v>0</v>
      </c>
    </row>
    <row r="629" spans="1:15">
      <c r="A629" s="181" t="str">
        <f t="shared" si="11"/>
        <v>outbound</v>
      </c>
      <c r="B629" s="182">
        <v>45615.481249999997</v>
      </c>
      <c r="C629" s="183" t="s">
        <v>1921</v>
      </c>
      <c r="D629" s="183" t="s">
        <v>2353</v>
      </c>
      <c r="E629" s="215" t="s">
        <v>2283</v>
      </c>
      <c r="F629" s="112">
        <f>IF(ISBLANK(E629),"",_xlfn.XLOOKUP(E629,[1]cannabis_log!C:C,[1]cannabis_log!J:J,"",0,))</f>
        <v>2024101703</v>
      </c>
      <c r="G629" s="112"/>
      <c r="H629" s="112" t="str">
        <f>IF(ISBLANK(E629),"",_xlfn.XLOOKUP(E629,cannabis_log!C:C,cannabis_log!H:H,"",0,1))</f>
        <v>driedflower_bulk</v>
      </c>
      <c r="I629" s="113" t="str">
        <f>IF(ISBLANK(E629),"",_xlfn.XLOOKUP(E629,cannabis_log!C:C,cannabis_log!K:K,"NOT FOUND",0,1))</f>
        <v>NA</v>
      </c>
      <c r="J629" s="185">
        <v>-1</v>
      </c>
      <c r="K629" s="186">
        <v>-1700</v>
      </c>
      <c r="L629" s="288">
        <f t="shared" si="14"/>
        <v>0</v>
      </c>
      <c r="M629" s="188"/>
      <c r="N629" s="112" t="str">
        <f>IF(ISBLANK(E629),"",_xlfn.XLOOKUP(E629,[1]cannabis_log!C:C,[1]cannabis_log!T:T,"Not Found",0,))</f>
        <v>gross</v>
      </c>
      <c r="O629" s="180">
        <f>IF(N629="net",_xlfn.XLOOKUP(E629,[1]cannabis_log!C:C,[1]cannabis_log!N:N,"NOT FOUND",0,1),IF(N629="gross",0,""))</f>
        <v>0</v>
      </c>
    </row>
    <row r="630" spans="1:15">
      <c r="A630" s="181" t="str">
        <f t="shared" si="11"/>
        <v>outbound</v>
      </c>
      <c r="B630" s="182">
        <v>45615.481249999997</v>
      </c>
      <c r="C630" s="183" t="s">
        <v>1921</v>
      </c>
      <c r="D630" s="183" t="s">
        <v>2353</v>
      </c>
      <c r="E630" s="215" t="s">
        <v>2324</v>
      </c>
      <c r="F630" s="112" t="str">
        <f>IF(ISBLANK(E630),"",_xlfn.XLOOKUP(E630,[1]cannabis_log!C:C,[1]cannabis_log!J:J,"",0,))</f>
        <v>EX24101703G05</v>
      </c>
      <c r="G630" s="112"/>
      <c r="H630" s="112" t="str">
        <f>IF(ISBLANK(E630),"",_xlfn.XLOOKUP(E630,cannabis_log!C:C,cannabis_log!H:H,"",0,1))</f>
        <v>extract_inhaled_labelled</v>
      </c>
      <c r="I630" s="113">
        <f>IF(ISBLANK(E630),"",_xlfn.XLOOKUP(E630,cannabis_log!C:C,cannabis_log!K:K,"NOT FOUND",0,1))</f>
        <v>45603</v>
      </c>
      <c r="J630" s="185">
        <v>-1</v>
      </c>
      <c r="K630" s="186">
        <f>IF(N630="net",0,"")</f>
        <v>0</v>
      </c>
      <c r="L630" s="288">
        <f t="shared" si="14"/>
        <v>-0.5</v>
      </c>
      <c r="M630" s="24"/>
      <c r="N630" s="112" t="str">
        <f>IF(ISBLANK(E630),"",_xlfn.XLOOKUP(E630,[1]cannabis_log!C:C,[1]cannabis_log!T:T,"Not Found",0,))</f>
        <v>net</v>
      </c>
      <c r="O630" s="180">
        <f>IF(N630="net",_xlfn.XLOOKUP(E630,[1]cannabis_log!C:C,[1]cannabis_log!N:N,"NOT FOUND",0,1),IF(N630="gross",0,""))</f>
        <v>0.5</v>
      </c>
    </row>
    <row r="631" spans="1:15">
      <c r="A631" s="173" t="str">
        <f t="shared" si="11"/>
        <v>outbound</v>
      </c>
      <c r="B631" s="182">
        <v>45615.616666666669</v>
      </c>
      <c r="C631" s="183" t="s">
        <v>1921</v>
      </c>
      <c r="D631" s="183" t="s">
        <v>2354</v>
      </c>
      <c r="E631" s="215" t="s">
        <v>2307</v>
      </c>
      <c r="F631" s="112" t="str">
        <f>IF(ISBLANK(E631),"",_xlfn.XLOOKUP(E631,[1]cannabis_log!C:C,[1]cannabis_log!J:J,"",0,))</f>
        <v>TP24101701</v>
      </c>
      <c r="G631" s="112"/>
      <c r="H631" s="112" t="str">
        <f>IF(ISBLANK(E631),"",_xlfn.XLOOKUP(E631,cannabis_log!C:C,cannabis_log!H:H,"",0,1))</f>
        <v>topical_labelled</v>
      </c>
      <c r="I631" s="113">
        <f>IF(ISBLANK(E631),"",_xlfn.XLOOKUP(E631,cannabis_log!C:C,cannabis_log!K:K,"NOT FOUND",0,1))</f>
        <v>45588</v>
      </c>
      <c r="J631" s="185">
        <v>-1</v>
      </c>
      <c r="K631" s="186">
        <f>IF(N631="net",0,"")</f>
        <v>0</v>
      </c>
      <c r="L631" s="288">
        <f t="shared" si="14"/>
        <v>-88</v>
      </c>
      <c r="M631" s="188"/>
      <c r="N631" s="112" t="str">
        <f>IF(ISBLANK(E631),"",_xlfn.XLOOKUP(E631,[1]cannabis_log!C:C,[1]cannabis_log!T:T,"Not Found",0,))</f>
        <v>net</v>
      </c>
      <c r="O631" s="180">
        <f>IF(N631="net",_xlfn.XLOOKUP(E631,[1]cannabis_log!C:C,[1]cannabis_log!N:N,"NOT FOUND",0,1),IF(N631="gross",0,""))</f>
        <v>88</v>
      </c>
    </row>
    <row r="632" spans="1:15">
      <c r="A632" s="181" t="str">
        <f t="shared" si="11"/>
        <v>outbound</v>
      </c>
      <c r="B632" s="182">
        <v>45615.621527777781</v>
      </c>
      <c r="C632" s="183" t="s">
        <v>1921</v>
      </c>
      <c r="D632" s="183"/>
      <c r="E632" s="215" t="s">
        <v>2355</v>
      </c>
      <c r="F632" s="112" t="str">
        <f>IF(ISBLANK(E632),"",_xlfn.XLOOKUP(E632,[1]cannabis_log!C:C,[1]cannabis_log!J:J,"",0,))</f>
        <v>PR241105F5</v>
      </c>
      <c r="G632" s="112"/>
      <c r="H632" s="112" t="str">
        <f>IF(ISBLANK(E632),"",_xlfn.XLOOKUP(E632,cannabis_log!C:C,cannabis_log!H:H,"",0,1))</f>
        <v>preroll_bulk</v>
      </c>
      <c r="I632" s="113" t="str">
        <f>IF(ISBLANK(E632),"",_xlfn.XLOOKUP(E632,cannabis_log!C:C,cannabis_log!K:K,"NOT FOUND",0,1))</f>
        <v>NA</v>
      </c>
      <c r="J632" s="185">
        <v>-605</v>
      </c>
      <c r="K632" s="186">
        <f>IF(N632="net",0,"")</f>
        <v>0</v>
      </c>
      <c r="L632" s="288">
        <f t="shared" si="14"/>
        <v>-302.5</v>
      </c>
      <c r="M632" s="24"/>
      <c r="N632" s="112" t="str">
        <f>IF(ISBLANK(E632),"",_xlfn.XLOOKUP(E632,[1]cannabis_log!C:C,[1]cannabis_log!T:T,"Not Found",0,))</f>
        <v>net</v>
      </c>
      <c r="O632" s="180">
        <f>IF(N632="net",_xlfn.XLOOKUP(E632,[1]cannabis_log!C:C,[1]cannabis_log!N:N,"NOT FOUND",0,1),IF(N632="gross",0,""))</f>
        <v>0.5</v>
      </c>
    </row>
    <row r="633" spans="1:15">
      <c r="A633" s="173" t="str">
        <f t="shared" si="11"/>
        <v>inbound</v>
      </c>
      <c r="B633" s="182">
        <v>45615.62222222222</v>
      </c>
      <c r="C633" s="183" t="s">
        <v>1927</v>
      </c>
      <c r="D633" s="183"/>
      <c r="E633" s="215" t="s">
        <v>1945</v>
      </c>
      <c r="F633" s="112" t="str">
        <f>IF(ISBLANK(E633),"",_xlfn.XLOOKUP(E633,[1]cannabis_log!C:C,[1]cannabis_log!J:J,"",0,))</f>
        <v>LR23032101</v>
      </c>
      <c r="G633" s="112"/>
      <c r="H633" s="112" t="str">
        <f>IF(ISBLANK(E633),"",_xlfn.XLOOKUP(E633,cannabis_log!C:C,cannabis_log!H:H,"",0,1))</f>
        <v>extract_inhaled_bulk</v>
      </c>
      <c r="I633" s="113" t="str">
        <f>IF(ISBLANK(E633),"",_xlfn.XLOOKUP(E633,cannabis_log!C:C,cannabis_log!K:K,"NOT FOUND",0,1))</f>
        <v>NA</v>
      </c>
      <c r="J633" s="185">
        <v>1</v>
      </c>
      <c r="K633" s="186">
        <v>2048</v>
      </c>
      <c r="L633" s="288">
        <f t="shared" si="14"/>
        <v>0</v>
      </c>
      <c r="M633" s="188"/>
      <c r="N633" s="112" t="str">
        <f>IF(ISBLANK(E633),"",_xlfn.XLOOKUP(E633,[1]cannabis_log!C:C,[1]cannabis_log!T:T,"Not Found",0,))</f>
        <v>gross</v>
      </c>
      <c r="O633" s="180">
        <f>IF(N633="net",_xlfn.XLOOKUP(E633,[1]cannabis_log!C:C,[1]cannabis_log!N:N,"NOT FOUND",0,1),IF(N633="gross",0,""))</f>
        <v>0</v>
      </c>
    </row>
    <row r="634" spans="1:15">
      <c r="A634" s="181" t="str">
        <f t="shared" si="11"/>
        <v>outbound</v>
      </c>
      <c r="B634" s="182">
        <v>45616.390277777777</v>
      </c>
      <c r="C634" s="183" t="s">
        <v>1921</v>
      </c>
      <c r="D634" s="183" t="s">
        <v>2039</v>
      </c>
      <c r="E634" s="215" t="s">
        <v>2356</v>
      </c>
      <c r="F634" s="112" t="str">
        <f>IF(ISBLANK(E634),"",_xlfn.XLOOKUP(E634,[1]cannabis_log!C:C,[1]cannabis_log!J:J,"",0,))</f>
        <v>EX24102201V50</v>
      </c>
      <c r="G634" s="112"/>
      <c r="H634" s="112" t="str">
        <f>IF(ISBLANK(E634),"",_xlfn.XLOOKUP(E634,cannabis_log!C:C,cannabis_log!H:H,"",0,1))</f>
        <v>extract_ingested_labelled</v>
      </c>
      <c r="I634" s="113">
        <f>IF(ISBLANK(E634),"",_xlfn.XLOOKUP(E634,cannabis_log!C:C,cannabis_log!K:K,"NOT FOUND",0,1))</f>
        <v>45594</v>
      </c>
      <c r="J634" s="185">
        <v>-231</v>
      </c>
      <c r="K634" s="186">
        <f t="shared" ref="K634:K641" si="15">IF(N634="net",0,"")</f>
        <v>0</v>
      </c>
      <c r="L634" s="288">
        <f t="shared" si="14"/>
        <v>-11550</v>
      </c>
      <c r="M634" s="24"/>
      <c r="N634" s="112" t="str">
        <f>IF(ISBLANK(E634),"",_xlfn.XLOOKUP(E634,[1]cannabis_log!C:C,[1]cannabis_log!T:T,"Not Found",0,))</f>
        <v>net</v>
      </c>
      <c r="O634" s="180">
        <f>IF(N634="net",_xlfn.XLOOKUP(E634,[1]cannabis_log!C:C,[1]cannabis_log!N:N,"NOT FOUND",0,1),IF(N634="gross",0,""))</f>
        <v>50</v>
      </c>
    </row>
    <row r="635" spans="1:15">
      <c r="A635" s="173" t="str">
        <f t="shared" si="11"/>
        <v>outbound</v>
      </c>
      <c r="B635" s="182">
        <v>45616.424305555556</v>
      </c>
      <c r="C635" s="183" t="s">
        <v>1929</v>
      </c>
      <c r="D635" s="22" t="s">
        <v>2357</v>
      </c>
      <c r="E635" s="215" t="s">
        <v>2324</v>
      </c>
      <c r="F635" s="112" t="str">
        <f>IF(ISBLANK(E635),"",_xlfn.XLOOKUP(E635,[1]cannabis_log!C:C,[1]cannabis_log!J:J,"",0,))</f>
        <v>EX24101703G05</v>
      </c>
      <c r="G635" s="112"/>
      <c r="H635" s="112" t="str">
        <f>IF(ISBLANK(E635),"",_xlfn.XLOOKUP(E635,cannabis_log!C:C,cannabis_log!H:H,"",0,1))</f>
        <v>extract_inhaled_labelled</v>
      </c>
      <c r="I635" s="113">
        <f>IF(ISBLANK(E635),"",_xlfn.XLOOKUP(E635,cannabis_log!C:C,cannabis_log!K:K,"NOT FOUND",0,1))</f>
        <v>45603</v>
      </c>
      <c r="J635" s="185">
        <v>-120</v>
      </c>
      <c r="K635" s="186">
        <f t="shared" si="15"/>
        <v>0</v>
      </c>
      <c r="L635" s="288">
        <f t="shared" si="14"/>
        <v>-60</v>
      </c>
      <c r="M635" s="188"/>
      <c r="N635" s="112" t="str">
        <f>IF(ISBLANK(E635),"",_xlfn.XLOOKUP(E635,[1]cannabis_log!C:C,[1]cannabis_log!T:T,"Not Found",0,))</f>
        <v>net</v>
      </c>
      <c r="O635" s="180">
        <f>IF(N635="net",_xlfn.XLOOKUP(E635,[1]cannabis_log!C:C,[1]cannabis_log!N:N,"NOT FOUND",0,1),IF(N635="gross",0,""))</f>
        <v>0.5</v>
      </c>
    </row>
    <row r="636" spans="1:15">
      <c r="A636" s="181" t="str">
        <f t="shared" si="11"/>
        <v>outbound</v>
      </c>
      <c r="B636" s="182">
        <v>45616.424305555556</v>
      </c>
      <c r="C636" s="183" t="s">
        <v>1929</v>
      </c>
      <c r="D636" s="22" t="s">
        <v>2357</v>
      </c>
      <c r="E636" s="215" t="s">
        <v>2316</v>
      </c>
      <c r="F636" s="112" t="str">
        <f>IF(ISBLANK(E636),"",_xlfn.XLOOKUP(E636,[1]cannabis_log!C:C,[1]cannabis_log!J:J,"",0,))</f>
        <v>EX24101705G05</v>
      </c>
      <c r="G636" s="112"/>
      <c r="H636" s="112" t="str">
        <f>IF(ISBLANK(E636),"",_xlfn.XLOOKUP(E636,cannabis_log!C:C,cannabis_log!H:H,"",0,1))</f>
        <v>extract_inhaled_labelled</v>
      </c>
      <c r="I636" s="113">
        <f>IF(ISBLANK(E636),"",_xlfn.XLOOKUP(E636,cannabis_log!C:C,cannabis_log!K:K,"NOT FOUND",0,1))</f>
        <v>45594</v>
      </c>
      <c r="J636" s="185">
        <v>-120</v>
      </c>
      <c r="K636" s="186">
        <f t="shared" si="15"/>
        <v>0</v>
      </c>
      <c r="L636" s="288">
        <f t="shared" si="14"/>
        <v>-60</v>
      </c>
      <c r="M636" s="24"/>
      <c r="N636" s="112" t="str">
        <f>IF(ISBLANK(E636),"",_xlfn.XLOOKUP(E636,[1]cannabis_log!C:C,[1]cannabis_log!T:T,"Not Found",0,))</f>
        <v>net</v>
      </c>
      <c r="O636" s="180">
        <f>IF(N636="net",_xlfn.XLOOKUP(E636,[1]cannabis_log!C:C,[1]cannabis_log!N:N,"NOT FOUND",0,1),IF(N636="gross",0,""))</f>
        <v>0.5</v>
      </c>
    </row>
    <row r="637" spans="1:15">
      <c r="A637" s="173" t="str">
        <f t="shared" si="11"/>
        <v>outbound</v>
      </c>
      <c r="B637" s="182">
        <v>45616.424305555556</v>
      </c>
      <c r="C637" s="183" t="s">
        <v>1929</v>
      </c>
      <c r="D637" s="22" t="s">
        <v>2357</v>
      </c>
      <c r="E637" s="215" t="s">
        <v>2271</v>
      </c>
      <c r="F637" s="112" t="str">
        <f>IF(ISBLANK(E637),"",_xlfn.XLOOKUP(E637,[1]cannabis_log!C:C,[1]cannabis_log!J:J,"",0,))</f>
        <v>PR241101F5P3</v>
      </c>
      <c r="G637" s="112"/>
      <c r="H637" s="112" t="str">
        <f>IF(ISBLANK(E637),"",_xlfn.XLOOKUP(E637,cannabis_log!C:C,cannabis_log!H:H,"",0,1))</f>
        <v>preroll_labelled</v>
      </c>
      <c r="I637" s="113">
        <f>IF(ISBLANK(E637),"",_xlfn.XLOOKUP(E637,cannabis_log!C:C,cannabis_log!K:K,"NOT FOUND",0,1))</f>
        <v>45574</v>
      </c>
      <c r="J637" s="185">
        <v>-120</v>
      </c>
      <c r="K637" s="186">
        <f t="shared" si="15"/>
        <v>0</v>
      </c>
      <c r="L637" s="288">
        <f t="shared" si="14"/>
        <v>-180</v>
      </c>
      <c r="M637" s="188"/>
      <c r="N637" s="112" t="str">
        <f>IF(ISBLANK(E637),"",_xlfn.XLOOKUP(E637,[1]cannabis_log!C:C,[1]cannabis_log!T:T,"Not Found",0,))</f>
        <v>net</v>
      </c>
      <c r="O637" s="180">
        <f>IF(N637="net",_xlfn.XLOOKUP(E637,[1]cannabis_log!C:C,[1]cannabis_log!N:N,"NOT FOUND",0,1),IF(N637="gross",0,""))</f>
        <v>1.5</v>
      </c>
    </row>
    <row r="638" spans="1:15">
      <c r="A638" s="181" t="str">
        <f t="shared" si="11"/>
        <v>outbound</v>
      </c>
      <c r="B638" s="182">
        <v>45616.424305555556</v>
      </c>
      <c r="C638" s="183" t="s">
        <v>1929</v>
      </c>
      <c r="D638" s="22" t="s">
        <v>2357</v>
      </c>
      <c r="E638" s="215" t="s">
        <v>2338</v>
      </c>
      <c r="F638" s="112" t="str">
        <f>IF(ISBLANK(E638),"",_xlfn.XLOOKUP(E638,[1]cannabis_log!C:C,[1]cannabis_log!J:J,"",0,))</f>
        <v>PR241005F5P3</v>
      </c>
      <c r="G638" s="112"/>
      <c r="H638" s="112" t="str">
        <f>IF(ISBLANK(E638),"",_xlfn.XLOOKUP(E638,cannabis_log!C:C,cannabis_log!H:H,"",0,1))</f>
        <v>preroll_labelled</v>
      </c>
      <c r="I638" s="113">
        <f>IF(ISBLANK(E638),"",_xlfn.XLOOKUP(E638,cannabis_log!C:C,cannabis_log!K:K,"NOT FOUND",0,1))</f>
        <v>45575</v>
      </c>
      <c r="J638" s="185">
        <v>-60</v>
      </c>
      <c r="K638" s="186">
        <f t="shared" si="15"/>
        <v>0</v>
      </c>
      <c r="L638" s="288">
        <f t="shared" si="14"/>
        <v>-90</v>
      </c>
      <c r="M638" s="24"/>
      <c r="N638" s="112" t="str">
        <f>IF(ISBLANK(E638),"",_xlfn.XLOOKUP(E638,[1]cannabis_log!C:C,[1]cannabis_log!T:T,"Not Found",0,))</f>
        <v>net</v>
      </c>
      <c r="O638" s="180">
        <f>IF(N638="net",_xlfn.XLOOKUP(E638,[1]cannabis_log!C:C,[1]cannabis_log!N:N,"NOT FOUND",0,1),IF(N638="gross",0,""))</f>
        <v>1.5</v>
      </c>
    </row>
    <row r="639" spans="1:15">
      <c r="A639" s="173" t="str">
        <f t="shared" si="11"/>
        <v>outbound</v>
      </c>
      <c r="B639" s="182">
        <v>45616.424305555556</v>
      </c>
      <c r="C639" s="183" t="s">
        <v>1929</v>
      </c>
      <c r="D639" s="22" t="s">
        <v>2357</v>
      </c>
      <c r="E639" s="215" t="s">
        <v>2358</v>
      </c>
      <c r="F639" s="112" t="str">
        <f>IF(ISBLANK(E639),"",_xlfn.XLOOKUP(E639,[1]cannabis_log!C:C,[1]cannabis_log!J:J,"",0,))</f>
        <v>PR241102F5P3</v>
      </c>
      <c r="G639" s="112"/>
      <c r="H639" s="112" t="str">
        <f>IF(ISBLANK(E639),"",_xlfn.XLOOKUP(E639,cannabis_log!C:C,cannabis_log!H:H,"",0,1))</f>
        <v>preroll_labelled</v>
      </c>
      <c r="I639" s="113">
        <f>IF(ISBLANK(E639),"",_xlfn.XLOOKUP(E639,cannabis_log!C:C,cannabis_log!K:K,"NOT FOUND",0,1))</f>
        <v>45604</v>
      </c>
      <c r="J639" s="185">
        <v>-60</v>
      </c>
      <c r="K639" s="186">
        <f t="shared" si="15"/>
        <v>0</v>
      </c>
      <c r="L639" s="288">
        <f t="shared" si="14"/>
        <v>-30</v>
      </c>
      <c r="M639" s="188"/>
      <c r="N639" s="112" t="str">
        <f>IF(ISBLANK(E639),"",_xlfn.XLOOKUP(E639,[1]cannabis_log!C:C,[1]cannabis_log!T:T,"Not Found",0,))</f>
        <v>net</v>
      </c>
      <c r="O639" s="180">
        <f>IF(N639="net",_xlfn.XLOOKUP(E639,[1]cannabis_log!C:C,[1]cannabis_log!N:N,"NOT FOUND",0,1),IF(N639="gross",0,""))</f>
        <v>0.5</v>
      </c>
    </row>
    <row r="640" spans="1:15">
      <c r="A640" s="181" t="str">
        <f t="shared" si="11"/>
        <v>outbound</v>
      </c>
      <c r="B640" s="182">
        <v>45616.424305555556</v>
      </c>
      <c r="C640" s="183" t="s">
        <v>1929</v>
      </c>
      <c r="D640" s="22" t="s">
        <v>2357</v>
      </c>
      <c r="E640" s="215" t="s">
        <v>2172</v>
      </c>
      <c r="F640" s="112" t="str">
        <f>IF(ISBLANK(E640),"",_xlfn.XLOOKUP(E640,[1]cannabis_log!C:C,[1]cannabis_log!J:J,"",0,))</f>
        <v>PR241102F5P3</v>
      </c>
      <c r="G640" s="112"/>
      <c r="H640" s="112" t="str">
        <f>IF(ISBLANK(E640),"",_xlfn.XLOOKUP(E640,cannabis_log!C:C,cannabis_log!H:H,"",0,1))</f>
        <v>preroll_labelled</v>
      </c>
      <c r="I640" s="113">
        <f>IF(ISBLANK(E640),"",_xlfn.XLOOKUP(E640,cannabis_log!C:C,cannabis_log!K:K,"NOT FOUND",0,1))</f>
        <v>45575</v>
      </c>
      <c r="J640" s="185">
        <v>-60</v>
      </c>
      <c r="K640" s="186">
        <f t="shared" si="15"/>
        <v>0</v>
      </c>
      <c r="L640" s="288">
        <f t="shared" si="14"/>
        <v>-90</v>
      </c>
      <c r="M640" s="24"/>
      <c r="N640" s="112" t="str">
        <f>IF(ISBLANK(E640),"",_xlfn.XLOOKUP(E640,[1]cannabis_log!C:C,[1]cannabis_log!T:T,"Not Found",0,))</f>
        <v>net</v>
      </c>
      <c r="O640" s="180">
        <f>IF(N640="net",_xlfn.XLOOKUP(E640,[1]cannabis_log!C:C,[1]cannabis_log!N:N,"NOT FOUND",0,1),IF(N640="gross",0,""))</f>
        <v>1.5</v>
      </c>
    </row>
    <row r="641" spans="1:15">
      <c r="A641" s="181" t="str">
        <f t="shared" ref="A641:A704" si="16">IF(ISBLANK(J641),"",IF(J641+K641+L641&lt;0,"outbound","inbound"))</f>
        <v>outbound</v>
      </c>
      <c r="B641" s="182">
        <v>45616.424305555556</v>
      </c>
      <c r="C641" s="183" t="s">
        <v>1929</v>
      </c>
      <c r="D641" s="22" t="s">
        <v>2357</v>
      </c>
      <c r="E641" s="215" t="s">
        <v>2306</v>
      </c>
      <c r="F641" s="112" t="str">
        <f>IF(ISBLANK(E641),"",_xlfn.XLOOKUP(E641,[1]cannabis_log!C:C,[1]cannabis_log!J:J,"",0,))</f>
        <v>PR2407F5P2</v>
      </c>
      <c r="G641" s="112"/>
      <c r="H641" s="112" t="str">
        <f>IF(ISBLANK(E641),"",_xlfn.XLOOKUP(E641,cannabis_log!C:C,cannabis_log!H:H,"",0,1))</f>
        <v>preroll_labelled</v>
      </c>
      <c r="I641" s="113">
        <f>IF(ISBLANK(E641),"",_xlfn.XLOOKUP(E641,cannabis_log!C:C,cannabis_log!K:K,"NOT FOUND",0,1))</f>
        <v>45588</v>
      </c>
      <c r="J641" s="185">
        <v>-120</v>
      </c>
      <c r="K641" s="186">
        <f t="shared" si="15"/>
        <v>0</v>
      </c>
      <c r="L641" s="288">
        <f t="shared" si="14"/>
        <v>-120</v>
      </c>
      <c r="M641" s="24"/>
      <c r="N641" s="112" t="str">
        <f>IF(ISBLANK(E641),"",_xlfn.XLOOKUP(E641,[1]cannabis_log!C:C,[1]cannabis_log!T:T,"Not Found",0,))</f>
        <v>net</v>
      </c>
      <c r="O641" s="180">
        <f>IF(N641="net",_xlfn.XLOOKUP(E641,[1]cannabis_log!C:C,[1]cannabis_log!N:N,"NOT FOUND",0,1),IF(N641="gross",0,""))</f>
        <v>1</v>
      </c>
    </row>
    <row r="642" spans="1:15">
      <c r="A642" s="173" t="str">
        <f t="shared" si="16"/>
        <v>outbound</v>
      </c>
      <c r="B642" s="182">
        <v>45616.441666666666</v>
      </c>
      <c r="C642" s="183" t="s">
        <v>1924</v>
      </c>
      <c r="D642" s="183" t="s">
        <v>2359</v>
      </c>
      <c r="E642" s="215" t="s">
        <v>1945</v>
      </c>
      <c r="F642" s="112" t="str">
        <f>IF(ISBLANK(E642),"",_xlfn.XLOOKUP(E642,[1]cannabis_log!C:C,[1]cannabis_log!J:J,"",0,))</f>
        <v>LR23032101</v>
      </c>
      <c r="G642" s="112"/>
      <c r="H642" s="112" t="str">
        <f>IF(ISBLANK(E642),"",_xlfn.XLOOKUP(E642,cannabis_log!C:C,cannabis_log!H:H,"",0,1))</f>
        <v>extract_inhaled_bulk</v>
      </c>
      <c r="I642" s="113" t="str">
        <f>IF(ISBLANK(E642),"",_xlfn.XLOOKUP(E642,cannabis_log!C:C,cannabis_log!K:K,"NOT FOUND",0,1))</f>
        <v>NA</v>
      </c>
      <c r="J642" s="185">
        <v>-1</v>
      </c>
      <c r="K642" s="186">
        <v>-2048</v>
      </c>
      <c r="L642" s="288">
        <f t="shared" si="14"/>
        <v>0</v>
      </c>
      <c r="M642" s="188"/>
      <c r="N642" s="112" t="str">
        <f>IF(ISBLANK(E642),"",_xlfn.XLOOKUP(E642,[1]cannabis_log!C:C,[1]cannabis_log!T:T,"Not Found",0,))</f>
        <v>gross</v>
      </c>
      <c r="O642" s="180">
        <f>IF(N642="net",_xlfn.XLOOKUP(E642,[1]cannabis_log!C:C,[1]cannabis_log!N:N,"NOT FOUND",0,1),IF(N642="gross",0,""))</f>
        <v>0</v>
      </c>
    </row>
    <row r="643" spans="1:15">
      <c r="A643" s="181" t="str">
        <f t="shared" si="16"/>
        <v>outbound</v>
      </c>
      <c r="B643" s="182">
        <v>45616.441666666666</v>
      </c>
      <c r="C643" s="183" t="s">
        <v>1921</v>
      </c>
      <c r="D643" s="183" t="s">
        <v>2039</v>
      </c>
      <c r="E643" s="215" t="s">
        <v>2292</v>
      </c>
      <c r="F643" s="112" t="str">
        <f>IF(ISBLANK(E643),"",_xlfn.XLOOKUP(E643,[1]cannabis_log!C:C,[1]cannabis_log!J:J,"",0,))</f>
        <v>EX24102201V50</v>
      </c>
      <c r="G643" s="112"/>
      <c r="H643" s="112" t="str">
        <f>IF(ISBLANK(E643),"",_xlfn.XLOOKUP(E643,cannabis_log!C:C,cannabis_log!H:H,"",0,1))</f>
        <v>extract_ingested_labelled</v>
      </c>
      <c r="I643" s="113">
        <f>IF(ISBLANK(E643),"",_xlfn.XLOOKUP(E643,cannabis_log!C:C,cannabis_log!K:K,"NOT FOUND",0,1))</f>
        <v>45594</v>
      </c>
      <c r="J643" s="185">
        <v>-20</v>
      </c>
      <c r="K643" s="186">
        <f>IF(N643="net",0,"")</f>
        <v>0</v>
      </c>
      <c r="L643" s="288">
        <f t="shared" si="14"/>
        <v>-299060</v>
      </c>
      <c r="M643" s="24"/>
      <c r="N643" s="112" t="str">
        <f>IF(ISBLANK(E643),"",_xlfn.XLOOKUP(E643,[1]cannabis_log!C:C,[1]cannabis_log!T:T,"Not Found",0,))</f>
        <v>net</v>
      </c>
      <c r="O643" s="180">
        <f>IF(N643="net",_xlfn.XLOOKUP(E643,[1]cannabis_log!C:C,[1]cannabis_log!N:N,"NOT FOUND",0,1),IF(N643="gross",0,""))</f>
        <v>14953</v>
      </c>
    </row>
    <row r="644" spans="1:15">
      <c r="A644" s="173" t="str">
        <f t="shared" si="16"/>
        <v>outbound</v>
      </c>
      <c r="B644" s="182">
        <v>45616.495833333334</v>
      </c>
      <c r="C644" s="183" t="s">
        <v>1929</v>
      </c>
      <c r="D644" s="183" t="s">
        <v>2360</v>
      </c>
      <c r="E644" s="215" t="s">
        <v>2327</v>
      </c>
      <c r="F644" s="112" t="str">
        <f>IF(ISBLANK(E644),"",_xlfn.XLOOKUP(E644,[1]cannabis_log!C:C,[1]cannabis_log!J:J,"",0,))</f>
        <v>EX24082906G05</v>
      </c>
      <c r="G644" s="112"/>
      <c r="H644" s="112" t="str">
        <f>IF(ISBLANK(E644),"",_xlfn.XLOOKUP(E644,cannabis_log!C:C,cannabis_log!H:H,"",0,1))</f>
        <v>extract_inhaled_labelled</v>
      </c>
      <c r="I644" s="113">
        <f>IF(ISBLANK(E644),"",_xlfn.XLOOKUP(E644,cannabis_log!C:C,cannabis_log!K:K,"NOT FOUND",0,1))</f>
        <v>45588</v>
      </c>
      <c r="J644" s="185">
        <v>-12</v>
      </c>
      <c r="K644" s="186">
        <f>IF(N644="net",0,"")</f>
        <v>0</v>
      </c>
      <c r="L644" s="288">
        <f t="shared" si="14"/>
        <v>-6</v>
      </c>
      <c r="M644" s="188"/>
      <c r="N644" s="112" t="str">
        <f>IF(ISBLANK(E644),"",_xlfn.XLOOKUP(E644,[1]cannabis_log!C:C,[1]cannabis_log!T:T,"Not Found",0,))</f>
        <v>net</v>
      </c>
      <c r="O644" s="180">
        <f>IF(N644="net",_xlfn.XLOOKUP(E644,[1]cannabis_log!C:C,[1]cannabis_log!N:N,"NOT FOUND",0,1),IF(N644="gross",0,""))</f>
        <v>0.5</v>
      </c>
    </row>
    <row r="645" spans="1:15">
      <c r="A645" s="173" t="str">
        <f t="shared" si="16"/>
        <v>inbound</v>
      </c>
      <c r="B645" s="182">
        <v>45616.503472222219</v>
      </c>
      <c r="C645" s="183" t="s">
        <v>1927</v>
      </c>
      <c r="D645" s="183"/>
      <c r="E645" s="215" t="s">
        <v>1945</v>
      </c>
      <c r="F645" s="112" t="str">
        <f>IF(ISBLANK(E645),"",_xlfn.XLOOKUP(E645,[1]cannabis_log!C:C,[1]cannabis_log!J:J,"",0,))</f>
        <v>LR23032101</v>
      </c>
      <c r="G645" s="112"/>
      <c r="H645" s="112" t="str">
        <f>IF(ISBLANK(E645),"",_xlfn.XLOOKUP(E645,cannabis_log!C:C,cannabis_log!H:H,"",0,1))</f>
        <v>extract_inhaled_bulk</v>
      </c>
      <c r="I645" s="113" t="str">
        <f>IF(ISBLANK(E645),"",_xlfn.XLOOKUP(E645,cannabis_log!C:C,cannabis_log!K:K,"NOT FOUND",0,1))</f>
        <v>NA</v>
      </c>
      <c r="J645" s="185">
        <v>1</v>
      </c>
      <c r="K645" s="186">
        <v>2044</v>
      </c>
      <c r="L645" s="288">
        <f t="shared" si="14"/>
        <v>0</v>
      </c>
      <c r="M645" s="188"/>
      <c r="N645" s="112" t="str">
        <f>IF(ISBLANK(E645),"",_xlfn.XLOOKUP(E645,[1]cannabis_log!C:C,[1]cannabis_log!T:T,"Not Found",0,))</f>
        <v>gross</v>
      </c>
      <c r="O645" s="180">
        <f>IF(N645="net",_xlfn.XLOOKUP(E645,[1]cannabis_log!C:C,[1]cannabis_log!N:N,"NOT FOUND",0,1),IF(N645="gross",0,""))</f>
        <v>0</v>
      </c>
    </row>
    <row r="646" spans="1:15">
      <c r="A646" s="181" t="str">
        <f t="shared" si="16"/>
        <v>outbound</v>
      </c>
      <c r="B646" s="182">
        <v>45616.507638888892</v>
      </c>
      <c r="C646" s="183" t="s">
        <v>1929</v>
      </c>
      <c r="D646" s="22" t="s">
        <v>2357</v>
      </c>
      <c r="E646" s="215" t="s">
        <v>2311</v>
      </c>
      <c r="F646" s="112" t="str">
        <f>IF(ISBLANK(E646),"",_xlfn.XLOOKUP(E646,[1]cannabis_log!C:C,[1]cannabis_log!J:J,"",0,))</f>
        <v>PR241104F5P3</v>
      </c>
      <c r="G646" s="112"/>
      <c r="H646" s="112" t="str">
        <f>IF(ISBLANK(E646),"",_xlfn.XLOOKUP(E646,cannabis_log!C:C,cannabis_log!H:H,"",0,1))</f>
        <v>preroll_labelled</v>
      </c>
      <c r="I646" s="113">
        <f>IF(ISBLANK(E646),"",_xlfn.XLOOKUP(E646,cannabis_log!C:C,cannabis_log!K:K,"NOT FOUND",0,1))</f>
        <v>45588</v>
      </c>
      <c r="J646" s="185">
        <v>-120</v>
      </c>
      <c r="K646" s="186">
        <f t="shared" ref="K646:K657" si="17">IF(N646="net",0,"")</f>
        <v>0</v>
      </c>
      <c r="L646" s="288">
        <f t="shared" si="14"/>
        <v>-180</v>
      </c>
      <c r="M646" s="24"/>
      <c r="N646" s="112" t="str">
        <f>IF(ISBLANK(E646),"",_xlfn.XLOOKUP(E646,[1]cannabis_log!C:C,[1]cannabis_log!T:T,"Not Found",0,))</f>
        <v>net</v>
      </c>
      <c r="O646" s="180">
        <f>IF(N646="net",_xlfn.XLOOKUP(E646,[1]cannabis_log!C:C,[1]cannabis_log!N:N,"NOT FOUND",0,1),IF(N646="gross",0,""))</f>
        <v>1.5</v>
      </c>
    </row>
    <row r="647" spans="1:15">
      <c r="A647" s="181" t="str">
        <f t="shared" si="16"/>
        <v>outbound</v>
      </c>
      <c r="B647" s="182">
        <v>45616.507638888892</v>
      </c>
      <c r="C647" s="183" t="s">
        <v>1929</v>
      </c>
      <c r="D647" s="22" t="s">
        <v>2357</v>
      </c>
      <c r="E647" s="215" t="s">
        <v>2361</v>
      </c>
      <c r="F647" s="112" t="str">
        <f>IF(ISBLANK(E647),"",_xlfn.XLOOKUP(E647,[1]cannabis_log!C:C,[1]cannabis_log!J:J,"",0,))</f>
        <v>PR2407F5P3</v>
      </c>
      <c r="G647" s="112"/>
      <c r="H647" s="112" t="str">
        <f>IF(ISBLANK(E647),"",_xlfn.XLOOKUP(E647,cannabis_log!C:C,cannabis_log!H:H,"",0,1))</f>
        <v>preroll_labelled</v>
      </c>
      <c r="I647" s="113">
        <f>IF(ISBLANK(E647),"",_xlfn.XLOOKUP(E647,cannabis_log!C:C,cannabis_log!K:K,"NOT FOUND",0,1))</f>
        <v>45447</v>
      </c>
      <c r="J647" s="185">
        <v>-120</v>
      </c>
      <c r="K647" s="186">
        <f t="shared" si="17"/>
        <v>0</v>
      </c>
      <c r="L647" s="288">
        <f t="shared" si="14"/>
        <v>-180</v>
      </c>
      <c r="M647" s="24"/>
      <c r="N647" s="112" t="str">
        <f>IF(ISBLANK(E647),"",_xlfn.XLOOKUP(E647,[1]cannabis_log!C:C,[1]cannabis_log!T:T,"Not Found",0,))</f>
        <v>net</v>
      </c>
      <c r="O647" s="180">
        <f>IF(N647="net",_xlfn.XLOOKUP(E647,[1]cannabis_log!C:C,[1]cannabis_log!N:N,"NOT FOUND",0,1),IF(N647="gross",0,""))</f>
        <v>1.5</v>
      </c>
    </row>
    <row r="648" spans="1:15">
      <c r="A648" s="181" t="str">
        <f t="shared" si="16"/>
        <v>outbound</v>
      </c>
      <c r="B648" s="182">
        <v>45616.507638888892</v>
      </c>
      <c r="C648" s="183" t="s">
        <v>1929</v>
      </c>
      <c r="D648" s="22" t="s">
        <v>2357</v>
      </c>
      <c r="E648" s="215" t="s">
        <v>2301</v>
      </c>
      <c r="F648" s="112" t="str">
        <f>IF(ISBLANK(E648),"",_xlfn.XLOOKUP(E648,[1]cannabis_log!C:C,[1]cannabis_log!J:J,"",0,))</f>
        <v>EX23060701V30</v>
      </c>
      <c r="G648" s="112"/>
      <c r="H648" s="112" t="str">
        <f>IF(ISBLANK(E648),"",_xlfn.XLOOKUP(E648,cannabis_log!C:C,cannabis_log!H:H,"",0,1))</f>
        <v>extract_ingested_labelled</v>
      </c>
      <c r="I648" s="113">
        <f>IF(ISBLANK(E648),"",_xlfn.XLOOKUP(E648,cannabis_log!C:C,cannabis_log!K:K,"NOT FOUND",0,1))</f>
        <v>45596</v>
      </c>
      <c r="J648" s="185">
        <v>-84</v>
      </c>
      <c r="K648" s="186">
        <f t="shared" si="17"/>
        <v>0</v>
      </c>
      <c r="L648" s="288">
        <f t="shared" si="14"/>
        <v>-2301.6</v>
      </c>
      <c r="M648" s="24"/>
      <c r="N648" s="112" t="str">
        <f>IF(ISBLANK(E648),"",_xlfn.XLOOKUP(E648,[1]cannabis_log!C:C,[1]cannabis_log!T:T,"Not Found",0,))</f>
        <v>net</v>
      </c>
      <c r="O648" s="180">
        <f>IF(N648="net",_xlfn.XLOOKUP(E648,[1]cannabis_log!C:C,[1]cannabis_log!N:N,"NOT FOUND",0,1),IF(N648="gross",0,""))</f>
        <v>27.4</v>
      </c>
    </row>
    <row r="649" spans="1:15">
      <c r="A649" s="181" t="str">
        <f t="shared" si="16"/>
        <v>outbound</v>
      </c>
      <c r="B649" s="182">
        <v>45616.507638888892</v>
      </c>
      <c r="C649" s="183" t="s">
        <v>1929</v>
      </c>
      <c r="D649" s="22" t="s">
        <v>2357</v>
      </c>
      <c r="E649" s="215" t="s">
        <v>2298</v>
      </c>
      <c r="F649" s="112" t="str">
        <f>IF(ISBLANK(E649),"",_xlfn.XLOOKUP(E649,[1]cannabis_log!C:C,[1]cannabis_log!J:J,"",0,))</f>
        <v>EX23060701V30</v>
      </c>
      <c r="G649" s="112"/>
      <c r="H649" s="112" t="str">
        <f>IF(ISBLANK(E649),"",_xlfn.XLOOKUP(E649,cannabis_log!C:C,cannabis_log!H:H,"",0,1))</f>
        <v>extract_ingested_labelled</v>
      </c>
      <c r="I649" s="113">
        <f>IF(ISBLANK(E649),"",_xlfn.XLOOKUP(E649,cannabis_log!C:C,cannabis_log!K:K,"NOT FOUND",0,1))</f>
        <v>45596</v>
      </c>
      <c r="J649" s="185">
        <v>-16</v>
      </c>
      <c r="K649" s="186">
        <f t="shared" si="17"/>
        <v>0</v>
      </c>
      <c r="L649" s="288">
        <f t="shared" si="14"/>
        <v>-438.4</v>
      </c>
      <c r="M649" s="24"/>
      <c r="N649" s="112" t="str">
        <f>IF(ISBLANK(E649),"",_xlfn.XLOOKUP(E649,[1]cannabis_log!C:C,[1]cannabis_log!T:T,"Not Found",0,))</f>
        <v>net</v>
      </c>
      <c r="O649" s="180">
        <f>IF(N649="net",_xlfn.XLOOKUP(E649,[1]cannabis_log!C:C,[1]cannabis_log!N:N,"NOT FOUND",0,1),IF(N649="gross",0,""))</f>
        <v>27.4</v>
      </c>
    </row>
    <row r="650" spans="1:15">
      <c r="A650" s="181" t="str">
        <f t="shared" si="16"/>
        <v>outbound</v>
      </c>
      <c r="B650" s="182">
        <v>45616.507638888892</v>
      </c>
      <c r="C650" s="183" t="s">
        <v>1929</v>
      </c>
      <c r="D650" s="22" t="s">
        <v>2357</v>
      </c>
      <c r="E650" s="215" t="s">
        <v>2300</v>
      </c>
      <c r="F650" s="112" t="str">
        <f>IF(ISBLANK(E650),"",_xlfn.XLOOKUP(E650,[1]cannabis_log!C:C,[1]cannabis_log!J:J,"",0,))</f>
        <v>EX23060701V30</v>
      </c>
      <c r="G650" s="112"/>
      <c r="H650" s="112" t="str">
        <f>IF(ISBLANK(E650),"",_xlfn.XLOOKUP(E650,cannabis_log!C:C,cannabis_log!H:H,"",0,1))</f>
        <v>extract_ingested_labelled</v>
      </c>
      <c r="I650" s="113">
        <f>IF(ISBLANK(E650),"",_xlfn.XLOOKUP(E650,cannabis_log!C:C,cannabis_log!K:K,"NOT FOUND",0,1))</f>
        <v>45596</v>
      </c>
      <c r="J650" s="185">
        <v>-72</v>
      </c>
      <c r="K650" s="186">
        <f t="shared" si="17"/>
        <v>0</v>
      </c>
      <c r="L650" s="288">
        <f t="shared" si="14"/>
        <v>-1972.8</v>
      </c>
      <c r="M650" s="24"/>
      <c r="N650" s="112" t="str">
        <f>IF(ISBLANK(E650),"",_xlfn.XLOOKUP(E650,[1]cannabis_log!C:C,[1]cannabis_log!T:T,"Not Found",0,))</f>
        <v>net</v>
      </c>
      <c r="O650" s="180">
        <f>IF(N650="net",_xlfn.XLOOKUP(E650,[1]cannabis_log!C:C,[1]cannabis_log!N:N,"NOT FOUND",0,1),IF(N650="gross",0,""))</f>
        <v>27.4</v>
      </c>
    </row>
    <row r="651" spans="1:15">
      <c r="A651" s="181" t="str">
        <f t="shared" si="16"/>
        <v>outbound</v>
      </c>
      <c r="B651" s="182">
        <v>45616.507638888892</v>
      </c>
      <c r="C651" s="183" t="s">
        <v>1921</v>
      </c>
      <c r="D651" s="22" t="s">
        <v>2362</v>
      </c>
      <c r="E651" s="215" t="s">
        <v>1988</v>
      </c>
      <c r="F651" s="112" t="str">
        <f>IF(ISBLANK(E651),"",_xlfn.XLOOKUP(E651,[1]cannabis_log!C:C,[1]cannabis_log!J:J,"",0,))</f>
        <v>PR2407F5</v>
      </c>
      <c r="G651" s="112"/>
      <c r="H651" s="112" t="str">
        <f>IF(ISBLANK(E651),"",_xlfn.XLOOKUP(E651,cannabis_log!C:C,cannabis_log!H:H,"",0,1))</f>
        <v>preroll_bulk</v>
      </c>
      <c r="I651" s="113">
        <f>IF(ISBLANK(E651),"",_xlfn.XLOOKUP(E651,cannabis_log!C:C,cannabis_log!K:K,"NOT FOUND",0,1))</f>
        <v>45443</v>
      </c>
      <c r="J651" s="185">
        <v>-1622</v>
      </c>
      <c r="K651" s="186">
        <f t="shared" si="17"/>
        <v>0</v>
      </c>
      <c r="L651" s="288">
        <f t="shared" si="14"/>
        <v>-811</v>
      </c>
      <c r="M651" s="24"/>
      <c r="N651" s="112" t="str">
        <f>IF(ISBLANK(E651),"",_xlfn.XLOOKUP(E651,[1]cannabis_log!C:C,[1]cannabis_log!T:T,"Not Found",0,))</f>
        <v>net</v>
      </c>
      <c r="O651" s="180">
        <f>IF(N651="net",_xlfn.XLOOKUP(E651,[1]cannabis_log!C:C,[1]cannabis_log!N:N,"NOT FOUND",0,1),IF(N651="gross",0,""))</f>
        <v>0.5</v>
      </c>
    </row>
    <row r="652" spans="1:15">
      <c r="A652" s="181" t="str">
        <f t="shared" si="16"/>
        <v>outbound</v>
      </c>
      <c r="B652" s="182">
        <v>45616.507638888892</v>
      </c>
      <c r="C652" s="183" t="s">
        <v>1921</v>
      </c>
      <c r="D652" s="22" t="s">
        <v>2362</v>
      </c>
      <c r="E652" s="215" t="s">
        <v>2073</v>
      </c>
      <c r="F652" s="112" t="str">
        <f>IF(ISBLANK(E652),"",_xlfn.XLOOKUP(E652,[1]cannabis_log!C:C,[1]cannabis_log!J:J,"",0,))</f>
        <v>PR2407F5</v>
      </c>
      <c r="G652" s="112"/>
      <c r="H652" s="112" t="str">
        <f>IF(ISBLANK(E652),"",_xlfn.XLOOKUP(E652,cannabis_log!C:C,cannabis_log!H:H,"",0,1))</f>
        <v>preroll_bulk_inferior</v>
      </c>
      <c r="I652" s="113" t="str">
        <f>IF(ISBLANK(E652),"",_xlfn.XLOOKUP(E652,cannabis_log!C:C,cannabis_log!K:K,"NOT FOUND",0,1))</f>
        <v>NA</v>
      </c>
      <c r="J652" s="185">
        <v>-63</v>
      </c>
      <c r="K652" s="186">
        <f t="shared" si="17"/>
        <v>0</v>
      </c>
      <c r="L652" s="288">
        <f t="shared" si="14"/>
        <v>-31.5</v>
      </c>
      <c r="M652" s="24"/>
      <c r="N652" s="112" t="str">
        <f>IF(ISBLANK(E652),"",_xlfn.XLOOKUP(E652,[1]cannabis_log!C:C,[1]cannabis_log!T:T,"Not Found",0,))</f>
        <v>net</v>
      </c>
      <c r="O652" s="180">
        <f>IF(N652="net",_xlfn.XLOOKUP(E652,[1]cannabis_log!C:C,[1]cannabis_log!N:N,"NOT FOUND",0,1),IF(N652="gross",0,""))</f>
        <v>0.5</v>
      </c>
    </row>
    <row r="653" spans="1:15">
      <c r="A653" s="181" t="str">
        <f t="shared" si="16"/>
        <v>outbound</v>
      </c>
      <c r="B653" s="182">
        <v>45616.507638888892</v>
      </c>
      <c r="C653" s="183" t="s">
        <v>1929</v>
      </c>
      <c r="D653" s="22" t="s">
        <v>2357</v>
      </c>
      <c r="E653" s="215" t="s">
        <v>2363</v>
      </c>
      <c r="F653" s="112" t="str">
        <f>IF(ISBLANK(E653),"",_xlfn.XLOOKUP(E653,[1]cannabis_log!C:C,[1]cannabis_log!J:J,"",0,))</f>
        <v>EX24101802V30</v>
      </c>
      <c r="G653" s="112"/>
      <c r="H653" s="112" t="str">
        <f>IF(ISBLANK(E653),"",_xlfn.XLOOKUP(E653,cannabis_log!C:C,cannabis_log!H:H,"",0,1))</f>
        <v>extract_ingested_labelled</v>
      </c>
      <c r="I653" s="113">
        <f>IF(ISBLANK(E653),"",_xlfn.XLOOKUP(E653,cannabis_log!C:C,cannabis_log!K:K,"NOT FOUND",0,1))</f>
        <v>45588</v>
      </c>
      <c r="J653" s="185">
        <v>-70</v>
      </c>
      <c r="K653" s="186">
        <f t="shared" si="17"/>
        <v>0</v>
      </c>
      <c r="L653" s="288">
        <f t="shared" si="14"/>
        <v>-1932</v>
      </c>
      <c r="M653" s="24"/>
      <c r="N653" s="112" t="str">
        <f>IF(ISBLANK(E653),"",_xlfn.XLOOKUP(E653,[1]cannabis_log!C:C,[1]cannabis_log!T:T,"Not Found",0,))</f>
        <v>net</v>
      </c>
      <c r="O653" s="180">
        <f>IF(N653="net",_xlfn.XLOOKUP(E653,[1]cannabis_log!C:C,[1]cannabis_log!N:N,"NOT FOUND",0,1),IF(N653="gross",0,""))</f>
        <v>27.6</v>
      </c>
    </row>
    <row r="654" spans="1:15">
      <c r="A654" s="181" t="str">
        <f t="shared" si="16"/>
        <v>outbound</v>
      </c>
      <c r="B654" s="182">
        <v>45616.507638888892</v>
      </c>
      <c r="C654" s="183" t="s">
        <v>1929</v>
      </c>
      <c r="D654" s="22" t="s">
        <v>2357</v>
      </c>
      <c r="E654" s="215" t="s">
        <v>2364</v>
      </c>
      <c r="F654" s="112" t="str">
        <f>IF(ISBLANK(E654),"",_xlfn.XLOOKUP(E654,[1]cannabis_log!C:C,[1]cannabis_log!J:J,"",0,))</f>
        <v>EX24022302V30</v>
      </c>
      <c r="G654" s="112"/>
      <c r="H654" s="112" t="str">
        <f>IF(ISBLANK(E654),"",_xlfn.XLOOKUP(E654,cannabis_log!C:C,cannabis_log!H:H,"",0,1))</f>
        <v>extract_ingested_labelled</v>
      </c>
      <c r="I654" s="113">
        <f>IF(ISBLANK(E654),"",_xlfn.XLOOKUP(E654,cannabis_log!C:C,cannabis_log!K:K,"NOT FOUND",0,1))</f>
        <v>45588</v>
      </c>
      <c r="J654" s="185">
        <v>-5</v>
      </c>
      <c r="K654" s="186">
        <f t="shared" si="17"/>
        <v>0</v>
      </c>
      <c r="L654" s="288">
        <f t="shared" si="14"/>
        <v>-138</v>
      </c>
      <c r="M654" s="24"/>
      <c r="N654" s="112" t="str">
        <f>IF(ISBLANK(E654),"",_xlfn.XLOOKUP(E654,[1]cannabis_log!C:C,[1]cannabis_log!T:T,"Not Found",0,))</f>
        <v>net</v>
      </c>
      <c r="O654" s="180">
        <f>IF(N654="net",_xlfn.XLOOKUP(E654,[1]cannabis_log!C:C,[1]cannabis_log!N:N,"NOT FOUND",0,1),IF(N654="gross",0,""))</f>
        <v>27.6</v>
      </c>
    </row>
    <row r="655" spans="1:15">
      <c r="A655" s="181" t="str">
        <f t="shared" si="16"/>
        <v>outbound</v>
      </c>
      <c r="B655" s="182">
        <v>45616.507638888892</v>
      </c>
      <c r="C655" s="183" t="s">
        <v>1929</v>
      </c>
      <c r="D655" s="22" t="s">
        <v>2357</v>
      </c>
      <c r="E655" s="215" t="s">
        <v>2365</v>
      </c>
      <c r="F655" s="112" t="str">
        <f>IF(ISBLANK(E655),"",_xlfn.XLOOKUP(E655,[1]cannabis_log!C:C,[1]cannabis_log!J:J,"",0,))</f>
        <v>EX24022302V30</v>
      </c>
      <c r="G655" s="112"/>
      <c r="H655" s="112" t="str">
        <f>IF(ISBLANK(E655),"",_xlfn.XLOOKUP(E655,cannabis_log!C:C,cannabis_log!H:H,"",0,1))</f>
        <v>extract_ingested_labelled</v>
      </c>
      <c r="I655" s="113">
        <f>IF(ISBLANK(E655),"",_xlfn.XLOOKUP(E655,cannabis_log!C:C,cannabis_log!K:K,"NOT FOUND",0,1))</f>
        <v>45588</v>
      </c>
      <c r="J655" s="185">
        <v>-12</v>
      </c>
      <c r="K655" s="186">
        <f t="shared" si="17"/>
        <v>0</v>
      </c>
      <c r="L655" s="288">
        <f t="shared" si="14"/>
        <v>-331.20000000000005</v>
      </c>
      <c r="M655" s="24"/>
      <c r="N655" s="112" t="str">
        <f>IF(ISBLANK(E655),"",_xlfn.XLOOKUP(E655,[1]cannabis_log!C:C,[1]cannabis_log!T:T,"Not Found",0,))</f>
        <v>net</v>
      </c>
      <c r="O655" s="180">
        <f>IF(N655="net",_xlfn.XLOOKUP(E655,[1]cannabis_log!C:C,[1]cannabis_log!N:N,"NOT FOUND",0,1),IF(N655="gross",0,""))</f>
        <v>27.6</v>
      </c>
    </row>
    <row r="656" spans="1:15">
      <c r="A656" s="181" t="str">
        <f t="shared" si="16"/>
        <v>outbound</v>
      </c>
      <c r="B656" s="182">
        <v>45616.507638888892</v>
      </c>
      <c r="C656" s="183" t="s">
        <v>1929</v>
      </c>
      <c r="D656" s="22" t="s">
        <v>2357</v>
      </c>
      <c r="E656" s="215" t="s">
        <v>2366</v>
      </c>
      <c r="F656" s="112" t="str">
        <f>IF(ISBLANK(E656),"",_xlfn.XLOOKUP(E656,[1]cannabis_log!C:C,[1]cannabis_log!J:J,"",0,))</f>
        <v>EX24022302V30</v>
      </c>
      <c r="G656" s="112"/>
      <c r="H656" s="112" t="str">
        <f>IF(ISBLANK(E656),"",_xlfn.XLOOKUP(E656,cannabis_log!C:C,cannabis_log!H:H,"",0,1))</f>
        <v>extract_ingested_labelled</v>
      </c>
      <c r="I656" s="113">
        <f>IF(ISBLANK(E656),"",_xlfn.XLOOKUP(E656,cannabis_log!C:C,cannabis_log!K:K,"NOT FOUND",0,1))</f>
        <v>45588</v>
      </c>
      <c r="J656" s="185">
        <v>-84</v>
      </c>
      <c r="K656" s="186">
        <f t="shared" si="17"/>
        <v>0</v>
      </c>
      <c r="L656" s="288">
        <f t="shared" si="14"/>
        <v>-2318.4</v>
      </c>
      <c r="M656" s="24"/>
      <c r="N656" s="112" t="str">
        <f>IF(ISBLANK(E656),"",_xlfn.XLOOKUP(E656,[1]cannabis_log!C:C,[1]cannabis_log!T:T,"Not Found",0,))</f>
        <v>net</v>
      </c>
      <c r="O656" s="180">
        <f>IF(N656="net",_xlfn.XLOOKUP(E656,[1]cannabis_log!C:C,[1]cannabis_log!N:N,"NOT FOUND",0,1),IF(N656="gross",0,""))</f>
        <v>27.6</v>
      </c>
    </row>
    <row r="657" spans="1:15">
      <c r="A657" s="181" t="str">
        <f t="shared" si="16"/>
        <v>outbound</v>
      </c>
      <c r="B657" s="182">
        <v>45616.507638888892</v>
      </c>
      <c r="C657" s="183" t="s">
        <v>1921</v>
      </c>
      <c r="D657" s="183" t="s">
        <v>2367</v>
      </c>
      <c r="E657" s="215" t="s">
        <v>2368</v>
      </c>
      <c r="F657" s="112" t="str">
        <f>IF(ISBLANK(E657),"",_xlfn.XLOOKUP(E657,[1]cannabis_log!C:C,[1]cannabis_log!J:J,"",0,))</f>
        <v>2021082601R1</v>
      </c>
      <c r="G657" s="112"/>
      <c r="H657" s="112" t="str">
        <f>IF(ISBLANK(E657),"",_xlfn.XLOOKUP(E657,cannabis_log!C:C,cannabis_log!H:H,"",0,1))</f>
        <v>driedflower_labelled_RTV</v>
      </c>
      <c r="I657" s="113">
        <f>IF(ISBLANK(E657),"",_xlfn.XLOOKUP(E657,cannabis_log!C:C,cannabis_log!K:K,"NOT FOUND",0,1))</f>
        <v>44646</v>
      </c>
      <c r="J657" s="185">
        <v>-49</v>
      </c>
      <c r="K657" s="186">
        <f t="shared" si="17"/>
        <v>0</v>
      </c>
      <c r="L657" s="288">
        <f t="shared" si="14"/>
        <v>-171.5</v>
      </c>
      <c r="M657" s="24"/>
      <c r="N657" s="112" t="str">
        <f>IF(ISBLANK(E657),"",_xlfn.XLOOKUP(E657,[1]cannabis_log!C:C,[1]cannabis_log!T:T,"Not Found",0,))</f>
        <v>net</v>
      </c>
      <c r="O657" s="180">
        <f>IF(N657="net",_xlfn.XLOOKUP(E657,[1]cannabis_log!C:C,[1]cannabis_log!N:N,"NOT FOUND",0,1),IF(N657="gross",0,""))</f>
        <v>3.5</v>
      </c>
    </row>
    <row r="658" spans="1:15">
      <c r="A658" s="181" t="str">
        <f t="shared" si="16"/>
        <v>inbound</v>
      </c>
      <c r="B658" s="182">
        <v>45616.619444444441</v>
      </c>
      <c r="C658" s="183" t="s">
        <v>1927</v>
      </c>
      <c r="D658" s="183"/>
      <c r="E658" s="215" t="s">
        <v>2283</v>
      </c>
      <c r="F658" s="112">
        <f>IF(ISBLANK(E658),"",_xlfn.XLOOKUP(E658,[1]cannabis_log!C:C,[1]cannabis_log!J:J,"",0,))</f>
        <v>2024101703</v>
      </c>
      <c r="G658" s="112"/>
      <c r="H658" s="112" t="str">
        <f>IF(ISBLANK(E658),"",_xlfn.XLOOKUP(E658,cannabis_log!C:C,cannabis_log!H:H,"",0,1))</f>
        <v>driedflower_bulk</v>
      </c>
      <c r="I658" s="113" t="str">
        <f>IF(ISBLANK(E658),"",_xlfn.XLOOKUP(E658,cannabis_log!C:C,cannabis_log!K:K,"NOT FOUND",0,1))</f>
        <v>NA</v>
      </c>
      <c r="J658" s="185">
        <v>1</v>
      </c>
      <c r="K658" s="186">
        <v>1700</v>
      </c>
      <c r="L658" s="288">
        <f t="shared" si="14"/>
        <v>0</v>
      </c>
      <c r="M658" s="24"/>
      <c r="N658" s="112" t="str">
        <f>IF(ISBLANK(E658),"",_xlfn.XLOOKUP(E658,[1]cannabis_log!C:C,[1]cannabis_log!T:T,"Not Found",0,))</f>
        <v>gross</v>
      </c>
      <c r="O658" s="180">
        <f>IF(N658="net",_xlfn.XLOOKUP(E658,[1]cannabis_log!C:C,[1]cannabis_log!N:N,"NOT FOUND",0,1),IF(N658="gross",0,""))</f>
        <v>0</v>
      </c>
    </row>
    <row r="659" spans="1:15">
      <c r="A659" s="181" t="str">
        <f t="shared" si="16"/>
        <v>outbound</v>
      </c>
      <c r="B659" s="182">
        <v>45616.635416666664</v>
      </c>
      <c r="C659" s="183" t="s">
        <v>1921</v>
      </c>
      <c r="D659" s="183" t="s">
        <v>2367</v>
      </c>
      <c r="E659" s="215" t="s">
        <v>2344</v>
      </c>
      <c r="F659" s="112" t="str">
        <f>IF(ISBLANK(E659),"",_xlfn.XLOOKUP(E659,[1]cannabis_log!C:C,[1]cannabis_log!J:J,"",0,))</f>
        <v>2021082601R1</v>
      </c>
      <c r="G659" s="112"/>
      <c r="H659" s="112" t="str">
        <f>IF(ISBLANK(E659),"",_xlfn.XLOOKUP(E659,cannabis_log!C:C,cannabis_log!H:H,"",0,1))</f>
        <v>driedflower_labelled_RTV</v>
      </c>
      <c r="I659" s="113">
        <f>IF(ISBLANK(E659),"",_xlfn.XLOOKUP(E659,cannabis_log!C:C,cannabis_log!K:K,"NOT FOUND",0,1))</f>
        <v>45616</v>
      </c>
      <c r="J659" s="185">
        <v>-107</v>
      </c>
      <c r="K659" s="186">
        <f>IF(N659="net",0,"")</f>
        <v>0</v>
      </c>
      <c r="L659" s="288">
        <f t="shared" si="14"/>
        <v>-374.5</v>
      </c>
      <c r="M659" s="24"/>
      <c r="N659" s="112" t="str">
        <f>IF(ISBLANK(E659),"",_xlfn.XLOOKUP(E659,[1]cannabis_log!C:C,[1]cannabis_log!T:T,"Not Found",0,))</f>
        <v>net</v>
      </c>
      <c r="O659" s="180">
        <f>IF(N659="net",_xlfn.XLOOKUP(E659,[1]cannabis_log!C:C,[1]cannabis_log!N:N,"NOT FOUND",0,1),IF(N659="gross",0,""))</f>
        <v>3.5</v>
      </c>
    </row>
    <row r="660" spans="1:15">
      <c r="A660" s="181" t="str">
        <f t="shared" si="16"/>
        <v>outbound</v>
      </c>
      <c r="B660" s="182">
        <v>45617.409722222219</v>
      </c>
      <c r="C660" s="183" t="s">
        <v>1921</v>
      </c>
      <c r="D660" s="183" t="s">
        <v>2369</v>
      </c>
      <c r="E660" s="215" t="s">
        <v>2370</v>
      </c>
      <c r="F660" s="112" t="str">
        <f>IF(ISBLANK(E660),"",_xlfn.XLOOKUP(E660,[1]cannabis_log!C:C,[1]cannabis_log!J:J,"",0,))</f>
        <v>EX23060701V30</v>
      </c>
      <c r="G660" s="112"/>
      <c r="H660" s="112" t="str">
        <f>IF(ISBLANK(E660),"",_xlfn.XLOOKUP(E660,cannabis_log!C:C,cannabis_log!H:H,"",0,1))</f>
        <v>extract_ingested_labelled</v>
      </c>
      <c r="I660" s="113">
        <f>IF(ISBLANK(E660),"",_xlfn.XLOOKUP(E660,cannabis_log!C:C,cannabis_log!K:K,"NOT FOUND",0,1))</f>
        <v>45777</v>
      </c>
      <c r="J660" s="185">
        <v>-73</v>
      </c>
      <c r="K660" s="186">
        <f>IF(N660="net",0,"")</f>
        <v>0</v>
      </c>
      <c r="L660" s="288">
        <f t="shared" si="14"/>
        <v>-2000.1999999999998</v>
      </c>
      <c r="M660" s="24"/>
      <c r="N660" s="112" t="str">
        <f>IF(ISBLANK(E660),"",_xlfn.XLOOKUP(E660,[1]cannabis_log!C:C,[1]cannabis_log!T:T,"Not Found",0,))</f>
        <v>net</v>
      </c>
      <c r="O660" s="180">
        <f>IF(N660="net",_xlfn.XLOOKUP(E660,[1]cannabis_log!C:C,[1]cannabis_log!N:N,"NOT FOUND",0,1),IF(N660="gross",0,""))</f>
        <v>27.4</v>
      </c>
    </row>
    <row r="661" spans="1:15">
      <c r="A661" s="181" t="str">
        <f t="shared" si="16"/>
        <v>outbound</v>
      </c>
      <c r="B661" s="182">
        <v>45617.409722222219</v>
      </c>
      <c r="C661" s="183" t="s">
        <v>1921</v>
      </c>
      <c r="D661" s="183" t="s">
        <v>2369</v>
      </c>
      <c r="E661" s="215" t="s">
        <v>2299</v>
      </c>
      <c r="F661" s="112" t="str">
        <f>IF(ISBLANK(E661),"",_xlfn.XLOOKUP(E661,[1]cannabis_log!C:C,[1]cannabis_log!J:J,"",0,))</f>
        <v>EX23060701V30</v>
      </c>
      <c r="G661" s="112"/>
      <c r="H661" s="112" t="str">
        <f>IF(ISBLANK(E661),"",_xlfn.XLOOKUP(E661,cannabis_log!C:C,cannabis_log!H:H,"",0,1))</f>
        <v>extract_ingested_labelled</v>
      </c>
      <c r="I661" s="113">
        <f>IF(ISBLANK(E661),"",_xlfn.XLOOKUP(E661,cannabis_log!C:C,cannabis_log!K:K,"NOT FOUND",0,1))</f>
        <v>45094</v>
      </c>
      <c r="J661" s="185">
        <v>-84</v>
      </c>
      <c r="K661" s="186">
        <f>IF(N661="net",0,"")</f>
        <v>0</v>
      </c>
      <c r="L661" s="288">
        <f t="shared" si="14"/>
        <v>-2301.6</v>
      </c>
      <c r="M661" s="24"/>
      <c r="N661" s="112" t="str">
        <f>IF(ISBLANK(E661),"",_xlfn.XLOOKUP(E661,[1]cannabis_log!C:C,[1]cannabis_log!T:T,"Not Found",0,))</f>
        <v>net</v>
      </c>
      <c r="O661" s="180">
        <f>IF(N661="net",_xlfn.XLOOKUP(E661,[1]cannabis_log!C:C,[1]cannabis_log!N:N,"NOT FOUND",0,1),IF(N661="gross",0,""))</f>
        <v>27.4</v>
      </c>
    </row>
    <row r="662" spans="1:15">
      <c r="A662" s="181" t="str">
        <f t="shared" si="16"/>
        <v>outbound</v>
      </c>
      <c r="B662" s="182">
        <v>45617.418055555558</v>
      </c>
      <c r="C662" s="183" t="s">
        <v>1929</v>
      </c>
      <c r="D662" s="22" t="s">
        <v>2325</v>
      </c>
      <c r="E662" s="215" t="s">
        <v>2321</v>
      </c>
      <c r="F662" s="112" t="str">
        <f>IF(ISBLANK(E662),"",_xlfn.XLOOKUP(E662,[1]cannabis_log!C:C,[1]cannabis_log!J:J,"",0,))</f>
        <v>EX24102201V50</v>
      </c>
      <c r="G662" s="112"/>
      <c r="H662" s="112" t="str">
        <f>IF(ISBLANK(E662),"",_xlfn.XLOOKUP(E662,cannabis_log!C:C,cannabis_log!H:H,"",0,1))</f>
        <v>extract_ingested_cased_ON</v>
      </c>
      <c r="I662" s="113">
        <f>IF(ISBLANK(E662),"",_xlfn.XLOOKUP(E662,cannabis_log!C:C,cannabis_log!K:K,"NOT FOUND",0,1))</f>
        <v>45594</v>
      </c>
      <c r="J662" s="185">
        <v>-12</v>
      </c>
      <c r="K662" s="186">
        <f>IF(N662="net",0,"")</f>
        <v>0</v>
      </c>
      <c r="L662" s="288">
        <f t="shared" si="14"/>
        <v>-7200</v>
      </c>
      <c r="M662" s="24"/>
      <c r="N662" s="112" t="str">
        <f>IF(ISBLANK(E662),"",_xlfn.XLOOKUP(E662,[1]cannabis_log!C:C,[1]cannabis_log!T:T,"Not Found",0,))</f>
        <v>net</v>
      </c>
      <c r="O662" s="180">
        <f>IF(N662="net",_xlfn.XLOOKUP(E662,[1]cannabis_log!C:C,[1]cannabis_log!N:N,"NOT FOUND",0,1),IF(N662="gross",0,""))</f>
        <v>600</v>
      </c>
    </row>
    <row r="663" spans="1:15">
      <c r="A663" s="181" t="str">
        <f t="shared" si="16"/>
        <v>outbound</v>
      </c>
      <c r="B663" s="182">
        <v>45617.429861111108</v>
      </c>
      <c r="C663" s="183" t="s">
        <v>1929</v>
      </c>
      <c r="D663" s="183" t="s">
        <v>2371</v>
      </c>
      <c r="E663" s="215" t="s">
        <v>2307</v>
      </c>
      <c r="F663" s="112" t="str">
        <f>IF(ISBLANK(E663),"",_xlfn.XLOOKUP(E663,[1]cannabis_log!C:C,[1]cannabis_log!J:J,"",0,))</f>
        <v>TP24101701</v>
      </c>
      <c r="G663" s="112"/>
      <c r="H663" s="112" t="str">
        <f>IF(ISBLANK(E663),"",_xlfn.XLOOKUP(E663,cannabis_log!C:C,cannabis_log!H:H,"",0,1))</f>
        <v>topical_labelled</v>
      </c>
      <c r="I663" s="113">
        <f>IF(ISBLANK(E663),"",_xlfn.XLOOKUP(E663,cannabis_log!C:C,cannabis_log!K:K,"NOT FOUND",0,1))</f>
        <v>45588</v>
      </c>
      <c r="J663" s="185">
        <v>-82</v>
      </c>
      <c r="K663" s="186">
        <f>IF(N663="net",0,"")</f>
        <v>0</v>
      </c>
      <c r="L663" s="288">
        <f t="shared" si="14"/>
        <v>-7216</v>
      </c>
      <c r="M663" s="24"/>
      <c r="N663" s="112" t="str">
        <f>IF(ISBLANK(E663),"",_xlfn.XLOOKUP(E663,[1]cannabis_log!C:C,[1]cannabis_log!T:T,"Not Found",0,))</f>
        <v>net</v>
      </c>
      <c r="O663" s="180">
        <f>IF(N663="net",_xlfn.XLOOKUP(E663,[1]cannabis_log!C:C,[1]cannabis_log!N:N,"NOT FOUND",0,1),IF(N663="gross",0,""))</f>
        <v>88</v>
      </c>
    </row>
    <row r="664" spans="1:15">
      <c r="A664" s="181" t="str">
        <f t="shared" si="16"/>
        <v>outbound</v>
      </c>
      <c r="B664" s="182">
        <v>45617.455555555556</v>
      </c>
      <c r="C664" s="183" t="s">
        <v>1924</v>
      </c>
      <c r="D664" s="183" t="s">
        <v>2372</v>
      </c>
      <c r="E664" s="215" t="s">
        <v>1945</v>
      </c>
      <c r="F664" s="112" t="str">
        <f>IF(ISBLANK(E664),"",_xlfn.XLOOKUP(E664,[1]cannabis_log!C:C,[1]cannabis_log!J:J,"",0,))</f>
        <v>LR23032101</v>
      </c>
      <c r="G664" s="112"/>
      <c r="H664" s="112" t="str">
        <f>IF(ISBLANK(E664),"",_xlfn.XLOOKUP(E664,cannabis_log!C:C,cannabis_log!H:H,"",0,1))</f>
        <v>extract_inhaled_bulk</v>
      </c>
      <c r="I664" s="113" t="str">
        <f>IF(ISBLANK(E664),"",_xlfn.XLOOKUP(E664,cannabis_log!C:C,cannabis_log!K:K,"NOT FOUND",0,1))</f>
        <v>NA</v>
      </c>
      <c r="J664" s="185">
        <v>0</v>
      </c>
      <c r="K664" s="186">
        <f>2042.5-2044</f>
        <v>-1.5</v>
      </c>
      <c r="L664" s="288">
        <f t="shared" si="14"/>
        <v>0</v>
      </c>
      <c r="M664" s="24"/>
      <c r="N664" s="112" t="str">
        <f>IF(ISBLANK(E664),"",_xlfn.XLOOKUP(E664,[1]cannabis_log!C:C,[1]cannabis_log!T:T,"Not Found",0,))</f>
        <v>gross</v>
      </c>
      <c r="O664" s="180">
        <f>IF(N664="net",_xlfn.XLOOKUP(E664,[1]cannabis_log!C:C,[1]cannabis_log!N:N,"NOT FOUND",0,1),IF(N664="gross",0,""))</f>
        <v>0</v>
      </c>
    </row>
    <row r="665" spans="1:15">
      <c r="A665" s="181" t="str">
        <f t="shared" si="16"/>
        <v>inbound</v>
      </c>
      <c r="B665" s="182">
        <v>45617.540277777778</v>
      </c>
      <c r="C665" s="183" t="s">
        <v>1927</v>
      </c>
      <c r="D665" s="183"/>
      <c r="E665" s="215" t="s">
        <v>2344</v>
      </c>
      <c r="F665" s="112" t="str">
        <f>IF(ISBLANK(E665),"",_xlfn.XLOOKUP(E665,[1]cannabis_log!C:C,[1]cannabis_log!J:J,"",0,))</f>
        <v>2021082601R1</v>
      </c>
      <c r="G665" s="112"/>
      <c r="H665" s="112" t="str">
        <f>IF(ISBLANK(E665),"",_xlfn.XLOOKUP(E665,cannabis_log!C:C,cannabis_log!H:H,"",0,1))</f>
        <v>driedflower_labelled_RTV</v>
      </c>
      <c r="I665" s="113">
        <f>IF(ISBLANK(E665),"",_xlfn.XLOOKUP(E665,cannabis_log!C:C,cannabis_log!K:K,"NOT FOUND",0,1))</f>
        <v>45616</v>
      </c>
      <c r="J665" s="185">
        <v>135</v>
      </c>
      <c r="K665" s="186">
        <f>IF(N665="net",0,"")</f>
        <v>0</v>
      </c>
      <c r="L665" s="288">
        <f t="shared" si="14"/>
        <v>472.5</v>
      </c>
      <c r="M665" s="24"/>
      <c r="N665" s="112" t="str">
        <f>IF(ISBLANK(E665),"",_xlfn.XLOOKUP(E665,[1]cannabis_log!C:C,[1]cannabis_log!T:T,"Not Found",0,))</f>
        <v>net</v>
      </c>
      <c r="O665" s="180">
        <f>IF(N665="net",_xlfn.XLOOKUP(E665,[1]cannabis_log!C:C,[1]cannabis_log!N:N,"NOT FOUND",0,1),IF(N665="gross",0,""))</f>
        <v>3.5</v>
      </c>
    </row>
    <row r="666" spans="1:15">
      <c r="A666" s="181" t="str">
        <f t="shared" si="16"/>
        <v>inbound</v>
      </c>
      <c r="B666" s="182">
        <v>45617.540277777778</v>
      </c>
      <c r="C666" s="183" t="s">
        <v>1927</v>
      </c>
      <c r="D666" s="183"/>
      <c r="E666" s="215" t="s">
        <v>2337</v>
      </c>
      <c r="F666" s="112" t="str">
        <f>IF(ISBLANK(E666),"",_xlfn.XLOOKUP(E666,[1]cannabis_log!C:C,[1]cannabis_log!J:J,"",0,))</f>
        <v>2021082601R1</v>
      </c>
      <c r="G666" s="112"/>
      <c r="H666" s="112" t="str">
        <f>IF(ISBLANK(E666),"",_xlfn.XLOOKUP(E666,cannabis_log!C:C,cannabis_log!H:H,"",0,1))</f>
        <v>driedflower_labelled_RTV</v>
      </c>
      <c r="I666" s="113">
        <f>IF(ISBLANK(E666),"",_xlfn.XLOOKUP(E666,cannabis_log!C:C,cannabis_log!K:K,"NOT FOUND",0,1))</f>
        <v>44646</v>
      </c>
      <c r="J666" s="185">
        <v>22</v>
      </c>
      <c r="K666" s="186">
        <f>IF(N666="net",0,"")</f>
        <v>0</v>
      </c>
      <c r="L666" s="288">
        <f t="shared" si="14"/>
        <v>77</v>
      </c>
      <c r="M666" s="24"/>
      <c r="N666" s="112" t="str">
        <f>IF(ISBLANK(E666),"",_xlfn.XLOOKUP(E666,[1]cannabis_log!C:C,[1]cannabis_log!T:T,"Not Found",0,))</f>
        <v>net</v>
      </c>
      <c r="O666" s="180">
        <f>IF(N666="net",_xlfn.XLOOKUP(E666,[1]cannabis_log!C:C,[1]cannabis_log!N:N,"NOT FOUND",0,1),IF(N666="gross",0,""))</f>
        <v>3.5</v>
      </c>
    </row>
    <row r="667" spans="1:15">
      <c r="A667" s="181" t="str">
        <f t="shared" si="16"/>
        <v>outbound</v>
      </c>
      <c r="B667" s="182">
        <v>45617.589583333334</v>
      </c>
      <c r="C667" s="183" t="s">
        <v>1921</v>
      </c>
      <c r="D667" s="183"/>
      <c r="E667" s="215" t="s">
        <v>2373</v>
      </c>
      <c r="F667" s="112">
        <f>IF(ISBLANK(E667),"",_xlfn.XLOOKUP(E667,[1]cannabis_log!C:C,[1]cannabis_log!J:J,"",0,))</f>
        <v>2024111901</v>
      </c>
      <c r="G667" s="112"/>
      <c r="H667" s="112" t="str">
        <f>IF(ISBLANK(E667),"",_xlfn.XLOOKUP(E667,cannabis_log!C:C,cannabis_log!H:H,"",0,1))</f>
        <v>extract_inhaled_bulk</v>
      </c>
      <c r="I667" s="113" t="str">
        <f>IF(ISBLANK(E667),"",_xlfn.XLOOKUP(E667,cannabis_log!C:C,cannabis_log!K:K,"NOT FOUND",0,1))</f>
        <v>NA</v>
      </c>
      <c r="J667" s="185">
        <v>-1</v>
      </c>
      <c r="K667" s="186">
        <v>-3045</v>
      </c>
      <c r="L667" s="288">
        <f t="shared" si="14"/>
        <v>0</v>
      </c>
      <c r="M667" s="24"/>
      <c r="N667" s="112" t="str">
        <f>IF(ISBLANK(E667),"",_xlfn.XLOOKUP(E667,[1]cannabis_log!C:C,[1]cannabis_log!T:T,"Not Found",0,))</f>
        <v>gross</v>
      </c>
      <c r="O667" s="180">
        <f>IF(N667="net",_xlfn.XLOOKUP(E667,[1]cannabis_log!C:C,[1]cannabis_log!N:N,"NOT FOUND",0,1),IF(N667="gross",0,""))</f>
        <v>0</v>
      </c>
    </row>
    <row r="668" spans="1:15">
      <c r="A668" s="181" t="str">
        <f t="shared" si="16"/>
        <v>outbound</v>
      </c>
      <c r="B668" s="182">
        <v>45617.589583333334</v>
      </c>
      <c r="C668" s="183" t="s">
        <v>1921</v>
      </c>
      <c r="D668" s="183"/>
      <c r="E668" s="215" t="s">
        <v>2374</v>
      </c>
      <c r="F668" s="112" t="str">
        <f>IF(ISBLANK(E668),"",_xlfn.XLOOKUP(E668,[1]cannabis_log!C:C,[1]cannabis_log!J:J,"",0,))</f>
        <v>EX24101705G05</v>
      </c>
      <c r="G668" s="112"/>
      <c r="H668" s="112" t="str">
        <f>IF(ISBLANK(E668),"",_xlfn.XLOOKUP(E668,cannabis_log!C:C,cannabis_log!H:H,"",0,1))</f>
        <v>extract_inhaled_packaged</v>
      </c>
      <c r="I668" s="113" t="str">
        <f>IF(ISBLANK(E668),"",_xlfn.XLOOKUP(E668,cannabis_log!C:C,cannabis_log!K:K,"NOT FOUND",0,1))</f>
        <v>NA</v>
      </c>
      <c r="J668" s="185">
        <v>-1</v>
      </c>
      <c r="K668" s="186">
        <v>-458.46</v>
      </c>
      <c r="L668" s="288">
        <f t="shared" si="14"/>
        <v>-0.5</v>
      </c>
      <c r="M668" s="24"/>
      <c r="N668" s="112" t="str">
        <f>IF(ISBLANK(E668),"",_xlfn.XLOOKUP(E668,[1]cannabis_log!C:C,[1]cannabis_log!T:T,"Not Found",0,))</f>
        <v>net</v>
      </c>
      <c r="O668" s="180">
        <f>IF(N668="net",_xlfn.XLOOKUP(E668,[1]cannabis_log!C:C,[1]cannabis_log!N:N,"NOT FOUND",0,1),IF(N668="gross",0,""))</f>
        <v>0.5</v>
      </c>
    </row>
    <row r="669" spans="1:15">
      <c r="A669" s="181" t="str">
        <f t="shared" si="16"/>
        <v>outbound</v>
      </c>
      <c r="B669" s="182">
        <v>45617.679861111108</v>
      </c>
      <c r="C669" s="183" t="s">
        <v>1921</v>
      </c>
      <c r="D669" s="22" t="s">
        <v>2375</v>
      </c>
      <c r="E669" s="215" t="s">
        <v>2283</v>
      </c>
      <c r="F669" s="112">
        <f>IF(ISBLANK(E669),"",_xlfn.XLOOKUP(E669,[1]cannabis_log!C:C,[1]cannabis_log!J:J,"",0,))</f>
        <v>2024101703</v>
      </c>
      <c r="G669" s="112"/>
      <c r="H669" s="112" t="str">
        <f>IF(ISBLANK(E669),"",_xlfn.XLOOKUP(E669,cannabis_log!C:C,cannabis_log!H:H,"",0,1))</f>
        <v>driedflower_bulk</v>
      </c>
      <c r="I669" s="113" t="str">
        <f>IF(ISBLANK(E669),"",_xlfn.XLOOKUP(E669,cannabis_log!C:C,cannabis_log!K:K,"NOT FOUND",0,1))</f>
        <v>NA</v>
      </c>
      <c r="J669" s="185">
        <v>-1</v>
      </c>
      <c r="K669" s="186">
        <v>-1700</v>
      </c>
      <c r="L669" s="288">
        <f t="shared" si="14"/>
        <v>0</v>
      </c>
      <c r="M669" s="24"/>
      <c r="N669" s="112" t="str">
        <f>IF(ISBLANK(E669),"",_xlfn.XLOOKUP(E669,[1]cannabis_log!C:C,[1]cannabis_log!T:T,"Not Found",0,))</f>
        <v>gross</v>
      </c>
      <c r="O669" s="180">
        <f>IF(N669="net",_xlfn.XLOOKUP(E669,[1]cannabis_log!C:C,[1]cannabis_log!N:N,"NOT FOUND",0,1),IF(N669="gross",0,""))</f>
        <v>0</v>
      </c>
    </row>
    <row r="670" spans="1:15">
      <c r="A670" s="181" t="str">
        <f t="shared" si="16"/>
        <v>outbound</v>
      </c>
      <c r="B670" s="182">
        <v>45617.679861111108</v>
      </c>
      <c r="C670" s="183" t="s">
        <v>1921</v>
      </c>
      <c r="D670" s="22" t="s">
        <v>2375</v>
      </c>
      <c r="E670" s="215" t="s">
        <v>2282</v>
      </c>
      <c r="F670" s="112">
        <f>IF(ISBLANK(E670),"",_xlfn.XLOOKUP(E670,[1]cannabis_log!C:C,[1]cannabis_log!J:J,"",0,))</f>
        <v>2024101703</v>
      </c>
      <c r="G670" s="112"/>
      <c r="H670" s="112" t="str">
        <f>IF(ISBLANK(E670),"",_xlfn.XLOOKUP(E670,cannabis_log!C:C,cannabis_log!H:H,"",0,1))</f>
        <v>driedflower_bulk</v>
      </c>
      <c r="I670" s="113" t="str">
        <f>IF(ISBLANK(E670),"",_xlfn.XLOOKUP(E670,cannabis_log!C:C,cannabis_log!K:K,"NOT FOUND",0,1))</f>
        <v>NA</v>
      </c>
      <c r="J670" s="185">
        <v>-1</v>
      </c>
      <c r="K670" s="186">
        <v>-2000</v>
      </c>
      <c r="L670" s="288">
        <f t="shared" si="14"/>
        <v>0</v>
      </c>
      <c r="M670" s="24"/>
      <c r="N670" s="112" t="str">
        <f>IF(ISBLANK(E670),"",_xlfn.XLOOKUP(E670,[1]cannabis_log!C:C,[1]cannabis_log!T:T,"Not Found",0,))</f>
        <v>gross</v>
      </c>
      <c r="O670" s="180">
        <f>IF(N670="net",_xlfn.XLOOKUP(E670,[1]cannabis_log!C:C,[1]cannabis_log!N:N,"NOT FOUND",0,1),IF(N670="gross",0,""))</f>
        <v>0</v>
      </c>
    </row>
    <row r="671" spans="1:15">
      <c r="A671" s="181" t="str">
        <f t="shared" si="16"/>
        <v>outbound</v>
      </c>
      <c r="B671" s="182">
        <v>45617.679861111108</v>
      </c>
      <c r="C671" s="183" t="s">
        <v>1921</v>
      </c>
      <c r="D671" s="22" t="s">
        <v>2376</v>
      </c>
      <c r="E671" s="215" t="s">
        <v>2306</v>
      </c>
      <c r="F671" s="112" t="str">
        <f>IF(ISBLANK(E671),"",_xlfn.XLOOKUP(E671,[1]cannabis_log!C:C,[1]cannabis_log!J:J,"",0,))</f>
        <v>PR2407F5P2</v>
      </c>
      <c r="G671" s="112"/>
      <c r="H671" s="112" t="str">
        <f>IF(ISBLANK(E671),"",_xlfn.XLOOKUP(E671,cannabis_log!C:C,cannabis_log!H:H,"",0,1))</f>
        <v>preroll_labelled</v>
      </c>
      <c r="I671" s="113">
        <f>IF(ISBLANK(E671),"",_xlfn.XLOOKUP(E671,cannabis_log!C:C,cannabis_log!K:K,"NOT FOUND",0,1))</f>
        <v>45588</v>
      </c>
      <c r="J671" s="185">
        <v>-240</v>
      </c>
      <c r="K671" s="186">
        <f>IF(N671="net",0,"")</f>
        <v>0</v>
      </c>
      <c r="L671" s="288">
        <f t="shared" si="14"/>
        <v>-240</v>
      </c>
      <c r="M671" s="24"/>
      <c r="N671" s="112" t="str">
        <f>IF(ISBLANK(E671),"",_xlfn.XLOOKUP(E671,[1]cannabis_log!C:C,[1]cannabis_log!T:T,"Not Found",0,))</f>
        <v>net</v>
      </c>
      <c r="O671" s="180">
        <f>IF(N671="net",_xlfn.XLOOKUP(E671,[1]cannabis_log!C:C,[1]cannabis_log!N:N,"NOT FOUND",0,1),IF(N671="gross",0,""))</f>
        <v>1</v>
      </c>
    </row>
    <row r="672" spans="1:15">
      <c r="A672" s="181" t="str">
        <f t="shared" si="16"/>
        <v>inbound</v>
      </c>
      <c r="B672" s="182">
        <v>45617.68472222222</v>
      </c>
      <c r="C672" s="183" t="s">
        <v>1927</v>
      </c>
      <c r="D672" s="183"/>
      <c r="E672" s="215" t="s">
        <v>2297</v>
      </c>
      <c r="F672" s="112" t="str">
        <f>IF(ISBLANK(E672),"",_xlfn.XLOOKUP(E672,[1]cannabis_log!C:C,[1]cannabis_log!J:J,"",0,))</f>
        <v>EX23060701V30</v>
      </c>
      <c r="G672" s="112"/>
      <c r="H672" s="112" t="str">
        <f>IF(ISBLANK(E672),"",_xlfn.XLOOKUP(E672,cannabis_log!C:C,cannabis_log!H:H,"",0,1))</f>
        <v>extract_ingested_labelled</v>
      </c>
      <c r="I672" s="113">
        <f>IF(ISBLANK(E672),"",_xlfn.XLOOKUP(E672,cannabis_log!C:C,cannabis_log!K:K,"NOT FOUND",0,1))</f>
        <v>45596</v>
      </c>
      <c r="J672" s="185">
        <v>84</v>
      </c>
      <c r="K672" s="186">
        <f>IF(N672="net",0,"")</f>
        <v>0</v>
      </c>
      <c r="L672" s="288">
        <f t="shared" si="14"/>
        <v>2301.6</v>
      </c>
      <c r="M672" s="24"/>
      <c r="N672" s="112" t="str">
        <f>IF(ISBLANK(E672),"",_xlfn.XLOOKUP(E672,[1]cannabis_log!C:C,[1]cannabis_log!T:T,"Not Found",0,))</f>
        <v>net</v>
      </c>
      <c r="O672" s="180">
        <f>IF(N672="net",_xlfn.XLOOKUP(E672,[1]cannabis_log!C:C,[1]cannabis_log!N:N,"NOT FOUND",0,1),IF(N672="gross",0,""))</f>
        <v>27.4</v>
      </c>
    </row>
    <row r="673" spans="1:15">
      <c r="A673" s="181" t="str">
        <f t="shared" si="16"/>
        <v>inbound</v>
      </c>
      <c r="B673" s="182">
        <v>45617.68472222222</v>
      </c>
      <c r="C673" s="183" t="s">
        <v>1927</v>
      </c>
      <c r="D673" s="183"/>
      <c r="E673" s="215" t="s">
        <v>2370</v>
      </c>
      <c r="F673" s="112" t="str">
        <f>IF(ISBLANK(E673),"",_xlfn.XLOOKUP(E673,[1]cannabis_log!C:C,[1]cannabis_log!J:J,"",0,))</f>
        <v>EX23060701V30</v>
      </c>
      <c r="G673" s="112"/>
      <c r="H673" s="112" t="str">
        <f>IF(ISBLANK(E673),"",_xlfn.XLOOKUP(E673,cannabis_log!C:C,cannabis_log!H:H,"",0,1))</f>
        <v>extract_ingested_labelled</v>
      </c>
      <c r="I673" s="113">
        <f>IF(ISBLANK(E673),"",_xlfn.XLOOKUP(E673,cannabis_log!C:C,cannabis_log!K:K,"NOT FOUND",0,1))</f>
        <v>45777</v>
      </c>
      <c r="J673" s="185">
        <v>73</v>
      </c>
      <c r="K673" s="186">
        <f>IF(N673="net",0,"")</f>
        <v>0</v>
      </c>
      <c r="L673" s="288">
        <f t="shared" si="14"/>
        <v>2000.1999999999998</v>
      </c>
      <c r="M673" s="24"/>
      <c r="N673" s="112" t="str">
        <f>IF(ISBLANK(E673),"",_xlfn.XLOOKUP(E673,[1]cannabis_log!C:C,[1]cannabis_log!T:T,"Not Found",0,))</f>
        <v>net</v>
      </c>
      <c r="O673" s="180">
        <f>IF(N673="net",_xlfn.XLOOKUP(E673,[1]cannabis_log!C:C,[1]cannabis_log!N:N,"NOT FOUND",0,1),IF(N673="gross",0,""))</f>
        <v>27.4</v>
      </c>
    </row>
    <row r="674" spans="1:15">
      <c r="A674" s="181" t="str">
        <f t="shared" si="16"/>
        <v>inbound</v>
      </c>
      <c r="B674" s="182">
        <v>45617.68472222222</v>
      </c>
      <c r="C674" s="183" t="s">
        <v>1927</v>
      </c>
      <c r="D674" s="183"/>
      <c r="E674" s="215" t="s">
        <v>2300</v>
      </c>
      <c r="F674" s="112" t="str">
        <f>IF(ISBLANK(E674),"",_xlfn.XLOOKUP(E674,[1]cannabis_log!C:C,[1]cannabis_log!J:J,"",0,))</f>
        <v>EX23060701V30</v>
      </c>
      <c r="G674" s="112"/>
      <c r="H674" s="112" t="str">
        <f>IF(ISBLANK(E674),"",_xlfn.XLOOKUP(E674,cannabis_log!C:C,cannabis_log!H:H,"",0,1))</f>
        <v>extract_ingested_labelled</v>
      </c>
      <c r="I674" s="113">
        <f>IF(ISBLANK(E674),"",_xlfn.XLOOKUP(E674,cannabis_log!C:C,cannabis_log!K:K,"NOT FOUND",0,1))</f>
        <v>45596</v>
      </c>
      <c r="J674" s="185">
        <v>52</v>
      </c>
      <c r="K674" s="186">
        <f>IF(N674="net",0,"")</f>
        <v>0</v>
      </c>
      <c r="L674" s="288">
        <f t="shared" si="14"/>
        <v>1424.8</v>
      </c>
      <c r="M674" s="24"/>
      <c r="N674" s="112" t="str">
        <f>IF(ISBLANK(E674),"",_xlfn.XLOOKUP(E674,[1]cannabis_log!C:C,[1]cannabis_log!T:T,"Not Found",0,))</f>
        <v>net</v>
      </c>
      <c r="O674" s="180">
        <f>IF(N674="net",_xlfn.XLOOKUP(E674,[1]cannabis_log!C:C,[1]cannabis_log!N:N,"NOT FOUND",0,1),IF(N674="gross",0,""))</f>
        <v>27.4</v>
      </c>
    </row>
    <row r="675" spans="1:15">
      <c r="A675" s="181" t="str">
        <f t="shared" si="16"/>
        <v>outbound</v>
      </c>
      <c r="B675" s="182">
        <v>45618.402083333334</v>
      </c>
      <c r="C675" s="183" t="s">
        <v>1921</v>
      </c>
      <c r="D675" s="183" t="s">
        <v>2377</v>
      </c>
      <c r="E675" s="215" t="s">
        <v>2378</v>
      </c>
      <c r="F675" s="112">
        <f>IF(ISBLANK(E675),"",_xlfn.XLOOKUP(E675,[1]cannabis_log!C:C,[1]cannabis_log!J:J,"",0,))</f>
        <v>24111305</v>
      </c>
      <c r="G675" s="112"/>
      <c r="H675" s="112" t="str">
        <f>IF(ISBLANK(E675),"",_xlfn.XLOOKUP(E675,cannabis_log!C:C,cannabis_log!H:H,"",0,1))</f>
        <v>extract_inhaled_bulk</v>
      </c>
      <c r="I675" s="113" t="str">
        <f>IF(ISBLANK(E675),"",_xlfn.XLOOKUP(E675,cannabis_log!C:C,cannabis_log!K:K,"NOT FOUND",0,1))</f>
        <v>NA</v>
      </c>
      <c r="J675" s="185">
        <v>-1</v>
      </c>
      <c r="K675" s="186">
        <v>-2071.9</v>
      </c>
      <c r="L675" s="288">
        <f t="shared" si="14"/>
        <v>0</v>
      </c>
      <c r="M675" s="24"/>
      <c r="N675" s="112" t="str">
        <f>IF(ISBLANK(E675),"",_xlfn.XLOOKUP(E675,[1]cannabis_log!C:C,[1]cannabis_log!T:T,"Not Found",0,))</f>
        <v>gross</v>
      </c>
      <c r="O675" s="180">
        <f>IF(N675="net",_xlfn.XLOOKUP(E675,[1]cannabis_log!C:C,[1]cannabis_log!N:N,"NOT FOUND",0,1),IF(N675="gross",0,""))</f>
        <v>0</v>
      </c>
    </row>
    <row r="676" spans="1:15">
      <c r="A676" s="181" t="str">
        <f t="shared" si="16"/>
        <v>outbound</v>
      </c>
      <c r="B676" s="182">
        <v>45618.434027777781</v>
      </c>
      <c r="C676" s="183" t="s">
        <v>1924</v>
      </c>
      <c r="D676" s="183" t="s">
        <v>2379</v>
      </c>
      <c r="E676" s="215" t="s">
        <v>2380</v>
      </c>
      <c r="F676" s="112" t="str">
        <f>IF(ISBLANK(E676),"",_xlfn.XLOOKUP(E676,[1]cannabis_log!C:C,[1]cannabis_log!J:J,"",0,))</f>
        <v>CPR22102001</v>
      </c>
      <c r="G676" s="112"/>
      <c r="H676" s="112" t="str">
        <f>IF(ISBLANK(E676),"",_xlfn.XLOOKUP(E676,cannabis_log!C:C,cannabis_log!H:H,"",0,1))</f>
        <v>preroll_bulk</v>
      </c>
      <c r="I676" s="113">
        <f>IF(ISBLANK(E676),"",_xlfn.XLOOKUP(E676,cannabis_log!C:C,cannabis_log!K:K,"NOT FOUND",0,1))</f>
        <v>44960</v>
      </c>
      <c r="J676" s="185">
        <v>-168</v>
      </c>
      <c r="K676" s="186">
        <v>0</v>
      </c>
      <c r="L676" s="288">
        <f t="shared" si="14"/>
        <v>-168</v>
      </c>
      <c r="M676" s="24"/>
      <c r="N676" s="112" t="str">
        <f>IF(ISBLANK(E676),"",_xlfn.XLOOKUP(E676,[1]cannabis_log!C:C,[1]cannabis_log!T:T,"Not Found",0,))</f>
        <v>net</v>
      </c>
      <c r="O676" s="180">
        <f>IF(N676="net",_xlfn.XLOOKUP(E676,[1]cannabis_log!C:C,[1]cannabis_log!N:N,"NOT FOUND",0,1),IF(N676="gross",0,""))</f>
        <v>1</v>
      </c>
    </row>
    <row r="677" spans="1:15">
      <c r="A677" s="181" t="str">
        <f t="shared" si="16"/>
        <v>inbound</v>
      </c>
      <c r="B677" s="182">
        <v>45618.552083333336</v>
      </c>
      <c r="C677" s="183" t="s">
        <v>1927</v>
      </c>
      <c r="D677" s="183"/>
      <c r="E677" s="215" t="s">
        <v>2373</v>
      </c>
      <c r="F677" s="112">
        <f>IF(ISBLANK(E677),"",_xlfn.XLOOKUP(E677,[1]cannabis_log!C:C,[1]cannabis_log!J:J,"",0,))</f>
        <v>2024111901</v>
      </c>
      <c r="G677" s="112"/>
      <c r="H677" s="112" t="str">
        <f>IF(ISBLANK(E677),"",_xlfn.XLOOKUP(E677,cannabis_log!C:C,cannabis_log!H:H,"",0,1))</f>
        <v>extract_inhaled_bulk</v>
      </c>
      <c r="I677" s="113" t="str">
        <f>IF(ISBLANK(E677),"",_xlfn.XLOOKUP(E677,cannabis_log!C:C,cannabis_log!K:K,"NOT FOUND",0,1))</f>
        <v>NA</v>
      </c>
      <c r="J677" s="185">
        <v>1</v>
      </c>
      <c r="K677" s="186">
        <v>1960.3</v>
      </c>
      <c r="L677" s="288">
        <f t="shared" si="14"/>
        <v>0</v>
      </c>
      <c r="M677" s="24"/>
      <c r="N677" s="112" t="str">
        <f>IF(ISBLANK(E677),"",_xlfn.XLOOKUP(E677,[1]cannabis_log!C:C,[1]cannabis_log!T:T,"Not Found",0,))</f>
        <v>gross</v>
      </c>
      <c r="O677" s="180">
        <f>IF(N677="net",_xlfn.XLOOKUP(E677,[1]cannabis_log!C:C,[1]cannabis_log!N:N,"NOT FOUND",0,1),IF(N677="gross",0,""))</f>
        <v>0</v>
      </c>
    </row>
    <row r="678" spans="1:15">
      <c r="A678" s="181" t="str">
        <f t="shared" si="16"/>
        <v>outbound</v>
      </c>
      <c r="B678" s="182">
        <v>45621.402083333334</v>
      </c>
      <c r="C678" s="183" t="s">
        <v>1921</v>
      </c>
      <c r="D678" s="183" t="s">
        <v>2377</v>
      </c>
      <c r="E678" s="215" t="s">
        <v>2381</v>
      </c>
      <c r="F678" s="112" t="str">
        <f>IF(ISBLANK(E678),"",_xlfn.XLOOKUP(E678,[1]cannabis_log!C:C,[1]cannabis_log!J:J,"",0,))</f>
        <v>EX24101705</v>
      </c>
      <c r="G678" s="112"/>
      <c r="H678" s="112" t="str">
        <f>IF(ISBLANK(E678),"",_xlfn.XLOOKUP(E678,cannabis_log!C:C,cannabis_log!H:H,"",0,1))</f>
        <v>extract_inhaled_bulk</v>
      </c>
      <c r="I678" s="113" t="str">
        <f>IF(ISBLANK(E678),"",_xlfn.XLOOKUP(E678,cannabis_log!C:C,cannabis_log!K:K,"NOT FOUND",0,1))</f>
        <v>NA</v>
      </c>
      <c r="J678" s="185">
        <v>-1</v>
      </c>
      <c r="K678" s="186">
        <v>-708.61</v>
      </c>
      <c r="L678" s="288">
        <f t="shared" si="14"/>
        <v>0</v>
      </c>
      <c r="M678" s="24"/>
      <c r="N678" s="112" t="str">
        <f>IF(ISBLANK(E678),"",_xlfn.XLOOKUP(E678,[1]cannabis_log!C:C,[1]cannabis_log!T:T,"Not Found",0,))</f>
        <v>gross</v>
      </c>
      <c r="O678" s="180">
        <f>IF(N678="net",_xlfn.XLOOKUP(E678,[1]cannabis_log!C:C,[1]cannabis_log!N:N,"NOT FOUND",0,1),IF(N678="gross",0,""))</f>
        <v>0</v>
      </c>
    </row>
    <row r="679" spans="1:15">
      <c r="A679" s="181" t="str">
        <f t="shared" si="16"/>
        <v>outbound</v>
      </c>
      <c r="B679" s="182">
        <v>45621.404166666667</v>
      </c>
      <c r="C679" s="183" t="s">
        <v>1929</v>
      </c>
      <c r="D679" s="183" t="s">
        <v>2382</v>
      </c>
      <c r="E679" s="215" t="s">
        <v>2327</v>
      </c>
      <c r="F679" s="112" t="str">
        <f>IF(ISBLANK(E679),"",_xlfn.XLOOKUP(E679,[1]cannabis_log!C:C,[1]cannabis_log!J:J,"",0,))</f>
        <v>EX24082906G05</v>
      </c>
      <c r="G679" s="112"/>
      <c r="H679" s="112" t="str">
        <f>IF(ISBLANK(E679),"",_xlfn.XLOOKUP(E679,cannabis_log!C:C,cannabis_log!H:H,"",0,1))</f>
        <v>extract_inhaled_labelled</v>
      </c>
      <c r="I679" s="113">
        <f>IF(ISBLANK(E679),"",_xlfn.XLOOKUP(E679,cannabis_log!C:C,cannabis_log!K:K,"NOT FOUND",0,1))</f>
        <v>45588</v>
      </c>
      <c r="J679" s="185">
        <v>-36</v>
      </c>
      <c r="K679" s="186">
        <f>IF(N679="net",0,"")</f>
        <v>0</v>
      </c>
      <c r="L679" s="288">
        <f t="shared" si="14"/>
        <v>-18</v>
      </c>
      <c r="M679" s="24"/>
      <c r="N679" s="112" t="str">
        <f>IF(ISBLANK(E679),"",_xlfn.XLOOKUP(E679,[1]cannabis_log!C:C,[1]cannabis_log!T:T,"Not Found",0,))</f>
        <v>net</v>
      </c>
      <c r="O679" s="180">
        <f>IF(N679="net",_xlfn.XLOOKUP(E679,cannabis_log!C:C,cannabis_log!N:N,"NOT FOUND",0,1),IF(N679="gross",0,""))</f>
        <v>0.5</v>
      </c>
    </row>
    <row r="680" spans="1:15">
      <c r="A680" s="181" t="str">
        <f t="shared" si="16"/>
        <v>outbound</v>
      </c>
      <c r="B680" s="182">
        <v>45621.404166666667</v>
      </c>
      <c r="C680" s="183" t="s">
        <v>1929</v>
      </c>
      <c r="D680" s="183"/>
      <c r="E680" s="215" t="s">
        <v>2339</v>
      </c>
      <c r="F680" s="112" t="str">
        <f>IF(ISBLANK(E680),"",_xlfn.XLOOKUP(E680,[1]cannabis_log!C:C,[1]cannabis_log!J:J,"",0,))</f>
        <v>EX24101701G05</v>
      </c>
      <c r="G680" s="112"/>
      <c r="H680" s="112" t="str">
        <f>IF(ISBLANK(E680),"",_xlfn.XLOOKUP(E680,cannabis_log!C:C,cannabis_log!H:H,"",0,1))</f>
        <v>extract_inhaled_labelled</v>
      </c>
      <c r="I680" s="113">
        <f>IF(ISBLANK(E680),"",_xlfn.XLOOKUP(E680,cannabis_log!C:C,cannabis_log!K:K,"NOT FOUND",0,1))</f>
        <v>45594</v>
      </c>
      <c r="J680" s="185">
        <v>-36</v>
      </c>
      <c r="K680" s="186">
        <f>IF(N680="net",0,"")</f>
        <v>0</v>
      </c>
      <c r="L680" s="288">
        <f t="shared" si="14"/>
        <v>-18</v>
      </c>
      <c r="M680" s="24"/>
      <c r="N680" s="112" t="str">
        <f>IF(ISBLANK(E680),"",_xlfn.XLOOKUP(E680,[1]cannabis_log!C:C,[1]cannabis_log!T:T,"Not Found",0,))</f>
        <v>net</v>
      </c>
      <c r="O680" s="180">
        <f>IF(N680="net",_xlfn.XLOOKUP(E680,cannabis_log!C:C,cannabis_log!N:N,"NOT FOUND",0,1),IF(N680="gross",0,""))</f>
        <v>0.5</v>
      </c>
    </row>
    <row r="681" spans="1:15">
      <c r="A681" s="181" t="str">
        <f t="shared" si="16"/>
        <v>outbound</v>
      </c>
      <c r="B681" s="182">
        <v>45621.404166666667</v>
      </c>
      <c r="C681" s="183" t="s">
        <v>1921</v>
      </c>
      <c r="D681" s="183" t="s">
        <v>2377</v>
      </c>
      <c r="E681" s="215" t="s">
        <v>2383</v>
      </c>
      <c r="F681" s="112" t="str">
        <f>IF(ISBLANK(E681),"",_xlfn.XLOOKUP(E681,[1]cannabis_log!C:C,[1]cannabis_log!J:J,"",0,))</f>
        <v>EX24101704</v>
      </c>
      <c r="G681" s="112"/>
      <c r="H681" s="112" t="str">
        <f>IF(ISBLANK(E681),"",_xlfn.XLOOKUP(E681,cannabis_log!C:C,cannabis_log!H:H,"",0,1))</f>
        <v>extract_inhaled_bulk</v>
      </c>
      <c r="I681" s="113" t="str">
        <f>IF(ISBLANK(E681),"",_xlfn.XLOOKUP(E681,cannabis_log!C:C,cannabis_log!K:K,"NOT FOUND",0,1))</f>
        <v>NA</v>
      </c>
      <c r="J681" s="185">
        <v>-1</v>
      </c>
      <c r="K681" s="186">
        <v>-589.20000000000005</v>
      </c>
      <c r="L681" s="288">
        <f t="shared" si="14"/>
        <v>0</v>
      </c>
      <c r="M681" s="24"/>
      <c r="N681" s="112" t="str">
        <f>IF(ISBLANK(E681),"",_xlfn.XLOOKUP(E681,[1]cannabis_log!C:C,[1]cannabis_log!T:T,"Not Found",0,))</f>
        <v>gross</v>
      </c>
      <c r="O681" s="180">
        <f>IF(N681="net",_xlfn.XLOOKUP(E681,cannabis_log!C:C,cannabis_log!N:N,"NOT FOUND",0,1),IF(N681="gross",0,""))</f>
        <v>0</v>
      </c>
    </row>
    <row r="682" spans="1:15">
      <c r="A682" s="181" t="str">
        <f t="shared" si="16"/>
        <v>outbound</v>
      </c>
      <c r="B682" s="182">
        <v>45621.404166666667</v>
      </c>
      <c r="C682" s="183" t="s">
        <v>1921</v>
      </c>
      <c r="D682" s="183" t="s">
        <v>2377</v>
      </c>
      <c r="E682" s="215" t="s">
        <v>2384</v>
      </c>
      <c r="F682" s="112" t="str">
        <f>IF(ISBLANK(E682),"",_xlfn.XLOOKUP(E682,[1]cannabis_log!C:C,[1]cannabis_log!J:J,"",0,))</f>
        <v>EX24101704</v>
      </c>
      <c r="G682" s="112"/>
      <c r="H682" s="112" t="str">
        <f>IF(ISBLANK(E682),"",_xlfn.XLOOKUP(E682,cannabis_log!C:C,cannabis_log!H:H,"",0,1))</f>
        <v>extract_inhaled_bulk</v>
      </c>
      <c r="I682" s="113" t="str">
        <f>IF(ISBLANK(E682),"",_xlfn.XLOOKUP(E682,cannabis_log!C:C,cannabis_log!K:K,"NOT FOUND",0,1))</f>
        <v>NA</v>
      </c>
      <c r="J682" s="185">
        <v>-1</v>
      </c>
      <c r="K682" s="186">
        <v>-496.78</v>
      </c>
      <c r="L682" s="288">
        <f t="shared" si="14"/>
        <v>0</v>
      </c>
      <c r="M682" s="24"/>
      <c r="N682" s="112" t="str">
        <f>IF(ISBLANK(E682),"",_xlfn.XLOOKUP(E682,[1]cannabis_log!C:C,[1]cannabis_log!T:T,"Not Found",0,))</f>
        <v>gross</v>
      </c>
      <c r="O682" s="180">
        <f>IF(N682="net",_xlfn.XLOOKUP(E682,cannabis_log!C:C,cannabis_log!N:N,"NOT FOUND",0,1),IF(N682="gross",0,""))</f>
        <v>0</v>
      </c>
    </row>
    <row r="683" spans="1:15">
      <c r="A683" s="181" t="str">
        <f t="shared" si="16"/>
        <v>outbound</v>
      </c>
      <c r="B683" s="182">
        <v>45621.404166666667</v>
      </c>
      <c r="C683" s="183" t="s">
        <v>1921</v>
      </c>
      <c r="D683" s="183" t="s">
        <v>2377</v>
      </c>
      <c r="E683" s="215" t="s">
        <v>2385</v>
      </c>
      <c r="F683" s="112">
        <f>IF(ISBLANK(E683),"",_xlfn.XLOOKUP(E683,[1]cannabis_log!C:C,[1]cannabis_log!J:J,"",0,))</f>
        <v>24111304</v>
      </c>
      <c r="G683" s="112"/>
      <c r="H683" s="112" t="str">
        <f>IF(ISBLANK(E683),"",_xlfn.XLOOKUP(E683,cannabis_log!C:C,cannabis_log!H:H,"",0,1))</f>
        <v>extract_inhaled_bulk</v>
      </c>
      <c r="I683" s="113" t="str">
        <f>IF(ISBLANK(E683),"",_xlfn.XLOOKUP(E683,cannabis_log!C:C,cannabis_log!K:K,"NOT FOUND",0,1))</f>
        <v>NA</v>
      </c>
      <c r="J683" s="185">
        <v>-1</v>
      </c>
      <c r="K683" s="186">
        <v>-2076.8000000000002</v>
      </c>
      <c r="L683" s="288">
        <f t="shared" si="14"/>
        <v>0</v>
      </c>
      <c r="M683" s="24"/>
      <c r="N683" s="112" t="str">
        <f>IF(ISBLANK(E683),"",_xlfn.XLOOKUP(E683,[1]cannabis_log!C:C,[1]cannabis_log!T:T,"Not Found",0,))</f>
        <v>gross</v>
      </c>
      <c r="O683" s="180">
        <f>IF(N683="net",_xlfn.XLOOKUP(E683,cannabis_log!C:C,cannabis_log!N:N,"NOT FOUND",0,1),IF(N683="gross",0,""))</f>
        <v>0</v>
      </c>
    </row>
    <row r="684" spans="1:15">
      <c r="A684" s="181" t="str">
        <f t="shared" si="16"/>
        <v>outbound</v>
      </c>
      <c r="B684" s="182">
        <v>45621.495138888888</v>
      </c>
      <c r="C684" s="183" t="s">
        <v>1921</v>
      </c>
      <c r="D684" s="183" t="s">
        <v>2386</v>
      </c>
      <c r="E684" s="215" t="s">
        <v>1945</v>
      </c>
      <c r="F684" s="112" t="str">
        <f>IF(ISBLANK(E684),"",_xlfn.XLOOKUP(E684,[1]cannabis_log!C:C,[1]cannabis_log!J:J,"",0,))</f>
        <v>LR23032101</v>
      </c>
      <c r="G684" s="112"/>
      <c r="H684" s="112" t="str">
        <f>IF(ISBLANK(E684),"",_xlfn.XLOOKUP(E684,cannabis_log!C:C,cannabis_log!H:H,"",0,1))</f>
        <v>extract_inhaled_bulk</v>
      </c>
      <c r="I684" s="113" t="str">
        <f>IF(ISBLANK(E684),"",_xlfn.XLOOKUP(E684,cannabis_log!C:C,cannabis_log!K:K,"NOT FOUND",0,1))</f>
        <v>NA</v>
      </c>
      <c r="J684" s="185">
        <v>-1</v>
      </c>
      <c r="K684" s="186">
        <v>-2042.5</v>
      </c>
      <c r="L684" s="288">
        <f t="shared" si="14"/>
        <v>0</v>
      </c>
      <c r="M684" s="24"/>
      <c r="N684" s="112" t="str">
        <f>IF(ISBLANK(E684),"",_xlfn.XLOOKUP(E684,[1]cannabis_log!C:C,[1]cannabis_log!T:T,"Not Found",0,))</f>
        <v>gross</v>
      </c>
      <c r="O684" s="180">
        <f>IF(N684="net",_xlfn.XLOOKUP(E684,cannabis_log!C:C,cannabis_log!N:N,"NOT FOUND",0,1),IF(N684="gross",0,""))</f>
        <v>0</v>
      </c>
    </row>
    <row r="685" spans="1:15">
      <c r="A685" s="181" t="str">
        <f t="shared" si="16"/>
        <v>outbound</v>
      </c>
      <c r="B685" s="182">
        <v>45622.390972222223</v>
      </c>
      <c r="C685" s="183" t="s">
        <v>1929</v>
      </c>
      <c r="D685" s="183" t="s">
        <v>2387</v>
      </c>
      <c r="E685" s="215" t="s">
        <v>2271</v>
      </c>
      <c r="F685" s="112" t="str">
        <f>IF(ISBLANK(E685),"",_xlfn.XLOOKUP(E685,[1]cannabis_log!C:C,[1]cannabis_log!J:J,"",0,))</f>
        <v>PR241101F5P3</v>
      </c>
      <c r="G685" s="112"/>
      <c r="H685" s="112" t="str">
        <f>IF(ISBLANK(E685),"",_xlfn.XLOOKUP(E685,cannabis_log!C:C,cannabis_log!H:H,"",0,1))</f>
        <v>preroll_labelled</v>
      </c>
      <c r="I685" s="113">
        <f>IF(ISBLANK(E685),"",_xlfn.XLOOKUP(E685,cannabis_log!C:C,cannabis_log!K:K,"NOT FOUND",0,1))</f>
        <v>45574</v>
      </c>
      <c r="J685" s="185">
        <v>-36</v>
      </c>
      <c r="K685" s="186">
        <f>IF(N685="net",0,"")</f>
        <v>0</v>
      </c>
      <c r="L685" s="288">
        <f t="shared" si="14"/>
        <v>-54</v>
      </c>
      <c r="M685" s="24"/>
      <c r="N685" s="112" t="str">
        <f>IF(ISBLANK(E685),"",_xlfn.XLOOKUP(E685,[1]cannabis_log!C:C,[1]cannabis_log!T:T,"Not Found",0,))</f>
        <v>net</v>
      </c>
      <c r="O685" s="180">
        <f>IF(N685="net",_xlfn.XLOOKUP(E685,cannabis_log!C:C,cannabis_log!N:N,"NOT FOUND",0,1),IF(N685="gross",0,""))</f>
        <v>1.5</v>
      </c>
    </row>
    <row r="686" spans="1:15">
      <c r="A686" s="181" t="str">
        <f t="shared" si="16"/>
        <v>outbound</v>
      </c>
      <c r="B686" s="182">
        <v>45623.394444444442</v>
      </c>
      <c r="C686" s="183" t="s">
        <v>1929</v>
      </c>
      <c r="D686" s="183" t="s">
        <v>2388</v>
      </c>
      <c r="E686" s="215" t="s">
        <v>2327</v>
      </c>
      <c r="F686" s="112" t="str">
        <f>IF(ISBLANK(E686),"",_xlfn.XLOOKUP(E686,[1]cannabis_log!C:C,[1]cannabis_log!J:J,"",0,))</f>
        <v>EX24082906G05</v>
      </c>
      <c r="G686" s="112"/>
      <c r="H686" s="112" t="str">
        <f>IF(ISBLANK(E686),"",_xlfn.XLOOKUP(E686,cannabis_log!C:C,cannabis_log!H:H,"",0,1))</f>
        <v>extract_inhaled_labelled</v>
      </c>
      <c r="I686" s="113">
        <f>IF(ISBLANK(E686),"",_xlfn.XLOOKUP(E686,cannabis_log!C:C,cannabis_log!K:K,"NOT FOUND",0,1))</f>
        <v>45588</v>
      </c>
      <c r="J686" s="185">
        <v>-24</v>
      </c>
      <c r="K686" s="186">
        <f>IF(N686="net",0,"")</f>
        <v>0</v>
      </c>
      <c r="L686" s="288">
        <f t="shared" si="14"/>
        <v>-12</v>
      </c>
      <c r="M686" s="24"/>
      <c r="N686" s="112" t="str">
        <f>IF(ISBLANK(E686),"",_xlfn.XLOOKUP(E686,[1]cannabis_log!C:C,[1]cannabis_log!T:T,"Not Found",0,))</f>
        <v>net</v>
      </c>
      <c r="O686" s="180">
        <f>IF(N686="net",_xlfn.XLOOKUP(E686,cannabis_log!C:C,cannabis_log!N:N,"NOT FOUND",0,1),IF(N686="gross",0,""))</f>
        <v>0.5</v>
      </c>
    </row>
    <row r="687" spans="1:15">
      <c r="A687" s="181" t="str">
        <f t="shared" si="16"/>
        <v>outbound</v>
      </c>
      <c r="B687" s="182">
        <v>45623.394444444442</v>
      </c>
      <c r="C687" s="183" t="s">
        <v>1929</v>
      </c>
      <c r="D687" s="183" t="s">
        <v>2388</v>
      </c>
      <c r="E687" s="215" t="s">
        <v>2339</v>
      </c>
      <c r="F687" s="112" t="str">
        <f>IF(ISBLANK(E687),"",_xlfn.XLOOKUP(E687,[1]cannabis_log!C:C,[1]cannabis_log!J:J,"",0,))</f>
        <v>EX24101701G05</v>
      </c>
      <c r="G687" s="112"/>
      <c r="H687" s="112" t="str">
        <f>IF(ISBLANK(E687),"",_xlfn.XLOOKUP(E687,cannabis_log!C:C,cannabis_log!H:H,"",0,1))</f>
        <v>extract_inhaled_labelled</v>
      </c>
      <c r="I687" s="113">
        <f>IF(ISBLANK(E687),"",_xlfn.XLOOKUP(E687,cannabis_log!C:C,cannabis_log!K:K,"NOT FOUND",0,1))</f>
        <v>45594</v>
      </c>
      <c r="J687" s="185">
        <v>-24</v>
      </c>
      <c r="K687" s="186">
        <f>IF(N687="net",0,"")</f>
        <v>0</v>
      </c>
      <c r="L687" s="288">
        <f t="shared" si="14"/>
        <v>-12</v>
      </c>
      <c r="M687" s="24"/>
      <c r="N687" s="112" t="str">
        <f>IF(ISBLANK(E687),"",_xlfn.XLOOKUP(E687,[1]cannabis_log!C:C,[1]cannabis_log!T:T,"Not Found",0,))</f>
        <v>net</v>
      </c>
      <c r="O687" s="180">
        <f>IF(N687="net",_xlfn.XLOOKUP(E687,cannabis_log!C:C,cannabis_log!N:N,"NOT FOUND",0,1),IF(N687="gross",0,""))</f>
        <v>0.5</v>
      </c>
    </row>
    <row r="688" spans="1:15">
      <c r="A688" s="181" t="str">
        <f t="shared" si="16"/>
        <v>outbound</v>
      </c>
      <c r="B688" s="182">
        <v>45623.394444444442</v>
      </c>
      <c r="C688" s="183" t="s">
        <v>1921</v>
      </c>
      <c r="D688" s="183" t="s">
        <v>2389</v>
      </c>
      <c r="E688" s="215" t="s">
        <v>2390</v>
      </c>
      <c r="F688" s="112" t="str">
        <f>IF(ISBLANK(E688),"",_xlfn.XLOOKUP(E688,[1]cannabis_log!C:C,[1]cannabis_log!J:J,"",0,))</f>
        <v>EX24111302</v>
      </c>
      <c r="G688" s="112"/>
      <c r="H688" s="112" t="str">
        <f>IF(ISBLANK(E688),"",_xlfn.XLOOKUP(E688,cannabis_log!C:C,cannabis_log!H:H,"",0,1))</f>
        <v>extract_inhaled_bulk</v>
      </c>
      <c r="I688" s="113" t="str">
        <f>IF(ISBLANK(E688),"",_xlfn.XLOOKUP(E688,cannabis_log!C:C,cannabis_log!K:K,"NOT FOUND",0,1))</f>
        <v>NA</v>
      </c>
      <c r="J688" s="185">
        <v>-1</v>
      </c>
      <c r="K688" s="186">
        <v>-608.5</v>
      </c>
      <c r="L688" s="288">
        <f t="shared" si="14"/>
        <v>0</v>
      </c>
      <c r="M688" s="24"/>
      <c r="N688" s="112" t="str">
        <f>IF(ISBLANK(E688),"",_xlfn.XLOOKUP(E688,[1]cannabis_log!C:C,[1]cannabis_log!T:T,"Not Found",0,))</f>
        <v>gross</v>
      </c>
      <c r="O688" s="180">
        <f>IF(N688="net",_xlfn.XLOOKUP(E688,cannabis_log!C:C,cannabis_log!N:N,"NOT FOUND",0,1),IF(N688="gross",0,""))</f>
        <v>0</v>
      </c>
    </row>
    <row r="689" spans="1:15">
      <c r="A689" s="181" t="str">
        <f t="shared" si="16"/>
        <v>outbound</v>
      </c>
      <c r="B689" s="182">
        <v>45623.394444444442</v>
      </c>
      <c r="C689" s="183" t="s">
        <v>1921</v>
      </c>
      <c r="D689" s="183" t="s">
        <v>2389</v>
      </c>
      <c r="E689" s="215" t="s">
        <v>2373</v>
      </c>
      <c r="F689" s="112">
        <f>IF(ISBLANK(E689),"",_xlfn.XLOOKUP(E689,[1]cannabis_log!C:C,[1]cannabis_log!J:J,"",0,))</f>
        <v>2024111901</v>
      </c>
      <c r="G689" s="112"/>
      <c r="H689" s="112" t="str">
        <f>IF(ISBLANK(E689),"",_xlfn.XLOOKUP(E689,cannabis_log!C:C,cannabis_log!H:H,"",0,1))</f>
        <v>extract_inhaled_bulk</v>
      </c>
      <c r="I689" s="113" t="str">
        <f>IF(ISBLANK(E689),"",_xlfn.XLOOKUP(E689,cannabis_log!C:C,cannabis_log!K:K,"NOT FOUND",0,1))</f>
        <v>NA</v>
      </c>
      <c r="J689" s="185">
        <v>-1</v>
      </c>
      <c r="K689" s="186">
        <v>-960.3</v>
      </c>
      <c r="L689" s="288">
        <f t="shared" si="14"/>
        <v>0</v>
      </c>
      <c r="M689" s="24"/>
      <c r="N689" s="112" t="str">
        <f>IF(ISBLANK(E689),"",_xlfn.XLOOKUP(E689,[1]cannabis_log!C:C,[1]cannabis_log!T:T,"Not Found",0,))</f>
        <v>gross</v>
      </c>
      <c r="O689" s="180">
        <f>IF(N689="net",_xlfn.XLOOKUP(E689,cannabis_log!C:C,cannabis_log!N:N,"NOT FOUND",0,1),IF(N689="gross",0,""))</f>
        <v>0</v>
      </c>
    </row>
    <row r="690" spans="1:15">
      <c r="A690" s="181" t="str">
        <f t="shared" si="16"/>
        <v>outbound</v>
      </c>
      <c r="B690" s="182">
        <v>45623.405555555553</v>
      </c>
      <c r="C690" s="183" t="s">
        <v>1929</v>
      </c>
      <c r="D690" s="183" t="s">
        <v>2391</v>
      </c>
      <c r="E690" s="215" t="s">
        <v>2107</v>
      </c>
      <c r="F690" s="112" t="str">
        <f>IF(ISBLANK(E690),"",_xlfn.XLOOKUP(E690,[1]cannabis_log!C:C,[1]cannabis_log!J:J,"",0,))</f>
        <v>PR241003F5P3</v>
      </c>
      <c r="G690" s="112"/>
      <c r="H690" s="112" t="str">
        <f>IF(ISBLANK(E690),"",_xlfn.XLOOKUP(E690,cannabis_log!C:C,cannabis_log!H:H,"",0,1))</f>
        <v>preroll_labelled</v>
      </c>
      <c r="I690" s="113">
        <f>IF(ISBLANK(E690),"",_xlfn.XLOOKUP(E690,cannabis_log!C:C,cannabis_log!K:K,"NOT FOUND",0,1))</f>
        <v>45570</v>
      </c>
      <c r="J690" s="185">
        <v>-12</v>
      </c>
      <c r="K690" s="186">
        <f t="shared" ref="K690:K711" si="18">IF(N690="net",0,"")</f>
        <v>0</v>
      </c>
      <c r="L690" s="288">
        <f t="shared" ref="L690:L753" si="19">IFERROR(J690*O690,"")</f>
        <v>-18</v>
      </c>
      <c r="M690" s="24"/>
      <c r="N690" s="112" t="str">
        <f>IF(ISBLANK(E690),"",_xlfn.XLOOKUP(E690,[1]cannabis_log!C:C,[1]cannabis_log!T:T,"Not Found",0,))</f>
        <v>net</v>
      </c>
      <c r="O690" s="180">
        <f>IF(N690="net",_xlfn.XLOOKUP(E690,cannabis_log!C:C,cannabis_log!N:N,"NOT FOUND",0,1),IF(N690="gross",0,""))</f>
        <v>1.5</v>
      </c>
    </row>
    <row r="691" spans="1:15">
      <c r="A691" s="181" t="str">
        <f t="shared" si="16"/>
        <v>outbound</v>
      </c>
      <c r="B691" s="182">
        <v>45623.405555555553</v>
      </c>
      <c r="C691" s="183" t="s">
        <v>1929</v>
      </c>
      <c r="D691" s="183" t="s">
        <v>2392</v>
      </c>
      <c r="E691" s="215" t="s">
        <v>2297</v>
      </c>
      <c r="F691" s="112" t="str">
        <f>IF(ISBLANK(E691),"",_xlfn.XLOOKUP(E691,[1]cannabis_log!C:C,[1]cannabis_log!J:J,"",0,))</f>
        <v>EX23060701V30</v>
      </c>
      <c r="G691" s="112"/>
      <c r="H691" s="112" t="str">
        <f>IF(ISBLANK(E691),"",_xlfn.XLOOKUP(E691,cannabis_log!C:C,cannabis_log!H:H,"",0,1))</f>
        <v>extract_ingested_labelled</v>
      </c>
      <c r="I691" s="113">
        <f>IF(ISBLANK(E691),"",_xlfn.XLOOKUP(E691,cannabis_log!C:C,cannabis_log!K:K,"NOT FOUND",0,1))</f>
        <v>45596</v>
      </c>
      <c r="J691" s="185">
        <v>-24</v>
      </c>
      <c r="K691" s="186">
        <f t="shared" si="18"/>
        <v>0</v>
      </c>
      <c r="L691" s="288">
        <f t="shared" si="19"/>
        <v>-657.59999999999991</v>
      </c>
      <c r="M691" s="24"/>
      <c r="N691" s="112" t="str">
        <f>IF(ISBLANK(E691),"",_xlfn.XLOOKUP(E691,[1]cannabis_log!C:C,[1]cannabis_log!T:T,"Not Found",0,))</f>
        <v>net</v>
      </c>
      <c r="O691" s="180">
        <f>IF(N691="net",_xlfn.XLOOKUP(E691,cannabis_log!C:C,cannabis_log!N:N,"NOT FOUND",0,1),IF(N691="gross",0,""))</f>
        <v>27.4</v>
      </c>
    </row>
    <row r="692" spans="1:15">
      <c r="A692" s="181" t="str">
        <f t="shared" si="16"/>
        <v>outbound</v>
      </c>
      <c r="B692" s="182">
        <v>45623.509027777778</v>
      </c>
      <c r="C692" s="183" t="s">
        <v>1929</v>
      </c>
      <c r="D692" s="183" t="s">
        <v>2393</v>
      </c>
      <c r="E692" s="215" t="s">
        <v>2394</v>
      </c>
      <c r="F692" s="112" t="str">
        <f>IF(ISBLANK(E692),"",_xlfn.XLOOKUP(E692,[1]cannabis_log!C:C,[1]cannabis_log!J:J,"",0,))</f>
        <v>EX24101802V30</v>
      </c>
      <c r="G692" s="112"/>
      <c r="H692" s="112" t="str">
        <f>IF(ISBLANK(E692),"",_xlfn.XLOOKUP(E692,cannabis_log!C:C,cannabis_log!H:H,"",0,1))</f>
        <v>extract_ingested_labelled</v>
      </c>
      <c r="I692" s="113">
        <f>IF(ISBLANK(E692),"",_xlfn.XLOOKUP(E692,cannabis_log!C:C,cannabis_log!K:K,"NOT FOUND",0,1))</f>
        <v>45588</v>
      </c>
      <c r="J692" s="185">
        <v>-12</v>
      </c>
      <c r="K692" s="186">
        <f t="shared" si="18"/>
        <v>0</v>
      </c>
      <c r="L692" s="288">
        <f t="shared" si="19"/>
        <v>-331.20000000000005</v>
      </c>
      <c r="M692" s="24"/>
      <c r="N692" s="112" t="str">
        <f>IF(ISBLANK(E692),"",_xlfn.XLOOKUP(E692,[1]cannabis_log!C:C,[1]cannabis_log!T:T,"Not Found",0,))</f>
        <v>net</v>
      </c>
      <c r="O692" s="180">
        <f>IF(N692="net",_xlfn.XLOOKUP(E692,cannabis_log!C:C,cannabis_log!N:N,"NOT FOUND",0,1),IF(N692="gross",0,""))</f>
        <v>27.6</v>
      </c>
    </row>
    <row r="693" spans="1:15">
      <c r="A693" s="181" t="str">
        <f t="shared" si="16"/>
        <v>outbound</v>
      </c>
      <c r="B693" s="182">
        <v>45623.509027777778</v>
      </c>
      <c r="C693" s="183" t="s">
        <v>1929</v>
      </c>
      <c r="D693" s="183" t="s">
        <v>2393</v>
      </c>
      <c r="E693" s="215" t="s">
        <v>2324</v>
      </c>
      <c r="F693" s="112" t="str">
        <f>IF(ISBLANK(E693),"",_xlfn.XLOOKUP(E693,[1]cannabis_log!C:C,[1]cannabis_log!J:J,"",0,))</f>
        <v>EX24101703G05</v>
      </c>
      <c r="G693" s="112"/>
      <c r="H693" s="112" t="str">
        <f>IF(ISBLANK(E693),"",_xlfn.XLOOKUP(E693,cannabis_log!C:C,cannabis_log!H:H,"",0,1))</f>
        <v>extract_inhaled_labelled</v>
      </c>
      <c r="I693" s="113">
        <f>IF(ISBLANK(E693),"",_xlfn.XLOOKUP(E693,cannabis_log!C:C,cannabis_log!K:K,"NOT FOUND",0,1))</f>
        <v>45603</v>
      </c>
      <c r="J693" s="185">
        <v>-12</v>
      </c>
      <c r="K693" s="186">
        <f t="shared" si="18"/>
        <v>0</v>
      </c>
      <c r="L693" s="288">
        <f t="shared" si="19"/>
        <v>-6</v>
      </c>
      <c r="M693" s="24"/>
      <c r="N693" s="112" t="str">
        <f>IF(ISBLANK(E693),"",_xlfn.XLOOKUP(E693,[1]cannabis_log!C:C,[1]cannabis_log!T:T,"Not Found",0,))</f>
        <v>net</v>
      </c>
      <c r="O693" s="180">
        <f>IF(N693="net",_xlfn.XLOOKUP(E693,cannabis_log!C:C,cannabis_log!N:N,"NOT FOUND",0,1),IF(N693="gross",0,""))</f>
        <v>0.5</v>
      </c>
    </row>
    <row r="694" spans="1:15">
      <c r="A694" s="181" t="str">
        <f t="shared" si="16"/>
        <v>outbound</v>
      </c>
      <c r="B694" s="182">
        <v>45623.509027777778</v>
      </c>
      <c r="C694" s="183" t="s">
        <v>1929</v>
      </c>
      <c r="D694" s="183" t="s">
        <v>2393</v>
      </c>
      <c r="E694" s="215" t="s">
        <v>2016</v>
      </c>
      <c r="F694" s="112" t="str">
        <f>IF(ISBLANK(E694),"",_xlfn.XLOOKUP(E694,[1]cannabis_log!C:C,[1]cannabis_log!J:J,"",0,))</f>
        <v>PR2407F5P3</v>
      </c>
      <c r="G694" s="112"/>
      <c r="H694" s="112" t="str">
        <f>IF(ISBLANK(E694),"",_xlfn.XLOOKUP(E694,cannabis_log!C:C,cannabis_log!H:H,"",0,1))</f>
        <v>preroll_labelled</v>
      </c>
      <c r="I694" s="113">
        <f>IF(ISBLANK(E694),"",_xlfn.XLOOKUP(E694,cannabis_log!C:C,cannabis_log!K:K,"NOT FOUND",0,1))</f>
        <v>45828</v>
      </c>
      <c r="J694" s="185">
        <v>-12</v>
      </c>
      <c r="K694" s="186">
        <f t="shared" si="18"/>
        <v>0</v>
      </c>
      <c r="L694" s="288">
        <f t="shared" si="19"/>
        <v>-18</v>
      </c>
      <c r="M694" s="24"/>
      <c r="N694" s="112" t="str">
        <f>IF(ISBLANK(E694),"",_xlfn.XLOOKUP(E694,[1]cannabis_log!C:C,[1]cannabis_log!T:T,"Not Found",0,))</f>
        <v>net</v>
      </c>
      <c r="O694" s="180">
        <f>IF(N694="net",_xlfn.XLOOKUP(E694,cannabis_log!C:C,cannabis_log!N:N,"NOT FOUND",0,1),IF(N694="gross",0,""))</f>
        <v>1.5</v>
      </c>
    </row>
    <row r="695" spans="1:15">
      <c r="A695" s="181" t="str">
        <f t="shared" si="16"/>
        <v>outbound</v>
      </c>
      <c r="B695" s="182">
        <v>45623.509027777778</v>
      </c>
      <c r="C695" s="183" t="s">
        <v>1929</v>
      </c>
      <c r="D695" s="183" t="s">
        <v>2393</v>
      </c>
      <c r="E695" s="215" t="s">
        <v>2311</v>
      </c>
      <c r="F695" s="112" t="str">
        <f>IF(ISBLANK(E695),"",_xlfn.XLOOKUP(E695,[1]cannabis_log!C:C,[1]cannabis_log!J:J,"",0,))</f>
        <v>PR241104F5P3</v>
      </c>
      <c r="G695" s="112"/>
      <c r="H695" s="112" t="str">
        <f>IF(ISBLANK(E695),"",_xlfn.XLOOKUP(E695,cannabis_log!C:C,cannabis_log!H:H,"",0,1))</f>
        <v>preroll_labelled</v>
      </c>
      <c r="I695" s="113">
        <f>IF(ISBLANK(E695),"",_xlfn.XLOOKUP(E695,cannabis_log!C:C,cannabis_log!K:K,"NOT FOUND",0,1))</f>
        <v>45588</v>
      </c>
      <c r="J695" s="185">
        <v>-12</v>
      </c>
      <c r="K695" s="186">
        <f t="shared" si="18"/>
        <v>0</v>
      </c>
      <c r="L695" s="288">
        <f t="shared" si="19"/>
        <v>-18</v>
      </c>
      <c r="M695" s="24"/>
      <c r="N695" s="112" t="str">
        <f>IF(ISBLANK(E695),"",_xlfn.XLOOKUP(E695,[1]cannabis_log!C:C,[1]cannabis_log!T:T,"Not Found",0,))</f>
        <v>net</v>
      </c>
      <c r="O695" s="180">
        <f>IF(N695="net",_xlfn.XLOOKUP(E695,cannabis_log!C:C,cannabis_log!N:N,"NOT FOUND",0,1),IF(N695="gross",0,""))</f>
        <v>1.5</v>
      </c>
    </row>
    <row r="696" spans="1:15">
      <c r="A696" s="181" t="str">
        <f t="shared" si="16"/>
        <v>outbound</v>
      </c>
      <c r="B696" s="182">
        <v>45623.509027777778</v>
      </c>
      <c r="C696" s="183" t="s">
        <v>1929</v>
      </c>
      <c r="D696" s="183" t="s">
        <v>2393</v>
      </c>
      <c r="E696" s="215" t="s">
        <v>2271</v>
      </c>
      <c r="F696" s="112" t="str">
        <f>IF(ISBLANK(E696),"",_xlfn.XLOOKUP(E696,[1]cannabis_log!C:C,[1]cannabis_log!J:J,"",0,))</f>
        <v>PR241101F5P3</v>
      </c>
      <c r="G696" s="112"/>
      <c r="H696" s="112" t="str">
        <f>IF(ISBLANK(E696),"",_xlfn.XLOOKUP(E696,cannabis_log!C:C,cannabis_log!H:H,"",0,1))</f>
        <v>preroll_labelled</v>
      </c>
      <c r="I696" s="113">
        <f>IF(ISBLANK(E696),"",_xlfn.XLOOKUP(E696,cannabis_log!C:C,cannabis_log!K:K,"NOT FOUND",0,1))</f>
        <v>45574</v>
      </c>
      <c r="J696" s="185">
        <v>-12</v>
      </c>
      <c r="K696" s="186">
        <f t="shared" si="18"/>
        <v>0</v>
      </c>
      <c r="L696" s="288">
        <f t="shared" si="19"/>
        <v>-18</v>
      </c>
      <c r="M696" s="24"/>
      <c r="N696" s="112" t="str">
        <f>IF(ISBLANK(E696),"",_xlfn.XLOOKUP(E696,[1]cannabis_log!C:C,[1]cannabis_log!T:T,"Not Found",0,))</f>
        <v>net</v>
      </c>
      <c r="O696" s="180">
        <f>IF(N696="net",_xlfn.XLOOKUP(E696,cannabis_log!C:C,cannabis_log!N:N,"NOT FOUND",0,1),IF(N696="gross",0,""))</f>
        <v>1.5</v>
      </c>
    </row>
    <row r="697" spans="1:15">
      <c r="A697" s="181" t="str">
        <f t="shared" si="16"/>
        <v>outbound</v>
      </c>
      <c r="B697" s="182">
        <v>45623.509027777778</v>
      </c>
      <c r="C697" s="183" t="s">
        <v>1929</v>
      </c>
      <c r="D697" s="183" t="s">
        <v>2393</v>
      </c>
      <c r="E697" s="215" t="s">
        <v>2105</v>
      </c>
      <c r="F697" s="112" t="str">
        <f>IF(ISBLANK(E697),"",_xlfn.XLOOKUP(E697,[1]cannabis_log!C:C,[1]cannabis_log!J:J,"",0,))</f>
        <v>PR241005F5P3</v>
      </c>
      <c r="G697" s="112"/>
      <c r="H697" s="112" t="str">
        <f>IF(ISBLANK(E697),"",_xlfn.XLOOKUP(E697,cannabis_log!C:C,cannabis_log!H:H,"",0,1))</f>
        <v>preroll_labelled</v>
      </c>
      <c r="I697" s="113">
        <f>IF(ISBLANK(E697),"",_xlfn.XLOOKUP(E697,cannabis_log!C:C,cannabis_log!K:K,"NOT FOUND",0,1))</f>
        <v>45575</v>
      </c>
      <c r="J697" s="185">
        <v>-12</v>
      </c>
      <c r="K697" s="186">
        <f t="shared" si="18"/>
        <v>0</v>
      </c>
      <c r="L697" s="288">
        <f t="shared" si="19"/>
        <v>-18</v>
      </c>
      <c r="M697" s="24"/>
      <c r="N697" s="112" t="str">
        <f>IF(ISBLANK(E697),"",_xlfn.XLOOKUP(E697,[1]cannabis_log!C:C,[1]cannabis_log!T:T,"Not Found",0,))</f>
        <v>net</v>
      </c>
      <c r="O697" s="180">
        <f>IF(N697="net",_xlfn.XLOOKUP(E697,cannabis_log!C:C,cannabis_log!N:N,"NOT FOUND",0,1),IF(N697="gross",0,""))</f>
        <v>1.5</v>
      </c>
    </row>
    <row r="698" spans="1:15">
      <c r="A698" s="181" t="str">
        <f t="shared" si="16"/>
        <v>outbound</v>
      </c>
      <c r="B698" s="182">
        <v>45623.509027777778</v>
      </c>
      <c r="C698" s="183" t="s">
        <v>1929</v>
      </c>
      <c r="D698" s="183" t="s">
        <v>2393</v>
      </c>
      <c r="E698" s="215" t="s">
        <v>2172</v>
      </c>
      <c r="F698" s="112" t="str">
        <f>IF(ISBLANK(E698),"",_xlfn.XLOOKUP(E698,[1]cannabis_log!C:C,[1]cannabis_log!J:J,"",0,))</f>
        <v>PR241102F5P3</v>
      </c>
      <c r="G698" s="112"/>
      <c r="H698" s="112" t="str">
        <f>IF(ISBLANK(E698),"",_xlfn.XLOOKUP(E698,cannabis_log!C:C,cannabis_log!H:H,"",0,1))</f>
        <v>preroll_labelled</v>
      </c>
      <c r="I698" s="113">
        <f>IF(ISBLANK(E698),"",_xlfn.XLOOKUP(E698,cannabis_log!C:C,cannabis_log!K:K,"NOT FOUND",0,1))</f>
        <v>45575</v>
      </c>
      <c r="J698" s="185">
        <v>-12</v>
      </c>
      <c r="K698" s="186">
        <f t="shared" si="18"/>
        <v>0</v>
      </c>
      <c r="L698" s="288">
        <f t="shared" si="19"/>
        <v>-18</v>
      </c>
      <c r="M698" s="24"/>
      <c r="N698" s="112" t="str">
        <f>IF(ISBLANK(E698),"",_xlfn.XLOOKUP(E698,[1]cannabis_log!C:C,[1]cannabis_log!T:T,"Not Found",0,))</f>
        <v>net</v>
      </c>
      <c r="O698" s="180">
        <f>IF(N698="net",_xlfn.XLOOKUP(E698,cannabis_log!C:C,cannabis_log!N:N,"NOT FOUND",0,1),IF(N698="gross",0,""))</f>
        <v>1.5</v>
      </c>
    </row>
    <row r="699" spans="1:15">
      <c r="A699" s="181" t="str">
        <f t="shared" si="16"/>
        <v>outbound</v>
      </c>
      <c r="B699" s="182">
        <v>45623.509027777778</v>
      </c>
      <c r="C699" s="183" t="s">
        <v>1929</v>
      </c>
      <c r="D699" s="183" t="s">
        <v>2393</v>
      </c>
      <c r="E699" s="215" t="s">
        <v>2339</v>
      </c>
      <c r="F699" s="112" t="str">
        <f>IF(ISBLANK(E699),"",_xlfn.XLOOKUP(E699,[1]cannabis_log!C:C,[1]cannabis_log!J:J,"",0,))</f>
        <v>EX24101701G05</v>
      </c>
      <c r="G699" s="112"/>
      <c r="H699" s="112" t="str">
        <f>IF(ISBLANK(E699),"",_xlfn.XLOOKUP(E699,cannabis_log!C:C,cannabis_log!H:H,"",0,1))</f>
        <v>extract_inhaled_labelled</v>
      </c>
      <c r="I699" s="113">
        <f>IF(ISBLANK(E699),"",_xlfn.XLOOKUP(E699,cannabis_log!C:C,cannabis_log!K:K,"NOT FOUND",0,1))</f>
        <v>45594</v>
      </c>
      <c r="J699" s="185">
        <v>-12</v>
      </c>
      <c r="K699" s="186">
        <f t="shared" si="18"/>
        <v>0</v>
      </c>
      <c r="L699" s="288">
        <f t="shared" si="19"/>
        <v>-6</v>
      </c>
      <c r="M699" s="24"/>
      <c r="N699" s="112" t="str">
        <f>IF(ISBLANK(E699),"",_xlfn.XLOOKUP(E699,[1]cannabis_log!C:C,[1]cannabis_log!T:T,"Not Found",0,))</f>
        <v>net</v>
      </c>
      <c r="O699" s="180">
        <f>IF(N699="net",_xlfn.XLOOKUP(E699,cannabis_log!C:C,cannabis_log!N:N,"NOT FOUND",0,1),IF(N699="gross",0,""))</f>
        <v>0.5</v>
      </c>
    </row>
    <row r="700" spans="1:15">
      <c r="A700" s="181" t="str">
        <f t="shared" si="16"/>
        <v>outbound</v>
      </c>
      <c r="B700" s="182">
        <v>45623.509027777778</v>
      </c>
      <c r="C700" s="183" t="s">
        <v>1929</v>
      </c>
      <c r="D700" s="183" t="s">
        <v>2393</v>
      </c>
      <c r="E700" s="215" t="s">
        <v>2327</v>
      </c>
      <c r="F700" s="112" t="str">
        <f>IF(ISBLANK(E700),"",_xlfn.XLOOKUP(E700,[1]cannabis_log!C:C,[1]cannabis_log!J:J,"",0,))</f>
        <v>EX24082906G05</v>
      </c>
      <c r="G700" s="112"/>
      <c r="H700" s="112" t="str">
        <f>IF(ISBLANK(E700),"",_xlfn.XLOOKUP(E700,cannabis_log!C:C,cannabis_log!H:H,"",0,1))</f>
        <v>extract_inhaled_labelled</v>
      </c>
      <c r="I700" s="113">
        <f>IF(ISBLANK(E700),"",_xlfn.XLOOKUP(E700,cannabis_log!C:C,cannabis_log!K:K,"NOT FOUND",0,1))</f>
        <v>45588</v>
      </c>
      <c r="J700" s="185">
        <v>-12</v>
      </c>
      <c r="K700" s="186">
        <f t="shared" si="18"/>
        <v>0</v>
      </c>
      <c r="L700" s="288">
        <f t="shared" si="19"/>
        <v>-6</v>
      </c>
      <c r="M700" s="24"/>
      <c r="N700" s="112" t="str">
        <f>IF(ISBLANK(E700),"",_xlfn.XLOOKUP(E700,[1]cannabis_log!C:C,[1]cannabis_log!T:T,"Not Found",0,))</f>
        <v>net</v>
      </c>
      <c r="O700" s="180">
        <f>IF(N700="net",_xlfn.XLOOKUP(E700,cannabis_log!C:C,cannabis_log!N:N,"NOT FOUND",0,1),IF(N700="gross",0,""))</f>
        <v>0.5</v>
      </c>
    </row>
    <row r="701" spans="1:15">
      <c r="A701" s="181" t="str">
        <f t="shared" si="16"/>
        <v>outbound</v>
      </c>
      <c r="B701" s="182">
        <v>45623.509027777778</v>
      </c>
      <c r="C701" s="183" t="s">
        <v>1929</v>
      </c>
      <c r="D701" s="183" t="s">
        <v>2393</v>
      </c>
      <c r="E701" s="215" t="s">
        <v>2064</v>
      </c>
      <c r="F701" s="112" t="str">
        <f>IF(ISBLANK(E701),"",_xlfn.XLOOKUP(E701,[1]cannabis_log!C:C,[1]cannabis_log!J:J,"",0,))</f>
        <v>PR21071201G1</v>
      </c>
      <c r="G701" s="112"/>
      <c r="H701" s="112" t="str">
        <f>IF(ISBLANK(E701),"",_xlfn.XLOOKUP(E701,cannabis_log!C:C,cannabis_log!H:H,"",0,1))</f>
        <v>preroll_labelled</v>
      </c>
      <c r="I701" s="113">
        <f>IF(ISBLANK(E701),"",_xlfn.XLOOKUP(E701,cannabis_log!C:C,cannabis_log!K:K,"NOT FOUND",0,1))</f>
        <v>45593</v>
      </c>
      <c r="J701" s="185">
        <v>-12</v>
      </c>
      <c r="K701" s="186">
        <f t="shared" si="18"/>
        <v>0</v>
      </c>
      <c r="L701" s="288">
        <f t="shared" si="19"/>
        <v>-12</v>
      </c>
      <c r="M701" s="24"/>
      <c r="N701" s="112" t="str">
        <f>IF(ISBLANK(E701),"",_xlfn.XLOOKUP(E701,[1]cannabis_log!C:C,[1]cannabis_log!T:T,"Not Found",0,))</f>
        <v>net</v>
      </c>
      <c r="O701" s="180">
        <f>IF(N701="net",_xlfn.XLOOKUP(E701,cannabis_log!C:C,cannabis_log!N:N,"NOT FOUND",0,1),IF(N701="gross",0,""))</f>
        <v>1</v>
      </c>
    </row>
    <row r="702" spans="1:15">
      <c r="A702" s="181" t="str">
        <f t="shared" si="16"/>
        <v>outbound</v>
      </c>
      <c r="B702" s="182">
        <v>45623.563888888886</v>
      </c>
      <c r="C702" s="183" t="s">
        <v>1924</v>
      </c>
      <c r="D702" s="183" t="s">
        <v>2395</v>
      </c>
      <c r="E702" s="215" t="s">
        <v>2324</v>
      </c>
      <c r="F702" s="112" t="str">
        <f>IF(ISBLANK(E702),"",_xlfn.XLOOKUP(E702,[1]cannabis_log!C:C,[1]cannabis_log!J:J,"",0,))</f>
        <v>EX24101703G05</v>
      </c>
      <c r="G702" s="112"/>
      <c r="H702" s="112" t="str">
        <f>IF(ISBLANK(E702),"",_xlfn.XLOOKUP(E702,cannabis_log!C:C,cannabis_log!H:H,"",0,1))</f>
        <v>extract_inhaled_labelled</v>
      </c>
      <c r="I702" s="113">
        <f>IF(ISBLANK(E702),"",_xlfn.XLOOKUP(E702,cannabis_log!C:C,cannabis_log!K:K,"NOT FOUND",0,1))</f>
        <v>45603</v>
      </c>
      <c r="J702" s="185">
        <v>-2</v>
      </c>
      <c r="K702" s="186">
        <f t="shared" si="18"/>
        <v>0</v>
      </c>
      <c r="L702" s="288">
        <f t="shared" si="19"/>
        <v>-1</v>
      </c>
      <c r="M702" s="24"/>
      <c r="N702" s="112" t="str">
        <f>IF(ISBLANK(E702),"",_xlfn.XLOOKUP(E702,[1]cannabis_log!C:C,[1]cannabis_log!T:T,"Not Found",0,))</f>
        <v>net</v>
      </c>
      <c r="O702" s="180">
        <f>IF(N702="net",_xlfn.XLOOKUP(E702,cannabis_log!C:C,cannabis_log!N:N,"NOT FOUND",0,1),IF(N702="gross",0,""))</f>
        <v>0.5</v>
      </c>
    </row>
    <row r="703" spans="1:15">
      <c r="A703" s="181" t="str">
        <f t="shared" si="16"/>
        <v>outbound</v>
      </c>
      <c r="B703" s="182">
        <v>45623.563888888886</v>
      </c>
      <c r="C703" s="183" t="s">
        <v>1924</v>
      </c>
      <c r="D703" s="183" t="s">
        <v>2395</v>
      </c>
      <c r="E703" s="215" t="s">
        <v>2316</v>
      </c>
      <c r="F703" s="112" t="str">
        <f>IF(ISBLANK(E703),"",_xlfn.XLOOKUP(E703,[1]cannabis_log!C:C,[1]cannabis_log!J:J,"",0,))</f>
        <v>EX24101705G05</v>
      </c>
      <c r="G703" s="112"/>
      <c r="H703" s="112" t="str">
        <f>IF(ISBLANK(E703),"",_xlfn.XLOOKUP(E703,cannabis_log!C:C,cannabis_log!H:H,"",0,1))</f>
        <v>extract_inhaled_labelled</v>
      </c>
      <c r="I703" s="113">
        <f>IF(ISBLANK(E703),"",_xlfn.XLOOKUP(E703,cannabis_log!C:C,cannabis_log!K:K,"NOT FOUND",0,1))</f>
        <v>45594</v>
      </c>
      <c r="J703" s="185">
        <v>-3</v>
      </c>
      <c r="K703" s="186">
        <f t="shared" si="18"/>
        <v>0</v>
      </c>
      <c r="L703" s="288">
        <f t="shared" si="19"/>
        <v>-1.5</v>
      </c>
      <c r="M703" s="24"/>
      <c r="N703" s="112" t="str">
        <f>IF(ISBLANK(E703),"",_xlfn.XLOOKUP(E703,[1]cannabis_log!C:C,[1]cannabis_log!T:T,"Not Found",0,))</f>
        <v>net</v>
      </c>
      <c r="O703" s="180">
        <f>IF(N703="net",_xlfn.XLOOKUP(E703,cannabis_log!C:C,cannabis_log!N:N,"NOT FOUND",0,1),IF(N703="gross",0,""))</f>
        <v>0.5</v>
      </c>
    </row>
    <row r="704" spans="1:15">
      <c r="A704" s="181" t="str">
        <f t="shared" si="16"/>
        <v>outbound</v>
      </c>
      <c r="B704" s="182">
        <v>45623.563888888886</v>
      </c>
      <c r="C704" s="183" t="s">
        <v>1924</v>
      </c>
      <c r="D704" s="183" t="s">
        <v>2395</v>
      </c>
      <c r="E704" s="215" t="s">
        <v>2327</v>
      </c>
      <c r="F704" s="112" t="str">
        <f>IF(ISBLANK(E704),"",_xlfn.XLOOKUP(E704,[1]cannabis_log!C:C,[1]cannabis_log!J:J,"",0,))</f>
        <v>EX24082906G05</v>
      </c>
      <c r="G704" s="112"/>
      <c r="H704" s="112" t="str">
        <f>IF(ISBLANK(E704),"",_xlfn.XLOOKUP(E704,cannabis_log!C:C,cannabis_log!H:H,"",0,1))</f>
        <v>extract_inhaled_labelled</v>
      </c>
      <c r="I704" s="113">
        <f>IF(ISBLANK(E704),"",_xlfn.XLOOKUP(E704,cannabis_log!C:C,cannabis_log!K:K,"NOT FOUND",0,1))</f>
        <v>45588</v>
      </c>
      <c r="J704" s="185">
        <v>-4</v>
      </c>
      <c r="K704" s="186">
        <f t="shared" si="18"/>
        <v>0</v>
      </c>
      <c r="L704" s="288">
        <f t="shared" si="19"/>
        <v>-2</v>
      </c>
      <c r="M704" s="24"/>
      <c r="N704" s="112" t="str">
        <f>IF(ISBLANK(E704),"",_xlfn.XLOOKUP(E704,[1]cannabis_log!C:C,[1]cannabis_log!T:T,"Not Found",0,))</f>
        <v>net</v>
      </c>
      <c r="O704" s="180">
        <f>IF(N704="net",_xlfn.XLOOKUP(E704,cannabis_log!C:C,cannabis_log!N:N,"NOT FOUND",0,1),IF(N704="gross",0,""))</f>
        <v>0.5</v>
      </c>
    </row>
    <row r="705" spans="1:15">
      <c r="A705" s="181" t="str">
        <f t="shared" ref="A705:A768" si="20">IF(ISBLANK(J705),"",IF(J705+K705+L705&lt;0,"outbound","inbound"))</f>
        <v>outbound</v>
      </c>
      <c r="B705" s="182">
        <v>45623.563888888886</v>
      </c>
      <c r="C705" s="183" t="s">
        <v>1924</v>
      </c>
      <c r="D705" s="183" t="s">
        <v>2395</v>
      </c>
      <c r="E705" s="215" t="s">
        <v>2339</v>
      </c>
      <c r="F705" s="112" t="str">
        <f>IF(ISBLANK(E705),"",_xlfn.XLOOKUP(E705,[1]cannabis_log!C:C,[1]cannabis_log!J:J,"",0,))</f>
        <v>EX24101701G05</v>
      </c>
      <c r="G705" s="112"/>
      <c r="H705" s="112" t="str">
        <f>IF(ISBLANK(E705),"",_xlfn.XLOOKUP(E705,cannabis_log!C:C,cannabis_log!H:H,"",0,1))</f>
        <v>extract_inhaled_labelled</v>
      </c>
      <c r="I705" s="113">
        <f>IF(ISBLANK(E705),"",_xlfn.XLOOKUP(E705,cannabis_log!C:C,cannabis_log!K:K,"NOT FOUND",0,1))</f>
        <v>45594</v>
      </c>
      <c r="J705" s="185">
        <v>-2</v>
      </c>
      <c r="K705" s="186">
        <f t="shared" si="18"/>
        <v>0</v>
      </c>
      <c r="L705" s="288">
        <f t="shared" si="19"/>
        <v>-1</v>
      </c>
      <c r="M705" s="24"/>
      <c r="N705" s="112" t="str">
        <f>IF(ISBLANK(E705),"",_xlfn.XLOOKUP(E705,[1]cannabis_log!C:C,[1]cannabis_log!T:T,"Not Found",0,))</f>
        <v>net</v>
      </c>
      <c r="O705" s="180">
        <f>IF(N705="net",_xlfn.XLOOKUP(E705,cannabis_log!C:C,cannabis_log!N:N,"NOT FOUND",0,1),IF(N705="gross",0,""))</f>
        <v>0.5</v>
      </c>
    </row>
    <row r="706" spans="1:15">
      <c r="A706" s="181" t="str">
        <f t="shared" si="20"/>
        <v>outbound</v>
      </c>
      <c r="B706" s="182">
        <v>45623.563888888886</v>
      </c>
      <c r="C706" s="183" t="s">
        <v>1924</v>
      </c>
      <c r="D706" s="183" t="s">
        <v>2395</v>
      </c>
      <c r="E706" s="215" t="s">
        <v>2212</v>
      </c>
      <c r="F706" s="112" t="str">
        <f>IF(ISBLANK(E706),"",_xlfn.XLOOKUP(E706,[1]cannabis_log!C:C,[1]cannabis_log!J:J,"",0,))</f>
        <v>EX24082902G05</v>
      </c>
      <c r="G706" s="112"/>
      <c r="H706" s="112" t="str">
        <f>IF(ISBLANK(E706),"",_xlfn.XLOOKUP(E706,cannabis_log!C:C,cannabis_log!H:H,"",0,1))</f>
        <v>extract_inhaled_labelled</v>
      </c>
      <c r="I706" s="113">
        <f>IF(ISBLANK(E706),"",_xlfn.XLOOKUP(E706,cannabis_log!C:C,cannabis_log!K:K,"NOT FOUND",0,1))</f>
        <v>45569</v>
      </c>
      <c r="J706" s="185">
        <v>-2</v>
      </c>
      <c r="K706" s="186">
        <f t="shared" si="18"/>
        <v>0</v>
      </c>
      <c r="L706" s="288">
        <f t="shared" si="19"/>
        <v>-1</v>
      </c>
      <c r="M706" s="24"/>
      <c r="N706" s="112" t="str">
        <f>IF(ISBLANK(E706),"",_xlfn.XLOOKUP(E706,[1]cannabis_log!C:C,[1]cannabis_log!T:T,"Not Found",0,))</f>
        <v>net</v>
      </c>
      <c r="O706" s="180">
        <f>IF(N706="net",_xlfn.XLOOKUP(E706,cannabis_log!C:C,cannabis_log!N:N,"NOT FOUND",0,1),IF(N706="gross",0,""))</f>
        <v>0.5</v>
      </c>
    </row>
    <row r="707" spans="1:15">
      <c r="A707" s="181" t="str">
        <f t="shared" si="20"/>
        <v>outbound</v>
      </c>
      <c r="B707" s="182">
        <v>45623.563888888886</v>
      </c>
      <c r="C707" s="183" t="s">
        <v>1924</v>
      </c>
      <c r="D707" s="183" t="s">
        <v>2395</v>
      </c>
      <c r="E707" s="215" t="s">
        <v>2110</v>
      </c>
      <c r="F707" s="112" t="str">
        <f>IF(ISBLANK(E707),"",_xlfn.XLOOKUP(E707,[1]cannabis_log!C:C,[1]cannabis_log!J:J,"",0,))</f>
        <v>EX24061401V30</v>
      </c>
      <c r="G707" s="112"/>
      <c r="H707" s="112" t="str">
        <f>IF(ISBLANK(E707),"",_xlfn.XLOOKUP(E707,cannabis_log!C:C,cannabis_log!H:H,"",0,1))</f>
        <v>extract_ingested_labelled</v>
      </c>
      <c r="I707" s="113">
        <f>IF(ISBLANK(E707),"",_xlfn.XLOOKUP(E707,cannabis_log!C:C,cannabis_log!K:K,"NOT FOUND",0,1))</f>
        <v>45467</v>
      </c>
      <c r="J707" s="185">
        <v>-1</v>
      </c>
      <c r="K707" s="186">
        <f t="shared" si="18"/>
        <v>0</v>
      </c>
      <c r="L707" s="288">
        <f t="shared" si="19"/>
        <v>-27.3</v>
      </c>
      <c r="M707" s="24"/>
      <c r="N707" s="112" t="str">
        <f>IF(ISBLANK(E707),"",_xlfn.XLOOKUP(E707,[1]cannabis_log!C:C,[1]cannabis_log!T:T,"Not Found",0,))</f>
        <v>net</v>
      </c>
      <c r="O707" s="180">
        <f>IF(N707="net",_xlfn.XLOOKUP(E707,cannabis_log!C:C,cannabis_log!N:N,"NOT FOUND",0,1),IF(N707="gross",0,""))</f>
        <v>27.3</v>
      </c>
    </row>
    <row r="708" spans="1:15">
      <c r="A708" s="181" t="str">
        <f t="shared" si="20"/>
        <v>outbound</v>
      </c>
      <c r="B708" s="182">
        <v>45623.688888888886</v>
      </c>
      <c r="C708" s="183" t="s">
        <v>1929</v>
      </c>
      <c r="D708" s="183" t="s">
        <v>2396</v>
      </c>
      <c r="E708" s="215" t="s">
        <v>2327</v>
      </c>
      <c r="F708" s="112" t="str">
        <f>IF(ISBLANK(E708),"",_xlfn.XLOOKUP(E708,[1]cannabis_log!C:C,[1]cannabis_log!J:J,"",0,))</f>
        <v>EX24082906G05</v>
      </c>
      <c r="G708" s="112"/>
      <c r="H708" s="112" t="str">
        <f>IF(ISBLANK(E708),"",_xlfn.XLOOKUP(E708,cannabis_log!C:C,cannabis_log!H:H,"",0,1))</f>
        <v>extract_inhaled_labelled</v>
      </c>
      <c r="I708" s="113">
        <f>IF(ISBLANK(E708),"",_xlfn.XLOOKUP(E708,cannabis_log!C:C,cannabis_log!K:K,"NOT FOUND",0,1))</f>
        <v>45588</v>
      </c>
      <c r="J708" s="185">
        <v>-2</v>
      </c>
      <c r="K708" s="186">
        <f t="shared" si="18"/>
        <v>0</v>
      </c>
      <c r="L708" s="288">
        <f t="shared" si="19"/>
        <v>-1</v>
      </c>
      <c r="M708" s="24"/>
      <c r="N708" s="112" t="str">
        <f>IF(ISBLANK(E708),"",_xlfn.XLOOKUP(E708,[1]cannabis_log!C:C,[1]cannabis_log!T:T,"Not Found",0,))</f>
        <v>net</v>
      </c>
      <c r="O708" s="180">
        <f>IF(N708="net",_xlfn.XLOOKUP(E708,cannabis_log!C:C,cannabis_log!N:N,"NOT FOUND",0,1),IF(N708="gross",0,""))</f>
        <v>0.5</v>
      </c>
    </row>
    <row r="709" spans="1:15">
      <c r="A709" s="181" t="str">
        <f t="shared" si="20"/>
        <v>outbound</v>
      </c>
      <c r="B709" s="182">
        <v>45623.688888888886</v>
      </c>
      <c r="C709" s="183" t="s">
        <v>1929</v>
      </c>
      <c r="D709" s="183" t="s">
        <v>2396</v>
      </c>
      <c r="E709" s="215" t="s">
        <v>2397</v>
      </c>
      <c r="F709" s="112" t="str">
        <f>IF(ISBLANK(E709),"",_xlfn.XLOOKUP(E709,[1]cannabis_log!C:C,[1]cannabis_log!J:J,"",0,))</f>
        <v>EX24082906G05</v>
      </c>
      <c r="G709" s="112"/>
      <c r="H709" s="112" t="str">
        <f>IF(ISBLANK(E709),"",_xlfn.XLOOKUP(E709,cannabis_log!C:C,cannabis_log!H:H,"",0,1))</f>
        <v>extract_inhaled_labelled</v>
      </c>
      <c r="I709" s="113">
        <f>IF(ISBLANK(E709),"",_xlfn.XLOOKUP(E709,cannabis_log!C:C,cannabis_log!K:K,"NOT FOUND",0,1))</f>
        <v>45588</v>
      </c>
      <c r="J709" s="185">
        <v>-22</v>
      </c>
      <c r="K709" s="186">
        <f t="shared" si="18"/>
        <v>0</v>
      </c>
      <c r="L709" s="288">
        <f t="shared" si="19"/>
        <v>-11</v>
      </c>
      <c r="M709" s="24"/>
      <c r="N709" s="112" t="str">
        <f>IF(ISBLANK(E709),"",_xlfn.XLOOKUP(E709,[1]cannabis_log!C:C,[1]cannabis_log!T:T,"Not Found",0,))</f>
        <v>net</v>
      </c>
      <c r="O709" s="180">
        <f>IF(N709="net",_xlfn.XLOOKUP(E709,cannabis_log!C:C,cannabis_log!N:N,"NOT FOUND",0,1),IF(N709="gross",0,""))</f>
        <v>0.5</v>
      </c>
    </row>
    <row r="710" spans="1:15">
      <c r="A710" s="181" t="str">
        <f t="shared" si="20"/>
        <v>outbound</v>
      </c>
      <c r="B710" s="182">
        <v>45623.688888888886</v>
      </c>
      <c r="C710" s="183" t="s">
        <v>1929</v>
      </c>
      <c r="D710" s="183" t="s">
        <v>2396</v>
      </c>
      <c r="E710" s="215" t="s">
        <v>2339</v>
      </c>
      <c r="F710" s="112" t="str">
        <f>IF(ISBLANK(E710),"",_xlfn.XLOOKUP(E710,[1]cannabis_log!C:C,[1]cannabis_log!J:J,"",0,))</f>
        <v>EX24101701G05</v>
      </c>
      <c r="G710" s="112"/>
      <c r="H710" s="112" t="str">
        <f>IF(ISBLANK(E710),"",_xlfn.XLOOKUP(E710,cannabis_log!C:C,cannabis_log!H:H,"",0,1))</f>
        <v>extract_inhaled_labelled</v>
      </c>
      <c r="I710" s="113">
        <f>IF(ISBLANK(E710),"",_xlfn.XLOOKUP(E710,cannabis_log!C:C,cannabis_log!K:K,"NOT FOUND",0,1))</f>
        <v>45594</v>
      </c>
      <c r="J710" s="185">
        <v>-18</v>
      </c>
      <c r="K710" s="186">
        <f t="shared" si="18"/>
        <v>0</v>
      </c>
      <c r="L710" s="288">
        <f t="shared" si="19"/>
        <v>-9</v>
      </c>
      <c r="M710" s="24"/>
      <c r="N710" s="112" t="str">
        <f>IF(ISBLANK(E710),"",_xlfn.XLOOKUP(E710,[1]cannabis_log!C:C,[1]cannabis_log!T:T,"Not Found",0,))</f>
        <v>net</v>
      </c>
      <c r="O710" s="180">
        <f>IF(N710="net",_xlfn.XLOOKUP(E710,cannabis_log!C:C,cannabis_log!N:N,"NOT FOUND",0,1),IF(N710="gross",0,""))</f>
        <v>0.5</v>
      </c>
    </row>
    <row r="711" spans="1:15">
      <c r="A711" s="181" t="str">
        <f t="shared" si="20"/>
        <v>outbound</v>
      </c>
      <c r="B711" s="182">
        <v>45624.415277777778</v>
      </c>
      <c r="C711" s="183" t="s">
        <v>1929</v>
      </c>
      <c r="D711" s="183" t="s">
        <v>2398</v>
      </c>
      <c r="E711" s="215" t="s">
        <v>2296</v>
      </c>
      <c r="F711" s="112" t="str">
        <f>IF(ISBLANK(E711),"",_xlfn.XLOOKUP(E711,[1]cannabis_log!C:C,[1]cannabis_log!J:J,"",0,))</f>
        <v>EX24092601V50</v>
      </c>
      <c r="G711" s="112"/>
      <c r="H711" s="112" t="str">
        <f>IF(ISBLANK(E711),"",_xlfn.XLOOKUP(E711,cannabis_log!C:C,cannabis_log!H:H,"",0,1))</f>
        <v>extract_ingested_labelled</v>
      </c>
      <c r="I711" s="113">
        <f>IF(ISBLANK(E711),"",_xlfn.XLOOKUP(E711,cannabis_log!C:C,cannabis_log!K:K,"NOT FOUND",0,1))</f>
        <v>45576</v>
      </c>
      <c r="J711" s="185">
        <v>-36</v>
      </c>
      <c r="K711" s="186">
        <f t="shared" si="18"/>
        <v>0</v>
      </c>
      <c r="L711" s="288">
        <f t="shared" si="19"/>
        <v>-1800</v>
      </c>
      <c r="M711" s="24"/>
      <c r="N711" s="112" t="str">
        <f>IF(ISBLANK(E711),"",_xlfn.XLOOKUP(E711,[1]cannabis_log!C:C,[1]cannabis_log!T:T,"Not Found",0,))</f>
        <v>net</v>
      </c>
      <c r="O711" s="180">
        <f>IF(N711="net",_xlfn.XLOOKUP(E711,cannabis_log!C:C,cannabis_log!N:N,"NOT FOUND",0,1),IF(N711="gross",0,""))</f>
        <v>50</v>
      </c>
    </row>
    <row r="712" spans="1:15">
      <c r="A712" s="181" t="str">
        <f t="shared" si="20"/>
        <v>inbound</v>
      </c>
      <c r="B712" s="182">
        <v>45625.694444444445</v>
      </c>
      <c r="C712" s="183" t="s">
        <v>1927</v>
      </c>
      <c r="D712" s="183"/>
      <c r="E712" s="215" t="s">
        <v>2283</v>
      </c>
      <c r="F712" s="112">
        <f>IF(ISBLANK(E712),"",_xlfn.XLOOKUP(E712,[1]cannabis_log!C:C,[1]cannabis_log!J:J,"",0,))</f>
        <v>2024101703</v>
      </c>
      <c r="G712" s="112"/>
      <c r="H712" s="112" t="str">
        <f>IF(ISBLANK(E712),"",_xlfn.XLOOKUP(E712,cannabis_log!C:C,cannabis_log!H:H,"",0,1))</f>
        <v>driedflower_bulk</v>
      </c>
      <c r="I712" s="113" t="str">
        <f>IF(ISBLANK(E712),"",_xlfn.XLOOKUP(E712,cannabis_log!C:C,cannabis_log!K:K,"NOT FOUND",0,1))</f>
        <v>NA</v>
      </c>
      <c r="J712" s="185">
        <v>1</v>
      </c>
      <c r="K712" s="186">
        <v>1095</v>
      </c>
      <c r="L712" s="288">
        <f t="shared" si="19"/>
        <v>0</v>
      </c>
      <c r="M712" s="24"/>
      <c r="N712" s="112" t="str">
        <f>IF(ISBLANK(E712),"",_xlfn.XLOOKUP(E712,[1]cannabis_log!C:C,[1]cannabis_log!T:T,"Not Found",0,))</f>
        <v>gross</v>
      </c>
      <c r="O712" s="180">
        <f>IF(N712="net",_xlfn.XLOOKUP(E712,cannabis_log!C:C,cannabis_log!N:N,"NOT FOUND",0,1),IF(N712="gross",0,""))</f>
        <v>0</v>
      </c>
    </row>
    <row r="713" spans="1:15" ht="15.6">
      <c r="A713" s="181" t="str">
        <f t="shared" si="20"/>
        <v>outbound</v>
      </c>
      <c r="B713" s="182">
        <v>45628</v>
      </c>
      <c r="C713" s="183" t="s">
        <v>1921</v>
      </c>
      <c r="D713" s="53" t="s">
        <v>2399</v>
      </c>
      <c r="E713" s="215" t="s">
        <v>2209</v>
      </c>
      <c r="F713" s="112" t="str">
        <f>IF(ISBLANK(E713),"",_xlfn.XLOOKUP(E713,[1]cannabis_log!C:C,[1]cannabis_log!J:J,"",0,))</f>
        <v>BS23041701G180</v>
      </c>
      <c r="G713" s="112"/>
      <c r="H713" s="112" t="str">
        <f>IF(ISBLANK(E713),"",_xlfn.XLOOKUP(E713,cannabis_log!C:C,cannabis_log!H:H,"",0,1))</f>
        <v>topical_labelled</v>
      </c>
      <c r="I713" s="113">
        <f>IF(ISBLANK(E713),"",_xlfn.XLOOKUP(E713,cannabis_log!C:C,cannabis_log!K:K,"NOT FOUND",0,1))</f>
        <v>45523</v>
      </c>
      <c r="J713" s="185">
        <v>-20</v>
      </c>
      <c r="K713" s="186">
        <f t="shared" ref="K713:K718" si="21">IF(N713="net",0,"")</f>
        <v>0</v>
      </c>
      <c r="L713" s="288">
        <f t="shared" si="19"/>
        <v>-3600</v>
      </c>
      <c r="M713" s="24"/>
      <c r="N713" s="112" t="str">
        <f>IF(ISBLANK(E713),"",_xlfn.XLOOKUP(E713,[1]cannabis_log!C:C,[1]cannabis_log!T:T,"Not Found",0,))</f>
        <v>net</v>
      </c>
      <c r="O713" s="180">
        <f>IF(N713="net",_xlfn.XLOOKUP(E713,cannabis_log!C:C,cannabis_log!N:N,"NOT FOUND",0,1),IF(N713="gross",0,""))</f>
        <v>180</v>
      </c>
    </row>
    <row r="714" spans="1:15" ht="15.6">
      <c r="A714" s="181" t="str">
        <f t="shared" si="20"/>
        <v>outbound</v>
      </c>
      <c r="B714" s="182">
        <v>45628</v>
      </c>
      <c r="C714" s="183" t="s">
        <v>1921</v>
      </c>
      <c r="D714" s="53" t="s">
        <v>2399</v>
      </c>
      <c r="E714" s="215" t="s">
        <v>1923</v>
      </c>
      <c r="F714" s="112" t="str">
        <f>IF(ISBLANK(E714),"",_xlfn.XLOOKUP(E714,[1]cannabis_log!C:C,[1]cannabis_log!J:J,"",0,))</f>
        <v>BS23041701G180</v>
      </c>
      <c r="G714" s="112"/>
      <c r="H714" s="112" t="str">
        <f>IF(ISBLANK(E714),"",_xlfn.XLOOKUP(E714,cannabis_log!C:C,cannabis_log!H:H,"",0,1))</f>
        <v>topical_labelled</v>
      </c>
      <c r="I714" s="113">
        <f>IF(ISBLANK(E714),"",_xlfn.XLOOKUP(E714,cannabis_log!C:C,cannabis_log!K:K,"NOT FOUND",0,1))</f>
        <v>45467</v>
      </c>
      <c r="J714" s="185">
        <v>-32</v>
      </c>
      <c r="K714" s="186">
        <f t="shared" si="21"/>
        <v>0</v>
      </c>
      <c r="L714" s="288">
        <f t="shared" si="19"/>
        <v>-5760</v>
      </c>
      <c r="M714" s="24"/>
      <c r="N714" s="112" t="str">
        <f>IF(ISBLANK(E714),"",_xlfn.XLOOKUP(E714,[1]cannabis_log!C:C,[1]cannabis_log!T:T,"Not Found",0,))</f>
        <v>net</v>
      </c>
      <c r="O714" s="180">
        <f>IF(N714="net",_xlfn.XLOOKUP(E714,cannabis_log!C:C,cannabis_log!N:N,"NOT FOUND",0,1),IF(N714="gross",0,""))</f>
        <v>180</v>
      </c>
    </row>
    <row r="715" spans="1:15" ht="15.6">
      <c r="A715" s="181" t="str">
        <f t="shared" si="20"/>
        <v>outbound</v>
      </c>
      <c r="B715" s="182">
        <v>45628</v>
      </c>
      <c r="C715" s="183" t="s">
        <v>1921</v>
      </c>
      <c r="D715" s="53" t="s">
        <v>2399</v>
      </c>
      <c r="E715" s="215" t="s">
        <v>1931</v>
      </c>
      <c r="F715" s="112" t="str">
        <f>IF(ISBLANK(E715),"",_xlfn.XLOOKUP(E715,[1]cannabis_log!C:C,[1]cannabis_log!J:J,"",0,))</f>
        <v>BS23041701G180</v>
      </c>
      <c r="G715" s="112"/>
      <c r="H715" s="112" t="str">
        <f>IF(ISBLANK(E715),"",_xlfn.XLOOKUP(E715,cannabis_log!C:C,cannabis_log!H:H,"",0,1))</f>
        <v>topical_labelled</v>
      </c>
      <c r="I715" s="113">
        <f>IF(ISBLANK(E715),"",_xlfn.XLOOKUP(E715,cannabis_log!C:C,cannabis_log!K:K,"NOT FOUND",0,1))</f>
        <v>45467</v>
      </c>
      <c r="J715" s="185">
        <v>-111</v>
      </c>
      <c r="K715" s="186">
        <f t="shared" si="21"/>
        <v>0</v>
      </c>
      <c r="L715" s="288">
        <f t="shared" si="19"/>
        <v>-19980</v>
      </c>
      <c r="M715" s="24"/>
      <c r="N715" s="112" t="str">
        <f>IF(ISBLANK(E715),"",_xlfn.XLOOKUP(E715,[1]cannabis_log!C:C,[1]cannabis_log!T:T,"Not Found",0,))</f>
        <v>net</v>
      </c>
      <c r="O715" s="180">
        <f>IF(N715="net",_xlfn.XLOOKUP(E715,cannabis_log!C:C,cannabis_log!N:N,"NOT FOUND",0,1),IF(N715="gross",0,""))</f>
        <v>180</v>
      </c>
    </row>
    <row r="716" spans="1:15" ht="15.6">
      <c r="A716" s="181" t="str">
        <f t="shared" si="20"/>
        <v>outbound</v>
      </c>
      <c r="B716" s="182">
        <v>45628</v>
      </c>
      <c r="C716" s="183" t="s">
        <v>1921</v>
      </c>
      <c r="D716" s="53" t="s">
        <v>2399</v>
      </c>
      <c r="E716" s="215" t="s">
        <v>1941</v>
      </c>
      <c r="F716" s="112" t="str">
        <f>IF(ISBLANK(E716),"",_xlfn.XLOOKUP(E716,[1]cannabis_log!C:C,[1]cannabis_log!J:J,"",0,))</f>
        <v>BS23101901G450</v>
      </c>
      <c r="G716" s="112"/>
      <c r="H716" s="112" t="str">
        <f>IF(ISBLANK(E716),"",_xlfn.XLOOKUP(E716,cannabis_log!C:C,cannabis_log!H:H,"",0,1))</f>
        <v>topical_labelled</v>
      </c>
      <c r="I716" s="113">
        <f>IF(ISBLANK(E716),"",_xlfn.XLOOKUP(E716,cannabis_log!C:C,cannabis_log!K:K,"NOT FOUND",0,1))</f>
        <v>45629</v>
      </c>
      <c r="J716" s="185">
        <v>-19</v>
      </c>
      <c r="K716" s="186">
        <f t="shared" si="21"/>
        <v>0</v>
      </c>
      <c r="L716" s="288">
        <f t="shared" si="19"/>
        <v>-8550</v>
      </c>
      <c r="M716" s="24"/>
      <c r="N716" s="112" t="str">
        <f>IF(ISBLANK(E716),"",_xlfn.XLOOKUP(E716,[1]cannabis_log!C:C,[1]cannabis_log!T:T,"Not Found",0,))</f>
        <v>net</v>
      </c>
      <c r="O716" s="180">
        <f>IF(N716="net",_xlfn.XLOOKUP(E716,cannabis_log!C:C,cannabis_log!N:N,"NOT FOUND",0,1),IF(N716="gross",0,""))</f>
        <v>450</v>
      </c>
    </row>
    <row r="717" spans="1:15" ht="15.6">
      <c r="A717" s="181" t="str">
        <f t="shared" si="20"/>
        <v>outbound</v>
      </c>
      <c r="B717" s="182">
        <v>45628</v>
      </c>
      <c r="C717" s="183" t="s">
        <v>1921</v>
      </c>
      <c r="D717" s="53" t="s">
        <v>2399</v>
      </c>
      <c r="E717" s="215" t="s">
        <v>2400</v>
      </c>
      <c r="F717" s="112" t="str">
        <f>IF(ISBLANK(E717),"",_xlfn.XLOOKUP(E717,[1]cannabis_log!C:C,[1]cannabis_log!J:J,"",0,))</f>
        <v>BS23101901G450</v>
      </c>
      <c r="G717" s="112"/>
      <c r="H717" s="112" t="str">
        <f>IF(ISBLANK(E717),"",_xlfn.XLOOKUP(E717,cannabis_log!C:C,cannabis_log!H:H,"",0,1))</f>
        <v>topical_labelled</v>
      </c>
      <c r="I717" s="113">
        <f>IF(ISBLANK(E717),"",_xlfn.XLOOKUP(E717,cannabis_log!C:C,cannabis_log!K:K,"NOT FOUND",0,1))</f>
        <v>45629</v>
      </c>
      <c r="J717" s="185">
        <v>-149</v>
      </c>
      <c r="K717" s="186">
        <f t="shared" si="21"/>
        <v>0</v>
      </c>
      <c r="L717" s="288">
        <f t="shared" si="19"/>
        <v>-67050</v>
      </c>
      <c r="M717" s="24"/>
      <c r="N717" s="112" t="str">
        <f>IF(ISBLANK(E717),"",_xlfn.XLOOKUP(E717,[1]cannabis_log!C:C,[1]cannabis_log!T:T,"Not Found",0,))</f>
        <v>net</v>
      </c>
      <c r="O717" s="180">
        <f>IF(N717="net",_xlfn.XLOOKUP(E717,cannabis_log!C:C,cannabis_log!N:N,"NOT FOUND",0,1),IF(N717="gross",0,""))</f>
        <v>450</v>
      </c>
    </row>
    <row r="718" spans="1:15">
      <c r="A718" s="181" t="str">
        <f t="shared" si="20"/>
        <v>outbound</v>
      </c>
      <c r="B718" s="182">
        <v>45628.4375</v>
      </c>
      <c r="C718" s="183" t="s">
        <v>1929</v>
      </c>
      <c r="D718" s="183" t="s">
        <v>2401</v>
      </c>
      <c r="E718" s="215" t="s">
        <v>2402</v>
      </c>
      <c r="F718" s="112" t="str">
        <f>IF(ISBLANK(E718),"",_xlfn.XLOOKUP(E718,[1]cannabis_log!C:C,[1]cannabis_log!J:J,"",0,))</f>
        <v>TP24082901</v>
      </c>
      <c r="G718" s="112"/>
      <c r="H718" s="112" t="str">
        <f>IF(ISBLANK(E718),"",_xlfn.XLOOKUP(E718,cannabis_log!C:C,cannabis_log!H:H,"",0,1))</f>
        <v>topical_labelled</v>
      </c>
      <c r="I718" s="113">
        <f>IF(ISBLANK(E718),"",_xlfn.XLOOKUP(E718,cannabis_log!C:C,cannabis_log!K:K,"NOT FOUND",0,1))</f>
        <v>45569</v>
      </c>
      <c r="J718" s="185">
        <f>-9*12</f>
        <v>-108</v>
      </c>
      <c r="K718" s="186">
        <f t="shared" si="21"/>
        <v>0</v>
      </c>
      <c r="L718" s="288">
        <f t="shared" si="19"/>
        <v>-9504</v>
      </c>
      <c r="M718" s="24"/>
      <c r="N718" s="112" t="str">
        <f>IF(ISBLANK(E718),"",_xlfn.XLOOKUP(E718,[1]cannabis_log!C:C,[1]cannabis_log!T:T,"Not Found",0,))</f>
        <v>net</v>
      </c>
      <c r="O718" s="180">
        <f>IF(N718="net",_xlfn.XLOOKUP(E718,cannabis_log!C:C,cannabis_log!N:N,"NOT FOUND",0,1),IF(N718="gross",0,""))</f>
        <v>88</v>
      </c>
    </row>
    <row r="719" spans="1:15">
      <c r="A719" s="181" t="str">
        <f t="shared" si="20"/>
        <v>outbound</v>
      </c>
      <c r="B719" s="182">
        <v>45629.435416666667</v>
      </c>
      <c r="C719" s="183" t="s">
        <v>1924</v>
      </c>
      <c r="D719" s="183" t="s">
        <v>2403</v>
      </c>
      <c r="E719" s="215" t="s">
        <v>2404</v>
      </c>
      <c r="F719" s="112">
        <f>IF(ISBLANK(E719),"",_xlfn.XLOOKUP(E719,[1]cannabis_log!C:C,[1]cannabis_log!J:J,"",0,))</f>
        <v>2024111801</v>
      </c>
      <c r="G719" s="112"/>
      <c r="H719" s="112" t="str">
        <f>IF(ISBLANK(E719),"",_xlfn.XLOOKUP(E719,cannabis_log!C:C,cannabis_log!H:H,"",0,1))</f>
        <v>driedflower_bulk</v>
      </c>
      <c r="I719" s="113" t="str">
        <f>IF(ISBLANK(E719),"",_xlfn.XLOOKUP(E719,cannabis_log!C:C,cannabis_log!K:K,"NOT FOUND",0,1))</f>
        <v>NA</v>
      </c>
      <c r="J719" s="185">
        <v>-1</v>
      </c>
      <c r="K719" s="186">
        <v>-3085</v>
      </c>
      <c r="L719" s="288">
        <f t="shared" si="19"/>
        <v>0</v>
      </c>
      <c r="M719" s="24"/>
      <c r="N719" s="112" t="str">
        <f>IF(ISBLANK(E719),"",_xlfn.XLOOKUP(E719,[1]cannabis_log!C:C,[1]cannabis_log!T:T,"Not Found",0,))</f>
        <v>gross</v>
      </c>
      <c r="O719" s="180">
        <f>IF(N719="net",_xlfn.XLOOKUP(E719,cannabis_log!C:C,cannabis_log!N:N,"NOT FOUND",0,1),IF(N719="gross",0,""))</f>
        <v>0</v>
      </c>
    </row>
    <row r="720" spans="1:15">
      <c r="A720" s="181" t="str">
        <f t="shared" si="20"/>
        <v>outbound</v>
      </c>
      <c r="B720" s="182">
        <v>45629.435416666667</v>
      </c>
      <c r="C720" s="183" t="s">
        <v>1924</v>
      </c>
      <c r="D720" s="183" t="s">
        <v>2403</v>
      </c>
      <c r="E720" s="215" t="s">
        <v>2283</v>
      </c>
      <c r="F720" s="112">
        <f>IF(ISBLANK(E720),"",_xlfn.XLOOKUP(E720,[1]cannabis_log!C:C,[1]cannabis_log!J:J,"",0,))</f>
        <v>2024101703</v>
      </c>
      <c r="G720" s="112"/>
      <c r="H720" s="112" t="str">
        <f>IF(ISBLANK(E720),"",_xlfn.XLOOKUP(E720,cannabis_log!C:C,cannabis_log!H:H,"",0,1))</f>
        <v>driedflower_bulk</v>
      </c>
      <c r="I720" s="113" t="str">
        <f>IF(ISBLANK(E720),"",_xlfn.XLOOKUP(E720,cannabis_log!C:C,cannabis_log!K:K,"NOT FOUND",0,1))</f>
        <v>NA</v>
      </c>
      <c r="J720" s="185">
        <v>-1</v>
      </c>
      <c r="K720" s="186">
        <v>-1095</v>
      </c>
      <c r="L720" s="288">
        <f t="shared" si="19"/>
        <v>0</v>
      </c>
      <c r="M720" s="24"/>
      <c r="N720" s="112" t="str">
        <f>IF(ISBLANK(E720),"",_xlfn.XLOOKUP(E720,[1]cannabis_log!C:C,[1]cannabis_log!T:T,"Not Found",0,))</f>
        <v>gross</v>
      </c>
      <c r="O720" s="180">
        <f>IF(N720="net",_xlfn.XLOOKUP(E720,cannabis_log!C:C,cannabis_log!N:N,"NOT FOUND",0,1),IF(N720="gross",0,""))</f>
        <v>0</v>
      </c>
    </row>
    <row r="721" spans="1:15">
      <c r="A721" s="181" t="str">
        <f t="shared" si="20"/>
        <v>outbound</v>
      </c>
      <c r="B721" s="182">
        <v>45629.536111111112</v>
      </c>
      <c r="C721" s="183" t="s">
        <v>1924</v>
      </c>
      <c r="D721" s="183" t="s">
        <v>2403</v>
      </c>
      <c r="E721" s="215" t="s">
        <v>2405</v>
      </c>
      <c r="F721" s="112" t="str">
        <f>IF(ISBLANK(E721),"",_xlfn.XLOOKUP(E721,[1]cannabis_log!C:C,[1]cannabis_log!J:J,"",0,))</f>
        <v>PR241103F5</v>
      </c>
      <c r="G721" s="112"/>
      <c r="H721" s="112" t="str">
        <f>IF(ISBLANK(E721),"",_xlfn.XLOOKUP(E721,cannabis_log!C:C,cannabis_log!H:H,"",0,1))</f>
        <v>preroll_bulk</v>
      </c>
      <c r="I721" s="113" t="str">
        <f>IF(ISBLANK(E721),"",_xlfn.XLOOKUP(E721,cannabis_log!C:C,cannabis_log!K:K,"NOT FOUND",0,1))</f>
        <v>NA</v>
      </c>
      <c r="J721" s="185">
        <v>-676</v>
      </c>
      <c r="K721" s="186">
        <f t="shared" ref="K721:K727" si="22">IF(N721="net",0,"")</f>
        <v>0</v>
      </c>
      <c r="L721" s="288">
        <f t="shared" si="19"/>
        <v>-338</v>
      </c>
      <c r="M721" s="24"/>
      <c r="N721" s="112" t="str">
        <f>IF(ISBLANK(E721),"",_xlfn.XLOOKUP(E721,[1]cannabis_log!C:C,[1]cannabis_log!T:T,"Not Found",0,))</f>
        <v>net</v>
      </c>
      <c r="O721" s="180">
        <f>IF(N721="net",_xlfn.XLOOKUP(E721,cannabis_log!C:C,cannabis_log!N:N,"NOT FOUND",0,1),IF(N721="gross",0,""))</f>
        <v>0.5</v>
      </c>
    </row>
    <row r="722" spans="1:15">
      <c r="A722" s="181" t="str">
        <f t="shared" si="20"/>
        <v>outbound</v>
      </c>
      <c r="B722" s="182">
        <v>45629.538194444445</v>
      </c>
      <c r="C722" s="183" t="s">
        <v>1924</v>
      </c>
      <c r="D722" s="183" t="s">
        <v>2403</v>
      </c>
      <c r="E722" s="215" t="s">
        <v>2397</v>
      </c>
      <c r="F722" s="112" t="str">
        <f>IF(ISBLANK(E722),"",_xlfn.XLOOKUP(E722,[1]cannabis_log!C:C,[1]cannabis_log!J:J,"",0,))</f>
        <v>EX24082906G05</v>
      </c>
      <c r="G722" s="112"/>
      <c r="H722" s="112" t="str">
        <f>IF(ISBLANK(E722),"",_xlfn.XLOOKUP(E722,cannabis_log!C:C,cannabis_log!H:H,"",0,1))</f>
        <v>extract_inhaled_labelled</v>
      </c>
      <c r="I722" s="113">
        <f>IF(ISBLANK(E722),"",_xlfn.XLOOKUP(E722,cannabis_log!C:C,cannabis_log!K:K,"NOT FOUND",0,1))</f>
        <v>45588</v>
      </c>
      <c r="J722" s="185">
        <v>-3</v>
      </c>
      <c r="K722" s="186">
        <f t="shared" si="22"/>
        <v>0</v>
      </c>
      <c r="L722" s="288">
        <f t="shared" si="19"/>
        <v>-1.5</v>
      </c>
      <c r="M722" s="24"/>
      <c r="N722" s="112" t="str">
        <f>IF(ISBLANK(E722),"",_xlfn.XLOOKUP(E722,[1]cannabis_log!C:C,[1]cannabis_log!T:T,"Not Found",0,))</f>
        <v>net</v>
      </c>
      <c r="O722" s="180">
        <f>IF(N722="net",_xlfn.XLOOKUP(E722,cannabis_log!C:C,cannabis_log!N:N,"NOT FOUND",0,1),IF(N722="gross",0,""))</f>
        <v>0.5</v>
      </c>
    </row>
    <row r="723" spans="1:15">
      <c r="A723" s="181" t="str">
        <f t="shared" si="20"/>
        <v>outbound</v>
      </c>
      <c r="B723" s="182">
        <v>45629.538194444445</v>
      </c>
      <c r="C723" s="183" t="s">
        <v>1924</v>
      </c>
      <c r="D723" s="183" t="s">
        <v>2403</v>
      </c>
      <c r="E723" s="215" t="s">
        <v>2316</v>
      </c>
      <c r="F723" s="112" t="str">
        <f>IF(ISBLANK(E723),"",_xlfn.XLOOKUP(E723,[1]cannabis_log!C:C,[1]cannabis_log!J:J,"",0,))</f>
        <v>EX24101705G05</v>
      </c>
      <c r="G723" s="112"/>
      <c r="H723" s="112" t="str">
        <f>IF(ISBLANK(E723),"",_xlfn.XLOOKUP(E723,cannabis_log!C:C,cannabis_log!H:H,"",0,1))</f>
        <v>extract_inhaled_labelled</v>
      </c>
      <c r="I723" s="113">
        <f>IF(ISBLANK(E723),"",_xlfn.XLOOKUP(E723,cannabis_log!C:C,cannabis_log!K:K,"NOT FOUND",0,1))</f>
        <v>45594</v>
      </c>
      <c r="J723" s="185">
        <v>-4</v>
      </c>
      <c r="K723" s="186">
        <f t="shared" si="22"/>
        <v>0</v>
      </c>
      <c r="L723" s="288">
        <f t="shared" si="19"/>
        <v>-2</v>
      </c>
      <c r="M723" s="24"/>
      <c r="N723" s="112" t="str">
        <f>IF(ISBLANK(E723),"",_xlfn.XLOOKUP(E723,[1]cannabis_log!C:C,[1]cannabis_log!T:T,"Not Found",0,))</f>
        <v>net</v>
      </c>
      <c r="O723" s="180">
        <f>IF(N723="net",_xlfn.XLOOKUP(E723,cannabis_log!C:C,cannabis_log!N:N,"NOT FOUND",0,1),IF(N723="gross",0,""))</f>
        <v>0.5</v>
      </c>
    </row>
    <row r="724" spans="1:15">
      <c r="A724" s="181" t="str">
        <f t="shared" si="20"/>
        <v>outbound</v>
      </c>
      <c r="B724" s="182">
        <v>45629.543749999997</v>
      </c>
      <c r="C724" s="183" t="s">
        <v>1921</v>
      </c>
      <c r="D724" s="183" t="s">
        <v>2406</v>
      </c>
      <c r="E724" s="215" t="s">
        <v>2407</v>
      </c>
      <c r="F724" s="112" t="str">
        <f>IF(ISBLANK(E724),"",_xlfn.XLOOKUP(E724,[1]cannabis_log!C:C,[1]cannabis_log!J:J,"",0,))</f>
        <v>EX24101705G05</v>
      </c>
      <c r="G724" s="112"/>
      <c r="H724" s="112" t="str">
        <f>IF(ISBLANK(E724),"",_xlfn.XLOOKUP(E724,cannabis_log!C:C,cannabis_log!H:H,"",0,1))</f>
        <v>extract_inhaled_packaged</v>
      </c>
      <c r="I724" s="113" t="str">
        <f>IF(ISBLANK(E724),"",_xlfn.XLOOKUP(E724,cannabis_log!C:C,cannabis_log!K:K,"NOT FOUND",0,1))</f>
        <v>NA</v>
      </c>
      <c r="J724" s="185">
        <v>-79</v>
      </c>
      <c r="K724" s="186">
        <f t="shared" si="22"/>
        <v>0</v>
      </c>
      <c r="L724" s="288">
        <f t="shared" si="19"/>
        <v>-39.5</v>
      </c>
      <c r="M724" s="24"/>
      <c r="N724" s="112" t="str">
        <f>IF(ISBLANK(E724),"",_xlfn.XLOOKUP(E724,[1]cannabis_log!C:C,[1]cannabis_log!T:T,"Not Found",0,))</f>
        <v>net</v>
      </c>
      <c r="O724" s="180">
        <f>IF(N724="net",_xlfn.XLOOKUP(E724,cannabis_log!C:C,cannabis_log!N:N,"NOT FOUND",0,1),IF(N724="gross",0,""))</f>
        <v>0.5</v>
      </c>
    </row>
    <row r="725" spans="1:15">
      <c r="A725" s="181" t="str">
        <f t="shared" si="20"/>
        <v>outbound</v>
      </c>
      <c r="B725" s="182">
        <v>45629.543749999997</v>
      </c>
      <c r="C725" s="183" t="s">
        <v>1921</v>
      </c>
      <c r="D725" s="183" t="s">
        <v>2406</v>
      </c>
      <c r="E725" s="215" t="s">
        <v>2408</v>
      </c>
      <c r="F725" s="112" t="str">
        <f>IF(ISBLANK(E725),"",_xlfn.XLOOKUP(E725,[1]cannabis_log!C:C,[1]cannabis_log!J:J,"",0,))</f>
        <v>EX24101705G05</v>
      </c>
      <c r="G725" s="112"/>
      <c r="H725" s="112" t="str">
        <f>IF(ISBLANK(E725),"",_xlfn.XLOOKUP(E725,cannabis_log!C:C,cannabis_log!H:H,"",0,1))</f>
        <v>extract_inhaled_packaged</v>
      </c>
      <c r="I725" s="113" t="str">
        <f>IF(ISBLANK(E725),"",_xlfn.XLOOKUP(E725,cannabis_log!C:C,cannabis_log!K:K,"NOT FOUND",0,1))</f>
        <v>NA</v>
      </c>
      <c r="J725" s="185">
        <v>-140</v>
      </c>
      <c r="K725" s="186">
        <f t="shared" si="22"/>
        <v>0</v>
      </c>
      <c r="L725" s="288">
        <f t="shared" si="19"/>
        <v>-70</v>
      </c>
      <c r="M725" s="24"/>
      <c r="N725" s="112" t="str">
        <f>IF(ISBLANK(E725),"",_xlfn.XLOOKUP(E725,[1]cannabis_log!C:C,[1]cannabis_log!T:T,"Not Found",0,))</f>
        <v>net</v>
      </c>
      <c r="O725" s="180">
        <f>IF(N725="net",_xlfn.XLOOKUP(E725,cannabis_log!C:C,cannabis_log!N:N,"NOT FOUND",0,1),IF(N725="gross",0,""))</f>
        <v>0.5</v>
      </c>
    </row>
    <row r="726" spans="1:15">
      <c r="A726" s="181" t="str">
        <f t="shared" si="20"/>
        <v>outbound</v>
      </c>
      <c r="B726" s="182">
        <v>45629.543749999997</v>
      </c>
      <c r="C726" s="183" t="s">
        <v>1921</v>
      </c>
      <c r="D726" s="183" t="s">
        <v>2406</v>
      </c>
      <c r="E726" s="215" t="s">
        <v>2374</v>
      </c>
      <c r="F726" s="112" t="str">
        <f>IF(ISBLANK(E726),"",_xlfn.XLOOKUP(E726,[1]cannabis_log!C:C,[1]cannabis_log!J:J,"",0,))</f>
        <v>EX24101705G05</v>
      </c>
      <c r="G726" s="112"/>
      <c r="H726" s="112" t="str">
        <f>IF(ISBLANK(E726),"",_xlfn.XLOOKUP(E726,cannabis_log!C:C,cannabis_log!H:H,"",0,1))</f>
        <v>extract_inhaled_packaged</v>
      </c>
      <c r="I726" s="113" t="str">
        <f>IF(ISBLANK(E726),"",_xlfn.XLOOKUP(E726,cannabis_log!C:C,cannabis_log!K:K,"NOT FOUND",0,1))</f>
        <v>NA</v>
      </c>
      <c r="J726" s="185">
        <v>-200</v>
      </c>
      <c r="K726" s="186">
        <f t="shared" si="22"/>
        <v>0</v>
      </c>
      <c r="L726" s="288">
        <f t="shared" si="19"/>
        <v>-100</v>
      </c>
      <c r="M726" s="24"/>
      <c r="N726" s="112" t="str">
        <f>IF(ISBLANK(E726),"",_xlfn.XLOOKUP(E726,[1]cannabis_log!C:C,[1]cannabis_log!T:T,"Not Found",0,))</f>
        <v>net</v>
      </c>
      <c r="O726" s="180">
        <f>IF(N726="net",_xlfn.XLOOKUP(E726,cannabis_log!C:C,cannabis_log!N:N,"NOT FOUND",0,1),IF(N726="gross",0,""))</f>
        <v>0.5</v>
      </c>
    </row>
    <row r="727" spans="1:15">
      <c r="A727" s="181" t="str">
        <f t="shared" si="20"/>
        <v>outbound</v>
      </c>
      <c r="B727" s="182">
        <v>45629.546527777777</v>
      </c>
      <c r="C727" s="183" t="s">
        <v>1924</v>
      </c>
      <c r="D727" s="183" t="s">
        <v>2403</v>
      </c>
      <c r="E727" s="215" t="s">
        <v>2311</v>
      </c>
      <c r="F727" s="112" t="str">
        <f>IF(ISBLANK(E727),"",_xlfn.XLOOKUP(E727,[1]cannabis_log!C:C,[1]cannabis_log!J:J,"",0,))</f>
        <v>PR241104F5P3</v>
      </c>
      <c r="G727" s="112"/>
      <c r="H727" s="112" t="str">
        <f>IF(ISBLANK(E727),"",_xlfn.XLOOKUP(E727,cannabis_log!C:C,cannabis_log!H:H,"",0,1))</f>
        <v>preroll_labelled</v>
      </c>
      <c r="I727" s="113">
        <f>IF(ISBLANK(E727),"",_xlfn.XLOOKUP(E727,cannabis_log!C:C,cannabis_log!K:K,"NOT FOUND",0,1))</f>
        <v>45588</v>
      </c>
      <c r="J727" s="185">
        <v>-6</v>
      </c>
      <c r="K727" s="186">
        <f t="shared" si="22"/>
        <v>0</v>
      </c>
      <c r="L727" s="288">
        <f t="shared" si="19"/>
        <v>-9</v>
      </c>
      <c r="M727" s="24"/>
      <c r="N727" s="112" t="str">
        <f>IF(ISBLANK(E727),"",_xlfn.XLOOKUP(E727,[1]cannabis_log!C:C,[1]cannabis_log!T:T,"Not Found",0,))</f>
        <v>net</v>
      </c>
      <c r="O727" s="180">
        <f>IF(N727="net",_xlfn.XLOOKUP(E727,cannabis_log!C:C,cannabis_log!N:N,"NOT FOUND",0,1),IF(N727="gross",0,""))</f>
        <v>1.5</v>
      </c>
    </row>
    <row r="728" spans="1:15">
      <c r="A728" s="181" t="str">
        <f t="shared" si="20"/>
        <v>outbound</v>
      </c>
      <c r="B728" s="182">
        <v>45629.546527777777</v>
      </c>
      <c r="C728" s="183" t="s">
        <v>1924</v>
      </c>
      <c r="D728" s="183" t="s">
        <v>2403</v>
      </c>
      <c r="E728" s="215" t="s">
        <v>1945</v>
      </c>
      <c r="F728" s="112" t="str">
        <f>IF(ISBLANK(E728),"",_xlfn.XLOOKUP(E728,[1]cannabis_log!C:C,[1]cannabis_log!J:J,"",0,))</f>
        <v>LR23032101</v>
      </c>
      <c r="G728" s="112"/>
      <c r="H728" s="112" t="str">
        <f>IF(ISBLANK(E728),"",_xlfn.XLOOKUP(E728,cannabis_log!C:C,cannabis_log!H:H,"",0,1))</f>
        <v>extract_inhaled_bulk</v>
      </c>
      <c r="I728" s="113" t="str">
        <f>IF(ISBLANK(E728),"",_xlfn.XLOOKUP(E728,cannabis_log!C:C,cannabis_log!K:K,"NOT FOUND",0,1))</f>
        <v>NA</v>
      </c>
      <c r="J728" s="185">
        <v>-1</v>
      </c>
      <c r="K728" s="186">
        <v>-2038.2</v>
      </c>
      <c r="L728" s="288">
        <f t="shared" si="19"/>
        <v>0</v>
      </c>
      <c r="M728" s="24"/>
      <c r="N728" s="112" t="str">
        <f>IF(ISBLANK(E728),"",_xlfn.XLOOKUP(E728,[1]cannabis_log!C:C,[1]cannabis_log!T:T,"Not Found",0,))</f>
        <v>gross</v>
      </c>
      <c r="O728" s="180">
        <f>IF(N728="net",_xlfn.XLOOKUP(E728,cannabis_log!C:C,cannabis_log!N:N,"NOT FOUND",0,1),IF(N728="gross",0,""))</f>
        <v>0</v>
      </c>
    </row>
    <row r="729" spans="1:15">
      <c r="A729" s="181" t="str">
        <f t="shared" si="20"/>
        <v>outbound</v>
      </c>
      <c r="B729" s="182">
        <v>45629.557638888888</v>
      </c>
      <c r="C729" s="183" t="s">
        <v>1924</v>
      </c>
      <c r="D729" s="183"/>
      <c r="E729" s="215" t="s">
        <v>2409</v>
      </c>
      <c r="F729" s="112">
        <f>IF(ISBLANK(E729),"",_xlfn.XLOOKUP(E729,[1]cannabis_log!C:C,[1]cannabis_log!J:J,"",0,))</f>
        <v>2024111201</v>
      </c>
      <c r="G729" s="112"/>
      <c r="H729" s="112" t="str">
        <f>IF(ISBLANK(E729),"",_xlfn.XLOOKUP(E729,cannabis_log!C:C,cannabis_log!H:H,"",0,1))</f>
        <v>extract_distillate_bulk</v>
      </c>
      <c r="I729" s="113" t="str">
        <f>IF(ISBLANK(E729),"",_xlfn.XLOOKUP(E729,cannabis_log!C:C,cannabis_log!K:K,"NOT FOUND",0,1))</f>
        <v>NA</v>
      </c>
      <c r="J729" s="185">
        <v>-1</v>
      </c>
      <c r="K729" s="186">
        <v>-286.14999999999998</v>
      </c>
      <c r="L729" s="288">
        <f t="shared" si="19"/>
        <v>0</v>
      </c>
      <c r="M729" s="24"/>
      <c r="N729" s="112" t="str">
        <f>IF(ISBLANK(E729),"",_xlfn.XLOOKUP(E729,[1]cannabis_log!C:C,[1]cannabis_log!T:T,"Not Found",0,))</f>
        <v>gross</v>
      </c>
      <c r="O729" s="180">
        <f>IF(N729="net",_xlfn.XLOOKUP(E729,cannabis_log!C:C,cannabis_log!N:N,"NOT FOUND",0,1),IF(N729="gross",0,""))</f>
        <v>0</v>
      </c>
    </row>
    <row r="730" spans="1:15">
      <c r="A730" s="181" t="str">
        <f t="shared" si="20"/>
        <v>outbound</v>
      </c>
      <c r="B730" s="182">
        <v>45629.584722222222</v>
      </c>
      <c r="C730" s="183" t="s">
        <v>1921</v>
      </c>
      <c r="D730" s="183" t="s">
        <v>2410</v>
      </c>
      <c r="E730" s="215" t="s">
        <v>2203</v>
      </c>
      <c r="F730" s="112" t="str">
        <f>IF(ISBLANK(E730),"",_xlfn.XLOOKUP(E730,[1]cannabis_log!C:C,[1]cannabis_log!J:J,"",0,))</f>
        <v>EX24092601V50</v>
      </c>
      <c r="G730" s="112"/>
      <c r="H730" s="112" t="str">
        <f>IF(ISBLANK(E730),"",_xlfn.XLOOKUP(E730,cannabis_log!C:C,cannabis_log!H:H,"",0,1))</f>
        <v>extract_ingested_labelled</v>
      </c>
      <c r="I730" s="113">
        <f>IF(ISBLANK(E730),"",_xlfn.XLOOKUP(E730,cannabis_log!C:C,cannabis_log!K:K,"NOT FOUND",0,1))</f>
        <v>45576</v>
      </c>
      <c r="J730" s="185">
        <v>-288</v>
      </c>
      <c r="K730" s="186">
        <f>IF(N730="net",0,"")</f>
        <v>0</v>
      </c>
      <c r="L730" s="288">
        <f t="shared" si="19"/>
        <v>-14400</v>
      </c>
      <c r="M730" s="24"/>
      <c r="N730" s="112" t="str">
        <f>IF(ISBLANK(E730),"",_xlfn.XLOOKUP(E730,[1]cannabis_log!C:C,[1]cannabis_log!T:T,"Not Found",0,))</f>
        <v>net</v>
      </c>
      <c r="O730" s="180">
        <f>IF(N730="net",_xlfn.XLOOKUP(E730,cannabis_log!C:C,cannabis_log!N:N,"NOT FOUND",0,1),IF(N730="gross",0,""))</f>
        <v>50</v>
      </c>
    </row>
    <row r="731" spans="1:15">
      <c r="A731" s="181" t="str">
        <f t="shared" si="20"/>
        <v>inbound</v>
      </c>
      <c r="B731" s="182">
        <v>45629.613888888889</v>
      </c>
      <c r="C731" s="183" t="s">
        <v>1927</v>
      </c>
      <c r="D731" s="183"/>
      <c r="E731" s="215" t="s">
        <v>2409</v>
      </c>
      <c r="F731" s="112">
        <f>IF(ISBLANK(E731),"",_xlfn.XLOOKUP(E731,[1]cannabis_log!C:C,[1]cannabis_log!J:J,"",0,))</f>
        <v>2024111201</v>
      </c>
      <c r="G731" s="112"/>
      <c r="H731" s="112" t="str">
        <f>IF(ISBLANK(E731),"",_xlfn.XLOOKUP(E731,cannabis_log!C:C,cannabis_log!H:H,"",0,1))</f>
        <v>extract_distillate_bulk</v>
      </c>
      <c r="I731" s="113" t="str">
        <f>IF(ISBLANK(E731),"",_xlfn.XLOOKUP(E731,cannabis_log!C:C,cannabis_log!K:K,"NOT FOUND",0,1))</f>
        <v>NA</v>
      </c>
      <c r="J731" s="185">
        <v>1</v>
      </c>
      <c r="K731" s="186">
        <v>282.18</v>
      </c>
      <c r="L731" s="288">
        <f t="shared" si="19"/>
        <v>0</v>
      </c>
      <c r="M731" s="24"/>
      <c r="N731" s="112" t="str">
        <f>IF(ISBLANK(E731),"",_xlfn.XLOOKUP(E731,[1]cannabis_log!C:C,[1]cannabis_log!T:T,"Not Found",0,))</f>
        <v>gross</v>
      </c>
      <c r="O731" s="180">
        <f>IF(N731="net",_xlfn.XLOOKUP(E731,cannabis_log!C:C,cannabis_log!N:N,"NOT FOUND",0,1),IF(N731="gross",0,""))</f>
        <v>0</v>
      </c>
    </row>
    <row r="732" spans="1:15">
      <c r="A732" s="181" t="str">
        <f t="shared" si="20"/>
        <v>inbound</v>
      </c>
      <c r="B732" s="182">
        <v>45629.613888888889</v>
      </c>
      <c r="C732" s="183" t="s">
        <v>1927</v>
      </c>
      <c r="D732" s="183"/>
      <c r="E732" s="215" t="s">
        <v>1945</v>
      </c>
      <c r="F732" s="112" t="str">
        <f>IF(ISBLANK(E732),"",_xlfn.XLOOKUP(E732,[1]cannabis_log!C:C,[1]cannabis_log!J:J,"",0,))</f>
        <v>LR23032101</v>
      </c>
      <c r="G732" s="112"/>
      <c r="H732" s="112" t="str">
        <f>IF(ISBLANK(E732),"",_xlfn.XLOOKUP(E732,cannabis_log!C:C,cannabis_log!H:H,"",0,1))</f>
        <v>extract_inhaled_bulk</v>
      </c>
      <c r="I732" s="113" t="str">
        <f>IF(ISBLANK(E732),"",_xlfn.XLOOKUP(E732,cannabis_log!C:C,cannabis_log!K:K,"NOT FOUND",0,1))</f>
        <v>NA</v>
      </c>
      <c r="J732" s="185">
        <v>1</v>
      </c>
      <c r="K732" s="186">
        <v>2025.5</v>
      </c>
      <c r="L732" s="288">
        <f t="shared" si="19"/>
        <v>0</v>
      </c>
      <c r="M732" s="24"/>
      <c r="N732" s="112" t="str">
        <f>IF(ISBLANK(E732),"",_xlfn.XLOOKUP(E732,[1]cannabis_log!C:C,[1]cannabis_log!T:T,"Not Found",0,))</f>
        <v>gross</v>
      </c>
      <c r="O732" s="180">
        <f>IF(N732="net",_xlfn.XLOOKUP(E732,cannabis_log!C:C,cannabis_log!N:N,"NOT FOUND",0,1),IF(N732="gross",0,""))</f>
        <v>0</v>
      </c>
    </row>
    <row r="733" spans="1:15">
      <c r="A733" s="181" t="str">
        <f t="shared" si="20"/>
        <v>outbound</v>
      </c>
      <c r="B733" s="182">
        <v>45629.691666666666</v>
      </c>
      <c r="C733" s="183" t="s">
        <v>1929</v>
      </c>
      <c r="D733" s="183" t="s">
        <v>2411</v>
      </c>
      <c r="E733" s="215" t="s">
        <v>2324</v>
      </c>
      <c r="F733" s="112" t="str">
        <f>IF(ISBLANK(E733),"",_xlfn.XLOOKUP(E733,[1]cannabis_log!C:C,[1]cannabis_log!J:J,"",0,))</f>
        <v>EX24101703G05</v>
      </c>
      <c r="G733" s="112"/>
      <c r="H733" s="112" t="str">
        <f>IF(ISBLANK(E733),"",_xlfn.XLOOKUP(E733,cannabis_log!C:C,cannabis_log!H:H,"",0,1))</f>
        <v>extract_inhaled_labelled</v>
      </c>
      <c r="I733" s="113">
        <f>IF(ISBLANK(E733),"",_xlfn.XLOOKUP(E733,cannabis_log!C:C,cannabis_log!K:K,"NOT FOUND",0,1))</f>
        <v>45603</v>
      </c>
      <c r="J733" s="185">
        <v>-12</v>
      </c>
      <c r="K733" s="186">
        <f t="shared" ref="K733:K758" si="23">IF(N733="net",0,"")</f>
        <v>0</v>
      </c>
      <c r="L733" s="288">
        <f t="shared" si="19"/>
        <v>-6</v>
      </c>
      <c r="M733" s="24"/>
      <c r="N733" s="112" t="str">
        <f>IF(ISBLANK(E733),"",_xlfn.XLOOKUP(E733,[1]cannabis_log!C:C,[1]cannabis_log!T:T,"Not Found",0,))</f>
        <v>net</v>
      </c>
      <c r="O733" s="180">
        <f>IF(N733="net",_xlfn.XLOOKUP(E733,cannabis_log!C:C,cannabis_log!N:N,"NOT FOUND",0,1),IF(N733="gross",0,""))</f>
        <v>0.5</v>
      </c>
    </row>
    <row r="734" spans="1:15">
      <c r="A734" s="181" t="str">
        <f t="shared" si="20"/>
        <v>outbound</v>
      </c>
      <c r="B734" s="182">
        <v>45629.708333333336</v>
      </c>
      <c r="C734" s="183" t="s">
        <v>1929</v>
      </c>
      <c r="D734" s="183" t="s">
        <v>2411</v>
      </c>
      <c r="E734" s="215" t="s">
        <v>2316</v>
      </c>
      <c r="F734" s="112" t="str">
        <f>IF(ISBLANK(E734),"",_xlfn.XLOOKUP(E734,[1]cannabis_log!C:C,[1]cannabis_log!J:J,"",0,))</f>
        <v>EX24101705G05</v>
      </c>
      <c r="G734" s="112"/>
      <c r="H734" s="112" t="str">
        <f>IF(ISBLANK(E734),"",_xlfn.XLOOKUP(E734,cannabis_log!C:C,cannabis_log!H:H,"",0,1))</f>
        <v>extract_inhaled_labelled</v>
      </c>
      <c r="I734" s="113">
        <f>IF(ISBLANK(E734),"",_xlfn.XLOOKUP(E734,cannabis_log!C:C,cannabis_log!K:K,"NOT FOUND",0,1))</f>
        <v>45594</v>
      </c>
      <c r="J734" s="185">
        <v>-12</v>
      </c>
      <c r="K734" s="186">
        <f t="shared" si="23"/>
        <v>0</v>
      </c>
      <c r="L734" s="288">
        <f t="shared" si="19"/>
        <v>-6</v>
      </c>
      <c r="M734" s="24"/>
      <c r="N734" s="112" t="str">
        <f>IF(ISBLANK(E734),"",_xlfn.XLOOKUP(E734,[1]cannabis_log!C:C,[1]cannabis_log!T:T,"Not Found",0,))</f>
        <v>net</v>
      </c>
      <c r="O734" s="180">
        <f>IF(N734="net",_xlfn.XLOOKUP(E734,cannabis_log!C:C,cannabis_log!N:N,"NOT FOUND",0,1),IF(N734="gross",0,""))</f>
        <v>0.5</v>
      </c>
    </row>
    <row r="735" spans="1:15">
      <c r="A735" s="181" t="str">
        <f t="shared" si="20"/>
        <v>outbound</v>
      </c>
      <c r="B735" s="182">
        <v>45629.708333333336</v>
      </c>
      <c r="C735" s="183" t="s">
        <v>1929</v>
      </c>
      <c r="D735" s="183" t="s">
        <v>2411</v>
      </c>
      <c r="E735" s="215" t="s">
        <v>2207</v>
      </c>
      <c r="F735" s="112" t="str">
        <f>IF(ISBLANK(E735),"",_xlfn.XLOOKUP(E735,[1]cannabis_log!C:C,[1]cannabis_log!J:J,"",0,))</f>
        <v>EX24082904G05</v>
      </c>
      <c r="G735" s="112"/>
      <c r="H735" s="112" t="str">
        <f>IF(ISBLANK(E735),"",_xlfn.XLOOKUP(E735,cannabis_log!C:C,cannabis_log!H:H,"",0,1))</f>
        <v>extract_inhaled_labelled</v>
      </c>
      <c r="I735" s="113">
        <f>IF(ISBLANK(E735),"",_xlfn.XLOOKUP(E735,cannabis_log!C:C,cannabis_log!K:K,"NOT FOUND",0,1))</f>
        <v>45555</v>
      </c>
      <c r="J735" s="185">
        <v>-12</v>
      </c>
      <c r="K735" s="186">
        <f t="shared" si="23"/>
        <v>0</v>
      </c>
      <c r="L735" s="288">
        <f t="shared" si="19"/>
        <v>-6</v>
      </c>
      <c r="M735" s="24"/>
      <c r="N735" s="112" t="str">
        <f>IF(ISBLANK(E735),"",_xlfn.XLOOKUP(E735,[1]cannabis_log!C:C,[1]cannabis_log!T:T,"Not Found",0,))</f>
        <v>net</v>
      </c>
      <c r="O735" s="180">
        <f>IF(N735="net",_xlfn.XLOOKUP(E735,cannabis_log!C:C,cannabis_log!N:N,"NOT FOUND",0,1),IF(N735="gross",0,""))</f>
        <v>0.5</v>
      </c>
    </row>
    <row r="736" spans="1:15">
      <c r="A736" s="181" t="str">
        <f t="shared" si="20"/>
        <v>outbound</v>
      </c>
      <c r="B736" s="182">
        <v>45629.708333333336</v>
      </c>
      <c r="C736" s="183" t="s">
        <v>1929</v>
      </c>
      <c r="D736" s="183" t="s">
        <v>2411</v>
      </c>
      <c r="E736" s="215" t="s">
        <v>2412</v>
      </c>
      <c r="F736" s="112" t="str">
        <f>IF(ISBLANK(E736),"",_xlfn.XLOOKUP(E736,[1]cannabis_log!C:C,[1]cannabis_log!J:J,"",0,))</f>
        <v>EX24111302G05</v>
      </c>
      <c r="G736" s="112"/>
      <c r="H736" s="112" t="str">
        <f>IF(ISBLANK(E736),"",_xlfn.XLOOKUP(E736,cannabis_log!C:C,cannabis_log!H:H,"",0,1))</f>
        <v>extract_inhaled_labelled</v>
      </c>
      <c r="I736" s="113">
        <f>IF(ISBLANK(E736),"",_xlfn.XLOOKUP(E736,cannabis_log!C:C,cannabis_log!K:K,"NOT FOUND",0,1))</f>
        <v>45623</v>
      </c>
      <c r="J736" s="185">
        <v>-12</v>
      </c>
      <c r="K736" s="186">
        <f t="shared" si="23"/>
        <v>0</v>
      </c>
      <c r="L736" s="288">
        <f t="shared" si="19"/>
        <v>-6</v>
      </c>
      <c r="M736" s="24"/>
      <c r="N736" s="112" t="str">
        <f>IF(ISBLANK(E736),"",_xlfn.XLOOKUP(E736,[1]cannabis_log!C:C,[1]cannabis_log!T:T,"Not Found",0,))</f>
        <v>net</v>
      </c>
      <c r="O736" s="180">
        <f>IF(N736="net",_xlfn.XLOOKUP(E736,cannabis_log!C:C,cannabis_log!N:N,"NOT FOUND",0,1),IF(N736="gross",0,""))</f>
        <v>0.5</v>
      </c>
    </row>
    <row r="737" spans="1:15">
      <c r="A737" s="181" t="str">
        <f t="shared" si="20"/>
        <v>outbound</v>
      </c>
      <c r="B737" s="182">
        <v>45629.708333333336</v>
      </c>
      <c r="C737" s="183" t="s">
        <v>1929</v>
      </c>
      <c r="D737" s="183" t="s">
        <v>2411</v>
      </c>
      <c r="E737" s="215" t="s">
        <v>2016</v>
      </c>
      <c r="F737" s="112" t="str">
        <f>IF(ISBLANK(E737),"",_xlfn.XLOOKUP(E737,[1]cannabis_log!C:C,[1]cannabis_log!J:J,"",0,))</f>
        <v>PR2407F5P3</v>
      </c>
      <c r="G737" s="112"/>
      <c r="H737" s="112" t="str">
        <f>IF(ISBLANK(E737),"",_xlfn.XLOOKUP(E737,cannabis_log!C:C,cannabis_log!H:H,"",0,1))</f>
        <v>preroll_labelled</v>
      </c>
      <c r="I737" s="113">
        <f>IF(ISBLANK(E737),"",_xlfn.XLOOKUP(E737,cannabis_log!C:C,cannabis_log!K:K,"NOT FOUND",0,1))</f>
        <v>45828</v>
      </c>
      <c r="J737" s="185">
        <v>-24</v>
      </c>
      <c r="K737" s="186">
        <f t="shared" si="23"/>
        <v>0</v>
      </c>
      <c r="L737" s="288">
        <f t="shared" si="19"/>
        <v>-36</v>
      </c>
      <c r="M737" s="24"/>
      <c r="N737" s="112" t="str">
        <f>IF(ISBLANK(E737),"",_xlfn.XLOOKUP(E737,[1]cannabis_log!C:C,[1]cannabis_log!T:T,"Not Found",0,))</f>
        <v>net</v>
      </c>
      <c r="O737" s="180">
        <f>IF(N737="net",_xlfn.XLOOKUP(E737,cannabis_log!C:C,cannabis_log!N:N,"NOT FOUND",0,1),IF(N737="gross",0,""))</f>
        <v>1.5</v>
      </c>
    </row>
    <row r="738" spans="1:15">
      <c r="A738" s="181" t="str">
        <f t="shared" si="20"/>
        <v>outbound</v>
      </c>
      <c r="B738" s="182">
        <v>45629.708333333336</v>
      </c>
      <c r="C738" s="183" t="s">
        <v>1929</v>
      </c>
      <c r="D738" s="183" t="s">
        <v>2411</v>
      </c>
      <c r="E738" s="215" t="s">
        <v>2065</v>
      </c>
      <c r="F738" s="112" t="str">
        <f>IF(ISBLANK(E738),"",_xlfn.XLOOKUP(E738,[1]cannabis_log!C:C,[1]cannabis_log!J:J,"",0,))</f>
        <v>PR2301F5P3</v>
      </c>
      <c r="G738" s="112"/>
      <c r="H738" s="112" t="str">
        <f>IF(ISBLANK(E738),"",_xlfn.XLOOKUP(E738,cannabis_log!C:C,cannabis_log!H:H,"",0,1))</f>
        <v>preroll_labelled</v>
      </c>
      <c r="I738" s="113">
        <f>IF(ISBLANK(E738),"",_xlfn.XLOOKUP(E738,cannabis_log!C:C,cannabis_log!K:K,"NOT FOUND",0,1))</f>
        <v>45457</v>
      </c>
      <c r="J738" s="185">
        <v>-24</v>
      </c>
      <c r="K738" s="186">
        <f t="shared" si="23"/>
        <v>0</v>
      </c>
      <c r="L738" s="288">
        <f t="shared" si="19"/>
        <v>-36</v>
      </c>
      <c r="M738" s="24"/>
      <c r="N738" s="112" t="str">
        <f>IF(ISBLANK(E738),"",_xlfn.XLOOKUP(E738,[1]cannabis_log!C:C,[1]cannabis_log!T:T,"Not Found",0,))</f>
        <v>net</v>
      </c>
      <c r="O738" s="180">
        <f>IF(N738="net",_xlfn.XLOOKUP(E738,cannabis_log!C:C,cannabis_log!N:N,"NOT FOUND",0,1),IF(N738="gross",0,""))</f>
        <v>1.5</v>
      </c>
    </row>
    <row r="739" spans="1:15">
      <c r="A739" s="181" t="str">
        <f t="shared" si="20"/>
        <v>outbound</v>
      </c>
      <c r="B739" s="182">
        <v>45629.708333333336</v>
      </c>
      <c r="C739" s="183" t="s">
        <v>1929</v>
      </c>
      <c r="D739" s="183" t="s">
        <v>2411</v>
      </c>
      <c r="E739" s="215" t="s">
        <v>2066</v>
      </c>
      <c r="F739" s="112" t="str">
        <f>IF(ISBLANK(E739),"",_xlfn.XLOOKUP(E739,[1]cannabis_log!C:C,[1]cannabis_log!J:J,"",0,))</f>
        <v>PR2406F5P3</v>
      </c>
      <c r="G739" s="112"/>
      <c r="H739" s="112" t="str">
        <f>IF(ISBLANK(E739),"",_xlfn.XLOOKUP(E739,cannabis_log!C:C,cannabis_log!H:H,"",0,1))</f>
        <v>preroll_labelled</v>
      </c>
      <c r="I739" s="113">
        <f>IF(ISBLANK(E739),"",_xlfn.XLOOKUP(E739,cannabis_log!C:C,cannabis_log!K:K,"NOT FOUND",0,1))</f>
        <v>45457</v>
      </c>
      <c r="J739" s="185">
        <v>-24</v>
      </c>
      <c r="K739" s="186">
        <f t="shared" si="23"/>
        <v>0</v>
      </c>
      <c r="L739" s="288">
        <f t="shared" si="19"/>
        <v>-36</v>
      </c>
      <c r="M739" s="24"/>
      <c r="N739" s="112" t="str">
        <f>IF(ISBLANK(E739),"",_xlfn.XLOOKUP(E739,[1]cannabis_log!C:C,[1]cannabis_log!T:T,"Not Found",0,))</f>
        <v>net</v>
      </c>
      <c r="O739" s="180">
        <f>IF(N739="net",_xlfn.XLOOKUP(E739,cannabis_log!C:C,cannabis_log!N:N,"NOT FOUND",0,1),IF(N739="gross",0,""))</f>
        <v>1.5</v>
      </c>
    </row>
    <row r="740" spans="1:15">
      <c r="A740" s="181" t="str">
        <f t="shared" si="20"/>
        <v>outbound</v>
      </c>
      <c r="B740" s="182">
        <v>45629.708333333336</v>
      </c>
      <c r="C740" s="183" t="s">
        <v>1929</v>
      </c>
      <c r="D740" s="183" t="s">
        <v>2411</v>
      </c>
      <c r="E740" s="215" t="s">
        <v>2402</v>
      </c>
      <c r="F740" s="112" t="str">
        <f>IF(ISBLANK(E740),"",_xlfn.XLOOKUP(E740,[1]cannabis_log!C:C,[1]cannabis_log!J:J,"",0,))</f>
        <v>TP24082901</v>
      </c>
      <c r="G740" s="112"/>
      <c r="H740" s="112" t="str">
        <f>IF(ISBLANK(E740),"",_xlfn.XLOOKUP(E740,cannabis_log!C:C,cannabis_log!H:H,"",0,1))</f>
        <v>topical_labelled</v>
      </c>
      <c r="I740" s="113">
        <f>IF(ISBLANK(E740),"",_xlfn.XLOOKUP(E740,cannabis_log!C:C,cannabis_log!K:K,"NOT FOUND",0,1))</f>
        <v>45569</v>
      </c>
      <c r="J740" s="185">
        <v>-12</v>
      </c>
      <c r="K740" s="186">
        <f t="shared" si="23"/>
        <v>0</v>
      </c>
      <c r="L740" s="288">
        <f t="shared" si="19"/>
        <v>-1056</v>
      </c>
      <c r="M740" s="24"/>
      <c r="N740" s="112" t="str">
        <f>IF(ISBLANK(E740),"",_xlfn.XLOOKUP(E740,[1]cannabis_log!C:C,[1]cannabis_log!T:T,"Not Found",0,))</f>
        <v>net</v>
      </c>
      <c r="O740" s="180">
        <f>IF(N740="net",_xlfn.XLOOKUP(E740,cannabis_log!C:C,cannabis_log!N:N,"NOT FOUND",0,1),IF(N740="gross",0,""))</f>
        <v>88</v>
      </c>
    </row>
    <row r="741" spans="1:15">
      <c r="A741" s="181" t="str">
        <f t="shared" si="20"/>
        <v>outbound</v>
      </c>
      <c r="B741" s="182">
        <v>45629.708333333336</v>
      </c>
      <c r="C741" s="183" t="s">
        <v>1929</v>
      </c>
      <c r="D741" s="183" t="s">
        <v>2411</v>
      </c>
      <c r="E741" s="215" t="s">
        <v>2413</v>
      </c>
      <c r="F741" s="112" t="str">
        <f>IF(ISBLANK(E741),"",_xlfn.XLOOKUP(E741,[1]cannabis_log!C:C,[1]cannabis_log!J:J,"",0,))</f>
        <v>TP24101701</v>
      </c>
      <c r="G741" s="112"/>
      <c r="H741" s="112" t="str">
        <f>IF(ISBLANK(E741),"",_xlfn.XLOOKUP(E741,cannabis_log!C:C,cannabis_log!H:H,"",0,1))</f>
        <v>topical_labelled</v>
      </c>
      <c r="I741" s="113">
        <f>IF(ISBLANK(E741),"",_xlfn.XLOOKUP(E741,cannabis_log!C:C,cannabis_log!K:K,"NOT FOUND",0,1))</f>
        <v>45588</v>
      </c>
      <c r="J741" s="185">
        <v>-12</v>
      </c>
      <c r="K741" s="186">
        <f t="shared" si="23"/>
        <v>0</v>
      </c>
      <c r="L741" s="288">
        <f t="shared" si="19"/>
        <v>-1056</v>
      </c>
      <c r="M741" s="24"/>
      <c r="N741" s="112" t="str">
        <f>IF(ISBLANK(E741),"",_xlfn.XLOOKUP(E741,[1]cannabis_log!C:C,[1]cannabis_log!T:T,"Not Found",0,))</f>
        <v>net</v>
      </c>
      <c r="O741" s="180">
        <f>IF(N741="net",_xlfn.XLOOKUP(E741,cannabis_log!C:C,cannabis_log!N:N,"NOT FOUND",0,1),IF(N741="gross",0,""))</f>
        <v>88</v>
      </c>
    </row>
    <row r="742" spans="1:15">
      <c r="A742" s="181" t="str">
        <f t="shared" si="20"/>
        <v>outbound</v>
      </c>
      <c r="B742" s="182">
        <v>45629.708333333336</v>
      </c>
      <c r="C742" s="183" t="s">
        <v>1929</v>
      </c>
      <c r="D742" s="183" t="s">
        <v>2411</v>
      </c>
      <c r="E742" s="215" t="s">
        <v>2064</v>
      </c>
      <c r="F742" s="112" t="str">
        <f>IF(ISBLANK(E742),"",_xlfn.XLOOKUP(E742,[1]cannabis_log!C:C,[1]cannabis_log!J:J,"",0,))</f>
        <v>PR21071201G1</v>
      </c>
      <c r="G742" s="112"/>
      <c r="H742" s="112" t="str">
        <f>IF(ISBLANK(E742),"",_xlfn.XLOOKUP(E742,cannabis_log!C:C,cannabis_log!H:H,"",0,1))</f>
        <v>preroll_labelled</v>
      </c>
      <c r="I742" s="113">
        <f>IF(ISBLANK(E742),"",_xlfn.XLOOKUP(E742,cannabis_log!C:C,cannabis_log!K:K,"NOT FOUND",0,1))</f>
        <v>45593</v>
      </c>
      <c r="J742" s="185">
        <v>-24</v>
      </c>
      <c r="K742" s="186">
        <f t="shared" si="23"/>
        <v>0</v>
      </c>
      <c r="L742" s="288">
        <f t="shared" si="19"/>
        <v>-24</v>
      </c>
      <c r="M742" s="24"/>
      <c r="N742" s="112" t="str">
        <f>IF(ISBLANK(E742),"",_xlfn.XLOOKUP(E742,[1]cannabis_log!C:C,[1]cannabis_log!T:T,"Not Found",0,))</f>
        <v>net</v>
      </c>
      <c r="O742" s="180">
        <f>IF(N742="net",_xlfn.XLOOKUP(E742,cannabis_log!C:C,cannabis_log!N:N,"NOT FOUND",0,1),IF(N742="gross",0,""))</f>
        <v>1</v>
      </c>
    </row>
    <row r="743" spans="1:15">
      <c r="A743" s="181" t="str">
        <f t="shared" si="20"/>
        <v>outbound</v>
      </c>
      <c r="B743" s="182">
        <v>45629.708333333336</v>
      </c>
      <c r="C743" s="183" t="s">
        <v>1929</v>
      </c>
      <c r="D743" s="183" t="s">
        <v>2411</v>
      </c>
      <c r="E743" s="215" t="s">
        <v>1952</v>
      </c>
      <c r="F743" s="112" t="str">
        <f>IF(ISBLANK(E743),"",_xlfn.XLOOKUP(E743,[1]cannabis_log!C:C,[1]cannabis_log!J:J,"",0,))</f>
        <v>PR2406F1P1</v>
      </c>
      <c r="G743" s="112"/>
      <c r="H743" s="112" t="str">
        <f>IF(ISBLANK(E743),"",_xlfn.XLOOKUP(E743,cannabis_log!C:C,cannabis_log!H:H,"",0,1))</f>
        <v>preroll_labelled</v>
      </c>
      <c r="I743" s="113">
        <f>IF(ISBLANK(E743),"",_xlfn.XLOOKUP(E743,cannabis_log!C:C,cannabis_log!K:K,"NOT FOUND",0,1))</f>
        <v>45462</v>
      </c>
      <c r="J743" s="185">
        <v>-24</v>
      </c>
      <c r="K743" s="186">
        <f t="shared" si="23"/>
        <v>0</v>
      </c>
      <c r="L743" s="288">
        <f t="shared" si="19"/>
        <v>-24</v>
      </c>
      <c r="M743" s="24"/>
      <c r="N743" s="112" t="str">
        <f>IF(ISBLANK(E743),"",_xlfn.XLOOKUP(E743,[1]cannabis_log!C:C,[1]cannabis_log!T:T,"Not Found",0,))</f>
        <v>net</v>
      </c>
      <c r="O743" s="180">
        <f>IF(N743="net",_xlfn.XLOOKUP(E743,cannabis_log!C:C,cannabis_log!N:N,"NOT FOUND",0,1),IF(N743="gross",0,""))</f>
        <v>1</v>
      </c>
    </row>
    <row r="744" spans="1:15">
      <c r="A744" s="181" t="str">
        <f t="shared" si="20"/>
        <v>outbound</v>
      </c>
      <c r="B744" s="182">
        <v>45630.402777777781</v>
      </c>
      <c r="C744" s="183" t="s">
        <v>1929</v>
      </c>
      <c r="D744" s="183" t="s">
        <v>2414</v>
      </c>
      <c r="E744" s="215" t="s">
        <v>2412</v>
      </c>
      <c r="F744" s="112" t="str">
        <f>IF(ISBLANK(E744),"",_xlfn.XLOOKUP(E744,[1]cannabis_log!C:C,[1]cannabis_log!J:J,"",0,))</f>
        <v>EX24111302G05</v>
      </c>
      <c r="G744" s="112"/>
      <c r="H744" s="112" t="str">
        <f>IF(ISBLANK(E744),"",_xlfn.XLOOKUP(E744,cannabis_log!C:C,cannabis_log!H:H,"",0,1))</f>
        <v>extract_inhaled_labelled</v>
      </c>
      <c r="I744" s="113">
        <f>IF(ISBLANK(E744),"",_xlfn.XLOOKUP(E744,cannabis_log!C:C,cannabis_log!K:K,"NOT FOUND",0,1))</f>
        <v>45623</v>
      </c>
      <c r="J744" s="185">
        <v>-24</v>
      </c>
      <c r="K744" s="186">
        <f t="shared" si="23"/>
        <v>0</v>
      </c>
      <c r="L744" s="288">
        <f t="shared" si="19"/>
        <v>-12</v>
      </c>
      <c r="M744" s="24"/>
      <c r="N744" s="112" t="str">
        <f>IF(ISBLANK(E744),"",_xlfn.XLOOKUP(E744,[1]cannabis_log!C:C,[1]cannabis_log!T:T,"Not Found",0,))</f>
        <v>net</v>
      </c>
      <c r="O744" s="180">
        <f>IF(N744="net",_xlfn.XLOOKUP(E744,cannabis_log!C:C,cannabis_log!N:N,"NOT FOUND",0,1),IF(N744="gross",0,""))</f>
        <v>0.5</v>
      </c>
    </row>
    <row r="745" spans="1:15">
      <c r="A745" s="181" t="str">
        <f t="shared" si="20"/>
        <v>outbound</v>
      </c>
      <c r="B745" s="182">
        <v>45630.402777777781</v>
      </c>
      <c r="C745" s="183" t="s">
        <v>1929</v>
      </c>
      <c r="D745" s="183" t="s">
        <v>2414</v>
      </c>
      <c r="E745" s="215" t="s">
        <v>2415</v>
      </c>
      <c r="F745" s="112" t="str">
        <f>IF(ISBLANK(E745),"",_xlfn.XLOOKUP(E745,[1]cannabis_log!C:C,[1]cannabis_log!J:J,"",0,))</f>
        <v>EX24101701G05</v>
      </c>
      <c r="G745" s="112"/>
      <c r="H745" s="112" t="str">
        <f>IF(ISBLANK(E745),"",_xlfn.XLOOKUP(E745,cannabis_log!C:C,cannabis_log!H:H,"",0,1))</f>
        <v>extract_inhaled_labelled</v>
      </c>
      <c r="I745" s="113">
        <f>IF(ISBLANK(E745),"",_xlfn.XLOOKUP(E745,cannabis_log!C:C,cannabis_log!K:K,"NOT FOUND",0,1))</f>
        <v>45618</v>
      </c>
      <c r="J745" s="185">
        <v>-24</v>
      </c>
      <c r="K745" s="186">
        <f t="shared" si="23"/>
        <v>0</v>
      </c>
      <c r="L745" s="288">
        <f t="shared" si="19"/>
        <v>-12</v>
      </c>
      <c r="M745" s="24"/>
      <c r="N745" s="112" t="str">
        <f>IF(ISBLANK(E745),"",_xlfn.XLOOKUP(E745,[1]cannabis_log!C:C,[1]cannabis_log!T:T,"Not Found",0,))</f>
        <v>net</v>
      </c>
      <c r="O745" s="180">
        <f>IF(N745="net",_xlfn.XLOOKUP(E745,cannabis_log!C:C,cannabis_log!N:N,"NOT FOUND",0,1),IF(N745="gross",0,""))</f>
        <v>0.5</v>
      </c>
    </row>
    <row r="746" spans="1:15">
      <c r="A746" s="181" t="str">
        <f t="shared" si="20"/>
        <v>outbound</v>
      </c>
      <c r="B746" s="182">
        <v>45630.402777777781</v>
      </c>
      <c r="C746" s="183" t="s">
        <v>1929</v>
      </c>
      <c r="D746" s="183" t="s">
        <v>2414</v>
      </c>
      <c r="E746" s="215" t="s">
        <v>2278</v>
      </c>
      <c r="F746" s="112" t="str">
        <f>IF(ISBLANK(E746),"",_xlfn.XLOOKUP(E746,[1]cannabis_log!C:C,[1]cannabis_log!J:J,"",0,))</f>
        <v>EX24082906G05</v>
      </c>
      <c r="G746" s="112"/>
      <c r="H746" s="112" t="str">
        <f>IF(ISBLANK(E746),"",_xlfn.XLOOKUP(E746,cannabis_log!C:C,cannabis_log!H:H,"",0,1))</f>
        <v>extract_inhaled_labelled</v>
      </c>
      <c r="I746" s="113">
        <f>IF(ISBLANK(E746),"",_xlfn.XLOOKUP(E746,cannabis_log!C:C,cannabis_log!K:K,"NOT FOUND",0,1))</f>
        <v>45574</v>
      </c>
      <c r="J746" s="185">
        <v>-24</v>
      </c>
      <c r="K746" s="186">
        <f t="shared" si="23"/>
        <v>0</v>
      </c>
      <c r="L746" s="288">
        <f t="shared" si="19"/>
        <v>-12</v>
      </c>
      <c r="M746" s="24"/>
      <c r="N746" s="112" t="str">
        <f>IF(ISBLANK(E746),"",_xlfn.XLOOKUP(E746,[1]cannabis_log!C:C,[1]cannabis_log!T:T,"Not Found",0,))</f>
        <v>net</v>
      </c>
      <c r="O746" s="180">
        <f>IF(N746="net",_xlfn.XLOOKUP(E746,cannabis_log!C:C,cannabis_log!N:N,"NOT FOUND",0,1),IF(N746="gross",0,""))</f>
        <v>0.5</v>
      </c>
    </row>
    <row r="747" spans="1:15" ht="15.6">
      <c r="A747" s="181" t="str">
        <f t="shared" si="20"/>
        <v>outbound</v>
      </c>
      <c r="B747" s="182">
        <v>45630.474305555559</v>
      </c>
      <c r="C747" s="183" t="s">
        <v>1929</v>
      </c>
      <c r="D747" s="53" t="s">
        <v>2416</v>
      </c>
      <c r="E747" s="215" t="s">
        <v>2413</v>
      </c>
      <c r="F747" s="112" t="str">
        <f>IF(ISBLANK(E747),"",_xlfn.XLOOKUP(E747,[1]cannabis_log!C:C,[1]cannabis_log!J:J,"",0,))</f>
        <v>TP24101701</v>
      </c>
      <c r="G747" s="112"/>
      <c r="H747" s="112" t="str">
        <f>IF(ISBLANK(E747),"",_xlfn.XLOOKUP(E747,cannabis_log!C:C,cannabis_log!H:H,"",0,1))</f>
        <v>topical_labelled</v>
      </c>
      <c r="I747" s="113">
        <f>IF(ISBLANK(E747),"",_xlfn.XLOOKUP(E747,cannabis_log!C:C,cannabis_log!K:K,"NOT FOUND",0,1))</f>
        <v>45588</v>
      </c>
      <c r="J747" s="185">
        <v>-144</v>
      </c>
      <c r="K747" s="186">
        <f t="shared" si="23"/>
        <v>0</v>
      </c>
      <c r="L747" s="288">
        <f t="shared" si="19"/>
        <v>-12672</v>
      </c>
      <c r="M747" s="24"/>
      <c r="N747" s="112" t="str">
        <f>IF(ISBLANK(E747),"",_xlfn.XLOOKUP(E747,[1]cannabis_log!C:C,[1]cannabis_log!T:T,"Not Found",0,))</f>
        <v>net</v>
      </c>
      <c r="O747" s="180">
        <f>IF(N747="net",_xlfn.XLOOKUP(E747,cannabis_log!C:C,cannabis_log!N:N,"NOT FOUND",0,1),IF(N747="gross",0,""))</f>
        <v>88</v>
      </c>
    </row>
    <row r="748" spans="1:15">
      <c r="A748" s="181" t="str">
        <f t="shared" si="20"/>
        <v>outbound</v>
      </c>
      <c r="B748" s="182">
        <v>45630.474305555559</v>
      </c>
      <c r="C748" s="183" t="s">
        <v>1921</v>
      </c>
      <c r="D748" s="183" t="s">
        <v>2417</v>
      </c>
      <c r="E748" s="215" t="s">
        <v>2355</v>
      </c>
      <c r="F748" s="112" t="str">
        <f>IF(ISBLANK(E748),"",_xlfn.XLOOKUP(E748,[1]cannabis_log!C:C,[1]cannabis_log!J:J,"",0,))</f>
        <v>PR241105F5</v>
      </c>
      <c r="G748" s="112"/>
      <c r="H748" s="112" t="str">
        <f>IF(ISBLANK(E748),"",_xlfn.XLOOKUP(E748,cannabis_log!C:C,cannabis_log!H:H,"",0,1))</f>
        <v>preroll_bulk</v>
      </c>
      <c r="I748" s="113" t="str">
        <f>IF(ISBLANK(E748),"",_xlfn.XLOOKUP(E748,cannabis_log!C:C,cannabis_log!K:K,"NOT FOUND",0,1))</f>
        <v>NA</v>
      </c>
      <c r="J748" s="185">
        <v>-95</v>
      </c>
      <c r="K748" s="186">
        <f t="shared" si="23"/>
        <v>0</v>
      </c>
      <c r="L748" s="288">
        <f t="shared" si="19"/>
        <v>-47.5</v>
      </c>
      <c r="M748" s="24"/>
      <c r="N748" s="112" t="str">
        <f>IF(ISBLANK(E748),"",_xlfn.XLOOKUP(E748,[1]cannabis_log!C:C,[1]cannabis_log!T:T,"Not Found",0,))</f>
        <v>net</v>
      </c>
      <c r="O748" s="180">
        <f>IF(N748="net",_xlfn.XLOOKUP(E748,cannabis_log!C:C,cannabis_log!N:N,"NOT FOUND",0,1),IF(N748="gross",0,""))</f>
        <v>0.5</v>
      </c>
    </row>
    <row r="749" spans="1:15">
      <c r="A749" s="181" t="str">
        <f t="shared" si="20"/>
        <v>outbound</v>
      </c>
      <c r="B749" s="182">
        <v>45630.474305555559</v>
      </c>
      <c r="C749" s="183" t="s">
        <v>1921</v>
      </c>
      <c r="D749" s="183" t="s">
        <v>2417</v>
      </c>
      <c r="E749" s="215" t="s">
        <v>2418</v>
      </c>
      <c r="F749" s="112" t="str">
        <f>IF(ISBLANK(E749),"",_xlfn.XLOOKUP(E749,[1]cannabis_log!C:C,[1]cannabis_log!J:J,"",0,))</f>
        <v>PR241102F5</v>
      </c>
      <c r="G749" s="112"/>
      <c r="H749" s="112" t="str">
        <f>IF(ISBLANK(E749),"",_xlfn.XLOOKUP(E749,cannabis_log!C:C,cannabis_log!H:H,"",0,1))</f>
        <v>preroll_bulk</v>
      </c>
      <c r="I749" s="113" t="str">
        <f>IF(ISBLANK(E749),"",_xlfn.XLOOKUP(E749,cannabis_log!C:C,cannabis_log!K:K,"NOT FOUND",0,1))</f>
        <v>NA</v>
      </c>
      <c r="J749" s="185">
        <v>-55</v>
      </c>
      <c r="K749" s="186">
        <f t="shared" si="23"/>
        <v>0</v>
      </c>
      <c r="L749" s="288">
        <f t="shared" si="19"/>
        <v>-27.5</v>
      </c>
      <c r="M749" s="24"/>
      <c r="N749" s="112" t="str">
        <f>IF(ISBLANK(E749),"",_xlfn.XLOOKUP(E749,[1]cannabis_log!C:C,[1]cannabis_log!T:T,"Not Found",0,))</f>
        <v>net</v>
      </c>
      <c r="O749" s="180">
        <f>IF(N749="net",_xlfn.XLOOKUP(E749,cannabis_log!C:C,cannabis_log!N:N,"NOT FOUND",0,1),IF(N749="gross",0,""))</f>
        <v>0.5</v>
      </c>
    </row>
    <row r="750" spans="1:15">
      <c r="A750" s="181" t="str">
        <f t="shared" si="20"/>
        <v>outbound</v>
      </c>
      <c r="B750" s="182">
        <v>45630.474305555559</v>
      </c>
      <c r="C750" s="183" t="s">
        <v>1921</v>
      </c>
      <c r="D750" s="183" t="s">
        <v>2417</v>
      </c>
      <c r="E750" s="215" t="s">
        <v>2419</v>
      </c>
      <c r="F750" s="112" t="str">
        <f>IF(ISBLANK(E750),"",_xlfn.XLOOKUP(E750,[1]cannabis_log!C:C,[1]cannabis_log!J:J,"",0,))</f>
        <v>PR241101F5</v>
      </c>
      <c r="G750" s="112"/>
      <c r="H750" s="112" t="str">
        <f>IF(ISBLANK(E750),"",_xlfn.XLOOKUP(E750,cannabis_log!C:C,cannabis_log!H:H,"",0,1))</f>
        <v>preroll_bulk</v>
      </c>
      <c r="I750" s="113" t="str">
        <f>IF(ISBLANK(E750),"",_xlfn.XLOOKUP(E750,cannabis_log!C:C,cannabis_log!K:K,"NOT FOUND",0,1))</f>
        <v>NA</v>
      </c>
      <c r="J750" s="185">
        <v>-724</v>
      </c>
      <c r="K750" s="186">
        <f t="shared" si="23"/>
        <v>0</v>
      </c>
      <c r="L750" s="288">
        <f t="shared" si="19"/>
        <v>-362</v>
      </c>
      <c r="M750" s="24"/>
      <c r="N750" s="112" t="str">
        <f>IF(ISBLANK(E750),"",_xlfn.XLOOKUP(E750,[1]cannabis_log!C:C,[1]cannabis_log!T:T,"Not Found",0,))</f>
        <v>net</v>
      </c>
      <c r="O750" s="180">
        <f>IF(N750="net",_xlfn.XLOOKUP(E750,cannabis_log!C:C,cannabis_log!N:N,"NOT FOUND",0,1),IF(N750="gross",0,""))</f>
        <v>0.5</v>
      </c>
    </row>
    <row r="751" spans="1:15">
      <c r="A751" s="181" t="str">
        <f t="shared" si="20"/>
        <v>outbound</v>
      </c>
      <c r="B751" s="182">
        <v>45630.474305555559</v>
      </c>
      <c r="C751" s="183" t="s">
        <v>1921</v>
      </c>
      <c r="D751" s="183" t="s">
        <v>2417</v>
      </c>
      <c r="E751" s="215" t="s">
        <v>2420</v>
      </c>
      <c r="F751" s="112" t="str">
        <f>IF(ISBLANK(E751),"",_xlfn.XLOOKUP(E751,[1]cannabis_log!C:C,[1]cannabis_log!J:J,"",0,))</f>
        <v>PR241102F5</v>
      </c>
      <c r="G751" s="112"/>
      <c r="H751" s="112" t="str">
        <f>IF(ISBLANK(E751),"",_xlfn.XLOOKUP(E751,cannabis_log!C:C,cannabis_log!H:H,"",0,1))</f>
        <v>preroll_bulk</v>
      </c>
      <c r="I751" s="113" t="str">
        <f>IF(ISBLANK(E751),"",_xlfn.XLOOKUP(E751,cannabis_log!C:C,cannabis_log!K:K,"NOT FOUND",0,1))</f>
        <v>NA</v>
      </c>
      <c r="J751" s="185">
        <v>-707</v>
      </c>
      <c r="K751" s="186">
        <f t="shared" si="23"/>
        <v>0</v>
      </c>
      <c r="L751" s="288">
        <f t="shared" si="19"/>
        <v>-353.5</v>
      </c>
      <c r="M751" s="24"/>
      <c r="N751" s="112" t="str">
        <f>IF(ISBLANK(E751),"",_xlfn.XLOOKUP(E751,[1]cannabis_log!C:C,[1]cannabis_log!T:T,"Not Found",0,))</f>
        <v>net</v>
      </c>
      <c r="O751" s="180">
        <f>IF(N751="net",_xlfn.XLOOKUP(E751,cannabis_log!C:C,cannabis_log!N:N,"NOT FOUND",0,1),IF(N751="gross",0,""))</f>
        <v>0.5</v>
      </c>
    </row>
    <row r="752" spans="1:15">
      <c r="A752" s="181" t="str">
        <f t="shared" si="20"/>
        <v>outbound</v>
      </c>
      <c r="B752" s="182">
        <v>45630.474305555559</v>
      </c>
      <c r="C752" s="183" t="s">
        <v>1921</v>
      </c>
      <c r="D752" s="183" t="s">
        <v>2417</v>
      </c>
      <c r="E752" s="215" t="s">
        <v>2421</v>
      </c>
      <c r="F752" s="112" t="str">
        <f>IF(ISBLANK(E752),"",_xlfn.XLOOKUP(E752,[1]cannabis_log!C:C,[1]cannabis_log!J:J,"",0,))</f>
        <v>PR241105F5</v>
      </c>
      <c r="G752" s="112"/>
      <c r="H752" s="112" t="str">
        <f>IF(ISBLANK(E752),"",_xlfn.XLOOKUP(E752,cannabis_log!C:C,cannabis_log!H:H,"",0,1))</f>
        <v>preroll_bulk</v>
      </c>
      <c r="I752" s="113" t="str">
        <f>IF(ISBLANK(E752),"",_xlfn.XLOOKUP(E752,cannabis_log!C:C,cannabis_log!K:K,"NOT FOUND",0,1))</f>
        <v>NA</v>
      </c>
      <c r="J752" s="185">
        <v>-705</v>
      </c>
      <c r="K752" s="186">
        <f t="shared" si="23"/>
        <v>0</v>
      </c>
      <c r="L752" s="288">
        <f t="shared" si="19"/>
        <v>-352.5</v>
      </c>
      <c r="M752" s="24"/>
      <c r="N752" s="112" t="str">
        <f>IF(ISBLANK(E752),"",_xlfn.XLOOKUP(E752,[1]cannabis_log!C:C,[1]cannabis_log!T:T,"Not Found",0,))</f>
        <v>net</v>
      </c>
      <c r="O752" s="180">
        <f>IF(N752="net",_xlfn.XLOOKUP(E752,cannabis_log!C:C,cannabis_log!N:N,"NOT FOUND",0,1),IF(N752="gross",0,""))</f>
        <v>0.5</v>
      </c>
    </row>
    <row r="753" spans="1:15" ht="15.6">
      <c r="A753" s="181" t="str">
        <f t="shared" si="20"/>
        <v>outbound</v>
      </c>
      <c r="B753" s="182">
        <v>45630.571527777778</v>
      </c>
      <c r="C753" s="183" t="s">
        <v>1929</v>
      </c>
      <c r="D753" s="53" t="s">
        <v>2422</v>
      </c>
      <c r="E753" s="215" t="s">
        <v>2324</v>
      </c>
      <c r="F753" s="112" t="str">
        <f>IF(ISBLANK(E753),"",_xlfn.XLOOKUP(E753,[1]cannabis_log!C:C,[1]cannabis_log!J:J,"",0,))</f>
        <v>EX24101703G05</v>
      </c>
      <c r="G753" s="112"/>
      <c r="H753" s="112" t="str">
        <f>IF(ISBLANK(E753),"",_xlfn.XLOOKUP(E753,cannabis_log!C:C,cannabis_log!H:H,"",0,1))</f>
        <v>extract_inhaled_labelled</v>
      </c>
      <c r="I753" s="113">
        <f>IF(ISBLANK(E753),"",_xlfn.XLOOKUP(E753,cannabis_log!C:C,cannabis_log!K:K,"NOT FOUND",0,1))</f>
        <v>45603</v>
      </c>
      <c r="J753" s="185">
        <v>-180</v>
      </c>
      <c r="K753" s="186">
        <f t="shared" si="23"/>
        <v>0</v>
      </c>
      <c r="L753" s="288">
        <f t="shared" si="19"/>
        <v>-90</v>
      </c>
      <c r="M753" s="24"/>
      <c r="N753" s="112" t="str">
        <f>IF(ISBLANK(E753),"",_xlfn.XLOOKUP(E753,[1]cannabis_log!C:C,[1]cannabis_log!T:T,"Not Found",0,))</f>
        <v>net</v>
      </c>
      <c r="O753" s="180">
        <f>IF(N753="net",_xlfn.XLOOKUP(E753,cannabis_log!C:C,cannabis_log!N:N,"NOT FOUND",0,1),IF(N753="gross",0,""))</f>
        <v>0.5</v>
      </c>
    </row>
    <row r="754" spans="1:15" ht="15.6">
      <c r="A754" s="181" t="str">
        <f t="shared" si="20"/>
        <v>outbound</v>
      </c>
      <c r="B754" s="182">
        <v>45630.583333333336</v>
      </c>
      <c r="C754" s="183" t="s">
        <v>1929</v>
      </c>
      <c r="D754" s="53" t="s">
        <v>2422</v>
      </c>
      <c r="E754" s="215" t="s">
        <v>2423</v>
      </c>
      <c r="F754" s="112" t="str">
        <f>IF(ISBLANK(E754),"",_xlfn.XLOOKUP(E754,[1]cannabis_log!C:C,[1]cannabis_log!J:J,"",0,))</f>
        <v>EX24100801V30</v>
      </c>
      <c r="G754" s="112"/>
      <c r="H754" s="112" t="str">
        <f>IF(ISBLANK(E754),"",_xlfn.XLOOKUP(E754,cannabis_log!C:C,cannabis_log!H:H,"",0,1))</f>
        <v>extract_ingested_labelled</v>
      </c>
      <c r="I754" s="113">
        <f>IF(ISBLANK(E754),"",_xlfn.XLOOKUP(E754,cannabis_log!C:C,cannabis_log!K:K,"NOT FOUND",0,1))</f>
        <v>45590</v>
      </c>
      <c r="J754" s="185">
        <v>-84</v>
      </c>
      <c r="K754" s="186">
        <f t="shared" si="23"/>
        <v>0</v>
      </c>
      <c r="L754" s="288">
        <f t="shared" ref="L754:L817" si="24">IFERROR(J754*O754,"")</f>
        <v>-2293.2000000000003</v>
      </c>
      <c r="M754" s="24"/>
      <c r="N754" s="112" t="str">
        <f>IF(ISBLANK(E754),"",_xlfn.XLOOKUP(E754,[1]cannabis_log!C:C,[1]cannabis_log!T:T,"Not Found",0,))</f>
        <v>net</v>
      </c>
      <c r="O754" s="180">
        <f>IF(N754="net",_xlfn.XLOOKUP(E754,cannabis_log!C:C,cannabis_log!N:N,"NOT FOUND",0,1),IF(N754="gross",0,""))</f>
        <v>27.3</v>
      </c>
    </row>
    <row r="755" spans="1:15" ht="15.6">
      <c r="A755" s="181" t="str">
        <f t="shared" si="20"/>
        <v>outbound</v>
      </c>
      <c r="B755" s="182">
        <v>45630.583333333336</v>
      </c>
      <c r="C755" s="183" t="s">
        <v>1929</v>
      </c>
      <c r="D755" s="53" t="s">
        <v>2424</v>
      </c>
      <c r="E755" s="215" t="s">
        <v>2425</v>
      </c>
      <c r="F755" s="112" t="str">
        <f>IF(ISBLANK(E755),"",_xlfn.XLOOKUP(E755,[1]cannabis_log!C:C,[1]cannabis_log!J:J,"",0,))</f>
        <v>EX24100801V30</v>
      </c>
      <c r="G755" s="112"/>
      <c r="H755" s="112" t="str">
        <f>IF(ISBLANK(E755),"",_xlfn.XLOOKUP(E755,cannabis_log!C:C,cannabis_log!H:H,"",0,1))</f>
        <v>extract_ingested_labelled</v>
      </c>
      <c r="I755" s="113">
        <f>IF(ISBLANK(E755),"",_xlfn.XLOOKUP(E755,cannabis_log!C:C,cannabis_log!K:K,"NOT FOUND",0,1))</f>
        <v>45590</v>
      </c>
      <c r="J755" s="185">
        <v>-26</v>
      </c>
      <c r="K755" s="186">
        <f t="shared" si="23"/>
        <v>0</v>
      </c>
      <c r="L755" s="288">
        <f t="shared" si="24"/>
        <v>-709.80000000000007</v>
      </c>
      <c r="M755" s="24"/>
      <c r="N755" s="112" t="str">
        <f>IF(ISBLANK(E755),"",_xlfn.XLOOKUP(E755,[1]cannabis_log!C:C,[1]cannabis_log!T:T,"Not Found",0,))</f>
        <v>net</v>
      </c>
      <c r="O755" s="180">
        <f>IF(N755="net",_xlfn.XLOOKUP(E755,cannabis_log!C:C,cannabis_log!N:N,"NOT FOUND",0,1),IF(N755="gross",0,""))</f>
        <v>27.3</v>
      </c>
    </row>
    <row r="756" spans="1:15" ht="15.6">
      <c r="A756" s="181" t="str">
        <f t="shared" si="20"/>
        <v>outbound</v>
      </c>
      <c r="B756" s="182">
        <v>45630.583333333336</v>
      </c>
      <c r="C756" s="183" t="s">
        <v>1929</v>
      </c>
      <c r="D756" s="53" t="s">
        <v>2422</v>
      </c>
      <c r="E756" s="215" t="s">
        <v>2413</v>
      </c>
      <c r="F756" s="112" t="str">
        <f>IF(ISBLANK(E756),"",_xlfn.XLOOKUP(E756,[1]cannabis_log!C:C,[1]cannabis_log!J:J,"",0,))</f>
        <v>TP24101701</v>
      </c>
      <c r="G756" s="112"/>
      <c r="H756" s="112" t="str">
        <f>IF(ISBLANK(E756),"",_xlfn.XLOOKUP(E756,cannabis_log!C:C,cannabis_log!H:H,"",0,1))</f>
        <v>topical_labelled</v>
      </c>
      <c r="I756" s="113">
        <f>IF(ISBLANK(E756),"",_xlfn.XLOOKUP(E756,cannabis_log!C:C,cannabis_log!K:K,"NOT FOUND",0,1))</f>
        <v>45588</v>
      </c>
      <c r="J756" s="185">
        <v>-180</v>
      </c>
      <c r="K756" s="186">
        <f t="shared" si="23"/>
        <v>0</v>
      </c>
      <c r="L756" s="288">
        <f t="shared" si="24"/>
        <v>-15840</v>
      </c>
      <c r="M756" s="24"/>
      <c r="N756" s="112" t="str">
        <f>IF(ISBLANK(E756),"",_xlfn.XLOOKUP(E756,[1]cannabis_log!C:C,[1]cannabis_log!T:T,"Not Found",0,))</f>
        <v>net</v>
      </c>
      <c r="O756" s="180">
        <f>IF(N756="net",_xlfn.XLOOKUP(E756,cannabis_log!C:C,cannabis_log!N:N,"NOT FOUND",0,1),IF(N756="gross",0,""))</f>
        <v>88</v>
      </c>
    </row>
    <row r="757" spans="1:15" ht="15.6">
      <c r="A757" s="181" t="str">
        <f t="shared" si="20"/>
        <v>outbound</v>
      </c>
      <c r="B757" s="182">
        <v>45630.583333333336</v>
      </c>
      <c r="C757" s="183" t="s">
        <v>1929</v>
      </c>
      <c r="D757" s="53" t="s">
        <v>2422</v>
      </c>
      <c r="E757" s="215" t="s">
        <v>2412</v>
      </c>
      <c r="F757" s="112" t="str">
        <f>IF(ISBLANK(E757),"",_xlfn.XLOOKUP(E757,[1]cannabis_log!C:C,[1]cannabis_log!J:J,"",0,))</f>
        <v>EX24111302G05</v>
      </c>
      <c r="G757" s="112"/>
      <c r="H757" s="112" t="str">
        <f>IF(ISBLANK(E757),"",_xlfn.XLOOKUP(E757,cannabis_log!C:C,cannabis_log!H:H,"",0,1))</f>
        <v>extract_inhaled_labelled</v>
      </c>
      <c r="I757" s="113">
        <f>IF(ISBLANK(E757),"",_xlfn.XLOOKUP(E757,cannabis_log!C:C,cannabis_log!K:K,"NOT FOUND",0,1))</f>
        <v>45623</v>
      </c>
      <c r="J757" s="185">
        <v>-180</v>
      </c>
      <c r="K757" s="186">
        <f t="shared" si="23"/>
        <v>0</v>
      </c>
      <c r="L757" s="288">
        <f t="shared" si="24"/>
        <v>-90</v>
      </c>
      <c r="M757" s="24"/>
      <c r="N757" s="112" t="str">
        <f>IF(ISBLANK(E757),"",_xlfn.XLOOKUP(E757,[1]cannabis_log!C:C,[1]cannabis_log!T:T,"Not Found",0,))</f>
        <v>net</v>
      </c>
      <c r="O757" s="180">
        <f>IF(N757="net",_xlfn.XLOOKUP(E757,cannabis_log!C:C,cannabis_log!N:N,"NOT FOUND",0,1),IF(N757="gross",0,""))</f>
        <v>0.5</v>
      </c>
    </row>
    <row r="758" spans="1:15" ht="15.6">
      <c r="A758" s="181" t="str">
        <f t="shared" si="20"/>
        <v>outbound</v>
      </c>
      <c r="B758" s="182">
        <v>45630.583333333336</v>
      </c>
      <c r="C758" s="183" t="s">
        <v>1929</v>
      </c>
      <c r="D758" s="53" t="s">
        <v>2422</v>
      </c>
      <c r="E758" s="215" t="s">
        <v>2415</v>
      </c>
      <c r="F758" s="112" t="str">
        <f>IF(ISBLANK(E758),"",_xlfn.XLOOKUP(E758,[1]cannabis_log!C:C,[1]cannabis_log!J:J,"",0,))</f>
        <v>EX24101701G05</v>
      </c>
      <c r="G758" s="112"/>
      <c r="H758" s="112" t="str">
        <f>IF(ISBLANK(E758),"",_xlfn.XLOOKUP(E758,cannabis_log!C:C,cannabis_log!H:H,"",0,1))</f>
        <v>extract_inhaled_labelled</v>
      </c>
      <c r="I758" s="113">
        <f>IF(ISBLANK(E758),"",_xlfn.XLOOKUP(E758,cannabis_log!C:C,cannabis_log!K:K,"NOT FOUND",0,1))</f>
        <v>45618</v>
      </c>
      <c r="J758" s="185">
        <v>-180</v>
      </c>
      <c r="K758" s="186">
        <f t="shared" si="23"/>
        <v>0</v>
      </c>
      <c r="L758" s="288">
        <f t="shared" si="24"/>
        <v>-90</v>
      </c>
      <c r="M758" s="24"/>
      <c r="N758" s="112" t="str">
        <f>IF(ISBLANK(E758),"",_xlfn.XLOOKUP(E758,[1]cannabis_log!C:C,[1]cannabis_log!T:T,"Not Found",0,))</f>
        <v>net</v>
      </c>
      <c r="O758" s="180">
        <f>IF(N758="net",_xlfn.XLOOKUP(E758,cannabis_log!C:C,cannabis_log!N:N,"NOT FOUND",0,1),IF(N758="gross",0,""))</f>
        <v>0.5</v>
      </c>
    </row>
    <row r="759" spans="1:15">
      <c r="A759" s="181" t="str">
        <f t="shared" si="20"/>
        <v>outbound</v>
      </c>
      <c r="B759" s="182">
        <v>45630.706250000003</v>
      </c>
      <c r="C759" s="183" t="s">
        <v>1921</v>
      </c>
      <c r="D759" s="183" t="s">
        <v>2426</v>
      </c>
      <c r="E759" s="215" t="s">
        <v>2427</v>
      </c>
      <c r="F759" s="112">
        <f>IF(ISBLANK(E759),"",_xlfn.XLOOKUP(E759,[1]cannabis_log!C:C,[1]cannabis_log!J:J,"",0,))</f>
        <v>2024120401</v>
      </c>
      <c r="G759" s="112"/>
      <c r="H759" s="112" t="str">
        <f>IF(ISBLANK(E759),"",_xlfn.XLOOKUP(E759,cannabis_log!C:C,cannabis_log!H:H,"",0,1))</f>
        <v>extract_distillate_bulk</v>
      </c>
      <c r="I759" s="113" t="str">
        <f>IF(ISBLANK(E759),"",_xlfn.XLOOKUP(E759,cannabis_log!C:C,cannabis_log!K:K,"NOT FOUND",0,1))</f>
        <v>NA</v>
      </c>
      <c r="J759" s="185">
        <v>-1</v>
      </c>
      <c r="K759" s="186">
        <v>-4070</v>
      </c>
      <c r="L759" s="288">
        <f t="shared" si="24"/>
        <v>0</v>
      </c>
      <c r="M759" s="24"/>
      <c r="N759" s="112" t="str">
        <f>IF(ISBLANK(E759),"",_xlfn.XLOOKUP(E759,[1]cannabis_log!C:C,[1]cannabis_log!T:T,"Not Found",0,))</f>
        <v>gross</v>
      </c>
      <c r="O759" s="180">
        <f>IF(N759="net",_xlfn.XLOOKUP(E759,cannabis_log!C:C,cannabis_log!N:N,"NOT FOUND",0,1),IF(N759="gross",0,""))</f>
        <v>0</v>
      </c>
    </row>
    <row r="760" spans="1:15">
      <c r="A760" s="181" t="str">
        <f t="shared" si="20"/>
        <v>outbound</v>
      </c>
      <c r="B760" s="182">
        <v>45631.414583333331</v>
      </c>
      <c r="C760" s="183" t="s">
        <v>1921</v>
      </c>
      <c r="D760" s="183" t="s">
        <v>2428</v>
      </c>
      <c r="E760" s="215" t="s">
        <v>2429</v>
      </c>
      <c r="F760" s="112">
        <f>IF(ISBLANK(E760),"",_xlfn.XLOOKUP(E760,[1]cannabis_log!C:C,[1]cannabis_log!J:J,"",0,))</f>
        <v>2024111801</v>
      </c>
      <c r="G760" s="112"/>
      <c r="H760" s="112" t="str">
        <f>IF(ISBLANK(E760),"",_xlfn.XLOOKUP(E760,cannabis_log!C:C,cannabis_log!H:H,"",0,1))</f>
        <v>driedflower_bulk</v>
      </c>
      <c r="I760" s="113" t="str">
        <f>IF(ISBLANK(E760),"",_xlfn.XLOOKUP(E760,cannabis_log!C:C,cannabis_log!K:K,"NOT FOUND",0,1))</f>
        <v>NA</v>
      </c>
      <c r="J760" s="185">
        <v>-1</v>
      </c>
      <c r="K760" s="186">
        <v>-3085</v>
      </c>
      <c r="L760" s="288">
        <f t="shared" si="24"/>
        <v>0</v>
      </c>
      <c r="M760" s="24"/>
      <c r="N760" s="112" t="str">
        <f>IF(ISBLANK(E760),"",_xlfn.XLOOKUP(E760,[1]cannabis_log!C:C,[1]cannabis_log!T:T,"Not Found",0,))</f>
        <v>gross</v>
      </c>
      <c r="O760" s="180">
        <f>IF(N760="net",_xlfn.XLOOKUP(E760,cannabis_log!C:C,cannabis_log!N:N,"NOT FOUND",0,1),IF(N760="gross",0,""))</f>
        <v>0</v>
      </c>
    </row>
    <row r="761" spans="1:15">
      <c r="A761" s="181" t="str">
        <f t="shared" si="20"/>
        <v>outbound</v>
      </c>
      <c r="B761" s="182">
        <v>45631.414583333331</v>
      </c>
      <c r="C761" s="183" t="s">
        <v>1921</v>
      </c>
      <c r="D761" s="183" t="s">
        <v>2428</v>
      </c>
      <c r="E761" s="215" t="s">
        <v>2430</v>
      </c>
      <c r="F761" s="112">
        <f>IF(ISBLANK(E761),"",_xlfn.XLOOKUP(E761,[1]cannabis_log!C:C,[1]cannabis_log!J:J,"",0,))</f>
        <v>2024111801</v>
      </c>
      <c r="G761" s="112"/>
      <c r="H761" s="112" t="str">
        <f>IF(ISBLANK(E761),"",_xlfn.XLOOKUP(E761,cannabis_log!C:C,cannabis_log!H:H,"",0,1))</f>
        <v>driedflower_bulk</v>
      </c>
      <c r="I761" s="113" t="str">
        <f>IF(ISBLANK(E761),"",_xlfn.XLOOKUP(E761,cannabis_log!C:C,cannabis_log!K:K,"NOT FOUND",0,1))</f>
        <v>NA</v>
      </c>
      <c r="J761" s="185">
        <v>-1</v>
      </c>
      <c r="K761" s="186">
        <v>-3085</v>
      </c>
      <c r="L761" s="288">
        <f t="shared" si="24"/>
        <v>0</v>
      </c>
      <c r="M761" s="24"/>
      <c r="N761" s="112" t="str">
        <f>IF(ISBLANK(E761),"",_xlfn.XLOOKUP(E761,[1]cannabis_log!C:C,[1]cannabis_log!T:T,"Not Found",0,))</f>
        <v>gross</v>
      </c>
      <c r="O761" s="180">
        <f>IF(N761="net",_xlfn.XLOOKUP(E761,cannabis_log!C:C,cannabis_log!N:N,"NOT FOUND",0,1),IF(N761="gross",0,""))</f>
        <v>0</v>
      </c>
    </row>
    <row r="762" spans="1:15">
      <c r="A762" s="181" t="str">
        <f t="shared" si="20"/>
        <v>outbound</v>
      </c>
      <c r="B762" s="182">
        <v>45631.414583333331</v>
      </c>
      <c r="C762" s="183" t="s">
        <v>1921</v>
      </c>
      <c r="D762" s="183" t="s">
        <v>2428</v>
      </c>
      <c r="E762" s="215" t="s">
        <v>2431</v>
      </c>
      <c r="F762" s="112">
        <f>IF(ISBLANK(E762),"",_xlfn.XLOOKUP(E762,[1]cannabis_log!C:C,[1]cannabis_log!J:J,"",0,))</f>
        <v>2024111801</v>
      </c>
      <c r="G762" s="112"/>
      <c r="H762" s="112" t="str">
        <f>IF(ISBLANK(E762),"",_xlfn.XLOOKUP(E762,cannabis_log!C:C,cannabis_log!H:H,"",0,1))</f>
        <v>driedflower_bulk</v>
      </c>
      <c r="I762" s="113" t="str">
        <f>IF(ISBLANK(E762),"",_xlfn.XLOOKUP(E762,cannabis_log!C:C,cannabis_log!K:K,"NOT FOUND",0,1))</f>
        <v>NA</v>
      </c>
      <c r="J762" s="185">
        <v>-1</v>
      </c>
      <c r="K762" s="186">
        <v>-3085</v>
      </c>
      <c r="L762" s="288">
        <f t="shared" si="24"/>
        <v>0</v>
      </c>
      <c r="M762" s="24"/>
      <c r="N762" s="112" t="str">
        <f>IF(ISBLANK(E762),"",_xlfn.XLOOKUP(E762,[1]cannabis_log!C:C,[1]cannabis_log!T:T,"Not Found",0,))</f>
        <v>gross</v>
      </c>
      <c r="O762" s="180">
        <f>IF(N762="net",_xlfn.XLOOKUP(E762,cannabis_log!C:C,cannabis_log!N:N,"NOT FOUND",0,1),IF(N762="gross",0,""))</f>
        <v>0</v>
      </c>
    </row>
    <row r="763" spans="1:15">
      <c r="A763" s="181" t="str">
        <f t="shared" si="20"/>
        <v>outbound</v>
      </c>
      <c r="B763" s="182">
        <v>45631.414583333331</v>
      </c>
      <c r="C763" s="183" t="s">
        <v>1921</v>
      </c>
      <c r="D763" s="183" t="s">
        <v>2428</v>
      </c>
      <c r="E763" s="215" t="s">
        <v>2432</v>
      </c>
      <c r="F763" s="112">
        <f>IF(ISBLANK(E763),"",_xlfn.XLOOKUP(E763,[1]cannabis_log!C:C,[1]cannabis_log!J:J,"",0,))</f>
        <v>2024111803</v>
      </c>
      <c r="G763" s="112"/>
      <c r="H763" s="112" t="str">
        <f>IF(ISBLANK(E763),"",_xlfn.XLOOKUP(E763,cannabis_log!C:C,cannabis_log!H:H,"",0,1))</f>
        <v>driedflower_bulk</v>
      </c>
      <c r="I763" s="113" t="str">
        <f>IF(ISBLANK(E763),"",_xlfn.XLOOKUP(E763,cannabis_log!C:C,cannabis_log!K:K,"NOT FOUND",0,1))</f>
        <v>NA</v>
      </c>
      <c r="J763" s="185">
        <v>-1</v>
      </c>
      <c r="K763" s="186">
        <v>-1030</v>
      </c>
      <c r="L763" s="288">
        <f t="shared" si="24"/>
        <v>0</v>
      </c>
      <c r="M763" s="24"/>
      <c r="N763" s="112" t="str">
        <f>IF(ISBLANK(E763),"",_xlfn.XLOOKUP(E763,[1]cannabis_log!C:C,[1]cannabis_log!T:T,"Not Found",0,))</f>
        <v>gross</v>
      </c>
      <c r="O763" s="180">
        <f>IF(N763="net",_xlfn.XLOOKUP(E763,cannabis_log!C:C,cannabis_log!N:N,"NOT FOUND",0,1),IF(N763="gross",0,""))</f>
        <v>0</v>
      </c>
    </row>
    <row r="764" spans="1:15">
      <c r="A764" s="181" t="str">
        <f t="shared" si="20"/>
        <v>outbound</v>
      </c>
      <c r="B764" s="182">
        <v>45631.414583333331</v>
      </c>
      <c r="C764" s="183" t="s">
        <v>1921</v>
      </c>
      <c r="D764" s="183" t="s">
        <v>2428</v>
      </c>
      <c r="E764" s="215" t="s">
        <v>2433</v>
      </c>
      <c r="F764" s="112">
        <f>IF(ISBLANK(E764),"",_xlfn.XLOOKUP(E764,[1]cannabis_log!C:C,[1]cannabis_log!J:J,"",0,))</f>
        <v>2024111803</v>
      </c>
      <c r="G764" s="112"/>
      <c r="H764" s="112" t="str">
        <f>IF(ISBLANK(E764),"",_xlfn.XLOOKUP(E764,cannabis_log!C:C,cannabis_log!H:H,"",0,1))</f>
        <v>driedflower_bulk</v>
      </c>
      <c r="I764" s="113" t="str">
        <f>IF(ISBLANK(E764),"",_xlfn.XLOOKUP(E764,cannabis_log!C:C,cannabis_log!K:K,"NOT FOUND",0,1))</f>
        <v>NA</v>
      </c>
      <c r="J764" s="185">
        <v>-1</v>
      </c>
      <c r="K764" s="186">
        <v>-3085</v>
      </c>
      <c r="L764" s="288">
        <f t="shared" si="24"/>
        <v>0</v>
      </c>
      <c r="M764" s="24"/>
      <c r="N764" s="112" t="str">
        <f>IF(ISBLANK(E764),"",_xlfn.XLOOKUP(E764,[1]cannabis_log!C:C,[1]cannabis_log!T:T,"Not Found",0,))</f>
        <v>gross</v>
      </c>
      <c r="O764" s="180">
        <f>IF(N764="net",_xlfn.XLOOKUP(E764,cannabis_log!C:C,cannabis_log!N:N,"NOT FOUND",0,1),IF(N764="gross",0,""))</f>
        <v>0</v>
      </c>
    </row>
    <row r="765" spans="1:15">
      <c r="A765" s="181" t="str">
        <f t="shared" si="20"/>
        <v>outbound</v>
      </c>
      <c r="B765" s="182">
        <v>45631.414583333331</v>
      </c>
      <c r="C765" s="183" t="s">
        <v>1921</v>
      </c>
      <c r="D765" s="183" t="s">
        <v>2428</v>
      </c>
      <c r="E765" s="215" t="s">
        <v>2434</v>
      </c>
      <c r="F765" s="112">
        <f>IF(ISBLANK(E765),"",_xlfn.XLOOKUP(E765,[1]cannabis_log!C:C,[1]cannabis_log!J:J,"",0,))</f>
        <v>2024111801</v>
      </c>
      <c r="G765" s="112"/>
      <c r="H765" s="112" t="str">
        <f>IF(ISBLANK(E765),"",_xlfn.XLOOKUP(E765,cannabis_log!C:C,cannabis_log!H:H,"",0,1))</f>
        <v>driedflower_bulk</v>
      </c>
      <c r="I765" s="113" t="str">
        <f>IF(ISBLANK(E765),"",_xlfn.XLOOKUP(E765,cannabis_log!C:C,cannabis_log!K:K,"NOT FOUND",0,1))</f>
        <v>NA</v>
      </c>
      <c r="J765" s="185">
        <v>-1</v>
      </c>
      <c r="K765" s="186">
        <v>-3245</v>
      </c>
      <c r="L765" s="288">
        <f t="shared" si="24"/>
        <v>0</v>
      </c>
      <c r="M765" s="24"/>
      <c r="N765" s="112" t="str">
        <f>IF(ISBLANK(E765),"",_xlfn.XLOOKUP(E765,[1]cannabis_log!C:C,[1]cannabis_log!T:T,"Not Found",0,))</f>
        <v>gross</v>
      </c>
      <c r="O765" s="180">
        <f>IF(N765="net",_xlfn.XLOOKUP(E765,cannabis_log!C:C,cannabis_log!N:N,"NOT FOUND",0,1),IF(N765="gross",0,""))</f>
        <v>0</v>
      </c>
    </row>
    <row r="766" spans="1:15">
      <c r="A766" s="181" t="str">
        <f t="shared" si="20"/>
        <v>outbound</v>
      </c>
      <c r="B766" s="182">
        <v>45631.414583333331</v>
      </c>
      <c r="C766" s="183" t="s">
        <v>1921</v>
      </c>
      <c r="D766" s="183" t="s">
        <v>2428</v>
      </c>
      <c r="E766" s="215" t="s">
        <v>2435</v>
      </c>
      <c r="F766" s="112">
        <f>IF(ISBLANK(E766),"",_xlfn.XLOOKUP(E766,[1]cannabis_log!C:C,[1]cannabis_log!J:J,"",0,))</f>
        <v>2024111802</v>
      </c>
      <c r="G766" s="112"/>
      <c r="H766" s="112" t="str">
        <f>IF(ISBLANK(E766),"",_xlfn.XLOOKUP(E766,cannabis_log!C:C,cannabis_log!H:H,"",0,1))</f>
        <v>driedflower_bulk</v>
      </c>
      <c r="I766" s="113" t="str">
        <f>IF(ISBLANK(E766),"",_xlfn.XLOOKUP(E766,cannabis_log!C:C,cannabis_log!K:K,"NOT FOUND",0,1))</f>
        <v>NA</v>
      </c>
      <c r="J766" s="185">
        <v>-1</v>
      </c>
      <c r="K766" s="186">
        <v>-3085</v>
      </c>
      <c r="L766" s="288">
        <f t="shared" si="24"/>
        <v>0</v>
      </c>
      <c r="M766" s="24"/>
      <c r="N766" s="112" t="str">
        <f>IF(ISBLANK(E766),"",_xlfn.XLOOKUP(E766,[1]cannabis_log!C:C,[1]cannabis_log!T:T,"Not Found",0,))</f>
        <v>gross</v>
      </c>
      <c r="O766" s="180">
        <f>IF(N766="net",_xlfn.XLOOKUP(E766,cannabis_log!C:C,cannabis_log!N:N,"NOT FOUND",0,1),IF(N766="gross",0,""))</f>
        <v>0</v>
      </c>
    </row>
    <row r="767" spans="1:15">
      <c r="A767" s="181" t="str">
        <f t="shared" si="20"/>
        <v>outbound</v>
      </c>
      <c r="B767" s="182">
        <v>45631.414583333331</v>
      </c>
      <c r="C767" s="183" t="s">
        <v>1921</v>
      </c>
      <c r="D767" s="183" t="s">
        <v>2428</v>
      </c>
      <c r="E767" s="215" t="s">
        <v>2436</v>
      </c>
      <c r="F767" s="112">
        <f>IF(ISBLANK(E767),"",_xlfn.XLOOKUP(E767,[1]cannabis_log!C:C,[1]cannabis_log!J:J,"",0,))</f>
        <v>2024111802</v>
      </c>
      <c r="G767" s="112"/>
      <c r="H767" s="112" t="str">
        <f>IF(ISBLANK(E767),"",_xlfn.XLOOKUP(E767,cannabis_log!C:C,cannabis_log!H:H,"",0,1))</f>
        <v>driedflower_bulk</v>
      </c>
      <c r="I767" s="113" t="str">
        <f>IF(ISBLANK(E767),"",_xlfn.XLOOKUP(E767,cannabis_log!C:C,cannabis_log!K:K,"NOT FOUND",0,1))</f>
        <v>NA</v>
      </c>
      <c r="J767" s="185">
        <v>-1</v>
      </c>
      <c r="K767" s="186">
        <v>-2030</v>
      </c>
      <c r="L767" s="288">
        <f t="shared" si="24"/>
        <v>0</v>
      </c>
      <c r="M767" s="24"/>
      <c r="N767" s="112" t="str">
        <f>IF(ISBLANK(E767),"",_xlfn.XLOOKUP(E767,[1]cannabis_log!C:C,[1]cannabis_log!T:T,"Not Found",0,))</f>
        <v>gross</v>
      </c>
      <c r="O767" s="180">
        <f>IF(N767="net",_xlfn.XLOOKUP(E767,cannabis_log!C:C,cannabis_log!N:N,"NOT FOUND",0,1),IF(N767="gross",0,""))</f>
        <v>0</v>
      </c>
    </row>
    <row r="768" spans="1:15">
      <c r="A768" s="181" t="str">
        <f t="shared" si="20"/>
        <v>outbound</v>
      </c>
      <c r="B768" s="182">
        <v>45631.414583333331</v>
      </c>
      <c r="C768" s="183" t="s">
        <v>1921</v>
      </c>
      <c r="D768" s="183" t="s">
        <v>2428</v>
      </c>
      <c r="E768" s="215" t="s">
        <v>2437</v>
      </c>
      <c r="F768" s="112">
        <f>IF(ISBLANK(E768),"",_xlfn.XLOOKUP(E768,[1]cannabis_log!C:C,[1]cannabis_log!J:J,"",0,))</f>
        <v>2024111802</v>
      </c>
      <c r="G768" s="112"/>
      <c r="H768" s="112" t="str">
        <f>IF(ISBLANK(E768),"",_xlfn.XLOOKUP(E768,cannabis_log!C:C,cannabis_log!H:H,"",0,1))</f>
        <v>driedflower_bulk</v>
      </c>
      <c r="I768" s="113" t="str">
        <f>IF(ISBLANK(E768),"",_xlfn.XLOOKUP(E768,cannabis_log!C:C,cannabis_log!K:K,"NOT FOUND",0,1))</f>
        <v>NA</v>
      </c>
      <c r="J768" s="185">
        <v>-1</v>
      </c>
      <c r="K768" s="186">
        <v>-3085</v>
      </c>
      <c r="L768" s="288">
        <f t="shared" si="24"/>
        <v>0</v>
      </c>
      <c r="M768" s="24"/>
      <c r="N768" s="112" t="str">
        <f>IF(ISBLANK(E768),"",_xlfn.XLOOKUP(E768,[1]cannabis_log!C:C,[1]cannabis_log!T:T,"Not Found",0,))</f>
        <v>gross</v>
      </c>
      <c r="O768" s="180">
        <f>IF(N768="net",_xlfn.XLOOKUP(E768,cannabis_log!C:C,cannabis_log!N:N,"NOT FOUND",0,1),IF(N768="gross",0,""))</f>
        <v>0</v>
      </c>
    </row>
    <row r="769" spans="1:15">
      <c r="A769" s="181" t="str">
        <f t="shared" ref="A769:A832" si="25">IF(ISBLANK(J769),"",IF(J769+K769+L769&lt;0,"outbound","inbound"))</f>
        <v>outbound</v>
      </c>
      <c r="B769" s="182">
        <v>45631.414583333331</v>
      </c>
      <c r="C769" s="183" t="s">
        <v>1921</v>
      </c>
      <c r="D769" s="183" t="s">
        <v>2428</v>
      </c>
      <c r="E769" s="215" t="s">
        <v>2438</v>
      </c>
      <c r="F769" s="112">
        <f>IF(ISBLANK(E769),"",_xlfn.XLOOKUP(E769,[1]cannabis_log!C:C,[1]cannabis_log!J:J,"",0,))</f>
        <v>2024111802</v>
      </c>
      <c r="G769" s="112"/>
      <c r="H769" s="112" t="str">
        <f>IF(ISBLANK(E769),"",_xlfn.XLOOKUP(E769,cannabis_log!C:C,cannabis_log!H:H,"",0,1))</f>
        <v>driedflower_bulk</v>
      </c>
      <c r="I769" s="113" t="str">
        <f>IF(ISBLANK(E769),"",_xlfn.XLOOKUP(E769,cannabis_log!C:C,cannabis_log!K:K,"NOT FOUND",0,1))</f>
        <v>NA</v>
      </c>
      <c r="J769" s="185">
        <v>-1</v>
      </c>
      <c r="K769" s="186">
        <v>-3085</v>
      </c>
      <c r="L769" s="288">
        <f t="shared" si="24"/>
        <v>0</v>
      </c>
      <c r="M769" s="24"/>
      <c r="N769" s="112" t="str">
        <f>IF(ISBLANK(E769),"",_xlfn.XLOOKUP(E769,[1]cannabis_log!C:C,[1]cannabis_log!T:T,"Not Found",0,))</f>
        <v>gross</v>
      </c>
      <c r="O769" s="180">
        <f>IF(N769="net",_xlfn.XLOOKUP(E769,cannabis_log!C:C,cannabis_log!N:N,"NOT FOUND",0,1),IF(N769="gross",0,""))</f>
        <v>0</v>
      </c>
    </row>
    <row r="770" spans="1:15">
      <c r="A770" s="181" t="str">
        <f t="shared" si="25"/>
        <v>outbound</v>
      </c>
      <c r="B770" s="182">
        <v>45631.493055555555</v>
      </c>
      <c r="C770" s="183" t="s">
        <v>1921</v>
      </c>
      <c r="D770" s="183" t="s">
        <v>2439</v>
      </c>
      <c r="E770" s="215" t="s">
        <v>2440</v>
      </c>
      <c r="F770" s="112" t="str">
        <f>IF(ISBLANK(E770),"",_xlfn.XLOOKUP(E770,[1]cannabis_log!C:C,[1]cannabis_log!J:J,"",0,))</f>
        <v>EX24101704</v>
      </c>
      <c r="G770" s="112"/>
      <c r="H770" s="112" t="str">
        <f>IF(ISBLANK(E770),"",_xlfn.XLOOKUP(E770,cannabis_log!C:C,cannabis_log!H:H,"",0,1))</f>
        <v>extract_inhaled_bulk</v>
      </c>
      <c r="I770" s="113" t="str">
        <f>IF(ISBLANK(E770),"",_xlfn.XLOOKUP(E770,cannabis_log!C:C,cannabis_log!K:K,"NOT FOUND",0,1))</f>
        <v>NA</v>
      </c>
      <c r="J770" s="185">
        <v>-1</v>
      </c>
      <c r="K770" s="186">
        <v>-609.1</v>
      </c>
      <c r="L770" s="288">
        <f t="shared" si="24"/>
        <v>0</v>
      </c>
      <c r="M770" s="24"/>
      <c r="N770" s="112" t="str">
        <f>IF(ISBLANK(E770),"",_xlfn.XLOOKUP(E770,[1]cannabis_log!C:C,[1]cannabis_log!T:T,"Not Found",0,))</f>
        <v>gross</v>
      </c>
      <c r="O770" s="180">
        <f>IF(N770="net",_xlfn.XLOOKUP(E770,cannabis_log!C:C,cannabis_log!N:N,"NOT FOUND",0,1),IF(N770="gross",0,""))</f>
        <v>0</v>
      </c>
    </row>
    <row r="771" spans="1:15">
      <c r="A771" s="181" t="str">
        <f t="shared" si="25"/>
        <v>outbound</v>
      </c>
      <c r="B771" s="182">
        <v>45631.493055555555</v>
      </c>
      <c r="C771" s="183" t="s">
        <v>1921</v>
      </c>
      <c r="D771" s="183" t="s">
        <v>2439</v>
      </c>
      <c r="E771" s="215" t="s">
        <v>2384</v>
      </c>
      <c r="F771" s="112" t="str">
        <f>IF(ISBLANK(E771),"",_xlfn.XLOOKUP(E771,[1]cannabis_log!C:C,[1]cannabis_log!J:J,"",0,))</f>
        <v>EX24101704</v>
      </c>
      <c r="G771" s="112"/>
      <c r="H771" s="112" t="str">
        <f>IF(ISBLANK(E771),"",_xlfn.XLOOKUP(E771,cannabis_log!C:C,cannabis_log!H:H,"",0,1))</f>
        <v>extract_inhaled_bulk</v>
      </c>
      <c r="I771" s="113" t="str">
        <f>IF(ISBLANK(E771),"",_xlfn.XLOOKUP(E771,cannabis_log!C:C,cannabis_log!K:K,"NOT FOUND",0,1))</f>
        <v>NA</v>
      </c>
      <c r="J771" s="185">
        <v>-1</v>
      </c>
      <c r="K771" s="186">
        <v>-374.9</v>
      </c>
      <c r="L771" s="288">
        <f t="shared" si="24"/>
        <v>0</v>
      </c>
      <c r="M771" s="24"/>
      <c r="N771" s="112" t="str">
        <f>IF(ISBLANK(E771),"",_xlfn.XLOOKUP(E771,[1]cannabis_log!C:C,[1]cannabis_log!T:T,"Not Found",0,))</f>
        <v>gross</v>
      </c>
      <c r="O771" s="180">
        <f>IF(N771="net",_xlfn.XLOOKUP(E771,cannabis_log!C:C,cannabis_log!N:N,"NOT FOUND",0,1),IF(N771="gross",0,""))</f>
        <v>0</v>
      </c>
    </row>
    <row r="772" spans="1:15">
      <c r="A772" s="181" t="str">
        <f t="shared" si="25"/>
        <v>inbound</v>
      </c>
      <c r="B772" s="182">
        <v>45631.59097222222</v>
      </c>
      <c r="C772" s="183" t="s">
        <v>1927</v>
      </c>
      <c r="D772" s="183"/>
      <c r="E772" s="215" t="s">
        <v>2405</v>
      </c>
      <c r="F772" s="112" t="str">
        <f>IF(ISBLANK(E772),"",_xlfn.XLOOKUP(E772,[1]cannabis_log!C:C,[1]cannabis_log!J:J,"",0,))</f>
        <v>PR241103F5</v>
      </c>
      <c r="G772" s="112"/>
      <c r="H772" s="112" t="str">
        <f>IF(ISBLANK(E772),"",_xlfn.XLOOKUP(E772,cannabis_log!C:C,cannabis_log!H:H,"",0,1))</f>
        <v>preroll_bulk</v>
      </c>
      <c r="I772" s="113" t="str">
        <f>IF(ISBLANK(E772),"",_xlfn.XLOOKUP(E772,cannabis_log!C:C,cannabis_log!K:K,"NOT FOUND",0,1))</f>
        <v>NA</v>
      </c>
      <c r="J772" s="185">
        <v>676</v>
      </c>
      <c r="K772" s="186">
        <f>IF(N772="net",0,"")</f>
        <v>0</v>
      </c>
      <c r="L772" s="288">
        <f t="shared" si="24"/>
        <v>338</v>
      </c>
      <c r="M772" s="24"/>
      <c r="N772" s="112" t="str">
        <f>IF(ISBLANK(E772),"",_xlfn.XLOOKUP(E772,[1]cannabis_log!C:C,[1]cannabis_log!T:T,"Not Found",0,))</f>
        <v>net</v>
      </c>
      <c r="O772" s="180">
        <f>IF(N772="net",_xlfn.XLOOKUP(E772,cannabis_log!C:C,cannabis_log!N:N,"NOT FOUND",0,1),IF(N772="gross",0,""))</f>
        <v>0.5</v>
      </c>
    </row>
    <row r="773" spans="1:15">
      <c r="A773" s="181" t="str">
        <f t="shared" si="25"/>
        <v>inbound</v>
      </c>
      <c r="B773" s="182">
        <v>45631.615277777775</v>
      </c>
      <c r="C773" s="183" t="s">
        <v>1927</v>
      </c>
      <c r="D773" s="183"/>
      <c r="E773" s="215" t="s">
        <v>2427</v>
      </c>
      <c r="F773" s="112">
        <f>IF(ISBLANK(E773),"",_xlfn.XLOOKUP(E773,[1]cannabis_log!C:C,[1]cannabis_log!J:J,"",0,))</f>
        <v>2024120401</v>
      </c>
      <c r="G773" s="112"/>
      <c r="H773" s="112" t="str">
        <f>IF(ISBLANK(E773),"",_xlfn.XLOOKUP(E773,cannabis_log!C:C,cannabis_log!H:H,"",0,1))</f>
        <v>extract_distillate_bulk</v>
      </c>
      <c r="I773" s="113" t="str">
        <f>IF(ISBLANK(E773),"",_xlfn.XLOOKUP(E773,cannabis_log!C:C,cannabis_log!K:K,"NOT FOUND",0,1))</f>
        <v>NA</v>
      </c>
      <c r="J773" s="185">
        <v>1</v>
      </c>
      <c r="K773" s="186">
        <v>1756.5</v>
      </c>
      <c r="L773" s="288">
        <f t="shared" si="24"/>
        <v>0</v>
      </c>
      <c r="M773" s="24"/>
      <c r="N773" s="112" t="str">
        <f>IF(ISBLANK(E773),"",_xlfn.XLOOKUP(E773,[1]cannabis_log!C:C,[1]cannabis_log!T:T,"Not Found",0,))</f>
        <v>gross</v>
      </c>
      <c r="O773" s="180">
        <f>IF(N773="net",_xlfn.XLOOKUP(E773,cannabis_log!C:C,cannabis_log!N:N,"NOT FOUND",0,1),IF(N773="gross",0,""))</f>
        <v>0</v>
      </c>
    </row>
    <row r="774" spans="1:15">
      <c r="A774" s="181" t="str">
        <f t="shared" si="25"/>
        <v>inbound</v>
      </c>
      <c r="B774" s="182">
        <v>45631.661111111112</v>
      </c>
      <c r="C774" s="183" t="s">
        <v>1927</v>
      </c>
      <c r="D774" s="183"/>
      <c r="E774" s="215" t="s">
        <v>2322</v>
      </c>
      <c r="F774" s="112" t="str">
        <f>IF(ISBLANK(E774),"",_xlfn.XLOOKUP(E774,[1]cannabis_log!C:C,[1]cannabis_log!J:J,"",0,))</f>
        <v>PR2411</v>
      </c>
      <c r="G774" s="112"/>
      <c r="H774" s="112" t="str">
        <f>IF(ISBLANK(E774),"",_xlfn.XLOOKUP(E774,cannabis_log!C:C,cannabis_log!H:H,"",0,1))</f>
        <v>driedflower_milled_bulk</v>
      </c>
      <c r="I774" s="113" t="str">
        <f>IF(ISBLANK(E774),"",_xlfn.XLOOKUP(E774,cannabis_log!C:C,cannabis_log!K:K,"NOT FOUND",0,1))</f>
        <v>NA</v>
      </c>
      <c r="J774" s="185">
        <v>1</v>
      </c>
      <c r="K774" s="186">
        <v>2325</v>
      </c>
      <c r="L774" s="288">
        <f t="shared" si="24"/>
        <v>0</v>
      </c>
      <c r="M774" s="24"/>
      <c r="N774" s="112" t="str">
        <f>IF(ISBLANK(E774),"",_xlfn.XLOOKUP(E774,[1]cannabis_log!C:C,[1]cannabis_log!T:T,"Not Found",0,))</f>
        <v>gross</v>
      </c>
      <c r="O774" s="180">
        <f>IF(N774="net",_xlfn.XLOOKUP(E774,cannabis_log!C:C,cannabis_log!N:N,"NOT FOUND",0,1),IF(N774="gross",0,""))</f>
        <v>0</v>
      </c>
    </row>
    <row r="775" spans="1:15">
      <c r="A775" s="181" t="str">
        <f t="shared" si="25"/>
        <v>inbound</v>
      </c>
      <c r="B775" s="182">
        <v>45632.581250000003</v>
      </c>
      <c r="C775" s="183" t="s">
        <v>1927</v>
      </c>
      <c r="D775" s="183"/>
      <c r="E775" s="215" t="s">
        <v>2339</v>
      </c>
      <c r="F775" s="112" t="str">
        <f>IF(ISBLANK(E775),"",_xlfn.XLOOKUP(E775,[1]cannabis_log!C:C,[1]cannabis_log!J:J,"",0,))</f>
        <v>EX24101701G05</v>
      </c>
      <c r="G775" s="112"/>
      <c r="H775" s="112" t="str">
        <f>IF(ISBLANK(E775),"",_xlfn.XLOOKUP(E775,cannabis_log!C:C,cannabis_log!H:H,"",0,1))</f>
        <v>extract_inhaled_labelled</v>
      </c>
      <c r="I775" s="113">
        <f>IF(ISBLANK(E775),"",_xlfn.XLOOKUP(E775,cannabis_log!C:C,cannabis_log!K:K,"NOT FOUND",0,1))</f>
        <v>45594</v>
      </c>
      <c r="J775" s="185">
        <v>3</v>
      </c>
      <c r="K775" s="186">
        <f>IF(N775="net",0,"")</f>
        <v>0</v>
      </c>
      <c r="L775" s="288">
        <f t="shared" si="24"/>
        <v>1.5</v>
      </c>
      <c r="M775" s="24"/>
      <c r="N775" s="112" t="str">
        <f>IF(ISBLANK(E775),"",_xlfn.XLOOKUP(E775,[1]cannabis_log!C:C,[1]cannabis_log!T:T,"Not Found",0,))</f>
        <v>net</v>
      </c>
      <c r="O775" s="180">
        <f>IF(N775="net",_xlfn.XLOOKUP(E775,cannabis_log!C:C,cannabis_log!N:N,"NOT FOUND",0,1),IF(N775="gross",0,""))</f>
        <v>0.5</v>
      </c>
    </row>
    <row r="776" spans="1:15">
      <c r="A776" s="181" t="str">
        <f t="shared" si="25"/>
        <v>inbound</v>
      </c>
      <c r="B776" s="182">
        <v>45632.673611111109</v>
      </c>
      <c r="C776" s="183" t="s">
        <v>1927</v>
      </c>
      <c r="D776" s="183"/>
      <c r="E776" s="215" t="s">
        <v>2203</v>
      </c>
      <c r="F776" s="112" t="str">
        <f>IF(ISBLANK(E776),"",_xlfn.XLOOKUP(E776,[1]cannabis_log!C:C,[1]cannabis_log!J:J,"",0,))</f>
        <v>EX24092601V50</v>
      </c>
      <c r="G776" s="112"/>
      <c r="H776" s="112" t="str">
        <f>IF(ISBLANK(E776),"",_xlfn.XLOOKUP(E776,cannabis_log!C:C,cannabis_log!H:H,"",0,1))</f>
        <v>extract_ingested_labelled</v>
      </c>
      <c r="I776" s="113">
        <f>IF(ISBLANK(E776),"",_xlfn.XLOOKUP(E776,cannabis_log!C:C,cannabis_log!K:K,"NOT FOUND",0,1))</f>
        <v>45576</v>
      </c>
      <c r="J776" s="185">
        <f>288-60</f>
        <v>228</v>
      </c>
      <c r="K776" s="186">
        <f>IF(N776="net",0,"")</f>
        <v>0</v>
      </c>
      <c r="L776" s="288">
        <f t="shared" si="24"/>
        <v>11400</v>
      </c>
      <c r="M776" s="24"/>
      <c r="N776" s="112" t="str">
        <f>IF(ISBLANK(E776),"",_xlfn.XLOOKUP(E776,[1]cannabis_log!C:C,[1]cannabis_log!T:T,"Not Found",0,))</f>
        <v>net</v>
      </c>
      <c r="O776" s="180">
        <f>IF(N776="net",_xlfn.XLOOKUP(E776,cannabis_log!C:C,cannabis_log!N:N,"NOT FOUND",0,1),IF(N776="gross",0,""))</f>
        <v>50</v>
      </c>
    </row>
    <row r="777" spans="1:15">
      <c r="A777" s="181" t="str">
        <f t="shared" si="25"/>
        <v>inbound</v>
      </c>
      <c r="B777" s="182">
        <v>45635.455555555556</v>
      </c>
      <c r="C777" s="183" t="s">
        <v>1927</v>
      </c>
      <c r="D777" s="183"/>
      <c r="E777" s="215" t="s">
        <v>2425</v>
      </c>
      <c r="F777" s="112" t="str">
        <f>IF(ISBLANK(E777),"",_xlfn.XLOOKUP(E777,[1]cannabis_log!C:C,[1]cannabis_log!J:J,"",0,))</f>
        <v>EX24100801V30</v>
      </c>
      <c r="G777" s="112"/>
      <c r="H777" s="112" t="str">
        <f>IF(ISBLANK(E777),"",_xlfn.XLOOKUP(E777,cannabis_log!C:C,cannabis_log!H:H,"",0,1))</f>
        <v>extract_ingested_labelled</v>
      </c>
      <c r="I777" s="113">
        <f>IF(ISBLANK(E777),"",_xlfn.XLOOKUP(E777,cannabis_log!C:C,cannabis_log!K:K,"NOT FOUND",0,1))</f>
        <v>45590</v>
      </c>
      <c r="J777" s="185">
        <v>15</v>
      </c>
      <c r="K777" s="186">
        <f>IF(N777="net",0,"")</f>
        <v>0</v>
      </c>
      <c r="L777" s="288">
        <f t="shared" si="24"/>
        <v>409.5</v>
      </c>
      <c r="M777" s="24"/>
      <c r="N777" s="112" t="str">
        <f>IF(ISBLANK(E777),"",_xlfn.XLOOKUP(E777,[1]cannabis_log!C:C,[1]cannabis_log!T:T,"Not Found",0,))</f>
        <v>net</v>
      </c>
      <c r="O777" s="180">
        <f>IF(N777="net",_xlfn.XLOOKUP(E777,cannabis_log!C:C,cannabis_log!N:N,"NOT FOUND",0,1),IF(N777="gross",0,""))</f>
        <v>27.3</v>
      </c>
    </row>
    <row r="778" spans="1:15">
      <c r="A778" s="181" t="str">
        <f t="shared" si="25"/>
        <v>outbound</v>
      </c>
      <c r="B778" s="182">
        <v>45636.454861111109</v>
      </c>
      <c r="C778" s="183" t="s">
        <v>1927</v>
      </c>
      <c r="D778" s="183"/>
      <c r="E778" s="215" t="s">
        <v>2441</v>
      </c>
      <c r="F778" s="112" t="str">
        <f>IF(ISBLANK(E778),"",_xlfn.XLOOKUP(E778,[1]cannabis_log!C:C,[1]cannabis_log!J:J,"",0,))</f>
        <v>BS23041701</v>
      </c>
      <c r="G778" s="112"/>
      <c r="H778" s="112" t="str">
        <f>IF(ISBLANK(E778),"",_xlfn.XLOOKUP(E778,cannabis_log!C:C,cannabis_log!H:H,"",0,1))</f>
        <v>topical_bulk</v>
      </c>
      <c r="I778" s="113" t="str">
        <f>IF(ISBLANK(E778),"",_xlfn.XLOOKUP(E778,cannabis_log!C:C,cannabis_log!K:K,"NOT FOUND",0,1))</f>
        <v>NA</v>
      </c>
      <c r="J778" s="185">
        <v>-1</v>
      </c>
      <c r="K778" s="186">
        <v>-71400</v>
      </c>
      <c r="L778" s="288">
        <f t="shared" si="24"/>
        <v>0</v>
      </c>
      <c r="M778" s="24"/>
      <c r="N778" s="112" t="str">
        <f>IF(ISBLANK(E778),"",_xlfn.XLOOKUP(E778,[1]cannabis_log!C:C,[1]cannabis_log!T:T,"Not Found",0,))</f>
        <v>gross</v>
      </c>
      <c r="O778" s="180">
        <f>IF(N778="net",_xlfn.XLOOKUP(E778,cannabis_log!C:C,cannabis_log!N:N,"NOT FOUND",0,1),IF(N778="gross",0,""))</f>
        <v>0</v>
      </c>
    </row>
    <row r="779" spans="1:15" ht="15.6">
      <c r="A779" s="181" t="str">
        <f t="shared" si="25"/>
        <v>outbound</v>
      </c>
      <c r="B779" s="182">
        <v>45636.468055555553</v>
      </c>
      <c r="C779" s="183" t="s">
        <v>1929</v>
      </c>
      <c r="D779" s="53" t="s">
        <v>2442</v>
      </c>
      <c r="E779" s="215" t="s">
        <v>2443</v>
      </c>
      <c r="F779" s="112" t="str">
        <f>IF(ISBLANK(E779),"",_xlfn.XLOOKUP(E779,[1]cannabis_log!C:C,[1]cannabis_log!J:J,"",0,))</f>
        <v>EX24100801V30</v>
      </c>
      <c r="G779" s="112"/>
      <c r="H779" s="112" t="str">
        <f>IF(ISBLANK(E779),"",_xlfn.XLOOKUP(E779,cannabis_log!C:C,cannabis_log!H:H,"",0,1))</f>
        <v>extract_ingested_labelled</v>
      </c>
      <c r="I779" s="113">
        <f>IF(ISBLANK(E779),"",_xlfn.XLOOKUP(E779,cannabis_log!C:C,cannabis_log!K:K,"NOT FOUND",0,1))</f>
        <v>45590</v>
      </c>
      <c r="J779" s="185">
        <v>-9</v>
      </c>
      <c r="K779" s="186">
        <f t="shared" ref="K779:K789" si="26">IF(N779="net",0,"")</f>
        <v>0</v>
      </c>
      <c r="L779" s="288">
        <f t="shared" si="24"/>
        <v>-245.70000000000002</v>
      </c>
      <c r="M779" s="24"/>
      <c r="N779" s="112" t="str">
        <f>IF(ISBLANK(E779),"",_xlfn.XLOOKUP(E779,[1]cannabis_log!C:C,[1]cannabis_log!T:T,"Not Found",0,))</f>
        <v>net</v>
      </c>
      <c r="O779" s="180">
        <f>IF(N779="net",_xlfn.XLOOKUP(E779,cannabis_log!C:C,cannabis_log!N:N,"NOT FOUND",0,1),IF(N779="gross",0,""))</f>
        <v>27.3</v>
      </c>
    </row>
    <row r="780" spans="1:15" ht="15.6">
      <c r="A780" s="181" t="str">
        <f t="shared" si="25"/>
        <v>outbound</v>
      </c>
      <c r="B780" s="182">
        <v>45636.468055555553</v>
      </c>
      <c r="C780" s="183" t="s">
        <v>1929</v>
      </c>
      <c r="D780" s="53" t="s">
        <v>2442</v>
      </c>
      <c r="E780" s="215" t="s">
        <v>2425</v>
      </c>
      <c r="F780" s="112" t="str">
        <f>IF(ISBLANK(E780),"",_xlfn.XLOOKUP(E780,[1]cannabis_log!C:C,[1]cannabis_log!J:J,"",0,))</f>
        <v>EX24100801V30</v>
      </c>
      <c r="G780" s="112"/>
      <c r="H780" s="112" t="str">
        <f>IF(ISBLANK(E780),"",_xlfn.XLOOKUP(E780,cannabis_log!C:C,cannabis_log!H:H,"",0,1))</f>
        <v>extract_ingested_labelled</v>
      </c>
      <c r="I780" s="113">
        <f>IF(ISBLANK(E780),"",_xlfn.XLOOKUP(E780,cannabis_log!C:C,cannabis_log!K:K,"NOT FOUND",0,1))</f>
        <v>45590</v>
      </c>
      <c r="J780" s="185">
        <v>-15</v>
      </c>
      <c r="K780" s="186">
        <f t="shared" si="26"/>
        <v>0</v>
      </c>
      <c r="L780" s="288">
        <f t="shared" si="24"/>
        <v>-409.5</v>
      </c>
      <c r="M780" s="24"/>
      <c r="N780" s="112" t="str">
        <f>IF(ISBLANK(E780),"",_xlfn.XLOOKUP(E780,[1]cannabis_log!C:C,[1]cannabis_log!T:T,"Not Found",0,))</f>
        <v>net</v>
      </c>
      <c r="O780" s="180">
        <f>IF(N780="net",_xlfn.XLOOKUP(E780,cannabis_log!C:C,cannabis_log!N:N,"NOT FOUND",0,1),IF(N780="gross",0,""))</f>
        <v>27.3</v>
      </c>
    </row>
    <row r="781" spans="1:15">
      <c r="A781" s="181" t="str">
        <f t="shared" si="25"/>
        <v>outbound</v>
      </c>
      <c r="B781" s="182">
        <v>45637.417361111111</v>
      </c>
      <c r="C781" s="183" t="s">
        <v>1921</v>
      </c>
      <c r="D781" s="183" t="s">
        <v>2444</v>
      </c>
      <c r="E781" s="215" t="s">
        <v>2445</v>
      </c>
      <c r="F781" s="112" t="str">
        <f>IF(ISBLANK(E781),"",_xlfn.XLOOKUP(E781,[1]cannabis_log!C:C,[1]cannabis_log!J:J,"",0,))</f>
        <v>EX24111801V50</v>
      </c>
      <c r="G781" s="112"/>
      <c r="H781" s="112" t="str">
        <f>IF(ISBLANK(E781),"",_xlfn.XLOOKUP(E781,cannabis_log!C:C,cannabis_log!H:H,"",0,1))</f>
        <v>extract_ingested_labelled</v>
      </c>
      <c r="I781" s="113">
        <f>IF(ISBLANK(E781),"",_xlfn.XLOOKUP(E781,cannabis_log!C:C,cannabis_log!K:K,"NOT FOUND",0,1))</f>
        <v>45624</v>
      </c>
      <c r="J781" s="185">
        <v>-244</v>
      </c>
      <c r="K781" s="186">
        <f t="shared" si="26"/>
        <v>0</v>
      </c>
      <c r="L781" s="288">
        <f t="shared" si="24"/>
        <v>-12200</v>
      </c>
      <c r="M781" s="24"/>
      <c r="N781" s="112" t="str">
        <f>IF(ISBLANK(E781),"",_xlfn.XLOOKUP(E781,[1]cannabis_log!C:C,[1]cannabis_log!T:T,"Not Found",0,))</f>
        <v>net</v>
      </c>
      <c r="O781" s="180">
        <f>IF(N781="net",_xlfn.XLOOKUP(E781,cannabis_log!C:C,cannabis_log!N:N,"NOT FOUND",0,1),IF(N781="gross",0,""))</f>
        <v>50</v>
      </c>
    </row>
    <row r="782" spans="1:15">
      <c r="A782" s="181" t="str">
        <f t="shared" si="25"/>
        <v>outbound</v>
      </c>
      <c r="B782" s="182">
        <v>45637.417361111111</v>
      </c>
      <c r="C782" s="183" t="s">
        <v>1921</v>
      </c>
      <c r="D782" s="183" t="s">
        <v>2444</v>
      </c>
      <c r="E782" s="215" t="s">
        <v>2446</v>
      </c>
      <c r="F782" s="112" t="str">
        <f>IF(ISBLANK(E782),"",_xlfn.XLOOKUP(E782,[1]cannabis_log!C:C,[1]cannabis_log!J:J,"",0,))</f>
        <v>EX24111801V50</v>
      </c>
      <c r="G782" s="112"/>
      <c r="H782" s="112" t="str">
        <f>IF(ISBLANK(E782),"",_xlfn.XLOOKUP(E782,cannabis_log!C:C,cannabis_log!H:H,"",0,1))</f>
        <v>extract_ingested_labelled</v>
      </c>
      <c r="I782" s="113">
        <f>IF(ISBLANK(E782),"",_xlfn.XLOOKUP(E782,cannabis_log!C:C,cannabis_log!K:K,"NOT FOUND",0,1))</f>
        <v>45624</v>
      </c>
      <c r="J782" s="185">
        <v>-237</v>
      </c>
      <c r="K782" s="186">
        <f t="shared" si="26"/>
        <v>0</v>
      </c>
      <c r="L782" s="288">
        <f t="shared" si="24"/>
        <v>-11850</v>
      </c>
      <c r="M782" s="24"/>
      <c r="N782" s="112" t="str">
        <f>IF(ISBLANK(E782),"",_xlfn.XLOOKUP(E782,[1]cannabis_log!C:C,[1]cannabis_log!T:T,"Not Found",0,))</f>
        <v>net</v>
      </c>
      <c r="O782" s="180">
        <f>IF(N782="net",_xlfn.XLOOKUP(E782,cannabis_log!C:C,cannabis_log!N:N,"NOT FOUND",0,1),IF(N782="gross",0,""))</f>
        <v>50</v>
      </c>
    </row>
    <row r="783" spans="1:15">
      <c r="A783" s="181" t="str">
        <f t="shared" si="25"/>
        <v>outbound</v>
      </c>
      <c r="B783" s="182">
        <v>45638.511111111111</v>
      </c>
      <c r="C783" s="183" t="s">
        <v>1929</v>
      </c>
      <c r="D783" s="183" t="s">
        <v>2447</v>
      </c>
      <c r="E783" s="215" t="s">
        <v>2448</v>
      </c>
      <c r="F783" s="112" t="str">
        <f>IF(ISBLANK(E783),"",_xlfn.XLOOKUP(E783,[1]cannabis_log!C:C,[1]cannabis_log!J:J,"",0,))</f>
        <v>EX24111801V50</v>
      </c>
      <c r="G783" s="112"/>
      <c r="H783" s="112" t="str">
        <f>IF(ISBLANK(E783),"",_xlfn.XLOOKUP(E783,cannabis_log!C:C,cannabis_log!H:H,"",0,1))</f>
        <v>extract_ingested_cased_ON</v>
      </c>
      <c r="I783" s="113">
        <f>IF(ISBLANK(E783),"",_xlfn.XLOOKUP(E783,cannabis_log!C:C,cannabis_log!K:K,"NOT FOUND",0,1))</f>
        <v>45624</v>
      </c>
      <c r="J783" s="185">
        <v>-6</v>
      </c>
      <c r="K783" s="186">
        <f t="shared" si="26"/>
        <v>0</v>
      </c>
      <c r="L783" s="288">
        <f t="shared" si="24"/>
        <v>-3600</v>
      </c>
      <c r="M783" s="24"/>
      <c r="N783" s="112" t="str">
        <f>IF(ISBLANK(E783),"",_xlfn.XLOOKUP(E783,[1]cannabis_log!C:C,[1]cannabis_log!T:T,"Not Found",0,))</f>
        <v>net</v>
      </c>
      <c r="O783" s="180">
        <f>IF(N783="net",_xlfn.XLOOKUP(E783,cannabis_log!C:C,cannabis_log!N:N,"NOT FOUND",0,1),IF(N783="gross",0,""))</f>
        <v>600</v>
      </c>
    </row>
    <row r="784" spans="1:15">
      <c r="A784" s="181" t="str">
        <f t="shared" si="25"/>
        <v>outbound</v>
      </c>
      <c r="B784" s="182">
        <v>45638.511111111111</v>
      </c>
      <c r="C784" s="183" t="s">
        <v>1929</v>
      </c>
      <c r="D784" s="183" t="s">
        <v>2447</v>
      </c>
      <c r="E784" s="215" t="s">
        <v>2413</v>
      </c>
      <c r="F784" s="112" t="str">
        <f>IF(ISBLANK(E784),"",_xlfn.XLOOKUP(E784,[1]cannabis_log!C:C,[1]cannabis_log!J:J,"",0,))</f>
        <v>TP24101701</v>
      </c>
      <c r="G784" s="112"/>
      <c r="H784" s="112" t="str">
        <f>IF(ISBLANK(E784),"",_xlfn.XLOOKUP(E784,cannabis_log!C:C,cannabis_log!H:H,"",0,1))</f>
        <v>topical_labelled</v>
      </c>
      <c r="I784" s="113">
        <f>IF(ISBLANK(E784),"",_xlfn.XLOOKUP(E784,cannabis_log!C:C,cannabis_log!K:K,"NOT FOUND",0,1))</f>
        <v>45588</v>
      </c>
      <c r="J784" s="185">
        <v>-48</v>
      </c>
      <c r="K784" s="186">
        <f t="shared" si="26"/>
        <v>0</v>
      </c>
      <c r="L784" s="288">
        <f t="shared" si="24"/>
        <v>-4224</v>
      </c>
      <c r="M784" s="24"/>
      <c r="N784" s="112" t="str">
        <f>IF(ISBLANK(E784),"",_xlfn.XLOOKUP(E784,[1]cannabis_log!C:C,[1]cannabis_log!T:T,"Not Found",0,))</f>
        <v>net</v>
      </c>
      <c r="O784" s="180">
        <f>IF(N784="net",_xlfn.XLOOKUP(E784,cannabis_log!C:C,cannabis_log!N:N,"NOT FOUND",0,1),IF(N784="gross",0,""))</f>
        <v>88</v>
      </c>
    </row>
    <row r="785" spans="1:15">
      <c r="A785" s="181" t="str">
        <f t="shared" si="25"/>
        <v>inbound</v>
      </c>
      <c r="B785" s="182">
        <v>45638.67083333333</v>
      </c>
      <c r="C785" s="183" t="s">
        <v>1927</v>
      </c>
      <c r="D785" s="183"/>
      <c r="E785" s="215" t="s">
        <v>2445</v>
      </c>
      <c r="F785" s="112" t="str">
        <f>IF(ISBLANK(E785),"",_xlfn.XLOOKUP(E785,[1]cannabis_log!C:C,[1]cannabis_log!J:J,"",0,))</f>
        <v>EX24111801V50</v>
      </c>
      <c r="G785" s="112"/>
      <c r="H785" s="112" t="str">
        <f>IF(ISBLANK(E785),"",_xlfn.XLOOKUP(E785,cannabis_log!C:C,cannabis_log!H:H,"",0,1))</f>
        <v>extract_ingested_labelled</v>
      </c>
      <c r="I785" s="113">
        <f>IF(ISBLANK(E785),"",_xlfn.XLOOKUP(E785,cannabis_log!C:C,cannabis_log!K:K,"NOT FOUND",0,1))</f>
        <v>45624</v>
      </c>
      <c r="J785" s="185">
        <v>244</v>
      </c>
      <c r="K785" s="186">
        <f t="shared" si="26"/>
        <v>0</v>
      </c>
      <c r="L785" s="288">
        <f t="shared" si="24"/>
        <v>12200</v>
      </c>
      <c r="M785" s="24"/>
      <c r="N785" s="112" t="str">
        <f>IF(ISBLANK(E785),"",_xlfn.XLOOKUP(E785,[1]cannabis_log!C:C,[1]cannabis_log!T:T,"Not Found",0,))</f>
        <v>net</v>
      </c>
      <c r="O785" s="180">
        <f>IF(N785="net",_xlfn.XLOOKUP(E785,cannabis_log!C:C,cannabis_log!N:N,"NOT FOUND",0,1),IF(N785="gross",0,""))</f>
        <v>50</v>
      </c>
    </row>
    <row r="786" spans="1:15">
      <c r="A786" s="181" t="str">
        <f t="shared" si="25"/>
        <v>inbound</v>
      </c>
      <c r="B786" s="182">
        <v>45638.67083333333</v>
      </c>
      <c r="C786" s="183" t="s">
        <v>1927</v>
      </c>
      <c r="D786" s="183"/>
      <c r="E786" s="215" t="s">
        <v>2446</v>
      </c>
      <c r="F786" s="112" t="str">
        <f>IF(ISBLANK(E786),"",_xlfn.XLOOKUP(E786,[1]cannabis_log!C:C,[1]cannabis_log!J:J,"",0,))</f>
        <v>EX24111801V50</v>
      </c>
      <c r="G786" s="112"/>
      <c r="H786" s="112" t="str">
        <f>IF(ISBLANK(E786),"",_xlfn.XLOOKUP(E786,cannabis_log!C:C,cannabis_log!H:H,"",0,1))</f>
        <v>extract_ingested_labelled</v>
      </c>
      <c r="I786" s="113">
        <f>IF(ISBLANK(E786),"",_xlfn.XLOOKUP(E786,cannabis_log!C:C,cannabis_log!K:K,"NOT FOUND",0,1))</f>
        <v>45624</v>
      </c>
      <c r="J786" s="185">
        <v>165</v>
      </c>
      <c r="K786" s="186">
        <f t="shared" si="26"/>
        <v>0</v>
      </c>
      <c r="L786" s="288">
        <f t="shared" si="24"/>
        <v>8250</v>
      </c>
      <c r="M786" s="24"/>
      <c r="N786" s="112" t="str">
        <f>IF(ISBLANK(E786),"",_xlfn.XLOOKUP(E786,[1]cannabis_log!C:C,[1]cannabis_log!T:T,"Not Found",0,))</f>
        <v>net</v>
      </c>
      <c r="O786" s="180">
        <f>IF(N786="net",_xlfn.XLOOKUP(E786,cannabis_log!C:C,cannabis_log!N:N,"NOT FOUND",0,1),IF(N786="gross",0,""))</f>
        <v>50</v>
      </c>
    </row>
    <row r="787" spans="1:15">
      <c r="A787" s="181" t="str">
        <f t="shared" si="25"/>
        <v>inbound</v>
      </c>
      <c r="B787" s="182">
        <v>45638.67083333333</v>
      </c>
      <c r="C787" s="183" t="s">
        <v>1927</v>
      </c>
      <c r="D787" s="183"/>
      <c r="E787" s="215" t="s">
        <v>1941</v>
      </c>
      <c r="F787" s="112" t="str">
        <f>IF(ISBLANK(E787),"",_xlfn.XLOOKUP(E787,[1]cannabis_log!C:C,[1]cannabis_log!J:J,"",0,))</f>
        <v>BS23101901G450</v>
      </c>
      <c r="G787" s="112"/>
      <c r="H787" s="112" t="str">
        <f>IF(ISBLANK(E787),"",_xlfn.XLOOKUP(E787,cannabis_log!C:C,cannabis_log!H:H,"",0,1))</f>
        <v>topical_labelled</v>
      </c>
      <c r="I787" s="113">
        <f>IF(ISBLANK(E787),"",_xlfn.XLOOKUP(E787,cannabis_log!C:C,cannabis_log!K:K,"NOT FOUND",0,1))</f>
        <v>45629</v>
      </c>
      <c r="J787" s="185">
        <v>19</v>
      </c>
      <c r="K787" s="186">
        <f t="shared" si="26"/>
        <v>0</v>
      </c>
      <c r="L787" s="288">
        <f t="shared" si="24"/>
        <v>8550</v>
      </c>
      <c r="M787" s="24"/>
      <c r="N787" s="112" t="str">
        <f>IF(ISBLANK(E787),"",_xlfn.XLOOKUP(E787,[1]cannabis_log!C:C,[1]cannabis_log!T:T,"Not Found",0,))</f>
        <v>net</v>
      </c>
      <c r="O787" s="180">
        <f>IF(N787="net",_xlfn.XLOOKUP(E787,cannabis_log!C:C,cannabis_log!N:N,"NOT FOUND",0,1),IF(N787="gross",0,""))</f>
        <v>450</v>
      </c>
    </row>
    <row r="788" spans="1:15">
      <c r="A788" s="181" t="str">
        <f t="shared" si="25"/>
        <v>inbound</v>
      </c>
      <c r="B788" s="182">
        <v>45638.67083333333</v>
      </c>
      <c r="C788" s="183" t="s">
        <v>1927</v>
      </c>
      <c r="D788" s="183"/>
      <c r="E788" s="215" t="s">
        <v>2209</v>
      </c>
      <c r="F788" s="112" t="str">
        <f>IF(ISBLANK(E788),"",_xlfn.XLOOKUP(E788,[1]cannabis_log!C:C,[1]cannabis_log!J:J,"",0,))</f>
        <v>BS23041701G180</v>
      </c>
      <c r="G788" s="112"/>
      <c r="H788" s="112" t="str">
        <f>IF(ISBLANK(E788),"",_xlfn.XLOOKUP(E788,cannabis_log!C:C,cannabis_log!H:H,"",0,1))</f>
        <v>topical_labelled</v>
      </c>
      <c r="I788" s="113">
        <f>IF(ISBLANK(E788),"",_xlfn.XLOOKUP(E788,cannabis_log!C:C,cannabis_log!K:K,"NOT FOUND",0,1))</f>
        <v>45523</v>
      </c>
      <c r="J788" s="185">
        <v>20</v>
      </c>
      <c r="K788" s="186">
        <f t="shared" si="26"/>
        <v>0</v>
      </c>
      <c r="L788" s="288">
        <f t="shared" si="24"/>
        <v>3600</v>
      </c>
      <c r="M788" s="24"/>
      <c r="N788" s="112" t="str">
        <f>IF(ISBLANK(E788),"",_xlfn.XLOOKUP(E788,[1]cannabis_log!C:C,[1]cannabis_log!T:T,"Not Found",0,))</f>
        <v>net</v>
      </c>
      <c r="O788" s="180">
        <f>IF(N788="net",_xlfn.XLOOKUP(E788,cannabis_log!C:C,cannabis_log!N:N,"NOT FOUND",0,1),IF(N788="gross",0,""))</f>
        <v>180</v>
      </c>
    </row>
    <row r="789" spans="1:15">
      <c r="A789" s="181" t="str">
        <f t="shared" si="25"/>
        <v>inbound</v>
      </c>
      <c r="B789" s="182">
        <v>45638.67083333333</v>
      </c>
      <c r="C789" s="183" t="s">
        <v>1927</v>
      </c>
      <c r="D789" s="183"/>
      <c r="E789" s="215" t="s">
        <v>2400</v>
      </c>
      <c r="F789" s="112" t="str">
        <f>IF(ISBLANK(E789),"",_xlfn.XLOOKUP(E789,[1]cannabis_log!C:C,[1]cannabis_log!J:J,"",0,))</f>
        <v>BS23101901G450</v>
      </c>
      <c r="G789" s="112"/>
      <c r="H789" s="112" t="str">
        <f>IF(ISBLANK(E789),"",_xlfn.XLOOKUP(E789,cannabis_log!C:C,cannabis_log!H:H,"",0,1))</f>
        <v>topical_labelled</v>
      </c>
      <c r="I789" s="113">
        <f>IF(ISBLANK(E789),"",_xlfn.XLOOKUP(E789,cannabis_log!C:C,cannabis_log!K:K,"NOT FOUND",0,1))</f>
        <v>45629</v>
      </c>
      <c r="J789" s="185">
        <v>136</v>
      </c>
      <c r="K789" s="186">
        <f t="shared" si="26"/>
        <v>0</v>
      </c>
      <c r="L789" s="288">
        <f t="shared" si="24"/>
        <v>61200</v>
      </c>
      <c r="M789" s="24"/>
      <c r="N789" s="112" t="str">
        <f>IF(ISBLANK(E789),"",_xlfn.XLOOKUP(E789,[1]cannabis_log!C:C,[1]cannabis_log!T:T,"Not Found",0,))</f>
        <v>net</v>
      </c>
      <c r="O789" s="180">
        <f>IF(N789="net",_xlfn.XLOOKUP(E789,cannabis_log!C:C,cannabis_log!N:N,"NOT FOUND",0,1),IF(N789="gross",0,""))</f>
        <v>450</v>
      </c>
    </row>
    <row r="790" spans="1:15">
      <c r="A790" s="181" t="str">
        <f t="shared" si="25"/>
        <v>inbound</v>
      </c>
      <c r="B790" s="182">
        <v>45638.699305555558</v>
      </c>
      <c r="C790" s="183" t="s">
        <v>1927</v>
      </c>
      <c r="D790" s="183"/>
      <c r="E790" s="215" t="s">
        <v>2437</v>
      </c>
      <c r="F790" s="112">
        <f>IF(ISBLANK(E790),"",_xlfn.XLOOKUP(E790,[1]cannabis_log!C:C,[1]cannabis_log!J:J,"",0,))</f>
        <v>2024111802</v>
      </c>
      <c r="G790" s="112"/>
      <c r="H790" s="112" t="str">
        <f>IF(ISBLANK(E790),"",_xlfn.XLOOKUP(E790,cannabis_log!C:C,cannabis_log!H:H,"",0,1))</f>
        <v>driedflower_bulk</v>
      </c>
      <c r="I790" s="113" t="str">
        <f>IF(ISBLANK(E790),"",_xlfn.XLOOKUP(E790,cannabis_log!C:C,cannabis_log!K:K,"NOT FOUND",0,1))</f>
        <v>NA</v>
      </c>
      <c r="J790" s="185">
        <v>1</v>
      </c>
      <c r="K790" s="186">
        <v>3240</v>
      </c>
      <c r="L790" s="288">
        <f t="shared" si="24"/>
        <v>0</v>
      </c>
      <c r="M790" s="24"/>
      <c r="N790" s="112" t="str">
        <f>IF(ISBLANK(E790),"",_xlfn.XLOOKUP(E790,[1]cannabis_log!C:C,[1]cannabis_log!T:T,"Not Found",0,))</f>
        <v>gross</v>
      </c>
      <c r="O790" s="180">
        <f>IF(N790="net",_xlfn.XLOOKUP(E790,cannabis_log!C:C,cannabis_log!N:N,"NOT FOUND",0,1),IF(N790="gross",0,""))</f>
        <v>0</v>
      </c>
    </row>
    <row r="791" spans="1:15">
      <c r="A791" s="181" t="str">
        <f t="shared" si="25"/>
        <v>inbound</v>
      </c>
      <c r="B791" s="182">
        <v>45638.699305555558</v>
      </c>
      <c r="C791" s="183" t="s">
        <v>1927</v>
      </c>
      <c r="D791" s="183"/>
      <c r="E791" s="215" t="s">
        <v>2436</v>
      </c>
      <c r="F791" s="112">
        <f>IF(ISBLANK(E791),"",_xlfn.XLOOKUP(E791,[1]cannabis_log!C:C,[1]cannabis_log!J:J,"",0,))</f>
        <v>2024111802</v>
      </c>
      <c r="G791" s="112"/>
      <c r="H791" s="112" t="str">
        <f>IF(ISBLANK(E791),"",_xlfn.XLOOKUP(E791,cannabis_log!C:C,cannabis_log!H:H,"",0,1))</f>
        <v>driedflower_bulk</v>
      </c>
      <c r="I791" s="113" t="str">
        <f>IF(ISBLANK(E791),"",_xlfn.XLOOKUP(E791,cannabis_log!C:C,cannabis_log!K:K,"NOT FOUND",0,1))</f>
        <v>NA</v>
      </c>
      <c r="J791" s="185">
        <v>1</v>
      </c>
      <c r="K791" s="186">
        <v>3535</v>
      </c>
      <c r="L791" s="288">
        <f t="shared" si="24"/>
        <v>0</v>
      </c>
      <c r="M791" s="24"/>
      <c r="N791" s="112" t="str">
        <f>IF(ISBLANK(E791),"",_xlfn.XLOOKUP(E791,[1]cannabis_log!C:C,[1]cannabis_log!T:T,"Not Found",0,))</f>
        <v>gross</v>
      </c>
      <c r="O791" s="180">
        <f>IF(N791="net",_xlfn.XLOOKUP(E791,cannabis_log!C:C,cannabis_log!N:N,"NOT FOUND",0,1),IF(N791="gross",0,""))</f>
        <v>0</v>
      </c>
    </row>
    <row r="792" spans="1:15">
      <c r="A792" s="181" t="str">
        <f t="shared" si="25"/>
        <v>inbound</v>
      </c>
      <c r="B792" s="182">
        <v>45638.699305555558</v>
      </c>
      <c r="C792" s="183" t="s">
        <v>1927</v>
      </c>
      <c r="D792" s="183"/>
      <c r="E792" s="215" t="s">
        <v>2435</v>
      </c>
      <c r="F792" s="112">
        <f>IF(ISBLANK(E792),"",_xlfn.XLOOKUP(E792,[1]cannabis_log!C:C,[1]cannabis_log!J:J,"",0,))</f>
        <v>2024111802</v>
      </c>
      <c r="G792" s="112"/>
      <c r="H792" s="112" t="str">
        <f>IF(ISBLANK(E792),"",_xlfn.XLOOKUP(E792,cannabis_log!C:C,cannabis_log!H:H,"",0,1))</f>
        <v>driedflower_bulk</v>
      </c>
      <c r="I792" s="113" t="str">
        <f>IF(ISBLANK(E792),"",_xlfn.XLOOKUP(E792,cannabis_log!C:C,cannabis_log!K:K,"NOT FOUND",0,1))</f>
        <v>NA</v>
      </c>
      <c r="J792" s="185">
        <v>1</v>
      </c>
      <c r="K792" s="186">
        <v>3056</v>
      </c>
      <c r="L792" s="288">
        <f t="shared" si="24"/>
        <v>0</v>
      </c>
      <c r="M792" s="24"/>
      <c r="N792" s="112" t="str">
        <f>IF(ISBLANK(E792),"",_xlfn.XLOOKUP(E792,[1]cannabis_log!C:C,[1]cannabis_log!T:T,"Not Found",0,))</f>
        <v>gross</v>
      </c>
      <c r="O792" s="180">
        <f>IF(N792="net",_xlfn.XLOOKUP(E792,cannabis_log!C:C,cannabis_log!N:N,"NOT FOUND",0,1),IF(N792="gross",0,""))</f>
        <v>0</v>
      </c>
    </row>
    <row r="793" spans="1:15">
      <c r="A793" s="181" t="str">
        <f t="shared" si="25"/>
        <v>inbound</v>
      </c>
      <c r="B793" s="182">
        <v>45638.699305555558</v>
      </c>
      <c r="C793" s="183" t="s">
        <v>1927</v>
      </c>
      <c r="D793" s="183"/>
      <c r="E793" s="215" t="s">
        <v>2433</v>
      </c>
      <c r="F793" s="112">
        <f>IF(ISBLANK(E793),"",_xlfn.XLOOKUP(E793,[1]cannabis_log!C:C,[1]cannabis_log!J:J,"",0,))</f>
        <v>2024111803</v>
      </c>
      <c r="G793" s="112"/>
      <c r="H793" s="112" t="str">
        <f>IF(ISBLANK(E793),"",_xlfn.XLOOKUP(E793,cannabis_log!C:C,cannabis_log!H:H,"",0,1))</f>
        <v>driedflower_bulk</v>
      </c>
      <c r="I793" s="113" t="str">
        <f>IF(ISBLANK(E793),"",_xlfn.XLOOKUP(E793,cannabis_log!C:C,cannabis_log!K:K,"NOT FOUND",0,1))</f>
        <v>NA</v>
      </c>
      <c r="J793" s="185">
        <v>1</v>
      </c>
      <c r="K793" s="186">
        <v>2610</v>
      </c>
      <c r="L793" s="288">
        <f t="shared" si="24"/>
        <v>0</v>
      </c>
      <c r="M793" s="24"/>
      <c r="N793" s="112" t="str">
        <f>IF(ISBLANK(E793),"",_xlfn.XLOOKUP(E793,[1]cannabis_log!C:C,[1]cannabis_log!T:T,"Not Found",0,))</f>
        <v>gross</v>
      </c>
      <c r="O793" s="180">
        <f>IF(N793="net",_xlfn.XLOOKUP(E793,cannabis_log!C:C,cannabis_log!N:N,"NOT FOUND",0,1),IF(N793="gross",0,""))</f>
        <v>0</v>
      </c>
    </row>
    <row r="794" spans="1:15">
      <c r="A794" s="181" t="str">
        <f t="shared" si="25"/>
        <v>inbound</v>
      </c>
      <c r="B794" s="182">
        <v>45638.699305555558</v>
      </c>
      <c r="C794" s="183" t="s">
        <v>1927</v>
      </c>
      <c r="D794" s="183"/>
      <c r="E794" s="215" t="s">
        <v>2432</v>
      </c>
      <c r="F794" s="112">
        <f>IF(ISBLANK(E794),"",_xlfn.XLOOKUP(E794,[1]cannabis_log!C:C,[1]cannabis_log!J:J,"",0,))</f>
        <v>2024111803</v>
      </c>
      <c r="G794" s="112"/>
      <c r="H794" s="112" t="str">
        <f>IF(ISBLANK(E794),"",_xlfn.XLOOKUP(E794,cannabis_log!C:C,cannabis_log!H:H,"",0,1))</f>
        <v>driedflower_bulk</v>
      </c>
      <c r="I794" s="113" t="str">
        <f>IF(ISBLANK(E794),"",_xlfn.XLOOKUP(E794,cannabis_log!C:C,cannabis_log!K:K,"NOT FOUND",0,1))</f>
        <v>NA</v>
      </c>
      <c r="J794" s="185">
        <v>1</v>
      </c>
      <c r="K794" s="186">
        <v>3080</v>
      </c>
      <c r="L794" s="288">
        <f t="shared" si="24"/>
        <v>0</v>
      </c>
      <c r="M794" s="24"/>
      <c r="N794" s="112" t="str">
        <f>IF(ISBLANK(E794),"",_xlfn.XLOOKUP(E794,[1]cannabis_log!C:C,[1]cannabis_log!T:T,"Not Found",0,))</f>
        <v>gross</v>
      </c>
      <c r="O794" s="180">
        <f>IF(N794="net",_xlfn.XLOOKUP(E794,cannabis_log!C:C,cannabis_log!N:N,"NOT FOUND",0,1),IF(N794="gross",0,""))</f>
        <v>0</v>
      </c>
    </row>
    <row r="795" spans="1:15">
      <c r="A795" s="181" t="str">
        <f t="shared" si="25"/>
        <v>outbound</v>
      </c>
      <c r="B795" s="182">
        <v>45639.392361111109</v>
      </c>
      <c r="C795" s="183" t="s">
        <v>1921</v>
      </c>
      <c r="D795" s="183" t="s">
        <v>2449</v>
      </c>
      <c r="E795" s="215" t="s">
        <v>2446</v>
      </c>
      <c r="F795" s="112" t="str">
        <f>IF(ISBLANK(E795),"",_xlfn.XLOOKUP(E795,[1]cannabis_log!C:C,[1]cannabis_log!J:J,"",0,))</f>
        <v>EX24111801V50</v>
      </c>
      <c r="G795" s="112"/>
      <c r="H795" s="112" t="str">
        <f>IF(ISBLANK(E795),"",_xlfn.XLOOKUP(E795,cannabis_log!C:C,cannabis_log!H:H,"",0,1))</f>
        <v>extract_ingested_labelled</v>
      </c>
      <c r="I795" s="113">
        <f>IF(ISBLANK(E795),"",_xlfn.XLOOKUP(E795,cannabis_log!C:C,cannabis_log!K:K,"NOT FOUND",0,1))</f>
        <v>45624</v>
      </c>
      <c r="J795" s="185">
        <v>-165</v>
      </c>
      <c r="K795" s="186">
        <f>IF(N795="net",0,"")</f>
        <v>0</v>
      </c>
      <c r="L795" s="288">
        <f t="shared" si="24"/>
        <v>-8250</v>
      </c>
      <c r="M795" s="24"/>
      <c r="N795" s="112" t="str">
        <f>IF(ISBLANK(E795),"",_xlfn.XLOOKUP(E795,[1]cannabis_log!C:C,[1]cannabis_log!T:T,"Not Found",0,))</f>
        <v>net</v>
      </c>
      <c r="O795" s="180">
        <f>IF(N795="net",_xlfn.XLOOKUP(E795,cannabis_log!C:C,cannabis_log!N:N,"NOT FOUND",0,1),IF(N795="gross",0,""))</f>
        <v>50</v>
      </c>
    </row>
    <row r="796" spans="1:15">
      <c r="A796" s="181" t="str">
        <f t="shared" si="25"/>
        <v>outbound</v>
      </c>
      <c r="B796" s="182">
        <v>45639.392361111109</v>
      </c>
      <c r="C796" s="183" t="s">
        <v>1921</v>
      </c>
      <c r="D796" s="183" t="s">
        <v>2449</v>
      </c>
      <c r="E796" s="215" t="s">
        <v>2445</v>
      </c>
      <c r="F796" s="112" t="str">
        <f>IF(ISBLANK(E796),"",_xlfn.XLOOKUP(E796,[1]cannabis_log!C:C,[1]cannabis_log!J:J,"",0,))</f>
        <v>EX24111801V50</v>
      </c>
      <c r="G796" s="112"/>
      <c r="H796" s="112" t="str">
        <f>IF(ISBLANK(E796),"",_xlfn.XLOOKUP(E796,cannabis_log!C:C,cannabis_log!H:H,"",0,1))</f>
        <v>extract_ingested_labelled</v>
      </c>
      <c r="I796" s="113">
        <f>IF(ISBLANK(E796),"",_xlfn.XLOOKUP(E796,cannabis_log!C:C,cannabis_log!K:K,"NOT FOUND",0,1))</f>
        <v>45624</v>
      </c>
      <c r="J796" s="185">
        <v>-244</v>
      </c>
      <c r="K796" s="186">
        <f>IF(N796="net",0,"")</f>
        <v>0</v>
      </c>
      <c r="L796" s="288">
        <f t="shared" si="24"/>
        <v>-12200</v>
      </c>
      <c r="M796" s="24"/>
      <c r="N796" s="112" t="str">
        <f>IF(ISBLANK(E796),"",_xlfn.XLOOKUP(E796,[1]cannabis_log!C:C,[1]cannabis_log!T:T,"Not Found",0,))</f>
        <v>net</v>
      </c>
      <c r="O796" s="180">
        <f>IF(N796="net",_xlfn.XLOOKUP(E796,cannabis_log!C:C,cannabis_log!N:N,"NOT FOUND",0,1),IF(N796="gross",0,""))</f>
        <v>50</v>
      </c>
    </row>
    <row r="797" spans="1:15">
      <c r="A797" s="181" t="str">
        <f t="shared" si="25"/>
        <v>outbound</v>
      </c>
      <c r="B797" s="182">
        <v>45639.392361111109</v>
      </c>
      <c r="C797" s="183" t="s">
        <v>1921</v>
      </c>
      <c r="D797" s="183" t="s">
        <v>2449</v>
      </c>
      <c r="E797" s="215" t="s">
        <v>2450</v>
      </c>
      <c r="F797" s="112" t="str">
        <f>IF(ISBLANK(E797),"",_xlfn.XLOOKUP(E797,[1]cannabis_log!C:C,[1]cannabis_log!J:J,"",0,))</f>
        <v>EX24111801V50</v>
      </c>
      <c r="G797" s="112"/>
      <c r="H797" s="112" t="str">
        <f>IF(ISBLANK(E797),"",_xlfn.XLOOKUP(E797,cannabis_log!C:C,cannabis_log!H:H,"",0,1))</f>
        <v>extract_ingested_labelled</v>
      </c>
      <c r="I797" s="113">
        <f>IF(ISBLANK(E797),"",_xlfn.XLOOKUP(E797,cannabis_log!C:C,cannabis_log!K:K,"NOT FOUND",0,1))</f>
        <v>45624</v>
      </c>
      <c r="J797" s="185">
        <v>-165</v>
      </c>
      <c r="K797" s="186">
        <f>IF(N797="net",0,"")</f>
        <v>0</v>
      </c>
      <c r="L797" s="288">
        <f t="shared" si="24"/>
        <v>-8250</v>
      </c>
      <c r="M797" s="24"/>
      <c r="N797" s="112" t="str">
        <f>IF(ISBLANK(E797),"",_xlfn.XLOOKUP(E797,[1]cannabis_log!C:C,[1]cannabis_log!T:T,"Not Found",0,))</f>
        <v>net</v>
      </c>
      <c r="O797" s="180">
        <f>IF(N797="net",_xlfn.XLOOKUP(E797,cannabis_log!C:C,cannabis_log!N:N,"NOT FOUND",0,1),IF(N797="gross",0,""))</f>
        <v>50</v>
      </c>
    </row>
    <row r="798" spans="1:15">
      <c r="A798" s="181" t="str">
        <f t="shared" si="25"/>
        <v>outbound</v>
      </c>
      <c r="B798" s="182">
        <v>45639.450694444444</v>
      </c>
      <c r="C798" s="183" t="s">
        <v>1924</v>
      </c>
      <c r="D798" s="183" t="s">
        <v>2451</v>
      </c>
      <c r="E798" s="215" t="s">
        <v>2432</v>
      </c>
      <c r="F798" s="112">
        <f>IF(ISBLANK(E798),"",_xlfn.XLOOKUP(E798,[1]cannabis_log!C:C,[1]cannabis_log!J:J,"",0,))</f>
        <v>2024111803</v>
      </c>
      <c r="G798" s="112"/>
      <c r="H798" s="112" t="str">
        <f>IF(ISBLANK(E798),"",_xlfn.XLOOKUP(E798,cannabis_log!C:C,cannabis_log!H:H,"",0,1))</f>
        <v>driedflower_bulk</v>
      </c>
      <c r="I798" s="113" t="str">
        <f>IF(ISBLANK(E798),"",_xlfn.XLOOKUP(E798,cannabis_log!C:C,cannabis_log!K:K,"NOT FOUND",0,1))</f>
        <v>NA</v>
      </c>
      <c r="J798" s="185">
        <v>-1</v>
      </c>
      <c r="K798" s="186">
        <v>-3080</v>
      </c>
      <c r="L798" s="288">
        <f t="shared" si="24"/>
        <v>0</v>
      </c>
      <c r="M798" s="24"/>
      <c r="N798" s="112" t="str">
        <f>IF(ISBLANK(E798),"",_xlfn.XLOOKUP(E798,[1]cannabis_log!C:C,[1]cannabis_log!T:T,"Not Found",0,))</f>
        <v>gross</v>
      </c>
      <c r="O798" s="180">
        <f>IF(N798="net",_xlfn.XLOOKUP(E798,cannabis_log!C:C,cannabis_log!N:N,"NOT FOUND",0,1),IF(N798="gross",0,""))</f>
        <v>0</v>
      </c>
    </row>
    <row r="799" spans="1:15">
      <c r="A799" s="181" t="str">
        <f t="shared" si="25"/>
        <v>outbound</v>
      </c>
      <c r="B799" s="182">
        <v>45639.57708333333</v>
      </c>
      <c r="C799" s="183" t="s">
        <v>1929</v>
      </c>
      <c r="D799" s="183" t="s">
        <v>2452</v>
      </c>
      <c r="E799" s="215" t="s">
        <v>2412</v>
      </c>
      <c r="F799" s="112" t="str">
        <f>IF(ISBLANK(E799),"",_xlfn.XLOOKUP(E799,[1]cannabis_log!C:C,[1]cannabis_log!J:J,"",0,))</f>
        <v>EX24111302G05</v>
      </c>
      <c r="G799" s="112"/>
      <c r="H799" s="112" t="str">
        <f>IF(ISBLANK(E799),"",_xlfn.XLOOKUP(E799,cannabis_log!C:C,cannabis_log!H:H,"",0,1))</f>
        <v>extract_inhaled_labelled</v>
      </c>
      <c r="I799" s="113">
        <f>IF(ISBLANK(E799),"",_xlfn.XLOOKUP(E799,cannabis_log!C:C,cannabis_log!K:K,"NOT FOUND",0,1))</f>
        <v>45623</v>
      </c>
      <c r="J799" s="185">
        <v>-36</v>
      </c>
      <c r="K799" s="186">
        <f t="shared" ref="K799:K808" si="27">IF(N799="net",0,"")</f>
        <v>0</v>
      </c>
      <c r="L799" s="288">
        <f t="shared" si="24"/>
        <v>-18</v>
      </c>
      <c r="M799" s="24"/>
      <c r="N799" s="112" t="str">
        <f>IF(ISBLANK(E799),"",_xlfn.XLOOKUP(E799,[1]cannabis_log!C:C,[1]cannabis_log!T:T,"Not Found",0,))</f>
        <v>net</v>
      </c>
      <c r="O799" s="180">
        <f>IF(N799="net",_xlfn.XLOOKUP(E799,cannabis_log!C:C,cannabis_log!N:N,"NOT FOUND",0,1),IF(N799="gross",0,""))</f>
        <v>0.5</v>
      </c>
    </row>
    <row r="800" spans="1:15">
      <c r="A800" s="181" t="str">
        <f t="shared" si="25"/>
        <v>outbound</v>
      </c>
      <c r="B800" s="182">
        <v>45639.57708333333</v>
      </c>
      <c r="C800" s="183" t="s">
        <v>1929</v>
      </c>
      <c r="D800" s="183" t="s">
        <v>2453</v>
      </c>
      <c r="E800" s="215" t="s">
        <v>2339</v>
      </c>
      <c r="F800" s="112" t="str">
        <f>IF(ISBLANK(E800),"",_xlfn.XLOOKUP(E800,[1]cannabis_log!C:C,[1]cannabis_log!J:J,"",0,))</f>
        <v>EX24101701G05</v>
      </c>
      <c r="G800" s="112"/>
      <c r="H800" s="112" t="str">
        <f>IF(ISBLANK(E800),"",_xlfn.XLOOKUP(E800,cannabis_log!C:C,cannabis_log!H:H,"",0,1))</f>
        <v>extract_inhaled_labelled</v>
      </c>
      <c r="I800" s="113">
        <f>IF(ISBLANK(E800),"",_xlfn.XLOOKUP(E800,cannabis_log!C:C,cannabis_log!K:K,"NOT FOUND",0,1))</f>
        <v>45594</v>
      </c>
      <c r="J800" s="185">
        <v>-3</v>
      </c>
      <c r="K800" s="186">
        <f t="shared" si="27"/>
        <v>0</v>
      </c>
      <c r="L800" s="288">
        <f t="shared" si="24"/>
        <v>-1.5</v>
      </c>
      <c r="M800" s="24"/>
      <c r="N800" s="112" t="str">
        <f>IF(ISBLANK(E800),"",_xlfn.XLOOKUP(E800,[1]cannabis_log!C:C,[1]cannabis_log!T:T,"Not Found",0,))</f>
        <v>net</v>
      </c>
      <c r="O800" s="180">
        <f>IF(N800="net",_xlfn.XLOOKUP(E800,cannabis_log!C:C,cannabis_log!N:N,"NOT FOUND",0,1),IF(N800="gross",0,""))</f>
        <v>0.5</v>
      </c>
    </row>
    <row r="801" spans="1:15">
      <c r="A801" s="181" t="str">
        <f t="shared" si="25"/>
        <v>outbound</v>
      </c>
      <c r="B801" s="182">
        <v>45639.57708333333</v>
      </c>
      <c r="C801" s="183" t="s">
        <v>1929</v>
      </c>
      <c r="D801" s="183" t="s">
        <v>2452</v>
      </c>
      <c r="E801" s="215" t="s">
        <v>2415</v>
      </c>
      <c r="F801" s="112" t="str">
        <f>IF(ISBLANK(E801),"",_xlfn.XLOOKUP(E801,[1]cannabis_log!C:C,[1]cannabis_log!J:J,"",0,))</f>
        <v>EX24101701G05</v>
      </c>
      <c r="G801" s="112"/>
      <c r="H801" s="112" t="str">
        <f>IF(ISBLANK(E801),"",_xlfn.XLOOKUP(E801,cannabis_log!C:C,cannabis_log!H:H,"",0,1))</f>
        <v>extract_inhaled_labelled</v>
      </c>
      <c r="I801" s="113">
        <f>IF(ISBLANK(E801),"",_xlfn.XLOOKUP(E801,cannabis_log!C:C,cannabis_log!K:K,"NOT FOUND",0,1))</f>
        <v>45618</v>
      </c>
      <c r="J801" s="185">
        <v>-33</v>
      </c>
      <c r="K801" s="186">
        <f t="shared" si="27"/>
        <v>0</v>
      </c>
      <c r="L801" s="288">
        <f t="shared" si="24"/>
        <v>-16.5</v>
      </c>
      <c r="M801" s="24"/>
      <c r="N801" s="112" t="str">
        <f>IF(ISBLANK(E801),"",_xlfn.XLOOKUP(E801,[1]cannabis_log!C:C,[1]cannabis_log!T:T,"Not Found",0,))</f>
        <v>net</v>
      </c>
      <c r="O801" s="180">
        <f>IF(N801="net",_xlfn.XLOOKUP(E801,cannabis_log!C:C,cannabis_log!N:N,"NOT FOUND",0,1),IF(N801="gross",0,""))</f>
        <v>0.5</v>
      </c>
    </row>
    <row r="802" spans="1:15">
      <c r="A802" s="181" t="str">
        <f t="shared" si="25"/>
        <v>outbound</v>
      </c>
      <c r="B802" s="182">
        <v>45639.57708333333</v>
      </c>
      <c r="C802" s="183" t="s">
        <v>1929</v>
      </c>
      <c r="D802" s="183" t="s">
        <v>2454</v>
      </c>
      <c r="E802" s="215" t="s">
        <v>2397</v>
      </c>
      <c r="F802" s="112" t="str">
        <f>IF(ISBLANK(E802),"",_xlfn.XLOOKUP(E802,[1]cannabis_log!C:C,[1]cannabis_log!J:J,"",0,))</f>
        <v>EX24082906G05</v>
      </c>
      <c r="G802" s="112"/>
      <c r="H802" s="112" t="str">
        <f>IF(ISBLANK(E802),"",_xlfn.XLOOKUP(E802,cannabis_log!C:C,cannabis_log!H:H,"",0,1))</f>
        <v>extract_inhaled_labelled</v>
      </c>
      <c r="I802" s="113">
        <f>IF(ISBLANK(E802),"",_xlfn.XLOOKUP(E802,cannabis_log!C:C,cannabis_log!K:K,"NOT FOUND",0,1))</f>
        <v>45588</v>
      </c>
      <c r="J802" s="185">
        <v>-48</v>
      </c>
      <c r="K802" s="186">
        <f t="shared" si="27"/>
        <v>0</v>
      </c>
      <c r="L802" s="288">
        <f t="shared" si="24"/>
        <v>-24</v>
      </c>
      <c r="M802" s="24"/>
      <c r="N802" s="112" t="str">
        <f>IF(ISBLANK(E802),"",_xlfn.XLOOKUP(E802,[1]cannabis_log!C:C,[1]cannabis_log!T:T,"Not Found",0,))</f>
        <v>net</v>
      </c>
      <c r="O802" s="180">
        <f>IF(N802="net",_xlfn.XLOOKUP(E802,cannabis_log!C:C,cannabis_log!N:N,"NOT FOUND",0,1),IF(N802="gross",0,""))</f>
        <v>0.5</v>
      </c>
    </row>
    <row r="803" spans="1:15">
      <c r="A803" s="181" t="str">
        <f t="shared" si="25"/>
        <v>outbound</v>
      </c>
      <c r="B803" s="182">
        <v>45639.57708333333</v>
      </c>
      <c r="C803" s="183" t="s">
        <v>1929</v>
      </c>
      <c r="D803" s="183" t="s">
        <v>2455</v>
      </c>
      <c r="E803" s="215" t="s">
        <v>2456</v>
      </c>
      <c r="F803" s="112" t="str">
        <f>IF(ISBLANK(E803),"",_xlfn.XLOOKUP(E803,[1]cannabis_log!C:C,[1]cannabis_log!J:J,"",0,))</f>
        <v>EX24101703G05</v>
      </c>
      <c r="G803" s="112"/>
      <c r="H803" s="112" t="str">
        <f>IF(ISBLANK(E803),"",_xlfn.XLOOKUP(E803,cannabis_log!C:C,cannabis_log!H:H,"",0,1))</f>
        <v>extract_inhaled_labelled</v>
      </c>
      <c r="I803" s="113">
        <f>IF(ISBLANK(E803),"",_xlfn.XLOOKUP(E803,cannabis_log!C:C,cannabis_log!K:K,"NOT FOUND",0,1))</f>
        <v>45603</v>
      </c>
      <c r="J803" s="185">
        <v>-12</v>
      </c>
      <c r="K803" s="186">
        <f t="shared" si="27"/>
        <v>0</v>
      </c>
      <c r="L803" s="288">
        <f t="shared" si="24"/>
        <v>-6</v>
      </c>
      <c r="M803" s="24"/>
      <c r="N803" s="112" t="str">
        <f>IF(ISBLANK(E803),"",_xlfn.XLOOKUP(E803,[1]cannabis_log!C:C,[1]cannabis_log!T:T,"Not Found",0,))</f>
        <v>net</v>
      </c>
      <c r="O803" s="180">
        <f>IF(N803="net",_xlfn.XLOOKUP(E803,cannabis_log!C:C,cannabis_log!N:N,"NOT FOUND",0,1),IF(N803="gross",0,""))</f>
        <v>0.5</v>
      </c>
    </row>
    <row r="804" spans="1:15">
      <c r="A804" s="181" t="str">
        <f t="shared" si="25"/>
        <v>outbound</v>
      </c>
      <c r="B804" s="182">
        <v>45639.57708333333</v>
      </c>
      <c r="C804" s="183" t="s">
        <v>1929</v>
      </c>
      <c r="D804" s="183" t="s">
        <v>2457</v>
      </c>
      <c r="E804" s="215" t="s">
        <v>2443</v>
      </c>
      <c r="F804" s="112" t="str">
        <f>IF(ISBLANK(E804),"",_xlfn.XLOOKUP(E804,[1]cannabis_log!C:C,[1]cannabis_log!J:J,"",0,))</f>
        <v>EX24100801V30</v>
      </c>
      <c r="G804" s="112"/>
      <c r="H804" s="112" t="str">
        <f>IF(ISBLANK(E804),"",_xlfn.XLOOKUP(E804,cannabis_log!C:C,cannabis_log!H:H,"",0,1))</f>
        <v>extract_ingested_labelled</v>
      </c>
      <c r="I804" s="113">
        <f>IF(ISBLANK(E804),"",_xlfn.XLOOKUP(E804,cannabis_log!C:C,cannabis_log!K:K,"NOT FOUND",0,1))</f>
        <v>45590</v>
      </c>
      <c r="J804" s="185">
        <v>-75</v>
      </c>
      <c r="K804" s="186">
        <f t="shared" si="27"/>
        <v>0</v>
      </c>
      <c r="L804" s="288">
        <f t="shared" si="24"/>
        <v>-2047.5</v>
      </c>
      <c r="M804" s="24"/>
      <c r="N804" s="112" t="str">
        <f>IF(ISBLANK(E804),"",_xlfn.XLOOKUP(E804,[1]cannabis_log!C:C,[1]cannabis_log!T:T,"Not Found",0,))</f>
        <v>net</v>
      </c>
      <c r="O804" s="180">
        <f>IF(N804="net",_xlfn.XLOOKUP(E804,cannabis_log!C:C,cannabis_log!N:N,"NOT FOUND",0,1),IF(N804="gross",0,""))</f>
        <v>27.3</v>
      </c>
    </row>
    <row r="805" spans="1:15">
      <c r="A805" s="181" t="str">
        <f t="shared" si="25"/>
        <v>outbound</v>
      </c>
      <c r="B805" s="182">
        <v>45639.620138888888</v>
      </c>
      <c r="C805" s="183" t="s">
        <v>1929</v>
      </c>
      <c r="D805" s="183" t="s">
        <v>2458</v>
      </c>
      <c r="E805" s="215" t="s">
        <v>2340</v>
      </c>
      <c r="F805" s="112" t="str">
        <f>IF(ISBLANK(E805),"",_xlfn.XLOOKUP(E805,[1]cannabis_log!C:C,[1]cannabis_log!J:J,"",0,))</f>
        <v>CPR22102101G5</v>
      </c>
      <c r="G805" s="112"/>
      <c r="H805" s="112" t="str">
        <f>IF(ISBLANK(E805),"",_xlfn.XLOOKUP(E805,cannabis_log!C:C,cannabis_log!H:H,"",0,1))</f>
        <v>preroll_labelled</v>
      </c>
      <c r="I805" s="113">
        <f>IF(ISBLANK(E805),"",_xlfn.XLOOKUP(E805,cannabis_log!C:C,cannabis_log!K:K,"NOT FOUND",0,1))</f>
        <v>45510</v>
      </c>
      <c r="J805" s="185">
        <v>-12</v>
      </c>
      <c r="K805" s="186">
        <f t="shared" si="27"/>
        <v>0</v>
      </c>
      <c r="L805" s="288">
        <f t="shared" si="24"/>
        <v>-12</v>
      </c>
      <c r="M805" s="24"/>
      <c r="N805" s="112" t="str">
        <f>IF(ISBLANK(E805),"",_xlfn.XLOOKUP(E805,[1]cannabis_log!C:C,[1]cannabis_log!T:T,"Not Found",0,))</f>
        <v>net</v>
      </c>
      <c r="O805" s="180">
        <f>IF(N805="net",_xlfn.XLOOKUP(E805,cannabis_log!C:C,cannabis_log!N:N,"NOT FOUND",0,1),IF(N805="gross",0,""))</f>
        <v>1</v>
      </c>
    </row>
    <row r="806" spans="1:15">
      <c r="A806" s="181" t="str">
        <f t="shared" si="25"/>
        <v>outbound</v>
      </c>
      <c r="B806" s="182">
        <v>45639.62777777778</v>
      </c>
      <c r="C806" s="183" t="s">
        <v>1929</v>
      </c>
      <c r="D806" s="183" t="s">
        <v>2458</v>
      </c>
      <c r="E806" s="215" t="s">
        <v>2459</v>
      </c>
      <c r="F806" s="112" t="str">
        <f>IF(ISBLANK(E806),"",_xlfn.XLOOKUP(E806,[1]cannabis_log!C:C,[1]cannabis_log!J:J,"",0,))</f>
        <v>CPR22102001G5</v>
      </c>
      <c r="G806" s="112"/>
      <c r="H806" s="112" t="str">
        <f>IF(ISBLANK(E806),"",_xlfn.XLOOKUP(E806,cannabis_log!C:C,cannabis_log!H:H,"",0,1))</f>
        <v>preroll_labelled</v>
      </c>
      <c r="I806" s="113">
        <f>IF(ISBLANK(E806),"",_xlfn.XLOOKUP(E806,cannabis_log!C:C,cannabis_log!K:K,"NOT FOUND",0,1))</f>
        <v>45014</v>
      </c>
      <c r="J806" s="185">
        <v>-12</v>
      </c>
      <c r="K806" s="186">
        <f t="shared" si="27"/>
        <v>0</v>
      </c>
      <c r="L806" s="288">
        <f t="shared" si="24"/>
        <v>-18</v>
      </c>
      <c r="M806" s="24"/>
      <c r="N806" s="112" t="str">
        <f>IF(ISBLANK(E806),"",_xlfn.XLOOKUP(E806,[1]cannabis_log!C:C,[1]cannabis_log!T:T,"Not Found",0,))</f>
        <v>net</v>
      </c>
      <c r="O806" s="180">
        <f>IF(N806="net",_xlfn.XLOOKUP(E806,cannabis_log!C:C,cannabis_log!N:N,"NOT FOUND",0,1),IF(N806="gross",0,""))</f>
        <v>1.5</v>
      </c>
    </row>
    <row r="807" spans="1:15">
      <c r="A807" s="181" t="str">
        <f t="shared" si="25"/>
        <v>outbound</v>
      </c>
      <c r="B807" s="182">
        <v>45639.62777777778</v>
      </c>
      <c r="C807" s="183" t="s">
        <v>1929</v>
      </c>
      <c r="D807" s="183" t="s">
        <v>2458</v>
      </c>
      <c r="E807" s="215" t="s">
        <v>2460</v>
      </c>
      <c r="F807" s="112" t="str">
        <f>IF(ISBLANK(E807),"",_xlfn.XLOOKUP(E807,[1]cannabis_log!C:C,[1]cannabis_log!J:J,"",0,))</f>
        <v>CPR22102001G1</v>
      </c>
      <c r="G807" s="112"/>
      <c r="H807" s="112" t="str">
        <f>IF(ISBLANK(E807),"",_xlfn.XLOOKUP(E807,cannabis_log!C:C,cannabis_log!H:H,"",0,1))</f>
        <v>preroll_labelled</v>
      </c>
      <c r="I807" s="113">
        <f>IF(ISBLANK(E807),"",_xlfn.XLOOKUP(E807,cannabis_log!C:C,cannabis_log!K:K,"NOT FOUND",0,1))</f>
        <v>44999</v>
      </c>
      <c r="J807" s="185">
        <v>-12</v>
      </c>
      <c r="K807" s="186">
        <f t="shared" si="27"/>
        <v>0</v>
      </c>
      <c r="L807" s="288">
        <f t="shared" si="24"/>
        <v>-12</v>
      </c>
      <c r="M807" s="24"/>
      <c r="N807" s="112" t="str">
        <f>IF(ISBLANK(E807),"",_xlfn.XLOOKUP(E807,[1]cannabis_log!C:C,[1]cannabis_log!T:T,"Not Found",0,))</f>
        <v>net</v>
      </c>
      <c r="O807" s="180">
        <f>IF(N807="net",_xlfn.XLOOKUP(E807,cannabis_log!C:C,cannabis_log!N:N,"NOT FOUND",0,1),IF(N807="gross",0,""))</f>
        <v>1</v>
      </c>
    </row>
    <row r="808" spans="1:15">
      <c r="A808" s="181" t="str">
        <f t="shared" si="25"/>
        <v>outbound</v>
      </c>
      <c r="B808" s="182">
        <v>45639.62777777778</v>
      </c>
      <c r="C808" s="183" t="s">
        <v>1929</v>
      </c>
      <c r="D808" s="183" t="s">
        <v>2458</v>
      </c>
      <c r="E808" s="215" t="s">
        <v>2461</v>
      </c>
      <c r="F808" s="112" t="str">
        <f>IF(ISBLANK(E808),"",_xlfn.XLOOKUP(E808,[1]cannabis_log!C:C,[1]cannabis_log!J:J,"",0,))</f>
        <v>TP21121701</v>
      </c>
      <c r="G808" s="112"/>
      <c r="H808" s="112" t="str">
        <f>IF(ISBLANK(E808),"",_xlfn.XLOOKUP(E808,cannabis_log!C:C,cannabis_log!H:H,"",0,1))</f>
        <v>topical_labelled</v>
      </c>
      <c r="I808" s="113">
        <f>IF(ISBLANK(E808),"",_xlfn.XLOOKUP(E808,cannabis_log!C:C,cannabis_log!K:K,"NOT FOUND",0,1))</f>
        <v>45649</v>
      </c>
      <c r="J808" s="185">
        <v>-12</v>
      </c>
      <c r="K808" s="186">
        <f t="shared" si="27"/>
        <v>0</v>
      </c>
      <c r="L808" s="288">
        <f t="shared" si="24"/>
        <v>-1440</v>
      </c>
      <c r="M808" s="24"/>
      <c r="N808" s="112" t="str">
        <f>IF(ISBLANK(E808),"",_xlfn.XLOOKUP(E808,[1]cannabis_log!C:C,[1]cannabis_log!T:T,"Not Found",0,))</f>
        <v>net</v>
      </c>
      <c r="O808" s="180">
        <f>IF(N808="net",_xlfn.XLOOKUP(E808,cannabis_log!C:C,cannabis_log!N:N,"NOT FOUND",0,1),IF(N808="gross",0,""))</f>
        <v>120</v>
      </c>
    </row>
    <row r="809" spans="1:15">
      <c r="A809" s="181" t="str">
        <f t="shared" si="25"/>
        <v>outbound</v>
      </c>
      <c r="B809" s="182">
        <v>45639.62777777778</v>
      </c>
      <c r="C809" s="183" t="s">
        <v>1929</v>
      </c>
      <c r="D809" s="183" t="s">
        <v>2458</v>
      </c>
      <c r="E809" s="215" t="s">
        <v>1978</v>
      </c>
      <c r="F809" s="112" t="str">
        <f>IF(ISBLANK(E809),"",_xlfn.XLOOKUP(E809,[1]cannabis_log!C:C,[1]cannabis_log!J:J,"",0,))</f>
        <v>2022012401R1</v>
      </c>
      <c r="G809" s="112"/>
      <c r="H809" s="112" t="str">
        <f>IF(ISBLANK(E809),"",_xlfn.XLOOKUP(E809,cannabis_log!C:C,cannabis_log!H:H,"",0,1))</f>
        <v>driedflower_bulk</v>
      </c>
      <c r="I809" s="113">
        <f>IF(ISBLANK(E809),"",_xlfn.XLOOKUP(E809,cannabis_log!C:C,cannabis_log!K:K,"NOT FOUND",0,1))</f>
        <v>44686</v>
      </c>
      <c r="J809" s="185">
        <v>-1</v>
      </c>
      <c r="K809" s="186">
        <v>-934.6</v>
      </c>
      <c r="L809" s="288">
        <f t="shared" si="24"/>
        <v>0</v>
      </c>
      <c r="M809" s="24"/>
      <c r="N809" s="112" t="str">
        <f>IF(ISBLANK(E809),"",_xlfn.XLOOKUP(E809,[1]cannabis_log!C:C,[1]cannabis_log!T:T,"Not Found",0,))</f>
        <v>gross</v>
      </c>
      <c r="O809" s="180">
        <f>IF(N809="net",_xlfn.XLOOKUP(E809,cannabis_log!C:C,cannabis_log!N:N,"NOT FOUND",0,1),IF(N809="gross",0,""))</f>
        <v>0</v>
      </c>
    </row>
    <row r="810" spans="1:15">
      <c r="A810" s="181" t="str">
        <f t="shared" si="25"/>
        <v>outbound</v>
      </c>
      <c r="B810" s="182">
        <v>45639.62777777778</v>
      </c>
      <c r="C810" s="183" t="s">
        <v>1929</v>
      </c>
      <c r="D810" s="183" t="s">
        <v>2458</v>
      </c>
      <c r="E810" s="215" t="s">
        <v>2209</v>
      </c>
      <c r="F810" s="112" t="str">
        <f>IF(ISBLANK(E810),"",_xlfn.XLOOKUP(E810,[1]cannabis_log!C:C,[1]cannabis_log!J:J,"",0,))</f>
        <v>BS23041701G180</v>
      </c>
      <c r="G810" s="112"/>
      <c r="H810" s="112" t="str">
        <f>IF(ISBLANK(E810),"",_xlfn.XLOOKUP(E810,cannabis_log!C:C,cannabis_log!H:H,"",0,1))</f>
        <v>topical_labelled</v>
      </c>
      <c r="I810" s="113">
        <f>IF(ISBLANK(E810),"",_xlfn.XLOOKUP(E810,cannabis_log!C:C,cannabis_log!K:K,"NOT FOUND",0,1))</f>
        <v>45523</v>
      </c>
      <c r="J810" s="185">
        <v>-6</v>
      </c>
      <c r="K810" s="186">
        <f t="shared" ref="K810:K815" si="28">IF(N810="net",0,"")</f>
        <v>0</v>
      </c>
      <c r="L810" s="288">
        <f t="shared" si="24"/>
        <v>-1080</v>
      </c>
      <c r="M810" s="24"/>
      <c r="N810" s="112" t="str">
        <f>IF(ISBLANK(E810),"",_xlfn.XLOOKUP(E810,[1]cannabis_log!C:C,[1]cannabis_log!T:T,"Not Found",0,))</f>
        <v>net</v>
      </c>
      <c r="O810" s="180">
        <f>IF(N810="net",_xlfn.XLOOKUP(E810,cannabis_log!C:C,cannabis_log!N:N,"NOT FOUND",0,1),IF(N810="gross",0,""))</f>
        <v>180</v>
      </c>
    </row>
    <row r="811" spans="1:15">
      <c r="A811" s="181" t="str">
        <f t="shared" si="25"/>
        <v>outbound</v>
      </c>
      <c r="B811" s="182">
        <v>45639.62777777778</v>
      </c>
      <c r="C811" s="183" t="s">
        <v>1929</v>
      </c>
      <c r="D811" s="183" t="s">
        <v>2458</v>
      </c>
      <c r="E811" s="215" t="s">
        <v>2172</v>
      </c>
      <c r="F811" s="112" t="str">
        <f>IF(ISBLANK(E811),"",_xlfn.XLOOKUP(E811,[1]cannabis_log!C:C,[1]cannabis_log!J:J,"",0,))</f>
        <v>PR241102F5P3</v>
      </c>
      <c r="G811" s="112"/>
      <c r="H811" s="112" t="str">
        <f>IF(ISBLANK(E811),"",_xlfn.XLOOKUP(E811,cannabis_log!C:C,cannabis_log!H:H,"",0,1))</f>
        <v>preroll_labelled</v>
      </c>
      <c r="I811" s="113">
        <f>IF(ISBLANK(E811),"",_xlfn.XLOOKUP(E811,cannabis_log!C:C,cannabis_log!K:K,"NOT FOUND",0,1))</f>
        <v>45575</v>
      </c>
      <c r="J811" s="185">
        <v>-24</v>
      </c>
      <c r="K811" s="186">
        <f t="shared" si="28"/>
        <v>0</v>
      </c>
      <c r="L811" s="288">
        <f t="shared" si="24"/>
        <v>-36</v>
      </c>
      <c r="M811" s="24"/>
      <c r="N811" s="112" t="str">
        <f>IF(ISBLANK(E811),"",_xlfn.XLOOKUP(E811,[1]cannabis_log!C:C,[1]cannabis_log!T:T,"Not Found",0,))</f>
        <v>net</v>
      </c>
      <c r="O811" s="180">
        <f>IF(N811="net",_xlfn.XLOOKUP(E811,cannabis_log!C:C,cannabis_log!N:N,"NOT FOUND",0,1),IF(N811="gross",0,""))</f>
        <v>1.5</v>
      </c>
    </row>
    <row r="812" spans="1:15">
      <c r="A812" s="181" t="str">
        <f t="shared" si="25"/>
        <v>outbound</v>
      </c>
      <c r="B812" s="182">
        <v>45639.62777777778</v>
      </c>
      <c r="C812" s="183" t="s">
        <v>1929</v>
      </c>
      <c r="D812" s="183" t="s">
        <v>2458</v>
      </c>
      <c r="E812" s="215" t="s">
        <v>2338</v>
      </c>
      <c r="F812" s="112" t="str">
        <f>IF(ISBLANK(E812),"",_xlfn.XLOOKUP(E812,[1]cannabis_log!C:C,[1]cannabis_log!J:J,"",0,))</f>
        <v>PR241005F5P3</v>
      </c>
      <c r="G812" s="112"/>
      <c r="H812" s="112" t="str">
        <f>IF(ISBLANK(E812),"",_xlfn.XLOOKUP(E812,cannabis_log!C:C,cannabis_log!H:H,"",0,1))</f>
        <v>preroll_labelled</v>
      </c>
      <c r="I812" s="113">
        <f>IF(ISBLANK(E812),"",_xlfn.XLOOKUP(E812,cannabis_log!C:C,cannabis_log!K:K,"NOT FOUND",0,1))</f>
        <v>45575</v>
      </c>
      <c r="J812" s="185">
        <v>-48</v>
      </c>
      <c r="K812" s="186">
        <f t="shared" si="28"/>
        <v>0</v>
      </c>
      <c r="L812" s="288">
        <f t="shared" si="24"/>
        <v>-72</v>
      </c>
      <c r="M812" s="24"/>
      <c r="N812" s="112" t="str">
        <f>IF(ISBLANK(E812),"",_xlfn.XLOOKUP(E812,[1]cannabis_log!C:C,[1]cannabis_log!T:T,"Not Found",0,))</f>
        <v>net</v>
      </c>
      <c r="O812" s="180">
        <f>IF(N812="net",_xlfn.XLOOKUP(E812,cannabis_log!C:C,cannabis_log!N:N,"NOT FOUND",0,1),IF(N812="gross",0,""))</f>
        <v>1.5</v>
      </c>
    </row>
    <row r="813" spans="1:15">
      <c r="A813" s="181" t="str">
        <f t="shared" si="25"/>
        <v>outbound</v>
      </c>
      <c r="B813" s="182">
        <v>45639.62777777778</v>
      </c>
      <c r="C813" s="183" t="s">
        <v>1929</v>
      </c>
      <c r="D813" s="183" t="s">
        <v>2458</v>
      </c>
      <c r="E813" s="215" t="s">
        <v>2295</v>
      </c>
      <c r="F813" s="112" t="str">
        <f>IF(ISBLANK(E813),"",_xlfn.XLOOKUP(E813,[1]cannabis_log!C:C,[1]cannabis_log!J:J,"",0,))</f>
        <v>PR241101F5P3</v>
      </c>
      <c r="G813" s="112"/>
      <c r="H813" s="112" t="str">
        <f>IF(ISBLANK(E813),"",_xlfn.XLOOKUP(E813,cannabis_log!C:C,cannabis_log!H:H,"",0,1))</f>
        <v>preroll_labelled</v>
      </c>
      <c r="I813" s="113">
        <f>IF(ISBLANK(E813),"",_xlfn.XLOOKUP(E813,cannabis_log!C:C,cannabis_log!K:K,"NOT FOUND",0,1))</f>
        <v>45581</v>
      </c>
      <c r="J813" s="185">
        <v>-24</v>
      </c>
      <c r="K813" s="186">
        <f t="shared" si="28"/>
        <v>0</v>
      </c>
      <c r="L813" s="288">
        <f t="shared" si="24"/>
        <v>-36</v>
      </c>
      <c r="M813" s="24"/>
      <c r="N813" s="112" t="str">
        <f>IF(ISBLANK(E813),"",_xlfn.XLOOKUP(E813,[1]cannabis_log!C:C,[1]cannabis_log!T:T,"Not Found",0,))</f>
        <v>net</v>
      </c>
      <c r="O813" s="180">
        <f>IF(N813="net",_xlfn.XLOOKUP(E813,cannabis_log!C:C,cannabis_log!N:N,"NOT FOUND",0,1),IF(N813="gross",0,""))</f>
        <v>1.5</v>
      </c>
    </row>
    <row r="814" spans="1:15">
      <c r="A814" s="181" t="str">
        <f t="shared" si="25"/>
        <v>outbound</v>
      </c>
      <c r="B814" s="182">
        <v>45639.62777777778</v>
      </c>
      <c r="C814" s="183" t="s">
        <v>1929</v>
      </c>
      <c r="D814" s="183" t="s">
        <v>2462</v>
      </c>
      <c r="E814" s="215" t="s">
        <v>2226</v>
      </c>
      <c r="F814" s="112" t="str">
        <f>IF(ISBLANK(E814),"",_xlfn.XLOOKUP(E814,[1]cannabis_log!C:C,[1]cannabis_log!J:J,"",0,))</f>
        <v>PR241003F5P3</v>
      </c>
      <c r="G814" s="112"/>
      <c r="H814" s="112" t="str">
        <f>IF(ISBLANK(E814),"",_xlfn.XLOOKUP(E814,cannabis_log!C:C,cannabis_log!H:H,"",0,1))</f>
        <v>preroll_labelled</v>
      </c>
      <c r="I814" s="113">
        <f>IF(ISBLANK(E814),"",_xlfn.XLOOKUP(E814,cannabis_log!C:C,cannabis_log!K:K,"NOT FOUND",0,1))</f>
        <v>45575</v>
      </c>
      <c r="J814" s="185">
        <v>-24</v>
      </c>
      <c r="K814" s="186">
        <f t="shared" si="28"/>
        <v>0</v>
      </c>
      <c r="L814" s="288">
        <f t="shared" si="24"/>
        <v>-36</v>
      </c>
      <c r="M814" s="24"/>
      <c r="N814" s="112" t="str">
        <f>IF(ISBLANK(E814),"",_xlfn.XLOOKUP(E814,[1]cannabis_log!C:C,[1]cannabis_log!T:T,"Not Found",0,))</f>
        <v>net</v>
      </c>
      <c r="O814" s="180">
        <f>IF(N814="net",_xlfn.XLOOKUP(E814,cannabis_log!C:C,cannabis_log!N:N,"NOT FOUND",0,1),IF(N814="gross",0,""))</f>
        <v>1.5</v>
      </c>
    </row>
    <row r="815" spans="1:15">
      <c r="A815" s="181" t="str">
        <f t="shared" si="25"/>
        <v>outbound</v>
      </c>
      <c r="B815" s="182">
        <v>45639.62777777778</v>
      </c>
      <c r="C815" s="183" t="s">
        <v>1929</v>
      </c>
      <c r="D815" s="183" t="s">
        <v>2458</v>
      </c>
      <c r="E815" s="215" t="s">
        <v>1990</v>
      </c>
      <c r="F815" s="112" t="str">
        <f>IF(ISBLANK(E815),"",_xlfn.XLOOKUP(E815,[1]cannabis_log!C:C,[1]cannabis_log!J:J,"",0,))</f>
        <v>EX23100401V30</v>
      </c>
      <c r="G815" s="112"/>
      <c r="H815" s="112" t="str">
        <f>IF(ISBLANK(E815),"",_xlfn.XLOOKUP(E815,cannabis_log!C:C,cannabis_log!H:H,"",0,1))</f>
        <v>extract_ingested_labelled</v>
      </c>
      <c r="I815" s="113">
        <f>IF(ISBLANK(E815),"",_xlfn.XLOOKUP(E815,cannabis_log!C:C,cannabis_log!K:K,"NOT FOUND",0,1))</f>
        <v>45488</v>
      </c>
      <c r="J815" s="185">
        <v>-36</v>
      </c>
      <c r="K815" s="186">
        <f t="shared" si="28"/>
        <v>0</v>
      </c>
      <c r="L815" s="288">
        <f t="shared" si="24"/>
        <v>-993.6</v>
      </c>
      <c r="M815" s="24"/>
      <c r="N815" s="112" t="str">
        <f>IF(ISBLANK(E815),"",_xlfn.XLOOKUP(E815,[1]cannabis_log!C:C,[1]cannabis_log!T:T,"Not Found",0,))</f>
        <v>net</v>
      </c>
      <c r="O815" s="180">
        <f>IF(N815="net",_xlfn.XLOOKUP(E815,cannabis_log!C:C,cannabis_log!N:N,"NOT FOUND",0,1),IF(N815="gross",0,""))</f>
        <v>27.6</v>
      </c>
    </row>
    <row r="816" spans="1:15">
      <c r="A816" s="181" t="str">
        <f t="shared" si="25"/>
        <v>outbound</v>
      </c>
      <c r="B816" s="182">
        <v>45642.451388888891</v>
      </c>
      <c r="C816" s="183" t="s">
        <v>1921</v>
      </c>
      <c r="D816" s="183"/>
      <c r="E816" s="215" t="s">
        <v>2463</v>
      </c>
      <c r="F816" s="112" t="str">
        <f>IF(ISBLANK(E816),"",_xlfn.XLOOKUP(E816,[1]cannabis_log!C:C,[1]cannabis_log!J:J,"",0,))</f>
        <v>EX24111301</v>
      </c>
      <c r="G816" s="112"/>
      <c r="H816" s="112" t="str">
        <f>IF(ISBLANK(E816),"",_xlfn.XLOOKUP(E816,cannabis_log!C:C,cannabis_log!H:H,"",0,1))</f>
        <v>extract_inhaled_bulk</v>
      </c>
      <c r="I816" s="113" t="str">
        <f>IF(ISBLANK(E816),"",_xlfn.XLOOKUP(E816,cannabis_log!C:C,cannabis_log!K:K,"NOT FOUND",0,1))</f>
        <v>NA</v>
      </c>
      <c r="J816" s="185">
        <v>-1</v>
      </c>
      <c r="K816" s="186">
        <v>-1034.8</v>
      </c>
      <c r="L816" s="288">
        <f t="shared" si="24"/>
        <v>0</v>
      </c>
      <c r="M816" s="24"/>
      <c r="N816" s="112" t="str">
        <f>IF(ISBLANK(E816),"",_xlfn.XLOOKUP(E816,[1]cannabis_log!C:C,[1]cannabis_log!T:T,"Not Found",0,))</f>
        <v>gross</v>
      </c>
      <c r="O816" s="180">
        <f>IF(N816="net",_xlfn.XLOOKUP(E816,cannabis_log!C:C,cannabis_log!N:N,"NOT FOUND",0,1),IF(N816="gross",0,""))</f>
        <v>0</v>
      </c>
    </row>
    <row r="817" spans="1:15">
      <c r="A817" s="181" t="str">
        <f t="shared" si="25"/>
        <v>inbound</v>
      </c>
      <c r="B817" s="182">
        <v>45642.605555555558</v>
      </c>
      <c r="C817" s="183" t="s">
        <v>1927</v>
      </c>
      <c r="D817" s="183" t="s">
        <v>2449</v>
      </c>
      <c r="E817" s="215" t="s">
        <v>2448</v>
      </c>
      <c r="F817" s="112" t="str">
        <f>IF(ISBLANK(E817),"",_xlfn.XLOOKUP(E817,[1]cannabis_log!C:C,[1]cannabis_log!J:J,"",0,))</f>
        <v>EX24111801V50</v>
      </c>
      <c r="G817" s="112"/>
      <c r="H817" s="112" t="str">
        <f>IF(ISBLANK(E817),"",_xlfn.XLOOKUP(E817,cannabis_log!C:C,cannabis_log!H:H,"",0,1))</f>
        <v>extract_ingested_cased_ON</v>
      </c>
      <c r="I817" s="113">
        <f>IF(ISBLANK(E817),"",_xlfn.XLOOKUP(E817,cannabis_log!C:C,cannabis_log!K:K,"NOT FOUND",0,1))</f>
        <v>45624</v>
      </c>
      <c r="J817" s="185">
        <v>30</v>
      </c>
      <c r="K817" s="186">
        <f>IF(N817="net",0,"")</f>
        <v>0</v>
      </c>
      <c r="L817" s="288">
        <f t="shared" si="24"/>
        <v>18000</v>
      </c>
      <c r="M817" s="24"/>
      <c r="N817" s="112" t="str">
        <f>IF(ISBLANK(E817),"",_xlfn.XLOOKUP(E817,[1]cannabis_log!C:C,[1]cannabis_log!T:T,"Not Found",0,))</f>
        <v>net</v>
      </c>
      <c r="O817" s="180">
        <f>IF(N817="net",_xlfn.XLOOKUP(E817,cannabis_log!C:C,cannabis_log!N:N,"NOT FOUND",0,1),IF(N817="gross",0,""))</f>
        <v>600</v>
      </c>
    </row>
    <row r="818" spans="1:15">
      <c r="A818" s="181" t="str">
        <f t="shared" si="25"/>
        <v>inbound</v>
      </c>
      <c r="B818" s="182">
        <v>45642.606249999997</v>
      </c>
      <c r="C818" s="183" t="s">
        <v>1927</v>
      </c>
      <c r="D818" s="183"/>
      <c r="E818" s="215" t="s">
        <v>2446</v>
      </c>
      <c r="F818" s="112" t="str">
        <f>IF(ISBLANK(E818),"",_xlfn.XLOOKUP(E818,[1]cannabis_log!C:C,[1]cannabis_log!J:J,"",0,))</f>
        <v>EX24111801V50</v>
      </c>
      <c r="G818" s="112"/>
      <c r="H818" s="112" t="str">
        <f>IF(ISBLANK(E818),"",_xlfn.XLOOKUP(E818,cannabis_log!C:C,cannabis_log!H:H,"",0,1))</f>
        <v>extract_ingested_labelled</v>
      </c>
      <c r="I818" s="113">
        <f>IF(ISBLANK(E818),"",_xlfn.XLOOKUP(E818,cannabis_log!C:C,cannabis_log!K:K,"NOT FOUND",0,1))</f>
        <v>45624</v>
      </c>
      <c r="J818" s="185">
        <v>77</v>
      </c>
      <c r="K818" s="186">
        <f>IF(N818="net",0,"")</f>
        <v>0</v>
      </c>
      <c r="L818" s="288">
        <f t="shared" ref="L818:L881" si="29">IFERROR(J818*O818,"")</f>
        <v>3850</v>
      </c>
      <c r="M818" s="24"/>
      <c r="N818" s="112" t="str">
        <f>IF(ISBLANK(E818),"",_xlfn.XLOOKUP(E818,[1]cannabis_log!C:C,[1]cannabis_log!T:T,"Not Found",0,))</f>
        <v>net</v>
      </c>
      <c r="O818" s="180">
        <f>IF(N818="net",_xlfn.XLOOKUP(E818,cannabis_log!C:C,cannabis_log!N:N,"NOT FOUND",0,1),IF(N818="gross",0,""))</f>
        <v>50</v>
      </c>
    </row>
    <row r="819" spans="1:15">
      <c r="A819" s="181" t="str">
        <f t="shared" si="25"/>
        <v>inbound</v>
      </c>
      <c r="B819" s="182">
        <v>45642.612500000003</v>
      </c>
      <c r="C819" s="183" t="s">
        <v>1927</v>
      </c>
      <c r="D819" s="183"/>
      <c r="E819" s="215" t="s">
        <v>2463</v>
      </c>
      <c r="F819" s="112" t="str">
        <f>IF(ISBLANK(E819),"",_xlfn.XLOOKUP(E819,[1]cannabis_log!C:C,[1]cannabis_log!J:J,"",0,))</f>
        <v>EX24111301</v>
      </c>
      <c r="G819" s="112"/>
      <c r="H819" s="112" t="str">
        <f>IF(ISBLANK(E819),"",_xlfn.XLOOKUP(E819,cannabis_log!C:C,cannabis_log!H:H,"",0,1))</f>
        <v>extract_inhaled_bulk</v>
      </c>
      <c r="I819" s="113" t="str">
        <f>IF(ISBLANK(E819),"",_xlfn.XLOOKUP(E819,cannabis_log!C:C,cannabis_log!K:K,"NOT FOUND",0,1))</f>
        <v>NA</v>
      </c>
      <c r="J819" s="185">
        <v>1</v>
      </c>
      <c r="K819" s="186">
        <v>734.2</v>
      </c>
      <c r="L819" s="288">
        <f t="shared" si="29"/>
        <v>0</v>
      </c>
      <c r="M819" s="24"/>
      <c r="N819" s="112" t="str">
        <f>IF(ISBLANK(E819),"",_xlfn.XLOOKUP(E819,[1]cannabis_log!C:C,[1]cannabis_log!T:T,"Not Found",0,))</f>
        <v>gross</v>
      </c>
      <c r="O819" s="180">
        <f>IF(N819="net",_xlfn.XLOOKUP(E819,cannabis_log!C:C,cannabis_log!N:N,"NOT FOUND",0,1),IF(N819="gross",0,""))</f>
        <v>0</v>
      </c>
    </row>
    <row r="820" spans="1:15">
      <c r="A820" s="181" t="str">
        <f t="shared" si="25"/>
        <v>inbound</v>
      </c>
      <c r="B820" s="182">
        <v>45642.612500000003</v>
      </c>
      <c r="C820" s="183" t="s">
        <v>1927</v>
      </c>
      <c r="D820" s="183"/>
      <c r="E820" s="215" t="s">
        <v>2418</v>
      </c>
      <c r="F820" s="112" t="str">
        <f>IF(ISBLANK(E820),"",_xlfn.XLOOKUP(E820,[1]cannabis_log!C:C,[1]cannabis_log!J:J,"",0,))</f>
        <v>PR241102F5</v>
      </c>
      <c r="G820" s="112"/>
      <c r="H820" s="112" t="str">
        <f>IF(ISBLANK(E820),"",_xlfn.XLOOKUP(E820,cannabis_log!C:C,cannabis_log!H:H,"",0,1))</f>
        <v>preroll_bulk</v>
      </c>
      <c r="I820" s="113" t="str">
        <f>IF(ISBLANK(E820),"",_xlfn.XLOOKUP(E820,cannabis_log!C:C,cannabis_log!K:K,"NOT FOUND",0,1))</f>
        <v>NA</v>
      </c>
      <c r="J820" s="185">
        <v>55</v>
      </c>
      <c r="K820" s="186">
        <f t="shared" ref="K820:K826" si="30">IF(N820="net",0,"")</f>
        <v>0</v>
      </c>
      <c r="L820" s="288">
        <f t="shared" si="29"/>
        <v>27.5</v>
      </c>
      <c r="M820" s="24"/>
      <c r="N820" s="112" t="str">
        <f>IF(ISBLANK(E820),"",_xlfn.XLOOKUP(E820,[1]cannabis_log!C:C,[1]cannabis_log!T:T,"Not Found",0,))</f>
        <v>net</v>
      </c>
      <c r="O820" s="180">
        <f>IF(N820="net",_xlfn.XLOOKUP(E820,cannabis_log!C:C,cannabis_log!N:N,"NOT FOUND",0,1),IF(N820="gross",0,""))</f>
        <v>0.5</v>
      </c>
    </row>
    <row r="821" spans="1:15">
      <c r="A821" s="181" t="str">
        <f t="shared" si="25"/>
        <v>inbound</v>
      </c>
      <c r="B821" s="182">
        <v>45642.612500000003</v>
      </c>
      <c r="C821" s="183" t="s">
        <v>1927</v>
      </c>
      <c r="D821" s="183"/>
      <c r="E821" s="215" t="s">
        <v>2420</v>
      </c>
      <c r="F821" s="112" t="str">
        <f>IF(ISBLANK(E821),"",_xlfn.XLOOKUP(E821,[1]cannabis_log!C:C,[1]cannabis_log!J:J,"",0,))</f>
        <v>PR241102F5</v>
      </c>
      <c r="G821" s="112"/>
      <c r="H821" s="112" t="str">
        <f>IF(ISBLANK(E821),"",_xlfn.XLOOKUP(E821,cannabis_log!C:C,cannabis_log!H:H,"",0,1))</f>
        <v>preroll_bulk</v>
      </c>
      <c r="I821" s="113" t="str">
        <f>IF(ISBLANK(E821),"",_xlfn.XLOOKUP(E821,cannabis_log!C:C,cannabis_log!K:K,"NOT FOUND",0,1))</f>
        <v>NA</v>
      </c>
      <c r="J821" s="185">
        <v>46</v>
      </c>
      <c r="K821" s="186">
        <f t="shared" si="30"/>
        <v>0</v>
      </c>
      <c r="L821" s="288">
        <f t="shared" si="29"/>
        <v>23</v>
      </c>
      <c r="M821" s="24"/>
      <c r="N821" s="112" t="str">
        <f>IF(ISBLANK(E821),"",_xlfn.XLOOKUP(E821,[1]cannabis_log!C:C,[1]cannabis_log!T:T,"Not Found",0,))</f>
        <v>net</v>
      </c>
      <c r="O821" s="180">
        <f>IF(N821="net",_xlfn.XLOOKUP(E821,cannabis_log!C:C,cannabis_log!N:N,"NOT FOUND",0,1),IF(N821="gross",0,""))</f>
        <v>0.5</v>
      </c>
    </row>
    <row r="822" spans="1:15">
      <c r="A822" s="181" t="str">
        <f t="shared" si="25"/>
        <v>inbound</v>
      </c>
      <c r="B822" s="182">
        <v>45642.612500000003</v>
      </c>
      <c r="C822" s="183" t="s">
        <v>1927</v>
      </c>
      <c r="D822" s="183"/>
      <c r="E822" s="215" t="s">
        <v>2355</v>
      </c>
      <c r="F822" s="112" t="str">
        <f>IF(ISBLANK(E822),"",_xlfn.XLOOKUP(E822,[1]cannabis_log!C:C,[1]cannabis_log!J:J,"",0,))</f>
        <v>PR241105F5</v>
      </c>
      <c r="G822" s="112"/>
      <c r="H822" s="112" t="str">
        <f>IF(ISBLANK(E822),"",_xlfn.XLOOKUP(E822,cannabis_log!C:C,cannabis_log!H:H,"",0,1))</f>
        <v>preroll_bulk</v>
      </c>
      <c r="I822" s="113" t="str">
        <f>IF(ISBLANK(E822),"",_xlfn.XLOOKUP(E822,cannabis_log!C:C,cannabis_log!K:K,"NOT FOUND",0,1))</f>
        <v>NA</v>
      </c>
      <c r="J822" s="185">
        <v>105</v>
      </c>
      <c r="K822" s="186">
        <f t="shared" si="30"/>
        <v>0</v>
      </c>
      <c r="L822" s="288">
        <f t="shared" si="29"/>
        <v>52.5</v>
      </c>
      <c r="M822" s="24"/>
      <c r="N822" s="112" t="str">
        <f>IF(ISBLANK(E822),"",_xlfn.XLOOKUP(E822,[1]cannabis_log!C:C,[1]cannabis_log!T:T,"Not Found",0,))</f>
        <v>net</v>
      </c>
      <c r="O822" s="180">
        <f>IF(N822="net",_xlfn.XLOOKUP(E822,cannabis_log!C:C,cannabis_log!N:N,"NOT FOUND",0,1),IF(N822="gross",0,""))</f>
        <v>0.5</v>
      </c>
    </row>
    <row r="823" spans="1:15">
      <c r="A823" s="181" t="str">
        <f t="shared" si="25"/>
        <v>inbound</v>
      </c>
      <c r="B823" s="182">
        <v>45642.612500000003</v>
      </c>
      <c r="C823" s="183" t="s">
        <v>1927</v>
      </c>
      <c r="D823" s="183"/>
      <c r="E823" s="215" t="s">
        <v>2421</v>
      </c>
      <c r="F823" s="112" t="str">
        <f>IF(ISBLANK(E823),"",_xlfn.XLOOKUP(E823,[1]cannabis_log!C:C,[1]cannabis_log!J:J,"",0,))</f>
        <v>PR241105F5</v>
      </c>
      <c r="G823" s="112"/>
      <c r="H823" s="112" t="str">
        <f>IF(ISBLANK(E823),"",_xlfn.XLOOKUP(E823,cannabis_log!C:C,cannabis_log!H:H,"",0,1))</f>
        <v>preroll_bulk</v>
      </c>
      <c r="I823" s="113" t="str">
        <f>IF(ISBLANK(E823),"",_xlfn.XLOOKUP(E823,cannabis_log!C:C,cannabis_log!K:K,"NOT FOUND",0,1))</f>
        <v>NA</v>
      </c>
      <c r="J823" s="185">
        <v>48</v>
      </c>
      <c r="K823" s="186">
        <f t="shared" si="30"/>
        <v>0</v>
      </c>
      <c r="L823" s="288">
        <f t="shared" si="29"/>
        <v>24</v>
      </c>
      <c r="M823" s="24"/>
      <c r="N823" s="112" t="str">
        <f>IF(ISBLANK(E823),"",_xlfn.XLOOKUP(E823,[1]cannabis_log!C:C,[1]cannabis_log!T:T,"Not Found",0,))</f>
        <v>net</v>
      </c>
      <c r="O823" s="180">
        <f>IF(N823="net",_xlfn.XLOOKUP(E823,cannabis_log!C:C,cannabis_log!N:N,"NOT FOUND",0,1),IF(N823="gross",0,""))</f>
        <v>0.5</v>
      </c>
    </row>
    <row r="824" spans="1:15">
      <c r="A824" s="181" t="str">
        <f t="shared" si="25"/>
        <v>inbound</v>
      </c>
      <c r="B824" s="182">
        <v>45642.631249999999</v>
      </c>
      <c r="C824" s="183" t="s">
        <v>1927</v>
      </c>
      <c r="D824" s="183"/>
      <c r="E824" s="215" t="s">
        <v>2464</v>
      </c>
      <c r="F824" s="112" t="str">
        <f>IF(ISBLANK(E824),"",_xlfn.XLOOKUP(E824,[1]cannabis_log!C:C,[1]cannabis_log!J:J,"",0,))</f>
        <v>2024111801G7</v>
      </c>
      <c r="G824" s="112"/>
      <c r="H824" s="112" t="str">
        <f>IF(ISBLANK(E824),"",_xlfn.XLOOKUP(E824,cannabis_log!C:C,cannabis_log!H:H,"",0,1))</f>
        <v>driedflower_labelled</v>
      </c>
      <c r="I824" s="113">
        <f>IF(ISBLANK(E824),"",_xlfn.XLOOKUP(E824,cannabis_log!C:C,cannabis_log!K:K,"NOT FOUND",0,1))</f>
        <v>45631</v>
      </c>
      <c r="J824" s="185">
        <v>114</v>
      </c>
      <c r="K824" s="186">
        <f t="shared" si="30"/>
        <v>0</v>
      </c>
      <c r="L824" s="288">
        <f t="shared" si="29"/>
        <v>798</v>
      </c>
      <c r="M824" s="24"/>
      <c r="N824" s="112" t="str">
        <f>IF(ISBLANK(E824),"",_xlfn.XLOOKUP(E824,[1]cannabis_log!C:C,[1]cannabis_log!T:T,"Not Found",0,))</f>
        <v>net</v>
      </c>
      <c r="O824" s="180">
        <f>IF(N824="net",_xlfn.XLOOKUP(E824,cannabis_log!C:C,cannabis_log!N:N,"NOT FOUND",0,1),IF(N824="gross",0,""))</f>
        <v>7</v>
      </c>
    </row>
    <row r="825" spans="1:15">
      <c r="A825" s="181" t="str">
        <f t="shared" si="25"/>
        <v>inbound</v>
      </c>
      <c r="B825" s="182">
        <v>45642.703472222223</v>
      </c>
      <c r="C825" s="183" t="s">
        <v>1927</v>
      </c>
      <c r="D825" s="183"/>
      <c r="E825" s="215" t="s">
        <v>2443</v>
      </c>
      <c r="F825" s="112" t="str">
        <f>IF(ISBLANK(E825),"",_xlfn.XLOOKUP(E825,[1]cannabis_log!C:C,[1]cannabis_log!J:J,"",0,))</f>
        <v>EX24100801V30</v>
      </c>
      <c r="G825" s="112"/>
      <c r="H825" s="112" t="str">
        <f>IF(ISBLANK(E825),"",_xlfn.XLOOKUP(E825,cannabis_log!C:C,cannabis_log!H:H,"",0,1))</f>
        <v>extract_ingested_labelled</v>
      </c>
      <c r="I825" s="113">
        <f>IF(ISBLANK(E825),"",_xlfn.XLOOKUP(E825,cannabis_log!C:C,cannabis_log!K:K,"NOT FOUND",0,1))</f>
        <v>45590</v>
      </c>
      <c r="J825" s="185">
        <v>27</v>
      </c>
      <c r="K825" s="186">
        <f t="shared" si="30"/>
        <v>0</v>
      </c>
      <c r="L825" s="288">
        <f t="shared" si="29"/>
        <v>737.1</v>
      </c>
      <c r="M825" s="24"/>
      <c r="N825" s="112" t="str">
        <f>IF(ISBLANK(E825),"",_xlfn.XLOOKUP(E825,[1]cannabis_log!C:C,[1]cannabis_log!T:T,"Not Found",0,))</f>
        <v>net</v>
      </c>
      <c r="O825" s="180">
        <f>IF(N825="net",_xlfn.XLOOKUP(E825,cannabis_log!C:C,cannabis_log!N:N,"NOT FOUND",0,1),IF(N825="gross",0,""))</f>
        <v>27.3</v>
      </c>
    </row>
    <row r="826" spans="1:15">
      <c r="A826" s="181" t="str">
        <f t="shared" si="25"/>
        <v>outbound</v>
      </c>
      <c r="B826" s="182">
        <v>45642.710416666669</v>
      </c>
      <c r="C826" s="183" t="s">
        <v>1921</v>
      </c>
      <c r="D826" s="183"/>
      <c r="E826" s="215" t="s">
        <v>2465</v>
      </c>
      <c r="F826" s="112" t="str">
        <f>IF(ISBLANK(E826),"",_xlfn.XLOOKUP(E826,[1]cannabis_log!C:C,[1]cannabis_log!J:J,"",0,))</f>
        <v>PR2301F35</v>
      </c>
      <c r="G826" s="112"/>
      <c r="H826" s="112" t="str">
        <f>IF(ISBLANK(E826),"",_xlfn.XLOOKUP(E826,cannabis_log!C:C,cannabis_log!H:H,"",0,1))</f>
        <v>preroll_bulk</v>
      </c>
      <c r="I826" s="113" t="str">
        <f>IF(ISBLANK(E826),"",_xlfn.XLOOKUP(E826,cannabis_log!C:C,cannabis_log!K:K,"NOT FOUND",0,1))</f>
        <v>NA</v>
      </c>
      <c r="J826" s="185">
        <v>-45</v>
      </c>
      <c r="K826" s="186">
        <f t="shared" si="30"/>
        <v>0</v>
      </c>
      <c r="L826" s="288">
        <f t="shared" si="29"/>
        <v>-15.749999999999998</v>
      </c>
      <c r="M826" s="24"/>
      <c r="N826" s="112" t="str">
        <f>IF(ISBLANK(E826),"",_xlfn.XLOOKUP(E826,[1]cannabis_log!C:C,[1]cannabis_log!T:T,"Not Found",0,))</f>
        <v>net</v>
      </c>
      <c r="O826" s="180">
        <f>IF(N826="net",_xlfn.XLOOKUP(E826,cannabis_log!C:C,cannabis_log!N:N,"NOT FOUND",0,1),IF(N826="gross",0,""))</f>
        <v>0.35</v>
      </c>
    </row>
    <row r="827" spans="1:15">
      <c r="A827" s="181" t="str">
        <f t="shared" si="25"/>
        <v>outbound</v>
      </c>
      <c r="B827" s="182">
        <v>45642.710416666669</v>
      </c>
      <c r="C827" s="183" t="s">
        <v>1921</v>
      </c>
      <c r="D827" s="183"/>
      <c r="E827" s="215" t="s">
        <v>2466</v>
      </c>
      <c r="F827" s="112" t="str">
        <f>IF(ISBLANK(E827),"",_xlfn.XLOOKUP(E827,[1]cannabis_log!C:C,[1]cannabis_log!J:J,"",0,))</f>
        <v>PR2416</v>
      </c>
      <c r="G827" s="112"/>
      <c r="H827" s="112" t="str">
        <f>IF(ISBLANK(E827),"",_xlfn.XLOOKUP(E827,cannabis_log!C:C,cannabis_log!H:H,"",0,1))</f>
        <v>driedflower_milled_bulk</v>
      </c>
      <c r="I827" s="113" t="str">
        <f>IF(ISBLANK(E827),"",_xlfn.XLOOKUP(E827,cannabis_log!C:C,cannabis_log!K:K,"NOT FOUND",0,1))</f>
        <v>NA</v>
      </c>
      <c r="J827" s="185">
        <v>-1</v>
      </c>
      <c r="K827" s="186">
        <v>-5070</v>
      </c>
      <c r="L827" s="288">
        <f t="shared" si="29"/>
        <v>0</v>
      </c>
      <c r="M827" s="24"/>
      <c r="N827" s="112" t="str">
        <f>IF(ISBLANK(E827),"",_xlfn.XLOOKUP(E827,[1]cannabis_log!C:C,[1]cannabis_log!T:T,"Not Found",0,))</f>
        <v>gross</v>
      </c>
      <c r="O827" s="180">
        <f>IF(N827="net",_xlfn.XLOOKUP(E827,cannabis_log!C:C,cannabis_log!N:N,"NOT FOUND",0,1),IF(N827="gross",0,""))</f>
        <v>0</v>
      </c>
    </row>
    <row r="828" spans="1:15">
      <c r="A828" s="181" t="str">
        <f t="shared" si="25"/>
        <v>outbound</v>
      </c>
      <c r="B828" s="182">
        <v>45642.710416666669</v>
      </c>
      <c r="C828" s="183" t="s">
        <v>1921</v>
      </c>
      <c r="D828" s="183"/>
      <c r="E828" s="215" t="s">
        <v>2467</v>
      </c>
      <c r="F828" s="112" t="str">
        <f>IF(ISBLANK(E828),"",_xlfn.XLOOKUP(E828,[1]cannabis_log!C:C,[1]cannabis_log!J:J,"",0,))</f>
        <v>PR2301</v>
      </c>
      <c r="G828" s="112"/>
      <c r="H828" s="112" t="str">
        <f>IF(ISBLANK(E828),"",_xlfn.XLOOKUP(E828,cannabis_log!C:C,cannabis_log!H:H,"",0,1))</f>
        <v>driedflower_milled_bulk</v>
      </c>
      <c r="I828" s="113">
        <f>IF(ISBLANK(E828),"",_xlfn.XLOOKUP(E828,cannabis_log!C:C,cannabis_log!K:K,"NOT FOUND",0,1))</f>
        <v>44206</v>
      </c>
      <c r="J828" s="185">
        <v>-1</v>
      </c>
      <c r="K828" s="186">
        <v>-5125</v>
      </c>
      <c r="L828" s="288">
        <f t="shared" si="29"/>
        <v>0</v>
      </c>
      <c r="M828" s="24"/>
      <c r="N828" s="112" t="str">
        <f>IF(ISBLANK(E828),"",_xlfn.XLOOKUP(E828,[1]cannabis_log!C:C,[1]cannabis_log!T:T,"Not Found",0,))</f>
        <v>gross</v>
      </c>
      <c r="O828" s="180">
        <f>IF(N828="net",_xlfn.XLOOKUP(E828,cannabis_log!C:C,cannabis_log!N:N,"NOT FOUND",0,1),IF(N828="gross",0,""))</f>
        <v>0</v>
      </c>
    </row>
    <row r="829" spans="1:15">
      <c r="A829" s="181" t="str">
        <f t="shared" si="25"/>
        <v>outbound</v>
      </c>
      <c r="B829" s="182">
        <v>45643.55972222222</v>
      </c>
      <c r="C829" s="183" t="s">
        <v>1929</v>
      </c>
      <c r="D829" s="183" t="s">
        <v>2468</v>
      </c>
      <c r="E829" s="215" t="s">
        <v>2271</v>
      </c>
      <c r="F829" s="112" t="str">
        <f>IF(ISBLANK(E829),"",_xlfn.XLOOKUP(E829,[1]cannabis_log!C:C,[1]cannabis_log!J:J,"",0,))</f>
        <v>PR241101F5P3</v>
      </c>
      <c r="G829" s="112"/>
      <c r="H829" s="112" t="str">
        <f>IF(ISBLANK(E829),"",_xlfn.XLOOKUP(E829,cannabis_log!C:C,cannabis_log!H:H,"",0,1))</f>
        <v>preroll_labelled</v>
      </c>
      <c r="I829" s="113">
        <f>IF(ISBLANK(E829),"",_xlfn.XLOOKUP(E829,cannabis_log!C:C,cannabis_log!K:K,"NOT FOUND",0,1))</f>
        <v>45574</v>
      </c>
      <c r="J829" s="185">
        <v>-12</v>
      </c>
      <c r="K829" s="186">
        <f>IF(N829="net",0,"")</f>
        <v>0</v>
      </c>
      <c r="L829" s="288">
        <f t="shared" si="29"/>
        <v>-18</v>
      </c>
      <c r="M829" s="24"/>
      <c r="N829" s="112" t="str">
        <f>IF(ISBLANK(E829),"",_xlfn.XLOOKUP(E829,[1]cannabis_log!C:C,[1]cannabis_log!T:T,"Not Found",0,))</f>
        <v>net</v>
      </c>
      <c r="O829" s="180">
        <f>IF(N829="net",_xlfn.XLOOKUP(E829,cannabis_log!C:C,cannabis_log!N:N,"NOT FOUND",0,1),IF(N829="gross",0,""))</f>
        <v>1.5</v>
      </c>
    </row>
    <row r="830" spans="1:15">
      <c r="A830" s="181" t="str">
        <f t="shared" si="25"/>
        <v>outbound</v>
      </c>
      <c r="B830" s="182">
        <v>45643.606249999997</v>
      </c>
      <c r="C830" s="183" t="s">
        <v>1924</v>
      </c>
      <c r="D830" s="183"/>
      <c r="E830" s="215" t="s">
        <v>1945</v>
      </c>
      <c r="F830" s="112" t="str">
        <f>IF(ISBLANK(E830),"",_xlfn.XLOOKUP(E830,[1]cannabis_log!C:C,[1]cannabis_log!J:J,"",0,))</f>
        <v>LR23032101</v>
      </c>
      <c r="G830" s="112"/>
      <c r="H830" s="112" t="str">
        <f>IF(ISBLANK(E830),"",_xlfn.XLOOKUP(E830,cannabis_log!C:C,cannabis_log!H:H,"",0,1))</f>
        <v>extract_inhaled_bulk</v>
      </c>
      <c r="I830" s="113" t="str">
        <f>IF(ISBLANK(E830),"",_xlfn.XLOOKUP(E830,cannabis_log!C:C,cannabis_log!K:K,"NOT FOUND",0,1))</f>
        <v>NA</v>
      </c>
      <c r="J830" s="185">
        <v>-1</v>
      </c>
      <c r="K830" s="186">
        <v>-2025.5</v>
      </c>
      <c r="L830" s="288">
        <f t="shared" si="29"/>
        <v>0</v>
      </c>
      <c r="M830" s="24"/>
      <c r="N830" s="112" t="str">
        <f>IF(ISBLANK(E830),"",_xlfn.XLOOKUP(E830,[1]cannabis_log!C:C,[1]cannabis_log!T:T,"Not Found",0,))</f>
        <v>gross</v>
      </c>
      <c r="O830" s="180">
        <f>IF(N830="net",_xlfn.XLOOKUP(E830,cannabis_log!C:C,cannabis_log!N:N,"NOT FOUND",0,1),IF(N830="gross",0,""))</f>
        <v>0</v>
      </c>
    </row>
    <row r="831" spans="1:15">
      <c r="A831" s="181" t="str">
        <f t="shared" si="25"/>
        <v>outbound</v>
      </c>
      <c r="B831" s="182">
        <v>45643.701388888891</v>
      </c>
      <c r="C831" s="183" t="s">
        <v>1924</v>
      </c>
      <c r="D831" s="183"/>
      <c r="E831" s="215" t="s">
        <v>2409</v>
      </c>
      <c r="F831" s="112">
        <f>IF(ISBLANK(E831),"",_xlfn.XLOOKUP(E831,[1]cannabis_log!C:C,[1]cannabis_log!J:J,"",0,))</f>
        <v>2024111201</v>
      </c>
      <c r="G831" s="112"/>
      <c r="H831" s="112" t="str">
        <f>IF(ISBLANK(E831),"",_xlfn.XLOOKUP(E831,cannabis_log!C:C,cannabis_log!H:H,"",0,1))</f>
        <v>extract_distillate_bulk</v>
      </c>
      <c r="I831" s="113" t="str">
        <f>IF(ISBLANK(E831),"",_xlfn.XLOOKUP(E831,cannabis_log!C:C,cannabis_log!K:K,"NOT FOUND",0,1))</f>
        <v>NA</v>
      </c>
      <c r="J831" s="185">
        <v>-1</v>
      </c>
      <c r="K831" s="186">
        <v>-282.18</v>
      </c>
      <c r="L831" s="288">
        <f t="shared" si="29"/>
        <v>0</v>
      </c>
      <c r="M831" s="24"/>
      <c r="N831" s="112" t="str">
        <f>IF(ISBLANK(E831),"",_xlfn.XLOOKUP(E831,[1]cannabis_log!C:C,[1]cannabis_log!T:T,"Not Found",0,))</f>
        <v>gross</v>
      </c>
      <c r="O831" s="180">
        <f>IF(N831="net",_xlfn.XLOOKUP(E831,cannabis_log!C:C,cannabis_log!N:N,"NOT FOUND",0,1),IF(N831="gross",0,""))</f>
        <v>0</v>
      </c>
    </row>
    <row r="832" spans="1:15">
      <c r="A832" s="181" t="str">
        <f t="shared" si="25"/>
        <v>outbound</v>
      </c>
      <c r="B832" s="182">
        <v>45644.677777777775</v>
      </c>
      <c r="C832" s="183" t="s">
        <v>1929</v>
      </c>
      <c r="D832" s="183"/>
      <c r="E832" s="215" t="s">
        <v>2413</v>
      </c>
      <c r="F832" s="112" t="str">
        <f>IF(ISBLANK(E832),"",_xlfn.XLOOKUP(E832,[1]cannabis_log!C:C,[1]cannabis_log!J:J,"",0,))</f>
        <v>TP24101701</v>
      </c>
      <c r="G832" s="112"/>
      <c r="H832" s="112" t="str">
        <f>IF(ISBLANK(E832),"",_xlfn.XLOOKUP(E832,cannabis_log!C:C,cannabis_log!H:H,"",0,1))</f>
        <v>topical_labelled</v>
      </c>
      <c r="I832" s="113">
        <f>IF(ISBLANK(E832),"",_xlfn.XLOOKUP(E832,cannabis_log!C:C,cannabis_log!K:K,"NOT FOUND",0,1))</f>
        <v>45588</v>
      </c>
      <c r="J832" s="185">
        <v>-24</v>
      </c>
      <c r="K832" s="186">
        <f t="shared" ref="K832:K843" si="31">IF(N832="net",0,"")</f>
        <v>0</v>
      </c>
      <c r="L832" s="288">
        <f t="shared" si="29"/>
        <v>-2112</v>
      </c>
      <c r="M832" s="24"/>
      <c r="N832" s="112" t="str">
        <f>IF(ISBLANK(E832),"",_xlfn.XLOOKUP(E832,[1]cannabis_log!C:C,[1]cannabis_log!T:T,"Not Found",0,))</f>
        <v>net</v>
      </c>
      <c r="O832" s="180">
        <f>IF(N832="net",_xlfn.XLOOKUP(E832,cannabis_log!C:C,cannabis_log!N:N,"NOT FOUND",0,1),IF(N832="gross",0,""))</f>
        <v>88</v>
      </c>
    </row>
    <row r="833" spans="1:15">
      <c r="A833" s="181" t="str">
        <f t="shared" ref="A833:A896" si="32">IF(ISBLANK(J833),"",IF(J833+K833+L833&lt;0,"outbound","inbound"))</f>
        <v>outbound</v>
      </c>
      <c r="B833" s="182">
        <v>45644.677777777775</v>
      </c>
      <c r="C833" s="183" t="s">
        <v>1929</v>
      </c>
      <c r="D833" s="183"/>
      <c r="E833" s="215" t="s">
        <v>2413</v>
      </c>
      <c r="F833" s="112" t="str">
        <f>IF(ISBLANK(E833),"",_xlfn.XLOOKUP(E833,[1]cannabis_log!C:C,[1]cannabis_log!J:J,"",0,))</f>
        <v>TP24101701</v>
      </c>
      <c r="G833" s="112"/>
      <c r="H833" s="112" t="str">
        <f>IF(ISBLANK(E833),"",_xlfn.XLOOKUP(E833,cannabis_log!C:C,cannabis_log!H:H,"",0,1))</f>
        <v>topical_labelled</v>
      </c>
      <c r="I833" s="113">
        <f>IF(ISBLANK(E833),"",_xlfn.XLOOKUP(E833,cannabis_log!C:C,cannabis_log!K:K,"NOT FOUND",0,1))</f>
        <v>45588</v>
      </c>
      <c r="J833" s="185">
        <v>-60</v>
      </c>
      <c r="K833" s="186">
        <f t="shared" si="31"/>
        <v>0</v>
      </c>
      <c r="L833" s="288">
        <f t="shared" si="29"/>
        <v>-5280</v>
      </c>
      <c r="M833" s="24"/>
      <c r="N833" s="112" t="str">
        <f>IF(ISBLANK(E833),"",_xlfn.XLOOKUP(E833,[1]cannabis_log!C:C,[1]cannabis_log!T:T,"Not Found",0,))</f>
        <v>net</v>
      </c>
      <c r="O833" s="180">
        <f>IF(N833="net",_xlfn.XLOOKUP(E833,cannabis_log!C:C,cannabis_log!N:N,"NOT FOUND",0,1),IF(N833="gross",0,""))</f>
        <v>88</v>
      </c>
    </row>
    <row r="834" spans="1:15">
      <c r="A834" s="181" t="str">
        <f t="shared" si="32"/>
        <v>outbound</v>
      </c>
      <c r="B834" s="182">
        <v>45644.684027777781</v>
      </c>
      <c r="C834" s="183" t="s">
        <v>1929</v>
      </c>
      <c r="D834" s="183" t="s">
        <v>2469</v>
      </c>
      <c r="E834" s="215" t="s">
        <v>2321</v>
      </c>
      <c r="F834" s="112" t="str">
        <f>IF(ISBLANK(E834),"",_xlfn.XLOOKUP(E834,[1]cannabis_log!C:C,[1]cannabis_log!J:J,"",0,))</f>
        <v>EX24102201V50</v>
      </c>
      <c r="G834" s="112"/>
      <c r="H834" s="112" t="str">
        <f>IF(ISBLANK(E834),"",_xlfn.XLOOKUP(E834,cannabis_log!C:C,cannabis_log!H:H,"",0,1))</f>
        <v>extract_ingested_cased_ON</v>
      </c>
      <c r="I834" s="113">
        <f>IF(ISBLANK(E834),"",_xlfn.XLOOKUP(E834,cannabis_log!C:C,cannabis_log!K:K,"NOT FOUND",0,1))</f>
        <v>45594</v>
      </c>
      <c r="J834" s="185">
        <v>-1</v>
      </c>
      <c r="K834" s="186">
        <f t="shared" si="31"/>
        <v>0</v>
      </c>
      <c r="L834" s="288">
        <f t="shared" si="29"/>
        <v>-600</v>
      </c>
      <c r="M834" s="24"/>
      <c r="N834" s="112" t="str">
        <f>IF(ISBLANK(E834),"",_xlfn.XLOOKUP(E834,[1]cannabis_log!C:C,[1]cannabis_log!T:T,"Not Found",0,))</f>
        <v>net</v>
      </c>
      <c r="O834" s="180">
        <f>IF(N834="net",_xlfn.XLOOKUP(E834,cannabis_log!C:C,cannabis_log!N:N,"NOT FOUND",0,1),IF(N834="gross",0,""))</f>
        <v>600</v>
      </c>
    </row>
    <row r="835" spans="1:15">
      <c r="A835" s="181" t="str">
        <f t="shared" si="32"/>
        <v>outbound</v>
      </c>
      <c r="B835" s="182">
        <v>45644.684027777781</v>
      </c>
      <c r="C835" s="183" t="s">
        <v>1929</v>
      </c>
      <c r="D835" s="183" t="s">
        <v>2470</v>
      </c>
      <c r="E835" s="215" t="s">
        <v>2448</v>
      </c>
      <c r="F835" s="112" t="str">
        <f>IF(ISBLANK(E835),"",_xlfn.XLOOKUP(E835,[1]cannabis_log!C:C,[1]cannabis_log!J:J,"",0,))</f>
        <v>EX24111801V50</v>
      </c>
      <c r="G835" s="112"/>
      <c r="H835" s="112" t="str">
        <f>IF(ISBLANK(E835),"",_xlfn.XLOOKUP(E835,cannabis_log!C:C,cannabis_log!H:H,"",0,1))</f>
        <v>extract_ingested_cased_ON</v>
      </c>
      <c r="I835" s="113">
        <f>IF(ISBLANK(E835),"",_xlfn.XLOOKUP(E835,cannabis_log!C:C,cannabis_log!K:K,"NOT FOUND",0,1))</f>
        <v>45624</v>
      </c>
      <c r="J835" s="185">
        <v>-17</v>
      </c>
      <c r="K835" s="186">
        <f t="shared" si="31"/>
        <v>0</v>
      </c>
      <c r="L835" s="288">
        <f t="shared" si="29"/>
        <v>-10200</v>
      </c>
      <c r="M835" s="24"/>
      <c r="N835" s="112" t="str">
        <f>IF(ISBLANK(E835),"",_xlfn.XLOOKUP(E835,[1]cannabis_log!C:C,[1]cannabis_log!T:T,"Not Found",0,))</f>
        <v>net</v>
      </c>
      <c r="O835" s="180">
        <f>IF(N835="net",_xlfn.XLOOKUP(E835,cannabis_log!C:C,cannabis_log!N:N,"NOT FOUND",0,1),IF(N835="gross",0,""))</f>
        <v>600</v>
      </c>
    </row>
    <row r="836" spans="1:15">
      <c r="A836" s="181" t="str">
        <f t="shared" si="32"/>
        <v>outbound</v>
      </c>
      <c r="B836" s="182">
        <v>45645.495833333334</v>
      </c>
      <c r="C836" s="183" t="s">
        <v>1929</v>
      </c>
      <c r="D836" s="183" t="s">
        <v>2471</v>
      </c>
      <c r="E836" s="215" t="s">
        <v>2413</v>
      </c>
      <c r="F836" s="112" t="str">
        <f>IF(ISBLANK(E836),"",_xlfn.XLOOKUP(E836,[1]cannabis_log!C:C,[1]cannabis_log!J:J,"",0,))</f>
        <v>TP24101701</v>
      </c>
      <c r="G836" s="112"/>
      <c r="H836" s="112" t="str">
        <f>IF(ISBLANK(E836),"",_xlfn.XLOOKUP(E836,cannabis_log!C:C,cannabis_log!H:H,"",0,1))</f>
        <v>topical_labelled</v>
      </c>
      <c r="I836" s="113">
        <f>IF(ISBLANK(E836),"",_xlfn.XLOOKUP(E836,cannabis_log!C:C,cannabis_log!K:K,"NOT FOUND",0,1))</f>
        <v>45588</v>
      </c>
      <c r="J836" s="185">
        <v>-93</v>
      </c>
      <c r="K836" s="186">
        <f t="shared" si="31"/>
        <v>0</v>
      </c>
      <c r="L836" s="288">
        <f t="shared" si="29"/>
        <v>-8184</v>
      </c>
      <c r="M836" s="24" t="s">
        <v>2472</v>
      </c>
      <c r="N836" s="112" t="str">
        <f>IF(ISBLANK(E836),"",_xlfn.XLOOKUP(E836,[1]cannabis_log!C:C,[1]cannabis_log!T:T,"Not Found",0,))</f>
        <v>net</v>
      </c>
      <c r="O836" s="180">
        <f>IF(N836="net",_xlfn.XLOOKUP(E836,cannabis_log!C:C,cannabis_log!N:N,"NOT FOUND",0,1),IF(N836="gross",0,""))</f>
        <v>88</v>
      </c>
    </row>
    <row r="837" spans="1:15">
      <c r="A837" s="181" t="str">
        <f t="shared" si="32"/>
        <v>outbound</v>
      </c>
      <c r="B837" s="182">
        <v>45645.495833333334</v>
      </c>
      <c r="C837" s="183" t="s">
        <v>1929</v>
      </c>
      <c r="D837" s="183" t="s">
        <v>2473</v>
      </c>
      <c r="E837" s="215" t="s">
        <v>2307</v>
      </c>
      <c r="F837" s="112" t="str">
        <f>IF(ISBLANK(E837),"",_xlfn.XLOOKUP(E837,[1]cannabis_log!C:C,[1]cannabis_log!J:J,"",0,))</f>
        <v>TP24101701</v>
      </c>
      <c r="G837" s="112"/>
      <c r="H837" s="112" t="str">
        <f>IF(ISBLANK(E837),"",_xlfn.XLOOKUP(E837,cannabis_log!C:C,cannabis_log!H:H,"",0,1))</f>
        <v>topical_labelled</v>
      </c>
      <c r="I837" s="113">
        <f>IF(ISBLANK(E837),"",_xlfn.XLOOKUP(E837,cannabis_log!C:C,cannabis_log!K:K,"NOT FOUND",0,1))</f>
        <v>45588</v>
      </c>
      <c r="J837" s="185">
        <v>-27</v>
      </c>
      <c r="K837" s="186">
        <f t="shared" si="31"/>
        <v>0</v>
      </c>
      <c r="L837" s="288">
        <f t="shared" si="29"/>
        <v>-2376</v>
      </c>
      <c r="M837" s="24"/>
      <c r="N837" s="112" t="str">
        <f>IF(ISBLANK(E837),"",_xlfn.XLOOKUP(E837,[1]cannabis_log!C:C,[1]cannabis_log!T:T,"Not Found",0,))</f>
        <v>net</v>
      </c>
      <c r="O837" s="180">
        <f>IF(N837="net",_xlfn.XLOOKUP(E837,cannabis_log!C:C,cannabis_log!N:N,"NOT FOUND",0,1),IF(N837="gross",0,""))</f>
        <v>88</v>
      </c>
    </row>
    <row r="838" spans="1:15">
      <c r="A838" s="181" t="str">
        <f t="shared" si="32"/>
        <v>outbound</v>
      </c>
      <c r="B838" s="182">
        <v>45645.495833333334</v>
      </c>
      <c r="C838" s="183" t="s">
        <v>1929</v>
      </c>
      <c r="D838" s="183" t="s">
        <v>2471</v>
      </c>
      <c r="E838" s="215" t="s">
        <v>2474</v>
      </c>
      <c r="F838" s="112" t="str">
        <f>IF(ISBLANK(E838),"",_xlfn.XLOOKUP(E838,[1]cannabis_log!C:C,[1]cannabis_log!J:J,"",0,))</f>
        <v>PR241105F5P3</v>
      </c>
      <c r="G838" s="112"/>
      <c r="H838" s="112" t="str">
        <f>IF(ISBLANK(E838),"",_xlfn.XLOOKUP(E838,cannabis_log!C:C,cannabis_log!H:H,"",0,1))</f>
        <v>preroll_labelled</v>
      </c>
      <c r="I838" s="113">
        <f>IF(ISBLANK(E838),"",_xlfn.XLOOKUP(E838,cannabis_log!C:C,cannabis_log!K:K,"NOT FOUND",0,1))</f>
        <v>45615</v>
      </c>
      <c r="J838" s="185">
        <v>-108</v>
      </c>
      <c r="K838" s="186">
        <f t="shared" si="31"/>
        <v>0</v>
      </c>
      <c r="L838" s="288">
        <f t="shared" si="29"/>
        <v>-162</v>
      </c>
      <c r="M838" s="24"/>
      <c r="N838" s="112" t="str">
        <f>IF(ISBLANK(E838),"",_xlfn.XLOOKUP(E838,[1]cannabis_log!C:C,[1]cannabis_log!T:T,"Not Found",0,))</f>
        <v>net</v>
      </c>
      <c r="O838" s="180">
        <f>IF(N838="net",_xlfn.XLOOKUP(E838,cannabis_log!C:C,cannabis_log!N:N,"NOT FOUND",0,1),IF(N838="gross",0,""))</f>
        <v>1.5</v>
      </c>
    </row>
    <row r="839" spans="1:15">
      <c r="A839" s="181" t="str">
        <f t="shared" si="32"/>
        <v>outbound</v>
      </c>
      <c r="B839" s="182">
        <v>45645.495833333334</v>
      </c>
      <c r="C839" s="183" t="s">
        <v>1929</v>
      </c>
      <c r="D839" s="183" t="s">
        <v>2473</v>
      </c>
      <c r="E839" s="215" t="s">
        <v>2107</v>
      </c>
      <c r="F839" s="112" t="str">
        <f>IF(ISBLANK(E839),"",_xlfn.XLOOKUP(E839,[1]cannabis_log!C:C,[1]cannabis_log!J:J,"",0,))</f>
        <v>PR241003F5P3</v>
      </c>
      <c r="G839" s="112"/>
      <c r="H839" s="112" t="str">
        <f>IF(ISBLANK(E839),"",_xlfn.XLOOKUP(E839,cannabis_log!C:C,cannabis_log!H:H,"",0,1))</f>
        <v>preroll_labelled</v>
      </c>
      <c r="I839" s="113">
        <f>IF(ISBLANK(E839),"",_xlfn.XLOOKUP(E839,cannabis_log!C:C,cannabis_log!K:K,"NOT FOUND",0,1))</f>
        <v>45570</v>
      </c>
      <c r="J839" s="185">
        <v>-48</v>
      </c>
      <c r="K839" s="186">
        <f t="shared" si="31"/>
        <v>0</v>
      </c>
      <c r="L839" s="288">
        <f t="shared" si="29"/>
        <v>-72</v>
      </c>
      <c r="M839" s="24"/>
      <c r="N839" s="112" t="str">
        <f>IF(ISBLANK(E839),"",_xlfn.XLOOKUP(E839,[1]cannabis_log!C:C,[1]cannabis_log!T:T,"Not Found",0,))</f>
        <v>net</v>
      </c>
      <c r="O839" s="180">
        <f>IF(N839="net",_xlfn.XLOOKUP(E839,cannabis_log!C:C,cannabis_log!N:N,"NOT FOUND",0,1),IF(N839="gross",0,""))</f>
        <v>1.5</v>
      </c>
    </row>
    <row r="840" spans="1:15">
      <c r="A840" s="181" t="str">
        <f t="shared" si="32"/>
        <v>outbound</v>
      </c>
      <c r="B840" s="182">
        <v>45646.60833333333</v>
      </c>
      <c r="C840" s="183" t="s">
        <v>1929</v>
      </c>
      <c r="D840" s="183" t="s">
        <v>2475</v>
      </c>
      <c r="E840" s="215" t="s">
        <v>2209</v>
      </c>
      <c r="F840" s="112" t="str">
        <f>IF(ISBLANK(E840),"",_xlfn.XLOOKUP(E840,[1]cannabis_log!C:C,[1]cannabis_log!J:J,"",0,))</f>
        <v>BS23041701G180</v>
      </c>
      <c r="G840" s="112"/>
      <c r="H840" s="112" t="str">
        <f>IF(ISBLANK(E840),"",_xlfn.XLOOKUP(E840,cannabis_log!C:C,cannabis_log!H:H,"",0,1))</f>
        <v>topical_labelled</v>
      </c>
      <c r="I840" s="113">
        <f>IF(ISBLANK(E840),"",_xlfn.XLOOKUP(E840,cannabis_log!C:C,cannabis_log!K:K,"NOT FOUND",0,1))</f>
        <v>45523</v>
      </c>
      <c r="J840" s="185">
        <v>-2</v>
      </c>
      <c r="K840" s="186">
        <f t="shared" si="31"/>
        <v>0</v>
      </c>
      <c r="L840" s="288">
        <f t="shared" si="29"/>
        <v>-360</v>
      </c>
      <c r="M840" s="24"/>
      <c r="N840" s="112" t="str">
        <f>IF(ISBLANK(E840),"",_xlfn.XLOOKUP(E840,[1]cannabis_log!C:C,[1]cannabis_log!T:T,"Not Found",0,))</f>
        <v>net</v>
      </c>
      <c r="O840" s="180">
        <f>IF(N840="net",_xlfn.XLOOKUP(E840,cannabis_log!C:C,cannabis_log!N:N,"NOT FOUND",0,1),IF(N840="gross",0,""))</f>
        <v>180</v>
      </c>
    </row>
    <row r="841" spans="1:15">
      <c r="A841" s="181" t="str">
        <f t="shared" si="32"/>
        <v>outbound</v>
      </c>
      <c r="B841" s="182">
        <v>45659.612500000003</v>
      </c>
      <c r="C841" s="183" t="s">
        <v>1929</v>
      </c>
      <c r="D841" s="183" t="s">
        <v>2473</v>
      </c>
      <c r="E841" s="215" t="s">
        <v>2172</v>
      </c>
      <c r="F841" s="112" t="str">
        <f>IF(ISBLANK(E841),"",_xlfn.XLOOKUP(E841,[1]cannabis_log!C:C,[1]cannabis_log!J:J,"",0,))</f>
        <v>PR241102F5P3</v>
      </c>
      <c r="G841" s="112"/>
      <c r="H841" s="112" t="str">
        <f>IF(ISBLANK(E841),"",_xlfn.XLOOKUP(E841,cannabis_log!C:C,cannabis_log!H:H,"",0,1))</f>
        <v>preroll_labelled</v>
      </c>
      <c r="I841" s="113">
        <f>IF(ISBLANK(E841),"",_xlfn.XLOOKUP(E841,cannabis_log!C:C,cannabis_log!K:K,"NOT FOUND",0,1))</f>
        <v>45575</v>
      </c>
      <c r="J841" s="185">
        <v>-84</v>
      </c>
      <c r="K841" s="186">
        <f t="shared" si="31"/>
        <v>0</v>
      </c>
      <c r="L841" s="288">
        <f t="shared" si="29"/>
        <v>-126</v>
      </c>
      <c r="M841" s="24"/>
      <c r="N841" s="112" t="str">
        <f>IF(ISBLANK(E841),"",_xlfn.XLOOKUP(E841,[1]cannabis_log!C:C,[1]cannabis_log!T:T,"Not Found",0,))</f>
        <v>net</v>
      </c>
      <c r="O841" s="180">
        <f>IF(N841="net",_xlfn.XLOOKUP(E841,cannabis_log!C:C,cannabis_log!N:N,"NOT FOUND",0,1),IF(N841="gross",0,""))</f>
        <v>1.5</v>
      </c>
    </row>
    <row r="842" spans="1:15">
      <c r="A842" s="181" t="str">
        <f t="shared" si="32"/>
        <v>outbound</v>
      </c>
      <c r="B842" s="182">
        <v>45659.612500000003</v>
      </c>
      <c r="C842" s="183" t="s">
        <v>1921</v>
      </c>
      <c r="D842" s="183" t="s">
        <v>2476</v>
      </c>
      <c r="E842" s="215" t="s">
        <v>2477</v>
      </c>
      <c r="F842" s="112" t="str">
        <f>IF(ISBLANK(E842),"",_xlfn.XLOOKUP(E842,[1]cannabis_log!C:C,[1]cannabis_log!J:J,"",0,))</f>
        <v>PR241102F5P3</v>
      </c>
      <c r="G842" s="112"/>
      <c r="H842" s="112" t="str">
        <f>IF(ISBLANK(E842),"",_xlfn.XLOOKUP(E842,cannabis_log!C:C,cannabis_log!H:H,"",0,1))</f>
        <v>preroll_labelled</v>
      </c>
      <c r="I842" s="113">
        <f>IF(ISBLANK(E842),"",_xlfn.XLOOKUP(E842,cannabis_log!C:C,cannabis_log!K:K,"NOT FOUND",0,1))</f>
        <v>45660</v>
      </c>
      <c r="J842" s="185">
        <v>-847</v>
      </c>
      <c r="K842" s="186">
        <f t="shared" si="31"/>
        <v>0</v>
      </c>
      <c r="L842" s="288">
        <f t="shared" si="29"/>
        <v>-1270.5</v>
      </c>
      <c r="M842" s="24"/>
      <c r="N842" s="112" t="str">
        <f>IF(ISBLANK(E842),"",_xlfn.XLOOKUP(E842,[1]cannabis_log!C:C,[1]cannabis_log!T:T,"Not Found",0,))</f>
        <v>net</v>
      </c>
      <c r="O842" s="180">
        <f>IF(N842="net",_xlfn.XLOOKUP(E842,cannabis_log!C:C,cannabis_log!N:N,"NOT FOUND",0,1),IF(N842="gross",0,""))</f>
        <v>1.5</v>
      </c>
    </row>
    <row r="843" spans="1:15">
      <c r="A843" s="181" t="str">
        <f t="shared" si="32"/>
        <v>outbound</v>
      </c>
      <c r="B843" s="182">
        <v>45659.612500000003</v>
      </c>
      <c r="C843" s="183" t="s">
        <v>1921</v>
      </c>
      <c r="D843" s="183" t="s">
        <v>2476</v>
      </c>
      <c r="E843" s="215" t="s">
        <v>2478</v>
      </c>
      <c r="F843" s="112" t="str">
        <f>IF(ISBLANK(E843),"",_xlfn.XLOOKUP(E843,[1]cannabis_log!C:C,[1]cannabis_log!J:J,"",0,))</f>
        <v>PR241102F5</v>
      </c>
      <c r="G843" s="112"/>
      <c r="H843" s="112" t="str">
        <f>IF(ISBLANK(E843),"",_xlfn.XLOOKUP(E843,cannabis_log!C:C,cannabis_log!H:H,"",0,1))</f>
        <v>preroll_bulk</v>
      </c>
      <c r="I843" s="113" t="str">
        <f>IF(ISBLANK(E843),"",_xlfn.XLOOKUP(E843,cannabis_log!C:C,cannabis_log!K:K,"NOT FOUND",0,1))</f>
        <v>NA</v>
      </c>
      <c r="J843" s="185">
        <v>-605</v>
      </c>
      <c r="K843" s="186">
        <f t="shared" si="31"/>
        <v>0</v>
      </c>
      <c r="L843" s="288">
        <f t="shared" si="29"/>
        <v>-302.5</v>
      </c>
      <c r="M843" s="24"/>
      <c r="N843" s="112" t="str">
        <f>IF(ISBLANK(E843),"",_xlfn.XLOOKUP(E843,[1]cannabis_log!C:C,[1]cannabis_log!T:T,"Not Found",0,))</f>
        <v>net</v>
      </c>
      <c r="O843" s="180">
        <f>IF(N843="net",_xlfn.XLOOKUP(E843,cannabis_log!C:C,cannabis_log!N:N,"NOT FOUND",0,1),IF(N843="gross",0,""))</f>
        <v>0.5</v>
      </c>
    </row>
    <row r="844" spans="1:15">
      <c r="A844" s="181" t="str">
        <f t="shared" si="32"/>
        <v>inbound</v>
      </c>
      <c r="B844" s="182">
        <v>45659.612500000003</v>
      </c>
      <c r="C844" s="183" t="s">
        <v>1927</v>
      </c>
      <c r="D844" s="183"/>
      <c r="E844" s="215" t="s">
        <v>2409</v>
      </c>
      <c r="F844" s="112">
        <f>IF(ISBLANK(E844),"",_xlfn.XLOOKUP(E844,[1]cannabis_log!C:C,[1]cannabis_log!J:J,"",0,))</f>
        <v>2024111201</v>
      </c>
      <c r="G844" s="112"/>
      <c r="H844" s="112" t="str">
        <f>IF(ISBLANK(E844),"",_xlfn.XLOOKUP(E844,cannabis_log!C:C,cannabis_log!H:H,"",0,1))</f>
        <v>extract_distillate_bulk</v>
      </c>
      <c r="I844" s="113" t="str">
        <f>IF(ISBLANK(E844),"",_xlfn.XLOOKUP(E844,cannabis_log!C:C,cannabis_log!K:K,"NOT FOUND",0,1))</f>
        <v>NA</v>
      </c>
      <c r="J844" s="185">
        <v>1</v>
      </c>
      <c r="K844" s="186">
        <v>275.63</v>
      </c>
      <c r="L844" s="288">
        <f t="shared" si="29"/>
        <v>0</v>
      </c>
      <c r="M844" s="24"/>
      <c r="N844" s="112" t="str">
        <f>IF(ISBLANK(E844),"",_xlfn.XLOOKUP(E844,[1]cannabis_log!C:C,[1]cannabis_log!T:T,"Not Found",0,))</f>
        <v>gross</v>
      </c>
      <c r="O844" s="180">
        <f>IF(N844="net",_xlfn.XLOOKUP(E844,cannabis_log!C:C,cannabis_log!N:N,"NOT FOUND",0,1),IF(N844="gross",0,""))</f>
        <v>0</v>
      </c>
    </row>
    <row r="845" spans="1:15">
      <c r="A845" s="181" t="str">
        <f t="shared" si="32"/>
        <v>inbound</v>
      </c>
      <c r="B845" s="182">
        <v>45659.612500000003</v>
      </c>
      <c r="C845" s="183" t="s">
        <v>1927</v>
      </c>
      <c r="D845" s="183"/>
      <c r="E845" s="215" t="s">
        <v>1945</v>
      </c>
      <c r="F845" s="112" t="str">
        <f>IF(ISBLANK(E845),"",_xlfn.XLOOKUP(E845,[1]cannabis_log!C:C,[1]cannabis_log!J:J,"",0,))</f>
        <v>LR23032101</v>
      </c>
      <c r="G845" s="112"/>
      <c r="H845" s="112" t="str">
        <f>IF(ISBLANK(E845),"",_xlfn.XLOOKUP(E845,cannabis_log!C:C,cannabis_log!H:H,"",0,1))</f>
        <v>extract_inhaled_bulk</v>
      </c>
      <c r="I845" s="113" t="str">
        <f>IF(ISBLANK(E845),"",_xlfn.XLOOKUP(E845,cannabis_log!C:C,cannabis_log!K:K,"NOT FOUND",0,1))</f>
        <v>NA</v>
      </c>
      <c r="J845" s="185">
        <v>1</v>
      </c>
      <c r="K845" s="186">
        <v>2015</v>
      </c>
      <c r="L845" s="288">
        <f t="shared" si="29"/>
        <v>0</v>
      </c>
      <c r="M845" s="24"/>
      <c r="N845" s="112" t="str">
        <f>IF(ISBLANK(E845),"",_xlfn.XLOOKUP(E845,[1]cannabis_log!C:C,[1]cannabis_log!T:T,"Not Found",0,))</f>
        <v>gross</v>
      </c>
      <c r="O845" s="180">
        <f>IF(N845="net",_xlfn.XLOOKUP(E845,cannabis_log!C:C,cannabis_log!N:N,"NOT FOUND",0,1),IF(N845="gross",0,""))</f>
        <v>0</v>
      </c>
    </row>
    <row r="846" spans="1:15">
      <c r="A846" s="181" t="str">
        <f t="shared" si="32"/>
        <v>inbound</v>
      </c>
      <c r="B846" s="182">
        <v>45659.612500000003</v>
      </c>
      <c r="C846" s="183" t="s">
        <v>1927</v>
      </c>
      <c r="D846" s="183"/>
      <c r="E846" s="215" t="s">
        <v>1978</v>
      </c>
      <c r="F846" s="112" t="str">
        <f>IF(ISBLANK(E846),"",_xlfn.XLOOKUP(E846,[1]cannabis_log!C:C,[1]cannabis_log!J:J,"",0,))</f>
        <v>2022012401R1</v>
      </c>
      <c r="G846" s="112"/>
      <c r="H846" s="112" t="str">
        <f>IF(ISBLANK(E846),"",_xlfn.XLOOKUP(E846,cannabis_log!C:C,cannabis_log!H:H,"",0,1))</f>
        <v>driedflower_bulk</v>
      </c>
      <c r="I846" s="113">
        <f>IF(ISBLANK(E846),"",_xlfn.XLOOKUP(E846,cannabis_log!C:C,cannabis_log!K:K,"NOT FOUND",0,1))</f>
        <v>44686</v>
      </c>
      <c r="J846" s="185">
        <v>1</v>
      </c>
      <c r="K846" s="186">
        <v>934.6</v>
      </c>
      <c r="L846" s="288">
        <f t="shared" si="29"/>
        <v>0</v>
      </c>
      <c r="M846" s="24"/>
      <c r="N846" s="112" t="str">
        <f>IF(ISBLANK(E846),"",_xlfn.XLOOKUP(E846,[1]cannabis_log!C:C,[1]cannabis_log!T:T,"Not Found",0,))</f>
        <v>gross</v>
      </c>
      <c r="O846" s="180">
        <f>IF(N846="net",_xlfn.XLOOKUP(E846,cannabis_log!C:C,cannabis_log!N:N,"NOT FOUND",0,1),IF(N846="gross",0,""))</f>
        <v>0</v>
      </c>
    </row>
    <row r="847" spans="1:15">
      <c r="A847" s="181" t="str">
        <f t="shared" si="32"/>
        <v>inbound</v>
      </c>
      <c r="B847" s="182">
        <v>45659.612500000003</v>
      </c>
      <c r="C847" s="183" t="s">
        <v>1927</v>
      </c>
      <c r="D847" s="183"/>
      <c r="E847" s="215" t="s">
        <v>2432</v>
      </c>
      <c r="F847" s="112">
        <f>IF(ISBLANK(E847),"",_xlfn.XLOOKUP(E847,[1]cannabis_log!C:C,[1]cannabis_log!J:J,"",0,))</f>
        <v>2024111803</v>
      </c>
      <c r="G847" s="112"/>
      <c r="H847" s="112" t="str">
        <f>IF(ISBLANK(E847),"",_xlfn.XLOOKUP(E847,cannabis_log!C:C,cannabis_log!H:H,"",0,1))</f>
        <v>driedflower_bulk</v>
      </c>
      <c r="I847" s="113" t="str">
        <f>IF(ISBLANK(E847),"",_xlfn.XLOOKUP(E847,cannabis_log!C:C,cannabis_log!K:K,"NOT FOUND",0,1))</f>
        <v>NA</v>
      </c>
      <c r="J847" s="185">
        <v>1</v>
      </c>
      <c r="K847" s="186">
        <v>3010</v>
      </c>
      <c r="L847" s="288">
        <f t="shared" si="29"/>
        <v>0</v>
      </c>
      <c r="M847" s="24"/>
      <c r="N847" s="112" t="str">
        <f>IF(ISBLANK(E847),"",_xlfn.XLOOKUP(E847,[1]cannabis_log!C:C,[1]cannabis_log!T:T,"Not Found",0,))</f>
        <v>gross</v>
      </c>
      <c r="O847" s="180">
        <f>IF(N847="net",_xlfn.XLOOKUP(E847,cannabis_log!C:C,cannabis_log!N:N,"NOT FOUND",0,1),IF(N847="gross",0,""))</f>
        <v>0</v>
      </c>
    </row>
    <row r="848" spans="1:15">
      <c r="A848" s="181" t="str">
        <f t="shared" si="32"/>
        <v>inbound</v>
      </c>
      <c r="B848" s="182">
        <v>45659.612500000003</v>
      </c>
      <c r="C848" s="183" t="s">
        <v>1927</v>
      </c>
      <c r="D848" s="183"/>
      <c r="E848" s="215" t="s">
        <v>2467</v>
      </c>
      <c r="F848" s="112" t="str">
        <f>IF(ISBLANK(E848),"",_xlfn.XLOOKUP(E848,[1]cannabis_log!C:C,[1]cannabis_log!J:J,"",0,))</f>
        <v>PR2301</v>
      </c>
      <c r="G848" s="112"/>
      <c r="H848" s="112" t="str">
        <f>IF(ISBLANK(E848),"",_xlfn.XLOOKUP(E848,cannabis_log!C:C,cannabis_log!H:H,"",0,1))</f>
        <v>driedflower_milled_bulk</v>
      </c>
      <c r="I848" s="113">
        <f>IF(ISBLANK(E848),"",_xlfn.XLOOKUP(E848,cannabis_log!C:C,cannabis_log!K:K,"NOT FOUND",0,1))</f>
        <v>44206</v>
      </c>
      <c r="J848" s="185">
        <v>1</v>
      </c>
      <c r="K848" s="186">
        <v>4900</v>
      </c>
      <c r="L848" s="288">
        <f t="shared" si="29"/>
        <v>0</v>
      </c>
      <c r="M848" s="24"/>
      <c r="N848" s="112" t="str">
        <f>IF(ISBLANK(E848),"",_xlfn.XLOOKUP(E848,[1]cannabis_log!C:C,[1]cannabis_log!T:T,"Not Found",0,))</f>
        <v>gross</v>
      </c>
      <c r="O848" s="180">
        <f>IF(N848="net",_xlfn.XLOOKUP(E848,cannabis_log!C:C,cannabis_log!N:N,"NOT FOUND",0,1),IF(N848="gross",0,""))</f>
        <v>0</v>
      </c>
    </row>
    <row r="849" spans="1:15">
      <c r="A849" s="181" t="str">
        <f t="shared" si="32"/>
        <v>outbound</v>
      </c>
      <c r="B849" s="182">
        <v>45660.495833333334</v>
      </c>
      <c r="C849" s="183" t="s">
        <v>1921</v>
      </c>
      <c r="D849" s="183" t="s">
        <v>2479</v>
      </c>
      <c r="E849" s="215" t="s">
        <v>2460</v>
      </c>
      <c r="F849" s="112" t="str">
        <f>IF(ISBLANK(E849),"",_xlfn.XLOOKUP(E849,[1]cannabis_log!C:C,[1]cannabis_log!J:J,"",0,))</f>
        <v>CPR22102001G1</v>
      </c>
      <c r="G849" s="112"/>
      <c r="H849" s="112" t="str">
        <f>IF(ISBLANK(E849),"",_xlfn.XLOOKUP(E849,cannabis_log!C:C,cannabis_log!H:H,"",0,1))</f>
        <v>preroll_labelled</v>
      </c>
      <c r="I849" s="113">
        <f>IF(ISBLANK(E849),"",_xlfn.XLOOKUP(E849,cannabis_log!C:C,cannabis_log!K:K,"NOT FOUND",0,1))</f>
        <v>44999</v>
      </c>
      <c r="J849" s="185">
        <v>-62</v>
      </c>
      <c r="K849" s="186">
        <v>0</v>
      </c>
      <c r="L849" s="288">
        <f t="shared" si="29"/>
        <v>-62</v>
      </c>
      <c r="M849" s="24"/>
      <c r="N849" s="112" t="str">
        <f>IF(ISBLANK(E849),"",_xlfn.XLOOKUP(E849,[1]cannabis_log!C:C,[1]cannabis_log!T:T,"Not Found",0,))</f>
        <v>net</v>
      </c>
      <c r="O849" s="180">
        <f>IF(N849="net",_xlfn.XLOOKUP(E849,cannabis_log!C:C,cannabis_log!N:N,"NOT FOUND",0,1),IF(N849="gross",0,""))</f>
        <v>1</v>
      </c>
    </row>
    <row r="850" spans="1:15">
      <c r="A850" s="181" t="str">
        <f t="shared" si="32"/>
        <v>outbound</v>
      </c>
      <c r="B850" s="182">
        <v>45660.495833333334</v>
      </c>
      <c r="C850" s="183" t="s">
        <v>1921</v>
      </c>
      <c r="D850" s="183" t="s">
        <v>2480</v>
      </c>
      <c r="E850" s="215" t="s">
        <v>2467</v>
      </c>
      <c r="F850" s="112" t="str">
        <f>IF(ISBLANK(E850),"",_xlfn.XLOOKUP(E850,[1]cannabis_log!C:C,[1]cannabis_log!J:J,"",0,))</f>
        <v>PR2301</v>
      </c>
      <c r="G850" s="112"/>
      <c r="H850" s="112" t="str">
        <f>IF(ISBLANK(E850),"",_xlfn.XLOOKUP(E850,cannabis_log!C:C,cannabis_log!H:H,"",0,1))</f>
        <v>driedflower_milled_bulk</v>
      </c>
      <c r="I850" s="113">
        <f>IF(ISBLANK(E850),"",_xlfn.XLOOKUP(E850,cannabis_log!C:C,cannabis_log!K:K,"NOT FOUND",0,1))</f>
        <v>44206</v>
      </c>
      <c r="J850" s="185">
        <v>-1</v>
      </c>
      <c r="K850" s="186">
        <v>-4900</v>
      </c>
      <c r="L850" s="288">
        <f t="shared" si="29"/>
        <v>0</v>
      </c>
      <c r="M850" s="24"/>
      <c r="N850" s="112" t="str">
        <f>IF(ISBLANK(E850),"",_xlfn.XLOOKUP(E850,[1]cannabis_log!C:C,[1]cannabis_log!T:T,"Not Found",0,))</f>
        <v>gross</v>
      </c>
      <c r="O850" s="180">
        <f>IF(N850="net",_xlfn.XLOOKUP(E850,cannabis_log!C:C,cannabis_log!N:N,"NOT FOUND",0,1),IF(N850="gross",0,""))</f>
        <v>0</v>
      </c>
    </row>
    <row r="851" spans="1:15">
      <c r="A851" s="181" t="str">
        <f t="shared" si="32"/>
        <v>outbound</v>
      </c>
      <c r="B851" s="182">
        <v>45660.495833333334</v>
      </c>
      <c r="C851" s="183" t="s">
        <v>1921</v>
      </c>
      <c r="D851" s="183" t="s">
        <v>2479</v>
      </c>
      <c r="E851" s="215" t="s">
        <v>2459</v>
      </c>
      <c r="F851" s="112" t="str">
        <f>IF(ISBLANK(E851),"",_xlfn.XLOOKUP(E851,[1]cannabis_log!C:C,[1]cannabis_log!J:J,"",0,))</f>
        <v>CPR22102001G5</v>
      </c>
      <c r="G851" s="112"/>
      <c r="H851" s="112" t="str">
        <f>IF(ISBLANK(E851),"",_xlfn.XLOOKUP(E851,cannabis_log!C:C,cannabis_log!H:H,"",0,1))</f>
        <v>preroll_labelled</v>
      </c>
      <c r="I851" s="113">
        <f>IF(ISBLANK(E851),"",_xlfn.XLOOKUP(E851,cannabis_log!C:C,cannabis_log!K:K,"NOT FOUND",0,1))</f>
        <v>45014</v>
      </c>
      <c r="J851" s="185">
        <v>-2</v>
      </c>
      <c r="K851" s="186">
        <f t="shared" ref="K851:K856" si="33">IF(N851="net",0,"")</f>
        <v>0</v>
      </c>
      <c r="L851" s="288">
        <f t="shared" si="29"/>
        <v>-3</v>
      </c>
      <c r="M851" s="24"/>
      <c r="N851" s="112" t="str">
        <f>IF(ISBLANK(E851),"",_xlfn.XLOOKUP(E851,[1]cannabis_log!C:C,[1]cannabis_log!T:T,"Not Found",0,))</f>
        <v>net</v>
      </c>
      <c r="O851" s="180">
        <f>IF(N851="net",_xlfn.XLOOKUP(E851,cannabis_log!C:C,cannabis_log!N:N,"NOT FOUND",0,1),IF(N851="gross",0,""))</f>
        <v>1.5</v>
      </c>
    </row>
    <row r="852" spans="1:15">
      <c r="A852" s="181" t="str">
        <f t="shared" si="32"/>
        <v>outbound</v>
      </c>
      <c r="B852" s="182">
        <v>45660.495833333334</v>
      </c>
      <c r="C852" s="183" t="s">
        <v>1921</v>
      </c>
      <c r="D852" s="183" t="s">
        <v>2479</v>
      </c>
      <c r="E852" s="215" t="s">
        <v>2481</v>
      </c>
      <c r="F852" s="112" t="str">
        <f>IF(ISBLANK(E852),"",_xlfn.XLOOKUP(E852,[1]cannabis_log!C:C,[1]cannabis_log!J:J,"",0,))</f>
        <v>CPR22012001G5</v>
      </c>
      <c r="G852" s="112"/>
      <c r="H852" s="112" t="str">
        <f>IF(ISBLANK(E852),"",_xlfn.XLOOKUP(E852,cannabis_log!C:C,cannabis_log!H:H,"",0,1))</f>
        <v>preroll_labelled</v>
      </c>
      <c r="I852" s="113">
        <f>IF(ISBLANK(E852),"",_xlfn.XLOOKUP(E852,cannabis_log!C:C,cannabis_log!K:K,"NOT FOUND",0,1))</f>
        <v>45649</v>
      </c>
      <c r="J852" s="185">
        <v>-58</v>
      </c>
      <c r="K852" s="186">
        <f t="shared" si="33"/>
        <v>0</v>
      </c>
      <c r="L852" s="288">
        <f t="shared" si="29"/>
        <v>-87</v>
      </c>
      <c r="M852" s="24"/>
      <c r="N852" s="112" t="str">
        <f>IF(ISBLANK(E852),"",_xlfn.XLOOKUP(E852,[1]cannabis_log!C:C,[1]cannabis_log!T:T,"Not Found",0,))</f>
        <v>net</v>
      </c>
      <c r="O852" s="180">
        <f>IF(N852="net",_xlfn.XLOOKUP(E852,cannabis_log!C:C,cannabis_log!N:N,"NOT FOUND",0,1),IF(N852="gross",0,""))</f>
        <v>1.5</v>
      </c>
    </row>
    <row r="853" spans="1:15">
      <c r="A853" s="181" t="str">
        <f t="shared" si="32"/>
        <v>outbound</v>
      </c>
      <c r="B853" s="182">
        <v>45660.495833333334</v>
      </c>
      <c r="C853" s="183" t="s">
        <v>1921</v>
      </c>
      <c r="D853" s="183" t="s">
        <v>2482</v>
      </c>
      <c r="E853" s="215" t="s">
        <v>2340</v>
      </c>
      <c r="F853" s="112" t="str">
        <f>IF(ISBLANK(E853),"",_xlfn.XLOOKUP(E853,[1]cannabis_log!C:C,[1]cannabis_log!J:J,"",0,))</f>
        <v>CPR22102101G5</v>
      </c>
      <c r="G853" s="112"/>
      <c r="H853" s="112" t="str">
        <f>IF(ISBLANK(E853),"",_xlfn.XLOOKUP(E853,cannabis_log!C:C,cannabis_log!H:H,"",0,1))</f>
        <v>preroll_labelled</v>
      </c>
      <c r="I853" s="113">
        <f>IF(ISBLANK(E853),"",_xlfn.XLOOKUP(E853,cannabis_log!C:C,cannabis_log!K:K,"NOT FOUND",0,1))</f>
        <v>45510</v>
      </c>
      <c r="J853" s="185">
        <v>-12</v>
      </c>
      <c r="K853" s="186">
        <f t="shared" si="33"/>
        <v>0</v>
      </c>
      <c r="L853" s="288">
        <f t="shared" si="29"/>
        <v>-12</v>
      </c>
      <c r="M853" s="24"/>
      <c r="N853" s="112" t="str">
        <f>IF(ISBLANK(E853),"",_xlfn.XLOOKUP(E853,[1]cannabis_log!C:C,[1]cannabis_log!T:T,"Not Found",0,))</f>
        <v>net</v>
      </c>
      <c r="O853" s="180">
        <f>IF(N853="net",_xlfn.XLOOKUP(E853,cannabis_log!C:C,cannabis_log!N:N,"NOT FOUND",0,1),IF(N853="gross",0,""))</f>
        <v>1</v>
      </c>
    </row>
    <row r="854" spans="1:15">
      <c r="A854" s="181" t="str">
        <f t="shared" si="32"/>
        <v>outbound</v>
      </c>
      <c r="B854" s="182">
        <v>45660.5625</v>
      </c>
      <c r="C854" s="183" t="s">
        <v>1929</v>
      </c>
      <c r="D854" s="183" t="s">
        <v>2483</v>
      </c>
      <c r="E854" s="215" t="s">
        <v>2448</v>
      </c>
      <c r="F854" s="112" t="str">
        <f>IF(ISBLANK(E854),"",_xlfn.XLOOKUP(E854,[1]cannabis_log!C:C,[1]cannabis_log!J:J,"",0,))</f>
        <v>EX24111801V50</v>
      </c>
      <c r="G854" s="112"/>
      <c r="H854" s="112" t="str">
        <f>IF(ISBLANK(E854),"",_xlfn.XLOOKUP(E854,cannabis_log!C:C,cannabis_log!H:H,"",0,1))</f>
        <v>extract_ingested_cased_ON</v>
      </c>
      <c r="I854" s="113">
        <f>IF(ISBLANK(E854),"",_xlfn.XLOOKUP(E854,cannabis_log!C:C,cannabis_log!K:K,"NOT FOUND",0,1))</f>
        <v>45624</v>
      </c>
      <c r="J854" s="185">
        <v>-12</v>
      </c>
      <c r="K854" s="186">
        <f t="shared" si="33"/>
        <v>0</v>
      </c>
      <c r="L854" s="288">
        <f t="shared" si="29"/>
        <v>-7200</v>
      </c>
      <c r="M854" s="24"/>
      <c r="N854" s="112" t="str">
        <f>IF(ISBLANK(E854),"",_xlfn.XLOOKUP(E854,[1]cannabis_log!C:C,[1]cannabis_log!T:T,"Not Found",0,))</f>
        <v>net</v>
      </c>
      <c r="O854" s="180">
        <f>IF(N854="net",_xlfn.XLOOKUP(E854,cannabis_log!C:C,cannabis_log!N:N,"NOT FOUND",0,1),IF(N854="gross",0,""))</f>
        <v>600</v>
      </c>
    </row>
    <row r="855" spans="1:15">
      <c r="A855" s="181" t="str">
        <f t="shared" si="32"/>
        <v>outbound</v>
      </c>
      <c r="B855" s="182">
        <v>45660.5625</v>
      </c>
      <c r="C855" s="183" t="s">
        <v>1929</v>
      </c>
      <c r="D855" s="183" t="s">
        <v>2484</v>
      </c>
      <c r="E855" s="215" t="s">
        <v>2307</v>
      </c>
      <c r="F855" s="112" t="str">
        <f>IF(ISBLANK(E855),"",_xlfn.XLOOKUP(E855,[1]cannabis_log!C:C,[1]cannabis_log!J:J,"",0,))</f>
        <v>TP24101701</v>
      </c>
      <c r="G855" s="112"/>
      <c r="H855" s="112" t="str">
        <f>IF(ISBLANK(E855),"",_xlfn.XLOOKUP(E855,cannabis_log!C:C,cannabis_log!H:H,"",0,1))</f>
        <v>topical_labelled</v>
      </c>
      <c r="I855" s="113">
        <f>IF(ISBLANK(E855),"",_xlfn.XLOOKUP(E855,cannabis_log!C:C,cannabis_log!K:K,"NOT FOUND",0,1))</f>
        <v>45588</v>
      </c>
      <c r="J855" s="185">
        <v>-152</v>
      </c>
      <c r="K855" s="186">
        <f t="shared" si="33"/>
        <v>0</v>
      </c>
      <c r="L855" s="288">
        <f t="shared" si="29"/>
        <v>-13376</v>
      </c>
      <c r="M855" s="24"/>
      <c r="N855" s="112" t="str">
        <f>IF(ISBLANK(E855),"",_xlfn.XLOOKUP(E855,[1]cannabis_log!C:C,[1]cannabis_log!T:T,"Not Found",0,))</f>
        <v>net</v>
      </c>
      <c r="O855" s="180">
        <f>IF(N855="net",_xlfn.XLOOKUP(E855,cannabis_log!C:C,cannabis_log!N:N,"NOT FOUND",0,1),IF(N855="gross",0,""))</f>
        <v>88</v>
      </c>
    </row>
    <row r="856" spans="1:15">
      <c r="A856" s="181" t="str">
        <f t="shared" si="32"/>
        <v>outbound</v>
      </c>
      <c r="B856" s="182">
        <v>45660.5625</v>
      </c>
      <c r="C856" s="183" t="s">
        <v>1929</v>
      </c>
      <c r="D856" s="183"/>
      <c r="E856" s="215" t="s">
        <v>2307</v>
      </c>
      <c r="F856" s="112" t="str">
        <f>IF(ISBLANK(E856),"",_xlfn.XLOOKUP(E856,[1]cannabis_log!C:C,[1]cannabis_log!J:J,"",0,))</f>
        <v>TP24101701</v>
      </c>
      <c r="G856" s="112"/>
      <c r="H856" s="112" t="str">
        <f>IF(ISBLANK(E856),"",_xlfn.XLOOKUP(E856,cannabis_log!C:C,cannabis_log!H:H,"",0,1))</f>
        <v>topical_labelled</v>
      </c>
      <c r="I856" s="113">
        <f>IF(ISBLANK(E856),"",_xlfn.XLOOKUP(E856,cannabis_log!C:C,cannabis_log!K:K,"NOT FOUND",0,1))</f>
        <v>45588</v>
      </c>
      <c r="J856" s="185">
        <v>-133</v>
      </c>
      <c r="K856" s="186">
        <f t="shared" si="33"/>
        <v>0</v>
      </c>
      <c r="L856" s="288">
        <f t="shared" si="29"/>
        <v>-11704</v>
      </c>
      <c r="M856" s="24"/>
      <c r="N856" s="112" t="str">
        <f>IF(ISBLANK(E856),"",_xlfn.XLOOKUP(E856,[1]cannabis_log!C:C,[1]cannabis_log!T:T,"Not Found",0,))</f>
        <v>net</v>
      </c>
      <c r="O856" s="180">
        <f>IF(N856="net",_xlfn.XLOOKUP(E856,cannabis_log!C:C,cannabis_log!N:N,"NOT FOUND",0,1),IF(N856="gross",0,""))</f>
        <v>88</v>
      </c>
    </row>
    <row r="857" spans="1:15">
      <c r="A857" s="181" t="str">
        <f t="shared" si="32"/>
        <v>outbound</v>
      </c>
      <c r="B857" s="182">
        <v>45663.500694444447</v>
      </c>
      <c r="C857" s="183" t="s">
        <v>1924</v>
      </c>
      <c r="D857" s="183" t="s">
        <v>2485</v>
      </c>
      <c r="E857" s="215" t="s">
        <v>2291</v>
      </c>
      <c r="F857" s="112">
        <f>IF(ISBLANK(E857),"",_xlfn.XLOOKUP(E857,[1]cannabis_log!C:C,[1]cannabis_log!J:J,"",0,))</f>
        <v>2022051601</v>
      </c>
      <c r="G857" s="112"/>
      <c r="H857" s="112" t="str">
        <f>IF(ISBLANK(E857),"",_xlfn.XLOOKUP(E857,cannabis_log!C:C,cannabis_log!H:H,"",0,1))</f>
        <v>driedflower_bulk</v>
      </c>
      <c r="I857" s="113">
        <f>IF(ISBLANK(E857),"",_xlfn.XLOOKUP(E857,cannabis_log!C:C,cannabis_log!K:K,"NOT FOUND",0,1))</f>
        <v>44830</v>
      </c>
      <c r="J857" s="185">
        <v>-1</v>
      </c>
      <c r="K857" s="186">
        <v>-1030</v>
      </c>
      <c r="L857" s="288">
        <f t="shared" si="29"/>
        <v>0</v>
      </c>
      <c r="M857" s="24"/>
      <c r="N857" s="112" t="str">
        <f>IF(ISBLANK(E857),"",_xlfn.XLOOKUP(E857,[1]cannabis_log!C:C,[1]cannabis_log!T:T,"Not Found",0,))</f>
        <v>gross</v>
      </c>
      <c r="O857" s="180">
        <f>IF(N857="net",_xlfn.XLOOKUP(E857,cannabis_log!C:C,cannabis_log!N:N,"NOT FOUND",0,1),IF(N857="gross",0,""))</f>
        <v>0</v>
      </c>
    </row>
    <row r="858" spans="1:15">
      <c r="A858" s="181" t="str">
        <f t="shared" si="32"/>
        <v>outbound</v>
      </c>
      <c r="B858" s="182">
        <v>45663.500694444447</v>
      </c>
      <c r="C858" s="183" t="s">
        <v>1924</v>
      </c>
      <c r="D858" s="183" t="s">
        <v>2485</v>
      </c>
      <c r="E858" s="215" t="s">
        <v>1978</v>
      </c>
      <c r="F858" s="112" t="str">
        <f>IF(ISBLANK(E858),"",_xlfn.XLOOKUP(E858,[1]cannabis_log!C:C,[1]cannabis_log!J:J,"",0,))</f>
        <v>2022012401R1</v>
      </c>
      <c r="G858" s="112"/>
      <c r="H858" s="112" t="str">
        <f>IF(ISBLANK(E858),"",_xlfn.XLOOKUP(E858,cannabis_log!C:C,cannabis_log!H:H,"",0,1))</f>
        <v>driedflower_bulk</v>
      </c>
      <c r="I858" s="113">
        <f>IF(ISBLANK(E858),"",_xlfn.XLOOKUP(E858,cannabis_log!C:C,cannabis_log!K:K,"NOT FOUND",0,1))</f>
        <v>44686</v>
      </c>
      <c r="J858" s="185">
        <v>-1</v>
      </c>
      <c r="K858" s="186">
        <v>-934.6</v>
      </c>
      <c r="L858" s="288">
        <f t="shared" si="29"/>
        <v>0</v>
      </c>
      <c r="M858" s="24"/>
      <c r="N858" s="112" t="str">
        <f>IF(ISBLANK(E858),"",_xlfn.XLOOKUP(E858,[1]cannabis_log!C:C,[1]cannabis_log!T:T,"Not Found",0,))</f>
        <v>gross</v>
      </c>
      <c r="O858" s="180">
        <f>IF(N858="net",_xlfn.XLOOKUP(E858,cannabis_log!C:C,cannabis_log!N:N,"NOT FOUND",0,1),IF(N858="gross",0,""))</f>
        <v>0</v>
      </c>
    </row>
    <row r="859" spans="1:15">
      <c r="A859" s="181" t="str">
        <f t="shared" si="32"/>
        <v>outbound</v>
      </c>
      <c r="B859" s="182">
        <v>45663.500694444447</v>
      </c>
      <c r="C859" s="183" t="s">
        <v>1924</v>
      </c>
      <c r="D859" s="183" t="s">
        <v>2485</v>
      </c>
      <c r="E859" s="215" t="s">
        <v>2332</v>
      </c>
      <c r="F859" s="112">
        <f>IF(ISBLANK(E859),"",_xlfn.XLOOKUP(E859,[1]cannabis_log!C:C,[1]cannabis_log!J:J,"",0,))</f>
        <v>2022051603</v>
      </c>
      <c r="G859" s="112"/>
      <c r="H859" s="112" t="str">
        <f>IF(ISBLANK(E859),"",_xlfn.XLOOKUP(E859,cannabis_log!C:C,cannabis_log!H:H,"",0,1))</f>
        <v>driedflower_bulk</v>
      </c>
      <c r="I859" s="113">
        <f>IF(ISBLANK(E859),"",_xlfn.XLOOKUP(E859,cannabis_log!C:C,cannabis_log!K:K,"NOT FOUND",0,1))</f>
        <v>44830</v>
      </c>
      <c r="J859" s="185">
        <v>-1</v>
      </c>
      <c r="K859" s="186">
        <v>-1010</v>
      </c>
      <c r="L859" s="288">
        <f t="shared" si="29"/>
        <v>0</v>
      </c>
      <c r="M859" s="24"/>
      <c r="N859" s="112" t="str">
        <f>IF(ISBLANK(E859),"",_xlfn.XLOOKUP(E859,[1]cannabis_log!C:C,[1]cannabis_log!T:T,"Not Found",0,))</f>
        <v>gross</v>
      </c>
      <c r="O859" s="180">
        <f>IF(N859="net",_xlfn.XLOOKUP(E859,cannabis_log!C:C,cannabis_log!N:N,"NOT FOUND",0,1),IF(N859="gross",0,""))</f>
        <v>0</v>
      </c>
    </row>
    <row r="860" spans="1:15">
      <c r="A860" s="181" t="str">
        <f t="shared" si="32"/>
        <v>outbound</v>
      </c>
      <c r="B860" s="182">
        <v>45663.500694444447</v>
      </c>
      <c r="C860" s="183" t="s">
        <v>1921</v>
      </c>
      <c r="D860" s="183" t="s">
        <v>2486</v>
      </c>
      <c r="E860" s="215" t="s">
        <v>2409</v>
      </c>
      <c r="F860" s="112">
        <f>IF(ISBLANK(E860),"",_xlfn.XLOOKUP(E860,[1]cannabis_log!C:C,[1]cannabis_log!J:J,"",0,))</f>
        <v>2024111201</v>
      </c>
      <c r="G860" s="112"/>
      <c r="H860" s="112" t="str">
        <f>IF(ISBLANK(E860),"",_xlfn.XLOOKUP(E860,cannabis_log!C:C,cannabis_log!H:H,"",0,1))</f>
        <v>extract_distillate_bulk</v>
      </c>
      <c r="I860" s="113" t="str">
        <f>IF(ISBLANK(E860),"",_xlfn.XLOOKUP(E860,cannabis_log!C:C,cannabis_log!K:K,"NOT FOUND",0,1))</f>
        <v>NA</v>
      </c>
      <c r="J860" s="185">
        <v>-1</v>
      </c>
      <c r="K860" s="186">
        <v>-275.63</v>
      </c>
      <c r="L860" s="288">
        <f t="shared" si="29"/>
        <v>0</v>
      </c>
      <c r="M860" s="24"/>
      <c r="N860" s="112" t="str">
        <f>IF(ISBLANK(E860),"",_xlfn.XLOOKUP(E860,[1]cannabis_log!C:C,[1]cannabis_log!T:T,"Not Found",0,))</f>
        <v>gross</v>
      </c>
      <c r="O860" s="180">
        <f>IF(N860="net",_xlfn.XLOOKUP(E860,cannabis_log!C:C,cannabis_log!N:N,"NOT FOUND",0,1),IF(N860="gross",0,""))</f>
        <v>0</v>
      </c>
    </row>
    <row r="861" spans="1:15">
      <c r="A861" s="181" t="str">
        <f t="shared" si="32"/>
        <v>outbound</v>
      </c>
      <c r="B861" s="182">
        <v>45663.500694444447</v>
      </c>
      <c r="C861" s="183" t="s">
        <v>1921</v>
      </c>
      <c r="D861" s="183" t="s">
        <v>2487</v>
      </c>
      <c r="E861" s="215" t="s">
        <v>2235</v>
      </c>
      <c r="F861" s="112">
        <f>IF(ISBLANK(E861),"",_xlfn.XLOOKUP(E861,[1]cannabis_log!C:C,[1]cannabis_log!J:J,"",0,))</f>
        <v>2024100401</v>
      </c>
      <c r="G861" s="112"/>
      <c r="H861" s="112" t="str">
        <f>IF(ISBLANK(E861),"",_xlfn.XLOOKUP(E861,cannabis_log!C:C,cannabis_log!H:H,"",0,1))</f>
        <v>extract_distillate_bulk</v>
      </c>
      <c r="I861" s="113" t="str">
        <f>IF(ISBLANK(E861),"",_xlfn.XLOOKUP(E861,cannabis_log!C:C,cannabis_log!K:K,"NOT FOUND",0,1))</f>
        <v>NA</v>
      </c>
      <c r="J861" s="185">
        <v>-1</v>
      </c>
      <c r="K861" s="186">
        <v>-1494.1</v>
      </c>
      <c r="L861" s="288">
        <f t="shared" si="29"/>
        <v>0</v>
      </c>
      <c r="M861" s="24"/>
      <c r="N861" s="112" t="str">
        <f>IF(ISBLANK(E861),"",_xlfn.XLOOKUP(E861,[1]cannabis_log!C:C,[1]cannabis_log!T:T,"Not Found",0,))</f>
        <v>gross</v>
      </c>
      <c r="O861" s="180">
        <f>IF(N861="net",_xlfn.XLOOKUP(E861,cannabis_log!C:C,cannabis_log!N:N,"NOT FOUND",0,1),IF(N861="gross",0,""))</f>
        <v>0</v>
      </c>
    </row>
    <row r="862" spans="1:15">
      <c r="A862" s="181" t="str">
        <f t="shared" si="32"/>
        <v>outbound</v>
      </c>
      <c r="B862" s="182">
        <v>45663.500694444447</v>
      </c>
      <c r="C862" s="183" t="s">
        <v>1921</v>
      </c>
      <c r="D862" s="183" t="s">
        <v>2486</v>
      </c>
      <c r="E862" s="215" t="s">
        <v>2329</v>
      </c>
      <c r="F862" s="112">
        <f>IF(ISBLANK(E862),"",_xlfn.XLOOKUP(E862,[1]cannabis_log!C:C,[1]cannabis_log!J:J,"",0,))</f>
        <v>2024111201</v>
      </c>
      <c r="G862" s="112"/>
      <c r="H862" s="112" t="str">
        <f>IF(ISBLANK(E862),"",_xlfn.XLOOKUP(E862,cannabis_log!C:C,cannabis_log!H:H,"",0,1))</f>
        <v>extract_distillate_bulk</v>
      </c>
      <c r="I862" s="113" t="str">
        <f>IF(ISBLANK(E862),"",_xlfn.XLOOKUP(E862,cannabis_log!C:C,cannabis_log!K:K,"NOT FOUND",0,1))</f>
        <v>NA</v>
      </c>
      <c r="J862" s="185">
        <v>-1</v>
      </c>
      <c r="K862" s="186">
        <v>-1326.1</v>
      </c>
      <c r="L862" s="288">
        <f t="shared" si="29"/>
        <v>0</v>
      </c>
      <c r="M862" s="24"/>
      <c r="N862" s="112" t="str">
        <f>IF(ISBLANK(E862),"",_xlfn.XLOOKUP(E862,[1]cannabis_log!C:C,[1]cannabis_log!T:T,"Not Found",0,))</f>
        <v>gross</v>
      </c>
      <c r="O862" s="180">
        <f>IF(N862="net",_xlfn.XLOOKUP(E862,cannabis_log!C:C,cannabis_log!N:N,"NOT FOUND",0,1),IF(N862="gross",0,""))</f>
        <v>0</v>
      </c>
    </row>
    <row r="863" spans="1:15">
      <c r="A863" s="181" t="str">
        <f t="shared" si="32"/>
        <v>inbound</v>
      </c>
      <c r="B863" s="182">
        <v>45663.647222222222</v>
      </c>
      <c r="C863" s="183" t="s">
        <v>1927</v>
      </c>
      <c r="D863" s="183" t="s">
        <v>2488</v>
      </c>
      <c r="E863" s="215" t="s">
        <v>2394</v>
      </c>
      <c r="F863" s="112" t="str">
        <f>IF(ISBLANK(E863),"",_xlfn.XLOOKUP(E863,[1]cannabis_log!C:C,[1]cannabis_log!J:J,"",0,))</f>
        <v>EX24101802V30</v>
      </c>
      <c r="G863" s="112"/>
      <c r="H863" s="112" t="str">
        <f>IF(ISBLANK(E863),"",_xlfn.XLOOKUP(E863,cannabis_log!C:C,cannabis_log!H:H,"",0,1))</f>
        <v>extract_ingested_labelled</v>
      </c>
      <c r="I863" s="113">
        <f>IF(ISBLANK(E863),"",_xlfn.XLOOKUP(E863,cannabis_log!C:C,cannabis_log!K:K,"NOT FOUND",0,1))</f>
        <v>45588</v>
      </c>
      <c r="J863" s="185">
        <v>10</v>
      </c>
      <c r="K863" s="186">
        <f t="shared" ref="K863:K877" si="34">IF(N863="net",0,"")</f>
        <v>0</v>
      </c>
      <c r="L863" s="288">
        <f t="shared" si="29"/>
        <v>276</v>
      </c>
      <c r="M863" s="24"/>
      <c r="N863" s="112" t="str">
        <f>IF(ISBLANK(E863),"",_xlfn.XLOOKUP(E863,[1]cannabis_log!C:C,[1]cannabis_log!T:T,"Not Found",0,))</f>
        <v>net</v>
      </c>
      <c r="O863" s="180">
        <f>IF(N863="net",_xlfn.XLOOKUP(E863,cannabis_log!C:C,cannabis_log!N:N,"NOT FOUND",0,1),IF(N863="gross",0,""))</f>
        <v>27.6</v>
      </c>
    </row>
    <row r="864" spans="1:15">
      <c r="A864" s="181" t="str">
        <f t="shared" si="32"/>
        <v>outbound</v>
      </c>
      <c r="B864" s="182">
        <v>45663.647222222222</v>
      </c>
      <c r="C864" s="183" t="s">
        <v>1921</v>
      </c>
      <c r="D864" s="183" t="s">
        <v>2489</v>
      </c>
      <c r="E864" s="215" t="s">
        <v>2490</v>
      </c>
      <c r="F864" s="112" t="str">
        <f>IF(ISBLANK(E864),"",_xlfn.XLOOKUP(E864,[1]cannabis_log!C:C,[1]cannabis_log!J:J,"",0,))</f>
        <v>EX24111301G05</v>
      </c>
      <c r="G864" s="112"/>
      <c r="H864" s="112" t="str">
        <f>IF(ISBLANK(E864),"",_xlfn.XLOOKUP(E864,cannabis_log!C:C,cannabis_log!H:H,"",0,1))</f>
        <v>extract_inhaled_packaged</v>
      </c>
      <c r="I864" s="113">
        <f>IF(ISBLANK(E864),"",_xlfn.XLOOKUP(E864,cannabis_log!C:C,cannabis_log!K:K,"NOT FOUND",0,1))</f>
        <v>45642</v>
      </c>
      <c r="J864" s="185">
        <v>-626</v>
      </c>
      <c r="K864" s="186">
        <f t="shared" si="34"/>
        <v>0</v>
      </c>
      <c r="L864" s="288">
        <f t="shared" si="29"/>
        <v>-313</v>
      </c>
      <c r="M864" s="24"/>
      <c r="N864" s="112" t="str">
        <f>IF(ISBLANK(E864),"",_xlfn.XLOOKUP(E864,[1]cannabis_log!C:C,[1]cannabis_log!T:T,"Not Found",0,))</f>
        <v>net</v>
      </c>
      <c r="O864" s="180">
        <f>IF(N864="net",_xlfn.XLOOKUP(E864,cannabis_log!C:C,cannabis_log!N:N,"NOT FOUND",0,1),IF(N864="gross",0,""))</f>
        <v>0.5</v>
      </c>
    </row>
    <row r="865" spans="1:15">
      <c r="A865" s="181" t="str">
        <f t="shared" si="32"/>
        <v>outbound</v>
      </c>
      <c r="B865" s="182">
        <v>45663.647222222222</v>
      </c>
      <c r="C865" s="183" t="s">
        <v>1929</v>
      </c>
      <c r="D865" s="183" t="s">
        <v>2491</v>
      </c>
      <c r="E865" s="215" t="s">
        <v>2064</v>
      </c>
      <c r="F865" s="112" t="str">
        <f>IF(ISBLANK(E865),"",_xlfn.XLOOKUP(E865,[1]cannabis_log!C:C,[1]cannabis_log!J:J,"",0,))</f>
        <v>PR21071201G1</v>
      </c>
      <c r="G865" s="112"/>
      <c r="H865" s="112" t="str">
        <f>IF(ISBLANK(E865),"",_xlfn.XLOOKUP(E865,cannabis_log!C:C,cannabis_log!H:H,"",0,1))</f>
        <v>preroll_labelled</v>
      </c>
      <c r="I865" s="113">
        <f>IF(ISBLANK(E865),"",_xlfn.XLOOKUP(E865,cannabis_log!C:C,cannabis_log!K:K,"NOT FOUND",0,1))</f>
        <v>45593</v>
      </c>
      <c r="J865" s="185">
        <v>-12</v>
      </c>
      <c r="K865" s="186">
        <f t="shared" si="34"/>
        <v>0</v>
      </c>
      <c r="L865" s="288">
        <f t="shared" si="29"/>
        <v>-12</v>
      </c>
      <c r="M865" s="24"/>
      <c r="N865" s="112" t="str">
        <f>IF(ISBLANK(E865),"",_xlfn.XLOOKUP(E865,[1]cannabis_log!C:C,[1]cannabis_log!T:T,"Not Found",0,))</f>
        <v>net</v>
      </c>
      <c r="O865" s="180">
        <f>IF(N865="net",_xlfn.XLOOKUP(E865,cannabis_log!C:C,cannabis_log!N:N,"NOT FOUND",0,1),IF(N865="gross",0,""))</f>
        <v>1</v>
      </c>
    </row>
    <row r="866" spans="1:15">
      <c r="A866" s="181" t="str">
        <f t="shared" si="32"/>
        <v>outbound</v>
      </c>
      <c r="B866" s="182">
        <v>45663.647222222222</v>
      </c>
      <c r="C866" s="183" t="s">
        <v>1929</v>
      </c>
      <c r="D866" s="183" t="s">
        <v>2491</v>
      </c>
      <c r="E866" s="215" t="s">
        <v>1990</v>
      </c>
      <c r="F866" s="112" t="str">
        <f>IF(ISBLANK(E866),"",_xlfn.XLOOKUP(E866,[1]cannabis_log!C:C,[1]cannabis_log!J:J,"",0,))</f>
        <v>EX23100401V30</v>
      </c>
      <c r="G866" s="112"/>
      <c r="H866" s="112" t="str">
        <f>IF(ISBLANK(E866),"",_xlfn.XLOOKUP(E866,cannabis_log!C:C,cannabis_log!H:H,"",0,1))</f>
        <v>extract_ingested_labelled</v>
      </c>
      <c r="I866" s="113">
        <f>IF(ISBLANK(E866),"",_xlfn.XLOOKUP(E866,cannabis_log!C:C,cannabis_log!K:K,"NOT FOUND",0,1))</f>
        <v>45488</v>
      </c>
      <c r="J866" s="185">
        <v>-12</v>
      </c>
      <c r="K866" s="186">
        <f t="shared" si="34"/>
        <v>0</v>
      </c>
      <c r="L866" s="288">
        <f t="shared" si="29"/>
        <v>-331.20000000000005</v>
      </c>
      <c r="M866" s="24"/>
      <c r="N866" s="112" t="str">
        <f>IF(ISBLANK(E866),"",_xlfn.XLOOKUP(E866,[1]cannabis_log!C:C,[1]cannabis_log!T:T,"Not Found",0,))</f>
        <v>net</v>
      </c>
      <c r="O866" s="180">
        <f>IF(N866="net",_xlfn.XLOOKUP(E866,cannabis_log!C:C,cannabis_log!N:N,"NOT FOUND",0,1),IF(N866="gross",0,""))</f>
        <v>27.6</v>
      </c>
    </row>
    <row r="867" spans="1:15">
      <c r="A867" s="181" t="str">
        <f t="shared" si="32"/>
        <v>outbound</v>
      </c>
      <c r="B867" s="182">
        <v>45663.647222222222</v>
      </c>
      <c r="C867" s="183" t="s">
        <v>1929</v>
      </c>
      <c r="D867" s="183" t="s">
        <v>2491</v>
      </c>
      <c r="E867" s="215" t="s">
        <v>2300</v>
      </c>
      <c r="F867" s="112" t="str">
        <f>IF(ISBLANK(E867),"",_xlfn.XLOOKUP(E867,[1]cannabis_log!C:C,[1]cannabis_log!J:J,"",0,))</f>
        <v>EX23060701V30</v>
      </c>
      <c r="G867" s="112"/>
      <c r="H867" s="112" t="str">
        <f>IF(ISBLANK(E867),"",_xlfn.XLOOKUP(E867,cannabis_log!C:C,cannabis_log!H:H,"",0,1))</f>
        <v>extract_ingested_labelled</v>
      </c>
      <c r="I867" s="113">
        <f>IF(ISBLANK(E867),"",_xlfn.XLOOKUP(E867,cannabis_log!C:C,cannabis_log!K:K,"NOT FOUND",0,1))</f>
        <v>45596</v>
      </c>
      <c r="J867" s="185">
        <v>-12</v>
      </c>
      <c r="K867" s="186">
        <f t="shared" si="34"/>
        <v>0</v>
      </c>
      <c r="L867" s="288">
        <f t="shared" si="29"/>
        <v>-328.79999999999995</v>
      </c>
      <c r="M867" s="24"/>
      <c r="N867" s="112" t="str">
        <f>IF(ISBLANK(E867),"",_xlfn.XLOOKUP(E867,[1]cannabis_log!C:C,[1]cannabis_log!T:T,"Not Found",0,))</f>
        <v>net</v>
      </c>
      <c r="O867" s="180">
        <f>IF(N867="net",_xlfn.XLOOKUP(E867,cannabis_log!C:C,cannabis_log!N:N,"NOT FOUND",0,1),IF(N867="gross",0,""))</f>
        <v>27.4</v>
      </c>
    </row>
    <row r="868" spans="1:15">
      <c r="A868" s="181" t="str">
        <f t="shared" si="32"/>
        <v>outbound</v>
      </c>
      <c r="B868" s="182">
        <v>45663.647222222222</v>
      </c>
      <c r="C868" s="183" t="s">
        <v>1929</v>
      </c>
      <c r="D868" s="183" t="s">
        <v>2491</v>
      </c>
      <c r="E868" s="215" t="s">
        <v>2412</v>
      </c>
      <c r="F868" s="112" t="str">
        <f>IF(ISBLANK(E868),"",_xlfn.XLOOKUP(E868,[1]cannabis_log!C:C,[1]cannabis_log!J:J,"",0,))</f>
        <v>EX24111302G05</v>
      </c>
      <c r="G868" s="112"/>
      <c r="H868" s="112" t="str">
        <f>IF(ISBLANK(E868),"",_xlfn.XLOOKUP(E868,cannabis_log!C:C,cannabis_log!H:H,"",0,1))</f>
        <v>extract_inhaled_labelled</v>
      </c>
      <c r="I868" s="113">
        <f>IF(ISBLANK(E868),"",_xlfn.XLOOKUP(E868,cannabis_log!C:C,cannabis_log!K:K,"NOT FOUND",0,1))</f>
        <v>45623</v>
      </c>
      <c r="J868" s="185">
        <v>-24</v>
      </c>
      <c r="K868" s="186">
        <f t="shared" si="34"/>
        <v>0</v>
      </c>
      <c r="L868" s="288">
        <f t="shared" si="29"/>
        <v>-12</v>
      </c>
      <c r="M868" s="24"/>
      <c r="N868" s="112" t="str">
        <f>IF(ISBLANK(E868),"",_xlfn.XLOOKUP(E868,[1]cannabis_log!C:C,[1]cannabis_log!T:T,"Not Found",0,))</f>
        <v>net</v>
      </c>
      <c r="O868" s="180">
        <f>IF(N868="net",_xlfn.XLOOKUP(E868,cannabis_log!C:C,cannabis_log!N:N,"NOT FOUND",0,1),IF(N868="gross",0,""))</f>
        <v>0.5</v>
      </c>
    </row>
    <row r="869" spans="1:15">
      <c r="A869" s="181" t="str">
        <f t="shared" si="32"/>
        <v>outbound</v>
      </c>
      <c r="B869" s="182">
        <v>45663.647222222222</v>
      </c>
      <c r="C869" s="183" t="s">
        <v>1929</v>
      </c>
      <c r="D869" s="183" t="s">
        <v>2491</v>
      </c>
      <c r="E869" s="215" t="s">
        <v>2415</v>
      </c>
      <c r="F869" s="112" t="str">
        <f>IF(ISBLANK(E869),"",_xlfn.XLOOKUP(E869,[1]cannabis_log!C:C,[1]cannabis_log!J:J,"",0,))</f>
        <v>EX24101701G05</v>
      </c>
      <c r="G869" s="112"/>
      <c r="H869" s="112" t="str">
        <f>IF(ISBLANK(E869),"",_xlfn.XLOOKUP(E869,cannabis_log!C:C,cannabis_log!H:H,"",0,1))</f>
        <v>extract_inhaled_labelled</v>
      </c>
      <c r="I869" s="113">
        <f>IF(ISBLANK(E869),"",_xlfn.XLOOKUP(E869,cannabis_log!C:C,cannabis_log!K:K,"NOT FOUND",0,1))</f>
        <v>45618</v>
      </c>
      <c r="J869" s="185">
        <v>-12</v>
      </c>
      <c r="K869" s="186">
        <f t="shared" si="34"/>
        <v>0</v>
      </c>
      <c r="L869" s="288">
        <f t="shared" si="29"/>
        <v>-6</v>
      </c>
      <c r="M869" s="24"/>
      <c r="N869" s="112" t="str">
        <f>IF(ISBLANK(E869),"",_xlfn.XLOOKUP(E869,[1]cannabis_log!C:C,[1]cannabis_log!T:T,"Not Found",0,))</f>
        <v>net</v>
      </c>
      <c r="O869" s="180">
        <f>IF(N869="net",_xlfn.XLOOKUP(E869,cannabis_log!C:C,cannabis_log!N:N,"NOT FOUND",0,1),IF(N869="gross",0,""))</f>
        <v>0.5</v>
      </c>
    </row>
    <row r="870" spans="1:15">
      <c r="A870" s="181" t="str">
        <f t="shared" si="32"/>
        <v>outbound</v>
      </c>
      <c r="B870" s="182">
        <v>45663.647222222222</v>
      </c>
      <c r="C870" s="183" t="s">
        <v>1929</v>
      </c>
      <c r="D870" s="183" t="s">
        <v>2491</v>
      </c>
      <c r="E870" s="215" t="s">
        <v>2397</v>
      </c>
      <c r="F870" s="112" t="str">
        <f>IF(ISBLANK(E870),"",_xlfn.XLOOKUP(E870,[1]cannabis_log!C:C,[1]cannabis_log!J:J,"",0,))</f>
        <v>EX24082906G05</v>
      </c>
      <c r="G870" s="112"/>
      <c r="H870" s="112" t="str">
        <f>IF(ISBLANK(E870),"",_xlfn.XLOOKUP(E870,cannabis_log!C:C,cannabis_log!H:H,"",0,1))</f>
        <v>extract_inhaled_labelled</v>
      </c>
      <c r="I870" s="113">
        <f>IF(ISBLANK(E870),"",_xlfn.XLOOKUP(E870,cannabis_log!C:C,cannabis_log!K:K,"NOT FOUND",0,1))</f>
        <v>45588</v>
      </c>
      <c r="J870" s="185">
        <v>-8</v>
      </c>
      <c r="K870" s="186">
        <f t="shared" si="34"/>
        <v>0</v>
      </c>
      <c r="L870" s="288">
        <f t="shared" si="29"/>
        <v>-4</v>
      </c>
      <c r="M870" s="24"/>
      <c r="N870" s="112" t="str">
        <f>IF(ISBLANK(E870),"",_xlfn.XLOOKUP(E870,[1]cannabis_log!C:C,[1]cannabis_log!T:T,"Not Found",0,))</f>
        <v>net</v>
      </c>
      <c r="O870" s="180">
        <f>IF(N870="net",_xlfn.XLOOKUP(E870,cannabis_log!C:C,cannabis_log!N:N,"NOT FOUND",0,1),IF(N870="gross",0,""))</f>
        <v>0.5</v>
      </c>
    </row>
    <row r="871" spans="1:15">
      <c r="A871" s="181" t="str">
        <f t="shared" si="32"/>
        <v>outbound</v>
      </c>
      <c r="B871" s="182">
        <v>45663.647222222222</v>
      </c>
      <c r="C871" s="183" t="s">
        <v>1929</v>
      </c>
      <c r="D871" s="183" t="s">
        <v>2491</v>
      </c>
      <c r="E871" s="215" t="s">
        <v>2278</v>
      </c>
      <c r="F871" s="112" t="str">
        <f>IF(ISBLANK(E871),"",_xlfn.XLOOKUP(E871,[1]cannabis_log!C:C,[1]cannabis_log!J:J,"",0,))</f>
        <v>EX24082906G05</v>
      </c>
      <c r="G871" s="112"/>
      <c r="H871" s="112" t="str">
        <f>IF(ISBLANK(E871),"",_xlfn.XLOOKUP(E871,cannabis_log!C:C,cannabis_log!H:H,"",0,1))</f>
        <v>extract_inhaled_labelled</v>
      </c>
      <c r="I871" s="113">
        <f>IF(ISBLANK(E871),"",_xlfn.XLOOKUP(E871,cannabis_log!C:C,cannabis_log!K:K,"NOT FOUND",0,1))</f>
        <v>45574</v>
      </c>
      <c r="J871" s="185">
        <v>-4</v>
      </c>
      <c r="K871" s="186">
        <f t="shared" si="34"/>
        <v>0</v>
      </c>
      <c r="L871" s="288">
        <f t="shared" si="29"/>
        <v>-2</v>
      </c>
      <c r="M871" s="24"/>
      <c r="N871" s="112" t="str">
        <f>IF(ISBLANK(E871),"",_xlfn.XLOOKUP(E871,[1]cannabis_log!C:C,[1]cannabis_log!T:T,"Not Found",0,))</f>
        <v>net</v>
      </c>
      <c r="O871" s="180">
        <f>IF(N871="net",_xlfn.XLOOKUP(E871,cannabis_log!C:C,cannabis_log!N:N,"NOT FOUND",0,1),IF(N871="gross",0,""))</f>
        <v>0.5</v>
      </c>
    </row>
    <row r="872" spans="1:15">
      <c r="A872" s="181" t="str">
        <f t="shared" si="32"/>
        <v>outbound</v>
      </c>
      <c r="B872" s="182">
        <v>45663.647222222222</v>
      </c>
      <c r="C872" s="183" t="s">
        <v>1929</v>
      </c>
      <c r="D872" s="183" t="s">
        <v>2491</v>
      </c>
      <c r="E872" s="215" t="s">
        <v>2492</v>
      </c>
      <c r="F872" s="112" t="str">
        <f>IF(ISBLANK(E872),"",_xlfn.XLOOKUP(E872,[1]cannabis_log!C:C,[1]cannabis_log!J:J,"",0,))</f>
        <v>PR241104F5P3</v>
      </c>
      <c r="G872" s="112"/>
      <c r="H872" s="112" t="str">
        <f>IF(ISBLANK(E872),"",_xlfn.XLOOKUP(E872,cannabis_log!C:C,cannabis_log!H:H,"",0,1))</f>
        <v>preroll_labelled</v>
      </c>
      <c r="I872" s="113">
        <f>IF(ISBLANK(E872),"",_xlfn.XLOOKUP(E872,cannabis_log!C:C,cannabis_log!K:K,"NOT FOUND",0,1))</f>
        <v>45630</v>
      </c>
      <c r="J872" s="185">
        <v>-12</v>
      </c>
      <c r="K872" s="186">
        <f t="shared" si="34"/>
        <v>0</v>
      </c>
      <c r="L872" s="288">
        <f t="shared" si="29"/>
        <v>-18</v>
      </c>
      <c r="M872" s="24"/>
      <c r="N872" s="112" t="str">
        <f>IF(ISBLANK(E872),"",_xlfn.XLOOKUP(E872,[1]cannabis_log!C:C,[1]cannabis_log!T:T,"Not Found",0,))</f>
        <v>net</v>
      </c>
      <c r="O872" s="180">
        <f>IF(N872="net",_xlfn.XLOOKUP(E872,cannabis_log!C:C,cannabis_log!N:N,"NOT FOUND",0,1),IF(N872="gross",0,""))</f>
        <v>1.5</v>
      </c>
    </row>
    <row r="873" spans="1:15">
      <c r="A873" s="181" t="str">
        <f t="shared" si="32"/>
        <v>outbound</v>
      </c>
      <c r="B873" s="182">
        <v>45663.647222222222</v>
      </c>
      <c r="C873" s="183" t="s">
        <v>1929</v>
      </c>
      <c r="D873" s="183" t="s">
        <v>2491</v>
      </c>
      <c r="E873" s="215" t="s">
        <v>2295</v>
      </c>
      <c r="F873" s="112" t="str">
        <f>IF(ISBLANK(E873),"",_xlfn.XLOOKUP(E873,[1]cannabis_log!C:C,[1]cannabis_log!J:J,"",0,))</f>
        <v>PR241101F5P3</v>
      </c>
      <c r="G873" s="112"/>
      <c r="H873" s="112" t="str">
        <f>IF(ISBLANK(E873),"",_xlfn.XLOOKUP(E873,cannabis_log!C:C,cannabis_log!H:H,"",0,1))</f>
        <v>preroll_labelled</v>
      </c>
      <c r="I873" s="113">
        <f>IF(ISBLANK(E873),"",_xlfn.XLOOKUP(E873,cannabis_log!C:C,cannabis_log!K:K,"NOT FOUND",0,1))</f>
        <v>45581</v>
      </c>
      <c r="J873" s="185">
        <v>-12</v>
      </c>
      <c r="K873" s="186">
        <f t="shared" si="34"/>
        <v>0</v>
      </c>
      <c r="L873" s="288">
        <f t="shared" si="29"/>
        <v>-18</v>
      </c>
      <c r="M873" s="24"/>
      <c r="N873" s="112" t="str">
        <f>IF(ISBLANK(E873),"",_xlfn.XLOOKUP(E873,[1]cannabis_log!C:C,[1]cannabis_log!T:T,"Not Found",0,))</f>
        <v>net</v>
      </c>
      <c r="O873" s="180">
        <f>IF(N873="net",_xlfn.XLOOKUP(E873,cannabis_log!C:C,cannabis_log!N:N,"NOT FOUND",0,1),IF(N873="gross",0,""))</f>
        <v>1.5</v>
      </c>
    </row>
    <row r="874" spans="1:15">
      <c r="A874" s="181" t="str">
        <f t="shared" si="32"/>
        <v>outbound</v>
      </c>
      <c r="B874" s="182">
        <v>45663.647222222222</v>
      </c>
      <c r="C874" s="183" t="s">
        <v>1929</v>
      </c>
      <c r="D874" s="183" t="s">
        <v>2491</v>
      </c>
      <c r="E874" s="215" t="s">
        <v>2105</v>
      </c>
      <c r="F874" s="112" t="str">
        <f>IF(ISBLANK(E874),"",_xlfn.XLOOKUP(E874,[1]cannabis_log!C:C,[1]cannabis_log!J:J,"",0,))</f>
        <v>PR241005F5P3</v>
      </c>
      <c r="G874" s="112"/>
      <c r="H874" s="112" t="str">
        <f>IF(ISBLANK(E874),"",_xlfn.XLOOKUP(E874,cannabis_log!C:C,cannabis_log!H:H,"",0,1))</f>
        <v>preroll_labelled</v>
      </c>
      <c r="I874" s="113">
        <f>IF(ISBLANK(E874),"",_xlfn.XLOOKUP(E874,cannabis_log!C:C,cannabis_log!K:K,"NOT FOUND",0,1))</f>
        <v>45575</v>
      </c>
      <c r="J874" s="185">
        <v>-12</v>
      </c>
      <c r="K874" s="186">
        <f t="shared" si="34"/>
        <v>0</v>
      </c>
      <c r="L874" s="288">
        <f t="shared" si="29"/>
        <v>-18</v>
      </c>
      <c r="M874" s="24"/>
      <c r="N874" s="112" t="str">
        <f>IF(ISBLANK(E874),"",_xlfn.XLOOKUP(E874,[1]cannabis_log!C:C,[1]cannabis_log!T:T,"Not Found",0,))</f>
        <v>net</v>
      </c>
      <c r="O874" s="180">
        <f>IF(N874="net",_xlfn.XLOOKUP(E874,cannabis_log!C:C,cannabis_log!N:N,"NOT FOUND",0,1),IF(N874="gross",0,""))</f>
        <v>1.5</v>
      </c>
    </row>
    <row r="875" spans="1:15">
      <c r="A875" s="181" t="str">
        <f t="shared" si="32"/>
        <v>outbound</v>
      </c>
      <c r="B875" s="182">
        <v>45663.647222222222</v>
      </c>
      <c r="C875" s="183" t="s">
        <v>1929</v>
      </c>
      <c r="D875" s="183" t="s">
        <v>2493</v>
      </c>
      <c r="E875" s="215" t="s">
        <v>2402</v>
      </c>
      <c r="F875" s="112" t="str">
        <f>IF(ISBLANK(E875),"",_xlfn.XLOOKUP(E875,[1]cannabis_log!C:C,[1]cannabis_log!J:J,"",0,))</f>
        <v>TP24082901</v>
      </c>
      <c r="G875" s="112"/>
      <c r="H875" s="112" t="str">
        <f>IF(ISBLANK(E875),"",_xlfn.XLOOKUP(E875,cannabis_log!C:C,cannabis_log!H:H,"",0,1))</f>
        <v>topical_labelled</v>
      </c>
      <c r="I875" s="113">
        <f>IF(ISBLANK(E875),"",_xlfn.XLOOKUP(E875,cannabis_log!C:C,cannabis_log!K:K,"NOT FOUND",0,1))</f>
        <v>45569</v>
      </c>
      <c r="J875" s="185">
        <v>-120</v>
      </c>
      <c r="K875" s="186">
        <f t="shared" si="34"/>
        <v>0</v>
      </c>
      <c r="L875" s="288">
        <f t="shared" si="29"/>
        <v>-10560</v>
      </c>
      <c r="M875" s="24"/>
      <c r="N875" s="112" t="str">
        <f>IF(ISBLANK(E875),"",_xlfn.XLOOKUP(E875,[1]cannabis_log!C:C,[1]cannabis_log!T:T,"Not Found",0,))</f>
        <v>net</v>
      </c>
      <c r="O875" s="180">
        <f>IF(N875="net",_xlfn.XLOOKUP(E875,cannabis_log!C:C,cannabis_log!N:N,"NOT FOUND",0,1),IF(N875="gross",0,""))</f>
        <v>88</v>
      </c>
    </row>
    <row r="876" spans="1:15">
      <c r="A876" s="181" t="str">
        <f t="shared" si="32"/>
        <v>outbound</v>
      </c>
      <c r="B876" s="182">
        <v>45663.647222222222</v>
      </c>
      <c r="C876" s="183" t="s">
        <v>1929</v>
      </c>
      <c r="D876" s="183" t="s">
        <v>2493</v>
      </c>
      <c r="E876" s="215" t="s">
        <v>1941</v>
      </c>
      <c r="F876" s="112" t="str">
        <f>IF(ISBLANK(E876),"",_xlfn.XLOOKUP(E876,[1]cannabis_log!C:C,[1]cannabis_log!J:J,"",0,))</f>
        <v>BS23101901G450</v>
      </c>
      <c r="G876" s="112"/>
      <c r="H876" s="112" t="str">
        <f>IF(ISBLANK(E876),"",_xlfn.XLOOKUP(E876,cannabis_log!C:C,cannabis_log!H:H,"",0,1))</f>
        <v>topical_labelled</v>
      </c>
      <c r="I876" s="113">
        <f>IF(ISBLANK(E876),"",_xlfn.XLOOKUP(E876,cannabis_log!C:C,cannabis_log!K:K,"NOT FOUND",0,1))</f>
        <v>45629</v>
      </c>
      <c r="J876" s="185">
        <v>-19</v>
      </c>
      <c r="K876" s="186">
        <f t="shared" si="34"/>
        <v>0</v>
      </c>
      <c r="L876" s="288">
        <f t="shared" si="29"/>
        <v>-8550</v>
      </c>
      <c r="M876" s="24"/>
      <c r="N876" s="112" t="str">
        <f>IF(ISBLANK(E876),"",_xlfn.XLOOKUP(E876,[1]cannabis_log!C:C,[1]cannabis_log!T:T,"Not Found",0,))</f>
        <v>net</v>
      </c>
      <c r="O876" s="180">
        <f>IF(N876="net",_xlfn.XLOOKUP(E876,cannabis_log!C:C,cannabis_log!N:N,"NOT FOUND",0,1),IF(N876="gross",0,""))</f>
        <v>450</v>
      </c>
    </row>
    <row r="877" spans="1:15">
      <c r="A877" s="181" t="str">
        <f t="shared" si="32"/>
        <v>outbound</v>
      </c>
      <c r="B877" s="182">
        <v>45663.647222222222</v>
      </c>
      <c r="C877" s="183" t="s">
        <v>1929</v>
      </c>
      <c r="D877" s="183" t="s">
        <v>2493</v>
      </c>
      <c r="E877" s="215" t="s">
        <v>2400</v>
      </c>
      <c r="F877" s="112" t="str">
        <f>IF(ISBLANK(E877),"",_xlfn.XLOOKUP(E877,[1]cannabis_log!C:C,[1]cannabis_log!J:J,"",0,))</f>
        <v>BS23101901G450</v>
      </c>
      <c r="G877" s="112"/>
      <c r="H877" s="112" t="str">
        <f>IF(ISBLANK(E877),"",_xlfn.XLOOKUP(E877,cannabis_log!C:C,cannabis_log!H:H,"",0,1))</f>
        <v>topical_labelled</v>
      </c>
      <c r="I877" s="113">
        <f>IF(ISBLANK(E877),"",_xlfn.XLOOKUP(E877,cannabis_log!C:C,cannabis_log!K:K,"NOT FOUND",0,1))</f>
        <v>45629</v>
      </c>
      <c r="J877" s="185">
        <f>125-136</f>
        <v>-11</v>
      </c>
      <c r="K877" s="186">
        <f t="shared" si="34"/>
        <v>0</v>
      </c>
      <c r="L877" s="288">
        <f t="shared" si="29"/>
        <v>-4950</v>
      </c>
      <c r="M877" s="24"/>
      <c r="N877" s="112" t="str">
        <f>IF(ISBLANK(E877),"",_xlfn.XLOOKUP(E877,[1]cannabis_log!C:C,[1]cannabis_log!T:T,"Not Found",0,))</f>
        <v>net</v>
      </c>
      <c r="O877" s="180">
        <f>IF(N877="net",_xlfn.XLOOKUP(E877,cannabis_log!C:C,cannabis_log!N:N,"NOT FOUND",0,1),IF(N877="gross",0,""))</f>
        <v>450</v>
      </c>
    </row>
    <row r="878" spans="1:15">
      <c r="A878" s="181" t="str">
        <f t="shared" si="32"/>
        <v>inbound</v>
      </c>
      <c r="B878" s="182">
        <v>45665.444444444445</v>
      </c>
      <c r="C878" s="183" t="s">
        <v>1927</v>
      </c>
      <c r="D878" s="183"/>
      <c r="E878" s="215" t="s">
        <v>2409</v>
      </c>
      <c r="F878" s="112">
        <f>IF(ISBLANK(E878),"",_xlfn.XLOOKUP(E878,[1]cannabis_log!C:C,[1]cannabis_log!J:J,"",0,))</f>
        <v>2024111201</v>
      </c>
      <c r="G878" s="112"/>
      <c r="H878" s="112" t="str">
        <f>IF(ISBLANK(E878),"",_xlfn.XLOOKUP(E878,cannabis_log!C:C,cannabis_log!H:H,"",0,1))</f>
        <v>extract_distillate_bulk</v>
      </c>
      <c r="I878" s="113" t="str">
        <f>IF(ISBLANK(E878),"",_xlfn.XLOOKUP(E878,cannabis_log!C:C,cannabis_log!K:K,"NOT FOUND",0,1))</f>
        <v>NA</v>
      </c>
      <c r="J878" s="185">
        <v>1</v>
      </c>
      <c r="K878" s="186">
        <v>275.63</v>
      </c>
      <c r="L878" s="288">
        <f t="shared" si="29"/>
        <v>0</v>
      </c>
      <c r="M878" s="24"/>
      <c r="N878" s="112" t="str">
        <f>IF(ISBLANK(E878),"",_xlfn.XLOOKUP(E878,[1]cannabis_log!C:C,[1]cannabis_log!T:T,"Not Found",0,))</f>
        <v>gross</v>
      </c>
      <c r="O878" s="180">
        <f>IF(N878="net",_xlfn.XLOOKUP(E878,cannabis_log!C:C,cannabis_log!N:N,"NOT FOUND",0,1),IF(N878="gross",0,""))</f>
        <v>0</v>
      </c>
    </row>
    <row r="879" spans="1:15">
      <c r="A879" s="181" t="str">
        <f t="shared" si="32"/>
        <v>inbound</v>
      </c>
      <c r="B879" s="182">
        <v>45665.444444444445</v>
      </c>
      <c r="C879" s="183" t="s">
        <v>1927</v>
      </c>
      <c r="D879" s="183"/>
      <c r="E879" s="215" t="s">
        <v>2329</v>
      </c>
      <c r="F879" s="112">
        <f>IF(ISBLANK(E879),"",_xlfn.XLOOKUP(E879,[1]cannabis_log!C:C,[1]cannabis_log!J:J,"",0,))</f>
        <v>2024111201</v>
      </c>
      <c r="G879" s="112"/>
      <c r="H879" s="112" t="str">
        <f>IF(ISBLANK(E879),"",_xlfn.XLOOKUP(E879,cannabis_log!C:C,cannabis_log!H:H,"",0,1))</f>
        <v>extract_distillate_bulk</v>
      </c>
      <c r="I879" s="113" t="str">
        <f>IF(ISBLANK(E879),"",_xlfn.XLOOKUP(E879,cannabis_log!C:C,cannabis_log!K:K,"NOT FOUND",0,1))</f>
        <v>NA</v>
      </c>
      <c r="J879" s="185">
        <v>1</v>
      </c>
      <c r="K879" s="186">
        <v>1225</v>
      </c>
      <c r="L879" s="288">
        <f t="shared" si="29"/>
        <v>0</v>
      </c>
      <c r="M879" s="24"/>
      <c r="N879" s="112" t="str">
        <f>IF(ISBLANK(E879),"",_xlfn.XLOOKUP(E879,[1]cannabis_log!C:C,[1]cannabis_log!T:T,"Not Found",0,))</f>
        <v>gross</v>
      </c>
      <c r="O879" s="180">
        <f>IF(N879="net",_xlfn.XLOOKUP(E879,cannabis_log!C:C,cannabis_log!N:N,"NOT FOUND",0,1),IF(N879="gross",0,""))</f>
        <v>0</v>
      </c>
    </row>
    <row r="880" spans="1:15">
      <c r="A880" s="181" t="str">
        <f t="shared" si="32"/>
        <v>inbound</v>
      </c>
      <c r="B880" s="182">
        <v>45665.444444444445</v>
      </c>
      <c r="C880" s="183" t="s">
        <v>1927</v>
      </c>
      <c r="D880" s="183"/>
      <c r="E880" s="215" t="s">
        <v>2466</v>
      </c>
      <c r="F880" s="112" t="str">
        <f>IF(ISBLANK(E880),"",_xlfn.XLOOKUP(E880,[1]cannabis_log!C:C,[1]cannabis_log!J:J,"",0,))</f>
        <v>PR2416</v>
      </c>
      <c r="G880" s="112"/>
      <c r="H880" s="112" t="str">
        <f>IF(ISBLANK(E880),"",_xlfn.XLOOKUP(E880,cannabis_log!C:C,cannabis_log!H:H,"",0,1))</f>
        <v>driedflower_milled_bulk</v>
      </c>
      <c r="I880" s="113" t="str">
        <f>IF(ISBLANK(E880),"",_xlfn.XLOOKUP(E880,cannabis_log!C:C,cannabis_log!K:K,"NOT FOUND",0,1))</f>
        <v>NA</v>
      </c>
      <c r="J880" s="185">
        <v>1</v>
      </c>
      <c r="K880" s="186">
        <v>3290</v>
      </c>
      <c r="L880" s="288">
        <f t="shared" si="29"/>
        <v>0</v>
      </c>
      <c r="M880" s="24"/>
      <c r="N880" s="112" t="str">
        <f>IF(ISBLANK(E880),"",_xlfn.XLOOKUP(E880,[1]cannabis_log!C:C,[1]cannabis_log!T:T,"Not Found",0,))</f>
        <v>gross</v>
      </c>
      <c r="O880" s="180">
        <f>IF(N880="net",_xlfn.XLOOKUP(E880,cannabis_log!C:C,cannabis_log!N:N,"NOT FOUND",0,1),IF(N880="gross",0,""))</f>
        <v>0</v>
      </c>
    </row>
    <row r="881" spans="1:15">
      <c r="A881" s="181" t="str">
        <f t="shared" si="32"/>
        <v>outbound</v>
      </c>
      <c r="B881" s="182">
        <v>45667.421527777777</v>
      </c>
      <c r="C881" s="183" t="s">
        <v>1929</v>
      </c>
      <c r="D881" s="183" t="s">
        <v>2494</v>
      </c>
      <c r="E881" s="215" t="s">
        <v>2495</v>
      </c>
      <c r="F881" s="112" t="str">
        <f>IF(ISBLANK(E881),"",_xlfn.XLOOKUP(E881,[1]cannabis_log!C:C,[1]cannabis_log!J:J,"",0,))</f>
        <v>TP24120401G45</v>
      </c>
      <c r="G881" s="112"/>
      <c r="H881" s="112" t="str">
        <f>IF(ISBLANK(E881),"",_xlfn.XLOOKUP(E881,cannabis_log!C:C,cannabis_log!H:H,"",0,1))</f>
        <v>topical_labelled</v>
      </c>
      <c r="I881" s="113">
        <f>IF(ISBLANK(E881),"",_xlfn.XLOOKUP(E881,cannabis_log!C:C,cannabis_log!K:K,"NOT FOUND",0,1))</f>
        <v>45638</v>
      </c>
      <c r="J881" s="185">
        <v>-12</v>
      </c>
      <c r="K881" s="186">
        <f t="shared" ref="K881:K888" si="35">IF(N881="net",0,"")</f>
        <v>0</v>
      </c>
      <c r="L881" s="288">
        <f t="shared" si="29"/>
        <v>-540</v>
      </c>
      <c r="M881" s="24"/>
      <c r="N881" s="112" t="str">
        <f>IF(ISBLANK(E881),"",_xlfn.XLOOKUP(E881,[1]cannabis_log!C:C,[1]cannabis_log!T:T,"Not Found",0,))</f>
        <v>net</v>
      </c>
      <c r="O881" s="180">
        <f>IF(N881="net",_xlfn.XLOOKUP(E881,cannabis_log!C:C,cannabis_log!N:N,"NOT FOUND",0,1),IF(N881="gross",0,""))</f>
        <v>45</v>
      </c>
    </row>
    <row r="882" spans="1:15">
      <c r="A882" s="181" t="str">
        <f t="shared" si="32"/>
        <v>outbound</v>
      </c>
      <c r="B882" s="182">
        <v>45670.40625</v>
      </c>
      <c r="C882" s="183" t="s">
        <v>1929</v>
      </c>
      <c r="D882" s="183" t="s">
        <v>2496</v>
      </c>
      <c r="E882" s="215" t="s">
        <v>2497</v>
      </c>
      <c r="F882" s="112" t="str">
        <f>IF(ISBLANK(E882),"",_xlfn.XLOOKUP(E882,[1]cannabis_log!C:C,[1]cannabis_log!J:J,"",0,))</f>
        <v>EX24111306G05</v>
      </c>
      <c r="G882" s="112"/>
      <c r="H882" s="112" t="str">
        <f>IF(ISBLANK(E882),"",_xlfn.XLOOKUP(E882,cannabis_log!C:C,cannabis_log!H:H,"",0,1))</f>
        <v>extract_inhaled_labelled</v>
      </c>
      <c r="I882" s="113">
        <f>IF(ISBLANK(E882),"",_xlfn.XLOOKUP(E882,cannabis_log!C:C,cannabis_log!K:K,"NOT FOUND",0,1))</f>
        <v>45623</v>
      </c>
      <c r="J882" s="185">
        <v>-48</v>
      </c>
      <c r="K882" s="186">
        <f t="shared" si="35"/>
        <v>0</v>
      </c>
      <c r="L882" s="288">
        <f t="shared" ref="L882:L945" si="36">IFERROR(J882*O882,"")</f>
        <v>-24</v>
      </c>
      <c r="M882" s="24"/>
      <c r="N882" s="112" t="str">
        <f>IF(ISBLANK(E882),"",_xlfn.XLOOKUP(E882,[1]cannabis_log!C:C,[1]cannabis_log!T:T,"Not Found",0,))</f>
        <v>net</v>
      </c>
      <c r="O882" s="180">
        <f>IF(N882="net",_xlfn.XLOOKUP(E882,cannabis_log!C:C,cannabis_log!N:N,"NOT FOUND",0,1),IF(N882="gross",0,""))</f>
        <v>0.5</v>
      </c>
    </row>
    <row r="883" spans="1:15">
      <c r="A883" s="181" t="str">
        <f t="shared" si="32"/>
        <v>outbound</v>
      </c>
      <c r="B883" s="182">
        <v>45670.40625</v>
      </c>
      <c r="C883" s="183" t="s">
        <v>1929</v>
      </c>
      <c r="D883" s="183" t="s">
        <v>2496</v>
      </c>
      <c r="E883" s="215" t="s">
        <v>2300</v>
      </c>
      <c r="F883" s="112" t="str">
        <f>IF(ISBLANK(E883),"",_xlfn.XLOOKUP(E883,[1]cannabis_log!C:C,[1]cannabis_log!J:J,"",0,))</f>
        <v>EX23060701V30</v>
      </c>
      <c r="G883" s="112"/>
      <c r="H883" s="112" t="str">
        <f>IF(ISBLANK(E883),"",_xlfn.XLOOKUP(E883,cannabis_log!C:C,cannabis_log!H:H,"",0,1))</f>
        <v>extract_ingested_labelled</v>
      </c>
      <c r="I883" s="113">
        <f>IF(ISBLANK(E883),"",_xlfn.XLOOKUP(E883,cannabis_log!C:C,cannabis_log!K:K,"NOT FOUND",0,1))</f>
        <v>45596</v>
      </c>
      <c r="J883" s="185">
        <v>-12</v>
      </c>
      <c r="K883" s="186">
        <f t="shared" si="35"/>
        <v>0</v>
      </c>
      <c r="L883" s="288">
        <f t="shared" si="36"/>
        <v>-328.79999999999995</v>
      </c>
      <c r="M883" s="24"/>
      <c r="N883" s="112" t="str">
        <f>IF(ISBLANK(E883),"",_xlfn.XLOOKUP(E883,[1]cannabis_log!C:C,[1]cannabis_log!T:T,"Not Found",0,))</f>
        <v>net</v>
      </c>
      <c r="O883" s="180">
        <f>IF(N883="net",_xlfn.XLOOKUP(E883,cannabis_log!C:C,cannabis_log!N:N,"NOT FOUND",0,1),IF(N883="gross",0,""))</f>
        <v>27.4</v>
      </c>
    </row>
    <row r="884" spans="1:15">
      <c r="A884" s="181" t="str">
        <f t="shared" si="32"/>
        <v>outbound</v>
      </c>
      <c r="B884" s="182">
        <v>45670.40625</v>
      </c>
      <c r="C884" s="183" t="s">
        <v>1929</v>
      </c>
      <c r="D884" s="183" t="s">
        <v>2498</v>
      </c>
      <c r="E884" s="215" t="s">
        <v>2499</v>
      </c>
      <c r="F884" s="112" t="str">
        <f>IF(ISBLANK(E884),"",_xlfn.XLOOKUP(E884,[1]cannabis_log!C:C,[1]cannabis_log!J:J,"",0,))</f>
        <v>2024101703G7</v>
      </c>
      <c r="G884" s="112"/>
      <c r="H884" s="112" t="str">
        <f>IF(ISBLANK(E884),"",_xlfn.XLOOKUP(E884,cannabis_log!C:C,cannabis_log!H:H,"",0,1))</f>
        <v>driedflower_labelled</v>
      </c>
      <c r="I884" s="113">
        <f>IF(ISBLANK(E884),"",_xlfn.XLOOKUP(E884,cannabis_log!C:C,cannabis_log!K:K,"NOT FOUND",0,1))</f>
        <v>45618</v>
      </c>
      <c r="J884" s="185">
        <v>-120</v>
      </c>
      <c r="K884" s="186">
        <f t="shared" si="35"/>
        <v>0</v>
      </c>
      <c r="L884" s="288">
        <f t="shared" si="36"/>
        <v>-840</v>
      </c>
      <c r="M884" s="24"/>
      <c r="N884" s="112" t="str">
        <f>IF(ISBLANK(E884),"",_xlfn.XLOOKUP(E884,[1]cannabis_log!C:C,[1]cannabis_log!T:T,"Not Found",0,))</f>
        <v>net</v>
      </c>
      <c r="O884" s="180">
        <f>IF(N884="net",_xlfn.XLOOKUP(E884,cannabis_log!C:C,cannabis_log!N:N,"NOT FOUND",0,1),IF(N884="gross",0,""))</f>
        <v>7</v>
      </c>
    </row>
    <row r="885" spans="1:15">
      <c r="A885" s="181" t="str">
        <f t="shared" si="32"/>
        <v>outbound</v>
      </c>
      <c r="B885" s="182">
        <v>45670.40625</v>
      </c>
      <c r="C885" s="183" t="s">
        <v>1929</v>
      </c>
      <c r="D885" s="183" t="s">
        <v>2498</v>
      </c>
      <c r="E885" s="215" t="s">
        <v>2304</v>
      </c>
      <c r="F885" s="112" t="str">
        <f>IF(ISBLANK(E885),"",_xlfn.XLOOKUP(E885,[1]cannabis_log!C:C,[1]cannabis_log!J:J,"",0,))</f>
        <v>PR241105F5P3</v>
      </c>
      <c r="G885" s="112"/>
      <c r="H885" s="112" t="str">
        <f>IF(ISBLANK(E885),"",_xlfn.XLOOKUP(E885,cannabis_log!C:C,cannabis_log!H:H,"",0,1))</f>
        <v>preroll_labelled</v>
      </c>
      <c r="I885" s="113">
        <f>IF(ISBLANK(E885),"",_xlfn.XLOOKUP(E885,cannabis_log!C:C,cannabis_log!K:K,"NOT FOUND",0,1))</f>
        <v>45581</v>
      </c>
      <c r="J885" s="185">
        <v>-60</v>
      </c>
      <c r="K885" s="186">
        <f t="shared" si="35"/>
        <v>0</v>
      </c>
      <c r="L885" s="288">
        <f t="shared" si="36"/>
        <v>-90</v>
      </c>
      <c r="M885" s="24"/>
      <c r="N885" s="112" t="str">
        <f>IF(ISBLANK(E885),"",_xlfn.XLOOKUP(E885,[1]cannabis_log!C:C,[1]cannabis_log!T:T,"Not Found",0,))</f>
        <v>net</v>
      </c>
      <c r="O885" s="180">
        <f>IF(N885="net",_xlfn.XLOOKUP(E885,cannabis_log!C:C,cannabis_log!N:N,"NOT FOUND",0,1),IF(N885="gross",0,""))</f>
        <v>1.5</v>
      </c>
    </row>
    <row r="886" spans="1:15">
      <c r="A886" s="181" t="str">
        <f t="shared" si="32"/>
        <v>outbound</v>
      </c>
      <c r="B886" s="182">
        <v>45670.428472222222</v>
      </c>
      <c r="C886" s="183" t="s">
        <v>1921</v>
      </c>
      <c r="D886" s="183" t="s">
        <v>2500</v>
      </c>
      <c r="E886" s="215" t="s">
        <v>2501</v>
      </c>
      <c r="F886" s="112" t="str">
        <f>IF(ISBLANK(E886),"",_xlfn.XLOOKUP(E886,[1]cannabis_log!C:C,[1]cannabis_log!J:J,"",0,))</f>
        <v>PR2401F5P3</v>
      </c>
      <c r="G886" s="112"/>
      <c r="H886" s="112" t="str">
        <f>IF(ISBLANK(E886),"",_xlfn.XLOOKUP(E886,cannabis_log!C:C,cannabis_log!H:H,"",0,1))</f>
        <v>preroll_cased_AB</v>
      </c>
      <c r="I886" s="113">
        <f>IF(ISBLANK(E886),"",_xlfn.XLOOKUP(E886,cannabis_log!C:C,cannabis_log!K:K,"NOT FOUND",0,1))</f>
        <v>45345</v>
      </c>
      <c r="J886" s="185">
        <v>-22</v>
      </c>
      <c r="K886" s="186">
        <f t="shared" si="35"/>
        <v>0</v>
      </c>
      <c r="L886" s="288">
        <f t="shared" si="36"/>
        <v>-396</v>
      </c>
      <c r="M886" s="24"/>
      <c r="N886" s="112" t="str">
        <f>IF(ISBLANK(E886),"",_xlfn.XLOOKUP(E886,[1]cannabis_log!C:C,[1]cannabis_log!T:T,"Not Found",0,))</f>
        <v>net</v>
      </c>
      <c r="O886" s="180">
        <f>IF(N886="net",_xlfn.XLOOKUP(E886,cannabis_log!C:C,cannabis_log!N:N,"NOT FOUND",0,1),IF(N886="gross",0,""))</f>
        <v>18</v>
      </c>
    </row>
    <row r="887" spans="1:15">
      <c r="A887" s="181" t="str">
        <f t="shared" si="32"/>
        <v>outbound</v>
      </c>
      <c r="B887" s="182">
        <v>45670.428472222222</v>
      </c>
      <c r="C887" s="183" t="s">
        <v>1921</v>
      </c>
      <c r="D887" s="183" t="s">
        <v>2500</v>
      </c>
      <c r="E887" s="215" t="s">
        <v>2502</v>
      </c>
      <c r="F887" s="112" t="str">
        <f>IF(ISBLANK(E887),"",_xlfn.XLOOKUP(E887,[1]cannabis_log!C:C,[1]cannabis_log!J:J,"",0,))</f>
        <v>PR2401F5P3</v>
      </c>
      <c r="G887" s="112"/>
      <c r="H887" s="112" t="str">
        <f>IF(ISBLANK(E887),"",_xlfn.XLOOKUP(E887,cannabis_log!C:C,cannabis_log!H:H,"",0,1))</f>
        <v>preroll_cased_AB</v>
      </c>
      <c r="I887" s="113">
        <f>IF(ISBLANK(E887),"",_xlfn.XLOOKUP(E887,cannabis_log!C:C,cannabis_log!K:K,"NOT FOUND",0,1))</f>
        <v>45345</v>
      </c>
      <c r="J887" s="185">
        <v>-32</v>
      </c>
      <c r="K887" s="186">
        <f t="shared" si="35"/>
        <v>0</v>
      </c>
      <c r="L887" s="288">
        <f t="shared" si="36"/>
        <v>-576</v>
      </c>
      <c r="M887" s="24"/>
      <c r="N887" s="112" t="str">
        <f>IF(ISBLANK(E887),"",_xlfn.XLOOKUP(E887,[1]cannabis_log!C:C,[1]cannabis_log!T:T,"Not Found",0,))</f>
        <v>net</v>
      </c>
      <c r="O887" s="180">
        <f>IF(N887="net",_xlfn.XLOOKUP(E887,cannabis_log!C:C,cannabis_log!N:N,"NOT FOUND",0,1),IF(N887="gross",0,""))</f>
        <v>18</v>
      </c>
    </row>
    <row r="888" spans="1:15">
      <c r="A888" s="181" t="str">
        <f t="shared" si="32"/>
        <v>outbound</v>
      </c>
      <c r="B888" s="182">
        <v>45670.473611111112</v>
      </c>
      <c r="C888" s="183" t="s">
        <v>1921</v>
      </c>
      <c r="D888" s="22" t="s">
        <v>2503</v>
      </c>
      <c r="E888" s="215" t="s">
        <v>2504</v>
      </c>
      <c r="F888" s="112" t="str">
        <f>IF(ISBLANK(E888),"",_xlfn.XLOOKUP(E888,[1]cannabis_log!C:C,[1]cannabis_log!J:J,"",0,))</f>
        <v>EX24111801V50</v>
      </c>
      <c r="G888" s="112"/>
      <c r="H888" s="112" t="str">
        <f>IF(ISBLANK(E888),"",_xlfn.XLOOKUP(E888,cannabis_log!C:C,cannabis_log!H:H,"",0,1))</f>
        <v>extract_ingested_cased_BC</v>
      </c>
      <c r="I888" s="113">
        <f>IF(ISBLANK(E888),"",_xlfn.XLOOKUP(E888,cannabis_log!C:C,cannabis_log!K:K,"NOT FOUND",0,1))</f>
        <v>45624</v>
      </c>
      <c r="J888" s="185">
        <v>-4</v>
      </c>
      <c r="K888" s="186">
        <f t="shared" si="35"/>
        <v>0</v>
      </c>
      <c r="L888" s="288">
        <f t="shared" si="36"/>
        <v>-2400</v>
      </c>
      <c r="M888" s="24"/>
      <c r="N888" s="112" t="str">
        <f>IF(ISBLANK(E888),"",_xlfn.XLOOKUP(E888,[1]cannabis_log!C:C,[1]cannabis_log!T:T,"Not Found",0,))</f>
        <v>net</v>
      </c>
      <c r="O888" s="180">
        <f>IF(N888="net",_xlfn.XLOOKUP(E888,cannabis_log!C:C,cannabis_log!N:N,"NOT FOUND",0,1),IF(N888="gross",0,""))</f>
        <v>600</v>
      </c>
    </row>
    <row r="889" spans="1:15">
      <c r="A889" s="181" t="str">
        <f t="shared" si="32"/>
        <v>inbound</v>
      </c>
      <c r="B889" s="182">
        <v>45670.477083333331</v>
      </c>
      <c r="C889" s="183" t="s">
        <v>1927</v>
      </c>
      <c r="D889" s="183"/>
      <c r="E889" s="215" t="s">
        <v>1945</v>
      </c>
      <c r="F889" s="112" t="str">
        <f>IF(ISBLANK(E889),"",_xlfn.XLOOKUP(E889,[1]cannabis_log!C:C,[1]cannabis_log!J:J,"",0,))</f>
        <v>LR23032101</v>
      </c>
      <c r="G889" s="112"/>
      <c r="H889" s="112" t="str">
        <f>IF(ISBLANK(E889),"",_xlfn.XLOOKUP(E889,cannabis_log!C:C,cannabis_log!H:H,"",0,1))</f>
        <v>extract_inhaled_bulk</v>
      </c>
      <c r="I889" s="113" t="str">
        <f>IF(ISBLANK(E889),"",_xlfn.XLOOKUP(E889,cannabis_log!C:C,cannabis_log!K:K,"NOT FOUND",0,1))</f>
        <v>NA</v>
      </c>
      <c r="J889" s="185">
        <v>1</v>
      </c>
      <c r="K889" s="186">
        <v>1760.9</v>
      </c>
      <c r="L889" s="288">
        <f t="shared" si="36"/>
        <v>0</v>
      </c>
      <c r="M889" s="24"/>
      <c r="N889" s="112" t="str">
        <f>IF(ISBLANK(E889),"",_xlfn.XLOOKUP(E889,[1]cannabis_log!C:C,[1]cannabis_log!T:T,"Not Found",0,))</f>
        <v>gross</v>
      </c>
      <c r="O889" s="180">
        <f>IF(N889="net",_xlfn.XLOOKUP(E889,cannabis_log!C:C,cannabis_log!N:N,"NOT FOUND",0,1),IF(N889="gross",0,""))</f>
        <v>0</v>
      </c>
    </row>
    <row r="890" spans="1:15">
      <c r="A890" s="181" t="str">
        <f t="shared" si="32"/>
        <v>outbound</v>
      </c>
      <c r="B890" s="182">
        <v>45671.4375</v>
      </c>
      <c r="C890" s="183" t="s">
        <v>1929</v>
      </c>
      <c r="D890" s="183" t="s">
        <v>2505</v>
      </c>
      <c r="E890" s="215" t="s">
        <v>2506</v>
      </c>
      <c r="F890" s="112" t="str">
        <f>IF(ISBLANK(E890),"",_xlfn.XLOOKUP(E890,[1]cannabis_log!C:C,[1]cannabis_log!J:J,"",0,))</f>
        <v>EX24111304G05</v>
      </c>
      <c r="G890" s="112"/>
      <c r="H890" s="112" t="str">
        <f>IF(ISBLANK(E890),"",_xlfn.XLOOKUP(E890,cannabis_log!C:C,cannabis_log!H:H,"",0,1))</f>
        <v>extract_inhaled_labelled</v>
      </c>
      <c r="I890" s="113">
        <f>IF(ISBLANK(E890),"",_xlfn.XLOOKUP(E890,cannabis_log!C:C,cannabis_log!K:K,"NOT FOUND",0,1))</f>
        <v>45622</v>
      </c>
      <c r="J890" s="185">
        <v>-12</v>
      </c>
      <c r="K890" s="186">
        <f t="shared" ref="K890:K924" si="37">IF(N890="net",0,"")</f>
        <v>0</v>
      </c>
      <c r="L890" s="288">
        <f t="shared" si="36"/>
        <v>-6</v>
      </c>
      <c r="M890" s="24"/>
      <c r="N890" s="112" t="str">
        <f>IF(ISBLANK(E890),"",_xlfn.XLOOKUP(E890,[1]cannabis_log!C:C,[1]cannabis_log!T:T,"Not Found",0,))</f>
        <v>net</v>
      </c>
      <c r="O890" s="180">
        <f>IF(N890="net",_xlfn.XLOOKUP(E890,cannabis_log!C:C,cannabis_log!N:N,"NOT FOUND",0,1),IF(N890="gross",0,""))</f>
        <v>0.5</v>
      </c>
    </row>
    <row r="891" spans="1:15">
      <c r="A891" s="181" t="str">
        <f t="shared" si="32"/>
        <v>outbound</v>
      </c>
      <c r="B891" s="182">
        <v>45671.4375</v>
      </c>
      <c r="C891" s="183" t="s">
        <v>1929</v>
      </c>
      <c r="D891" s="183" t="s">
        <v>2505</v>
      </c>
      <c r="E891" s="215" t="s">
        <v>2412</v>
      </c>
      <c r="F891" s="112" t="str">
        <f>IF(ISBLANK(E891),"",_xlfn.XLOOKUP(E891,[1]cannabis_log!C:C,[1]cannabis_log!J:J,"",0,))</f>
        <v>EX24111302G05</v>
      </c>
      <c r="G891" s="112"/>
      <c r="H891" s="112" t="str">
        <f>IF(ISBLANK(E891),"",_xlfn.XLOOKUP(E891,cannabis_log!C:C,cannabis_log!H:H,"",0,1))</f>
        <v>extract_inhaled_labelled</v>
      </c>
      <c r="I891" s="113">
        <f>IF(ISBLANK(E891),"",_xlfn.XLOOKUP(E891,cannabis_log!C:C,cannabis_log!K:K,"NOT FOUND",0,1))</f>
        <v>45623</v>
      </c>
      <c r="J891" s="185">
        <v>-12</v>
      </c>
      <c r="K891" s="186">
        <f t="shared" si="37"/>
        <v>0</v>
      </c>
      <c r="L891" s="288">
        <f t="shared" si="36"/>
        <v>-6</v>
      </c>
      <c r="M891" s="24"/>
      <c r="N891" s="112" t="str">
        <f>IF(ISBLANK(E891),"",_xlfn.XLOOKUP(E891,[1]cannabis_log!C:C,[1]cannabis_log!T:T,"Not Found",0,))</f>
        <v>net</v>
      </c>
      <c r="O891" s="180">
        <f>IF(N891="net",_xlfn.XLOOKUP(E891,cannabis_log!C:C,cannabis_log!N:N,"NOT FOUND",0,1),IF(N891="gross",0,""))</f>
        <v>0.5</v>
      </c>
    </row>
    <row r="892" spans="1:15">
      <c r="A892" s="181" t="str">
        <f t="shared" si="32"/>
        <v>outbound</v>
      </c>
      <c r="B892" s="182">
        <v>45671.4375</v>
      </c>
      <c r="C892" s="183" t="s">
        <v>1929</v>
      </c>
      <c r="D892" s="183" t="s">
        <v>2505</v>
      </c>
      <c r="E892" s="215" t="s">
        <v>2456</v>
      </c>
      <c r="F892" s="112" t="str">
        <f>IF(ISBLANK(E892),"",_xlfn.XLOOKUP(E892,[1]cannabis_log!C:C,[1]cannabis_log!J:J,"",0,))</f>
        <v>EX24101703G05</v>
      </c>
      <c r="G892" s="112"/>
      <c r="H892" s="112" t="str">
        <f>IF(ISBLANK(E892),"",_xlfn.XLOOKUP(E892,cannabis_log!C:C,cannabis_log!H:H,"",0,1))</f>
        <v>extract_inhaled_labelled</v>
      </c>
      <c r="I892" s="113">
        <f>IF(ISBLANK(E892),"",_xlfn.XLOOKUP(E892,cannabis_log!C:C,cannabis_log!K:K,"NOT FOUND",0,1))</f>
        <v>45603</v>
      </c>
      <c r="J892" s="185">
        <v>-12</v>
      </c>
      <c r="K892" s="186">
        <f t="shared" si="37"/>
        <v>0</v>
      </c>
      <c r="L892" s="288">
        <f t="shared" si="36"/>
        <v>-6</v>
      </c>
      <c r="M892" s="24"/>
      <c r="N892" s="112" t="str">
        <f>IF(ISBLANK(E892),"",_xlfn.XLOOKUP(E892,[1]cannabis_log!C:C,[1]cannabis_log!T:T,"Not Found",0,))</f>
        <v>net</v>
      </c>
      <c r="O892" s="180">
        <f>IF(N892="net",_xlfn.XLOOKUP(E892,cannabis_log!C:C,cannabis_log!N:N,"NOT FOUND",0,1),IF(N892="gross",0,""))</f>
        <v>0.5</v>
      </c>
    </row>
    <row r="893" spans="1:15">
      <c r="A893" s="181" t="str">
        <f t="shared" si="32"/>
        <v>outbound</v>
      </c>
      <c r="B893" s="182">
        <v>45672.399305555555</v>
      </c>
      <c r="C893" s="183" t="s">
        <v>1929</v>
      </c>
      <c r="D893" s="183" t="s">
        <v>2507</v>
      </c>
      <c r="E893" s="215" t="s">
        <v>2477</v>
      </c>
      <c r="F893" s="112" t="str">
        <f>IF(ISBLANK(E893),"",_xlfn.XLOOKUP(E893,[1]cannabis_log!C:C,[1]cannabis_log!J:J,"",0,))</f>
        <v>PR241102F5P3</v>
      </c>
      <c r="G893" s="112"/>
      <c r="H893" s="112" t="str">
        <f>IF(ISBLANK(E893),"",_xlfn.XLOOKUP(E893,cannabis_log!C:C,cannabis_log!H:H,"",0,1))</f>
        <v>preroll_labelled</v>
      </c>
      <c r="I893" s="113">
        <f>IF(ISBLANK(E893),"",_xlfn.XLOOKUP(E893,cannabis_log!C:C,cannabis_log!K:K,"NOT FOUND",0,1))</f>
        <v>45660</v>
      </c>
      <c r="J893" s="185">
        <v>-12</v>
      </c>
      <c r="K893" s="186">
        <f t="shared" si="37"/>
        <v>0</v>
      </c>
      <c r="L893" s="288">
        <f t="shared" si="36"/>
        <v>-18</v>
      </c>
      <c r="M893" s="24"/>
      <c r="N893" s="112" t="str">
        <f>IF(ISBLANK(E893),"",_xlfn.XLOOKUP(E893,[1]cannabis_log!C:C,[1]cannabis_log!T:T,"Not Found",0,))</f>
        <v>net</v>
      </c>
      <c r="O893" s="180">
        <f>IF(N893="net",_xlfn.XLOOKUP(E893,cannabis_log!C:C,cannabis_log!N:N,"NOT FOUND",0,1),IF(N893="gross",0,""))</f>
        <v>1.5</v>
      </c>
    </row>
    <row r="894" spans="1:15">
      <c r="A894" s="181" t="str">
        <f t="shared" si="32"/>
        <v>outbound</v>
      </c>
      <c r="B894" s="182">
        <v>45672.399305555555</v>
      </c>
      <c r="C894" s="183" t="s">
        <v>1929</v>
      </c>
      <c r="D894" s="183" t="s">
        <v>2507</v>
      </c>
      <c r="E894" s="215" t="s">
        <v>2508</v>
      </c>
      <c r="F894" s="112" t="str">
        <f>IF(ISBLANK(E894),"",_xlfn.XLOOKUP(E894,[1]cannabis_log!C:C,[1]cannabis_log!J:J,"",0,))</f>
        <v>PR2416F5P10</v>
      </c>
      <c r="G894" s="112"/>
      <c r="H894" s="112" t="str">
        <f>IF(ISBLANK(E894),"",_xlfn.XLOOKUP(E894,cannabis_log!C:C,cannabis_log!H:H,"",0,1))</f>
        <v>preroll_labelled</v>
      </c>
      <c r="I894" s="113">
        <f>IF(ISBLANK(E894),"",_xlfn.XLOOKUP(E894,cannabis_log!C:C,cannabis_log!K:K,"NOT FOUND",0,1))</f>
        <v>45642</v>
      </c>
      <c r="J894" s="185">
        <v>-7</v>
      </c>
      <c r="K894" s="186">
        <f t="shared" si="37"/>
        <v>0</v>
      </c>
      <c r="L894" s="288">
        <f t="shared" si="36"/>
        <v>-35</v>
      </c>
      <c r="M894" s="24"/>
      <c r="N894" s="112" t="str">
        <f>IF(ISBLANK(E894),"",_xlfn.XLOOKUP(E894,[1]cannabis_log!C:C,[1]cannabis_log!T:T,"Not Found",0,))</f>
        <v>net</v>
      </c>
      <c r="O894" s="180">
        <f>IF(N894="net",_xlfn.XLOOKUP(E894,cannabis_log!C:C,cannabis_log!N:N,"NOT FOUND",0,1),IF(N894="gross",0,""))</f>
        <v>5</v>
      </c>
    </row>
    <row r="895" spans="1:15">
      <c r="A895" s="181" t="str">
        <f t="shared" si="32"/>
        <v>outbound</v>
      </c>
      <c r="B895" s="182">
        <v>45672.520138888889</v>
      </c>
      <c r="C895" s="183" t="s">
        <v>1929</v>
      </c>
      <c r="D895" s="183" t="s">
        <v>2507</v>
      </c>
      <c r="E895" s="215" t="s">
        <v>2499</v>
      </c>
      <c r="F895" s="112" t="str">
        <f>IF(ISBLANK(E895),"",_xlfn.XLOOKUP(E895,[1]cannabis_log!C:C,[1]cannabis_log!J:J,"",0,))</f>
        <v>2024101703G7</v>
      </c>
      <c r="G895" s="112"/>
      <c r="H895" s="112" t="str">
        <f>IF(ISBLANK(E895),"",_xlfn.XLOOKUP(E895,cannabis_log!C:C,cannabis_log!H:H,"",0,1))</f>
        <v>driedflower_labelled</v>
      </c>
      <c r="I895" s="113">
        <f>IF(ISBLANK(E895),"",_xlfn.XLOOKUP(E895,cannabis_log!C:C,cannabis_log!K:K,"NOT FOUND",0,1))</f>
        <v>45618</v>
      </c>
      <c r="J895" s="185">
        <v>-12</v>
      </c>
      <c r="K895" s="186">
        <f t="shared" si="37"/>
        <v>0</v>
      </c>
      <c r="L895" s="288">
        <f t="shared" si="36"/>
        <v>-84</v>
      </c>
      <c r="M895" s="24"/>
      <c r="N895" s="112" t="str">
        <f>IF(ISBLANK(E895),"",_xlfn.XLOOKUP(E895,[1]cannabis_log!C:C,[1]cannabis_log!T:T,"Not Found",0,))</f>
        <v>net</v>
      </c>
      <c r="O895" s="180">
        <f>IF(N895="net",_xlfn.XLOOKUP(E895,cannabis_log!C:C,cannabis_log!N:N,"NOT FOUND",0,1),IF(N895="gross",0,""))</f>
        <v>7</v>
      </c>
    </row>
    <row r="896" spans="1:15">
      <c r="A896" s="181" t="str">
        <f t="shared" si="32"/>
        <v>outbound</v>
      </c>
      <c r="B896" s="182">
        <v>45672.520138888889</v>
      </c>
      <c r="C896" s="183" t="s">
        <v>1921</v>
      </c>
      <c r="D896" s="183" t="s">
        <v>2509</v>
      </c>
      <c r="E896" s="215" t="s">
        <v>2069</v>
      </c>
      <c r="F896" s="112" t="str">
        <f>IF(ISBLANK(E896),"",_xlfn.XLOOKUP(E896,[1]cannabis_log!C:C,[1]cannabis_log!J:J,"",0,))</f>
        <v>EX24070901V50</v>
      </c>
      <c r="G896" s="112"/>
      <c r="H896" s="112" t="str">
        <f>IF(ISBLANK(E896),"",_xlfn.XLOOKUP(E896,cannabis_log!C:C,cannabis_log!H:H,"",0,1))</f>
        <v>extract_ingested_labelled</v>
      </c>
      <c r="I896" s="113">
        <f>IF(ISBLANK(E896),"",_xlfn.XLOOKUP(E896,cannabis_log!C:C,cannabis_log!K:K,"NOT FOUND",0,1))</f>
        <v>45503</v>
      </c>
      <c r="J896" s="185">
        <v>-69</v>
      </c>
      <c r="K896" s="186">
        <f t="shared" si="37"/>
        <v>0</v>
      </c>
      <c r="L896" s="288">
        <f t="shared" si="36"/>
        <v>-3450</v>
      </c>
      <c r="M896" s="24"/>
      <c r="N896" s="112" t="str">
        <f>IF(ISBLANK(E896),"",_xlfn.XLOOKUP(E896,[1]cannabis_log!C:C,[1]cannabis_log!T:T,"Not Found",0,))</f>
        <v>net</v>
      </c>
      <c r="O896" s="180">
        <f>IF(N896="net",_xlfn.XLOOKUP(E896,cannabis_log!C:C,cannabis_log!N:N,"NOT FOUND",0,1),IF(N896="gross",0,""))</f>
        <v>50</v>
      </c>
    </row>
    <row r="897" spans="1:15">
      <c r="A897" s="181" t="str">
        <f t="shared" ref="A897:A960" si="38">IF(ISBLANK(J897),"",IF(J897+K897+L897&lt;0,"outbound","inbound"))</f>
        <v>outbound</v>
      </c>
      <c r="B897" s="182">
        <v>45672.520138888889</v>
      </c>
      <c r="C897" s="183" t="s">
        <v>1921</v>
      </c>
      <c r="D897" s="183" t="s">
        <v>2509</v>
      </c>
      <c r="E897" s="215" t="s">
        <v>2296</v>
      </c>
      <c r="F897" s="112" t="str">
        <f>IF(ISBLANK(E897),"",_xlfn.XLOOKUP(E897,[1]cannabis_log!C:C,[1]cannabis_log!J:J,"",0,))</f>
        <v>EX24092601V50</v>
      </c>
      <c r="G897" s="112"/>
      <c r="H897" s="112" t="str">
        <f>IF(ISBLANK(E897),"",_xlfn.XLOOKUP(E897,cannabis_log!C:C,cannabis_log!H:H,"",0,1))</f>
        <v>extract_ingested_labelled</v>
      </c>
      <c r="I897" s="113">
        <f>IF(ISBLANK(E897),"",_xlfn.XLOOKUP(E897,cannabis_log!C:C,cannabis_log!K:K,"NOT FOUND",0,1))</f>
        <v>45576</v>
      </c>
      <c r="J897" s="185">
        <v>-10</v>
      </c>
      <c r="K897" s="186">
        <f t="shared" si="37"/>
        <v>0</v>
      </c>
      <c r="L897" s="288">
        <f t="shared" si="36"/>
        <v>-500</v>
      </c>
      <c r="M897" s="24"/>
      <c r="N897" s="112" t="str">
        <f>IF(ISBLANK(E897),"",_xlfn.XLOOKUP(E897,[1]cannabis_log!C:C,[1]cannabis_log!T:T,"Not Found",0,))</f>
        <v>net</v>
      </c>
      <c r="O897" s="180">
        <f>IF(N897="net",_xlfn.XLOOKUP(E897,cannabis_log!C:C,cannabis_log!N:N,"NOT FOUND",0,1),IF(N897="gross",0,""))</f>
        <v>50</v>
      </c>
    </row>
    <row r="898" spans="1:15">
      <c r="A898" s="181" t="str">
        <f t="shared" si="38"/>
        <v>outbound</v>
      </c>
      <c r="B898" s="182">
        <v>45674.426388888889</v>
      </c>
      <c r="C898" s="183" t="s">
        <v>1924</v>
      </c>
      <c r="D898" s="183" t="s">
        <v>2510</v>
      </c>
      <c r="E898" s="215" t="s">
        <v>2212</v>
      </c>
      <c r="F898" s="112" t="str">
        <f>IF(ISBLANK(E898),"",_xlfn.XLOOKUP(E898,[1]cannabis_log!C:C,[1]cannabis_log!J:J,"",0,))</f>
        <v>EX24082902G05</v>
      </c>
      <c r="G898" s="112"/>
      <c r="H898" s="112" t="str">
        <f>IF(ISBLANK(E898),"",_xlfn.XLOOKUP(E898,cannabis_log!C:C,cannabis_log!H:H,"",0,1))</f>
        <v>extract_inhaled_labelled</v>
      </c>
      <c r="I898" s="113">
        <f>IF(ISBLANK(E898),"",_xlfn.XLOOKUP(E898,cannabis_log!C:C,cannabis_log!K:K,"NOT FOUND",0,1))</f>
        <v>45569</v>
      </c>
      <c r="J898" s="185">
        <v>-2</v>
      </c>
      <c r="K898" s="186">
        <f t="shared" si="37"/>
        <v>0</v>
      </c>
      <c r="L898" s="288">
        <f t="shared" si="36"/>
        <v>-1</v>
      </c>
      <c r="M898" s="24"/>
      <c r="N898" s="112" t="str">
        <f>IF(ISBLANK(E898),"",_xlfn.XLOOKUP(E898,[1]cannabis_log!C:C,[1]cannabis_log!T:T,"Not Found",0,))</f>
        <v>net</v>
      </c>
      <c r="O898" s="180">
        <f>IF(N898="net",_xlfn.XLOOKUP(E898,cannabis_log!C:C,cannabis_log!N:N,"NOT FOUND",0,1),IF(N898="gross",0,""))</f>
        <v>0.5</v>
      </c>
    </row>
    <row r="899" spans="1:15">
      <c r="A899" s="181" t="str">
        <f t="shared" si="38"/>
        <v>outbound</v>
      </c>
      <c r="B899" s="182">
        <v>45674.426388888889</v>
      </c>
      <c r="C899" s="183" t="s">
        <v>1924</v>
      </c>
      <c r="D899" s="183" t="s">
        <v>2510</v>
      </c>
      <c r="E899" s="215" t="s">
        <v>2415</v>
      </c>
      <c r="F899" s="112" t="str">
        <f>IF(ISBLANK(E899),"",_xlfn.XLOOKUP(E899,[1]cannabis_log!C:C,[1]cannabis_log!J:J,"",0,))</f>
        <v>EX24101701G05</v>
      </c>
      <c r="G899" s="112"/>
      <c r="H899" s="112" t="str">
        <f>IF(ISBLANK(E899),"",_xlfn.XLOOKUP(E899,cannabis_log!C:C,cannabis_log!H:H,"",0,1))</f>
        <v>extract_inhaled_labelled</v>
      </c>
      <c r="I899" s="113">
        <f>IF(ISBLANK(E899),"",_xlfn.XLOOKUP(E899,cannabis_log!C:C,cannabis_log!K:K,"NOT FOUND",0,1))</f>
        <v>45618</v>
      </c>
      <c r="J899" s="185">
        <v>-2</v>
      </c>
      <c r="K899" s="186">
        <f t="shared" si="37"/>
        <v>0</v>
      </c>
      <c r="L899" s="288">
        <f t="shared" si="36"/>
        <v>-1</v>
      </c>
      <c r="M899" s="24"/>
      <c r="N899" s="112" t="str">
        <f>IF(ISBLANK(E899),"",_xlfn.XLOOKUP(E899,[1]cannabis_log!C:C,[1]cannabis_log!T:T,"Not Found",0,))</f>
        <v>net</v>
      </c>
      <c r="O899" s="180">
        <f>IF(N899="net",_xlfn.XLOOKUP(E899,cannabis_log!C:C,cannabis_log!N:N,"NOT FOUND",0,1),IF(N899="gross",0,""))</f>
        <v>0.5</v>
      </c>
    </row>
    <row r="900" spans="1:15">
      <c r="A900" s="181" t="str">
        <f t="shared" si="38"/>
        <v>outbound</v>
      </c>
      <c r="B900" s="182">
        <v>45674.426388888889</v>
      </c>
      <c r="C900" s="183" t="s">
        <v>1924</v>
      </c>
      <c r="D900" s="183" t="s">
        <v>2510</v>
      </c>
      <c r="E900" s="215" t="s">
        <v>2316</v>
      </c>
      <c r="F900" s="112" t="str">
        <f>IF(ISBLANK(E900),"",_xlfn.XLOOKUP(E900,[1]cannabis_log!C:C,[1]cannabis_log!J:J,"",0,))</f>
        <v>EX24101705G05</v>
      </c>
      <c r="G900" s="112"/>
      <c r="H900" s="112" t="str">
        <f>IF(ISBLANK(E900),"",_xlfn.XLOOKUP(E900,cannabis_log!C:C,cannabis_log!H:H,"",0,1))</f>
        <v>extract_inhaled_labelled</v>
      </c>
      <c r="I900" s="113">
        <f>IF(ISBLANK(E900),"",_xlfn.XLOOKUP(E900,cannabis_log!C:C,cannabis_log!K:K,"NOT FOUND",0,1))</f>
        <v>45594</v>
      </c>
      <c r="J900" s="185">
        <v>-2</v>
      </c>
      <c r="K900" s="186">
        <f t="shared" si="37"/>
        <v>0</v>
      </c>
      <c r="L900" s="288">
        <f t="shared" si="36"/>
        <v>-1</v>
      </c>
      <c r="M900" s="24"/>
      <c r="N900" s="112" t="str">
        <f>IF(ISBLANK(E900),"",_xlfn.XLOOKUP(E900,[1]cannabis_log!C:C,[1]cannabis_log!T:T,"Not Found",0,))</f>
        <v>net</v>
      </c>
      <c r="O900" s="180">
        <f>IF(N900="net",_xlfn.XLOOKUP(E900,cannabis_log!C:C,cannabis_log!N:N,"NOT FOUND",0,1),IF(N900="gross",0,""))</f>
        <v>0.5</v>
      </c>
    </row>
    <row r="901" spans="1:15">
      <c r="A901" s="181" t="str">
        <f t="shared" si="38"/>
        <v>outbound</v>
      </c>
      <c r="B901" s="182">
        <v>45674.478472222225</v>
      </c>
      <c r="C901" s="183" t="s">
        <v>1929</v>
      </c>
      <c r="D901" s="22" t="s">
        <v>2511</v>
      </c>
      <c r="E901" s="215" t="s">
        <v>2512</v>
      </c>
      <c r="F901" s="112" t="str">
        <f>IF(ISBLANK(E901),"",_xlfn.XLOOKUP(E901,[1]cannabis_log!C:C,[1]cannabis_log!J:J,"",0,))</f>
        <v>2022012401R1</v>
      </c>
      <c r="G901" s="112"/>
      <c r="H901" s="112" t="str">
        <f>IF(ISBLANK(E901),"",_xlfn.XLOOKUP(E901,cannabis_log!C:C,cannabis_log!H:H,"",0,1))</f>
        <v>driedflower_labelled</v>
      </c>
      <c r="I901" s="113">
        <f>IF(ISBLANK(E901),"",_xlfn.XLOOKUP(E901,cannabis_log!C:C,cannabis_log!K:K,"NOT FOUND",0,1))</f>
        <v>45510</v>
      </c>
      <c r="J901" s="185">
        <v>-36</v>
      </c>
      <c r="K901" s="186">
        <f t="shared" si="37"/>
        <v>0</v>
      </c>
      <c r="L901" s="288">
        <f t="shared" si="36"/>
        <v>-504</v>
      </c>
      <c r="M901" s="24"/>
      <c r="N901" s="112" t="str">
        <f>IF(ISBLANK(E901),"",_xlfn.XLOOKUP(E901,[1]cannabis_log!C:C,[1]cannabis_log!T:T,"Not Found",0,))</f>
        <v>net</v>
      </c>
      <c r="O901" s="180">
        <f>IF(N901="net",_xlfn.XLOOKUP(E901,cannabis_log!C:C,cannabis_log!N:N,"NOT FOUND",0,1),IF(N901="gross",0,""))</f>
        <v>14</v>
      </c>
    </row>
    <row r="902" spans="1:15">
      <c r="A902" s="181" t="str">
        <f t="shared" si="38"/>
        <v>outbound</v>
      </c>
      <c r="B902" s="182">
        <v>45674.478472222225</v>
      </c>
      <c r="C902" s="183" t="s">
        <v>1929</v>
      </c>
      <c r="D902" s="22" t="s">
        <v>2511</v>
      </c>
      <c r="E902" s="215" t="s">
        <v>2304</v>
      </c>
      <c r="F902" s="112" t="str">
        <f>IF(ISBLANK(E902),"",_xlfn.XLOOKUP(E902,[1]cannabis_log!C:C,[1]cannabis_log!J:J,"",0,))</f>
        <v>PR241105F5P3</v>
      </c>
      <c r="G902" s="112"/>
      <c r="H902" s="112" t="str">
        <f>IF(ISBLANK(E902),"",_xlfn.XLOOKUP(E902,cannabis_log!C:C,cannabis_log!H:H,"",0,1))</f>
        <v>preroll_labelled</v>
      </c>
      <c r="I902" s="113">
        <f>IF(ISBLANK(E902),"",_xlfn.XLOOKUP(E902,cannabis_log!C:C,cannabis_log!K:K,"NOT FOUND",0,1))</f>
        <v>45581</v>
      </c>
      <c r="J902" s="185">
        <v>-24</v>
      </c>
      <c r="K902" s="186">
        <f t="shared" si="37"/>
        <v>0</v>
      </c>
      <c r="L902" s="288">
        <f t="shared" si="36"/>
        <v>-36</v>
      </c>
      <c r="M902" s="24"/>
      <c r="N902" s="112" t="str">
        <f>IF(ISBLANK(E902),"",_xlfn.XLOOKUP(E902,[1]cannabis_log!C:C,[1]cannabis_log!T:T,"Not Found",0,))</f>
        <v>net</v>
      </c>
      <c r="O902" s="180">
        <f>IF(N902="net",_xlfn.XLOOKUP(E902,cannabis_log!C:C,cannabis_log!N:N,"NOT FOUND",0,1),IF(N902="gross",0,""))</f>
        <v>1.5</v>
      </c>
    </row>
    <row r="903" spans="1:15">
      <c r="A903" s="181" t="str">
        <f t="shared" si="38"/>
        <v>outbound</v>
      </c>
      <c r="B903" s="182">
        <v>45674.478472222225</v>
      </c>
      <c r="C903" s="183" t="s">
        <v>1929</v>
      </c>
      <c r="D903" s="22" t="s">
        <v>2511</v>
      </c>
      <c r="E903" s="215" t="s">
        <v>2415</v>
      </c>
      <c r="F903" s="112" t="str">
        <f>IF(ISBLANK(E903),"",_xlfn.XLOOKUP(E903,[1]cannabis_log!C:C,[1]cannabis_log!J:J,"",0,))</f>
        <v>EX24101701G05</v>
      </c>
      <c r="G903" s="112"/>
      <c r="H903" s="112" t="str">
        <f>IF(ISBLANK(E903),"",_xlfn.XLOOKUP(E903,cannabis_log!C:C,cannabis_log!H:H,"",0,1))</f>
        <v>extract_inhaled_labelled</v>
      </c>
      <c r="I903" s="113">
        <f>IF(ISBLANK(E903),"",_xlfn.XLOOKUP(E903,cannabis_log!C:C,cannabis_log!K:K,"NOT FOUND",0,1))</f>
        <v>45618</v>
      </c>
      <c r="J903" s="185">
        <v>-12</v>
      </c>
      <c r="K903" s="186">
        <f t="shared" si="37"/>
        <v>0</v>
      </c>
      <c r="L903" s="288">
        <f t="shared" si="36"/>
        <v>-6</v>
      </c>
      <c r="M903" s="24"/>
      <c r="N903" s="112" t="str">
        <f>IF(ISBLANK(E903),"",_xlfn.XLOOKUP(E903,[1]cannabis_log!C:C,[1]cannabis_log!T:T,"Not Found",0,))</f>
        <v>net</v>
      </c>
      <c r="O903" s="180">
        <f>IF(N903="net",_xlfn.XLOOKUP(E903,cannabis_log!C:C,cannabis_log!N:N,"NOT FOUND",0,1),IF(N903="gross",0,""))</f>
        <v>0.5</v>
      </c>
    </row>
    <row r="904" spans="1:15">
      <c r="A904" s="181" t="str">
        <f t="shared" si="38"/>
        <v>outbound</v>
      </c>
      <c r="B904" s="182">
        <v>45674.478472222225</v>
      </c>
      <c r="C904" s="183" t="s">
        <v>1924</v>
      </c>
      <c r="D904" s="183" t="s">
        <v>2510</v>
      </c>
      <c r="E904" s="215" t="s">
        <v>2513</v>
      </c>
      <c r="F904" s="112" t="str">
        <f>IF(ISBLANK(E904),"",_xlfn.XLOOKUP(E904,[1]cannabis_log!C:C,[1]cannabis_log!J:J,"",0,))</f>
        <v>TP24101701</v>
      </c>
      <c r="G904" s="112"/>
      <c r="H904" s="112" t="str">
        <f>IF(ISBLANK(E904),"",_xlfn.XLOOKUP(E904,cannabis_log!C:C,cannabis_log!H:H,"",0,1))</f>
        <v>topical_labelled</v>
      </c>
      <c r="I904" s="113">
        <f>IF(ISBLANK(E904),"",_xlfn.XLOOKUP(E904,cannabis_log!C:C,cannabis_log!K:K,"NOT FOUND",0,1))</f>
        <v>45588</v>
      </c>
      <c r="J904" s="185">
        <v>-4</v>
      </c>
      <c r="K904" s="186">
        <f t="shared" si="37"/>
        <v>0</v>
      </c>
      <c r="L904" s="288">
        <f t="shared" si="36"/>
        <v>-352</v>
      </c>
      <c r="M904" s="24"/>
      <c r="N904" s="112" t="str">
        <f>IF(ISBLANK(E904),"",_xlfn.XLOOKUP(E904,[1]cannabis_log!C:C,[1]cannabis_log!T:T,"Not Found",0,))</f>
        <v>net</v>
      </c>
      <c r="O904" s="180">
        <f>IF(N904="net",_xlfn.XLOOKUP(E904,cannabis_log!C:C,cannabis_log!N:N,"NOT FOUND",0,1),IF(N904="gross",0,""))</f>
        <v>88</v>
      </c>
    </row>
    <row r="905" spans="1:15">
      <c r="A905" s="181" t="str">
        <f t="shared" si="38"/>
        <v>outbound</v>
      </c>
      <c r="B905" s="182">
        <v>45674.478472222225</v>
      </c>
      <c r="C905" s="183" t="s">
        <v>1924</v>
      </c>
      <c r="D905" s="183" t="s">
        <v>2510</v>
      </c>
      <c r="E905" s="215" t="s">
        <v>2209</v>
      </c>
      <c r="F905" s="112" t="str">
        <f>IF(ISBLANK(E905),"",_xlfn.XLOOKUP(E905,[1]cannabis_log!C:C,[1]cannabis_log!J:J,"",0,))</f>
        <v>BS23041701G180</v>
      </c>
      <c r="G905" s="112"/>
      <c r="H905" s="112" t="str">
        <f>IF(ISBLANK(E905),"",_xlfn.XLOOKUP(E905,cannabis_log!C:C,cannabis_log!H:H,"",0,1))</f>
        <v>topical_labelled</v>
      </c>
      <c r="I905" s="113">
        <f>IF(ISBLANK(E905),"",_xlfn.XLOOKUP(E905,cannabis_log!C:C,cannabis_log!K:K,"NOT FOUND",0,1))</f>
        <v>45523</v>
      </c>
      <c r="J905" s="185">
        <v>-2</v>
      </c>
      <c r="K905" s="186">
        <f t="shared" si="37"/>
        <v>0</v>
      </c>
      <c r="L905" s="288">
        <f t="shared" si="36"/>
        <v>-360</v>
      </c>
      <c r="M905" s="24"/>
      <c r="N905" s="112" t="str">
        <f>IF(ISBLANK(E905),"",_xlfn.XLOOKUP(E905,[1]cannabis_log!C:C,[1]cannabis_log!T:T,"Not Found",0,))</f>
        <v>net</v>
      </c>
      <c r="O905" s="180">
        <f>IF(N905="net",_xlfn.XLOOKUP(E905,cannabis_log!C:C,cannabis_log!N:N,"NOT FOUND",0,1),IF(N905="gross",0,""))</f>
        <v>180</v>
      </c>
    </row>
    <row r="906" spans="1:15">
      <c r="A906" s="181" t="str">
        <f t="shared" si="38"/>
        <v>outbound</v>
      </c>
      <c r="B906" s="182">
        <v>45674.478472222225</v>
      </c>
      <c r="C906" s="183" t="s">
        <v>1929</v>
      </c>
      <c r="D906" s="22" t="s">
        <v>2511</v>
      </c>
      <c r="E906" s="215" t="s">
        <v>2456</v>
      </c>
      <c r="F906" s="112" t="str">
        <f>IF(ISBLANK(E906),"",_xlfn.XLOOKUP(E906,[1]cannabis_log!C:C,[1]cannabis_log!J:J,"",0,))</f>
        <v>EX24101703G05</v>
      </c>
      <c r="G906" s="112"/>
      <c r="H906" s="112" t="str">
        <f>IF(ISBLANK(E906),"",_xlfn.XLOOKUP(E906,cannabis_log!C:C,cannabis_log!H:H,"",0,1))</f>
        <v>extract_inhaled_labelled</v>
      </c>
      <c r="I906" s="113">
        <f>IF(ISBLANK(E906),"",_xlfn.XLOOKUP(E906,cannabis_log!C:C,cannabis_log!K:K,"NOT FOUND",0,1))</f>
        <v>45603</v>
      </c>
      <c r="J906" s="185">
        <v>-12</v>
      </c>
      <c r="K906" s="186">
        <f t="shared" si="37"/>
        <v>0</v>
      </c>
      <c r="L906" s="288">
        <f t="shared" si="36"/>
        <v>-6</v>
      </c>
      <c r="M906" s="24"/>
      <c r="N906" s="112" t="str">
        <f>IF(ISBLANK(E906),"",_xlfn.XLOOKUP(E906,[1]cannabis_log!C:C,[1]cannabis_log!T:T,"Not Found",0,))</f>
        <v>net</v>
      </c>
      <c r="O906" s="180">
        <f>IF(N906="net",_xlfn.XLOOKUP(E906,cannabis_log!C:C,cannabis_log!N:N,"NOT FOUND",0,1),IF(N906="gross",0,""))</f>
        <v>0.5</v>
      </c>
    </row>
    <row r="907" spans="1:15">
      <c r="A907" s="181" t="str">
        <f t="shared" si="38"/>
        <v>outbound</v>
      </c>
      <c r="B907" s="182">
        <v>45674.478472222225</v>
      </c>
      <c r="C907" s="183" t="s">
        <v>1929</v>
      </c>
      <c r="D907" s="22" t="s">
        <v>2511</v>
      </c>
      <c r="E907" s="215" t="s">
        <v>2514</v>
      </c>
      <c r="F907" s="112" t="str">
        <f>IF(ISBLANK(E907),"",_xlfn.XLOOKUP(E907,[1]cannabis_log!C:C,[1]cannabis_log!J:J,"",0,))</f>
        <v>EX25010907G1</v>
      </c>
      <c r="G907" s="112"/>
      <c r="H907" s="112" t="str">
        <f>IF(ISBLANK(E907),"",_xlfn.XLOOKUP(E907,cannabis_log!C:C,cannabis_log!H:H,"",0,1))</f>
        <v>extract_inhaled_labelled</v>
      </c>
      <c r="I907" s="113">
        <f>IF(ISBLANK(E907),"",_xlfn.XLOOKUP(E907,cannabis_log!C:C,cannabis_log!K:K,"NOT FOUND",0,1))</f>
        <v>45666</v>
      </c>
      <c r="J907" s="185">
        <v>-12</v>
      </c>
      <c r="K907" s="186">
        <f t="shared" si="37"/>
        <v>0</v>
      </c>
      <c r="L907" s="288">
        <f t="shared" si="36"/>
        <v>-12</v>
      </c>
      <c r="M907" s="24"/>
      <c r="N907" s="112" t="str">
        <f>IF(ISBLANK(E907),"",_xlfn.XLOOKUP(E907,[1]cannabis_log!C:C,[1]cannabis_log!T:T,"Not Found",0,))</f>
        <v>net</v>
      </c>
      <c r="O907" s="180">
        <f>IF(N907="net",_xlfn.XLOOKUP(E907,cannabis_log!C:C,cannabis_log!N:N,"NOT FOUND",0,1),IF(N907="gross",0,""))</f>
        <v>1</v>
      </c>
    </row>
    <row r="908" spans="1:15">
      <c r="A908" s="181" t="str">
        <f t="shared" si="38"/>
        <v>outbound</v>
      </c>
      <c r="B908" s="182">
        <v>45674.638888888891</v>
      </c>
      <c r="C908" s="183" t="s">
        <v>1929</v>
      </c>
      <c r="D908" s="183" t="s">
        <v>2515</v>
      </c>
      <c r="E908" s="215" t="s">
        <v>2461</v>
      </c>
      <c r="F908" s="112" t="str">
        <f>IF(ISBLANK(E908),"",_xlfn.XLOOKUP(E908,[1]cannabis_log!C:C,[1]cannabis_log!J:J,"",0,))</f>
        <v>TP21121701</v>
      </c>
      <c r="G908" s="112"/>
      <c r="H908" s="112" t="str">
        <f>IF(ISBLANK(E908),"",_xlfn.XLOOKUP(E908,cannabis_log!C:C,cannabis_log!H:H,"",0,1))</f>
        <v>topical_labelled</v>
      </c>
      <c r="I908" s="113">
        <f>IF(ISBLANK(E908),"",_xlfn.XLOOKUP(E908,cannabis_log!C:C,cannabis_log!K:K,"NOT FOUND",0,1))</f>
        <v>45649</v>
      </c>
      <c r="J908" s="185">
        <v>-12</v>
      </c>
      <c r="K908" s="186">
        <f t="shared" si="37"/>
        <v>0</v>
      </c>
      <c r="L908" s="288">
        <f t="shared" si="36"/>
        <v>-1440</v>
      </c>
      <c r="M908" s="24"/>
      <c r="N908" s="112" t="str">
        <f>IF(ISBLANK(E908),"",_xlfn.XLOOKUP(E908,[1]cannabis_log!C:C,[1]cannabis_log!T:T,"Not Found",0,))</f>
        <v>net</v>
      </c>
      <c r="O908" s="180">
        <f>IF(N908="net",_xlfn.XLOOKUP(E908,cannabis_log!C:C,cannabis_log!N:N,"NOT FOUND",0,1),IF(N908="gross",0,""))</f>
        <v>120</v>
      </c>
    </row>
    <row r="909" spans="1:15">
      <c r="A909" s="181" t="str">
        <f t="shared" si="38"/>
        <v>outbound</v>
      </c>
      <c r="B909" s="182">
        <v>45674.638888888891</v>
      </c>
      <c r="C909" s="183" t="s">
        <v>1929</v>
      </c>
      <c r="D909" s="183" t="s">
        <v>2516</v>
      </c>
      <c r="E909" s="215" t="s">
        <v>2464</v>
      </c>
      <c r="F909" s="112" t="str">
        <f>IF(ISBLANK(E909),"",_xlfn.XLOOKUP(E909,[1]cannabis_log!C:C,[1]cannabis_log!J:J,"",0,))</f>
        <v>2024111801G7</v>
      </c>
      <c r="G909" s="112"/>
      <c r="H909" s="112" t="str">
        <f>IF(ISBLANK(E909),"",_xlfn.XLOOKUP(E909,cannabis_log!C:C,cannabis_log!H:H,"",0,1))</f>
        <v>driedflower_labelled</v>
      </c>
      <c r="I909" s="113">
        <f>IF(ISBLANK(E909),"",_xlfn.XLOOKUP(E909,cannabis_log!C:C,cannabis_log!K:K,"NOT FOUND",0,1))</f>
        <v>45631</v>
      </c>
      <c r="J909" s="185">
        <v>-24</v>
      </c>
      <c r="K909" s="186">
        <f t="shared" si="37"/>
        <v>0</v>
      </c>
      <c r="L909" s="288">
        <f t="shared" si="36"/>
        <v>-168</v>
      </c>
      <c r="M909" s="24"/>
      <c r="N909" s="112" t="str">
        <f>IF(ISBLANK(E909),"",_xlfn.XLOOKUP(E909,[1]cannabis_log!C:C,[1]cannabis_log!T:T,"Not Found",0,))</f>
        <v>net</v>
      </c>
      <c r="O909" s="180">
        <f>IF(N909="net",_xlfn.XLOOKUP(E909,cannabis_log!C:C,cannabis_log!N:N,"NOT FOUND",0,1),IF(N909="gross",0,""))</f>
        <v>7</v>
      </c>
    </row>
    <row r="910" spans="1:15" ht="15.6">
      <c r="A910" s="181" t="str">
        <f t="shared" si="38"/>
        <v>outbound</v>
      </c>
      <c r="B910" s="182">
        <v>45677.434027777781</v>
      </c>
      <c r="C910" s="183" t="s">
        <v>1929</v>
      </c>
      <c r="D910" s="53" t="s">
        <v>2517</v>
      </c>
      <c r="E910" s="215" t="s">
        <v>2446</v>
      </c>
      <c r="F910" s="112" t="str">
        <f>IF(ISBLANK(E910),"",_xlfn.XLOOKUP(E910,[1]cannabis_log!C:C,[1]cannabis_log!J:J,"",0,))</f>
        <v>EX24111801V50</v>
      </c>
      <c r="G910" s="112"/>
      <c r="H910" s="112" t="str">
        <f>IF(ISBLANK(E910),"",_xlfn.XLOOKUP(E910,cannabis_log!C:C,cannabis_log!H:H,"",0,1))</f>
        <v>extract_ingested_labelled</v>
      </c>
      <c r="I910" s="113">
        <f>IF(ISBLANK(E910),"",_xlfn.XLOOKUP(E910,cannabis_log!C:C,cannabis_log!K:K,"NOT FOUND",0,1))</f>
        <v>45624</v>
      </c>
      <c r="J910" s="185">
        <v>-77</v>
      </c>
      <c r="K910" s="186">
        <f t="shared" si="37"/>
        <v>0</v>
      </c>
      <c r="L910" s="288">
        <f t="shared" si="36"/>
        <v>-3850</v>
      </c>
      <c r="M910" s="24"/>
      <c r="N910" s="112" t="str">
        <f>IF(ISBLANK(E910),"",_xlfn.XLOOKUP(E910,[1]cannabis_log!C:C,[1]cannabis_log!T:T,"Not Found",0,))</f>
        <v>net</v>
      </c>
      <c r="O910" s="180">
        <f>IF(N910="net",_xlfn.XLOOKUP(E910,cannabis_log!C:C,cannabis_log!N:N,"NOT FOUND",0,1),IF(N910="gross",0,""))</f>
        <v>50</v>
      </c>
    </row>
    <row r="911" spans="1:15" ht="15.6">
      <c r="A911" s="181" t="str">
        <f t="shared" si="38"/>
        <v>outbound</v>
      </c>
      <c r="B911" s="182">
        <v>45677.434027777781</v>
      </c>
      <c r="C911" s="183" t="s">
        <v>1929</v>
      </c>
      <c r="D911" s="53" t="s">
        <v>2517</v>
      </c>
      <c r="E911" s="215" t="s">
        <v>2518</v>
      </c>
      <c r="F911" s="112" t="str">
        <f>IF(ISBLANK(E911),"",_xlfn.XLOOKUP(E911,[1]cannabis_log!C:C,[1]cannabis_log!J:J,"",0,))</f>
        <v>EX24111801V50</v>
      </c>
      <c r="G911" s="112"/>
      <c r="H911" s="112" t="str">
        <f>IF(ISBLANK(E911),"",_xlfn.XLOOKUP(E911,cannabis_log!C:C,cannabis_log!H:H,"",0,1))</f>
        <v>extract_ingested_labelled</v>
      </c>
      <c r="I911" s="113">
        <f>IF(ISBLANK(E911),"",_xlfn.XLOOKUP(E911,cannabis_log!C:C,cannabis_log!K:K,"NOT FOUND",0,1))</f>
        <v>45624</v>
      </c>
      <c r="J911" s="185">
        <v>-37</v>
      </c>
      <c r="K911" s="186">
        <f t="shared" si="37"/>
        <v>0</v>
      </c>
      <c r="L911" s="288">
        <f t="shared" si="36"/>
        <v>-1850</v>
      </c>
      <c r="M911" s="24"/>
      <c r="N911" s="112" t="str">
        <f>IF(ISBLANK(E911),"",_xlfn.XLOOKUP(E911,[1]cannabis_log!C:C,[1]cannabis_log!T:T,"Not Found",0,))</f>
        <v>net</v>
      </c>
      <c r="O911" s="180">
        <f>IF(N911="net",_xlfn.XLOOKUP(E911,cannabis_log!C:C,cannabis_log!N:N,"NOT FOUND",0,1),IF(N911="gross",0,""))</f>
        <v>50</v>
      </c>
    </row>
    <row r="912" spans="1:15" ht="15.6">
      <c r="A912" s="181" t="str">
        <f t="shared" si="38"/>
        <v>outbound</v>
      </c>
      <c r="B912" s="182">
        <v>45677.434027777781</v>
      </c>
      <c r="C912" s="183" t="s">
        <v>1929</v>
      </c>
      <c r="D912" s="53" t="s">
        <v>2517</v>
      </c>
      <c r="E912" s="215" t="s">
        <v>2356</v>
      </c>
      <c r="F912" s="112" t="str">
        <f>IF(ISBLANK(E912),"",_xlfn.XLOOKUP(E912,[1]cannabis_log!C:C,[1]cannabis_log!J:J,"",0,))</f>
        <v>EX24102201V50</v>
      </c>
      <c r="G912" s="112"/>
      <c r="H912" s="112" t="str">
        <f>IF(ISBLANK(E912),"",_xlfn.XLOOKUP(E912,cannabis_log!C:C,cannabis_log!H:H,"",0,1))</f>
        <v>extract_ingested_labelled</v>
      </c>
      <c r="I912" s="113">
        <f>IF(ISBLANK(E912),"",_xlfn.XLOOKUP(E912,cannabis_log!C:C,cannabis_log!K:K,"NOT FOUND",0,1))</f>
        <v>45594</v>
      </c>
      <c r="J912" s="185">
        <v>-23</v>
      </c>
      <c r="K912" s="186">
        <f t="shared" si="37"/>
        <v>0</v>
      </c>
      <c r="L912" s="288">
        <f t="shared" si="36"/>
        <v>-1150</v>
      </c>
      <c r="M912" s="24"/>
      <c r="N912" s="112" t="str">
        <f>IF(ISBLANK(E912),"",_xlfn.XLOOKUP(E912,[1]cannabis_log!C:C,[1]cannabis_log!T:T,"Not Found",0,))</f>
        <v>net</v>
      </c>
      <c r="O912" s="180">
        <f>IF(N912="net",_xlfn.XLOOKUP(E912,cannabis_log!C:C,cannabis_log!N:N,"NOT FOUND",0,1),IF(N912="gross",0,""))</f>
        <v>50</v>
      </c>
    </row>
    <row r="913" spans="1:15" ht="15.6">
      <c r="A913" s="181" t="str">
        <f t="shared" si="38"/>
        <v>outbound</v>
      </c>
      <c r="B913" s="182">
        <v>45677.507638888892</v>
      </c>
      <c r="C913" s="183" t="s">
        <v>1929</v>
      </c>
      <c r="D913" s="53" t="s">
        <v>2519</v>
      </c>
      <c r="E913" s="215" t="s">
        <v>2448</v>
      </c>
      <c r="F913" s="112" t="str">
        <f>IF(ISBLANK(E913),"",_xlfn.XLOOKUP(E913,[1]cannabis_log!C:C,[1]cannabis_log!J:J,"",0,))</f>
        <v>EX24111801V50</v>
      </c>
      <c r="G913" s="112"/>
      <c r="H913" s="112" t="str">
        <f>IF(ISBLANK(E913),"",_xlfn.XLOOKUP(E913,cannabis_log!C:C,cannabis_log!H:H,"",0,1))</f>
        <v>extract_ingested_cased_ON</v>
      </c>
      <c r="I913" s="113">
        <f>IF(ISBLANK(E913),"",_xlfn.XLOOKUP(E913,cannabis_log!C:C,cannabis_log!K:K,"NOT FOUND",0,1))</f>
        <v>45624</v>
      </c>
      <c r="J913" s="185">
        <v>-5</v>
      </c>
      <c r="K913" s="186">
        <f t="shared" si="37"/>
        <v>0</v>
      </c>
      <c r="L913" s="288">
        <f t="shared" si="36"/>
        <v>-3000</v>
      </c>
      <c r="M913" s="24"/>
      <c r="N913" s="112" t="str">
        <f>IF(ISBLANK(E913),"",_xlfn.XLOOKUP(E913,[1]cannabis_log!C:C,[1]cannabis_log!T:T,"Not Found",0,))</f>
        <v>net</v>
      </c>
      <c r="O913" s="180">
        <f>IF(N913="net",_xlfn.XLOOKUP(E913,cannabis_log!C:C,cannabis_log!N:N,"NOT FOUND",0,1),IF(N913="gross",0,""))</f>
        <v>600</v>
      </c>
    </row>
    <row r="914" spans="1:15">
      <c r="A914" s="181" t="str">
        <f t="shared" si="38"/>
        <v>outbound</v>
      </c>
      <c r="B914" s="182">
        <v>45677.584027777775</v>
      </c>
      <c r="C914" s="183" t="s">
        <v>1921</v>
      </c>
      <c r="D914" s="183" t="s">
        <v>2520</v>
      </c>
      <c r="E914" s="215" t="s">
        <v>2461</v>
      </c>
      <c r="F914" s="112" t="str">
        <f>IF(ISBLANK(E914),"",_xlfn.XLOOKUP(E914,[1]cannabis_log!C:C,[1]cannabis_log!J:J,"",0,))</f>
        <v>TP21121701</v>
      </c>
      <c r="G914" s="112"/>
      <c r="H914" s="112" t="str">
        <f>IF(ISBLANK(E914),"",_xlfn.XLOOKUP(E914,cannabis_log!C:C,cannabis_log!H:H,"",0,1))</f>
        <v>topical_labelled</v>
      </c>
      <c r="I914" s="113">
        <f>IF(ISBLANK(E914),"",_xlfn.XLOOKUP(E914,cannabis_log!C:C,cannabis_log!K:K,"NOT FOUND",0,1))</f>
        <v>45649</v>
      </c>
      <c r="J914" s="185">
        <v>-15</v>
      </c>
      <c r="K914" s="186">
        <f t="shared" si="37"/>
        <v>0</v>
      </c>
      <c r="L914" s="288">
        <f t="shared" si="36"/>
        <v>-1800</v>
      </c>
      <c r="M914" s="24"/>
      <c r="N914" s="112" t="str">
        <f>IF(ISBLANK(E914),"",_xlfn.XLOOKUP(E914,[1]cannabis_log!C:C,[1]cannabis_log!T:T,"Not Found",0,))</f>
        <v>net</v>
      </c>
      <c r="O914" s="180">
        <f>IF(N914="net",_xlfn.XLOOKUP(E914,cannabis_log!C:C,cannabis_log!N:N,"NOT FOUND",0,1),IF(N914="gross",0,""))</f>
        <v>120</v>
      </c>
    </row>
    <row r="915" spans="1:15">
      <c r="A915" s="181" t="str">
        <f t="shared" si="38"/>
        <v>outbound</v>
      </c>
      <c r="B915" s="182">
        <v>45677.584027777775</v>
      </c>
      <c r="C915" s="183" t="s">
        <v>1921</v>
      </c>
      <c r="D915" s="183" t="s">
        <v>2520</v>
      </c>
      <c r="E915" s="215" t="s">
        <v>2521</v>
      </c>
      <c r="F915" s="112" t="str">
        <f>IF(ISBLANK(E915),"",_xlfn.XLOOKUP(E915,[1]cannabis_log!C:C,[1]cannabis_log!J:J,"",0,))</f>
        <v>TP21121701</v>
      </c>
      <c r="G915" s="112"/>
      <c r="H915" s="112" t="str">
        <f>IF(ISBLANK(E915),"",_xlfn.XLOOKUP(E915,cannabis_log!C:C,cannabis_log!H:H,"",0,1))</f>
        <v>topical_labelled_RTV</v>
      </c>
      <c r="I915" s="113">
        <f>IF(ISBLANK(E915),"",_xlfn.XLOOKUP(E915,cannabis_log!C:C,cannabis_log!K:K,"NOT FOUND",0,1))</f>
        <v>44576</v>
      </c>
      <c r="J915" s="185">
        <v>-33</v>
      </c>
      <c r="K915" s="186">
        <f t="shared" si="37"/>
        <v>0</v>
      </c>
      <c r="L915" s="288">
        <f t="shared" si="36"/>
        <v>-462</v>
      </c>
      <c r="M915" s="24"/>
      <c r="N915" s="112" t="str">
        <f>IF(ISBLANK(E915),"",_xlfn.XLOOKUP(E915,[1]cannabis_log!C:C,[1]cannabis_log!T:T,"Not Found",0,))</f>
        <v>net</v>
      </c>
      <c r="O915" s="180">
        <f>IF(N915="net",_xlfn.XLOOKUP(E915,cannabis_log!C:C,cannabis_log!N:N,"NOT FOUND",0,1),IF(N915="gross",0,""))</f>
        <v>14</v>
      </c>
    </row>
    <row r="916" spans="1:15">
      <c r="A916" s="181" t="str">
        <f t="shared" si="38"/>
        <v>outbound</v>
      </c>
      <c r="B916" s="182">
        <v>45677.599999999999</v>
      </c>
      <c r="C916" s="183" t="s">
        <v>1929</v>
      </c>
      <c r="D916" s="183" t="s">
        <v>2522</v>
      </c>
      <c r="E916" s="215" t="s">
        <v>2295</v>
      </c>
      <c r="F916" s="112" t="str">
        <f>IF(ISBLANK(E916),"",_xlfn.XLOOKUP(E916,[1]cannabis_log!C:C,[1]cannabis_log!J:J,"",0,))</f>
        <v>PR241101F5P3</v>
      </c>
      <c r="G916" s="112"/>
      <c r="H916" s="112" t="str">
        <f>IF(ISBLANK(E916),"",_xlfn.XLOOKUP(E916,cannabis_log!C:C,cannabis_log!H:H,"",0,1))</f>
        <v>preroll_labelled</v>
      </c>
      <c r="I916" s="113">
        <f>IF(ISBLANK(E916),"",_xlfn.XLOOKUP(E916,cannabis_log!C:C,cannabis_log!K:K,"NOT FOUND",0,1))</f>
        <v>45581</v>
      </c>
      <c r="J916" s="185">
        <v>-12</v>
      </c>
      <c r="K916" s="186">
        <f t="shared" si="37"/>
        <v>0</v>
      </c>
      <c r="L916" s="288">
        <f t="shared" si="36"/>
        <v>-18</v>
      </c>
      <c r="M916" s="24"/>
      <c r="N916" s="112" t="str">
        <f>IF(ISBLANK(E916),"",_xlfn.XLOOKUP(E916,[1]cannabis_log!C:C,[1]cannabis_log!T:T,"Not Found",0,))</f>
        <v>net</v>
      </c>
      <c r="O916" s="180">
        <f>IF(N916="net",_xlfn.XLOOKUP(E916,cannabis_log!C:C,cannabis_log!N:N,"NOT FOUND",0,1),IF(N916="gross",0,""))</f>
        <v>1.5</v>
      </c>
    </row>
    <row r="917" spans="1:15">
      <c r="A917" s="181" t="str">
        <f t="shared" si="38"/>
        <v>outbound</v>
      </c>
      <c r="B917" s="182">
        <v>45677.599999999999</v>
      </c>
      <c r="C917" s="183" t="s">
        <v>1929</v>
      </c>
      <c r="D917" s="183" t="s">
        <v>2522</v>
      </c>
      <c r="E917" s="215" t="s">
        <v>2105</v>
      </c>
      <c r="F917" s="112" t="str">
        <f>IF(ISBLANK(E917),"",_xlfn.XLOOKUP(E917,[1]cannabis_log!C:C,[1]cannabis_log!J:J,"",0,))</f>
        <v>PR241005F5P3</v>
      </c>
      <c r="G917" s="112"/>
      <c r="H917" s="112" t="str">
        <f>IF(ISBLANK(E917),"",_xlfn.XLOOKUP(E917,cannabis_log!C:C,cannabis_log!H:H,"",0,1))</f>
        <v>preroll_labelled</v>
      </c>
      <c r="I917" s="113">
        <f>IF(ISBLANK(E917),"",_xlfn.XLOOKUP(E917,cannabis_log!C:C,cannabis_log!K:K,"NOT FOUND",0,1))</f>
        <v>45575</v>
      </c>
      <c r="J917" s="185">
        <v>-8</v>
      </c>
      <c r="K917" s="186">
        <f t="shared" si="37"/>
        <v>0</v>
      </c>
      <c r="L917" s="288">
        <f t="shared" si="36"/>
        <v>-12</v>
      </c>
      <c r="M917" s="24"/>
      <c r="N917" s="112" t="str">
        <f>IF(ISBLANK(E917),"",_xlfn.XLOOKUP(E917,[1]cannabis_log!C:C,[1]cannabis_log!T:T,"Not Found",0,))</f>
        <v>net</v>
      </c>
      <c r="O917" s="180">
        <f>IF(N917="net",_xlfn.XLOOKUP(E917,cannabis_log!C:C,cannabis_log!N:N,"NOT FOUND",0,1),IF(N917="gross",0,""))</f>
        <v>1.5</v>
      </c>
    </row>
    <row r="918" spans="1:15">
      <c r="A918" s="181" t="str">
        <f t="shared" si="38"/>
        <v>outbound</v>
      </c>
      <c r="B918" s="182">
        <v>45677.599999999999</v>
      </c>
      <c r="C918" s="183" t="s">
        <v>1929</v>
      </c>
      <c r="D918" s="183" t="s">
        <v>2522</v>
      </c>
      <c r="E918" s="215" t="s">
        <v>1963</v>
      </c>
      <c r="F918" s="112" t="str">
        <f>IF(ISBLANK(E918),"",_xlfn.XLOOKUP(E918,[1]cannabis_log!C:C,[1]cannabis_log!J:J,"",0,))</f>
        <v>PR241005F5P3</v>
      </c>
      <c r="G918" s="112"/>
      <c r="H918" s="112" t="str">
        <f>IF(ISBLANK(E918),"",_xlfn.XLOOKUP(E918,cannabis_log!C:C,cannabis_log!H:H,"",0,1))</f>
        <v>preroll_packaged</v>
      </c>
      <c r="I918" s="113">
        <f>IF(ISBLANK(E918),"",_xlfn.XLOOKUP(E918,cannabis_log!C:C,cannabis_log!K:K,"NOT FOUND",0,1))</f>
        <v>45541</v>
      </c>
      <c r="J918" s="185">
        <v>-3</v>
      </c>
      <c r="K918" s="186">
        <f t="shared" si="37"/>
        <v>0</v>
      </c>
      <c r="L918" s="288">
        <f t="shared" si="36"/>
        <v>-4.5</v>
      </c>
      <c r="M918" s="24"/>
      <c r="N918" s="112" t="str">
        <f>IF(ISBLANK(E918),"",_xlfn.XLOOKUP(E918,[1]cannabis_log!C:C,[1]cannabis_log!T:T,"Not Found",0,))</f>
        <v>net</v>
      </c>
      <c r="O918" s="180">
        <f>IF(N918="net",_xlfn.XLOOKUP(E918,cannabis_log!C:C,cannabis_log!N:N,"NOT FOUND",0,1),IF(N918="gross",0,""))</f>
        <v>1.5</v>
      </c>
    </row>
    <row r="919" spans="1:15">
      <c r="A919" s="181" t="str">
        <f t="shared" si="38"/>
        <v>outbound</v>
      </c>
      <c r="B919" s="182">
        <v>45677.599999999999</v>
      </c>
      <c r="C919" s="183" t="s">
        <v>1929</v>
      </c>
      <c r="D919" s="183" t="s">
        <v>2522</v>
      </c>
      <c r="E919" s="215" t="s">
        <v>2338</v>
      </c>
      <c r="F919" s="112" t="str">
        <f>IF(ISBLANK(E919),"",_xlfn.XLOOKUP(E919,[1]cannabis_log!C:C,[1]cannabis_log!J:J,"",0,))</f>
        <v>PR241005F5P3</v>
      </c>
      <c r="G919" s="112"/>
      <c r="H919" s="112" t="str">
        <f>IF(ISBLANK(E919),"",_xlfn.XLOOKUP(E919,cannabis_log!C:C,cannabis_log!H:H,"",0,1))</f>
        <v>preroll_labelled</v>
      </c>
      <c r="I919" s="113">
        <f>IF(ISBLANK(E919),"",_xlfn.XLOOKUP(E919,cannabis_log!C:C,cannabis_log!K:K,"NOT FOUND",0,1))</f>
        <v>45575</v>
      </c>
      <c r="J919" s="185">
        <v>-1</v>
      </c>
      <c r="K919" s="186">
        <f t="shared" si="37"/>
        <v>0</v>
      </c>
      <c r="L919" s="288">
        <f t="shared" si="36"/>
        <v>-1.5</v>
      </c>
      <c r="M919" s="24"/>
      <c r="N919" s="112" t="str">
        <f>IF(ISBLANK(E919),"",_xlfn.XLOOKUP(E919,[1]cannabis_log!C:C,[1]cannabis_log!T:T,"Not Found",0,))</f>
        <v>net</v>
      </c>
      <c r="O919" s="180">
        <f>IF(N919="net",_xlfn.XLOOKUP(E919,cannabis_log!C:C,cannabis_log!N:N,"NOT FOUND",0,1),IF(N919="gross",0,""))</f>
        <v>1.5</v>
      </c>
    </row>
    <row r="920" spans="1:15">
      <c r="A920" s="181" t="str">
        <f t="shared" si="38"/>
        <v>outbound</v>
      </c>
      <c r="B920" s="182">
        <v>45677.599999999999</v>
      </c>
      <c r="C920" s="183" t="s">
        <v>1929</v>
      </c>
      <c r="D920" s="183" t="s">
        <v>2522</v>
      </c>
      <c r="E920" s="215" t="s">
        <v>2412</v>
      </c>
      <c r="F920" s="112" t="str">
        <f>IF(ISBLANK(E920),"",_xlfn.XLOOKUP(E920,[1]cannabis_log!C:C,[1]cannabis_log!J:J,"",0,))</f>
        <v>EX24111302G05</v>
      </c>
      <c r="G920" s="112"/>
      <c r="H920" s="112" t="str">
        <f>IF(ISBLANK(E920),"",_xlfn.XLOOKUP(E920,cannabis_log!C:C,cannabis_log!H:H,"",0,1))</f>
        <v>extract_inhaled_labelled</v>
      </c>
      <c r="I920" s="113">
        <f>IF(ISBLANK(E920),"",_xlfn.XLOOKUP(E920,cannabis_log!C:C,cannabis_log!K:K,"NOT FOUND",0,1))</f>
        <v>45623</v>
      </c>
      <c r="J920" s="185">
        <v>-12</v>
      </c>
      <c r="K920" s="186">
        <f t="shared" si="37"/>
        <v>0</v>
      </c>
      <c r="L920" s="288">
        <f t="shared" si="36"/>
        <v>-6</v>
      </c>
      <c r="M920" s="24"/>
      <c r="N920" s="112" t="str">
        <f>IF(ISBLANK(E920),"",_xlfn.XLOOKUP(E920,[1]cannabis_log!C:C,[1]cannabis_log!T:T,"Not Found",0,))</f>
        <v>net</v>
      </c>
      <c r="O920" s="180">
        <f>IF(N920="net",_xlfn.XLOOKUP(E920,cannabis_log!C:C,cannabis_log!N:N,"NOT FOUND",0,1),IF(N920="gross",0,""))</f>
        <v>0.5</v>
      </c>
    </row>
    <row r="921" spans="1:15">
      <c r="A921" s="181" t="str">
        <f t="shared" si="38"/>
        <v>outbound</v>
      </c>
      <c r="B921" s="182">
        <v>45677.599999999999</v>
      </c>
      <c r="C921" s="183" t="s">
        <v>1929</v>
      </c>
      <c r="D921" s="183" t="s">
        <v>2522</v>
      </c>
      <c r="E921" s="215" t="s">
        <v>2415</v>
      </c>
      <c r="F921" s="112" t="str">
        <f>IF(ISBLANK(E921),"",_xlfn.XLOOKUP(E921,[1]cannabis_log!C:C,[1]cannabis_log!J:J,"",0,))</f>
        <v>EX24101701G05</v>
      </c>
      <c r="G921" s="112"/>
      <c r="H921" s="112" t="str">
        <f>IF(ISBLANK(E921),"",_xlfn.XLOOKUP(E921,cannabis_log!C:C,cannabis_log!H:H,"",0,1))</f>
        <v>extract_inhaled_labelled</v>
      </c>
      <c r="I921" s="113">
        <f>IF(ISBLANK(E921),"",_xlfn.XLOOKUP(E921,cannabis_log!C:C,cannabis_log!K:K,"NOT FOUND",0,1))</f>
        <v>45618</v>
      </c>
      <c r="J921" s="185">
        <v>-12</v>
      </c>
      <c r="K921" s="186">
        <f t="shared" si="37"/>
        <v>0</v>
      </c>
      <c r="L921" s="288">
        <f t="shared" si="36"/>
        <v>-6</v>
      </c>
      <c r="M921" s="24"/>
      <c r="N921" s="112" t="str">
        <f>IF(ISBLANK(E921),"",_xlfn.XLOOKUP(E921,[1]cannabis_log!C:C,[1]cannabis_log!T:T,"Not Found",0,))</f>
        <v>net</v>
      </c>
      <c r="O921" s="180">
        <f>IF(N921="net",_xlfn.XLOOKUP(E921,cannabis_log!C:C,cannabis_log!N:N,"NOT FOUND",0,1),IF(N921="gross",0,""))</f>
        <v>0.5</v>
      </c>
    </row>
    <row r="922" spans="1:15">
      <c r="A922" s="181" t="str">
        <f t="shared" si="38"/>
        <v>outbound</v>
      </c>
      <c r="B922" s="182">
        <v>45677.599999999999</v>
      </c>
      <c r="C922" s="183" t="s">
        <v>1929</v>
      </c>
      <c r="D922" s="183" t="s">
        <v>2522</v>
      </c>
      <c r="E922" s="215" t="s">
        <v>2397</v>
      </c>
      <c r="F922" s="112" t="str">
        <f>IF(ISBLANK(E922),"",_xlfn.XLOOKUP(E922,[1]cannabis_log!C:C,[1]cannabis_log!J:J,"",0,))</f>
        <v>EX24082906G05</v>
      </c>
      <c r="G922" s="112"/>
      <c r="H922" s="112" t="str">
        <f>IF(ISBLANK(E922),"",_xlfn.XLOOKUP(E922,cannabis_log!C:C,cannabis_log!H:H,"",0,1))</f>
        <v>extract_inhaled_labelled</v>
      </c>
      <c r="I922" s="113">
        <f>IF(ISBLANK(E922),"",_xlfn.XLOOKUP(E922,cannabis_log!C:C,cannabis_log!K:K,"NOT FOUND",0,1))</f>
        <v>45588</v>
      </c>
      <c r="J922" s="185">
        <v>-12</v>
      </c>
      <c r="K922" s="186">
        <f t="shared" si="37"/>
        <v>0</v>
      </c>
      <c r="L922" s="288">
        <f t="shared" si="36"/>
        <v>-6</v>
      </c>
      <c r="M922" s="24"/>
      <c r="N922" s="112" t="str">
        <f>IF(ISBLANK(E922),"",_xlfn.XLOOKUP(E922,[1]cannabis_log!C:C,[1]cannabis_log!T:T,"Not Found",0,))</f>
        <v>net</v>
      </c>
      <c r="O922" s="180">
        <f>IF(N922="net",_xlfn.XLOOKUP(E922,cannabis_log!C:C,cannabis_log!N:N,"NOT FOUND",0,1),IF(N922="gross",0,""))</f>
        <v>0.5</v>
      </c>
    </row>
    <row r="923" spans="1:15">
      <c r="A923" s="181" t="str">
        <f t="shared" si="38"/>
        <v>outbound</v>
      </c>
      <c r="B923" s="182">
        <v>45677.599999999999</v>
      </c>
      <c r="C923" s="183" t="s">
        <v>1929</v>
      </c>
      <c r="D923" s="183" t="s">
        <v>2522</v>
      </c>
      <c r="E923" s="215" t="s">
        <v>2064</v>
      </c>
      <c r="F923" s="112" t="str">
        <f>IF(ISBLANK(E923),"",_xlfn.XLOOKUP(E923,[1]cannabis_log!C:C,[1]cannabis_log!J:J,"",0,))</f>
        <v>PR21071201G1</v>
      </c>
      <c r="G923" s="112"/>
      <c r="H923" s="112" t="str">
        <f>IF(ISBLANK(E923),"",_xlfn.XLOOKUP(E923,cannabis_log!C:C,cannabis_log!H:H,"",0,1))</f>
        <v>preroll_labelled</v>
      </c>
      <c r="I923" s="113">
        <f>IF(ISBLANK(E923),"",_xlfn.XLOOKUP(E923,cannabis_log!C:C,cannabis_log!K:K,"NOT FOUND",0,1))</f>
        <v>45593</v>
      </c>
      <c r="J923" s="185">
        <v>-24</v>
      </c>
      <c r="K923" s="186">
        <f t="shared" si="37"/>
        <v>0</v>
      </c>
      <c r="L923" s="288">
        <f t="shared" si="36"/>
        <v>-24</v>
      </c>
      <c r="M923" s="24"/>
      <c r="N923" s="112" t="str">
        <f>IF(ISBLANK(E923),"",_xlfn.XLOOKUP(E923,[1]cannabis_log!C:C,[1]cannabis_log!T:T,"Not Found",0,))</f>
        <v>net</v>
      </c>
      <c r="O923" s="180">
        <f>IF(N923="net",_xlfn.XLOOKUP(E923,cannabis_log!C:C,cannabis_log!N:N,"NOT FOUND",0,1),IF(N923="gross",0,""))</f>
        <v>1</v>
      </c>
    </row>
    <row r="924" spans="1:15">
      <c r="A924" s="181" t="str">
        <f t="shared" si="38"/>
        <v>outbound</v>
      </c>
      <c r="B924" s="182">
        <v>45677.609722222223</v>
      </c>
      <c r="C924" s="183" t="s">
        <v>1929</v>
      </c>
      <c r="D924" s="22" t="s">
        <v>2523</v>
      </c>
      <c r="E924" s="215" t="s">
        <v>2402</v>
      </c>
      <c r="F924" s="112" t="str">
        <f>IF(ISBLANK(E924),"",_xlfn.XLOOKUP(E924,[1]cannabis_log!C:C,[1]cannabis_log!J:J,"",0,))</f>
        <v>TP24082901</v>
      </c>
      <c r="G924" s="112"/>
      <c r="H924" s="112" t="str">
        <f>IF(ISBLANK(E924),"",_xlfn.XLOOKUP(E924,cannabis_log!C:C,cannabis_log!H:H,"",0,1))</f>
        <v>topical_labelled</v>
      </c>
      <c r="I924" s="113">
        <f>IF(ISBLANK(E924),"",_xlfn.XLOOKUP(E924,cannabis_log!C:C,cannabis_log!K:K,"NOT FOUND",0,1))</f>
        <v>45569</v>
      </c>
      <c r="J924" s="185">
        <v>-120</v>
      </c>
      <c r="K924" s="186">
        <f t="shared" si="37"/>
        <v>0</v>
      </c>
      <c r="L924" s="288">
        <f t="shared" si="36"/>
        <v>-10560</v>
      </c>
      <c r="M924" s="24"/>
      <c r="N924" s="112" t="str">
        <f>IF(ISBLANK(E924),"",_xlfn.XLOOKUP(E924,[1]cannabis_log!C:C,[1]cannabis_log!T:T,"Not Found",0,))</f>
        <v>net</v>
      </c>
      <c r="O924" s="180">
        <f>IF(N924="net",_xlfn.XLOOKUP(E924,cannabis_log!C:C,cannabis_log!N:N,"NOT FOUND",0,1),IF(N924="gross",0,""))</f>
        <v>88</v>
      </c>
    </row>
    <row r="925" spans="1:15">
      <c r="A925" s="181" t="str">
        <f t="shared" si="38"/>
        <v>outbound</v>
      </c>
      <c r="B925" s="182">
        <v>45677.612500000003</v>
      </c>
      <c r="C925" s="183" t="s">
        <v>1921</v>
      </c>
      <c r="D925" s="183" t="s">
        <v>2524</v>
      </c>
      <c r="E925" s="215" t="s">
        <v>2525</v>
      </c>
      <c r="F925" s="112" t="str">
        <f>IF(ISBLANK(E925),"",_xlfn.XLOOKUP(E925,[1]cannabis_log!C:C,[1]cannabis_log!J:J,"",0,))</f>
        <v>2022012401R1</v>
      </c>
      <c r="G925" s="112"/>
      <c r="H925" s="112" t="str">
        <f>IF(ISBLANK(E925),"",_xlfn.XLOOKUP(E925,cannabis_log!C:C,cannabis_log!H:H,"",0,1))</f>
        <v>driedflower_bulk</v>
      </c>
      <c r="I925" s="113">
        <f>IF(ISBLANK(E925),"",_xlfn.XLOOKUP(E925,cannabis_log!C:C,cannabis_log!K:K,"NOT FOUND",0,1))</f>
        <v>44686</v>
      </c>
      <c r="J925" s="185">
        <v>-1</v>
      </c>
      <c r="K925" s="186">
        <v>-1026</v>
      </c>
      <c r="L925" s="288">
        <f t="shared" si="36"/>
        <v>0</v>
      </c>
      <c r="M925" s="24"/>
      <c r="N925" s="112" t="str">
        <f>IF(ISBLANK(E925),"",_xlfn.XLOOKUP(E925,[1]cannabis_log!C:C,[1]cannabis_log!T:T,"Not Found",0,))</f>
        <v>gross</v>
      </c>
      <c r="O925" s="180">
        <f>IF(N925="net",_xlfn.XLOOKUP(E925,cannabis_log!C:C,cannabis_log!N:N,"NOT FOUND",0,1),IF(N925="gross",0,""))</f>
        <v>0</v>
      </c>
    </row>
    <row r="926" spans="1:15">
      <c r="A926" s="181" t="str">
        <f t="shared" si="38"/>
        <v>outbound</v>
      </c>
      <c r="B926" s="182">
        <v>45677.612500000003</v>
      </c>
      <c r="C926" s="183" t="s">
        <v>1921</v>
      </c>
      <c r="D926" s="183" t="s">
        <v>2524</v>
      </c>
      <c r="E926" s="215" t="s">
        <v>2526</v>
      </c>
      <c r="F926" s="112" t="str">
        <f>IF(ISBLANK(E926),"",_xlfn.XLOOKUP(E926,[1]cannabis_log!C:C,[1]cannabis_log!J:J,"",0,))</f>
        <v>2022012401R1</v>
      </c>
      <c r="G926" s="112"/>
      <c r="H926" s="112" t="str">
        <f>IF(ISBLANK(E926),"",_xlfn.XLOOKUP(E926,cannabis_log!C:C,cannabis_log!H:H,"",0,1))</f>
        <v>driedflower_bulk</v>
      </c>
      <c r="I926" s="113">
        <f>IF(ISBLANK(E926),"",_xlfn.XLOOKUP(E926,cannabis_log!C:C,cannabis_log!K:K,"NOT FOUND",0,1))</f>
        <v>44686</v>
      </c>
      <c r="J926" s="185">
        <v>-1</v>
      </c>
      <c r="K926" s="186">
        <v>-1026</v>
      </c>
      <c r="L926" s="288">
        <f t="shared" si="36"/>
        <v>0</v>
      </c>
      <c r="M926" s="24"/>
      <c r="N926" s="112" t="str">
        <f>IF(ISBLANK(E926),"",_xlfn.XLOOKUP(E926,[1]cannabis_log!C:C,[1]cannabis_log!T:T,"Not Found",0,))</f>
        <v>gross</v>
      </c>
      <c r="O926" s="180">
        <f>IF(N926="net",_xlfn.XLOOKUP(E926,cannabis_log!C:C,cannabis_log!N:N,"NOT FOUND",0,1),IF(N926="gross",0,""))</f>
        <v>0</v>
      </c>
    </row>
    <row r="927" spans="1:15">
      <c r="A927" s="181" t="str">
        <f t="shared" si="38"/>
        <v>outbound</v>
      </c>
      <c r="B927" s="182">
        <v>45677.620138888888</v>
      </c>
      <c r="C927" s="183" t="s">
        <v>1929</v>
      </c>
      <c r="D927" s="22" t="s">
        <v>2523</v>
      </c>
      <c r="E927" s="215" t="s">
        <v>2400</v>
      </c>
      <c r="F927" s="112" t="str">
        <f>IF(ISBLANK(E927),"",_xlfn.XLOOKUP(E927,[1]cannabis_log!C:C,[1]cannabis_log!J:J,"",0,))</f>
        <v>BS23101901G450</v>
      </c>
      <c r="G927" s="112"/>
      <c r="H927" s="112" t="str">
        <f>IF(ISBLANK(E927),"",_xlfn.XLOOKUP(E927,cannabis_log!C:C,cannabis_log!H:H,"",0,1))</f>
        <v>topical_labelled</v>
      </c>
      <c r="I927" s="113">
        <f>IF(ISBLANK(E927),"",_xlfn.XLOOKUP(E927,cannabis_log!C:C,cannabis_log!K:K,"NOT FOUND",0,1))</f>
        <v>45629</v>
      </c>
      <c r="J927" s="185">
        <v>-30</v>
      </c>
      <c r="K927" s="186">
        <f t="shared" ref="K927:K941" si="39">IF(N927="net",0,"")</f>
        <v>0</v>
      </c>
      <c r="L927" s="288">
        <f t="shared" si="36"/>
        <v>-13500</v>
      </c>
      <c r="M927" s="24"/>
      <c r="N927" s="112" t="str">
        <f>IF(ISBLANK(E927),"",_xlfn.XLOOKUP(E927,[1]cannabis_log!C:C,[1]cannabis_log!T:T,"Not Found",0,))</f>
        <v>net</v>
      </c>
      <c r="O927" s="180">
        <f>IF(N927="net",_xlfn.XLOOKUP(E927,cannabis_log!C:C,cannabis_log!N:N,"NOT FOUND",0,1),IF(N927="gross",0,""))</f>
        <v>450</v>
      </c>
    </row>
    <row r="928" spans="1:15">
      <c r="A928" s="181" t="str">
        <f t="shared" si="38"/>
        <v>outbound</v>
      </c>
      <c r="B928" s="182">
        <v>45678.535416666666</v>
      </c>
      <c r="C928" s="183" t="s">
        <v>1929</v>
      </c>
      <c r="D928" s="183" t="s">
        <v>2527</v>
      </c>
      <c r="E928" s="215" t="s">
        <v>2506</v>
      </c>
      <c r="F928" s="112" t="str">
        <f>IF(ISBLANK(E928),"",_xlfn.XLOOKUP(E928,[1]cannabis_log!C:C,[1]cannabis_log!J:J,"",0,))</f>
        <v>EX24111304G05</v>
      </c>
      <c r="G928" s="112"/>
      <c r="H928" s="112" t="str">
        <f>IF(ISBLANK(E928),"",_xlfn.XLOOKUP(E928,cannabis_log!C:C,cannabis_log!H:H,"",0,1))</f>
        <v>extract_inhaled_labelled</v>
      </c>
      <c r="I928" s="113">
        <f>IF(ISBLANK(E928),"",_xlfn.XLOOKUP(E928,cannabis_log!C:C,cannabis_log!K:K,"NOT FOUND",0,1))</f>
        <v>45622</v>
      </c>
      <c r="J928" s="185">
        <v>-7</v>
      </c>
      <c r="K928" s="186">
        <f t="shared" si="39"/>
        <v>0</v>
      </c>
      <c r="L928" s="288">
        <f t="shared" si="36"/>
        <v>-3.5</v>
      </c>
      <c r="M928" s="24"/>
      <c r="N928" s="112" t="str">
        <f>IF(ISBLANK(E928),"",_xlfn.XLOOKUP(E928,[1]cannabis_log!C:C,[1]cannabis_log!T:T,"Not Found",0,))</f>
        <v>net</v>
      </c>
      <c r="O928" s="180">
        <f>IF(N928="net",_xlfn.XLOOKUP(E928,cannabis_log!C:C,cannabis_log!N:N,"NOT FOUND",0,1),IF(N928="gross",0,""))</f>
        <v>0.5</v>
      </c>
    </row>
    <row r="929" spans="1:15">
      <c r="A929" s="181" t="str">
        <f t="shared" si="38"/>
        <v>outbound</v>
      </c>
      <c r="B929" s="182">
        <v>45678.535416666666</v>
      </c>
      <c r="C929" s="183" t="s">
        <v>1929</v>
      </c>
      <c r="D929" s="183" t="s">
        <v>2527</v>
      </c>
      <c r="E929" s="215" t="s">
        <v>2528</v>
      </c>
      <c r="F929" s="112" t="str">
        <f>IF(ISBLANK(E929),"",_xlfn.XLOOKUP(E929,[1]cannabis_log!C:C,[1]cannabis_log!J:J,"",0,))</f>
        <v>EX24101704G05</v>
      </c>
      <c r="G929" s="112"/>
      <c r="H929" s="112" t="str">
        <f>IF(ISBLANK(E929),"",_xlfn.XLOOKUP(E929,cannabis_log!C:C,cannabis_log!H:H,"",0,1))</f>
        <v>extract_inhaled_labelled</v>
      </c>
      <c r="I929" s="113">
        <f>IF(ISBLANK(E929),"",_xlfn.XLOOKUP(E929,cannabis_log!C:C,cannabis_log!K:K,"NOT FOUND",0,1))</f>
        <v>45625</v>
      </c>
      <c r="J929" s="185">
        <v>-5</v>
      </c>
      <c r="K929" s="186">
        <f t="shared" si="39"/>
        <v>0</v>
      </c>
      <c r="L929" s="288">
        <f t="shared" si="36"/>
        <v>-2.5</v>
      </c>
      <c r="M929" s="24"/>
      <c r="N929" s="112" t="str">
        <f>IF(ISBLANK(E929),"",_xlfn.XLOOKUP(E929,[1]cannabis_log!C:C,[1]cannabis_log!T:T,"Not Found",0,))</f>
        <v>net</v>
      </c>
      <c r="O929" s="180">
        <f>IF(N929="net",_xlfn.XLOOKUP(E929,cannabis_log!C:C,cannabis_log!N:N,"NOT FOUND",0,1),IF(N929="gross",0,""))</f>
        <v>0.5</v>
      </c>
    </row>
    <row r="930" spans="1:15">
      <c r="A930" s="181" t="str">
        <f t="shared" si="38"/>
        <v>outbound</v>
      </c>
      <c r="B930" s="182">
        <v>45678.535416666666</v>
      </c>
      <c r="C930" s="183" t="s">
        <v>1929</v>
      </c>
      <c r="D930" s="183" t="s">
        <v>2527</v>
      </c>
      <c r="E930" s="215" t="s">
        <v>2316</v>
      </c>
      <c r="F930" s="112" t="str">
        <f>IF(ISBLANK(E930),"",_xlfn.XLOOKUP(E930,[1]cannabis_log!C:C,[1]cannabis_log!J:J,"",0,))</f>
        <v>EX24101705G05</v>
      </c>
      <c r="G930" s="112"/>
      <c r="H930" s="112" t="str">
        <f>IF(ISBLANK(E930),"",_xlfn.XLOOKUP(E930,cannabis_log!C:C,cannabis_log!H:H,"",0,1))</f>
        <v>extract_inhaled_labelled</v>
      </c>
      <c r="I930" s="113">
        <f>IF(ISBLANK(E930),"",_xlfn.XLOOKUP(E930,cannabis_log!C:C,cannabis_log!K:K,"NOT FOUND",0,1))</f>
        <v>45594</v>
      </c>
      <c r="J930" s="185">
        <v>-12</v>
      </c>
      <c r="K930" s="186">
        <f t="shared" si="39"/>
        <v>0</v>
      </c>
      <c r="L930" s="288">
        <f t="shared" si="36"/>
        <v>-6</v>
      </c>
      <c r="M930" s="24"/>
      <c r="N930" s="112" t="str">
        <f>IF(ISBLANK(E930),"",_xlfn.XLOOKUP(E930,[1]cannabis_log!C:C,[1]cannabis_log!T:T,"Not Found",0,))</f>
        <v>net</v>
      </c>
      <c r="O930" s="180">
        <f>IF(N930="net",_xlfn.XLOOKUP(E930,cannabis_log!C:C,cannabis_log!N:N,"NOT FOUND",0,1),IF(N930="gross",0,""))</f>
        <v>0.5</v>
      </c>
    </row>
    <row r="931" spans="1:15">
      <c r="A931" s="181" t="str">
        <f t="shared" si="38"/>
        <v>outbound</v>
      </c>
      <c r="B931" s="182">
        <v>45678.535416666666</v>
      </c>
      <c r="C931" s="183" t="s">
        <v>1929</v>
      </c>
      <c r="D931" s="183" t="s">
        <v>2527</v>
      </c>
      <c r="E931" s="215" t="s">
        <v>2456</v>
      </c>
      <c r="F931" s="112" t="str">
        <f>IF(ISBLANK(E931),"",_xlfn.XLOOKUP(E931,[1]cannabis_log!C:C,[1]cannabis_log!J:J,"",0,))</f>
        <v>EX24101703G05</v>
      </c>
      <c r="G931" s="112"/>
      <c r="H931" s="112" t="str">
        <f>IF(ISBLANK(E931),"",_xlfn.XLOOKUP(E931,cannabis_log!C:C,cannabis_log!H:H,"",0,1))</f>
        <v>extract_inhaled_labelled</v>
      </c>
      <c r="I931" s="113">
        <f>IF(ISBLANK(E931),"",_xlfn.XLOOKUP(E931,cannabis_log!C:C,cannabis_log!K:K,"NOT FOUND",0,1))</f>
        <v>45603</v>
      </c>
      <c r="J931" s="185">
        <v>-12</v>
      </c>
      <c r="K931" s="186">
        <f t="shared" si="39"/>
        <v>0</v>
      </c>
      <c r="L931" s="288">
        <f t="shared" si="36"/>
        <v>-6</v>
      </c>
      <c r="M931" s="24"/>
      <c r="N931" s="112" t="str">
        <f>IF(ISBLANK(E931),"",_xlfn.XLOOKUP(E931,[1]cannabis_log!C:C,[1]cannabis_log!T:T,"Not Found",0,))</f>
        <v>net</v>
      </c>
      <c r="O931" s="180">
        <f>IF(N931="net",_xlfn.XLOOKUP(E931,cannabis_log!C:C,cannabis_log!N:N,"NOT FOUND",0,1),IF(N931="gross",0,""))</f>
        <v>0.5</v>
      </c>
    </row>
    <row r="932" spans="1:15">
      <c r="A932" s="181" t="str">
        <f t="shared" si="38"/>
        <v>outbound</v>
      </c>
      <c r="B932" s="182">
        <v>45678.535416666666</v>
      </c>
      <c r="C932" s="183" t="s">
        <v>1929</v>
      </c>
      <c r="D932" s="183" t="s">
        <v>2527</v>
      </c>
      <c r="E932" s="215" t="s">
        <v>2514</v>
      </c>
      <c r="F932" s="112" t="str">
        <f>IF(ISBLANK(E932),"",_xlfn.XLOOKUP(E932,[1]cannabis_log!C:C,[1]cannabis_log!J:J,"",0,))</f>
        <v>EX25010907G1</v>
      </c>
      <c r="G932" s="112"/>
      <c r="H932" s="112" t="str">
        <f>IF(ISBLANK(E932),"",_xlfn.XLOOKUP(E932,cannabis_log!C:C,cannabis_log!H:H,"",0,1))</f>
        <v>extract_inhaled_labelled</v>
      </c>
      <c r="I932" s="113">
        <f>IF(ISBLANK(E932),"",_xlfn.XLOOKUP(E932,cannabis_log!C:C,cannabis_log!K:K,"NOT FOUND",0,1))</f>
        <v>45666</v>
      </c>
      <c r="J932" s="185">
        <v>-12</v>
      </c>
      <c r="K932" s="186">
        <f t="shared" si="39"/>
        <v>0</v>
      </c>
      <c r="L932" s="288">
        <f t="shared" si="36"/>
        <v>-12</v>
      </c>
      <c r="M932" s="24"/>
      <c r="N932" s="112" t="str">
        <f>IF(ISBLANK(E932),"",_xlfn.XLOOKUP(E932,[1]cannabis_log!C:C,[1]cannabis_log!T:T,"Not Found",0,))</f>
        <v>net</v>
      </c>
      <c r="O932" s="180">
        <f>IF(N932="net",_xlfn.XLOOKUP(E932,cannabis_log!C:C,cannabis_log!N:N,"NOT FOUND",0,1),IF(N932="gross",0,""))</f>
        <v>1</v>
      </c>
    </row>
    <row r="933" spans="1:15">
      <c r="A933" s="181" t="str">
        <f t="shared" si="38"/>
        <v>outbound</v>
      </c>
      <c r="B933" s="182">
        <v>45678.535416666666</v>
      </c>
      <c r="C933" s="183" t="s">
        <v>1929</v>
      </c>
      <c r="D933" s="183" t="s">
        <v>2527</v>
      </c>
      <c r="E933" s="215" t="s">
        <v>2464</v>
      </c>
      <c r="F933" s="112" t="str">
        <f>IF(ISBLANK(E933),"",_xlfn.XLOOKUP(E933,[1]cannabis_log!C:C,[1]cannabis_log!J:J,"",0,))</f>
        <v>2024111801G7</v>
      </c>
      <c r="G933" s="112"/>
      <c r="H933" s="112" t="str">
        <f>IF(ISBLANK(E933),"",_xlfn.XLOOKUP(E933,cannabis_log!C:C,cannabis_log!H:H,"",0,1))</f>
        <v>driedflower_labelled</v>
      </c>
      <c r="I933" s="113">
        <f>IF(ISBLANK(E933),"",_xlfn.XLOOKUP(E933,cannabis_log!C:C,cannabis_log!K:K,"NOT FOUND",0,1))</f>
        <v>45631</v>
      </c>
      <c r="J933" s="185">
        <v>-12</v>
      </c>
      <c r="K933" s="186">
        <f t="shared" si="39"/>
        <v>0</v>
      </c>
      <c r="L933" s="288">
        <f t="shared" si="36"/>
        <v>-84</v>
      </c>
      <c r="M933" s="24"/>
      <c r="N933" s="112" t="str">
        <f>IF(ISBLANK(E933),"",_xlfn.XLOOKUP(E933,[1]cannabis_log!C:C,[1]cannabis_log!T:T,"Not Found",0,))</f>
        <v>net</v>
      </c>
      <c r="O933" s="180">
        <f>IF(N933="net",_xlfn.XLOOKUP(E933,cannabis_log!C:C,cannabis_log!N:N,"NOT FOUND",0,1),IF(N933="gross",0,""))</f>
        <v>7</v>
      </c>
    </row>
    <row r="934" spans="1:15">
      <c r="A934" s="181" t="str">
        <f t="shared" si="38"/>
        <v>outbound</v>
      </c>
      <c r="B934" s="182">
        <v>45678.535416666666</v>
      </c>
      <c r="C934" s="183" t="s">
        <v>1929</v>
      </c>
      <c r="D934" s="183" t="s">
        <v>2527</v>
      </c>
      <c r="E934" s="215" t="s">
        <v>2412</v>
      </c>
      <c r="F934" s="112" t="str">
        <f>IF(ISBLANK(E934),"",_xlfn.XLOOKUP(E934,[1]cannabis_log!C:C,[1]cannabis_log!J:J,"",0,))</f>
        <v>EX24111302G05</v>
      </c>
      <c r="G934" s="112"/>
      <c r="H934" s="112" t="str">
        <f>IF(ISBLANK(E934),"",_xlfn.XLOOKUP(E934,cannabis_log!C:C,cannabis_log!H:H,"",0,1))</f>
        <v>extract_inhaled_labelled</v>
      </c>
      <c r="I934" s="113">
        <f>IF(ISBLANK(E934),"",_xlfn.XLOOKUP(E934,cannabis_log!C:C,cannabis_log!K:K,"NOT FOUND",0,1))</f>
        <v>45623</v>
      </c>
      <c r="J934" s="185">
        <v>-12</v>
      </c>
      <c r="K934" s="186">
        <f t="shared" si="39"/>
        <v>0</v>
      </c>
      <c r="L934" s="288">
        <f t="shared" si="36"/>
        <v>-6</v>
      </c>
      <c r="M934" s="24"/>
      <c r="N934" s="112" t="str">
        <f>IF(ISBLANK(E934),"",_xlfn.XLOOKUP(E934,[1]cannabis_log!C:C,[1]cannabis_log!T:T,"Not Found",0,))</f>
        <v>net</v>
      </c>
      <c r="O934" s="180">
        <f>IF(N934="net",_xlfn.XLOOKUP(E934,cannabis_log!C:C,cannabis_log!N:N,"NOT FOUND",0,1),IF(N934="gross",0,""))</f>
        <v>0.5</v>
      </c>
    </row>
    <row r="935" spans="1:15">
      <c r="A935" s="181" t="str">
        <f t="shared" si="38"/>
        <v>outbound</v>
      </c>
      <c r="B935" s="182">
        <v>45678.535416666666</v>
      </c>
      <c r="C935" s="183" t="s">
        <v>1929</v>
      </c>
      <c r="D935" s="183" t="s">
        <v>2527</v>
      </c>
      <c r="E935" s="215" t="s">
        <v>2529</v>
      </c>
      <c r="F935" s="112" t="str">
        <f>IF(ISBLANK(E935),"",_xlfn.XLOOKUP(E935,[1]cannabis_log!C:C,[1]cannabis_log!J:J,"",0,))</f>
        <v>EX24111301G05</v>
      </c>
      <c r="G935" s="112"/>
      <c r="H935" s="112" t="str">
        <f>IF(ISBLANK(E935),"",_xlfn.XLOOKUP(E935,cannabis_log!C:C,cannabis_log!H:H,"",0,1))</f>
        <v>extract_inhaled_labelled</v>
      </c>
      <c r="I935" s="113">
        <f>IF(ISBLANK(E935),"",_xlfn.XLOOKUP(E935,cannabis_log!C:C,cannabis_log!K:K,"NOT FOUND",0,1))</f>
        <v>45642</v>
      </c>
      <c r="J935" s="185">
        <v>-12</v>
      </c>
      <c r="K935" s="186">
        <f t="shared" si="39"/>
        <v>0</v>
      </c>
      <c r="L935" s="288">
        <f t="shared" si="36"/>
        <v>-6</v>
      </c>
      <c r="M935" s="24"/>
      <c r="N935" s="112" t="str">
        <f>IF(ISBLANK(E935),"",_xlfn.XLOOKUP(E935,[1]cannabis_log!C:C,[1]cannabis_log!T:T,"Not Found",0,))</f>
        <v>net</v>
      </c>
      <c r="O935" s="180">
        <f>IF(N935="net",_xlfn.XLOOKUP(E935,cannabis_log!C:C,cannabis_log!N:N,"NOT FOUND",0,1),IF(N935="gross",0,""))</f>
        <v>0.5</v>
      </c>
    </row>
    <row r="936" spans="1:15">
      <c r="A936" s="181" t="str">
        <f t="shared" si="38"/>
        <v>outbound</v>
      </c>
      <c r="B936" s="182">
        <v>45678.535416666666</v>
      </c>
      <c r="C936" s="183" t="s">
        <v>1929</v>
      </c>
      <c r="D936" s="183" t="s">
        <v>2527</v>
      </c>
      <c r="E936" s="215" t="s">
        <v>2397</v>
      </c>
      <c r="F936" s="112" t="str">
        <f>IF(ISBLANK(E936),"",_xlfn.XLOOKUP(E936,[1]cannabis_log!C:C,[1]cannabis_log!J:J,"",0,))</f>
        <v>EX24082906G05</v>
      </c>
      <c r="G936" s="112"/>
      <c r="H936" s="112" t="str">
        <f>IF(ISBLANK(E936),"",_xlfn.XLOOKUP(E936,cannabis_log!C:C,cannabis_log!H:H,"",0,1))</f>
        <v>extract_inhaled_labelled</v>
      </c>
      <c r="I936" s="113">
        <f>IF(ISBLANK(E936),"",_xlfn.XLOOKUP(E936,cannabis_log!C:C,cannabis_log!K:K,"NOT FOUND",0,1))</f>
        <v>45588</v>
      </c>
      <c r="J936" s="185">
        <v>-12</v>
      </c>
      <c r="K936" s="186">
        <f t="shared" si="39"/>
        <v>0</v>
      </c>
      <c r="L936" s="288">
        <f t="shared" si="36"/>
        <v>-6</v>
      </c>
      <c r="M936" s="24"/>
      <c r="N936" s="112" t="str">
        <f>IF(ISBLANK(E936),"",_xlfn.XLOOKUP(E936,[1]cannabis_log!C:C,[1]cannabis_log!T:T,"Not Found",0,))</f>
        <v>net</v>
      </c>
      <c r="O936" s="180">
        <f>IF(N936="net",_xlfn.XLOOKUP(E936,cannabis_log!C:C,cannabis_log!N:N,"NOT FOUND",0,1),IF(N936="gross",0,""))</f>
        <v>0.5</v>
      </c>
    </row>
    <row r="937" spans="1:15">
      <c r="A937" s="181" t="str">
        <f t="shared" si="38"/>
        <v>outbound</v>
      </c>
      <c r="B937" s="182">
        <v>45678.535416666666</v>
      </c>
      <c r="C937" s="183" t="s">
        <v>1929</v>
      </c>
      <c r="D937" s="183" t="s">
        <v>2527</v>
      </c>
      <c r="E937" s="215" t="s">
        <v>2016</v>
      </c>
      <c r="F937" s="112" t="str">
        <f>IF(ISBLANK(E937),"",_xlfn.XLOOKUP(E937,[1]cannabis_log!C:C,[1]cannabis_log!J:J,"",0,))</f>
        <v>PR2407F5P3</v>
      </c>
      <c r="G937" s="112"/>
      <c r="H937" s="112" t="str">
        <f>IF(ISBLANK(E937),"",_xlfn.XLOOKUP(E937,cannabis_log!C:C,cannabis_log!H:H,"",0,1))</f>
        <v>preroll_labelled</v>
      </c>
      <c r="I937" s="113">
        <f>IF(ISBLANK(E937),"",_xlfn.XLOOKUP(E937,cannabis_log!C:C,cannabis_log!K:K,"NOT FOUND",0,1))</f>
        <v>45828</v>
      </c>
      <c r="J937" s="185">
        <v>-12</v>
      </c>
      <c r="K937" s="186">
        <f t="shared" si="39"/>
        <v>0</v>
      </c>
      <c r="L937" s="288">
        <f t="shared" si="36"/>
        <v>-18</v>
      </c>
      <c r="M937" s="24"/>
      <c r="N937" s="112" t="str">
        <f>IF(ISBLANK(E937),"",_xlfn.XLOOKUP(E937,[1]cannabis_log!C:C,[1]cannabis_log!T:T,"Not Found",0,))</f>
        <v>net</v>
      </c>
      <c r="O937" s="180">
        <f>IF(N937="net",_xlfn.XLOOKUP(E937,cannabis_log!C:C,cannabis_log!N:N,"NOT FOUND",0,1),IF(N937="gross",0,""))</f>
        <v>1.5</v>
      </c>
    </row>
    <row r="938" spans="1:15">
      <c r="A938" s="181" t="str">
        <f t="shared" si="38"/>
        <v>outbound</v>
      </c>
      <c r="B938" s="182">
        <v>45678.535416666666</v>
      </c>
      <c r="C938" s="183" t="s">
        <v>1929</v>
      </c>
      <c r="D938" s="183" t="s">
        <v>2527</v>
      </c>
      <c r="E938" s="215" t="s">
        <v>2065</v>
      </c>
      <c r="F938" s="112" t="str">
        <f>IF(ISBLANK(E938),"",_xlfn.XLOOKUP(E938,[1]cannabis_log!C:C,[1]cannabis_log!J:J,"",0,))</f>
        <v>PR2301F5P3</v>
      </c>
      <c r="G938" s="112"/>
      <c r="H938" s="112" t="str">
        <f>IF(ISBLANK(E938),"",_xlfn.XLOOKUP(E938,cannabis_log!C:C,cannabis_log!H:H,"",0,1))</f>
        <v>preroll_labelled</v>
      </c>
      <c r="I938" s="113">
        <f>IF(ISBLANK(E938),"",_xlfn.XLOOKUP(E938,cannabis_log!C:C,cannabis_log!K:K,"NOT FOUND",0,1))</f>
        <v>45457</v>
      </c>
      <c r="J938" s="185">
        <v>-12</v>
      </c>
      <c r="K938" s="186">
        <f t="shared" si="39"/>
        <v>0</v>
      </c>
      <c r="L938" s="288">
        <f t="shared" si="36"/>
        <v>-18</v>
      </c>
      <c r="M938" s="24"/>
      <c r="N938" s="112" t="str">
        <f>IF(ISBLANK(E938),"",_xlfn.XLOOKUP(E938,[1]cannabis_log!C:C,[1]cannabis_log!T:T,"Not Found",0,))</f>
        <v>net</v>
      </c>
      <c r="O938" s="180">
        <f>IF(N938="net",_xlfn.XLOOKUP(E938,cannabis_log!C:C,cannabis_log!N:N,"NOT FOUND",0,1),IF(N938="gross",0,""))</f>
        <v>1.5</v>
      </c>
    </row>
    <row r="939" spans="1:15">
      <c r="A939" s="181" t="str">
        <f t="shared" si="38"/>
        <v>outbound</v>
      </c>
      <c r="B939" s="182">
        <v>45678.535416666666</v>
      </c>
      <c r="C939" s="183" t="s">
        <v>1929</v>
      </c>
      <c r="D939" s="183" t="s">
        <v>2527</v>
      </c>
      <c r="E939" s="215" t="s">
        <v>2066</v>
      </c>
      <c r="F939" s="112" t="str">
        <f>IF(ISBLANK(E939),"",_xlfn.XLOOKUP(E939,[1]cannabis_log!C:C,[1]cannabis_log!J:J,"",0,))</f>
        <v>PR2406F5P3</v>
      </c>
      <c r="G939" s="112"/>
      <c r="H939" s="112" t="str">
        <f>IF(ISBLANK(E939),"",_xlfn.XLOOKUP(E939,cannabis_log!C:C,cannabis_log!H:H,"",0,1))</f>
        <v>preroll_labelled</v>
      </c>
      <c r="I939" s="113">
        <f>IF(ISBLANK(E939),"",_xlfn.XLOOKUP(E939,cannabis_log!C:C,cannabis_log!K:K,"NOT FOUND",0,1))</f>
        <v>45457</v>
      </c>
      <c r="J939" s="185">
        <v>-12</v>
      </c>
      <c r="K939" s="186">
        <f t="shared" si="39"/>
        <v>0</v>
      </c>
      <c r="L939" s="288">
        <f t="shared" si="36"/>
        <v>-18</v>
      </c>
      <c r="M939" s="24"/>
      <c r="N939" s="112" t="str">
        <f>IF(ISBLANK(E939),"",_xlfn.XLOOKUP(E939,[1]cannabis_log!C:C,[1]cannabis_log!T:T,"Not Found",0,))</f>
        <v>net</v>
      </c>
      <c r="O939" s="180">
        <f>IF(N939="net",_xlfn.XLOOKUP(E939,cannabis_log!C:C,cannabis_log!N:N,"NOT FOUND",0,1),IF(N939="gross",0,""))</f>
        <v>1.5</v>
      </c>
    </row>
    <row r="940" spans="1:15">
      <c r="A940" s="181" t="str">
        <f t="shared" si="38"/>
        <v>outbound</v>
      </c>
      <c r="B940" s="182">
        <v>45678.535416666666</v>
      </c>
      <c r="C940" s="183" t="s">
        <v>1929</v>
      </c>
      <c r="D940" s="183" t="s">
        <v>2527</v>
      </c>
      <c r="E940" s="215" t="s">
        <v>2064</v>
      </c>
      <c r="F940" s="112" t="str">
        <f>IF(ISBLANK(E940),"",_xlfn.XLOOKUP(E940,[1]cannabis_log!C:C,[1]cannabis_log!J:J,"",0,))</f>
        <v>PR21071201G1</v>
      </c>
      <c r="G940" s="112"/>
      <c r="H940" s="112" t="str">
        <f>IF(ISBLANK(E940),"",_xlfn.XLOOKUP(E940,cannabis_log!C:C,cannabis_log!H:H,"",0,1))</f>
        <v>preroll_labelled</v>
      </c>
      <c r="I940" s="113">
        <f>IF(ISBLANK(E940),"",_xlfn.XLOOKUP(E940,cannabis_log!C:C,cannabis_log!K:K,"NOT FOUND",0,1))</f>
        <v>45593</v>
      </c>
      <c r="J940" s="185">
        <v>-12</v>
      </c>
      <c r="K940" s="186">
        <f t="shared" si="39"/>
        <v>0</v>
      </c>
      <c r="L940" s="288">
        <f t="shared" si="36"/>
        <v>-12</v>
      </c>
      <c r="M940" s="24"/>
      <c r="N940" s="112" t="str">
        <f>IF(ISBLANK(E940),"",_xlfn.XLOOKUP(E940,[1]cannabis_log!C:C,[1]cannabis_log!T:T,"Not Found",0,))</f>
        <v>net</v>
      </c>
      <c r="O940" s="180">
        <f>IF(N940="net",_xlfn.XLOOKUP(E940,cannabis_log!C:C,cannabis_log!N:N,"NOT FOUND",0,1),IF(N940="gross",0,""))</f>
        <v>1</v>
      </c>
    </row>
    <row r="941" spans="1:15">
      <c r="A941" s="181" t="str">
        <f t="shared" si="38"/>
        <v>outbound</v>
      </c>
      <c r="B941" s="182">
        <v>45678.535416666666</v>
      </c>
      <c r="C941" s="183" t="s">
        <v>1929</v>
      </c>
      <c r="D941" s="183" t="s">
        <v>2527</v>
      </c>
      <c r="E941" s="215" t="s">
        <v>1952</v>
      </c>
      <c r="F941" s="112" t="str">
        <f>IF(ISBLANK(E941),"",_xlfn.XLOOKUP(E941,[1]cannabis_log!C:C,[1]cannabis_log!J:J,"",0,))</f>
        <v>PR2406F1P1</v>
      </c>
      <c r="G941" s="112"/>
      <c r="H941" s="112" t="str">
        <f>IF(ISBLANK(E941),"",_xlfn.XLOOKUP(E941,cannabis_log!C:C,cannabis_log!H:H,"",0,1))</f>
        <v>preroll_labelled</v>
      </c>
      <c r="I941" s="113">
        <f>IF(ISBLANK(E941),"",_xlfn.XLOOKUP(E941,cannabis_log!C:C,cannabis_log!K:K,"NOT FOUND",0,1))</f>
        <v>45462</v>
      </c>
      <c r="J941" s="185">
        <v>-12</v>
      </c>
      <c r="K941" s="186">
        <f t="shared" si="39"/>
        <v>0</v>
      </c>
      <c r="L941" s="288">
        <f t="shared" si="36"/>
        <v>-12</v>
      </c>
      <c r="M941" s="24"/>
      <c r="N941" s="112" t="str">
        <f>IF(ISBLANK(E941),"",_xlfn.XLOOKUP(E941,[1]cannabis_log!C:C,[1]cannabis_log!T:T,"Not Found",0,))</f>
        <v>net</v>
      </c>
      <c r="O941" s="180">
        <f>IF(N941="net",_xlfn.XLOOKUP(E941,cannabis_log!C:C,cannabis_log!N:N,"NOT FOUND",0,1),IF(N941="gross",0,""))</f>
        <v>1</v>
      </c>
    </row>
    <row r="942" spans="1:15">
      <c r="A942" s="181" t="str">
        <f t="shared" si="38"/>
        <v>outbound</v>
      </c>
      <c r="B942" s="182">
        <v>45678.6</v>
      </c>
      <c r="C942" s="183" t="s">
        <v>1921</v>
      </c>
      <c r="D942" s="183" t="s">
        <v>2524</v>
      </c>
      <c r="E942" s="215" t="s">
        <v>2530</v>
      </c>
      <c r="F942" s="112" t="str">
        <f>IF(ISBLANK(E942),"",_xlfn.XLOOKUP(E942,[1]cannabis_log!C:C,[1]cannabis_log!J:J,"",0,))</f>
        <v>2022012401R1</v>
      </c>
      <c r="G942" s="112"/>
      <c r="H942" s="112" t="str">
        <f>IF(ISBLANK(E942),"",_xlfn.XLOOKUP(E942,cannabis_log!C:C,cannabis_log!H:H,"",0,1))</f>
        <v>driedflower_bulk</v>
      </c>
      <c r="I942" s="113">
        <f>IF(ISBLANK(E942),"",_xlfn.XLOOKUP(E942,cannabis_log!C:C,cannabis_log!K:K,"NOT FOUND",0,1))</f>
        <v>44686</v>
      </c>
      <c r="J942" s="185">
        <v>-1</v>
      </c>
      <c r="K942" s="186">
        <v>-1020.7</v>
      </c>
      <c r="L942" s="288">
        <f t="shared" si="36"/>
        <v>0</v>
      </c>
      <c r="M942" s="24"/>
      <c r="N942" s="112" t="str">
        <f>IF(ISBLANK(E942),"",_xlfn.XLOOKUP(E942,[1]cannabis_log!C:C,[1]cannabis_log!T:T,"Not Found",0,))</f>
        <v>gross</v>
      </c>
      <c r="O942" s="180">
        <f>IF(N942="net",_xlfn.XLOOKUP(E942,cannabis_log!C:C,cannabis_log!N:N,"NOT FOUND",0,1),IF(N942="gross",0,""))</f>
        <v>0</v>
      </c>
    </row>
    <row r="943" spans="1:15">
      <c r="A943" s="181" t="str">
        <f t="shared" si="38"/>
        <v>outbound</v>
      </c>
      <c r="B943" s="182">
        <v>45678.6</v>
      </c>
      <c r="C943" s="183" t="s">
        <v>1921</v>
      </c>
      <c r="D943" s="183" t="s">
        <v>2524</v>
      </c>
      <c r="E943" s="215" t="s">
        <v>2531</v>
      </c>
      <c r="F943" s="112" t="str">
        <f>IF(ISBLANK(E943),"",_xlfn.XLOOKUP(E943,[1]cannabis_log!C:C,[1]cannabis_log!J:J,"",0,))</f>
        <v>2022012401R1</v>
      </c>
      <c r="G943" s="112"/>
      <c r="H943" s="112" t="str">
        <f>IF(ISBLANK(E943),"",_xlfn.XLOOKUP(E943,cannabis_log!C:C,cannabis_log!H:H,"",0,1))</f>
        <v>driedflower_bulk</v>
      </c>
      <c r="I943" s="113">
        <f>IF(ISBLANK(E943),"",_xlfn.XLOOKUP(E943,cannabis_log!C:C,cannabis_log!K:K,"NOT FOUND",0,1))</f>
        <v>44686</v>
      </c>
      <c r="J943" s="185">
        <v>-1</v>
      </c>
      <c r="K943" s="186">
        <v>-1024</v>
      </c>
      <c r="L943" s="288">
        <f t="shared" si="36"/>
        <v>0</v>
      </c>
      <c r="M943" s="24"/>
      <c r="N943" s="112" t="str">
        <f>IF(ISBLANK(E943),"",_xlfn.XLOOKUP(E943,[1]cannabis_log!C:C,[1]cannabis_log!T:T,"Not Found",0,))</f>
        <v>gross</v>
      </c>
      <c r="O943" s="180">
        <f>IF(N943="net",_xlfn.XLOOKUP(E943,cannabis_log!C:C,cannabis_log!N:N,"NOT FOUND",0,1),IF(N943="gross",0,""))</f>
        <v>0</v>
      </c>
    </row>
    <row r="944" spans="1:15">
      <c r="A944" s="181" t="str">
        <f t="shared" si="38"/>
        <v>outbound</v>
      </c>
      <c r="B944" s="182">
        <v>45678.668749999997</v>
      </c>
      <c r="C944" s="183" t="s">
        <v>1921</v>
      </c>
      <c r="D944" s="183" t="s">
        <v>2532</v>
      </c>
      <c r="E944" s="215" t="s">
        <v>2533</v>
      </c>
      <c r="F944" s="112" t="str">
        <f>IF(ISBLANK(E944),"",_xlfn.XLOOKUP(E944,[1]cannabis_log!C:C,[1]cannabis_log!J:J,"",0,))</f>
        <v>PR2416</v>
      </c>
      <c r="G944" s="112"/>
      <c r="H944" s="112" t="str">
        <f>IF(ISBLANK(E944),"",_xlfn.XLOOKUP(E944,cannabis_log!C:C,cannabis_log!H:H,"",0,1))</f>
        <v>driedflower_milled_bulk</v>
      </c>
      <c r="I944" s="113" t="str">
        <f>IF(ISBLANK(E944),"",_xlfn.XLOOKUP(E944,cannabis_log!C:C,cannabis_log!K:K,"NOT FOUND",0,1))</f>
        <v>NA</v>
      </c>
      <c r="J944" s="185">
        <v>-1</v>
      </c>
      <c r="K944" s="186">
        <v>-4325</v>
      </c>
      <c r="L944" s="288">
        <f t="shared" si="36"/>
        <v>0</v>
      </c>
      <c r="M944" s="24"/>
      <c r="N944" s="112" t="str">
        <f>IF(ISBLANK(E944),"",_xlfn.XLOOKUP(E944,[1]cannabis_log!C:C,[1]cannabis_log!T:T,"Not Found",0,))</f>
        <v>gross</v>
      </c>
      <c r="O944" s="180">
        <f>IF(N944="net",_xlfn.XLOOKUP(E944,cannabis_log!C:C,cannabis_log!N:N,"NOT FOUND",0,1),IF(N944="gross",0,""))</f>
        <v>0</v>
      </c>
    </row>
    <row r="945" spans="1:15">
      <c r="A945" s="181" t="str">
        <f t="shared" si="38"/>
        <v>inbound</v>
      </c>
      <c r="B945" s="182">
        <v>45680</v>
      </c>
      <c r="C945" s="183" t="s">
        <v>1927</v>
      </c>
      <c r="D945" s="183"/>
      <c r="E945" s="215" t="s">
        <v>2508</v>
      </c>
      <c r="F945" s="112" t="str">
        <f>IF(ISBLANK(E945),"",_xlfn.XLOOKUP(E945,[1]cannabis_log!C:C,[1]cannabis_log!J:J,"",0,))</f>
        <v>PR2416F5P10</v>
      </c>
      <c r="G945" s="112"/>
      <c r="H945" s="112" t="str">
        <f>IF(ISBLANK(E945),"",_xlfn.XLOOKUP(E945,cannabis_log!C:C,cannabis_log!H:H,"",0,1))</f>
        <v>preroll_labelled</v>
      </c>
      <c r="I945" s="113">
        <f>IF(ISBLANK(E945),"",_xlfn.XLOOKUP(E945,cannabis_log!C:C,cannabis_log!K:K,"NOT FOUND",0,1))</f>
        <v>45642</v>
      </c>
      <c r="J945" s="185">
        <v>172</v>
      </c>
      <c r="K945" s="186">
        <f t="shared" ref="K945:K955" si="40">IF(N945="net",0,"")</f>
        <v>0</v>
      </c>
      <c r="L945" s="288">
        <f t="shared" si="36"/>
        <v>860</v>
      </c>
      <c r="M945" s="24"/>
      <c r="N945" s="112" t="str">
        <f>IF(ISBLANK(E945),"",_xlfn.XLOOKUP(E945,[1]cannabis_log!C:C,[1]cannabis_log!T:T,"Not Found",0,))</f>
        <v>net</v>
      </c>
      <c r="O945" s="180">
        <f>IF(N945="net",_xlfn.XLOOKUP(E945,cannabis_log!C:C,cannabis_log!N:N,"NOT FOUND",0,1),IF(N945="gross",0,""))</f>
        <v>5</v>
      </c>
    </row>
    <row r="946" spans="1:15">
      <c r="A946" s="181" t="str">
        <f t="shared" si="38"/>
        <v>inbound</v>
      </c>
      <c r="B946" s="182">
        <v>45680</v>
      </c>
      <c r="C946" s="183" t="s">
        <v>1927</v>
      </c>
      <c r="D946" s="183"/>
      <c r="E946" s="215" t="s">
        <v>2336</v>
      </c>
      <c r="F946" s="112" t="str">
        <f>IF(ISBLANK(E946),"",_xlfn.XLOOKUP(E946,[1]cannabis_log!C:C,[1]cannabis_log!J:J,"",0,))</f>
        <v>2022012401G28</v>
      </c>
      <c r="G946" s="112"/>
      <c r="H946" s="112" t="str">
        <f>IF(ISBLANK(E946),"",_xlfn.XLOOKUP(E946,cannabis_log!C:C,cannabis_log!H:H,"",0,1))</f>
        <v>driedflower_labelled</v>
      </c>
      <c r="I946" s="113">
        <f>IF(ISBLANK(E946),"",_xlfn.XLOOKUP(E946,cannabis_log!C:C,cannabis_log!K:K,"NOT FOUND",0,1))</f>
        <v>45594</v>
      </c>
      <c r="J946" s="185">
        <v>11</v>
      </c>
      <c r="K946" s="186">
        <f t="shared" si="40"/>
        <v>0</v>
      </c>
      <c r="L946" s="288">
        <f t="shared" ref="L946:L1009" si="41">IFERROR(J946*O946,"")</f>
        <v>308</v>
      </c>
      <c r="M946" s="24"/>
      <c r="N946" s="112" t="str">
        <f>IF(ISBLANK(E946),"",_xlfn.XLOOKUP(E946,[1]cannabis_log!C:C,[1]cannabis_log!T:T,"Not Found",0,))</f>
        <v>net</v>
      </c>
      <c r="O946" s="180">
        <f>IF(N946="net",_xlfn.XLOOKUP(E946,cannabis_log!C:C,cannabis_log!N:N,"NOT FOUND",0,1),IF(N946="gross",0,""))</f>
        <v>28</v>
      </c>
    </row>
    <row r="947" spans="1:15">
      <c r="A947" s="181" t="str">
        <f t="shared" si="38"/>
        <v>inbound</v>
      </c>
      <c r="B947" s="182">
        <v>45680</v>
      </c>
      <c r="C947" s="183" t="s">
        <v>1927</v>
      </c>
      <c r="D947" s="183"/>
      <c r="E947" s="215" t="s">
        <v>2534</v>
      </c>
      <c r="F947" s="112" t="str">
        <f>IF(ISBLANK(E947),"",_xlfn.XLOOKUP(E947,[1]cannabis_log!C:C,[1]cannabis_log!J:J,"",0,))</f>
        <v>2022012401G28</v>
      </c>
      <c r="G947" s="112"/>
      <c r="H947" s="112" t="str">
        <f>IF(ISBLANK(E947),"",_xlfn.XLOOKUP(E947,cannabis_log!C:C,cannabis_log!H:H,"",0,1))</f>
        <v>driedflower_labelled</v>
      </c>
      <c r="I947" s="113">
        <f>IF(ISBLANK(E947),"",_xlfn.XLOOKUP(E947,cannabis_log!C:C,cannabis_log!K:K,"NOT FOUND",0,1))</f>
        <v>45679</v>
      </c>
      <c r="J947" s="185">
        <v>45</v>
      </c>
      <c r="K947" s="186">
        <f t="shared" si="40"/>
        <v>0</v>
      </c>
      <c r="L947" s="288">
        <f t="shared" si="41"/>
        <v>1260</v>
      </c>
      <c r="M947" s="24"/>
      <c r="N947" s="112" t="str">
        <f>IF(ISBLANK(E947),"",_xlfn.XLOOKUP(E947,[1]cannabis_log!C:C,[1]cannabis_log!T:T,"Not Found",0,))</f>
        <v>net</v>
      </c>
      <c r="O947" s="180">
        <f>IF(N947="net",_xlfn.XLOOKUP(E947,cannabis_log!C:C,cannabis_log!N:N,"NOT FOUND",0,1),IF(N947="gross",0,""))</f>
        <v>28</v>
      </c>
    </row>
    <row r="948" spans="1:15">
      <c r="A948" s="181" t="str">
        <f t="shared" si="38"/>
        <v>inbound</v>
      </c>
      <c r="B948" s="182">
        <v>45680</v>
      </c>
      <c r="C948" s="183" t="s">
        <v>1927</v>
      </c>
      <c r="D948" s="183"/>
      <c r="E948" s="215" t="s">
        <v>2499</v>
      </c>
      <c r="F948" s="112" t="str">
        <f>IF(ISBLANK(E948),"",_xlfn.XLOOKUP(E948,[1]cannabis_log!C:C,[1]cannabis_log!J:J,"",0,))</f>
        <v>2024101703G7</v>
      </c>
      <c r="G948" s="112"/>
      <c r="H948" s="112" t="str">
        <f>IF(ISBLANK(E948),"",_xlfn.XLOOKUP(E948,cannabis_log!C:C,cannabis_log!H:H,"",0,1))</f>
        <v>driedflower_labelled</v>
      </c>
      <c r="I948" s="113">
        <f>IF(ISBLANK(E948),"",_xlfn.XLOOKUP(E948,cannabis_log!C:C,cannabis_log!K:K,"NOT FOUND",0,1))</f>
        <v>45618</v>
      </c>
      <c r="J948" s="185">
        <v>60</v>
      </c>
      <c r="K948" s="186">
        <f t="shared" si="40"/>
        <v>0</v>
      </c>
      <c r="L948" s="288">
        <f t="shared" si="41"/>
        <v>420</v>
      </c>
      <c r="M948" s="24"/>
      <c r="N948" s="112" t="str">
        <f>IF(ISBLANK(E948),"",_xlfn.XLOOKUP(E948,[1]cannabis_log!C:C,[1]cannabis_log!T:T,"Not Found",0,))</f>
        <v>net</v>
      </c>
      <c r="O948" s="180">
        <f>IF(N948="net",_xlfn.XLOOKUP(E948,cannabis_log!C:C,cannabis_log!N:N,"NOT FOUND",0,1),IF(N948="gross",0,""))</f>
        <v>7</v>
      </c>
    </row>
    <row r="949" spans="1:15">
      <c r="A949" s="181" t="str">
        <f t="shared" si="38"/>
        <v>inbound</v>
      </c>
      <c r="B949" s="182">
        <v>45680</v>
      </c>
      <c r="C949" s="183" t="s">
        <v>1927</v>
      </c>
      <c r="D949" s="183"/>
      <c r="E949" s="215" t="s">
        <v>2296</v>
      </c>
      <c r="F949" s="112" t="str">
        <f>IF(ISBLANK(E949),"",_xlfn.XLOOKUP(E949,[1]cannabis_log!C:C,[1]cannabis_log!J:J,"",0,))</f>
        <v>EX24092601V50</v>
      </c>
      <c r="G949" s="112"/>
      <c r="H949" s="112" t="str">
        <f>IF(ISBLANK(E949),"",_xlfn.XLOOKUP(E949,cannabis_log!C:C,cannabis_log!H:H,"",0,1))</f>
        <v>extract_ingested_labelled</v>
      </c>
      <c r="I949" s="113">
        <f>IF(ISBLANK(E949),"",_xlfn.XLOOKUP(E949,cannabis_log!C:C,cannabis_log!K:K,"NOT FOUND",0,1))</f>
        <v>45576</v>
      </c>
      <c r="J949" s="185">
        <v>10</v>
      </c>
      <c r="K949" s="186">
        <f t="shared" si="40"/>
        <v>0</v>
      </c>
      <c r="L949" s="288">
        <f t="shared" si="41"/>
        <v>500</v>
      </c>
      <c r="M949" s="24"/>
      <c r="N949" s="112" t="str">
        <f>IF(ISBLANK(E949),"",_xlfn.XLOOKUP(E949,[1]cannabis_log!C:C,[1]cannabis_log!T:T,"Not Found",0,))</f>
        <v>net</v>
      </c>
      <c r="O949" s="180">
        <f>IF(N949="net",_xlfn.XLOOKUP(E949,cannabis_log!C:C,cannabis_log!N:N,"NOT FOUND",0,1),IF(N949="gross",0,""))</f>
        <v>50</v>
      </c>
    </row>
    <row r="950" spans="1:15">
      <c r="A950" s="181" t="str">
        <f t="shared" si="38"/>
        <v>inbound</v>
      </c>
      <c r="B950" s="182">
        <v>45680</v>
      </c>
      <c r="C950" s="183" t="s">
        <v>1927</v>
      </c>
      <c r="D950" s="183"/>
      <c r="E950" s="215" t="s">
        <v>2535</v>
      </c>
      <c r="F950" s="112" t="str">
        <f>IF(ISBLANK(E950),"",_xlfn.XLOOKUP(E950,[1]cannabis_log!C:C,[1]cannabis_log!J:J,"",0,))</f>
        <v>CPR22102001G1</v>
      </c>
      <c r="G950" s="112"/>
      <c r="H950" s="112" t="str">
        <f>IF(ISBLANK(E950),"",_xlfn.XLOOKUP(E950,cannabis_log!C:C,cannabis_log!H:H,"",0,1))</f>
        <v>preroll_labelled</v>
      </c>
      <c r="I950" s="113">
        <f>IF(ISBLANK(E950),"",_xlfn.XLOOKUP(E950,cannabis_log!C:C,cannabis_log!K:K,"NOT FOUND",0,1))</f>
        <v>45649</v>
      </c>
      <c r="J950" s="185">
        <v>61</v>
      </c>
      <c r="K950" s="186">
        <f t="shared" si="40"/>
        <v>0</v>
      </c>
      <c r="L950" s="288">
        <f t="shared" si="41"/>
        <v>61</v>
      </c>
      <c r="M950" s="24"/>
      <c r="N950" s="112" t="str">
        <f>IF(ISBLANK(E950),"",_xlfn.XLOOKUP(E950,[1]cannabis_log!C:C,[1]cannabis_log!T:T,"Not Found",0,))</f>
        <v>net</v>
      </c>
      <c r="O950" s="180">
        <f>IF(N950="net",_xlfn.XLOOKUP(E950,cannabis_log!C:C,cannabis_log!N:N,"NOT FOUND",0,1),IF(N950="gross",0,""))</f>
        <v>1</v>
      </c>
    </row>
    <row r="951" spans="1:15">
      <c r="A951" s="181" t="str">
        <f t="shared" si="38"/>
        <v>inbound</v>
      </c>
      <c r="B951" s="182">
        <v>45680</v>
      </c>
      <c r="C951" s="183" t="s">
        <v>1927</v>
      </c>
      <c r="D951" s="183"/>
      <c r="E951" s="215" t="s">
        <v>2460</v>
      </c>
      <c r="F951" s="112" t="str">
        <f>IF(ISBLANK(E951),"",_xlfn.XLOOKUP(E951,[1]cannabis_log!C:C,[1]cannabis_log!J:J,"",0,))</f>
        <v>CPR22102001G1</v>
      </c>
      <c r="G951" s="112"/>
      <c r="H951" s="112" t="str">
        <f>IF(ISBLANK(E951),"",_xlfn.XLOOKUP(E951,cannabis_log!C:C,cannabis_log!H:H,"",0,1))</f>
        <v>preroll_labelled</v>
      </c>
      <c r="I951" s="113">
        <f>IF(ISBLANK(E951),"",_xlfn.XLOOKUP(E951,cannabis_log!C:C,cannabis_log!K:K,"NOT FOUND",0,1))</f>
        <v>44999</v>
      </c>
      <c r="J951" s="185">
        <v>1</v>
      </c>
      <c r="K951" s="186">
        <f t="shared" si="40"/>
        <v>0</v>
      </c>
      <c r="L951" s="288">
        <f t="shared" si="41"/>
        <v>1</v>
      </c>
      <c r="M951" s="24"/>
      <c r="N951" s="112" t="str">
        <f>IF(ISBLANK(E951),"",_xlfn.XLOOKUP(E951,[1]cannabis_log!C:C,[1]cannabis_log!T:T,"Not Found",0,))</f>
        <v>net</v>
      </c>
      <c r="O951" s="180">
        <f>IF(N951="net",_xlfn.XLOOKUP(E951,cannabis_log!C:C,cannabis_log!N:N,"NOT FOUND",0,1),IF(N951="gross",0,""))</f>
        <v>1</v>
      </c>
    </row>
    <row r="952" spans="1:15">
      <c r="A952" s="181" t="str">
        <f t="shared" si="38"/>
        <v>inbound</v>
      </c>
      <c r="B952" s="182">
        <v>45680</v>
      </c>
      <c r="C952" s="183" t="s">
        <v>1927</v>
      </c>
      <c r="D952" s="183"/>
      <c r="E952" s="215" t="s">
        <v>2481</v>
      </c>
      <c r="F952" s="112" t="str">
        <f>IF(ISBLANK(E952),"",_xlfn.XLOOKUP(E952,[1]cannabis_log!C:C,[1]cannabis_log!J:J,"",0,))</f>
        <v>CPR22012001G5</v>
      </c>
      <c r="G952" s="112"/>
      <c r="H952" s="112" t="str">
        <f>IF(ISBLANK(E952),"",_xlfn.XLOOKUP(E952,cannabis_log!C:C,cannabis_log!H:H,"",0,1))</f>
        <v>preroll_labelled</v>
      </c>
      <c r="I952" s="113">
        <f>IF(ISBLANK(E952),"",_xlfn.XLOOKUP(E952,cannabis_log!C:C,cannabis_log!K:K,"NOT FOUND",0,1))</f>
        <v>45649</v>
      </c>
      <c r="J952" s="185">
        <v>48</v>
      </c>
      <c r="K952" s="186">
        <f t="shared" si="40"/>
        <v>0</v>
      </c>
      <c r="L952" s="288">
        <f t="shared" si="41"/>
        <v>72</v>
      </c>
      <c r="M952" s="24"/>
      <c r="N952" s="112" t="str">
        <f>IF(ISBLANK(E952),"",_xlfn.XLOOKUP(E952,[1]cannabis_log!C:C,[1]cannabis_log!T:T,"Not Found",0,))</f>
        <v>net</v>
      </c>
      <c r="O952" s="180">
        <f>IF(N952="net",_xlfn.XLOOKUP(E952,cannabis_log!C:C,cannabis_log!N:N,"NOT FOUND",0,1),IF(N952="gross",0,""))</f>
        <v>1.5</v>
      </c>
    </row>
    <row r="953" spans="1:15">
      <c r="A953" s="181" t="str">
        <f t="shared" si="38"/>
        <v>inbound</v>
      </c>
      <c r="B953" s="182">
        <v>45680</v>
      </c>
      <c r="C953" s="183" t="s">
        <v>1927</v>
      </c>
      <c r="D953" s="183"/>
      <c r="E953" s="215" t="s">
        <v>2461</v>
      </c>
      <c r="F953" s="112" t="str">
        <f>IF(ISBLANK(E953),"",_xlfn.XLOOKUP(E953,[1]cannabis_log!C:C,[1]cannabis_log!J:J,"",0,))</f>
        <v>TP21121701</v>
      </c>
      <c r="G953" s="112"/>
      <c r="H953" s="112" t="str">
        <f>IF(ISBLANK(E953),"",_xlfn.XLOOKUP(E953,cannabis_log!C:C,cannabis_log!H:H,"",0,1))</f>
        <v>topical_labelled</v>
      </c>
      <c r="I953" s="113">
        <f>IF(ISBLANK(E953),"",_xlfn.XLOOKUP(E953,cannabis_log!C:C,cannabis_log!K:K,"NOT FOUND",0,1))</f>
        <v>45649</v>
      </c>
      <c r="J953" s="185">
        <v>48</v>
      </c>
      <c r="K953" s="186">
        <f t="shared" si="40"/>
        <v>0</v>
      </c>
      <c r="L953" s="288">
        <f t="shared" si="41"/>
        <v>5760</v>
      </c>
      <c r="M953" s="24"/>
      <c r="N953" s="112" t="str">
        <f>IF(ISBLANK(E953),"",_xlfn.XLOOKUP(E953,[1]cannabis_log!C:C,[1]cannabis_log!T:T,"Not Found",0,))</f>
        <v>net</v>
      </c>
      <c r="O953" s="180">
        <f>IF(N953="net",_xlfn.XLOOKUP(E953,cannabis_log!C:C,cannabis_log!N:N,"NOT FOUND",0,1),IF(N953="gross",0,""))</f>
        <v>120</v>
      </c>
    </row>
    <row r="954" spans="1:15">
      <c r="A954" s="181" t="str">
        <f t="shared" si="38"/>
        <v>inbound</v>
      </c>
      <c r="B954" s="182">
        <v>45680</v>
      </c>
      <c r="C954" s="183" t="s">
        <v>1927</v>
      </c>
      <c r="D954" s="183"/>
      <c r="E954" s="215" t="s">
        <v>2536</v>
      </c>
      <c r="F954" s="112" t="str">
        <f>IF(ISBLANK(E954),"",_xlfn.XLOOKUP(E954,[1]cannabis_log!C:C,[1]cannabis_log!J:J,"",0,))</f>
        <v>PR2301F35P12</v>
      </c>
      <c r="G954" s="112"/>
      <c r="H954" s="112" t="str">
        <f>IF(ISBLANK(E954),"",_xlfn.XLOOKUP(E954,cannabis_log!C:C,cannabis_log!H:H,"",0,1))</f>
        <v>preroll_labelled</v>
      </c>
      <c r="I954" s="113">
        <f>IF(ISBLANK(E954),"",_xlfn.XLOOKUP(E954,cannabis_log!C:C,cannabis_log!K:K,"NOT FOUND",0,1))</f>
        <v>45649</v>
      </c>
      <c r="J954" s="185">
        <v>192</v>
      </c>
      <c r="K954" s="186">
        <f t="shared" si="40"/>
        <v>0</v>
      </c>
      <c r="L954" s="288">
        <f t="shared" si="41"/>
        <v>806.39999999999986</v>
      </c>
      <c r="M954" s="24"/>
      <c r="N954" s="112" t="str">
        <f>IF(ISBLANK(E954),"",_xlfn.XLOOKUP(E954,[1]cannabis_log!C:C,[1]cannabis_log!T:T,"Not Found",0,))</f>
        <v>net</v>
      </c>
      <c r="O954" s="180">
        <f>IF(N954="net",_xlfn.XLOOKUP(E954,cannabis_log!C:C,cannabis_log!N:N,"NOT FOUND",0,1),IF(N954="gross",0,""))</f>
        <v>4.1999999999999993</v>
      </c>
    </row>
    <row r="955" spans="1:15">
      <c r="A955" s="181" t="str">
        <f t="shared" si="38"/>
        <v>inbound</v>
      </c>
      <c r="B955" s="182">
        <v>45680</v>
      </c>
      <c r="C955" s="183" t="s">
        <v>1927</v>
      </c>
      <c r="D955" s="183"/>
      <c r="E955" s="215" t="s">
        <v>2537</v>
      </c>
      <c r="F955" s="112" t="str">
        <f>IF(ISBLANK(E955),"",_xlfn.XLOOKUP(E955,[1]cannabis_log!C:C,[1]cannabis_log!J:J,"",0,))</f>
        <v>PR2401F5P2</v>
      </c>
      <c r="G955" s="112"/>
      <c r="H955" s="112" t="str">
        <f>IF(ISBLANK(E955),"",_xlfn.XLOOKUP(E955,cannabis_log!C:C,cannabis_log!H:H,"",0,1))</f>
        <v>preroll_labelled</v>
      </c>
      <c r="I955" s="113">
        <f>IF(ISBLANK(E955),"",_xlfn.XLOOKUP(E955,cannabis_log!C:C,cannabis_log!K:K,"NOT FOUND",0,1))</f>
        <v>45670</v>
      </c>
      <c r="J955" s="185">
        <v>611</v>
      </c>
      <c r="K955" s="186">
        <f t="shared" si="40"/>
        <v>0</v>
      </c>
      <c r="L955" s="288">
        <f t="shared" si="41"/>
        <v>611</v>
      </c>
      <c r="M955" s="24"/>
      <c r="N955" s="112" t="str">
        <f>IF(ISBLANK(E955),"",_xlfn.XLOOKUP(E955,[1]cannabis_log!C:C,[1]cannabis_log!T:T,"Not Found",0,))</f>
        <v>net</v>
      </c>
      <c r="O955" s="180">
        <f>IF(N955="net",_xlfn.XLOOKUP(E955,cannabis_log!C:C,cannabis_log!N:N,"NOT FOUND",0,1),IF(N955="gross",0,""))</f>
        <v>1</v>
      </c>
    </row>
    <row r="956" spans="1:15">
      <c r="A956" s="181" t="str">
        <f t="shared" si="38"/>
        <v>outbound</v>
      </c>
      <c r="B956" s="182">
        <v>45680.45208333333</v>
      </c>
      <c r="C956" s="183" t="s">
        <v>1921</v>
      </c>
      <c r="D956" s="183" t="s">
        <v>2538</v>
      </c>
      <c r="E956" s="215" t="s">
        <v>2539</v>
      </c>
      <c r="F956" s="112">
        <f>IF(ISBLANK(E956),"",_xlfn.XLOOKUP(E956,[1]cannabis_log!C:C,[1]cannabis_log!J:J,"",0,))</f>
        <v>2024120501</v>
      </c>
      <c r="G956" s="112"/>
      <c r="H956" s="112" t="str">
        <f>IF(ISBLANK(E956),"",_xlfn.XLOOKUP(E956,cannabis_log!C:C,cannabis_log!H:H,"",0,1))</f>
        <v>driedflower_bulk_BURB</v>
      </c>
      <c r="I956" s="113" t="str">
        <f>IF(ISBLANK(E956),"",_xlfn.XLOOKUP(E956,cannabis_log!C:C,cannabis_log!K:K,"NOT FOUND",0,1))</f>
        <v>NA</v>
      </c>
      <c r="J956" s="185">
        <v>-1</v>
      </c>
      <c r="K956" s="186">
        <v>-1060</v>
      </c>
      <c r="L956" s="288">
        <f t="shared" si="41"/>
        <v>0</v>
      </c>
      <c r="M956" s="24"/>
      <c r="N956" s="112" t="str">
        <f>IF(ISBLANK(E956),"",_xlfn.XLOOKUP(E956,[1]cannabis_log!C:C,[1]cannabis_log!T:T,"Not Found",0,))</f>
        <v>gross</v>
      </c>
      <c r="O956" s="180">
        <f>IF(N956="net",_xlfn.XLOOKUP(E956,cannabis_log!C:C,cannabis_log!N:N,"NOT FOUND",0,1),IF(N956="gross",0,""))</f>
        <v>0</v>
      </c>
    </row>
    <row r="957" spans="1:15">
      <c r="A957" s="181" t="str">
        <f t="shared" si="38"/>
        <v>outbound</v>
      </c>
      <c r="B957" s="182">
        <v>45680.45208333333</v>
      </c>
      <c r="C957" s="183" t="s">
        <v>1921</v>
      </c>
      <c r="D957" s="183" t="s">
        <v>2532</v>
      </c>
      <c r="E957" s="215" t="s">
        <v>2466</v>
      </c>
      <c r="F957" s="112" t="str">
        <f>IF(ISBLANK(E957),"",_xlfn.XLOOKUP(E957,[1]cannabis_log!C:C,[1]cannabis_log!J:J,"",0,))</f>
        <v>PR2416</v>
      </c>
      <c r="G957" s="112"/>
      <c r="H957" s="112" t="str">
        <f>IF(ISBLANK(E957),"",_xlfn.XLOOKUP(E957,cannabis_log!C:C,cannabis_log!H:H,"",0,1))</f>
        <v>driedflower_milled_bulk</v>
      </c>
      <c r="I957" s="113" t="str">
        <f>IF(ISBLANK(E957),"",_xlfn.XLOOKUP(E957,cannabis_log!C:C,cannabis_log!K:K,"NOT FOUND",0,1))</f>
        <v>NA</v>
      </c>
      <c r="J957" s="185">
        <v>-1</v>
      </c>
      <c r="K957" s="186">
        <v>-3290</v>
      </c>
      <c r="L957" s="288">
        <f t="shared" si="41"/>
        <v>0</v>
      </c>
      <c r="M957" s="24"/>
      <c r="N957" s="112" t="str">
        <f>IF(ISBLANK(E957),"",_xlfn.XLOOKUP(E957,[1]cannabis_log!C:C,[1]cannabis_log!T:T,"Not Found",0,))</f>
        <v>gross</v>
      </c>
      <c r="O957" s="180">
        <f>IF(N957="net",_xlfn.XLOOKUP(E957,cannabis_log!C:C,cannabis_log!N:N,"NOT FOUND",0,1),IF(N957="gross",0,""))</f>
        <v>0</v>
      </c>
    </row>
    <row r="958" spans="1:15">
      <c r="A958" s="181" t="str">
        <f t="shared" si="38"/>
        <v>outbound</v>
      </c>
      <c r="B958" s="182">
        <v>45680.456250000003</v>
      </c>
      <c r="C958" s="183" t="s">
        <v>1921</v>
      </c>
      <c r="D958" s="183" t="s">
        <v>2540</v>
      </c>
      <c r="E958" s="215" t="s">
        <v>2541</v>
      </c>
      <c r="F958" s="112">
        <f>IF(ISBLANK(E958),"",_xlfn.XLOOKUP(E958,[1]cannabis_log!C:C,[1]cannabis_log!J:J,"",0,))</f>
        <v>2024110601</v>
      </c>
      <c r="G958" s="112"/>
      <c r="H958" s="112" t="str">
        <f>IF(ISBLANK(E958),"",_xlfn.XLOOKUP(E958,cannabis_log!C:C,cannabis_log!H:H,"",0,1))</f>
        <v>driedflower_bulk_BURB</v>
      </c>
      <c r="I958" s="113" t="str">
        <f>IF(ISBLANK(E958),"",_xlfn.XLOOKUP(E958,cannabis_log!C:C,cannabis_log!K:K,"NOT FOUND",0,1))</f>
        <v>NA</v>
      </c>
      <c r="J958" s="185">
        <v>-1</v>
      </c>
      <c r="K958" s="186">
        <v>-3092</v>
      </c>
      <c r="L958" s="288">
        <f t="shared" si="41"/>
        <v>0</v>
      </c>
      <c r="M958" s="24"/>
      <c r="N958" s="112" t="str">
        <f>IF(ISBLANK(E958),"",_xlfn.XLOOKUP(E958,[1]cannabis_log!C:C,[1]cannabis_log!T:T,"Not Found",0,))</f>
        <v>gross</v>
      </c>
      <c r="O958" s="180">
        <f>IF(N958="net",_xlfn.XLOOKUP(E958,cannabis_log!C:C,cannabis_log!N:N,"NOT FOUND",0,1),IF(N958="gross",0,""))</f>
        <v>0</v>
      </c>
    </row>
    <row r="959" spans="1:15">
      <c r="A959" s="181" t="str">
        <f t="shared" si="38"/>
        <v>outbound</v>
      </c>
      <c r="B959" s="182">
        <v>45680.456250000003</v>
      </c>
      <c r="C959" s="183" t="s">
        <v>1921</v>
      </c>
      <c r="D959" s="183" t="s">
        <v>2540</v>
      </c>
      <c r="E959" s="215" t="s">
        <v>2542</v>
      </c>
      <c r="F959" s="112">
        <f>IF(ISBLANK(E959),"",_xlfn.XLOOKUP(E959,[1]cannabis_log!C:C,[1]cannabis_log!J:J,"",0,))</f>
        <v>2024110601</v>
      </c>
      <c r="G959" s="112"/>
      <c r="H959" s="112" t="str">
        <f>IF(ISBLANK(E959),"",_xlfn.XLOOKUP(E959,cannabis_log!C:C,cannabis_log!H:H,"",0,1))</f>
        <v>driedflower_bulk_BURB</v>
      </c>
      <c r="I959" s="113" t="str">
        <f>IF(ISBLANK(E959),"",_xlfn.XLOOKUP(E959,cannabis_log!C:C,cannabis_log!K:K,"NOT FOUND",0,1))</f>
        <v>NA</v>
      </c>
      <c r="J959" s="185">
        <v>-1</v>
      </c>
      <c r="K959" s="186">
        <v>-484</v>
      </c>
      <c r="L959" s="288">
        <f t="shared" si="41"/>
        <v>0</v>
      </c>
      <c r="M959" s="24"/>
      <c r="N959" s="112" t="str">
        <f>IF(ISBLANK(E959),"",_xlfn.XLOOKUP(E959,[1]cannabis_log!C:C,[1]cannabis_log!T:T,"Not Found",0,))</f>
        <v>gross</v>
      </c>
      <c r="O959" s="180">
        <f>IF(N959="net",_xlfn.XLOOKUP(E959,cannabis_log!C:C,cannabis_log!N:N,"NOT FOUND",0,1),IF(N959="gross",0,""))</f>
        <v>0</v>
      </c>
    </row>
    <row r="960" spans="1:15">
      <c r="A960" s="181" t="str">
        <f t="shared" si="38"/>
        <v>outbound</v>
      </c>
      <c r="B960" s="182">
        <v>45680.456250000003</v>
      </c>
      <c r="C960" s="183" t="s">
        <v>1921</v>
      </c>
      <c r="D960" s="183" t="s">
        <v>2540</v>
      </c>
      <c r="E960" s="215" t="s">
        <v>2543</v>
      </c>
      <c r="F960" s="112">
        <f>IF(ISBLANK(E960),"",_xlfn.XLOOKUP(E960,[1]cannabis_log!C:C,[1]cannabis_log!J:J,"",0,))</f>
        <v>2024110601</v>
      </c>
      <c r="G960" s="112"/>
      <c r="H960" s="112" t="str">
        <f>IF(ISBLANK(E960),"",_xlfn.XLOOKUP(E960,cannabis_log!C:C,cannabis_log!H:H,"",0,1))</f>
        <v>driedflower_bulk_BURB</v>
      </c>
      <c r="I960" s="113" t="str">
        <f>IF(ISBLANK(E960),"",_xlfn.XLOOKUP(E960,cannabis_log!C:C,cannabis_log!K:K,"NOT FOUND",0,1))</f>
        <v>NA</v>
      </c>
      <c r="J960" s="185">
        <v>-1</v>
      </c>
      <c r="K960" s="186">
        <v>-3095</v>
      </c>
      <c r="L960" s="288">
        <f t="shared" si="41"/>
        <v>0</v>
      </c>
      <c r="M960" s="24"/>
      <c r="N960" s="112" t="str">
        <f>IF(ISBLANK(E960),"",_xlfn.XLOOKUP(E960,[1]cannabis_log!C:C,[1]cannabis_log!T:T,"Not Found",0,))</f>
        <v>gross</v>
      </c>
      <c r="O960" s="180">
        <f>IF(N960="net",_xlfn.XLOOKUP(E960,cannabis_log!C:C,cannabis_log!N:N,"NOT FOUND",0,1),IF(N960="gross",0,""))</f>
        <v>0</v>
      </c>
    </row>
    <row r="961" spans="1:15">
      <c r="A961" s="181" t="str">
        <f t="shared" ref="A961:A1024" si="42">IF(ISBLANK(J961),"",IF(J961+K961+L961&lt;0,"outbound","inbound"))</f>
        <v>outbound</v>
      </c>
      <c r="B961" s="182">
        <v>45680.465277777781</v>
      </c>
      <c r="C961" s="183" t="s">
        <v>1921</v>
      </c>
      <c r="D961" s="183" t="s">
        <v>2544</v>
      </c>
      <c r="E961" s="215" t="s">
        <v>2436</v>
      </c>
      <c r="F961" s="112">
        <f>IF(ISBLANK(E961),"",_xlfn.XLOOKUP(E961,[1]cannabis_log!C:C,[1]cannabis_log!J:J,"",0,))</f>
        <v>2024111802</v>
      </c>
      <c r="G961" s="112"/>
      <c r="H961" s="112" t="str">
        <f>IF(ISBLANK(E961),"",_xlfn.XLOOKUP(E961,cannabis_log!C:C,cannabis_log!H:H,"",0,1))</f>
        <v>driedflower_bulk</v>
      </c>
      <c r="I961" s="113" t="str">
        <f>IF(ISBLANK(E961),"",_xlfn.XLOOKUP(E961,cannabis_log!C:C,cannabis_log!K:K,"NOT FOUND",0,1))</f>
        <v>NA</v>
      </c>
      <c r="J961" s="185">
        <v>-1</v>
      </c>
      <c r="K961" s="186">
        <v>-3535</v>
      </c>
      <c r="L961" s="288">
        <f t="shared" si="41"/>
        <v>0</v>
      </c>
      <c r="M961" s="24"/>
      <c r="N961" s="112" t="str">
        <f>IF(ISBLANK(E961),"",_xlfn.XLOOKUP(E961,[1]cannabis_log!C:C,[1]cannabis_log!T:T,"Not Found",0,))</f>
        <v>gross</v>
      </c>
      <c r="O961" s="180">
        <f>IF(N961="net",_xlfn.XLOOKUP(E961,cannabis_log!C:C,cannabis_log!N:N,"NOT FOUND",0,1),IF(N961="gross",0,""))</f>
        <v>0</v>
      </c>
    </row>
    <row r="962" spans="1:15">
      <c r="A962" s="181" t="str">
        <f t="shared" si="42"/>
        <v>outbound</v>
      </c>
      <c r="B962" s="182">
        <v>45680.465277777781</v>
      </c>
      <c r="C962" s="183" t="s">
        <v>1921</v>
      </c>
      <c r="D962" s="183" t="s">
        <v>2544</v>
      </c>
      <c r="E962" s="215" t="s">
        <v>2437</v>
      </c>
      <c r="F962" s="112">
        <f>IF(ISBLANK(E962),"",_xlfn.XLOOKUP(E962,[1]cannabis_log!C:C,[1]cannabis_log!J:J,"",0,))</f>
        <v>2024111802</v>
      </c>
      <c r="G962" s="112"/>
      <c r="H962" s="112" t="str">
        <f>IF(ISBLANK(E962),"",_xlfn.XLOOKUP(E962,cannabis_log!C:C,cannabis_log!H:H,"",0,1))</f>
        <v>driedflower_bulk</v>
      </c>
      <c r="I962" s="113" t="str">
        <f>IF(ISBLANK(E962),"",_xlfn.XLOOKUP(E962,cannabis_log!C:C,cannabis_log!K:K,"NOT FOUND",0,1))</f>
        <v>NA</v>
      </c>
      <c r="J962" s="185">
        <v>-1</v>
      </c>
      <c r="K962" s="186">
        <v>-3240</v>
      </c>
      <c r="L962" s="288">
        <f t="shared" si="41"/>
        <v>0</v>
      </c>
      <c r="M962" s="24"/>
      <c r="N962" s="112" t="str">
        <f>IF(ISBLANK(E962),"",_xlfn.XLOOKUP(E962,[1]cannabis_log!C:C,[1]cannabis_log!T:T,"Not Found",0,))</f>
        <v>gross</v>
      </c>
      <c r="O962" s="180">
        <f>IF(N962="net",_xlfn.XLOOKUP(E962,cannabis_log!C:C,cannabis_log!N:N,"NOT FOUND",0,1),IF(N962="gross",0,""))</f>
        <v>0</v>
      </c>
    </row>
    <row r="963" spans="1:15">
      <c r="A963" s="181" t="str">
        <f t="shared" si="42"/>
        <v>outbound</v>
      </c>
      <c r="B963" s="182">
        <v>45680.465277777781</v>
      </c>
      <c r="C963" s="183" t="s">
        <v>1921</v>
      </c>
      <c r="D963" s="183" t="s">
        <v>2544</v>
      </c>
      <c r="E963" s="215" t="s">
        <v>2435</v>
      </c>
      <c r="F963" s="112">
        <f>IF(ISBLANK(E963),"",_xlfn.XLOOKUP(E963,[1]cannabis_log!C:C,[1]cannabis_log!J:J,"",0,))</f>
        <v>2024111802</v>
      </c>
      <c r="G963" s="112"/>
      <c r="H963" s="112" t="str">
        <f>IF(ISBLANK(E963),"",_xlfn.XLOOKUP(E963,cannabis_log!C:C,cannabis_log!H:H,"",0,1))</f>
        <v>driedflower_bulk</v>
      </c>
      <c r="I963" s="113" t="str">
        <f>IF(ISBLANK(E963),"",_xlfn.XLOOKUP(E963,cannabis_log!C:C,cannabis_log!K:K,"NOT FOUND",0,1))</f>
        <v>NA</v>
      </c>
      <c r="J963" s="185">
        <v>-1</v>
      </c>
      <c r="K963" s="186">
        <v>-3050</v>
      </c>
      <c r="L963" s="288">
        <f t="shared" si="41"/>
        <v>0</v>
      </c>
      <c r="M963" s="24"/>
      <c r="N963" s="112" t="str">
        <f>IF(ISBLANK(E963),"",_xlfn.XLOOKUP(E963,[1]cannabis_log!C:C,[1]cannabis_log!T:T,"Not Found",0,))</f>
        <v>gross</v>
      </c>
      <c r="O963" s="180">
        <f>IF(N963="net",_xlfn.XLOOKUP(E963,cannabis_log!C:C,cannabis_log!N:N,"NOT FOUND",0,1),IF(N963="gross",0,""))</f>
        <v>0</v>
      </c>
    </row>
    <row r="964" spans="1:15">
      <c r="A964" s="181" t="str">
        <f t="shared" si="42"/>
        <v>inbound</v>
      </c>
      <c r="B964" s="182">
        <v>45680.465277777781</v>
      </c>
      <c r="C964" s="183" t="s">
        <v>1927</v>
      </c>
      <c r="D964" s="183"/>
      <c r="E964" s="215" t="s">
        <v>2291</v>
      </c>
      <c r="F964" s="112">
        <f>IF(ISBLANK(E964),"",_xlfn.XLOOKUP(E964,[1]cannabis_log!C:C,[1]cannabis_log!J:J,"",0,))</f>
        <v>2022051601</v>
      </c>
      <c r="G964" s="112"/>
      <c r="H964" s="112" t="str">
        <f>IF(ISBLANK(E964),"",_xlfn.XLOOKUP(E964,cannabis_log!C:C,cannabis_log!H:H,"",0,1))</f>
        <v>driedflower_bulk</v>
      </c>
      <c r="I964" s="113">
        <f>IF(ISBLANK(E964),"",_xlfn.XLOOKUP(E964,cannabis_log!C:C,cannabis_log!K:K,"NOT FOUND",0,1))</f>
        <v>44830</v>
      </c>
      <c r="J964" s="185">
        <v>1</v>
      </c>
      <c r="K964" s="186">
        <v>1030</v>
      </c>
      <c r="L964" s="288">
        <f t="shared" si="41"/>
        <v>0</v>
      </c>
      <c r="M964" s="24"/>
      <c r="N964" s="112" t="str">
        <f>IF(ISBLANK(E964),"",_xlfn.XLOOKUP(E964,[1]cannabis_log!C:C,[1]cannabis_log!T:T,"Not Found",0,))</f>
        <v>gross</v>
      </c>
      <c r="O964" s="180">
        <f>IF(N964="net",_xlfn.XLOOKUP(E964,cannabis_log!C:C,cannabis_log!N:N,"NOT FOUND",0,1),IF(N964="gross",0,""))</f>
        <v>0</v>
      </c>
    </row>
    <row r="965" spans="1:15">
      <c r="A965" s="181" t="str">
        <f t="shared" si="42"/>
        <v>inbound</v>
      </c>
      <c r="B965" s="182">
        <v>45680.465277777781</v>
      </c>
      <c r="C965" s="183" t="s">
        <v>1927</v>
      </c>
      <c r="D965" s="183"/>
      <c r="E965" s="215" t="s">
        <v>2332</v>
      </c>
      <c r="F965" s="112">
        <f>IF(ISBLANK(E965),"",_xlfn.XLOOKUP(E965,[1]cannabis_log!C:C,[1]cannabis_log!J:J,"",0,))</f>
        <v>2022051603</v>
      </c>
      <c r="G965" s="112"/>
      <c r="H965" s="112" t="str">
        <f>IF(ISBLANK(E965),"",_xlfn.XLOOKUP(E965,cannabis_log!C:C,cannabis_log!H:H,"",0,1))</f>
        <v>driedflower_bulk</v>
      </c>
      <c r="I965" s="113">
        <f>IF(ISBLANK(E965),"",_xlfn.XLOOKUP(E965,cannabis_log!C:C,cannabis_log!K:K,"NOT FOUND",0,1))</f>
        <v>44830</v>
      </c>
      <c r="J965" s="185">
        <v>1</v>
      </c>
      <c r="K965" s="186">
        <v>1010</v>
      </c>
      <c r="L965" s="288">
        <f t="shared" si="41"/>
        <v>0</v>
      </c>
      <c r="M965" s="24"/>
      <c r="N965" s="112" t="str">
        <f>IF(ISBLANK(E965),"",_xlfn.XLOOKUP(E965,[1]cannabis_log!C:C,[1]cannabis_log!T:T,"Not Found",0,))</f>
        <v>gross</v>
      </c>
      <c r="O965" s="180">
        <f>IF(N965="net",_xlfn.XLOOKUP(E965,cannabis_log!C:C,cannabis_log!N:N,"NOT FOUND",0,1),IF(N965="gross",0,""))</f>
        <v>0</v>
      </c>
    </row>
    <row r="966" spans="1:15">
      <c r="A966" s="181" t="str">
        <f t="shared" si="42"/>
        <v>inbound</v>
      </c>
      <c r="B966" s="182">
        <v>45680.465277777781</v>
      </c>
      <c r="C966" s="183" t="s">
        <v>1927</v>
      </c>
      <c r="D966" s="183"/>
      <c r="E966" s="215" t="s">
        <v>1978</v>
      </c>
      <c r="F966" s="112" t="str">
        <f>IF(ISBLANK(E966),"",_xlfn.XLOOKUP(E966,[1]cannabis_log!C:C,[1]cannabis_log!J:J,"",0,))</f>
        <v>2022012401R1</v>
      </c>
      <c r="G966" s="112"/>
      <c r="H966" s="112" t="str">
        <f>IF(ISBLANK(E966),"",_xlfn.XLOOKUP(E966,cannabis_log!C:C,cannabis_log!H:H,"",0,1))</f>
        <v>driedflower_bulk</v>
      </c>
      <c r="I966" s="113">
        <f>IF(ISBLANK(E966),"",_xlfn.XLOOKUP(E966,cannabis_log!C:C,cannabis_log!K:K,"NOT FOUND",0,1))</f>
        <v>44686</v>
      </c>
      <c r="J966" s="185">
        <v>1</v>
      </c>
      <c r="K966" s="186">
        <v>934.6</v>
      </c>
      <c r="L966" s="288">
        <f t="shared" si="41"/>
        <v>0</v>
      </c>
      <c r="M966" s="24"/>
      <c r="N966" s="112" t="str">
        <f>IF(ISBLANK(E966),"",_xlfn.XLOOKUP(E966,[1]cannabis_log!C:C,[1]cannabis_log!T:T,"Not Found",0,))</f>
        <v>gross</v>
      </c>
      <c r="O966" s="180">
        <f>IF(N966="net",_xlfn.XLOOKUP(E966,cannabis_log!C:C,cannabis_log!N:N,"NOT FOUND",0,1),IF(N966="gross",0,""))</f>
        <v>0</v>
      </c>
    </row>
    <row r="967" spans="1:15">
      <c r="A967" s="181" t="str">
        <f t="shared" si="42"/>
        <v>inbound</v>
      </c>
      <c r="B967" s="182">
        <v>45680.465277777781</v>
      </c>
      <c r="C967" s="183" t="s">
        <v>1927</v>
      </c>
      <c r="D967" s="183"/>
      <c r="E967" s="215" t="s">
        <v>2530</v>
      </c>
      <c r="F967" s="112" t="str">
        <f>IF(ISBLANK(E967),"",_xlfn.XLOOKUP(E967,[1]cannabis_log!C:C,[1]cannabis_log!J:J,"",0,))</f>
        <v>2022012401R1</v>
      </c>
      <c r="G967" s="112"/>
      <c r="H967" s="112" t="str">
        <f>IF(ISBLANK(E967),"",_xlfn.XLOOKUP(E967,cannabis_log!C:C,cannabis_log!H:H,"",0,1))</f>
        <v>driedflower_bulk</v>
      </c>
      <c r="I967" s="113">
        <f>IF(ISBLANK(E967),"",_xlfn.XLOOKUP(E967,cannabis_log!C:C,cannabis_log!K:K,"NOT FOUND",0,1))</f>
        <v>44686</v>
      </c>
      <c r="J967" s="185">
        <v>1</v>
      </c>
      <c r="K967" s="186">
        <v>320</v>
      </c>
      <c r="L967" s="288">
        <f t="shared" si="41"/>
        <v>0</v>
      </c>
      <c r="M967" s="24"/>
      <c r="N967" s="112" t="str">
        <f>IF(ISBLANK(E967),"",_xlfn.XLOOKUP(E967,[1]cannabis_log!C:C,[1]cannabis_log!T:T,"Not Found",0,))</f>
        <v>gross</v>
      </c>
      <c r="O967" s="180">
        <f>IF(N967="net",_xlfn.XLOOKUP(E967,cannabis_log!C:C,cannabis_log!N:N,"NOT FOUND",0,1),IF(N967="gross",0,""))</f>
        <v>0</v>
      </c>
    </row>
    <row r="968" spans="1:15">
      <c r="A968" s="181" t="str">
        <f t="shared" si="42"/>
        <v>inbound</v>
      </c>
      <c r="B968" s="182">
        <v>45680.465277777781</v>
      </c>
      <c r="C968" s="183" t="s">
        <v>1927</v>
      </c>
      <c r="D968" s="183"/>
      <c r="E968" s="215" t="s">
        <v>2531</v>
      </c>
      <c r="F968" s="112" t="str">
        <f>IF(ISBLANK(E968),"",_xlfn.XLOOKUP(E968,[1]cannabis_log!C:C,[1]cannabis_log!J:J,"",0,))</f>
        <v>2022012401R1</v>
      </c>
      <c r="G968" s="112"/>
      <c r="H968" s="112" t="str">
        <f>IF(ISBLANK(E968),"",_xlfn.XLOOKUP(E968,cannabis_log!C:C,cannabis_log!H:H,"",0,1))</f>
        <v>driedflower_bulk</v>
      </c>
      <c r="I968" s="113">
        <f>IF(ISBLANK(E968),"",_xlfn.XLOOKUP(E968,cannabis_log!C:C,cannabis_log!K:K,"NOT FOUND",0,1))</f>
        <v>44686</v>
      </c>
      <c r="J968" s="185">
        <v>1</v>
      </c>
      <c r="K968" s="186">
        <v>1024</v>
      </c>
      <c r="L968" s="288">
        <f t="shared" si="41"/>
        <v>0</v>
      </c>
      <c r="M968" s="24"/>
      <c r="N968" s="112" t="str">
        <f>IF(ISBLANK(E968),"",_xlfn.XLOOKUP(E968,[1]cannabis_log!C:C,[1]cannabis_log!T:T,"Not Found",0,))</f>
        <v>gross</v>
      </c>
      <c r="O968" s="180">
        <f>IF(N968="net",_xlfn.XLOOKUP(E968,cannabis_log!C:C,cannabis_log!N:N,"NOT FOUND",0,1),IF(N968="gross",0,""))</f>
        <v>0</v>
      </c>
    </row>
    <row r="969" spans="1:15">
      <c r="A969" s="181" t="str">
        <f t="shared" si="42"/>
        <v>inbound</v>
      </c>
      <c r="B969" s="182">
        <v>45680.465277777781</v>
      </c>
      <c r="C969" s="183" t="s">
        <v>1927</v>
      </c>
      <c r="D969" s="183"/>
      <c r="E969" s="215" t="s">
        <v>2448</v>
      </c>
      <c r="F969" s="112" t="str">
        <f>IF(ISBLANK(E969),"",_xlfn.XLOOKUP(E969,[1]cannabis_log!C:C,[1]cannabis_log!J:J,"",0,))</f>
        <v>EX24111801V50</v>
      </c>
      <c r="G969" s="112"/>
      <c r="H969" s="112" t="str">
        <f>IF(ISBLANK(E969),"",_xlfn.XLOOKUP(E969,cannabis_log!C:C,cannabis_log!H:H,"",0,1))</f>
        <v>extract_ingested_cased_ON</v>
      </c>
      <c r="I969" s="113">
        <f>IF(ISBLANK(E969),"",_xlfn.XLOOKUP(E969,cannabis_log!C:C,cannabis_log!K:K,"NOT FOUND",0,1))</f>
        <v>45624</v>
      </c>
      <c r="J969" s="185">
        <v>6</v>
      </c>
      <c r="K969" s="186">
        <f>IF(N969="net",0,"")</f>
        <v>0</v>
      </c>
      <c r="L969" s="288">
        <f t="shared" si="41"/>
        <v>3600</v>
      </c>
      <c r="M969" s="24"/>
      <c r="N969" s="112" t="str">
        <f>IF(ISBLANK(E969),"",_xlfn.XLOOKUP(E969,[1]cannabis_log!C:C,[1]cannabis_log!T:T,"Not Found",0,))</f>
        <v>net</v>
      </c>
      <c r="O969" s="180">
        <f>IF(N969="net",_xlfn.XLOOKUP(E969,cannabis_log!C:C,cannabis_log!N:N,"NOT FOUND",0,1),IF(N969="gross",0,""))</f>
        <v>600</v>
      </c>
    </row>
    <row r="970" spans="1:15">
      <c r="A970" s="181" t="str">
        <f t="shared" si="42"/>
        <v>inbound</v>
      </c>
      <c r="B970" s="182">
        <v>45680.465277777781</v>
      </c>
      <c r="C970" s="183" t="s">
        <v>1927</v>
      </c>
      <c r="D970" s="183"/>
      <c r="E970" s="215" t="s">
        <v>2446</v>
      </c>
      <c r="F970" s="112" t="str">
        <f>IF(ISBLANK(E970),"",_xlfn.XLOOKUP(E970,[1]cannabis_log!C:C,[1]cannabis_log!J:J,"",0,))</f>
        <v>EX24111801V50</v>
      </c>
      <c r="G970" s="112"/>
      <c r="H970" s="112" t="str">
        <f>IF(ISBLANK(E970),"",_xlfn.XLOOKUP(E970,cannabis_log!C:C,cannabis_log!H:H,"",0,1))</f>
        <v>extract_ingested_labelled</v>
      </c>
      <c r="I970" s="113">
        <f>IF(ISBLANK(E970),"",_xlfn.XLOOKUP(E970,cannabis_log!C:C,cannabis_log!K:K,"NOT FOUND",0,1))</f>
        <v>45624</v>
      </c>
      <c r="J970" s="185">
        <v>6</v>
      </c>
      <c r="K970" s="186">
        <f>IF(N970="net",0,"")</f>
        <v>0</v>
      </c>
      <c r="L970" s="288">
        <f t="shared" si="41"/>
        <v>300</v>
      </c>
      <c r="M970" s="24"/>
      <c r="N970" s="112" t="str">
        <f>IF(ISBLANK(E970),"",_xlfn.XLOOKUP(E970,[1]cannabis_log!C:C,[1]cannabis_log!T:T,"Not Found",0,))</f>
        <v>net</v>
      </c>
      <c r="O970" s="180">
        <f>IF(N970="net",_xlfn.XLOOKUP(E970,cannabis_log!C:C,cannabis_log!N:N,"NOT FOUND",0,1),IF(N970="gross",0,""))</f>
        <v>50</v>
      </c>
    </row>
    <row r="971" spans="1:15">
      <c r="A971" s="181" t="str">
        <f t="shared" si="42"/>
        <v>inbound</v>
      </c>
      <c r="B971" s="182">
        <v>45680.49722222222</v>
      </c>
      <c r="C971" s="183" t="s">
        <v>1927</v>
      </c>
      <c r="D971" s="183"/>
      <c r="E971" s="215" t="s">
        <v>2467</v>
      </c>
      <c r="F971" s="112" t="str">
        <f>IF(ISBLANK(E971),"",_xlfn.XLOOKUP(E971,[1]cannabis_log!C:C,[1]cannabis_log!J:J,"",0,))</f>
        <v>PR2301</v>
      </c>
      <c r="G971" s="112"/>
      <c r="H971" s="112" t="str">
        <f>IF(ISBLANK(E971),"",_xlfn.XLOOKUP(E971,cannabis_log!C:C,cannabis_log!H:H,"",0,1))</f>
        <v>driedflower_milled_bulk</v>
      </c>
      <c r="I971" s="113">
        <f>IF(ISBLANK(E971),"",_xlfn.XLOOKUP(E971,cannabis_log!C:C,cannabis_log!K:K,"NOT FOUND",0,1))</f>
        <v>44206</v>
      </c>
      <c r="J971" s="185">
        <v>1</v>
      </c>
      <c r="K971" s="186">
        <v>4060</v>
      </c>
      <c r="L971" s="288">
        <f t="shared" si="41"/>
        <v>0</v>
      </c>
      <c r="M971" s="24"/>
      <c r="N971" s="112" t="str">
        <f>IF(ISBLANK(E971),"",_xlfn.XLOOKUP(E971,[1]cannabis_log!C:C,[1]cannabis_log!T:T,"Not Found",0,))</f>
        <v>gross</v>
      </c>
      <c r="O971" s="180">
        <f>IF(N971="net",_xlfn.XLOOKUP(E971,cannabis_log!C:C,cannabis_log!N:N,"NOT FOUND",0,1),IF(N971="gross",0,""))</f>
        <v>0</v>
      </c>
    </row>
    <row r="972" spans="1:15">
      <c r="A972" s="181" t="str">
        <f t="shared" si="42"/>
        <v>outbound</v>
      </c>
      <c r="B972" s="182">
        <v>45680.618750000001</v>
      </c>
      <c r="C972" s="183" t="s">
        <v>1921</v>
      </c>
      <c r="D972" s="183" t="s">
        <v>2538</v>
      </c>
      <c r="E972" s="215" t="s">
        <v>2545</v>
      </c>
      <c r="F972" s="112">
        <f>IF(ISBLANK(E972),"",_xlfn.XLOOKUP(E972,[1]cannabis_log!C:C,[1]cannabis_log!J:J,"",0,))</f>
        <v>2024120501</v>
      </c>
      <c r="G972" s="112"/>
      <c r="H972" s="112" t="str">
        <f>IF(ISBLANK(E972),"",_xlfn.XLOOKUP(E972,cannabis_log!C:C,cannabis_log!H:H,"",0,1))</f>
        <v>driedflower_bulk_BURB</v>
      </c>
      <c r="I972" s="113" t="str">
        <f>IF(ISBLANK(E972),"",_xlfn.XLOOKUP(E972,cannabis_log!C:C,cannabis_log!K:K,"NOT FOUND",0,1))</f>
        <v>NA</v>
      </c>
      <c r="J972" s="185">
        <v>-1</v>
      </c>
      <c r="K972" s="186">
        <v>-1060</v>
      </c>
      <c r="L972" s="288">
        <f t="shared" si="41"/>
        <v>0</v>
      </c>
      <c r="M972" s="24"/>
      <c r="N972" s="112" t="str">
        <f>IF(ISBLANK(E972),"",_xlfn.XLOOKUP(E972,[1]cannabis_log!C:C,[1]cannabis_log!T:T,"Not Found",0,))</f>
        <v>gross</v>
      </c>
      <c r="O972" s="180">
        <f>IF(N972="net",_xlfn.XLOOKUP(E972,cannabis_log!C:C,cannabis_log!N:N,"NOT FOUND",0,1),IF(N972="gross",0,""))</f>
        <v>0</v>
      </c>
    </row>
    <row r="973" spans="1:15">
      <c r="A973" s="181" t="str">
        <f t="shared" si="42"/>
        <v>outbound</v>
      </c>
      <c r="B973" s="182">
        <v>45680.618750000001</v>
      </c>
      <c r="C973" s="183" t="s">
        <v>1921</v>
      </c>
      <c r="D973" s="183" t="s">
        <v>2538</v>
      </c>
      <c r="E973" s="215" t="s">
        <v>2546</v>
      </c>
      <c r="F973" s="112">
        <f>IF(ISBLANK(E973),"",_xlfn.XLOOKUP(E973,[1]cannabis_log!C:C,[1]cannabis_log!J:J,"",0,))</f>
        <v>2024120501</v>
      </c>
      <c r="G973" s="112"/>
      <c r="H973" s="112" t="str">
        <f>IF(ISBLANK(E973),"",_xlfn.XLOOKUP(E973,cannabis_log!C:C,cannabis_log!H:H,"",0,1))</f>
        <v>driedflower_bulk_BURB</v>
      </c>
      <c r="I973" s="113" t="str">
        <f>IF(ISBLANK(E973),"",_xlfn.XLOOKUP(E973,cannabis_log!C:C,cannabis_log!K:K,"NOT FOUND",0,1))</f>
        <v>NA</v>
      </c>
      <c r="J973" s="185">
        <v>-1</v>
      </c>
      <c r="K973" s="186">
        <v>-615</v>
      </c>
      <c r="L973" s="288">
        <f t="shared" si="41"/>
        <v>0</v>
      </c>
      <c r="M973" s="24"/>
      <c r="N973" s="112" t="str">
        <f>IF(ISBLANK(E973),"",_xlfn.XLOOKUP(E973,[1]cannabis_log!C:C,[1]cannabis_log!T:T,"Not Found",0,))</f>
        <v>gross</v>
      </c>
      <c r="O973" s="180">
        <f>IF(N973="net",_xlfn.XLOOKUP(E973,cannabis_log!C:C,cannabis_log!N:N,"NOT FOUND",0,1),IF(N973="gross",0,""))</f>
        <v>0</v>
      </c>
    </row>
    <row r="974" spans="1:15">
      <c r="A974" s="181" t="str">
        <f t="shared" si="42"/>
        <v>outbound</v>
      </c>
      <c r="B974" s="182">
        <v>45680.618750000001</v>
      </c>
      <c r="C974" s="183" t="s">
        <v>1921</v>
      </c>
      <c r="D974" s="183" t="s">
        <v>2538</v>
      </c>
      <c r="E974" s="215" t="s">
        <v>2547</v>
      </c>
      <c r="F974" s="112">
        <f>IF(ISBLANK(E974),"",_xlfn.XLOOKUP(E974,[1]cannabis_log!C:C,[1]cannabis_log!J:J,"",0,))</f>
        <v>2024120501</v>
      </c>
      <c r="G974" s="112"/>
      <c r="H974" s="112" t="str">
        <f>IF(ISBLANK(E974),"",_xlfn.XLOOKUP(E974,cannabis_log!C:C,cannabis_log!H:H,"",0,1))</f>
        <v>driedflower_bulk_BURB</v>
      </c>
      <c r="I974" s="113" t="str">
        <f>IF(ISBLANK(E974),"",_xlfn.XLOOKUP(E974,cannabis_log!C:C,cannabis_log!K:K,"NOT FOUND",0,1))</f>
        <v>NA</v>
      </c>
      <c r="J974" s="185">
        <v>-1</v>
      </c>
      <c r="K974" s="186">
        <v>-1060</v>
      </c>
      <c r="L974" s="288">
        <f t="shared" si="41"/>
        <v>0</v>
      </c>
      <c r="M974" s="24"/>
      <c r="N974" s="112" t="str">
        <f>IF(ISBLANK(E974),"",_xlfn.XLOOKUP(E974,[1]cannabis_log!C:C,[1]cannabis_log!T:T,"Not Found",0,))</f>
        <v>gross</v>
      </c>
      <c r="O974" s="180">
        <f>IF(N974="net",_xlfn.XLOOKUP(E974,cannabis_log!C:C,cannabis_log!N:N,"NOT FOUND",0,1),IF(N974="gross",0,""))</f>
        <v>0</v>
      </c>
    </row>
    <row r="975" spans="1:15">
      <c r="A975" s="181" t="str">
        <f t="shared" si="42"/>
        <v>outbound</v>
      </c>
      <c r="B975" s="182">
        <v>45680.618750000001</v>
      </c>
      <c r="C975" s="183" t="s">
        <v>1921</v>
      </c>
      <c r="D975" s="183" t="s">
        <v>2538</v>
      </c>
      <c r="E975" s="215" t="s">
        <v>2548</v>
      </c>
      <c r="F975" s="112">
        <f>IF(ISBLANK(E975),"",_xlfn.XLOOKUP(E975,[1]cannabis_log!C:C,[1]cannabis_log!J:J,"",0,))</f>
        <v>2024120501</v>
      </c>
      <c r="G975" s="112"/>
      <c r="H975" s="112" t="str">
        <f>IF(ISBLANK(E975),"",_xlfn.XLOOKUP(E975,cannabis_log!C:C,cannabis_log!H:H,"",0,1))</f>
        <v>driedflower_bulk_BURB</v>
      </c>
      <c r="I975" s="113" t="str">
        <f>IF(ISBLANK(E975),"",_xlfn.XLOOKUP(E975,cannabis_log!C:C,cannabis_log!K:K,"NOT FOUND",0,1))</f>
        <v>NA</v>
      </c>
      <c r="J975" s="185">
        <v>-1</v>
      </c>
      <c r="K975" s="186">
        <v>-1060</v>
      </c>
      <c r="L975" s="288">
        <f t="shared" si="41"/>
        <v>0</v>
      </c>
      <c r="M975" s="24"/>
      <c r="N975" s="112" t="str">
        <f>IF(ISBLANK(E975),"",_xlfn.XLOOKUP(E975,[1]cannabis_log!C:C,[1]cannabis_log!T:T,"Not Found",0,))</f>
        <v>gross</v>
      </c>
      <c r="O975" s="180">
        <f>IF(N975="net",_xlfn.XLOOKUP(E975,cannabis_log!C:C,cannabis_log!N:N,"NOT FOUND",0,1),IF(N975="gross",0,""))</f>
        <v>0</v>
      </c>
    </row>
    <row r="976" spans="1:15">
      <c r="A976" s="181" t="str">
        <f t="shared" si="42"/>
        <v>outbound</v>
      </c>
      <c r="B976" s="182">
        <v>45681.38958333333</v>
      </c>
      <c r="C976" s="183" t="s">
        <v>1921</v>
      </c>
      <c r="D976" s="183" t="s">
        <v>2549</v>
      </c>
      <c r="E976" s="215" t="s">
        <v>2550</v>
      </c>
      <c r="F976" s="112">
        <f>IF(ISBLANK(E976),"",_xlfn.XLOOKUP(E976,[1]cannabis_log!C:C,[1]cannabis_log!J:J,"",0,))</f>
        <v>2024110601</v>
      </c>
      <c r="G976" s="112"/>
      <c r="H976" s="112" t="str">
        <f>IF(ISBLANK(E976),"",_xlfn.XLOOKUP(E976,cannabis_log!C:C,cannabis_log!H:H,"",0,1))</f>
        <v>driedflower_bulk_BURB</v>
      </c>
      <c r="I976" s="113" t="str">
        <f>IF(ISBLANK(E976),"",_xlfn.XLOOKUP(E976,cannabis_log!C:C,cannabis_log!K:K,"NOT FOUND",0,1))</f>
        <v>NA</v>
      </c>
      <c r="J976" s="185">
        <v>-1</v>
      </c>
      <c r="K976" s="186">
        <v>-218</v>
      </c>
      <c r="L976" s="288">
        <f t="shared" si="41"/>
        <v>0</v>
      </c>
      <c r="M976" s="24"/>
      <c r="N976" s="112" t="str">
        <f>IF(ISBLANK(E976),"",_xlfn.XLOOKUP(E976,[1]cannabis_log!C:C,[1]cannabis_log!T:T,"Not Found",0,))</f>
        <v>gross</v>
      </c>
      <c r="O976" s="180">
        <f>IF(N976="net",_xlfn.XLOOKUP(E976,cannabis_log!C:C,cannabis_log!N:N,"NOT FOUND",0,1),IF(N976="gross",0,""))</f>
        <v>0</v>
      </c>
    </row>
    <row r="977" spans="1:15">
      <c r="A977" s="181" t="str">
        <f t="shared" si="42"/>
        <v>outbound</v>
      </c>
      <c r="B977" s="182">
        <v>45681.38958333333</v>
      </c>
      <c r="C977" s="183" t="s">
        <v>1921</v>
      </c>
      <c r="D977" s="183" t="s">
        <v>2549</v>
      </c>
      <c r="E977" s="215" t="s">
        <v>2551</v>
      </c>
      <c r="F977" s="112">
        <f>IF(ISBLANK(E977),"",_xlfn.XLOOKUP(E977,[1]cannabis_log!C:C,[1]cannabis_log!J:J,"",0,))</f>
        <v>2024110601</v>
      </c>
      <c r="G977" s="112"/>
      <c r="H977" s="112" t="str">
        <f>IF(ISBLANK(E977),"",_xlfn.XLOOKUP(E977,cannabis_log!C:C,cannabis_log!H:H,"",0,1))</f>
        <v>driedflower_bulk_BURB</v>
      </c>
      <c r="I977" s="113" t="str">
        <f>IF(ISBLANK(E977),"",_xlfn.XLOOKUP(E977,cannabis_log!C:C,cannabis_log!K:K,"NOT FOUND",0,1))</f>
        <v>NA</v>
      </c>
      <c r="J977" s="185">
        <v>-1</v>
      </c>
      <c r="K977" s="186">
        <v>-1834</v>
      </c>
      <c r="L977" s="288">
        <f t="shared" si="41"/>
        <v>0</v>
      </c>
      <c r="M977" s="24"/>
      <c r="N977" s="112" t="str">
        <f>IF(ISBLANK(E977),"",_xlfn.XLOOKUP(E977,[1]cannabis_log!C:C,[1]cannabis_log!T:T,"Not Found",0,))</f>
        <v>gross</v>
      </c>
      <c r="O977" s="180">
        <f>IF(N977="net",_xlfn.XLOOKUP(E977,cannabis_log!C:C,cannabis_log!N:N,"NOT FOUND",0,1),IF(N977="gross",0,""))</f>
        <v>0</v>
      </c>
    </row>
    <row r="978" spans="1:15">
      <c r="A978" s="181" t="str">
        <f t="shared" si="42"/>
        <v>outbound</v>
      </c>
      <c r="B978" s="182">
        <v>45681.431944444441</v>
      </c>
      <c r="C978" s="183" t="s">
        <v>1921</v>
      </c>
      <c r="D978" s="183" t="s">
        <v>2538</v>
      </c>
      <c r="E978" s="215" t="s">
        <v>2552</v>
      </c>
      <c r="F978" s="112">
        <f>IF(ISBLANK(E978),"",_xlfn.XLOOKUP(E978,[1]cannabis_log!C:C,[1]cannabis_log!J:J,"",0,))</f>
        <v>2024120501</v>
      </c>
      <c r="G978" s="112"/>
      <c r="H978" s="112" t="str">
        <f>IF(ISBLANK(E978),"",_xlfn.XLOOKUP(E978,cannabis_log!C:C,cannabis_log!H:H,"",0,1))</f>
        <v>driedflower_bulk_BURB</v>
      </c>
      <c r="I978" s="113" t="str">
        <f>IF(ISBLANK(E978),"",_xlfn.XLOOKUP(E978,cannabis_log!C:C,cannabis_log!K:K,"NOT FOUND",0,1))</f>
        <v>NA</v>
      </c>
      <c r="J978" s="185">
        <v>-1</v>
      </c>
      <c r="K978" s="186">
        <v>-940</v>
      </c>
      <c r="L978" s="288">
        <f t="shared" si="41"/>
        <v>0</v>
      </c>
      <c r="M978" s="24"/>
      <c r="N978" s="112" t="str">
        <f>IF(ISBLANK(E978),"",_xlfn.XLOOKUP(E978,[1]cannabis_log!C:C,[1]cannabis_log!T:T,"Not Found",0,))</f>
        <v>gross</v>
      </c>
      <c r="O978" s="180">
        <f>IF(N978="net",_xlfn.XLOOKUP(E978,cannabis_log!C:C,cannabis_log!N:N,"NOT FOUND",0,1),IF(N978="gross",0,""))</f>
        <v>0</v>
      </c>
    </row>
    <row r="979" spans="1:15">
      <c r="A979" s="181" t="str">
        <f t="shared" si="42"/>
        <v>inbound</v>
      </c>
      <c r="B979" s="182">
        <v>45681.439583333333</v>
      </c>
      <c r="C979" s="183" t="s">
        <v>1927</v>
      </c>
      <c r="D979" s="183"/>
      <c r="E979" s="215" t="s">
        <v>2552</v>
      </c>
      <c r="F979" s="112">
        <f>IF(ISBLANK(E979),"",_xlfn.XLOOKUP(E979,[1]cannabis_log!C:C,[1]cannabis_log!J:J,"",0,))</f>
        <v>2024120501</v>
      </c>
      <c r="G979" s="112"/>
      <c r="H979" s="112" t="str">
        <f>IF(ISBLANK(E979),"",_xlfn.XLOOKUP(E979,cannabis_log!C:C,cannabis_log!H:H,"",0,1))</f>
        <v>driedflower_bulk_BURB</v>
      </c>
      <c r="I979" s="113" t="str">
        <f>IF(ISBLANK(E979),"",_xlfn.XLOOKUP(E979,cannabis_log!C:C,cannabis_log!K:K,"NOT FOUND",0,1))</f>
        <v>NA</v>
      </c>
      <c r="J979" s="185">
        <v>1</v>
      </c>
      <c r="K979" s="186">
        <v>615</v>
      </c>
      <c r="L979" s="288">
        <f t="shared" si="41"/>
        <v>0</v>
      </c>
      <c r="M979" s="24"/>
      <c r="N979" s="112" t="str">
        <f>IF(ISBLANK(E979),"",_xlfn.XLOOKUP(E979,[1]cannabis_log!C:C,[1]cannabis_log!T:T,"Not Found",0,))</f>
        <v>gross</v>
      </c>
      <c r="O979" s="180">
        <f>IF(N979="net",_xlfn.XLOOKUP(E979,cannabis_log!C:C,cannabis_log!N:N,"NOT FOUND",0,1),IF(N979="gross",0,""))</f>
        <v>0</v>
      </c>
    </row>
    <row r="980" spans="1:15">
      <c r="A980" s="181" t="str">
        <f t="shared" si="42"/>
        <v>inbound</v>
      </c>
      <c r="B980" s="182">
        <v>45681.493055555555</v>
      </c>
      <c r="C980" s="183" t="s">
        <v>1927</v>
      </c>
      <c r="D980" s="183"/>
      <c r="E980" s="215" t="s">
        <v>2543</v>
      </c>
      <c r="F980" s="112">
        <f>IF(ISBLANK(E980),"",_xlfn.XLOOKUP(E980,[1]cannabis_log!C:C,[1]cannabis_log!J:J,"",0,))</f>
        <v>2024110601</v>
      </c>
      <c r="G980" s="112"/>
      <c r="H980" s="112" t="str">
        <f>IF(ISBLANK(E980),"",_xlfn.XLOOKUP(E980,cannabis_log!C:C,cannabis_log!H:H,"",0,1))</f>
        <v>driedflower_bulk_BURB</v>
      </c>
      <c r="I980" s="113" t="str">
        <f>IF(ISBLANK(E980),"",_xlfn.XLOOKUP(E980,cannabis_log!C:C,cannabis_log!K:K,"NOT FOUND",0,1))</f>
        <v>NA</v>
      </c>
      <c r="J980" s="185">
        <v>1</v>
      </c>
      <c r="K980" s="186">
        <v>2240</v>
      </c>
      <c r="L980" s="288">
        <f t="shared" si="41"/>
        <v>0</v>
      </c>
      <c r="M980" s="24"/>
      <c r="N980" s="112" t="str">
        <f>IF(ISBLANK(E980),"",_xlfn.XLOOKUP(E980,[1]cannabis_log!C:C,[1]cannabis_log!T:T,"Not Found",0,))</f>
        <v>gross</v>
      </c>
      <c r="O980" s="180">
        <f>IF(N980="net",_xlfn.XLOOKUP(E980,cannabis_log!C:C,cannabis_log!N:N,"NOT FOUND",0,1),IF(N980="gross",0,""))</f>
        <v>0</v>
      </c>
    </row>
    <row r="981" spans="1:15">
      <c r="A981" s="181" t="str">
        <f t="shared" si="42"/>
        <v>outbound</v>
      </c>
      <c r="B981" s="182">
        <v>45681.570138888892</v>
      </c>
      <c r="C981" s="183" t="s">
        <v>1921</v>
      </c>
      <c r="D981" s="183" t="s">
        <v>2553</v>
      </c>
      <c r="E981" s="215" t="s">
        <v>2554</v>
      </c>
      <c r="F981" s="112">
        <f>IF(ISBLANK(E981),"",_xlfn.XLOOKUP(E981,[1]cannabis_log!C:C,[1]cannabis_log!J:J,"",0,))</f>
        <v>2024120501</v>
      </c>
      <c r="G981" s="112"/>
      <c r="H981" s="112" t="str">
        <f>IF(ISBLANK(E981),"",_xlfn.XLOOKUP(E981,cannabis_log!C:C,cannabis_log!H:H,"",0,1))</f>
        <v>driedflower_bulk_BURB</v>
      </c>
      <c r="I981" s="113" t="str">
        <f>IF(ISBLANK(E981),"",_xlfn.XLOOKUP(E981,cannabis_log!C:C,cannabis_log!K:K,"NOT FOUND",0,1))</f>
        <v>NA</v>
      </c>
      <c r="J981" s="185">
        <v>-1</v>
      </c>
      <c r="K981" s="186">
        <v>-990</v>
      </c>
      <c r="L981" s="288">
        <f t="shared" si="41"/>
        <v>0</v>
      </c>
      <c r="M981" s="24"/>
      <c r="N981" s="112" t="str">
        <f>IF(ISBLANK(E981),"",_xlfn.XLOOKUP(E981,[1]cannabis_log!C:C,[1]cannabis_log!T:T,"Not Found",0,))</f>
        <v>gross</v>
      </c>
      <c r="O981" s="180">
        <f>IF(N981="net",_xlfn.XLOOKUP(E981,cannabis_log!C:C,cannabis_log!N:N,"NOT FOUND",0,1),IF(N981="gross",0,""))</f>
        <v>0</v>
      </c>
    </row>
    <row r="982" spans="1:15">
      <c r="A982" s="181" t="str">
        <f t="shared" si="42"/>
        <v>inbound</v>
      </c>
      <c r="B982" s="182">
        <v>45681.570138888892</v>
      </c>
      <c r="C982" s="183" t="s">
        <v>1921</v>
      </c>
      <c r="D982" s="183" t="s">
        <v>2553</v>
      </c>
      <c r="E982" s="215" t="s">
        <v>2554</v>
      </c>
      <c r="F982" s="112">
        <f>IF(ISBLANK(E982),"",_xlfn.XLOOKUP(E982,[1]cannabis_log!C:C,[1]cannabis_log!J:J,"",0,))</f>
        <v>2024120501</v>
      </c>
      <c r="G982" s="112"/>
      <c r="H982" s="112" t="str">
        <f>IF(ISBLANK(E982),"",_xlfn.XLOOKUP(E982,cannabis_log!C:C,cannabis_log!H:H,"",0,1))</f>
        <v>driedflower_bulk_BURB</v>
      </c>
      <c r="I982" s="113" t="str">
        <f>IF(ISBLANK(E982),"",_xlfn.XLOOKUP(E982,cannabis_log!C:C,cannabis_log!K:K,"NOT FOUND",0,1))</f>
        <v>NA</v>
      </c>
      <c r="J982" s="185">
        <v>1</v>
      </c>
      <c r="K982" s="186">
        <v>890.5</v>
      </c>
      <c r="L982" s="288">
        <f t="shared" si="41"/>
        <v>0</v>
      </c>
      <c r="M982" s="24"/>
      <c r="N982" s="112" t="str">
        <f>IF(ISBLANK(E982),"",_xlfn.XLOOKUP(E982,[1]cannabis_log!C:C,[1]cannabis_log!T:T,"Not Found",0,))</f>
        <v>gross</v>
      </c>
      <c r="O982" s="180">
        <f>IF(N982="net",_xlfn.XLOOKUP(E982,cannabis_log!C:C,cannabis_log!N:N,"NOT FOUND",0,1),IF(N982="gross",0,""))</f>
        <v>0</v>
      </c>
    </row>
    <row r="983" spans="1:15">
      <c r="A983" s="181" t="str">
        <f t="shared" si="42"/>
        <v>outbound</v>
      </c>
      <c r="B983" s="182">
        <v>45681.640972222223</v>
      </c>
      <c r="C983" s="183" t="s">
        <v>1929</v>
      </c>
      <c r="D983" s="183" t="s">
        <v>2555</v>
      </c>
      <c r="E983" s="215" t="s">
        <v>2207</v>
      </c>
      <c r="F983" s="112" t="str">
        <f>IF(ISBLANK(E983),"",_xlfn.XLOOKUP(E983,[1]cannabis_log!C:C,[1]cannabis_log!J:J,"",0,))</f>
        <v>EX24082904G05</v>
      </c>
      <c r="G983" s="112"/>
      <c r="H983" s="112" t="str">
        <f>IF(ISBLANK(E983),"",_xlfn.XLOOKUP(E983,cannabis_log!C:C,cannabis_log!H:H,"",0,1))</f>
        <v>extract_inhaled_labelled</v>
      </c>
      <c r="I983" s="113">
        <f>IF(ISBLANK(E983),"",_xlfn.XLOOKUP(E983,cannabis_log!C:C,cannabis_log!K:K,"NOT FOUND",0,1))</f>
        <v>45555</v>
      </c>
      <c r="J983" s="185">
        <v>-12</v>
      </c>
      <c r="K983" s="186">
        <f t="shared" ref="K983:K997" si="43">IF(N983="net",0,"")</f>
        <v>0</v>
      </c>
      <c r="L983" s="288">
        <f t="shared" si="41"/>
        <v>-6</v>
      </c>
      <c r="M983" s="24"/>
      <c r="N983" s="112" t="str">
        <f>IF(ISBLANK(E983),"",_xlfn.XLOOKUP(E983,[1]cannabis_log!C:C,[1]cannabis_log!T:T,"Not Found",0,))</f>
        <v>net</v>
      </c>
      <c r="O983" s="180">
        <f>IF(N983="net",_xlfn.XLOOKUP(E983,cannabis_log!C:C,cannabis_log!N:N,"NOT FOUND",0,1),IF(N983="gross",0,""))</f>
        <v>0.5</v>
      </c>
    </row>
    <row r="984" spans="1:15">
      <c r="A984" s="181" t="str">
        <f t="shared" si="42"/>
        <v>outbound</v>
      </c>
      <c r="B984" s="182">
        <v>45681.640972222223</v>
      </c>
      <c r="C984" s="183" t="s">
        <v>1929</v>
      </c>
      <c r="D984" s="183" t="s">
        <v>2555</v>
      </c>
      <c r="E984" s="215" t="s">
        <v>1952</v>
      </c>
      <c r="F984" s="112" t="str">
        <f>IF(ISBLANK(E984),"",_xlfn.XLOOKUP(E984,[1]cannabis_log!C:C,[1]cannabis_log!J:J,"",0,))</f>
        <v>PR2406F1P1</v>
      </c>
      <c r="G984" s="112"/>
      <c r="H984" s="112" t="str">
        <f>IF(ISBLANK(E984),"",_xlfn.XLOOKUP(E984,cannabis_log!C:C,cannabis_log!H:H,"",0,1))</f>
        <v>preroll_labelled</v>
      </c>
      <c r="I984" s="113">
        <f>IF(ISBLANK(E984),"",_xlfn.XLOOKUP(E984,cannabis_log!C:C,cannabis_log!K:K,"NOT FOUND",0,1))</f>
        <v>45462</v>
      </c>
      <c r="J984" s="185">
        <v>-12</v>
      </c>
      <c r="K984" s="186">
        <f t="shared" si="43"/>
        <v>0</v>
      </c>
      <c r="L984" s="288">
        <f t="shared" si="41"/>
        <v>-12</v>
      </c>
      <c r="M984" s="24"/>
      <c r="N984" s="112" t="str">
        <f>IF(ISBLANK(E984),"",_xlfn.XLOOKUP(E984,[1]cannabis_log!C:C,[1]cannabis_log!T:T,"Not Found",0,))</f>
        <v>net</v>
      </c>
      <c r="O984" s="180">
        <f>IF(N984="net",_xlfn.XLOOKUP(E984,cannabis_log!C:C,cannabis_log!N:N,"NOT FOUND",0,1),IF(N984="gross",0,""))</f>
        <v>1</v>
      </c>
    </row>
    <row r="985" spans="1:15">
      <c r="A985" s="181" t="str">
        <f t="shared" si="42"/>
        <v>outbound</v>
      </c>
      <c r="B985" s="182">
        <v>45681.640972222223</v>
      </c>
      <c r="C985" s="183" t="s">
        <v>1929</v>
      </c>
      <c r="D985" s="183" t="s">
        <v>2555</v>
      </c>
      <c r="E985" s="215" t="s">
        <v>1990</v>
      </c>
      <c r="F985" s="112" t="str">
        <f>IF(ISBLANK(E985),"",_xlfn.XLOOKUP(E985,[1]cannabis_log!C:C,[1]cannabis_log!J:J,"",0,))</f>
        <v>EX23100401V30</v>
      </c>
      <c r="G985" s="112"/>
      <c r="H985" s="112" t="str">
        <f>IF(ISBLANK(E985),"",_xlfn.XLOOKUP(E985,cannabis_log!C:C,cannabis_log!H:H,"",0,1))</f>
        <v>extract_ingested_labelled</v>
      </c>
      <c r="I985" s="113">
        <f>IF(ISBLANK(E985),"",_xlfn.XLOOKUP(E985,cannabis_log!C:C,cannabis_log!K:K,"NOT FOUND",0,1))</f>
        <v>45488</v>
      </c>
      <c r="J985" s="185">
        <v>-12</v>
      </c>
      <c r="K985" s="186">
        <f t="shared" si="43"/>
        <v>0</v>
      </c>
      <c r="L985" s="288">
        <f t="shared" si="41"/>
        <v>-331.20000000000005</v>
      </c>
      <c r="M985" s="24"/>
      <c r="N985" s="112" t="str">
        <f>IF(ISBLANK(E985),"",_xlfn.XLOOKUP(E985,[1]cannabis_log!C:C,[1]cannabis_log!T:T,"Not Found",0,))</f>
        <v>net</v>
      </c>
      <c r="O985" s="180">
        <f>IF(N985="net",_xlfn.XLOOKUP(E985,cannabis_log!C:C,cannabis_log!N:N,"NOT FOUND",0,1),IF(N985="gross",0,""))</f>
        <v>27.6</v>
      </c>
    </row>
    <row r="986" spans="1:15">
      <c r="A986" s="181" t="str">
        <f t="shared" si="42"/>
        <v>outbound</v>
      </c>
      <c r="B986" s="182">
        <v>45681.640972222223</v>
      </c>
      <c r="C986" s="183" t="s">
        <v>1929</v>
      </c>
      <c r="D986" s="183" t="s">
        <v>2555</v>
      </c>
      <c r="E986" s="215" t="s">
        <v>2295</v>
      </c>
      <c r="F986" s="112" t="str">
        <f>IF(ISBLANK(E986),"",_xlfn.XLOOKUP(E986,[1]cannabis_log!C:C,[1]cannabis_log!J:J,"",0,))</f>
        <v>PR241101F5P3</v>
      </c>
      <c r="G986" s="112"/>
      <c r="H986" s="112" t="str">
        <f>IF(ISBLANK(E986),"",_xlfn.XLOOKUP(E986,cannabis_log!C:C,cannabis_log!H:H,"",0,1))</f>
        <v>preroll_labelled</v>
      </c>
      <c r="I986" s="113">
        <f>IF(ISBLANK(E986),"",_xlfn.XLOOKUP(E986,cannabis_log!C:C,cannabis_log!K:K,"NOT FOUND",0,1))</f>
        <v>45581</v>
      </c>
      <c r="J986" s="185">
        <v>-12</v>
      </c>
      <c r="K986" s="186">
        <f t="shared" si="43"/>
        <v>0</v>
      </c>
      <c r="L986" s="288">
        <f t="shared" si="41"/>
        <v>-18</v>
      </c>
      <c r="M986" s="24"/>
      <c r="N986" s="112" t="str">
        <f>IF(ISBLANK(E986),"",_xlfn.XLOOKUP(E986,[1]cannabis_log!C:C,[1]cannabis_log!T:T,"Not Found",0,))</f>
        <v>net</v>
      </c>
      <c r="O986" s="180">
        <f>IF(N986="net",_xlfn.XLOOKUP(E986,cannabis_log!C:C,cannabis_log!N:N,"NOT FOUND",0,1),IF(N986="gross",0,""))</f>
        <v>1.5</v>
      </c>
    </row>
    <row r="987" spans="1:15">
      <c r="A987" s="181" t="str">
        <f t="shared" si="42"/>
        <v>outbound</v>
      </c>
      <c r="B987" s="182">
        <v>45681.640972222223</v>
      </c>
      <c r="C987" s="183" t="s">
        <v>1929</v>
      </c>
      <c r="D987" s="183" t="s">
        <v>2555</v>
      </c>
      <c r="E987" s="215" t="s">
        <v>2474</v>
      </c>
      <c r="F987" s="112" t="str">
        <f>IF(ISBLANK(E987),"",_xlfn.XLOOKUP(E987,[1]cannabis_log!C:C,[1]cannabis_log!J:J,"",0,))</f>
        <v>PR241105F5P3</v>
      </c>
      <c r="G987" s="112"/>
      <c r="H987" s="112" t="str">
        <f>IF(ISBLANK(E987),"",_xlfn.XLOOKUP(E987,cannabis_log!C:C,cannabis_log!H:H,"",0,1))</f>
        <v>preroll_labelled</v>
      </c>
      <c r="I987" s="113">
        <f>IF(ISBLANK(E987),"",_xlfn.XLOOKUP(E987,cannabis_log!C:C,cannabis_log!K:K,"NOT FOUND",0,1))</f>
        <v>45615</v>
      </c>
      <c r="J987" s="185">
        <v>-12</v>
      </c>
      <c r="K987" s="186">
        <f t="shared" si="43"/>
        <v>0</v>
      </c>
      <c r="L987" s="288">
        <f t="shared" si="41"/>
        <v>-18</v>
      </c>
      <c r="M987" s="24"/>
      <c r="N987" s="112" t="str">
        <f>IF(ISBLANK(E987),"",_xlfn.XLOOKUP(E987,[1]cannabis_log!C:C,[1]cannabis_log!T:T,"Not Found",0,))</f>
        <v>net</v>
      </c>
      <c r="O987" s="180">
        <f>IF(N987="net",_xlfn.XLOOKUP(E987,cannabis_log!C:C,cannabis_log!N:N,"NOT FOUND",0,1),IF(N987="gross",0,""))</f>
        <v>1.5</v>
      </c>
    </row>
    <row r="988" spans="1:15">
      <c r="A988" s="181" t="str">
        <f t="shared" si="42"/>
        <v>outbound</v>
      </c>
      <c r="B988" s="182">
        <v>45681.640972222223</v>
      </c>
      <c r="C988" s="183" t="s">
        <v>1929</v>
      </c>
      <c r="D988" s="183" t="s">
        <v>2555</v>
      </c>
      <c r="E988" s="215" t="s">
        <v>2492</v>
      </c>
      <c r="F988" s="112" t="str">
        <f>IF(ISBLANK(E988),"",_xlfn.XLOOKUP(E988,[1]cannabis_log!C:C,[1]cannabis_log!J:J,"",0,))</f>
        <v>PR241104F5P3</v>
      </c>
      <c r="G988" s="112"/>
      <c r="H988" s="112" t="str">
        <f>IF(ISBLANK(E988),"",_xlfn.XLOOKUP(E988,cannabis_log!C:C,cannabis_log!H:H,"",0,1))</f>
        <v>preroll_labelled</v>
      </c>
      <c r="I988" s="113">
        <f>IF(ISBLANK(E988),"",_xlfn.XLOOKUP(E988,cannabis_log!C:C,cannabis_log!K:K,"NOT FOUND",0,1))</f>
        <v>45630</v>
      </c>
      <c r="J988" s="185">
        <v>-12</v>
      </c>
      <c r="K988" s="186">
        <f t="shared" si="43"/>
        <v>0</v>
      </c>
      <c r="L988" s="288">
        <f t="shared" si="41"/>
        <v>-18</v>
      </c>
      <c r="M988" s="24"/>
      <c r="N988" s="112" t="str">
        <f>IF(ISBLANK(E988),"",_xlfn.XLOOKUP(E988,[1]cannabis_log!C:C,[1]cannabis_log!T:T,"Not Found",0,))</f>
        <v>net</v>
      </c>
      <c r="O988" s="180">
        <f>IF(N988="net",_xlfn.XLOOKUP(E988,cannabis_log!C:C,cannabis_log!N:N,"NOT FOUND",0,1),IF(N988="gross",0,""))</f>
        <v>1.5</v>
      </c>
    </row>
    <row r="989" spans="1:15">
      <c r="A989" s="181" t="str">
        <f t="shared" si="42"/>
        <v>outbound</v>
      </c>
      <c r="B989" s="182">
        <v>45681.640972222223</v>
      </c>
      <c r="C989" s="183" t="s">
        <v>1929</v>
      </c>
      <c r="D989" s="183" t="s">
        <v>2555</v>
      </c>
      <c r="E989" s="215" t="s">
        <v>2065</v>
      </c>
      <c r="F989" s="112" t="str">
        <f>IF(ISBLANK(E989),"",_xlfn.XLOOKUP(E989,[1]cannabis_log!C:C,[1]cannabis_log!J:J,"",0,))</f>
        <v>PR2301F5P3</v>
      </c>
      <c r="G989" s="112"/>
      <c r="H989" s="112" t="str">
        <f>IF(ISBLANK(E989),"",_xlfn.XLOOKUP(E989,cannabis_log!C:C,cannabis_log!H:H,"",0,1))</f>
        <v>preroll_labelled</v>
      </c>
      <c r="I989" s="113">
        <f>IF(ISBLANK(E989),"",_xlfn.XLOOKUP(E989,cannabis_log!C:C,cannabis_log!K:K,"NOT FOUND",0,1))</f>
        <v>45457</v>
      </c>
      <c r="J989" s="185">
        <v>-12</v>
      </c>
      <c r="K989" s="186">
        <f t="shared" si="43"/>
        <v>0</v>
      </c>
      <c r="L989" s="288">
        <f t="shared" si="41"/>
        <v>-18</v>
      </c>
      <c r="M989" s="24"/>
      <c r="N989" s="112" t="str">
        <f>IF(ISBLANK(E989),"",_xlfn.XLOOKUP(E989,[1]cannabis_log!C:C,[1]cannabis_log!T:T,"Not Found",0,))</f>
        <v>net</v>
      </c>
      <c r="O989" s="180">
        <f>IF(N989="net",_xlfn.XLOOKUP(E989,cannabis_log!C:C,cannabis_log!N:N,"NOT FOUND",0,1),IF(N989="gross",0,""))</f>
        <v>1.5</v>
      </c>
    </row>
    <row r="990" spans="1:15">
      <c r="A990" s="181" t="str">
        <f t="shared" si="42"/>
        <v>outbound</v>
      </c>
      <c r="B990" s="182">
        <v>45681.640972222223</v>
      </c>
      <c r="C990" s="183" t="s">
        <v>1929</v>
      </c>
      <c r="D990" s="183" t="s">
        <v>2555</v>
      </c>
      <c r="E990" s="215" t="s">
        <v>2226</v>
      </c>
      <c r="F990" s="112" t="str">
        <f>IF(ISBLANK(E990),"",_xlfn.XLOOKUP(E990,[1]cannabis_log!C:C,[1]cannabis_log!J:J,"",0,))</f>
        <v>PR241003F5P3</v>
      </c>
      <c r="G990" s="112"/>
      <c r="H990" s="112" t="str">
        <f>IF(ISBLANK(E990),"",_xlfn.XLOOKUP(E990,cannabis_log!C:C,cannabis_log!H:H,"",0,1))</f>
        <v>preroll_labelled</v>
      </c>
      <c r="I990" s="113">
        <f>IF(ISBLANK(E990),"",_xlfn.XLOOKUP(E990,cannabis_log!C:C,cannabis_log!K:K,"NOT FOUND",0,1))</f>
        <v>45575</v>
      </c>
      <c r="J990" s="185">
        <v>-12</v>
      </c>
      <c r="K990" s="186">
        <f t="shared" si="43"/>
        <v>0</v>
      </c>
      <c r="L990" s="288">
        <f t="shared" si="41"/>
        <v>-18</v>
      </c>
      <c r="M990" s="24"/>
      <c r="N990" s="112" t="str">
        <f>IF(ISBLANK(E990),"",_xlfn.XLOOKUP(E990,[1]cannabis_log!C:C,[1]cannabis_log!T:T,"Not Found",0,))</f>
        <v>net</v>
      </c>
      <c r="O990" s="180">
        <f>IF(N990="net",_xlfn.XLOOKUP(E990,cannabis_log!C:C,cannabis_log!N:N,"NOT FOUND",0,1),IF(N990="gross",0,""))</f>
        <v>1.5</v>
      </c>
    </row>
    <row r="991" spans="1:15">
      <c r="A991" s="181" t="str">
        <f t="shared" si="42"/>
        <v>outbound</v>
      </c>
      <c r="B991" s="182">
        <v>45681.640972222223</v>
      </c>
      <c r="C991" s="183" t="s">
        <v>1929</v>
      </c>
      <c r="D991" s="183" t="s">
        <v>2555</v>
      </c>
      <c r="E991" s="215" t="s">
        <v>2016</v>
      </c>
      <c r="F991" s="112" t="str">
        <f>IF(ISBLANK(E991),"",_xlfn.XLOOKUP(E991,[1]cannabis_log!C:C,[1]cannabis_log!J:J,"",0,))</f>
        <v>PR2407F5P3</v>
      </c>
      <c r="G991" s="112"/>
      <c r="H991" s="112" t="str">
        <f>IF(ISBLANK(E991),"",_xlfn.XLOOKUP(E991,cannabis_log!C:C,cannabis_log!H:H,"",0,1))</f>
        <v>preroll_labelled</v>
      </c>
      <c r="I991" s="113">
        <f>IF(ISBLANK(E991),"",_xlfn.XLOOKUP(E991,cannabis_log!C:C,cannabis_log!K:K,"NOT FOUND",0,1))</f>
        <v>45828</v>
      </c>
      <c r="J991" s="185">
        <v>-12</v>
      </c>
      <c r="K991" s="186">
        <f t="shared" si="43"/>
        <v>0</v>
      </c>
      <c r="L991" s="288">
        <f t="shared" si="41"/>
        <v>-18</v>
      </c>
      <c r="M991" s="24"/>
      <c r="N991" s="112" t="str">
        <f>IF(ISBLANK(E991),"",_xlfn.XLOOKUP(E991,[1]cannabis_log!C:C,[1]cannabis_log!T:T,"Not Found",0,))</f>
        <v>net</v>
      </c>
      <c r="O991" s="180">
        <f>IF(N991="net",_xlfn.XLOOKUP(E991,cannabis_log!C:C,cannabis_log!N:N,"NOT FOUND",0,1),IF(N991="gross",0,""))</f>
        <v>1.5</v>
      </c>
    </row>
    <row r="992" spans="1:15">
      <c r="A992" s="181" t="str">
        <f t="shared" si="42"/>
        <v>outbound</v>
      </c>
      <c r="B992" s="182">
        <v>45681.640972222223</v>
      </c>
      <c r="C992" s="183" t="s">
        <v>1929</v>
      </c>
      <c r="D992" s="183" t="s">
        <v>2556</v>
      </c>
      <c r="E992" s="215" t="s">
        <v>2514</v>
      </c>
      <c r="F992" s="112" t="str">
        <f>IF(ISBLANK(E992),"",_xlfn.XLOOKUP(E992,[1]cannabis_log!C:C,[1]cannabis_log!J:J,"",0,))</f>
        <v>EX25010907G1</v>
      </c>
      <c r="G992" s="112"/>
      <c r="H992" s="112" t="str">
        <f>IF(ISBLANK(E992),"",_xlfn.XLOOKUP(E992,cannabis_log!C:C,cannabis_log!H:H,"",0,1))</f>
        <v>extract_inhaled_labelled</v>
      </c>
      <c r="I992" s="113">
        <f>IF(ISBLANK(E992),"",_xlfn.XLOOKUP(E992,cannabis_log!C:C,cannabis_log!K:K,"NOT FOUND",0,1))</f>
        <v>45666</v>
      </c>
      <c r="J992" s="185">
        <v>-24</v>
      </c>
      <c r="K992" s="186">
        <f t="shared" si="43"/>
        <v>0</v>
      </c>
      <c r="L992" s="288">
        <f t="shared" si="41"/>
        <v>-24</v>
      </c>
      <c r="M992" s="24"/>
      <c r="N992" s="112" t="str">
        <f>IF(ISBLANK(E992),"",_xlfn.XLOOKUP(E992,[1]cannabis_log!C:C,[1]cannabis_log!T:T,"Not Found",0,))</f>
        <v>net</v>
      </c>
      <c r="O992" s="180">
        <f>IF(N992="net",_xlfn.XLOOKUP(E992,cannabis_log!C:C,cannabis_log!N:N,"NOT FOUND",0,1),IF(N992="gross",0,""))</f>
        <v>1</v>
      </c>
    </row>
    <row r="993" spans="1:15">
      <c r="A993" s="181" t="str">
        <f t="shared" si="42"/>
        <v>outbound</v>
      </c>
      <c r="B993" s="182">
        <v>45681.640972222223</v>
      </c>
      <c r="C993" s="183" t="s">
        <v>1929</v>
      </c>
      <c r="D993" s="183" t="s">
        <v>2556</v>
      </c>
      <c r="E993" s="215" t="s">
        <v>2508</v>
      </c>
      <c r="F993" s="112" t="str">
        <f>IF(ISBLANK(E993),"",_xlfn.XLOOKUP(E993,[1]cannabis_log!C:C,[1]cannabis_log!J:J,"",0,))</f>
        <v>PR2416F5P10</v>
      </c>
      <c r="G993" s="112"/>
      <c r="H993" s="112" t="str">
        <f>IF(ISBLANK(E993),"",_xlfn.XLOOKUP(E993,cannabis_log!C:C,cannabis_log!H:H,"",0,1))</f>
        <v>preroll_labelled</v>
      </c>
      <c r="I993" s="113">
        <f>IF(ISBLANK(E993),"",_xlfn.XLOOKUP(E993,cannabis_log!C:C,cannabis_log!K:K,"NOT FOUND",0,1))</f>
        <v>45642</v>
      </c>
      <c r="J993" s="185">
        <v>-24</v>
      </c>
      <c r="K993" s="186">
        <f t="shared" si="43"/>
        <v>0</v>
      </c>
      <c r="L993" s="288">
        <f t="shared" si="41"/>
        <v>-120</v>
      </c>
      <c r="M993" s="24"/>
      <c r="N993" s="112" t="str">
        <f>IF(ISBLANK(E993),"",_xlfn.XLOOKUP(E993,[1]cannabis_log!C:C,[1]cannabis_log!T:T,"Not Found",0,))</f>
        <v>net</v>
      </c>
      <c r="O993" s="180">
        <f>IF(N993="net",_xlfn.XLOOKUP(E993,cannabis_log!C:C,cannabis_log!N:N,"NOT FOUND",0,1),IF(N993="gross",0,""))</f>
        <v>5</v>
      </c>
    </row>
    <row r="994" spans="1:15">
      <c r="A994" s="181" t="str">
        <f t="shared" si="42"/>
        <v>outbound</v>
      </c>
      <c r="B994" s="182">
        <v>45681.640972222223</v>
      </c>
      <c r="C994" s="183" t="s">
        <v>1929</v>
      </c>
      <c r="D994" s="183" t="s">
        <v>2556</v>
      </c>
      <c r="E994" s="215" t="s">
        <v>2557</v>
      </c>
      <c r="F994" s="112" t="str">
        <f>IF(ISBLANK(E994),"",_xlfn.XLOOKUP(E994,[1]cannabis_log!C:C,[1]cannabis_log!J:J,"",0,))</f>
        <v>2024111801G7</v>
      </c>
      <c r="G994" s="112"/>
      <c r="H994" s="112" t="str">
        <f>IF(ISBLANK(E994),"",_xlfn.XLOOKUP(E994,cannabis_log!C:C,cannabis_log!H:H,"",0,1))</f>
        <v>driedflower_labelled</v>
      </c>
      <c r="I994" s="113">
        <f>IF(ISBLANK(E994),"",_xlfn.XLOOKUP(E994,cannabis_log!C:C,cannabis_log!K:K,"NOT FOUND",0,1))</f>
        <v>45631</v>
      </c>
      <c r="J994" s="185">
        <v>-24</v>
      </c>
      <c r="K994" s="186">
        <f t="shared" si="43"/>
        <v>0</v>
      </c>
      <c r="L994" s="288">
        <f t="shared" si="41"/>
        <v>-168</v>
      </c>
      <c r="M994" s="24"/>
      <c r="N994" s="112" t="str">
        <f>IF(ISBLANK(E994),"",_xlfn.XLOOKUP(E994,[1]cannabis_log!C:C,[1]cannabis_log!T:T,"Not Found",0,))</f>
        <v>net</v>
      </c>
      <c r="O994" s="180">
        <f>IF(N994="net",_xlfn.XLOOKUP(E994,cannabis_log!C:C,cannabis_log!N:N,"NOT FOUND",0,1),IF(N994="gross",0,""))</f>
        <v>7</v>
      </c>
    </row>
    <row r="995" spans="1:15">
      <c r="A995" s="181" t="str">
        <f t="shared" si="42"/>
        <v>outbound</v>
      </c>
      <c r="B995" s="182">
        <v>45681.683333333334</v>
      </c>
      <c r="C995" s="183" t="s">
        <v>1929</v>
      </c>
      <c r="D995" s="183" t="s">
        <v>2558</v>
      </c>
      <c r="E995" s="215" t="s">
        <v>2492</v>
      </c>
      <c r="F995" s="112" t="str">
        <f>IF(ISBLANK(E995),"",_xlfn.XLOOKUP(E995,[1]cannabis_log!C:C,[1]cannabis_log!J:J,"",0,))</f>
        <v>PR241104F5P3</v>
      </c>
      <c r="G995" s="112"/>
      <c r="H995" s="112" t="str">
        <f>IF(ISBLANK(E995),"",_xlfn.XLOOKUP(E995,cannabis_log!C:C,cannabis_log!H:H,"",0,1))</f>
        <v>preroll_labelled</v>
      </c>
      <c r="I995" s="113">
        <f>IF(ISBLANK(E995),"",_xlfn.XLOOKUP(E995,cannabis_log!C:C,cannabis_log!K:K,"NOT FOUND",0,1))</f>
        <v>45630</v>
      </c>
      <c r="J995" s="185">
        <v>-48</v>
      </c>
      <c r="K995" s="186">
        <f t="shared" si="43"/>
        <v>0</v>
      </c>
      <c r="L995" s="288">
        <f t="shared" si="41"/>
        <v>-72</v>
      </c>
      <c r="M995" s="24"/>
      <c r="N995" s="112" t="str">
        <f>IF(ISBLANK(E995),"",_xlfn.XLOOKUP(E995,[1]cannabis_log!C:C,[1]cannabis_log!T:T,"Not Found",0,))</f>
        <v>net</v>
      </c>
      <c r="O995" s="180">
        <f>IF(N995="net",_xlfn.XLOOKUP(E995,cannabis_log!C:C,cannabis_log!N:N,"NOT FOUND",0,1),IF(N995="gross",0,""))</f>
        <v>1.5</v>
      </c>
    </row>
    <row r="996" spans="1:15">
      <c r="A996" s="181" t="str">
        <f t="shared" si="42"/>
        <v>outbound</v>
      </c>
      <c r="B996" s="182">
        <v>45681.683333333334</v>
      </c>
      <c r="C996" s="183" t="s">
        <v>1929</v>
      </c>
      <c r="D996" s="183" t="s">
        <v>2558</v>
      </c>
      <c r="E996" s="215" t="s">
        <v>2513</v>
      </c>
      <c r="F996" s="112" t="str">
        <f>IF(ISBLANK(E996),"",_xlfn.XLOOKUP(E996,[1]cannabis_log!C:C,[1]cannabis_log!J:J,"",0,))</f>
        <v>TP24101701</v>
      </c>
      <c r="G996" s="112"/>
      <c r="H996" s="112" t="str">
        <f>IF(ISBLANK(E996),"",_xlfn.XLOOKUP(E996,cannabis_log!C:C,cannabis_log!H:H,"",0,1))</f>
        <v>topical_labelled</v>
      </c>
      <c r="I996" s="113">
        <f>IF(ISBLANK(E996),"",_xlfn.XLOOKUP(E996,cannabis_log!C:C,cannabis_log!K:K,"NOT FOUND",0,1))</f>
        <v>45588</v>
      </c>
      <c r="J996" s="185">
        <v>-530</v>
      </c>
      <c r="K996" s="186">
        <f t="shared" si="43"/>
        <v>0</v>
      </c>
      <c r="L996" s="288">
        <f t="shared" si="41"/>
        <v>-46640</v>
      </c>
      <c r="M996" s="24"/>
      <c r="N996" s="112" t="str">
        <f>IF(ISBLANK(E996),"",_xlfn.XLOOKUP(E996,[1]cannabis_log!C:C,[1]cannabis_log!T:T,"Not Found",0,))</f>
        <v>net</v>
      </c>
      <c r="O996" s="180">
        <f>IF(N996="net",_xlfn.XLOOKUP(E996,cannabis_log!C:C,cannabis_log!N:N,"NOT FOUND",0,1),IF(N996="gross",0,""))</f>
        <v>88</v>
      </c>
    </row>
    <row r="997" spans="1:15">
      <c r="A997" s="181" t="str">
        <f t="shared" si="42"/>
        <v>outbound</v>
      </c>
      <c r="B997" s="182">
        <v>45681.683333333334</v>
      </c>
      <c r="C997" s="183" t="s">
        <v>1929</v>
      </c>
      <c r="D997" s="183" t="s">
        <v>2558</v>
      </c>
      <c r="E997" s="215" t="s">
        <v>2557</v>
      </c>
      <c r="F997" s="112" t="str">
        <f>IF(ISBLANK(E997),"",_xlfn.XLOOKUP(E997,[1]cannabis_log!C:C,[1]cannabis_log!J:J,"",0,))</f>
        <v>2024111801G7</v>
      </c>
      <c r="G997" s="112"/>
      <c r="H997" s="112" t="str">
        <f>IF(ISBLANK(E997),"",_xlfn.XLOOKUP(E997,cannabis_log!C:C,cannabis_log!H:H,"",0,1))</f>
        <v>driedflower_labelled</v>
      </c>
      <c r="I997" s="113">
        <f>IF(ISBLANK(E997),"",_xlfn.XLOOKUP(E997,cannabis_log!C:C,cannabis_log!K:K,"NOT FOUND",0,1))</f>
        <v>45631</v>
      </c>
      <c r="J997" s="185">
        <v>-564</v>
      </c>
      <c r="K997" s="186">
        <f t="shared" si="43"/>
        <v>0</v>
      </c>
      <c r="L997" s="288">
        <f t="shared" si="41"/>
        <v>-3948</v>
      </c>
      <c r="M997" s="24"/>
      <c r="N997" s="112" t="str">
        <f>IF(ISBLANK(E997),"",_xlfn.XLOOKUP(E997,[1]cannabis_log!C:C,[1]cannabis_log!T:T,"Not Found",0,))</f>
        <v>net</v>
      </c>
      <c r="O997" s="180">
        <f>IF(N997="net",_xlfn.XLOOKUP(E997,cannabis_log!C:C,cannabis_log!N:N,"NOT FOUND",0,1),IF(N997="gross",0,""))</f>
        <v>7</v>
      </c>
    </row>
    <row r="998" spans="1:15">
      <c r="A998" s="181" t="str">
        <f t="shared" si="42"/>
        <v>outbound</v>
      </c>
      <c r="B998" s="182">
        <v>45686.39166666667</v>
      </c>
      <c r="C998" s="183" t="s">
        <v>1921</v>
      </c>
      <c r="D998" s="183" t="s">
        <v>2559</v>
      </c>
      <c r="E998" s="215" t="s">
        <v>2560</v>
      </c>
      <c r="F998" s="112" t="str">
        <f>IF(ISBLANK(E998),"",_xlfn.XLOOKUP(E998,[1]cannabis_log!C:C,[1]cannabis_log!J:J,"",0,))</f>
        <v>PR2502</v>
      </c>
      <c r="G998" s="112"/>
      <c r="H998" s="112" t="str">
        <f>IF(ISBLANK(E998),"",_xlfn.XLOOKUP(E998,cannabis_log!C:C,cannabis_log!H:H,"",0,1))</f>
        <v>driedflower_milled_bulk_BURB</v>
      </c>
      <c r="I998" s="113" t="str">
        <f>IF(ISBLANK(E998),"",_xlfn.XLOOKUP(E998,cannabis_log!C:C,cannabis_log!K:K,"NOT FOUND",0,1))</f>
        <v>NA</v>
      </c>
      <c r="J998" s="185">
        <v>-1</v>
      </c>
      <c r="K998" s="186">
        <v>-4236</v>
      </c>
      <c r="L998" s="288">
        <f t="shared" si="41"/>
        <v>0</v>
      </c>
      <c r="M998" s="24"/>
      <c r="N998" s="112" t="str">
        <f>IF(ISBLANK(E998),"",_xlfn.XLOOKUP(E998,[1]cannabis_log!C:C,[1]cannabis_log!T:T,"Not Found",0,))</f>
        <v>gross</v>
      </c>
      <c r="O998" s="180">
        <f>IF(N998="net",_xlfn.XLOOKUP(E998,cannabis_log!C:C,cannabis_log!N:N,"NOT FOUND",0,1),IF(N998="gross",0,""))</f>
        <v>0</v>
      </c>
    </row>
    <row r="999" spans="1:15">
      <c r="A999" s="181" t="str">
        <f t="shared" si="42"/>
        <v>outbound</v>
      </c>
      <c r="B999" s="182">
        <v>45686.39166666667</v>
      </c>
      <c r="C999" s="183" t="s">
        <v>1929</v>
      </c>
      <c r="D999" s="183" t="s">
        <v>2561</v>
      </c>
      <c r="E999" s="215" t="s">
        <v>2295</v>
      </c>
      <c r="F999" s="112" t="str">
        <f>IF(ISBLANK(E999),"",_xlfn.XLOOKUP(E999,[1]cannabis_log!C:C,[1]cannabis_log!J:J,"",0,))</f>
        <v>PR241101F5P3</v>
      </c>
      <c r="G999" s="112"/>
      <c r="H999" s="112" t="str">
        <f>IF(ISBLANK(E999),"",_xlfn.XLOOKUP(E999,cannabis_log!C:C,cannabis_log!H:H,"",0,1))</f>
        <v>preroll_labelled</v>
      </c>
      <c r="I999" s="113">
        <f>IF(ISBLANK(E999),"",_xlfn.XLOOKUP(E999,cannabis_log!C:C,cannabis_log!K:K,"NOT FOUND",0,1))</f>
        <v>45581</v>
      </c>
      <c r="J999" s="185">
        <v>-12</v>
      </c>
      <c r="K999" s="186">
        <f>IF(N999="net",0,"")</f>
        <v>0</v>
      </c>
      <c r="L999" s="288">
        <f t="shared" si="41"/>
        <v>-18</v>
      </c>
      <c r="M999" s="24"/>
      <c r="N999" s="112" t="str">
        <f>IF(ISBLANK(E999),"",_xlfn.XLOOKUP(E999,[1]cannabis_log!C:C,[1]cannabis_log!T:T,"Not Found",0,))</f>
        <v>net</v>
      </c>
      <c r="O999" s="180">
        <f>IF(N999="net",_xlfn.XLOOKUP(E999,cannabis_log!C:C,cannabis_log!N:N,"NOT FOUND",0,1),IF(N999="gross",0,""))</f>
        <v>1.5</v>
      </c>
    </row>
    <row r="1000" spans="1:15">
      <c r="A1000" s="181" t="str">
        <f t="shared" si="42"/>
        <v>outbound</v>
      </c>
      <c r="B1000" s="182">
        <v>45686.39166666667</v>
      </c>
      <c r="C1000" s="183" t="s">
        <v>1929</v>
      </c>
      <c r="D1000" s="183" t="s">
        <v>2561</v>
      </c>
      <c r="E1000" s="215" t="s">
        <v>2495</v>
      </c>
      <c r="F1000" s="112" t="str">
        <f>IF(ISBLANK(E1000),"",_xlfn.XLOOKUP(E1000,[1]cannabis_log!C:C,[1]cannabis_log!J:J,"",0,))</f>
        <v>TP24120401G45</v>
      </c>
      <c r="G1000" s="112"/>
      <c r="H1000" s="112" t="str">
        <f>IF(ISBLANK(E1000),"",_xlfn.XLOOKUP(E1000,cannabis_log!C:C,cannabis_log!H:H,"",0,1))</f>
        <v>topical_labelled</v>
      </c>
      <c r="I1000" s="113">
        <f>IF(ISBLANK(E1000),"",_xlfn.XLOOKUP(E1000,cannabis_log!C:C,cannabis_log!K:K,"NOT FOUND",0,1))</f>
        <v>45638</v>
      </c>
      <c r="J1000" s="185">
        <v>-12</v>
      </c>
      <c r="K1000" s="186">
        <f>IF(N1000="net",0,"")</f>
        <v>0</v>
      </c>
      <c r="L1000" s="288">
        <f t="shared" si="41"/>
        <v>-540</v>
      </c>
      <c r="M1000" s="24"/>
      <c r="N1000" s="112" t="str">
        <f>IF(ISBLANK(E1000),"",_xlfn.XLOOKUP(E1000,[1]cannabis_log!C:C,[1]cannabis_log!T:T,"Not Found",0,))</f>
        <v>net</v>
      </c>
      <c r="O1000" s="180">
        <f>IF(N1000="net",_xlfn.XLOOKUP(E1000,cannabis_log!C:C,cannabis_log!N:N,"NOT FOUND",0,1),IF(N1000="gross",0,""))</f>
        <v>45</v>
      </c>
    </row>
    <row r="1001" spans="1:15">
      <c r="A1001" s="181" t="str">
        <f t="shared" si="42"/>
        <v>outbound</v>
      </c>
      <c r="B1001" s="182">
        <v>45686.39166666667</v>
      </c>
      <c r="C1001" s="183" t="s">
        <v>1929</v>
      </c>
      <c r="D1001" s="183" t="s">
        <v>2561</v>
      </c>
      <c r="E1001" s="215" t="s">
        <v>2474</v>
      </c>
      <c r="F1001" s="112" t="str">
        <f>IF(ISBLANK(E1001),"",_xlfn.XLOOKUP(E1001,[1]cannabis_log!C:C,[1]cannabis_log!J:J,"",0,))</f>
        <v>PR241105F5P3</v>
      </c>
      <c r="G1001" s="112"/>
      <c r="H1001" s="112" t="str">
        <f>IF(ISBLANK(E1001),"",_xlfn.XLOOKUP(E1001,cannabis_log!C:C,cannabis_log!H:H,"",0,1))</f>
        <v>preroll_labelled</v>
      </c>
      <c r="I1001" s="113">
        <f>IF(ISBLANK(E1001),"",_xlfn.XLOOKUP(E1001,cannabis_log!C:C,cannabis_log!K:K,"NOT FOUND",0,1))</f>
        <v>45615</v>
      </c>
      <c r="J1001" s="185">
        <v>-12</v>
      </c>
      <c r="K1001" s="186">
        <f>IF(N1001="net",0,"")</f>
        <v>0</v>
      </c>
      <c r="L1001" s="288">
        <f t="shared" si="41"/>
        <v>-18</v>
      </c>
      <c r="M1001" s="24"/>
      <c r="N1001" s="112" t="str">
        <f>IF(ISBLANK(E1001),"",_xlfn.XLOOKUP(E1001,[1]cannabis_log!C:C,[1]cannabis_log!T:T,"Not Found",0,))</f>
        <v>net</v>
      </c>
      <c r="O1001" s="180">
        <f>IF(N1001="net",_xlfn.XLOOKUP(E1001,cannabis_log!C:C,cannabis_log!N:N,"NOT FOUND",0,1),IF(N1001="gross",0,""))</f>
        <v>1.5</v>
      </c>
    </row>
    <row r="1002" spans="1:15">
      <c r="A1002" s="181" t="str">
        <f t="shared" si="42"/>
        <v>outbound</v>
      </c>
      <c r="B1002" s="182">
        <v>45686.39166666667</v>
      </c>
      <c r="C1002" s="183" t="s">
        <v>1929</v>
      </c>
      <c r="D1002" s="183" t="s">
        <v>2561</v>
      </c>
      <c r="E1002" s="215" t="s">
        <v>1945</v>
      </c>
      <c r="F1002" s="112" t="str">
        <f>IF(ISBLANK(E1002),"",_xlfn.XLOOKUP(E1002,[1]cannabis_log!C:C,[1]cannabis_log!J:J,"",0,))</f>
        <v>LR23032101</v>
      </c>
      <c r="G1002" s="112"/>
      <c r="H1002" s="112" t="str">
        <f>IF(ISBLANK(E1002),"",_xlfn.XLOOKUP(E1002,cannabis_log!C:C,cannabis_log!H:H,"",0,1))</f>
        <v>extract_inhaled_bulk</v>
      </c>
      <c r="I1002" s="113" t="str">
        <f>IF(ISBLANK(E1002),"",_xlfn.XLOOKUP(E1002,cannabis_log!C:C,cannabis_log!K:K,"NOT FOUND",0,1))</f>
        <v>NA</v>
      </c>
      <c r="J1002" s="185">
        <v>0</v>
      </c>
      <c r="K1002" s="186">
        <v>-0.9</v>
      </c>
      <c r="L1002" s="288">
        <f t="shared" si="41"/>
        <v>0</v>
      </c>
      <c r="M1002" s="24"/>
      <c r="N1002" s="112" t="str">
        <f>IF(ISBLANK(E1002),"",_xlfn.XLOOKUP(E1002,[1]cannabis_log!C:C,[1]cannabis_log!T:T,"Not Found",0,))</f>
        <v>gross</v>
      </c>
      <c r="O1002" s="180">
        <f>IF(N1002="net",_xlfn.XLOOKUP(E1002,cannabis_log!C:C,cannabis_log!N:N,"NOT FOUND",0,1),IF(N1002="gross",0,""))</f>
        <v>0</v>
      </c>
    </row>
    <row r="1003" spans="1:15">
      <c r="A1003" s="181" t="str">
        <f t="shared" si="42"/>
        <v>outbound</v>
      </c>
      <c r="B1003" s="182">
        <v>45686.39166666667</v>
      </c>
      <c r="C1003" s="183" t="s">
        <v>1929</v>
      </c>
      <c r="D1003" s="183" t="s">
        <v>2561</v>
      </c>
      <c r="E1003" s="215" t="s">
        <v>2409</v>
      </c>
      <c r="F1003" s="112">
        <f>IF(ISBLANK(E1003),"",_xlfn.XLOOKUP(E1003,[1]cannabis_log!C:C,[1]cannabis_log!J:J,"",0,))</f>
        <v>2024111201</v>
      </c>
      <c r="G1003" s="112"/>
      <c r="H1003" s="112" t="str">
        <f>IF(ISBLANK(E1003),"",_xlfn.XLOOKUP(E1003,cannabis_log!C:C,cannabis_log!H:H,"",0,1))</f>
        <v>extract_distillate_bulk</v>
      </c>
      <c r="I1003" s="113" t="str">
        <f>IF(ISBLANK(E1003),"",_xlfn.XLOOKUP(E1003,cannabis_log!C:C,cannabis_log!K:K,"NOT FOUND",0,1))</f>
        <v>NA</v>
      </c>
      <c r="J1003" s="185">
        <v>0</v>
      </c>
      <c r="K1003" s="186">
        <f>269.98-275.63</f>
        <v>-5.6499999999999773</v>
      </c>
      <c r="L1003" s="288">
        <f t="shared" si="41"/>
        <v>0</v>
      </c>
      <c r="M1003" s="24"/>
      <c r="N1003" s="112" t="str">
        <f>IF(ISBLANK(E1003),"",_xlfn.XLOOKUP(E1003,[1]cannabis_log!C:C,[1]cannabis_log!T:T,"Not Found",0,))</f>
        <v>gross</v>
      </c>
      <c r="O1003" s="180">
        <f>IF(N1003="net",_xlfn.XLOOKUP(E1003,cannabis_log!C:C,cannabis_log!N:N,"NOT FOUND",0,1),IF(N1003="gross",0,""))</f>
        <v>0</v>
      </c>
    </row>
    <row r="1004" spans="1:15">
      <c r="A1004" s="181" t="str">
        <f t="shared" si="42"/>
        <v>outbound</v>
      </c>
      <c r="B1004" s="182">
        <v>45686.39166666667</v>
      </c>
      <c r="C1004" s="183" t="s">
        <v>1929</v>
      </c>
      <c r="D1004" s="183" t="s">
        <v>2561</v>
      </c>
      <c r="E1004" s="215" t="s">
        <v>2397</v>
      </c>
      <c r="F1004" s="112" t="str">
        <f>IF(ISBLANK(E1004),"",_xlfn.XLOOKUP(E1004,[1]cannabis_log!C:C,[1]cannabis_log!J:J,"",0,))</f>
        <v>EX24082906G05</v>
      </c>
      <c r="G1004" s="112"/>
      <c r="H1004" s="112" t="str">
        <f>IF(ISBLANK(E1004),"",_xlfn.XLOOKUP(E1004,cannabis_log!C:C,cannabis_log!H:H,"",0,1))</f>
        <v>extract_inhaled_labelled</v>
      </c>
      <c r="I1004" s="113">
        <f>IF(ISBLANK(E1004),"",_xlfn.XLOOKUP(E1004,cannabis_log!C:C,cannabis_log!K:K,"NOT FOUND",0,1))</f>
        <v>45588</v>
      </c>
      <c r="J1004" s="185">
        <v>-4</v>
      </c>
      <c r="K1004" s="186">
        <f>IF(N1004="net",0,"")</f>
        <v>0</v>
      </c>
      <c r="L1004" s="288">
        <f t="shared" si="41"/>
        <v>-2</v>
      </c>
      <c r="M1004" s="24"/>
      <c r="N1004" s="112" t="str">
        <f>IF(ISBLANK(E1004),"",_xlfn.XLOOKUP(E1004,[1]cannabis_log!C:C,[1]cannabis_log!T:T,"Not Found",0,))</f>
        <v>net</v>
      </c>
      <c r="O1004" s="180">
        <f>IF(N1004="net",_xlfn.XLOOKUP(E1004,cannabis_log!C:C,cannabis_log!N:N,"NOT FOUND",0,1),IF(N1004="gross",0,""))</f>
        <v>0.5</v>
      </c>
    </row>
    <row r="1005" spans="1:15">
      <c r="A1005" s="181" t="str">
        <f t="shared" si="42"/>
        <v>outbound</v>
      </c>
      <c r="B1005" s="182">
        <v>45686.39166666667</v>
      </c>
      <c r="C1005" s="183" t="s">
        <v>1929</v>
      </c>
      <c r="D1005" s="183" t="s">
        <v>2561</v>
      </c>
      <c r="E1005" s="215" t="s">
        <v>2497</v>
      </c>
      <c r="F1005" s="112" t="str">
        <f>IF(ISBLANK(E1005),"",_xlfn.XLOOKUP(E1005,[1]cannabis_log!C:C,[1]cannabis_log!J:J,"",0,))</f>
        <v>EX24111306G05</v>
      </c>
      <c r="G1005" s="112"/>
      <c r="H1005" s="112" t="str">
        <f>IF(ISBLANK(E1005),"",_xlfn.XLOOKUP(E1005,cannabis_log!C:C,cannabis_log!H:H,"",0,1))</f>
        <v>extract_inhaled_labelled</v>
      </c>
      <c r="I1005" s="113">
        <f>IF(ISBLANK(E1005),"",_xlfn.XLOOKUP(E1005,cannabis_log!C:C,cannabis_log!K:K,"NOT FOUND",0,1))</f>
        <v>45623</v>
      </c>
      <c r="J1005" s="185">
        <v>-1</v>
      </c>
      <c r="K1005" s="186">
        <f>IF(N1005="net",0,"")</f>
        <v>0</v>
      </c>
      <c r="L1005" s="288">
        <f t="shared" si="41"/>
        <v>-0.5</v>
      </c>
      <c r="M1005" s="24"/>
      <c r="N1005" s="112" t="str">
        <f>IF(ISBLANK(E1005),"",_xlfn.XLOOKUP(E1005,[1]cannabis_log!C:C,[1]cannabis_log!T:T,"Not Found",0,))</f>
        <v>net</v>
      </c>
      <c r="O1005" s="180">
        <f>IF(N1005="net",_xlfn.XLOOKUP(E1005,cannabis_log!C:C,cannabis_log!N:N,"NOT FOUND",0,1),IF(N1005="gross",0,""))</f>
        <v>0.5</v>
      </c>
    </row>
    <row r="1006" spans="1:15">
      <c r="A1006" s="181" t="str">
        <f t="shared" si="42"/>
        <v>outbound</v>
      </c>
      <c r="B1006" s="182">
        <v>45686.39166666667</v>
      </c>
      <c r="C1006" s="183" t="s">
        <v>1929</v>
      </c>
      <c r="D1006" s="183" t="s">
        <v>2561</v>
      </c>
      <c r="E1006" s="215" t="s">
        <v>2557</v>
      </c>
      <c r="F1006" s="112" t="str">
        <f>IF(ISBLANK(E1006),"",_xlfn.XLOOKUP(E1006,[1]cannabis_log!C:C,[1]cannabis_log!J:J,"",0,))</f>
        <v>2024111801G7</v>
      </c>
      <c r="G1006" s="112"/>
      <c r="H1006" s="112" t="str">
        <f>IF(ISBLANK(E1006),"",_xlfn.XLOOKUP(E1006,cannabis_log!C:C,cannabis_log!H:H,"",0,1))</f>
        <v>driedflower_labelled</v>
      </c>
      <c r="I1006" s="113">
        <f>IF(ISBLANK(E1006),"",_xlfn.XLOOKUP(E1006,cannabis_log!C:C,cannabis_log!K:K,"NOT FOUND",0,1))</f>
        <v>45631</v>
      </c>
      <c r="J1006" s="185">
        <v>-13</v>
      </c>
      <c r="K1006" s="186">
        <f>IF(N1006="net",0,"")</f>
        <v>0</v>
      </c>
      <c r="L1006" s="288">
        <f t="shared" si="41"/>
        <v>-91</v>
      </c>
      <c r="M1006" s="24"/>
      <c r="N1006" s="112" t="str">
        <f>IF(ISBLANK(E1006),"",_xlfn.XLOOKUP(E1006,[1]cannabis_log!C:C,[1]cannabis_log!T:T,"Not Found",0,))</f>
        <v>net</v>
      </c>
      <c r="O1006" s="180">
        <f>IF(N1006="net",_xlfn.XLOOKUP(E1006,cannabis_log!C:C,cannabis_log!N:N,"NOT FOUND",0,1),IF(N1006="gross",0,""))</f>
        <v>7</v>
      </c>
    </row>
    <row r="1007" spans="1:15">
      <c r="A1007" s="181" t="str">
        <f t="shared" si="42"/>
        <v>outbound</v>
      </c>
      <c r="B1007" s="182">
        <v>45686.39166666667</v>
      </c>
      <c r="C1007" s="183" t="s">
        <v>1929</v>
      </c>
      <c r="D1007" s="183" t="s">
        <v>2561</v>
      </c>
      <c r="E1007" s="215" t="s">
        <v>2528</v>
      </c>
      <c r="F1007" s="112" t="str">
        <f>IF(ISBLANK(E1007),"",_xlfn.XLOOKUP(E1007,[1]cannabis_log!C:C,[1]cannabis_log!J:J,"",0,))</f>
        <v>EX24101704G05</v>
      </c>
      <c r="G1007" s="112"/>
      <c r="H1007" s="112" t="str">
        <f>IF(ISBLANK(E1007),"",_xlfn.XLOOKUP(E1007,cannabis_log!C:C,cannabis_log!H:H,"",0,1))</f>
        <v>extract_inhaled_labelled</v>
      </c>
      <c r="I1007" s="113">
        <f>IF(ISBLANK(E1007),"",_xlfn.XLOOKUP(E1007,cannabis_log!C:C,cannabis_log!K:K,"NOT FOUND",0,1))</f>
        <v>45625</v>
      </c>
      <c r="J1007" s="185">
        <v>-5</v>
      </c>
      <c r="K1007" s="186">
        <f>IF(N1007="net",0,"")</f>
        <v>0</v>
      </c>
      <c r="L1007" s="288">
        <f t="shared" si="41"/>
        <v>-2.5</v>
      </c>
      <c r="M1007" s="24"/>
      <c r="N1007" s="112" t="str">
        <f>IF(ISBLANK(E1007),"",_xlfn.XLOOKUP(E1007,[1]cannabis_log!C:C,[1]cannabis_log!T:T,"Not Found",0,))</f>
        <v>net</v>
      </c>
      <c r="O1007" s="180">
        <f>IF(N1007="net",_xlfn.XLOOKUP(E1007,cannabis_log!C:C,cannabis_log!N:N,"NOT FOUND",0,1),IF(N1007="gross",0,""))</f>
        <v>0.5</v>
      </c>
    </row>
    <row r="1008" spans="1:15">
      <c r="A1008" s="181" t="str">
        <f t="shared" si="42"/>
        <v>outbound</v>
      </c>
      <c r="B1008" s="182">
        <v>45686.39166666667</v>
      </c>
      <c r="C1008" s="183" t="s">
        <v>1929</v>
      </c>
      <c r="D1008" s="183" t="s">
        <v>2561</v>
      </c>
      <c r="E1008" s="215" t="s">
        <v>2562</v>
      </c>
      <c r="F1008" s="112" t="str">
        <f>IF(ISBLANK(E1008),"",_xlfn.XLOOKUP(E1008,[1]cannabis_log!C:C,[1]cannabis_log!J:J,"",0,))</f>
        <v>CPR22102001</v>
      </c>
      <c r="G1008" s="112"/>
      <c r="H1008" s="112" t="str">
        <f>IF(ISBLANK(E1008),"",_xlfn.XLOOKUP(E1008,cannabis_log!C:C,cannabis_log!H:H,"",0,1))</f>
        <v>driedflower_milled_bulk</v>
      </c>
      <c r="I1008" s="113" t="str">
        <f>IF(ISBLANK(E1008),"",_xlfn.XLOOKUP(E1008,cannabis_log!C:C,cannabis_log!K:K,"NOT FOUND",0,1))</f>
        <v>NA</v>
      </c>
      <c r="J1008" s="185">
        <v>-1</v>
      </c>
      <c r="K1008" s="186">
        <v>-3350</v>
      </c>
      <c r="L1008" s="288">
        <f t="shared" si="41"/>
        <v>0</v>
      </c>
      <c r="M1008" s="24"/>
      <c r="N1008" s="112" t="str">
        <f>IF(ISBLANK(E1008),"",_xlfn.XLOOKUP(E1008,[1]cannabis_log!C:C,[1]cannabis_log!T:T,"Not Found",0,))</f>
        <v>gross</v>
      </c>
      <c r="O1008" s="180">
        <f>IF(N1008="net",_xlfn.XLOOKUP(E1008,cannabis_log!C:C,cannabis_log!N:N,"NOT FOUND",0,1),IF(N1008="gross",0,""))</f>
        <v>0</v>
      </c>
    </row>
    <row r="1009" spans="1:15">
      <c r="A1009" s="181" t="str">
        <f t="shared" si="42"/>
        <v>outbound</v>
      </c>
      <c r="B1009" s="182">
        <v>45686.39166666667</v>
      </c>
      <c r="C1009" s="183" t="s">
        <v>1929</v>
      </c>
      <c r="D1009" s="183" t="s">
        <v>2563</v>
      </c>
      <c r="E1009" s="215" t="s">
        <v>2514</v>
      </c>
      <c r="F1009" s="112" t="str">
        <f>IF(ISBLANK(E1009),"",_xlfn.XLOOKUP(E1009,[1]cannabis_log!C:C,[1]cannabis_log!J:J,"",0,))</f>
        <v>EX25010907G1</v>
      </c>
      <c r="G1009" s="112"/>
      <c r="H1009" s="112" t="str">
        <f>IF(ISBLANK(E1009),"",_xlfn.XLOOKUP(E1009,cannabis_log!C:C,cannabis_log!H:H,"",0,1))</f>
        <v>extract_inhaled_labelled</v>
      </c>
      <c r="I1009" s="113">
        <f>IF(ISBLANK(E1009),"",_xlfn.XLOOKUP(E1009,cannabis_log!C:C,cannabis_log!K:K,"NOT FOUND",0,1))</f>
        <v>45666</v>
      </c>
      <c r="J1009" s="185">
        <v>-12</v>
      </c>
      <c r="K1009" s="186">
        <f t="shared" ref="K1009:K1021" si="44">IF(N1009="net",0,"")</f>
        <v>0</v>
      </c>
      <c r="L1009" s="288">
        <f t="shared" si="41"/>
        <v>-12</v>
      </c>
      <c r="M1009" s="24"/>
      <c r="N1009" s="112" t="str">
        <f>IF(ISBLANK(E1009),"",_xlfn.XLOOKUP(E1009,[1]cannabis_log!C:C,[1]cannabis_log!T:T,"Not Found",0,))</f>
        <v>net</v>
      </c>
      <c r="O1009" s="180">
        <f>IF(N1009="net",_xlfn.XLOOKUP(E1009,cannabis_log!C:C,cannabis_log!N:N,"NOT FOUND",0,1),IF(N1009="gross",0,""))</f>
        <v>1</v>
      </c>
    </row>
    <row r="1010" spans="1:15">
      <c r="A1010" s="181" t="str">
        <f t="shared" si="42"/>
        <v>outbound</v>
      </c>
      <c r="B1010" s="182">
        <v>45686.39166666667</v>
      </c>
      <c r="C1010" s="183" t="s">
        <v>1929</v>
      </c>
      <c r="D1010" s="183" t="s">
        <v>2563</v>
      </c>
      <c r="E1010" s="215" t="s">
        <v>2529</v>
      </c>
      <c r="F1010" s="112" t="str">
        <f>IF(ISBLANK(E1010),"",_xlfn.XLOOKUP(E1010,[1]cannabis_log!C:C,[1]cannabis_log!J:J,"",0,))</f>
        <v>EX24111301G05</v>
      </c>
      <c r="G1010" s="112"/>
      <c r="H1010" s="112" t="str">
        <f>IF(ISBLANK(E1010),"",_xlfn.XLOOKUP(E1010,cannabis_log!C:C,cannabis_log!H:H,"",0,1))</f>
        <v>extract_inhaled_labelled</v>
      </c>
      <c r="I1010" s="113">
        <f>IF(ISBLANK(E1010),"",_xlfn.XLOOKUP(E1010,cannabis_log!C:C,cannabis_log!K:K,"NOT FOUND",0,1))</f>
        <v>45642</v>
      </c>
      <c r="J1010" s="185">
        <v>-12</v>
      </c>
      <c r="K1010" s="186">
        <f t="shared" si="44"/>
        <v>0</v>
      </c>
      <c r="L1010" s="288">
        <f t="shared" ref="L1010:L1073" si="45">IFERROR(J1010*O1010,"")</f>
        <v>-6</v>
      </c>
      <c r="M1010" s="24"/>
      <c r="N1010" s="112" t="str">
        <f>IF(ISBLANK(E1010),"",_xlfn.XLOOKUP(E1010,[1]cannabis_log!C:C,[1]cannabis_log!T:T,"Not Found",0,))</f>
        <v>net</v>
      </c>
      <c r="O1010" s="180">
        <f>IF(N1010="net",_xlfn.XLOOKUP(E1010,cannabis_log!C:C,cannabis_log!N:N,"NOT FOUND",0,1),IF(N1010="gross",0,""))</f>
        <v>0.5</v>
      </c>
    </row>
    <row r="1011" spans="1:15">
      <c r="A1011" s="181" t="str">
        <f t="shared" si="42"/>
        <v>outbound</v>
      </c>
      <c r="B1011" s="182">
        <v>45686.39166666667</v>
      </c>
      <c r="C1011" s="183" t="s">
        <v>1929</v>
      </c>
      <c r="D1011" s="183" t="s">
        <v>2563</v>
      </c>
      <c r="E1011" s="215" t="s">
        <v>2397</v>
      </c>
      <c r="F1011" s="112" t="str">
        <f>IF(ISBLANK(E1011),"",_xlfn.XLOOKUP(E1011,[1]cannabis_log!C:C,[1]cannabis_log!J:J,"",0,))</f>
        <v>EX24082906G05</v>
      </c>
      <c r="G1011" s="112"/>
      <c r="H1011" s="112" t="str">
        <f>IF(ISBLANK(E1011),"",_xlfn.XLOOKUP(E1011,cannabis_log!C:C,cannabis_log!H:H,"",0,1))</f>
        <v>extract_inhaled_labelled</v>
      </c>
      <c r="I1011" s="113">
        <f>IF(ISBLANK(E1011),"",_xlfn.XLOOKUP(E1011,cannabis_log!C:C,cannabis_log!K:K,"NOT FOUND",0,1))</f>
        <v>45588</v>
      </c>
      <c r="J1011" s="185">
        <v>-12</v>
      </c>
      <c r="K1011" s="186">
        <f t="shared" si="44"/>
        <v>0</v>
      </c>
      <c r="L1011" s="288">
        <f t="shared" si="45"/>
        <v>-6</v>
      </c>
      <c r="M1011" s="24"/>
      <c r="N1011" s="112" t="str">
        <f>IF(ISBLANK(E1011),"",_xlfn.XLOOKUP(E1011,[1]cannabis_log!C:C,[1]cannabis_log!T:T,"Not Found",0,))</f>
        <v>net</v>
      </c>
      <c r="O1011" s="180">
        <f>IF(N1011="net",_xlfn.XLOOKUP(E1011,cannabis_log!C:C,cannabis_log!N:N,"NOT FOUND",0,1),IF(N1011="gross",0,""))</f>
        <v>0.5</v>
      </c>
    </row>
    <row r="1012" spans="1:15">
      <c r="A1012" s="181" t="str">
        <f t="shared" si="42"/>
        <v>outbound</v>
      </c>
      <c r="B1012" s="182">
        <v>45686.39166666667</v>
      </c>
      <c r="C1012" s="183" t="s">
        <v>1929</v>
      </c>
      <c r="D1012" s="183" t="s">
        <v>2563</v>
      </c>
      <c r="E1012" s="215" t="s">
        <v>2564</v>
      </c>
      <c r="F1012" s="112" t="str">
        <f>IF(ISBLANK(E1012),"",_xlfn.XLOOKUP(E1012,[1]cannabis_log!C:C,[1]cannabis_log!J:J,"",0,))</f>
        <v>PR21071201G1</v>
      </c>
      <c r="G1012" s="112"/>
      <c r="H1012" s="112" t="str">
        <f>IF(ISBLANK(E1012),"",_xlfn.XLOOKUP(E1012,cannabis_log!C:C,cannabis_log!H:H,"",0,1))</f>
        <v>preroll_bulk</v>
      </c>
      <c r="I1012" s="113" t="str">
        <f>IF(ISBLANK(E1012),"",_xlfn.XLOOKUP(E1012,cannabis_log!C:C,cannabis_log!K:K,"NOT FOUND",0,1))</f>
        <v>NA</v>
      </c>
      <c r="J1012" s="185">
        <v>-120</v>
      </c>
      <c r="K1012" s="186">
        <f t="shared" si="44"/>
        <v>0</v>
      </c>
      <c r="L1012" s="288">
        <f t="shared" si="45"/>
        <v>-120</v>
      </c>
      <c r="M1012" s="24"/>
      <c r="N1012" s="112" t="str">
        <f>IF(ISBLANK(E1012),"",_xlfn.XLOOKUP(E1012,[1]cannabis_log!C:C,[1]cannabis_log!T:T,"Not Found",0,))</f>
        <v>net</v>
      </c>
      <c r="O1012" s="180">
        <f>IF(N1012="net",_xlfn.XLOOKUP(E1012,cannabis_log!C:C,cannabis_log!N:N,"NOT FOUND",0,1),IF(N1012="gross",0,""))</f>
        <v>1</v>
      </c>
    </row>
    <row r="1013" spans="1:15">
      <c r="A1013" s="181" t="str">
        <f t="shared" si="42"/>
        <v>outbound</v>
      </c>
      <c r="B1013" s="182">
        <v>45686.39166666667</v>
      </c>
      <c r="C1013" s="183" t="s">
        <v>1929</v>
      </c>
      <c r="D1013" s="183" t="s">
        <v>2563</v>
      </c>
      <c r="E1013" s="215" t="s">
        <v>2064</v>
      </c>
      <c r="F1013" s="112" t="str">
        <f>IF(ISBLANK(E1013),"",_xlfn.XLOOKUP(E1013,[1]cannabis_log!C:C,[1]cannabis_log!J:J,"",0,))</f>
        <v>PR21071201G1</v>
      </c>
      <c r="G1013" s="112"/>
      <c r="H1013" s="112" t="str">
        <f>IF(ISBLANK(E1013),"",_xlfn.XLOOKUP(E1013,cannabis_log!C:C,cannabis_log!H:H,"",0,1))</f>
        <v>preroll_labelled</v>
      </c>
      <c r="I1013" s="113">
        <f>IF(ISBLANK(E1013),"",_xlfn.XLOOKUP(E1013,cannabis_log!C:C,cannabis_log!K:K,"NOT FOUND",0,1))</f>
        <v>45593</v>
      </c>
      <c r="J1013" s="185">
        <v>-15</v>
      </c>
      <c r="K1013" s="186">
        <f t="shared" si="44"/>
        <v>0</v>
      </c>
      <c r="L1013" s="288">
        <f t="shared" si="45"/>
        <v>-15</v>
      </c>
      <c r="M1013" s="24"/>
      <c r="N1013" s="112" t="str">
        <f>IF(ISBLANK(E1013),"",_xlfn.XLOOKUP(E1013,[1]cannabis_log!C:C,[1]cannabis_log!T:T,"Not Found",0,))</f>
        <v>net</v>
      </c>
      <c r="O1013" s="180">
        <f>IF(N1013="net",_xlfn.XLOOKUP(E1013,cannabis_log!C:C,cannabis_log!N:N,"NOT FOUND",0,1),IF(N1013="gross",0,""))</f>
        <v>1</v>
      </c>
    </row>
    <row r="1014" spans="1:15">
      <c r="A1014" s="181" t="str">
        <f t="shared" si="42"/>
        <v>outbound</v>
      </c>
      <c r="B1014" s="182">
        <v>45686.39166666667</v>
      </c>
      <c r="C1014" s="183" t="s">
        <v>1929</v>
      </c>
      <c r="D1014" s="183" t="s">
        <v>2565</v>
      </c>
      <c r="E1014" s="215" t="s">
        <v>2443</v>
      </c>
      <c r="F1014" s="112" t="str">
        <f>IF(ISBLANK(E1014),"",_xlfn.XLOOKUP(E1014,[1]cannabis_log!C:C,[1]cannabis_log!J:J,"",0,))</f>
        <v>EX24100801V30</v>
      </c>
      <c r="G1014" s="112"/>
      <c r="H1014" s="112" t="str">
        <f>IF(ISBLANK(E1014),"",_xlfn.XLOOKUP(E1014,cannabis_log!C:C,cannabis_log!H:H,"",0,1))</f>
        <v>extract_ingested_labelled</v>
      </c>
      <c r="I1014" s="113">
        <f>IF(ISBLANK(E1014),"",_xlfn.XLOOKUP(E1014,cannabis_log!C:C,cannabis_log!K:K,"NOT FOUND",0,1))</f>
        <v>45590</v>
      </c>
      <c r="J1014" s="185">
        <v>-15</v>
      </c>
      <c r="K1014" s="186">
        <f t="shared" si="44"/>
        <v>0</v>
      </c>
      <c r="L1014" s="288">
        <f t="shared" si="45"/>
        <v>-409.5</v>
      </c>
      <c r="M1014" s="24"/>
      <c r="N1014" s="112" t="str">
        <f>IF(ISBLANK(E1014),"",_xlfn.XLOOKUP(E1014,[1]cannabis_log!C:C,[1]cannabis_log!T:T,"Not Found",0,))</f>
        <v>net</v>
      </c>
      <c r="O1014" s="180">
        <f>IF(N1014="net",_xlfn.XLOOKUP(E1014,cannabis_log!C:C,cannabis_log!N:N,"NOT FOUND",0,1),IF(N1014="gross",0,""))</f>
        <v>27.3</v>
      </c>
    </row>
    <row r="1015" spans="1:15">
      <c r="A1015" s="181" t="str">
        <f t="shared" si="42"/>
        <v>outbound</v>
      </c>
      <c r="B1015" s="182">
        <v>45686.39166666667</v>
      </c>
      <c r="C1015" s="183" t="s">
        <v>1929</v>
      </c>
      <c r="D1015" s="183" t="s">
        <v>2565</v>
      </c>
      <c r="E1015" s="215" t="s">
        <v>2566</v>
      </c>
      <c r="F1015" s="112" t="str">
        <f>IF(ISBLANK(E1015),"",_xlfn.XLOOKUP(E1015,[1]cannabis_log!C:C,[1]cannabis_log!J:J,"",0,))</f>
        <v>EX24100801V30</v>
      </c>
      <c r="G1015" s="112"/>
      <c r="H1015" s="112" t="str">
        <f>IF(ISBLANK(E1015),"",_xlfn.XLOOKUP(E1015,cannabis_log!C:C,cannabis_log!H:H,"",0,1))</f>
        <v>extract_ingested_labelled</v>
      </c>
      <c r="I1015" s="113">
        <f>IF(ISBLANK(E1015),"",_xlfn.XLOOKUP(E1015,cannabis_log!C:C,cannabis_log!K:K,"NOT FOUND",0,1))</f>
        <v>45590</v>
      </c>
      <c r="J1015" s="185">
        <v>-21</v>
      </c>
      <c r="K1015" s="186">
        <f t="shared" si="44"/>
        <v>0</v>
      </c>
      <c r="L1015" s="288">
        <f t="shared" si="45"/>
        <v>-573.30000000000007</v>
      </c>
      <c r="M1015" s="24"/>
      <c r="N1015" s="112" t="str">
        <f>IF(ISBLANK(E1015),"",_xlfn.XLOOKUP(E1015,[1]cannabis_log!C:C,[1]cannabis_log!T:T,"Not Found",0,))</f>
        <v>net</v>
      </c>
      <c r="O1015" s="180">
        <f>IF(N1015="net",_xlfn.XLOOKUP(E1015,cannabis_log!C:C,cannabis_log!N:N,"NOT FOUND",0,1),IF(N1015="gross",0,""))</f>
        <v>27.3</v>
      </c>
    </row>
    <row r="1016" spans="1:15">
      <c r="A1016" s="181" t="str">
        <f t="shared" si="42"/>
        <v>outbound</v>
      </c>
      <c r="B1016" s="182">
        <v>45686.39166666667</v>
      </c>
      <c r="C1016" s="183" t="s">
        <v>1929</v>
      </c>
      <c r="D1016" s="183" t="s">
        <v>2565</v>
      </c>
      <c r="E1016" s="215" t="s">
        <v>2567</v>
      </c>
      <c r="F1016" s="112" t="str">
        <f>IF(ISBLANK(E1016),"",_xlfn.XLOOKUP(E1016,[1]cannabis_log!C:C,[1]cannabis_log!J:J,"",0,))</f>
        <v>PR241101F5P3</v>
      </c>
      <c r="G1016" s="112"/>
      <c r="H1016" s="112" t="str">
        <f>IF(ISBLANK(E1016),"",_xlfn.XLOOKUP(E1016,cannabis_log!C:C,cannabis_log!H:H,"",0,1))</f>
        <v>preroll_labelled</v>
      </c>
      <c r="I1016" s="113">
        <f>IF(ISBLANK(E1016),"",_xlfn.XLOOKUP(E1016,cannabis_log!C:C,cannabis_log!K:K,"NOT FOUND",0,1))</f>
        <v>45574</v>
      </c>
      <c r="J1016" s="185">
        <v>-9</v>
      </c>
      <c r="K1016" s="186">
        <f t="shared" si="44"/>
        <v>0</v>
      </c>
      <c r="L1016" s="288">
        <f t="shared" si="45"/>
        <v>-13.5</v>
      </c>
      <c r="M1016" s="24"/>
      <c r="N1016" s="112" t="str">
        <f>IF(ISBLANK(E1016),"",_xlfn.XLOOKUP(E1016,[1]cannabis_log!C:C,[1]cannabis_log!T:T,"Not Found",0,))</f>
        <v>net</v>
      </c>
      <c r="O1016" s="180">
        <f>IF(N1016="net",_xlfn.XLOOKUP(E1016,cannabis_log!C:C,cannabis_log!N:N,"NOT FOUND",0,1),IF(N1016="gross",0,""))</f>
        <v>1.5</v>
      </c>
    </row>
    <row r="1017" spans="1:15">
      <c r="A1017" s="181" t="str">
        <f t="shared" si="42"/>
        <v>outbound</v>
      </c>
      <c r="B1017" s="182">
        <v>45686.39166666667</v>
      </c>
      <c r="C1017" s="183" t="s">
        <v>1929</v>
      </c>
      <c r="D1017" s="183" t="s">
        <v>2565</v>
      </c>
      <c r="E1017" s="215" t="s">
        <v>2271</v>
      </c>
      <c r="F1017" s="112" t="str">
        <f>IF(ISBLANK(E1017),"",_xlfn.XLOOKUP(E1017,[1]cannabis_log!C:C,[1]cannabis_log!J:J,"",0,))</f>
        <v>PR241101F5P3</v>
      </c>
      <c r="G1017" s="112"/>
      <c r="H1017" s="112" t="str">
        <f>IF(ISBLANK(E1017),"",_xlfn.XLOOKUP(E1017,cannabis_log!C:C,cannabis_log!H:H,"",0,1))</f>
        <v>preroll_labelled</v>
      </c>
      <c r="I1017" s="113">
        <f>IF(ISBLANK(E1017),"",_xlfn.XLOOKUP(E1017,cannabis_log!C:C,cannabis_log!K:K,"NOT FOUND",0,1))</f>
        <v>45574</v>
      </c>
      <c r="J1017" s="185">
        <v>-3</v>
      </c>
      <c r="K1017" s="186">
        <f t="shared" si="44"/>
        <v>0</v>
      </c>
      <c r="L1017" s="288">
        <f t="shared" si="45"/>
        <v>-4.5</v>
      </c>
      <c r="M1017" s="24"/>
      <c r="N1017" s="112" t="str">
        <f>IF(ISBLANK(E1017),"",_xlfn.XLOOKUP(E1017,[1]cannabis_log!C:C,[1]cannabis_log!T:T,"Not Found",0,))</f>
        <v>net</v>
      </c>
      <c r="O1017" s="180">
        <f>IF(N1017="net",_xlfn.XLOOKUP(E1017,cannabis_log!C:C,cannabis_log!N:N,"NOT FOUND",0,1),IF(N1017="gross",0,""))</f>
        <v>1.5</v>
      </c>
    </row>
    <row r="1018" spans="1:15">
      <c r="A1018" s="181" t="str">
        <f t="shared" si="42"/>
        <v>outbound</v>
      </c>
      <c r="B1018" s="182">
        <v>45687.488194444442</v>
      </c>
      <c r="C1018" s="183" t="s">
        <v>1929</v>
      </c>
      <c r="D1018" s="183" t="s">
        <v>2558</v>
      </c>
      <c r="E1018" s="215" t="s">
        <v>2508</v>
      </c>
      <c r="F1018" s="112" t="str">
        <f>IF(ISBLANK(E1018),"",_xlfn.XLOOKUP(E1018,[1]cannabis_log!C:C,[1]cannabis_log!J:J,"",0,))</f>
        <v>PR2416F5P10</v>
      </c>
      <c r="G1018" s="112"/>
      <c r="H1018" s="112" t="str">
        <f>IF(ISBLANK(E1018),"",_xlfn.XLOOKUP(E1018,cannabis_log!C:C,cannabis_log!H:H,"",0,1))</f>
        <v>preroll_labelled</v>
      </c>
      <c r="I1018" s="113">
        <f>IF(ISBLANK(E1018),"",_xlfn.XLOOKUP(E1018,cannabis_log!C:C,cannabis_log!K:K,"NOT FOUND",0,1))</f>
        <v>45642</v>
      </c>
      <c r="J1018" s="185">
        <v>-148</v>
      </c>
      <c r="K1018" s="186">
        <f t="shared" si="44"/>
        <v>0</v>
      </c>
      <c r="L1018" s="288">
        <f t="shared" si="45"/>
        <v>-740</v>
      </c>
      <c r="M1018" s="24"/>
      <c r="N1018" s="112" t="str">
        <f>IF(ISBLANK(E1018),"",_xlfn.XLOOKUP(E1018,[1]cannabis_log!C:C,[1]cannabis_log!T:T,"Not Found",0,))</f>
        <v>net</v>
      </c>
      <c r="O1018" s="180">
        <f>IF(N1018="net",_xlfn.XLOOKUP(E1018,cannabis_log!C:C,cannabis_log!N:N,"NOT FOUND",0,1),IF(N1018="gross",0,""))</f>
        <v>5</v>
      </c>
    </row>
    <row r="1019" spans="1:15">
      <c r="A1019" s="181" t="str">
        <f t="shared" si="42"/>
        <v>outbound</v>
      </c>
      <c r="B1019" s="182">
        <v>45687.549305555556</v>
      </c>
      <c r="C1019" s="183" t="s">
        <v>1924</v>
      </c>
      <c r="D1019" s="183" t="s">
        <v>2568</v>
      </c>
      <c r="E1019" s="215" t="s">
        <v>2316</v>
      </c>
      <c r="F1019" s="112" t="str">
        <f>IF(ISBLANK(E1019),"",_xlfn.XLOOKUP(E1019,[1]cannabis_log!C:C,[1]cannabis_log!J:J,"",0,))</f>
        <v>EX24101705G05</v>
      </c>
      <c r="G1019" s="112"/>
      <c r="H1019" s="112" t="str">
        <f>IF(ISBLANK(E1019),"",_xlfn.XLOOKUP(E1019,cannabis_log!C:C,cannabis_log!H:H,"",0,1))</f>
        <v>extract_inhaled_labelled</v>
      </c>
      <c r="I1019" s="113">
        <f>IF(ISBLANK(E1019),"",_xlfn.XLOOKUP(E1019,cannabis_log!C:C,cannabis_log!K:K,"NOT FOUND",0,1))</f>
        <v>45594</v>
      </c>
      <c r="J1019" s="185">
        <v>-1</v>
      </c>
      <c r="K1019" s="186">
        <f t="shared" si="44"/>
        <v>0</v>
      </c>
      <c r="L1019" s="288">
        <f t="shared" si="45"/>
        <v>-0.5</v>
      </c>
      <c r="M1019" s="24"/>
      <c r="N1019" s="112" t="str">
        <f>IF(ISBLANK(E1019),"",_xlfn.XLOOKUP(E1019,[1]cannabis_log!C:C,[1]cannabis_log!T:T,"Not Found",0,))</f>
        <v>net</v>
      </c>
      <c r="O1019" s="180">
        <f>IF(N1019="net",_xlfn.XLOOKUP(E1019,cannabis_log!C:C,cannabis_log!N:N,"NOT FOUND",0,1),IF(N1019="gross",0,""))</f>
        <v>0.5</v>
      </c>
    </row>
    <row r="1020" spans="1:15">
      <c r="A1020" s="181" t="str">
        <f t="shared" si="42"/>
        <v>outbound</v>
      </c>
      <c r="B1020" s="182">
        <v>45687.549305555556</v>
      </c>
      <c r="C1020" s="183" t="s">
        <v>1924</v>
      </c>
      <c r="D1020" s="183" t="s">
        <v>2568</v>
      </c>
      <c r="E1020" s="215" t="s">
        <v>2514</v>
      </c>
      <c r="F1020" s="112" t="str">
        <f>IF(ISBLANK(E1020),"",_xlfn.XLOOKUP(E1020,[1]cannabis_log!C:C,[1]cannabis_log!J:J,"",0,))</f>
        <v>EX25010907G1</v>
      </c>
      <c r="G1020" s="112"/>
      <c r="H1020" s="112" t="str">
        <f>IF(ISBLANK(E1020),"",_xlfn.XLOOKUP(E1020,cannabis_log!C:C,cannabis_log!H:H,"",0,1))</f>
        <v>extract_inhaled_labelled</v>
      </c>
      <c r="I1020" s="113">
        <f>IF(ISBLANK(E1020),"",_xlfn.XLOOKUP(E1020,cannabis_log!C:C,cannabis_log!K:K,"NOT FOUND",0,1))</f>
        <v>45666</v>
      </c>
      <c r="J1020" s="185">
        <v>-1</v>
      </c>
      <c r="K1020" s="186">
        <f t="shared" si="44"/>
        <v>0</v>
      </c>
      <c r="L1020" s="288">
        <f t="shared" si="45"/>
        <v>-1</v>
      </c>
      <c r="M1020" s="24"/>
      <c r="N1020" s="112" t="str">
        <f>IF(ISBLANK(E1020),"",_xlfn.XLOOKUP(E1020,[1]cannabis_log!C:C,[1]cannabis_log!T:T,"Not Found",0,))</f>
        <v>net</v>
      </c>
      <c r="O1020" s="180">
        <f>IF(N1020="net",_xlfn.XLOOKUP(E1020,cannabis_log!C:C,cannabis_log!N:N,"NOT FOUND",0,1),IF(N1020="gross",0,""))</f>
        <v>1</v>
      </c>
    </row>
    <row r="1021" spans="1:15">
      <c r="A1021" s="181" t="str">
        <f t="shared" si="42"/>
        <v>outbound</v>
      </c>
      <c r="B1021" s="182">
        <v>45687.549305555556</v>
      </c>
      <c r="C1021" s="183" t="s">
        <v>1924</v>
      </c>
      <c r="D1021" s="183" t="s">
        <v>2568</v>
      </c>
      <c r="E1021" s="215" t="s">
        <v>2456</v>
      </c>
      <c r="F1021" s="112" t="str">
        <f>IF(ISBLANK(E1021),"",_xlfn.XLOOKUP(E1021,[1]cannabis_log!C:C,[1]cannabis_log!J:J,"",0,))</f>
        <v>EX24101703G05</v>
      </c>
      <c r="G1021" s="112"/>
      <c r="H1021" s="112" t="str">
        <f>IF(ISBLANK(E1021),"",_xlfn.XLOOKUP(E1021,cannabis_log!C:C,cannabis_log!H:H,"",0,1))</f>
        <v>extract_inhaled_labelled</v>
      </c>
      <c r="I1021" s="113">
        <f>IF(ISBLANK(E1021),"",_xlfn.XLOOKUP(E1021,cannabis_log!C:C,cannabis_log!K:K,"NOT FOUND",0,1))</f>
        <v>45603</v>
      </c>
      <c r="J1021" s="185">
        <v>-1</v>
      </c>
      <c r="K1021" s="186">
        <f t="shared" si="44"/>
        <v>0</v>
      </c>
      <c r="L1021" s="288">
        <f t="shared" si="45"/>
        <v>-0.5</v>
      </c>
      <c r="M1021" s="24"/>
      <c r="N1021" s="112" t="str">
        <f>IF(ISBLANK(E1021),"",_xlfn.XLOOKUP(E1021,[1]cannabis_log!C:C,[1]cannabis_log!T:T,"Not Found",0,))</f>
        <v>net</v>
      </c>
      <c r="O1021" s="180">
        <f>IF(N1021="net",_xlfn.XLOOKUP(E1021,cannabis_log!C:C,cannabis_log!N:N,"NOT FOUND",0,1),IF(N1021="gross",0,""))</f>
        <v>0.5</v>
      </c>
    </row>
    <row r="1022" spans="1:15">
      <c r="A1022" s="181" t="str">
        <f t="shared" si="42"/>
        <v>outbound</v>
      </c>
      <c r="B1022" s="182">
        <v>45688.593055555553</v>
      </c>
      <c r="C1022" s="183" t="s">
        <v>1924</v>
      </c>
      <c r="D1022" s="183" t="s">
        <v>2569</v>
      </c>
      <c r="E1022" s="215" t="s">
        <v>2291</v>
      </c>
      <c r="F1022" s="112">
        <f>IF(ISBLANK(E1022),"",_xlfn.XLOOKUP(E1022,[1]cannabis_log!C:C,[1]cannabis_log!J:J,"",0,))</f>
        <v>2022051601</v>
      </c>
      <c r="G1022" s="112"/>
      <c r="H1022" s="112" t="str">
        <f>IF(ISBLANK(E1022),"",_xlfn.XLOOKUP(E1022,cannabis_log!C:C,cannabis_log!H:H,"",0,1))</f>
        <v>driedflower_bulk</v>
      </c>
      <c r="I1022" s="113">
        <f>IF(ISBLANK(E1022),"",_xlfn.XLOOKUP(E1022,cannabis_log!C:C,cannabis_log!K:K,"NOT FOUND",0,1))</f>
        <v>44830</v>
      </c>
      <c r="J1022" s="185">
        <v>-1</v>
      </c>
      <c r="K1022" s="186">
        <v>-1030</v>
      </c>
      <c r="L1022" s="288">
        <f t="shared" si="45"/>
        <v>0</v>
      </c>
      <c r="M1022" s="24"/>
      <c r="N1022" s="112" t="str">
        <f>IF(ISBLANK(E1022),"",_xlfn.XLOOKUP(E1022,[1]cannabis_log!C:C,[1]cannabis_log!T:T,"Not Found",0,))</f>
        <v>gross</v>
      </c>
      <c r="O1022" s="180">
        <f>IF(N1022="net",_xlfn.XLOOKUP(E1022,cannabis_log!C:C,cannabis_log!N:N,"NOT FOUND",0,1),IF(N1022="gross",0,""))</f>
        <v>0</v>
      </c>
    </row>
    <row r="1023" spans="1:15">
      <c r="A1023" s="181" t="str">
        <f t="shared" si="42"/>
        <v>outbound</v>
      </c>
      <c r="B1023" s="182">
        <v>45688.593055555553</v>
      </c>
      <c r="C1023" s="183" t="s">
        <v>1924</v>
      </c>
      <c r="D1023" s="183" t="s">
        <v>2569</v>
      </c>
      <c r="E1023" s="215" t="s">
        <v>2332</v>
      </c>
      <c r="F1023" s="112">
        <f>IF(ISBLANK(E1023),"",_xlfn.XLOOKUP(E1023,[1]cannabis_log!C:C,[1]cannabis_log!J:J,"",0,))</f>
        <v>2022051603</v>
      </c>
      <c r="G1023" s="112"/>
      <c r="H1023" s="112" t="str">
        <f>IF(ISBLANK(E1023),"",_xlfn.XLOOKUP(E1023,cannabis_log!C:C,cannabis_log!H:H,"",0,1))</f>
        <v>driedflower_bulk</v>
      </c>
      <c r="I1023" s="113">
        <f>IF(ISBLANK(E1023),"",_xlfn.XLOOKUP(E1023,cannabis_log!C:C,cannabis_log!K:K,"NOT FOUND",0,1))</f>
        <v>44830</v>
      </c>
      <c r="J1023" s="185">
        <v>-1</v>
      </c>
      <c r="K1023" s="186">
        <v>-1010</v>
      </c>
      <c r="L1023" s="288">
        <f t="shared" si="45"/>
        <v>0</v>
      </c>
      <c r="M1023" s="24"/>
      <c r="N1023" s="112" t="str">
        <f>IF(ISBLANK(E1023),"",_xlfn.XLOOKUP(E1023,[1]cannabis_log!C:C,[1]cannabis_log!T:T,"Not Found",0,))</f>
        <v>gross</v>
      </c>
      <c r="O1023" s="180">
        <f>IF(N1023="net",_xlfn.XLOOKUP(E1023,cannabis_log!C:C,cannabis_log!N:N,"NOT FOUND",0,1),IF(N1023="gross",0,""))</f>
        <v>0</v>
      </c>
    </row>
    <row r="1024" spans="1:15">
      <c r="A1024" s="181" t="str">
        <f t="shared" si="42"/>
        <v>outbound</v>
      </c>
      <c r="B1024" s="182">
        <v>45688.612500000003</v>
      </c>
      <c r="C1024" s="183" t="s">
        <v>1924</v>
      </c>
      <c r="D1024" s="183" t="s">
        <v>2569</v>
      </c>
      <c r="E1024" s="215" t="s">
        <v>2570</v>
      </c>
      <c r="F1024" s="112" t="str">
        <f>IF(ISBLANK(E1024),"",_xlfn.XLOOKUP(E1024,[1]cannabis_log!C:C,[1]cannabis_log!J:J,"",0,))</f>
        <v>CPR22102102</v>
      </c>
      <c r="G1024" s="112"/>
      <c r="H1024" s="112" t="str">
        <f>IF(ISBLANK(E1024),"",_xlfn.XLOOKUP(E1024,cannabis_log!C:C,cannabis_log!H:H,"",0,1))</f>
        <v>driedflower_milled_bulk</v>
      </c>
      <c r="I1024" s="113" t="str">
        <f>IF(ISBLANK(E1024),"",_xlfn.XLOOKUP(E1024,cannabis_log!C:C,cannabis_log!K:K,"NOT FOUND",0,1))</f>
        <v>NA</v>
      </c>
      <c r="J1024" s="185">
        <v>-1</v>
      </c>
      <c r="K1024" s="186">
        <v>-2580</v>
      </c>
      <c r="L1024" s="288">
        <f t="shared" si="45"/>
        <v>0</v>
      </c>
      <c r="M1024" s="24"/>
      <c r="N1024" s="112" t="str">
        <f>IF(ISBLANK(E1024),"",_xlfn.XLOOKUP(E1024,[1]cannabis_log!C:C,[1]cannabis_log!T:T,"Not Found",0,))</f>
        <v>gross</v>
      </c>
      <c r="O1024" s="180">
        <f>IF(N1024="net",_xlfn.XLOOKUP(E1024,cannabis_log!C:C,cannabis_log!N:N,"NOT FOUND",0,1),IF(N1024="gross",0,""))</f>
        <v>0</v>
      </c>
    </row>
    <row r="1025" spans="1:15">
      <c r="A1025" s="181" t="str">
        <f t="shared" ref="A1025:A1088" si="46">IF(ISBLANK(J1025),"",IF(J1025+K1025+L1025&lt;0,"outbound","inbound"))</f>
        <v>outbound</v>
      </c>
      <c r="B1025" s="182">
        <v>45688.612500000003</v>
      </c>
      <c r="C1025" s="183" t="s">
        <v>1924</v>
      </c>
      <c r="D1025" s="183" t="s">
        <v>2569</v>
      </c>
      <c r="E1025" s="215" t="s">
        <v>2562</v>
      </c>
      <c r="F1025" s="112" t="str">
        <f>IF(ISBLANK(E1025),"",_xlfn.XLOOKUP(E1025,[1]cannabis_log!C:C,[1]cannabis_log!J:J,"",0,))</f>
        <v>CPR22102001</v>
      </c>
      <c r="G1025" s="112"/>
      <c r="H1025" s="112" t="str">
        <f>IF(ISBLANK(E1025),"",_xlfn.XLOOKUP(E1025,cannabis_log!C:C,cannabis_log!H:H,"",0,1))</f>
        <v>driedflower_milled_bulk</v>
      </c>
      <c r="I1025" s="113" t="str">
        <f>IF(ISBLANK(E1025),"",_xlfn.XLOOKUP(E1025,cannabis_log!C:C,cannabis_log!K:K,"NOT FOUND",0,1))</f>
        <v>NA</v>
      </c>
      <c r="J1025" s="185">
        <v>-1</v>
      </c>
      <c r="K1025" s="186">
        <v>-3350</v>
      </c>
      <c r="L1025" s="288">
        <f t="shared" si="45"/>
        <v>0</v>
      </c>
      <c r="M1025" s="24"/>
      <c r="N1025" s="112" t="str">
        <f>IF(ISBLANK(E1025),"",_xlfn.XLOOKUP(E1025,[1]cannabis_log!C:C,[1]cannabis_log!T:T,"Not Found",0,))</f>
        <v>gross</v>
      </c>
      <c r="O1025" s="180">
        <f>IF(N1025="net",_xlfn.XLOOKUP(E1025,cannabis_log!C:C,cannabis_log!N:N,"NOT FOUND",0,1),IF(N1025="gross",0,""))</f>
        <v>0</v>
      </c>
    </row>
    <row r="1026" spans="1:15">
      <c r="A1026" s="181" t="str">
        <f t="shared" si="46"/>
        <v>outbound</v>
      </c>
      <c r="B1026" s="182">
        <v>45688.710416666669</v>
      </c>
      <c r="C1026" s="183" t="s">
        <v>1924</v>
      </c>
      <c r="D1026" s="183" t="s">
        <v>2571</v>
      </c>
      <c r="E1026" s="215" t="s">
        <v>2432</v>
      </c>
      <c r="F1026" s="112">
        <f>IF(ISBLANK(E1026),"",_xlfn.XLOOKUP(E1026,[1]cannabis_log!C:C,[1]cannabis_log!J:J,"",0,))</f>
        <v>2024111803</v>
      </c>
      <c r="G1026" s="112"/>
      <c r="H1026" s="112" t="str">
        <f>IF(ISBLANK(E1026),"",_xlfn.XLOOKUP(E1026,cannabis_log!C:C,cannabis_log!H:H,"",0,1))</f>
        <v>driedflower_bulk</v>
      </c>
      <c r="I1026" s="113" t="str">
        <f>IF(ISBLANK(E1026),"",_xlfn.XLOOKUP(E1026,cannabis_log!C:C,cannabis_log!K:K,"NOT FOUND",0,1))</f>
        <v>NA</v>
      </c>
      <c r="J1026" s="185">
        <v>0</v>
      </c>
      <c r="K1026" s="186">
        <f>2955-3010</f>
        <v>-55</v>
      </c>
      <c r="L1026" s="288">
        <f t="shared" si="45"/>
        <v>0</v>
      </c>
      <c r="M1026" s="24"/>
      <c r="N1026" s="112" t="str">
        <f>IF(ISBLANK(E1026),"",_xlfn.XLOOKUP(E1026,[1]cannabis_log!C:C,[1]cannabis_log!T:T,"Not Found",0,))</f>
        <v>gross</v>
      </c>
      <c r="O1026" s="180">
        <f>IF(N1026="net",_xlfn.XLOOKUP(E1026,cannabis_log!C:C,cannabis_log!N:N,"NOT FOUND",0,1),IF(N1026="gross",0,""))</f>
        <v>0</v>
      </c>
    </row>
    <row r="1027" spans="1:15">
      <c r="A1027" s="181" t="str">
        <f t="shared" si="46"/>
        <v>outbound</v>
      </c>
      <c r="B1027" s="182">
        <v>45691.466666666667</v>
      </c>
      <c r="C1027" s="183" t="s">
        <v>1929</v>
      </c>
      <c r="D1027" s="183" t="s">
        <v>2572</v>
      </c>
      <c r="E1027" s="215" t="s">
        <v>2557</v>
      </c>
      <c r="F1027" s="112" t="str">
        <f>IF(ISBLANK(E1027),"",_xlfn.XLOOKUP(E1027,[1]cannabis_log!C:C,[1]cannabis_log!J:J,"",0,))</f>
        <v>2024111801G7</v>
      </c>
      <c r="G1027" s="112"/>
      <c r="H1027" s="112" t="str">
        <f>IF(ISBLANK(E1027),"",_xlfn.XLOOKUP(E1027,cannabis_log!C:C,cannabis_log!H:H,"",0,1))</f>
        <v>driedflower_labelled</v>
      </c>
      <c r="I1027" s="113">
        <f>IF(ISBLANK(E1027),"",_xlfn.XLOOKUP(E1027,cannabis_log!C:C,cannabis_log!K:K,"NOT FOUND",0,1))</f>
        <v>45631</v>
      </c>
      <c r="J1027" s="185">
        <v>-24</v>
      </c>
      <c r="K1027" s="186">
        <f>IF(N1027="net",0,"")</f>
        <v>0</v>
      </c>
      <c r="L1027" s="288">
        <f t="shared" si="45"/>
        <v>-168</v>
      </c>
      <c r="M1027" s="24"/>
      <c r="N1027" s="112" t="str">
        <f>IF(ISBLANK(E1027),"",_xlfn.XLOOKUP(E1027,[1]cannabis_log!C:C,[1]cannabis_log!T:T,"Not Found",0,))</f>
        <v>net</v>
      </c>
      <c r="O1027" s="180">
        <f>IF(N1027="net",_xlfn.XLOOKUP(E1027,cannabis_log!C:C,cannabis_log!N:N,"NOT FOUND",0,1),IF(N1027="gross",0,""))</f>
        <v>7</v>
      </c>
    </row>
    <row r="1028" spans="1:15">
      <c r="A1028" s="181" t="str">
        <f t="shared" si="46"/>
        <v>outbound</v>
      </c>
      <c r="B1028" s="182">
        <v>45691.53125</v>
      </c>
      <c r="C1028" s="183" t="s">
        <v>1921</v>
      </c>
      <c r="D1028" s="183" t="s">
        <v>2532</v>
      </c>
      <c r="E1028" s="215" t="s">
        <v>2573</v>
      </c>
      <c r="F1028" s="112" t="str">
        <f>IF(ISBLANK(E1028),"",_xlfn.XLOOKUP(E1028,[1]cannabis_log!C:C,[1]cannabis_log!J:J,"",0,))</f>
        <v>PR2501</v>
      </c>
      <c r="G1028" s="112"/>
      <c r="H1028" s="112" t="str">
        <f>IF(ISBLANK(E1028),"",_xlfn.XLOOKUP(E1028,cannabis_log!C:C,cannabis_log!H:H,"",0,1))</f>
        <v>driedflower_milled_bulk</v>
      </c>
      <c r="I1028" s="113" t="str">
        <f>IF(ISBLANK(E1028),"",_xlfn.XLOOKUP(E1028,cannabis_log!C:C,cannabis_log!K:K,"NOT FOUND",0,1))</f>
        <v>NA</v>
      </c>
      <c r="J1028" s="185">
        <v>-1</v>
      </c>
      <c r="K1028" s="186">
        <v>-5472</v>
      </c>
      <c r="L1028" s="288">
        <f t="shared" si="45"/>
        <v>0</v>
      </c>
      <c r="M1028" s="24"/>
      <c r="N1028" s="112" t="str">
        <f>IF(ISBLANK(E1028),"",_xlfn.XLOOKUP(E1028,[1]cannabis_log!C:C,[1]cannabis_log!T:T,"Not Found",0,))</f>
        <v>gross</v>
      </c>
      <c r="O1028" s="180">
        <f>IF(N1028="net",_xlfn.XLOOKUP(E1028,cannabis_log!C:C,cannabis_log!N:N,"NOT FOUND",0,1),IF(N1028="gross",0,""))</f>
        <v>0</v>
      </c>
    </row>
    <row r="1029" spans="1:15">
      <c r="A1029" s="181" t="str">
        <f t="shared" si="46"/>
        <v>outbound</v>
      </c>
      <c r="B1029" s="182">
        <v>45691.552777777775</v>
      </c>
      <c r="C1029" s="183" t="s">
        <v>1921</v>
      </c>
      <c r="D1029" s="183" t="s">
        <v>2574</v>
      </c>
      <c r="E1029" s="215" t="s">
        <v>2575</v>
      </c>
      <c r="F1029" s="112">
        <f>IF(ISBLANK(E1029),"",_xlfn.XLOOKUP(E1029,[1]cannabis_log!C:C,[1]cannabis_log!J:J,"",0,))</f>
        <v>2025010201</v>
      </c>
      <c r="G1029" s="112"/>
      <c r="H1029" s="112" t="str">
        <f>IF(ISBLANK(E1029),"",_xlfn.XLOOKUP(E1029,cannabis_log!C:C,cannabis_log!H:H,"",0,1))</f>
        <v>driedflower_bulk_BURB</v>
      </c>
      <c r="I1029" s="113" t="str">
        <f>IF(ISBLANK(E1029),"",_xlfn.XLOOKUP(E1029,cannabis_log!C:C,cannabis_log!K:K,"NOT FOUND",0,1))</f>
        <v>NA</v>
      </c>
      <c r="J1029" s="185">
        <v>-1</v>
      </c>
      <c r="K1029" s="186">
        <v>-4670</v>
      </c>
      <c r="L1029" s="288">
        <f t="shared" si="45"/>
        <v>0</v>
      </c>
      <c r="M1029" s="24"/>
      <c r="N1029" s="112" t="str">
        <f>IF(ISBLANK(E1029),"",_xlfn.XLOOKUP(E1029,[1]cannabis_log!C:C,[1]cannabis_log!T:T,"Not Found",0,))</f>
        <v>gross</v>
      </c>
      <c r="O1029" s="180">
        <f>IF(N1029="net",_xlfn.XLOOKUP(E1029,cannabis_log!C:C,cannabis_log!N:N,"NOT FOUND",0,1),IF(N1029="gross",0,""))</f>
        <v>0</v>
      </c>
    </row>
    <row r="1030" spans="1:15">
      <c r="A1030" s="181" t="str">
        <f t="shared" si="46"/>
        <v>outbound</v>
      </c>
      <c r="B1030" s="182">
        <v>45691.552777777775</v>
      </c>
      <c r="C1030" s="183" t="s">
        <v>1921</v>
      </c>
      <c r="D1030" s="183" t="s">
        <v>2574</v>
      </c>
      <c r="E1030" s="215" t="s">
        <v>2576</v>
      </c>
      <c r="F1030" s="112">
        <f>IF(ISBLANK(E1030),"",_xlfn.XLOOKUP(E1030,[1]cannabis_log!C:C,[1]cannabis_log!J:J,"",0,))</f>
        <v>2025010201</v>
      </c>
      <c r="G1030" s="112"/>
      <c r="H1030" s="112" t="str">
        <f>IF(ISBLANK(E1030),"",_xlfn.XLOOKUP(E1030,cannabis_log!C:C,cannabis_log!H:H,"",0,1))</f>
        <v>driedflower_bulk_BURB</v>
      </c>
      <c r="I1030" s="113" t="str">
        <f>IF(ISBLANK(E1030),"",_xlfn.XLOOKUP(E1030,cannabis_log!C:C,cannabis_log!K:K,"NOT FOUND",0,1))</f>
        <v>NA</v>
      </c>
      <c r="J1030" s="185">
        <v>-1</v>
      </c>
      <c r="K1030" s="186">
        <v>-4665</v>
      </c>
      <c r="L1030" s="288">
        <f t="shared" si="45"/>
        <v>0</v>
      </c>
      <c r="M1030" s="24"/>
      <c r="N1030" s="112" t="str">
        <f>IF(ISBLANK(E1030),"",_xlfn.XLOOKUP(E1030,[1]cannabis_log!C:C,[1]cannabis_log!T:T,"Not Found",0,))</f>
        <v>gross</v>
      </c>
      <c r="O1030" s="180">
        <f>IF(N1030="net",_xlfn.XLOOKUP(E1030,cannabis_log!C:C,cannabis_log!N:N,"NOT FOUND",0,1),IF(N1030="gross",0,""))</f>
        <v>0</v>
      </c>
    </row>
    <row r="1031" spans="1:15">
      <c r="A1031" s="181" t="str">
        <f t="shared" si="46"/>
        <v>outbound</v>
      </c>
      <c r="B1031" s="182">
        <v>45691.552777777775</v>
      </c>
      <c r="C1031" s="183" t="s">
        <v>1921</v>
      </c>
      <c r="D1031" s="183" t="s">
        <v>2574</v>
      </c>
      <c r="E1031" s="215" t="s">
        <v>2577</v>
      </c>
      <c r="F1031" s="112">
        <f>IF(ISBLANK(E1031),"",_xlfn.XLOOKUP(E1031,[1]cannabis_log!C:C,[1]cannabis_log!J:J,"",0,))</f>
        <v>2025010201</v>
      </c>
      <c r="G1031" s="112"/>
      <c r="H1031" s="112" t="str">
        <f>IF(ISBLANK(E1031),"",_xlfn.XLOOKUP(E1031,cannabis_log!C:C,cannabis_log!H:H,"",0,1))</f>
        <v>driedflower_bulk_BURB</v>
      </c>
      <c r="I1031" s="113" t="str">
        <f>IF(ISBLANK(E1031),"",_xlfn.XLOOKUP(E1031,cannabis_log!C:C,cannabis_log!K:K,"NOT FOUND",0,1))</f>
        <v>NA</v>
      </c>
      <c r="J1031" s="185">
        <v>-1</v>
      </c>
      <c r="K1031" s="186">
        <v>-4665</v>
      </c>
      <c r="L1031" s="288">
        <f t="shared" si="45"/>
        <v>0</v>
      </c>
      <c r="M1031" s="24"/>
      <c r="N1031" s="112" t="str">
        <f>IF(ISBLANK(E1031),"",_xlfn.XLOOKUP(E1031,[1]cannabis_log!C:C,[1]cannabis_log!T:T,"Not Found",0,))</f>
        <v>gross</v>
      </c>
      <c r="O1031" s="180">
        <f>IF(N1031="net",_xlfn.XLOOKUP(E1031,cannabis_log!C:C,cannabis_log!N:N,"NOT FOUND",0,1),IF(N1031="gross",0,""))</f>
        <v>0</v>
      </c>
    </row>
    <row r="1032" spans="1:15">
      <c r="A1032" s="181" t="str">
        <f t="shared" si="46"/>
        <v>outbound</v>
      </c>
      <c r="B1032" s="182">
        <v>45691.600694444445</v>
      </c>
      <c r="C1032" s="183" t="s">
        <v>1929</v>
      </c>
      <c r="D1032" s="183" t="s">
        <v>2578</v>
      </c>
      <c r="E1032" s="215" t="s">
        <v>2461</v>
      </c>
      <c r="F1032" s="112" t="str">
        <f>IF(ISBLANK(E1032),"",_xlfn.XLOOKUP(E1032,[1]cannabis_log!C:C,[1]cannabis_log!J:J,"",0,))</f>
        <v>TP21121701</v>
      </c>
      <c r="G1032" s="112"/>
      <c r="H1032" s="112" t="str">
        <f>IF(ISBLANK(E1032),"",_xlfn.XLOOKUP(E1032,cannabis_log!C:C,cannabis_log!H:H,"",0,1))</f>
        <v>topical_labelled</v>
      </c>
      <c r="I1032" s="113">
        <f>IF(ISBLANK(E1032),"",_xlfn.XLOOKUP(E1032,cannabis_log!C:C,cannabis_log!K:K,"NOT FOUND",0,1))</f>
        <v>45649</v>
      </c>
      <c r="J1032" s="185">
        <v>-12</v>
      </c>
      <c r="K1032" s="186">
        <f>IF(N1032="net",0,"")</f>
        <v>0</v>
      </c>
      <c r="L1032" s="288">
        <f t="shared" si="45"/>
        <v>-1440</v>
      </c>
      <c r="M1032" s="24"/>
      <c r="N1032" s="112" t="str">
        <f>IF(ISBLANK(E1032),"",_xlfn.XLOOKUP(E1032,[1]cannabis_log!C:C,[1]cannabis_log!T:T,"Not Found",0,))</f>
        <v>net</v>
      </c>
      <c r="O1032" s="180">
        <f>IF(N1032="net",_xlfn.XLOOKUP(E1032,cannabis_log!C:C,cannabis_log!N:N,"NOT FOUND",0,1),IF(N1032="gross",0,""))</f>
        <v>120</v>
      </c>
    </row>
    <row r="1033" spans="1:15">
      <c r="A1033" s="181" t="str">
        <f t="shared" si="46"/>
        <v>outbound</v>
      </c>
      <c r="B1033" s="182">
        <v>45692.429861111108</v>
      </c>
      <c r="C1033" s="183" t="s">
        <v>1929</v>
      </c>
      <c r="D1033" s="183" t="s">
        <v>2579</v>
      </c>
      <c r="E1033" s="215" t="s">
        <v>2566</v>
      </c>
      <c r="F1033" s="112" t="str">
        <f>IF(ISBLANK(E1033),"",_xlfn.XLOOKUP(E1033,[1]cannabis_log!C:C,[1]cannabis_log!J:J,"",0,))</f>
        <v>EX24100801V30</v>
      </c>
      <c r="G1033" s="112"/>
      <c r="H1033" s="112" t="str">
        <f>IF(ISBLANK(E1033),"",_xlfn.XLOOKUP(E1033,cannabis_log!C:C,cannabis_log!H:H,"",0,1))</f>
        <v>extract_ingested_labelled</v>
      </c>
      <c r="I1033" s="113">
        <f>IF(ISBLANK(E1033),"",_xlfn.XLOOKUP(E1033,cannabis_log!C:C,cannabis_log!K:K,"NOT FOUND",0,1))</f>
        <v>45590</v>
      </c>
      <c r="J1033" s="185">
        <v>-43</v>
      </c>
      <c r="K1033" s="186">
        <f>IF(N1033="net",0,"")</f>
        <v>0</v>
      </c>
      <c r="L1033" s="288">
        <f t="shared" si="45"/>
        <v>-1173.9000000000001</v>
      </c>
      <c r="M1033" s="24"/>
      <c r="N1033" s="112" t="str">
        <f>IF(ISBLANK(E1033),"",_xlfn.XLOOKUP(E1033,[1]cannabis_log!C:C,[1]cannabis_log!T:T,"Not Found",0,))</f>
        <v>net</v>
      </c>
      <c r="O1033" s="180">
        <f>IF(N1033="net",_xlfn.XLOOKUP(E1033,cannabis_log!C:C,cannabis_log!N:N,"NOT FOUND",0,1),IF(N1033="gross",0,""))</f>
        <v>27.3</v>
      </c>
    </row>
    <row r="1034" spans="1:15">
      <c r="A1034" s="181" t="str">
        <f t="shared" si="46"/>
        <v>outbound</v>
      </c>
      <c r="B1034" s="182">
        <v>45692.429861111108</v>
      </c>
      <c r="C1034" s="183" t="s">
        <v>1929</v>
      </c>
      <c r="D1034" s="183" t="s">
        <v>2579</v>
      </c>
      <c r="E1034" s="215" t="s">
        <v>2580</v>
      </c>
      <c r="F1034" s="112" t="str">
        <f>IF(ISBLANK(E1034),"",_xlfn.XLOOKUP(E1034,[1]cannabis_log!C:C,[1]cannabis_log!J:J,"",0,))</f>
        <v>EX24100801V30</v>
      </c>
      <c r="G1034" s="112"/>
      <c r="H1034" s="112" t="str">
        <f>IF(ISBLANK(E1034),"",_xlfn.XLOOKUP(E1034,cannabis_log!C:C,cannabis_log!H:H,"",0,1))</f>
        <v>extract_ingested_labelled</v>
      </c>
      <c r="I1034" s="113">
        <f>IF(ISBLANK(E1034),"",_xlfn.XLOOKUP(E1034,cannabis_log!C:C,cannabis_log!K:K,"NOT FOUND",0,1))</f>
        <v>45590</v>
      </c>
      <c r="J1034" s="185">
        <v>-5</v>
      </c>
      <c r="K1034" s="186">
        <f>IF(N1034="net",0,"")</f>
        <v>0</v>
      </c>
      <c r="L1034" s="288">
        <f t="shared" si="45"/>
        <v>-136.5</v>
      </c>
      <c r="M1034" s="24"/>
      <c r="N1034" s="112" t="str">
        <f>IF(ISBLANK(E1034),"",_xlfn.XLOOKUP(E1034,[1]cannabis_log!C:C,[1]cannabis_log!T:T,"Not Found",0,))</f>
        <v>net</v>
      </c>
      <c r="O1034" s="180">
        <f>IF(N1034="net",_xlfn.XLOOKUP(E1034,cannabis_log!C:C,cannabis_log!N:N,"NOT FOUND",0,1),IF(N1034="gross",0,""))</f>
        <v>27.3</v>
      </c>
    </row>
    <row r="1035" spans="1:15">
      <c r="A1035" s="181" t="str">
        <f t="shared" si="46"/>
        <v>inbound</v>
      </c>
      <c r="B1035" s="182">
        <v>45693</v>
      </c>
      <c r="C1035" s="183" t="s">
        <v>1927</v>
      </c>
      <c r="D1035" s="183"/>
      <c r="E1035" s="215" t="s">
        <v>2581</v>
      </c>
      <c r="F1035" s="112" t="str">
        <f>IF(ISBLANK(E1035),"",_xlfn.XLOOKUP(E1035,[1]cannabis_log!C:C,[1]cannabis_log!J:J,"",0,))</f>
        <v>CPR22112801</v>
      </c>
      <c r="G1035" s="112"/>
      <c r="H1035" s="112" t="str">
        <f>IF(ISBLANK(E1035),"",_xlfn.XLOOKUP(E1035,cannabis_log!C:C,cannabis_log!H:H,"",0,1))</f>
        <v>driedflower_milled_bulk</v>
      </c>
      <c r="I1035" s="113" t="str">
        <f>IF(ISBLANK(E1035),"",_xlfn.XLOOKUP(E1035,cannabis_log!C:C,cannabis_log!K:K,"NOT FOUND",0,1))</f>
        <v>NA</v>
      </c>
      <c r="J1035" s="185">
        <v>1</v>
      </c>
      <c r="K1035" s="186">
        <v>2920</v>
      </c>
      <c r="L1035" s="288">
        <f t="shared" si="45"/>
        <v>0</v>
      </c>
      <c r="M1035" s="24"/>
      <c r="N1035" s="112" t="str">
        <f>IF(ISBLANK(E1035),"",_xlfn.XLOOKUP(E1035,[1]cannabis_log!C:C,[1]cannabis_log!T:T,"Not Found",0,))</f>
        <v>gross</v>
      </c>
      <c r="O1035" s="180">
        <f>IF(N1035="net",_xlfn.XLOOKUP(E1035,cannabis_log!C:C,cannabis_log!N:N,"NOT FOUND",0,1),IF(N1035="gross",0,""))</f>
        <v>0</v>
      </c>
    </row>
    <row r="1036" spans="1:15">
      <c r="A1036" s="181" t="str">
        <f t="shared" si="46"/>
        <v>outbound</v>
      </c>
      <c r="B1036" s="182">
        <v>45693.545138888891</v>
      </c>
      <c r="C1036" s="183" t="s">
        <v>1929</v>
      </c>
      <c r="D1036" s="183" t="s">
        <v>2582</v>
      </c>
      <c r="E1036" s="215" t="s">
        <v>2567</v>
      </c>
      <c r="F1036" s="112" t="str">
        <f>IF(ISBLANK(E1036),"",_xlfn.XLOOKUP(E1036,[1]cannabis_log!C:C,[1]cannabis_log!J:J,"",0,))</f>
        <v>PR241101F5P3</v>
      </c>
      <c r="G1036" s="112"/>
      <c r="H1036" s="112" t="str">
        <f>IF(ISBLANK(E1036),"",_xlfn.XLOOKUP(E1036,cannabis_log!C:C,cannabis_log!H:H,"",0,1))</f>
        <v>preroll_labelled</v>
      </c>
      <c r="I1036" s="113">
        <f>IF(ISBLANK(E1036),"",_xlfn.XLOOKUP(E1036,cannabis_log!C:C,cannabis_log!K:K,"NOT FOUND",0,1))</f>
        <v>45574</v>
      </c>
      <c r="J1036" s="185">
        <v>-12</v>
      </c>
      <c r="K1036" s="186">
        <f t="shared" ref="K1036:K1041" si="47">IF(N1036="net",0,"")</f>
        <v>0</v>
      </c>
      <c r="L1036" s="288">
        <f t="shared" si="45"/>
        <v>-18</v>
      </c>
      <c r="M1036" s="24"/>
      <c r="N1036" s="112" t="str">
        <f>IF(ISBLANK(E1036),"",_xlfn.XLOOKUP(E1036,[1]cannabis_log!C:C,[1]cannabis_log!T:T,"Not Found",0,))</f>
        <v>net</v>
      </c>
      <c r="O1036" s="180">
        <f>IF(N1036="net",_xlfn.XLOOKUP(E1036,cannabis_log!C:C,cannabis_log!N:N,"NOT FOUND",0,1),IF(N1036="gross",0,""))</f>
        <v>1.5</v>
      </c>
    </row>
    <row r="1037" spans="1:15">
      <c r="A1037" s="181" t="str">
        <f t="shared" si="46"/>
        <v>outbound</v>
      </c>
      <c r="B1037" s="182">
        <v>45693.545138888891</v>
      </c>
      <c r="C1037" s="183" t="s">
        <v>1929</v>
      </c>
      <c r="D1037" s="183" t="s">
        <v>2582</v>
      </c>
      <c r="E1037" s="215" t="s">
        <v>2474</v>
      </c>
      <c r="F1037" s="112" t="str">
        <f>IF(ISBLANK(E1037),"",_xlfn.XLOOKUP(E1037,[1]cannabis_log!C:C,[1]cannabis_log!J:J,"",0,))</f>
        <v>PR241105F5P3</v>
      </c>
      <c r="G1037" s="112"/>
      <c r="H1037" s="112" t="str">
        <f>IF(ISBLANK(E1037),"",_xlfn.XLOOKUP(E1037,cannabis_log!C:C,cannabis_log!H:H,"",0,1))</f>
        <v>preroll_labelled</v>
      </c>
      <c r="I1037" s="113">
        <f>IF(ISBLANK(E1037),"",_xlfn.XLOOKUP(E1037,cannabis_log!C:C,cannabis_log!K:K,"NOT FOUND",0,1))</f>
        <v>45615</v>
      </c>
      <c r="J1037" s="185">
        <v>-12</v>
      </c>
      <c r="K1037" s="186">
        <f t="shared" si="47"/>
        <v>0</v>
      </c>
      <c r="L1037" s="288">
        <f t="shared" si="45"/>
        <v>-18</v>
      </c>
      <c r="M1037" s="24"/>
      <c r="N1037" s="112" t="str">
        <f>IF(ISBLANK(E1037),"",_xlfn.XLOOKUP(E1037,[1]cannabis_log!C:C,[1]cannabis_log!T:T,"Not Found",0,))</f>
        <v>net</v>
      </c>
      <c r="O1037" s="180">
        <f>IF(N1037="net",_xlfn.XLOOKUP(E1037,cannabis_log!C:C,cannabis_log!N:N,"NOT FOUND",0,1),IF(N1037="gross",0,""))</f>
        <v>1.5</v>
      </c>
    </row>
    <row r="1038" spans="1:15">
      <c r="A1038" s="181" t="str">
        <f t="shared" si="46"/>
        <v>outbound</v>
      </c>
      <c r="B1038" s="182">
        <v>45693.545138888891</v>
      </c>
      <c r="C1038" s="183" t="s">
        <v>1929</v>
      </c>
      <c r="D1038" s="183" t="s">
        <v>2582</v>
      </c>
      <c r="E1038" s="215" t="s">
        <v>2514</v>
      </c>
      <c r="F1038" s="112" t="str">
        <f>IF(ISBLANK(E1038),"",_xlfn.XLOOKUP(E1038,[1]cannabis_log!C:C,[1]cannabis_log!J:J,"",0,))</f>
        <v>EX25010907G1</v>
      </c>
      <c r="G1038" s="112"/>
      <c r="H1038" s="112" t="str">
        <f>IF(ISBLANK(E1038),"",_xlfn.XLOOKUP(E1038,cannabis_log!C:C,cannabis_log!H:H,"",0,1))</f>
        <v>extract_inhaled_labelled</v>
      </c>
      <c r="I1038" s="113">
        <f>IF(ISBLANK(E1038),"",_xlfn.XLOOKUP(E1038,cannabis_log!C:C,cannabis_log!K:K,"NOT FOUND",0,1))</f>
        <v>45666</v>
      </c>
      <c r="J1038" s="185">
        <v>-12</v>
      </c>
      <c r="K1038" s="186">
        <f t="shared" si="47"/>
        <v>0</v>
      </c>
      <c r="L1038" s="288">
        <f t="shared" si="45"/>
        <v>-12</v>
      </c>
      <c r="M1038" s="24"/>
      <c r="N1038" s="112" t="str">
        <f>IF(ISBLANK(E1038),"",_xlfn.XLOOKUP(E1038,[1]cannabis_log!C:C,[1]cannabis_log!T:T,"Not Found",0,))</f>
        <v>net</v>
      </c>
      <c r="O1038" s="180">
        <f>IF(N1038="net",_xlfn.XLOOKUP(E1038,cannabis_log!C:C,cannabis_log!N:N,"NOT FOUND",0,1),IF(N1038="gross",0,""))</f>
        <v>1</v>
      </c>
    </row>
    <row r="1039" spans="1:15">
      <c r="A1039" s="181" t="str">
        <f t="shared" si="46"/>
        <v>outbound</v>
      </c>
      <c r="B1039" s="182">
        <v>45693.545138888891</v>
      </c>
      <c r="C1039" s="183" t="s">
        <v>1929</v>
      </c>
      <c r="D1039" s="183" t="s">
        <v>2582</v>
      </c>
      <c r="E1039" s="215" t="s">
        <v>2412</v>
      </c>
      <c r="F1039" s="112" t="str">
        <f>IF(ISBLANK(E1039),"",_xlfn.XLOOKUP(E1039,[1]cannabis_log!C:C,[1]cannabis_log!J:J,"",0,))</f>
        <v>EX24111302G05</v>
      </c>
      <c r="G1039" s="112"/>
      <c r="H1039" s="112" t="str">
        <f>IF(ISBLANK(E1039),"",_xlfn.XLOOKUP(E1039,cannabis_log!C:C,cannabis_log!H:H,"",0,1))</f>
        <v>extract_inhaled_labelled</v>
      </c>
      <c r="I1039" s="113">
        <f>IF(ISBLANK(E1039),"",_xlfn.XLOOKUP(E1039,cannabis_log!C:C,cannabis_log!K:K,"NOT FOUND",0,1))</f>
        <v>45623</v>
      </c>
      <c r="J1039" s="185">
        <v>-12</v>
      </c>
      <c r="K1039" s="186">
        <f t="shared" si="47"/>
        <v>0</v>
      </c>
      <c r="L1039" s="288">
        <f t="shared" si="45"/>
        <v>-6</v>
      </c>
      <c r="M1039" s="24"/>
      <c r="N1039" s="112" t="str">
        <f>IF(ISBLANK(E1039),"",_xlfn.XLOOKUP(E1039,[1]cannabis_log!C:C,[1]cannabis_log!T:T,"Not Found",0,))</f>
        <v>net</v>
      </c>
      <c r="O1039" s="180">
        <f>IF(N1039="net",_xlfn.XLOOKUP(E1039,cannabis_log!C:C,cannabis_log!N:N,"NOT FOUND",0,1),IF(N1039="gross",0,""))</f>
        <v>0.5</v>
      </c>
    </row>
    <row r="1040" spans="1:15">
      <c r="A1040" s="181" t="str">
        <f t="shared" si="46"/>
        <v>outbound</v>
      </c>
      <c r="B1040" s="182">
        <v>45693.545138888891</v>
      </c>
      <c r="C1040" s="183" t="s">
        <v>1929</v>
      </c>
      <c r="D1040" s="183" t="s">
        <v>2582</v>
      </c>
      <c r="E1040" s="215" t="s">
        <v>2464</v>
      </c>
      <c r="F1040" s="112" t="str">
        <f>IF(ISBLANK(E1040),"",_xlfn.XLOOKUP(E1040,[1]cannabis_log!C:C,[1]cannabis_log!J:J,"",0,))</f>
        <v>2024111801G7</v>
      </c>
      <c r="G1040" s="112"/>
      <c r="H1040" s="112" t="str">
        <f>IF(ISBLANK(E1040),"",_xlfn.XLOOKUP(E1040,cannabis_log!C:C,cannabis_log!H:H,"",0,1))</f>
        <v>driedflower_labelled</v>
      </c>
      <c r="I1040" s="113">
        <f>IF(ISBLANK(E1040),"",_xlfn.XLOOKUP(E1040,cannabis_log!C:C,cannabis_log!K:K,"NOT FOUND",0,1))</f>
        <v>45631</v>
      </c>
      <c r="J1040" s="185">
        <v>-12</v>
      </c>
      <c r="K1040" s="186">
        <f t="shared" si="47"/>
        <v>0</v>
      </c>
      <c r="L1040" s="288">
        <f t="shared" si="45"/>
        <v>-84</v>
      </c>
      <c r="M1040" s="24"/>
      <c r="N1040" s="112" t="str">
        <f>IF(ISBLANK(E1040),"",_xlfn.XLOOKUP(E1040,[1]cannabis_log!C:C,[1]cannabis_log!T:T,"Not Found",0,))</f>
        <v>net</v>
      </c>
      <c r="O1040" s="180">
        <f>IF(N1040="net",_xlfn.XLOOKUP(E1040,cannabis_log!C:C,cannabis_log!N:N,"NOT FOUND",0,1),IF(N1040="gross",0,""))</f>
        <v>7</v>
      </c>
    </row>
    <row r="1041" spans="1:15">
      <c r="A1041" s="181" t="str">
        <f t="shared" si="46"/>
        <v>outbound</v>
      </c>
      <c r="B1041" s="182">
        <v>45693.555555555555</v>
      </c>
      <c r="C1041" s="183" t="s">
        <v>1929</v>
      </c>
      <c r="D1041" s="183" t="s">
        <v>2582</v>
      </c>
      <c r="E1041" s="215" t="s">
        <v>2508</v>
      </c>
      <c r="F1041" s="112" t="str">
        <f>IF(ISBLANK(E1041),"",_xlfn.XLOOKUP(E1041,[1]cannabis_log!C:C,[1]cannabis_log!J:J,"",0,))</f>
        <v>PR2416F5P10</v>
      </c>
      <c r="G1041" s="112"/>
      <c r="H1041" s="112" t="str">
        <f>IF(ISBLANK(E1041),"",_xlfn.XLOOKUP(E1041,cannabis_log!C:C,cannabis_log!H:H,"",0,1))</f>
        <v>preroll_labelled</v>
      </c>
      <c r="I1041" s="113">
        <f>IF(ISBLANK(E1041),"",_xlfn.XLOOKUP(E1041,cannabis_log!C:C,cannabis_log!K:K,"NOT FOUND",0,1))</f>
        <v>45642</v>
      </c>
      <c r="J1041" s="185">
        <v>-12</v>
      </c>
      <c r="K1041" s="186">
        <f t="shared" si="47"/>
        <v>0</v>
      </c>
      <c r="L1041" s="288">
        <f t="shared" si="45"/>
        <v>-60</v>
      </c>
      <c r="M1041" s="24"/>
      <c r="N1041" s="112" t="str">
        <f>IF(ISBLANK(E1041),"",_xlfn.XLOOKUP(E1041,[1]cannabis_log!C:C,[1]cannabis_log!T:T,"Not Found",0,))</f>
        <v>net</v>
      </c>
      <c r="O1041" s="180">
        <f>IF(N1041="net",_xlfn.XLOOKUP(E1041,cannabis_log!C:C,cannabis_log!N:N,"NOT FOUND",0,1),IF(N1041="gross",0,""))</f>
        <v>5</v>
      </c>
    </row>
    <row r="1042" spans="1:15">
      <c r="A1042" s="181" t="str">
        <f t="shared" si="46"/>
        <v>inbound</v>
      </c>
      <c r="B1042" s="182">
        <v>45693.623611111114</v>
      </c>
      <c r="C1042" s="183" t="s">
        <v>1927</v>
      </c>
      <c r="D1042" s="183"/>
      <c r="E1042" s="215" t="s">
        <v>1945</v>
      </c>
      <c r="F1042" s="112" t="str">
        <f>IF(ISBLANK(E1042),"",_xlfn.XLOOKUP(E1042,[1]cannabis_log!C:C,[1]cannabis_log!J:J,"",0,))</f>
        <v>LR23032101</v>
      </c>
      <c r="G1042" s="112"/>
      <c r="H1042" s="112" t="str">
        <f>IF(ISBLANK(E1042),"",_xlfn.XLOOKUP(E1042,cannabis_log!C:C,cannabis_log!H:H,"",0,1))</f>
        <v>extract_inhaled_bulk</v>
      </c>
      <c r="I1042" s="113" t="str">
        <f>IF(ISBLANK(E1042),"",_xlfn.XLOOKUP(E1042,cannabis_log!C:C,cannabis_log!K:K,"NOT FOUND",0,1))</f>
        <v>NA</v>
      </c>
      <c r="J1042" s="185">
        <v>1</v>
      </c>
      <c r="K1042" s="186">
        <v>1760</v>
      </c>
      <c r="L1042" s="288">
        <f t="shared" si="45"/>
        <v>0</v>
      </c>
      <c r="M1042" s="24"/>
      <c r="N1042" s="112" t="str">
        <f>IF(ISBLANK(E1042),"",_xlfn.XLOOKUP(E1042,[1]cannabis_log!C:C,[1]cannabis_log!T:T,"Not Found",0,))</f>
        <v>gross</v>
      </c>
      <c r="O1042" s="180">
        <f>IF(N1042="net",_xlfn.XLOOKUP(E1042,cannabis_log!C:C,cannabis_log!N:N,"NOT FOUND",0,1),IF(N1042="gross",0,""))</f>
        <v>0</v>
      </c>
    </row>
    <row r="1043" spans="1:15">
      <c r="A1043" s="181" t="str">
        <f t="shared" si="46"/>
        <v>inbound</v>
      </c>
      <c r="B1043" s="182">
        <v>45693.643750000003</v>
      </c>
      <c r="C1043" s="183" t="s">
        <v>1927</v>
      </c>
      <c r="D1043" s="183"/>
      <c r="E1043" s="215" t="s">
        <v>2409</v>
      </c>
      <c r="F1043" s="112">
        <f>IF(ISBLANK(E1043),"",_xlfn.XLOOKUP(E1043,[1]cannabis_log!C:C,[1]cannabis_log!J:J,"",0,))</f>
        <v>2024111201</v>
      </c>
      <c r="G1043" s="112"/>
      <c r="H1043" s="112" t="str">
        <f>IF(ISBLANK(E1043),"",_xlfn.XLOOKUP(E1043,cannabis_log!C:C,cannabis_log!H:H,"",0,1))</f>
        <v>extract_distillate_bulk</v>
      </c>
      <c r="I1043" s="113" t="str">
        <f>IF(ISBLANK(E1043),"",_xlfn.XLOOKUP(E1043,cannabis_log!C:C,cannabis_log!K:K,"NOT FOUND",0,1))</f>
        <v>NA</v>
      </c>
      <c r="J1043" s="185">
        <v>1</v>
      </c>
      <c r="K1043" s="186">
        <v>269.98</v>
      </c>
      <c r="L1043" s="288">
        <f t="shared" si="45"/>
        <v>0</v>
      </c>
      <c r="M1043" s="24"/>
      <c r="N1043" s="112" t="str">
        <f>IF(ISBLANK(E1043),"",_xlfn.XLOOKUP(E1043,[1]cannabis_log!C:C,[1]cannabis_log!T:T,"Not Found",0,))</f>
        <v>gross</v>
      </c>
      <c r="O1043" s="180">
        <f>IF(N1043="net",_xlfn.XLOOKUP(E1043,cannabis_log!C:C,cannabis_log!N:N,"NOT FOUND",0,1),IF(N1043="gross",0,""))</f>
        <v>0</v>
      </c>
    </row>
    <row r="1044" spans="1:15">
      <c r="A1044" s="181" t="str">
        <f t="shared" si="46"/>
        <v>inbound</v>
      </c>
      <c r="B1044" s="182">
        <v>45693.645833333336</v>
      </c>
      <c r="C1044" s="183" t="s">
        <v>1927</v>
      </c>
      <c r="D1044" s="183"/>
      <c r="E1044" s="215" t="s">
        <v>2557</v>
      </c>
      <c r="F1044" s="112" t="str">
        <f>IF(ISBLANK(E1044),"",_xlfn.XLOOKUP(E1044,[1]cannabis_log!C:C,[1]cannabis_log!J:J,"",0,))</f>
        <v>2024111801G7</v>
      </c>
      <c r="G1044" s="112"/>
      <c r="H1044" s="112" t="str">
        <f>IF(ISBLANK(E1044),"",_xlfn.XLOOKUP(E1044,cannabis_log!C:C,cannabis_log!H:H,"",0,1))</f>
        <v>driedflower_labelled</v>
      </c>
      <c r="I1044" s="113">
        <f>IF(ISBLANK(E1044),"",_xlfn.XLOOKUP(E1044,cannabis_log!C:C,cannabis_log!K:K,"NOT FOUND",0,1))</f>
        <v>45631</v>
      </c>
      <c r="J1044" s="185">
        <v>371</v>
      </c>
      <c r="K1044" s="186">
        <f>IF(N1044="net",0,"")</f>
        <v>0</v>
      </c>
      <c r="L1044" s="288">
        <f t="shared" si="45"/>
        <v>2597</v>
      </c>
      <c r="M1044" s="24"/>
      <c r="N1044" s="112" t="str">
        <f>IF(ISBLANK(E1044),"",_xlfn.XLOOKUP(E1044,[1]cannabis_log!C:C,[1]cannabis_log!T:T,"Not Found",0,))</f>
        <v>net</v>
      </c>
      <c r="O1044" s="180">
        <f>IF(N1044="net",_xlfn.XLOOKUP(E1044,cannabis_log!C:C,cannabis_log!N:N,"NOT FOUND",0,1),IF(N1044="gross",0,""))</f>
        <v>7</v>
      </c>
    </row>
    <row r="1045" spans="1:15">
      <c r="A1045" s="181" t="str">
        <f t="shared" si="46"/>
        <v>inbound</v>
      </c>
      <c r="B1045" s="182">
        <v>45693.65625</v>
      </c>
      <c r="C1045" s="183" t="s">
        <v>1927</v>
      </c>
      <c r="D1045" s="183"/>
      <c r="E1045" s="215" t="s">
        <v>2570</v>
      </c>
      <c r="F1045" s="112" t="str">
        <f>IF(ISBLANK(E1045),"",_xlfn.XLOOKUP(E1045,[1]cannabis_log!C:C,[1]cannabis_log!J:J,"",0,))</f>
        <v>CPR22102102</v>
      </c>
      <c r="G1045" s="112"/>
      <c r="H1045" s="112" t="str">
        <f>IF(ISBLANK(E1045),"",_xlfn.XLOOKUP(E1045,cannabis_log!C:C,cannabis_log!H:H,"",0,1))</f>
        <v>driedflower_milled_bulk</v>
      </c>
      <c r="I1045" s="113" t="str">
        <f>IF(ISBLANK(E1045),"",_xlfn.XLOOKUP(E1045,cannabis_log!C:C,cannabis_log!K:K,"NOT FOUND",0,1))</f>
        <v>NA</v>
      </c>
      <c r="J1045" s="185">
        <v>1</v>
      </c>
      <c r="K1045" s="186">
        <v>2558</v>
      </c>
      <c r="L1045" s="288">
        <f t="shared" si="45"/>
        <v>0</v>
      </c>
      <c r="M1045" s="24"/>
      <c r="N1045" s="112" t="str">
        <f>IF(ISBLANK(E1045),"",_xlfn.XLOOKUP(E1045,[1]cannabis_log!C:C,[1]cannabis_log!T:T,"Not Found",0,))</f>
        <v>gross</v>
      </c>
      <c r="O1045" s="180">
        <f>IF(N1045="net",_xlfn.XLOOKUP(E1045,cannabis_log!C:C,cannabis_log!N:N,"NOT FOUND",0,1),IF(N1045="gross",0,""))</f>
        <v>0</v>
      </c>
    </row>
    <row r="1046" spans="1:15">
      <c r="A1046" s="181" t="str">
        <f t="shared" si="46"/>
        <v>inbound</v>
      </c>
      <c r="B1046" s="182">
        <v>45693.65625</v>
      </c>
      <c r="C1046" s="183" t="s">
        <v>1927</v>
      </c>
      <c r="D1046" s="183"/>
      <c r="E1046" s="215" t="s">
        <v>2560</v>
      </c>
      <c r="F1046" s="112" t="str">
        <f>IF(ISBLANK(E1046),"",_xlfn.XLOOKUP(E1046,[1]cannabis_log!C:C,[1]cannabis_log!J:J,"",0,))</f>
        <v>PR2502</v>
      </c>
      <c r="G1046" s="112"/>
      <c r="H1046" s="112" t="str">
        <f>IF(ISBLANK(E1046),"",_xlfn.XLOOKUP(E1046,cannabis_log!C:C,cannabis_log!H:H,"",0,1))</f>
        <v>driedflower_milled_bulk_BURB</v>
      </c>
      <c r="I1046" s="113" t="str">
        <f>IF(ISBLANK(E1046),"",_xlfn.XLOOKUP(E1046,cannabis_log!C:C,cannabis_log!K:K,"NOT FOUND",0,1))</f>
        <v>NA</v>
      </c>
      <c r="J1046" s="185">
        <v>1</v>
      </c>
      <c r="K1046" s="186">
        <v>3420</v>
      </c>
      <c r="L1046" s="288">
        <f t="shared" si="45"/>
        <v>0</v>
      </c>
      <c r="M1046" s="24"/>
      <c r="N1046" s="112" t="str">
        <f>IF(ISBLANK(E1046),"",_xlfn.XLOOKUP(E1046,[1]cannabis_log!C:C,[1]cannabis_log!T:T,"Not Found",0,))</f>
        <v>gross</v>
      </c>
      <c r="O1046" s="180">
        <f>IF(N1046="net",_xlfn.XLOOKUP(E1046,cannabis_log!C:C,cannabis_log!N:N,"NOT FOUND",0,1),IF(N1046="gross",0,""))</f>
        <v>0</v>
      </c>
    </row>
    <row r="1047" spans="1:15">
      <c r="A1047" s="181" t="str">
        <f t="shared" si="46"/>
        <v>inbound</v>
      </c>
      <c r="B1047" s="182">
        <v>45693.65902777778</v>
      </c>
      <c r="C1047" s="183" t="s">
        <v>1927</v>
      </c>
      <c r="D1047" s="183"/>
      <c r="E1047" s="215" t="s">
        <v>2562</v>
      </c>
      <c r="F1047" s="112" t="str">
        <f>IF(ISBLANK(E1047),"",_xlfn.XLOOKUP(E1047,[1]cannabis_log!C:C,[1]cannabis_log!J:J,"",0,))</f>
        <v>CPR22102001</v>
      </c>
      <c r="G1047" s="112"/>
      <c r="H1047" s="112" t="str">
        <f>IF(ISBLANK(E1047),"",_xlfn.XLOOKUP(E1047,cannabis_log!C:C,cannabis_log!H:H,"",0,1))</f>
        <v>driedflower_milled_bulk</v>
      </c>
      <c r="I1047" s="113" t="str">
        <f>IF(ISBLANK(E1047),"",_xlfn.XLOOKUP(E1047,cannabis_log!C:C,cannabis_log!K:K,"NOT FOUND",0,1))</f>
        <v>NA</v>
      </c>
      <c r="J1047" s="185">
        <v>1</v>
      </c>
      <c r="K1047" s="186">
        <v>3328</v>
      </c>
      <c r="L1047" s="288">
        <f t="shared" si="45"/>
        <v>0</v>
      </c>
      <c r="M1047" s="24"/>
      <c r="N1047" s="112" t="str">
        <f>IF(ISBLANK(E1047),"",_xlfn.XLOOKUP(E1047,[1]cannabis_log!C:C,[1]cannabis_log!T:T,"Not Found",0,))</f>
        <v>gross</v>
      </c>
      <c r="O1047" s="180">
        <f>IF(N1047="net",_xlfn.XLOOKUP(E1047,cannabis_log!C:C,cannabis_log!N:N,"NOT FOUND",0,1),IF(N1047="gross",0,""))</f>
        <v>0</v>
      </c>
    </row>
    <row r="1048" spans="1:15">
      <c r="A1048" s="181" t="str">
        <f t="shared" si="46"/>
        <v>outbound</v>
      </c>
      <c r="B1048" s="182">
        <v>45694.45416666667</v>
      </c>
      <c r="C1048" s="183" t="s">
        <v>1921</v>
      </c>
      <c r="D1048" s="183" t="s">
        <v>2574</v>
      </c>
      <c r="E1048" s="215" t="s">
        <v>2583</v>
      </c>
      <c r="F1048" s="112">
        <f>IF(ISBLANK(E1048),"",_xlfn.XLOOKUP(E1048,[1]cannabis_log!C:C,[1]cannabis_log!J:J,"",0,))</f>
        <v>2025010201</v>
      </c>
      <c r="G1048" s="112"/>
      <c r="H1048" s="112" t="str">
        <f>IF(ISBLANK(E1048),"",_xlfn.XLOOKUP(E1048,cannabis_log!C:C,cannabis_log!H:H,"",0,1))</f>
        <v>driedflower_bulk_BURB</v>
      </c>
      <c r="I1048" s="113" t="str">
        <f>IF(ISBLANK(E1048),"",_xlfn.XLOOKUP(E1048,cannabis_log!C:C,cannabis_log!K:K,"NOT FOUND",0,1))</f>
        <v>NA</v>
      </c>
      <c r="J1048" s="185">
        <v>-1</v>
      </c>
      <c r="K1048" s="186">
        <v>-4670</v>
      </c>
      <c r="L1048" s="288">
        <f t="shared" si="45"/>
        <v>0</v>
      </c>
      <c r="M1048" s="24"/>
      <c r="N1048" s="112" t="str">
        <f>IF(ISBLANK(E1048),"",_xlfn.XLOOKUP(E1048,[1]cannabis_log!C:C,[1]cannabis_log!T:T,"Not Found",0,))</f>
        <v>gross</v>
      </c>
      <c r="O1048" s="180">
        <f>IF(N1048="net",_xlfn.XLOOKUP(E1048,cannabis_log!C:C,cannabis_log!N:N,"NOT FOUND",0,1),IF(N1048="gross",0,""))</f>
        <v>0</v>
      </c>
    </row>
    <row r="1049" spans="1:15">
      <c r="A1049" s="181" t="str">
        <f t="shared" si="46"/>
        <v>outbound</v>
      </c>
      <c r="B1049" s="182">
        <v>45694.45416666667</v>
      </c>
      <c r="C1049" s="183" t="s">
        <v>1921</v>
      </c>
      <c r="D1049" s="183" t="s">
        <v>2574</v>
      </c>
      <c r="E1049" s="215" t="s">
        <v>2584</v>
      </c>
      <c r="F1049" s="112">
        <f>IF(ISBLANK(E1049),"",_xlfn.XLOOKUP(E1049,[1]cannabis_log!C:C,[1]cannabis_log!J:J,"",0,))</f>
        <v>2025010201</v>
      </c>
      <c r="G1049" s="112"/>
      <c r="H1049" s="112" t="str">
        <f>IF(ISBLANK(E1049),"",_xlfn.XLOOKUP(E1049,cannabis_log!C:C,cannabis_log!H:H,"",0,1))</f>
        <v>driedflower_bulk_BURB</v>
      </c>
      <c r="I1049" s="113" t="str">
        <f>IF(ISBLANK(E1049),"",_xlfn.XLOOKUP(E1049,cannabis_log!C:C,cannabis_log!K:K,"NOT FOUND",0,1))</f>
        <v>NA</v>
      </c>
      <c r="J1049" s="185">
        <v>-1</v>
      </c>
      <c r="K1049" s="186">
        <v>-4670</v>
      </c>
      <c r="L1049" s="288">
        <f t="shared" si="45"/>
        <v>0</v>
      </c>
      <c r="M1049" s="24"/>
      <c r="N1049" s="112" t="str">
        <f>IF(ISBLANK(E1049),"",_xlfn.XLOOKUP(E1049,[1]cannabis_log!C:C,[1]cannabis_log!T:T,"Not Found",0,))</f>
        <v>gross</v>
      </c>
      <c r="O1049" s="180">
        <f>IF(N1049="net",_xlfn.XLOOKUP(E1049,cannabis_log!C:C,cannabis_log!N:N,"NOT FOUND",0,1),IF(N1049="gross",0,""))</f>
        <v>0</v>
      </c>
    </row>
    <row r="1050" spans="1:15">
      <c r="A1050" s="181" t="str">
        <f t="shared" si="46"/>
        <v>outbound</v>
      </c>
      <c r="B1050" s="182">
        <v>45694.45416666667</v>
      </c>
      <c r="C1050" s="183" t="s">
        <v>1921</v>
      </c>
      <c r="D1050" s="183" t="s">
        <v>2444</v>
      </c>
      <c r="E1050" s="215" t="s">
        <v>2585</v>
      </c>
      <c r="F1050" s="112" t="str">
        <f>IF(ISBLANK(E1050),"",_xlfn.XLOOKUP(E1050,[1]cannabis_log!C:C,[1]cannabis_log!J:J,"",0,))</f>
        <v>EX25011501V50</v>
      </c>
      <c r="G1050" s="112"/>
      <c r="H1050" s="112" t="str">
        <f>IF(ISBLANK(E1050),"",_xlfn.XLOOKUP(E1050,cannabis_log!C:C,cannabis_log!H:H,"",0,1))</f>
        <v>extract_ingested_labelled</v>
      </c>
      <c r="I1050" s="113">
        <f>IF(ISBLANK(E1050),"",_xlfn.XLOOKUP(E1050,cannabis_log!C:C,cannabis_log!K:K,"NOT FOUND",0,1))</f>
        <v>45692</v>
      </c>
      <c r="J1050" s="185">
        <v>-227</v>
      </c>
      <c r="K1050" s="186">
        <f>IF(N1050="net",0,"")</f>
        <v>0</v>
      </c>
      <c r="L1050" s="288">
        <f t="shared" si="45"/>
        <v>-11350</v>
      </c>
      <c r="M1050" s="24"/>
      <c r="N1050" s="112" t="str">
        <f>IF(ISBLANK(E1050),"",_xlfn.XLOOKUP(E1050,[1]cannabis_log!C:C,[1]cannabis_log!T:T,"Not Found",0,))</f>
        <v>net</v>
      </c>
      <c r="O1050" s="180">
        <f>IF(N1050="net",_xlfn.XLOOKUP(E1050,cannabis_log!C:C,cannabis_log!N:N,"NOT FOUND",0,1),IF(N1050="gross",0,""))</f>
        <v>50</v>
      </c>
    </row>
    <row r="1051" spans="1:15">
      <c r="A1051" s="181" t="str">
        <f t="shared" si="46"/>
        <v>outbound</v>
      </c>
      <c r="B1051" s="182">
        <v>45694.45416666667</v>
      </c>
      <c r="C1051" s="183" t="s">
        <v>1921</v>
      </c>
      <c r="D1051" s="183" t="s">
        <v>2444</v>
      </c>
      <c r="E1051" s="215" t="s">
        <v>2586</v>
      </c>
      <c r="F1051" s="112" t="str">
        <f>IF(ISBLANK(E1051),"",_xlfn.XLOOKUP(E1051,[1]cannabis_log!C:C,[1]cannabis_log!J:J,"",0,))</f>
        <v>EX25011501V50</v>
      </c>
      <c r="G1051" s="112"/>
      <c r="H1051" s="112" t="str">
        <f>IF(ISBLANK(E1051),"",_xlfn.XLOOKUP(E1051,cannabis_log!C:C,cannabis_log!H:H,"",0,1))</f>
        <v>extract_ingested_labelled</v>
      </c>
      <c r="I1051" s="113">
        <f>IF(ISBLANK(E1051),"",_xlfn.XLOOKUP(E1051,cannabis_log!C:C,cannabis_log!K:K,"NOT FOUND",0,1))</f>
        <v>45692</v>
      </c>
      <c r="J1051" s="185">
        <v>-231</v>
      </c>
      <c r="K1051" s="186">
        <f>IF(N1051="net",0,"")</f>
        <v>0</v>
      </c>
      <c r="L1051" s="288">
        <f t="shared" si="45"/>
        <v>-11550</v>
      </c>
      <c r="M1051" s="24"/>
      <c r="N1051" s="112" t="str">
        <f>IF(ISBLANK(E1051),"",_xlfn.XLOOKUP(E1051,[1]cannabis_log!C:C,[1]cannabis_log!T:T,"Not Found",0,))</f>
        <v>net</v>
      </c>
      <c r="O1051" s="180">
        <f>IF(N1051="net",_xlfn.XLOOKUP(E1051,cannabis_log!C:C,cannabis_log!N:N,"NOT FOUND",0,1),IF(N1051="gross",0,""))</f>
        <v>50</v>
      </c>
    </row>
    <row r="1052" spans="1:15">
      <c r="A1052" s="181" t="str">
        <f t="shared" si="46"/>
        <v>outbound</v>
      </c>
      <c r="B1052" s="182">
        <v>45694.45416666667</v>
      </c>
      <c r="C1052" s="183" t="s">
        <v>1921</v>
      </c>
      <c r="D1052" s="183" t="s">
        <v>2444</v>
      </c>
      <c r="E1052" s="215" t="s">
        <v>2587</v>
      </c>
      <c r="F1052" s="112" t="str">
        <f>IF(ISBLANK(E1052),"",_xlfn.XLOOKUP(E1052,[1]cannabis_log!C:C,[1]cannabis_log!J:J,"",0,))</f>
        <v>EX25011501V50</v>
      </c>
      <c r="G1052" s="112"/>
      <c r="H1052" s="112" t="str">
        <f>IF(ISBLANK(E1052),"",_xlfn.XLOOKUP(E1052,cannabis_log!C:C,cannabis_log!H:H,"",0,1))</f>
        <v>extract_ingested_labelled</v>
      </c>
      <c r="I1052" s="113">
        <f>IF(ISBLANK(E1052),"",_xlfn.XLOOKUP(E1052,cannabis_log!C:C,cannabis_log!K:K,"NOT FOUND",0,1))</f>
        <v>45692</v>
      </c>
      <c r="J1052" s="185">
        <v>-231</v>
      </c>
      <c r="K1052" s="186">
        <f>IF(N1052="net",0,"")</f>
        <v>0</v>
      </c>
      <c r="L1052" s="288">
        <f t="shared" si="45"/>
        <v>-11550</v>
      </c>
      <c r="M1052" s="24"/>
      <c r="N1052" s="112" t="str">
        <f>IF(ISBLANK(E1052),"",_xlfn.XLOOKUP(E1052,[1]cannabis_log!C:C,[1]cannabis_log!T:T,"Not Found",0,))</f>
        <v>net</v>
      </c>
      <c r="O1052" s="180">
        <f>IF(N1052="net",_xlfn.XLOOKUP(E1052,cannabis_log!C:C,cannabis_log!N:N,"NOT FOUND",0,1),IF(N1052="gross",0,""))</f>
        <v>50</v>
      </c>
    </row>
    <row r="1053" spans="1:15">
      <c r="A1053" s="181" t="str">
        <f t="shared" si="46"/>
        <v>outbound</v>
      </c>
      <c r="B1053" s="182">
        <v>45694.532638888886</v>
      </c>
      <c r="C1053" s="183" t="s">
        <v>1921</v>
      </c>
      <c r="D1053" s="183" t="s">
        <v>2588</v>
      </c>
      <c r="E1053" s="215" t="s">
        <v>2589</v>
      </c>
      <c r="F1053" s="112">
        <f>IF(ISBLANK(E1053),"",_xlfn.XLOOKUP(E1053,[1]cannabis_log!C:C,[1]cannabis_log!J:J,"",0,))</f>
        <v>2025012801</v>
      </c>
      <c r="G1053" s="112"/>
      <c r="H1053" s="112" t="str">
        <f>IF(ISBLANK(E1053),"",_xlfn.XLOOKUP(E1053,cannabis_log!C:C,cannabis_log!H:H,"",0,1))</f>
        <v>extract_distillate_bulk</v>
      </c>
      <c r="I1053" s="113" t="str">
        <f>IF(ISBLANK(E1053),"",_xlfn.XLOOKUP(E1053,cannabis_log!C:C,cannabis_log!K:K,"NOT FOUND",0,1))</f>
        <v>NA</v>
      </c>
      <c r="J1053" s="185">
        <v>-1</v>
      </c>
      <c r="K1053" s="186">
        <v>-2985</v>
      </c>
      <c r="L1053" s="288">
        <f t="shared" si="45"/>
        <v>0</v>
      </c>
      <c r="M1053" s="24"/>
      <c r="N1053" s="112" t="str">
        <f>IF(ISBLANK(E1053),"",_xlfn.XLOOKUP(E1053,[1]cannabis_log!C:C,[1]cannabis_log!T:T,"Not Found",0,))</f>
        <v>gross</v>
      </c>
      <c r="O1053" s="180">
        <f>IF(N1053="net",_xlfn.XLOOKUP(E1053,cannabis_log!C:C,cannabis_log!N:N,"NOT FOUND",0,1),IF(N1053="gross",0,""))</f>
        <v>0</v>
      </c>
    </row>
    <row r="1054" spans="1:15">
      <c r="A1054" s="181" t="str">
        <f t="shared" si="46"/>
        <v>outbound</v>
      </c>
      <c r="B1054" s="182">
        <v>45694.630555555559</v>
      </c>
      <c r="C1054" s="183" t="s">
        <v>1924</v>
      </c>
      <c r="D1054" s="183"/>
      <c r="E1054" s="215" t="s">
        <v>1945</v>
      </c>
      <c r="F1054" s="112" t="str">
        <f>IF(ISBLANK(E1054),"",_xlfn.XLOOKUP(E1054,[1]cannabis_log!C:C,[1]cannabis_log!J:J,"",0,))</f>
        <v>LR23032101</v>
      </c>
      <c r="G1054" s="112"/>
      <c r="H1054" s="112" t="str">
        <f>IF(ISBLANK(E1054),"",_xlfn.XLOOKUP(E1054,cannabis_log!C:C,cannabis_log!H:H,"",0,1))</f>
        <v>extract_inhaled_bulk</v>
      </c>
      <c r="I1054" s="113" t="str">
        <f>IF(ISBLANK(E1054),"",_xlfn.XLOOKUP(E1054,cannabis_log!C:C,cannabis_log!K:K,"NOT FOUND",0,1))</f>
        <v>NA</v>
      </c>
      <c r="J1054" s="185">
        <v>-1</v>
      </c>
      <c r="K1054" s="186">
        <v>-1760</v>
      </c>
      <c r="L1054" s="288">
        <f t="shared" si="45"/>
        <v>0</v>
      </c>
      <c r="M1054" s="24"/>
      <c r="N1054" s="112" t="str">
        <f>IF(ISBLANK(E1054),"",_xlfn.XLOOKUP(E1054,[1]cannabis_log!C:C,[1]cannabis_log!T:T,"Not Found",0,))</f>
        <v>gross</v>
      </c>
      <c r="O1054" s="180">
        <f>IF(N1054="net",_xlfn.XLOOKUP(E1054,cannabis_log!C:C,cannabis_log!N:N,"NOT FOUND",0,1),IF(N1054="gross",0,""))</f>
        <v>0</v>
      </c>
    </row>
    <row r="1055" spans="1:15">
      <c r="A1055" s="181" t="str">
        <f t="shared" si="46"/>
        <v>outbound</v>
      </c>
      <c r="B1055" s="182">
        <v>45694.643750000003</v>
      </c>
      <c r="C1055" s="183" t="s">
        <v>1924</v>
      </c>
      <c r="D1055" s="183"/>
      <c r="E1055" s="216" t="s">
        <v>2300</v>
      </c>
      <c r="F1055" s="112" t="str">
        <f>IF(ISBLANK(E1055),"",_xlfn.XLOOKUP(E1055,[1]cannabis_log!C:C,[1]cannabis_log!J:J,"",0,))</f>
        <v>EX23060701V30</v>
      </c>
      <c r="G1055" s="112"/>
      <c r="H1055" s="112" t="str">
        <f>IF(ISBLANK(E1055),"",_xlfn.XLOOKUP(E1055,cannabis_log!C:C,cannabis_log!H:H,"",0,1))</f>
        <v>extract_ingested_labelled</v>
      </c>
      <c r="I1055" s="113">
        <f>IF(ISBLANK(E1055),"",_xlfn.XLOOKUP(E1055,cannabis_log!C:C,cannabis_log!K:K,"NOT FOUND",0,1))</f>
        <v>45596</v>
      </c>
      <c r="J1055" s="185">
        <v>-28</v>
      </c>
      <c r="K1055" s="186">
        <v>-1760</v>
      </c>
      <c r="L1055" s="288">
        <f t="shared" si="45"/>
        <v>-767.19999999999993</v>
      </c>
      <c r="M1055" s="24"/>
      <c r="N1055" s="112" t="str">
        <f>IF(ISBLANK(E1055),"",_xlfn.XLOOKUP(E1055,[1]cannabis_log!C:C,[1]cannabis_log!T:T,"Not Found",0,))</f>
        <v>net</v>
      </c>
      <c r="O1055" s="180">
        <f>IF(N1055="net",_xlfn.XLOOKUP(E1055,cannabis_log!C:C,cannabis_log!N:N,"NOT FOUND",0,1),IF(N1055="gross",0,""))</f>
        <v>27.4</v>
      </c>
    </row>
    <row r="1056" spans="1:15">
      <c r="A1056" s="181" t="str">
        <f t="shared" si="46"/>
        <v>inbound</v>
      </c>
      <c r="B1056" s="182">
        <v>45694.652083333334</v>
      </c>
      <c r="C1056" s="183" t="s">
        <v>1927</v>
      </c>
      <c r="D1056" s="183"/>
      <c r="E1056" s="215" t="s">
        <v>2291</v>
      </c>
      <c r="F1056" s="112">
        <f>IF(ISBLANK(E1056),"",_xlfn.XLOOKUP(E1056,[1]cannabis_log!C:C,[1]cannabis_log!J:J,"",0,))</f>
        <v>2022051601</v>
      </c>
      <c r="G1056" s="112"/>
      <c r="H1056" s="112" t="str">
        <f>IF(ISBLANK(E1056),"",_xlfn.XLOOKUP(E1056,cannabis_log!C:C,cannabis_log!H:H,"",0,1))</f>
        <v>driedflower_bulk</v>
      </c>
      <c r="I1056" s="113">
        <f>IF(ISBLANK(E1056),"",_xlfn.XLOOKUP(E1056,cannabis_log!C:C,cannabis_log!K:K,"NOT FOUND",0,1))</f>
        <v>44830</v>
      </c>
      <c r="J1056" s="185">
        <v>1</v>
      </c>
      <c r="K1056" s="186">
        <v>1030</v>
      </c>
      <c r="L1056" s="288">
        <f t="shared" si="45"/>
        <v>0</v>
      </c>
      <c r="M1056" s="24"/>
      <c r="N1056" s="112" t="str">
        <f>IF(ISBLANK(E1056),"",_xlfn.XLOOKUP(E1056,[1]cannabis_log!C:C,[1]cannabis_log!T:T,"Not Found",0,))</f>
        <v>gross</v>
      </c>
      <c r="O1056" s="180">
        <f>IF(N1056="net",_xlfn.XLOOKUP(E1056,cannabis_log!C:C,cannabis_log!N:N,"NOT FOUND",0,1),IF(N1056="gross",0,""))</f>
        <v>0</v>
      </c>
    </row>
    <row r="1057" spans="1:15">
      <c r="A1057" s="181" t="str">
        <f t="shared" si="46"/>
        <v>inbound</v>
      </c>
      <c r="B1057" s="182">
        <v>45694.652083333334</v>
      </c>
      <c r="C1057" s="183" t="s">
        <v>1927</v>
      </c>
      <c r="D1057" s="183"/>
      <c r="E1057" s="215" t="s">
        <v>2332</v>
      </c>
      <c r="F1057" s="112">
        <f>IF(ISBLANK(E1057),"",_xlfn.XLOOKUP(E1057,[1]cannabis_log!C:C,[1]cannabis_log!J:J,"",0,))</f>
        <v>2022051603</v>
      </c>
      <c r="G1057" s="112"/>
      <c r="H1057" s="112" t="str">
        <f>IF(ISBLANK(E1057),"",_xlfn.XLOOKUP(E1057,cannabis_log!C:C,cannabis_log!H:H,"",0,1))</f>
        <v>driedflower_bulk</v>
      </c>
      <c r="I1057" s="113">
        <f>IF(ISBLANK(E1057),"",_xlfn.XLOOKUP(E1057,cannabis_log!C:C,cannabis_log!K:K,"NOT FOUND",0,1))</f>
        <v>44830</v>
      </c>
      <c r="J1057" s="185">
        <v>1</v>
      </c>
      <c r="K1057" s="186">
        <v>1010</v>
      </c>
      <c r="L1057" s="288">
        <f t="shared" si="45"/>
        <v>0</v>
      </c>
      <c r="M1057" s="24"/>
      <c r="N1057" s="112" t="str">
        <f>IF(ISBLANK(E1057),"",_xlfn.XLOOKUP(E1057,[1]cannabis_log!C:C,[1]cannabis_log!T:T,"Not Found",0,))</f>
        <v>gross</v>
      </c>
      <c r="O1057" s="180">
        <f>IF(N1057="net",_xlfn.XLOOKUP(E1057,cannabis_log!C:C,cannabis_log!N:N,"NOT FOUND",0,1),IF(N1057="gross",0,""))</f>
        <v>0</v>
      </c>
    </row>
    <row r="1058" spans="1:15">
      <c r="A1058" s="181" t="str">
        <f t="shared" si="46"/>
        <v>inbound</v>
      </c>
      <c r="B1058" s="182">
        <v>45694.65625</v>
      </c>
      <c r="C1058" s="183" t="s">
        <v>1927</v>
      </c>
      <c r="D1058" s="183" t="s">
        <v>2444</v>
      </c>
      <c r="E1058" s="215" t="s">
        <v>2585</v>
      </c>
      <c r="F1058" s="112" t="str">
        <f>IF(ISBLANK(E1058),"",_xlfn.XLOOKUP(E1058,[1]cannabis_log!C:C,[1]cannabis_log!J:J,"",0,))</f>
        <v>EX25011501V50</v>
      </c>
      <c r="G1058" s="112"/>
      <c r="H1058" s="112" t="str">
        <f>IF(ISBLANK(E1058),"",_xlfn.XLOOKUP(E1058,cannabis_log!C:C,cannabis_log!H:H,"",0,1))</f>
        <v>extract_ingested_labelled</v>
      </c>
      <c r="I1058" s="113">
        <f>IF(ISBLANK(E1058),"",_xlfn.XLOOKUP(E1058,cannabis_log!C:C,cannabis_log!K:K,"NOT FOUND",0,1))</f>
        <v>45692</v>
      </c>
      <c r="J1058" s="185">
        <v>227</v>
      </c>
      <c r="K1058" s="186">
        <f>IF(N1058="net",0,"")</f>
        <v>0</v>
      </c>
      <c r="L1058" s="288">
        <f t="shared" si="45"/>
        <v>11350</v>
      </c>
      <c r="M1058" s="24"/>
      <c r="N1058" s="112" t="str">
        <f>IF(ISBLANK(E1058),"",_xlfn.XLOOKUP(E1058,[1]cannabis_log!C:C,[1]cannabis_log!T:T,"Not Found",0,))</f>
        <v>net</v>
      </c>
      <c r="O1058" s="180">
        <f>IF(N1058="net",_xlfn.XLOOKUP(E1058,cannabis_log!C:C,cannabis_log!N:N,"NOT FOUND",0,1),IF(N1058="gross",0,""))</f>
        <v>50</v>
      </c>
    </row>
    <row r="1059" spans="1:15">
      <c r="A1059" s="181" t="str">
        <f t="shared" si="46"/>
        <v>inbound</v>
      </c>
      <c r="B1059" s="182">
        <v>45694.65625</v>
      </c>
      <c r="C1059" s="183" t="s">
        <v>1927</v>
      </c>
      <c r="D1059" s="183" t="s">
        <v>2444</v>
      </c>
      <c r="E1059" s="215" t="s">
        <v>2586</v>
      </c>
      <c r="F1059" s="112" t="str">
        <f>IF(ISBLANK(E1059),"",_xlfn.XLOOKUP(E1059,[1]cannabis_log!C:C,[1]cannabis_log!J:J,"",0,))</f>
        <v>EX25011501V50</v>
      </c>
      <c r="G1059" s="112"/>
      <c r="H1059" s="112" t="str">
        <f>IF(ISBLANK(E1059),"",_xlfn.XLOOKUP(E1059,cannabis_log!C:C,cannabis_log!H:H,"",0,1))</f>
        <v>extract_ingested_labelled</v>
      </c>
      <c r="I1059" s="113">
        <f>IF(ISBLANK(E1059),"",_xlfn.XLOOKUP(E1059,cannabis_log!C:C,cannabis_log!K:K,"NOT FOUND",0,1))</f>
        <v>45692</v>
      </c>
      <c r="J1059" s="185">
        <v>231</v>
      </c>
      <c r="K1059" s="186">
        <f>IF(N1059="net",0,"")</f>
        <v>0</v>
      </c>
      <c r="L1059" s="288">
        <f t="shared" si="45"/>
        <v>11550</v>
      </c>
      <c r="M1059" s="24"/>
      <c r="N1059" s="112" t="str">
        <f>IF(ISBLANK(E1059),"",_xlfn.XLOOKUP(E1059,[1]cannabis_log!C:C,[1]cannabis_log!T:T,"Not Found",0,))</f>
        <v>net</v>
      </c>
      <c r="O1059" s="180">
        <f>IF(N1059="net",_xlfn.XLOOKUP(E1059,cannabis_log!C:C,cannabis_log!N:N,"NOT FOUND",0,1),IF(N1059="gross",0,""))</f>
        <v>50</v>
      </c>
    </row>
    <row r="1060" spans="1:15">
      <c r="A1060" s="181" t="str">
        <f t="shared" si="46"/>
        <v>inbound</v>
      </c>
      <c r="B1060" s="182">
        <v>45694.65625</v>
      </c>
      <c r="C1060" s="183" t="s">
        <v>1927</v>
      </c>
      <c r="D1060" s="183" t="s">
        <v>2444</v>
      </c>
      <c r="E1060" s="215" t="s">
        <v>2587</v>
      </c>
      <c r="F1060" s="112" t="str">
        <f>IF(ISBLANK(E1060),"",_xlfn.XLOOKUP(E1060,[1]cannabis_log!C:C,[1]cannabis_log!J:J,"",0,))</f>
        <v>EX25011501V50</v>
      </c>
      <c r="G1060" s="112"/>
      <c r="H1060" s="112" t="str">
        <f>IF(ISBLANK(E1060),"",_xlfn.XLOOKUP(E1060,cannabis_log!C:C,cannabis_log!H:H,"",0,1))</f>
        <v>extract_ingested_labelled</v>
      </c>
      <c r="I1060" s="113">
        <f>IF(ISBLANK(E1060),"",_xlfn.XLOOKUP(E1060,cannabis_log!C:C,cannabis_log!K:K,"NOT FOUND",0,1))</f>
        <v>45692</v>
      </c>
      <c r="J1060" s="185">
        <v>231</v>
      </c>
      <c r="K1060" s="186">
        <f>IF(N1060="net",0,"")</f>
        <v>0</v>
      </c>
      <c r="L1060" s="288">
        <f t="shared" si="45"/>
        <v>11550</v>
      </c>
      <c r="M1060" s="24"/>
      <c r="N1060" s="112" t="str">
        <f>IF(ISBLANK(E1060),"",_xlfn.XLOOKUP(E1060,[1]cannabis_log!C:C,[1]cannabis_log!T:T,"Not Found",0,))</f>
        <v>net</v>
      </c>
      <c r="O1060" s="180">
        <f>IF(N1060="net",_xlfn.XLOOKUP(E1060,cannabis_log!C:C,cannabis_log!N:N,"NOT FOUND",0,1),IF(N1060="gross",0,""))</f>
        <v>50</v>
      </c>
    </row>
    <row r="1061" spans="1:15">
      <c r="A1061" s="181" t="str">
        <f t="shared" si="46"/>
        <v>inbound</v>
      </c>
      <c r="B1061" s="182">
        <v>45694.703472222223</v>
      </c>
      <c r="C1061" s="183" t="s">
        <v>1927</v>
      </c>
      <c r="D1061" s="183"/>
      <c r="E1061" s="215" t="s">
        <v>2583</v>
      </c>
      <c r="F1061" s="112">
        <f>IF(ISBLANK(E1061),"",_xlfn.XLOOKUP(E1061,[1]cannabis_log!C:C,[1]cannabis_log!J:J,"",0,))</f>
        <v>2025010201</v>
      </c>
      <c r="G1061" s="112"/>
      <c r="H1061" s="112" t="str">
        <f>IF(ISBLANK(E1061),"",_xlfn.XLOOKUP(E1061,cannabis_log!C:C,cannabis_log!H:H,"",0,1))</f>
        <v>driedflower_bulk_BURB</v>
      </c>
      <c r="I1061" s="113" t="str">
        <f>IF(ISBLANK(E1061),"",_xlfn.XLOOKUP(E1061,cannabis_log!C:C,cannabis_log!K:K,"NOT FOUND",0,1))</f>
        <v>NA</v>
      </c>
      <c r="J1061" s="185">
        <v>1</v>
      </c>
      <c r="K1061" s="186">
        <v>4670</v>
      </c>
      <c r="L1061" s="288">
        <f t="shared" si="45"/>
        <v>0</v>
      </c>
      <c r="M1061" s="24"/>
      <c r="N1061" s="112" t="str">
        <f>IF(ISBLANK(E1061),"",_xlfn.XLOOKUP(E1061,[1]cannabis_log!C:C,[1]cannabis_log!T:T,"Not Found",0,))</f>
        <v>gross</v>
      </c>
      <c r="O1061" s="180">
        <f>IF(N1061="net",_xlfn.XLOOKUP(E1061,cannabis_log!C:C,cannabis_log!N:N,"NOT FOUND",0,1),IF(N1061="gross",0,""))</f>
        <v>0</v>
      </c>
    </row>
    <row r="1062" spans="1:15">
      <c r="A1062" s="181" t="str">
        <f t="shared" si="46"/>
        <v>outbound</v>
      </c>
      <c r="B1062" s="182">
        <v>45695.470138888886</v>
      </c>
      <c r="C1062" s="183" t="s">
        <v>1924</v>
      </c>
      <c r="D1062" s="183" t="s">
        <v>2590</v>
      </c>
      <c r="E1062" s="215" t="s">
        <v>2514</v>
      </c>
      <c r="F1062" s="112" t="str">
        <f>IF(ISBLANK(E1062),"",_xlfn.XLOOKUP(E1062,[1]cannabis_log!C:C,[1]cannabis_log!J:J,"",0,))</f>
        <v>EX25010907G1</v>
      </c>
      <c r="G1062" s="112"/>
      <c r="H1062" s="112" t="str">
        <f>IF(ISBLANK(E1062),"",_xlfn.XLOOKUP(E1062,cannabis_log!C:C,cannabis_log!H:H,"",0,1))</f>
        <v>extract_inhaled_labelled</v>
      </c>
      <c r="I1062" s="113">
        <f>IF(ISBLANK(E1062),"",_xlfn.XLOOKUP(E1062,cannabis_log!C:C,cannabis_log!K:K,"NOT FOUND",0,1))</f>
        <v>45666</v>
      </c>
      <c r="J1062" s="185">
        <v>-2</v>
      </c>
      <c r="K1062" s="186">
        <f t="shared" ref="K1062:K1069" si="48">IF(N1062="net",0,"")</f>
        <v>0</v>
      </c>
      <c r="L1062" s="288">
        <f t="shared" si="45"/>
        <v>-2</v>
      </c>
      <c r="M1062" s="24"/>
      <c r="N1062" s="112" t="str">
        <f>IF(ISBLANK(E1062),"",_xlfn.XLOOKUP(E1062,[1]cannabis_log!C:C,[1]cannabis_log!T:T,"Not Found",0,))</f>
        <v>net</v>
      </c>
      <c r="O1062" s="180">
        <f>IF(N1062="net",_xlfn.XLOOKUP(E1062,cannabis_log!C:C,cannabis_log!N:N,"NOT FOUND",0,1),IF(N1062="gross",0,""))</f>
        <v>1</v>
      </c>
    </row>
    <row r="1063" spans="1:15">
      <c r="A1063" s="181" t="str">
        <f t="shared" si="46"/>
        <v>outbound</v>
      </c>
      <c r="B1063" s="182">
        <v>45698.477777777778</v>
      </c>
      <c r="C1063" s="183" t="s">
        <v>1929</v>
      </c>
      <c r="D1063" s="183" t="s">
        <v>2591</v>
      </c>
      <c r="E1063" s="215" t="s">
        <v>2446</v>
      </c>
      <c r="F1063" s="112" t="str">
        <f>IF(ISBLANK(E1063),"",_xlfn.XLOOKUP(E1063,[1]cannabis_log!C:C,[1]cannabis_log!J:J,"",0,))</f>
        <v>EX24111801V50</v>
      </c>
      <c r="G1063" s="112"/>
      <c r="H1063" s="112" t="str">
        <f>IF(ISBLANK(E1063),"",_xlfn.XLOOKUP(E1063,cannabis_log!C:C,cannabis_log!H:H,"",0,1))</f>
        <v>extract_ingested_labelled</v>
      </c>
      <c r="I1063" s="113">
        <f>IF(ISBLANK(E1063),"",_xlfn.XLOOKUP(E1063,cannabis_log!C:C,cannabis_log!K:K,"NOT FOUND",0,1))</f>
        <v>45624</v>
      </c>
      <c r="J1063" s="185">
        <v>-5</v>
      </c>
      <c r="K1063" s="186">
        <f t="shared" si="48"/>
        <v>0</v>
      </c>
      <c r="L1063" s="288">
        <f t="shared" si="45"/>
        <v>-250</v>
      </c>
      <c r="M1063" s="24"/>
      <c r="N1063" s="112" t="str">
        <f>IF(ISBLANK(E1063),"",_xlfn.XLOOKUP(E1063,[1]cannabis_log!C:C,[1]cannabis_log!T:T,"Not Found",0,))</f>
        <v>net</v>
      </c>
      <c r="O1063" s="180">
        <f>IF(N1063="net",_xlfn.XLOOKUP(E1063,cannabis_log!C:C,cannabis_log!N:N,"NOT FOUND",0,1),IF(N1063="gross",0,""))</f>
        <v>50</v>
      </c>
    </row>
    <row r="1064" spans="1:15">
      <c r="A1064" s="181" t="str">
        <f t="shared" si="46"/>
        <v>outbound</v>
      </c>
      <c r="B1064" s="182">
        <v>45698.477777777778</v>
      </c>
      <c r="C1064" s="183" t="s">
        <v>1929</v>
      </c>
      <c r="D1064" s="183" t="s">
        <v>2591</v>
      </c>
      <c r="E1064" s="215" t="s">
        <v>2111</v>
      </c>
      <c r="F1064" s="112" t="str">
        <f>IF(ISBLANK(E1064),"",_xlfn.XLOOKUP(E1064,[1]cannabis_log!C:C,[1]cannabis_log!J:J,"",0,))</f>
        <v>EX24090501V50</v>
      </c>
      <c r="G1064" s="112"/>
      <c r="H1064" s="112" t="str">
        <f>IF(ISBLANK(E1064),"",_xlfn.XLOOKUP(E1064,cannabis_log!C:C,cannabis_log!H:H,"",0,1))</f>
        <v>extract_ingested_labelled</v>
      </c>
      <c r="I1064" s="113">
        <f>IF(ISBLANK(E1064),"",_xlfn.XLOOKUP(E1064,cannabis_log!C:C,cannabis_log!K:K,"NOT FOUND",0,1))</f>
        <v>45550</v>
      </c>
      <c r="J1064" s="185">
        <v>-7</v>
      </c>
      <c r="K1064" s="186">
        <f t="shared" si="48"/>
        <v>0</v>
      </c>
      <c r="L1064" s="288">
        <f t="shared" si="45"/>
        <v>-350</v>
      </c>
      <c r="M1064" s="24"/>
      <c r="N1064" s="112" t="str">
        <f>IF(ISBLANK(E1064),"",_xlfn.XLOOKUP(E1064,[1]cannabis_log!C:C,[1]cannabis_log!T:T,"Not Found",0,))</f>
        <v>net</v>
      </c>
      <c r="O1064" s="180">
        <f>IF(N1064="net",_xlfn.XLOOKUP(E1064,cannabis_log!C:C,cannabis_log!N:N,"NOT FOUND",0,1),IF(N1064="gross",0,""))</f>
        <v>50</v>
      </c>
    </row>
    <row r="1065" spans="1:15">
      <c r="A1065" s="181" t="str">
        <f t="shared" si="46"/>
        <v>outbound</v>
      </c>
      <c r="B1065" s="182">
        <v>45698.481944444444</v>
      </c>
      <c r="C1065" s="183" t="s">
        <v>1929</v>
      </c>
      <c r="D1065" s="183" t="s">
        <v>2592</v>
      </c>
      <c r="E1065" s="215" t="s">
        <v>2464</v>
      </c>
      <c r="F1065" s="112" t="str">
        <f>IF(ISBLANK(E1065),"",_xlfn.XLOOKUP(E1065,[1]cannabis_log!C:C,[1]cannabis_log!J:J,"",0,))</f>
        <v>2024111801G7</v>
      </c>
      <c r="G1065" s="112"/>
      <c r="H1065" s="112" t="str">
        <f>IF(ISBLANK(E1065),"",_xlfn.XLOOKUP(E1065,cannabis_log!C:C,cannabis_log!H:H,"",0,1))</f>
        <v>driedflower_labelled</v>
      </c>
      <c r="I1065" s="113">
        <f>IF(ISBLANK(E1065),"",_xlfn.XLOOKUP(E1065,cannabis_log!C:C,cannabis_log!K:K,"NOT FOUND",0,1))</f>
        <v>45631</v>
      </c>
      <c r="J1065" s="185">
        <v>-12</v>
      </c>
      <c r="K1065" s="186">
        <f t="shared" si="48"/>
        <v>0</v>
      </c>
      <c r="L1065" s="288">
        <f t="shared" si="45"/>
        <v>-84</v>
      </c>
      <c r="M1065" s="24"/>
      <c r="N1065" s="112" t="str">
        <f>IF(ISBLANK(E1065),"",_xlfn.XLOOKUP(E1065,[1]cannabis_log!C:C,[1]cannabis_log!T:T,"Not Found",0,))</f>
        <v>net</v>
      </c>
      <c r="O1065" s="180">
        <f>IF(N1065="net",_xlfn.XLOOKUP(E1065,cannabis_log!C:C,cannabis_log!N:N,"NOT FOUND",0,1),IF(N1065="gross",0,""))</f>
        <v>7</v>
      </c>
    </row>
    <row r="1066" spans="1:15">
      <c r="A1066" s="181" t="str">
        <f t="shared" si="46"/>
        <v>outbound</v>
      </c>
      <c r="B1066" s="182">
        <v>45698.580555555556</v>
      </c>
      <c r="C1066" s="183" t="s">
        <v>1929</v>
      </c>
      <c r="D1066" s="183" t="s">
        <v>2591</v>
      </c>
      <c r="E1066" s="215" t="s">
        <v>2585</v>
      </c>
      <c r="F1066" s="112" t="str">
        <f>IF(ISBLANK(E1066),"",_xlfn.XLOOKUP(E1066,[1]cannabis_log!C:C,[1]cannabis_log!J:J,"",0,))</f>
        <v>EX25011501V50</v>
      </c>
      <c r="G1066" s="112"/>
      <c r="H1066" s="112" t="str">
        <f>IF(ISBLANK(E1066),"",_xlfn.XLOOKUP(E1066,cannabis_log!C:C,cannabis_log!H:H,"",0,1))</f>
        <v>extract_ingested_labelled</v>
      </c>
      <c r="I1066" s="113">
        <f>IF(ISBLANK(E1066),"",_xlfn.XLOOKUP(E1066,cannabis_log!C:C,cannabis_log!K:K,"NOT FOUND",0,1))</f>
        <v>45692</v>
      </c>
      <c r="J1066" s="185">
        <v>-36</v>
      </c>
      <c r="K1066" s="186">
        <f t="shared" si="48"/>
        <v>0</v>
      </c>
      <c r="L1066" s="288">
        <f t="shared" si="45"/>
        <v>-1800</v>
      </c>
      <c r="M1066" s="24"/>
      <c r="N1066" s="112" t="str">
        <f>IF(ISBLANK(E1066),"",_xlfn.XLOOKUP(E1066,[1]cannabis_log!C:C,[1]cannabis_log!T:T,"Not Found",0,))</f>
        <v>net</v>
      </c>
      <c r="O1066" s="180">
        <f>IF(N1066="net",_xlfn.XLOOKUP(E1066,cannabis_log!C:C,cannabis_log!N:N,"NOT FOUND",0,1),IF(N1066="gross",0,""))</f>
        <v>50</v>
      </c>
    </row>
    <row r="1067" spans="1:15">
      <c r="A1067" s="181" t="str">
        <f t="shared" si="46"/>
        <v>outbound</v>
      </c>
      <c r="B1067" s="182">
        <v>45698.580555555556</v>
      </c>
      <c r="C1067" s="183" t="s">
        <v>1929</v>
      </c>
      <c r="D1067" s="183" t="s">
        <v>2591</v>
      </c>
      <c r="E1067" s="215" t="s">
        <v>2504</v>
      </c>
      <c r="F1067" s="112" t="str">
        <f>IF(ISBLANK(E1067),"",_xlfn.XLOOKUP(E1067,[1]cannabis_log!C:C,[1]cannabis_log!J:J,"",0,))</f>
        <v>EX24111801V50</v>
      </c>
      <c r="G1067" s="112"/>
      <c r="H1067" s="112" t="str">
        <f>IF(ISBLANK(E1067),"",_xlfn.XLOOKUP(E1067,cannabis_log!C:C,cannabis_log!H:H,"",0,1))</f>
        <v>extract_ingested_cased_BC</v>
      </c>
      <c r="I1067" s="113">
        <f>IF(ISBLANK(E1067),"",_xlfn.XLOOKUP(E1067,cannabis_log!C:C,cannabis_log!K:K,"NOT FOUND",0,1))</f>
        <v>45624</v>
      </c>
      <c r="J1067" s="185">
        <v>-1</v>
      </c>
      <c r="K1067" s="186">
        <f t="shared" si="48"/>
        <v>0</v>
      </c>
      <c r="L1067" s="288">
        <f t="shared" si="45"/>
        <v>-600</v>
      </c>
      <c r="M1067" s="24"/>
      <c r="N1067" s="112" t="str">
        <f>IF(ISBLANK(E1067),"",_xlfn.XLOOKUP(E1067,[1]cannabis_log!C:C,[1]cannabis_log!T:T,"Not Found",0,))</f>
        <v>net</v>
      </c>
      <c r="O1067" s="180">
        <f>IF(N1067="net",_xlfn.XLOOKUP(E1067,cannabis_log!C:C,cannabis_log!N:N,"NOT FOUND",0,1),IF(N1067="gross",0,""))</f>
        <v>600</v>
      </c>
    </row>
    <row r="1068" spans="1:15">
      <c r="A1068" s="181" t="str">
        <f t="shared" si="46"/>
        <v>outbound</v>
      </c>
      <c r="B1068" s="182">
        <v>45698.580555555556</v>
      </c>
      <c r="C1068" s="183" t="s">
        <v>1929</v>
      </c>
      <c r="D1068" s="183" t="s">
        <v>2591</v>
      </c>
      <c r="E1068" s="215" t="s">
        <v>2593</v>
      </c>
      <c r="F1068" s="112" t="str">
        <f>IF(ISBLANK(E1068),"",_xlfn.XLOOKUP(E1068,[1]cannabis_log!C:C,[1]cannabis_log!J:J,"",0,))</f>
        <v>EX24092601V50</v>
      </c>
      <c r="G1068" s="112"/>
      <c r="H1068" s="112" t="str">
        <f>IF(ISBLANK(E1068),"",_xlfn.XLOOKUP(E1068,cannabis_log!C:C,cannabis_log!H:H,"",0,1))</f>
        <v>extract_ingested_cased_BC</v>
      </c>
      <c r="I1068" s="113">
        <f>IF(ISBLANK(E1068),"",_xlfn.XLOOKUP(E1068,cannabis_log!C:C,cannabis_log!K:K,"NOT FOUND",0,1))</f>
        <v>45576</v>
      </c>
      <c r="J1068" s="185">
        <v>-3</v>
      </c>
      <c r="K1068" s="186">
        <f t="shared" si="48"/>
        <v>0</v>
      </c>
      <c r="L1068" s="288">
        <f t="shared" si="45"/>
        <v>-1800</v>
      </c>
      <c r="M1068" s="24"/>
      <c r="N1068" s="112" t="str">
        <f>IF(ISBLANK(E1068),"",_xlfn.XLOOKUP(E1068,[1]cannabis_log!C:C,[1]cannabis_log!T:T,"Not Found",0,))</f>
        <v>net</v>
      </c>
      <c r="O1068" s="180">
        <f>IF(N1068="net",_xlfn.XLOOKUP(E1068,cannabis_log!C:C,cannabis_log!N:N,"NOT FOUND",0,1),IF(N1068="gross",0,""))</f>
        <v>600</v>
      </c>
    </row>
    <row r="1069" spans="1:15">
      <c r="A1069" s="181" t="str">
        <f t="shared" si="46"/>
        <v>outbound</v>
      </c>
      <c r="B1069" s="182">
        <v>45698.587500000001</v>
      </c>
      <c r="C1069" s="183" t="s">
        <v>1929</v>
      </c>
      <c r="D1069" s="183" t="s">
        <v>2594</v>
      </c>
      <c r="E1069" s="215" t="s">
        <v>2448</v>
      </c>
      <c r="F1069" s="112" t="str">
        <f>IF(ISBLANK(E1069),"",_xlfn.XLOOKUP(E1069,[1]cannabis_log!C:C,[1]cannabis_log!J:J,"",0,))</f>
        <v>EX24111801V50</v>
      </c>
      <c r="G1069" s="112"/>
      <c r="H1069" s="112" t="str">
        <f>IF(ISBLANK(E1069),"",_xlfn.XLOOKUP(E1069,cannabis_log!C:C,cannabis_log!H:H,"",0,1))</f>
        <v>extract_ingested_cased_ON</v>
      </c>
      <c r="I1069" s="113">
        <f>IF(ISBLANK(E1069),"",_xlfn.XLOOKUP(E1069,cannabis_log!C:C,cannabis_log!K:K,"NOT FOUND",0,1))</f>
        <v>45624</v>
      </c>
      <c r="J1069" s="185">
        <v>-1</v>
      </c>
      <c r="K1069" s="186">
        <f t="shared" si="48"/>
        <v>0</v>
      </c>
      <c r="L1069" s="288">
        <f t="shared" si="45"/>
        <v>-600</v>
      </c>
      <c r="M1069" s="24"/>
      <c r="N1069" s="112" t="str">
        <f>IF(ISBLANK(E1069),"",_xlfn.XLOOKUP(E1069,[1]cannabis_log!C:C,[1]cannabis_log!T:T,"Not Found",0,))</f>
        <v>net</v>
      </c>
      <c r="O1069" s="180">
        <f>IF(N1069="net",_xlfn.XLOOKUP(E1069,cannabis_log!C:C,cannabis_log!N:N,"NOT FOUND",0,1),IF(N1069="gross",0,""))</f>
        <v>600</v>
      </c>
    </row>
    <row r="1070" spans="1:15">
      <c r="A1070" s="181" t="str">
        <f t="shared" si="46"/>
        <v>inbound</v>
      </c>
      <c r="B1070" s="182">
        <v>45698.638194444444</v>
      </c>
      <c r="C1070" s="183" t="s">
        <v>1927</v>
      </c>
      <c r="D1070" s="183"/>
      <c r="E1070" s="215" t="s">
        <v>2573</v>
      </c>
      <c r="F1070" s="112" t="str">
        <f>IF(ISBLANK(E1070),"",_xlfn.XLOOKUP(E1070,[1]cannabis_log!C:C,[1]cannabis_log!J:J,"",0,))</f>
        <v>PR2501</v>
      </c>
      <c r="G1070" s="112"/>
      <c r="H1070" s="112" t="str">
        <f>IF(ISBLANK(E1070),"",_xlfn.XLOOKUP(E1070,cannabis_log!C:C,cannabis_log!H:H,"",0,1))</f>
        <v>driedflower_milled_bulk</v>
      </c>
      <c r="I1070" s="113" t="str">
        <f>IF(ISBLANK(E1070),"",_xlfn.XLOOKUP(E1070,cannabis_log!C:C,cannabis_log!K:K,"NOT FOUND",0,1))</f>
        <v>NA</v>
      </c>
      <c r="J1070" s="185">
        <v>1</v>
      </c>
      <c r="K1070" s="186">
        <v>4585</v>
      </c>
      <c r="L1070" s="288">
        <f t="shared" si="45"/>
        <v>0</v>
      </c>
      <c r="M1070" s="24"/>
      <c r="N1070" s="112" t="str">
        <f>IF(ISBLANK(E1070),"",_xlfn.XLOOKUP(E1070,[1]cannabis_log!C:C,[1]cannabis_log!T:T,"Not Found",0,))</f>
        <v>gross</v>
      </c>
      <c r="O1070" s="180">
        <f>IF(N1070="net",_xlfn.XLOOKUP(E1070,cannabis_log!C:C,cannabis_log!N:N,"NOT FOUND",0,1),IF(N1070="gross",0,""))</f>
        <v>0</v>
      </c>
    </row>
    <row r="1071" spans="1:15">
      <c r="A1071" s="181" t="str">
        <f t="shared" si="46"/>
        <v>inbound</v>
      </c>
      <c r="B1071" s="182">
        <v>45698.649305555555</v>
      </c>
      <c r="C1071" s="183" t="s">
        <v>1927</v>
      </c>
      <c r="D1071" s="183"/>
      <c r="E1071" s="215" t="s">
        <v>2589</v>
      </c>
      <c r="F1071" s="112">
        <f>IF(ISBLANK(E1071),"",_xlfn.XLOOKUP(E1071,[1]cannabis_log!C:C,[1]cannabis_log!J:J,"",0,))</f>
        <v>2025012801</v>
      </c>
      <c r="G1071" s="112"/>
      <c r="H1071" s="112" t="str">
        <f>IF(ISBLANK(E1071),"",_xlfn.XLOOKUP(E1071,cannabis_log!C:C,cannabis_log!H:H,"",0,1))</f>
        <v>extract_distillate_bulk</v>
      </c>
      <c r="I1071" s="113" t="str">
        <f>IF(ISBLANK(E1071),"",_xlfn.XLOOKUP(E1071,cannabis_log!C:C,cannabis_log!K:K,"NOT FOUND",0,1))</f>
        <v>NA</v>
      </c>
      <c r="J1071" s="185">
        <v>1</v>
      </c>
      <c r="K1071" s="186">
        <v>2706</v>
      </c>
      <c r="L1071" s="288">
        <f t="shared" si="45"/>
        <v>0</v>
      </c>
      <c r="M1071" s="24"/>
      <c r="N1071" s="112" t="str">
        <f>IF(ISBLANK(E1071),"",_xlfn.XLOOKUP(E1071,[1]cannabis_log!C:C,[1]cannabis_log!T:T,"Not Found",0,))</f>
        <v>gross</v>
      </c>
      <c r="O1071" s="180">
        <f>IF(N1071="net",_xlfn.XLOOKUP(E1071,cannabis_log!C:C,cannabis_log!N:N,"NOT FOUND",0,1),IF(N1071="gross",0,""))</f>
        <v>0</v>
      </c>
    </row>
    <row r="1072" spans="1:15">
      <c r="A1072" s="181" t="str">
        <f t="shared" si="46"/>
        <v>inbound</v>
      </c>
      <c r="B1072" s="182">
        <v>45698.649305555555</v>
      </c>
      <c r="C1072" s="183" t="s">
        <v>1927</v>
      </c>
      <c r="D1072" s="183"/>
      <c r="E1072" s="215" t="s">
        <v>1945</v>
      </c>
      <c r="F1072" s="112" t="str">
        <f>IF(ISBLANK(E1072),"",_xlfn.XLOOKUP(E1072,[1]cannabis_log!C:C,[1]cannabis_log!J:J,"",0,))</f>
        <v>LR23032101</v>
      </c>
      <c r="G1072" s="112"/>
      <c r="H1072" s="112" t="str">
        <f>IF(ISBLANK(E1072),"",_xlfn.XLOOKUP(E1072,cannabis_log!C:C,cannabis_log!H:H,"",0,1))</f>
        <v>extract_inhaled_bulk</v>
      </c>
      <c r="I1072" s="113" t="str">
        <f>IF(ISBLANK(E1072),"",_xlfn.XLOOKUP(E1072,cannabis_log!C:C,cannabis_log!K:K,"NOT FOUND",0,1))</f>
        <v>NA</v>
      </c>
      <c r="J1072" s="185">
        <v>1</v>
      </c>
      <c r="K1072" s="186">
        <v>1758</v>
      </c>
      <c r="L1072" s="288">
        <f t="shared" si="45"/>
        <v>0</v>
      </c>
      <c r="M1072" s="24"/>
      <c r="N1072" s="112" t="str">
        <f>IF(ISBLANK(E1072),"",_xlfn.XLOOKUP(E1072,[1]cannabis_log!C:C,[1]cannabis_log!T:T,"Not Found",0,))</f>
        <v>gross</v>
      </c>
      <c r="O1072" s="180">
        <f>IF(N1072="net",_xlfn.XLOOKUP(E1072,cannabis_log!C:C,cannabis_log!N:N,"NOT FOUND",0,1),IF(N1072="gross",0,""))</f>
        <v>0</v>
      </c>
    </row>
    <row r="1073" spans="1:15">
      <c r="A1073" s="181" t="str">
        <f t="shared" si="46"/>
        <v>outbound</v>
      </c>
      <c r="B1073" s="182">
        <v>45698.682638888888</v>
      </c>
      <c r="C1073" s="183" t="s">
        <v>1924</v>
      </c>
      <c r="D1073" s="183" t="s">
        <v>2595</v>
      </c>
      <c r="E1073" s="215" t="s">
        <v>2573</v>
      </c>
      <c r="F1073" s="112" t="str">
        <f>IF(ISBLANK(E1073),"",_xlfn.XLOOKUP(E1073,[1]cannabis_log!C:C,[1]cannabis_log!J:J,"",0,))</f>
        <v>PR2501</v>
      </c>
      <c r="G1073" s="112"/>
      <c r="H1073" s="112" t="str">
        <f>IF(ISBLANK(E1073),"",_xlfn.XLOOKUP(E1073,cannabis_log!C:C,cannabis_log!H:H,"",0,1))</f>
        <v>driedflower_milled_bulk</v>
      </c>
      <c r="I1073" s="113" t="str">
        <f>IF(ISBLANK(E1073),"",_xlfn.XLOOKUP(E1073,cannabis_log!C:C,cannabis_log!K:K,"NOT FOUND",0,1))</f>
        <v>NA</v>
      </c>
      <c r="J1073" s="185">
        <v>-1</v>
      </c>
      <c r="K1073" s="186">
        <v>-4585</v>
      </c>
      <c r="L1073" s="288">
        <f t="shared" si="45"/>
        <v>0</v>
      </c>
      <c r="M1073" s="24"/>
      <c r="N1073" s="112" t="str">
        <f>IF(ISBLANK(E1073),"",_xlfn.XLOOKUP(E1073,[1]cannabis_log!C:C,[1]cannabis_log!T:T,"Not Found",0,))</f>
        <v>gross</v>
      </c>
      <c r="O1073" s="180">
        <f>IF(N1073="net",_xlfn.XLOOKUP(E1073,cannabis_log!C:C,cannabis_log!N:N,"NOT FOUND",0,1),IF(N1073="gross",0,""))</f>
        <v>0</v>
      </c>
    </row>
    <row r="1074" spans="1:15">
      <c r="A1074" s="181" t="str">
        <f t="shared" si="46"/>
        <v>outbound</v>
      </c>
      <c r="B1074" s="182">
        <v>45698.688194444447</v>
      </c>
      <c r="C1074" s="183" t="s">
        <v>1924</v>
      </c>
      <c r="D1074" s="183" t="s">
        <v>2595</v>
      </c>
      <c r="E1074" s="215" t="s">
        <v>2495</v>
      </c>
      <c r="F1074" s="112" t="str">
        <f>IF(ISBLANK(E1074),"",_xlfn.XLOOKUP(E1074,[1]cannabis_log!C:C,[1]cannabis_log!J:J,"",0,))</f>
        <v>TP24120401G45</v>
      </c>
      <c r="G1074" s="112"/>
      <c r="H1074" s="112" t="str">
        <f>IF(ISBLANK(E1074),"",_xlfn.XLOOKUP(E1074,cannabis_log!C:C,cannabis_log!H:H,"",0,1))</f>
        <v>topical_labelled</v>
      </c>
      <c r="I1074" s="113">
        <f>IF(ISBLANK(E1074),"",_xlfn.XLOOKUP(E1074,cannabis_log!C:C,cannabis_log!K:K,"NOT FOUND",0,1))</f>
        <v>45638</v>
      </c>
      <c r="J1074" s="185">
        <v>-1</v>
      </c>
      <c r="K1074" s="186">
        <f>IF(N1074="net",0,"")</f>
        <v>0</v>
      </c>
      <c r="L1074" s="288">
        <f t="shared" ref="L1074:L1132" si="49">IFERROR(J1074*O1074,"")</f>
        <v>-45</v>
      </c>
      <c r="M1074" s="24"/>
      <c r="N1074" s="112" t="str">
        <f>IF(ISBLANK(E1074),"",_xlfn.XLOOKUP(E1074,[1]cannabis_log!C:C,[1]cannabis_log!T:T,"Not Found",0,))</f>
        <v>net</v>
      </c>
      <c r="O1074" s="180">
        <f>IF(N1074="net",_xlfn.XLOOKUP(E1074,cannabis_log!C:C,cannabis_log!N:N,"NOT FOUND",0,1),IF(N1074="gross",0,""))</f>
        <v>45</v>
      </c>
    </row>
    <row r="1075" spans="1:15">
      <c r="A1075" s="181" t="str">
        <f t="shared" si="46"/>
        <v>outbound</v>
      </c>
      <c r="B1075" s="182">
        <v>45698.688194444447</v>
      </c>
      <c r="C1075" s="183" t="s">
        <v>1924</v>
      </c>
      <c r="D1075" s="183" t="s">
        <v>2595</v>
      </c>
      <c r="E1075" s="215" t="s">
        <v>2432</v>
      </c>
      <c r="F1075" s="112">
        <f>IF(ISBLANK(E1075),"",_xlfn.XLOOKUP(E1075,[1]cannabis_log!C:C,[1]cannabis_log!J:J,"",0,))</f>
        <v>2024111803</v>
      </c>
      <c r="G1075" s="112"/>
      <c r="H1075" s="112" t="str">
        <f>IF(ISBLANK(E1075),"",_xlfn.XLOOKUP(E1075,cannabis_log!C:C,cannabis_log!H:H,"",0,1))</f>
        <v>driedflower_bulk</v>
      </c>
      <c r="I1075" s="113" t="str">
        <f>IF(ISBLANK(E1075),"",_xlfn.XLOOKUP(E1075,cannabis_log!C:C,cannabis_log!K:K,"NOT FOUND",0,1))</f>
        <v>NA</v>
      </c>
      <c r="J1075" s="185">
        <v>0</v>
      </c>
      <c r="K1075" s="186">
        <v>-25</v>
      </c>
      <c r="L1075" s="288">
        <f t="shared" si="49"/>
        <v>0</v>
      </c>
      <c r="M1075" s="24"/>
      <c r="N1075" s="112" t="str">
        <f>IF(ISBLANK(E1075),"",_xlfn.XLOOKUP(E1075,[1]cannabis_log!C:C,[1]cannabis_log!T:T,"Not Found",0,))</f>
        <v>gross</v>
      </c>
      <c r="O1075" s="180">
        <f>IF(N1075="net",_xlfn.XLOOKUP(E1075,cannabis_log!C:C,cannabis_log!N:N,"NOT FOUND",0,1),IF(N1075="gross",0,""))</f>
        <v>0</v>
      </c>
    </row>
    <row r="1076" spans="1:15">
      <c r="A1076" s="181" t="str">
        <f t="shared" si="46"/>
        <v>outbound</v>
      </c>
      <c r="B1076" s="182">
        <v>45699.473611111112</v>
      </c>
      <c r="C1076" s="183" t="s">
        <v>1924</v>
      </c>
      <c r="D1076" s="183" t="s">
        <v>2596</v>
      </c>
      <c r="E1076" s="215" t="s">
        <v>2495</v>
      </c>
      <c r="F1076" s="112" t="str">
        <f>IF(ISBLANK(E1076),"",_xlfn.XLOOKUP(E1076,[1]cannabis_log!C:C,[1]cannabis_log!J:J,"",0,))</f>
        <v>TP24120401G45</v>
      </c>
      <c r="G1076" s="112"/>
      <c r="H1076" s="112" t="str">
        <f>IF(ISBLANK(E1076),"",_xlfn.XLOOKUP(E1076,cannabis_log!C:C,cannabis_log!H:H,"",0,1))</f>
        <v>topical_labelled</v>
      </c>
      <c r="I1076" s="113">
        <f>IF(ISBLANK(E1076),"",_xlfn.XLOOKUP(E1076,cannabis_log!C:C,cannabis_log!K:K,"NOT FOUND",0,1))</f>
        <v>45638</v>
      </c>
      <c r="J1076" s="185">
        <v>-1</v>
      </c>
      <c r="K1076" s="186">
        <f t="shared" ref="K1076:K1085" si="50">IF(N1076="net",0,"")</f>
        <v>0</v>
      </c>
      <c r="L1076" s="288">
        <f t="shared" si="49"/>
        <v>-45</v>
      </c>
      <c r="M1076" s="24"/>
      <c r="N1076" s="112" t="str">
        <f>IF(ISBLANK(E1076),"",_xlfn.XLOOKUP(E1076,[1]cannabis_log!C:C,[1]cannabis_log!T:T,"Not Found",0,))</f>
        <v>net</v>
      </c>
      <c r="O1076" s="180">
        <f>IF(N1076="net",_xlfn.XLOOKUP(E1076,cannabis_log!C:C,cannabis_log!N:N,"NOT FOUND",0,1),IF(N1076="gross",0,""))</f>
        <v>45</v>
      </c>
    </row>
    <row r="1077" spans="1:15">
      <c r="A1077" s="181" t="str">
        <f t="shared" si="46"/>
        <v>outbound</v>
      </c>
      <c r="B1077" s="182">
        <v>45699.473611111112</v>
      </c>
      <c r="C1077" s="183" t="s">
        <v>1924</v>
      </c>
      <c r="D1077" s="183" t="s">
        <v>2596</v>
      </c>
      <c r="E1077" s="215" t="s">
        <v>2597</v>
      </c>
      <c r="F1077" s="112" t="str">
        <f>IF(ISBLANK(E1077),"",_xlfn.XLOOKUP(E1077,[1]cannabis_log!C:C,[1]cannabis_log!J:J,"",0,))</f>
        <v>EX24101705G05</v>
      </c>
      <c r="G1077" s="112"/>
      <c r="H1077" s="112" t="str">
        <f>IF(ISBLANK(E1077),"",_xlfn.XLOOKUP(E1077,cannabis_log!C:C,cannabis_log!H:H,"",0,1))</f>
        <v>extract_inhaled_labelled</v>
      </c>
      <c r="I1077" s="113">
        <f>IF(ISBLANK(E1077),"",_xlfn.XLOOKUP(E1077,cannabis_log!C:C,cannabis_log!K:K,"NOT FOUND",0,1))</f>
        <v>45629</v>
      </c>
      <c r="J1077" s="185">
        <v>-1</v>
      </c>
      <c r="K1077" s="186">
        <f t="shared" si="50"/>
        <v>0</v>
      </c>
      <c r="L1077" s="288">
        <f t="shared" si="49"/>
        <v>-0.5</v>
      </c>
      <c r="M1077" s="24"/>
      <c r="N1077" s="112" t="str">
        <f>IF(ISBLANK(E1077),"",_xlfn.XLOOKUP(E1077,[1]cannabis_log!C:C,[1]cannabis_log!T:T,"Not Found",0,))</f>
        <v>net</v>
      </c>
      <c r="O1077" s="180">
        <f>IF(N1077="net",_xlfn.XLOOKUP(E1077,cannabis_log!C:C,cannabis_log!N:N,"NOT FOUND",0,1),IF(N1077="gross",0,""))</f>
        <v>0.5</v>
      </c>
    </row>
    <row r="1078" spans="1:15">
      <c r="A1078" s="181" t="str">
        <f t="shared" si="46"/>
        <v>outbound</v>
      </c>
      <c r="B1078" s="182">
        <v>45699.473611111112</v>
      </c>
      <c r="C1078" s="183" t="s">
        <v>1924</v>
      </c>
      <c r="D1078" s="183" t="s">
        <v>2596</v>
      </c>
      <c r="E1078" s="215" t="s">
        <v>2110</v>
      </c>
      <c r="F1078" s="112" t="str">
        <f>IF(ISBLANK(E1078),"",_xlfn.XLOOKUP(E1078,[1]cannabis_log!C:C,[1]cannabis_log!J:J,"",0,))</f>
        <v>EX24061401V30</v>
      </c>
      <c r="G1078" s="112"/>
      <c r="H1078" s="112" t="str">
        <f>IF(ISBLANK(E1078),"",_xlfn.XLOOKUP(E1078,cannabis_log!C:C,cannabis_log!H:H,"",0,1))</f>
        <v>extract_ingested_labelled</v>
      </c>
      <c r="I1078" s="113">
        <f>IF(ISBLANK(E1078),"",_xlfn.XLOOKUP(E1078,cannabis_log!C:C,cannabis_log!K:K,"NOT FOUND",0,1))</f>
        <v>45467</v>
      </c>
      <c r="J1078" s="185">
        <v>-1</v>
      </c>
      <c r="K1078" s="186">
        <f t="shared" si="50"/>
        <v>0</v>
      </c>
      <c r="L1078" s="288">
        <f t="shared" si="49"/>
        <v>-27.3</v>
      </c>
      <c r="M1078" s="24"/>
      <c r="N1078" s="112" t="str">
        <f>IF(ISBLANK(E1078),"",_xlfn.XLOOKUP(E1078,[1]cannabis_log!C:C,[1]cannabis_log!T:T,"Not Found",0,))</f>
        <v>net</v>
      </c>
      <c r="O1078" s="180">
        <f>IF(N1078="net",_xlfn.XLOOKUP(E1078,cannabis_log!C:C,cannabis_log!N:N,"NOT FOUND",0,1),IF(N1078="gross",0,""))</f>
        <v>27.3</v>
      </c>
    </row>
    <row r="1079" spans="1:15">
      <c r="A1079" s="181" t="str">
        <f t="shared" si="46"/>
        <v>outbound</v>
      </c>
      <c r="B1079" s="182">
        <v>45699.482638888891</v>
      </c>
      <c r="C1079" s="183" t="s">
        <v>1929</v>
      </c>
      <c r="D1079" s="183" t="s">
        <v>2598</v>
      </c>
      <c r="E1079" s="215" t="s">
        <v>2492</v>
      </c>
      <c r="F1079" s="112" t="str">
        <f>IF(ISBLANK(E1079),"",_xlfn.XLOOKUP(E1079,[1]cannabis_log!C:C,[1]cannabis_log!J:J,"",0,))</f>
        <v>PR241104F5P3</v>
      </c>
      <c r="G1079" s="112"/>
      <c r="H1079" s="112" t="str">
        <f>IF(ISBLANK(E1079),"",_xlfn.XLOOKUP(E1079,cannabis_log!C:C,cannabis_log!H:H,"",0,1))</f>
        <v>preroll_labelled</v>
      </c>
      <c r="I1079" s="113">
        <f>IF(ISBLANK(E1079),"",_xlfn.XLOOKUP(E1079,cannabis_log!C:C,cannabis_log!K:K,"NOT FOUND",0,1))</f>
        <v>45630</v>
      </c>
      <c r="J1079" s="185">
        <v>-24</v>
      </c>
      <c r="K1079" s="186">
        <f t="shared" si="50"/>
        <v>0</v>
      </c>
      <c r="L1079" s="288">
        <f t="shared" si="49"/>
        <v>-36</v>
      </c>
      <c r="M1079" s="24"/>
      <c r="N1079" s="112" t="str">
        <f>IF(ISBLANK(E1079),"",_xlfn.XLOOKUP(E1079,[1]cannabis_log!C:C,[1]cannabis_log!T:T,"Not Found",0,))</f>
        <v>net</v>
      </c>
      <c r="O1079" s="180">
        <f>IF(N1079="net",_xlfn.XLOOKUP(E1079,cannabis_log!C:C,cannabis_log!N:N,"NOT FOUND",0,1),IF(N1079="gross",0,""))</f>
        <v>1.5</v>
      </c>
    </row>
    <row r="1080" spans="1:15">
      <c r="A1080" s="181" t="str">
        <f t="shared" si="46"/>
        <v>outbound</v>
      </c>
      <c r="B1080" s="182">
        <v>45699.482638888891</v>
      </c>
      <c r="C1080" s="183" t="s">
        <v>1929</v>
      </c>
      <c r="D1080" s="183" t="s">
        <v>2598</v>
      </c>
      <c r="E1080" s="215" t="s">
        <v>2412</v>
      </c>
      <c r="F1080" s="112" t="str">
        <f>IF(ISBLANK(E1080),"",_xlfn.XLOOKUP(E1080,[1]cannabis_log!C:C,[1]cannabis_log!J:J,"",0,))</f>
        <v>EX24111302G05</v>
      </c>
      <c r="G1080" s="112"/>
      <c r="H1080" s="112" t="str">
        <f>IF(ISBLANK(E1080),"",_xlfn.XLOOKUP(E1080,cannabis_log!C:C,cannabis_log!H:H,"",0,1))</f>
        <v>extract_inhaled_labelled</v>
      </c>
      <c r="I1080" s="113">
        <f>IF(ISBLANK(E1080),"",_xlfn.XLOOKUP(E1080,cannabis_log!C:C,cannabis_log!K:K,"NOT FOUND",0,1))</f>
        <v>45623</v>
      </c>
      <c r="J1080" s="185">
        <v>-12</v>
      </c>
      <c r="K1080" s="186">
        <f t="shared" si="50"/>
        <v>0</v>
      </c>
      <c r="L1080" s="288">
        <f t="shared" si="49"/>
        <v>-6</v>
      </c>
      <c r="M1080" s="24"/>
      <c r="N1080" s="112" t="str">
        <f>IF(ISBLANK(E1080),"",_xlfn.XLOOKUP(E1080,[1]cannabis_log!C:C,[1]cannabis_log!T:T,"Not Found",0,))</f>
        <v>net</v>
      </c>
      <c r="O1080" s="180">
        <f>IF(N1080="net",_xlfn.XLOOKUP(E1080,cannabis_log!C:C,cannabis_log!N:N,"NOT FOUND",0,1),IF(N1080="gross",0,""))</f>
        <v>0.5</v>
      </c>
    </row>
    <row r="1081" spans="1:15">
      <c r="A1081" s="181" t="str">
        <f t="shared" si="46"/>
        <v>outbound</v>
      </c>
      <c r="B1081" s="182">
        <v>45699.482638888891</v>
      </c>
      <c r="C1081" s="183" t="s">
        <v>1929</v>
      </c>
      <c r="D1081" s="183" t="s">
        <v>2598</v>
      </c>
      <c r="E1081" s="215" t="s">
        <v>2366</v>
      </c>
      <c r="F1081" s="112" t="str">
        <f>IF(ISBLANK(E1081),"",_xlfn.XLOOKUP(E1081,[1]cannabis_log!C:C,[1]cannabis_log!J:J,"",0,))</f>
        <v>EX24022302V30</v>
      </c>
      <c r="G1081" s="112"/>
      <c r="H1081" s="112" t="str">
        <f>IF(ISBLANK(E1081),"",_xlfn.XLOOKUP(E1081,cannabis_log!C:C,cannabis_log!H:H,"",0,1))</f>
        <v>extract_ingested_labelled</v>
      </c>
      <c r="I1081" s="113">
        <f>IF(ISBLANK(E1081),"",_xlfn.XLOOKUP(E1081,cannabis_log!C:C,cannabis_log!K:K,"NOT FOUND",0,1))</f>
        <v>45588</v>
      </c>
      <c r="J1081" s="185">
        <v>-12</v>
      </c>
      <c r="K1081" s="186">
        <f t="shared" si="50"/>
        <v>0</v>
      </c>
      <c r="L1081" s="288">
        <f t="shared" si="49"/>
        <v>-331.20000000000005</v>
      </c>
      <c r="M1081" s="24"/>
      <c r="N1081" s="112" t="str">
        <f>IF(ISBLANK(E1081),"",_xlfn.XLOOKUP(E1081,[1]cannabis_log!C:C,[1]cannabis_log!T:T,"Not Found",0,))</f>
        <v>net</v>
      </c>
      <c r="O1081" s="180">
        <f>IF(N1081="net",_xlfn.XLOOKUP(E1081,cannabis_log!C:C,cannabis_log!N:N,"NOT FOUND",0,1),IF(N1081="gross",0,""))</f>
        <v>27.6</v>
      </c>
    </row>
    <row r="1082" spans="1:15">
      <c r="A1082" s="181" t="str">
        <f t="shared" si="46"/>
        <v>outbound</v>
      </c>
      <c r="B1082" s="182">
        <v>45699.626388888886</v>
      </c>
      <c r="C1082" s="183" t="s">
        <v>1929</v>
      </c>
      <c r="D1082" s="183" t="s">
        <v>2599</v>
      </c>
      <c r="E1082" s="215" t="s">
        <v>2580</v>
      </c>
      <c r="F1082" s="112" t="str">
        <f>IF(ISBLANK(E1082),"",_xlfn.XLOOKUP(E1082,[1]cannabis_log!C:C,[1]cannabis_log!J:J,"",0,))</f>
        <v>EX24100801V30</v>
      </c>
      <c r="G1082" s="112"/>
      <c r="H1082" s="112" t="str">
        <f>IF(ISBLANK(E1082),"",_xlfn.XLOOKUP(E1082,cannabis_log!C:C,cannabis_log!H:H,"",0,1))</f>
        <v>extract_ingested_labelled</v>
      </c>
      <c r="I1082" s="113">
        <f>IF(ISBLANK(E1082),"",_xlfn.XLOOKUP(E1082,cannabis_log!C:C,cannabis_log!K:K,"NOT FOUND",0,1))</f>
        <v>45590</v>
      </c>
      <c r="J1082" s="185">
        <v>-12</v>
      </c>
      <c r="K1082" s="186">
        <f t="shared" si="50"/>
        <v>0</v>
      </c>
      <c r="L1082" s="288">
        <f t="shared" si="49"/>
        <v>-327.60000000000002</v>
      </c>
      <c r="M1082" s="24"/>
      <c r="N1082" s="112" t="str">
        <f>IF(ISBLANK(E1082),"",_xlfn.XLOOKUP(E1082,[1]cannabis_log!C:C,[1]cannabis_log!T:T,"Not Found",0,))</f>
        <v>net</v>
      </c>
      <c r="O1082" s="180">
        <f>IF(N1082="net",_xlfn.XLOOKUP(E1082,cannabis_log!C:C,cannabis_log!N:N,"NOT FOUND",0,1),IF(N1082="gross",0,""))</f>
        <v>27.3</v>
      </c>
    </row>
    <row r="1083" spans="1:15">
      <c r="A1083" s="181" t="str">
        <f t="shared" si="46"/>
        <v>outbound</v>
      </c>
      <c r="B1083" s="182">
        <v>45699.626388888886</v>
      </c>
      <c r="C1083" s="183" t="s">
        <v>1929</v>
      </c>
      <c r="D1083" s="183" t="s">
        <v>2599</v>
      </c>
      <c r="E1083" s="215" t="s">
        <v>2508</v>
      </c>
      <c r="F1083" s="112" t="str">
        <f>IF(ISBLANK(E1083),"",_xlfn.XLOOKUP(E1083,[1]cannabis_log!C:C,[1]cannabis_log!J:J,"",0,))</f>
        <v>PR2416F5P10</v>
      </c>
      <c r="G1083" s="112"/>
      <c r="H1083" s="112" t="str">
        <f>IF(ISBLANK(E1083),"",_xlfn.XLOOKUP(E1083,cannabis_log!C:C,cannabis_log!H:H,"",0,1))</f>
        <v>preroll_labelled</v>
      </c>
      <c r="I1083" s="113">
        <f>IF(ISBLANK(E1083),"",_xlfn.XLOOKUP(E1083,cannabis_log!C:C,cannabis_log!K:K,"NOT FOUND",0,1))</f>
        <v>45642</v>
      </c>
      <c r="J1083" s="185">
        <v>-12</v>
      </c>
      <c r="K1083" s="186">
        <f t="shared" si="50"/>
        <v>0</v>
      </c>
      <c r="L1083" s="288">
        <f t="shared" si="49"/>
        <v>-60</v>
      </c>
      <c r="M1083" s="24"/>
      <c r="N1083" s="112" t="str">
        <f>IF(ISBLANK(E1083),"",_xlfn.XLOOKUP(E1083,[1]cannabis_log!C:C,[1]cannabis_log!T:T,"Not Found",0,))</f>
        <v>net</v>
      </c>
      <c r="O1083" s="180">
        <f>IF(N1083="net",_xlfn.XLOOKUP(E1083,cannabis_log!C:C,cannabis_log!N:N,"NOT FOUND",0,1),IF(N1083="gross",0,""))</f>
        <v>5</v>
      </c>
    </row>
    <row r="1084" spans="1:15">
      <c r="A1084" s="181" t="str">
        <f t="shared" si="46"/>
        <v>outbound</v>
      </c>
      <c r="B1084" s="182">
        <v>45699.626388888886</v>
      </c>
      <c r="C1084" s="183" t="s">
        <v>1929</v>
      </c>
      <c r="D1084" s="183" t="s">
        <v>2599</v>
      </c>
      <c r="E1084" s="215" t="s">
        <v>2492</v>
      </c>
      <c r="F1084" s="112" t="str">
        <f>IF(ISBLANK(E1084),"",_xlfn.XLOOKUP(E1084,[1]cannabis_log!C:C,[1]cannabis_log!J:J,"",0,))</f>
        <v>PR241104F5P3</v>
      </c>
      <c r="G1084" s="112"/>
      <c r="H1084" s="112" t="str">
        <f>IF(ISBLANK(E1084),"",_xlfn.XLOOKUP(E1084,cannabis_log!C:C,cannabis_log!H:H,"",0,1))</f>
        <v>preroll_labelled</v>
      </c>
      <c r="I1084" s="113">
        <f>IF(ISBLANK(E1084),"",_xlfn.XLOOKUP(E1084,cannabis_log!C:C,cannabis_log!K:K,"NOT FOUND",0,1))</f>
        <v>45630</v>
      </c>
      <c r="J1084" s="185">
        <v>-12</v>
      </c>
      <c r="K1084" s="186">
        <f t="shared" si="50"/>
        <v>0</v>
      </c>
      <c r="L1084" s="288">
        <f t="shared" si="49"/>
        <v>-18</v>
      </c>
      <c r="M1084" s="24"/>
      <c r="N1084" s="112" t="str">
        <f>IF(ISBLANK(E1084),"",_xlfn.XLOOKUP(E1084,[1]cannabis_log!C:C,[1]cannabis_log!T:T,"Not Found",0,))</f>
        <v>net</v>
      </c>
      <c r="O1084" s="180">
        <f>IF(N1084="net",_xlfn.XLOOKUP(E1084,cannabis_log!C:C,cannabis_log!N:N,"NOT FOUND",0,1),IF(N1084="gross",0,""))</f>
        <v>1.5</v>
      </c>
    </row>
    <row r="1085" spans="1:15">
      <c r="A1085" s="181" t="str">
        <f t="shared" si="46"/>
        <v>outbound</v>
      </c>
      <c r="B1085" s="182">
        <v>45699.626388888886</v>
      </c>
      <c r="C1085" s="183" t="s">
        <v>1929</v>
      </c>
      <c r="D1085" s="183" t="s">
        <v>2599</v>
      </c>
      <c r="E1085" s="215" t="s">
        <v>2474</v>
      </c>
      <c r="F1085" s="112" t="str">
        <f>IF(ISBLANK(E1085),"",_xlfn.XLOOKUP(E1085,[1]cannabis_log!C:C,[1]cannabis_log!J:J,"",0,))</f>
        <v>PR241105F5P3</v>
      </c>
      <c r="G1085" s="112"/>
      <c r="H1085" s="112" t="str">
        <f>IF(ISBLANK(E1085),"",_xlfn.XLOOKUP(E1085,cannabis_log!C:C,cannabis_log!H:H,"",0,1))</f>
        <v>preroll_labelled</v>
      </c>
      <c r="I1085" s="113">
        <f>IF(ISBLANK(E1085),"",_xlfn.XLOOKUP(E1085,cannabis_log!C:C,cannabis_log!K:K,"NOT FOUND",0,1))</f>
        <v>45615</v>
      </c>
      <c r="J1085" s="185">
        <v>-12</v>
      </c>
      <c r="K1085" s="186">
        <f t="shared" si="50"/>
        <v>0</v>
      </c>
      <c r="L1085" s="288">
        <f t="shared" si="49"/>
        <v>-18</v>
      </c>
      <c r="M1085" s="24"/>
      <c r="N1085" s="112" t="str">
        <f>IF(ISBLANK(E1085),"",_xlfn.XLOOKUP(E1085,[1]cannabis_log!C:C,[1]cannabis_log!T:T,"Not Found",0,))</f>
        <v>net</v>
      </c>
      <c r="O1085" s="180">
        <f>IF(N1085="net",_xlfn.XLOOKUP(E1085,cannabis_log!C:C,cannabis_log!N:N,"NOT FOUND",0,1),IF(N1085="gross",0,""))</f>
        <v>1.5</v>
      </c>
    </row>
    <row r="1086" spans="1:15">
      <c r="A1086" s="181" t="str">
        <f t="shared" si="46"/>
        <v>outbound</v>
      </c>
      <c r="B1086" s="182">
        <v>45700.467361111114</v>
      </c>
      <c r="C1086" s="183" t="s">
        <v>1921</v>
      </c>
      <c r="D1086" s="183" t="s">
        <v>2600</v>
      </c>
      <c r="E1086" s="215" t="s">
        <v>2601</v>
      </c>
      <c r="F1086" s="112" t="str">
        <f>IF(ISBLANK(E1086),"",_xlfn.XLOOKUP(E1086,[1]cannabis_log!C:C,[1]cannabis_log!J:J,"",0,))</f>
        <v>PR2501</v>
      </c>
      <c r="G1086" s="112"/>
      <c r="H1086" s="112" t="str">
        <f>IF(ISBLANK(E1086),"",_xlfn.XLOOKUP(E1086,cannabis_log!C:C,cannabis_log!H:H,"",0,1))</f>
        <v>driedflower_milled_bulk</v>
      </c>
      <c r="I1086" s="113" t="str">
        <f>IF(ISBLANK(E1086),"",_xlfn.XLOOKUP(E1086,cannabis_log!C:C,cannabis_log!K:K,"NOT FOUND",0,1))</f>
        <v>NA</v>
      </c>
      <c r="J1086" s="185">
        <v>-1</v>
      </c>
      <c r="K1086" s="186">
        <v>-5870</v>
      </c>
      <c r="L1086" s="288">
        <f t="shared" si="49"/>
        <v>0</v>
      </c>
      <c r="M1086" s="24"/>
      <c r="N1086" s="112" t="str">
        <f>IF(ISBLANK(E1086),"",_xlfn.XLOOKUP(E1086,[1]cannabis_log!C:C,[1]cannabis_log!T:T,"Not Found",0,))</f>
        <v>gross</v>
      </c>
      <c r="O1086" s="180">
        <f>IF(N1086="net",_xlfn.XLOOKUP(E1086,cannabis_log!C:C,cannabis_log!N:N,"NOT FOUND",0,1),IF(N1086="gross",0,""))</f>
        <v>0</v>
      </c>
    </row>
    <row r="1087" spans="1:15">
      <c r="A1087" s="181" t="str">
        <f t="shared" si="46"/>
        <v>outbound</v>
      </c>
      <c r="B1087" s="182">
        <v>45700.476388888892</v>
      </c>
      <c r="C1087" s="183" t="s">
        <v>1929</v>
      </c>
      <c r="D1087" s="183" t="s">
        <v>2602</v>
      </c>
      <c r="E1087" s="215" t="s">
        <v>2514</v>
      </c>
      <c r="F1087" s="112" t="str">
        <f>IF(ISBLANK(E1087),"",_xlfn.XLOOKUP(E1087,[1]cannabis_log!C:C,[1]cannabis_log!J:J,"",0,))</f>
        <v>EX25010907G1</v>
      </c>
      <c r="G1087" s="112"/>
      <c r="H1087" s="112" t="str">
        <f>IF(ISBLANK(E1087),"",_xlfn.XLOOKUP(E1087,cannabis_log!C:C,cannabis_log!H:H,"",0,1))</f>
        <v>extract_inhaled_labelled</v>
      </c>
      <c r="I1087" s="113">
        <f>IF(ISBLANK(E1087),"",_xlfn.XLOOKUP(E1087,cannabis_log!C:C,cannabis_log!K:K,"NOT FOUND",0,1))</f>
        <v>45666</v>
      </c>
      <c r="J1087" s="185">
        <v>-12</v>
      </c>
      <c r="K1087" s="186">
        <f t="shared" ref="K1087:K1106" si="51">IF(N1087="net",0,"")</f>
        <v>0</v>
      </c>
      <c r="L1087" s="288">
        <f t="shared" si="49"/>
        <v>-12</v>
      </c>
      <c r="M1087" s="24"/>
      <c r="N1087" s="112" t="str">
        <f>IF(ISBLANK(E1087),"",_xlfn.XLOOKUP(E1087,[1]cannabis_log!C:C,[1]cannabis_log!T:T,"Not Found",0,))</f>
        <v>net</v>
      </c>
      <c r="O1087" s="180">
        <f>IF(N1087="net",_xlfn.XLOOKUP(E1087,cannabis_log!C:C,cannabis_log!N:N,"NOT FOUND",0,1),IF(N1087="gross",0,""))</f>
        <v>1</v>
      </c>
    </row>
    <row r="1088" spans="1:15">
      <c r="A1088" s="181" t="str">
        <f t="shared" si="46"/>
        <v>outbound</v>
      </c>
      <c r="B1088" s="182">
        <v>45700.476388888892</v>
      </c>
      <c r="C1088" s="183" t="s">
        <v>1929</v>
      </c>
      <c r="D1088" s="183" t="s">
        <v>2602</v>
      </c>
      <c r="E1088" s="215" t="s">
        <v>2497</v>
      </c>
      <c r="F1088" s="112" t="str">
        <f>IF(ISBLANK(E1088),"",_xlfn.XLOOKUP(E1088,[1]cannabis_log!C:C,[1]cannabis_log!J:J,"",0,))</f>
        <v>EX24111306G05</v>
      </c>
      <c r="G1088" s="112"/>
      <c r="H1088" s="112" t="str">
        <f>IF(ISBLANK(E1088),"",_xlfn.XLOOKUP(E1088,cannabis_log!C:C,cannabis_log!H:H,"",0,1))</f>
        <v>extract_inhaled_labelled</v>
      </c>
      <c r="I1088" s="113">
        <f>IF(ISBLANK(E1088),"",_xlfn.XLOOKUP(E1088,cannabis_log!C:C,cannabis_log!K:K,"NOT FOUND",0,1))</f>
        <v>45623</v>
      </c>
      <c r="J1088" s="185">
        <v>-12</v>
      </c>
      <c r="K1088" s="186">
        <f t="shared" si="51"/>
        <v>0</v>
      </c>
      <c r="L1088" s="288">
        <f t="shared" si="49"/>
        <v>-6</v>
      </c>
      <c r="M1088" s="24"/>
      <c r="N1088" s="112" t="str">
        <f>IF(ISBLANK(E1088),"",_xlfn.XLOOKUP(E1088,[1]cannabis_log!C:C,[1]cannabis_log!T:T,"Not Found",0,))</f>
        <v>net</v>
      </c>
      <c r="O1088" s="180">
        <f>IF(N1088="net",_xlfn.XLOOKUP(E1088,cannabis_log!C:C,cannabis_log!N:N,"NOT FOUND",0,1),IF(N1088="gross",0,""))</f>
        <v>0.5</v>
      </c>
    </row>
    <row r="1089" spans="1:15">
      <c r="A1089" s="181" t="str">
        <f t="shared" ref="A1089:A1152" si="52">IF(ISBLANK(J1089),"",IF(J1089+K1089+L1089&lt;0,"outbound","inbound"))</f>
        <v>outbound</v>
      </c>
      <c r="B1089" s="182">
        <v>45700.476388888892</v>
      </c>
      <c r="C1089" s="183" t="s">
        <v>1929</v>
      </c>
      <c r="D1089" s="183" t="s">
        <v>2602</v>
      </c>
      <c r="E1089" s="215" t="s">
        <v>2529</v>
      </c>
      <c r="F1089" s="112" t="str">
        <f>IF(ISBLANK(E1089),"",_xlfn.XLOOKUP(E1089,[1]cannabis_log!C:C,[1]cannabis_log!J:J,"",0,))</f>
        <v>EX24111301G05</v>
      </c>
      <c r="G1089" s="112"/>
      <c r="H1089" s="112" t="str">
        <f>IF(ISBLANK(E1089),"",_xlfn.XLOOKUP(E1089,cannabis_log!C:C,cannabis_log!H:H,"",0,1))</f>
        <v>extract_inhaled_labelled</v>
      </c>
      <c r="I1089" s="113">
        <f>IF(ISBLANK(E1089),"",_xlfn.XLOOKUP(E1089,cannabis_log!C:C,cannabis_log!K:K,"NOT FOUND",0,1))</f>
        <v>45642</v>
      </c>
      <c r="J1089" s="185">
        <v>-12</v>
      </c>
      <c r="K1089" s="186">
        <f t="shared" si="51"/>
        <v>0</v>
      </c>
      <c r="L1089" s="288">
        <f t="shared" si="49"/>
        <v>-6</v>
      </c>
      <c r="M1089" s="24"/>
      <c r="N1089" s="112" t="str">
        <f>IF(ISBLANK(E1089),"",_xlfn.XLOOKUP(E1089,[1]cannabis_log!C:C,[1]cannabis_log!T:T,"Not Found",0,))</f>
        <v>net</v>
      </c>
      <c r="O1089" s="180">
        <f>IF(N1089="net",_xlfn.XLOOKUP(E1089,cannabis_log!C:C,cannabis_log!N:N,"NOT FOUND",0,1),IF(N1089="gross",0,""))</f>
        <v>0.5</v>
      </c>
    </row>
    <row r="1090" spans="1:15">
      <c r="A1090" s="181" t="str">
        <f t="shared" si="52"/>
        <v>outbound</v>
      </c>
      <c r="B1090" s="182">
        <v>45700.476388888892</v>
      </c>
      <c r="C1090" s="183" t="s">
        <v>1929</v>
      </c>
      <c r="D1090" s="183" t="s">
        <v>2598</v>
      </c>
      <c r="E1090" s="215" t="s">
        <v>2492</v>
      </c>
      <c r="F1090" s="112" t="str">
        <f>IF(ISBLANK(E1090),"",_xlfn.XLOOKUP(E1090,[1]cannabis_log!C:C,[1]cannabis_log!J:J,"",0,))</f>
        <v>PR241104F5P3</v>
      </c>
      <c r="G1090" s="112"/>
      <c r="H1090" s="112" t="str">
        <f>IF(ISBLANK(E1090),"",_xlfn.XLOOKUP(E1090,cannabis_log!C:C,cannabis_log!H:H,"",0,1))</f>
        <v>preroll_labelled</v>
      </c>
      <c r="I1090" s="113">
        <f>IF(ISBLANK(E1090),"",_xlfn.XLOOKUP(E1090,cannabis_log!C:C,cannabis_log!K:K,"NOT FOUND",0,1))</f>
        <v>45630</v>
      </c>
      <c r="J1090" s="185">
        <v>-24</v>
      </c>
      <c r="K1090" s="186">
        <f t="shared" si="51"/>
        <v>0</v>
      </c>
      <c r="L1090" s="288">
        <f t="shared" si="49"/>
        <v>-36</v>
      </c>
      <c r="M1090" s="24"/>
      <c r="N1090" s="112" t="str">
        <f>IF(ISBLANK(E1090),"",_xlfn.XLOOKUP(E1090,[1]cannabis_log!C:C,[1]cannabis_log!T:T,"Not Found",0,))</f>
        <v>net</v>
      </c>
      <c r="O1090" s="180">
        <f>IF(N1090="net",_xlfn.XLOOKUP(E1090,cannabis_log!C:C,cannabis_log!N:N,"NOT FOUND",0,1),IF(N1090="gross",0,""))</f>
        <v>1.5</v>
      </c>
    </row>
    <row r="1091" spans="1:15">
      <c r="A1091" s="181" t="str">
        <f t="shared" si="52"/>
        <v>outbound</v>
      </c>
      <c r="B1091" s="182">
        <v>45700.494444444441</v>
      </c>
      <c r="C1091" s="183" t="s">
        <v>1929</v>
      </c>
      <c r="D1091" s="183" t="s">
        <v>2598</v>
      </c>
      <c r="E1091" s="215" t="s">
        <v>2412</v>
      </c>
      <c r="F1091" s="112" t="str">
        <f>IF(ISBLANK(E1091),"",_xlfn.XLOOKUP(E1091,[1]cannabis_log!C:C,[1]cannabis_log!J:J,"",0,))</f>
        <v>EX24111302G05</v>
      </c>
      <c r="G1091" s="112"/>
      <c r="H1091" s="112" t="str">
        <f>IF(ISBLANK(E1091),"",_xlfn.XLOOKUP(E1091,cannabis_log!C:C,cannabis_log!H:H,"",0,1))</f>
        <v>extract_inhaled_labelled</v>
      </c>
      <c r="I1091" s="113">
        <f>IF(ISBLANK(E1091),"",_xlfn.XLOOKUP(E1091,cannabis_log!C:C,cannabis_log!K:K,"NOT FOUND",0,1))</f>
        <v>45623</v>
      </c>
      <c r="J1091" s="185">
        <v>-12</v>
      </c>
      <c r="K1091" s="186">
        <f t="shared" si="51"/>
        <v>0</v>
      </c>
      <c r="L1091" s="288">
        <f t="shared" si="49"/>
        <v>-6</v>
      </c>
      <c r="M1091" s="24"/>
      <c r="N1091" s="112" t="str">
        <f>IF(ISBLANK(E1091),"",_xlfn.XLOOKUP(E1091,[1]cannabis_log!C:C,[1]cannabis_log!T:T,"Not Found",0,))</f>
        <v>net</v>
      </c>
      <c r="O1091" s="180">
        <f>IF(N1091="net",_xlfn.XLOOKUP(E1091,cannabis_log!C:C,cannabis_log!N:N,"NOT FOUND",0,1),IF(N1091="gross",0,""))</f>
        <v>0.5</v>
      </c>
    </row>
    <row r="1092" spans="1:15">
      <c r="A1092" s="181" t="str">
        <f t="shared" si="52"/>
        <v>outbound</v>
      </c>
      <c r="B1092" s="182">
        <v>45700.494444444441</v>
      </c>
      <c r="C1092" s="183" t="s">
        <v>1929</v>
      </c>
      <c r="D1092" s="183" t="s">
        <v>2598</v>
      </c>
      <c r="E1092" s="215" t="s">
        <v>2366</v>
      </c>
      <c r="F1092" s="112" t="str">
        <f>IF(ISBLANK(E1092),"",_xlfn.XLOOKUP(E1092,[1]cannabis_log!C:C,[1]cannabis_log!J:J,"",0,))</f>
        <v>EX24022302V30</v>
      </c>
      <c r="G1092" s="112"/>
      <c r="H1092" s="112" t="str">
        <f>IF(ISBLANK(E1092),"",_xlfn.XLOOKUP(E1092,cannabis_log!C:C,cannabis_log!H:H,"",0,1))</f>
        <v>extract_ingested_labelled</v>
      </c>
      <c r="I1092" s="113">
        <f>IF(ISBLANK(E1092),"",_xlfn.XLOOKUP(E1092,cannabis_log!C:C,cannabis_log!K:K,"NOT FOUND",0,1))</f>
        <v>45588</v>
      </c>
      <c r="J1092" s="185">
        <v>-12</v>
      </c>
      <c r="K1092" s="186">
        <f t="shared" si="51"/>
        <v>0</v>
      </c>
      <c r="L1092" s="288">
        <f t="shared" si="49"/>
        <v>-331.20000000000005</v>
      </c>
      <c r="M1092" s="24"/>
      <c r="N1092" s="112" t="str">
        <f>IF(ISBLANK(E1092),"",_xlfn.XLOOKUP(E1092,[1]cannabis_log!C:C,[1]cannabis_log!T:T,"Not Found",0,))</f>
        <v>net</v>
      </c>
      <c r="O1092" s="180">
        <f>IF(N1092="net",_xlfn.XLOOKUP(E1092,cannabis_log!C:C,cannabis_log!N:N,"NOT FOUND",0,1),IF(N1092="gross",0,""))</f>
        <v>27.6</v>
      </c>
    </row>
    <row r="1093" spans="1:15">
      <c r="A1093" s="181" t="str">
        <f t="shared" si="52"/>
        <v>outbound</v>
      </c>
      <c r="B1093" s="182">
        <v>45700.494444444441</v>
      </c>
      <c r="C1093" s="183" t="s">
        <v>1929</v>
      </c>
      <c r="D1093" s="183" t="s">
        <v>2602</v>
      </c>
      <c r="E1093" s="215" t="s">
        <v>2474</v>
      </c>
      <c r="F1093" s="112" t="str">
        <f>IF(ISBLANK(E1093),"",_xlfn.XLOOKUP(E1093,[1]cannabis_log!C:C,[1]cannabis_log!J:J,"",0,))</f>
        <v>PR241105F5P3</v>
      </c>
      <c r="G1093" s="112"/>
      <c r="H1093" s="112" t="str">
        <f>IF(ISBLANK(E1093),"",_xlfn.XLOOKUP(E1093,cannabis_log!C:C,cannabis_log!H:H,"",0,1))</f>
        <v>preroll_labelled</v>
      </c>
      <c r="I1093" s="113">
        <f>IF(ISBLANK(E1093),"",_xlfn.XLOOKUP(E1093,cannabis_log!C:C,cannabis_log!K:K,"NOT FOUND",0,1))</f>
        <v>45615</v>
      </c>
      <c r="J1093" s="185">
        <v>-12</v>
      </c>
      <c r="K1093" s="186">
        <f t="shared" si="51"/>
        <v>0</v>
      </c>
      <c r="L1093" s="288">
        <f t="shared" si="49"/>
        <v>-18</v>
      </c>
      <c r="M1093" s="24"/>
      <c r="N1093" s="112" t="str">
        <f>IF(ISBLANK(E1093),"",_xlfn.XLOOKUP(E1093,[1]cannabis_log!C:C,[1]cannabis_log!T:T,"Not Found",0,))</f>
        <v>net</v>
      </c>
      <c r="O1093" s="180">
        <f>IF(N1093="net",_xlfn.XLOOKUP(E1093,cannabis_log!C:C,cannabis_log!N:N,"NOT FOUND",0,1),IF(N1093="gross",0,""))</f>
        <v>1.5</v>
      </c>
    </row>
    <row r="1094" spans="1:15">
      <c r="A1094" s="181" t="str">
        <f t="shared" si="52"/>
        <v>outbound</v>
      </c>
      <c r="B1094" s="182">
        <v>45700.500694444447</v>
      </c>
      <c r="C1094" s="183" t="s">
        <v>1929</v>
      </c>
      <c r="D1094" s="183" t="s">
        <v>2603</v>
      </c>
      <c r="E1094" s="215" t="s">
        <v>2474</v>
      </c>
      <c r="F1094" s="112" t="str">
        <f>IF(ISBLANK(E1094),"",_xlfn.XLOOKUP(E1094,[1]cannabis_log!C:C,[1]cannabis_log!J:J,"",0,))</f>
        <v>PR241105F5P3</v>
      </c>
      <c r="G1094" s="112"/>
      <c r="H1094" s="112" t="str">
        <f>IF(ISBLANK(E1094),"",_xlfn.XLOOKUP(E1094,cannabis_log!C:C,cannabis_log!H:H,"",0,1))</f>
        <v>preroll_labelled</v>
      </c>
      <c r="I1094" s="113">
        <f>IF(ISBLANK(E1094),"",_xlfn.XLOOKUP(E1094,cannabis_log!C:C,cannabis_log!K:K,"NOT FOUND",0,1))</f>
        <v>45615</v>
      </c>
      <c r="J1094" s="185">
        <v>-36</v>
      </c>
      <c r="K1094" s="186">
        <f t="shared" si="51"/>
        <v>0</v>
      </c>
      <c r="L1094" s="288">
        <f t="shared" si="49"/>
        <v>-54</v>
      </c>
      <c r="M1094" s="24"/>
      <c r="N1094" s="112" t="str">
        <f>IF(ISBLANK(E1094),"",_xlfn.XLOOKUP(E1094,[1]cannabis_log!C:C,[1]cannabis_log!T:T,"Not Found",0,))</f>
        <v>net</v>
      </c>
      <c r="O1094" s="180">
        <f>IF(N1094="net",_xlfn.XLOOKUP(E1094,cannabis_log!C:C,cannabis_log!N:N,"NOT FOUND",0,1),IF(N1094="gross",0,""))</f>
        <v>1.5</v>
      </c>
    </row>
    <row r="1095" spans="1:15">
      <c r="A1095" s="181" t="str">
        <f t="shared" si="52"/>
        <v>outbound</v>
      </c>
      <c r="B1095" s="182">
        <v>45700.500694444447</v>
      </c>
      <c r="C1095" s="183" t="s">
        <v>1929</v>
      </c>
      <c r="D1095" s="183" t="s">
        <v>2603</v>
      </c>
      <c r="E1095" s="215" t="s">
        <v>2456</v>
      </c>
      <c r="F1095" s="112" t="str">
        <f>IF(ISBLANK(E1095),"",_xlfn.XLOOKUP(E1095,[1]cannabis_log!C:C,[1]cannabis_log!J:J,"",0,))</f>
        <v>EX24101703G05</v>
      </c>
      <c r="G1095" s="112"/>
      <c r="H1095" s="112" t="str">
        <f>IF(ISBLANK(E1095),"",_xlfn.XLOOKUP(E1095,cannabis_log!C:C,cannabis_log!H:H,"",0,1))</f>
        <v>extract_inhaled_labelled</v>
      </c>
      <c r="I1095" s="113">
        <f>IF(ISBLANK(E1095),"",_xlfn.XLOOKUP(E1095,cannabis_log!C:C,cannabis_log!K:K,"NOT FOUND",0,1))</f>
        <v>45603</v>
      </c>
      <c r="J1095" s="185">
        <v>-24</v>
      </c>
      <c r="K1095" s="186">
        <f t="shared" si="51"/>
        <v>0</v>
      </c>
      <c r="L1095" s="288">
        <f t="shared" si="49"/>
        <v>-12</v>
      </c>
      <c r="M1095" s="24"/>
      <c r="N1095" s="112" t="str">
        <f>IF(ISBLANK(E1095),"",_xlfn.XLOOKUP(E1095,[1]cannabis_log!C:C,[1]cannabis_log!T:T,"Not Found",0,))</f>
        <v>net</v>
      </c>
      <c r="O1095" s="180">
        <f>IF(N1095="net",_xlfn.XLOOKUP(E1095,cannabis_log!C:C,cannabis_log!N:N,"NOT FOUND",0,1),IF(N1095="gross",0,""))</f>
        <v>0.5</v>
      </c>
    </row>
    <row r="1096" spans="1:15">
      <c r="A1096" s="181" t="str">
        <f t="shared" si="52"/>
        <v>outbound</v>
      </c>
      <c r="B1096" s="182">
        <v>45700.500694444447</v>
      </c>
      <c r="C1096" s="183" t="s">
        <v>1929</v>
      </c>
      <c r="D1096" s="183" t="s">
        <v>2603</v>
      </c>
      <c r="E1096" s="215" t="s">
        <v>2514</v>
      </c>
      <c r="F1096" s="112" t="str">
        <f>IF(ISBLANK(E1096),"",_xlfn.XLOOKUP(E1096,[1]cannabis_log!C:C,[1]cannabis_log!J:J,"",0,))</f>
        <v>EX25010907G1</v>
      </c>
      <c r="G1096" s="112"/>
      <c r="H1096" s="112" t="str">
        <f>IF(ISBLANK(E1096),"",_xlfn.XLOOKUP(E1096,cannabis_log!C:C,cannabis_log!H:H,"",0,1))</f>
        <v>extract_inhaled_labelled</v>
      </c>
      <c r="I1096" s="113">
        <f>IF(ISBLANK(E1096),"",_xlfn.XLOOKUP(E1096,cannabis_log!C:C,cannabis_log!K:K,"NOT FOUND",0,1))</f>
        <v>45666</v>
      </c>
      <c r="J1096" s="185">
        <v>-36</v>
      </c>
      <c r="K1096" s="186">
        <f t="shared" si="51"/>
        <v>0</v>
      </c>
      <c r="L1096" s="288">
        <f t="shared" si="49"/>
        <v>-36</v>
      </c>
      <c r="M1096" s="24"/>
      <c r="N1096" s="112" t="str">
        <f>IF(ISBLANK(E1096),"",_xlfn.XLOOKUP(E1096,[1]cannabis_log!C:C,[1]cannabis_log!T:T,"Not Found",0,))</f>
        <v>net</v>
      </c>
      <c r="O1096" s="180">
        <f>IF(N1096="net",_xlfn.XLOOKUP(E1096,cannabis_log!C:C,cannabis_log!N:N,"NOT FOUND",0,1),IF(N1096="gross",0,""))</f>
        <v>1</v>
      </c>
    </row>
    <row r="1097" spans="1:15">
      <c r="A1097" s="181" t="str">
        <f t="shared" si="52"/>
        <v>outbound</v>
      </c>
      <c r="B1097" s="182">
        <v>45700.500694444447</v>
      </c>
      <c r="C1097" s="183" t="s">
        <v>1929</v>
      </c>
      <c r="D1097" s="183" t="s">
        <v>2603</v>
      </c>
      <c r="E1097" s="215" t="s">
        <v>2207</v>
      </c>
      <c r="F1097" s="112" t="str">
        <f>IF(ISBLANK(E1097),"",_xlfn.XLOOKUP(E1097,[1]cannabis_log!C:C,[1]cannabis_log!J:J,"",0,))</f>
        <v>EX24082904G05</v>
      </c>
      <c r="G1097" s="112"/>
      <c r="H1097" s="112" t="str">
        <f>IF(ISBLANK(E1097),"",_xlfn.XLOOKUP(E1097,cannabis_log!C:C,cannabis_log!H:H,"",0,1))</f>
        <v>extract_inhaled_labelled</v>
      </c>
      <c r="I1097" s="113">
        <f>IF(ISBLANK(E1097),"",_xlfn.XLOOKUP(E1097,cannabis_log!C:C,cannabis_log!K:K,"NOT FOUND",0,1))</f>
        <v>45555</v>
      </c>
      <c r="J1097" s="185">
        <v>-24</v>
      </c>
      <c r="K1097" s="186">
        <f t="shared" si="51"/>
        <v>0</v>
      </c>
      <c r="L1097" s="288">
        <f t="shared" si="49"/>
        <v>-12</v>
      </c>
      <c r="M1097" s="24"/>
      <c r="N1097" s="112" t="str">
        <f>IF(ISBLANK(E1097),"",_xlfn.XLOOKUP(E1097,[1]cannabis_log!C:C,[1]cannabis_log!T:T,"Not Found",0,))</f>
        <v>net</v>
      </c>
      <c r="O1097" s="180">
        <f>IF(N1097="net",_xlfn.XLOOKUP(E1097,cannabis_log!C:C,cannabis_log!N:N,"NOT FOUND",0,1),IF(N1097="gross",0,""))</f>
        <v>0.5</v>
      </c>
    </row>
    <row r="1098" spans="1:15">
      <c r="A1098" s="181" t="str">
        <f t="shared" si="52"/>
        <v>outbound</v>
      </c>
      <c r="B1098" s="182">
        <v>45700.500694444447</v>
      </c>
      <c r="C1098" s="183" t="s">
        <v>1929</v>
      </c>
      <c r="D1098" s="183" t="s">
        <v>2603</v>
      </c>
      <c r="E1098" s="215" t="s">
        <v>2412</v>
      </c>
      <c r="F1098" s="112" t="str">
        <f>IF(ISBLANK(E1098),"",_xlfn.XLOOKUP(E1098,[1]cannabis_log!C:C,[1]cannabis_log!J:J,"",0,))</f>
        <v>EX24111302G05</v>
      </c>
      <c r="G1098" s="112"/>
      <c r="H1098" s="112" t="str">
        <f>IF(ISBLANK(E1098),"",_xlfn.XLOOKUP(E1098,cannabis_log!C:C,cannabis_log!H:H,"",0,1))</f>
        <v>extract_inhaled_labelled</v>
      </c>
      <c r="I1098" s="113">
        <f>IF(ISBLANK(E1098),"",_xlfn.XLOOKUP(E1098,cannabis_log!C:C,cannabis_log!K:K,"NOT FOUND",0,1))</f>
        <v>45623</v>
      </c>
      <c r="J1098" s="185">
        <v>-36</v>
      </c>
      <c r="K1098" s="186">
        <f t="shared" si="51"/>
        <v>0</v>
      </c>
      <c r="L1098" s="288">
        <f t="shared" si="49"/>
        <v>-18</v>
      </c>
      <c r="M1098" s="24"/>
      <c r="N1098" s="112" t="str">
        <f>IF(ISBLANK(E1098),"",_xlfn.XLOOKUP(E1098,[1]cannabis_log!C:C,[1]cannabis_log!T:T,"Not Found",0,))</f>
        <v>net</v>
      </c>
      <c r="O1098" s="180">
        <f>IF(N1098="net",_xlfn.XLOOKUP(E1098,cannabis_log!C:C,cannabis_log!N:N,"NOT FOUND",0,1),IF(N1098="gross",0,""))</f>
        <v>0.5</v>
      </c>
    </row>
    <row r="1099" spans="1:15">
      <c r="A1099" s="181" t="str">
        <f t="shared" si="52"/>
        <v>outbound</v>
      </c>
      <c r="B1099" s="182">
        <v>45700.500694444447</v>
      </c>
      <c r="C1099" s="183" t="s">
        <v>1929</v>
      </c>
      <c r="D1099" s="183" t="s">
        <v>2603</v>
      </c>
      <c r="E1099" s="215" t="s">
        <v>2529</v>
      </c>
      <c r="F1099" s="112" t="str">
        <f>IF(ISBLANK(E1099),"",_xlfn.XLOOKUP(E1099,[1]cannabis_log!C:C,[1]cannabis_log!J:J,"",0,))</f>
        <v>EX24111301G05</v>
      </c>
      <c r="G1099" s="112"/>
      <c r="H1099" s="112" t="str">
        <f>IF(ISBLANK(E1099),"",_xlfn.XLOOKUP(E1099,cannabis_log!C:C,cannabis_log!H:H,"",0,1))</f>
        <v>extract_inhaled_labelled</v>
      </c>
      <c r="I1099" s="113">
        <f>IF(ISBLANK(E1099),"",_xlfn.XLOOKUP(E1099,cannabis_log!C:C,cannabis_log!K:K,"NOT FOUND",0,1))</f>
        <v>45642</v>
      </c>
      <c r="J1099" s="185">
        <v>-36</v>
      </c>
      <c r="K1099" s="186">
        <f t="shared" si="51"/>
        <v>0</v>
      </c>
      <c r="L1099" s="288">
        <f t="shared" si="49"/>
        <v>-18</v>
      </c>
      <c r="M1099" s="24"/>
      <c r="N1099" s="112" t="str">
        <f>IF(ISBLANK(E1099),"",_xlfn.XLOOKUP(E1099,[1]cannabis_log!C:C,[1]cannabis_log!T:T,"Not Found",0,))</f>
        <v>net</v>
      </c>
      <c r="O1099" s="180">
        <f>IF(N1099="net",_xlfn.XLOOKUP(E1099,cannabis_log!C:C,cannabis_log!N:N,"NOT FOUND",0,1),IF(N1099="gross",0,""))</f>
        <v>0.5</v>
      </c>
    </row>
    <row r="1100" spans="1:15">
      <c r="A1100" s="181" t="str">
        <f t="shared" si="52"/>
        <v>outbound</v>
      </c>
      <c r="B1100" s="182">
        <v>45700.500694444447</v>
      </c>
      <c r="C1100" s="183" t="s">
        <v>1929</v>
      </c>
      <c r="D1100" s="183" t="s">
        <v>2603</v>
      </c>
      <c r="E1100" s="215" t="s">
        <v>2495</v>
      </c>
      <c r="F1100" s="112" t="str">
        <f>IF(ISBLANK(E1100),"",_xlfn.XLOOKUP(E1100,[1]cannabis_log!C:C,[1]cannabis_log!J:J,"",0,))</f>
        <v>TP24120401G45</v>
      </c>
      <c r="G1100" s="112"/>
      <c r="H1100" s="112" t="str">
        <f>IF(ISBLANK(E1100),"",_xlfn.XLOOKUP(E1100,cannabis_log!C:C,cannabis_log!H:H,"",0,1))</f>
        <v>topical_labelled</v>
      </c>
      <c r="I1100" s="113">
        <f>IF(ISBLANK(E1100),"",_xlfn.XLOOKUP(E1100,cannabis_log!C:C,cannabis_log!K:K,"NOT FOUND",0,1))</f>
        <v>45638</v>
      </c>
      <c r="J1100" s="185">
        <v>-36</v>
      </c>
      <c r="K1100" s="186">
        <f t="shared" si="51"/>
        <v>0</v>
      </c>
      <c r="L1100" s="288">
        <f t="shared" si="49"/>
        <v>-1620</v>
      </c>
      <c r="M1100" s="24"/>
      <c r="N1100" s="112" t="str">
        <f>IF(ISBLANK(E1100),"",_xlfn.XLOOKUP(E1100,[1]cannabis_log!C:C,[1]cannabis_log!T:T,"Not Found",0,))</f>
        <v>net</v>
      </c>
      <c r="O1100" s="180">
        <f>IF(N1100="net",_xlfn.XLOOKUP(E1100,cannabis_log!C:C,cannabis_log!N:N,"NOT FOUND",0,1),IF(N1100="gross",0,""))</f>
        <v>45</v>
      </c>
    </row>
    <row r="1101" spans="1:15">
      <c r="A1101" s="181" t="str">
        <f t="shared" si="52"/>
        <v>outbound</v>
      </c>
      <c r="B1101" s="182">
        <v>45700.500694444447</v>
      </c>
      <c r="C1101" s="183" t="s">
        <v>1929</v>
      </c>
      <c r="D1101" s="183" t="s">
        <v>2604</v>
      </c>
      <c r="E1101" s="215" t="s">
        <v>2464</v>
      </c>
      <c r="F1101" s="112" t="str">
        <f>IF(ISBLANK(E1101),"",_xlfn.XLOOKUP(E1101,[1]cannabis_log!C:C,[1]cannabis_log!J:J,"",0,))</f>
        <v>2024111801G7</v>
      </c>
      <c r="G1101" s="112"/>
      <c r="H1101" s="112" t="str">
        <f>IF(ISBLANK(E1101),"",_xlfn.XLOOKUP(E1101,cannabis_log!C:C,cannabis_log!H:H,"",0,1))</f>
        <v>driedflower_labelled</v>
      </c>
      <c r="I1101" s="113">
        <f>IF(ISBLANK(E1101),"",_xlfn.XLOOKUP(E1101,cannabis_log!C:C,cannabis_log!K:K,"NOT FOUND",0,1))</f>
        <v>45631</v>
      </c>
      <c r="J1101" s="185">
        <v>-24</v>
      </c>
      <c r="K1101" s="186">
        <f t="shared" si="51"/>
        <v>0</v>
      </c>
      <c r="L1101" s="288">
        <f t="shared" si="49"/>
        <v>-168</v>
      </c>
      <c r="M1101" s="24"/>
      <c r="N1101" s="112" t="str">
        <f>IF(ISBLANK(E1101),"",_xlfn.XLOOKUP(E1101,[1]cannabis_log!C:C,[1]cannabis_log!T:T,"Not Found",0,))</f>
        <v>net</v>
      </c>
      <c r="O1101" s="180">
        <f>IF(N1101="net",_xlfn.XLOOKUP(E1101,cannabis_log!C:C,cannabis_log!N:N,"NOT FOUND",0,1),IF(N1101="gross",0,""))</f>
        <v>7</v>
      </c>
    </row>
    <row r="1102" spans="1:15">
      <c r="A1102" s="181" t="str">
        <f t="shared" si="52"/>
        <v>outbound</v>
      </c>
      <c r="B1102" s="182">
        <v>45700.500694444447</v>
      </c>
      <c r="C1102" s="183" t="s">
        <v>1929</v>
      </c>
      <c r="D1102" s="183" t="s">
        <v>2604</v>
      </c>
      <c r="E1102" s="215" t="s">
        <v>2605</v>
      </c>
      <c r="F1102" s="112" t="str">
        <f>IF(ISBLANK(E1102),"",_xlfn.XLOOKUP(E1102,[1]cannabis_log!C:C,[1]cannabis_log!J:J,"",0,))</f>
        <v>PR2407F5P3</v>
      </c>
      <c r="G1102" s="112"/>
      <c r="H1102" s="112" t="str">
        <f>IF(ISBLANK(E1102),"",_xlfn.XLOOKUP(E1102,cannabis_log!C:C,cannabis_log!H:H,"",0,1))</f>
        <v>preroll_labelled</v>
      </c>
      <c r="I1102" s="113">
        <f>IF(ISBLANK(E1102),"",_xlfn.XLOOKUP(E1102,cannabis_log!C:C,cannabis_log!K:K,"NOT FOUND",0,1))</f>
        <v>45447</v>
      </c>
      <c r="J1102" s="185">
        <v>-48</v>
      </c>
      <c r="K1102" s="186">
        <f t="shared" si="51"/>
        <v>0</v>
      </c>
      <c r="L1102" s="288">
        <f t="shared" si="49"/>
        <v>-72</v>
      </c>
      <c r="M1102" s="24"/>
      <c r="N1102" s="112" t="str">
        <f>IF(ISBLANK(E1102),"",_xlfn.XLOOKUP(E1102,[1]cannabis_log!C:C,[1]cannabis_log!T:T,"Not Found",0,))</f>
        <v>net</v>
      </c>
      <c r="O1102" s="180">
        <f>IF(N1102="net",_xlfn.XLOOKUP(E1102,cannabis_log!C:C,cannabis_log!N:N,"NOT FOUND",0,1),IF(N1102="gross",0,""))</f>
        <v>1.5</v>
      </c>
    </row>
    <row r="1103" spans="1:15">
      <c r="A1103" s="181" t="str">
        <f t="shared" si="52"/>
        <v>outbound</v>
      </c>
      <c r="B1103" s="182">
        <v>45700.500694444447</v>
      </c>
      <c r="C1103" s="183" t="s">
        <v>1929</v>
      </c>
      <c r="D1103" s="183" t="s">
        <v>2606</v>
      </c>
      <c r="E1103" s="215" t="s">
        <v>2464</v>
      </c>
      <c r="F1103" s="112" t="str">
        <f>IF(ISBLANK(E1103),"",_xlfn.XLOOKUP(E1103,[1]cannabis_log!C:C,[1]cannabis_log!J:J,"",0,))</f>
        <v>2024111801G7</v>
      </c>
      <c r="G1103" s="112"/>
      <c r="H1103" s="112" t="str">
        <f>IF(ISBLANK(E1103),"",_xlfn.XLOOKUP(E1103,cannabis_log!C:C,cannabis_log!H:H,"",0,1))</f>
        <v>driedflower_labelled</v>
      </c>
      <c r="I1103" s="113">
        <f>IF(ISBLANK(E1103),"",_xlfn.XLOOKUP(E1103,cannabis_log!C:C,cannabis_log!K:K,"NOT FOUND",0,1))</f>
        <v>45631</v>
      </c>
      <c r="J1103" s="185">
        <v>-12</v>
      </c>
      <c r="K1103" s="186">
        <f t="shared" si="51"/>
        <v>0</v>
      </c>
      <c r="L1103" s="288">
        <f t="shared" si="49"/>
        <v>-84</v>
      </c>
      <c r="M1103" s="24"/>
      <c r="N1103" s="112" t="str">
        <f>IF(ISBLANK(E1103),"",_xlfn.XLOOKUP(E1103,[1]cannabis_log!C:C,[1]cannabis_log!T:T,"Not Found",0,))</f>
        <v>net</v>
      </c>
      <c r="O1103" s="180">
        <f>IF(N1103="net",_xlfn.XLOOKUP(E1103,cannabis_log!C:C,cannabis_log!N:N,"NOT FOUND",0,1),IF(N1103="gross",0,""))</f>
        <v>7</v>
      </c>
    </row>
    <row r="1104" spans="1:15">
      <c r="A1104" s="181" t="str">
        <f t="shared" si="52"/>
        <v>outbound</v>
      </c>
      <c r="B1104" s="182">
        <v>45700.584027777775</v>
      </c>
      <c r="C1104" s="183" t="s">
        <v>1929</v>
      </c>
      <c r="D1104" s="183" t="s">
        <v>2607</v>
      </c>
      <c r="E1104" s="215" t="s">
        <v>2464</v>
      </c>
      <c r="F1104" s="112" t="str">
        <f>IF(ISBLANK(E1104),"",_xlfn.XLOOKUP(E1104,[1]cannabis_log!C:C,[1]cannabis_log!J:J,"",0,))</f>
        <v>2024111801G7</v>
      </c>
      <c r="G1104" s="112"/>
      <c r="H1104" s="112" t="str">
        <f>IF(ISBLANK(E1104),"",_xlfn.XLOOKUP(E1104,cannabis_log!C:C,cannabis_log!H:H,"",0,1))</f>
        <v>driedflower_labelled</v>
      </c>
      <c r="I1104" s="113">
        <f>IF(ISBLANK(E1104),"",_xlfn.XLOOKUP(E1104,cannabis_log!C:C,cannabis_log!K:K,"NOT FOUND",0,1))</f>
        <v>45631</v>
      </c>
      <c r="J1104" s="185">
        <v>-24</v>
      </c>
      <c r="K1104" s="186">
        <f t="shared" si="51"/>
        <v>0</v>
      </c>
      <c r="L1104" s="288">
        <f t="shared" si="49"/>
        <v>-168</v>
      </c>
      <c r="M1104" s="24"/>
      <c r="N1104" s="112" t="str">
        <f>IF(ISBLANK(E1104),"",_xlfn.XLOOKUP(E1104,[1]cannabis_log!C:C,[1]cannabis_log!T:T,"Not Found",0,))</f>
        <v>net</v>
      </c>
      <c r="O1104" s="180">
        <f>IF(N1104="net",_xlfn.XLOOKUP(E1104,cannabis_log!C:C,cannabis_log!N:N,"NOT FOUND",0,1),IF(N1104="gross",0,""))</f>
        <v>7</v>
      </c>
    </row>
    <row r="1105" spans="1:15">
      <c r="A1105" s="181" t="str">
        <f t="shared" si="52"/>
        <v>outbound</v>
      </c>
      <c r="B1105" s="182">
        <v>45701.463194444441</v>
      </c>
      <c r="C1105" s="183" t="s">
        <v>1929</v>
      </c>
      <c r="D1105" s="183" t="s">
        <v>2608</v>
      </c>
      <c r="E1105" s="215" t="s">
        <v>2477</v>
      </c>
      <c r="F1105" s="112" t="str">
        <f>IF(ISBLANK(E1105),"",_xlfn.XLOOKUP(E1105,[1]cannabis_log!C:C,[1]cannabis_log!J:J,"",0,))</f>
        <v>PR241102F5P3</v>
      </c>
      <c r="G1105" s="112"/>
      <c r="H1105" s="112" t="str">
        <f>IF(ISBLANK(E1105),"",_xlfn.XLOOKUP(E1105,cannabis_log!C:C,cannabis_log!H:H,"",0,1))</f>
        <v>preroll_labelled</v>
      </c>
      <c r="I1105" s="113">
        <f>IF(ISBLANK(E1105),"",_xlfn.XLOOKUP(E1105,cannabis_log!C:C,cannabis_log!K:K,"NOT FOUND",0,1))</f>
        <v>45660</v>
      </c>
      <c r="J1105" s="185">
        <v>-12</v>
      </c>
      <c r="K1105" s="186">
        <f t="shared" si="51"/>
        <v>0</v>
      </c>
      <c r="L1105" s="288">
        <f t="shared" si="49"/>
        <v>-18</v>
      </c>
      <c r="M1105" s="24"/>
      <c r="N1105" s="112" t="str">
        <f>IF(ISBLANK(E1105),"",_xlfn.XLOOKUP(E1105,[1]cannabis_log!C:C,[1]cannabis_log!T:T,"Not Found",0,))</f>
        <v>net</v>
      </c>
      <c r="O1105" s="180">
        <f>IF(N1105="net",_xlfn.XLOOKUP(E1105,cannabis_log!C:C,cannabis_log!N:N,"NOT FOUND",0,1),IF(N1105="gross",0,""))</f>
        <v>1.5</v>
      </c>
    </row>
    <row r="1106" spans="1:15">
      <c r="A1106" s="181" t="str">
        <f t="shared" si="52"/>
        <v>outbound</v>
      </c>
      <c r="B1106" s="182">
        <v>45701.463194444441</v>
      </c>
      <c r="C1106" s="183" t="s">
        <v>1929</v>
      </c>
      <c r="D1106" s="183" t="s">
        <v>2608</v>
      </c>
      <c r="E1106" s="215" t="s">
        <v>2464</v>
      </c>
      <c r="F1106" s="112" t="str">
        <f>IF(ISBLANK(E1106),"",_xlfn.XLOOKUP(E1106,[1]cannabis_log!C:C,[1]cannabis_log!J:J,"",0,))</f>
        <v>2024111801G7</v>
      </c>
      <c r="G1106" s="112"/>
      <c r="H1106" s="112" t="str">
        <f>IF(ISBLANK(E1106),"",_xlfn.XLOOKUP(E1106,cannabis_log!C:C,cannabis_log!H:H,"",0,1))</f>
        <v>driedflower_labelled</v>
      </c>
      <c r="I1106" s="113">
        <f>IF(ISBLANK(E1106),"",_xlfn.XLOOKUP(E1106,cannabis_log!C:C,cannabis_log!K:K,"NOT FOUND",0,1))</f>
        <v>45631</v>
      </c>
      <c r="J1106" s="185">
        <v>-12</v>
      </c>
      <c r="K1106" s="186">
        <f t="shared" si="51"/>
        <v>0</v>
      </c>
      <c r="L1106" s="288">
        <f t="shared" si="49"/>
        <v>-84</v>
      </c>
      <c r="M1106" s="24"/>
      <c r="N1106" s="112" t="str">
        <f>IF(ISBLANK(E1106),"",_xlfn.XLOOKUP(E1106,[1]cannabis_log!C:C,[1]cannabis_log!T:T,"Not Found",0,))</f>
        <v>net</v>
      </c>
      <c r="O1106" s="180">
        <f>IF(N1106="net",_xlfn.XLOOKUP(E1106,cannabis_log!C:C,cannabis_log!N:N,"NOT FOUND",0,1),IF(N1106="gross",0,""))</f>
        <v>7</v>
      </c>
    </row>
    <row r="1107" spans="1:15">
      <c r="A1107" s="181" t="str">
        <f t="shared" si="52"/>
        <v>outbound</v>
      </c>
      <c r="B1107" s="182">
        <v>45701.522222222222</v>
      </c>
      <c r="C1107" s="183" t="s">
        <v>1921</v>
      </c>
      <c r="D1107" s="183" t="s">
        <v>2588</v>
      </c>
      <c r="E1107" s="215" t="s">
        <v>2609</v>
      </c>
      <c r="F1107" s="112" t="str">
        <f>IF(ISBLANK(E1107),"",_xlfn.XLOOKUP(E1107,[1]cannabis_log!C:C,[1]cannabis_log!J:J,"",0,))</f>
        <v>EX25020601</v>
      </c>
      <c r="G1107" s="112"/>
      <c r="H1107" s="112" t="str">
        <f>IF(ISBLANK(E1107),"",_xlfn.XLOOKUP(E1107,cannabis_log!C:C,cannabis_log!H:H,"",0,1))</f>
        <v>extract_inhaled_bulk</v>
      </c>
      <c r="I1107" s="113" t="str">
        <f>IF(ISBLANK(E1107),"",_xlfn.XLOOKUP(E1107,cannabis_log!C:C,cannabis_log!K:K,"NOT FOUND",0,1))</f>
        <v>NA</v>
      </c>
      <c r="J1107" s="185">
        <v>-1</v>
      </c>
      <c r="K1107" s="186">
        <v>-588.34</v>
      </c>
      <c r="L1107" s="288">
        <f t="shared" si="49"/>
        <v>0</v>
      </c>
      <c r="M1107" s="24"/>
      <c r="N1107" s="112" t="str">
        <f>IF(ISBLANK(E1107),"",_xlfn.XLOOKUP(E1107,[1]cannabis_log!C:C,[1]cannabis_log!T:T,"Not Found",0,))</f>
        <v>gross</v>
      </c>
      <c r="O1107" s="180">
        <f>IF(N1107="net",_xlfn.XLOOKUP(E1107,cannabis_log!C:C,cannabis_log!N:N,"NOT FOUND",0,1),IF(N1107="gross",0,""))</f>
        <v>0</v>
      </c>
    </row>
    <row r="1108" spans="1:15">
      <c r="A1108" s="181" t="str">
        <f t="shared" si="52"/>
        <v>outbound</v>
      </c>
      <c r="B1108" s="182">
        <v>45701.665277777778</v>
      </c>
      <c r="C1108" s="183" t="s">
        <v>1921</v>
      </c>
      <c r="D1108" s="183" t="s">
        <v>2377</v>
      </c>
      <c r="E1108" s="215" t="s">
        <v>2610</v>
      </c>
      <c r="F1108" s="112" t="str">
        <f>IF(ISBLANK(E1108),"",_xlfn.XLOOKUP(E1108,[1]cannabis_log!C:C,[1]cannabis_log!J:J,"",0,))</f>
        <v>EX24111302</v>
      </c>
      <c r="G1108" s="112"/>
      <c r="H1108" s="112" t="str">
        <f>IF(ISBLANK(E1108),"",_xlfn.XLOOKUP(E1108,cannabis_log!C:C,cannabis_log!H:H,"",0,1))</f>
        <v>extract_inhaled_bulk</v>
      </c>
      <c r="I1108" s="113" t="str">
        <f>IF(ISBLANK(E1108),"",_xlfn.XLOOKUP(E1108,cannabis_log!C:C,cannabis_log!K:K,"NOT FOUND",0,1))</f>
        <v>NA</v>
      </c>
      <c r="J1108" s="185">
        <v>-1</v>
      </c>
      <c r="K1108" s="186">
        <v>-589.24</v>
      </c>
      <c r="L1108" s="288">
        <f t="shared" si="49"/>
        <v>0</v>
      </c>
      <c r="M1108" s="24"/>
      <c r="N1108" s="112" t="str">
        <f>IF(ISBLANK(E1108),"",_xlfn.XLOOKUP(E1108,[1]cannabis_log!C:C,[1]cannabis_log!T:T,"Not Found",0,))</f>
        <v>gross</v>
      </c>
      <c r="O1108" s="180">
        <f>IF(N1108="net",_xlfn.XLOOKUP(E1108,cannabis_log!C:C,cannabis_log!N:N,"NOT FOUND",0,1),IF(N1108="gross",0,""))</f>
        <v>0</v>
      </c>
    </row>
    <row r="1109" spans="1:15">
      <c r="A1109" s="181" t="str">
        <f t="shared" si="52"/>
        <v>outbound</v>
      </c>
      <c r="B1109" s="182">
        <v>45702.431944444441</v>
      </c>
      <c r="C1109" s="183" t="s">
        <v>1921</v>
      </c>
      <c r="D1109" s="183" t="s">
        <v>2377</v>
      </c>
      <c r="E1109" s="215" t="s">
        <v>2611</v>
      </c>
      <c r="F1109" s="112">
        <f>IF(ISBLANK(E1109),"",_xlfn.XLOOKUP(E1109,[1]cannabis_log!C:C,[1]cannabis_log!J:J,"",0,))</f>
        <v>2024120601</v>
      </c>
      <c r="G1109" s="112"/>
      <c r="H1109" s="112" t="str">
        <f>IF(ISBLANK(E1109),"",_xlfn.XLOOKUP(E1109,cannabis_log!C:C,cannabis_log!H:H,"",0,1))</f>
        <v>extract_inhaled_bulk</v>
      </c>
      <c r="I1109" s="113" t="str">
        <f>IF(ISBLANK(E1109),"",_xlfn.XLOOKUP(E1109,cannabis_log!C:C,cannabis_log!K:K,"NOT FOUND",0,1))</f>
        <v>NA</v>
      </c>
      <c r="J1109" s="185">
        <v>-1</v>
      </c>
      <c r="K1109" s="186">
        <v>-1952</v>
      </c>
      <c r="L1109" s="288">
        <f t="shared" si="49"/>
        <v>0</v>
      </c>
      <c r="M1109" s="24"/>
      <c r="N1109" s="112" t="str">
        <f>IF(ISBLANK(E1109),"",_xlfn.XLOOKUP(E1109,[1]cannabis_log!C:C,[1]cannabis_log!T:T,"Not Found",0,))</f>
        <v>gross</v>
      </c>
      <c r="O1109" s="180">
        <f>IF(N1109="net",_xlfn.XLOOKUP(E1109,cannabis_log!C:C,cannabis_log!N:N,"NOT FOUND",0,1),IF(N1109="gross",0,""))</f>
        <v>0</v>
      </c>
    </row>
    <row r="1110" spans="1:15">
      <c r="A1110" s="181" t="str">
        <f t="shared" si="52"/>
        <v>outbound</v>
      </c>
      <c r="B1110" s="182">
        <v>45702.525000000001</v>
      </c>
      <c r="C1110" s="183" t="s">
        <v>1921</v>
      </c>
      <c r="D1110" s="183" t="s">
        <v>2377</v>
      </c>
      <c r="E1110" s="215" t="s">
        <v>2589</v>
      </c>
      <c r="F1110" s="112">
        <f>IF(ISBLANK(E1110),"",_xlfn.XLOOKUP(E1110,[1]cannabis_log!C:C,[1]cannabis_log!J:J,"",0,))</f>
        <v>2025012801</v>
      </c>
      <c r="G1110" s="112"/>
      <c r="H1110" s="112" t="str">
        <f>IF(ISBLANK(E1110),"",_xlfn.XLOOKUP(E1110,cannabis_log!C:C,cannabis_log!H:H,"",0,1))</f>
        <v>extract_distillate_bulk</v>
      </c>
      <c r="I1110" s="113" t="str">
        <f>IF(ISBLANK(E1110),"",_xlfn.XLOOKUP(E1110,cannabis_log!C:C,cannabis_log!K:K,"NOT FOUND",0,1))</f>
        <v>NA</v>
      </c>
      <c r="J1110" s="185">
        <v>-1</v>
      </c>
      <c r="K1110" s="186">
        <v>-2706</v>
      </c>
      <c r="L1110" s="288">
        <f t="shared" si="49"/>
        <v>0</v>
      </c>
      <c r="M1110" s="24"/>
      <c r="N1110" s="112" t="str">
        <f>IF(ISBLANK(E1110),"",_xlfn.XLOOKUP(E1110,[1]cannabis_log!C:C,[1]cannabis_log!T:T,"Not Found",0,))</f>
        <v>gross</v>
      </c>
      <c r="O1110" s="180">
        <f>IF(N1110="net",_xlfn.XLOOKUP(E1110,cannabis_log!C:C,cannabis_log!N:N,"NOT FOUND",0,1),IF(N1110="gross",0,""))</f>
        <v>0</v>
      </c>
    </row>
    <row r="1111" spans="1:15">
      <c r="A1111" s="181" t="str">
        <f t="shared" si="52"/>
        <v>inbound</v>
      </c>
      <c r="B1111" s="182">
        <v>45702.525000000001</v>
      </c>
      <c r="C1111" s="183" t="s">
        <v>1921</v>
      </c>
      <c r="D1111" s="183" t="s">
        <v>2612</v>
      </c>
      <c r="E1111" s="215" t="s">
        <v>2611</v>
      </c>
      <c r="F1111" s="112">
        <f>IF(ISBLANK(E1111),"",_xlfn.XLOOKUP(E1111,[1]cannabis_log!C:C,[1]cannabis_log!J:J,"",0,))</f>
        <v>2024120601</v>
      </c>
      <c r="G1111" s="112"/>
      <c r="H1111" s="112" t="str">
        <f>IF(ISBLANK(E1111),"",_xlfn.XLOOKUP(E1111,cannabis_log!C:C,cannabis_log!H:H,"",0,1))</f>
        <v>extract_inhaled_bulk</v>
      </c>
      <c r="I1111" s="113" t="str">
        <f>IF(ISBLANK(E1111),"",_xlfn.XLOOKUP(E1111,cannabis_log!C:C,cannabis_log!K:K,"NOT FOUND",0,1))</f>
        <v>NA</v>
      </c>
      <c r="J1111" s="185">
        <v>1</v>
      </c>
      <c r="K1111" s="186">
        <v>1940</v>
      </c>
      <c r="L1111" s="288">
        <f t="shared" si="49"/>
        <v>0</v>
      </c>
      <c r="M1111" s="24"/>
      <c r="N1111" s="112" t="str">
        <f>IF(ISBLANK(E1111),"",_xlfn.XLOOKUP(E1111,[1]cannabis_log!C:C,[1]cannabis_log!T:T,"Not Found",0,))</f>
        <v>gross</v>
      </c>
      <c r="O1111" s="180">
        <f>IF(N1111="net",_xlfn.XLOOKUP(E1111,cannabis_log!C:C,cannabis_log!N:N,"NOT FOUND",0,1),IF(N1111="gross",0,""))</f>
        <v>0</v>
      </c>
    </row>
    <row r="1112" spans="1:15">
      <c r="A1112" s="181" t="str">
        <f t="shared" si="52"/>
        <v>outbound</v>
      </c>
      <c r="B1112" s="182">
        <v>45702.586805555555</v>
      </c>
      <c r="C1112" s="183" t="s">
        <v>1929</v>
      </c>
      <c r="D1112" s="183" t="s">
        <v>2613</v>
      </c>
      <c r="E1112" s="215" t="s">
        <v>2464</v>
      </c>
      <c r="F1112" s="112" t="str">
        <f>IF(ISBLANK(E1112),"",_xlfn.XLOOKUP(E1112,[1]cannabis_log!C:C,[1]cannabis_log!J:J,"",0,))</f>
        <v>2024111801G7</v>
      </c>
      <c r="G1112" s="112"/>
      <c r="H1112" s="112" t="str">
        <f>IF(ISBLANK(E1112),"",_xlfn.XLOOKUP(E1112,cannabis_log!C:C,cannabis_log!H:H,"",0,1))</f>
        <v>driedflower_labelled</v>
      </c>
      <c r="I1112" s="113">
        <f>IF(ISBLANK(E1112),"",_xlfn.XLOOKUP(E1112,cannabis_log!C:C,cannabis_log!K:K,"NOT FOUND",0,1))</f>
        <v>45631</v>
      </c>
      <c r="J1112" s="185">
        <v>-12</v>
      </c>
      <c r="K1112" s="186">
        <f>IF(N1112="net",0,"")</f>
        <v>0</v>
      </c>
      <c r="L1112" s="288">
        <f t="shared" si="49"/>
        <v>-84</v>
      </c>
      <c r="M1112" s="24"/>
      <c r="N1112" s="112" t="str">
        <f>IF(ISBLANK(E1112),"",_xlfn.XLOOKUP(E1112,[1]cannabis_log!C:C,[1]cannabis_log!T:T,"Not Found",0,))</f>
        <v>net</v>
      </c>
      <c r="O1112" s="180">
        <f>IF(N1112="net",_xlfn.XLOOKUP(E1112,cannabis_log!C:C,cannabis_log!N:N,"NOT FOUND",0,1),IF(N1112="gross",0,""))</f>
        <v>7</v>
      </c>
    </row>
    <row r="1113" spans="1:15">
      <c r="A1113" s="181" t="str">
        <f t="shared" si="52"/>
        <v>outbound</v>
      </c>
      <c r="B1113" s="182">
        <v>45702.602083333331</v>
      </c>
      <c r="C1113" s="183" t="s">
        <v>1921</v>
      </c>
      <c r="D1113" s="183" t="s">
        <v>2614</v>
      </c>
      <c r="E1113" s="215" t="s">
        <v>2562</v>
      </c>
      <c r="F1113" s="112" t="str">
        <f>IF(ISBLANK(E1113),"",_xlfn.XLOOKUP(E1113,[1]cannabis_log!C:C,[1]cannabis_log!J:J,"",0,))</f>
        <v>CPR22102001</v>
      </c>
      <c r="G1113" s="112"/>
      <c r="H1113" s="112" t="str">
        <f>IF(ISBLANK(E1113),"",_xlfn.XLOOKUP(E1113,cannabis_log!C:C,cannabis_log!H:H,"",0,1))</f>
        <v>driedflower_milled_bulk</v>
      </c>
      <c r="I1113" s="113" t="str">
        <f>IF(ISBLANK(E1113),"",_xlfn.XLOOKUP(E1113,cannabis_log!C:C,cannabis_log!K:K,"NOT FOUND",0,1))</f>
        <v>NA</v>
      </c>
      <c r="J1113" s="185">
        <v>-1</v>
      </c>
      <c r="K1113" s="186">
        <v>-3328</v>
      </c>
      <c r="L1113" s="288">
        <f t="shared" si="49"/>
        <v>0</v>
      </c>
      <c r="M1113" s="24"/>
      <c r="N1113" s="112" t="str">
        <f>IF(ISBLANK(E1113),"",_xlfn.XLOOKUP(E1113,[1]cannabis_log!C:C,[1]cannabis_log!T:T,"Not Found",0,))</f>
        <v>gross</v>
      </c>
      <c r="O1113" s="180">
        <f>IF(N1113="net",_xlfn.XLOOKUP(E1113,cannabis_log!C:C,cannabis_log!N:N,"NOT FOUND",0,1),IF(N1113="gross",0,""))</f>
        <v>0</v>
      </c>
    </row>
    <row r="1114" spans="1:15">
      <c r="A1114" s="181" t="str">
        <f t="shared" si="52"/>
        <v>outbound</v>
      </c>
      <c r="B1114" s="182">
        <v>45702.602083333331</v>
      </c>
      <c r="C1114" s="183" t="s">
        <v>1921</v>
      </c>
      <c r="D1114" s="183" t="s">
        <v>2377</v>
      </c>
      <c r="E1114" s="215" t="s">
        <v>2322</v>
      </c>
      <c r="F1114" s="112" t="str">
        <f>IF(ISBLANK(E1114),"",_xlfn.XLOOKUP(E1114,[1]cannabis_log!C:C,[1]cannabis_log!J:J,"",0,))</f>
        <v>PR2411</v>
      </c>
      <c r="G1114" s="112"/>
      <c r="H1114" s="112" t="str">
        <f>IF(ISBLANK(E1114),"",_xlfn.XLOOKUP(E1114,cannabis_log!C:C,cannabis_log!H:H,"",0,1))</f>
        <v>driedflower_milled_bulk</v>
      </c>
      <c r="I1114" s="113" t="str">
        <f>IF(ISBLANK(E1114),"",_xlfn.XLOOKUP(E1114,cannabis_log!C:C,cannabis_log!K:K,"NOT FOUND",0,1))</f>
        <v>NA</v>
      </c>
      <c r="J1114" s="185">
        <v>-1</v>
      </c>
      <c r="K1114" s="186">
        <v>-2325</v>
      </c>
      <c r="L1114" s="288">
        <f t="shared" si="49"/>
        <v>0</v>
      </c>
      <c r="M1114" s="24"/>
      <c r="N1114" s="112" t="str">
        <f>IF(ISBLANK(E1114),"",_xlfn.XLOOKUP(E1114,[1]cannabis_log!C:C,[1]cannabis_log!T:T,"Not Found",0,))</f>
        <v>gross</v>
      </c>
      <c r="O1114" s="180">
        <f>IF(N1114="net",_xlfn.XLOOKUP(E1114,cannabis_log!C:C,cannabis_log!N:N,"NOT FOUND",0,1),IF(N1114="gross",0,""))</f>
        <v>0</v>
      </c>
    </row>
    <row r="1115" spans="1:15">
      <c r="A1115" s="181" t="str">
        <f t="shared" si="52"/>
        <v>outbound</v>
      </c>
      <c r="B1115" s="182">
        <v>45702.602083333331</v>
      </c>
      <c r="C1115" s="183" t="s">
        <v>1921</v>
      </c>
      <c r="D1115" s="183" t="s">
        <v>2614</v>
      </c>
      <c r="E1115" s="215" t="s">
        <v>2570</v>
      </c>
      <c r="F1115" s="112" t="str">
        <f>IF(ISBLANK(E1115),"",_xlfn.XLOOKUP(E1115,[1]cannabis_log!C:C,[1]cannabis_log!J:J,"",0,))</f>
        <v>CPR22102102</v>
      </c>
      <c r="G1115" s="112"/>
      <c r="H1115" s="112" t="str">
        <f>IF(ISBLANK(E1115),"",_xlfn.XLOOKUP(E1115,cannabis_log!C:C,cannabis_log!H:H,"",0,1))</f>
        <v>driedflower_milled_bulk</v>
      </c>
      <c r="I1115" s="113" t="str">
        <f>IF(ISBLANK(E1115),"",_xlfn.XLOOKUP(E1115,cannabis_log!C:C,cannabis_log!K:K,"NOT FOUND",0,1))</f>
        <v>NA</v>
      </c>
      <c r="J1115" s="185">
        <v>-1</v>
      </c>
      <c r="K1115" s="186">
        <v>-2558</v>
      </c>
      <c r="L1115" s="288">
        <f t="shared" si="49"/>
        <v>0</v>
      </c>
      <c r="M1115" s="24"/>
      <c r="N1115" s="112" t="str">
        <f>IF(ISBLANK(E1115),"",_xlfn.XLOOKUP(E1115,[1]cannabis_log!C:C,[1]cannabis_log!T:T,"Not Found",0,))</f>
        <v>gross</v>
      </c>
      <c r="O1115" s="180">
        <f>IF(N1115="net",_xlfn.XLOOKUP(E1115,cannabis_log!C:C,cannabis_log!N:N,"NOT FOUND",0,1),IF(N1115="gross",0,""))</f>
        <v>0</v>
      </c>
    </row>
    <row r="1116" spans="1:15">
      <c r="A1116" s="181" t="str">
        <f t="shared" si="52"/>
        <v>outbound</v>
      </c>
      <c r="B1116" s="182">
        <v>45702.602083333331</v>
      </c>
      <c r="C1116" s="183" t="s">
        <v>1921</v>
      </c>
      <c r="D1116" s="183" t="s">
        <v>2614</v>
      </c>
      <c r="E1116" s="215" t="s">
        <v>2615</v>
      </c>
      <c r="F1116" s="112" t="str">
        <f>IF(ISBLANK(E1116),"",_xlfn.XLOOKUP(E1116,[1]cannabis_log!C:C,[1]cannabis_log!J:J,"",0,))</f>
        <v>CPR22102001</v>
      </c>
      <c r="G1116" s="112"/>
      <c r="H1116" s="112" t="str">
        <f>IF(ISBLANK(E1116),"",_xlfn.XLOOKUP(E1116,cannabis_log!C:C,cannabis_log!H:H,"",0,1))</f>
        <v>driedflower_milled_bulk</v>
      </c>
      <c r="I1116" s="113" t="str">
        <f>IF(ISBLANK(E1116),"",_xlfn.XLOOKUP(E1116,cannabis_log!C:C,cannabis_log!K:K,"NOT FOUND",0,1))</f>
        <v>NA</v>
      </c>
      <c r="J1116" s="185">
        <v>-1</v>
      </c>
      <c r="K1116" s="186">
        <v>-3430</v>
      </c>
      <c r="L1116" s="288">
        <f t="shared" si="49"/>
        <v>0</v>
      </c>
      <c r="M1116" s="24"/>
      <c r="N1116" s="112" t="str">
        <f>IF(ISBLANK(E1116),"",_xlfn.XLOOKUP(E1116,[1]cannabis_log!C:C,[1]cannabis_log!T:T,"Not Found",0,))</f>
        <v>gross</v>
      </c>
      <c r="O1116" s="180">
        <f>IF(N1116="net",_xlfn.XLOOKUP(E1116,cannabis_log!C:C,cannabis_log!N:N,"NOT FOUND",0,1),IF(N1116="gross",0,""))</f>
        <v>0</v>
      </c>
    </row>
    <row r="1117" spans="1:15">
      <c r="A1117" s="181" t="str">
        <f t="shared" si="52"/>
        <v>outbound</v>
      </c>
      <c r="B1117" s="182">
        <v>45702.602083333331</v>
      </c>
      <c r="C1117" s="183" t="s">
        <v>1921</v>
      </c>
      <c r="D1117" s="183" t="s">
        <v>2614</v>
      </c>
      <c r="E1117" s="215" t="s">
        <v>2562</v>
      </c>
      <c r="F1117" s="112" t="str">
        <f>IF(ISBLANK(E1117),"",_xlfn.XLOOKUP(E1117,[1]cannabis_log!C:C,[1]cannabis_log!J:J,"",0,))</f>
        <v>CPR22102001</v>
      </c>
      <c r="G1117" s="112"/>
      <c r="H1117" s="112" t="str">
        <f>IF(ISBLANK(E1117),"",_xlfn.XLOOKUP(E1117,cannabis_log!C:C,cannabis_log!H:H,"",0,1))</f>
        <v>driedflower_milled_bulk</v>
      </c>
      <c r="I1117" s="113" t="str">
        <f>IF(ISBLANK(E1117),"",_xlfn.XLOOKUP(E1117,cannabis_log!C:C,cannabis_log!K:K,"NOT FOUND",0,1))</f>
        <v>NA</v>
      </c>
      <c r="J1117" s="185">
        <v>-1</v>
      </c>
      <c r="K1117" s="186">
        <v>-3328</v>
      </c>
      <c r="L1117" s="288">
        <f t="shared" si="49"/>
        <v>0</v>
      </c>
      <c r="M1117" s="24"/>
      <c r="N1117" s="112" t="str">
        <f>IF(ISBLANK(E1117),"",_xlfn.XLOOKUP(E1117,[1]cannabis_log!C:C,[1]cannabis_log!T:T,"Not Found",0,))</f>
        <v>gross</v>
      </c>
      <c r="O1117" s="180">
        <f>IF(N1117="net",_xlfn.XLOOKUP(E1117,cannabis_log!C:C,cannabis_log!N:N,"NOT FOUND",0,1),IF(N1117="gross",0,""))</f>
        <v>0</v>
      </c>
    </row>
    <row r="1118" spans="1:15">
      <c r="A1118" s="181" t="str">
        <f t="shared" si="52"/>
        <v>outbound</v>
      </c>
      <c r="B1118" s="182">
        <v>45702.649305555555</v>
      </c>
      <c r="C1118" s="183" t="s">
        <v>1924</v>
      </c>
      <c r="D1118" s="183" t="s">
        <v>2616</v>
      </c>
      <c r="E1118" s="215" t="s">
        <v>2226</v>
      </c>
      <c r="F1118" s="112" t="str">
        <f>IF(ISBLANK(E1118),"",_xlfn.XLOOKUP(E1118,[1]cannabis_log!C:C,[1]cannabis_log!J:J,"",0,))</f>
        <v>PR241003F5P3</v>
      </c>
      <c r="G1118" s="112"/>
      <c r="H1118" s="112" t="str">
        <f>IF(ISBLANK(E1118),"",_xlfn.XLOOKUP(E1118,cannabis_log!C:C,cannabis_log!H:H,"",0,1))</f>
        <v>preroll_labelled</v>
      </c>
      <c r="I1118" s="113">
        <f>IF(ISBLANK(E1118),"",_xlfn.XLOOKUP(E1118,cannabis_log!C:C,cannabis_log!K:K,"NOT FOUND",0,1))</f>
        <v>45575</v>
      </c>
      <c r="J1118" s="185">
        <v>-4</v>
      </c>
      <c r="K1118" s="186">
        <f t="shared" ref="K1118:K1129" si="53">IF(N1118="net",0,"")</f>
        <v>0</v>
      </c>
      <c r="L1118" s="288">
        <f t="shared" si="49"/>
        <v>-6</v>
      </c>
      <c r="M1118" s="24"/>
      <c r="N1118" s="112" t="str">
        <f>IF(ISBLANK(E1118),"",_xlfn.XLOOKUP(E1118,[1]cannabis_log!C:C,[1]cannabis_log!T:T,"Not Found",0,))</f>
        <v>net</v>
      </c>
      <c r="O1118" s="180">
        <f>IF(N1118="net",_xlfn.XLOOKUP(E1118,cannabis_log!C:C,cannabis_log!N:N,"NOT FOUND",0,1),IF(N1118="gross",0,""))</f>
        <v>1.5</v>
      </c>
    </row>
    <row r="1119" spans="1:15">
      <c r="A1119" s="181" t="str">
        <f t="shared" si="52"/>
        <v>outbound</v>
      </c>
      <c r="B1119" s="182">
        <v>45706.45416666667</v>
      </c>
      <c r="C1119" s="183" t="s">
        <v>1929</v>
      </c>
      <c r="D1119" s="183" t="s">
        <v>2617</v>
      </c>
      <c r="E1119" s="215" t="s">
        <v>1990</v>
      </c>
      <c r="F1119" s="112" t="str">
        <f>IF(ISBLANK(E1119),"",_xlfn.XLOOKUP(E1119,[1]cannabis_log!C:C,[1]cannabis_log!J:J,"",0,))</f>
        <v>EX23100401V30</v>
      </c>
      <c r="G1119" s="112"/>
      <c r="H1119" s="112" t="str">
        <f>IF(ISBLANK(E1119),"",_xlfn.XLOOKUP(E1119,cannabis_log!C:C,cannabis_log!H:H,"",0,1))</f>
        <v>extract_ingested_labelled</v>
      </c>
      <c r="I1119" s="113">
        <f>IF(ISBLANK(E1119),"",_xlfn.XLOOKUP(E1119,cannabis_log!C:C,cannabis_log!K:K,"NOT FOUND",0,1))</f>
        <v>45488</v>
      </c>
      <c r="J1119" s="185">
        <v>-18</v>
      </c>
      <c r="K1119" s="186">
        <f t="shared" si="53"/>
        <v>0</v>
      </c>
      <c r="L1119" s="288">
        <f t="shared" si="49"/>
        <v>-496.8</v>
      </c>
      <c r="M1119" s="24"/>
      <c r="N1119" s="112" t="str">
        <f>IF(ISBLANK(E1119),"",_xlfn.XLOOKUP(E1119,[1]cannabis_log!C:C,[1]cannabis_log!T:T,"Not Found",0,))</f>
        <v>net</v>
      </c>
      <c r="O1119" s="180">
        <f>IF(N1119="net",_xlfn.XLOOKUP(E1119,cannabis_log!C:C,cannabis_log!N:N,"NOT FOUND",0,1),IF(N1119="gross",0,""))</f>
        <v>27.6</v>
      </c>
    </row>
    <row r="1120" spans="1:15">
      <c r="A1120" s="181" t="str">
        <f t="shared" si="52"/>
        <v>outbound</v>
      </c>
      <c r="B1120" s="182">
        <v>45706.45416666667</v>
      </c>
      <c r="C1120" s="183" t="s">
        <v>1929</v>
      </c>
      <c r="D1120" s="183" t="s">
        <v>2617</v>
      </c>
      <c r="E1120" s="215" t="s">
        <v>2402</v>
      </c>
      <c r="F1120" s="112" t="str">
        <f>IF(ISBLANK(E1120),"",_xlfn.XLOOKUP(E1120,[1]cannabis_log!C:C,[1]cannabis_log!J:J,"",0,))</f>
        <v>TP24082901</v>
      </c>
      <c r="G1120" s="112"/>
      <c r="H1120" s="112" t="str">
        <f>IF(ISBLANK(E1120),"",_xlfn.XLOOKUP(E1120,cannabis_log!C:C,cannabis_log!H:H,"",0,1))</f>
        <v>topical_labelled</v>
      </c>
      <c r="I1120" s="113">
        <f>IF(ISBLANK(E1120),"",_xlfn.XLOOKUP(E1120,cannabis_log!C:C,cannabis_log!K:K,"NOT FOUND",0,1))</f>
        <v>45569</v>
      </c>
      <c r="J1120" s="185">
        <v>-24</v>
      </c>
      <c r="K1120" s="186">
        <f t="shared" si="53"/>
        <v>0</v>
      </c>
      <c r="L1120" s="288">
        <f t="shared" si="49"/>
        <v>-2112</v>
      </c>
      <c r="M1120" s="24"/>
      <c r="N1120" s="112" t="str">
        <f>IF(ISBLANK(E1120),"",_xlfn.XLOOKUP(E1120,[1]cannabis_log!C:C,[1]cannabis_log!T:T,"Not Found",0,))</f>
        <v>net</v>
      </c>
      <c r="O1120" s="180">
        <f>IF(N1120="net",_xlfn.XLOOKUP(E1120,cannabis_log!C:C,cannabis_log!N:N,"NOT FOUND",0,1),IF(N1120="gross",0,""))</f>
        <v>88</v>
      </c>
    </row>
    <row r="1121" spans="1:15">
      <c r="A1121" s="181" t="str">
        <f t="shared" si="52"/>
        <v>outbound</v>
      </c>
      <c r="B1121" s="182">
        <v>45706.45416666667</v>
      </c>
      <c r="C1121" s="183" t="s">
        <v>1929</v>
      </c>
      <c r="D1121" s="183" t="s">
        <v>2617</v>
      </c>
      <c r="E1121" s="215" t="s">
        <v>2580</v>
      </c>
      <c r="F1121" s="112" t="str">
        <f>IF(ISBLANK(E1121),"",_xlfn.XLOOKUP(E1121,[1]cannabis_log!C:C,[1]cannabis_log!J:J,"",0,))</f>
        <v>EX24100801V30</v>
      </c>
      <c r="G1121" s="112"/>
      <c r="H1121" s="112" t="str">
        <f>IF(ISBLANK(E1121),"",_xlfn.XLOOKUP(E1121,cannabis_log!C:C,cannabis_log!H:H,"",0,1))</f>
        <v>extract_ingested_labelled</v>
      </c>
      <c r="I1121" s="113">
        <f>IF(ISBLANK(E1121),"",_xlfn.XLOOKUP(E1121,cannabis_log!C:C,cannabis_log!K:K,"NOT FOUND",0,1))</f>
        <v>45590</v>
      </c>
      <c r="J1121" s="185">
        <v>-12</v>
      </c>
      <c r="K1121" s="186">
        <f t="shared" si="53"/>
        <v>0</v>
      </c>
      <c r="L1121" s="288">
        <f t="shared" si="49"/>
        <v>-327.60000000000002</v>
      </c>
      <c r="M1121" s="24"/>
      <c r="N1121" s="112" t="str">
        <f>IF(ISBLANK(E1121),"",_xlfn.XLOOKUP(E1121,[1]cannabis_log!C:C,[1]cannabis_log!T:T,"Not Found",0,))</f>
        <v>net</v>
      </c>
      <c r="O1121" s="180">
        <f>IF(N1121="net",_xlfn.XLOOKUP(E1121,cannabis_log!C:C,cannabis_log!N:N,"NOT FOUND",0,1),IF(N1121="gross",0,""))</f>
        <v>27.3</v>
      </c>
    </row>
    <row r="1122" spans="1:15">
      <c r="A1122" s="181" t="str">
        <f t="shared" si="52"/>
        <v>outbound</v>
      </c>
      <c r="B1122" s="182">
        <v>45706.45416666667</v>
      </c>
      <c r="C1122" s="183" t="s">
        <v>1929</v>
      </c>
      <c r="D1122" s="183" t="s">
        <v>2617</v>
      </c>
      <c r="E1122" s="215" t="s">
        <v>2336</v>
      </c>
      <c r="F1122" s="112" t="str">
        <f>IF(ISBLANK(E1122),"",_xlfn.XLOOKUP(E1122,[1]cannabis_log!C:C,[1]cannabis_log!J:J,"",0,))</f>
        <v>2022012401G28</v>
      </c>
      <c r="G1122" s="112"/>
      <c r="H1122" s="112" t="str">
        <f>IF(ISBLANK(E1122),"",_xlfn.XLOOKUP(E1122,cannabis_log!C:C,cannabis_log!H:H,"",0,1))</f>
        <v>driedflower_labelled</v>
      </c>
      <c r="I1122" s="113">
        <f>IF(ISBLANK(E1122),"",_xlfn.XLOOKUP(E1122,cannabis_log!C:C,cannabis_log!K:K,"NOT FOUND",0,1))</f>
        <v>45594</v>
      </c>
      <c r="J1122" s="185">
        <v>-11</v>
      </c>
      <c r="K1122" s="186">
        <f t="shared" si="53"/>
        <v>0</v>
      </c>
      <c r="L1122" s="288">
        <f t="shared" si="49"/>
        <v>-308</v>
      </c>
      <c r="M1122" s="24"/>
      <c r="N1122" s="112" t="str">
        <f>IF(ISBLANK(E1122),"",_xlfn.XLOOKUP(E1122,[1]cannabis_log!C:C,[1]cannabis_log!T:T,"Not Found",0,))</f>
        <v>net</v>
      </c>
      <c r="O1122" s="180">
        <f>IF(N1122="net",_xlfn.XLOOKUP(E1122,cannabis_log!C:C,cannabis_log!N:N,"NOT FOUND",0,1),IF(N1122="gross",0,""))</f>
        <v>28</v>
      </c>
    </row>
    <row r="1123" spans="1:15">
      <c r="A1123" s="181" t="str">
        <f t="shared" si="52"/>
        <v>outbound</v>
      </c>
      <c r="B1123" s="182">
        <v>45706.45416666667</v>
      </c>
      <c r="C1123" s="183" t="s">
        <v>1929</v>
      </c>
      <c r="D1123" s="183" t="s">
        <v>2617</v>
      </c>
      <c r="E1123" s="215" t="s">
        <v>2534</v>
      </c>
      <c r="F1123" s="112" t="str">
        <f>IF(ISBLANK(E1123),"",_xlfn.XLOOKUP(E1123,[1]cannabis_log!C:C,[1]cannabis_log!J:J,"",0,))</f>
        <v>2022012401G28</v>
      </c>
      <c r="G1123" s="112"/>
      <c r="H1123" s="112" t="str">
        <f>IF(ISBLANK(E1123),"",_xlfn.XLOOKUP(E1123,cannabis_log!C:C,cannabis_log!H:H,"",0,1))</f>
        <v>driedflower_labelled</v>
      </c>
      <c r="I1123" s="113">
        <f>IF(ISBLANK(E1123),"",_xlfn.XLOOKUP(E1123,cannabis_log!C:C,cannabis_log!K:K,"NOT FOUND",0,1))</f>
        <v>45679</v>
      </c>
      <c r="J1123" s="185">
        <v>-45</v>
      </c>
      <c r="K1123" s="186">
        <f t="shared" si="53"/>
        <v>0</v>
      </c>
      <c r="L1123" s="288">
        <f t="shared" si="49"/>
        <v>-1260</v>
      </c>
      <c r="M1123" s="24"/>
      <c r="N1123" s="112" t="str">
        <f>IF(ISBLANK(E1123),"",_xlfn.XLOOKUP(E1123,[1]cannabis_log!C:C,[1]cannabis_log!T:T,"Not Found",0,))</f>
        <v>net</v>
      </c>
      <c r="O1123" s="180">
        <f>IF(N1123="net",_xlfn.XLOOKUP(E1123,cannabis_log!C:C,cannabis_log!N:N,"NOT FOUND",0,1),IF(N1123="gross",0,""))</f>
        <v>28</v>
      </c>
    </row>
    <row r="1124" spans="1:15">
      <c r="A1124" s="181" t="str">
        <f t="shared" si="52"/>
        <v>outbound</v>
      </c>
      <c r="B1124" s="182">
        <v>45706.45416666667</v>
      </c>
      <c r="C1124" s="183" t="s">
        <v>1929</v>
      </c>
      <c r="D1124" s="183" t="s">
        <v>2618</v>
      </c>
      <c r="E1124" s="215" t="s">
        <v>2464</v>
      </c>
      <c r="F1124" s="112" t="str">
        <f>IF(ISBLANK(E1124),"",_xlfn.XLOOKUP(E1124,[1]cannabis_log!C:C,[1]cannabis_log!J:J,"",0,))</f>
        <v>2024111801G7</v>
      </c>
      <c r="G1124" s="112"/>
      <c r="H1124" s="112" t="str">
        <f>IF(ISBLANK(E1124),"",_xlfn.XLOOKUP(E1124,cannabis_log!C:C,cannabis_log!H:H,"",0,1))</f>
        <v>driedflower_labelled</v>
      </c>
      <c r="I1124" s="113">
        <f>IF(ISBLANK(E1124),"",_xlfn.XLOOKUP(E1124,cannabis_log!C:C,cannabis_log!K:K,"NOT FOUND",0,1))</f>
        <v>45631</v>
      </c>
      <c r="J1124" s="185">
        <v>-447</v>
      </c>
      <c r="K1124" s="186">
        <f t="shared" si="53"/>
        <v>0</v>
      </c>
      <c r="L1124" s="288">
        <f t="shared" si="49"/>
        <v>-3129</v>
      </c>
      <c r="M1124" s="24"/>
      <c r="N1124" s="112" t="str">
        <f>IF(ISBLANK(E1124),"",_xlfn.XLOOKUP(E1124,[1]cannabis_log!C:C,[1]cannabis_log!T:T,"Not Found",0,))</f>
        <v>net</v>
      </c>
      <c r="O1124" s="180">
        <f>IF(N1124="net",_xlfn.XLOOKUP(E1124,cannabis_log!C:C,cannabis_log!N:N,"NOT FOUND",0,1),IF(N1124="gross",0,""))</f>
        <v>7</v>
      </c>
    </row>
    <row r="1125" spans="1:15">
      <c r="A1125" s="181" t="str">
        <f t="shared" si="52"/>
        <v>outbound</v>
      </c>
      <c r="B1125" s="182">
        <v>45706.545138888891</v>
      </c>
      <c r="C1125" s="183" t="s">
        <v>1929</v>
      </c>
      <c r="D1125" s="183" t="s">
        <v>2619</v>
      </c>
      <c r="E1125" s="215" t="s">
        <v>2296</v>
      </c>
      <c r="F1125" s="112" t="str">
        <f>IF(ISBLANK(E1125),"",_xlfn.XLOOKUP(E1125,[1]cannabis_log!C:C,[1]cannabis_log!J:J,"",0,))</f>
        <v>EX24092601V50</v>
      </c>
      <c r="G1125" s="112"/>
      <c r="H1125" s="112" t="str">
        <f>IF(ISBLANK(E1125),"",_xlfn.XLOOKUP(E1125,cannabis_log!C:C,cannabis_log!H:H,"",0,1))</f>
        <v>extract_ingested_labelled</v>
      </c>
      <c r="I1125" s="113">
        <f>IF(ISBLANK(E1125),"",_xlfn.XLOOKUP(E1125,cannabis_log!C:C,cannabis_log!K:K,"NOT FOUND",0,1))</f>
        <v>45576</v>
      </c>
      <c r="J1125" s="185">
        <v>-8</v>
      </c>
      <c r="K1125" s="186">
        <f t="shared" si="53"/>
        <v>0</v>
      </c>
      <c r="L1125" s="288">
        <f t="shared" si="49"/>
        <v>-400</v>
      </c>
      <c r="M1125" s="24"/>
      <c r="N1125" s="112" t="str">
        <f>IF(ISBLANK(E1125),"",_xlfn.XLOOKUP(E1125,[1]cannabis_log!C:C,[1]cannabis_log!T:T,"Not Found",0,))</f>
        <v>net</v>
      </c>
      <c r="O1125" s="180">
        <f>IF(N1125="net",_xlfn.XLOOKUP(E1125,cannabis_log!C:C,cannabis_log!N:N,"NOT FOUND",0,1),IF(N1125="gross",0,""))</f>
        <v>50</v>
      </c>
    </row>
    <row r="1126" spans="1:15">
      <c r="A1126" s="181" t="str">
        <f t="shared" si="52"/>
        <v>outbound</v>
      </c>
      <c r="B1126" s="182">
        <v>45706.545138888891</v>
      </c>
      <c r="C1126" s="183" t="s">
        <v>1929</v>
      </c>
      <c r="D1126" s="183" t="s">
        <v>2619</v>
      </c>
      <c r="E1126" s="215" t="s">
        <v>2203</v>
      </c>
      <c r="F1126" s="112" t="str">
        <f>IF(ISBLANK(E1126),"",_xlfn.XLOOKUP(E1126,[1]cannabis_log!C:C,[1]cannabis_log!J:J,"",0,))</f>
        <v>EX24092601V50</v>
      </c>
      <c r="G1126" s="112"/>
      <c r="H1126" s="112" t="str">
        <f>IF(ISBLANK(E1126),"",_xlfn.XLOOKUP(E1126,cannabis_log!C:C,cannabis_log!H:H,"",0,1))</f>
        <v>extract_ingested_labelled</v>
      </c>
      <c r="I1126" s="113">
        <f>IF(ISBLANK(E1126),"",_xlfn.XLOOKUP(E1126,cannabis_log!C:C,cannabis_log!K:K,"NOT FOUND",0,1))</f>
        <v>45576</v>
      </c>
      <c r="J1126" s="185">
        <v>-4</v>
      </c>
      <c r="K1126" s="186">
        <f t="shared" si="53"/>
        <v>0</v>
      </c>
      <c r="L1126" s="288">
        <f t="shared" si="49"/>
        <v>-200</v>
      </c>
      <c r="M1126" s="24"/>
      <c r="N1126" s="112" t="str">
        <f>IF(ISBLANK(E1126),"",_xlfn.XLOOKUP(E1126,[1]cannabis_log!C:C,[1]cannabis_log!T:T,"Not Found",0,))</f>
        <v>net</v>
      </c>
      <c r="O1126" s="180">
        <f>IF(N1126="net",_xlfn.XLOOKUP(E1126,cannabis_log!C:C,cannabis_log!N:N,"NOT FOUND",0,1),IF(N1126="gross",0,""))</f>
        <v>50</v>
      </c>
    </row>
    <row r="1127" spans="1:15">
      <c r="A1127" s="181" t="str">
        <f t="shared" si="52"/>
        <v>outbound</v>
      </c>
      <c r="B1127" s="182">
        <v>45706.545138888891</v>
      </c>
      <c r="C1127" s="183" t="s">
        <v>1929</v>
      </c>
      <c r="D1127" s="183" t="s">
        <v>2620</v>
      </c>
      <c r="E1127" s="215" t="s">
        <v>2514</v>
      </c>
      <c r="F1127" s="112" t="str">
        <f>IF(ISBLANK(E1127),"",_xlfn.XLOOKUP(E1127,[1]cannabis_log!C:C,[1]cannabis_log!J:J,"",0,))</f>
        <v>EX25010907G1</v>
      </c>
      <c r="G1127" s="112"/>
      <c r="H1127" s="112" t="str">
        <f>IF(ISBLANK(E1127),"",_xlfn.XLOOKUP(E1127,cannabis_log!C:C,cannabis_log!H:H,"",0,1))</f>
        <v>extract_inhaled_labelled</v>
      </c>
      <c r="I1127" s="113">
        <f>IF(ISBLANK(E1127),"",_xlfn.XLOOKUP(E1127,cannabis_log!C:C,cannabis_log!K:K,"NOT FOUND",0,1))</f>
        <v>45666</v>
      </c>
      <c r="J1127" s="185">
        <v>-24</v>
      </c>
      <c r="K1127" s="186">
        <f t="shared" si="53"/>
        <v>0</v>
      </c>
      <c r="L1127" s="288">
        <f t="shared" si="49"/>
        <v>-24</v>
      </c>
      <c r="M1127" s="24"/>
      <c r="N1127" s="112" t="str">
        <f>IF(ISBLANK(E1127),"",_xlfn.XLOOKUP(E1127,[1]cannabis_log!C:C,[1]cannabis_log!T:T,"Not Found",0,))</f>
        <v>net</v>
      </c>
      <c r="O1127" s="180">
        <f>IF(N1127="net",_xlfn.XLOOKUP(E1127,cannabis_log!C:C,cannabis_log!N:N,"NOT FOUND",0,1),IF(N1127="gross",0,""))</f>
        <v>1</v>
      </c>
    </row>
    <row r="1128" spans="1:15">
      <c r="A1128" s="181" t="str">
        <f t="shared" si="52"/>
        <v>outbound</v>
      </c>
      <c r="B1128" s="182">
        <v>45706.545138888891</v>
      </c>
      <c r="C1128" s="183" t="s">
        <v>1929</v>
      </c>
      <c r="D1128" s="183" t="s">
        <v>2620</v>
      </c>
      <c r="E1128" s="215" t="s">
        <v>2529</v>
      </c>
      <c r="F1128" s="112" t="str">
        <f>IF(ISBLANK(E1128),"",_xlfn.XLOOKUP(E1128,[1]cannabis_log!C:C,[1]cannabis_log!J:J,"",0,))</f>
        <v>EX24111301G05</v>
      </c>
      <c r="G1128" s="112"/>
      <c r="H1128" s="112" t="str">
        <f>IF(ISBLANK(E1128),"",_xlfn.XLOOKUP(E1128,cannabis_log!C:C,cannabis_log!H:H,"",0,1))</f>
        <v>extract_inhaled_labelled</v>
      </c>
      <c r="I1128" s="113">
        <f>IF(ISBLANK(E1128),"",_xlfn.XLOOKUP(E1128,cannabis_log!C:C,cannabis_log!K:K,"NOT FOUND",0,1))</f>
        <v>45642</v>
      </c>
      <c r="J1128" s="185">
        <v>-24</v>
      </c>
      <c r="K1128" s="186">
        <f t="shared" si="53"/>
        <v>0</v>
      </c>
      <c r="L1128" s="288">
        <f t="shared" si="49"/>
        <v>-12</v>
      </c>
      <c r="M1128" s="24"/>
      <c r="N1128" s="112" t="str">
        <f>IF(ISBLANK(E1128),"",_xlfn.XLOOKUP(E1128,[1]cannabis_log!C:C,[1]cannabis_log!T:T,"Not Found",0,))</f>
        <v>net</v>
      </c>
      <c r="O1128" s="180">
        <f>IF(N1128="net",_xlfn.XLOOKUP(E1128,cannabis_log!C:C,cannabis_log!N:N,"NOT FOUND",0,1),IF(N1128="gross",0,""))</f>
        <v>0.5</v>
      </c>
    </row>
    <row r="1129" spans="1:15">
      <c r="A1129" s="181" t="str">
        <f t="shared" si="52"/>
        <v>outbound</v>
      </c>
      <c r="B1129" s="182">
        <v>45706.545138888891</v>
      </c>
      <c r="C1129" s="183" t="s">
        <v>1929</v>
      </c>
      <c r="D1129" s="183" t="s">
        <v>2620</v>
      </c>
      <c r="E1129" s="215" t="s">
        <v>2497</v>
      </c>
      <c r="F1129" s="112" t="str">
        <f>IF(ISBLANK(E1129),"",_xlfn.XLOOKUP(E1129,[1]cannabis_log!C:C,[1]cannabis_log!J:J,"",0,))</f>
        <v>EX24111306G05</v>
      </c>
      <c r="G1129" s="112"/>
      <c r="H1129" s="112" t="str">
        <f>IF(ISBLANK(E1129),"",_xlfn.XLOOKUP(E1129,cannabis_log!C:C,cannabis_log!H:H,"",0,1))</f>
        <v>extract_inhaled_labelled</v>
      </c>
      <c r="I1129" s="113">
        <f>IF(ISBLANK(E1129),"",_xlfn.XLOOKUP(E1129,cannabis_log!C:C,cannabis_log!K:K,"NOT FOUND",0,1))</f>
        <v>45623</v>
      </c>
      <c r="J1129" s="185">
        <v>-24</v>
      </c>
      <c r="K1129" s="186">
        <f t="shared" si="53"/>
        <v>0</v>
      </c>
      <c r="L1129" s="288">
        <f t="shared" si="49"/>
        <v>-12</v>
      </c>
      <c r="M1129" s="24"/>
      <c r="N1129" s="112" t="str">
        <f>IF(ISBLANK(E1129),"",_xlfn.XLOOKUP(E1129,[1]cannabis_log!C:C,[1]cannabis_log!T:T,"Not Found",0,))</f>
        <v>net</v>
      </c>
      <c r="O1129" s="180">
        <f>IF(N1129="net",_xlfn.XLOOKUP(E1129,cannabis_log!C:C,cannabis_log!N:N,"NOT FOUND",0,1),IF(N1129="gross",0,""))</f>
        <v>0.5</v>
      </c>
    </row>
    <row r="1130" spans="1:15">
      <c r="A1130" s="181" t="str">
        <f t="shared" si="52"/>
        <v>outbound</v>
      </c>
      <c r="B1130" s="182">
        <v>45707.420138888891</v>
      </c>
      <c r="C1130" s="183" t="s">
        <v>1921</v>
      </c>
      <c r="D1130" s="183" t="s">
        <v>2621</v>
      </c>
      <c r="E1130" s="215" t="s">
        <v>2622</v>
      </c>
      <c r="F1130" s="112" t="str">
        <f>IF(ISBLANK(E1130),"",_xlfn.XLOOKUP(E1130,[1]cannabis_log!C:C,[1]cannabis_log!J:J,"",0,))</f>
        <v>TP24120401</v>
      </c>
      <c r="G1130" s="112"/>
      <c r="H1130" s="112" t="str">
        <f>IF(ISBLANK(E1130),"",_xlfn.XLOOKUP(E1130,cannabis_log!C:C,cannabis_log!H:H,"",0,1))</f>
        <v>topical_bulk</v>
      </c>
      <c r="I1130" s="113" t="str">
        <f>IF(ISBLANK(E1130),"",_xlfn.XLOOKUP(E1130,cannabis_log!C:C,cannabis_log!K:K,"NOT FOUND",0,1))</f>
        <v>NA</v>
      </c>
      <c r="J1130" s="185">
        <v>-1</v>
      </c>
      <c r="K1130" s="186">
        <v>-7130</v>
      </c>
      <c r="L1130" s="288">
        <f t="shared" si="49"/>
        <v>0</v>
      </c>
      <c r="M1130" s="24"/>
      <c r="N1130" s="112" t="str">
        <f>IF(ISBLANK(E1130),"",_xlfn.XLOOKUP(E1130,[1]cannabis_log!C:C,[1]cannabis_log!T:T,"Not Found",0,))</f>
        <v>gross</v>
      </c>
      <c r="O1130" s="180">
        <f>IF(N1130="net",_xlfn.XLOOKUP(E1130,cannabis_log!C:C,cannabis_log!N:N,"NOT FOUND",0,1),IF(N1130="gross",0,""))</f>
        <v>0</v>
      </c>
    </row>
    <row r="1131" spans="1:15">
      <c r="A1131" s="181" t="str">
        <f t="shared" si="52"/>
        <v>outbound</v>
      </c>
      <c r="B1131" s="182">
        <v>45707.420138888891</v>
      </c>
      <c r="C1131" s="183" t="s">
        <v>1921</v>
      </c>
      <c r="D1131" s="183" t="s">
        <v>2621</v>
      </c>
      <c r="E1131" s="215" t="s">
        <v>2623</v>
      </c>
      <c r="F1131" s="112" t="str">
        <f>IF(ISBLANK(E1131),"",_xlfn.XLOOKUP(E1131,[1]cannabis_log!C:C,[1]cannabis_log!J:J,"",0,))</f>
        <v>TP24120401</v>
      </c>
      <c r="G1131" s="112"/>
      <c r="H1131" s="112" t="str">
        <f>IF(ISBLANK(E1131),"",_xlfn.XLOOKUP(E1131,cannabis_log!C:C,cannabis_log!H:H,"",0,1))</f>
        <v>topical_bulk</v>
      </c>
      <c r="I1131" s="113" t="str">
        <f>IF(ISBLANK(E1131),"",_xlfn.XLOOKUP(E1131,cannabis_log!C:C,cannabis_log!K:K,"NOT FOUND",0,1))</f>
        <v>NA</v>
      </c>
      <c r="J1131" s="185">
        <v>-1</v>
      </c>
      <c r="K1131" s="186">
        <v>-24830</v>
      </c>
      <c r="L1131" s="288">
        <f t="shared" si="49"/>
        <v>0</v>
      </c>
      <c r="M1131" s="24"/>
      <c r="N1131" s="112" t="str">
        <f>IF(ISBLANK(E1131),"",_xlfn.XLOOKUP(E1131,[1]cannabis_log!C:C,[1]cannabis_log!T:T,"Not Found",0,))</f>
        <v>gross</v>
      </c>
      <c r="O1131" s="180">
        <f>IF(N1131="net",_xlfn.XLOOKUP(E1131,cannabis_log!C:C,cannabis_log!N:N,"NOT FOUND",0,1),IF(N1131="gross",0,""))</f>
        <v>0</v>
      </c>
    </row>
    <row r="1132" spans="1:15">
      <c r="A1132" s="181" t="str">
        <f t="shared" si="52"/>
        <v>outbound</v>
      </c>
      <c r="B1132" s="182">
        <v>45707.420138888891</v>
      </c>
      <c r="C1132" s="183" t="s">
        <v>1921</v>
      </c>
      <c r="D1132" s="183" t="s">
        <v>2621</v>
      </c>
      <c r="E1132" s="215" t="s">
        <v>2624</v>
      </c>
      <c r="F1132" s="112" t="str">
        <f>IF(ISBLANK(E1132),"",_xlfn.XLOOKUP(E1132,[1]cannabis_log!C:C,[1]cannabis_log!J:J,"",0,))</f>
        <v>TP24120401</v>
      </c>
      <c r="G1132" s="112"/>
      <c r="H1132" s="112" t="str">
        <f>IF(ISBLANK(E1132),"",_xlfn.XLOOKUP(E1132,cannabis_log!C:C,cannabis_log!H:H,"",0,1))</f>
        <v>topical_bulk</v>
      </c>
      <c r="I1132" s="113" t="str">
        <f>IF(ISBLANK(E1132),"",_xlfn.XLOOKUP(E1132,cannabis_log!C:C,cannabis_log!K:K,"NOT FOUND",0,1))</f>
        <v>NA</v>
      </c>
      <c r="J1132" s="185">
        <v>-1</v>
      </c>
      <c r="K1132" s="186">
        <v>-26055</v>
      </c>
      <c r="L1132" s="288">
        <f t="shared" si="49"/>
        <v>0</v>
      </c>
      <c r="M1132" s="24"/>
      <c r="N1132" s="112" t="str">
        <f>IF(ISBLANK(E1132),"",_xlfn.XLOOKUP(E1132,[1]cannabis_log!C:C,[1]cannabis_log!T:T,"Not Found",0,))</f>
        <v>gross</v>
      </c>
      <c r="O1132" s="180">
        <f>IF(N1132="net",_xlfn.XLOOKUP(E1132,cannabis_log!C:C,cannabis_log!N:N,"NOT FOUND",0,1),IF(N1132="gross",0,""))</f>
        <v>0</v>
      </c>
    </row>
    <row r="1133" spans="1:15">
      <c r="A1133" s="181" t="str">
        <f t="shared" si="52"/>
        <v>outbound</v>
      </c>
      <c r="B1133" s="182">
        <v>45707.420138888891</v>
      </c>
      <c r="C1133" s="183" t="s">
        <v>1921</v>
      </c>
      <c r="D1133" s="183" t="s">
        <v>2621</v>
      </c>
      <c r="E1133" s="215" t="s">
        <v>2625</v>
      </c>
      <c r="F1133" s="112" t="str">
        <f>IF(ISBLANK(E1133),"",_xlfn.XLOOKUP(E1133,[1]cannabis_log!C:C,[1]cannabis_log!J:J,"",0,))</f>
        <v>TP24120401</v>
      </c>
      <c r="G1133" s="112"/>
      <c r="H1133" s="112" t="str">
        <f>IF(ISBLANK(E1133),"",_xlfn.XLOOKUP(E1133,cannabis_log!C:C,cannabis_log!H:H,"",0,1))</f>
        <v>topical_bulk</v>
      </c>
      <c r="I1133" s="113" t="str">
        <f>IF(ISBLANK(E1133),"",_xlfn.XLOOKUP(E1133,cannabis_log!C:C,cannabis_log!K:K,"NOT FOUND",0,1))</f>
        <v>NA</v>
      </c>
      <c r="J1133" s="185">
        <v>-1</v>
      </c>
      <c r="K1133" s="186">
        <v>-24750</v>
      </c>
      <c r="L1133" s="288">
        <v>0</v>
      </c>
      <c r="M1133" s="24"/>
      <c r="N1133" s="112" t="str">
        <f>IF(ISBLANK(E1133),"",_xlfn.XLOOKUP(E1133,[1]cannabis_log!C:C,[1]cannabis_log!T:T,"Not Found",0,))</f>
        <v>gross</v>
      </c>
      <c r="O1133" s="180">
        <f>IF(N1133="net",_xlfn.XLOOKUP(E1133,cannabis_log!C:C,cannabis_log!N:N,"NOT FOUND",0,1),IF(N1133="gross",0,""))</f>
        <v>0</v>
      </c>
    </row>
    <row r="1134" spans="1:15">
      <c r="A1134" s="181" t="str">
        <f t="shared" si="52"/>
        <v>outbound</v>
      </c>
      <c r="B1134" s="182">
        <v>45707.420138888891</v>
      </c>
      <c r="C1134" s="183" t="s">
        <v>1921</v>
      </c>
      <c r="D1134" s="183" t="s">
        <v>2621</v>
      </c>
      <c r="E1134" s="215" t="s">
        <v>2626</v>
      </c>
      <c r="F1134" s="112" t="str">
        <f>IF(ISBLANK(E1134),"",_xlfn.XLOOKUP(E1134,[1]cannabis_log!C:C,[1]cannabis_log!J:J,"",0,))</f>
        <v>TP24120401</v>
      </c>
      <c r="G1134" s="112"/>
      <c r="H1134" s="112" t="str">
        <f>IF(ISBLANK(E1134),"",_xlfn.XLOOKUP(E1134,cannabis_log!C:C,cannabis_log!H:H,"",0,1))</f>
        <v>topical_bulk</v>
      </c>
      <c r="I1134" s="113" t="str">
        <f>IF(ISBLANK(E1134),"",_xlfn.XLOOKUP(E1134,cannabis_log!C:C,cannabis_log!K:K,"NOT FOUND",0,1))</f>
        <v>NA</v>
      </c>
      <c r="J1134" s="185">
        <v>-1</v>
      </c>
      <c r="K1134" s="186">
        <v>-26400</v>
      </c>
      <c r="L1134" s="288">
        <f t="shared" ref="L1134:L1197" si="54">IFERROR(J1134*O1134,"")</f>
        <v>0</v>
      </c>
      <c r="M1134" s="24"/>
      <c r="N1134" s="112" t="str">
        <f>IF(ISBLANK(E1134),"",_xlfn.XLOOKUP(E1134,[1]cannabis_log!C:C,[1]cannabis_log!T:T,"Not Found",0,))</f>
        <v>gross</v>
      </c>
      <c r="O1134" s="180">
        <f>IF(N1134="net",_xlfn.XLOOKUP(E1134,cannabis_log!C:C,cannabis_log!N:N,"NOT FOUND",0,1),IF(N1134="gross",0,""))</f>
        <v>0</v>
      </c>
    </row>
    <row r="1135" spans="1:15">
      <c r="A1135" s="181" t="str">
        <f t="shared" si="52"/>
        <v>outbound</v>
      </c>
      <c r="B1135" s="182">
        <v>45707.436805555553</v>
      </c>
      <c r="C1135" s="183" t="s">
        <v>1921</v>
      </c>
      <c r="D1135" s="183" t="s">
        <v>2619</v>
      </c>
      <c r="E1135" s="215" t="s">
        <v>2586</v>
      </c>
      <c r="F1135" s="112" t="str">
        <f>IF(ISBLANK(E1135),"",_xlfn.XLOOKUP(E1135,[1]cannabis_log!C:C,[1]cannabis_log!J:J,"",0,))</f>
        <v>EX25011501V50</v>
      </c>
      <c r="G1135" s="112"/>
      <c r="H1135" s="112" t="str">
        <f>IF(ISBLANK(E1135),"",_xlfn.XLOOKUP(E1135,cannabis_log!C:C,cannabis_log!H:H,"",0,1))</f>
        <v>extract_ingested_labelled</v>
      </c>
      <c r="I1135" s="113">
        <f>IF(ISBLANK(E1135),"",_xlfn.XLOOKUP(E1135,cannabis_log!C:C,cannabis_log!K:K,"NOT FOUND",0,1))</f>
        <v>45692</v>
      </c>
      <c r="J1135" s="185">
        <v>-231</v>
      </c>
      <c r="K1135" s="186">
        <f t="shared" ref="K1135:K1141" si="55">IF(N1135="net",0,"")</f>
        <v>0</v>
      </c>
      <c r="L1135" s="288">
        <f t="shared" si="54"/>
        <v>-11550</v>
      </c>
      <c r="M1135" s="24"/>
      <c r="N1135" s="112" t="str">
        <f>IF(ISBLANK(E1135),"",_xlfn.XLOOKUP(E1135,[1]cannabis_log!C:C,[1]cannabis_log!T:T,"Not Found",0,))</f>
        <v>net</v>
      </c>
      <c r="O1135" s="180">
        <f>IF(N1135="net",_xlfn.XLOOKUP(E1135,cannabis_log!C:C,cannabis_log!N:N,"NOT FOUND",0,1),IF(N1135="gross",0,""))</f>
        <v>50</v>
      </c>
    </row>
    <row r="1136" spans="1:15">
      <c r="A1136" s="181" t="str">
        <f t="shared" si="52"/>
        <v>outbound</v>
      </c>
      <c r="B1136" s="182">
        <v>45707.436805555597</v>
      </c>
      <c r="C1136" s="183" t="s">
        <v>1929</v>
      </c>
      <c r="D1136" s="183" t="s">
        <v>2606</v>
      </c>
      <c r="E1136" s="215" t="s">
        <v>2497</v>
      </c>
      <c r="F1136" s="112" t="str">
        <f>IF(ISBLANK(E1136),"",_xlfn.XLOOKUP(E1136,[1]cannabis_log!C:C,[1]cannabis_log!J:J,"",0,))</f>
        <v>EX24111306G05</v>
      </c>
      <c r="G1136" s="112"/>
      <c r="H1136" s="112" t="str">
        <f>IF(ISBLANK(E1136),"",_xlfn.XLOOKUP(E1136,cannabis_log!C:C,cannabis_log!H:H,"",0,1))</f>
        <v>extract_inhaled_labelled</v>
      </c>
      <c r="I1136" s="113">
        <f>IF(ISBLANK(E1136),"",_xlfn.XLOOKUP(E1136,cannabis_log!C:C,cannabis_log!K:K,"NOT FOUND",0,1))</f>
        <v>45623</v>
      </c>
      <c r="J1136" s="185">
        <v>-12</v>
      </c>
      <c r="K1136" s="186">
        <f t="shared" si="55"/>
        <v>0</v>
      </c>
      <c r="L1136" s="288">
        <f t="shared" si="54"/>
        <v>-6</v>
      </c>
      <c r="M1136" s="24"/>
      <c r="N1136" s="112" t="str">
        <f>IF(ISBLANK(E1136),"",_xlfn.XLOOKUP(E1136,[1]cannabis_log!C:C,[1]cannabis_log!T:T,"Not Found",0,))</f>
        <v>net</v>
      </c>
      <c r="O1136" s="180">
        <f>IF(N1136="net",_xlfn.XLOOKUP(E1136,cannabis_log!C:C,cannabis_log!N:N,"NOT FOUND",0,1),IF(N1136="gross",0,""))</f>
        <v>0.5</v>
      </c>
    </row>
    <row r="1137" spans="1:15">
      <c r="A1137" s="181" t="str">
        <f t="shared" si="52"/>
        <v>outbound</v>
      </c>
      <c r="B1137" s="182">
        <v>45707.436805555597</v>
      </c>
      <c r="C1137" s="183" t="s">
        <v>1929</v>
      </c>
      <c r="D1137" s="183" t="s">
        <v>2606</v>
      </c>
      <c r="E1137" s="215" t="s">
        <v>2412</v>
      </c>
      <c r="F1137" s="112" t="str">
        <f>IF(ISBLANK(E1137),"",_xlfn.XLOOKUP(E1137,[1]cannabis_log!C:C,[1]cannabis_log!J:J,"",0,))</f>
        <v>EX24111302G05</v>
      </c>
      <c r="G1137" s="112"/>
      <c r="H1137" s="112" t="str">
        <f>IF(ISBLANK(E1137),"",_xlfn.XLOOKUP(E1137,cannabis_log!C:C,cannabis_log!H:H,"",0,1))</f>
        <v>extract_inhaled_labelled</v>
      </c>
      <c r="I1137" s="113">
        <f>IF(ISBLANK(E1137),"",_xlfn.XLOOKUP(E1137,cannabis_log!C:C,cannabis_log!K:K,"NOT FOUND",0,1))</f>
        <v>45623</v>
      </c>
      <c r="J1137" s="185">
        <v>-3</v>
      </c>
      <c r="K1137" s="186">
        <f t="shared" si="55"/>
        <v>0</v>
      </c>
      <c r="L1137" s="288">
        <f t="shared" si="54"/>
        <v>-1.5</v>
      </c>
      <c r="M1137" s="24"/>
      <c r="N1137" s="112" t="str">
        <f>IF(ISBLANK(E1137),"",_xlfn.XLOOKUP(E1137,[1]cannabis_log!C:C,[1]cannabis_log!T:T,"Not Found",0,))</f>
        <v>net</v>
      </c>
      <c r="O1137" s="180">
        <f>IF(N1137="net",_xlfn.XLOOKUP(E1137,cannabis_log!C:C,cannabis_log!N:N,"NOT FOUND",0,1),IF(N1137="gross",0,""))</f>
        <v>0.5</v>
      </c>
    </row>
    <row r="1138" spans="1:15">
      <c r="A1138" s="181" t="str">
        <f t="shared" si="52"/>
        <v>outbound</v>
      </c>
      <c r="B1138" s="182">
        <v>45707.618750000001</v>
      </c>
      <c r="C1138" s="183" t="s">
        <v>1929</v>
      </c>
      <c r="D1138" s="183" t="s">
        <v>2606</v>
      </c>
      <c r="E1138" s="215" t="s">
        <v>2593</v>
      </c>
      <c r="F1138" s="112" t="str">
        <f>IF(ISBLANK(E1138),"",_xlfn.XLOOKUP(E1138,[1]cannabis_log!C:C,[1]cannabis_log!J:J,"",0,))</f>
        <v>EX24092601V50</v>
      </c>
      <c r="G1138" s="112"/>
      <c r="H1138" s="112" t="str">
        <f>IF(ISBLANK(E1138),"",_xlfn.XLOOKUP(E1138,cannabis_log!C:C,cannabis_log!H:H,"",0,1))</f>
        <v>extract_ingested_cased_BC</v>
      </c>
      <c r="I1138" s="113">
        <f>IF(ISBLANK(E1138),"",_xlfn.XLOOKUP(E1138,cannabis_log!C:C,cannabis_log!K:K,"NOT FOUND",0,1))</f>
        <v>45576</v>
      </c>
      <c r="J1138" s="185">
        <v>-1</v>
      </c>
      <c r="K1138" s="186">
        <f t="shared" si="55"/>
        <v>0</v>
      </c>
      <c r="L1138" s="288">
        <f t="shared" si="54"/>
        <v>-600</v>
      </c>
      <c r="M1138" s="24"/>
      <c r="N1138" s="112" t="str">
        <f>IF(ISBLANK(E1138),"",_xlfn.XLOOKUP(E1138,[1]cannabis_log!C:C,[1]cannabis_log!T:T,"Not Found",0,))</f>
        <v>net</v>
      </c>
      <c r="O1138" s="180">
        <f>IF(N1138="net",_xlfn.XLOOKUP(E1138,cannabis_log!C:C,cannabis_log!N:N,"NOT FOUND",0,1),IF(N1138="gross",0,""))</f>
        <v>600</v>
      </c>
    </row>
    <row r="1139" spans="1:15">
      <c r="A1139" s="181" t="str">
        <f t="shared" si="52"/>
        <v>outbound</v>
      </c>
      <c r="B1139" s="182">
        <v>45707.654861111114</v>
      </c>
      <c r="C1139" s="183" t="s">
        <v>1929</v>
      </c>
      <c r="D1139" s="183" t="s">
        <v>2618</v>
      </c>
      <c r="E1139" s="215" t="s">
        <v>2557</v>
      </c>
      <c r="F1139" s="112" t="str">
        <f>IF(ISBLANK(E1139),"",_xlfn.XLOOKUP(E1139,[1]cannabis_log!C:C,[1]cannabis_log!J:J,"",0,))</f>
        <v>2024111801G7</v>
      </c>
      <c r="G1139" s="112"/>
      <c r="H1139" s="112" t="str">
        <f>IF(ISBLANK(E1139),"",_xlfn.XLOOKUP(E1139,cannabis_log!C:C,cannabis_log!H:H,"",0,1))</f>
        <v>driedflower_labelled</v>
      </c>
      <c r="I1139" s="113">
        <f>IF(ISBLANK(E1139),"",_xlfn.XLOOKUP(E1139,cannabis_log!C:C,cannabis_log!K:K,"NOT FOUND",0,1))</f>
        <v>45631</v>
      </c>
      <c r="J1139" s="185">
        <v>-371</v>
      </c>
      <c r="K1139" s="186">
        <f t="shared" si="55"/>
        <v>0</v>
      </c>
      <c r="L1139" s="288">
        <f t="shared" si="54"/>
        <v>-2597</v>
      </c>
      <c r="M1139" s="24"/>
      <c r="N1139" s="112" t="str">
        <f>IF(ISBLANK(E1139),"",_xlfn.XLOOKUP(E1139,[1]cannabis_log!C:C,[1]cannabis_log!T:T,"Not Found",0,))</f>
        <v>net</v>
      </c>
      <c r="O1139" s="180">
        <f>IF(N1139="net",_xlfn.XLOOKUP(E1139,cannabis_log!C:C,cannabis_log!N:N,"NOT FOUND",0,1),IF(N1139="gross",0,""))</f>
        <v>7</v>
      </c>
    </row>
    <row r="1140" spans="1:15">
      <c r="A1140" s="181" t="str">
        <f t="shared" si="52"/>
        <v>outbound</v>
      </c>
      <c r="B1140" s="182">
        <v>45707.696527777778</v>
      </c>
      <c r="C1140" s="183" t="s">
        <v>1929</v>
      </c>
      <c r="D1140" s="183"/>
      <c r="E1140" s="215" t="s">
        <v>2497</v>
      </c>
      <c r="F1140" s="112" t="str">
        <f>IF(ISBLANK(E1140),"",_xlfn.XLOOKUP(E1140,[1]cannabis_log!C:C,[1]cannabis_log!J:J,"",0,))</f>
        <v>EX24111306G05</v>
      </c>
      <c r="G1140" s="112"/>
      <c r="H1140" s="112" t="str">
        <f>IF(ISBLANK(E1140),"",_xlfn.XLOOKUP(E1140,cannabis_log!C:C,cannabis_log!H:H,"",0,1))</f>
        <v>extract_inhaled_labelled</v>
      </c>
      <c r="I1140" s="113">
        <f>IF(ISBLANK(E1140),"",_xlfn.XLOOKUP(E1140,cannabis_log!C:C,cannabis_log!K:K,"NOT FOUND",0,1))</f>
        <v>45623</v>
      </c>
      <c r="J1140" s="185">
        <v>-24</v>
      </c>
      <c r="K1140" s="186">
        <f t="shared" si="55"/>
        <v>0</v>
      </c>
      <c r="L1140" s="288">
        <f t="shared" si="54"/>
        <v>-12</v>
      </c>
      <c r="M1140" s="24"/>
      <c r="N1140" s="112" t="str">
        <f>IF(ISBLANK(E1140),"",_xlfn.XLOOKUP(E1140,[1]cannabis_log!C:C,[1]cannabis_log!T:T,"Not Found",0,))</f>
        <v>net</v>
      </c>
      <c r="O1140" s="180">
        <f>IF(N1140="net",_xlfn.XLOOKUP(E1140,cannabis_log!C:C,cannabis_log!N:N,"NOT FOUND",0,1),IF(N1140="gross",0,""))</f>
        <v>0.5</v>
      </c>
    </row>
    <row r="1141" spans="1:15">
      <c r="A1141" s="181" t="str">
        <f t="shared" si="52"/>
        <v>outbound</v>
      </c>
      <c r="B1141" s="182">
        <v>45707.696527777778</v>
      </c>
      <c r="C1141" s="183" t="s">
        <v>1929</v>
      </c>
      <c r="D1141" s="183"/>
      <c r="E1141" s="215" t="s">
        <v>2593</v>
      </c>
      <c r="F1141" s="112" t="str">
        <f>IF(ISBLANK(E1141),"",_xlfn.XLOOKUP(E1141,[1]cannabis_log!C:C,[1]cannabis_log!J:J,"",0,))</f>
        <v>EX24092601V50</v>
      </c>
      <c r="G1141" s="112"/>
      <c r="H1141" s="112" t="str">
        <f>IF(ISBLANK(E1141),"",_xlfn.XLOOKUP(E1141,cannabis_log!C:C,cannabis_log!H:H,"",0,1))</f>
        <v>extract_ingested_cased_BC</v>
      </c>
      <c r="I1141" s="113">
        <f>IF(ISBLANK(E1141),"",_xlfn.XLOOKUP(E1141,cannabis_log!C:C,cannabis_log!K:K,"NOT FOUND",0,1))</f>
        <v>45576</v>
      </c>
      <c r="J1141" s="185">
        <v>-1</v>
      </c>
      <c r="K1141" s="186">
        <f t="shared" si="55"/>
        <v>0</v>
      </c>
      <c r="L1141" s="288">
        <f t="shared" si="54"/>
        <v>-600</v>
      </c>
      <c r="M1141" s="24"/>
      <c r="N1141" s="112" t="str">
        <f>IF(ISBLANK(E1141),"",_xlfn.XLOOKUP(E1141,[1]cannabis_log!C:C,[1]cannabis_log!T:T,"Not Found",0,))</f>
        <v>net</v>
      </c>
      <c r="O1141" s="180">
        <f>IF(N1141="net",_xlfn.XLOOKUP(E1141,cannabis_log!C:C,cannabis_log!N:N,"NOT FOUND",0,1),IF(N1141="gross",0,""))</f>
        <v>600</v>
      </c>
    </row>
    <row r="1142" spans="1:15">
      <c r="A1142" s="181" t="str">
        <f t="shared" si="52"/>
        <v>outbound</v>
      </c>
      <c r="B1142" s="182">
        <v>45708.390972222223</v>
      </c>
      <c r="C1142" s="183" t="s">
        <v>1921</v>
      </c>
      <c r="D1142" s="183"/>
      <c r="E1142" s="215" t="s">
        <v>2583</v>
      </c>
      <c r="F1142" s="112">
        <f>IF(ISBLANK(E1142),"",_xlfn.XLOOKUP(E1142,[1]cannabis_log!C:C,[1]cannabis_log!J:J,"",0,))</f>
        <v>2025010201</v>
      </c>
      <c r="G1142" s="112"/>
      <c r="H1142" s="112" t="str">
        <f>IF(ISBLANK(E1142),"",_xlfn.XLOOKUP(E1142,cannabis_log!C:C,cannabis_log!H:H,"",0,1))</f>
        <v>driedflower_bulk_BURB</v>
      </c>
      <c r="I1142" s="113" t="str">
        <f>IF(ISBLANK(E1142),"",_xlfn.XLOOKUP(E1142,cannabis_log!C:C,cannabis_log!K:K,"NOT FOUND",0,1))</f>
        <v>NA</v>
      </c>
      <c r="J1142" s="185">
        <v>-1</v>
      </c>
      <c r="K1142" s="186">
        <v>-4670</v>
      </c>
      <c r="L1142" s="288">
        <f t="shared" si="54"/>
        <v>0</v>
      </c>
      <c r="M1142" s="24"/>
      <c r="N1142" s="112" t="str">
        <f>IF(ISBLANK(E1142),"",_xlfn.XLOOKUP(E1142,[1]cannabis_log!C:C,[1]cannabis_log!T:T,"Not Found",0,))</f>
        <v>gross</v>
      </c>
      <c r="O1142" s="180">
        <f>IF(N1142="net",_xlfn.XLOOKUP(E1142,cannabis_log!C:C,cannabis_log!N:N,"NOT FOUND",0,1),IF(N1142="gross",0,""))</f>
        <v>0</v>
      </c>
    </row>
    <row r="1143" spans="1:15">
      <c r="A1143" s="181" t="str">
        <f t="shared" si="52"/>
        <v>outbound</v>
      </c>
      <c r="B1143" s="182">
        <v>45708.499305555553</v>
      </c>
      <c r="C1143" s="183" t="s">
        <v>1929</v>
      </c>
      <c r="D1143" s="183"/>
      <c r="E1143" s="215" t="s">
        <v>1937</v>
      </c>
      <c r="F1143" s="112" t="str">
        <f>IF(ISBLANK(E1143),"",_xlfn.XLOOKUP(E1143,[1]cannabis_log!C:C,[1]cannabis_log!J:J,"",0,))</f>
        <v>EX24070901V50</v>
      </c>
      <c r="G1143" s="112"/>
      <c r="H1143" s="112" t="str">
        <f>IF(ISBLANK(E1143),"",_xlfn.XLOOKUP(E1143,cannabis_log!C:C,cannabis_log!H:H,"",0,1))</f>
        <v>extract_ingested_cased_BC</v>
      </c>
      <c r="I1143" s="113">
        <f>IF(ISBLANK(E1143),"",_xlfn.XLOOKUP(E1143,cannabis_log!C:C,cannabis_log!K:K,"NOT FOUND",0,1))</f>
        <v>45503</v>
      </c>
      <c r="J1143" s="185">
        <v>-10</v>
      </c>
      <c r="K1143" s="186">
        <f>IF(N1143="net",0,"")</f>
        <v>0</v>
      </c>
      <c r="L1143" s="288">
        <f t="shared" si="54"/>
        <v>-500</v>
      </c>
      <c r="M1143" s="24"/>
      <c r="N1143" s="112" t="str">
        <f>IF(ISBLANK(E1143),"",_xlfn.XLOOKUP(E1143,[1]cannabis_log!C:C,[1]cannabis_log!T:T,"Not Found",0,))</f>
        <v>net</v>
      </c>
      <c r="O1143" s="180">
        <f>IF(N1143="net",_xlfn.XLOOKUP(E1143,cannabis_log!C:C,cannabis_log!N:N,"NOT FOUND",0,1),IF(N1143="gross",0,""))</f>
        <v>50</v>
      </c>
    </row>
    <row r="1144" spans="1:15">
      <c r="A1144" s="181" t="str">
        <f t="shared" si="52"/>
        <v>outbound</v>
      </c>
      <c r="B1144" s="182">
        <v>45708.499305555553</v>
      </c>
      <c r="C1144" s="183" t="s">
        <v>1929</v>
      </c>
      <c r="D1144" s="183"/>
      <c r="E1144" s="215" t="s">
        <v>1938</v>
      </c>
      <c r="F1144" s="112" t="str">
        <f>IF(ISBLANK(E1144),"",_xlfn.XLOOKUP(E1144,[1]cannabis_log!C:C,[1]cannabis_log!J:J,"",0,))</f>
        <v>EX24092601V50</v>
      </c>
      <c r="G1144" s="112"/>
      <c r="H1144" s="112" t="str">
        <f>IF(ISBLANK(E1144),"",_xlfn.XLOOKUP(E1144,cannabis_log!C:C,cannabis_log!H:H,"",0,1))</f>
        <v>extract_ingested_cased_BC</v>
      </c>
      <c r="I1144" s="113">
        <f>IF(ISBLANK(E1144),"",_xlfn.XLOOKUP(E1144,cannabis_log!C:C,cannabis_log!K:K,"NOT FOUND",0,1))</f>
        <v>45576</v>
      </c>
      <c r="J1144" s="185">
        <v>-2</v>
      </c>
      <c r="K1144" s="186">
        <f>IF(N1144="net",0,"")</f>
        <v>0</v>
      </c>
      <c r="L1144" s="288">
        <f t="shared" si="54"/>
        <v>-100</v>
      </c>
      <c r="M1144" s="24"/>
      <c r="N1144" s="112" t="str">
        <f>IF(ISBLANK(E1144),"",_xlfn.XLOOKUP(E1144,[1]cannabis_log!C:C,[1]cannabis_log!T:T,"Not Found",0,))</f>
        <v>net</v>
      </c>
      <c r="O1144" s="180">
        <f>IF(N1144="net",_xlfn.XLOOKUP(E1144,cannabis_log!C:C,cannabis_log!N:N,"NOT FOUND",0,1),IF(N1144="gross",0,""))</f>
        <v>50</v>
      </c>
    </row>
    <row r="1145" spans="1:15">
      <c r="A1145" s="181" t="str">
        <f t="shared" si="52"/>
        <v>outbound</v>
      </c>
      <c r="B1145" s="182">
        <v>45708.499305555553</v>
      </c>
      <c r="C1145" s="183" t="s">
        <v>1924</v>
      </c>
      <c r="D1145" s="183" t="s">
        <v>2627</v>
      </c>
      <c r="E1145" s="215" t="s">
        <v>2497</v>
      </c>
      <c r="F1145" s="112" t="str">
        <f>IF(ISBLANK(E1145),"",_xlfn.XLOOKUP(E1145,[1]cannabis_log!C:C,[1]cannabis_log!J:J,"",0,))</f>
        <v>EX24111306G05</v>
      </c>
      <c r="G1145" s="112"/>
      <c r="H1145" s="112" t="str">
        <f>IF(ISBLANK(E1145),"",_xlfn.XLOOKUP(E1145,cannabis_log!C:C,cannabis_log!H:H,"",0,1))</f>
        <v>extract_inhaled_labelled</v>
      </c>
      <c r="I1145" s="113">
        <f>IF(ISBLANK(E1145),"",_xlfn.XLOOKUP(E1145,cannabis_log!C:C,cannabis_log!K:K,"NOT FOUND",0,1))</f>
        <v>45623</v>
      </c>
      <c r="J1145" s="185">
        <v>-1</v>
      </c>
      <c r="K1145" s="186">
        <f>IF(N1145="net",0,"")</f>
        <v>0</v>
      </c>
      <c r="L1145" s="288">
        <f t="shared" si="54"/>
        <v>-0.5</v>
      </c>
      <c r="M1145" s="24"/>
      <c r="N1145" s="112" t="str">
        <f>IF(ISBLANK(E1145),"",_xlfn.XLOOKUP(E1145,[1]cannabis_log!C:C,[1]cannabis_log!T:T,"Not Found",0,))</f>
        <v>net</v>
      </c>
      <c r="O1145" s="180">
        <f>IF(N1145="net",_xlfn.XLOOKUP(E1145,cannabis_log!C:C,cannabis_log!N:N,"NOT FOUND",0,1),IF(N1145="gross",0,""))</f>
        <v>0.5</v>
      </c>
    </row>
    <row r="1146" spans="1:15">
      <c r="A1146" s="181" t="str">
        <f t="shared" si="52"/>
        <v>outbound</v>
      </c>
      <c r="B1146" s="182">
        <v>45708.50277777778</v>
      </c>
      <c r="C1146" s="183" t="s">
        <v>1921</v>
      </c>
      <c r="D1146" s="183"/>
      <c r="E1146" s="215" t="s">
        <v>2628</v>
      </c>
      <c r="F1146" s="112">
        <f>IF(ISBLANK(E1146),"",_xlfn.XLOOKUP(E1146,[1]cannabis_log!C:C,[1]cannabis_log!J:J,"",0,))</f>
        <v>2024121801</v>
      </c>
      <c r="G1146" s="112"/>
      <c r="H1146" s="112" t="str">
        <f>IF(ISBLANK(E1146),"",_xlfn.XLOOKUP(E1146,cannabis_log!C:C,cannabis_log!H:H,"",0,1))</f>
        <v>driedflower_bulk</v>
      </c>
      <c r="I1146" s="113" t="str">
        <f>IF(ISBLANK(E1146),"",_xlfn.XLOOKUP(E1146,cannabis_log!C:C,cannabis_log!K:K,"NOT FOUND",0,1))</f>
        <v>NA</v>
      </c>
      <c r="J1146" s="185">
        <v>-1</v>
      </c>
      <c r="K1146" s="186">
        <v>-1095</v>
      </c>
      <c r="L1146" s="288">
        <f t="shared" si="54"/>
        <v>0</v>
      </c>
      <c r="M1146" s="24"/>
      <c r="N1146" s="112" t="str">
        <f>IF(ISBLANK(E1146),"",_xlfn.XLOOKUP(E1146,[1]cannabis_log!C:C,[1]cannabis_log!T:T,"Not Found",0,))</f>
        <v>gross</v>
      </c>
      <c r="O1146" s="180">
        <f>IF(N1146="net",_xlfn.XLOOKUP(E1146,cannabis_log!C:C,cannabis_log!N:N,"NOT FOUND",0,1),IF(N1146="gross",0,""))</f>
        <v>0</v>
      </c>
    </row>
    <row r="1147" spans="1:15">
      <c r="A1147" s="181" t="str">
        <f t="shared" si="52"/>
        <v>outbound</v>
      </c>
      <c r="B1147" s="182">
        <v>45708.50277777778</v>
      </c>
      <c r="C1147" s="183" t="s">
        <v>1921</v>
      </c>
      <c r="D1147" s="183"/>
      <c r="E1147" s="215" t="s">
        <v>2629</v>
      </c>
      <c r="F1147" s="112">
        <f>IF(ISBLANK(E1147),"",_xlfn.XLOOKUP(E1147,[1]cannabis_log!C:C,[1]cannabis_log!J:J,"",0,))</f>
        <v>2024121801</v>
      </c>
      <c r="G1147" s="112"/>
      <c r="H1147" s="112" t="str">
        <f>IF(ISBLANK(E1147),"",_xlfn.XLOOKUP(E1147,cannabis_log!C:C,cannabis_log!H:H,"",0,1))</f>
        <v>driedflower_bulk</v>
      </c>
      <c r="I1147" s="113" t="str">
        <f>IF(ISBLANK(E1147),"",_xlfn.XLOOKUP(E1147,cannabis_log!C:C,cannabis_log!K:K,"NOT FOUND",0,1))</f>
        <v>NA</v>
      </c>
      <c r="J1147" s="185">
        <v>-1</v>
      </c>
      <c r="K1147" s="186">
        <v>-1095</v>
      </c>
      <c r="L1147" s="288">
        <f t="shared" si="54"/>
        <v>0</v>
      </c>
      <c r="M1147" s="24"/>
      <c r="N1147" s="112" t="str">
        <f>IF(ISBLANK(E1147),"",_xlfn.XLOOKUP(E1147,[1]cannabis_log!C:C,[1]cannabis_log!T:T,"Not Found",0,))</f>
        <v>gross</v>
      </c>
      <c r="O1147" s="180">
        <f>IF(N1147="net",_xlfn.XLOOKUP(E1147,cannabis_log!C:C,cannabis_log!N:N,"NOT FOUND",0,1),IF(N1147="gross",0,""))</f>
        <v>0</v>
      </c>
    </row>
    <row r="1148" spans="1:15">
      <c r="A1148" s="181" t="str">
        <f t="shared" si="52"/>
        <v>outbound</v>
      </c>
      <c r="B1148" s="182">
        <v>45708.50277777778</v>
      </c>
      <c r="C1148" s="183" t="s">
        <v>1921</v>
      </c>
      <c r="D1148" s="183"/>
      <c r="E1148" s="215" t="s">
        <v>2630</v>
      </c>
      <c r="F1148" s="112">
        <f>IF(ISBLANK(E1148),"",_xlfn.XLOOKUP(E1148,[1]cannabis_log!C:C,[1]cannabis_log!J:J,"",0,))</f>
        <v>2024121801</v>
      </c>
      <c r="G1148" s="112"/>
      <c r="H1148" s="112" t="str">
        <f>IF(ISBLANK(E1148),"",_xlfn.XLOOKUP(E1148,cannabis_log!C:C,cannabis_log!H:H,"",0,1))</f>
        <v>driedflower_bulk</v>
      </c>
      <c r="I1148" s="113" t="str">
        <f>IF(ISBLANK(E1148),"",_xlfn.XLOOKUP(E1148,cannabis_log!C:C,cannabis_log!K:K,"NOT FOUND",0,1))</f>
        <v>NA</v>
      </c>
      <c r="J1148" s="185">
        <v>-1</v>
      </c>
      <c r="K1148" s="186">
        <v>-1095</v>
      </c>
      <c r="L1148" s="288">
        <f t="shared" si="54"/>
        <v>0</v>
      </c>
      <c r="M1148" s="24"/>
      <c r="N1148" s="112" t="str">
        <f>IF(ISBLANK(E1148),"",_xlfn.XLOOKUP(E1148,[1]cannabis_log!C:C,[1]cannabis_log!T:T,"Not Found",0,))</f>
        <v>gross</v>
      </c>
      <c r="O1148" s="180">
        <f>IF(N1148="net",_xlfn.XLOOKUP(E1148,cannabis_log!C:C,cannabis_log!N:N,"NOT FOUND",0,1),IF(N1148="gross",0,""))</f>
        <v>0</v>
      </c>
    </row>
    <row r="1149" spans="1:15">
      <c r="A1149" s="181" t="str">
        <f t="shared" si="52"/>
        <v>outbound</v>
      </c>
      <c r="B1149" s="182">
        <v>45708.50277777778</v>
      </c>
      <c r="C1149" s="183" t="s">
        <v>1921</v>
      </c>
      <c r="D1149" s="183"/>
      <c r="E1149" s="215" t="s">
        <v>2631</v>
      </c>
      <c r="F1149" s="112">
        <f>IF(ISBLANK(E1149),"",_xlfn.XLOOKUP(E1149,[1]cannabis_log!C:C,[1]cannabis_log!J:J,"",0,))</f>
        <v>2024121801</v>
      </c>
      <c r="G1149" s="112"/>
      <c r="H1149" s="112" t="str">
        <f>IF(ISBLANK(E1149),"",_xlfn.XLOOKUP(E1149,cannabis_log!C:C,cannabis_log!H:H,"",0,1))</f>
        <v>driedflower_bulk</v>
      </c>
      <c r="I1149" s="113" t="str">
        <f>IF(ISBLANK(E1149),"",_xlfn.XLOOKUP(E1149,cannabis_log!C:C,cannabis_log!K:K,"NOT FOUND",0,1))</f>
        <v>NA</v>
      </c>
      <c r="J1149" s="185">
        <v>-1</v>
      </c>
      <c r="K1149" s="186">
        <v>-1095</v>
      </c>
      <c r="L1149" s="288">
        <f t="shared" si="54"/>
        <v>0</v>
      </c>
      <c r="M1149" s="24"/>
      <c r="N1149" s="112" t="str">
        <f>IF(ISBLANK(E1149),"",_xlfn.XLOOKUP(E1149,[1]cannabis_log!C:C,[1]cannabis_log!T:T,"Not Found",0,))</f>
        <v>gross</v>
      </c>
      <c r="O1149" s="180">
        <f>IF(N1149="net",_xlfn.XLOOKUP(E1149,cannabis_log!C:C,cannabis_log!N:N,"NOT FOUND",0,1),IF(N1149="gross",0,""))</f>
        <v>0</v>
      </c>
    </row>
    <row r="1150" spans="1:15">
      <c r="A1150" s="181" t="str">
        <f t="shared" si="52"/>
        <v>outbound</v>
      </c>
      <c r="B1150" s="182">
        <v>45708.50277777778</v>
      </c>
      <c r="C1150" s="183" t="s">
        <v>1921</v>
      </c>
      <c r="D1150" s="183"/>
      <c r="E1150" s="215" t="s">
        <v>2632</v>
      </c>
      <c r="F1150" s="112">
        <f>IF(ISBLANK(E1150),"",_xlfn.XLOOKUP(E1150,[1]cannabis_log!C:C,[1]cannabis_log!J:J,"",0,))</f>
        <v>2024121801</v>
      </c>
      <c r="G1150" s="112"/>
      <c r="H1150" s="112" t="str">
        <f>IF(ISBLANK(E1150),"",_xlfn.XLOOKUP(E1150,cannabis_log!C:C,cannabis_log!H:H,"",0,1))</f>
        <v>driedflower_bulk</v>
      </c>
      <c r="I1150" s="113" t="str">
        <f>IF(ISBLANK(E1150),"",_xlfn.XLOOKUP(E1150,cannabis_log!C:C,cannabis_log!K:K,"NOT FOUND",0,1))</f>
        <v>NA</v>
      </c>
      <c r="J1150" s="185">
        <v>-1</v>
      </c>
      <c r="K1150" s="186">
        <v>-1095</v>
      </c>
      <c r="L1150" s="288">
        <f t="shared" si="54"/>
        <v>0</v>
      </c>
      <c r="M1150" s="24"/>
      <c r="N1150" s="112" t="str">
        <f>IF(ISBLANK(E1150),"",_xlfn.XLOOKUP(E1150,[1]cannabis_log!C:C,[1]cannabis_log!T:T,"Not Found",0,))</f>
        <v>gross</v>
      </c>
      <c r="O1150" s="180">
        <f>IF(N1150="net",_xlfn.XLOOKUP(E1150,cannabis_log!C:C,cannabis_log!N:N,"NOT FOUND",0,1),IF(N1150="gross",0,""))</f>
        <v>0</v>
      </c>
    </row>
    <row r="1151" spans="1:15">
      <c r="A1151" s="181" t="str">
        <f t="shared" si="52"/>
        <v>outbound</v>
      </c>
      <c r="B1151" s="182">
        <v>45708.50277777778</v>
      </c>
      <c r="C1151" s="183" t="s">
        <v>1921</v>
      </c>
      <c r="D1151" s="183"/>
      <c r="E1151" s="215" t="s">
        <v>2633</v>
      </c>
      <c r="F1151" s="112">
        <f>IF(ISBLANK(E1151),"",_xlfn.XLOOKUP(E1151,[1]cannabis_log!C:C,[1]cannabis_log!J:J,"",0,))</f>
        <v>2024121801</v>
      </c>
      <c r="G1151" s="112"/>
      <c r="H1151" s="112" t="str">
        <f>IF(ISBLANK(E1151),"",_xlfn.XLOOKUP(E1151,cannabis_log!C:C,cannabis_log!H:H,"",0,1))</f>
        <v>driedflower_bulk</v>
      </c>
      <c r="I1151" s="113" t="str">
        <f>IF(ISBLANK(E1151),"",_xlfn.XLOOKUP(E1151,cannabis_log!C:C,cannabis_log!K:K,"NOT FOUND",0,1))</f>
        <v>NA</v>
      </c>
      <c r="J1151" s="185">
        <v>-1</v>
      </c>
      <c r="K1151" s="186">
        <v>-1095</v>
      </c>
      <c r="L1151" s="288">
        <f t="shared" si="54"/>
        <v>0</v>
      </c>
      <c r="M1151" s="24"/>
      <c r="N1151" s="112" t="str">
        <f>IF(ISBLANK(E1151),"",_xlfn.XLOOKUP(E1151,[1]cannabis_log!C:C,[1]cannabis_log!T:T,"Not Found",0,))</f>
        <v>gross</v>
      </c>
      <c r="O1151" s="180">
        <f>IF(N1151="net",_xlfn.XLOOKUP(E1151,cannabis_log!C:C,cannabis_log!N:N,"NOT FOUND",0,1),IF(N1151="gross",0,""))</f>
        <v>0</v>
      </c>
    </row>
    <row r="1152" spans="1:15">
      <c r="A1152" s="181" t="str">
        <f t="shared" si="52"/>
        <v>outbound</v>
      </c>
      <c r="B1152" s="182">
        <v>45708.50277777778</v>
      </c>
      <c r="C1152" s="183" t="s">
        <v>1921</v>
      </c>
      <c r="D1152" s="183"/>
      <c r="E1152" s="215" t="s">
        <v>2634</v>
      </c>
      <c r="F1152" s="112">
        <f>IF(ISBLANK(E1152),"",_xlfn.XLOOKUP(E1152,[1]cannabis_log!C:C,[1]cannabis_log!J:J,"",0,))</f>
        <v>2024121801</v>
      </c>
      <c r="G1152" s="112"/>
      <c r="H1152" s="112" t="str">
        <f>IF(ISBLANK(E1152),"",_xlfn.XLOOKUP(E1152,cannabis_log!C:C,cannabis_log!H:H,"",0,1))</f>
        <v>driedflower_bulk</v>
      </c>
      <c r="I1152" s="113" t="str">
        <f>IF(ISBLANK(E1152),"",_xlfn.XLOOKUP(E1152,cannabis_log!C:C,cannabis_log!K:K,"NOT FOUND",0,1))</f>
        <v>NA</v>
      </c>
      <c r="J1152" s="185">
        <v>-1</v>
      </c>
      <c r="K1152" s="186">
        <v>-1095</v>
      </c>
      <c r="L1152" s="288">
        <f t="shared" si="54"/>
        <v>0</v>
      </c>
      <c r="M1152" s="24"/>
      <c r="N1152" s="112" t="str">
        <f>IF(ISBLANK(E1152),"",_xlfn.XLOOKUP(E1152,[1]cannabis_log!C:C,[1]cannabis_log!T:T,"Not Found",0,))</f>
        <v>gross</v>
      </c>
      <c r="O1152" s="180">
        <f>IF(N1152="net",_xlfn.XLOOKUP(E1152,cannabis_log!C:C,cannabis_log!N:N,"NOT FOUND",0,1),IF(N1152="gross",0,""))</f>
        <v>0</v>
      </c>
    </row>
    <row r="1153" spans="1:15">
      <c r="A1153" s="181" t="str">
        <f t="shared" ref="A1153:A1216" si="56">IF(ISBLANK(J1153),"",IF(J1153+K1153+L1153&lt;0,"outbound","inbound"))</f>
        <v>outbound</v>
      </c>
      <c r="B1153" s="182">
        <v>45708.50277777778</v>
      </c>
      <c r="C1153" s="183" t="s">
        <v>1921</v>
      </c>
      <c r="D1153" s="183"/>
      <c r="E1153" s="215" t="s">
        <v>2635</v>
      </c>
      <c r="F1153" s="112">
        <f>IF(ISBLANK(E1153),"",_xlfn.XLOOKUP(E1153,[1]cannabis_log!C:C,[1]cannabis_log!J:J,"",0,))</f>
        <v>2024121801</v>
      </c>
      <c r="G1153" s="112"/>
      <c r="H1153" s="112" t="str">
        <f>IF(ISBLANK(E1153),"",_xlfn.XLOOKUP(E1153,cannabis_log!C:C,cannabis_log!H:H,"",0,1))</f>
        <v>driedflower_bulk</v>
      </c>
      <c r="I1153" s="113" t="str">
        <f>IF(ISBLANK(E1153),"",_xlfn.XLOOKUP(E1153,cannabis_log!C:C,cannabis_log!K:K,"NOT FOUND",0,1))</f>
        <v>NA</v>
      </c>
      <c r="J1153" s="185">
        <v>-1</v>
      </c>
      <c r="K1153" s="186">
        <v>-1095</v>
      </c>
      <c r="L1153" s="288">
        <f t="shared" si="54"/>
        <v>0</v>
      </c>
      <c r="M1153" s="24"/>
      <c r="N1153" s="112" t="str">
        <f>IF(ISBLANK(E1153),"",_xlfn.XLOOKUP(E1153,[1]cannabis_log!C:C,[1]cannabis_log!T:T,"Not Found",0,))</f>
        <v>gross</v>
      </c>
      <c r="O1153" s="180">
        <f>IF(N1153="net",_xlfn.XLOOKUP(E1153,cannabis_log!C:C,cannabis_log!N:N,"NOT FOUND",0,1),IF(N1153="gross",0,""))</f>
        <v>0</v>
      </c>
    </row>
    <row r="1154" spans="1:15">
      <c r="A1154" s="181" t="str">
        <f t="shared" si="56"/>
        <v>outbound</v>
      </c>
      <c r="B1154" s="182">
        <v>45708.50277777778</v>
      </c>
      <c r="C1154" s="183" t="s">
        <v>1921</v>
      </c>
      <c r="D1154" s="183"/>
      <c r="E1154" s="215" t="s">
        <v>2636</v>
      </c>
      <c r="F1154" s="112">
        <f>IF(ISBLANK(E1154),"",_xlfn.XLOOKUP(E1154,[1]cannabis_log!C:C,[1]cannabis_log!J:J,"",0,))</f>
        <v>2024121801</v>
      </c>
      <c r="G1154" s="112"/>
      <c r="H1154" s="112" t="str">
        <f>IF(ISBLANK(E1154),"",_xlfn.XLOOKUP(E1154,cannabis_log!C:C,cannabis_log!H:H,"",0,1))</f>
        <v>driedflower_bulk</v>
      </c>
      <c r="I1154" s="113" t="str">
        <f>IF(ISBLANK(E1154),"",_xlfn.XLOOKUP(E1154,cannabis_log!C:C,cannabis_log!K:K,"NOT FOUND",0,1))</f>
        <v>NA</v>
      </c>
      <c r="J1154" s="185">
        <v>-1</v>
      </c>
      <c r="K1154" s="186">
        <v>-1095</v>
      </c>
      <c r="L1154" s="288">
        <f t="shared" si="54"/>
        <v>0</v>
      </c>
      <c r="M1154" s="24"/>
      <c r="N1154" s="112" t="str">
        <f>IF(ISBLANK(E1154),"",_xlfn.XLOOKUP(E1154,[1]cannabis_log!C:C,[1]cannabis_log!T:T,"Not Found",0,))</f>
        <v>gross</v>
      </c>
      <c r="O1154" s="180">
        <f>IF(N1154="net",_xlfn.XLOOKUP(E1154,cannabis_log!C:C,cannabis_log!N:N,"NOT FOUND",0,1),IF(N1154="gross",0,""))</f>
        <v>0</v>
      </c>
    </row>
    <row r="1155" spans="1:15">
      <c r="A1155" s="181" t="str">
        <f t="shared" si="56"/>
        <v>outbound</v>
      </c>
      <c r="B1155" s="182">
        <v>45708.582638888889</v>
      </c>
      <c r="C1155" s="183" t="s">
        <v>1921</v>
      </c>
      <c r="D1155" s="183"/>
      <c r="E1155" s="215" t="s">
        <v>1945</v>
      </c>
      <c r="F1155" s="112" t="str">
        <f>IF(ISBLANK(E1155),"",_xlfn.XLOOKUP(E1155,[1]cannabis_log!C:C,[1]cannabis_log!J:J,"",0,))</f>
        <v>LR23032101</v>
      </c>
      <c r="G1155" s="112"/>
      <c r="H1155" s="112" t="str">
        <f>IF(ISBLANK(E1155),"",_xlfn.XLOOKUP(E1155,cannabis_log!C:C,cannabis_log!H:H,"",0,1))</f>
        <v>extract_inhaled_bulk</v>
      </c>
      <c r="I1155" s="113" t="str">
        <f>IF(ISBLANK(E1155),"",_xlfn.XLOOKUP(E1155,cannabis_log!C:C,cannabis_log!K:K,"NOT FOUND",0,1))</f>
        <v>NA</v>
      </c>
      <c r="J1155" s="185">
        <v>0</v>
      </c>
      <c r="K1155" s="186">
        <f>1505.4-1508.9</f>
        <v>-3.5</v>
      </c>
      <c r="L1155" s="288">
        <f t="shared" si="54"/>
        <v>0</v>
      </c>
      <c r="M1155" s="24"/>
      <c r="N1155" s="112" t="str">
        <f>IF(ISBLANK(E1155),"",_xlfn.XLOOKUP(E1155,[1]cannabis_log!C:C,[1]cannabis_log!T:T,"Not Found",0,))</f>
        <v>gross</v>
      </c>
      <c r="O1155" s="180">
        <f>IF(N1155="net",_xlfn.XLOOKUP(E1155,cannabis_log!C:C,cannabis_log!N:N,"NOT FOUND",0,1),IF(N1155="gross",0,""))</f>
        <v>0</v>
      </c>
    </row>
    <row r="1156" spans="1:15">
      <c r="A1156" s="181" t="str">
        <f t="shared" si="56"/>
        <v>outbound</v>
      </c>
      <c r="B1156" s="182">
        <v>45708.584027777775</v>
      </c>
      <c r="C1156" s="183" t="s">
        <v>1921</v>
      </c>
      <c r="D1156" s="183"/>
      <c r="E1156" s="215" t="s">
        <v>2316</v>
      </c>
      <c r="F1156" s="112" t="str">
        <f>IF(ISBLANK(E1156),"",_xlfn.XLOOKUP(E1156,[1]cannabis_log!C:C,[1]cannabis_log!J:J,"",0,))</f>
        <v>EX24101705G05</v>
      </c>
      <c r="G1156" s="112"/>
      <c r="H1156" s="112" t="str">
        <f>IF(ISBLANK(E1156),"",_xlfn.XLOOKUP(E1156,cannabis_log!C:C,cannabis_log!H:H,"",0,1))</f>
        <v>extract_inhaled_labelled</v>
      </c>
      <c r="I1156" s="113">
        <f>IF(ISBLANK(E1156),"",_xlfn.XLOOKUP(E1156,cannabis_log!C:C,cannabis_log!K:K,"NOT FOUND",0,1))</f>
        <v>45594</v>
      </c>
      <c r="J1156" s="185">
        <v>-2</v>
      </c>
      <c r="K1156" s="186">
        <f t="shared" ref="K1156:K1165" si="57">IF(N1156="net",0,"")</f>
        <v>0</v>
      </c>
      <c r="L1156" s="288">
        <f t="shared" si="54"/>
        <v>-1</v>
      </c>
      <c r="M1156" s="24"/>
      <c r="N1156" s="112" t="str">
        <f>IF(ISBLANK(E1156),"",_xlfn.XLOOKUP(E1156,[1]cannabis_log!C:C,[1]cannabis_log!T:T,"Not Found",0,))</f>
        <v>net</v>
      </c>
      <c r="O1156" s="180">
        <f>IF(N1156="net",_xlfn.XLOOKUP(E1156,cannabis_log!C:C,cannabis_log!N:N,"NOT FOUND",0,1),IF(N1156="gross",0,""))</f>
        <v>0.5</v>
      </c>
    </row>
    <row r="1157" spans="1:15">
      <c r="A1157" s="181" t="str">
        <f t="shared" si="56"/>
        <v>outbound</v>
      </c>
      <c r="B1157" s="182">
        <v>45709.439583333333</v>
      </c>
      <c r="C1157" s="183" t="s">
        <v>1929</v>
      </c>
      <c r="D1157" s="22" t="s">
        <v>2637</v>
      </c>
      <c r="E1157" s="215" t="s">
        <v>2474</v>
      </c>
      <c r="F1157" s="112" t="str">
        <f>IF(ISBLANK(E1157),"",_xlfn.XLOOKUP(E1157,[1]cannabis_log!C:C,[1]cannabis_log!J:J,"",0,))</f>
        <v>PR241105F5P3</v>
      </c>
      <c r="G1157" s="112"/>
      <c r="H1157" s="112" t="str">
        <f>IF(ISBLANK(E1157),"",_xlfn.XLOOKUP(E1157,cannabis_log!C:C,cannabis_log!H:H,"",0,1))</f>
        <v>preroll_labelled</v>
      </c>
      <c r="I1157" s="113">
        <f>IF(ISBLANK(E1157),"",_xlfn.XLOOKUP(E1157,cannabis_log!C:C,cannabis_log!K:K,"NOT FOUND",0,1))</f>
        <v>45615</v>
      </c>
      <c r="J1157" s="185">
        <v>-492</v>
      </c>
      <c r="K1157" s="186">
        <f t="shared" si="57"/>
        <v>0</v>
      </c>
      <c r="L1157" s="288">
        <f t="shared" si="54"/>
        <v>-738</v>
      </c>
      <c r="M1157" s="24"/>
      <c r="N1157" s="112" t="str">
        <f>IF(ISBLANK(E1157),"",_xlfn.XLOOKUP(E1157,[1]cannabis_log!C:C,[1]cannabis_log!T:T,"Not Found",0,))</f>
        <v>net</v>
      </c>
      <c r="O1157" s="180">
        <f>IF(N1157="net",_xlfn.XLOOKUP(E1157,cannabis_log!C:C,cannabis_log!N:N,"NOT FOUND",0,1),IF(N1157="gross",0,""))</f>
        <v>1.5</v>
      </c>
    </row>
    <row r="1158" spans="1:15">
      <c r="A1158" s="181" t="str">
        <f t="shared" si="56"/>
        <v>outbound</v>
      </c>
      <c r="B1158" s="182">
        <v>45709.439583333333</v>
      </c>
      <c r="C1158" s="183" t="s">
        <v>1929</v>
      </c>
      <c r="D1158" s="183" t="s">
        <v>2638</v>
      </c>
      <c r="E1158" s="215" t="s">
        <v>2492</v>
      </c>
      <c r="F1158" s="112" t="str">
        <f>IF(ISBLANK(E1158),"",_xlfn.XLOOKUP(E1158,[1]cannabis_log!C:C,[1]cannabis_log!J:J,"",0,))</f>
        <v>PR241104F5P3</v>
      </c>
      <c r="G1158" s="112"/>
      <c r="H1158" s="112" t="str">
        <f>IF(ISBLANK(E1158),"",_xlfn.XLOOKUP(E1158,cannabis_log!C:C,cannabis_log!H:H,"",0,1))</f>
        <v>preroll_labelled</v>
      </c>
      <c r="I1158" s="113">
        <f>IF(ISBLANK(E1158),"",_xlfn.XLOOKUP(E1158,cannabis_log!C:C,cannabis_log!K:K,"NOT FOUND",0,1))</f>
        <v>45630</v>
      </c>
      <c r="J1158" s="185">
        <v>-561</v>
      </c>
      <c r="K1158" s="186">
        <f t="shared" si="57"/>
        <v>0</v>
      </c>
      <c r="L1158" s="288">
        <f t="shared" si="54"/>
        <v>-841.5</v>
      </c>
      <c r="M1158" s="24"/>
      <c r="N1158" s="112" t="str">
        <f>IF(ISBLANK(E1158),"",_xlfn.XLOOKUP(E1158,[1]cannabis_log!C:C,[1]cannabis_log!T:T,"Not Found",0,))</f>
        <v>net</v>
      </c>
      <c r="O1158" s="180">
        <f>IF(N1158="net",_xlfn.XLOOKUP(E1158,cannabis_log!C:C,cannabis_log!N:N,"NOT FOUND",0,1),IF(N1158="gross",0,""))</f>
        <v>1.5</v>
      </c>
    </row>
    <row r="1159" spans="1:15">
      <c r="A1159" s="181" t="str">
        <f t="shared" si="56"/>
        <v>outbound</v>
      </c>
      <c r="B1159" s="182">
        <v>45709.439583333333</v>
      </c>
      <c r="C1159" s="183" t="s">
        <v>1929</v>
      </c>
      <c r="D1159" s="183" t="s">
        <v>2638</v>
      </c>
      <c r="E1159" s="215" t="s">
        <v>2306</v>
      </c>
      <c r="F1159" s="112" t="str">
        <f>IF(ISBLANK(E1159),"",_xlfn.XLOOKUP(E1159,[1]cannabis_log!C:C,[1]cannabis_log!J:J,"",0,))</f>
        <v>PR2407F5P2</v>
      </c>
      <c r="G1159" s="112"/>
      <c r="H1159" s="112" t="str">
        <f>IF(ISBLANK(E1159),"",_xlfn.XLOOKUP(E1159,cannabis_log!C:C,cannabis_log!H:H,"",0,1))</f>
        <v>preroll_labelled</v>
      </c>
      <c r="I1159" s="113">
        <f>IF(ISBLANK(E1159),"",_xlfn.XLOOKUP(E1159,cannabis_log!C:C,cannabis_log!K:K,"NOT FOUND",0,1))</f>
        <v>45588</v>
      </c>
      <c r="J1159" s="185">
        <v>-130</v>
      </c>
      <c r="K1159" s="186">
        <f t="shared" si="57"/>
        <v>0</v>
      </c>
      <c r="L1159" s="288">
        <f t="shared" si="54"/>
        <v>-130</v>
      </c>
      <c r="M1159" s="24"/>
      <c r="N1159" s="112" t="str">
        <f>IF(ISBLANK(E1159),"",_xlfn.XLOOKUP(E1159,[1]cannabis_log!C:C,[1]cannabis_log!T:T,"Not Found",0,))</f>
        <v>net</v>
      </c>
      <c r="O1159" s="180">
        <f>IF(N1159="net",_xlfn.XLOOKUP(E1159,cannabis_log!C:C,cannabis_log!N:N,"NOT FOUND",0,1),IF(N1159="gross",0,""))</f>
        <v>1</v>
      </c>
    </row>
    <row r="1160" spans="1:15">
      <c r="A1160" s="181" t="str">
        <f t="shared" si="56"/>
        <v>outbound</v>
      </c>
      <c r="B1160" s="182">
        <v>45709.439583333333</v>
      </c>
      <c r="C1160" s="183" t="s">
        <v>1929</v>
      </c>
      <c r="D1160" s="183" t="s">
        <v>2638</v>
      </c>
      <c r="E1160" s="215" t="s">
        <v>2639</v>
      </c>
      <c r="F1160" s="112" t="str">
        <f>IF(ISBLANK(E1160),"",_xlfn.XLOOKUP(E1160,[1]cannabis_log!C:C,[1]cannabis_log!J:J,"",0,))</f>
        <v>PR2407F5P2</v>
      </c>
      <c r="G1160" s="112"/>
      <c r="H1160" s="112" t="str">
        <f>IF(ISBLANK(E1160),"",_xlfn.XLOOKUP(E1160,cannabis_log!C:C,cannabis_log!H:H,"",0,1))</f>
        <v>preroll_packaged</v>
      </c>
      <c r="I1160" s="113" t="str">
        <f>IF(ISBLANK(E1160),"",_xlfn.XLOOKUP(E1160,cannabis_log!C:C,cannabis_log!K:K,"NOT FOUND",0,1))</f>
        <v>NA</v>
      </c>
      <c r="J1160" s="185">
        <v>-2</v>
      </c>
      <c r="K1160" s="186">
        <f t="shared" si="57"/>
        <v>0</v>
      </c>
      <c r="L1160" s="288">
        <f t="shared" si="54"/>
        <v>-2</v>
      </c>
      <c r="M1160" s="24"/>
      <c r="N1160" s="112" t="str">
        <f>IF(ISBLANK(E1160),"",_xlfn.XLOOKUP(E1160,[1]cannabis_log!C:C,[1]cannabis_log!T:T,"Not Found",0,))</f>
        <v>net</v>
      </c>
      <c r="O1160" s="180">
        <f>IF(N1160="net",_xlfn.XLOOKUP(E1160,cannabis_log!C:C,cannabis_log!N:N,"NOT FOUND",0,1),IF(N1160="gross",0,""))</f>
        <v>1</v>
      </c>
    </row>
    <row r="1161" spans="1:15">
      <c r="A1161" s="181" t="str">
        <f t="shared" si="56"/>
        <v>outbound</v>
      </c>
      <c r="B1161" s="182">
        <v>45709.439583333333</v>
      </c>
      <c r="C1161" s="183" t="s">
        <v>1929</v>
      </c>
      <c r="D1161" s="183"/>
      <c r="E1161" s="215" t="s">
        <v>2529</v>
      </c>
      <c r="F1161" s="112" t="str">
        <f>IF(ISBLANK(E1161),"",_xlfn.XLOOKUP(E1161,[1]cannabis_log!C:C,[1]cannabis_log!J:J,"",0,))</f>
        <v>EX24111301G05</v>
      </c>
      <c r="G1161" s="112"/>
      <c r="H1161" s="112" t="str">
        <f>IF(ISBLANK(E1161),"",_xlfn.XLOOKUP(E1161,cannabis_log!C:C,cannabis_log!H:H,"",0,1))</f>
        <v>extract_inhaled_labelled</v>
      </c>
      <c r="I1161" s="113">
        <f>IF(ISBLANK(E1161),"",_xlfn.XLOOKUP(E1161,cannabis_log!C:C,cannabis_log!K:K,"NOT FOUND",0,1))</f>
        <v>45642</v>
      </c>
      <c r="J1161" s="185">
        <v>-530</v>
      </c>
      <c r="K1161" s="186">
        <f t="shared" si="57"/>
        <v>0</v>
      </c>
      <c r="L1161" s="288">
        <f t="shared" si="54"/>
        <v>-265</v>
      </c>
      <c r="M1161" s="24"/>
      <c r="N1161" s="112" t="str">
        <f>IF(ISBLANK(E1161),"",_xlfn.XLOOKUP(E1161,[1]cannabis_log!C:C,[1]cannabis_log!T:T,"Not Found",0,))</f>
        <v>net</v>
      </c>
      <c r="O1161" s="180">
        <f>IF(N1161="net",_xlfn.XLOOKUP(E1161,cannabis_log!C:C,cannabis_log!N:N,"NOT FOUND",0,1),IF(N1161="gross",0,""))</f>
        <v>0.5</v>
      </c>
    </row>
    <row r="1162" spans="1:15">
      <c r="A1162" s="181" t="str">
        <f t="shared" si="56"/>
        <v>outbound</v>
      </c>
      <c r="B1162" s="182">
        <v>45709.439583333333</v>
      </c>
      <c r="C1162" s="183" t="s">
        <v>1921</v>
      </c>
      <c r="D1162" s="183"/>
      <c r="E1162" s="215" t="s">
        <v>2456</v>
      </c>
      <c r="F1162" s="112" t="str">
        <f>IF(ISBLANK(E1162),"",_xlfn.XLOOKUP(E1162,[1]cannabis_log!C:C,[1]cannabis_log!J:J,"",0,))</f>
        <v>EX24101703G05</v>
      </c>
      <c r="G1162" s="112"/>
      <c r="H1162" s="112" t="str">
        <f>IF(ISBLANK(E1162),"",_xlfn.XLOOKUP(E1162,cannabis_log!C:C,cannabis_log!H:H,"",0,1))</f>
        <v>extract_inhaled_labelled</v>
      </c>
      <c r="I1162" s="113">
        <f>IF(ISBLANK(E1162),"",_xlfn.XLOOKUP(E1162,cannabis_log!C:C,cannabis_log!K:K,"NOT FOUND",0,1))</f>
        <v>45603</v>
      </c>
      <c r="J1162" s="185">
        <v>-523</v>
      </c>
      <c r="K1162" s="186">
        <f t="shared" si="57"/>
        <v>0</v>
      </c>
      <c r="L1162" s="288">
        <f t="shared" si="54"/>
        <v>-261.5</v>
      </c>
      <c r="M1162" s="24"/>
      <c r="N1162" s="112" t="str">
        <f>IF(ISBLANK(E1162),"",_xlfn.XLOOKUP(E1162,[1]cannabis_log!C:C,[1]cannabis_log!T:T,"Not Found",0,))</f>
        <v>net</v>
      </c>
      <c r="O1162" s="180">
        <f>IF(N1162="net",_xlfn.XLOOKUP(E1162,cannabis_log!C:C,cannabis_log!N:N,"NOT FOUND",0,1),IF(N1162="gross",0,""))</f>
        <v>0.5</v>
      </c>
    </row>
    <row r="1163" spans="1:15">
      <c r="A1163" s="181" t="str">
        <f t="shared" si="56"/>
        <v>outbound</v>
      </c>
      <c r="B1163" s="182">
        <v>45709.439583333333</v>
      </c>
      <c r="C1163" s="183" t="s">
        <v>1929</v>
      </c>
      <c r="D1163" s="183" t="s">
        <v>2638</v>
      </c>
      <c r="E1163" s="215" t="s">
        <v>2640</v>
      </c>
      <c r="F1163" s="112" t="str">
        <f>IF(ISBLANK(E1163),"",_xlfn.XLOOKUP(E1163,[1]cannabis_log!C:C,[1]cannabis_log!J:J,"",0,))</f>
        <v>PR2407F5P2</v>
      </c>
      <c r="G1163" s="112"/>
      <c r="H1163" s="112" t="str">
        <f>IF(ISBLANK(E1163),"",_xlfn.XLOOKUP(E1163,cannabis_log!C:C,cannabis_log!H:H,"",0,1))</f>
        <v>preroll_labelled</v>
      </c>
      <c r="I1163" s="113">
        <f>IF(ISBLANK(E1163),"",_xlfn.XLOOKUP(E1163,cannabis_log!C:C,cannabis_log!K:K,"NOT FOUND",0,1))</f>
        <v>45616</v>
      </c>
      <c r="J1163" s="185">
        <v>-89</v>
      </c>
      <c r="K1163" s="186">
        <f t="shared" si="57"/>
        <v>0</v>
      </c>
      <c r="L1163" s="288">
        <f t="shared" si="54"/>
        <v>-89</v>
      </c>
      <c r="M1163" s="24"/>
      <c r="N1163" s="112" t="str">
        <f>IF(ISBLANK(E1163),"",_xlfn.XLOOKUP(E1163,[1]cannabis_log!C:C,[1]cannabis_log!T:T,"Not Found",0,))</f>
        <v>net</v>
      </c>
      <c r="O1163" s="180">
        <f>IF(N1163="net",_xlfn.XLOOKUP(E1163,cannabis_log!C:C,cannabis_log!N:N,"NOT FOUND",0,1),IF(N1163="gross",0,""))</f>
        <v>1</v>
      </c>
    </row>
    <row r="1164" spans="1:15">
      <c r="A1164" s="181" t="str">
        <f t="shared" si="56"/>
        <v>outbound</v>
      </c>
      <c r="B1164" s="182">
        <v>45709.439583333333</v>
      </c>
      <c r="C1164" s="183" t="s">
        <v>1929</v>
      </c>
      <c r="D1164" s="183" t="s">
        <v>2638</v>
      </c>
      <c r="E1164" s="215" t="s">
        <v>2597</v>
      </c>
      <c r="F1164" s="112" t="str">
        <f>IF(ISBLANK(E1164),"",_xlfn.XLOOKUP(E1164,[1]cannabis_log!C:C,[1]cannabis_log!J:J,"",0,))</f>
        <v>EX24101705G05</v>
      </c>
      <c r="G1164" s="112"/>
      <c r="H1164" s="112" t="str">
        <f>IF(ISBLANK(E1164),"",_xlfn.XLOOKUP(E1164,cannabis_log!C:C,cannabis_log!H:H,"",0,1))</f>
        <v>extract_inhaled_labelled</v>
      </c>
      <c r="I1164" s="113">
        <f>IF(ISBLANK(E1164),"",_xlfn.XLOOKUP(E1164,cannabis_log!C:C,cannabis_log!K:K,"NOT FOUND",0,1))</f>
        <v>45629</v>
      </c>
      <c r="J1164" s="185">
        <v>-238</v>
      </c>
      <c r="K1164" s="186">
        <f t="shared" si="57"/>
        <v>0</v>
      </c>
      <c r="L1164" s="288">
        <f t="shared" si="54"/>
        <v>-119</v>
      </c>
      <c r="M1164" s="24"/>
      <c r="N1164" s="112" t="str">
        <f>IF(ISBLANK(E1164),"",_xlfn.XLOOKUP(E1164,[1]cannabis_log!C:C,[1]cannabis_log!T:T,"Not Found",0,))</f>
        <v>net</v>
      </c>
      <c r="O1164" s="180">
        <f>IF(N1164="net",_xlfn.XLOOKUP(E1164,cannabis_log!C:C,cannabis_log!N:N,"NOT FOUND",0,1),IF(N1164="gross",0,""))</f>
        <v>0.5</v>
      </c>
    </row>
    <row r="1165" spans="1:15">
      <c r="A1165" s="181" t="str">
        <f t="shared" si="56"/>
        <v>outbound</v>
      </c>
      <c r="B1165" s="182">
        <v>45709.439583333333</v>
      </c>
      <c r="C1165" s="183" t="s">
        <v>1921</v>
      </c>
      <c r="D1165" s="183"/>
      <c r="E1165" s="215" t="s">
        <v>2508</v>
      </c>
      <c r="F1165" s="112" t="str">
        <f>IF(ISBLANK(E1165),"",_xlfn.XLOOKUP(E1165,[1]cannabis_log!C:C,[1]cannabis_log!J:J,"",0,))</f>
        <v>PR2416F5P10</v>
      </c>
      <c r="G1165" s="112"/>
      <c r="H1165" s="112" t="str">
        <f>IF(ISBLANK(E1165),"",_xlfn.XLOOKUP(E1165,cannabis_log!C:C,cannabis_log!H:H,"",0,1))</f>
        <v>preroll_labelled</v>
      </c>
      <c r="I1165" s="113">
        <f>IF(ISBLANK(E1165),"",_xlfn.XLOOKUP(E1165,cannabis_log!C:C,cannabis_log!K:K,"NOT FOUND",0,1))</f>
        <v>45642</v>
      </c>
      <c r="J1165" s="185">
        <v>-1</v>
      </c>
      <c r="K1165" s="186">
        <f t="shared" si="57"/>
        <v>0</v>
      </c>
      <c r="L1165" s="288">
        <f t="shared" si="54"/>
        <v>-5</v>
      </c>
      <c r="M1165" s="24"/>
      <c r="N1165" s="112" t="str">
        <f>IF(ISBLANK(E1165),"",_xlfn.XLOOKUP(E1165,[1]cannabis_log!C:C,[1]cannabis_log!T:T,"Not Found",0,))</f>
        <v>net</v>
      </c>
      <c r="O1165" s="180">
        <f>IF(N1165="net",_xlfn.XLOOKUP(E1165,cannabis_log!C:C,cannabis_log!N:N,"NOT FOUND",0,1),IF(N1165="gross",0,""))</f>
        <v>5</v>
      </c>
    </row>
    <row r="1166" spans="1:15">
      <c r="A1166" s="181" t="str">
        <f t="shared" si="56"/>
        <v>outbound</v>
      </c>
      <c r="B1166" s="182">
        <v>45709.439583333333</v>
      </c>
      <c r="C1166" s="183" t="s">
        <v>1921</v>
      </c>
      <c r="D1166" s="183"/>
      <c r="E1166" s="215" t="s">
        <v>1926</v>
      </c>
      <c r="F1166" s="112" t="str">
        <f>IF(ISBLANK(E1166),"",_xlfn.XLOOKUP(E1166,[1]cannabis_log!C:C,[1]cannabis_log!J:J,"",0,))</f>
        <v>PR2303</v>
      </c>
      <c r="G1166" s="112"/>
      <c r="H1166" s="112" t="str">
        <f>IF(ISBLANK(E1166),"",_xlfn.XLOOKUP(E1166,cannabis_log!C:C,cannabis_log!H:H,"",0,1))</f>
        <v>driedflower_milled_bulk</v>
      </c>
      <c r="I1166" s="113" t="str">
        <f>IF(ISBLANK(E1166),"",_xlfn.XLOOKUP(E1166,cannabis_log!C:C,cannabis_log!K:K,"NOT FOUND",0,1))</f>
        <v>NA</v>
      </c>
      <c r="J1166" s="185">
        <v>-1</v>
      </c>
      <c r="K1166" s="186">
        <v>-4821.1000000000004</v>
      </c>
      <c r="L1166" s="288">
        <f t="shared" si="54"/>
        <v>0</v>
      </c>
      <c r="M1166" s="24"/>
      <c r="N1166" s="112" t="str">
        <f>IF(ISBLANK(E1166),"",_xlfn.XLOOKUP(E1166,[1]cannabis_log!C:C,[1]cannabis_log!T:T,"Not Found",0,))</f>
        <v>gross</v>
      </c>
      <c r="O1166" s="180">
        <f>IF(N1166="net",_xlfn.XLOOKUP(E1166,cannabis_log!C:C,cannabis_log!N:N,"NOT FOUND",0,1),IF(N1166="gross",0,""))</f>
        <v>0</v>
      </c>
    </row>
    <row r="1167" spans="1:15">
      <c r="A1167" s="181" t="str">
        <f t="shared" si="56"/>
        <v>outbound</v>
      </c>
      <c r="B1167" s="182">
        <v>45709.625694444447</v>
      </c>
      <c r="C1167" s="183" t="s">
        <v>1921</v>
      </c>
      <c r="D1167" s="183" t="s">
        <v>2641</v>
      </c>
      <c r="E1167" s="215" t="s">
        <v>2531</v>
      </c>
      <c r="F1167" s="112" t="str">
        <f>IF(ISBLANK(E1167),"",_xlfn.XLOOKUP(E1167,[1]cannabis_log!C:C,[1]cannabis_log!J:J,"",0,))</f>
        <v>2022012401R1</v>
      </c>
      <c r="G1167" s="112"/>
      <c r="H1167" s="112" t="str">
        <f>IF(ISBLANK(E1167),"",_xlfn.XLOOKUP(E1167,cannabis_log!C:C,cannabis_log!H:H,"",0,1))</f>
        <v>driedflower_bulk</v>
      </c>
      <c r="I1167" s="113">
        <f>IF(ISBLANK(E1167),"",_xlfn.XLOOKUP(E1167,cannabis_log!C:C,cannabis_log!K:K,"NOT FOUND",0,1))</f>
        <v>44686</v>
      </c>
      <c r="J1167" s="185">
        <v>-1</v>
      </c>
      <c r="K1167" s="186">
        <v>-1024</v>
      </c>
      <c r="L1167" s="288">
        <f t="shared" si="54"/>
        <v>0</v>
      </c>
      <c r="M1167" s="24"/>
      <c r="N1167" s="112" t="str">
        <f>IF(ISBLANK(E1167),"",_xlfn.XLOOKUP(E1167,[1]cannabis_log!C:C,[1]cannabis_log!T:T,"Not Found",0,))</f>
        <v>gross</v>
      </c>
      <c r="O1167" s="180">
        <f>IF(N1167="net",_xlfn.XLOOKUP(E1167,cannabis_log!C:C,cannabis_log!N:N,"NOT FOUND",0,1),IF(N1167="gross",0,""))</f>
        <v>0</v>
      </c>
    </row>
    <row r="1168" spans="1:15">
      <c r="A1168" s="181" t="str">
        <f t="shared" si="56"/>
        <v>outbound</v>
      </c>
      <c r="B1168" s="182">
        <v>45709.625694444447</v>
      </c>
      <c r="C1168" s="183" t="s">
        <v>1921</v>
      </c>
      <c r="D1168" s="183" t="s">
        <v>2641</v>
      </c>
      <c r="E1168" s="215" t="s">
        <v>1978</v>
      </c>
      <c r="F1168" s="112" t="str">
        <f>IF(ISBLANK(E1168),"",_xlfn.XLOOKUP(E1168,[1]cannabis_log!C:C,[1]cannabis_log!J:J,"",0,))</f>
        <v>2022012401R1</v>
      </c>
      <c r="G1168" s="112"/>
      <c r="H1168" s="112" t="str">
        <f>IF(ISBLANK(E1168),"",_xlfn.XLOOKUP(E1168,cannabis_log!C:C,cannabis_log!H:H,"",0,1))</f>
        <v>driedflower_bulk</v>
      </c>
      <c r="I1168" s="113">
        <f>IF(ISBLANK(E1168),"",_xlfn.XLOOKUP(E1168,cannabis_log!C:C,cannabis_log!K:K,"NOT FOUND",0,1))</f>
        <v>44686</v>
      </c>
      <c r="J1168" s="185">
        <v>-1</v>
      </c>
      <c r="K1168" s="186">
        <v>-934.6</v>
      </c>
      <c r="L1168" s="288">
        <f t="shared" si="54"/>
        <v>0</v>
      </c>
      <c r="M1168" s="24"/>
      <c r="N1168" s="112" t="str">
        <f>IF(ISBLANK(E1168),"",_xlfn.XLOOKUP(E1168,[1]cannabis_log!C:C,[1]cannabis_log!T:T,"Not Found",0,))</f>
        <v>gross</v>
      </c>
      <c r="O1168" s="180">
        <f>IF(N1168="net",_xlfn.XLOOKUP(E1168,cannabis_log!C:C,cannabis_log!N:N,"NOT FOUND",0,1),IF(N1168="gross",0,""))</f>
        <v>0</v>
      </c>
    </row>
    <row r="1169" spans="1:15">
      <c r="A1169" s="181" t="str">
        <f t="shared" si="56"/>
        <v>outbound</v>
      </c>
      <c r="B1169" s="182">
        <v>45709.625694444447</v>
      </c>
      <c r="C1169" s="183" t="s">
        <v>1921</v>
      </c>
      <c r="D1169" s="183" t="s">
        <v>2641</v>
      </c>
      <c r="E1169" s="215" t="s">
        <v>2642</v>
      </c>
      <c r="F1169" s="112" t="str">
        <f>IF(ISBLANK(E1169),"",_xlfn.XLOOKUP(E1169,[1]cannabis_log!C:C,[1]cannabis_log!J:J,"",0,))</f>
        <v>2022012401R1</v>
      </c>
      <c r="G1169" s="112"/>
      <c r="H1169" s="112" t="str">
        <f>IF(ISBLANK(E1169),"",_xlfn.XLOOKUP(E1169,cannabis_log!C:C,cannabis_log!H:H,"",0,1))</f>
        <v>driedflower_bulk</v>
      </c>
      <c r="I1169" s="113">
        <f>IF(ISBLANK(E1169),"",_xlfn.XLOOKUP(E1169,cannabis_log!C:C,cannabis_log!K:K,"NOT FOUND",0,1))</f>
        <v>45079</v>
      </c>
      <c r="J1169" s="185">
        <v>-1</v>
      </c>
      <c r="K1169" s="186">
        <v>-1007.2</v>
      </c>
      <c r="L1169" s="288">
        <f t="shared" si="54"/>
        <v>0</v>
      </c>
      <c r="M1169" s="24"/>
      <c r="N1169" s="112" t="str">
        <f>IF(ISBLANK(E1169),"",_xlfn.XLOOKUP(E1169,[1]cannabis_log!C:C,[1]cannabis_log!T:T,"Not Found",0,))</f>
        <v>gross</v>
      </c>
      <c r="O1169" s="180">
        <f>IF(N1169="net",_xlfn.XLOOKUP(E1169,cannabis_log!C:C,cannabis_log!N:N,"NOT FOUND",0,1),IF(N1169="gross",0,""))</f>
        <v>0</v>
      </c>
    </row>
    <row r="1170" spans="1:15">
      <c r="A1170" s="181" t="str">
        <f t="shared" si="56"/>
        <v>inbound</v>
      </c>
      <c r="B1170" s="182">
        <v>45709.625694444447</v>
      </c>
      <c r="C1170" s="183" t="s">
        <v>1927</v>
      </c>
      <c r="D1170" s="183"/>
      <c r="E1170" s="215" t="s">
        <v>2589</v>
      </c>
      <c r="F1170" s="112">
        <f>IF(ISBLANK(E1170),"",_xlfn.XLOOKUP(E1170,[1]cannabis_log!C:C,[1]cannabis_log!J:J,"",0,))</f>
        <v>2025012801</v>
      </c>
      <c r="G1170" s="112"/>
      <c r="H1170" s="112" t="str">
        <f>IF(ISBLANK(E1170),"",_xlfn.XLOOKUP(E1170,cannabis_log!C:C,cannabis_log!H:H,"",0,1))</f>
        <v>extract_distillate_bulk</v>
      </c>
      <c r="I1170" s="113" t="str">
        <f>IF(ISBLANK(E1170),"",_xlfn.XLOOKUP(E1170,cannabis_log!C:C,cannabis_log!K:K,"NOT FOUND",0,1))</f>
        <v>NA</v>
      </c>
      <c r="J1170" s="185">
        <v>1</v>
      </c>
      <c r="K1170" s="186">
        <v>2166.1999999999998</v>
      </c>
      <c r="L1170" s="288">
        <f t="shared" si="54"/>
        <v>0</v>
      </c>
      <c r="M1170" s="24"/>
      <c r="N1170" s="112" t="str">
        <f>IF(ISBLANK(E1170),"",_xlfn.XLOOKUP(E1170,[1]cannabis_log!C:C,[1]cannabis_log!T:T,"Not Found",0,))</f>
        <v>gross</v>
      </c>
      <c r="O1170" s="180">
        <f>IF(N1170="net",_xlfn.XLOOKUP(E1170,cannabis_log!C:C,cannabis_log!N:N,"NOT FOUND",0,1),IF(N1170="gross",0,""))</f>
        <v>0</v>
      </c>
    </row>
    <row r="1171" spans="1:15">
      <c r="A1171" s="181" t="str">
        <f t="shared" si="56"/>
        <v>inbound</v>
      </c>
      <c r="B1171" s="182">
        <v>45709.625694444447</v>
      </c>
      <c r="C1171" s="183" t="s">
        <v>1927</v>
      </c>
      <c r="D1171" s="183"/>
      <c r="E1171" s="215" t="s">
        <v>1945</v>
      </c>
      <c r="F1171" s="112" t="str">
        <f>IF(ISBLANK(E1171),"",_xlfn.XLOOKUP(E1171,[1]cannabis_log!C:C,[1]cannabis_log!J:J,"",0,))</f>
        <v>LR23032101</v>
      </c>
      <c r="G1171" s="112"/>
      <c r="H1171" s="112" t="str">
        <f>IF(ISBLANK(E1171),"",_xlfn.XLOOKUP(E1171,cannabis_log!C:C,cannabis_log!H:H,"",0,1))</f>
        <v>extract_inhaled_bulk</v>
      </c>
      <c r="I1171" s="113" t="str">
        <f>IF(ISBLANK(E1171),"",_xlfn.XLOOKUP(E1171,cannabis_log!C:C,cannabis_log!K:K,"NOT FOUND",0,1))</f>
        <v>NA</v>
      </c>
      <c r="J1171" s="185">
        <v>1</v>
      </c>
      <c r="K1171" s="186">
        <v>1505.4</v>
      </c>
      <c r="L1171" s="288">
        <f t="shared" si="54"/>
        <v>0</v>
      </c>
      <c r="M1171" s="24"/>
      <c r="N1171" s="112" t="str">
        <f>IF(ISBLANK(E1171),"",_xlfn.XLOOKUP(E1171,[1]cannabis_log!C:C,[1]cannabis_log!T:T,"Not Found",0,))</f>
        <v>gross</v>
      </c>
      <c r="O1171" s="180">
        <f>IF(N1171="net",_xlfn.XLOOKUP(E1171,cannabis_log!C:C,cannabis_log!N:N,"NOT FOUND",0,1),IF(N1171="gross",0,""))</f>
        <v>0</v>
      </c>
    </row>
    <row r="1172" spans="1:15">
      <c r="A1172" s="181" t="str">
        <f t="shared" si="56"/>
        <v>outbound</v>
      </c>
      <c r="B1172" s="182">
        <v>45712.394444444442</v>
      </c>
      <c r="C1172" s="183" t="s">
        <v>1929</v>
      </c>
      <c r="D1172" s="183" t="s">
        <v>2643</v>
      </c>
      <c r="E1172" s="215" t="s">
        <v>2314</v>
      </c>
      <c r="F1172" s="112" t="str">
        <f>IF(ISBLANK(E1172),"",_xlfn.XLOOKUP(E1172,[1]cannabis_log!C:C,[1]cannabis_log!J:J,"",0,))</f>
        <v>EX24070901V50</v>
      </c>
      <c r="G1172" s="112"/>
      <c r="H1172" s="112" t="str">
        <f>IF(ISBLANK(E1172),"",_xlfn.XLOOKUP(E1172,cannabis_log!C:C,cannabis_log!H:H,"",0,1))</f>
        <v>extract_ingested_cased_BC</v>
      </c>
      <c r="I1172" s="113">
        <f>IF(ISBLANK(E1172),"",_xlfn.XLOOKUP(E1172,cannabis_log!C:C,cannabis_log!K:K,"NOT FOUND",0,1))</f>
        <v>45503</v>
      </c>
      <c r="J1172" s="185">
        <v>-2</v>
      </c>
      <c r="K1172" s="186">
        <f>IF(N1172="net",0,"")</f>
        <v>0</v>
      </c>
      <c r="L1172" s="288">
        <f t="shared" si="54"/>
        <v>-1200</v>
      </c>
      <c r="M1172" s="24"/>
      <c r="N1172" s="112" t="str">
        <f>IF(ISBLANK(E1172),"",_xlfn.XLOOKUP(E1172,[1]cannabis_log!C:C,[1]cannabis_log!T:T,"Not Found",0,))</f>
        <v>net</v>
      </c>
      <c r="O1172" s="180">
        <f>IF(N1172="net",_xlfn.XLOOKUP(E1172,cannabis_log!C:C,cannabis_log!N:N,"NOT FOUND",0,1),IF(N1172="gross",0,""))</f>
        <v>600</v>
      </c>
    </row>
    <row r="1173" spans="1:15">
      <c r="A1173" s="181" t="str">
        <f t="shared" si="56"/>
        <v>outbound</v>
      </c>
      <c r="B1173" s="182">
        <v>45712.394444444442</v>
      </c>
      <c r="C1173" s="183" t="s">
        <v>1929</v>
      </c>
      <c r="D1173" s="183" t="s">
        <v>2643</v>
      </c>
      <c r="E1173" s="215" t="s">
        <v>1990</v>
      </c>
      <c r="F1173" s="112" t="str">
        <f>IF(ISBLANK(E1173),"",_xlfn.XLOOKUP(E1173,[1]cannabis_log!C:C,[1]cannabis_log!J:J,"",0,))</f>
        <v>EX23100401V30</v>
      </c>
      <c r="G1173" s="112"/>
      <c r="H1173" s="112" t="str">
        <f>IF(ISBLANK(E1173),"",_xlfn.XLOOKUP(E1173,cannabis_log!C:C,cannabis_log!H:H,"",0,1))</f>
        <v>extract_ingested_labelled</v>
      </c>
      <c r="I1173" s="113">
        <f>IF(ISBLANK(E1173),"",_xlfn.XLOOKUP(E1173,cannabis_log!C:C,cannabis_log!K:K,"NOT FOUND",0,1))</f>
        <v>45488</v>
      </c>
      <c r="J1173" s="185">
        <v>-12</v>
      </c>
      <c r="K1173" s="186">
        <f>IF(N1173="net",0,"")</f>
        <v>0</v>
      </c>
      <c r="L1173" s="288">
        <f t="shared" si="54"/>
        <v>-331.20000000000005</v>
      </c>
      <c r="M1173" s="24"/>
      <c r="N1173" s="112" t="str">
        <f>IF(ISBLANK(E1173),"",_xlfn.XLOOKUP(E1173,[1]cannabis_log!C:C,[1]cannabis_log!T:T,"Not Found",0,))</f>
        <v>net</v>
      </c>
      <c r="O1173" s="180">
        <f>IF(N1173="net",_xlfn.XLOOKUP(E1173,cannabis_log!C:C,cannabis_log!N:N,"NOT FOUND",0,1),IF(N1173="gross",0,""))</f>
        <v>27.6</v>
      </c>
    </row>
    <row r="1174" spans="1:15">
      <c r="A1174" s="181" t="str">
        <f t="shared" si="56"/>
        <v>outbound</v>
      </c>
      <c r="B1174" s="182">
        <v>45712.523611111108</v>
      </c>
      <c r="C1174" s="183" t="s">
        <v>1921</v>
      </c>
      <c r="D1174" s="183" t="s">
        <v>2524</v>
      </c>
      <c r="E1174" s="215" t="s">
        <v>2644</v>
      </c>
      <c r="F1174" s="112" t="str">
        <f>IF(ISBLANK(E1174),"",_xlfn.XLOOKUP(E1174,[1]cannabis_log!C:C,[1]cannabis_log!J:J,"",0,))</f>
        <v>2022012401R1</v>
      </c>
      <c r="G1174" s="112"/>
      <c r="H1174" s="112" t="str">
        <f>IF(ISBLANK(E1174),"",_xlfn.XLOOKUP(E1174,cannabis_log!C:C,cannabis_log!H:H,"",0,1))</f>
        <v>driedflower_bulk</v>
      </c>
      <c r="I1174" s="113">
        <f>IF(ISBLANK(E1174),"",_xlfn.XLOOKUP(E1174,cannabis_log!C:C,cannabis_log!K:K,"NOT FOUND",0,1))</f>
        <v>44686</v>
      </c>
      <c r="J1174" s="185">
        <v>-1</v>
      </c>
      <c r="K1174" s="186">
        <v>-1020.4</v>
      </c>
      <c r="L1174" s="288">
        <f t="shared" si="54"/>
        <v>0</v>
      </c>
      <c r="M1174" s="24"/>
      <c r="N1174" s="112" t="str">
        <f>IF(ISBLANK(E1174),"",_xlfn.XLOOKUP(E1174,[1]cannabis_log!C:C,[1]cannabis_log!T:T,"Not Found",0,))</f>
        <v>gross</v>
      </c>
      <c r="O1174" s="180">
        <f>IF(N1174="net",_xlfn.XLOOKUP(E1174,cannabis_log!C:C,cannabis_log!N:N,"NOT FOUND",0,1),IF(N1174="gross",0,""))</f>
        <v>0</v>
      </c>
    </row>
    <row r="1175" spans="1:15">
      <c r="A1175" s="181" t="str">
        <f t="shared" si="56"/>
        <v>outbound</v>
      </c>
      <c r="B1175" s="182">
        <v>45712.523611111108</v>
      </c>
      <c r="C1175" s="183" t="s">
        <v>1929</v>
      </c>
      <c r="D1175" s="183" t="s">
        <v>2645</v>
      </c>
      <c r="E1175" s="215" t="s">
        <v>2497</v>
      </c>
      <c r="F1175" s="112" t="str">
        <f>IF(ISBLANK(E1175),"",_xlfn.XLOOKUP(E1175,[1]cannabis_log!C:C,[1]cannabis_log!J:J,"",0,))</f>
        <v>EX24111306G05</v>
      </c>
      <c r="G1175" s="112"/>
      <c r="H1175" s="112" t="str">
        <f>IF(ISBLANK(E1175),"",_xlfn.XLOOKUP(E1175,cannabis_log!C:C,cannabis_log!H:H,"",0,1))</f>
        <v>extract_inhaled_labelled</v>
      </c>
      <c r="I1175" s="113">
        <f>IF(ISBLANK(E1175),"",_xlfn.XLOOKUP(E1175,cannabis_log!C:C,cannabis_log!K:K,"NOT FOUND",0,1))</f>
        <v>45623</v>
      </c>
      <c r="J1175" s="185">
        <v>-60</v>
      </c>
      <c r="K1175" s="186">
        <f>IF(N1175="net",0,"")</f>
        <v>0</v>
      </c>
      <c r="L1175" s="288">
        <f t="shared" si="54"/>
        <v>-30</v>
      </c>
      <c r="M1175" s="24"/>
      <c r="N1175" s="112" t="str">
        <f>IF(ISBLANK(E1175),"",_xlfn.XLOOKUP(E1175,[1]cannabis_log!C:C,[1]cannabis_log!T:T,"Not Found",0,))</f>
        <v>net</v>
      </c>
      <c r="O1175" s="180">
        <f>IF(N1175="net",_xlfn.XLOOKUP(E1175,cannabis_log!C:C,cannabis_log!N:N,"NOT FOUND",0,1),IF(N1175="gross",0,""))</f>
        <v>0.5</v>
      </c>
    </row>
    <row r="1176" spans="1:15">
      <c r="A1176" s="181" t="str">
        <f t="shared" si="56"/>
        <v>outbound</v>
      </c>
      <c r="B1176" s="182">
        <v>45712.523611111108</v>
      </c>
      <c r="C1176" s="183" t="s">
        <v>1921</v>
      </c>
      <c r="D1176" s="183" t="s">
        <v>2524</v>
      </c>
      <c r="E1176" s="215" t="s">
        <v>2646</v>
      </c>
      <c r="F1176" s="112" t="str">
        <f>IF(ISBLANK(E1176),"",_xlfn.XLOOKUP(E1176,[1]cannabis_log!C:C,[1]cannabis_log!J:J,"",0,))</f>
        <v>2022012401R1</v>
      </c>
      <c r="G1176" s="112"/>
      <c r="H1176" s="112" t="str">
        <f>IF(ISBLANK(E1176),"",_xlfn.XLOOKUP(E1176,cannabis_log!C:C,cannabis_log!H:H,"",0,1))</f>
        <v>driedflower_bulk</v>
      </c>
      <c r="I1176" s="113">
        <f>IF(ISBLANK(E1176),"",_xlfn.XLOOKUP(E1176,cannabis_log!C:C,cannabis_log!K:K,"NOT FOUND",0,1))</f>
        <v>44686</v>
      </c>
      <c r="J1176" s="185">
        <v>-1</v>
      </c>
      <c r="K1176" s="186">
        <v>-1025.7</v>
      </c>
      <c r="L1176" s="288">
        <f t="shared" si="54"/>
        <v>0</v>
      </c>
      <c r="M1176" s="24"/>
      <c r="N1176" s="112" t="str">
        <f>IF(ISBLANK(E1176),"",_xlfn.XLOOKUP(E1176,[1]cannabis_log!C:C,[1]cannabis_log!T:T,"Not Found",0,))</f>
        <v>gross</v>
      </c>
      <c r="O1176" s="180">
        <f>IF(N1176="net",_xlfn.XLOOKUP(E1176,cannabis_log!C:C,cannabis_log!N:N,"NOT FOUND",0,1),IF(N1176="gross",0,""))</f>
        <v>0</v>
      </c>
    </row>
    <row r="1177" spans="1:15">
      <c r="A1177" s="181" t="str">
        <f t="shared" si="56"/>
        <v>outbound</v>
      </c>
      <c r="B1177" s="182">
        <v>45712.523611111108</v>
      </c>
      <c r="C1177" s="183" t="s">
        <v>1921</v>
      </c>
      <c r="D1177" s="183" t="s">
        <v>2524</v>
      </c>
      <c r="E1177" s="215" t="s">
        <v>2647</v>
      </c>
      <c r="F1177" s="112" t="str">
        <f>IF(ISBLANK(E1177),"",_xlfn.XLOOKUP(E1177,[1]cannabis_log!C:C,[1]cannabis_log!J:J,"",0,))</f>
        <v>2022012401R1</v>
      </c>
      <c r="G1177" s="112"/>
      <c r="H1177" s="112" t="str">
        <f>IF(ISBLANK(E1177),"",_xlfn.XLOOKUP(E1177,cannabis_log!C:C,cannabis_log!H:H,"",0,1))</f>
        <v>driedflower_bulk</v>
      </c>
      <c r="I1177" s="113">
        <f>IF(ISBLANK(E1177),"",_xlfn.XLOOKUP(E1177,cannabis_log!C:C,cannabis_log!K:K,"NOT FOUND",0,1))</f>
        <v>44686</v>
      </c>
      <c r="J1177" s="185">
        <v>-1</v>
      </c>
      <c r="K1177" s="186">
        <v>-255</v>
      </c>
      <c r="L1177" s="288">
        <f t="shared" si="54"/>
        <v>0</v>
      </c>
      <c r="M1177" s="24"/>
      <c r="N1177" s="112" t="str">
        <f>IF(ISBLANK(E1177),"",_xlfn.XLOOKUP(E1177,[1]cannabis_log!C:C,[1]cannabis_log!T:T,"Not Found",0,))</f>
        <v>gross</v>
      </c>
      <c r="O1177" s="180">
        <f>IF(N1177="net",_xlfn.XLOOKUP(E1177,cannabis_log!C:C,cannabis_log!N:N,"NOT FOUND",0,1),IF(N1177="gross",0,""))</f>
        <v>0</v>
      </c>
    </row>
    <row r="1178" spans="1:15">
      <c r="A1178" s="181" t="str">
        <f t="shared" si="56"/>
        <v>outbound</v>
      </c>
      <c r="B1178" s="182">
        <v>45712.523611111108</v>
      </c>
      <c r="C1178" s="183" t="s">
        <v>1921</v>
      </c>
      <c r="D1178" s="183" t="s">
        <v>2524</v>
      </c>
      <c r="E1178" s="215" t="s">
        <v>2530</v>
      </c>
      <c r="F1178" s="112" t="str">
        <f>IF(ISBLANK(E1178),"",_xlfn.XLOOKUP(E1178,[1]cannabis_log!C:C,[1]cannabis_log!J:J,"",0,))</f>
        <v>2022012401R1</v>
      </c>
      <c r="G1178" s="112"/>
      <c r="H1178" s="112" t="str">
        <f>IF(ISBLANK(E1178),"",_xlfn.XLOOKUP(E1178,cannabis_log!C:C,cannabis_log!H:H,"",0,1))</f>
        <v>driedflower_bulk</v>
      </c>
      <c r="I1178" s="113">
        <f>IF(ISBLANK(E1178),"",_xlfn.XLOOKUP(E1178,cannabis_log!C:C,cannabis_log!K:K,"NOT FOUND",0,1))</f>
        <v>44686</v>
      </c>
      <c r="J1178" s="185">
        <v>-1</v>
      </c>
      <c r="K1178" s="186">
        <v>-320</v>
      </c>
      <c r="L1178" s="288">
        <f t="shared" si="54"/>
        <v>0</v>
      </c>
      <c r="M1178" s="24"/>
      <c r="N1178" s="112" t="str">
        <f>IF(ISBLANK(E1178),"",_xlfn.XLOOKUP(E1178,[1]cannabis_log!C:C,[1]cannabis_log!T:T,"Not Found",0,))</f>
        <v>gross</v>
      </c>
      <c r="O1178" s="180">
        <f>IF(N1178="net",_xlfn.XLOOKUP(E1178,cannabis_log!C:C,cannabis_log!N:N,"NOT FOUND",0,1),IF(N1178="gross",0,""))</f>
        <v>0</v>
      </c>
    </row>
    <row r="1179" spans="1:15">
      <c r="A1179" s="181" t="str">
        <f t="shared" si="56"/>
        <v>outbound</v>
      </c>
      <c r="B1179" s="182">
        <v>45712.523611111108</v>
      </c>
      <c r="C1179" s="183" t="s">
        <v>1921</v>
      </c>
      <c r="D1179" s="183" t="s">
        <v>2524</v>
      </c>
      <c r="E1179" s="215" t="s">
        <v>1961</v>
      </c>
      <c r="F1179" s="112" t="str">
        <f>IF(ISBLANK(E1179),"",_xlfn.XLOOKUP(E1179,[1]cannabis_log!C:C,[1]cannabis_log!J:J,"",0,))</f>
        <v>2022012401R1</v>
      </c>
      <c r="G1179" s="112"/>
      <c r="H1179" s="112" t="str">
        <f>IF(ISBLANK(E1179),"",_xlfn.XLOOKUP(E1179,cannabis_log!C:C,cannabis_log!H:H,"",0,1))</f>
        <v>driedflower_bulk</v>
      </c>
      <c r="I1179" s="113">
        <f>IF(ISBLANK(E1179),"",_xlfn.XLOOKUP(E1179,cannabis_log!C:C,cannabis_log!K:K,"NOT FOUND",0,1))</f>
        <v>44686</v>
      </c>
      <c r="J1179" s="185">
        <v>-1</v>
      </c>
      <c r="K1179" s="186">
        <v>-177.65</v>
      </c>
      <c r="L1179" s="288">
        <f t="shared" si="54"/>
        <v>0</v>
      </c>
      <c r="M1179" s="24"/>
      <c r="N1179" s="112" t="str">
        <f>IF(ISBLANK(E1179),"",_xlfn.XLOOKUP(E1179,[1]cannabis_log!C:C,[1]cannabis_log!T:T,"Not Found",0,))</f>
        <v>gross</v>
      </c>
      <c r="O1179" s="180">
        <f>IF(N1179="net",_xlfn.XLOOKUP(E1179,cannabis_log!C:C,cannabis_log!N:N,"NOT FOUND",0,1),IF(N1179="gross",0,""))</f>
        <v>0</v>
      </c>
    </row>
    <row r="1180" spans="1:15" ht="15.6">
      <c r="A1180" s="181" t="str">
        <f t="shared" si="56"/>
        <v>outbound</v>
      </c>
      <c r="B1180" s="182">
        <v>45712.545138888891</v>
      </c>
      <c r="C1180" s="183" t="s">
        <v>1929</v>
      </c>
      <c r="D1180" s="53" t="s">
        <v>2648</v>
      </c>
      <c r="E1180" s="215" t="s">
        <v>2314</v>
      </c>
      <c r="F1180" s="112" t="str">
        <f>IF(ISBLANK(E1180),"",_xlfn.XLOOKUP(E1180,[1]cannabis_log!C:C,[1]cannabis_log!J:J,"",0,))</f>
        <v>EX24070901V50</v>
      </c>
      <c r="G1180" s="112"/>
      <c r="H1180" s="112" t="str">
        <f>IF(ISBLANK(E1180),"",_xlfn.XLOOKUP(E1180,cannabis_log!C:C,cannabis_log!H:H,"",0,1))</f>
        <v>extract_ingested_cased_BC</v>
      </c>
      <c r="I1180" s="113">
        <f>IF(ISBLANK(E1180),"",_xlfn.XLOOKUP(E1180,cannabis_log!C:C,cannabis_log!K:K,"NOT FOUND",0,1))</f>
        <v>45503</v>
      </c>
      <c r="J1180" s="185">
        <v>-1</v>
      </c>
      <c r="K1180" s="186">
        <f>IF(N1180="net",0,"")</f>
        <v>0</v>
      </c>
      <c r="L1180" s="288">
        <f t="shared" si="54"/>
        <v>-600</v>
      </c>
      <c r="M1180" s="24"/>
      <c r="N1180" s="112" t="str">
        <f>IF(ISBLANK(E1180),"",_xlfn.XLOOKUP(E1180,[1]cannabis_log!C:C,[1]cannabis_log!T:T,"Not Found",0,))</f>
        <v>net</v>
      </c>
      <c r="O1180" s="180">
        <f>IF(N1180="net",_xlfn.XLOOKUP(E1180,cannabis_log!C:C,cannabis_log!N:N,"NOT FOUND",0,1),IF(N1180="gross",0,""))</f>
        <v>600</v>
      </c>
    </row>
    <row r="1181" spans="1:15">
      <c r="A1181" s="181" t="str">
        <f t="shared" si="56"/>
        <v>outbound</v>
      </c>
      <c r="B1181" s="182">
        <v>45712.59652777778</v>
      </c>
      <c r="C1181" s="183" t="s">
        <v>1921</v>
      </c>
      <c r="D1181" s="183" t="s">
        <v>2649</v>
      </c>
      <c r="E1181" s="215" t="s">
        <v>2650</v>
      </c>
      <c r="F1181" s="112">
        <f>IF(ISBLANK(E1181),"",_xlfn.XLOOKUP(E1181,[1]cannabis_log!C:C,[1]cannabis_log!J:J,"",0,))</f>
        <v>2024120901</v>
      </c>
      <c r="G1181" s="112"/>
      <c r="H1181" s="112" t="str">
        <f>IF(ISBLANK(E1181),"",_xlfn.XLOOKUP(E1181,cannabis_log!C:C,cannabis_log!H:H,"",0,1))</f>
        <v>extract_distillate_bulk_Kalista</v>
      </c>
      <c r="I1181" s="113" t="str">
        <f>IF(ISBLANK(E1181),"",_xlfn.XLOOKUP(E1181,cannabis_log!C:C,cannabis_log!K:K,"NOT FOUND",0,1))</f>
        <v>NA</v>
      </c>
      <c r="J1181" s="185">
        <v>-1</v>
      </c>
      <c r="K1181" s="186">
        <v>-2148</v>
      </c>
      <c r="L1181" s="288">
        <f t="shared" si="54"/>
        <v>0</v>
      </c>
      <c r="M1181" s="24"/>
      <c r="N1181" s="112" t="str">
        <f>IF(ISBLANK(E1181),"",_xlfn.XLOOKUP(E1181,[1]cannabis_log!C:C,[1]cannabis_log!T:T,"Not Found",0,))</f>
        <v>gross</v>
      </c>
      <c r="O1181" s="180">
        <f>IF(N1181="net",_xlfn.XLOOKUP(E1181,cannabis_log!C:C,cannabis_log!N:N,"NOT FOUND",0,1),IF(N1181="gross",0,""))</f>
        <v>0</v>
      </c>
    </row>
    <row r="1182" spans="1:15">
      <c r="A1182" s="181" t="str">
        <f t="shared" si="56"/>
        <v>outbound</v>
      </c>
      <c r="B1182" s="182">
        <v>45713.417361111111</v>
      </c>
      <c r="C1182" s="183" t="s">
        <v>1929</v>
      </c>
      <c r="D1182" s="22" t="s">
        <v>2651</v>
      </c>
      <c r="E1182" s="215" t="s">
        <v>2338</v>
      </c>
      <c r="F1182" s="112" t="str">
        <f>IF(ISBLANK(E1182),"",_xlfn.XLOOKUP(E1182,[1]cannabis_log!C:C,[1]cannabis_log!J:J,"",0,))</f>
        <v>PR241005F5P3</v>
      </c>
      <c r="G1182" s="112"/>
      <c r="H1182" s="112" t="str">
        <f>IF(ISBLANK(E1182),"",_xlfn.XLOOKUP(E1182,cannabis_log!C:C,cannabis_log!H:H,"",0,1))</f>
        <v>preroll_labelled</v>
      </c>
      <c r="I1182" s="113">
        <f>IF(ISBLANK(E1182),"",_xlfn.XLOOKUP(E1182,cannabis_log!C:C,cannabis_log!K:K,"NOT FOUND",0,1))</f>
        <v>45575</v>
      </c>
      <c r="J1182" s="185">
        <v>-24</v>
      </c>
      <c r="K1182" s="186">
        <f>IF(N1182="net",0,"")</f>
        <v>0</v>
      </c>
      <c r="L1182" s="288">
        <f t="shared" si="54"/>
        <v>-36</v>
      </c>
      <c r="M1182" s="24"/>
      <c r="N1182" s="112" t="str">
        <f>IF(ISBLANK(E1182),"",_xlfn.XLOOKUP(E1182,[1]cannabis_log!C:C,[1]cannabis_log!T:T,"Not Found",0,))</f>
        <v>net</v>
      </c>
      <c r="O1182" s="180">
        <f>IF(N1182="net",_xlfn.XLOOKUP(E1182,cannabis_log!C:C,cannabis_log!N:N,"NOT FOUND",0,1),IF(N1182="gross",0,""))</f>
        <v>1.5</v>
      </c>
    </row>
    <row r="1183" spans="1:15">
      <c r="A1183" s="181" t="str">
        <f t="shared" si="56"/>
        <v>outbound</v>
      </c>
      <c r="B1183" s="182">
        <v>45713.569444444445</v>
      </c>
      <c r="C1183" s="183" t="s">
        <v>1929</v>
      </c>
      <c r="D1183" s="183" t="s">
        <v>2652</v>
      </c>
      <c r="E1183" s="215" t="s">
        <v>2537</v>
      </c>
      <c r="F1183" s="112" t="str">
        <f>IF(ISBLANK(E1183),"",_xlfn.XLOOKUP(E1183,[1]cannabis_log!C:C,[1]cannabis_log!J:J,"",0,))</f>
        <v>PR2401F5P2</v>
      </c>
      <c r="G1183" s="112"/>
      <c r="H1183" s="112" t="str">
        <f>IF(ISBLANK(E1183),"",_xlfn.XLOOKUP(E1183,cannabis_log!C:C,cannabis_log!H:H,"",0,1))</f>
        <v>preroll_labelled</v>
      </c>
      <c r="I1183" s="113">
        <f>IF(ISBLANK(E1183),"",_xlfn.XLOOKUP(E1183,cannabis_log!C:C,cannabis_log!K:K,"NOT FOUND",0,1))</f>
        <v>45670</v>
      </c>
      <c r="J1183" s="185">
        <v>-36</v>
      </c>
      <c r="K1183" s="186">
        <f>IF(N1183="net",0,"")</f>
        <v>0</v>
      </c>
      <c r="L1183" s="288">
        <f t="shared" si="54"/>
        <v>-36</v>
      </c>
      <c r="M1183" s="24"/>
      <c r="N1183" s="112" t="str">
        <f>IF(ISBLANK(E1183),"",_xlfn.XLOOKUP(E1183,[1]cannabis_log!C:C,[1]cannabis_log!T:T,"Not Found",0,))</f>
        <v>net</v>
      </c>
      <c r="O1183" s="180">
        <f>IF(N1183="net",_xlfn.XLOOKUP(E1183,cannabis_log!C:C,cannabis_log!N:N,"NOT FOUND",0,1),IF(N1183="gross",0,""))</f>
        <v>1</v>
      </c>
    </row>
    <row r="1184" spans="1:15">
      <c r="A1184" s="181" t="str">
        <f t="shared" si="56"/>
        <v>inbound</v>
      </c>
      <c r="B1184" s="182">
        <v>45713.569444444445</v>
      </c>
      <c r="C1184" s="183" t="s">
        <v>1927</v>
      </c>
      <c r="D1184" s="183"/>
      <c r="E1184" s="215" t="s">
        <v>2601</v>
      </c>
      <c r="F1184" s="112" t="str">
        <f>IF(ISBLANK(E1184),"",_xlfn.XLOOKUP(E1184,[1]cannabis_log!C:C,[1]cannabis_log!J:J,"",0,))</f>
        <v>PR2501</v>
      </c>
      <c r="G1184" s="112"/>
      <c r="H1184" s="112" t="str">
        <f>IF(ISBLANK(E1184),"",_xlfn.XLOOKUP(E1184,cannabis_log!C:C,cannabis_log!H:H,"",0,1))</f>
        <v>driedflower_milled_bulk</v>
      </c>
      <c r="I1184" s="113" t="str">
        <f>IF(ISBLANK(E1184),"",_xlfn.XLOOKUP(E1184,cannabis_log!C:C,cannabis_log!K:K,"NOT FOUND",0,1))</f>
        <v>NA</v>
      </c>
      <c r="J1184" s="185">
        <v>1</v>
      </c>
      <c r="K1184" s="186">
        <v>4908</v>
      </c>
      <c r="L1184" s="288">
        <f t="shared" si="54"/>
        <v>0</v>
      </c>
      <c r="M1184" s="24"/>
      <c r="N1184" s="112" t="str">
        <f>IF(ISBLANK(E1184),"",_xlfn.XLOOKUP(E1184,[1]cannabis_log!C:C,[1]cannabis_log!T:T,"Not Found",0,))</f>
        <v>gross</v>
      </c>
      <c r="O1184" s="180">
        <f>IF(N1184="net",_xlfn.XLOOKUP(E1184,cannabis_log!C:C,cannabis_log!N:N,"NOT FOUND",0,1),IF(N1184="gross",0,""))</f>
        <v>0</v>
      </c>
    </row>
    <row r="1185" spans="1:15">
      <c r="A1185" s="181" t="str">
        <f t="shared" si="56"/>
        <v>inbound</v>
      </c>
      <c r="B1185" s="182">
        <v>45713.671527777777</v>
      </c>
      <c r="C1185" s="183" t="s">
        <v>1927</v>
      </c>
      <c r="D1185" s="183"/>
      <c r="E1185" s="215" t="s">
        <v>2575</v>
      </c>
      <c r="F1185" s="112">
        <f>IF(ISBLANK(E1185),"",_xlfn.XLOOKUP(E1185,[1]cannabis_log!C:C,[1]cannabis_log!J:J,"",0,))</f>
        <v>2025010201</v>
      </c>
      <c r="G1185" s="112"/>
      <c r="H1185" s="112" t="str">
        <f>IF(ISBLANK(E1185),"",_xlfn.XLOOKUP(E1185,cannabis_log!C:C,cannabis_log!H:H,"",0,1))</f>
        <v>driedflower_bulk_BURB</v>
      </c>
      <c r="I1185" s="113" t="str">
        <f>IF(ISBLANK(E1185),"",_xlfn.XLOOKUP(E1185,cannabis_log!C:C,cannabis_log!K:K,"NOT FOUND",0,1))</f>
        <v>NA</v>
      </c>
      <c r="J1185" s="185">
        <v>1</v>
      </c>
      <c r="K1185" s="186">
        <v>2590</v>
      </c>
      <c r="L1185" s="288">
        <f t="shared" si="54"/>
        <v>0</v>
      </c>
      <c r="M1185" s="24"/>
      <c r="N1185" s="112" t="str">
        <f>IF(ISBLANK(E1185),"",_xlfn.XLOOKUP(E1185,[1]cannabis_log!C:C,[1]cannabis_log!T:T,"Not Found",0,))</f>
        <v>gross</v>
      </c>
      <c r="O1185" s="180">
        <f>IF(N1185="net",_xlfn.XLOOKUP(E1185,cannabis_log!C:C,cannabis_log!N:N,"NOT FOUND",0,1),IF(N1185="gross",0,""))</f>
        <v>0</v>
      </c>
    </row>
    <row r="1186" spans="1:15">
      <c r="A1186" s="181" t="str">
        <f t="shared" si="56"/>
        <v>inbound</v>
      </c>
      <c r="B1186" s="182">
        <v>45713.690972222219</v>
      </c>
      <c r="C1186" s="183" t="s">
        <v>1927</v>
      </c>
      <c r="D1186" s="183"/>
      <c r="E1186" s="215" t="s">
        <v>2492</v>
      </c>
      <c r="F1186" s="112" t="str">
        <f>IF(ISBLANK(E1186),"",_xlfn.XLOOKUP(E1186,[1]cannabis_log!C:C,[1]cannabis_log!J:J,"",0,))</f>
        <v>PR241104F5P3</v>
      </c>
      <c r="G1186" s="112"/>
      <c r="H1186" s="112" t="str">
        <f>IF(ISBLANK(E1186),"",_xlfn.XLOOKUP(E1186,cannabis_log!C:C,cannabis_log!H:H,"",0,1))</f>
        <v>preroll_labelled</v>
      </c>
      <c r="I1186" s="113">
        <f>IF(ISBLANK(E1186),"",_xlfn.XLOOKUP(E1186,cannabis_log!C:C,cannabis_log!K:K,"NOT FOUND",0,1))</f>
        <v>45630</v>
      </c>
      <c r="J1186" s="185">
        <v>320</v>
      </c>
      <c r="K1186" s="186">
        <f t="shared" ref="K1186:K1192" si="58">IF(N1186="net",0,"")</f>
        <v>0</v>
      </c>
      <c r="L1186" s="288">
        <f t="shared" si="54"/>
        <v>480</v>
      </c>
      <c r="M1186" s="24"/>
      <c r="N1186" s="112" t="str">
        <f>IF(ISBLANK(E1186),"",_xlfn.XLOOKUP(E1186,[1]cannabis_log!C:C,[1]cannabis_log!T:T,"Not Found",0,))</f>
        <v>net</v>
      </c>
      <c r="O1186" s="180">
        <f>IF(N1186="net",_xlfn.XLOOKUP(E1186,cannabis_log!C:C,cannabis_log!N:N,"NOT FOUND",0,1),IF(N1186="gross",0,""))</f>
        <v>1.5</v>
      </c>
    </row>
    <row r="1187" spans="1:15">
      <c r="A1187" s="181" t="str">
        <f t="shared" si="56"/>
        <v>inbound</v>
      </c>
      <c r="B1187" s="182">
        <v>45713.692361111112</v>
      </c>
      <c r="C1187" s="183" t="s">
        <v>1927</v>
      </c>
      <c r="D1187" s="183"/>
      <c r="E1187" s="215" t="s">
        <v>2336</v>
      </c>
      <c r="F1187" s="112" t="str">
        <f>IF(ISBLANK(E1187),"",_xlfn.XLOOKUP(E1187,[1]cannabis_log!C:C,[1]cannabis_log!J:J,"",0,))</f>
        <v>2022012401G28</v>
      </c>
      <c r="G1187" s="112"/>
      <c r="H1187" s="112" t="str">
        <f>IF(ISBLANK(E1187),"",_xlfn.XLOOKUP(E1187,cannabis_log!C:C,cannabis_log!H:H,"",0,1))</f>
        <v>driedflower_labelled</v>
      </c>
      <c r="I1187" s="113">
        <f>IF(ISBLANK(E1187),"",_xlfn.XLOOKUP(E1187,cannabis_log!C:C,cannabis_log!K:K,"NOT FOUND",0,1))</f>
        <v>45594</v>
      </c>
      <c r="J1187" s="185">
        <v>11</v>
      </c>
      <c r="K1187" s="186">
        <f t="shared" si="58"/>
        <v>0</v>
      </c>
      <c r="L1187" s="288">
        <f t="shared" si="54"/>
        <v>308</v>
      </c>
      <c r="M1187" s="24"/>
      <c r="N1187" s="112" t="str">
        <f>IF(ISBLANK(E1187),"",_xlfn.XLOOKUP(E1187,[1]cannabis_log!C:C,[1]cannabis_log!T:T,"Not Found",0,))</f>
        <v>net</v>
      </c>
      <c r="O1187" s="180">
        <f>IF(N1187="net",_xlfn.XLOOKUP(E1187,cannabis_log!C:C,cannabis_log!N:N,"NOT FOUND",0,1),IF(N1187="gross",0,""))</f>
        <v>28</v>
      </c>
    </row>
    <row r="1188" spans="1:15">
      <c r="A1188" s="181" t="str">
        <f t="shared" si="56"/>
        <v>inbound</v>
      </c>
      <c r="B1188" s="182">
        <v>45713.692361111112</v>
      </c>
      <c r="C1188" s="183" t="s">
        <v>1927</v>
      </c>
      <c r="D1188" s="183"/>
      <c r="E1188" s="215" t="s">
        <v>2534</v>
      </c>
      <c r="F1188" s="112" t="str">
        <f>IF(ISBLANK(E1188),"",_xlfn.XLOOKUP(E1188,[1]cannabis_log!C:C,[1]cannabis_log!J:J,"",0,))</f>
        <v>2022012401G28</v>
      </c>
      <c r="G1188" s="112"/>
      <c r="H1188" s="112" t="str">
        <f>IF(ISBLANK(E1188),"",_xlfn.XLOOKUP(E1188,cannabis_log!C:C,cannabis_log!H:H,"",0,1))</f>
        <v>driedflower_labelled</v>
      </c>
      <c r="I1188" s="113">
        <f>IF(ISBLANK(E1188),"",_xlfn.XLOOKUP(E1188,cannabis_log!C:C,cannabis_log!K:K,"NOT FOUND",0,1))</f>
        <v>45679</v>
      </c>
      <c r="J1188" s="185">
        <v>9</v>
      </c>
      <c r="K1188" s="186">
        <f t="shared" si="58"/>
        <v>0</v>
      </c>
      <c r="L1188" s="288">
        <f t="shared" si="54"/>
        <v>252</v>
      </c>
      <c r="M1188" s="24"/>
      <c r="N1188" s="112" t="str">
        <f>IF(ISBLANK(E1188),"",_xlfn.XLOOKUP(E1188,[1]cannabis_log!C:C,[1]cannabis_log!T:T,"Not Found",0,))</f>
        <v>net</v>
      </c>
      <c r="O1188" s="180">
        <f>IF(N1188="net",_xlfn.XLOOKUP(E1188,cannabis_log!C:C,cannabis_log!N:N,"NOT FOUND",0,1),IF(N1188="gross",0,""))</f>
        <v>28</v>
      </c>
    </row>
    <row r="1189" spans="1:15">
      <c r="A1189" s="181" t="str">
        <f t="shared" si="56"/>
        <v>inbound</v>
      </c>
      <c r="B1189" s="182">
        <v>45713.700694444444</v>
      </c>
      <c r="C1189" s="183" t="s">
        <v>1927</v>
      </c>
      <c r="D1189" s="183"/>
      <c r="E1189" s="215" t="s">
        <v>2640</v>
      </c>
      <c r="F1189" s="112" t="str">
        <f>IF(ISBLANK(E1189),"",_xlfn.XLOOKUP(E1189,[1]cannabis_log!C:C,[1]cannabis_log!J:J,"",0,))</f>
        <v>PR2407F5P2</v>
      </c>
      <c r="G1189" s="112"/>
      <c r="H1189" s="112" t="str">
        <f>IF(ISBLANK(E1189),"",_xlfn.XLOOKUP(E1189,cannabis_log!C:C,cannabis_log!H:H,"",0,1))</f>
        <v>preroll_labelled</v>
      </c>
      <c r="I1189" s="113">
        <f>IF(ISBLANK(E1189),"",_xlfn.XLOOKUP(E1189,cannabis_log!C:C,cannabis_log!K:K,"NOT FOUND",0,1))</f>
        <v>45616</v>
      </c>
      <c r="J1189" s="185">
        <v>5</v>
      </c>
      <c r="K1189" s="186">
        <f t="shared" si="58"/>
        <v>0</v>
      </c>
      <c r="L1189" s="288">
        <f t="shared" si="54"/>
        <v>5</v>
      </c>
      <c r="M1189" s="24"/>
      <c r="N1189" s="112" t="str">
        <f>IF(ISBLANK(E1189),"",_xlfn.XLOOKUP(E1189,[1]cannabis_log!C:C,[1]cannabis_log!T:T,"Not Found",0,))</f>
        <v>net</v>
      </c>
      <c r="O1189" s="180">
        <f>IF(N1189="net",_xlfn.XLOOKUP(E1189,cannabis_log!C:C,cannabis_log!N:N,"NOT FOUND",0,1),IF(N1189="gross",0,""))</f>
        <v>1</v>
      </c>
    </row>
    <row r="1190" spans="1:15">
      <c r="A1190" s="181" t="str">
        <f t="shared" si="56"/>
        <v>inbound</v>
      </c>
      <c r="B1190" s="182">
        <v>45713.700694444444</v>
      </c>
      <c r="C1190" s="183" t="s">
        <v>1927</v>
      </c>
      <c r="D1190" s="183"/>
      <c r="E1190" s="215" t="s">
        <v>2597</v>
      </c>
      <c r="F1190" s="112" t="str">
        <f>IF(ISBLANK(E1190),"",_xlfn.XLOOKUP(E1190,[1]cannabis_log!C:C,[1]cannabis_log!J:J,"",0,))</f>
        <v>EX24101705G05</v>
      </c>
      <c r="G1190" s="112"/>
      <c r="H1190" s="112" t="str">
        <f>IF(ISBLANK(E1190),"",_xlfn.XLOOKUP(E1190,cannabis_log!C:C,cannabis_log!H:H,"",0,1))</f>
        <v>extract_inhaled_labelled</v>
      </c>
      <c r="I1190" s="113">
        <f>IF(ISBLANK(E1190),"",_xlfn.XLOOKUP(E1190,cannabis_log!C:C,cannabis_log!K:K,"NOT FOUND",0,1))</f>
        <v>45629</v>
      </c>
      <c r="J1190" s="185">
        <v>58</v>
      </c>
      <c r="K1190" s="186">
        <f t="shared" si="58"/>
        <v>0</v>
      </c>
      <c r="L1190" s="288">
        <f t="shared" si="54"/>
        <v>29</v>
      </c>
      <c r="M1190" s="24"/>
      <c r="N1190" s="112" t="str">
        <f>IF(ISBLANK(E1190),"",_xlfn.XLOOKUP(E1190,[1]cannabis_log!C:C,[1]cannabis_log!T:T,"Not Found",0,))</f>
        <v>net</v>
      </c>
      <c r="O1190" s="180">
        <f>IF(N1190="net",_xlfn.XLOOKUP(E1190,cannabis_log!C:C,cannabis_log!N:N,"NOT FOUND",0,1),IF(N1190="gross",0,""))</f>
        <v>0.5</v>
      </c>
    </row>
    <row r="1191" spans="1:15">
      <c r="A1191" s="181" t="str">
        <f t="shared" si="56"/>
        <v>inbound</v>
      </c>
      <c r="B1191" s="182">
        <v>45713.700694444444</v>
      </c>
      <c r="C1191" s="183" t="s">
        <v>1927</v>
      </c>
      <c r="D1191" s="183"/>
      <c r="E1191" s="215" t="s">
        <v>2306</v>
      </c>
      <c r="F1191" s="112" t="str">
        <f>IF(ISBLANK(E1191),"",_xlfn.XLOOKUP(E1191,[1]cannabis_log!C:C,[1]cannabis_log!J:J,"",0,))</f>
        <v>PR2407F5P2</v>
      </c>
      <c r="G1191" s="112"/>
      <c r="H1191" s="112" t="str">
        <f>IF(ISBLANK(E1191),"",_xlfn.XLOOKUP(E1191,cannabis_log!C:C,cannabis_log!H:H,"",0,1))</f>
        <v>preroll_labelled</v>
      </c>
      <c r="I1191" s="113">
        <f>IF(ISBLANK(E1191),"",_xlfn.XLOOKUP(E1191,cannabis_log!C:C,cannabis_log!K:K,"NOT FOUND",0,1))</f>
        <v>45588</v>
      </c>
      <c r="J1191" s="185">
        <v>10</v>
      </c>
      <c r="K1191" s="186">
        <f t="shared" si="58"/>
        <v>0</v>
      </c>
      <c r="L1191" s="288">
        <f t="shared" si="54"/>
        <v>10</v>
      </c>
      <c r="M1191" s="24"/>
      <c r="N1191" s="112" t="str">
        <f>IF(ISBLANK(E1191),"",_xlfn.XLOOKUP(E1191,[1]cannabis_log!C:C,[1]cannabis_log!T:T,"Not Found",0,))</f>
        <v>net</v>
      </c>
      <c r="O1191" s="180">
        <f>IF(N1191="net",_xlfn.XLOOKUP(E1191,cannabis_log!C:C,cannabis_log!N:N,"NOT FOUND",0,1),IF(N1191="gross",0,""))</f>
        <v>1</v>
      </c>
    </row>
    <row r="1192" spans="1:15">
      <c r="A1192" s="181" t="str">
        <f t="shared" si="56"/>
        <v>inbound</v>
      </c>
      <c r="B1192" s="182">
        <v>45713.700694444444</v>
      </c>
      <c r="C1192" s="183" t="s">
        <v>1927</v>
      </c>
      <c r="D1192" s="183"/>
      <c r="E1192" s="215" t="s">
        <v>2639</v>
      </c>
      <c r="F1192" s="112" t="str">
        <f>IF(ISBLANK(E1192),"",_xlfn.XLOOKUP(E1192,[1]cannabis_log!C:C,[1]cannabis_log!J:J,"",0,))</f>
        <v>PR2407F5P2</v>
      </c>
      <c r="G1192" s="112"/>
      <c r="H1192" s="112" t="str">
        <f>IF(ISBLANK(E1192),"",_xlfn.XLOOKUP(E1192,cannabis_log!C:C,cannabis_log!H:H,"",0,1))</f>
        <v>preroll_packaged</v>
      </c>
      <c r="I1192" s="113" t="str">
        <f>IF(ISBLANK(E1192),"",_xlfn.XLOOKUP(E1192,cannabis_log!C:C,cannabis_log!K:K,"NOT FOUND",0,1))</f>
        <v>NA</v>
      </c>
      <c r="J1192" s="185">
        <v>2</v>
      </c>
      <c r="K1192" s="186">
        <f t="shared" si="58"/>
        <v>0</v>
      </c>
      <c r="L1192" s="288">
        <f t="shared" si="54"/>
        <v>2</v>
      </c>
      <c r="M1192" s="24"/>
      <c r="N1192" s="112" t="str">
        <f>IF(ISBLANK(E1192),"",_xlfn.XLOOKUP(E1192,[1]cannabis_log!C:C,[1]cannabis_log!T:T,"Not Found",0,))</f>
        <v>net</v>
      </c>
      <c r="O1192" s="180">
        <f>IF(N1192="net",_xlfn.XLOOKUP(E1192,cannabis_log!C:C,cannabis_log!N:N,"NOT FOUND",0,1),IF(N1192="gross",0,""))</f>
        <v>1</v>
      </c>
    </row>
    <row r="1193" spans="1:15">
      <c r="A1193" s="181" t="str">
        <f t="shared" si="56"/>
        <v>inbound</v>
      </c>
      <c r="B1193" s="182">
        <v>45713.701388888891</v>
      </c>
      <c r="C1193" s="183" t="s">
        <v>1927</v>
      </c>
      <c r="D1193" s="183"/>
      <c r="E1193" s="215" t="s">
        <v>1926</v>
      </c>
      <c r="F1193" s="112" t="str">
        <f>IF(ISBLANK(E1193),"",_xlfn.XLOOKUP(E1193,[1]cannabis_log!C:C,[1]cannabis_log!J:J,"",0,))</f>
        <v>PR2303</v>
      </c>
      <c r="G1193" s="112"/>
      <c r="H1193" s="112" t="str">
        <f>IF(ISBLANK(E1193),"",_xlfn.XLOOKUP(E1193,cannabis_log!C:C,cannabis_log!H:H,"",0,1))</f>
        <v>driedflower_milled_bulk</v>
      </c>
      <c r="I1193" s="113" t="str">
        <f>IF(ISBLANK(E1193),"",_xlfn.XLOOKUP(E1193,cannabis_log!C:C,cannabis_log!K:K,"NOT FOUND",0,1))</f>
        <v>NA</v>
      </c>
      <c r="J1193" s="185">
        <v>1</v>
      </c>
      <c r="K1193" s="186">
        <v>575</v>
      </c>
      <c r="L1193" s="288">
        <f t="shared" si="54"/>
        <v>0</v>
      </c>
      <c r="M1193" s="24"/>
      <c r="N1193" s="112" t="str">
        <f>IF(ISBLANK(E1193),"",_xlfn.XLOOKUP(E1193,[1]cannabis_log!C:C,[1]cannabis_log!T:T,"Not Found",0,))</f>
        <v>gross</v>
      </c>
      <c r="O1193" s="180">
        <f>IF(N1193="net",_xlfn.XLOOKUP(E1193,cannabis_log!C:C,cannabis_log!N:N,"NOT FOUND",0,1),IF(N1193="gross",0,""))</f>
        <v>0</v>
      </c>
    </row>
    <row r="1194" spans="1:15">
      <c r="A1194" s="181" t="str">
        <f t="shared" si="56"/>
        <v>inbound</v>
      </c>
      <c r="B1194" s="182">
        <v>45714.47152777778</v>
      </c>
      <c r="C1194" s="183" t="s">
        <v>1927</v>
      </c>
      <c r="D1194" s="183"/>
      <c r="E1194" s="215" t="s">
        <v>2557</v>
      </c>
      <c r="F1194" s="112" t="str">
        <f>IF(ISBLANK(E1194),"",_xlfn.XLOOKUP(E1194,[1]cannabis_log!C:C,[1]cannabis_log!J:J,"",0,))</f>
        <v>2024111801G7</v>
      </c>
      <c r="G1194" s="112"/>
      <c r="H1194" s="112" t="str">
        <f>IF(ISBLANK(E1194),"",_xlfn.XLOOKUP(E1194,cannabis_log!C:C,cannabis_log!H:H,"",0,1))</f>
        <v>driedflower_labelled</v>
      </c>
      <c r="I1194" s="113">
        <f>IF(ISBLANK(E1194),"",_xlfn.XLOOKUP(E1194,cannabis_log!C:C,cannabis_log!K:K,"NOT FOUND",0,1))</f>
        <v>45631</v>
      </c>
      <c r="J1194" s="185">
        <v>49</v>
      </c>
      <c r="K1194" s="186">
        <f>IF(N1194="net",0,"")</f>
        <v>0</v>
      </c>
      <c r="L1194" s="288">
        <f t="shared" si="54"/>
        <v>343</v>
      </c>
      <c r="M1194" s="24"/>
      <c r="N1194" s="112" t="str">
        <f>IF(ISBLANK(E1194),"",_xlfn.XLOOKUP(E1194,[1]cannabis_log!C:C,[1]cannabis_log!T:T,"Not Found",0,))</f>
        <v>net</v>
      </c>
      <c r="O1194" s="180">
        <f>IF(N1194="net",_xlfn.XLOOKUP(E1194,cannabis_log!C:C,cannabis_log!N:N,"NOT FOUND",0,1),IF(N1194="gross",0,""))</f>
        <v>7</v>
      </c>
    </row>
    <row r="1195" spans="1:15">
      <c r="A1195" s="181" t="str">
        <f t="shared" si="56"/>
        <v>inbound</v>
      </c>
      <c r="B1195" s="182">
        <v>45714.473611111112</v>
      </c>
      <c r="C1195" s="183" t="s">
        <v>1927</v>
      </c>
      <c r="D1195" s="183"/>
      <c r="E1195" s="215" t="s">
        <v>2474</v>
      </c>
      <c r="F1195" s="112" t="str">
        <f>IF(ISBLANK(E1195),"",_xlfn.XLOOKUP(E1195,[1]cannabis_log!C:C,[1]cannabis_log!J:J,"",0,))</f>
        <v>PR241105F5P3</v>
      </c>
      <c r="G1195" s="112"/>
      <c r="H1195" s="112" t="str">
        <f>IF(ISBLANK(E1195),"",_xlfn.XLOOKUP(E1195,cannabis_log!C:C,cannabis_log!H:H,"",0,1))</f>
        <v>preroll_labelled</v>
      </c>
      <c r="I1195" s="113">
        <f>IF(ISBLANK(E1195),"",_xlfn.XLOOKUP(E1195,cannabis_log!C:C,cannabis_log!K:K,"NOT FOUND",0,1))</f>
        <v>45615</v>
      </c>
      <c r="J1195" s="185">
        <v>24</v>
      </c>
      <c r="K1195" s="186">
        <f>IF(N1195="net",0,"")</f>
        <v>0</v>
      </c>
      <c r="L1195" s="288">
        <f t="shared" si="54"/>
        <v>36</v>
      </c>
      <c r="M1195" s="24"/>
      <c r="N1195" s="112" t="str">
        <f>IF(ISBLANK(E1195),"",_xlfn.XLOOKUP(E1195,[1]cannabis_log!C:C,[1]cannabis_log!T:T,"Not Found",0,))</f>
        <v>net</v>
      </c>
      <c r="O1195" s="180">
        <f>IF(N1195="net",_xlfn.XLOOKUP(E1195,cannabis_log!C:C,cannabis_log!N:N,"NOT FOUND",0,1),IF(N1195="gross",0,""))</f>
        <v>1.5</v>
      </c>
    </row>
    <row r="1196" spans="1:15">
      <c r="A1196" s="181" t="str">
        <f t="shared" si="56"/>
        <v>inbound</v>
      </c>
      <c r="B1196" s="182">
        <v>45714.545138888891</v>
      </c>
      <c r="C1196" s="183" t="s">
        <v>1927</v>
      </c>
      <c r="D1196" s="183"/>
      <c r="E1196" s="215" t="s">
        <v>2653</v>
      </c>
      <c r="F1196" s="112" t="str">
        <f>IF(ISBLANK(E1196),"",_xlfn.XLOOKUP(E1196,[1]cannabis_log!C:C,[1]cannabis_log!J:J,"",0,))</f>
        <v>PR21071201G1</v>
      </c>
      <c r="G1196" s="112"/>
      <c r="H1196" s="112" t="str">
        <f>IF(ISBLANK(E1196),"",_xlfn.XLOOKUP(E1196,cannabis_log!C:C,cannabis_log!H:H,"",0,1))</f>
        <v>preroll_labelled</v>
      </c>
      <c r="I1196" s="113">
        <f>IF(ISBLANK(E1196),"",_xlfn.XLOOKUP(E1196,cannabis_log!C:C,cannabis_log!K:K,"NOT FOUND",0,1))</f>
        <v>45685</v>
      </c>
      <c r="J1196" s="185">
        <v>24</v>
      </c>
      <c r="K1196" s="186">
        <f>IF(N1196="net",0,"")</f>
        <v>0</v>
      </c>
      <c r="L1196" s="288">
        <f t="shared" si="54"/>
        <v>24</v>
      </c>
      <c r="M1196" s="24"/>
      <c r="N1196" s="112" t="str">
        <f>IF(ISBLANK(E1196),"",_xlfn.XLOOKUP(E1196,[1]cannabis_log!C:C,[1]cannabis_log!T:T,"Not Found",0,))</f>
        <v>net</v>
      </c>
      <c r="O1196" s="180">
        <f>IF(N1196="net",_xlfn.XLOOKUP(E1196,cannabis_log!C:C,cannabis_log!N:N,"NOT FOUND",0,1),IF(N1196="gross",0,""))</f>
        <v>1</v>
      </c>
    </row>
    <row r="1197" spans="1:15">
      <c r="A1197" s="181" t="str">
        <f t="shared" si="56"/>
        <v>outbound</v>
      </c>
      <c r="B1197" s="182">
        <v>45714.594444444447</v>
      </c>
      <c r="C1197" s="183" t="s">
        <v>1921</v>
      </c>
      <c r="D1197" s="183" t="s">
        <v>2444</v>
      </c>
      <c r="E1197" s="215" t="s">
        <v>2654</v>
      </c>
      <c r="F1197" s="112" t="str">
        <f>IF(ISBLANK(E1197),"",_xlfn.XLOOKUP(E1197,[1]cannabis_log!C:C,[1]cannabis_log!J:J,"",0,))</f>
        <v>EX25010907G1</v>
      </c>
      <c r="G1197" s="112"/>
      <c r="H1197" s="112" t="str">
        <f>IF(ISBLANK(E1197),"",_xlfn.XLOOKUP(E1197,cannabis_log!C:C,cannabis_log!H:H,"",0,1))</f>
        <v>extract_inhaled_labelled</v>
      </c>
      <c r="I1197" s="113">
        <f>IF(ISBLANK(E1197),"",_xlfn.XLOOKUP(E1197,cannabis_log!C:C,cannabis_log!K:K,"NOT FOUND",0,1))</f>
        <v>45714</v>
      </c>
      <c r="J1197" s="185">
        <v>-240</v>
      </c>
      <c r="K1197" s="186">
        <f>IF(N1197="net",0,"")</f>
        <v>0</v>
      </c>
      <c r="L1197" s="288">
        <f t="shared" si="54"/>
        <v>-240</v>
      </c>
      <c r="M1197" s="24"/>
      <c r="N1197" s="112" t="str">
        <f>IF(ISBLANK(E1197),"",_xlfn.XLOOKUP(E1197,[1]cannabis_log!C:C,[1]cannabis_log!T:T,"Not Found",0,))</f>
        <v>net</v>
      </c>
      <c r="O1197" s="180">
        <f>IF(N1197="net",_xlfn.XLOOKUP(E1197,cannabis_log!C:C,cannabis_log!N:N,"NOT FOUND",0,1),IF(N1197="gross",0,""))</f>
        <v>1</v>
      </c>
    </row>
    <row r="1198" spans="1:15">
      <c r="A1198" s="181" t="str">
        <f t="shared" si="56"/>
        <v>outbound</v>
      </c>
      <c r="B1198" s="182">
        <v>45714.594444444447</v>
      </c>
      <c r="C1198" s="183" t="s">
        <v>1924</v>
      </c>
      <c r="D1198" s="183"/>
      <c r="E1198" s="215" t="s">
        <v>2332</v>
      </c>
      <c r="F1198" s="112">
        <f>IF(ISBLANK(E1198),"",_xlfn.XLOOKUP(E1198,[1]cannabis_log!C:C,[1]cannabis_log!J:J,"",0,))</f>
        <v>2022051603</v>
      </c>
      <c r="G1198" s="112"/>
      <c r="H1198" s="112" t="str">
        <f>IF(ISBLANK(E1198),"",_xlfn.XLOOKUP(E1198,cannabis_log!C:C,cannabis_log!H:H,"",0,1))</f>
        <v>driedflower_bulk</v>
      </c>
      <c r="I1198" s="113">
        <f>IF(ISBLANK(E1198),"",_xlfn.XLOOKUP(E1198,cannabis_log!C:C,cannabis_log!K:K,"NOT FOUND",0,1))</f>
        <v>44830</v>
      </c>
      <c r="J1198" s="185">
        <v>-1</v>
      </c>
      <c r="K1198" s="186">
        <v>-1010</v>
      </c>
      <c r="L1198" s="288">
        <f t="shared" ref="L1198:L1261" si="59">IFERROR(J1198*O1198,"")</f>
        <v>0</v>
      </c>
      <c r="M1198" s="24"/>
      <c r="N1198" s="112" t="str">
        <f>IF(ISBLANK(E1198),"",_xlfn.XLOOKUP(E1198,[1]cannabis_log!C:C,[1]cannabis_log!T:T,"Not Found",0,))</f>
        <v>gross</v>
      </c>
      <c r="O1198" s="180">
        <f>IF(N1198="net",_xlfn.XLOOKUP(E1198,cannabis_log!C:C,cannabis_log!N:N,"NOT FOUND",0,1),IF(N1198="gross",0,""))</f>
        <v>0</v>
      </c>
    </row>
    <row r="1199" spans="1:15">
      <c r="A1199" s="181" t="str">
        <f t="shared" si="56"/>
        <v>inbound</v>
      </c>
      <c r="B1199" s="182">
        <v>45714.695833333331</v>
      </c>
      <c r="C1199" s="183" t="s">
        <v>1927</v>
      </c>
      <c r="D1199" s="183"/>
      <c r="E1199" s="215" t="s">
        <v>2562</v>
      </c>
      <c r="F1199" s="112" t="str">
        <f>IF(ISBLANK(E1199),"",_xlfn.XLOOKUP(E1199,[1]cannabis_log!C:C,[1]cannabis_log!J:J,"",0,))</f>
        <v>CPR22102001</v>
      </c>
      <c r="G1199" s="112"/>
      <c r="H1199" s="112" t="str">
        <f>IF(ISBLANK(E1199),"",_xlfn.XLOOKUP(E1199,cannabis_log!C:C,cannabis_log!H:H,"",0,1))</f>
        <v>driedflower_milled_bulk</v>
      </c>
      <c r="I1199" s="113" t="str">
        <f>IF(ISBLANK(E1199),"",_xlfn.XLOOKUP(E1199,cannabis_log!C:C,cannabis_log!K:K,"NOT FOUND",0,1))</f>
        <v>NA</v>
      </c>
      <c r="J1199" s="185">
        <v>1</v>
      </c>
      <c r="K1199" s="186">
        <v>3328</v>
      </c>
      <c r="L1199" s="288">
        <f t="shared" si="59"/>
        <v>0</v>
      </c>
      <c r="M1199" s="24"/>
      <c r="N1199" s="112" t="str">
        <f>IF(ISBLANK(E1199),"",_xlfn.XLOOKUP(E1199,[1]cannabis_log!C:C,[1]cannabis_log!T:T,"Not Found",0,))</f>
        <v>gross</v>
      </c>
      <c r="O1199" s="180">
        <f>IF(N1199="net",_xlfn.XLOOKUP(E1199,cannabis_log!C:C,cannabis_log!N:N,"NOT FOUND",0,1),IF(N1199="gross",0,""))</f>
        <v>0</v>
      </c>
    </row>
    <row r="1200" spans="1:15">
      <c r="A1200" s="181" t="str">
        <f t="shared" si="56"/>
        <v>inbound</v>
      </c>
      <c r="B1200" s="182">
        <v>45714.695833333331</v>
      </c>
      <c r="C1200" s="183" t="s">
        <v>1927</v>
      </c>
      <c r="D1200" s="183"/>
      <c r="E1200" s="215" t="s">
        <v>2615</v>
      </c>
      <c r="F1200" s="112" t="str">
        <f>IF(ISBLANK(E1200),"",_xlfn.XLOOKUP(E1200,[1]cannabis_log!C:C,[1]cannabis_log!J:J,"",0,))</f>
        <v>CPR22102001</v>
      </c>
      <c r="G1200" s="112"/>
      <c r="H1200" s="112" t="str">
        <f>IF(ISBLANK(E1200),"",_xlfn.XLOOKUP(E1200,cannabis_log!C:C,cannabis_log!H:H,"",0,1))</f>
        <v>driedflower_milled_bulk</v>
      </c>
      <c r="I1200" s="113" t="str">
        <f>IF(ISBLANK(E1200),"",_xlfn.XLOOKUP(E1200,cannabis_log!C:C,cannabis_log!K:K,"NOT FOUND",0,1))</f>
        <v>NA</v>
      </c>
      <c r="J1200" s="185">
        <v>1</v>
      </c>
      <c r="K1200" s="186">
        <v>3430</v>
      </c>
      <c r="L1200" s="288">
        <f t="shared" si="59"/>
        <v>0</v>
      </c>
      <c r="M1200" s="24"/>
      <c r="N1200" s="112" t="str">
        <f>IF(ISBLANK(E1200),"",_xlfn.XLOOKUP(E1200,[1]cannabis_log!C:C,[1]cannabis_log!T:T,"Not Found",0,))</f>
        <v>gross</v>
      </c>
      <c r="O1200" s="180">
        <f>IF(N1200="net",_xlfn.XLOOKUP(E1200,cannabis_log!C:C,cannabis_log!N:N,"NOT FOUND",0,1),IF(N1200="gross",0,""))</f>
        <v>0</v>
      </c>
    </row>
    <row r="1201" spans="1:15">
      <c r="A1201" s="181" t="str">
        <f t="shared" si="56"/>
        <v>inbound</v>
      </c>
      <c r="B1201" s="182">
        <v>45714.695833333331</v>
      </c>
      <c r="C1201" s="183" t="s">
        <v>1927</v>
      </c>
      <c r="D1201" s="183"/>
      <c r="E1201" s="215" t="s">
        <v>2570</v>
      </c>
      <c r="F1201" s="112" t="str">
        <f>IF(ISBLANK(E1201),"",_xlfn.XLOOKUP(E1201,[1]cannabis_log!C:C,[1]cannabis_log!J:J,"",0,))</f>
        <v>CPR22102102</v>
      </c>
      <c r="G1201" s="112"/>
      <c r="H1201" s="112" t="str">
        <f>IF(ISBLANK(E1201),"",_xlfn.XLOOKUP(E1201,cannabis_log!C:C,cannabis_log!H:H,"",0,1))</f>
        <v>driedflower_milled_bulk</v>
      </c>
      <c r="I1201" s="113" t="str">
        <f>IF(ISBLANK(E1201),"",_xlfn.XLOOKUP(E1201,cannabis_log!C:C,cannabis_log!K:K,"NOT FOUND",0,1))</f>
        <v>NA</v>
      </c>
      <c r="J1201" s="185">
        <v>1</v>
      </c>
      <c r="K1201" s="186">
        <v>2558</v>
      </c>
      <c r="L1201" s="288">
        <f t="shared" si="59"/>
        <v>0</v>
      </c>
      <c r="M1201" s="24"/>
      <c r="N1201" s="112" t="str">
        <f>IF(ISBLANK(E1201),"",_xlfn.XLOOKUP(E1201,[1]cannabis_log!C:C,[1]cannabis_log!T:T,"Not Found",0,))</f>
        <v>gross</v>
      </c>
      <c r="O1201" s="180">
        <f>IF(N1201="net",_xlfn.XLOOKUP(E1201,cannabis_log!C:C,cannabis_log!N:N,"NOT FOUND",0,1),IF(N1201="gross",0,""))</f>
        <v>0</v>
      </c>
    </row>
    <row r="1202" spans="1:15">
      <c r="A1202" s="181" t="str">
        <f t="shared" si="56"/>
        <v>outbound</v>
      </c>
      <c r="B1202" s="182">
        <v>45714.698611111111</v>
      </c>
      <c r="C1202" s="183" t="s">
        <v>1924</v>
      </c>
      <c r="D1202" s="183" t="s">
        <v>2655</v>
      </c>
      <c r="E1202" s="215" t="s">
        <v>2656</v>
      </c>
      <c r="F1202" s="112" t="str">
        <f>IF(ISBLANK(E1202),"",_xlfn.XLOOKUP(E1202,[1]cannabis_log!C:C,[1]cannabis_log!J:J,"",0,))</f>
        <v>PR2507</v>
      </c>
      <c r="G1202" s="112"/>
      <c r="H1202" s="112" t="str">
        <f>IF(ISBLANK(E1202),"",_xlfn.XLOOKUP(E1202,cannabis_log!C:C,cannabis_log!H:H,"",0,1))</f>
        <v>driedflower_milled_bulk</v>
      </c>
      <c r="I1202" s="113" t="str">
        <f>IF(ISBLANK(E1202),"",_xlfn.XLOOKUP(E1202,cannabis_log!C:C,cannabis_log!K:K,"NOT FOUND",0,1))</f>
        <v>NA</v>
      </c>
      <c r="J1202" s="185">
        <v>-1</v>
      </c>
      <c r="K1202" s="186">
        <v>-6518</v>
      </c>
      <c r="L1202" s="288">
        <f t="shared" si="59"/>
        <v>0</v>
      </c>
      <c r="M1202" s="24"/>
      <c r="N1202" s="112" t="str">
        <f>IF(ISBLANK(E1202),"",_xlfn.XLOOKUP(E1202,[1]cannabis_log!C:C,[1]cannabis_log!T:T,"Not Found",0,))</f>
        <v>gross</v>
      </c>
      <c r="O1202" s="180">
        <f>IF(N1202="net",_xlfn.XLOOKUP(E1202,cannabis_log!C:C,cannabis_log!N:N,"NOT FOUND",0,1),IF(N1202="gross",0,""))</f>
        <v>0</v>
      </c>
    </row>
    <row r="1203" spans="1:15">
      <c r="A1203" s="181" t="str">
        <f t="shared" si="56"/>
        <v>inbound</v>
      </c>
      <c r="B1203" s="182">
        <v>45714.70208333333</v>
      </c>
      <c r="C1203" s="183" t="s">
        <v>1927</v>
      </c>
      <c r="D1203" s="183"/>
      <c r="E1203" s="215" t="s">
        <v>2530</v>
      </c>
      <c r="F1203" s="112" t="str">
        <f>IF(ISBLANK(E1203),"",_xlfn.XLOOKUP(E1203,[1]cannabis_log!C:C,[1]cannabis_log!J:J,"",0,))</f>
        <v>2022012401R1</v>
      </c>
      <c r="G1203" s="112"/>
      <c r="H1203" s="112" t="str">
        <f>IF(ISBLANK(E1203),"",_xlfn.XLOOKUP(E1203,cannabis_log!C:C,cannabis_log!H:H,"",0,1))</f>
        <v>driedflower_bulk</v>
      </c>
      <c r="I1203" s="113">
        <f>IF(ISBLANK(E1203),"",_xlfn.XLOOKUP(E1203,cannabis_log!C:C,cannabis_log!K:K,"NOT FOUND",0,1))</f>
        <v>44686</v>
      </c>
      <c r="J1203" s="185">
        <v>1</v>
      </c>
      <c r="K1203" s="186">
        <v>320</v>
      </c>
      <c r="L1203" s="288">
        <f t="shared" si="59"/>
        <v>0</v>
      </c>
      <c r="M1203" s="24"/>
      <c r="N1203" s="112" t="str">
        <f>IF(ISBLANK(E1203),"",_xlfn.XLOOKUP(E1203,[1]cannabis_log!C:C,[1]cannabis_log!T:T,"Not Found",0,))</f>
        <v>gross</v>
      </c>
      <c r="O1203" s="180">
        <f>IF(N1203="net",_xlfn.XLOOKUP(E1203,cannabis_log!C:C,cannabis_log!N:N,"NOT FOUND",0,1),IF(N1203="gross",0,""))</f>
        <v>0</v>
      </c>
    </row>
    <row r="1204" spans="1:15">
      <c r="A1204" s="181" t="str">
        <f t="shared" si="56"/>
        <v>inbound</v>
      </c>
      <c r="B1204" s="182">
        <v>45714.70208333333</v>
      </c>
      <c r="C1204" s="183" t="s">
        <v>1927</v>
      </c>
      <c r="D1204" s="183"/>
      <c r="E1204" s="215" t="s">
        <v>2646</v>
      </c>
      <c r="F1204" s="112" t="str">
        <f>IF(ISBLANK(E1204),"",_xlfn.XLOOKUP(E1204,[1]cannabis_log!C:C,[1]cannabis_log!J:J,"",0,))</f>
        <v>2022012401R1</v>
      </c>
      <c r="G1204" s="112"/>
      <c r="H1204" s="112" t="str">
        <f>IF(ISBLANK(E1204),"",_xlfn.XLOOKUP(E1204,cannabis_log!C:C,cannabis_log!H:H,"",0,1))</f>
        <v>driedflower_bulk</v>
      </c>
      <c r="I1204" s="113">
        <f>IF(ISBLANK(E1204),"",_xlfn.XLOOKUP(E1204,cannabis_log!C:C,cannabis_log!K:K,"NOT FOUND",0,1))</f>
        <v>44686</v>
      </c>
      <c r="J1204" s="185">
        <v>1</v>
      </c>
      <c r="K1204" s="186">
        <v>1025.7</v>
      </c>
      <c r="L1204" s="288">
        <f t="shared" si="59"/>
        <v>0</v>
      </c>
      <c r="M1204" s="24"/>
      <c r="N1204" s="112" t="str">
        <f>IF(ISBLANK(E1204),"",_xlfn.XLOOKUP(E1204,[1]cannabis_log!C:C,[1]cannabis_log!T:T,"Not Found",0,))</f>
        <v>gross</v>
      </c>
      <c r="O1204" s="180">
        <f>IF(N1204="net",_xlfn.XLOOKUP(E1204,cannabis_log!C:C,cannabis_log!N:N,"NOT FOUND",0,1),IF(N1204="gross",0,""))</f>
        <v>0</v>
      </c>
    </row>
    <row r="1205" spans="1:15">
      <c r="A1205" s="181" t="str">
        <f t="shared" si="56"/>
        <v>inbound</v>
      </c>
      <c r="B1205" s="182">
        <v>45714.70208333333</v>
      </c>
      <c r="C1205" s="183" t="s">
        <v>1927</v>
      </c>
      <c r="D1205" s="183"/>
      <c r="E1205" s="215" t="s">
        <v>2647</v>
      </c>
      <c r="F1205" s="112" t="str">
        <f>IF(ISBLANK(E1205),"",_xlfn.XLOOKUP(E1205,[1]cannabis_log!C:C,[1]cannabis_log!J:J,"",0,))</f>
        <v>2022012401R1</v>
      </c>
      <c r="G1205" s="112"/>
      <c r="H1205" s="112" t="str">
        <f>IF(ISBLANK(E1205),"",_xlfn.XLOOKUP(E1205,cannabis_log!C:C,cannabis_log!H:H,"",0,1))</f>
        <v>driedflower_bulk</v>
      </c>
      <c r="I1205" s="113">
        <f>IF(ISBLANK(E1205),"",_xlfn.XLOOKUP(E1205,cannabis_log!C:C,cannabis_log!K:K,"NOT FOUND",0,1))</f>
        <v>44686</v>
      </c>
      <c r="J1205" s="185">
        <v>1</v>
      </c>
      <c r="K1205" s="186">
        <v>255</v>
      </c>
      <c r="L1205" s="288">
        <f t="shared" si="59"/>
        <v>0</v>
      </c>
      <c r="M1205" s="24"/>
      <c r="N1205" s="112" t="str">
        <f>IF(ISBLANK(E1205),"",_xlfn.XLOOKUP(E1205,[1]cannabis_log!C:C,[1]cannabis_log!T:T,"Not Found",0,))</f>
        <v>gross</v>
      </c>
      <c r="O1205" s="180">
        <f>IF(N1205="net",_xlfn.XLOOKUP(E1205,cannabis_log!C:C,cannabis_log!N:N,"NOT FOUND",0,1),IF(N1205="gross",0,""))</f>
        <v>0</v>
      </c>
    </row>
    <row r="1206" spans="1:15">
      <c r="A1206" s="181" t="str">
        <f t="shared" si="56"/>
        <v>inbound</v>
      </c>
      <c r="B1206" s="182">
        <v>45714.70208333333</v>
      </c>
      <c r="C1206" s="183" t="s">
        <v>1927</v>
      </c>
      <c r="D1206" s="183"/>
      <c r="E1206" s="215" t="s">
        <v>2644</v>
      </c>
      <c r="F1206" s="112" t="str">
        <f>IF(ISBLANK(E1206),"",_xlfn.XLOOKUP(E1206,[1]cannabis_log!C:C,[1]cannabis_log!J:J,"",0,))</f>
        <v>2022012401R1</v>
      </c>
      <c r="G1206" s="112"/>
      <c r="H1206" s="112" t="str">
        <f>IF(ISBLANK(E1206),"",_xlfn.XLOOKUP(E1206,cannabis_log!C:C,cannabis_log!H:H,"",0,1))</f>
        <v>driedflower_bulk</v>
      </c>
      <c r="I1206" s="113">
        <f>IF(ISBLANK(E1206),"",_xlfn.XLOOKUP(E1206,cannabis_log!C:C,cannabis_log!K:K,"NOT FOUND",0,1))</f>
        <v>44686</v>
      </c>
      <c r="J1206" s="185">
        <v>1</v>
      </c>
      <c r="K1206" s="186">
        <v>1625</v>
      </c>
      <c r="L1206" s="288">
        <f t="shared" si="59"/>
        <v>0</v>
      </c>
      <c r="M1206" s="24"/>
      <c r="N1206" s="112" t="str">
        <f>IF(ISBLANK(E1206),"",_xlfn.XLOOKUP(E1206,[1]cannabis_log!C:C,[1]cannabis_log!T:T,"Not Found",0,))</f>
        <v>gross</v>
      </c>
      <c r="O1206" s="180">
        <f>IF(N1206="net",_xlfn.XLOOKUP(E1206,cannabis_log!C:C,cannabis_log!N:N,"NOT FOUND",0,1),IF(N1206="gross",0,""))</f>
        <v>0</v>
      </c>
    </row>
    <row r="1207" spans="1:15">
      <c r="A1207" s="181" t="str">
        <f t="shared" si="56"/>
        <v>inbound</v>
      </c>
      <c r="B1207" s="182">
        <v>45714.70208333333</v>
      </c>
      <c r="C1207" s="183" t="s">
        <v>1927</v>
      </c>
      <c r="D1207" s="183"/>
      <c r="E1207" s="215" t="s">
        <v>1978</v>
      </c>
      <c r="F1207" s="112" t="str">
        <f>IF(ISBLANK(E1207),"",_xlfn.XLOOKUP(E1207,[1]cannabis_log!C:C,[1]cannabis_log!J:J,"",0,))</f>
        <v>2022012401R1</v>
      </c>
      <c r="G1207" s="112"/>
      <c r="H1207" s="112" t="str">
        <f>IF(ISBLANK(E1207),"",_xlfn.XLOOKUP(E1207,cannabis_log!C:C,cannabis_log!H:H,"",0,1))</f>
        <v>driedflower_bulk</v>
      </c>
      <c r="I1207" s="113">
        <f>IF(ISBLANK(E1207),"",_xlfn.XLOOKUP(E1207,cannabis_log!C:C,cannabis_log!K:K,"NOT FOUND",0,1))</f>
        <v>44686</v>
      </c>
      <c r="J1207" s="185">
        <v>1</v>
      </c>
      <c r="K1207" s="186">
        <v>650</v>
      </c>
      <c r="L1207" s="288">
        <f t="shared" si="59"/>
        <v>0</v>
      </c>
      <c r="M1207" s="24"/>
      <c r="N1207" s="112" t="str">
        <f>IF(ISBLANK(E1207),"",_xlfn.XLOOKUP(E1207,[1]cannabis_log!C:C,[1]cannabis_log!T:T,"Not Found",0,))</f>
        <v>gross</v>
      </c>
      <c r="O1207" s="180">
        <f>IF(N1207="net",_xlfn.XLOOKUP(E1207,cannabis_log!C:C,cannabis_log!N:N,"NOT FOUND",0,1),IF(N1207="gross",0,""))</f>
        <v>0</v>
      </c>
    </row>
    <row r="1208" spans="1:15">
      <c r="A1208" s="181" t="str">
        <f t="shared" si="56"/>
        <v>inbound</v>
      </c>
      <c r="B1208" s="182">
        <v>45714.705555555556</v>
      </c>
      <c r="C1208" s="183" t="s">
        <v>1927</v>
      </c>
      <c r="D1208" s="183"/>
      <c r="E1208" s="215" t="s">
        <v>2332</v>
      </c>
      <c r="F1208" s="112">
        <f>IF(ISBLANK(E1208),"",_xlfn.XLOOKUP(E1208,[1]cannabis_log!C:C,[1]cannabis_log!J:J,"",0,))</f>
        <v>2022051603</v>
      </c>
      <c r="G1208" s="112"/>
      <c r="H1208" s="112" t="str">
        <f>IF(ISBLANK(E1208),"",_xlfn.XLOOKUP(E1208,cannabis_log!C:C,cannabis_log!H:H,"",0,1))</f>
        <v>driedflower_bulk</v>
      </c>
      <c r="I1208" s="113">
        <f>IF(ISBLANK(E1208),"",_xlfn.XLOOKUP(E1208,cannabis_log!C:C,cannabis_log!K:K,"NOT FOUND",0,1))</f>
        <v>44830</v>
      </c>
      <c r="J1208" s="185">
        <v>1</v>
      </c>
      <c r="K1208" s="186">
        <v>1010</v>
      </c>
      <c r="L1208" s="288">
        <f t="shared" si="59"/>
        <v>0</v>
      </c>
      <c r="M1208" s="24"/>
      <c r="N1208" s="112" t="str">
        <f>IF(ISBLANK(E1208),"",_xlfn.XLOOKUP(E1208,[1]cannabis_log!C:C,[1]cannabis_log!T:T,"Not Found",0,))</f>
        <v>gross</v>
      </c>
      <c r="O1208" s="180">
        <f>IF(N1208="net",_xlfn.XLOOKUP(E1208,cannabis_log!C:C,cannabis_log!N:N,"NOT FOUND",0,1),IF(N1208="gross",0,""))</f>
        <v>0</v>
      </c>
    </row>
    <row r="1209" spans="1:15">
      <c r="A1209" s="181" t="str">
        <f t="shared" si="56"/>
        <v>inbound</v>
      </c>
      <c r="B1209" s="182">
        <v>45714.705555555556</v>
      </c>
      <c r="C1209" s="183" t="s">
        <v>1927</v>
      </c>
      <c r="D1209" s="183"/>
      <c r="E1209" s="215" t="s">
        <v>1961</v>
      </c>
      <c r="F1209" s="112" t="str">
        <f>IF(ISBLANK(E1209),"",_xlfn.XLOOKUP(E1209,[1]cannabis_log!C:C,[1]cannabis_log!J:J,"",0,))</f>
        <v>2022012401R1</v>
      </c>
      <c r="G1209" s="112"/>
      <c r="H1209" s="112" t="str">
        <f>IF(ISBLANK(E1209),"",_xlfn.XLOOKUP(E1209,cannabis_log!C:C,cannabis_log!H:H,"",0,1))</f>
        <v>driedflower_bulk</v>
      </c>
      <c r="I1209" s="113">
        <f>IF(ISBLANK(E1209),"",_xlfn.XLOOKUP(E1209,cannabis_log!C:C,cannabis_log!K:K,"NOT FOUND",0,1))</f>
        <v>44686</v>
      </c>
      <c r="J1209" s="185">
        <v>1</v>
      </c>
      <c r="K1209" s="186">
        <v>177.65</v>
      </c>
      <c r="L1209" s="288">
        <f t="shared" si="59"/>
        <v>0</v>
      </c>
      <c r="M1209" s="24"/>
      <c r="N1209" s="112" t="str">
        <f>IF(ISBLANK(E1209),"",_xlfn.XLOOKUP(E1209,[1]cannabis_log!C:C,[1]cannabis_log!T:T,"Not Found",0,))</f>
        <v>gross</v>
      </c>
      <c r="O1209" s="180">
        <f>IF(N1209="net",_xlfn.XLOOKUP(E1209,cannabis_log!C:C,cannabis_log!N:N,"NOT FOUND",0,1),IF(N1209="gross",0,""))</f>
        <v>0</v>
      </c>
    </row>
    <row r="1210" spans="1:15">
      <c r="A1210" s="181" t="str">
        <f t="shared" si="56"/>
        <v>outbound</v>
      </c>
      <c r="B1210" s="182">
        <v>45715.399305555555</v>
      </c>
      <c r="C1210" s="183" t="s">
        <v>1929</v>
      </c>
      <c r="D1210" s="183" t="s">
        <v>2657</v>
      </c>
      <c r="E1210" s="215" t="s">
        <v>2658</v>
      </c>
      <c r="F1210" s="112" t="str">
        <f>IF(ISBLANK(E1210),"",_xlfn.XLOOKUP(E1210,[1]cannabis_log!C:C,[1]cannabis_log!J:J,"",0,))</f>
        <v>EX25011501V50</v>
      </c>
      <c r="G1210" s="112"/>
      <c r="H1210" s="112" t="str">
        <f>IF(ISBLANK(E1210),"",_xlfn.XLOOKUP(E1210,cannabis_log!C:C,cannabis_log!H:H,"",0,1))</f>
        <v>extract_ingested_cased_BC</v>
      </c>
      <c r="I1210" s="113">
        <f>IF(ISBLANK(E1210),"",_xlfn.XLOOKUP(E1210,cannabis_log!C:C,cannabis_log!K:K,"NOT FOUND",0,1))</f>
        <v>45692</v>
      </c>
      <c r="J1210" s="185">
        <v>-1</v>
      </c>
      <c r="K1210" s="186">
        <f t="shared" ref="K1210:K1217" si="60">IF(N1210="net",0,"")</f>
        <v>0</v>
      </c>
      <c r="L1210" s="288">
        <f t="shared" si="59"/>
        <v>-600</v>
      </c>
      <c r="M1210" s="24"/>
      <c r="N1210" s="112" t="str">
        <f>IF(ISBLANK(E1210),"",_xlfn.XLOOKUP(E1210,[1]cannabis_log!C:C,[1]cannabis_log!T:T,"Not Found",0,))</f>
        <v>net</v>
      </c>
      <c r="O1210" s="180">
        <f>IF(N1210="net",_xlfn.XLOOKUP(E1210,cannabis_log!C:C,cannabis_log!N:N,"NOT FOUND",0,1),IF(N1210="gross",0,""))</f>
        <v>600</v>
      </c>
    </row>
    <row r="1211" spans="1:15">
      <c r="A1211" s="181" t="str">
        <f t="shared" si="56"/>
        <v>outbound</v>
      </c>
      <c r="B1211" s="182">
        <v>45715.399305555555</v>
      </c>
      <c r="C1211" s="183" t="s">
        <v>1929</v>
      </c>
      <c r="D1211" s="183" t="s">
        <v>2657</v>
      </c>
      <c r="E1211" s="215" t="s">
        <v>2066</v>
      </c>
      <c r="F1211" s="112" t="str">
        <f>IF(ISBLANK(E1211),"",_xlfn.XLOOKUP(E1211,[1]cannabis_log!C:C,[1]cannabis_log!J:J,"",0,))</f>
        <v>PR2406F5P3</v>
      </c>
      <c r="G1211" s="112"/>
      <c r="H1211" s="112" t="str">
        <f>IF(ISBLANK(E1211),"",_xlfn.XLOOKUP(E1211,cannabis_log!C:C,cannabis_log!H:H,"",0,1))</f>
        <v>preroll_labelled</v>
      </c>
      <c r="I1211" s="113">
        <f>IF(ISBLANK(E1211),"",_xlfn.XLOOKUP(E1211,cannabis_log!C:C,cannabis_log!K:K,"NOT FOUND",0,1))</f>
        <v>45457</v>
      </c>
      <c r="J1211" s="185">
        <v>-12</v>
      </c>
      <c r="K1211" s="186">
        <f t="shared" si="60"/>
        <v>0</v>
      </c>
      <c r="L1211" s="288">
        <f t="shared" si="59"/>
        <v>-18</v>
      </c>
      <c r="M1211" s="24"/>
      <c r="N1211" s="112" t="str">
        <f>IF(ISBLANK(E1211),"",_xlfn.XLOOKUP(E1211,[1]cannabis_log!C:C,[1]cannabis_log!T:T,"Not Found",0,))</f>
        <v>net</v>
      </c>
      <c r="O1211" s="180">
        <f>IF(N1211="net",_xlfn.XLOOKUP(E1211,cannabis_log!C:C,cannabis_log!N:N,"NOT FOUND",0,1),IF(N1211="gross",0,""))</f>
        <v>1.5</v>
      </c>
    </row>
    <row r="1212" spans="1:15">
      <c r="A1212" s="181" t="str">
        <f t="shared" si="56"/>
        <v>outbound</v>
      </c>
      <c r="B1212" s="182">
        <v>45715.399305555555</v>
      </c>
      <c r="C1212" s="183" t="s">
        <v>1929</v>
      </c>
      <c r="D1212" s="183" t="s">
        <v>2657</v>
      </c>
      <c r="E1212" s="215" t="s">
        <v>2659</v>
      </c>
      <c r="F1212" s="112" t="str">
        <f>IF(ISBLANK(E1212),"",_xlfn.XLOOKUP(E1212,[1]cannabis_log!C:C,[1]cannabis_log!J:J,"",0,))</f>
        <v>PR2501F5P10</v>
      </c>
      <c r="G1212" s="112"/>
      <c r="H1212" s="112" t="str">
        <f>IF(ISBLANK(E1212),"",_xlfn.XLOOKUP(E1212,cannabis_log!C:C,cannabis_log!H:H,"",0,1))</f>
        <v>preroll_labelled</v>
      </c>
      <c r="I1212" s="113">
        <f>IF(ISBLANK(E1212),"",_xlfn.XLOOKUP(E1212,cannabis_log!C:C,cannabis_log!K:K,"NOT FOUND",0,1))</f>
        <v>45707</v>
      </c>
      <c r="J1212" s="185">
        <v>-36</v>
      </c>
      <c r="K1212" s="186">
        <f t="shared" si="60"/>
        <v>0</v>
      </c>
      <c r="L1212" s="288">
        <f t="shared" si="59"/>
        <v>-180</v>
      </c>
      <c r="M1212" s="24"/>
      <c r="N1212" s="112" t="str">
        <f>IF(ISBLANK(E1212),"",_xlfn.XLOOKUP(E1212,[1]cannabis_log!C:C,[1]cannabis_log!T:T,"Not Found",0,))</f>
        <v>net</v>
      </c>
      <c r="O1212" s="180">
        <f>IF(N1212="net",_xlfn.XLOOKUP(E1212,cannabis_log!C:C,cannabis_log!N:N,"NOT FOUND",0,1),IF(N1212="gross",0,""))</f>
        <v>5</v>
      </c>
    </row>
    <row r="1213" spans="1:15">
      <c r="A1213" s="181" t="str">
        <f t="shared" si="56"/>
        <v>outbound</v>
      </c>
      <c r="B1213" s="182">
        <v>45715.399305555555</v>
      </c>
      <c r="C1213" s="183" t="s">
        <v>1929</v>
      </c>
      <c r="D1213" s="183" t="s">
        <v>2657</v>
      </c>
      <c r="E1213" s="215" t="s">
        <v>2065</v>
      </c>
      <c r="F1213" s="112" t="str">
        <f>IF(ISBLANK(E1213),"",_xlfn.XLOOKUP(E1213,[1]cannabis_log!C:C,[1]cannabis_log!J:J,"",0,))</f>
        <v>PR2301F5P3</v>
      </c>
      <c r="G1213" s="112"/>
      <c r="H1213" s="112" t="str">
        <f>IF(ISBLANK(E1213),"",_xlfn.XLOOKUP(E1213,cannabis_log!C:C,cannabis_log!H:H,"",0,1))</f>
        <v>preroll_labelled</v>
      </c>
      <c r="I1213" s="113">
        <f>IF(ISBLANK(E1213),"",_xlfn.XLOOKUP(E1213,cannabis_log!C:C,cannabis_log!K:K,"NOT FOUND",0,1))</f>
        <v>45457</v>
      </c>
      <c r="J1213" s="185">
        <v>-12</v>
      </c>
      <c r="K1213" s="186">
        <f t="shared" si="60"/>
        <v>0</v>
      </c>
      <c r="L1213" s="288">
        <f t="shared" si="59"/>
        <v>-18</v>
      </c>
      <c r="M1213" s="24"/>
      <c r="N1213" s="112" t="str">
        <f>IF(ISBLANK(E1213),"",_xlfn.XLOOKUP(E1213,[1]cannabis_log!C:C,[1]cannabis_log!T:T,"Not Found",0,))</f>
        <v>net</v>
      </c>
      <c r="O1213" s="180">
        <f>IF(N1213="net",_xlfn.XLOOKUP(E1213,cannabis_log!C:C,cannabis_log!N:N,"NOT FOUND",0,1),IF(N1213="gross",0,""))</f>
        <v>1.5</v>
      </c>
    </row>
    <row r="1214" spans="1:15">
      <c r="A1214" s="181" t="str">
        <f t="shared" si="56"/>
        <v>outbound</v>
      </c>
      <c r="B1214" s="182">
        <v>45715.399305555555</v>
      </c>
      <c r="C1214" s="183" t="s">
        <v>1929</v>
      </c>
      <c r="D1214" s="183" t="s">
        <v>2657</v>
      </c>
      <c r="E1214" s="215" t="s">
        <v>2557</v>
      </c>
      <c r="F1214" s="112" t="str">
        <f>IF(ISBLANK(E1214),"",_xlfn.XLOOKUP(E1214,[1]cannabis_log!C:C,[1]cannabis_log!J:J,"",0,))</f>
        <v>2024111801G7</v>
      </c>
      <c r="G1214" s="112"/>
      <c r="H1214" s="112" t="str">
        <f>IF(ISBLANK(E1214),"",_xlfn.XLOOKUP(E1214,cannabis_log!C:C,cannabis_log!H:H,"",0,1))</f>
        <v>driedflower_labelled</v>
      </c>
      <c r="I1214" s="113">
        <f>IF(ISBLANK(E1214),"",_xlfn.XLOOKUP(E1214,cannabis_log!C:C,cannabis_log!K:K,"NOT FOUND",0,1))</f>
        <v>45631</v>
      </c>
      <c r="J1214" s="185">
        <v>-24</v>
      </c>
      <c r="K1214" s="186">
        <f t="shared" si="60"/>
        <v>0</v>
      </c>
      <c r="L1214" s="288">
        <f t="shared" si="59"/>
        <v>-168</v>
      </c>
      <c r="M1214" s="24"/>
      <c r="N1214" s="112" t="str">
        <f>IF(ISBLANK(E1214),"",_xlfn.XLOOKUP(E1214,[1]cannabis_log!C:C,[1]cannabis_log!T:T,"Not Found",0,))</f>
        <v>net</v>
      </c>
      <c r="O1214" s="180">
        <f>IF(N1214="net",_xlfn.XLOOKUP(E1214,cannabis_log!C:C,cannabis_log!N:N,"NOT FOUND",0,1),IF(N1214="gross",0,""))</f>
        <v>7</v>
      </c>
    </row>
    <row r="1215" spans="1:15">
      <c r="A1215" s="181" t="str">
        <f t="shared" si="56"/>
        <v>inbound</v>
      </c>
      <c r="B1215" s="182">
        <v>45715.430555555555</v>
      </c>
      <c r="C1215" s="183" t="s">
        <v>1927</v>
      </c>
      <c r="D1215" s="183"/>
      <c r="E1215" s="215" t="s">
        <v>2456</v>
      </c>
      <c r="F1215" s="112" t="str">
        <f>IF(ISBLANK(E1215),"",_xlfn.XLOOKUP(E1215,[1]cannabis_log!C:C,[1]cannabis_log!J:J,"",0,))</f>
        <v>EX24101703G05</v>
      </c>
      <c r="G1215" s="112"/>
      <c r="H1215" s="112" t="str">
        <f>IF(ISBLANK(E1215),"",_xlfn.XLOOKUP(E1215,cannabis_log!C:C,cannabis_log!H:H,"",0,1))</f>
        <v>extract_inhaled_labelled</v>
      </c>
      <c r="I1215" s="113">
        <f>IF(ISBLANK(E1215),"",_xlfn.XLOOKUP(E1215,cannabis_log!C:C,cannabis_log!K:K,"NOT FOUND",0,1))</f>
        <v>45603</v>
      </c>
      <c r="J1215" s="185">
        <v>343</v>
      </c>
      <c r="K1215" s="186">
        <f t="shared" si="60"/>
        <v>0</v>
      </c>
      <c r="L1215" s="288">
        <f t="shared" si="59"/>
        <v>171.5</v>
      </c>
      <c r="M1215" s="24"/>
      <c r="N1215" s="112" t="str">
        <f>IF(ISBLANK(E1215),"",_xlfn.XLOOKUP(E1215,[1]cannabis_log!C:C,[1]cannabis_log!T:T,"Not Found",0,))</f>
        <v>net</v>
      </c>
      <c r="O1215" s="180">
        <f>IF(N1215="net",_xlfn.XLOOKUP(E1215,cannabis_log!C:C,cannabis_log!N:N,"NOT FOUND",0,1),IF(N1215="gross",0,""))</f>
        <v>0.5</v>
      </c>
    </row>
    <row r="1216" spans="1:15">
      <c r="A1216" s="181" t="str">
        <f t="shared" si="56"/>
        <v>inbound</v>
      </c>
      <c r="B1216" s="182">
        <v>45715.432638888888</v>
      </c>
      <c r="C1216" s="183" t="s">
        <v>1927</v>
      </c>
      <c r="D1216" s="183"/>
      <c r="E1216" s="215" t="s">
        <v>2300</v>
      </c>
      <c r="F1216" s="112" t="str">
        <f>IF(ISBLANK(E1216),"",_xlfn.XLOOKUP(E1216,[1]cannabis_log!C:C,[1]cannabis_log!J:J,"",0,))</f>
        <v>EX23060701V30</v>
      </c>
      <c r="G1216" s="112"/>
      <c r="H1216" s="112" t="str">
        <f>IF(ISBLANK(E1216),"",_xlfn.XLOOKUP(E1216,cannabis_log!C:C,cannabis_log!H:H,"",0,1))</f>
        <v>extract_ingested_labelled</v>
      </c>
      <c r="I1216" s="113">
        <f>IF(ISBLANK(E1216),"",_xlfn.XLOOKUP(E1216,cannabis_log!C:C,cannabis_log!K:K,"NOT FOUND",0,1))</f>
        <v>45596</v>
      </c>
      <c r="J1216" s="185">
        <v>27</v>
      </c>
      <c r="K1216" s="186">
        <f t="shared" si="60"/>
        <v>0</v>
      </c>
      <c r="L1216" s="288">
        <f t="shared" si="59"/>
        <v>739.8</v>
      </c>
      <c r="M1216" s="24"/>
      <c r="N1216" s="112" t="str">
        <f>IF(ISBLANK(E1216),"",_xlfn.XLOOKUP(E1216,[1]cannabis_log!C:C,[1]cannabis_log!T:T,"Not Found",0,))</f>
        <v>net</v>
      </c>
      <c r="O1216" s="180">
        <f>IF(N1216="net",_xlfn.XLOOKUP(E1216,cannabis_log!C:C,cannabis_log!N:N,"NOT FOUND",0,1),IF(N1216="gross",0,""))</f>
        <v>27.4</v>
      </c>
    </row>
    <row r="1217" spans="1:15">
      <c r="A1217" s="181" t="str">
        <f t="shared" ref="A1217:A1280" si="61">IF(ISBLANK(J1217),"",IF(J1217+K1217+L1217&lt;0,"outbound","inbound"))</f>
        <v>inbound</v>
      </c>
      <c r="B1217" s="182">
        <v>45715.436805555553</v>
      </c>
      <c r="C1217" s="183" t="s">
        <v>1927</v>
      </c>
      <c r="D1217" s="183"/>
      <c r="E1217" s="215" t="s">
        <v>2529</v>
      </c>
      <c r="F1217" s="112" t="str">
        <f>IF(ISBLANK(E1217),"",_xlfn.XLOOKUP(E1217,[1]cannabis_log!C:C,[1]cannabis_log!J:J,"",0,))</f>
        <v>EX24111301G05</v>
      </c>
      <c r="G1217" s="112"/>
      <c r="H1217" s="112" t="str">
        <f>IF(ISBLANK(E1217),"",_xlfn.XLOOKUP(E1217,cannabis_log!C:C,cannabis_log!H:H,"",0,1))</f>
        <v>extract_inhaled_labelled</v>
      </c>
      <c r="I1217" s="113">
        <f>IF(ISBLANK(E1217),"",_xlfn.XLOOKUP(E1217,cannabis_log!C:C,cannabis_log!K:K,"NOT FOUND",0,1))</f>
        <v>45642</v>
      </c>
      <c r="J1217" s="185">
        <v>314</v>
      </c>
      <c r="K1217" s="186">
        <f t="shared" si="60"/>
        <v>0</v>
      </c>
      <c r="L1217" s="288">
        <f t="shared" si="59"/>
        <v>157</v>
      </c>
      <c r="M1217" s="24"/>
      <c r="N1217" s="112" t="str">
        <f>IF(ISBLANK(E1217),"",_xlfn.XLOOKUP(E1217,[1]cannabis_log!C:C,[1]cannabis_log!T:T,"Not Found",0,))</f>
        <v>net</v>
      </c>
      <c r="O1217" s="180">
        <f>IF(N1217="net",_xlfn.XLOOKUP(E1217,cannabis_log!C:C,cannabis_log!N:N,"NOT FOUND",0,1),IF(N1217="gross",0,""))</f>
        <v>0.5</v>
      </c>
    </row>
    <row r="1218" spans="1:15">
      <c r="A1218" s="181" t="str">
        <f t="shared" si="61"/>
        <v>outbound</v>
      </c>
      <c r="B1218" s="182">
        <v>45716.481249999997</v>
      </c>
      <c r="C1218" s="183" t="s">
        <v>1924</v>
      </c>
      <c r="D1218" s="183"/>
      <c r="E1218" s="215" t="s">
        <v>2660</v>
      </c>
      <c r="F1218" s="112">
        <f>IF(ISBLANK(E1218),"",_xlfn.XLOOKUP(E1218,[1]cannabis_log!C:C,[1]cannabis_log!J:J,"",0,))</f>
        <v>2025021301</v>
      </c>
      <c r="G1218" s="112"/>
      <c r="H1218" s="112" t="str">
        <f>IF(ISBLANK(E1218),"",_xlfn.XLOOKUP(E1218,cannabis_log!C:C,cannabis_log!H:H,"",0,1))</f>
        <v>driedflower_bulk</v>
      </c>
      <c r="I1218" s="113" t="str">
        <f>IF(ISBLANK(E1218),"",_xlfn.XLOOKUP(E1218,cannabis_log!C:C,cannabis_log!K:K,"NOT FOUND",0,1))</f>
        <v>NA</v>
      </c>
      <c r="J1218" s="185">
        <v>-1</v>
      </c>
      <c r="K1218" s="186">
        <v>-620</v>
      </c>
      <c r="L1218" s="288">
        <f t="shared" si="59"/>
        <v>0</v>
      </c>
      <c r="M1218" s="24"/>
      <c r="N1218" s="112" t="str">
        <f>IF(ISBLANK(E1218),"",_xlfn.XLOOKUP(E1218,[1]cannabis_log!C:C,[1]cannabis_log!T:T,"Not Found",0,))</f>
        <v>gross</v>
      </c>
      <c r="O1218" s="180">
        <f>IF(N1218="net",_xlfn.XLOOKUP(E1218,cannabis_log!C:C,cannabis_log!N:N,"NOT FOUND",0,1),IF(N1218="gross",0,""))</f>
        <v>0</v>
      </c>
    </row>
    <row r="1219" spans="1:15">
      <c r="A1219" s="181" t="str">
        <f t="shared" si="61"/>
        <v>inbound</v>
      </c>
      <c r="B1219" s="182">
        <v>45716.680555555555</v>
      </c>
      <c r="C1219" s="183" t="s">
        <v>1924</v>
      </c>
      <c r="D1219" s="183"/>
      <c r="E1219" s="215" t="s">
        <v>2660</v>
      </c>
      <c r="F1219" s="112">
        <f>IF(ISBLANK(E1219),"",_xlfn.XLOOKUP(E1219,[1]cannabis_log!C:C,[1]cannabis_log!J:J,"",0,))</f>
        <v>2025021301</v>
      </c>
      <c r="G1219" s="112"/>
      <c r="H1219" s="112" t="str">
        <f>IF(ISBLANK(E1219),"",_xlfn.XLOOKUP(E1219,cannabis_log!C:C,cannabis_log!H:H,"",0,1))</f>
        <v>driedflower_bulk</v>
      </c>
      <c r="I1219" s="113" t="str">
        <f>IF(ISBLANK(E1219),"",_xlfn.XLOOKUP(E1219,cannabis_log!C:C,cannabis_log!K:K,"NOT FOUND",0,1))</f>
        <v>NA</v>
      </c>
      <c r="J1219" s="185">
        <v>1</v>
      </c>
      <c r="K1219" s="186">
        <v>620</v>
      </c>
      <c r="L1219" s="288">
        <f t="shared" si="59"/>
        <v>0</v>
      </c>
      <c r="M1219" s="24"/>
      <c r="N1219" s="112" t="str">
        <f>IF(ISBLANK(E1219),"",_xlfn.XLOOKUP(E1219,[1]cannabis_log!C:C,[1]cannabis_log!T:T,"Not Found",0,))</f>
        <v>gross</v>
      </c>
      <c r="O1219" s="180">
        <f>IF(N1219="net",_xlfn.XLOOKUP(E1219,cannabis_log!C:C,cannabis_log!N:N,"NOT FOUND",0,1),IF(N1219="gross",0,""))</f>
        <v>0</v>
      </c>
    </row>
    <row r="1220" spans="1:15">
      <c r="A1220" s="181" t="str">
        <f t="shared" si="61"/>
        <v>outbound</v>
      </c>
      <c r="B1220" s="182">
        <v>45719.494444444441</v>
      </c>
      <c r="C1220" s="183" t="s">
        <v>1924</v>
      </c>
      <c r="D1220" s="183" t="s">
        <v>2661</v>
      </c>
      <c r="E1220" s="215" t="s">
        <v>2662</v>
      </c>
      <c r="F1220" s="112" t="str">
        <f>IF(ISBLANK(E1220),"",_xlfn.XLOOKUP(E1220,[1]cannabis_log!C:C,[1]cannabis_log!J:J,"",0,))</f>
        <v>DI22110901V30</v>
      </c>
      <c r="G1220" s="112"/>
      <c r="H1220" s="112" t="str">
        <f>IF(ISBLANK(E1220),"",_xlfn.XLOOKUP(E1220,cannabis_log!C:C,cannabis_log!H:H,"",0,1))</f>
        <v>extract_ingested_labelled_WT</v>
      </c>
      <c r="I1220" s="113">
        <f>IF(ISBLANK(E1220),"",_xlfn.XLOOKUP(E1220,cannabis_log!C:C,cannabis_log!K:K,"NOT FOUND",0,1))</f>
        <v>44907</v>
      </c>
      <c r="J1220" s="185">
        <v>-1</v>
      </c>
      <c r="K1220" s="186">
        <f>IF(N1220="net",0,"")</f>
        <v>0</v>
      </c>
      <c r="L1220" s="288">
        <f t="shared" si="59"/>
        <v>-1</v>
      </c>
      <c r="M1220" s="24"/>
      <c r="N1220" s="112" t="str">
        <f>IF(ISBLANK(E1220),"",_xlfn.XLOOKUP(E1220,[1]cannabis_log!C:C,[1]cannabis_log!T:T,"Not Found",0,))</f>
        <v>net</v>
      </c>
      <c r="O1220" s="180">
        <f>IF(N1220="net",_xlfn.XLOOKUP(E1220,cannabis_log!C:C,cannabis_log!N:N,"NOT FOUND",0,1),IF(N1220="gross",0,""))</f>
        <v>1</v>
      </c>
    </row>
    <row r="1221" spans="1:15">
      <c r="A1221" s="181" t="str">
        <f t="shared" si="61"/>
        <v>outbound</v>
      </c>
      <c r="B1221" s="182">
        <v>45719.494444444441</v>
      </c>
      <c r="C1221" s="183" t="s">
        <v>1924</v>
      </c>
      <c r="D1221" s="183" t="s">
        <v>2661</v>
      </c>
      <c r="E1221" s="215" t="s">
        <v>2663</v>
      </c>
      <c r="F1221" s="112" t="str">
        <f>IF(ISBLANK(E1221),"",_xlfn.XLOOKUP(E1221,[1]cannabis_log!C:C,[1]cannabis_log!J:J,"",0,))</f>
        <v>DI22120501V30</v>
      </c>
      <c r="G1221" s="112"/>
      <c r="H1221" s="112" t="str">
        <f>IF(ISBLANK(E1221),"",_xlfn.XLOOKUP(E1221,cannabis_log!C:C,cannabis_log!H:H,"",0,1))</f>
        <v>extract_ingested_labelled_WT</v>
      </c>
      <c r="I1221" s="113">
        <f>IF(ISBLANK(E1221),"",_xlfn.XLOOKUP(E1221,cannabis_log!C:C,cannabis_log!K:K,"NOT FOUND",0,1))</f>
        <v>44954</v>
      </c>
      <c r="J1221" s="185">
        <v>-1</v>
      </c>
      <c r="K1221" s="186">
        <f>IF(N1221="net",0,"")</f>
        <v>0</v>
      </c>
      <c r="L1221" s="288">
        <f t="shared" si="59"/>
        <v>-27.8</v>
      </c>
      <c r="M1221" s="24"/>
      <c r="N1221" s="112" t="str">
        <f>IF(ISBLANK(E1221),"",_xlfn.XLOOKUP(E1221,[1]cannabis_log!C:C,[1]cannabis_log!T:T,"Not Found",0,))</f>
        <v>net</v>
      </c>
      <c r="O1221" s="180">
        <f>IF(N1221="net",_xlfn.XLOOKUP(E1221,cannabis_log!C:C,cannabis_log!N:N,"NOT FOUND",0,1),IF(N1221="gross",0,""))</f>
        <v>27.8</v>
      </c>
    </row>
    <row r="1222" spans="1:15">
      <c r="A1222" s="181" t="str">
        <f t="shared" si="61"/>
        <v>inbound</v>
      </c>
      <c r="B1222" s="182">
        <v>45719.51666666667</v>
      </c>
      <c r="C1222" s="183" t="s">
        <v>1927</v>
      </c>
      <c r="D1222" s="183"/>
      <c r="E1222" s="215" t="s">
        <v>2633</v>
      </c>
      <c r="F1222" s="112">
        <f>IF(ISBLANK(E1222),"",_xlfn.XLOOKUP(E1222,[1]cannabis_log!C:C,[1]cannabis_log!J:J,"",0,))</f>
        <v>2024121801</v>
      </c>
      <c r="G1222" s="112"/>
      <c r="H1222" s="112" t="str">
        <f>IF(ISBLANK(E1222),"",_xlfn.XLOOKUP(E1222,cannabis_log!C:C,cannabis_log!H:H,"",0,1))</f>
        <v>driedflower_bulk</v>
      </c>
      <c r="I1222" s="113" t="str">
        <f>IF(ISBLANK(E1222),"",_xlfn.XLOOKUP(E1222,cannabis_log!C:C,cannabis_log!K:K,"NOT FOUND",0,1))</f>
        <v>NA</v>
      </c>
      <c r="J1222" s="185">
        <v>1</v>
      </c>
      <c r="K1222" s="186">
        <v>510</v>
      </c>
      <c r="L1222" s="288">
        <f t="shared" si="59"/>
        <v>0</v>
      </c>
      <c r="M1222" s="24"/>
      <c r="N1222" s="112" t="str">
        <f>IF(ISBLANK(E1222),"",_xlfn.XLOOKUP(E1222,[1]cannabis_log!C:C,[1]cannabis_log!T:T,"Not Found",0,))</f>
        <v>gross</v>
      </c>
      <c r="O1222" s="180">
        <f>IF(N1222="net",_xlfn.XLOOKUP(E1222,cannabis_log!C:C,cannabis_log!N:N,"NOT FOUND",0,1),IF(N1222="gross",0,""))</f>
        <v>0</v>
      </c>
    </row>
    <row r="1223" spans="1:15">
      <c r="A1223" s="181" t="str">
        <f t="shared" si="61"/>
        <v>outbound</v>
      </c>
      <c r="B1223" s="182">
        <v>45719.51666666667</v>
      </c>
      <c r="C1223" s="183" t="s">
        <v>1929</v>
      </c>
      <c r="D1223" s="183" t="s">
        <v>2664</v>
      </c>
      <c r="E1223" s="215" t="s">
        <v>2557</v>
      </c>
      <c r="F1223" s="112" t="str">
        <f>IF(ISBLANK(E1223),"",_xlfn.XLOOKUP(E1223,[1]cannabis_log!C:C,[1]cannabis_log!J:J,"",0,))</f>
        <v>2024111801G7</v>
      </c>
      <c r="G1223" s="112"/>
      <c r="H1223" s="112" t="str">
        <f>IF(ISBLANK(E1223),"",_xlfn.XLOOKUP(E1223,cannabis_log!C:C,cannabis_log!H:H,"",0,1))</f>
        <v>driedflower_labelled</v>
      </c>
      <c r="I1223" s="113">
        <f>IF(ISBLANK(E1223),"",_xlfn.XLOOKUP(E1223,cannabis_log!C:C,cannabis_log!K:K,"NOT FOUND",0,1))</f>
        <v>45631</v>
      </c>
      <c r="J1223" s="185">
        <v>-12</v>
      </c>
      <c r="K1223" s="186">
        <f>IF(N1223="net",0,"")</f>
        <v>0</v>
      </c>
      <c r="L1223" s="288">
        <f t="shared" si="59"/>
        <v>-84</v>
      </c>
      <c r="M1223" s="24"/>
      <c r="N1223" s="112" t="str">
        <f>IF(ISBLANK(E1223),"",_xlfn.XLOOKUP(E1223,[1]cannabis_log!C:C,[1]cannabis_log!T:T,"Not Found",0,))</f>
        <v>net</v>
      </c>
      <c r="O1223" s="180">
        <f>IF(N1223="net",_xlfn.XLOOKUP(E1223,cannabis_log!C:C,cannabis_log!N:N,"NOT FOUND",0,1),IF(N1223="gross",0,""))</f>
        <v>7</v>
      </c>
    </row>
    <row r="1224" spans="1:15">
      <c r="A1224" s="181" t="str">
        <f t="shared" si="61"/>
        <v>inbound</v>
      </c>
      <c r="B1224" s="182">
        <v>45719.551388888889</v>
      </c>
      <c r="C1224" s="183" t="s">
        <v>1927</v>
      </c>
      <c r="D1224" s="183"/>
      <c r="E1224" s="215" t="s">
        <v>2513</v>
      </c>
      <c r="F1224" s="112" t="str">
        <f>IF(ISBLANK(E1224),"",_xlfn.XLOOKUP(E1224,[1]cannabis_log!C:C,[1]cannabis_log!J:J,"",0,))</f>
        <v>TP24101701</v>
      </c>
      <c r="G1224" s="112"/>
      <c r="H1224" s="112" t="str">
        <f>IF(ISBLANK(E1224),"",_xlfn.XLOOKUP(E1224,cannabis_log!C:C,cannabis_log!H:H,"",0,1))</f>
        <v>topical_labelled</v>
      </c>
      <c r="I1224" s="113">
        <f>IF(ISBLANK(E1224),"",_xlfn.XLOOKUP(E1224,cannabis_log!C:C,cannabis_log!K:K,"NOT FOUND",0,1))</f>
        <v>45588</v>
      </c>
      <c r="J1224" s="185">
        <v>8</v>
      </c>
      <c r="K1224" s="186">
        <f>IF(N1224="net",0,"")</f>
        <v>0</v>
      </c>
      <c r="L1224" s="288">
        <f t="shared" si="59"/>
        <v>704</v>
      </c>
      <c r="M1224" s="24"/>
      <c r="N1224" s="112" t="str">
        <f>IF(ISBLANK(E1224),"",_xlfn.XLOOKUP(E1224,[1]cannabis_log!C:C,[1]cannabis_log!T:T,"Not Found",0,))</f>
        <v>net</v>
      </c>
      <c r="O1224" s="180">
        <f>IF(N1224="net",_xlfn.XLOOKUP(E1224,cannabis_log!C:C,cannabis_log!N:N,"NOT FOUND",0,1),IF(N1224="gross",0,""))</f>
        <v>88</v>
      </c>
    </row>
    <row r="1225" spans="1:15">
      <c r="A1225" s="181" t="str">
        <f t="shared" si="61"/>
        <v>inbound</v>
      </c>
      <c r="B1225" s="182">
        <v>45719.583333333336</v>
      </c>
      <c r="C1225" s="183" t="s">
        <v>1927</v>
      </c>
      <c r="D1225" s="183"/>
      <c r="E1225" s="215" t="s">
        <v>2381</v>
      </c>
      <c r="F1225" s="112" t="str">
        <f>IF(ISBLANK(E1225),"",_xlfn.XLOOKUP(E1225,[1]cannabis_log!C:C,[1]cannabis_log!J:J,"",0,))</f>
        <v>EX24101705</v>
      </c>
      <c r="G1225" s="112"/>
      <c r="H1225" s="112" t="str">
        <f>IF(ISBLANK(E1225),"",_xlfn.XLOOKUP(E1225,cannabis_log!C:C,cannabis_log!H:H,"",0,1))</f>
        <v>extract_inhaled_bulk</v>
      </c>
      <c r="I1225" s="113" t="str">
        <f>IF(ISBLANK(E1225),"",_xlfn.XLOOKUP(E1225,cannabis_log!C:C,cannabis_log!K:K,"NOT FOUND",0,1))</f>
        <v>NA</v>
      </c>
      <c r="J1225" s="185">
        <v>1</v>
      </c>
      <c r="K1225" s="186">
        <v>419.41</v>
      </c>
      <c r="L1225" s="288">
        <f t="shared" si="59"/>
        <v>0</v>
      </c>
      <c r="M1225" s="24"/>
      <c r="N1225" s="112" t="str">
        <f>IF(ISBLANK(E1225),"",_xlfn.XLOOKUP(E1225,[1]cannabis_log!C:C,[1]cannabis_log!T:T,"Not Found",0,))</f>
        <v>gross</v>
      </c>
      <c r="O1225" s="180">
        <f>IF(N1225="net",_xlfn.XLOOKUP(E1225,cannabis_log!C:C,cannabis_log!N:N,"NOT FOUND",0,1),IF(N1225="gross",0,""))</f>
        <v>0</v>
      </c>
    </row>
    <row r="1226" spans="1:15">
      <c r="A1226" s="181" t="str">
        <f t="shared" si="61"/>
        <v>outbound</v>
      </c>
      <c r="B1226" s="182">
        <v>45720.466666666667</v>
      </c>
      <c r="C1226" s="183" t="s">
        <v>1921</v>
      </c>
      <c r="D1226" s="183" t="s">
        <v>2665</v>
      </c>
      <c r="E1226" s="215" t="s">
        <v>2666</v>
      </c>
      <c r="F1226" s="112" t="str">
        <f>IF(ISBLANK(E1226),"",_xlfn.XLOOKUP(E1226,[1]cannabis_log!C:C,[1]cannabis_log!J:J,"",0,))</f>
        <v>PR2506</v>
      </c>
      <c r="G1226" s="112"/>
      <c r="H1226" s="112" t="str">
        <f>IF(ISBLANK(E1226),"",_xlfn.XLOOKUP(E1226,cannabis_log!C:C,cannabis_log!H:H,"",0,1))</f>
        <v>driedflower_milled_bulk_BURB</v>
      </c>
      <c r="I1226" s="113" t="str">
        <f>IF(ISBLANK(E1226),"",_xlfn.XLOOKUP(E1226,cannabis_log!C:C,cannabis_log!K:K,"NOT FOUND",0,1))</f>
        <v>NA</v>
      </c>
      <c r="J1226" s="185">
        <v>-1</v>
      </c>
      <c r="K1226" s="186">
        <v>-4738</v>
      </c>
      <c r="L1226" s="288">
        <f t="shared" si="59"/>
        <v>0</v>
      </c>
      <c r="M1226" s="24"/>
      <c r="N1226" s="112" t="str">
        <f>IF(ISBLANK(E1226),"",_xlfn.XLOOKUP(E1226,[1]cannabis_log!C:C,[1]cannabis_log!T:T,"Not Found",0,))</f>
        <v>gross</v>
      </c>
      <c r="O1226" s="180">
        <f>IF(N1226="net",_xlfn.XLOOKUP(E1226,cannabis_log!C:C,cannabis_log!N:N,"NOT FOUND",0,1),IF(N1226="gross",0,""))</f>
        <v>0</v>
      </c>
    </row>
    <row r="1227" spans="1:15">
      <c r="A1227" s="181" t="str">
        <f t="shared" si="61"/>
        <v>outbound</v>
      </c>
      <c r="B1227" s="182">
        <v>45721.452777777777</v>
      </c>
      <c r="C1227" s="183" t="s">
        <v>1929</v>
      </c>
      <c r="D1227" s="183" t="s">
        <v>2667</v>
      </c>
      <c r="E1227" s="215" t="s">
        <v>2448</v>
      </c>
      <c r="F1227" s="112" t="str">
        <f>IF(ISBLANK(E1227),"",_xlfn.XLOOKUP(E1227,[1]cannabis_log!C:C,[1]cannabis_log!J:J,"",0,))</f>
        <v>EX24111801V50</v>
      </c>
      <c r="G1227" s="112"/>
      <c r="H1227" s="112" t="str">
        <f>IF(ISBLANK(E1227),"",_xlfn.XLOOKUP(E1227,cannabis_log!C:C,cannabis_log!H:H,"",0,1))</f>
        <v>extract_ingested_cased_ON</v>
      </c>
      <c r="I1227" s="113">
        <f>IF(ISBLANK(E1227),"",_xlfn.XLOOKUP(E1227,cannabis_log!C:C,cannabis_log!K:K,"NOT FOUND",0,1))</f>
        <v>45624</v>
      </c>
      <c r="J1227" s="185">
        <v>-5</v>
      </c>
      <c r="K1227" s="186">
        <f>IF(N1227="net",0,"")</f>
        <v>0</v>
      </c>
      <c r="L1227" s="288">
        <f t="shared" si="59"/>
        <v>-3000</v>
      </c>
      <c r="M1227" s="24"/>
      <c r="N1227" s="112" t="str">
        <f>IF(ISBLANK(E1227),"",_xlfn.XLOOKUP(E1227,[1]cannabis_log!C:C,[1]cannabis_log!T:T,"Not Found",0,))</f>
        <v>net</v>
      </c>
      <c r="O1227" s="180">
        <f>IF(N1227="net",_xlfn.XLOOKUP(E1227,cannabis_log!C:C,cannabis_log!N:N,"NOT FOUND",0,1),IF(N1227="gross",0,""))</f>
        <v>600</v>
      </c>
    </row>
    <row r="1228" spans="1:15">
      <c r="A1228" s="181" t="str">
        <f t="shared" si="61"/>
        <v>outbound</v>
      </c>
      <c r="B1228" s="182">
        <v>45721.549305555556</v>
      </c>
      <c r="C1228" s="183" t="s">
        <v>1921</v>
      </c>
      <c r="D1228" s="183" t="s">
        <v>2668</v>
      </c>
      <c r="E1228" s="215" t="s">
        <v>2432</v>
      </c>
      <c r="F1228" s="112">
        <f>IF(ISBLANK(E1228),"",_xlfn.XLOOKUP(E1228,[1]cannabis_log!C:C,[1]cannabis_log!J:J,"",0,))</f>
        <v>2024111803</v>
      </c>
      <c r="G1228" s="112"/>
      <c r="H1228" s="112" t="str">
        <f>IF(ISBLANK(E1228),"",_xlfn.XLOOKUP(E1228,cannabis_log!C:C,cannabis_log!H:H,"",0,1))</f>
        <v>driedflower_bulk</v>
      </c>
      <c r="I1228" s="113" t="str">
        <f>IF(ISBLANK(E1228),"",_xlfn.XLOOKUP(E1228,cannabis_log!C:C,cannabis_log!K:K,"NOT FOUND",0,1))</f>
        <v>NA</v>
      </c>
      <c r="J1228" s="185">
        <v>-1</v>
      </c>
      <c r="K1228" s="186">
        <v>-2930</v>
      </c>
      <c r="L1228" s="288">
        <f t="shared" si="59"/>
        <v>0</v>
      </c>
      <c r="M1228" s="24"/>
      <c r="N1228" s="112" t="str">
        <f>IF(ISBLANK(E1228),"",_xlfn.XLOOKUP(E1228,[1]cannabis_log!C:C,[1]cannabis_log!T:T,"Not Found",0,))</f>
        <v>gross</v>
      </c>
      <c r="O1228" s="180">
        <f>IF(N1228="net",_xlfn.XLOOKUP(E1228,cannabis_log!C:C,cannabis_log!N:N,"NOT FOUND",0,1),IF(N1228="gross",0,""))</f>
        <v>0</v>
      </c>
    </row>
    <row r="1229" spans="1:15">
      <c r="A1229" s="181" t="str">
        <f t="shared" si="61"/>
        <v>inbound</v>
      </c>
      <c r="B1229" s="182">
        <v>45721.681250000001</v>
      </c>
      <c r="C1229" s="183" t="s">
        <v>1927</v>
      </c>
      <c r="D1229" s="183"/>
      <c r="E1229" s="215" t="s">
        <v>2432</v>
      </c>
      <c r="F1229" s="112">
        <f>IF(ISBLANK(E1229),"",_xlfn.XLOOKUP(E1229,[1]cannabis_log!C:C,[1]cannabis_log!J:J,"",0,))</f>
        <v>2024111803</v>
      </c>
      <c r="G1229" s="112"/>
      <c r="H1229" s="112" t="str">
        <f>IF(ISBLANK(E1229),"",_xlfn.XLOOKUP(E1229,cannabis_log!C:C,cannabis_log!H:H,"",0,1))</f>
        <v>driedflower_bulk</v>
      </c>
      <c r="I1229" s="113" t="str">
        <f>IF(ISBLANK(E1229),"",_xlfn.XLOOKUP(E1229,cannabis_log!C:C,cannabis_log!K:K,"NOT FOUND",0,1))</f>
        <v>NA</v>
      </c>
      <c r="J1229" s="185">
        <v>1</v>
      </c>
      <c r="K1229" s="186">
        <v>1315</v>
      </c>
      <c r="L1229" s="288">
        <f t="shared" si="59"/>
        <v>0</v>
      </c>
      <c r="M1229" s="24"/>
      <c r="N1229" s="112" t="str">
        <f>IF(ISBLANK(E1229),"",_xlfn.XLOOKUP(E1229,[1]cannabis_log!C:C,[1]cannabis_log!T:T,"Not Found",0,))</f>
        <v>gross</v>
      </c>
      <c r="O1229" s="180">
        <f>IF(N1229="net",_xlfn.XLOOKUP(E1229,cannabis_log!C:C,cannabis_log!N:N,"NOT FOUND",0,1),IF(N1229="gross",0,""))</f>
        <v>0</v>
      </c>
    </row>
    <row r="1230" spans="1:15">
      <c r="A1230" s="181" t="str">
        <f t="shared" si="61"/>
        <v>outbound</v>
      </c>
      <c r="B1230" s="182">
        <v>45721.699305555558</v>
      </c>
      <c r="C1230" s="183" t="s">
        <v>1924</v>
      </c>
      <c r="D1230" s="183" t="s">
        <v>2669</v>
      </c>
      <c r="E1230" s="215" t="s">
        <v>2660</v>
      </c>
      <c r="F1230" s="112">
        <f>IF(ISBLANK(E1230),"",_xlfn.XLOOKUP(E1230,[1]cannabis_log!C:C,[1]cannabis_log!J:J,"",0,))</f>
        <v>2025021301</v>
      </c>
      <c r="G1230" s="112"/>
      <c r="H1230" s="112" t="str">
        <f>IF(ISBLANK(E1230),"",_xlfn.XLOOKUP(E1230,cannabis_log!C:C,cannabis_log!H:H,"",0,1))</f>
        <v>driedflower_bulk</v>
      </c>
      <c r="I1230" s="113" t="str">
        <f>IF(ISBLANK(E1230),"",_xlfn.XLOOKUP(E1230,cannabis_log!C:C,cannabis_log!K:K,"NOT FOUND",0,1))</f>
        <v>NA</v>
      </c>
      <c r="J1230" s="185">
        <v>0</v>
      </c>
      <c r="K1230" s="186">
        <f>590-620</f>
        <v>-30</v>
      </c>
      <c r="L1230" s="288">
        <f t="shared" si="59"/>
        <v>0</v>
      </c>
      <c r="M1230" s="24"/>
      <c r="N1230" s="112" t="str">
        <f>IF(ISBLANK(E1230),"",_xlfn.XLOOKUP(E1230,[1]cannabis_log!C:C,[1]cannabis_log!T:T,"Not Found",0,))</f>
        <v>gross</v>
      </c>
      <c r="O1230" s="180">
        <f>IF(N1230="net",_xlfn.XLOOKUP(E1230,cannabis_log!C:C,cannabis_log!N:N,"NOT FOUND",0,1),IF(N1230="gross",0,""))</f>
        <v>0</v>
      </c>
    </row>
    <row r="1231" spans="1:15">
      <c r="A1231" s="181" t="str">
        <f t="shared" si="61"/>
        <v>outbound</v>
      </c>
      <c r="B1231" s="182">
        <v>45721.699305555558</v>
      </c>
      <c r="C1231" s="183" t="s">
        <v>1924</v>
      </c>
      <c r="D1231" s="183" t="s">
        <v>2669</v>
      </c>
      <c r="E1231" s="215" t="s">
        <v>2433</v>
      </c>
      <c r="F1231" s="112">
        <f>IF(ISBLANK(E1231),"",_xlfn.XLOOKUP(E1231,[1]cannabis_log!C:C,[1]cannabis_log!J:J,"",0,))</f>
        <v>2024111803</v>
      </c>
      <c r="G1231" s="112"/>
      <c r="H1231" s="112" t="str">
        <f>IF(ISBLANK(E1231),"",_xlfn.XLOOKUP(E1231,cannabis_log!C:C,cannabis_log!H:H,"",0,1))</f>
        <v>driedflower_bulk</v>
      </c>
      <c r="I1231" s="113" t="str">
        <f>IF(ISBLANK(E1231),"",_xlfn.XLOOKUP(E1231,cannabis_log!C:C,cannabis_log!K:K,"NOT FOUND",0,1))</f>
        <v>NA</v>
      </c>
      <c r="J1231" s="185">
        <v>0</v>
      </c>
      <c r="K1231" s="186">
        <f>590-620</f>
        <v>-30</v>
      </c>
      <c r="L1231" s="288">
        <f t="shared" si="59"/>
        <v>0</v>
      </c>
      <c r="M1231" s="24"/>
      <c r="N1231" s="112" t="str">
        <f>IF(ISBLANK(E1231),"",_xlfn.XLOOKUP(E1231,[1]cannabis_log!C:C,[1]cannabis_log!T:T,"Not Found",0,))</f>
        <v>gross</v>
      </c>
      <c r="O1231" s="180">
        <f>IF(N1231="net",_xlfn.XLOOKUP(E1231,cannabis_log!C:C,cannabis_log!N:N,"NOT FOUND",0,1),IF(N1231="gross",0,""))</f>
        <v>0</v>
      </c>
    </row>
    <row r="1232" spans="1:15">
      <c r="A1232" s="181" t="str">
        <f t="shared" si="61"/>
        <v>outbound</v>
      </c>
      <c r="B1232" s="182">
        <v>45722.390972222223</v>
      </c>
      <c r="C1232" s="183" t="s">
        <v>1921</v>
      </c>
      <c r="D1232" s="183" t="s">
        <v>2377</v>
      </c>
      <c r="E1232" s="215" t="s">
        <v>2670</v>
      </c>
      <c r="F1232" s="112" t="str">
        <f>IF(ISBLANK(E1232),"",_xlfn.XLOOKUP(E1232,[1]cannabis_log!C:C,[1]cannabis_log!J:J,"",0,))</f>
        <v>EX25022105</v>
      </c>
      <c r="G1232" s="112"/>
      <c r="H1232" s="112" t="str">
        <f>IF(ISBLANK(E1232),"",_xlfn.XLOOKUP(E1232,cannabis_log!C:C,cannabis_log!H:H,"",0,1))</f>
        <v>extract_inhaled_bulk</v>
      </c>
      <c r="I1232" s="113" t="str">
        <f>IF(ISBLANK(E1232),"",_xlfn.XLOOKUP(E1232,cannabis_log!C:C,cannabis_log!K:K,"NOT FOUND",0,1))</f>
        <v>NA</v>
      </c>
      <c r="J1232" s="185">
        <v>-1</v>
      </c>
      <c r="K1232" s="186">
        <v>-584.44000000000005</v>
      </c>
      <c r="L1232" s="288">
        <f t="shared" si="59"/>
        <v>0</v>
      </c>
      <c r="M1232" s="24"/>
      <c r="N1232" s="112" t="str">
        <f>IF(ISBLANK(E1232),"",_xlfn.XLOOKUP(E1232,[1]cannabis_log!C:C,[1]cannabis_log!T:T,"Not Found",0,))</f>
        <v>gross</v>
      </c>
      <c r="O1232" s="180">
        <f>IF(N1232="net",_xlfn.XLOOKUP(E1232,cannabis_log!C:C,cannabis_log!N:N,"NOT FOUND",0,1),IF(N1232="gross",0,""))</f>
        <v>0</v>
      </c>
    </row>
    <row r="1233" spans="1:15">
      <c r="A1233" s="181" t="str">
        <f t="shared" si="61"/>
        <v>outbound</v>
      </c>
      <c r="B1233" s="182">
        <v>45722.425694444442</v>
      </c>
      <c r="C1233" s="183" t="s">
        <v>1929</v>
      </c>
      <c r="D1233" s="22" t="s">
        <v>2671</v>
      </c>
      <c r="E1233" s="215" t="s">
        <v>2587</v>
      </c>
      <c r="F1233" s="112" t="str">
        <f>IF(ISBLANK(E1233),"",_xlfn.XLOOKUP(E1233,[1]cannabis_log!C:C,[1]cannabis_log!J:J,"",0,))</f>
        <v>EX25011501V50</v>
      </c>
      <c r="G1233" s="112"/>
      <c r="H1233" s="112" t="str">
        <f>IF(ISBLANK(E1233),"",_xlfn.XLOOKUP(E1233,cannabis_log!C:C,cannabis_log!H:H,"",0,1))</f>
        <v>extract_ingested_labelled</v>
      </c>
      <c r="I1233" s="113">
        <f>IF(ISBLANK(E1233),"",_xlfn.XLOOKUP(E1233,cannabis_log!C:C,cannabis_log!K:K,"NOT FOUND",0,1))</f>
        <v>45692</v>
      </c>
      <c r="J1233" s="185">
        <v>-231</v>
      </c>
      <c r="K1233" s="186">
        <f>IF(N1233="net",0,"")</f>
        <v>0</v>
      </c>
      <c r="L1233" s="288">
        <f t="shared" si="59"/>
        <v>-11550</v>
      </c>
      <c r="M1233" s="24"/>
      <c r="N1233" s="112" t="str">
        <f>IF(ISBLANK(E1233),"",_xlfn.XLOOKUP(E1233,[1]cannabis_log!C:C,[1]cannabis_log!T:T,"Not Found",0,))</f>
        <v>net</v>
      </c>
      <c r="O1233" s="180">
        <f>IF(N1233="net",_xlfn.XLOOKUP(E1233,cannabis_log!C:C,cannabis_log!N:N,"NOT FOUND",0,1),IF(N1233="gross",0,""))</f>
        <v>50</v>
      </c>
    </row>
    <row r="1234" spans="1:15">
      <c r="A1234" s="181" t="str">
        <f t="shared" si="61"/>
        <v>outbound</v>
      </c>
      <c r="B1234" s="182">
        <v>45722.425694444442</v>
      </c>
      <c r="C1234" s="183" t="s">
        <v>1921</v>
      </c>
      <c r="D1234" s="183" t="s">
        <v>2444</v>
      </c>
      <c r="E1234" s="215" t="s">
        <v>2672</v>
      </c>
      <c r="F1234" s="112" t="str">
        <f>IF(ISBLANK(E1234),"",_xlfn.XLOOKUP(E1234,[1]cannabis_log!C:C,[1]cannabis_log!J:J,"",0,))</f>
        <v>EX25011201V50</v>
      </c>
      <c r="G1234" s="112"/>
      <c r="H1234" s="112" t="str">
        <f>IF(ISBLANK(E1234),"",_xlfn.XLOOKUP(E1234,cannabis_log!C:C,cannabis_log!H:H,"",0,1))</f>
        <v>extract_ingested_packaged</v>
      </c>
      <c r="I1234" s="113">
        <f>IF(ISBLANK(E1234),"",_xlfn.XLOOKUP(E1234,cannabis_log!C:C,cannabis_log!K:K,"NOT FOUND",0,1))</f>
        <v>45700</v>
      </c>
      <c r="J1234" s="185">
        <v>-168</v>
      </c>
      <c r="K1234" s="186">
        <f>IF(N1234="net",0,"")</f>
        <v>0</v>
      </c>
      <c r="L1234" s="288">
        <f t="shared" si="59"/>
        <v>-8400</v>
      </c>
      <c r="M1234" s="24"/>
      <c r="N1234" s="112" t="str">
        <f>IF(ISBLANK(E1234),"",_xlfn.XLOOKUP(E1234,[1]cannabis_log!C:C,[1]cannabis_log!T:T,"Not Found",0,))</f>
        <v>net</v>
      </c>
      <c r="O1234" s="180">
        <f>IF(N1234="net",_xlfn.XLOOKUP(E1234,cannabis_log!C:C,cannabis_log!N:N,"NOT FOUND",0,1),IF(N1234="gross",0,""))</f>
        <v>50</v>
      </c>
    </row>
    <row r="1235" spans="1:15">
      <c r="A1235" s="181" t="str">
        <f t="shared" si="61"/>
        <v>outbound</v>
      </c>
      <c r="B1235" s="182">
        <v>45722.425694444442</v>
      </c>
      <c r="C1235" s="183" t="s">
        <v>1929</v>
      </c>
      <c r="D1235" s="22" t="s">
        <v>2671</v>
      </c>
      <c r="E1235" s="215" t="s">
        <v>2585</v>
      </c>
      <c r="F1235" s="112" t="str">
        <f>IF(ISBLANK(E1235),"",_xlfn.XLOOKUP(E1235,[1]cannabis_log!C:C,[1]cannabis_log!J:J,"",0,))</f>
        <v>EX25011501V50</v>
      </c>
      <c r="G1235" s="112"/>
      <c r="H1235" s="112" t="str">
        <f>IF(ISBLANK(E1235),"",_xlfn.XLOOKUP(E1235,cannabis_log!C:C,cannabis_log!H:H,"",0,1))</f>
        <v>extract_ingested_labelled</v>
      </c>
      <c r="I1235" s="113">
        <f>IF(ISBLANK(E1235),"",_xlfn.XLOOKUP(E1235,cannabis_log!C:C,cannabis_log!K:K,"NOT FOUND",0,1))</f>
        <v>45692</v>
      </c>
      <c r="J1235" s="185">
        <v>-181</v>
      </c>
      <c r="K1235" s="186">
        <f>IF(N1235="net",0,"")</f>
        <v>0</v>
      </c>
      <c r="L1235" s="288">
        <f t="shared" si="59"/>
        <v>-9050</v>
      </c>
      <c r="M1235" s="24"/>
      <c r="N1235" s="112" t="str">
        <f>IF(ISBLANK(E1235),"",_xlfn.XLOOKUP(E1235,[1]cannabis_log!C:C,[1]cannabis_log!T:T,"Not Found",0,))</f>
        <v>net</v>
      </c>
      <c r="O1235" s="180">
        <f>IF(N1235="net",_xlfn.XLOOKUP(E1235,cannabis_log!C:C,cannabis_log!N:N,"NOT FOUND",0,1),IF(N1235="gross",0,""))</f>
        <v>50</v>
      </c>
    </row>
    <row r="1236" spans="1:15">
      <c r="A1236" s="181" t="str">
        <f t="shared" si="61"/>
        <v>outbound</v>
      </c>
      <c r="B1236" s="182">
        <v>45722.429861111108</v>
      </c>
      <c r="C1236" s="183" t="s">
        <v>1921</v>
      </c>
      <c r="D1236" s="183" t="s">
        <v>2673</v>
      </c>
      <c r="E1236" s="215" t="s">
        <v>2203</v>
      </c>
      <c r="F1236" s="112" t="str">
        <f>IF(ISBLANK(E1236),"",_xlfn.XLOOKUP(E1236,[1]cannabis_log!C:C,[1]cannabis_log!J:J,"",0,))</f>
        <v>EX24092601V50</v>
      </c>
      <c r="G1236" s="112"/>
      <c r="H1236" s="112" t="str">
        <f>IF(ISBLANK(E1236),"",_xlfn.XLOOKUP(E1236,cannabis_log!C:C,cannabis_log!H:H,"",0,1))</f>
        <v>extract_ingested_labelled</v>
      </c>
      <c r="I1236" s="113">
        <f>IF(ISBLANK(E1236),"",_xlfn.XLOOKUP(E1236,cannabis_log!C:C,cannabis_log!K:K,"NOT FOUND",0,1))</f>
        <v>45576</v>
      </c>
      <c r="J1236" s="185">
        <v>-217</v>
      </c>
      <c r="K1236" s="186">
        <f>IF(N1236="net",0,"")</f>
        <v>0</v>
      </c>
      <c r="L1236" s="288">
        <f t="shared" si="59"/>
        <v>-10850</v>
      </c>
      <c r="M1236" s="24"/>
      <c r="N1236" s="112" t="str">
        <f>IF(ISBLANK(E1236),"",_xlfn.XLOOKUP(E1236,[1]cannabis_log!C:C,[1]cannabis_log!T:T,"Not Found",0,))</f>
        <v>net</v>
      </c>
      <c r="O1236" s="180">
        <f>IF(N1236="net",_xlfn.XLOOKUP(E1236,cannabis_log!C:C,cannabis_log!N:N,"NOT FOUND",0,1),IF(N1236="gross",0,""))</f>
        <v>50</v>
      </c>
    </row>
    <row r="1237" spans="1:15">
      <c r="A1237" s="181" t="str">
        <f t="shared" si="61"/>
        <v>outbound</v>
      </c>
      <c r="B1237" s="182">
        <v>45722.45</v>
      </c>
      <c r="C1237" s="183" t="s">
        <v>1924</v>
      </c>
      <c r="D1237" s="183" t="s">
        <v>2674</v>
      </c>
      <c r="E1237" s="215" t="s">
        <v>2514</v>
      </c>
      <c r="F1237" s="112" t="str">
        <f>IF(ISBLANK(E1237),"",_xlfn.XLOOKUP(E1237,[1]cannabis_log!C:C,[1]cannabis_log!J:J,"",0,))</f>
        <v>EX25010907G1</v>
      </c>
      <c r="G1237" s="112"/>
      <c r="H1237" s="112" t="str">
        <f>IF(ISBLANK(E1237),"",_xlfn.XLOOKUP(E1237,cannabis_log!C:C,cannabis_log!H:H,"",0,1))</f>
        <v>extract_inhaled_labelled</v>
      </c>
      <c r="I1237" s="113">
        <f>IF(ISBLANK(E1237),"",_xlfn.XLOOKUP(E1237,cannabis_log!C:C,cannabis_log!K:K,"NOT FOUND",0,1))</f>
        <v>45666</v>
      </c>
      <c r="J1237" s="185">
        <v>-3</v>
      </c>
      <c r="K1237" s="186">
        <f>IF(N1237="net",0,"")</f>
        <v>0</v>
      </c>
      <c r="L1237" s="288">
        <f t="shared" si="59"/>
        <v>-3</v>
      </c>
      <c r="M1237" s="24"/>
      <c r="N1237" s="112" t="str">
        <f>IF(ISBLANK(E1237),"",_xlfn.XLOOKUP(E1237,[1]cannabis_log!C:C,[1]cannabis_log!T:T,"Not Found",0,))</f>
        <v>net</v>
      </c>
      <c r="O1237" s="180">
        <f>IF(N1237="net",_xlfn.XLOOKUP(E1237,cannabis_log!C:C,cannabis_log!N:N,"NOT FOUND",0,1),IF(N1237="gross",0,""))</f>
        <v>1</v>
      </c>
    </row>
    <row r="1238" spans="1:15">
      <c r="A1238" s="181" t="str">
        <f t="shared" si="61"/>
        <v>outbound</v>
      </c>
      <c r="B1238" s="182">
        <v>45722.494444444441</v>
      </c>
      <c r="C1238" s="183" t="s">
        <v>1921</v>
      </c>
      <c r="D1238" s="183"/>
      <c r="E1238" s="215" t="s">
        <v>2432</v>
      </c>
      <c r="F1238" s="112">
        <f>IF(ISBLANK(E1238),"",_xlfn.XLOOKUP(E1238,[1]cannabis_log!C:C,[1]cannabis_log!J:J,"",0,))</f>
        <v>2024111803</v>
      </c>
      <c r="G1238" s="112"/>
      <c r="H1238" s="112" t="str">
        <f>IF(ISBLANK(E1238),"",_xlfn.XLOOKUP(E1238,cannabis_log!C:C,cannabis_log!H:H,"",0,1))</f>
        <v>driedflower_bulk</v>
      </c>
      <c r="I1238" s="113" t="str">
        <f>IF(ISBLANK(E1238),"",_xlfn.XLOOKUP(E1238,cannabis_log!C:C,cannabis_log!K:K,"NOT FOUND",0,1))</f>
        <v>NA</v>
      </c>
      <c r="J1238" s="185">
        <v>-1</v>
      </c>
      <c r="K1238" s="186">
        <v>-1315</v>
      </c>
      <c r="L1238" s="288">
        <f t="shared" si="59"/>
        <v>0</v>
      </c>
      <c r="M1238" s="24"/>
      <c r="N1238" s="112" t="str">
        <f>IF(ISBLANK(E1238),"",_xlfn.XLOOKUP(E1238,[1]cannabis_log!C:C,[1]cannabis_log!T:T,"Not Found",0,))</f>
        <v>gross</v>
      </c>
      <c r="O1238" s="180">
        <f>IF(N1238="net",_xlfn.XLOOKUP(E1238,cannabis_log!C:C,cannabis_log!N:N,"NOT FOUND",0,1),IF(N1238="gross",0,""))</f>
        <v>0</v>
      </c>
    </row>
    <row r="1239" spans="1:15">
      <c r="A1239" s="181" t="str">
        <f t="shared" si="61"/>
        <v>inbound</v>
      </c>
      <c r="B1239" s="182">
        <v>45722.619444444441</v>
      </c>
      <c r="C1239" s="183" t="s">
        <v>1927</v>
      </c>
      <c r="D1239" s="183"/>
      <c r="E1239" s="215" t="s">
        <v>2670</v>
      </c>
      <c r="F1239" s="112" t="str">
        <f>IF(ISBLANK(E1239),"",_xlfn.XLOOKUP(E1239,[1]cannabis_log!C:C,[1]cannabis_log!J:J,"",0,))</f>
        <v>EX25022105</v>
      </c>
      <c r="G1239" s="112"/>
      <c r="H1239" s="112" t="str">
        <f>IF(ISBLANK(E1239),"",_xlfn.XLOOKUP(E1239,cannabis_log!C:C,cannabis_log!H:H,"",0,1))</f>
        <v>extract_inhaled_bulk</v>
      </c>
      <c r="I1239" s="113" t="str">
        <f>IF(ISBLANK(E1239),"",_xlfn.XLOOKUP(E1239,cannabis_log!C:C,cannabis_log!K:K,"NOT FOUND",0,1))</f>
        <v>NA</v>
      </c>
      <c r="J1239" s="185">
        <v>1</v>
      </c>
      <c r="K1239" s="186">
        <v>490.92</v>
      </c>
      <c r="L1239" s="288">
        <f t="shared" si="59"/>
        <v>0</v>
      </c>
      <c r="M1239" s="24"/>
      <c r="N1239" s="112" t="str">
        <f>IF(ISBLANK(E1239),"",_xlfn.XLOOKUP(E1239,[1]cannabis_log!C:C,[1]cannabis_log!T:T,"Not Found",0,))</f>
        <v>gross</v>
      </c>
      <c r="O1239" s="180">
        <f>IF(N1239="net",_xlfn.XLOOKUP(E1239,cannabis_log!C:C,cannabis_log!N:N,"NOT FOUND",0,1),IF(N1239="gross",0,""))</f>
        <v>0</v>
      </c>
    </row>
    <row r="1240" spans="1:15">
      <c r="A1240" s="181" t="str">
        <f t="shared" si="61"/>
        <v>inbound</v>
      </c>
      <c r="B1240" s="182">
        <v>45722.628472222219</v>
      </c>
      <c r="C1240" s="183" t="s">
        <v>1927</v>
      </c>
      <c r="D1240" s="183"/>
      <c r="E1240" s="215" t="s">
        <v>2432</v>
      </c>
      <c r="F1240" s="112">
        <f>IF(ISBLANK(E1240),"",_xlfn.XLOOKUP(E1240,cannabis_log!C:C,cannabis_log!J:J,"",0,))</f>
        <v>2024111803</v>
      </c>
      <c r="G1240" s="112"/>
      <c r="H1240" s="112" t="str">
        <f>IF(ISBLANK(E1240),"",_xlfn.XLOOKUP(E1240,cannabis_log!C:C,cannabis_log!H:H,"",0,1))</f>
        <v>driedflower_bulk</v>
      </c>
      <c r="I1240" s="113" t="str">
        <f>IF(ISBLANK(E1240),"",_xlfn.XLOOKUP(E1240,cannabis_log!C:C,cannabis_log!K:K,"NOT FOUND",0,1))</f>
        <v>NA</v>
      </c>
      <c r="J1240" s="185">
        <v>1</v>
      </c>
      <c r="K1240" s="186">
        <v>1210</v>
      </c>
      <c r="L1240" s="288">
        <f t="shared" si="59"/>
        <v>0</v>
      </c>
      <c r="M1240" s="24"/>
      <c r="N1240" s="112" t="str">
        <f>IF(ISBLANK(E1240),"",_xlfn.XLOOKUP(E1240,cannabis_log!C:C,cannabis_log!T:T,"Not Found",0,))</f>
        <v>gross</v>
      </c>
      <c r="O1240" s="180">
        <f>IF(N1240="net",_xlfn.XLOOKUP(E1240,cannabis_log!C:C,cannabis_log!N:N,"NOT FOUND",0,1),IF(N1240="gross",0,""))</f>
        <v>0</v>
      </c>
    </row>
    <row r="1241" spans="1:15">
      <c r="A1241" s="181" t="str">
        <f t="shared" si="61"/>
        <v>outbound</v>
      </c>
      <c r="B1241" s="182">
        <v>45726.425694444442</v>
      </c>
      <c r="C1241" s="183" t="s">
        <v>1929</v>
      </c>
      <c r="D1241" s="183" t="s">
        <v>2675</v>
      </c>
      <c r="E1241" s="215" t="s">
        <v>2676</v>
      </c>
      <c r="F1241" s="112" t="str">
        <f>IF(ISBLANK(E1241),"",_xlfn.XLOOKUP(E1241,cannabis_log!C:C,cannabis_log!J:J,"",0,))</f>
        <v>PR2401F5P2</v>
      </c>
      <c r="G1241" s="112"/>
      <c r="H1241" s="112" t="str">
        <f>IF(ISBLANK(E1241),"",_xlfn.XLOOKUP(E1241,cannabis_log!C:C,cannabis_log!H:H,"",0,1))</f>
        <v>preroll_labelled</v>
      </c>
      <c r="I1241" s="113">
        <f>IF(ISBLANK(E1241),"",_xlfn.XLOOKUP(E1241,cannabis_log!C:C,cannabis_log!K:K,"NOT FOUND",0,1))</f>
        <v>45670</v>
      </c>
      <c r="J1241" s="185">
        <v>-120</v>
      </c>
      <c r="K1241" s="186">
        <f t="shared" ref="K1241:K1247" si="62">IF(N1241="net",0,"")</f>
        <v>0</v>
      </c>
      <c r="L1241" s="288">
        <f t="shared" si="59"/>
        <v>-120</v>
      </c>
      <c r="M1241" s="24"/>
      <c r="N1241" s="112" t="str">
        <f>IF(ISBLANK(E1241),"",_xlfn.XLOOKUP(E1241,cannabis_log!C:C,cannabis_log!T:T,"Not Found",0,))</f>
        <v>net</v>
      </c>
      <c r="O1241" s="180">
        <f>IF(N1241="net",_xlfn.XLOOKUP(E1241,cannabis_log!C:C,cannabis_log!N:N,"NOT FOUND",0,1),IF(N1241="gross",0,""))</f>
        <v>1</v>
      </c>
    </row>
    <row r="1242" spans="1:15">
      <c r="A1242" s="181" t="str">
        <f t="shared" si="61"/>
        <v>outbound</v>
      </c>
      <c r="B1242" s="182">
        <v>45726.425694444442</v>
      </c>
      <c r="C1242" s="183" t="s">
        <v>1929</v>
      </c>
      <c r="D1242" s="183" t="s">
        <v>2677</v>
      </c>
      <c r="E1242" s="215" t="s">
        <v>2678</v>
      </c>
      <c r="F1242" s="112" t="str">
        <f>IF(ISBLANK(E1242),"",_xlfn.XLOOKUP(E1242,cannabis_log!C:C,cannabis_log!J:J,"",0,))</f>
        <v>TP24041202</v>
      </c>
      <c r="G1242" s="112"/>
      <c r="H1242" s="112" t="str">
        <f>IF(ISBLANK(E1242),"",_xlfn.XLOOKUP(E1242,cannabis_log!C:C,cannabis_log!H:H,"",0,1))</f>
        <v>topical_cased_MB_RTV</v>
      </c>
      <c r="I1242" s="113">
        <f>IF(ISBLANK(E1242),"",_xlfn.XLOOKUP(E1242,cannabis_log!C:C,cannabis_log!K:K,"NOT FOUND",0,1))</f>
        <v>45423</v>
      </c>
      <c r="J1242" s="185">
        <v>-4</v>
      </c>
      <c r="K1242" s="186">
        <f t="shared" si="62"/>
        <v>0</v>
      </c>
      <c r="L1242" s="288">
        <f t="shared" si="59"/>
        <v>-4224</v>
      </c>
      <c r="M1242" s="24"/>
      <c r="N1242" s="112" t="str">
        <f>IF(ISBLANK(E1242),"",_xlfn.XLOOKUP(E1242,cannabis_log!C:C,cannabis_log!T:T,"Not Found",0,))</f>
        <v>net</v>
      </c>
      <c r="O1242" s="180">
        <f>IF(N1242="net",_xlfn.XLOOKUP(E1242,cannabis_log!C:C,cannabis_log!N:N,"NOT FOUND",0,1),IF(N1242="gross",0,""))</f>
        <v>1056</v>
      </c>
    </row>
    <row r="1243" spans="1:15">
      <c r="A1243" s="181" t="str">
        <f t="shared" si="61"/>
        <v>outbound</v>
      </c>
      <c r="B1243" s="182">
        <v>45726.425694444442</v>
      </c>
      <c r="C1243" s="183" t="s">
        <v>1929</v>
      </c>
      <c r="D1243" s="183" t="s">
        <v>2677</v>
      </c>
      <c r="E1243" s="215" t="s">
        <v>2679</v>
      </c>
      <c r="F1243" s="112" t="str">
        <f>IF(ISBLANK(E1243),"",_xlfn.XLOOKUP(E1243,cannabis_log!C:C,cannabis_log!J:J,"",0,))</f>
        <v>TP23092501</v>
      </c>
      <c r="G1243" s="112"/>
      <c r="H1243" s="112" t="str">
        <f>IF(ISBLANK(E1243),"",_xlfn.XLOOKUP(E1243,cannabis_log!C:C,cannabis_log!H:H,"",0,1))</f>
        <v>topical_cased_SK_RTV</v>
      </c>
      <c r="I1243" s="113">
        <f>IF(ISBLANK(E1243),"",_xlfn.XLOOKUP(E1243,cannabis_log!C:C,cannabis_log!K:K,"NOT FOUND",0,1))</f>
        <v>45213</v>
      </c>
      <c r="J1243" s="185">
        <v>-1</v>
      </c>
      <c r="K1243" s="186">
        <f t="shared" si="62"/>
        <v>0</v>
      </c>
      <c r="L1243" s="288">
        <f t="shared" si="59"/>
        <v>-1056</v>
      </c>
      <c r="M1243" s="24"/>
      <c r="N1243" s="112" t="str">
        <f>IF(ISBLANK(E1243),"",_xlfn.XLOOKUP(E1243,cannabis_log!C:C,cannabis_log!T:T,"Not Found",0,))</f>
        <v>net</v>
      </c>
      <c r="O1243" s="180">
        <f>IF(N1243="net",_xlfn.XLOOKUP(E1243,cannabis_log!C:C,cannabis_log!N:N,"NOT FOUND",0,1),IF(N1243="gross",0,""))</f>
        <v>1056</v>
      </c>
    </row>
    <row r="1244" spans="1:15">
      <c r="A1244" s="181" t="str">
        <f t="shared" si="61"/>
        <v>outbound</v>
      </c>
      <c r="B1244" s="182">
        <v>45726.425694444442</v>
      </c>
      <c r="C1244" s="183" t="s">
        <v>1929</v>
      </c>
      <c r="D1244" s="183" t="s">
        <v>2677</v>
      </c>
      <c r="E1244" s="215" t="s">
        <v>2680</v>
      </c>
      <c r="F1244" s="112" t="str">
        <f>IF(ISBLANK(E1244),"",_xlfn.XLOOKUP(E1244,cannabis_log!C:C,cannabis_log!J:J,"",0,))</f>
        <v>TP23092501</v>
      </c>
      <c r="G1244" s="112"/>
      <c r="H1244" s="112" t="str">
        <f>IF(ISBLANK(E1244),"",_xlfn.XLOOKUP(E1244,cannabis_log!C:C,cannabis_log!H:H,"",0,1))</f>
        <v>topical_cased_SK_RTV</v>
      </c>
      <c r="I1244" s="113">
        <f>IF(ISBLANK(E1244),"",_xlfn.XLOOKUP(E1244,cannabis_log!C:C,cannabis_log!K:K,"NOT FOUND",0,1))</f>
        <v>45213</v>
      </c>
      <c r="J1244" s="185">
        <v>-2</v>
      </c>
      <c r="K1244" s="186">
        <f t="shared" si="62"/>
        <v>0</v>
      </c>
      <c r="L1244" s="288">
        <f t="shared" si="59"/>
        <v>-2112</v>
      </c>
      <c r="M1244" s="24"/>
      <c r="N1244" s="112" t="str">
        <f>IF(ISBLANK(E1244),"",_xlfn.XLOOKUP(E1244,cannabis_log!C:C,cannabis_log!T:T,"Not Found",0,))</f>
        <v>net</v>
      </c>
      <c r="O1244" s="180">
        <f>IF(N1244="net",_xlfn.XLOOKUP(E1244,cannabis_log!C:C,cannabis_log!N:N,"NOT FOUND",0,1),IF(N1244="gross",0,""))</f>
        <v>1056</v>
      </c>
    </row>
    <row r="1245" spans="1:15">
      <c r="A1245" s="181" t="str">
        <f t="shared" si="61"/>
        <v>outbound</v>
      </c>
      <c r="B1245" s="182">
        <v>45726.425694444442</v>
      </c>
      <c r="C1245" s="183" t="s">
        <v>1929</v>
      </c>
      <c r="D1245" s="183" t="s">
        <v>2677</v>
      </c>
      <c r="E1245" s="215" t="s">
        <v>2681</v>
      </c>
      <c r="F1245" s="112" t="str">
        <f>IF(ISBLANK(E1245),"",_xlfn.XLOOKUP(E1245,cannabis_log!C:C,cannabis_log!J:J,"",0,))</f>
        <v>TP24041202</v>
      </c>
      <c r="G1245" s="112"/>
      <c r="H1245" s="112" t="str">
        <f>IF(ISBLANK(E1245),"",_xlfn.XLOOKUP(E1245,cannabis_log!C:C,cannabis_log!H:H,"",0,1))</f>
        <v>topical_cased_ON_RTV</v>
      </c>
      <c r="I1245" s="113">
        <f>IF(ISBLANK(E1245),"",_xlfn.XLOOKUP(E1245,cannabis_log!C:C,cannabis_log!K:K,"NOT FOUND",0,1))</f>
        <v>45423</v>
      </c>
      <c r="J1245" s="185">
        <v>-7</v>
      </c>
      <c r="K1245" s="186">
        <f t="shared" si="62"/>
        <v>0</v>
      </c>
      <c r="L1245" s="288">
        <f t="shared" si="59"/>
        <v>-7392</v>
      </c>
      <c r="M1245" s="24"/>
      <c r="N1245" s="112" t="str">
        <f>IF(ISBLANK(E1245),"",_xlfn.XLOOKUP(E1245,cannabis_log!C:C,cannabis_log!T:T,"Not Found",0,))</f>
        <v>net</v>
      </c>
      <c r="O1245" s="180">
        <f>IF(N1245="net",_xlfn.XLOOKUP(E1245,cannabis_log!C:C,cannabis_log!N:N,"NOT FOUND",0,1),IF(N1245="gross",0,""))</f>
        <v>1056</v>
      </c>
    </row>
    <row r="1246" spans="1:15">
      <c r="A1246" s="181" t="str">
        <f t="shared" si="61"/>
        <v>outbound</v>
      </c>
      <c r="B1246" s="182">
        <v>45726.425694444442</v>
      </c>
      <c r="C1246" s="183" t="s">
        <v>1929</v>
      </c>
      <c r="D1246" s="183" t="s">
        <v>2677</v>
      </c>
      <c r="E1246" s="215" t="s">
        <v>2682</v>
      </c>
      <c r="F1246" s="112" t="str">
        <f>IF(ISBLANK(E1246),"",_xlfn.XLOOKUP(E1246,cannabis_log!C:C,cannabis_log!J:J,"",0,))</f>
        <v>TP23071001</v>
      </c>
      <c r="G1246" s="112"/>
      <c r="H1246" s="112" t="str">
        <f>IF(ISBLANK(E1246),"",_xlfn.XLOOKUP(E1246,cannabis_log!C:C,cannabis_log!H:H,"",0,1))</f>
        <v>topical_cased_MB_RTV</v>
      </c>
      <c r="I1246" s="113">
        <f>IF(ISBLANK(E1246),"",_xlfn.XLOOKUP(E1246,cannabis_log!C:C,cannabis_log!K:K,"NOT FOUND",0,1))</f>
        <v>45134</v>
      </c>
      <c r="J1246" s="185">
        <v>-15</v>
      </c>
      <c r="K1246" s="186">
        <f t="shared" si="62"/>
        <v>0</v>
      </c>
      <c r="L1246" s="288">
        <f t="shared" si="59"/>
        <v>-15840</v>
      </c>
      <c r="M1246" s="24"/>
      <c r="N1246" s="112" t="str">
        <f>IF(ISBLANK(E1246),"",_xlfn.XLOOKUP(E1246,cannabis_log!C:C,cannabis_log!T:T,"Not Found",0,))</f>
        <v>net</v>
      </c>
      <c r="O1246" s="180">
        <f>IF(N1246="net",_xlfn.XLOOKUP(E1246,cannabis_log!C:C,cannabis_log!N:N,"NOT FOUND",0,1),IF(N1246="gross",0,""))</f>
        <v>1056</v>
      </c>
    </row>
    <row r="1247" spans="1:15">
      <c r="A1247" s="181" t="str">
        <f t="shared" si="61"/>
        <v>outbound</v>
      </c>
      <c r="B1247" s="182">
        <v>45726.425694444442</v>
      </c>
      <c r="C1247" s="183" t="s">
        <v>1929</v>
      </c>
      <c r="D1247" s="183" t="s">
        <v>2677</v>
      </c>
      <c r="E1247" s="215" t="s">
        <v>2683</v>
      </c>
      <c r="F1247" s="112" t="str">
        <f>IF(ISBLANK(E1247),"",_xlfn.XLOOKUP(E1247,cannabis_log!C:C,cannabis_log!J:J,"",0,))</f>
        <v>TP23092501</v>
      </c>
      <c r="G1247" s="112"/>
      <c r="H1247" s="112" t="str">
        <f>IF(ISBLANK(E1247),"",_xlfn.XLOOKUP(E1247,cannabis_log!C:C,cannabis_log!H:H,"",0,1))</f>
        <v>topical_labelled</v>
      </c>
      <c r="I1247" s="113">
        <f>IF(ISBLANK(E1247),"",_xlfn.XLOOKUP(E1247,cannabis_log!C:C,cannabis_log!K:K,"NOT FOUND",0,1))</f>
        <v>45523</v>
      </c>
      <c r="J1247" s="185">
        <v>-12</v>
      </c>
      <c r="K1247" s="186">
        <f t="shared" si="62"/>
        <v>0</v>
      </c>
      <c r="L1247" s="288">
        <f t="shared" si="59"/>
        <v>-1056</v>
      </c>
      <c r="M1247" s="24"/>
      <c r="N1247" s="112" t="str">
        <f>IF(ISBLANK(E1247),"",_xlfn.XLOOKUP(E1247,cannabis_log!C:C,cannabis_log!T:T,"Not Found",0,))</f>
        <v>net</v>
      </c>
      <c r="O1247" s="180">
        <f>IF(N1247="net",_xlfn.XLOOKUP(E1247,cannabis_log!C:C,cannabis_log!N:N,"NOT FOUND",0,1),IF(N1247="gross",0,""))</f>
        <v>88</v>
      </c>
    </row>
    <row r="1248" spans="1:15">
      <c r="A1248" s="181" t="str">
        <f t="shared" si="61"/>
        <v>outbound</v>
      </c>
      <c r="B1248" s="182">
        <v>45727.395138888889</v>
      </c>
      <c r="C1248" s="183" t="s">
        <v>1921</v>
      </c>
      <c r="D1248" s="183"/>
      <c r="E1248" s="215" t="s">
        <v>2684</v>
      </c>
      <c r="F1248" s="112" t="str">
        <f>IF(ISBLANK(E1248),"",_xlfn.XLOOKUP(E1248,cannabis_log!C:C,cannabis_log!J:J,"",0,))</f>
        <v>PR2505</v>
      </c>
      <c r="G1248" s="112"/>
      <c r="H1248" s="112" t="str">
        <f>IF(ISBLANK(E1248),"",_xlfn.XLOOKUP(E1248,cannabis_log!C:C,cannabis_log!H:H,"",0,1))</f>
        <v>driedflower_milled_bulk_BURB</v>
      </c>
      <c r="I1248" s="113" t="str">
        <f>IF(ISBLANK(E1248),"",_xlfn.XLOOKUP(E1248,cannabis_log!C:C,cannabis_log!K:K,"NOT FOUND",0,1))</f>
        <v>NA</v>
      </c>
      <c r="J1248" s="185">
        <v>-1</v>
      </c>
      <c r="K1248" s="186">
        <v>-5928</v>
      </c>
      <c r="L1248" s="288">
        <f t="shared" si="59"/>
        <v>0</v>
      </c>
      <c r="M1248" s="24"/>
      <c r="N1248" s="112" t="str">
        <f>IF(ISBLANK(E1248),"",_xlfn.XLOOKUP(E1248,cannabis_log!C:C,cannabis_log!T:T,"Not Found",0,))</f>
        <v>gross</v>
      </c>
      <c r="O1248" s="180">
        <f>IF(N1248="net",_xlfn.XLOOKUP(E1248,cannabis_log!C:C,cannabis_log!N:N,"NOT FOUND",0,1),IF(N1248="gross",0,""))</f>
        <v>0</v>
      </c>
    </row>
    <row r="1249" spans="1:15">
      <c r="A1249" s="181" t="str">
        <f t="shared" si="61"/>
        <v>outbound</v>
      </c>
      <c r="B1249" s="182">
        <v>45727.461805555555</v>
      </c>
      <c r="C1249" s="183" t="s">
        <v>1929</v>
      </c>
      <c r="D1249" s="183" t="s">
        <v>2685</v>
      </c>
      <c r="E1249" s="215" t="s">
        <v>2686</v>
      </c>
      <c r="F1249" s="112" t="str">
        <f>IF(ISBLANK(E1249),"",_xlfn.XLOOKUP(E1249,cannabis_log!C:C,cannabis_log!J:J,"",0,))</f>
        <v>EX25012101V50</v>
      </c>
      <c r="G1249" s="112"/>
      <c r="H1249" s="112" t="str">
        <f>IF(ISBLANK(E1249),"",_xlfn.XLOOKUP(E1249,cannabis_log!C:C,cannabis_log!H:H,"",0,1))</f>
        <v>extract_ingested_cased_BC</v>
      </c>
      <c r="I1249" s="113">
        <f>IF(ISBLANK(E1249),"",_xlfn.XLOOKUP(E1249,cannabis_log!C:C,cannabis_log!K:K,"NOT FOUND",0,1))</f>
        <v>45700</v>
      </c>
      <c r="J1249" s="185">
        <v>-1</v>
      </c>
      <c r="K1249" s="186">
        <f t="shared" ref="K1249:K1275" si="63">IF(N1249="net",0,"")</f>
        <v>0</v>
      </c>
      <c r="L1249" s="288">
        <f t="shared" si="59"/>
        <v>-600</v>
      </c>
      <c r="M1249" s="24"/>
      <c r="N1249" s="112" t="str">
        <f>IF(ISBLANK(E1249),"",_xlfn.XLOOKUP(E1249,cannabis_log!C:C,cannabis_log!T:T,"Not Found",0,))</f>
        <v>net</v>
      </c>
      <c r="O1249" s="180">
        <f>IF(N1249="net",_xlfn.XLOOKUP(E1249,cannabis_log!C:C,cannabis_log!N:N,"NOT FOUND",0,1),IF(N1249="gross",0,""))</f>
        <v>600</v>
      </c>
    </row>
    <row r="1250" spans="1:15">
      <c r="A1250" s="181" t="str">
        <f t="shared" si="61"/>
        <v>outbound</v>
      </c>
      <c r="B1250" s="182">
        <v>45727.461805555555</v>
      </c>
      <c r="C1250" s="183" t="s">
        <v>1929</v>
      </c>
      <c r="D1250" s="183" t="s">
        <v>2685</v>
      </c>
      <c r="E1250" s="215" t="s">
        <v>2687</v>
      </c>
      <c r="F1250" s="112" t="str">
        <f>IF(ISBLANK(E1250),"",_xlfn.XLOOKUP(E1250,cannabis_log!C:C,cannabis_log!J:J,"",0,))</f>
        <v>EX25011501V50</v>
      </c>
      <c r="G1250" s="112"/>
      <c r="H1250" s="112" t="str">
        <f>IF(ISBLANK(E1250),"",_xlfn.XLOOKUP(E1250,cannabis_log!C:C,cannabis_log!H:H,"",0,1))</f>
        <v>extract_ingested_cased_BC</v>
      </c>
      <c r="I1250" s="113">
        <f>IF(ISBLANK(E1250),"",_xlfn.XLOOKUP(E1250,cannabis_log!C:C,cannabis_log!K:K,"NOT FOUND",0,1))</f>
        <v>45692</v>
      </c>
      <c r="J1250" s="185">
        <v>-1</v>
      </c>
      <c r="K1250" s="186">
        <f t="shared" si="63"/>
        <v>0</v>
      </c>
      <c r="L1250" s="288">
        <f t="shared" si="59"/>
        <v>-600</v>
      </c>
      <c r="M1250" s="24"/>
      <c r="N1250" s="112" t="str">
        <f>IF(ISBLANK(E1250),"",_xlfn.XLOOKUP(E1250,cannabis_log!C:C,cannabis_log!T:T,"Not Found",0,))</f>
        <v>net</v>
      </c>
      <c r="O1250" s="180">
        <f>IF(N1250="net",_xlfn.XLOOKUP(E1250,cannabis_log!C:C,cannabis_log!N:N,"NOT FOUND",0,1),IF(N1250="gross",0,""))</f>
        <v>600</v>
      </c>
    </row>
    <row r="1251" spans="1:15">
      <c r="A1251" s="181" t="str">
        <f t="shared" si="61"/>
        <v>outbound</v>
      </c>
      <c r="B1251" s="182">
        <v>45727.461805555555</v>
      </c>
      <c r="C1251" s="183" t="s">
        <v>1929</v>
      </c>
      <c r="D1251" s="183" t="s">
        <v>2685</v>
      </c>
      <c r="E1251" s="215" t="s">
        <v>2688</v>
      </c>
      <c r="F1251" s="112" t="str">
        <f>IF(ISBLANK(E1251),"",_xlfn.XLOOKUP(E1251,cannabis_log!C:C,cannabis_log!J:J,"",0,))</f>
        <v>EX25010907G1</v>
      </c>
      <c r="G1251" s="112"/>
      <c r="H1251" s="112" t="str">
        <f>IF(ISBLANK(E1251),"",_xlfn.XLOOKUP(E1251,cannabis_log!C:C,cannabis_log!H:H,"",0,1))</f>
        <v>extract_inhaled_labelled</v>
      </c>
      <c r="I1251" s="113">
        <f>IF(ISBLANK(E1251),"",_xlfn.XLOOKUP(E1251,cannabis_log!C:C,cannabis_log!K:K,"NOT FOUND",0,1))</f>
        <v>45666</v>
      </c>
      <c r="J1251" s="185">
        <v>-12</v>
      </c>
      <c r="K1251" s="186">
        <f t="shared" si="63"/>
        <v>0</v>
      </c>
      <c r="L1251" s="288">
        <f t="shared" si="59"/>
        <v>-12</v>
      </c>
      <c r="M1251" s="24"/>
      <c r="N1251" s="112" t="str">
        <f>IF(ISBLANK(E1251),"",_xlfn.XLOOKUP(E1251,cannabis_log!C:C,cannabis_log!T:T,"Not Found",0,))</f>
        <v>net</v>
      </c>
      <c r="O1251" s="180">
        <f>IF(N1251="net",_xlfn.XLOOKUP(E1251,cannabis_log!C:C,cannabis_log!N:N,"NOT FOUND",0,1),IF(N1251="gross",0,""))</f>
        <v>1</v>
      </c>
    </row>
    <row r="1252" spans="1:15">
      <c r="A1252" s="181" t="str">
        <f t="shared" si="61"/>
        <v>outbound</v>
      </c>
      <c r="B1252" s="182">
        <v>45727.461805555555</v>
      </c>
      <c r="C1252" s="183" t="s">
        <v>1929</v>
      </c>
      <c r="D1252" s="183" t="s">
        <v>2685</v>
      </c>
      <c r="E1252" s="215" t="s">
        <v>2689</v>
      </c>
      <c r="F1252" s="112" t="str">
        <f>IF(ISBLANK(E1252),"",_xlfn.XLOOKUP(E1252,cannabis_log!C:C,cannabis_log!J:J,"",0,))</f>
        <v>EX25020601G1</v>
      </c>
      <c r="G1252" s="112"/>
      <c r="H1252" s="112" t="str">
        <f>IF(ISBLANK(E1252),"",_xlfn.XLOOKUP(E1252,cannabis_log!C:C,cannabis_log!H:H,"",0,1))</f>
        <v>extract_inhaled_labelled</v>
      </c>
      <c r="I1252" s="113">
        <f>IF(ISBLANK(E1252),"",_xlfn.XLOOKUP(E1252,cannabis_log!C:C,cannabis_log!K:K,"NOT FOUND",0,1))</f>
        <v>45707</v>
      </c>
      <c r="J1252" s="185">
        <v>-12</v>
      </c>
      <c r="K1252" s="186">
        <f t="shared" si="63"/>
        <v>0</v>
      </c>
      <c r="L1252" s="288">
        <f t="shared" si="59"/>
        <v>-12</v>
      </c>
      <c r="M1252" s="24"/>
      <c r="N1252" s="112" t="str">
        <f>IF(ISBLANK(E1252),"",_xlfn.XLOOKUP(E1252,cannabis_log!C:C,cannabis_log!T:T,"Not Found",0,))</f>
        <v>net</v>
      </c>
      <c r="O1252" s="180">
        <f>IF(N1252="net",_xlfn.XLOOKUP(E1252,cannabis_log!C:C,cannabis_log!N:N,"NOT FOUND",0,1),IF(N1252="gross",0,""))</f>
        <v>1</v>
      </c>
    </row>
    <row r="1253" spans="1:15">
      <c r="A1253" s="181" t="str">
        <f t="shared" si="61"/>
        <v>outbound</v>
      </c>
      <c r="B1253" s="182">
        <v>45727.461805555555</v>
      </c>
      <c r="C1253" s="183" t="s">
        <v>1929</v>
      </c>
      <c r="D1253" s="183" t="s">
        <v>2685</v>
      </c>
      <c r="E1253" s="215" t="s">
        <v>2690</v>
      </c>
      <c r="F1253" s="112" t="str">
        <f>IF(ISBLANK(E1253),"",_xlfn.XLOOKUP(E1253,cannabis_log!C:C,cannabis_log!J:J,"",0,))</f>
        <v>EX24092601V50</v>
      </c>
      <c r="G1253" s="112"/>
      <c r="H1253" s="112" t="str">
        <f>IF(ISBLANK(E1253),"",_xlfn.XLOOKUP(E1253,cannabis_log!C:C,cannabis_log!H:H,"",0,1))</f>
        <v>extract_ingested_cased_BC</v>
      </c>
      <c r="I1253" s="113">
        <f>IF(ISBLANK(E1253),"",_xlfn.XLOOKUP(E1253,cannabis_log!C:C,cannabis_log!K:K,"NOT FOUND",0,1))</f>
        <v>45576</v>
      </c>
      <c r="J1253" s="185">
        <v>-1</v>
      </c>
      <c r="K1253" s="186">
        <f t="shared" si="63"/>
        <v>0</v>
      </c>
      <c r="L1253" s="288">
        <f t="shared" si="59"/>
        <v>-50</v>
      </c>
      <c r="M1253" s="24"/>
      <c r="N1253" s="112" t="str">
        <f>IF(ISBLANK(E1253),"",_xlfn.XLOOKUP(E1253,cannabis_log!C:C,cannabis_log!T:T,"Not Found",0,))</f>
        <v>net</v>
      </c>
      <c r="O1253" s="180">
        <f>IF(N1253="net",_xlfn.XLOOKUP(E1253,cannabis_log!C:C,cannabis_log!N:N,"NOT FOUND",0,1),IF(N1253="gross",0,""))</f>
        <v>50</v>
      </c>
    </row>
    <row r="1254" spans="1:15">
      <c r="A1254" s="181" t="str">
        <f t="shared" si="61"/>
        <v>outbound</v>
      </c>
      <c r="B1254" s="182">
        <v>45727.461805555555</v>
      </c>
      <c r="C1254" s="183" t="s">
        <v>1929</v>
      </c>
      <c r="D1254" s="183" t="s">
        <v>2685</v>
      </c>
      <c r="E1254" s="215" t="s">
        <v>2691</v>
      </c>
      <c r="F1254" s="112" t="str">
        <f>IF(ISBLANK(E1254),"",_xlfn.XLOOKUP(E1254,cannabis_log!C:C,cannabis_log!J:J,"",0,))</f>
        <v>PR2407F5P3</v>
      </c>
      <c r="G1254" s="112"/>
      <c r="H1254" s="112" t="str">
        <f>IF(ISBLANK(E1254),"",_xlfn.XLOOKUP(E1254,cannabis_log!C:C,cannabis_log!H:H,"",0,1))</f>
        <v>preroll_labelled</v>
      </c>
      <c r="I1254" s="113">
        <f>IF(ISBLANK(E1254),"",_xlfn.XLOOKUP(E1254,cannabis_log!C:C,cannabis_log!K:K,"NOT FOUND",0,1))</f>
        <v>45447</v>
      </c>
      <c r="J1254" s="185">
        <v>-24</v>
      </c>
      <c r="K1254" s="186">
        <f t="shared" si="63"/>
        <v>0</v>
      </c>
      <c r="L1254" s="288">
        <f t="shared" si="59"/>
        <v>-36</v>
      </c>
      <c r="M1254" s="24"/>
      <c r="N1254" s="112" t="str">
        <f>IF(ISBLANK(E1254),"",_xlfn.XLOOKUP(E1254,cannabis_log!C:C,cannabis_log!T:T,"Not Found",0,))</f>
        <v>net</v>
      </c>
      <c r="O1254" s="180">
        <f>IF(N1254="net",_xlfn.XLOOKUP(E1254,cannabis_log!C:C,cannabis_log!N:N,"NOT FOUND",0,1),IF(N1254="gross",0,""))</f>
        <v>1.5</v>
      </c>
    </row>
    <row r="1255" spans="1:15">
      <c r="A1255" s="181" t="str">
        <f t="shared" si="61"/>
        <v>outbound</v>
      </c>
      <c r="B1255" s="182">
        <v>45727.461805555555</v>
      </c>
      <c r="C1255" s="183" t="s">
        <v>1929</v>
      </c>
      <c r="D1255" s="183" t="s">
        <v>2685</v>
      </c>
      <c r="E1255" s="215" t="s">
        <v>2692</v>
      </c>
      <c r="F1255" s="112" t="str">
        <f>IF(ISBLANK(E1255),"",_xlfn.XLOOKUP(E1255,cannabis_log!C:C,cannabis_log!J:J,"",0,))</f>
        <v>PR2301F5P3</v>
      </c>
      <c r="G1255" s="112"/>
      <c r="H1255" s="112" t="str">
        <f>IF(ISBLANK(E1255),"",_xlfn.XLOOKUP(E1255,cannabis_log!C:C,cannabis_log!H:H,"",0,1))</f>
        <v>preroll_labelled</v>
      </c>
      <c r="I1255" s="113">
        <f>IF(ISBLANK(E1255),"",_xlfn.XLOOKUP(E1255,cannabis_log!C:C,cannabis_log!K:K,"NOT FOUND",0,1))</f>
        <v>45457</v>
      </c>
      <c r="J1255" s="185">
        <v>-24</v>
      </c>
      <c r="K1255" s="186">
        <f t="shared" si="63"/>
        <v>0</v>
      </c>
      <c r="L1255" s="288">
        <f t="shared" si="59"/>
        <v>-36</v>
      </c>
      <c r="M1255" s="24"/>
      <c r="N1255" s="112" t="str">
        <f>IF(ISBLANK(E1255),"",_xlfn.XLOOKUP(E1255,cannabis_log!C:C,cannabis_log!T:T,"Not Found",0,))</f>
        <v>net</v>
      </c>
      <c r="O1255" s="180">
        <f>IF(N1255="net",_xlfn.XLOOKUP(E1255,cannabis_log!C:C,cannabis_log!N:N,"NOT FOUND",0,1),IF(N1255="gross",0,""))</f>
        <v>1.5</v>
      </c>
    </row>
    <row r="1256" spans="1:15">
      <c r="A1256" s="181" t="str">
        <f t="shared" si="61"/>
        <v>outbound</v>
      </c>
      <c r="B1256" s="182">
        <v>45727.461805555555</v>
      </c>
      <c r="C1256" s="183" t="s">
        <v>1929</v>
      </c>
      <c r="D1256" s="183" t="s">
        <v>2685</v>
      </c>
      <c r="E1256" s="215" t="s">
        <v>2693</v>
      </c>
      <c r="F1256" s="112" t="str">
        <f>IF(ISBLANK(E1256),"",_xlfn.XLOOKUP(E1256,cannabis_log!C:C,cannabis_log!J:J,"",0,))</f>
        <v>PR2406F5P3</v>
      </c>
      <c r="G1256" s="112"/>
      <c r="H1256" s="112" t="str">
        <f>IF(ISBLANK(E1256),"",_xlfn.XLOOKUP(E1256,cannabis_log!C:C,cannabis_log!H:H,"",0,1))</f>
        <v>preroll_labelled</v>
      </c>
      <c r="I1256" s="113">
        <f>IF(ISBLANK(E1256),"",_xlfn.XLOOKUP(E1256,cannabis_log!C:C,cannabis_log!K:K,"NOT FOUND",0,1))</f>
        <v>45457</v>
      </c>
      <c r="J1256" s="185">
        <v>-24</v>
      </c>
      <c r="K1256" s="186">
        <f t="shared" si="63"/>
        <v>0</v>
      </c>
      <c r="L1256" s="288">
        <f t="shared" si="59"/>
        <v>-36</v>
      </c>
      <c r="M1256" s="24"/>
      <c r="N1256" s="112" t="str">
        <f>IF(ISBLANK(E1256),"",_xlfn.XLOOKUP(E1256,cannabis_log!C:C,cannabis_log!T:T,"Not Found",0,))</f>
        <v>net</v>
      </c>
      <c r="O1256" s="180">
        <f>IF(N1256="net",_xlfn.XLOOKUP(E1256,cannabis_log!C:C,cannabis_log!N:N,"NOT FOUND",0,1),IF(N1256="gross",0,""))</f>
        <v>1.5</v>
      </c>
    </row>
    <row r="1257" spans="1:15">
      <c r="A1257" s="181" t="str">
        <f t="shared" si="61"/>
        <v>outbound</v>
      </c>
      <c r="B1257" s="182">
        <v>45727.461805555555</v>
      </c>
      <c r="C1257" s="183" t="s">
        <v>1929</v>
      </c>
      <c r="D1257" s="183" t="s">
        <v>2685</v>
      </c>
      <c r="E1257" s="215" t="s">
        <v>2694</v>
      </c>
      <c r="F1257" s="112" t="str">
        <f>IF(ISBLANK(E1257),"",_xlfn.XLOOKUP(E1257,cannabis_log!C:C,cannabis_log!J:J,"",0,))</f>
        <v>PR21071201G1</v>
      </c>
      <c r="G1257" s="112"/>
      <c r="H1257" s="112" t="str">
        <f>IF(ISBLANK(E1257),"",_xlfn.XLOOKUP(E1257,cannabis_log!C:C,cannabis_log!H:H,"",0,1))</f>
        <v>preroll_labelled</v>
      </c>
      <c r="I1257" s="113">
        <f>IF(ISBLANK(E1257),"",_xlfn.XLOOKUP(E1257,cannabis_log!C:C,cannabis_log!K:K,"NOT FOUND",0,1))</f>
        <v>45685</v>
      </c>
      <c r="J1257" s="185">
        <v>-24</v>
      </c>
      <c r="K1257" s="186">
        <f t="shared" si="63"/>
        <v>0</v>
      </c>
      <c r="L1257" s="288">
        <f t="shared" si="59"/>
        <v>-24</v>
      </c>
      <c r="M1257" s="24"/>
      <c r="N1257" s="112" t="str">
        <f>IF(ISBLANK(E1257),"",_xlfn.XLOOKUP(E1257,cannabis_log!C:C,cannabis_log!T:T,"Not Found",0,))</f>
        <v>net</v>
      </c>
      <c r="O1257" s="180">
        <f>IF(N1257="net",_xlfn.XLOOKUP(E1257,cannabis_log!C:C,cannabis_log!N:N,"NOT FOUND",0,1),IF(N1257="gross",0,""))</f>
        <v>1</v>
      </c>
    </row>
    <row r="1258" spans="1:15">
      <c r="A1258" s="181" t="str">
        <f t="shared" si="61"/>
        <v>outbound</v>
      </c>
      <c r="B1258" s="182">
        <v>45727.461805555555</v>
      </c>
      <c r="C1258" s="183" t="s">
        <v>1929</v>
      </c>
      <c r="D1258" s="183" t="s">
        <v>2685</v>
      </c>
      <c r="E1258" s="215" t="s">
        <v>2695</v>
      </c>
      <c r="F1258" s="112" t="str">
        <f>IF(ISBLANK(E1258),"",_xlfn.XLOOKUP(E1258,cannabis_log!C:C,cannabis_log!J:J,"",0,))</f>
        <v>PR2406F1P1</v>
      </c>
      <c r="G1258" s="112"/>
      <c r="H1258" s="112" t="str">
        <f>IF(ISBLANK(E1258),"",_xlfn.XLOOKUP(E1258,cannabis_log!C:C,cannabis_log!H:H,"",0,1))</f>
        <v>preroll_labelled</v>
      </c>
      <c r="I1258" s="113">
        <f>IF(ISBLANK(E1258),"",_xlfn.XLOOKUP(E1258,cannabis_log!C:C,cannabis_log!K:K,"NOT FOUND",0,1))</f>
        <v>45462</v>
      </c>
      <c r="J1258" s="185">
        <v>-24</v>
      </c>
      <c r="K1258" s="186">
        <f t="shared" si="63"/>
        <v>0</v>
      </c>
      <c r="L1258" s="288">
        <f t="shared" si="59"/>
        <v>-24</v>
      </c>
      <c r="M1258" s="24"/>
      <c r="N1258" s="112" t="str">
        <f>IF(ISBLANK(E1258),"",_xlfn.XLOOKUP(E1258,cannabis_log!C:C,cannabis_log!T:T,"Not Found",0,))</f>
        <v>net</v>
      </c>
      <c r="O1258" s="180">
        <f>IF(N1258="net",_xlfn.XLOOKUP(E1258,cannabis_log!C:C,cannabis_log!N:N,"NOT FOUND",0,1),IF(N1258="gross",0,""))</f>
        <v>1</v>
      </c>
    </row>
    <row r="1259" spans="1:15">
      <c r="A1259" s="181" t="str">
        <f t="shared" si="61"/>
        <v>outbound</v>
      </c>
      <c r="B1259" s="182">
        <v>45727.564583333333</v>
      </c>
      <c r="C1259" s="183" t="s">
        <v>1929</v>
      </c>
      <c r="D1259" s="183" t="s">
        <v>2685</v>
      </c>
      <c r="E1259" s="215" t="s">
        <v>2696</v>
      </c>
      <c r="F1259" s="112" t="str">
        <f>IF(ISBLANK(E1259),"",_xlfn.XLOOKUP(E1259,cannabis_log!C:C,cannabis_log!J:J,"",0,))</f>
        <v>2024111801G7</v>
      </c>
      <c r="G1259" s="112"/>
      <c r="H1259" s="112" t="str">
        <f>IF(ISBLANK(E1259),"",_xlfn.XLOOKUP(E1259,cannabis_log!C:C,cannabis_log!H:H,"",0,1))</f>
        <v>driedflower_labelled</v>
      </c>
      <c r="I1259" s="113">
        <f>IF(ISBLANK(E1259),"",_xlfn.XLOOKUP(E1259,cannabis_log!C:C,cannabis_log!K:K,"NOT FOUND",0,1))</f>
        <v>45631</v>
      </c>
      <c r="J1259" s="185">
        <v>-12</v>
      </c>
      <c r="K1259" s="186">
        <f t="shared" si="63"/>
        <v>0</v>
      </c>
      <c r="L1259" s="288">
        <f t="shared" si="59"/>
        <v>-84</v>
      </c>
      <c r="M1259" s="24"/>
      <c r="N1259" s="112" t="str">
        <f>IF(ISBLANK(E1259),"",_xlfn.XLOOKUP(E1259,cannabis_log!C:C,cannabis_log!T:T,"Not Found",0,))</f>
        <v>net</v>
      </c>
      <c r="O1259" s="180">
        <f>IF(N1259="net",_xlfn.XLOOKUP(E1259,cannabis_log!C:C,cannabis_log!N:N,"NOT FOUND",0,1),IF(N1259="gross",0,""))</f>
        <v>7</v>
      </c>
    </row>
    <row r="1260" spans="1:15">
      <c r="A1260" s="181" t="str">
        <f t="shared" si="61"/>
        <v>outbound</v>
      </c>
      <c r="B1260" s="182">
        <v>45727.564583333333</v>
      </c>
      <c r="C1260" s="183" t="s">
        <v>1929</v>
      </c>
      <c r="D1260" s="183" t="s">
        <v>2685</v>
      </c>
      <c r="E1260" s="215" t="s">
        <v>2689</v>
      </c>
      <c r="F1260" s="112" t="str">
        <f>IF(ISBLANK(E1260),"",_xlfn.XLOOKUP(E1260,cannabis_log!C:C,cannabis_log!J:J,"",0,))</f>
        <v>EX25020601G1</v>
      </c>
      <c r="G1260" s="112"/>
      <c r="H1260" s="112" t="str">
        <f>IF(ISBLANK(E1260),"",_xlfn.XLOOKUP(E1260,cannabis_log!C:C,cannabis_log!H:H,"",0,1))</f>
        <v>extract_inhaled_labelled</v>
      </c>
      <c r="I1260" s="113">
        <f>IF(ISBLANK(E1260),"",_xlfn.XLOOKUP(E1260,cannabis_log!C:C,cannabis_log!K:K,"NOT FOUND",0,1))</f>
        <v>45707</v>
      </c>
      <c r="J1260" s="185">
        <v>-12</v>
      </c>
      <c r="K1260" s="186">
        <f t="shared" si="63"/>
        <v>0</v>
      </c>
      <c r="L1260" s="288">
        <f t="shared" si="59"/>
        <v>-12</v>
      </c>
      <c r="M1260" s="24"/>
      <c r="N1260" s="112" t="str">
        <f>IF(ISBLANK(E1260),"",_xlfn.XLOOKUP(E1260,cannabis_log!C:C,cannabis_log!T:T,"Not Found",0,))</f>
        <v>net</v>
      </c>
      <c r="O1260" s="180">
        <f>IF(N1260="net",_xlfn.XLOOKUP(E1260,cannabis_log!C:C,cannabis_log!N:N,"NOT FOUND",0,1),IF(N1260="gross",0,""))</f>
        <v>1</v>
      </c>
    </row>
    <row r="1261" spans="1:15">
      <c r="A1261" s="181" t="str">
        <f t="shared" si="61"/>
        <v>outbound</v>
      </c>
      <c r="B1261" s="182">
        <v>45727.564583333333</v>
      </c>
      <c r="C1261" s="183" t="s">
        <v>1929</v>
      </c>
      <c r="D1261" s="183" t="s">
        <v>2685</v>
      </c>
      <c r="E1261" s="215" t="s">
        <v>2697</v>
      </c>
      <c r="F1261" s="112" t="str">
        <f>IF(ISBLANK(E1261),"",_xlfn.XLOOKUP(E1261,cannabis_log!C:C,cannabis_log!J:J,"",0,))</f>
        <v>EX24101703G05</v>
      </c>
      <c r="G1261" s="112"/>
      <c r="H1261" s="112" t="str">
        <f>IF(ISBLANK(E1261),"",_xlfn.XLOOKUP(E1261,cannabis_log!C:C,cannabis_log!H:H,"",0,1))</f>
        <v>extract_inhaled_labelled</v>
      </c>
      <c r="I1261" s="113">
        <f>IF(ISBLANK(E1261),"",_xlfn.XLOOKUP(E1261,cannabis_log!C:C,cannabis_log!K:K,"NOT FOUND",0,1))</f>
        <v>45603</v>
      </c>
      <c r="J1261" s="185">
        <v>-12</v>
      </c>
      <c r="K1261" s="186">
        <f t="shared" si="63"/>
        <v>0</v>
      </c>
      <c r="L1261" s="288">
        <f t="shared" si="59"/>
        <v>-6</v>
      </c>
      <c r="M1261" s="24"/>
      <c r="N1261" s="112" t="str">
        <f>IF(ISBLANK(E1261),"",_xlfn.XLOOKUP(E1261,cannabis_log!C:C,cannabis_log!T:T,"Not Found",0,))</f>
        <v>net</v>
      </c>
      <c r="O1261" s="180">
        <f>IF(N1261="net",_xlfn.XLOOKUP(E1261,cannabis_log!C:C,cannabis_log!N:N,"NOT FOUND",0,1),IF(N1261="gross",0,""))</f>
        <v>0.5</v>
      </c>
    </row>
    <row r="1262" spans="1:15">
      <c r="A1262" s="181" t="str">
        <f t="shared" si="61"/>
        <v>outbound</v>
      </c>
      <c r="B1262" s="182">
        <v>45727.564583333333</v>
      </c>
      <c r="C1262" s="183" t="s">
        <v>1929</v>
      </c>
      <c r="D1262" s="183" t="s">
        <v>2685</v>
      </c>
      <c r="E1262" s="215" t="s">
        <v>2698</v>
      </c>
      <c r="F1262" s="112" t="str">
        <f>IF(ISBLANK(E1262),"",_xlfn.XLOOKUP(E1262,cannabis_log!C:C,cannabis_log!J:J,"",0,))</f>
        <v>EX24111302G05</v>
      </c>
      <c r="G1262" s="112"/>
      <c r="H1262" s="112" t="str">
        <f>IF(ISBLANK(E1262),"",_xlfn.XLOOKUP(E1262,cannabis_log!C:C,cannabis_log!H:H,"",0,1))</f>
        <v>extract_inhaled_labelled</v>
      </c>
      <c r="I1262" s="113">
        <f>IF(ISBLANK(E1262),"",_xlfn.XLOOKUP(E1262,cannabis_log!C:C,cannabis_log!K:K,"NOT FOUND",0,1))</f>
        <v>45707</v>
      </c>
      <c r="J1262" s="185">
        <v>-12</v>
      </c>
      <c r="K1262" s="186">
        <f t="shared" si="63"/>
        <v>0</v>
      </c>
      <c r="L1262" s="288">
        <f t="shared" ref="L1262:L1325" si="64">IFERROR(J1262*O1262,"")</f>
        <v>-6</v>
      </c>
      <c r="M1262" s="24"/>
      <c r="N1262" s="112" t="str">
        <f>IF(ISBLANK(E1262),"",_xlfn.XLOOKUP(E1262,cannabis_log!C:C,cannabis_log!T:T,"Not Found",0,))</f>
        <v>net</v>
      </c>
      <c r="O1262" s="180">
        <f>IF(N1262="net",_xlfn.XLOOKUP(E1262,cannabis_log!C:C,cannabis_log!N:N,"NOT FOUND",0,1),IF(N1262="gross",0,""))</f>
        <v>0.5</v>
      </c>
    </row>
    <row r="1263" spans="1:15">
      <c r="A1263" s="181" t="str">
        <f t="shared" si="61"/>
        <v>outbound</v>
      </c>
      <c r="B1263" s="182">
        <v>45727.564583333333</v>
      </c>
      <c r="C1263" s="183" t="s">
        <v>1929</v>
      </c>
      <c r="D1263" s="183" t="s">
        <v>2685</v>
      </c>
      <c r="E1263" s="215" t="s">
        <v>2699</v>
      </c>
      <c r="F1263" s="112" t="str">
        <f>IF(ISBLANK(E1263),"",_xlfn.XLOOKUP(E1263,cannabis_log!C:C,cannabis_log!J:J,"",0,))</f>
        <v>EX24111306G05</v>
      </c>
      <c r="G1263" s="112"/>
      <c r="H1263" s="112" t="str">
        <f>IF(ISBLANK(E1263),"",_xlfn.XLOOKUP(E1263,cannabis_log!C:C,cannabis_log!H:H,"",0,1))</f>
        <v>extract_inhaled_labelled</v>
      </c>
      <c r="I1263" s="113">
        <f>IF(ISBLANK(E1263),"",_xlfn.XLOOKUP(E1263,cannabis_log!C:C,cannabis_log!K:K,"NOT FOUND",0,1))</f>
        <v>45623</v>
      </c>
      <c r="J1263" s="185">
        <v>-12</v>
      </c>
      <c r="K1263" s="186">
        <f t="shared" si="63"/>
        <v>0</v>
      </c>
      <c r="L1263" s="288">
        <f t="shared" si="64"/>
        <v>-6</v>
      </c>
      <c r="M1263" s="24"/>
      <c r="N1263" s="112" t="str">
        <f>IF(ISBLANK(E1263),"",_xlfn.XLOOKUP(E1263,cannabis_log!C:C,cannabis_log!T:T,"Not Found",0,))</f>
        <v>net</v>
      </c>
      <c r="O1263" s="180">
        <f>IF(N1263="net",_xlfn.XLOOKUP(E1263,cannabis_log!C:C,cannabis_log!N:N,"NOT FOUND",0,1),IF(N1263="gross",0,""))</f>
        <v>0.5</v>
      </c>
    </row>
    <row r="1264" spans="1:15">
      <c r="A1264" s="181" t="str">
        <f t="shared" si="61"/>
        <v>outbound</v>
      </c>
      <c r="B1264" s="182">
        <v>45727.564583333333</v>
      </c>
      <c r="C1264" s="183" t="s">
        <v>1929</v>
      </c>
      <c r="D1264" s="183" t="s">
        <v>2685</v>
      </c>
      <c r="E1264" s="215" t="s">
        <v>2700</v>
      </c>
      <c r="F1264" s="112" t="str">
        <f>IF(ISBLANK(E1264),"",_xlfn.XLOOKUP(E1264,cannabis_log!C:C,cannabis_log!J:J,"",0,))</f>
        <v>EX24111301G05</v>
      </c>
      <c r="G1264" s="112"/>
      <c r="H1264" s="112" t="str">
        <f>IF(ISBLANK(E1264),"",_xlfn.XLOOKUP(E1264,cannabis_log!C:C,cannabis_log!H:H,"",0,1))</f>
        <v>extract_inhaled_labelled</v>
      </c>
      <c r="I1264" s="113">
        <f>IF(ISBLANK(E1264),"",_xlfn.XLOOKUP(E1264,cannabis_log!C:C,cannabis_log!K:K,"NOT FOUND",0,1))</f>
        <v>45642</v>
      </c>
      <c r="J1264" s="185">
        <v>-12</v>
      </c>
      <c r="K1264" s="186">
        <f t="shared" si="63"/>
        <v>0</v>
      </c>
      <c r="L1264" s="288">
        <f t="shared" si="64"/>
        <v>-6</v>
      </c>
      <c r="M1264" s="24"/>
      <c r="N1264" s="112" t="str">
        <f>IF(ISBLANK(E1264),"",_xlfn.XLOOKUP(E1264,cannabis_log!C:C,cannabis_log!T:T,"Not Found",0,))</f>
        <v>net</v>
      </c>
      <c r="O1264" s="180">
        <f>IF(N1264="net",_xlfn.XLOOKUP(E1264,cannabis_log!C:C,cannabis_log!N:N,"NOT FOUND",0,1),IF(N1264="gross",0,""))</f>
        <v>0.5</v>
      </c>
    </row>
    <row r="1265" spans="1:15">
      <c r="A1265" s="181" t="str">
        <f t="shared" si="61"/>
        <v>outbound</v>
      </c>
      <c r="B1265" s="182">
        <v>45727.564583333333</v>
      </c>
      <c r="C1265" s="183" t="s">
        <v>1929</v>
      </c>
      <c r="D1265" s="183" t="s">
        <v>2685</v>
      </c>
      <c r="E1265" s="215" t="s">
        <v>2514</v>
      </c>
      <c r="F1265" s="112" t="str">
        <f>IF(ISBLANK(E1265),"",_xlfn.XLOOKUP(E1265,cannabis_log!C:C,cannabis_log!J:J,"",0,))</f>
        <v>EX25010907G1</v>
      </c>
      <c r="G1265" s="112"/>
      <c r="H1265" s="112" t="str">
        <f>IF(ISBLANK(E1265),"",_xlfn.XLOOKUP(E1265,cannabis_log!C:C,cannabis_log!H:H,"",0,1))</f>
        <v>extract_inhaled_labelled</v>
      </c>
      <c r="I1265" s="113">
        <f>IF(ISBLANK(E1265),"",_xlfn.XLOOKUP(E1265,cannabis_log!C:C,cannabis_log!K:K,"NOT FOUND",0,1))</f>
        <v>45666</v>
      </c>
      <c r="J1265" s="185">
        <v>-2</v>
      </c>
      <c r="K1265" s="186">
        <f t="shared" si="63"/>
        <v>0</v>
      </c>
      <c r="L1265" s="288">
        <f t="shared" si="64"/>
        <v>-2</v>
      </c>
      <c r="M1265" s="24"/>
      <c r="N1265" s="112" t="str">
        <f>IF(ISBLANK(E1265),"",_xlfn.XLOOKUP(E1265,cannabis_log!C:C,cannabis_log!T:T,"Not Found",0,))</f>
        <v>net</v>
      </c>
      <c r="O1265" s="180">
        <f>IF(N1265="net",_xlfn.XLOOKUP(E1265,cannabis_log!C:C,cannabis_log!N:N,"NOT FOUND",0,1),IF(N1265="gross",0,""))</f>
        <v>1</v>
      </c>
    </row>
    <row r="1266" spans="1:15">
      <c r="A1266" s="181" t="str">
        <f t="shared" si="61"/>
        <v>outbound</v>
      </c>
      <c r="B1266" s="182">
        <v>45727.629861111112</v>
      </c>
      <c r="C1266" s="183" t="s">
        <v>1929</v>
      </c>
      <c r="D1266" s="22" t="s">
        <v>2701</v>
      </c>
      <c r="E1266" s="215" t="s">
        <v>2702</v>
      </c>
      <c r="F1266" s="112" t="str">
        <f>IF(ISBLANK(E1266),"",_xlfn.XLOOKUP(E1266,cannabis_log!C:C,cannabis_log!J:J,"",0,))</f>
        <v>BS23101901G450</v>
      </c>
      <c r="G1266" s="112"/>
      <c r="H1266" s="112" t="str">
        <f>IF(ISBLANK(E1266),"",_xlfn.XLOOKUP(E1266,cannabis_log!C:C,cannabis_log!H:H,"",0,1))</f>
        <v>topical_labelled</v>
      </c>
      <c r="I1266" s="113">
        <f>IF(ISBLANK(E1266),"",_xlfn.XLOOKUP(E1266,cannabis_log!C:C,cannabis_log!K:K,"NOT FOUND",0,1))</f>
        <v>45629</v>
      </c>
      <c r="J1266" s="185">
        <v>-95</v>
      </c>
      <c r="K1266" s="186">
        <f t="shared" si="63"/>
        <v>0</v>
      </c>
      <c r="L1266" s="288">
        <f t="shared" si="64"/>
        <v>-42750</v>
      </c>
      <c r="M1266" s="24"/>
      <c r="N1266" s="112" t="str">
        <f>IF(ISBLANK(E1266),"",_xlfn.XLOOKUP(E1266,cannabis_log!C:C,cannabis_log!T:T,"Not Found",0,))</f>
        <v>net</v>
      </c>
      <c r="O1266" s="180">
        <f>IF(N1266="net",_xlfn.XLOOKUP(E1266,cannabis_log!C:C,cannabis_log!N:N,"NOT FOUND",0,1),IF(N1266="gross",0,""))</f>
        <v>450</v>
      </c>
    </row>
    <row r="1267" spans="1:15">
      <c r="A1267" s="181" t="str">
        <f t="shared" si="61"/>
        <v>outbound</v>
      </c>
      <c r="B1267" s="182">
        <v>45727.633333333331</v>
      </c>
      <c r="C1267" s="183" t="s">
        <v>1929</v>
      </c>
      <c r="D1267" s="22" t="s">
        <v>2701</v>
      </c>
      <c r="E1267" s="215" t="s">
        <v>2699</v>
      </c>
      <c r="F1267" s="112" t="str">
        <f>IF(ISBLANK(E1267),"",_xlfn.XLOOKUP(E1267,cannabis_log!C:C,cannabis_log!J:J,"",0,))</f>
        <v>EX24111306G05</v>
      </c>
      <c r="G1267" s="112"/>
      <c r="H1267" s="112" t="str">
        <f>IF(ISBLANK(E1267),"",_xlfn.XLOOKUP(E1267,cannabis_log!C:C,cannabis_log!H:H,"",0,1))</f>
        <v>extract_inhaled_labelled</v>
      </c>
      <c r="I1267" s="113">
        <f>IF(ISBLANK(E1267),"",_xlfn.XLOOKUP(E1267,cannabis_log!C:C,cannabis_log!K:K,"NOT FOUND",0,1))</f>
        <v>45623</v>
      </c>
      <c r="J1267" s="185">
        <v>-478</v>
      </c>
      <c r="K1267" s="186">
        <f t="shared" si="63"/>
        <v>0</v>
      </c>
      <c r="L1267" s="288">
        <f t="shared" si="64"/>
        <v>-239</v>
      </c>
      <c r="M1267" s="24"/>
      <c r="N1267" s="112" t="str">
        <f>IF(ISBLANK(E1267),"",_xlfn.XLOOKUP(E1267,cannabis_log!C:C,cannabis_log!T:T,"Not Found",0,))</f>
        <v>net</v>
      </c>
      <c r="O1267" s="180">
        <f>IF(N1267="net",_xlfn.XLOOKUP(E1267,cannabis_log!C:C,cannabis_log!N:N,"NOT FOUND",0,1),IF(N1267="gross",0,""))</f>
        <v>0.5</v>
      </c>
    </row>
    <row r="1268" spans="1:15">
      <c r="A1268" s="181" t="str">
        <f t="shared" si="61"/>
        <v>outbound</v>
      </c>
      <c r="B1268" s="182">
        <v>45727.633333333331</v>
      </c>
      <c r="C1268" s="183" t="s">
        <v>1929</v>
      </c>
      <c r="D1268" s="22" t="s">
        <v>2701</v>
      </c>
      <c r="E1268" s="215" t="s">
        <v>2703</v>
      </c>
      <c r="F1268" s="112" t="str">
        <f>IF(ISBLANK(E1268),"",_xlfn.XLOOKUP(E1268,cannabis_log!C:C,cannabis_log!J:J,"",0,))</f>
        <v>PR2501F5P10</v>
      </c>
      <c r="G1268" s="112"/>
      <c r="H1268" s="112" t="str">
        <f>IF(ISBLANK(E1268),"",_xlfn.XLOOKUP(E1268,cannabis_log!C:C,cannabis_log!H:H,"",0,1))</f>
        <v>preroll_labelled</v>
      </c>
      <c r="I1268" s="113">
        <f>IF(ISBLANK(E1268),"",_xlfn.XLOOKUP(E1268,cannabis_log!C:C,cannabis_log!K:K,"NOT FOUND",0,1))</f>
        <v>45707</v>
      </c>
      <c r="J1268" s="185">
        <v>-204</v>
      </c>
      <c r="K1268" s="186">
        <f t="shared" si="63"/>
        <v>0</v>
      </c>
      <c r="L1268" s="288">
        <f t="shared" si="64"/>
        <v>-1020</v>
      </c>
      <c r="M1268" s="24"/>
      <c r="N1268" s="112" t="str">
        <f>IF(ISBLANK(E1268),"",_xlfn.XLOOKUP(E1268,cannabis_log!C:C,cannabis_log!T:T,"Not Found",0,))</f>
        <v>net</v>
      </c>
      <c r="O1268" s="180">
        <f>IF(N1268="net",_xlfn.XLOOKUP(E1268,cannabis_log!C:C,cannabis_log!N:N,"NOT FOUND",0,1),IF(N1268="gross",0,""))</f>
        <v>5</v>
      </c>
    </row>
    <row r="1269" spans="1:15">
      <c r="A1269" s="181" t="str">
        <f t="shared" si="61"/>
        <v>outbound</v>
      </c>
      <c r="B1269" s="182">
        <v>45727.633333333331</v>
      </c>
      <c r="C1269" s="183" t="s">
        <v>1929</v>
      </c>
      <c r="D1269" s="22" t="s">
        <v>2701</v>
      </c>
      <c r="E1269" s="215" t="s">
        <v>2704</v>
      </c>
      <c r="F1269" s="112" t="str">
        <f>IF(ISBLANK(E1269),"",_xlfn.XLOOKUP(E1269,cannabis_log!C:C,cannabis_log!J:J,"",0,))</f>
        <v>PR2501F5</v>
      </c>
      <c r="G1269" s="112"/>
      <c r="H1269" s="112" t="str">
        <f>IF(ISBLANK(E1269),"",_xlfn.XLOOKUP(E1269,cannabis_log!C:C,cannabis_log!H:H,"",0,1))</f>
        <v>preroll_bulk</v>
      </c>
      <c r="I1269" s="113" t="str">
        <f>IF(ISBLANK(E1269),"",_xlfn.XLOOKUP(E1269,cannabis_log!C:C,cannabis_log!K:K,"NOT FOUND",0,1))</f>
        <v>NA</v>
      </c>
      <c r="J1269" s="185">
        <v>-12</v>
      </c>
      <c r="K1269" s="186">
        <f t="shared" si="63"/>
        <v>0</v>
      </c>
      <c r="L1269" s="288">
        <f t="shared" si="64"/>
        <v>-6</v>
      </c>
      <c r="M1269" s="24"/>
      <c r="N1269" s="112" t="str">
        <f>IF(ISBLANK(E1269),"",_xlfn.XLOOKUP(E1269,cannabis_log!C:C,cannabis_log!T:T,"Not Found",0,))</f>
        <v>net</v>
      </c>
      <c r="O1269" s="180">
        <f>IF(N1269="net",_xlfn.XLOOKUP(E1269,cannabis_log!C:C,cannabis_log!N:N,"NOT FOUND",0,1),IF(N1269="gross",0,""))</f>
        <v>0.5</v>
      </c>
    </row>
    <row r="1270" spans="1:15">
      <c r="A1270" s="181" t="str">
        <f t="shared" si="61"/>
        <v>outbound</v>
      </c>
      <c r="B1270" s="182">
        <v>45727.633333333331</v>
      </c>
      <c r="C1270" s="183" t="s">
        <v>1929</v>
      </c>
      <c r="D1270" s="22" t="s">
        <v>2701</v>
      </c>
      <c r="E1270" s="215" t="s">
        <v>2700</v>
      </c>
      <c r="F1270" s="112" t="str">
        <f>IF(ISBLANK(E1270),"",_xlfn.XLOOKUP(E1270,cannabis_log!C:C,cannabis_log!J:J,"",0,))</f>
        <v>EX24111301G05</v>
      </c>
      <c r="G1270" s="112"/>
      <c r="H1270" s="112" t="str">
        <f>IF(ISBLANK(E1270),"",_xlfn.XLOOKUP(E1270,cannabis_log!C:C,cannabis_log!H:H,"",0,1))</f>
        <v>extract_inhaled_labelled</v>
      </c>
      <c r="I1270" s="113">
        <f>IF(ISBLANK(E1270),"",_xlfn.XLOOKUP(E1270,cannabis_log!C:C,cannabis_log!K:K,"NOT FOUND",0,1))</f>
        <v>45642</v>
      </c>
      <c r="J1270" s="185">
        <v>-302</v>
      </c>
      <c r="K1270" s="186">
        <f t="shared" si="63"/>
        <v>0</v>
      </c>
      <c r="L1270" s="288">
        <f t="shared" si="64"/>
        <v>-151</v>
      </c>
      <c r="M1270" s="24"/>
      <c r="N1270" s="112" t="str">
        <f>IF(ISBLANK(E1270),"",_xlfn.XLOOKUP(E1270,cannabis_log!C:C,cannabis_log!T:T,"Not Found",0,))</f>
        <v>net</v>
      </c>
      <c r="O1270" s="180">
        <f>IF(N1270="net",_xlfn.XLOOKUP(E1270,cannabis_log!C:C,cannabis_log!N:N,"NOT FOUND",0,1),IF(N1270="gross",0,""))</f>
        <v>0.5</v>
      </c>
    </row>
    <row r="1271" spans="1:15">
      <c r="A1271" s="181" t="str">
        <f t="shared" si="61"/>
        <v>outbound</v>
      </c>
      <c r="B1271" s="182">
        <v>45727.633333333331</v>
      </c>
      <c r="C1271" s="183" t="s">
        <v>1929</v>
      </c>
      <c r="D1271" s="22" t="s">
        <v>2701</v>
      </c>
      <c r="E1271" s="215" t="s">
        <v>2705</v>
      </c>
      <c r="F1271" s="112" t="str">
        <f>IF(ISBLANK(E1271),"",_xlfn.XLOOKUP(E1271,cannabis_log!C:C,cannabis_log!J:J,"",0,))</f>
        <v>TP24120401G45</v>
      </c>
      <c r="G1271" s="112"/>
      <c r="H1271" s="112" t="str">
        <f>IF(ISBLANK(E1271),"",_xlfn.XLOOKUP(E1271,cannabis_log!C:C,cannabis_log!H:H,"",0,1))</f>
        <v>topical_labelled</v>
      </c>
      <c r="I1271" s="113">
        <f>IF(ISBLANK(E1271),"",_xlfn.XLOOKUP(E1271,cannabis_log!C:C,cannabis_log!K:K,"NOT FOUND",0,1))</f>
        <v>45638</v>
      </c>
      <c r="J1271" s="185">
        <v>-300</v>
      </c>
      <c r="K1271" s="186">
        <f t="shared" si="63"/>
        <v>0</v>
      </c>
      <c r="L1271" s="288">
        <f t="shared" si="64"/>
        <v>-13500</v>
      </c>
      <c r="M1271" s="24"/>
      <c r="N1271" s="112" t="str">
        <f>IF(ISBLANK(E1271),"",_xlfn.XLOOKUP(E1271,cannabis_log!C:C,cannabis_log!T:T,"Not Found",0,))</f>
        <v>net</v>
      </c>
      <c r="O1271" s="180">
        <f>IF(N1271="net",_xlfn.XLOOKUP(E1271,cannabis_log!C:C,cannabis_log!N:N,"NOT FOUND",0,1),IF(N1271="gross",0,""))</f>
        <v>45</v>
      </c>
    </row>
    <row r="1272" spans="1:15">
      <c r="A1272" s="181" t="str">
        <f t="shared" si="61"/>
        <v>outbound</v>
      </c>
      <c r="B1272" s="182">
        <v>45727.633333333331</v>
      </c>
      <c r="C1272" s="183" t="s">
        <v>1929</v>
      </c>
      <c r="D1272" s="22" t="s">
        <v>2701</v>
      </c>
      <c r="E1272" s="215" t="s">
        <v>2698</v>
      </c>
      <c r="F1272" s="112" t="str">
        <f>IF(ISBLANK(E1272),"",_xlfn.XLOOKUP(E1272,cannabis_log!C:C,cannabis_log!J:J,"",0,))</f>
        <v>EX24111302G05</v>
      </c>
      <c r="G1272" s="112"/>
      <c r="H1272" s="112" t="str">
        <f>IF(ISBLANK(E1272),"",_xlfn.XLOOKUP(E1272,cannabis_log!C:C,cannabis_log!H:H,"",0,1))</f>
        <v>extract_inhaled_labelled</v>
      </c>
      <c r="I1272" s="113">
        <f>IF(ISBLANK(E1272),"",_xlfn.XLOOKUP(E1272,cannabis_log!C:C,cannabis_log!K:K,"NOT FOUND",0,1))</f>
        <v>45707</v>
      </c>
      <c r="J1272" s="185">
        <v>-511</v>
      </c>
      <c r="K1272" s="186">
        <f t="shared" si="63"/>
        <v>0</v>
      </c>
      <c r="L1272" s="288">
        <f t="shared" si="64"/>
        <v>-255.5</v>
      </c>
      <c r="M1272" s="24"/>
      <c r="N1272" s="112" t="str">
        <f>IF(ISBLANK(E1272),"",_xlfn.XLOOKUP(E1272,cannabis_log!C:C,cannabis_log!T:T,"Not Found",0,))</f>
        <v>net</v>
      </c>
      <c r="O1272" s="180">
        <f>IF(N1272="net",_xlfn.XLOOKUP(E1272,cannabis_log!C:C,cannabis_log!N:N,"NOT FOUND",0,1),IF(N1272="gross",0,""))</f>
        <v>0.5</v>
      </c>
    </row>
    <row r="1273" spans="1:15">
      <c r="A1273" s="181" t="str">
        <f t="shared" si="61"/>
        <v>outbound</v>
      </c>
      <c r="B1273" s="182">
        <v>45727.633333333331</v>
      </c>
      <c r="C1273" s="183" t="s">
        <v>1929</v>
      </c>
      <c r="D1273" s="22" t="s">
        <v>2701</v>
      </c>
      <c r="E1273" s="215" t="s">
        <v>2706</v>
      </c>
      <c r="F1273" s="112" t="str">
        <f>IF(ISBLANK(E1273),"",_xlfn.XLOOKUP(E1273,cannabis_log!C:C,cannabis_log!J:J,"",0,))</f>
        <v>EX25010907G1</v>
      </c>
      <c r="G1273" s="112"/>
      <c r="H1273" s="112" t="str">
        <f>IF(ISBLANK(E1273),"",_xlfn.XLOOKUP(E1273,cannabis_log!C:C,cannabis_log!H:H,"",0,1))</f>
        <v>extract_inhaled_labelled</v>
      </c>
      <c r="I1273" s="113">
        <f>IF(ISBLANK(E1273),"",_xlfn.XLOOKUP(E1273,cannabis_log!C:C,cannabis_log!K:K,"NOT FOUND",0,1))</f>
        <v>45714</v>
      </c>
      <c r="J1273" s="185">
        <v>-240</v>
      </c>
      <c r="K1273" s="186">
        <f t="shared" si="63"/>
        <v>0</v>
      </c>
      <c r="L1273" s="288">
        <f t="shared" si="64"/>
        <v>-240</v>
      </c>
      <c r="M1273" s="24"/>
      <c r="N1273" s="112" t="str">
        <f>IF(ISBLANK(E1273),"",_xlfn.XLOOKUP(E1273,cannabis_log!C:C,cannabis_log!T:T,"Not Found",0,))</f>
        <v>net</v>
      </c>
      <c r="O1273" s="180">
        <f>IF(N1273="net",_xlfn.XLOOKUP(E1273,cannabis_log!C:C,cannabis_log!N:N,"NOT FOUND",0,1),IF(N1273="gross",0,""))</f>
        <v>1</v>
      </c>
    </row>
    <row r="1274" spans="1:15">
      <c r="A1274" s="181" t="str">
        <f t="shared" si="61"/>
        <v>outbound</v>
      </c>
      <c r="B1274" s="182">
        <v>45727.633333333331</v>
      </c>
      <c r="C1274" s="183" t="s">
        <v>1929</v>
      </c>
      <c r="D1274" s="22" t="s">
        <v>2701</v>
      </c>
      <c r="E1274" s="215" t="s">
        <v>2707</v>
      </c>
      <c r="F1274" s="112" t="str">
        <f>IF(ISBLANK(E1274),"",_xlfn.XLOOKUP(E1274,cannabis_log!C:C,cannabis_log!J:J,"",0,))</f>
        <v>EX25010601V30</v>
      </c>
      <c r="G1274" s="112"/>
      <c r="H1274" s="112" t="str">
        <f>IF(ISBLANK(E1274),"",_xlfn.XLOOKUP(E1274,cannabis_log!C:C,cannabis_log!H:H,"",0,1))</f>
        <v>extract_ingested_labelled</v>
      </c>
      <c r="I1274" s="113">
        <f>IF(ISBLANK(E1274),"",_xlfn.XLOOKUP(E1274,cannabis_log!C:C,cannabis_log!K:K,"NOT FOUND",0,1))</f>
        <v>45674</v>
      </c>
      <c r="J1274" s="185">
        <v>-87</v>
      </c>
      <c r="K1274" s="186">
        <f t="shared" si="63"/>
        <v>0</v>
      </c>
      <c r="L1274" s="288">
        <f t="shared" si="64"/>
        <v>-208904.40000000002</v>
      </c>
      <c r="M1274" s="24"/>
      <c r="N1274" s="112" t="str">
        <f>IF(ISBLANK(E1274),"",_xlfn.XLOOKUP(E1274,cannabis_log!C:C,cannabis_log!T:T,"Not Found",0,))</f>
        <v>net</v>
      </c>
      <c r="O1274" s="180">
        <f>IF(N1274="net",_xlfn.XLOOKUP(E1274,cannabis_log!C:C,cannabis_log!N:N,"NOT FOUND",0,1),IF(N1274="gross",0,""))</f>
        <v>2401.2000000000003</v>
      </c>
    </row>
    <row r="1275" spans="1:15">
      <c r="A1275" s="181" t="str">
        <f t="shared" si="61"/>
        <v>outbound</v>
      </c>
      <c r="B1275" s="182">
        <v>45727.633333333331</v>
      </c>
      <c r="C1275" s="183" t="s">
        <v>1929</v>
      </c>
      <c r="D1275" s="22" t="s">
        <v>2701</v>
      </c>
      <c r="E1275" s="215" t="s">
        <v>2708</v>
      </c>
      <c r="F1275" s="112" t="str">
        <f>IF(ISBLANK(E1275),"",_xlfn.XLOOKUP(E1275,cannabis_log!C:C,cannabis_log!J:J,"",0,))</f>
        <v>EX24101802V30</v>
      </c>
      <c r="G1275" s="112"/>
      <c r="H1275" s="112" t="str">
        <f>IF(ISBLANK(E1275),"",_xlfn.XLOOKUP(E1275,cannabis_log!C:C,cannabis_log!H:H,"",0,1))</f>
        <v>extract_ingested_labelled</v>
      </c>
      <c r="I1275" s="113">
        <f>IF(ISBLANK(E1275),"",_xlfn.XLOOKUP(E1275,cannabis_log!C:C,cannabis_log!K:K,"NOT FOUND",0,1))</f>
        <v>45588</v>
      </c>
      <c r="J1275" s="185">
        <v>-82</v>
      </c>
      <c r="K1275" s="186">
        <f t="shared" si="63"/>
        <v>0</v>
      </c>
      <c r="L1275" s="288">
        <f t="shared" si="64"/>
        <v>-2263.2000000000003</v>
      </c>
      <c r="M1275" s="24"/>
      <c r="N1275" s="112" t="str">
        <f>IF(ISBLANK(E1275),"",_xlfn.XLOOKUP(E1275,cannabis_log!C:C,cannabis_log!T:T,"Not Found",0,))</f>
        <v>net</v>
      </c>
      <c r="O1275" s="180">
        <f>IF(N1275="net",_xlfn.XLOOKUP(E1275,cannabis_log!C:C,cannabis_log!N:N,"NOT FOUND",0,1),IF(N1275="gross",0,""))</f>
        <v>27.6</v>
      </c>
    </row>
    <row r="1276" spans="1:15">
      <c r="A1276" s="181" t="str">
        <f t="shared" si="61"/>
        <v>outbound</v>
      </c>
      <c r="B1276" s="182">
        <v>45727.703472222223</v>
      </c>
      <c r="C1276" s="183" t="s">
        <v>1921</v>
      </c>
      <c r="D1276" s="22" t="s">
        <v>2709</v>
      </c>
      <c r="E1276" s="215" t="s">
        <v>2656</v>
      </c>
      <c r="F1276" s="112" t="str">
        <f>IF(ISBLANK(E1276),"",_xlfn.XLOOKUP(E1276,cannabis_log!C:C,cannabis_log!J:J,"",0,))</f>
        <v>PR2507</v>
      </c>
      <c r="G1276" s="112"/>
      <c r="H1276" s="112" t="str">
        <f>IF(ISBLANK(E1276),"",_xlfn.XLOOKUP(E1276,cannabis_log!C:C,cannabis_log!H:H,"",0,1))</f>
        <v>driedflower_milled_bulk</v>
      </c>
      <c r="I1276" s="113" t="str">
        <f>IF(ISBLANK(E1276),"",_xlfn.XLOOKUP(E1276,cannabis_log!C:C,cannabis_log!K:K,"NOT FOUND",0,1))</f>
        <v>NA</v>
      </c>
      <c r="J1276" s="185">
        <v>-1</v>
      </c>
      <c r="K1276" s="186">
        <v>-5915</v>
      </c>
      <c r="L1276" s="288">
        <f t="shared" si="64"/>
        <v>0</v>
      </c>
      <c r="M1276" s="24"/>
      <c r="N1276" s="112" t="str">
        <f>IF(ISBLANK(E1276),"",_xlfn.XLOOKUP(E1276,cannabis_log!C:C,cannabis_log!T:T,"Not Found",0,))</f>
        <v>gross</v>
      </c>
      <c r="O1276" s="180">
        <f>IF(N1276="net",_xlfn.XLOOKUP(E1276,cannabis_log!C:C,cannabis_log!N:N,"NOT FOUND",0,1),IF(N1276="gross",0,""))</f>
        <v>0</v>
      </c>
    </row>
    <row r="1277" spans="1:15">
      <c r="A1277" s="181" t="str">
        <f t="shared" si="61"/>
        <v>outbound</v>
      </c>
      <c r="B1277" s="182">
        <v>45728.561805555553</v>
      </c>
      <c r="C1277" s="183" t="s">
        <v>1929</v>
      </c>
      <c r="D1277" s="183" t="s">
        <v>2710</v>
      </c>
      <c r="E1277" s="215" t="s">
        <v>2693</v>
      </c>
      <c r="F1277" s="112" t="str">
        <f>IF(ISBLANK(E1277),"",_xlfn.XLOOKUP(E1277,cannabis_log!C:C,cannabis_log!J:J,"",0,))</f>
        <v>PR2406F5P3</v>
      </c>
      <c r="G1277" s="112"/>
      <c r="H1277" s="112" t="str">
        <f>IF(ISBLANK(E1277),"",_xlfn.XLOOKUP(E1277,cannabis_log!C:C,cannabis_log!H:H,"",0,1))</f>
        <v>preroll_labelled</v>
      </c>
      <c r="I1277" s="113">
        <f>IF(ISBLANK(E1277),"",_xlfn.XLOOKUP(E1277,cannabis_log!C:C,cannabis_log!K:K,"NOT FOUND",0,1))</f>
        <v>45457</v>
      </c>
      <c r="J1277" s="185">
        <v>-12</v>
      </c>
      <c r="K1277" s="186">
        <f t="shared" ref="K1277:K1309" si="65">IF(N1277="net",0,"")</f>
        <v>0</v>
      </c>
      <c r="L1277" s="288">
        <f t="shared" si="64"/>
        <v>-18</v>
      </c>
      <c r="M1277" s="24"/>
      <c r="N1277" s="112" t="str">
        <f>IF(ISBLANK(E1277),"",_xlfn.XLOOKUP(E1277,cannabis_log!C:C,cannabis_log!T:T,"Not Found",0,))</f>
        <v>net</v>
      </c>
      <c r="O1277" s="180">
        <f>IF(N1277="net",_xlfn.XLOOKUP(E1277,cannabis_log!C:C,cannabis_log!N:N,"NOT FOUND",0,1),IF(N1277="gross",0,""))</f>
        <v>1.5</v>
      </c>
    </row>
    <row r="1278" spans="1:15">
      <c r="A1278" s="181" t="str">
        <f t="shared" si="61"/>
        <v>outbound</v>
      </c>
      <c r="B1278" s="182">
        <v>45728.561805555553</v>
      </c>
      <c r="C1278" s="183" t="s">
        <v>1929</v>
      </c>
      <c r="D1278" s="183" t="s">
        <v>2710</v>
      </c>
      <c r="E1278" s="215" t="s">
        <v>2694</v>
      </c>
      <c r="F1278" s="112" t="str">
        <f>IF(ISBLANK(E1278),"",_xlfn.XLOOKUP(E1278,cannabis_log!C:C,cannabis_log!J:J,"",0,))</f>
        <v>PR21071201G1</v>
      </c>
      <c r="G1278" s="112"/>
      <c r="H1278" s="112" t="str">
        <f>IF(ISBLANK(E1278),"",_xlfn.XLOOKUP(E1278,cannabis_log!C:C,cannabis_log!H:H,"",0,1))</f>
        <v>preroll_labelled</v>
      </c>
      <c r="I1278" s="113">
        <f>IF(ISBLANK(E1278),"",_xlfn.XLOOKUP(E1278,cannabis_log!C:C,cannabis_log!K:K,"NOT FOUND",0,1))</f>
        <v>45685</v>
      </c>
      <c r="J1278" s="185">
        <v>-12</v>
      </c>
      <c r="K1278" s="186">
        <f t="shared" si="65"/>
        <v>0</v>
      </c>
      <c r="L1278" s="288">
        <f t="shared" si="64"/>
        <v>-12</v>
      </c>
      <c r="M1278" s="24"/>
      <c r="N1278" s="112" t="str">
        <f>IF(ISBLANK(E1278),"",_xlfn.XLOOKUP(E1278,cannabis_log!C:C,cannabis_log!T:T,"Not Found",0,))</f>
        <v>net</v>
      </c>
      <c r="O1278" s="180">
        <f>IF(N1278="net",_xlfn.XLOOKUP(E1278,cannabis_log!C:C,cannabis_log!N:N,"NOT FOUND",0,1),IF(N1278="gross",0,""))</f>
        <v>1</v>
      </c>
    </row>
    <row r="1279" spans="1:15">
      <c r="A1279" s="181" t="str">
        <f t="shared" si="61"/>
        <v>outbound</v>
      </c>
      <c r="B1279" s="182">
        <v>45728.561805555553</v>
      </c>
      <c r="C1279" s="183" t="s">
        <v>1929</v>
      </c>
      <c r="D1279" s="183" t="s">
        <v>2710</v>
      </c>
      <c r="E1279" s="215" t="s">
        <v>2691</v>
      </c>
      <c r="F1279" s="112" t="str">
        <f>IF(ISBLANK(E1279),"",_xlfn.XLOOKUP(E1279,cannabis_log!C:C,cannabis_log!J:J,"",0,))</f>
        <v>PR2407F5P3</v>
      </c>
      <c r="G1279" s="112"/>
      <c r="H1279" s="112" t="str">
        <f>IF(ISBLANK(E1279),"",_xlfn.XLOOKUP(E1279,cannabis_log!C:C,cannabis_log!H:H,"",0,1))</f>
        <v>preroll_labelled</v>
      </c>
      <c r="I1279" s="113">
        <f>IF(ISBLANK(E1279),"",_xlfn.XLOOKUP(E1279,cannabis_log!C:C,cannabis_log!K:K,"NOT FOUND",0,1))</f>
        <v>45447</v>
      </c>
      <c r="J1279" s="185">
        <v>-12</v>
      </c>
      <c r="K1279" s="186">
        <f t="shared" si="65"/>
        <v>0</v>
      </c>
      <c r="L1279" s="288">
        <f t="shared" si="64"/>
        <v>-18</v>
      </c>
      <c r="M1279" s="24"/>
      <c r="N1279" s="112" t="str">
        <f>IF(ISBLANK(E1279),"",_xlfn.XLOOKUP(E1279,cannabis_log!C:C,cannabis_log!T:T,"Not Found",0,))</f>
        <v>net</v>
      </c>
      <c r="O1279" s="180">
        <f>IF(N1279="net",_xlfn.XLOOKUP(E1279,cannabis_log!C:C,cannabis_log!N:N,"NOT FOUND",0,1),IF(N1279="gross",0,""))</f>
        <v>1.5</v>
      </c>
    </row>
    <row r="1280" spans="1:15">
      <c r="A1280" s="181" t="str">
        <f t="shared" si="61"/>
        <v>outbound</v>
      </c>
      <c r="B1280" s="182">
        <v>45728.561805555553</v>
      </c>
      <c r="C1280" s="183" t="s">
        <v>1929</v>
      </c>
      <c r="D1280" s="183" t="s">
        <v>2710</v>
      </c>
      <c r="E1280" s="215" t="s">
        <v>2711</v>
      </c>
      <c r="F1280" s="112" t="str">
        <f>IF(ISBLANK(E1280),"",_xlfn.XLOOKUP(E1280,cannabis_log!C:C,cannabis_log!J:J,"",0,))</f>
        <v>PR241005F5P3</v>
      </c>
      <c r="G1280" s="112"/>
      <c r="H1280" s="112" t="str">
        <f>IF(ISBLANK(E1280),"",_xlfn.XLOOKUP(E1280,cannabis_log!C:C,cannabis_log!H:H,"",0,1))</f>
        <v>preroll_labelled</v>
      </c>
      <c r="I1280" s="113">
        <f>IF(ISBLANK(E1280),"",_xlfn.XLOOKUP(E1280,cannabis_log!C:C,cannabis_log!K:K,"NOT FOUND",0,1))</f>
        <v>45575</v>
      </c>
      <c r="J1280" s="185">
        <v>-12</v>
      </c>
      <c r="K1280" s="186">
        <f t="shared" si="65"/>
        <v>0</v>
      </c>
      <c r="L1280" s="288">
        <f t="shared" si="64"/>
        <v>-18</v>
      </c>
      <c r="M1280" s="24"/>
      <c r="N1280" s="112" t="str">
        <f>IF(ISBLANK(E1280),"",_xlfn.XLOOKUP(E1280,cannabis_log!C:C,cannabis_log!T:T,"Not Found",0,))</f>
        <v>net</v>
      </c>
      <c r="O1280" s="180">
        <f>IF(N1280="net",_xlfn.XLOOKUP(E1280,cannabis_log!C:C,cannabis_log!N:N,"NOT FOUND",0,1),IF(N1280="gross",0,""))</f>
        <v>1.5</v>
      </c>
    </row>
    <row r="1281" spans="1:15">
      <c r="A1281" s="181" t="str">
        <f t="shared" ref="A1281:A1344" si="66">IF(ISBLANK(J1281),"",IF(J1281+K1281+L1281&lt;0,"outbound","inbound"))</f>
        <v>outbound</v>
      </c>
      <c r="B1281" s="182">
        <v>45728.561805555553</v>
      </c>
      <c r="C1281" s="183" t="s">
        <v>1929</v>
      </c>
      <c r="D1281" s="183" t="s">
        <v>2710</v>
      </c>
      <c r="E1281" s="215" t="s">
        <v>2712</v>
      </c>
      <c r="F1281" s="112" t="str">
        <f>IF(ISBLANK(E1281),"",_xlfn.XLOOKUP(E1281,cannabis_log!C:C,cannabis_log!J:J,"",0,))</f>
        <v>PR241003F5P3</v>
      </c>
      <c r="G1281" s="112"/>
      <c r="H1281" s="112" t="str">
        <f>IF(ISBLANK(E1281),"",_xlfn.XLOOKUP(E1281,cannabis_log!C:C,cannabis_log!H:H,"",0,1))</f>
        <v>preroll_labelled</v>
      </c>
      <c r="I1281" s="113">
        <f>IF(ISBLANK(E1281),"",_xlfn.XLOOKUP(E1281,cannabis_log!C:C,cannabis_log!K:K,"NOT FOUND",0,1))</f>
        <v>45575</v>
      </c>
      <c r="J1281" s="185">
        <v>-24</v>
      </c>
      <c r="K1281" s="186">
        <f t="shared" si="65"/>
        <v>0</v>
      </c>
      <c r="L1281" s="288">
        <f t="shared" si="64"/>
        <v>-36</v>
      </c>
      <c r="M1281" s="24"/>
      <c r="N1281" s="112" t="str">
        <f>IF(ISBLANK(E1281),"",_xlfn.XLOOKUP(E1281,cannabis_log!C:C,cannabis_log!T:T,"Not Found",0,))</f>
        <v>net</v>
      </c>
      <c r="O1281" s="180">
        <f>IF(N1281="net",_xlfn.XLOOKUP(E1281,cannabis_log!C:C,cannabis_log!N:N,"NOT FOUND",0,1),IF(N1281="gross",0,""))</f>
        <v>1.5</v>
      </c>
    </row>
    <row r="1282" spans="1:15">
      <c r="A1282" s="181" t="str">
        <f t="shared" si="66"/>
        <v>outbound</v>
      </c>
      <c r="B1282" s="182">
        <v>45728.561805555553</v>
      </c>
      <c r="C1282" s="183" t="s">
        <v>1929</v>
      </c>
      <c r="D1282" s="183" t="s">
        <v>2710</v>
      </c>
      <c r="E1282" s="215" t="s">
        <v>2696</v>
      </c>
      <c r="F1282" s="112" t="str">
        <f>IF(ISBLANK(E1282),"",_xlfn.XLOOKUP(E1282,cannabis_log!C:C,cannabis_log!J:J,"",0,))</f>
        <v>2024111801G7</v>
      </c>
      <c r="G1282" s="112"/>
      <c r="H1282" s="112" t="str">
        <f>IF(ISBLANK(E1282),"",_xlfn.XLOOKUP(E1282,cannabis_log!C:C,cannabis_log!H:H,"",0,1))</f>
        <v>driedflower_labelled</v>
      </c>
      <c r="I1282" s="113">
        <f>IF(ISBLANK(E1282),"",_xlfn.XLOOKUP(E1282,cannabis_log!C:C,cannabis_log!K:K,"NOT FOUND",0,1))</f>
        <v>45631</v>
      </c>
      <c r="J1282" s="185">
        <v>-1</v>
      </c>
      <c r="K1282" s="186">
        <f t="shared" si="65"/>
        <v>0</v>
      </c>
      <c r="L1282" s="288">
        <f t="shared" si="64"/>
        <v>-7</v>
      </c>
      <c r="M1282" s="24"/>
      <c r="N1282" s="112" t="str">
        <f>IF(ISBLANK(E1282),"",_xlfn.XLOOKUP(E1282,cannabis_log!C:C,cannabis_log!T:T,"Not Found",0,))</f>
        <v>net</v>
      </c>
      <c r="O1282" s="180">
        <f>IF(N1282="net",_xlfn.XLOOKUP(E1282,cannabis_log!C:C,cannabis_log!N:N,"NOT FOUND",0,1),IF(N1282="gross",0,""))</f>
        <v>7</v>
      </c>
    </row>
    <row r="1283" spans="1:15">
      <c r="A1283" s="181" t="str">
        <f t="shared" si="66"/>
        <v>outbound</v>
      </c>
      <c r="B1283" s="182">
        <v>45729.412499999999</v>
      </c>
      <c r="C1283" s="183" t="s">
        <v>1929</v>
      </c>
      <c r="D1283" s="183" t="s">
        <v>2713</v>
      </c>
      <c r="E1283" s="215" t="s">
        <v>2686</v>
      </c>
      <c r="F1283" s="112" t="str">
        <f>IF(ISBLANK(E1283),"",_xlfn.XLOOKUP(E1283,cannabis_log!C:C,cannabis_log!J:J,"",0,))</f>
        <v>EX25012101V50</v>
      </c>
      <c r="G1283" s="112"/>
      <c r="H1283" s="112" t="str">
        <f>IF(ISBLANK(E1283),"",_xlfn.XLOOKUP(E1283,cannabis_log!C:C,cannabis_log!H:H,"",0,1))</f>
        <v>extract_ingested_cased_BC</v>
      </c>
      <c r="I1283" s="113">
        <f>IF(ISBLANK(E1283),"",_xlfn.XLOOKUP(E1283,cannabis_log!C:C,cannabis_log!K:K,"NOT FOUND",0,1))</f>
        <v>45700</v>
      </c>
      <c r="J1283" s="185">
        <v>-1</v>
      </c>
      <c r="K1283" s="186">
        <f t="shared" si="65"/>
        <v>0</v>
      </c>
      <c r="L1283" s="288">
        <f t="shared" si="64"/>
        <v>-600</v>
      </c>
      <c r="M1283" s="24"/>
      <c r="N1283" s="112" t="str">
        <f>IF(ISBLANK(E1283),"",_xlfn.XLOOKUP(E1283,cannabis_log!C:C,cannabis_log!T:T,"Not Found",0,))</f>
        <v>net</v>
      </c>
      <c r="O1283" s="180">
        <f>IF(N1283="net",_xlfn.XLOOKUP(E1283,cannabis_log!C:C,cannabis_log!N:N,"NOT FOUND",0,1),IF(N1283="gross",0,""))</f>
        <v>600</v>
      </c>
    </row>
    <row r="1284" spans="1:15">
      <c r="A1284" s="181" t="str">
        <f t="shared" si="66"/>
        <v>outbound</v>
      </c>
      <c r="B1284" s="182">
        <v>45729.412499999999</v>
      </c>
      <c r="C1284" s="183" t="s">
        <v>1929</v>
      </c>
      <c r="D1284" s="183" t="s">
        <v>2713</v>
      </c>
      <c r="E1284" s="215" t="s">
        <v>2714</v>
      </c>
      <c r="F1284" s="112" t="str">
        <f>IF(ISBLANK(E1284),"",_xlfn.XLOOKUP(E1284,cannabis_log!C:C,cannabis_log!J:J,"",0,))</f>
        <v>EX24070901V50</v>
      </c>
      <c r="G1284" s="112"/>
      <c r="H1284" s="112" t="str">
        <f>IF(ISBLANK(E1284),"",_xlfn.XLOOKUP(E1284,cannabis_log!C:C,cannabis_log!H:H,"",0,1))</f>
        <v>extract_ingested_cased_BC</v>
      </c>
      <c r="I1284" s="113">
        <f>IF(ISBLANK(E1284),"",_xlfn.XLOOKUP(E1284,cannabis_log!C:C,cannabis_log!K:K,"NOT FOUND",0,1))</f>
        <v>45503</v>
      </c>
      <c r="J1284" s="185">
        <v>-1</v>
      </c>
      <c r="K1284" s="186">
        <f t="shared" si="65"/>
        <v>0</v>
      </c>
      <c r="L1284" s="288">
        <f t="shared" si="64"/>
        <v>-600</v>
      </c>
      <c r="M1284" s="24"/>
      <c r="N1284" s="112" t="str">
        <f>IF(ISBLANK(E1284),"",_xlfn.XLOOKUP(E1284,cannabis_log!C:C,cannabis_log!T:T,"Not Found",0,))</f>
        <v>net</v>
      </c>
      <c r="O1284" s="180">
        <f>IF(N1284="net",_xlfn.XLOOKUP(E1284,cannabis_log!C:C,cannabis_log!N:N,"NOT FOUND",0,1),IF(N1284="gross",0,""))</f>
        <v>600</v>
      </c>
    </row>
    <row r="1285" spans="1:15">
      <c r="A1285" s="181" t="str">
        <f t="shared" si="66"/>
        <v>outbound</v>
      </c>
      <c r="B1285" s="182">
        <v>45729.412499999999</v>
      </c>
      <c r="C1285" s="183" t="s">
        <v>1929</v>
      </c>
      <c r="D1285" s="183" t="s">
        <v>2713</v>
      </c>
      <c r="E1285" s="215" t="s">
        <v>2687</v>
      </c>
      <c r="F1285" s="112" t="str">
        <f>IF(ISBLANK(E1285),"",_xlfn.XLOOKUP(E1285,cannabis_log!C:C,cannabis_log!J:J,"",0,))</f>
        <v>EX25011501V50</v>
      </c>
      <c r="G1285" s="112"/>
      <c r="H1285" s="112" t="str">
        <f>IF(ISBLANK(E1285),"",_xlfn.XLOOKUP(E1285,cannabis_log!C:C,cannabis_log!H:H,"",0,1))</f>
        <v>extract_ingested_cased_BC</v>
      </c>
      <c r="I1285" s="113">
        <f>IF(ISBLANK(E1285),"",_xlfn.XLOOKUP(E1285,cannabis_log!C:C,cannabis_log!K:K,"NOT FOUND",0,1))</f>
        <v>45692</v>
      </c>
      <c r="J1285" s="185">
        <v>-1</v>
      </c>
      <c r="K1285" s="186">
        <f t="shared" si="65"/>
        <v>0</v>
      </c>
      <c r="L1285" s="288">
        <f t="shared" si="64"/>
        <v>-600</v>
      </c>
      <c r="M1285" s="24"/>
      <c r="N1285" s="112" t="str">
        <f>IF(ISBLANK(E1285),"",_xlfn.XLOOKUP(E1285,cannabis_log!C:C,cannabis_log!T:T,"Not Found",0,))</f>
        <v>net</v>
      </c>
      <c r="O1285" s="180">
        <f>IF(N1285="net",_xlfn.XLOOKUP(E1285,cannabis_log!C:C,cannabis_log!N:N,"NOT FOUND",0,1),IF(N1285="gross",0,""))</f>
        <v>600</v>
      </c>
    </row>
    <row r="1286" spans="1:15">
      <c r="A1286" s="181" t="str">
        <f t="shared" si="66"/>
        <v>outbound</v>
      </c>
      <c r="B1286" s="182">
        <v>45729.412499999999</v>
      </c>
      <c r="C1286" s="183" t="s">
        <v>1929</v>
      </c>
      <c r="D1286" s="183" t="s">
        <v>2713</v>
      </c>
      <c r="E1286" s="215" t="s">
        <v>2715</v>
      </c>
      <c r="F1286" s="112" t="str">
        <f>IF(ISBLANK(E1286),"",_xlfn.XLOOKUP(E1286,cannabis_log!C:C,cannabis_log!J:J,"",0,))</f>
        <v>PR21071201G1</v>
      </c>
      <c r="G1286" s="112"/>
      <c r="H1286" s="112" t="str">
        <f>IF(ISBLANK(E1286),"",_xlfn.XLOOKUP(E1286,cannabis_log!C:C,cannabis_log!H:H,"",0,1))</f>
        <v>preroll_cased_MB</v>
      </c>
      <c r="I1286" s="113">
        <f>IF(ISBLANK(E1286),"",_xlfn.XLOOKUP(E1286,cannabis_log!C:C,cannabis_log!K:K,"NOT FOUND",0,1))</f>
        <v>45685</v>
      </c>
      <c r="J1286" s="185">
        <v>-1</v>
      </c>
      <c r="K1286" s="186">
        <f t="shared" si="65"/>
        <v>0</v>
      </c>
      <c r="L1286" s="288">
        <f t="shared" si="64"/>
        <v>-24</v>
      </c>
      <c r="M1286" s="24"/>
      <c r="N1286" s="112" t="str">
        <f>IF(ISBLANK(E1286),"",_xlfn.XLOOKUP(E1286,cannabis_log!C:C,cannabis_log!T:T,"Not Found",0,))</f>
        <v>net</v>
      </c>
      <c r="O1286" s="180">
        <f>IF(N1286="net",_xlfn.XLOOKUP(E1286,cannabis_log!C:C,cannabis_log!N:N,"NOT FOUND",0,1),IF(N1286="gross",0,""))</f>
        <v>24</v>
      </c>
    </row>
    <row r="1287" spans="1:15">
      <c r="A1287" s="181" t="str">
        <f t="shared" si="66"/>
        <v>outbound</v>
      </c>
      <c r="B1287" s="182">
        <v>45729.412499999999</v>
      </c>
      <c r="C1287" s="183" t="s">
        <v>1929</v>
      </c>
      <c r="D1287" s="183" t="s">
        <v>2713</v>
      </c>
      <c r="E1287" s="215" t="s">
        <v>2695</v>
      </c>
      <c r="F1287" s="112" t="str">
        <f>IF(ISBLANK(E1287),"",_xlfn.XLOOKUP(E1287,cannabis_log!C:C,cannabis_log!J:J,"",0,))</f>
        <v>PR2406F1P1</v>
      </c>
      <c r="G1287" s="112"/>
      <c r="H1287" s="112" t="str">
        <f>IF(ISBLANK(E1287),"",_xlfn.XLOOKUP(E1287,cannabis_log!C:C,cannabis_log!H:H,"",0,1))</f>
        <v>preroll_labelled</v>
      </c>
      <c r="I1287" s="113">
        <f>IF(ISBLANK(E1287),"",_xlfn.XLOOKUP(E1287,cannabis_log!C:C,cannabis_log!K:K,"NOT FOUND",0,1))</f>
        <v>45462</v>
      </c>
      <c r="J1287" s="185">
        <v>-12</v>
      </c>
      <c r="K1287" s="186">
        <f t="shared" si="65"/>
        <v>0</v>
      </c>
      <c r="L1287" s="288">
        <f t="shared" si="64"/>
        <v>-12</v>
      </c>
      <c r="M1287" s="24"/>
      <c r="N1287" s="112" t="str">
        <f>IF(ISBLANK(E1287),"",_xlfn.XLOOKUP(E1287,cannabis_log!C:C,cannabis_log!T:T,"Not Found",0,))</f>
        <v>net</v>
      </c>
      <c r="O1287" s="180">
        <f>IF(N1287="net",_xlfn.XLOOKUP(E1287,cannabis_log!C:C,cannabis_log!N:N,"NOT FOUND",0,1),IF(N1287="gross",0,""))</f>
        <v>1</v>
      </c>
    </row>
    <row r="1288" spans="1:15">
      <c r="A1288" s="181" t="str">
        <f t="shared" si="66"/>
        <v>outbound</v>
      </c>
      <c r="B1288" s="182">
        <v>45729.412499999999</v>
      </c>
      <c r="C1288" s="183" t="s">
        <v>1929</v>
      </c>
      <c r="D1288" s="183" t="s">
        <v>2713</v>
      </c>
      <c r="E1288" s="215" t="s">
        <v>2692</v>
      </c>
      <c r="F1288" s="112" t="str">
        <f>IF(ISBLANK(E1288),"",_xlfn.XLOOKUP(E1288,cannabis_log!C:C,cannabis_log!J:J,"",0,))</f>
        <v>PR2301F5P3</v>
      </c>
      <c r="G1288" s="112"/>
      <c r="H1288" s="112" t="str">
        <f>IF(ISBLANK(E1288),"",_xlfn.XLOOKUP(E1288,cannabis_log!C:C,cannabis_log!H:H,"",0,1))</f>
        <v>preroll_labelled</v>
      </c>
      <c r="I1288" s="113">
        <f>IF(ISBLANK(E1288),"",_xlfn.XLOOKUP(E1288,cannabis_log!C:C,cannabis_log!K:K,"NOT FOUND",0,1))</f>
        <v>45457</v>
      </c>
      <c r="J1288" s="185">
        <v>-12</v>
      </c>
      <c r="K1288" s="186">
        <f t="shared" si="65"/>
        <v>0</v>
      </c>
      <c r="L1288" s="288">
        <f t="shared" si="64"/>
        <v>-18</v>
      </c>
      <c r="M1288" s="24"/>
      <c r="N1288" s="112" t="str">
        <f>IF(ISBLANK(E1288),"",_xlfn.XLOOKUP(E1288,cannabis_log!C:C,cannabis_log!T:T,"Not Found",0,))</f>
        <v>net</v>
      </c>
      <c r="O1288" s="180">
        <f>IF(N1288="net",_xlfn.XLOOKUP(E1288,cannabis_log!C:C,cannabis_log!N:N,"NOT FOUND",0,1),IF(N1288="gross",0,""))</f>
        <v>1.5</v>
      </c>
    </row>
    <row r="1289" spans="1:15">
      <c r="A1289" s="181" t="str">
        <f t="shared" si="66"/>
        <v>outbound</v>
      </c>
      <c r="B1289" s="182">
        <v>45729.412499999999</v>
      </c>
      <c r="C1289" s="183" t="s">
        <v>1929</v>
      </c>
      <c r="D1289" s="183" t="s">
        <v>2713</v>
      </c>
      <c r="E1289" s="215" t="s">
        <v>2716</v>
      </c>
      <c r="F1289" s="112" t="str">
        <f>IF(ISBLANK(E1289),"",_xlfn.XLOOKUP(E1289,cannabis_log!C:C,cannabis_log!J:J,"",0,))</f>
        <v>PR2407F5P3</v>
      </c>
      <c r="G1289" s="112"/>
      <c r="H1289" s="112" t="str">
        <f>IF(ISBLANK(E1289),"",_xlfn.XLOOKUP(E1289,cannabis_log!C:C,cannabis_log!H:H,"",0,1))</f>
        <v>preroll_labelled</v>
      </c>
      <c r="I1289" s="113">
        <f>IF(ISBLANK(E1289),"",_xlfn.XLOOKUP(E1289,cannabis_log!C:C,cannabis_log!K:K,"NOT FOUND",0,1))</f>
        <v>45447</v>
      </c>
      <c r="J1289" s="185">
        <v>-12</v>
      </c>
      <c r="K1289" s="186">
        <f t="shared" si="65"/>
        <v>0</v>
      </c>
      <c r="L1289" s="288">
        <f t="shared" si="64"/>
        <v>-18</v>
      </c>
      <c r="M1289" s="24"/>
      <c r="N1289" s="112" t="str">
        <f>IF(ISBLANK(E1289),"",_xlfn.XLOOKUP(E1289,cannabis_log!C:C,cannabis_log!T:T,"Not Found",0,))</f>
        <v>net</v>
      </c>
      <c r="O1289" s="180">
        <f>IF(N1289="net",_xlfn.XLOOKUP(E1289,cannabis_log!C:C,cannabis_log!N:N,"NOT FOUND",0,1),IF(N1289="gross",0,""))</f>
        <v>1.5</v>
      </c>
    </row>
    <row r="1290" spans="1:15">
      <c r="A1290" s="181" t="str">
        <f t="shared" si="66"/>
        <v>outbound</v>
      </c>
      <c r="B1290" s="182">
        <v>45729.412499999999</v>
      </c>
      <c r="C1290" s="183" t="s">
        <v>1929</v>
      </c>
      <c r="D1290" s="183" t="s">
        <v>2713</v>
      </c>
      <c r="E1290" s="215" t="s">
        <v>2693</v>
      </c>
      <c r="F1290" s="112" t="str">
        <f>IF(ISBLANK(E1290),"",_xlfn.XLOOKUP(E1290,cannabis_log!C:C,cannabis_log!J:J,"",0,))</f>
        <v>PR2406F5P3</v>
      </c>
      <c r="G1290" s="112"/>
      <c r="H1290" s="112" t="str">
        <f>IF(ISBLANK(E1290),"",_xlfn.XLOOKUP(E1290,cannabis_log!C:C,cannabis_log!H:H,"",0,1))</f>
        <v>preroll_labelled</v>
      </c>
      <c r="I1290" s="113">
        <f>IF(ISBLANK(E1290),"",_xlfn.XLOOKUP(E1290,cannabis_log!C:C,cannabis_log!K:K,"NOT FOUND",0,1))</f>
        <v>45457</v>
      </c>
      <c r="J1290" s="185">
        <v>-12</v>
      </c>
      <c r="K1290" s="186">
        <f t="shared" si="65"/>
        <v>0</v>
      </c>
      <c r="L1290" s="288">
        <f t="shared" si="64"/>
        <v>-18</v>
      </c>
      <c r="M1290" s="24"/>
      <c r="N1290" s="112" t="str">
        <f>IF(ISBLANK(E1290),"",_xlfn.XLOOKUP(E1290,cannabis_log!C:C,cannabis_log!T:T,"Not Found",0,))</f>
        <v>net</v>
      </c>
      <c r="O1290" s="180">
        <f>IF(N1290="net",_xlfn.XLOOKUP(E1290,cannabis_log!C:C,cannabis_log!N:N,"NOT FOUND",0,1),IF(N1290="gross",0,""))</f>
        <v>1.5</v>
      </c>
    </row>
    <row r="1291" spans="1:15">
      <c r="A1291" s="181" t="str">
        <f t="shared" si="66"/>
        <v>outbound</v>
      </c>
      <c r="B1291" s="182">
        <v>45729.415972222225</v>
      </c>
      <c r="C1291" s="183" t="s">
        <v>1929</v>
      </c>
      <c r="D1291" s="22" t="s">
        <v>2701</v>
      </c>
      <c r="E1291" s="215" t="s">
        <v>2717</v>
      </c>
      <c r="F1291" s="112" t="str">
        <f>IF(ISBLANK(E1291),"",_xlfn.XLOOKUP(E1291,cannabis_log!C:C,cannabis_log!J:J,"",0,))</f>
        <v>2024111803G7</v>
      </c>
      <c r="G1291" s="112"/>
      <c r="H1291" s="112" t="str">
        <f>IF(ISBLANK(E1291),"",_xlfn.XLOOKUP(E1291,cannabis_log!C:C,cannabis_log!H:H,"",0,1))</f>
        <v>driedflower_labelled</v>
      </c>
      <c r="I1291" s="113">
        <f>IF(ISBLANK(E1291),"",_xlfn.XLOOKUP(E1291,cannabis_log!C:C,cannabis_log!K:K,"NOT FOUND",0,1))</f>
        <v>45721</v>
      </c>
      <c r="J1291" s="185">
        <v>-225</v>
      </c>
      <c r="K1291" s="186">
        <f t="shared" si="65"/>
        <v>0</v>
      </c>
      <c r="L1291" s="288">
        <f t="shared" si="64"/>
        <v>-1575</v>
      </c>
      <c r="M1291" s="24"/>
      <c r="N1291" s="112" t="str">
        <f>IF(ISBLANK(E1291),"",_xlfn.XLOOKUP(E1291,cannabis_log!C:C,cannabis_log!T:T,"Not Found",0,))</f>
        <v>net</v>
      </c>
      <c r="O1291" s="180">
        <f>IF(N1291="net",_xlfn.XLOOKUP(E1291,cannabis_log!C:C,cannabis_log!N:N,"NOT FOUND",0,1),IF(N1291="gross",0,""))</f>
        <v>7</v>
      </c>
    </row>
    <row r="1292" spans="1:15">
      <c r="A1292" s="181" t="str">
        <f t="shared" si="66"/>
        <v>outbound</v>
      </c>
      <c r="B1292" s="182">
        <v>45729.4375</v>
      </c>
      <c r="C1292" s="183" t="s">
        <v>1929</v>
      </c>
      <c r="D1292" s="183" t="s">
        <v>2718</v>
      </c>
      <c r="E1292" s="215" t="s">
        <v>2712</v>
      </c>
      <c r="F1292" s="112" t="str">
        <f>IF(ISBLANK(E1292),"",_xlfn.XLOOKUP(E1292,cannabis_log!C:C,cannabis_log!J:J,"",0,))</f>
        <v>PR241003F5P3</v>
      </c>
      <c r="G1292" s="112"/>
      <c r="H1292" s="112" t="str">
        <f>IF(ISBLANK(E1292),"",_xlfn.XLOOKUP(E1292,cannabis_log!C:C,cannabis_log!H:H,"",0,1))</f>
        <v>preroll_labelled</v>
      </c>
      <c r="I1292" s="113">
        <f>IF(ISBLANK(E1292),"",_xlfn.XLOOKUP(E1292,cannabis_log!C:C,cannabis_log!K:K,"NOT FOUND",0,1))</f>
        <v>45575</v>
      </c>
      <c r="J1292" s="185">
        <v>-12</v>
      </c>
      <c r="K1292" s="186">
        <f t="shared" si="65"/>
        <v>0</v>
      </c>
      <c r="L1292" s="288">
        <f t="shared" si="64"/>
        <v>-18</v>
      </c>
      <c r="M1292" s="24"/>
      <c r="N1292" s="112" t="str">
        <f>IF(ISBLANK(E1292),"",_xlfn.XLOOKUP(E1292,cannabis_log!C:C,cannabis_log!T:T,"Not Found",0,))</f>
        <v>net</v>
      </c>
      <c r="O1292" s="180">
        <f>IF(N1292="net",_xlfn.XLOOKUP(E1292,cannabis_log!C:C,cannabis_log!N:N,"NOT FOUND",0,1),IF(N1292="gross",0,""))</f>
        <v>1.5</v>
      </c>
    </row>
    <row r="1293" spans="1:15">
      <c r="A1293" s="181" t="str">
        <f t="shared" si="66"/>
        <v>outbound</v>
      </c>
      <c r="B1293" s="182">
        <v>45729.4375</v>
      </c>
      <c r="C1293" s="183" t="s">
        <v>1929</v>
      </c>
      <c r="D1293" s="183" t="s">
        <v>2718</v>
      </c>
      <c r="E1293" s="215" t="s">
        <v>2719</v>
      </c>
      <c r="F1293" s="112" t="str">
        <f>IF(ISBLANK(E1293),"",_xlfn.XLOOKUP(E1293,cannabis_log!C:C,cannabis_log!J:J,"",0,))</f>
        <v>PR241104F5P3</v>
      </c>
      <c r="G1293" s="112"/>
      <c r="H1293" s="112" t="str">
        <f>IF(ISBLANK(E1293),"",_xlfn.XLOOKUP(E1293,cannabis_log!C:C,cannabis_log!H:H,"",0,1))</f>
        <v>preroll_labelled</v>
      </c>
      <c r="I1293" s="113">
        <f>IF(ISBLANK(E1293),"",_xlfn.XLOOKUP(E1293,cannabis_log!C:C,cannabis_log!K:K,"NOT FOUND",0,1))</f>
        <v>45630</v>
      </c>
      <c r="J1293" s="185">
        <v>-12</v>
      </c>
      <c r="K1293" s="186">
        <f t="shared" si="65"/>
        <v>0</v>
      </c>
      <c r="L1293" s="288">
        <f t="shared" si="64"/>
        <v>-18</v>
      </c>
      <c r="M1293" s="24"/>
      <c r="N1293" s="112" t="str">
        <f>IF(ISBLANK(E1293),"",_xlfn.XLOOKUP(E1293,cannabis_log!C:C,cannabis_log!T:T,"Not Found",0,))</f>
        <v>net</v>
      </c>
      <c r="O1293" s="180">
        <f>IF(N1293="net",_xlfn.XLOOKUP(E1293,cannabis_log!C:C,cannabis_log!N:N,"NOT FOUND",0,1),IF(N1293="gross",0,""))</f>
        <v>1.5</v>
      </c>
    </row>
    <row r="1294" spans="1:15">
      <c r="A1294" s="181" t="str">
        <f t="shared" si="66"/>
        <v>outbound</v>
      </c>
      <c r="B1294" s="182">
        <v>45729.459027777775</v>
      </c>
      <c r="C1294" s="183" t="s">
        <v>1929</v>
      </c>
      <c r="D1294" s="183" t="s">
        <v>2718</v>
      </c>
      <c r="E1294" s="215" t="s">
        <v>2720</v>
      </c>
      <c r="F1294" s="112" t="str">
        <f>IF(ISBLANK(E1294),"",_xlfn.XLOOKUP(E1294,cannabis_log!C:C,cannabis_log!J:J,"",0,))</f>
        <v>PR241101F5P3</v>
      </c>
      <c r="G1294" s="112"/>
      <c r="H1294" s="112" t="str">
        <f>IF(ISBLANK(E1294),"",_xlfn.XLOOKUP(E1294,cannabis_log!C:C,cannabis_log!H:H,"",0,1))</f>
        <v>preroll_labelled</v>
      </c>
      <c r="I1294" s="113">
        <f>IF(ISBLANK(E1294),"",_xlfn.XLOOKUP(E1294,cannabis_log!C:C,cannabis_log!K:K,"NOT FOUND",0,1))</f>
        <v>45707</v>
      </c>
      <c r="J1294" s="185">
        <v>-11</v>
      </c>
      <c r="K1294" s="186">
        <f t="shared" si="65"/>
        <v>0</v>
      </c>
      <c r="L1294" s="288">
        <f t="shared" si="64"/>
        <v>-16.5</v>
      </c>
      <c r="M1294" s="24"/>
      <c r="N1294" s="112" t="str">
        <f>IF(ISBLANK(E1294),"",_xlfn.XLOOKUP(E1294,cannabis_log!C:C,cannabis_log!T:T,"Not Found",0,))</f>
        <v>net</v>
      </c>
      <c r="O1294" s="180">
        <f>IF(N1294="net",_xlfn.XLOOKUP(E1294,cannabis_log!C:C,cannabis_log!N:N,"NOT FOUND",0,1),IF(N1294="gross",0,""))</f>
        <v>1.5</v>
      </c>
    </row>
    <row r="1295" spans="1:15">
      <c r="A1295" s="181" t="str">
        <f t="shared" si="66"/>
        <v>outbound</v>
      </c>
      <c r="B1295" s="182">
        <v>45729.459027777775</v>
      </c>
      <c r="C1295" s="183" t="s">
        <v>1929</v>
      </c>
      <c r="D1295" s="183" t="s">
        <v>2718</v>
      </c>
      <c r="E1295" s="215" t="s">
        <v>2721</v>
      </c>
      <c r="F1295" s="112" t="str">
        <f>IF(ISBLANK(E1295),"",_xlfn.XLOOKUP(E1295,cannabis_log!C:C,cannabis_log!J:J,"",0,))</f>
        <v>PR241101F5P3</v>
      </c>
      <c r="G1295" s="112"/>
      <c r="H1295" s="112" t="str">
        <f>IF(ISBLANK(E1295),"",_xlfn.XLOOKUP(E1295,cannabis_log!C:C,cannabis_log!H:H,"",0,1))</f>
        <v>preroll_labelled</v>
      </c>
      <c r="I1295" s="113">
        <f>IF(ISBLANK(E1295),"",_xlfn.XLOOKUP(E1295,cannabis_log!C:C,cannabis_log!K:K,"NOT FOUND",0,1))</f>
        <v>45574</v>
      </c>
      <c r="J1295" s="185">
        <v>-13</v>
      </c>
      <c r="K1295" s="186">
        <f t="shared" si="65"/>
        <v>0</v>
      </c>
      <c r="L1295" s="288">
        <f t="shared" si="64"/>
        <v>-19.5</v>
      </c>
      <c r="M1295" s="24"/>
      <c r="N1295" s="112" t="str">
        <f>IF(ISBLANK(E1295),"",_xlfn.XLOOKUP(E1295,cannabis_log!C:C,cannabis_log!T:T,"Not Found",0,))</f>
        <v>net</v>
      </c>
      <c r="O1295" s="180">
        <f>IF(N1295="net",_xlfn.XLOOKUP(E1295,cannabis_log!C:C,cannabis_log!N:N,"NOT FOUND",0,1),IF(N1295="gross",0,""))</f>
        <v>1.5</v>
      </c>
    </row>
    <row r="1296" spans="1:15">
      <c r="A1296" s="181" t="str">
        <f t="shared" si="66"/>
        <v>outbound</v>
      </c>
      <c r="B1296" s="182">
        <v>45729.486111111109</v>
      </c>
      <c r="C1296" s="183" t="s">
        <v>1929</v>
      </c>
      <c r="D1296" s="22" t="s">
        <v>2701</v>
      </c>
      <c r="E1296" s="215" t="s">
        <v>2722</v>
      </c>
      <c r="F1296" s="112" t="str">
        <f>IF(ISBLANK(E1296),"",_xlfn.XLOOKUP(E1296,cannabis_log!C:C,cannabis_log!J:J,"",0,))</f>
        <v>PR2301F35P12</v>
      </c>
      <c r="G1296" s="112"/>
      <c r="H1296" s="112" t="str">
        <f>IF(ISBLANK(E1296),"",_xlfn.XLOOKUP(E1296,cannabis_log!C:C,cannabis_log!H:H,"",0,1))</f>
        <v>preroll_labelled</v>
      </c>
      <c r="I1296" s="113">
        <f>IF(ISBLANK(E1296),"",_xlfn.XLOOKUP(E1296,cannabis_log!C:C,cannabis_log!K:K,"NOT FOUND",0,1))</f>
        <v>45649</v>
      </c>
      <c r="J1296" s="185">
        <v>-192</v>
      </c>
      <c r="K1296" s="186">
        <f t="shared" si="65"/>
        <v>0</v>
      </c>
      <c r="L1296" s="288">
        <f t="shared" si="64"/>
        <v>-806.39999999999986</v>
      </c>
      <c r="M1296" s="24"/>
      <c r="N1296" s="112" t="str">
        <f>IF(ISBLANK(E1296),"",_xlfn.XLOOKUP(E1296,cannabis_log!C:C,cannabis_log!T:T,"Not Found",0,))</f>
        <v>net</v>
      </c>
      <c r="O1296" s="180">
        <f>IF(N1296="net",_xlfn.XLOOKUP(E1296,cannabis_log!C:C,cannabis_log!N:N,"NOT FOUND",0,1),IF(N1296="gross",0,""))</f>
        <v>4.1999999999999993</v>
      </c>
    </row>
    <row r="1297" spans="1:15">
      <c r="A1297" s="181" t="str">
        <f t="shared" si="66"/>
        <v>outbound</v>
      </c>
      <c r="B1297" s="182">
        <v>45729.517361111109</v>
      </c>
      <c r="C1297" s="183" t="s">
        <v>1929</v>
      </c>
      <c r="D1297" s="183" t="s">
        <v>2723</v>
      </c>
      <c r="E1297" s="215" t="s">
        <v>2724</v>
      </c>
      <c r="F1297" s="112" t="str">
        <f>IF(ISBLANK(E1297),"",_xlfn.XLOOKUP(E1297,cannabis_log!C:C,cannabis_log!J:J,"",0,))</f>
        <v>PR241102F5P3</v>
      </c>
      <c r="G1297" s="112"/>
      <c r="H1297" s="112" t="str">
        <f>IF(ISBLANK(E1297),"",_xlfn.XLOOKUP(E1297,cannabis_log!C:C,cannabis_log!H:H,"",0,1))</f>
        <v>preroll_labelled</v>
      </c>
      <c r="I1297" s="113">
        <f>IF(ISBLANK(E1297),"",_xlfn.XLOOKUP(E1297,cannabis_log!C:C,cannabis_log!K:K,"NOT FOUND",0,1))</f>
        <v>45660</v>
      </c>
      <c r="J1297" s="185">
        <v>-24</v>
      </c>
      <c r="K1297" s="186">
        <f t="shared" si="65"/>
        <v>0</v>
      </c>
      <c r="L1297" s="288">
        <f t="shared" si="64"/>
        <v>-36</v>
      </c>
      <c r="M1297" s="24"/>
      <c r="N1297" s="112" t="str">
        <f>IF(ISBLANK(E1297),"",_xlfn.XLOOKUP(E1297,cannabis_log!C:C,cannabis_log!T:T,"Not Found",0,))</f>
        <v>net</v>
      </c>
      <c r="O1297" s="180">
        <f>IF(N1297="net",_xlfn.XLOOKUP(E1297,cannabis_log!C:C,cannabis_log!N:N,"NOT FOUND",0,1),IF(N1297="gross",0,""))</f>
        <v>1.5</v>
      </c>
    </row>
    <row r="1298" spans="1:15">
      <c r="A1298" s="181" t="str">
        <f t="shared" si="66"/>
        <v>outbound</v>
      </c>
      <c r="B1298" s="182">
        <v>45729.517361111109</v>
      </c>
      <c r="C1298" s="183" t="s">
        <v>1929</v>
      </c>
      <c r="D1298" s="183" t="s">
        <v>2723</v>
      </c>
      <c r="E1298" s="215" t="s">
        <v>2692</v>
      </c>
      <c r="F1298" s="112" t="str">
        <f>IF(ISBLANK(E1298),"",_xlfn.XLOOKUP(E1298,cannabis_log!C:C,cannabis_log!J:J,"",0,))</f>
        <v>PR2301F5P3</v>
      </c>
      <c r="G1298" s="112"/>
      <c r="H1298" s="112" t="str">
        <f>IF(ISBLANK(E1298),"",_xlfn.XLOOKUP(E1298,cannabis_log!C:C,cannabis_log!H:H,"",0,1))</f>
        <v>preroll_labelled</v>
      </c>
      <c r="I1298" s="113">
        <f>IF(ISBLANK(E1298),"",_xlfn.XLOOKUP(E1298,cannabis_log!C:C,cannabis_log!K:K,"NOT FOUND",0,1))</f>
        <v>45457</v>
      </c>
      <c r="J1298" s="185">
        <v>-24</v>
      </c>
      <c r="K1298" s="186">
        <f t="shared" si="65"/>
        <v>0</v>
      </c>
      <c r="L1298" s="288">
        <f t="shared" si="64"/>
        <v>-36</v>
      </c>
      <c r="M1298" s="24"/>
      <c r="N1298" s="112" t="str">
        <f>IF(ISBLANK(E1298),"",_xlfn.XLOOKUP(E1298,cannabis_log!C:C,cannabis_log!T:T,"Not Found",0,))</f>
        <v>net</v>
      </c>
      <c r="O1298" s="180">
        <f>IF(N1298="net",_xlfn.XLOOKUP(E1298,cannabis_log!C:C,cannabis_log!N:N,"NOT FOUND",0,1),IF(N1298="gross",0,""))</f>
        <v>1.5</v>
      </c>
    </row>
    <row r="1299" spans="1:15">
      <c r="A1299" s="181" t="str">
        <f t="shared" si="66"/>
        <v>outbound</v>
      </c>
      <c r="B1299" s="182">
        <v>45729.517361111109</v>
      </c>
      <c r="C1299" s="183" t="s">
        <v>1921</v>
      </c>
      <c r="D1299" s="183" t="s">
        <v>2725</v>
      </c>
      <c r="E1299" s="215" t="s">
        <v>2695</v>
      </c>
      <c r="F1299" s="112" t="str">
        <f>IF(ISBLANK(E1299),"",_xlfn.XLOOKUP(E1299,cannabis_log!C:C,cannabis_log!J:J,"",0,))</f>
        <v>PR2406F1P1</v>
      </c>
      <c r="G1299" s="112"/>
      <c r="H1299" s="112" t="str">
        <f>IF(ISBLANK(E1299),"",_xlfn.XLOOKUP(E1299,cannabis_log!C:C,cannabis_log!H:H,"",0,1))</f>
        <v>preroll_labelled</v>
      </c>
      <c r="I1299" s="113">
        <f>IF(ISBLANK(E1299),"",_xlfn.XLOOKUP(E1299,cannabis_log!C:C,cannabis_log!K:K,"NOT FOUND",0,1))</f>
        <v>45462</v>
      </c>
      <c r="J1299" s="185">
        <v>-522</v>
      </c>
      <c r="K1299" s="186">
        <f t="shared" si="65"/>
        <v>0</v>
      </c>
      <c r="L1299" s="288">
        <f t="shared" si="64"/>
        <v>-522</v>
      </c>
      <c r="M1299" s="24"/>
      <c r="N1299" s="112" t="str">
        <f>IF(ISBLANK(E1299),"",_xlfn.XLOOKUP(E1299,cannabis_log!C:C,cannabis_log!T:T,"Not Found",0,))</f>
        <v>net</v>
      </c>
      <c r="O1299" s="180">
        <f>IF(N1299="net",_xlfn.XLOOKUP(E1299,cannabis_log!C:C,cannabis_log!N:N,"NOT FOUND",0,1),IF(N1299="gross",0,""))</f>
        <v>1</v>
      </c>
    </row>
    <row r="1300" spans="1:15">
      <c r="A1300" s="181" t="str">
        <f t="shared" si="66"/>
        <v>outbound</v>
      </c>
      <c r="B1300" s="182">
        <v>45729.517361111109</v>
      </c>
      <c r="C1300" s="183" t="s">
        <v>1921</v>
      </c>
      <c r="D1300" s="183" t="s">
        <v>2725</v>
      </c>
      <c r="E1300" s="215" t="s">
        <v>2692</v>
      </c>
      <c r="F1300" s="112" t="str">
        <f>IF(ISBLANK(E1300),"",_xlfn.XLOOKUP(E1300,cannabis_log!C:C,cannabis_log!J:J,"",0,))</f>
        <v>PR2301F5P3</v>
      </c>
      <c r="G1300" s="112"/>
      <c r="H1300" s="112" t="str">
        <f>IF(ISBLANK(E1300),"",_xlfn.XLOOKUP(E1300,cannabis_log!C:C,cannabis_log!H:H,"",0,1))</f>
        <v>preroll_labelled</v>
      </c>
      <c r="I1300" s="113">
        <f>IF(ISBLANK(E1300),"",_xlfn.XLOOKUP(E1300,cannabis_log!C:C,cannabis_log!K:K,"NOT FOUND",0,1))</f>
        <v>45457</v>
      </c>
      <c r="J1300" s="185">
        <v>-168</v>
      </c>
      <c r="K1300" s="186">
        <f t="shared" si="65"/>
        <v>0</v>
      </c>
      <c r="L1300" s="288">
        <f t="shared" si="64"/>
        <v>-252</v>
      </c>
      <c r="M1300" s="24"/>
      <c r="N1300" s="112" t="str">
        <f>IF(ISBLANK(E1300),"",_xlfn.XLOOKUP(E1300,cannabis_log!C:C,cannabis_log!T:T,"Not Found",0,))</f>
        <v>net</v>
      </c>
      <c r="O1300" s="180">
        <f>IF(N1300="net",_xlfn.XLOOKUP(E1300,cannabis_log!C:C,cannabis_log!N:N,"NOT FOUND",0,1),IF(N1300="gross",0,""))</f>
        <v>1.5</v>
      </c>
    </row>
    <row r="1301" spans="1:15">
      <c r="A1301" s="181" t="str">
        <f t="shared" si="66"/>
        <v>outbound</v>
      </c>
      <c r="B1301" s="182">
        <v>45729.517361111109</v>
      </c>
      <c r="C1301" s="183" t="s">
        <v>1921</v>
      </c>
      <c r="D1301" s="183" t="s">
        <v>2725</v>
      </c>
      <c r="E1301" s="215" t="s">
        <v>2693</v>
      </c>
      <c r="F1301" s="112" t="str">
        <f>IF(ISBLANK(E1301),"",_xlfn.XLOOKUP(E1301,cannabis_log!C:C,cannabis_log!J:J,"",0,))</f>
        <v>PR2406F5P3</v>
      </c>
      <c r="G1301" s="112"/>
      <c r="H1301" s="112" t="str">
        <f>IF(ISBLANK(E1301),"",_xlfn.XLOOKUP(E1301,cannabis_log!C:C,cannabis_log!H:H,"",0,1))</f>
        <v>preroll_labelled</v>
      </c>
      <c r="I1301" s="113">
        <f>IF(ISBLANK(E1301),"",_xlfn.XLOOKUP(E1301,cannabis_log!C:C,cannabis_log!K:K,"NOT FOUND",0,1))</f>
        <v>45457</v>
      </c>
      <c r="J1301" s="185">
        <v>-48</v>
      </c>
      <c r="K1301" s="186">
        <f t="shared" si="65"/>
        <v>0</v>
      </c>
      <c r="L1301" s="288">
        <f t="shared" si="64"/>
        <v>-72</v>
      </c>
      <c r="M1301" s="24"/>
      <c r="N1301" s="112" t="str">
        <f>IF(ISBLANK(E1301),"",_xlfn.XLOOKUP(E1301,cannabis_log!C:C,cannabis_log!T:T,"Not Found",0,))</f>
        <v>net</v>
      </c>
      <c r="O1301" s="180">
        <f>IF(N1301="net",_xlfn.XLOOKUP(E1301,cannabis_log!C:C,cannabis_log!N:N,"NOT FOUND",0,1),IF(N1301="gross",0,""))</f>
        <v>1.5</v>
      </c>
    </row>
    <row r="1302" spans="1:15">
      <c r="A1302" s="181" t="str">
        <f t="shared" si="66"/>
        <v>outbound</v>
      </c>
      <c r="B1302" s="182">
        <v>45729.517361111109</v>
      </c>
      <c r="C1302" s="183" t="s">
        <v>1921</v>
      </c>
      <c r="D1302" s="183" t="s">
        <v>2725</v>
      </c>
      <c r="E1302" s="215" t="s">
        <v>2716</v>
      </c>
      <c r="F1302" s="112" t="str">
        <f>IF(ISBLANK(E1302),"",_xlfn.XLOOKUP(E1302,cannabis_log!C:C,cannabis_log!J:J,"",0,))</f>
        <v>PR2407F5P3</v>
      </c>
      <c r="G1302" s="112"/>
      <c r="H1302" s="112" t="str">
        <f>IF(ISBLANK(E1302),"",_xlfn.XLOOKUP(E1302,cannabis_log!C:C,cannabis_log!H:H,"",0,1))</f>
        <v>preroll_labelled</v>
      </c>
      <c r="I1302" s="113">
        <f>IF(ISBLANK(E1302),"",_xlfn.XLOOKUP(E1302,cannabis_log!C:C,cannabis_log!K:K,"NOT FOUND",0,1))</f>
        <v>45447</v>
      </c>
      <c r="J1302" s="185">
        <v>-197</v>
      </c>
      <c r="K1302" s="186">
        <f t="shared" si="65"/>
        <v>0</v>
      </c>
      <c r="L1302" s="288">
        <f t="shared" si="64"/>
        <v>-295.5</v>
      </c>
      <c r="M1302" s="24"/>
      <c r="N1302" s="112" t="str">
        <f>IF(ISBLANK(E1302),"",_xlfn.XLOOKUP(E1302,cannabis_log!C:C,cannabis_log!T:T,"Not Found",0,))</f>
        <v>net</v>
      </c>
      <c r="O1302" s="180">
        <f>IF(N1302="net",_xlfn.XLOOKUP(E1302,cannabis_log!C:C,cannabis_log!N:N,"NOT FOUND",0,1),IF(N1302="gross",0,""))</f>
        <v>1.5</v>
      </c>
    </row>
    <row r="1303" spans="1:15">
      <c r="A1303" s="181" t="str">
        <f t="shared" si="66"/>
        <v>outbound</v>
      </c>
      <c r="B1303" s="182">
        <v>45729.65347222222</v>
      </c>
      <c r="C1303" s="183" t="s">
        <v>1921</v>
      </c>
      <c r="D1303" s="22" t="s">
        <v>2701</v>
      </c>
      <c r="E1303" s="215" t="s">
        <v>2726</v>
      </c>
      <c r="F1303" s="112" t="str">
        <f>IF(ISBLANK(E1303),"",_xlfn.XLOOKUP(E1303,cannabis_log!C:C,cannabis_log!J:J,"",0,))</f>
        <v>BS23090701G450</v>
      </c>
      <c r="G1303" s="112"/>
      <c r="H1303" s="112" t="str">
        <f>IF(ISBLANK(E1303),"",_xlfn.XLOOKUP(E1303,cannabis_log!C:C,cannabis_log!H:H,"",0,1))</f>
        <v>topical_labelled_RTV</v>
      </c>
      <c r="I1303" s="113">
        <f>IF(ISBLANK(E1303),"",_xlfn.XLOOKUP(E1303,cannabis_log!C:C,cannabis_log!K:K,"NOT FOUND",0,1))</f>
        <v>45199</v>
      </c>
      <c r="J1303" s="185">
        <v>-120</v>
      </c>
      <c r="K1303" s="186">
        <f t="shared" si="65"/>
        <v>0</v>
      </c>
      <c r="L1303" s="288">
        <f t="shared" si="64"/>
        <v>-54000</v>
      </c>
      <c r="M1303" s="24"/>
      <c r="N1303" s="112" t="str">
        <f>IF(ISBLANK(E1303),"",_xlfn.XLOOKUP(E1303,cannabis_log!C:C,cannabis_log!T:T,"Not Found",0,))</f>
        <v>net</v>
      </c>
      <c r="O1303" s="180">
        <f>IF(N1303="net",_xlfn.XLOOKUP(E1303,cannabis_log!C:C,cannabis_log!N:N,"NOT FOUND",0,1),IF(N1303="gross",0,""))</f>
        <v>450</v>
      </c>
    </row>
    <row r="1304" spans="1:15">
      <c r="A1304" s="181" t="str">
        <f t="shared" si="66"/>
        <v>outbound</v>
      </c>
      <c r="B1304" s="182">
        <v>45730.522916666669</v>
      </c>
      <c r="C1304" s="183" t="s">
        <v>1929</v>
      </c>
      <c r="D1304" s="183" t="s">
        <v>2727</v>
      </c>
      <c r="E1304" s="215" t="s">
        <v>2715</v>
      </c>
      <c r="F1304" s="112" t="str">
        <f>IF(ISBLANK(E1304),"",_xlfn.XLOOKUP(E1304,cannabis_log!C:C,cannabis_log!J:J,"",0,))</f>
        <v>PR21071201G1</v>
      </c>
      <c r="G1304" s="112"/>
      <c r="H1304" s="112" t="str">
        <f>IF(ISBLANK(E1304),"",_xlfn.XLOOKUP(E1304,cannabis_log!C:C,cannabis_log!H:H,"",0,1))</f>
        <v>preroll_cased_MB</v>
      </c>
      <c r="I1304" s="113">
        <f>IF(ISBLANK(E1304),"",_xlfn.XLOOKUP(E1304,cannabis_log!C:C,cannabis_log!K:K,"NOT FOUND",0,1))</f>
        <v>45685</v>
      </c>
      <c r="J1304" s="185">
        <v>-1</v>
      </c>
      <c r="K1304" s="186">
        <f t="shared" si="65"/>
        <v>0</v>
      </c>
      <c r="L1304" s="288">
        <f t="shared" si="64"/>
        <v>-24</v>
      </c>
      <c r="M1304" s="24"/>
      <c r="N1304" s="112" t="str">
        <f>IF(ISBLANK(E1304),"",_xlfn.XLOOKUP(E1304,cannabis_log!C:C,cannabis_log!T:T,"Not Found",0,))</f>
        <v>net</v>
      </c>
      <c r="O1304" s="180">
        <f>IF(N1304="net",_xlfn.XLOOKUP(E1304,cannabis_log!C:C,cannabis_log!N:N,"NOT FOUND",0,1),IF(N1304="gross",0,""))</f>
        <v>24</v>
      </c>
    </row>
    <row r="1305" spans="1:15">
      <c r="A1305" s="181" t="str">
        <f t="shared" si="66"/>
        <v>outbound</v>
      </c>
      <c r="B1305" s="182">
        <v>45730.522916666669</v>
      </c>
      <c r="C1305" s="183" t="s">
        <v>1929</v>
      </c>
      <c r="D1305" s="183" t="s">
        <v>2727</v>
      </c>
      <c r="E1305" s="215" t="s">
        <v>2689</v>
      </c>
      <c r="F1305" s="112" t="str">
        <f>IF(ISBLANK(E1305),"",_xlfn.XLOOKUP(E1305,cannabis_log!C:C,cannabis_log!J:J,"",0,))</f>
        <v>EX25020601G1</v>
      </c>
      <c r="G1305" s="112"/>
      <c r="H1305" s="112" t="str">
        <f>IF(ISBLANK(E1305),"",_xlfn.XLOOKUP(E1305,cannabis_log!C:C,cannabis_log!H:H,"",0,1))</f>
        <v>extract_inhaled_labelled</v>
      </c>
      <c r="I1305" s="113">
        <f>IF(ISBLANK(E1305),"",_xlfn.XLOOKUP(E1305,cannabis_log!C:C,cannabis_log!K:K,"NOT FOUND",0,1))</f>
        <v>45707</v>
      </c>
      <c r="J1305" s="185">
        <v>-12</v>
      </c>
      <c r="K1305" s="186">
        <f t="shared" si="65"/>
        <v>0</v>
      </c>
      <c r="L1305" s="288">
        <f t="shared" si="64"/>
        <v>-12</v>
      </c>
      <c r="M1305" s="24"/>
      <c r="N1305" s="112" t="str">
        <f>IF(ISBLANK(E1305),"",_xlfn.XLOOKUP(E1305,cannabis_log!C:C,cannabis_log!T:T,"Not Found",0,))</f>
        <v>net</v>
      </c>
      <c r="O1305" s="180">
        <f>IF(N1305="net",_xlfn.XLOOKUP(E1305,cannabis_log!C:C,cannabis_log!N:N,"NOT FOUND",0,1),IF(N1305="gross",0,""))</f>
        <v>1</v>
      </c>
    </row>
    <row r="1306" spans="1:15">
      <c r="A1306" s="181" t="str">
        <f t="shared" si="66"/>
        <v>outbound</v>
      </c>
      <c r="B1306" s="182">
        <v>45730.527083333334</v>
      </c>
      <c r="C1306" s="183" t="s">
        <v>1929</v>
      </c>
      <c r="D1306" s="22" t="s">
        <v>2728</v>
      </c>
      <c r="E1306" s="215" t="s">
        <v>2711</v>
      </c>
      <c r="F1306" s="112" t="str">
        <f>IF(ISBLANK(E1306),"",_xlfn.XLOOKUP(E1306,cannabis_log!C:C,cannabis_log!J:J,"",0,))</f>
        <v>PR241005F5P3</v>
      </c>
      <c r="G1306" s="112"/>
      <c r="H1306" s="112" t="str">
        <f>IF(ISBLANK(E1306),"",_xlfn.XLOOKUP(E1306,cannabis_log!C:C,cannabis_log!H:H,"",0,1))</f>
        <v>preroll_labelled</v>
      </c>
      <c r="I1306" s="113">
        <f>IF(ISBLANK(E1306),"",_xlfn.XLOOKUP(E1306,cannabis_log!C:C,cannabis_log!K:K,"NOT FOUND",0,1))</f>
        <v>45575</v>
      </c>
      <c r="J1306" s="185">
        <v>-12</v>
      </c>
      <c r="K1306" s="186">
        <f t="shared" si="65"/>
        <v>0</v>
      </c>
      <c r="L1306" s="288">
        <f t="shared" si="64"/>
        <v>-18</v>
      </c>
      <c r="M1306" s="24"/>
      <c r="N1306" s="112" t="str">
        <f>IF(ISBLANK(E1306),"",_xlfn.XLOOKUP(E1306,cannabis_log!C:C,cannabis_log!T:T,"Not Found",0,))</f>
        <v>net</v>
      </c>
      <c r="O1306" s="180">
        <f>IF(N1306="net",_xlfn.XLOOKUP(E1306,cannabis_log!C:C,cannabis_log!N:N,"NOT FOUND",0,1),IF(N1306="gross",0,""))</f>
        <v>1.5</v>
      </c>
    </row>
    <row r="1307" spans="1:15">
      <c r="A1307" s="181" t="str">
        <f t="shared" si="66"/>
        <v>outbound</v>
      </c>
      <c r="B1307" s="182">
        <v>45730.527083333334</v>
      </c>
      <c r="C1307" s="183" t="s">
        <v>1929</v>
      </c>
      <c r="D1307" s="22" t="s">
        <v>2728</v>
      </c>
      <c r="E1307" s="215" t="s">
        <v>2720</v>
      </c>
      <c r="F1307" s="112" t="str">
        <f>IF(ISBLANK(E1307),"",_xlfn.XLOOKUP(E1307,cannabis_log!C:C,cannabis_log!J:J,"",0,))</f>
        <v>PR241101F5P3</v>
      </c>
      <c r="G1307" s="112"/>
      <c r="H1307" s="112" t="str">
        <f>IF(ISBLANK(E1307),"",_xlfn.XLOOKUP(E1307,cannabis_log!C:C,cannabis_log!H:H,"",0,1))</f>
        <v>preroll_labelled</v>
      </c>
      <c r="I1307" s="113">
        <f>IF(ISBLANK(E1307),"",_xlfn.XLOOKUP(E1307,cannabis_log!C:C,cannabis_log!K:K,"NOT FOUND",0,1))</f>
        <v>45707</v>
      </c>
      <c r="J1307" s="185">
        <v>-12</v>
      </c>
      <c r="K1307" s="186">
        <f t="shared" si="65"/>
        <v>0</v>
      </c>
      <c r="L1307" s="288">
        <f t="shared" si="64"/>
        <v>-18</v>
      </c>
      <c r="M1307" s="24"/>
      <c r="N1307" s="112" t="str">
        <f>IF(ISBLANK(E1307),"",_xlfn.XLOOKUP(E1307,cannabis_log!C:C,cannabis_log!T:T,"Not Found",0,))</f>
        <v>net</v>
      </c>
      <c r="O1307" s="180">
        <f>IF(N1307="net",_xlfn.XLOOKUP(E1307,cannabis_log!C:C,cannabis_log!N:N,"NOT FOUND",0,1),IF(N1307="gross",0,""))</f>
        <v>1.5</v>
      </c>
    </row>
    <row r="1308" spans="1:15">
      <c r="A1308" s="181" t="str">
        <f t="shared" si="66"/>
        <v>outbound</v>
      </c>
      <c r="B1308" s="182">
        <v>45733.390277777777</v>
      </c>
      <c r="C1308" s="183" t="s">
        <v>1929</v>
      </c>
      <c r="D1308" s="183" t="s">
        <v>2729</v>
      </c>
      <c r="E1308" s="215" t="s">
        <v>2689</v>
      </c>
      <c r="F1308" s="112" t="str">
        <f>IF(ISBLANK(E1308),"",_xlfn.XLOOKUP(E1308,cannabis_log!C:C,cannabis_log!J:J,"",0,))</f>
        <v>EX25020601G1</v>
      </c>
      <c r="G1308" s="112"/>
      <c r="H1308" s="112" t="str">
        <f>IF(ISBLANK(E1308),"",_xlfn.XLOOKUP(E1308,cannabis_log!C:C,cannabis_log!H:H,"",0,1))</f>
        <v>extract_inhaled_labelled</v>
      </c>
      <c r="I1308" s="113">
        <f>IF(ISBLANK(E1308),"",_xlfn.XLOOKUP(E1308,cannabis_log!C:C,cannabis_log!K:K,"NOT FOUND",0,1))</f>
        <v>45707</v>
      </c>
      <c r="J1308" s="185">
        <v>-12</v>
      </c>
      <c r="K1308" s="186">
        <f t="shared" si="65"/>
        <v>0</v>
      </c>
      <c r="L1308" s="288">
        <f t="shared" si="64"/>
        <v>-12</v>
      </c>
      <c r="M1308" s="24"/>
      <c r="N1308" s="112" t="str">
        <f>IF(ISBLANK(E1308),"",_xlfn.XLOOKUP(E1308,cannabis_log!C:C,cannabis_log!T:T,"Not Found",0,))</f>
        <v>net</v>
      </c>
      <c r="O1308" s="180">
        <f>IF(N1308="net",_xlfn.XLOOKUP(E1308,cannabis_log!C:C,cannabis_log!N:N,"NOT FOUND",0,1),IF(N1308="gross",0,""))</f>
        <v>1</v>
      </c>
    </row>
    <row r="1309" spans="1:15">
      <c r="A1309" s="181" t="str">
        <f t="shared" si="66"/>
        <v>outbound</v>
      </c>
      <c r="B1309" s="182">
        <v>45733.396527777775</v>
      </c>
      <c r="C1309" s="183" t="s">
        <v>1929</v>
      </c>
      <c r="D1309" s="183" t="s">
        <v>2729</v>
      </c>
      <c r="E1309" s="215" t="s">
        <v>2712</v>
      </c>
      <c r="F1309" s="112" t="str">
        <f>IF(ISBLANK(E1309),"",_xlfn.XLOOKUP(E1309,cannabis_log!C:C,cannabis_log!J:J,"",0,))</f>
        <v>PR241003F5P3</v>
      </c>
      <c r="G1309" s="112"/>
      <c r="H1309" s="112" t="str">
        <f>IF(ISBLANK(E1309),"",_xlfn.XLOOKUP(E1309,cannabis_log!C:C,cannabis_log!H:H,"",0,1))</f>
        <v>preroll_labelled</v>
      </c>
      <c r="I1309" s="113">
        <f>IF(ISBLANK(E1309),"",_xlfn.XLOOKUP(E1309,cannabis_log!C:C,cannabis_log!K:K,"NOT FOUND",0,1))</f>
        <v>45575</v>
      </c>
      <c r="J1309" s="185">
        <v>-24</v>
      </c>
      <c r="K1309" s="186">
        <f t="shared" si="65"/>
        <v>0</v>
      </c>
      <c r="L1309" s="288">
        <f t="shared" si="64"/>
        <v>-36</v>
      </c>
      <c r="M1309" s="24"/>
      <c r="N1309" s="112" t="str">
        <f>IF(ISBLANK(E1309),"",_xlfn.XLOOKUP(E1309,cannabis_log!C:C,cannabis_log!T:T,"Not Found",0,))</f>
        <v>net</v>
      </c>
      <c r="O1309" s="180">
        <f>IF(N1309="net",_xlfn.XLOOKUP(E1309,cannabis_log!C:C,cannabis_log!N:N,"NOT FOUND",0,1),IF(N1309="gross",0,""))</f>
        <v>1.5</v>
      </c>
    </row>
    <row r="1310" spans="1:15">
      <c r="A1310" s="181" t="str">
        <f t="shared" si="66"/>
        <v>outbound</v>
      </c>
      <c r="B1310" s="182">
        <v>45733.418055555558</v>
      </c>
      <c r="C1310" s="183" t="s">
        <v>1921</v>
      </c>
      <c r="D1310" s="183" t="s">
        <v>2730</v>
      </c>
      <c r="E1310" s="215" t="s">
        <v>2731</v>
      </c>
      <c r="F1310" s="112">
        <f>IF(ISBLANK(E1310),"",_xlfn.XLOOKUP(E1310,cannabis_log!C:C,cannabis_log!J:J,"",0,))</f>
        <v>2025030701</v>
      </c>
      <c r="G1310" s="112"/>
      <c r="H1310" s="112" t="str">
        <f>IF(ISBLANK(E1310),"",_xlfn.XLOOKUP(E1310,cannabis_log!C:C,cannabis_log!H:H,"",0,1))</f>
        <v>driedflower_bulk_JEN</v>
      </c>
      <c r="I1310" s="113" t="str">
        <f>IF(ISBLANK(E1310),"",_xlfn.XLOOKUP(E1310,cannabis_log!C:C,cannabis_log!K:K,"NOT FOUND",0,1))</f>
        <v>NA</v>
      </c>
      <c r="J1310" s="185">
        <v>-1</v>
      </c>
      <c r="K1310" s="186">
        <v>-895</v>
      </c>
      <c r="L1310" s="288">
        <f t="shared" si="64"/>
        <v>0</v>
      </c>
      <c r="M1310" s="24"/>
      <c r="N1310" s="112" t="str">
        <f>IF(ISBLANK(E1310),"",_xlfn.XLOOKUP(E1310,cannabis_log!C:C,cannabis_log!T:T,"Not Found",0,))</f>
        <v>gross</v>
      </c>
      <c r="O1310" s="180">
        <f>IF(N1310="net",_xlfn.XLOOKUP(E1310,cannabis_log!C:C,cannabis_log!N:N,"NOT FOUND",0,1),IF(N1310="gross",0,""))</f>
        <v>0</v>
      </c>
    </row>
    <row r="1311" spans="1:15">
      <c r="A1311" s="181" t="str">
        <f t="shared" si="66"/>
        <v>outbound</v>
      </c>
      <c r="B1311" s="182">
        <v>45733.657638888886</v>
      </c>
      <c r="C1311" s="183" t="s">
        <v>1921</v>
      </c>
      <c r="D1311" s="183" t="s">
        <v>2444</v>
      </c>
      <c r="E1311" s="215" t="s">
        <v>2732</v>
      </c>
      <c r="F1311" s="112" t="str">
        <f>IF(ISBLANK(E1311),"",_xlfn.XLOOKUP(E1311,cannabis_log!C:C,cannabis_log!J:J,"",0,))</f>
        <v>PR2507F1P2</v>
      </c>
      <c r="G1311" s="112"/>
      <c r="H1311" s="112" t="str">
        <f>IF(ISBLANK(E1311),"",_xlfn.XLOOKUP(E1311,cannabis_log!C:C,cannabis_log!H:H,"",0,1))</f>
        <v>preroll_labelled</v>
      </c>
      <c r="I1311" s="113">
        <f>IF(ISBLANK(E1311),"",_xlfn.XLOOKUP(E1311,cannabis_log!C:C,cannabis_log!K:K,"NOT FOUND",0,1))</f>
        <v>45728</v>
      </c>
      <c r="J1311" s="185">
        <v>-252</v>
      </c>
      <c r="K1311" s="186">
        <f>IF(N1311="net",0,"")</f>
        <v>0</v>
      </c>
      <c r="L1311" s="288">
        <f t="shared" si="64"/>
        <v>-504</v>
      </c>
      <c r="M1311" s="24"/>
      <c r="N1311" s="112" t="str">
        <f>IF(ISBLANK(E1311),"",_xlfn.XLOOKUP(E1311,cannabis_log!C:C,cannabis_log!T:T,"Not Found",0,))</f>
        <v>net</v>
      </c>
      <c r="O1311" s="180">
        <f>IF(N1311="net",_xlfn.XLOOKUP(E1311,cannabis_log!C:C,cannabis_log!N:N,"NOT FOUND",0,1),IF(N1311="gross",0,""))</f>
        <v>2</v>
      </c>
    </row>
    <row r="1312" spans="1:15">
      <c r="A1312" s="181" t="str">
        <f t="shared" si="66"/>
        <v>outbound</v>
      </c>
      <c r="B1312" s="182">
        <v>45733.657638888886</v>
      </c>
      <c r="C1312" s="183" t="s">
        <v>1921</v>
      </c>
      <c r="D1312" s="183" t="s">
        <v>2444</v>
      </c>
      <c r="E1312" s="215" t="s">
        <v>2733</v>
      </c>
      <c r="F1312" s="112" t="str">
        <f>IF(ISBLANK(E1312),"",_xlfn.XLOOKUP(E1312,cannabis_log!C:C,cannabis_log!J:J,"",0,))</f>
        <v>EX25020601G05</v>
      </c>
      <c r="G1312" s="112"/>
      <c r="H1312" s="112" t="str">
        <f>IF(ISBLANK(E1312),"",_xlfn.XLOOKUP(E1312,cannabis_log!C:C,cannabis_log!H:H,"",0,1))</f>
        <v>extract_inhaled_packaged</v>
      </c>
      <c r="I1312" s="113">
        <f>IF(ISBLANK(E1312),"",_xlfn.XLOOKUP(E1312,cannabis_log!C:C,cannabis_log!K:K,"NOT FOUND",0,1))</f>
        <v>45702</v>
      </c>
      <c r="J1312" s="185">
        <v>-546</v>
      </c>
      <c r="K1312" s="186">
        <f>IF(N1312="net",0,"")</f>
        <v>0</v>
      </c>
      <c r="L1312" s="288">
        <f t="shared" si="64"/>
        <v>-273</v>
      </c>
      <c r="M1312" s="24"/>
      <c r="N1312" s="112" t="str">
        <f>IF(ISBLANK(E1312),"",_xlfn.XLOOKUP(E1312,cannabis_log!C:C,cannabis_log!T:T,"Not Found",0,))</f>
        <v>net</v>
      </c>
      <c r="O1312" s="180">
        <f>IF(N1312="net",_xlfn.XLOOKUP(E1312,cannabis_log!C:C,cannabis_log!N:N,"NOT FOUND",0,1),IF(N1312="gross",0,""))</f>
        <v>0.5</v>
      </c>
    </row>
    <row r="1313" spans="1:15">
      <c r="A1313" s="181" t="str">
        <f t="shared" si="66"/>
        <v>inbound</v>
      </c>
      <c r="B1313" s="182">
        <v>45734.580555555556</v>
      </c>
      <c r="C1313" s="183" t="s">
        <v>1927</v>
      </c>
      <c r="D1313" s="183"/>
      <c r="E1313" s="215" t="s">
        <v>2731</v>
      </c>
      <c r="F1313" s="112">
        <f>IF(ISBLANK(E1313),"",_xlfn.XLOOKUP(E1313,cannabis_log!C:C,cannabis_log!J:J,"",0,))</f>
        <v>2025030701</v>
      </c>
      <c r="G1313" s="112"/>
      <c r="H1313" s="112" t="str">
        <f>IF(ISBLANK(E1313),"",_xlfn.XLOOKUP(E1313,cannabis_log!C:C,cannabis_log!H:H,"",0,1))</f>
        <v>driedflower_bulk_JEN</v>
      </c>
      <c r="I1313" s="113" t="str">
        <f>IF(ISBLANK(E1313),"",_xlfn.XLOOKUP(E1313,cannabis_log!C:C,cannabis_log!K:K,"NOT FOUND",0,1))</f>
        <v>NA</v>
      </c>
      <c r="J1313" s="185">
        <v>1</v>
      </c>
      <c r="K1313" s="186">
        <v>698</v>
      </c>
      <c r="L1313" s="288">
        <f t="shared" si="64"/>
        <v>0</v>
      </c>
      <c r="M1313" s="24"/>
      <c r="N1313" s="112" t="str">
        <f>IF(ISBLANK(E1313),"",_xlfn.XLOOKUP(E1313,cannabis_log!C:C,cannabis_log!T:T,"Not Found",0,))</f>
        <v>gross</v>
      </c>
      <c r="O1313" s="180">
        <f>IF(N1313="net",_xlfn.XLOOKUP(E1313,cannabis_log!C:C,cannabis_log!N:N,"NOT FOUND",0,1),IF(N1313="gross",0,""))</f>
        <v>0</v>
      </c>
    </row>
    <row r="1314" spans="1:15">
      <c r="A1314" s="181" t="str">
        <f t="shared" si="66"/>
        <v>inbound</v>
      </c>
      <c r="B1314" s="182">
        <v>45734.598611111112</v>
      </c>
      <c r="C1314" s="183" t="s">
        <v>1927</v>
      </c>
      <c r="D1314" s="183"/>
      <c r="E1314" s="215" t="s">
        <v>2734</v>
      </c>
      <c r="F1314" s="112" t="str">
        <f>IF(ISBLANK(E1314),"",_xlfn.XLOOKUP(E1314,cannabis_log!C:C,cannabis_log!J:J,"",0,))</f>
        <v>PR2506</v>
      </c>
      <c r="G1314" s="112"/>
      <c r="H1314" s="112" t="str">
        <f>IF(ISBLANK(E1314),"",_xlfn.XLOOKUP(E1314,cannabis_log!C:C,cannabis_log!H:H,"",0,1))</f>
        <v>driedflower_milled_bulk_BURB</v>
      </c>
      <c r="I1314" s="113" t="str">
        <f>IF(ISBLANK(E1314),"",_xlfn.XLOOKUP(E1314,cannabis_log!C:C,cannabis_log!K:K,"NOT FOUND",0,1))</f>
        <v>NA</v>
      </c>
      <c r="J1314" s="185">
        <v>1</v>
      </c>
      <c r="K1314" s="186">
        <v>1340</v>
      </c>
      <c r="L1314" s="288">
        <f t="shared" si="64"/>
        <v>0</v>
      </c>
      <c r="M1314" s="24"/>
      <c r="N1314" s="112" t="str">
        <f>IF(ISBLANK(E1314),"",_xlfn.XLOOKUP(E1314,cannabis_log!C:C,cannabis_log!T:T,"Not Found",0,))</f>
        <v>gross</v>
      </c>
      <c r="O1314" s="180">
        <f>IF(N1314="net",_xlfn.XLOOKUP(E1314,cannabis_log!C:C,cannabis_log!N:N,"NOT FOUND",0,1),IF(N1314="gross",0,""))</f>
        <v>0</v>
      </c>
    </row>
    <row r="1315" spans="1:15">
      <c r="A1315" s="181" t="str">
        <f t="shared" si="66"/>
        <v>inbound</v>
      </c>
      <c r="B1315" s="182">
        <v>45734.598611111112</v>
      </c>
      <c r="C1315" s="183" t="s">
        <v>1927</v>
      </c>
      <c r="D1315" s="183"/>
      <c r="E1315" s="215" t="s">
        <v>2735</v>
      </c>
      <c r="F1315" s="112" t="str">
        <f>IF(ISBLANK(E1315),"",_xlfn.XLOOKUP(E1315,cannabis_log!C:C,cannabis_log!J:J,"",0,))</f>
        <v>EX25012101V50</v>
      </c>
      <c r="G1315" s="112"/>
      <c r="H1315" s="112" t="str">
        <f>IF(ISBLANK(E1315),"",_xlfn.XLOOKUP(E1315,cannabis_log!C:C,cannabis_log!H:H,"",0,1))</f>
        <v>extract_ingested_packaged</v>
      </c>
      <c r="I1315" s="113">
        <f>IF(ISBLANK(E1315),"",_xlfn.XLOOKUP(E1315,cannabis_log!C:C,cannabis_log!K:K,"NOT FOUND",0,1))</f>
        <v>45700</v>
      </c>
      <c r="J1315" s="185">
        <v>164</v>
      </c>
      <c r="K1315" s="186">
        <f>IF(N1315="net",0,"")</f>
        <v>0</v>
      </c>
      <c r="L1315" s="288">
        <f t="shared" si="64"/>
        <v>8200</v>
      </c>
      <c r="M1315" s="24"/>
      <c r="N1315" s="112" t="str">
        <f>IF(ISBLANK(E1315),"",_xlfn.XLOOKUP(E1315,cannabis_log!C:C,cannabis_log!T:T,"Not Found",0,))</f>
        <v>net</v>
      </c>
      <c r="O1315" s="180">
        <f>IF(N1315="net",_xlfn.XLOOKUP(E1315,cannabis_log!C:C,cannabis_log!N:N,"NOT FOUND",0,1),IF(N1315="gross",0,""))</f>
        <v>50</v>
      </c>
    </row>
    <row r="1316" spans="1:15">
      <c r="A1316" s="181" t="str">
        <f t="shared" si="66"/>
        <v>inbound</v>
      </c>
      <c r="B1316" s="182">
        <v>45734.598611111112</v>
      </c>
      <c r="C1316" s="183" t="s">
        <v>1927</v>
      </c>
      <c r="D1316" s="183"/>
      <c r="E1316" s="215" t="s">
        <v>2736</v>
      </c>
      <c r="F1316" s="112" t="str">
        <f>IF(ISBLANK(E1316),"",_xlfn.XLOOKUP(E1316,cannabis_log!C:C,cannabis_log!J:J,"",0,))</f>
        <v>EX25011501V50</v>
      </c>
      <c r="G1316" s="112"/>
      <c r="H1316" s="112" t="str">
        <f>IF(ISBLANK(E1316),"",_xlfn.XLOOKUP(E1316,cannabis_log!C:C,cannabis_log!H:H,"",0,1))</f>
        <v>extract_ingested_labelled</v>
      </c>
      <c r="I1316" s="113">
        <f>IF(ISBLANK(E1316),"",_xlfn.XLOOKUP(E1316,cannabis_log!C:C,cannabis_log!K:K,"NOT FOUND",0,1))</f>
        <v>45692</v>
      </c>
      <c r="J1316" s="185">
        <v>36</v>
      </c>
      <c r="K1316" s="186">
        <f>IF(N1316="net",0,"")</f>
        <v>0</v>
      </c>
      <c r="L1316" s="288">
        <f t="shared" si="64"/>
        <v>1800</v>
      </c>
      <c r="M1316" s="24"/>
      <c r="N1316" s="112" t="str">
        <f>IF(ISBLANK(E1316),"",_xlfn.XLOOKUP(E1316,cannabis_log!C:C,cannabis_log!T:T,"Not Found",0,))</f>
        <v>net</v>
      </c>
      <c r="O1316" s="180">
        <f>IF(N1316="net",_xlfn.XLOOKUP(E1316,cannabis_log!C:C,cannabis_log!N:N,"NOT FOUND",0,1),IF(N1316="gross",0,""))</f>
        <v>50</v>
      </c>
    </row>
    <row r="1317" spans="1:15">
      <c r="A1317" s="181" t="str">
        <f t="shared" si="66"/>
        <v>inbound</v>
      </c>
      <c r="B1317" s="182">
        <v>45734.598611111112</v>
      </c>
      <c r="C1317" s="183" t="s">
        <v>1927</v>
      </c>
      <c r="D1317" s="183"/>
      <c r="E1317" s="215" t="s">
        <v>2737</v>
      </c>
      <c r="F1317" s="112" t="str">
        <f>IF(ISBLANK(E1317),"",_xlfn.XLOOKUP(E1317,cannabis_log!C:C,cannabis_log!J:J,"",0,))</f>
        <v>EX24092601V50</v>
      </c>
      <c r="G1317" s="112"/>
      <c r="H1317" s="112" t="str">
        <f>IF(ISBLANK(E1317),"",_xlfn.XLOOKUP(E1317,cannabis_log!C:C,cannabis_log!H:H,"",0,1))</f>
        <v>extract_ingested_labelled</v>
      </c>
      <c r="I1317" s="113">
        <f>IF(ISBLANK(E1317),"",_xlfn.XLOOKUP(E1317,cannabis_log!C:C,cannabis_log!K:K,"NOT FOUND",0,1))</f>
        <v>45576</v>
      </c>
      <c r="J1317" s="185">
        <v>181</v>
      </c>
      <c r="K1317" s="186">
        <f>IF(N1317="net",0,"")</f>
        <v>0</v>
      </c>
      <c r="L1317" s="288">
        <f t="shared" si="64"/>
        <v>9050</v>
      </c>
      <c r="M1317" s="24"/>
      <c r="N1317" s="112" t="str">
        <f>IF(ISBLANK(E1317),"",_xlfn.XLOOKUP(E1317,cannabis_log!C:C,cannabis_log!T:T,"Not Found",0,))</f>
        <v>net</v>
      </c>
      <c r="O1317" s="180">
        <f>IF(N1317="net",_xlfn.XLOOKUP(E1317,cannabis_log!C:C,cannabis_log!N:N,"NOT FOUND",0,1),IF(N1317="gross",0,""))</f>
        <v>50</v>
      </c>
    </row>
    <row r="1318" spans="1:15">
      <c r="A1318" s="181" t="str">
        <f t="shared" si="66"/>
        <v>outbound</v>
      </c>
      <c r="B1318" s="182">
        <v>45734.598611111112</v>
      </c>
      <c r="C1318" s="183" t="s">
        <v>1924</v>
      </c>
      <c r="D1318" s="183" t="s">
        <v>2738</v>
      </c>
      <c r="E1318" s="215" t="s">
        <v>2739</v>
      </c>
      <c r="F1318" s="112">
        <f>IF(ISBLANK(E1318),"",_xlfn.XLOOKUP(E1318,cannabis_log!C:C,cannabis_log!J:J,"",0,))</f>
        <v>2023110201</v>
      </c>
      <c r="G1318" s="112"/>
      <c r="H1318" s="112" t="str">
        <f>IF(ISBLANK(E1318),"",_xlfn.XLOOKUP(E1318,cannabis_log!C:C,cannabis_log!H:H,"",0,1))</f>
        <v>extract_distillate_bulk</v>
      </c>
      <c r="I1318" s="113" t="str">
        <f>IF(ISBLANK(E1318),"",_xlfn.XLOOKUP(E1318,cannabis_log!C:C,cannabis_log!K:K,"NOT FOUND",0,1))</f>
        <v>NA</v>
      </c>
      <c r="J1318" s="185">
        <v>0</v>
      </c>
      <c r="K1318" s="186">
        <v>-4</v>
      </c>
      <c r="L1318" s="288">
        <f t="shared" si="64"/>
        <v>0</v>
      </c>
      <c r="M1318" s="24"/>
      <c r="N1318" s="112" t="str">
        <f>IF(ISBLANK(E1318),"",_xlfn.XLOOKUP(E1318,cannabis_log!C:C,cannabis_log!T:T,"Not Found",0,))</f>
        <v>gross</v>
      </c>
      <c r="O1318" s="180">
        <f>IF(N1318="net",_xlfn.XLOOKUP(E1318,cannabis_log!C:C,cannabis_log!N:N,"NOT FOUND",0,1),IF(N1318="gross",0,""))</f>
        <v>0</v>
      </c>
    </row>
    <row r="1319" spans="1:15">
      <c r="A1319" s="181" t="str">
        <f t="shared" si="66"/>
        <v>inbound</v>
      </c>
      <c r="B1319" s="182">
        <v>45734.598611111112</v>
      </c>
      <c r="C1319" s="183" t="s">
        <v>1927</v>
      </c>
      <c r="D1319" s="183"/>
      <c r="E1319" s="215" t="s">
        <v>2705</v>
      </c>
      <c r="F1319" s="112" t="str">
        <f>IF(ISBLANK(E1319),"",_xlfn.XLOOKUP(E1319,cannabis_log!C:C,cannabis_log!J:J,"",0,))</f>
        <v>TP24120401G45</v>
      </c>
      <c r="G1319" s="112"/>
      <c r="H1319" s="112" t="str">
        <f>IF(ISBLANK(E1319),"",_xlfn.XLOOKUP(E1319,cannabis_log!C:C,cannabis_log!H:H,"",0,1))</f>
        <v>topical_labelled</v>
      </c>
      <c r="I1319" s="113">
        <f>IF(ISBLANK(E1319),"",_xlfn.XLOOKUP(E1319,cannabis_log!C:C,cannabis_log!K:K,"NOT FOUND",0,1))</f>
        <v>45638</v>
      </c>
      <c r="J1319" s="185">
        <v>144</v>
      </c>
      <c r="K1319" s="186">
        <f>IF(N1319="net",0,"")</f>
        <v>0</v>
      </c>
      <c r="L1319" s="288">
        <f t="shared" si="64"/>
        <v>6480</v>
      </c>
      <c r="M1319" s="24"/>
      <c r="N1319" s="112" t="str">
        <f>IF(ISBLANK(E1319),"",_xlfn.XLOOKUP(E1319,cannabis_log!C:C,cannabis_log!T:T,"Not Found",0,))</f>
        <v>net</v>
      </c>
      <c r="O1319" s="180">
        <f>IF(N1319="net",_xlfn.XLOOKUP(E1319,cannabis_log!C:C,cannabis_log!N:N,"NOT FOUND",0,1),IF(N1319="gross",0,""))</f>
        <v>45</v>
      </c>
    </row>
    <row r="1320" spans="1:15">
      <c r="A1320" s="181" t="str">
        <f t="shared" si="66"/>
        <v>outbound</v>
      </c>
      <c r="B1320" s="182">
        <v>45734.62777777778</v>
      </c>
      <c r="C1320" s="183" t="s">
        <v>1924</v>
      </c>
      <c r="D1320" s="183" t="s">
        <v>2738</v>
      </c>
      <c r="E1320" s="215" t="s">
        <v>2740</v>
      </c>
      <c r="F1320" s="112">
        <f>IF(ISBLANK(E1320),"",_xlfn.XLOOKUP(E1320,cannabis_log!C:C,cannabis_log!J:J,"",0,))</f>
        <v>2025021303</v>
      </c>
      <c r="G1320" s="112"/>
      <c r="H1320" s="112" t="str">
        <f>IF(ISBLANK(E1320),"",_xlfn.XLOOKUP(E1320,cannabis_log!C:C,cannabis_log!H:H,"",0,1))</f>
        <v>infusedflower_bulk</v>
      </c>
      <c r="I1320" s="113" t="str">
        <f>IF(ISBLANK(E1320),"",_xlfn.XLOOKUP(E1320,cannabis_log!C:C,cannabis_log!K:K,"NOT FOUND",0,1))</f>
        <v>NA</v>
      </c>
      <c r="J1320" s="185">
        <v>0</v>
      </c>
      <c r="K1320" s="186">
        <f>806-810</f>
        <v>-4</v>
      </c>
      <c r="L1320" s="288">
        <f t="shared" si="64"/>
        <v>0</v>
      </c>
      <c r="M1320" s="24"/>
      <c r="N1320" s="112" t="str">
        <f>IF(ISBLANK(E1320),"",_xlfn.XLOOKUP(E1320,cannabis_log!C:C,cannabis_log!T:T,"Not Found",0,))</f>
        <v>gross</v>
      </c>
      <c r="O1320" s="180">
        <f>IF(N1320="net",_xlfn.XLOOKUP(E1320,cannabis_log!C:C,cannabis_log!N:N,"NOT FOUND",0,1),IF(N1320="gross",0,""))</f>
        <v>0</v>
      </c>
    </row>
    <row r="1321" spans="1:15">
      <c r="A1321" s="181" t="str">
        <f t="shared" si="66"/>
        <v>outbound</v>
      </c>
      <c r="B1321" s="182">
        <v>45734.62777777778</v>
      </c>
      <c r="C1321" s="183" t="s">
        <v>1924</v>
      </c>
      <c r="D1321" s="183" t="s">
        <v>2738</v>
      </c>
      <c r="E1321" s="215" t="s">
        <v>2741</v>
      </c>
      <c r="F1321" s="112">
        <f>IF(ISBLANK(E1321),"",_xlfn.XLOOKUP(E1321,cannabis_log!C:C,cannabis_log!J:J,"",0,))</f>
        <v>2025021301</v>
      </c>
      <c r="G1321" s="112"/>
      <c r="H1321" s="112" t="str">
        <f>IF(ISBLANK(E1321),"",_xlfn.XLOOKUP(E1321,cannabis_log!C:C,cannabis_log!H:H,"",0,1))</f>
        <v>driedflower_bulk</v>
      </c>
      <c r="I1321" s="113" t="str">
        <f>IF(ISBLANK(E1321),"",_xlfn.XLOOKUP(E1321,cannabis_log!C:C,cannabis_log!K:K,"NOT FOUND",0,1))</f>
        <v>NA</v>
      </c>
      <c r="J1321" s="185">
        <v>0</v>
      </c>
      <c r="K1321" s="186">
        <v>-8</v>
      </c>
      <c r="L1321" s="288">
        <f t="shared" si="64"/>
        <v>0</v>
      </c>
      <c r="M1321" s="24"/>
      <c r="N1321" s="112" t="str">
        <f>IF(ISBLANK(E1321),"",_xlfn.XLOOKUP(E1321,cannabis_log!C:C,cannabis_log!T:T,"Not Found",0,))</f>
        <v>gross</v>
      </c>
      <c r="O1321" s="180">
        <f>IF(N1321="net",_xlfn.XLOOKUP(E1321,cannabis_log!C:C,cannabis_log!N:N,"NOT FOUND",0,1),IF(N1321="gross",0,""))</f>
        <v>0</v>
      </c>
    </row>
    <row r="1322" spans="1:15">
      <c r="A1322" s="181" t="str">
        <f t="shared" si="66"/>
        <v>outbound</v>
      </c>
      <c r="B1322" s="182">
        <v>45734.62777777778</v>
      </c>
      <c r="C1322" s="183" t="s">
        <v>1924</v>
      </c>
      <c r="D1322" s="183" t="s">
        <v>2738</v>
      </c>
      <c r="E1322" s="215" t="s">
        <v>2742</v>
      </c>
      <c r="F1322" s="112" t="str">
        <f>IF(ISBLANK(E1322),"",_xlfn.XLOOKUP(E1322,cannabis_log!C:C,cannabis_log!J:J,"",0,))</f>
        <v>PR2303</v>
      </c>
      <c r="G1322" s="112"/>
      <c r="H1322" s="112" t="str">
        <f>IF(ISBLANK(E1322),"",_xlfn.XLOOKUP(E1322,cannabis_log!C:C,cannabis_log!H:H,"",0,1))</f>
        <v>driedflower_milled_bulk</v>
      </c>
      <c r="I1322" s="113" t="str">
        <f>IF(ISBLANK(E1322),"",_xlfn.XLOOKUP(E1322,cannabis_log!C:C,cannabis_log!K:K,"NOT FOUND",0,1))</f>
        <v>NA</v>
      </c>
      <c r="J1322" s="185">
        <v>0</v>
      </c>
      <c r="K1322" s="186">
        <v>-5</v>
      </c>
      <c r="L1322" s="288">
        <f t="shared" si="64"/>
        <v>0</v>
      </c>
      <c r="M1322" s="24"/>
      <c r="N1322" s="112" t="str">
        <f>IF(ISBLANK(E1322),"",_xlfn.XLOOKUP(E1322,cannabis_log!C:C,cannabis_log!T:T,"Not Found",0,))</f>
        <v>gross</v>
      </c>
      <c r="O1322" s="180">
        <f>IF(N1322="net",_xlfn.XLOOKUP(E1322,cannabis_log!C:C,cannabis_log!N:N,"NOT FOUND",0,1),IF(N1322="gross",0,""))</f>
        <v>0</v>
      </c>
    </row>
    <row r="1323" spans="1:15">
      <c r="A1323" s="181" t="str">
        <f t="shared" si="66"/>
        <v>inbound</v>
      </c>
      <c r="B1323" s="182">
        <v>45734.630555555559</v>
      </c>
      <c r="C1323" s="183" t="s">
        <v>1921</v>
      </c>
      <c r="D1323" s="22" t="s">
        <v>2701</v>
      </c>
      <c r="E1323" s="215" t="s">
        <v>2707</v>
      </c>
      <c r="F1323" s="112" t="str">
        <f>IF(ISBLANK(E1323),"",_xlfn.XLOOKUP(E1323,cannabis_log!C:C,cannabis_log!J:J,"",0,))</f>
        <v>EX25010601V30</v>
      </c>
      <c r="G1323" s="112"/>
      <c r="H1323" s="112" t="str">
        <f>IF(ISBLANK(E1323),"",_xlfn.XLOOKUP(E1323,cannabis_log!C:C,cannabis_log!H:H,"",0,1))</f>
        <v>extract_ingested_labelled</v>
      </c>
      <c r="I1323" s="113">
        <f>IF(ISBLANK(E1323),"",_xlfn.XLOOKUP(E1323,cannabis_log!C:C,cannabis_log!K:K,"NOT FOUND",0,1))</f>
        <v>45674</v>
      </c>
      <c r="J1323" s="185">
        <v>27</v>
      </c>
      <c r="K1323" s="186">
        <f>IF(N1323="net",0,"")</f>
        <v>0</v>
      </c>
      <c r="L1323" s="288">
        <f t="shared" si="64"/>
        <v>64832.400000000009</v>
      </c>
      <c r="M1323" s="24"/>
      <c r="N1323" s="112" t="str">
        <f>IF(ISBLANK(E1323),"",_xlfn.XLOOKUP(E1323,cannabis_log!C:C,cannabis_log!T:T,"Not Found",0,))</f>
        <v>net</v>
      </c>
      <c r="O1323" s="180">
        <f>IF(N1323="net",_xlfn.XLOOKUP(E1323,cannabis_log!C:C,cannabis_log!N:N,"NOT FOUND",0,1),IF(N1323="gross",0,""))</f>
        <v>2401.2000000000003</v>
      </c>
    </row>
    <row r="1324" spans="1:15">
      <c r="A1324" s="181" t="str">
        <f t="shared" si="66"/>
        <v>inbound</v>
      </c>
      <c r="B1324" s="182">
        <v>45734.631249999999</v>
      </c>
      <c r="C1324" s="183" t="s">
        <v>1921</v>
      </c>
      <c r="D1324" s="22" t="s">
        <v>2701</v>
      </c>
      <c r="E1324" s="215" t="s">
        <v>2708</v>
      </c>
      <c r="F1324" s="112" t="str">
        <f>IF(ISBLANK(E1324),"",_xlfn.XLOOKUP(E1324,cannabis_log!C:C,cannabis_log!J:J,"",0,))</f>
        <v>EX24101802V30</v>
      </c>
      <c r="G1324" s="112"/>
      <c r="H1324" s="112" t="str">
        <f>IF(ISBLANK(E1324),"",_xlfn.XLOOKUP(E1324,cannabis_log!C:C,cannabis_log!H:H,"",0,1))</f>
        <v>extract_ingested_labelled</v>
      </c>
      <c r="I1324" s="113">
        <f>IF(ISBLANK(E1324),"",_xlfn.XLOOKUP(E1324,cannabis_log!C:C,cannabis_log!K:K,"NOT FOUND",0,1))</f>
        <v>45588</v>
      </c>
      <c r="J1324" s="185">
        <v>22</v>
      </c>
      <c r="K1324" s="186">
        <f>IF(N1324="net",0,"")</f>
        <v>0</v>
      </c>
      <c r="L1324" s="288">
        <f t="shared" si="64"/>
        <v>607.20000000000005</v>
      </c>
      <c r="M1324" s="24"/>
      <c r="N1324" s="112" t="str">
        <f>IF(ISBLANK(E1324),"",_xlfn.XLOOKUP(E1324,cannabis_log!C:C,cannabis_log!T:T,"Not Found",0,))</f>
        <v>net</v>
      </c>
      <c r="O1324" s="180">
        <f>IF(N1324="net",_xlfn.XLOOKUP(E1324,cannabis_log!C:C,cannabis_log!N:N,"NOT FOUND",0,1),IF(N1324="gross",0,""))</f>
        <v>27.6</v>
      </c>
    </row>
    <row r="1325" spans="1:15">
      <c r="A1325" s="181" t="str">
        <f t="shared" si="66"/>
        <v>inbound</v>
      </c>
      <c r="B1325" s="182">
        <v>45734.658333333333</v>
      </c>
      <c r="C1325" s="183" t="s">
        <v>1927</v>
      </c>
      <c r="D1325" s="183"/>
      <c r="E1325" s="215" t="s">
        <v>2684</v>
      </c>
      <c r="F1325" s="112" t="str">
        <f>IF(ISBLANK(E1325),"",_xlfn.XLOOKUP(E1325,cannabis_log!C:C,cannabis_log!J:J,"",0,))</f>
        <v>PR2505</v>
      </c>
      <c r="G1325" s="112"/>
      <c r="H1325" s="112" t="str">
        <f>IF(ISBLANK(E1325),"",_xlfn.XLOOKUP(E1325,cannabis_log!C:C,cannabis_log!H:H,"",0,1))</f>
        <v>driedflower_milled_bulk_BURB</v>
      </c>
      <c r="I1325" s="113" t="str">
        <f>IF(ISBLANK(E1325),"",_xlfn.XLOOKUP(E1325,cannabis_log!C:C,cannabis_log!K:K,"NOT FOUND",0,1))</f>
        <v>NA</v>
      </c>
      <c r="J1325" s="185">
        <v>1</v>
      </c>
      <c r="K1325" s="186">
        <v>2880</v>
      </c>
      <c r="L1325" s="288">
        <f t="shared" si="64"/>
        <v>0</v>
      </c>
      <c r="M1325" s="24"/>
      <c r="N1325" s="112" t="str">
        <f>IF(ISBLANK(E1325),"",_xlfn.XLOOKUP(E1325,cannabis_log!C:C,cannabis_log!T:T,"Not Found",0,))</f>
        <v>gross</v>
      </c>
      <c r="O1325" s="180">
        <f>IF(N1325="net",_xlfn.XLOOKUP(E1325,cannabis_log!C:C,cannabis_log!N:N,"NOT FOUND",0,1),IF(N1325="gross",0,""))</f>
        <v>0</v>
      </c>
    </row>
    <row r="1326" spans="1:15">
      <c r="A1326" s="181" t="str">
        <f t="shared" si="66"/>
        <v>inbound</v>
      </c>
      <c r="B1326" s="182">
        <v>45734.658333333333</v>
      </c>
      <c r="C1326" s="183" t="s">
        <v>1927</v>
      </c>
      <c r="D1326" s="183"/>
      <c r="E1326" s="215" t="s">
        <v>2743</v>
      </c>
      <c r="F1326" s="112" t="str">
        <f>IF(ISBLANK(E1326),"",_xlfn.XLOOKUP(E1326,cannabis_log!C:C,cannabis_log!J:J,"",0,))</f>
        <v>PR2507</v>
      </c>
      <c r="G1326" s="112"/>
      <c r="H1326" s="112" t="str">
        <f>IF(ISBLANK(E1326),"",_xlfn.XLOOKUP(E1326,cannabis_log!C:C,cannabis_log!H:H,"",0,1))</f>
        <v>driedflower_milled_bulk</v>
      </c>
      <c r="I1326" s="113" t="str">
        <f>IF(ISBLANK(E1326),"",_xlfn.XLOOKUP(E1326,cannabis_log!C:C,cannabis_log!K:K,"NOT FOUND",0,1))</f>
        <v>NA</v>
      </c>
      <c r="J1326" s="185">
        <v>1</v>
      </c>
      <c r="K1326" s="186">
        <v>5706</v>
      </c>
      <c r="L1326" s="288">
        <f t="shared" ref="L1326:L1389" si="67">IFERROR(J1326*O1326,"")</f>
        <v>0</v>
      </c>
      <c r="M1326" s="24"/>
      <c r="N1326" s="112" t="str">
        <f>IF(ISBLANK(E1326),"",_xlfn.XLOOKUP(E1326,cannabis_log!C:C,cannabis_log!T:T,"Not Found",0,))</f>
        <v>gross</v>
      </c>
      <c r="O1326" s="180">
        <f>IF(N1326="net",_xlfn.XLOOKUP(E1326,cannabis_log!C:C,cannabis_log!N:N,"NOT FOUND",0,1),IF(N1326="gross",0,""))</f>
        <v>0</v>
      </c>
    </row>
    <row r="1327" spans="1:15">
      <c r="A1327" s="181" t="str">
        <f t="shared" si="66"/>
        <v>inbound</v>
      </c>
      <c r="B1327" s="182">
        <v>45734.658333333333</v>
      </c>
      <c r="C1327" s="183" t="s">
        <v>1927</v>
      </c>
      <c r="D1327" s="183"/>
      <c r="E1327" s="215" t="s">
        <v>2688</v>
      </c>
      <c r="F1327" s="112" t="str">
        <f>IF(ISBLANK(E1327),"",_xlfn.XLOOKUP(E1327,cannabis_log!C:C,cannabis_log!J:J,"",0,))</f>
        <v>EX25010907G1</v>
      </c>
      <c r="G1327" s="112"/>
      <c r="H1327" s="112" t="str">
        <f>IF(ISBLANK(E1327),"",_xlfn.XLOOKUP(E1327,cannabis_log!C:C,cannabis_log!H:H,"",0,1))</f>
        <v>extract_inhaled_labelled</v>
      </c>
      <c r="I1327" s="113">
        <f>IF(ISBLANK(E1327),"",_xlfn.XLOOKUP(E1327,cannabis_log!C:C,cannabis_log!K:K,"NOT FOUND",0,1))</f>
        <v>45666</v>
      </c>
      <c r="J1327" s="185">
        <v>34</v>
      </c>
      <c r="K1327" s="186">
        <f t="shared" ref="K1327:K1339" si="68">IF(N1327="net",0,"")</f>
        <v>0</v>
      </c>
      <c r="L1327" s="288">
        <f t="shared" si="67"/>
        <v>34</v>
      </c>
      <c r="M1327" s="24"/>
      <c r="N1327" s="112" t="str">
        <f>IF(ISBLANK(E1327),"",_xlfn.XLOOKUP(E1327,cannabis_log!C:C,cannabis_log!T:T,"Not Found",0,))</f>
        <v>net</v>
      </c>
      <c r="O1327" s="180">
        <f>IF(N1327="net",_xlfn.XLOOKUP(E1327,cannabis_log!C:C,cannabis_log!N:N,"NOT FOUND",0,1),IF(N1327="gross",0,""))</f>
        <v>1</v>
      </c>
    </row>
    <row r="1328" spans="1:15">
      <c r="A1328" s="181" t="str">
        <f t="shared" si="66"/>
        <v>inbound</v>
      </c>
      <c r="B1328" s="182">
        <v>45734.658333333333</v>
      </c>
      <c r="C1328" s="183" t="s">
        <v>1927</v>
      </c>
      <c r="D1328" s="183"/>
      <c r="E1328" s="215" t="s">
        <v>2704</v>
      </c>
      <c r="F1328" s="112" t="str">
        <f>IF(ISBLANK(E1328),"",_xlfn.XLOOKUP(E1328,cannabis_log!C:C,cannabis_log!J:J,"",0,))</f>
        <v>PR2501F5</v>
      </c>
      <c r="G1328" s="112"/>
      <c r="H1328" s="112" t="str">
        <f>IF(ISBLANK(E1328),"",_xlfn.XLOOKUP(E1328,cannabis_log!C:C,cannabis_log!H:H,"",0,1))</f>
        <v>preroll_bulk</v>
      </c>
      <c r="I1328" s="113" t="str">
        <f>IF(ISBLANK(E1328),"",_xlfn.XLOOKUP(E1328,cannabis_log!C:C,cannabis_log!K:K,"NOT FOUND",0,1))</f>
        <v>NA</v>
      </c>
      <c r="J1328" s="185">
        <v>12</v>
      </c>
      <c r="K1328" s="186">
        <f t="shared" si="68"/>
        <v>0</v>
      </c>
      <c r="L1328" s="288">
        <f t="shared" si="67"/>
        <v>6</v>
      </c>
      <c r="M1328" s="24"/>
      <c r="N1328" s="112" t="str">
        <f>IF(ISBLANK(E1328),"",_xlfn.XLOOKUP(E1328,cannabis_log!C:C,cannabis_log!T:T,"Not Found",0,))</f>
        <v>net</v>
      </c>
      <c r="O1328" s="180">
        <f>IF(N1328="net",_xlfn.XLOOKUP(E1328,cannabis_log!C:C,cannabis_log!N:N,"NOT FOUND",0,1),IF(N1328="gross",0,""))</f>
        <v>0.5</v>
      </c>
    </row>
    <row r="1329" spans="1:15">
      <c r="A1329" s="181" t="str">
        <f t="shared" si="66"/>
        <v>inbound</v>
      </c>
      <c r="B1329" s="182">
        <v>45734.658333333333</v>
      </c>
      <c r="C1329" s="183" t="s">
        <v>1927</v>
      </c>
      <c r="D1329" s="183"/>
      <c r="E1329" s="215" t="s">
        <v>2703</v>
      </c>
      <c r="F1329" s="112" t="str">
        <f>IF(ISBLANK(E1329),"",_xlfn.XLOOKUP(E1329,cannabis_log!C:C,cannabis_log!J:J,"",0,))</f>
        <v>PR2501F5P10</v>
      </c>
      <c r="G1329" s="112"/>
      <c r="H1329" s="112" t="str">
        <f>IF(ISBLANK(E1329),"",_xlfn.XLOOKUP(E1329,cannabis_log!C:C,cannabis_log!H:H,"",0,1))</f>
        <v>preroll_labelled</v>
      </c>
      <c r="I1329" s="113">
        <f>IF(ISBLANK(E1329),"",_xlfn.XLOOKUP(E1329,cannabis_log!C:C,cannabis_log!K:K,"NOT FOUND",0,1))</f>
        <v>45707</v>
      </c>
      <c r="J1329" s="185">
        <v>12</v>
      </c>
      <c r="K1329" s="186">
        <f t="shared" si="68"/>
        <v>0</v>
      </c>
      <c r="L1329" s="288">
        <f t="shared" si="67"/>
        <v>60</v>
      </c>
      <c r="M1329" s="24"/>
      <c r="N1329" s="112" t="str">
        <f>IF(ISBLANK(E1329),"",_xlfn.XLOOKUP(E1329,cannabis_log!C:C,cannabis_log!T:T,"Not Found",0,))</f>
        <v>net</v>
      </c>
      <c r="O1329" s="180">
        <f>IF(N1329="net",_xlfn.XLOOKUP(E1329,cannabis_log!C:C,cannabis_log!N:N,"NOT FOUND",0,1),IF(N1329="gross",0,""))</f>
        <v>5</v>
      </c>
    </row>
    <row r="1330" spans="1:15">
      <c r="A1330" s="181" t="str">
        <f t="shared" si="66"/>
        <v>inbound</v>
      </c>
      <c r="B1330" s="182">
        <v>45734.658333333333</v>
      </c>
      <c r="C1330" s="183" t="s">
        <v>1927</v>
      </c>
      <c r="D1330" s="183"/>
      <c r="E1330" s="215" t="s">
        <v>2706</v>
      </c>
      <c r="F1330" s="112" t="str">
        <f>IF(ISBLANK(E1330),"",_xlfn.XLOOKUP(E1330,cannabis_log!C:C,cannabis_log!J:J,"",0,))</f>
        <v>EX25010907G1</v>
      </c>
      <c r="G1330" s="112"/>
      <c r="H1330" s="112" t="str">
        <f>IF(ISBLANK(E1330),"",_xlfn.XLOOKUP(E1330,cannabis_log!C:C,cannabis_log!H:H,"",0,1))</f>
        <v>extract_inhaled_labelled</v>
      </c>
      <c r="I1330" s="113">
        <f>IF(ISBLANK(E1330),"",_xlfn.XLOOKUP(E1330,cannabis_log!C:C,cannabis_log!K:K,"NOT FOUND",0,1))</f>
        <v>45714</v>
      </c>
      <c r="J1330" s="185">
        <v>60</v>
      </c>
      <c r="K1330" s="186">
        <f t="shared" si="68"/>
        <v>0</v>
      </c>
      <c r="L1330" s="288">
        <f t="shared" si="67"/>
        <v>60</v>
      </c>
      <c r="M1330" s="24"/>
      <c r="N1330" s="112" t="str">
        <f>IF(ISBLANK(E1330),"",_xlfn.XLOOKUP(E1330,cannabis_log!C:C,cannabis_log!T:T,"Not Found",0,))</f>
        <v>net</v>
      </c>
      <c r="O1330" s="180">
        <f>IF(N1330="net",_xlfn.XLOOKUP(E1330,cannabis_log!C:C,cannabis_log!N:N,"NOT FOUND",0,1),IF(N1330="gross",0,""))</f>
        <v>1</v>
      </c>
    </row>
    <row r="1331" spans="1:15">
      <c r="A1331" s="181" t="str">
        <f t="shared" si="66"/>
        <v>inbound</v>
      </c>
      <c r="B1331" s="182">
        <v>45734.658333333333</v>
      </c>
      <c r="C1331" s="183" t="s">
        <v>1927</v>
      </c>
      <c r="D1331" s="183"/>
      <c r="E1331" s="215" t="s">
        <v>2700</v>
      </c>
      <c r="F1331" s="112" t="str">
        <f>IF(ISBLANK(E1331),"",_xlfn.XLOOKUP(E1331,cannabis_log!C:C,cannabis_log!J:J,"",0,))</f>
        <v>EX24111301G05</v>
      </c>
      <c r="G1331" s="112"/>
      <c r="H1331" s="112" t="str">
        <f>IF(ISBLANK(E1331),"",_xlfn.XLOOKUP(E1331,cannabis_log!C:C,cannabis_log!H:H,"",0,1))</f>
        <v>extract_inhaled_labelled</v>
      </c>
      <c r="I1331" s="113">
        <f>IF(ISBLANK(E1331),"",_xlfn.XLOOKUP(E1331,cannabis_log!C:C,cannabis_log!K:K,"NOT FOUND",0,1))</f>
        <v>45642</v>
      </c>
      <c r="J1331" s="185">
        <v>62</v>
      </c>
      <c r="K1331" s="186">
        <f t="shared" si="68"/>
        <v>0</v>
      </c>
      <c r="L1331" s="288">
        <f t="shared" si="67"/>
        <v>31</v>
      </c>
      <c r="M1331" s="24"/>
      <c r="N1331" s="112" t="str">
        <f>IF(ISBLANK(E1331),"",_xlfn.XLOOKUP(E1331,cannabis_log!C:C,cannabis_log!T:T,"Not Found",0,))</f>
        <v>net</v>
      </c>
      <c r="O1331" s="180">
        <f>IF(N1331="net",_xlfn.XLOOKUP(E1331,cannabis_log!C:C,cannabis_log!N:N,"NOT FOUND",0,1),IF(N1331="gross",0,""))</f>
        <v>0.5</v>
      </c>
    </row>
    <row r="1332" spans="1:15">
      <c r="A1332" s="181" t="str">
        <f t="shared" si="66"/>
        <v>inbound</v>
      </c>
      <c r="B1332" s="182">
        <v>45734.658333333333</v>
      </c>
      <c r="C1332" s="183" t="s">
        <v>1927</v>
      </c>
      <c r="D1332" s="183"/>
      <c r="E1332" s="215" t="s">
        <v>2698</v>
      </c>
      <c r="F1332" s="112" t="str">
        <f>IF(ISBLANK(E1332),"",_xlfn.XLOOKUP(E1332,cannabis_log!C:C,cannabis_log!J:J,"",0,))</f>
        <v>EX24111302G05</v>
      </c>
      <c r="G1332" s="112"/>
      <c r="H1332" s="112" t="str">
        <f>IF(ISBLANK(E1332),"",_xlfn.XLOOKUP(E1332,cannabis_log!C:C,cannabis_log!H:H,"",0,1))</f>
        <v>extract_inhaled_labelled</v>
      </c>
      <c r="I1332" s="113">
        <f>IF(ISBLANK(E1332),"",_xlfn.XLOOKUP(E1332,cannabis_log!C:C,cannabis_log!K:K,"NOT FOUND",0,1))</f>
        <v>45707</v>
      </c>
      <c r="J1332" s="185">
        <v>367</v>
      </c>
      <c r="K1332" s="186">
        <f t="shared" si="68"/>
        <v>0</v>
      </c>
      <c r="L1332" s="288">
        <f t="shared" si="67"/>
        <v>183.5</v>
      </c>
      <c r="M1332" s="24"/>
      <c r="N1332" s="112" t="str">
        <f>IF(ISBLANK(E1332),"",_xlfn.XLOOKUP(E1332,cannabis_log!C:C,cannabis_log!T:T,"Not Found",0,))</f>
        <v>net</v>
      </c>
      <c r="O1332" s="180">
        <f>IF(N1332="net",_xlfn.XLOOKUP(E1332,cannabis_log!C:C,cannabis_log!N:N,"NOT FOUND",0,1),IF(N1332="gross",0,""))</f>
        <v>0.5</v>
      </c>
    </row>
    <row r="1333" spans="1:15">
      <c r="A1333" s="181" t="str">
        <f t="shared" si="66"/>
        <v>inbound</v>
      </c>
      <c r="B1333" s="182">
        <v>45734.658333333333</v>
      </c>
      <c r="C1333" s="183" t="s">
        <v>1927</v>
      </c>
      <c r="D1333" s="183"/>
      <c r="E1333" s="215" t="s">
        <v>2717</v>
      </c>
      <c r="F1333" s="112" t="str">
        <f>IF(ISBLANK(E1333),"",_xlfn.XLOOKUP(E1333,cannabis_log!C:C,cannabis_log!J:J,"",0,))</f>
        <v>2024111803G7</v>
      </c>
      <c r="G1333" s="112"/>
      <c r="H1333" s="112" t="str">
        <f>IF(ISBLANK(E1333),"",_xlfn.XLOOKUP(E1333,cannabis_log!C:C,cannabis_log!H:H,"",0,1))</f>
        <v>driedflower_labelled</v>
      </c>
      <c r="I1333" s="113">
        <f>IF(ISBLANK(E1333),"",_xlfn.XLOOKUP(E1333,cannabis_log!C:C,cannabis_log!K:K,"NOT FOUND",0,1))</f>
        <v>45721</v>
      </c>
      <c r="J1333" s="185">
        <v>51</v>
      </c>
      <c r="K1333" s="186">
        <f t="shared" si="68"/>
        <v>0</v>
      </c>
      <c r="L1333" s="288">
        <f t="shared" si="67"/>
        <v>357</v>
      </c>
      <c r="M1333" s="24"/>
      <c r="N1333" s="112" t="str">
        <f>IF(ISBLANK(E1333),"",_xlfn.XLOOKUP(E1333,cannabis_log!C:C,cannabis_log!T:T,"Not Found",0,))</f>
        <v>net</v>
      </c>
      <c r="O1333" s="180">
        <f>IF(N1333="net",_xlfn.XLOOKUP(E1333,cannabis_log!C:C,cannabis_log!N:N,"NOT FOUND",0,1),IF(N1333="gross",0,""))</f>
        <v>7</v>
      </c>
    </row>
    <row r="1334" spans="1:15">
      <c r="A1334" s="181" t="str">
        <f t="shared" si="66"/>
        <v>inbound</v>
      </c>
      <c r="B1334" s="182">
        <v>45734.658333333333</v>
      </c>
      <c r="C1334" s="183" t="s">
        <v>1927</v>
      </c>
      <c r="D1334" s="183"/>
      <c r="E1334" s="215" t="s">
        <v>2722</v>
      </c>
      <c r="F1334" s="112" t="str">
        <f>IF(ISBLANK(E1334),"",_xlfn.XLOOKUP(E1334,cannabis_log!C:C,cannabis_log!J:J,"",0,))</f>
        <v>PR2301F35P12</v>
      </c>
      <c r="G1334" s="112"/>
      <c r="H1334" s="112" t="str">
        <f>IF(ISBLANK(E1334),"",_xlfn.XLOOKUP(E1334,cannabis_log!C:C,cannabis_log!H:H,"",0,1))</f>
        <v>preroll_labelled</v>
      </c>
      <c r="I1334" s="113">
        <f>IF(ISBLANK(E1334),"",_xlfn.XLOOKUP(E1334,cannabis_log!C:C,cannabis_log!K:K,"NOT FOUND",0,1))</f>
        <v>45649</v>
      </c>
      <c r="J1334" s="185">
        <v>71</v>
      </c>
      <c r="K1334" s="186">
        <f t="shared" si="68"/>
        <v>0</v>
      </c>
      <c r="L1334" s="288">
        <f t="shared" si="67"/>
        <v>298.19999999999993</v>
      </c>
      <c r="M1334" s="24"/>
      <c r="N1334" s="112" t="str">
        <f>IF(ISBLANK(E1334),"",_xlfn.XLOOKUP(E1334,cannabis_log!C:C,cannabis_log!T:T,"Not Found",0,))</f>
        <v>net</v>
      </c>
      <c r="O1334" s="180">
        <f>IF(N1334="net",_xlfn.XLOOKUP(E1334,cannabis_log!C:C,cannabis_log!N:N,"NOT FOUND",0,1),IF(N1334="gross",0,""))</f>
        <v>4.1999999999999993</v>
      </c>
    </row>
    <row r="1335" spans="1:15">
      <c r="A1335" s="181" t="str">
        <f t="shared" si="66"/>
        <v>inbound</v>
      </c>
      <c r="B1335" s="182">
        <v>45734.658333333333</v>
      </c>
      <c r="C1335" s="183" t="s">
        <v>1927</v>
      </c>
      <c r="D1335" s="183"/>
      <c r="E1335" s="215" t="s">
        <v>2732</v>
      </c>
      <c r="F1335" s="112" t="str">
        <f>IF(ISBLANK(E1335),"",_xlfn.XLOOKUP(E1335,cannabis_log!C:C,cannabis_log!J:J,"",0,))</f>
        <v>PR2507F1P2</v>
      </c>
      <c r="G1335" s="112"/>
      <c r="H1335" s="112" t="str">
        <f>IF(ISBLANK(E1335),"",_xlfn.XLOOKUP(E1335,cannabis_log!C:C,cannabis_log!H:H,"",0,1))</f>
        <v>preroll_labelled</v>
      </c>
      <c r="I1335" s="113">
        <f>IF(ISBLANK(E1335),"",_xlfn.XLOOKUP(E1335,cannabis_log!C:C,cannabis_log!K:K,"NOT FOUND",0,1))</f>
        <v>45728</v>
      </c>
      <c r="J1335" s="185">
        <v>228</v>
      </c>
      <c r="K1335" s="186">
        <f t="shared" si="68"/>
        <v>0</v>
      </c>
      <c r="L1335" s="288">
        <f t="shared" si="67"/>
        <v>456</v>
      </c>
      <c r="M1335" s="24"/>
      <c r="N1335" s="112" t="str">
        <f>IF(ISBLANK(E1335),"",_xlfn.XLOOKUP(E1335,cannabis_log!C:C,cannabis_log!T:T,"Not Found",0,))</f>
        <v>net</v>
      </c>
      <c r="O1335" s="180">
        <f>IF(N1335="net",_xlfn.XLOOKUP(E1335,cannabis_log!C:C,cannabis_log!N:N,"NOT FOUND",0,1),IF(N1335="gross",0,""))</f>
        <v>2</v>
      </c>
    </row>
    <row r="1336" spans="1:15">
      <c r="A1336" s="181" t="str">
        <f t="shared" si="66"/>
        <v>inbound</v>
      </c>
      <c r="B1336" s="182">
        <v>45734.658333333333</v>
      </c>
      <c r="C1336" s="183" t="s">
        <v>1927</v>
      </c>
      <c r="D1336" s="183"/>
      <c r="E1336" s="215" t="s">
        <v>2692</v>
      </c>
      <c r="F1336" s="112" t="str">
        <f>IF(ISBLANK(E1336),"",_xlfn.XLOOKUP(E1336,cannabis_log!C:C,cannabis_log!J:J,"",0,))</f>
        <v>PR2301F5P3</v>
      </c>
      <c r="G1336" s="112"/>
      <c r="H1336" s="112" t="str">
        <f>IF(ISBLANK(E1336),"",_xlfn.XLOOKUP(E1336,cannabis_log!C:C,cannabis_log!H:H,"",0,1))</f>
        <v>preroll_labelled</v>
      </c>
      <c r="I1336" s="113">
        <f>IF(ISBLANK(E1336),"",_xlfn.XLOOKUP(E1336,cannabis_log!C:C,cannabis_log!K:K,"NOT FOUND",0,1))</f>
        <v>45457</v>
      </c>
      <c r="J1336" s="185">
        <v>142</v>
      </c>
      <c r="K1336" s="186">
        <f t="shared" si="68"/>
        <v>0</v>
      </c>
      <c r="L1336" s="288">
        <f t="shared" si="67"/>
        <v>213</v>
      </c>
      <c r="M1336" s="24"/>
      <c r="N1336" s="112" t="str">
        <f>IF(ISBLANK(E1336),"",_xlfn.XLOOKUP(E1336,cannabis_log!C:C,cannabis_log!T:T,"Not Found",0,))</f>
        <v>net</v>
      </c>
      <c r="O1336" s="180">
        <f>IF(N1336="net",_xlfn.XLOOKUP(E1336,cannabis_log!C:C,cannabis_log!N:N,"NOT FOUND",0,1),IF(N1336="gross",0,""))</f>
        <v>1.5</v>
      </c>
    </row>
    <row r="1337" spans="1:15">
      <c r="A1337" s="195" t="str">
        <f t="shared" si="66"/>
        <v>inbound</v>
      </c>
      <c r="B1337" s="182">
        <v>45734.658333333333</v>
      </c>
      <c r="C1337" s="183" t="s">
        <v>1927</v>
      </c>
      <c r="D1337" s="197"/>
      <c r="E1337" s="217" t="s">
        <v>2695</v>
      </c>
      <c r="F1337" s="112" t="str">
        <f>IF(ISBLANK(E1337),"",_xlfn.XLOOKUP(E1337,cannabis_log!C:C,cannabis_log!J:J,"",0,))</f>
        <v>PR2406F1P1</v>
      </c>
      <c r="G1337" s="112"/>
      <c r="H1337" s="112" t="str">
        <f>IF(ISBLANK(E1337),"",_xlfn.XLOOKUP(E1337,cannabis_log!C:C,cannabis_log!H:H,"",0,1))</f>
        <v>preroll_labelled</v>
      </c>
      <c r="I1337" s="113">
        <f>IF(ISBLANK(E1337),"",_xlfn.XLOOKUP(E1337,cannabis_log!C:C,cannabis_log!K:K,"NOT FOUND",0,1))</f>
        <v>45462</v>
      </c>
      <c r="J1337" s="185">
        <v>482</v>
      </c>
      <c r="K1337" s="186">
        <f t="shared" si="68"/>
        <v>0</v>
      </c>
      <c r="L1337" s="288">
        <f t="shared" si="67"/>
        <v>482</v>
      </c>
      <c r="M1337" s="24"/>
      <c r="N1337" s="112" t="str">
        <f>IF(ISBLANK(E1337),"",_xlfn.XLOOKUP(E1337,cannabis_log!C:C,cannabis_log!T:T,"Not Found",0,))</f>
        <v>net</v>
      </c>
      <c r="O1337" s="180">
        <f>IF(N1337="net",_xlfn.XLOOKUP(E1337,cannabis_log!C:C,cannabis_log!N:N,"NOT FOUND",0,1),IF(N1337="gross",0,""))</f>
        <v>1</v>
      </c>
    </row>
    <row r="1338" spans="1:15">
      <c r="A1338" s="195" t="str">
        <f t="shared" si="66"/>
        <v>inbound</v>
      </c>
      <c r="B1338" s="182">
        <v>45734.658333333333</v>
      </c>
      <c r="C1338" s="183" t="s">
        <v>1927</v>
      </c>
      <c r="D1338" s="197"/>
      <c r="E1338" s="217" t="s">
        <v>2716</v>
      </c>
      <c r="F1338" s="112" t="str">
        <f>IF(ISBLANK(E1338),"",_xlfn.XLOOKUP(E1338,cannabis_log!C:C,cannabis_log!J:J,"",0,))</f>
        <v>PR2407F5P3</v>
      </c>
      <c r="G1338" s="112"/>
      <c r="H1338" s="112" t="str">
        <f>IF(ISBLANK(E1338),"",_xlfn.XLOOKUP(E1338,cannabis_log!C:C,cannabis_log!H:H,"",0,1))</f>
        <v>preroll_labelled</v>
      </c>
      <c r="I1338" s="113">
        <f>IF(ISBLANK(E1338),"",_xlfn.XLOOKUP(E1338,cannabis_log!C:C,cannabis_log!K:K,"NOT FOUND",0,1))</f>
        <v>45447</v>
      </c>
      <c r="J1338" s="185">
        <v>155</v>
      </c>
      <c r="K1338" s="186">
        <f t="shared" si="68"/>
        <v>0</v>
      </c>
      <c r="L1338" s="288">
        <f t="shared" si="67"/>
        <v>232.5</v>
      </c>
      <c r="M1338" s="24"/>
      <c r="N1338" s="112" t="str">
        <f>IF(ISBLANK(E1338),"",_xlfn.XLOOKUP(E1338,cannabis_log!C:C,cannabis_log!T:T,"Not Found",0,))</f>
        <v>net</v>
      </c>
      <c r="O1338" s="180">
        <f>IF(N1338="net",_xlfn.XLOOKUP(E1338,cannabis_log!C:C,cannabis_log!N:N,"NOT FOUND",0,1),IF(N1338="gross",0,""))</f>
        <v>1.5</v>
      </c>
    </row>
    <row r="1339" spans="1:15">
      <c r="A1339" s="195" t="str">
        <f t="shared" si="66"/>
        <v>inbound</v>
      </c>
      <c r="B1339" s="196">
        <v>45734.676388888889</v>
      </c>
      <c r="C1339" s="183" t="s">
        <v>1927</v>
      </c>
      <c r="D1339" s="197"/>
      <c r="E1339" s="217" t="s">
        <v>2693</v>
      </c>
      <c r="F1339" s="112" t="str">
        <f>IF(ISBLANK(E1339),"",_xlfn.XLOOKUP(E1339,cannabis_log!C:C,cannabis_log!J:J,"",0,))</f>
        <v>PR2406F5P3</v>
      </c>
      <c r="G1339" s="112"/>
      <c r="H1339" s="112" t="str">
        <f>IF(ISBLANK(E1339),"",_xlfn.XLOOKUP(E1339,cannabis_log!C:C,cannabis_log!H:H,"",0,1))</f>
        <v>preroll_labelled</v>
      </c>
      <c r="I1339" s="113">
        <f>IF(ISBLANK(E1339),"",_xlfn.XLOOKUP(E1339,cannabis_log!C:C,cannabis_log!K:K,"NOT FOUND",0,1))</f>
        <v>45457</v>
      </c>
      <c r="J1339" s="185">
        <v>13</v>
      </c>
      <c r="K1339" s="186">
        <f t="shared" si="68"/>
        <v>0</v>
      </c>
      <c r="L1339" s="288">
        <f t="shared" si="67"/>
        <v>19.5</v>
      </c>
      <c r="M1339" s="24"/>
      <c r="N1339" s="112" t="str">
        <f>IF(ISBLANK(E1339),"",_xlfn.XLOOKUP(E1339,cannabis_log!C:C,cannabis_log!T:T,"Not Found",0,))</f>
        <v>net</v>
      </c>
      <c r="O1339" s="180">
        <f>IF(N1339="net",_xlfn.XLOOKUP(E1339,cannabis_log!C:C,cannabis_log!N:N,"NOT FOUND",0,1),IF(N1339="gross",0,""))</f>
        <v>1.5</v>
      </c>
    </row>
    <row r="1340" spans="1:15">
      <c r="A1340" s="195" t="str">
        <f t="shared" si="66"/>
        <v>outbound</v>
      </c>
      <c r="B1340" s="196">
        <v>45735.427083333336</v>
      </c>
      <c r="C1340" s="197" t="s">
        <v>1921</v>
      </c>
      <c r="D1340" s="197" t="s">
        <v>2744</v>
      </c>
      <c r="E1340" s="217" t="s">
        <v>2745</v>
      </c>
      <c r="F1340" s="112">
        <f>IF(ISBLANK(E1340),"",_xlfn.XLOOKUP(E1340,cannabis_log!C:C,cannabis_log!J:J,"",0,))</f>
        <v>2024120601</v>
      </c>
      <c r="G1340" s="112"/>
      <c r="H1340" s="112" t="str">
        <f>IF(ISBLANK(E1340),"",_xlfn.XLOOKUP(E1340,cannabis_log!C:C,cannabis_log!H:H,"",0,1))</f>
        <v>extract_inhaled_bulk</v>
      </c>
      <c r="I1340" s="113" t="str">
        <f>IF(ISBLANK(E1340),"",_xlfn.XLOOKUP(E1340,cannabis_log!C:C,cannabis_log!K:K,"NOT FOUND",0,1))</f>
        <v>NA</v>
      </c>
      <c r="J1340" s="185">
        <v>-1</v>
      </c>
      <c r="K1340" s="186">
        <v>-1940</v>
      </c>
      <c r="L1340" s="288">
        <f t="shared" si="67"/>
        <v>0</v>
      </c>
      <c r="M1340" s="24"/>
      <c r="N1340" s="112" t="str">
        <f>IF(ISBLANK(E1340),"",_xlfn.XLOOKUP(E1340,cannabis_log!C:C,cannabis_log!T:T,"Not Found",0,))</f>
        <v>gross</v>
      </c>
      <c r="O1340" s="180">
        <f>IF(N1340="net",_xlfn.XLOOKUP(E1340,cannabis_log!C:C,cannabis_log!N:N,"NOT FOUND",0,1),IF(N1340="gross",0,""))</f>
        <v>0</v>
      </c>
    </row>
    <row r="1341" spans="1:15">
      <c r="A1341" s="195" t="str">
        <f t="shared" si="66"/>
        <v>outbound</v>
      </c>
      <c r="B1341" s="196">
        <v>45735.429166666669</v>
      </c>
      <c r="C1341" s="197" t="s">
        <v>1921</v>
      </c>
      <c r="D1341" s="197"/>
      <c r="E1341" s="217" t="s">
        <v>2746</v>
      </c>
      <c r="F1341" s="112" t="str">
        <f>IF(ISBLANK(E1341),"",_xlfn.XLOOKUP(E1341,cannabis_log!C:C,cannabis_log!J:J,"",0,))</f>
        <v>PR2301</v>
      </c>
      <c r="G1341" s="112"/>
      <c r="H1341" s="112" t="str">
        <f>IF(ISBLANK(E1341),"",_xlfn.XLOOKUP(E1341,cannabis_log!C:C,cannabis_log!H:H,"",0,1))</f>
        <v>driedflower_milled_bulk</v>
      </c>
      <c r="I1341" s="113">
        <f>IF(ISBLANK(E1341),"",_xlfn.XLOOKUP(E1341,cannabis_log!C:C,cannabis_log!K:K,"NOT FOUND",0,1))</f>
        <v>45384</v>
      </c>
      <c r="J1341" s="185">
        <v>-1</v>
      </c>
      <c r="K1341" s="186">
        <v>-5745</v>
      </c>
      <c r="L1341" s="288">
        <f t="shared" si="67"/>
        <v>0</v>
      </c>
      <c r="M1341" s="24"/>
      <c r="N1341" s="112" t="str">
        <f>IF(ISBLANK(E1341),"",_xlfn.XLOOKUP(E1341,cannabis_log!C:C,cannabis_log!T:T,"Not Found",0,))</f>
        <v>gross</v>
      </c>
      <c r="O1341" s="180">
        <f>IF(N1341="net",_xlfn.XLOOKUP(E1341,cannabis_log!C:C,cannabis_log!N:N,"NOT FOUND",0,1),IF(N1341="gross",0,""))</f>
        <v>0</v>
      </c>
    </row>
    <row r="1342" spans="1:15">
      <c r="A1342" s="195" t="str">
        <f t="shared" si="66"/>
        <v>outbound</v>
      </c>
      <c r="B1342" s="196">
        <v>45735.475694444445</v>
      </c>
      <c r="C1342" s="197" t="s">
        <v>1929</v>
      </c>
      <c r="D1342" s="197" t="s">
        <v>2747</v>
      </c>
      <c r="E1342" s="217" t="s">
        <v>2748</v>
      </c>
      <c r="F1342" s="112" t="str">
        <f>IF(ISBLANK(E1342),"",_xlfn.XLOOKUP(E1342,cannabis_log!C:C,cannabis_log!J:J,"",0,))</f>
        <v>EX24100801V30</v>
      </c>
      <c r="G1342" s="112"/>
      <c r="H1342" s="112" t="str">
        <f>IF(ISBLANK(E1342),"",_xlfn.XLOOKUP(E1342,cannabis_log!C:C,cannabis_log!H:H,"",0,1))</f>
        <v>extract_ingested_labelled</v>
      </c>
      <c r="I1342" s="113">
        <f>IF(ISBLANK(E1342),"",_xlfn.XLOOKUP(E1342,cannabis_log!C:C,cannabis_log!K:K,"NOT FOUND",0,1))</f>
        <v>45590</v>
      </c>
      <c r="J1342" s="185">
        <v>-55</v>
      </c>
      <c r="K1342" s="186">
        <f>IF(N1342="net",0,"")</f>
        <v>0</v>
      </c>
      <c r="L1342" s="288">
        <f t="shared" si="67"/>
        <v>-1501.5</v>
      </c>
      <c r="M1342" s="24"/>
      <c r="N1342" s="112" t="str">
        <f>IF(ISBLANK(E1342),"",_xlfn.XLOOKUP(E1342,cannabis_log!C:C,cannabis_log!T:T,"Not Found",0,))</f>
        <v>net</v>
      </c>
      <c r="O1342" s="180">
        <f>IF(N1342="net",_xlfn.XLOOKUP(E1342,cannabis_log!C:C,cannabis_log!N:N,"NOT FOUND",0,1),IF(N1342="gross",0,""))</f>
        <v>27.3</v>
      </c>
    </row>
    <row r="1343" spans="1:15">
      <c r="A1343" s="195" t="str">
        <f t="shared" si="66"/>
        <v>outbound</v>
      </c>
      <c r="B1343" s="196">
        <v>45735.475694444445</v>
      </c>
      <c r="C1343" s="197" t="s">
        <v>1929</v>
      </c>
      <c r="D1343" s="197" t="s">
        <v>2749</v>
      </c>
      <c r="E1343" s="217" t="s">
        <v>2732</v>
      </c>
      <c r="F1343" s="112" t="str">
        <f>IF(ISBLANK(E1343),"",_xlfn.XLOOKUP(E1343,cannabis_log!C:C,cannabis_log!J:J,"",0,))</f>
        <v>PR2507F1P2</v>
      </c>
      <c r="G1343" s="112"/>
      <c r="H1343" s="112" t="str">
        <f>IF(ISBLANK(E1343),"",_xlfn.XLOOKUP(E1343,cannabis_log!C:C,cannabis_log!H:H,"",0,1))</f>
        <v>preroll_labelled</v>
      </c>
      <c r="I1343" s="113">
        <f>IF(ISBLANK(E1343),"",_xlfn.XLOOKUP(E1343,cannabis_log!C:C,cannabis_log!K:K,"NOT FOUND",0,1))</f>
        <v>45728</v>
      </c>
      <c r="J1343" s="185">
        <v>-48</v>
      </c>
      <c r="K1343" s="186">
        <f>IF(N1343="net",0,"")</f>
        <v>0</v>
      </c>
      <c r="L1343" s="288">
        <f t="shared" si="67"/>
        <v>-96</v>
      </c>
      <c r="M1343" s="24"/>
      <c r="N1343" s="112" t="str">
        <f>IF(ISBLANK(E1343),"",_xlfn.XLOOKUP(E1343,cannabis_log!C:C,cannabis_log!T:T,"Not Found",0,))</f>
        <v>net</v>
      </c>
      <c r="O1343" s="180">
        <f>IF(N1343="net",_xlfn.XLOOKUP(E1343,cannabis_log!C:C,cannabis_log!N:N,"NOT FOUND",0,1),IF(N1343="gross",0,""))</f>
        <v>2</v>
      </c>
    </row>
    <row r="1344" spans="1:15">
      <c r="A1344" s="195" t="str">
        <f t="shared" si="66"/>
        <v>outbound</v>
      </c>
      <c r="B1344" s="196">
        <v>45735.475694444445</v>
      </c>
      <c r="C1344" s="197" t="s">
        <v>1929</v>
      </c>
      <c r="D1344" s="197" t="s">
        <v>2749</v>
      </c>
      <c r="E1344" s="217" t="s">
        <v>2703</v>
      </c>
      <c r="F1344" s="112" t="str">
        <f>IF(ISBLANK(E1344),"",_xlfn.XLOOKUP(E1344,cannabis_log!C:C,cannabis_log!J:J,"",0,))</f>
        <v>PR2501F5P10</v>
      </c>
      <c r="G1344" s="112"/>
      <c r="H1344" s="112" t="str">
        <f>IF(ISBLANK(E1344),"",_xlfn.XLOOKUP(E1344,cannabis_log!C:C,cannabis_log!H:H,"",0,1))</f>
        <v>preroll_labelled</v>
      </c>
      <c r="I1344" s="113">
        <f>IF(ISBLANK(E1344),"",_xlfn.XLOOKUP(E1344,cannabis_log!C:C,cannabis_log!K:K,"NOT FOUND",0,1))</f>
        <v>45707</v>
      </c>
      <c r="J1344" s="185">
        <v>-12</v>
      </c>
      <c r="K1344" s="186">
        <f>IF(N1344="net",0,"")</f>
        <v>0</v>
      </c>
      <c r="L1344" s="288">
        <f t="shared" si="67"/>
        <v>-60</v>
      </c>
      <c r="M1344" s="24"/>
      <c r="N1344" s="112" t="str">
        <f>IF(ISBLANK(E1344),"",_xlfn.XLOOKUP(E1344,cannabis_log!C:C,cannabis_log!T:T,"Not Found",0,))</f>
        <v>net</v>
      </c>
      <c r="O1344" s="180">
        <f>IF(N1344="net",_xlfn.XLOOKUP(E1344,cannabis_log!C:C,cannabis_log!N:N,"NOT FOUND",0,1),IF(N1344="gross",0,""))</f>
        <v>5</v>
      </c>
    </row>
    <row r="1345" spans="1:15">
      <c r="A1345" s="195" t="str">
        <f t="shared" ref="A1345:A1408" si="69">IF(ISBLANK(J1345),"",IF(J1345+K1345+L1345&lt;0,"outbound","inbound"))</f>
        <v>outbound</v>
      </c>
      <c r="B1345" s="196">
        <v>45735.484027777777</v>
      </c>
      <c r="C1345" s="197" t="s">
        <v>1929</v>
      </c>
      <c r="D1345" s="197" t="s">
        <v>2749</v>
      </c>
      <c r="E1345" s="217" t="s">
        <v>2750</v>
      </c>
      <c r="F1345" s="112" t="str">
        <f>IF(ISBLANK(E1345),"",_xlfn.XLOOKUP(E1345,cannabis_log!C:C,cannabis_log!J:J,"",0,))</f>
        <v>EX24092601V50</v>
      </c>
      <c r="G1345" s="112"/>
      <c r="H1345" s="112" t="str">
        <f>IF(ISBLANK(E1345),"",_xlfn.XLOOKUP(E1345,cannabis_log!C:C,cannabis_log!H:H,"",0,1))</f>
        <v>extract_ingested_cased_BC</v>
      </c>
      <c r="I1345" s="113">
        <f>IF(ISBLANK(E1345),"",_xlfn.XLOOKUP(E1345,cannabis_log!C:C,cannabis_log!K:K,"NOT FOUND",0,1))</f>
        <v>45576</v>
      </c>
      <c r="J1345" s="185">
        <v>-2</v>
      </c>
      <c r="K1345" s="186">
        <f>IF(N1345="net",0,"")</f>
        <v>0</v>
      </c>
      <c r="L1345" s="288">
        <f t="shared" si="67"/>
        <v>-1200</v>
      </c>
      <c r="M1345" s="24"/>
      <c r="N1345" s="112" t="str">
        <f>IF(ISBLANK(E1345),"",_xlfn.XLOOKUP(E1345,cannabis_log!C:C,cannabis_log!T:T,"Not Found",0,))</f>
        <v>net</v>
      </c>
      <c r="O1345" s="180">
        <f>IF(N1345="net",_xlfn.XLOOKUP(E1345,cannabis_log!C:C,cannabis_log!N:N,"NOT FOUND",0,1),IF(N1345="gross",0,""))</f>
        <v>600</v>
      </c>
    </row>
    <row r="1346" spans="1:15">
      <c r="A1346" s="195" t="str">
        <f t="shared" si="69"/>
        <v>outbound</v>
      </c>
      <c r="B1346" s="196">
        <v>45735.48541666667</v>
      </c>
      <c r="C1346" s="197" t="s">
        <v>1929</v>
      </c>
      <c r="D1346" s="197" t="s">
        <v>2751</v>
      </c>
      <c r="E1346" s="217" t="s">
        <v>2717</v>
      </c>
      <c r="F1346" s="112" t="str">
        <f>IF(ISBLANK(E1346),"",_xlfn.XLOOKUP(E1346,cannabis_log!C:C,cannabis_log!J:J,"",0,))</f>
        <v>2024111803G7</v>
      </c>
      <c r="G1346" s="112"/>
      <c r="H1346" s="112" t="str">
        <f>IF(ISBLANK(E1346),"",_xlfn.XLOOKUP(E1346,cannabis_log!C:C,cannabis_log!H:H,"",0,1))</f>
        <v>driedflower_labelled</v>
      </c>
      <c r="I1346" s="113">
        <f>IF(ISBLANK(E1346),"",_xlfn.XLOOKUP(E1346,cannabis_log!C:C,cannabis_log!K:K,"NOT FOUND",0,1))</f>
        <v>45721</v>
      </c>
      <c r="J1346" s="185">
        <v>-51</v>
      </c>
      <c r="K1346" s="186">
        <f>IF(N1346="net",0,"")</f>
        <v>0</v>
      </c>
      <c r="L1346" s="288">
        <f t="shared" si="67"/>
        <v>-357</v>
      </c>
      <c r="M1346" s="24"/>
      <c r="N1346" s="112" t="str">
        <f>IF(ISBLANK(E1346),"",_xlfn.XLOOKUP(E1346,cannabis_log!C:C,cannabis_log!T:T,"Not Found",0,))</f>
        <v>net</v>
      </c>
      <c r="O1346" s="180">
        <f>IF(N1346="net",_xlfn.XLOOKUP(E1346,cannabis_log!C:C,cannabis_log!N:N,"NOT FOUND",0,1),IF(N1346="gross",0,""))</f>
        <v>7</v>
      </c>
    </row>
    <row r="1347" spans="1:15">
      <c r="A1347" s="195" t="str">
        <f t="shared" si="69"/>
        <v>outbound</v>
      </c>
      <c r="B1347" s="196">
        <v>45735.498611111114</v>
      </c>
      <c r="C1347" s="197" t="s">
        <v>1921</v>
      </c>
      <c r="D1347" s="197" t="s">
        <v>2752</v>
      </c>
      <c r="E1347" s="217" t="s">
        <v>2753</v>
      </c>
      <c r="F1347" s="112" t="str">
        <f>IF(ISBLANK(E1347),"",_xlfn.XLOOKUP(E1347,cannabis_log!C:C,cannabis_log!J:J,"",0,))</f>
        <v>PR2501</v>
      </c>
      <c r="G1347" s="112"/>
      <c r="H1347" s="112" t="str">
        <f>IF(ISBLANK(E1347),"",_xlfn.XLOOKUP(E1347,cannabis_log!C:C,cannabis_log!H:H,"",0,1))</f>
        <v>driedflower_milled_bulk</v>
      </c>
      <c r="I1347" s="113" t="str">
        <f>IF(ISBLANK(E1347),"",_xlfn.XLOOKUP(E1347,cannabis_log!C:C,cannabis_log!K:K,"NOT FOUND",0,1))</f>
        <v>NA</v>
      </c>
      <c r="J1347" s="185">
        <v>-1</v>
      </c>
      <c r="K1347" s="186">
        <v>-4908</v>
      </c>
      <c r="L1347" s="288">
        <f t="shared" si="67"/>
        <v>0</v>
      </c>
      <c r="M1347" s="24"/>
      <c r="N1347" s="112" t="str">
        <f>IF(ISBLANK(E1347),"",_xlfn.XLOOKUP(E1347,cannabis_log!C:C,cannabis_log!T:T,"Not Found",0,))</f>
        <v>gross</v>
      </c>
      <c r="O1347" s="180">
        <f>IF(N1347="net",_xlfn.XLOOKUP(E1347,cannabis_log!C:C,cannabis_log!N:N,"NOT FOUND",0,1),IF(N1347="gross",0,""))</f>
        <v>0</v>
      </c>
    </row>
    <row r="1348" spans="1:15">
      <c r="A1348" s="195" t="str">
        <f t="shared" si="69"/>
        <v>outbound</v>
      </c>
      <c r="B1348" s="196">
        <v>45735.498611111114</v>
      </c>
      <c r="C1348" s="197" t="s">
        <v>1921</v>
      </c>
      <c r="D1348" s="112" t="s">
        <v>2754</v>
      </c>
      <c r="E1348" s="217" t="s">
        <v>2755</v>
      </c>
      <c r="F1348" s="112">
        <f>IF(ISBLANK(E1348),"",_xlfn.XLOOKUP(E1348,cannabis_log!C:C,cannabis_log!J:J,"",0,))</f>
        <v>2024111803</v>
      </c>
      <c r="G1348" s="112"/>
      <c r="H1348" s="112" t="str">
        <f>IF(ISBLANK(E1348),"",_xlfn.XLOOKUP(E1348,cannabis_log!C:C,cannabis_log!H:H,"",0,1))</f>
        <v>driedflower_bulk</v>
      </c>
      <c r="I1348" s="113" t="str">
        <f>IF(ISBLANK(E1348),"",_xlfn.XLOOKUP(E1348,cannabis_log!C:C,cannabis_log!K:K,"NOT FOUND",0,1))</f>
        <v>NA</v>
      </c>
      <c r="J1348" s="185">
        <v>-1</v>
      </c>
      <c r="K1348" s="186">
        <v>-1210</v>
      </c>
      <c r="L1348" s="288">
        <f t="shared" si="67"/>
        <v>0</v>
      </c>
      <c r="M1348" s="24"/>
      <c r="N1348" s="112" t="str">
        <f>IF(ISBLANK(E1348),"",_xlfn.XLOOKUP(E1348,cannabis_log!C:C,cannabis_log!T:T,"Not Found",0,))</f>
        <v>gross</v>
      </c>
      <c r="O1348" s="180">
        <f>IF(N1348="net",_xlfn.XLOOKUP(E1348,cannabis_log!C:C,cannabis_log!N:N,"NOT FOUND",0,1),IF(N1348="gross",0,""))</f>
        <v>0</v>
      </c>
    </row>
    <row r="1349" spans="1:15">
      <c r="A1349" s="195" t="str">
        <f t="shared" si="69"/>
        <v>outbound</v>
      </c>
      <c r="B1349" s="196">
        <v>45735.55</v>
      </c>
      <c r="C1349" s="197" t="s">
        <v>1921</v>
      </c>
      <c r="D1349" s="197" t="s">
        <v>2348</v>
      </c>
      <c r="E1349" s="217" t="s">
        <v>2704</v>
      </c>
      <c r="F1349" s="112" t="str">
        <f>IF(ISBLANK(E1349),"",_xlfn.XLOOKUP(E1349,cannabis_log!C:C,cannabis_log!J:J,"",0,))</f>
        <v>PR2501F5</v>
      </c>
      <c r="G1349" s="112"/>
      <c r="H1349" s="112" t="str">
        <f>IF(ISBLANK(E1349),"",_xlfn.XLOOKUP(E1349,cannabis_log!C:C,cannabis_log!H:H,"",0,1))</f>
        <v>preroll_bulk</v>
      </c>
      <c r="I1349" s="113" t="str">
        <f>IF(ISBLANK(E1349),"",_xlfn.XLOOKUP(E1349,cannabis_log!C:C,cannabis_log!K:K,"NOT FOUND",0,1))</f>
        <v>NA</v>
      </c>
      <c r="J1349" s="185">
        <v>-12</v>
      </c>
      <c r="K1349" s="186">
        <f>IF(N1349="net",0,"")</f>
        <v>0</v>
      </c>
      <c r="L1349" s="288">
        <f t="shared" si="67"/>
        <v>-6</v>
      </c>
      <c r="M1349" s="24"/>
      <c r="N1349" s="112" t="str">
        <f>IF(ISBLANK(E1349),"",_xlfn.XLOOKUP(E1349,cannabis_log!C:C,cannabis_log!T:T,"Not Found",0,))</f>
        <v>net</v>
      </c>
      <c r="O1349" s="180">
        <f>IF(N1349="net",_xlfn.XLOOKUP(E1349,cannabis_log!C:C,cannabis_log!N:N,"NOT FOUND",0,1),IF(N1349="gross",0,""))</f>
        <v>0.5</v>
      </c>
    </row>
    <row r="1350" spans="1:15">
      <c r="A1350" s="195" t="str">
        <f t="shared" si="69"/>
        <v>outbound</v>
      </c>
      <c r="B1350" s="196">
        <v>45735.55</v>
      </c>
      <c r="C1350" s="197" t="s">
        <v>1924</v>
      </c>
      <c r="D1350" s="197" t="s">
        <v>2756</v>
      </c>
      <c r="E1350" s="217" t="s">
        <v>2732</v>
      </c>
      <c r="F1350" s="112" t="str">
        <f>IF(ISBLANK(E1350),"",_xlfn.XLOOKUP(E1350,cannabis_log!C:C,cannabis_log!J:J,"",0,))</f>
        <v>PR2507F1P2</v>
      </c>
      <c r="G1350" s="112"/>
      <c r="H1350" s="112" t="str">
        <f>IF(ISBLANK(E1350),"",_xlfn.XLOOKUP(E1350,cannabis_log!C:C,cannabis_log!H:H,"",0,1))</f>
        <v>preroll_labelled</v>
      </c>
      <c r="I1350" s="113">
        <f>IF(ISBLANK(E1350),"",_xlfn.XLOOKUP(E1350,cannabis_log!C:C,cannabis_log!K:K,"NOT FOUND",0,1))</f>
        <v>45728</v>
      </c>
      <c r="J1350" s="185">
        <v>-1</v>
      </c>
      <c r="K1350" s="186">
        <f>IF(N1350="net",0,"")</f>
        <v>0</v>
      </c>
      <c r="L1350" s="288">
        <f t="shared" si="67"/>
        <v>-2</v>
      </c>
      <c r="M1350" s="24"/>
      <c r="N1350" s="112" t="str">
        <f>IF(ISBLANK(E1350),"",_xlfn.XLOOKUP(E1350,cannabis_log!C:C,cannabis_log!T:T,"Not Found",0,))</f>
        <v>net</v>
      </c>
      <c r="O1350" s="180">
        <f>IF(N1350="net",_xlfn.XLOOKUP(E1350,cannabis_log!C:C,cannabis_log!N:N,"NOT FOUND",0,1),IF(N1350="gross",0,""))</f>
        <v>2</v>
      </c>
    </row>
    <row r="1351" spans="1:15">
      <c r="A1351" s="195" t="str">
        <f t="shared" si="69"/>
        <v>inbound</v>
      </c>
      <c r="B1351" s="196">
        <v>45735.55</v>
      </c>
      <c r="C1351" s="197" t="s">
        <v>1927</v>
      </c>
      <c r="D1351" s="197" t="s">
        <v>2756</v>
      </c>
      <c r="E1351" s="217" t="s">
        <v>2703</v>
      </c>
      <c r="F1351" s="112" t="str">
        <f>IF(ISBLANK(E1351),"",_xlfn.XLOOKUP(E1351,cannabis_log!C:C,cannabis_log!J:J,"",0,))</f>
        <v>PR2501F5P10</v>
      </c>
      <c r="G1351" s="112"/>
      <c r="H1351" s="112" t="str">
        <f>IF(ISBLANK(E1351),"",_xlfn.XLOOKUP(E1351,cannabis_log!C:C,cannabis_log!H:H,"",0,1))</f>
        <v>preroll_labelled</v>
      </c>
      <c r="I1351" s="113">
        <f>IF(ISBLANK(E1351),"",_xlfn.XLOOKUP(E1351,cannabis_log!C:C,cannabis_log!K:K,"NOT FOUND",0,1))</f>
        <v>45707</v>
      </c>
      <c r="J1351" s="185">
        <v>47</v>
      </c>
      <c r="K1351" s="186">
        <f>IF(N1351="net",0,"")</f>
        <v>0</v>
      </c>
      <c r="L1351" s="288">
        <f t="shared" si="67"/>
        <v>235</v>
      </c>
      <c r="M1351" s="24"/>
      <c r="N1351" s="112" t="str">
        <f>IF(ISBLANK(E1351),"",_xlfn.XLOOKUP(E1351,cannabis_log!C:C,cannabis_log!T:T,"Not Found",0,))</f>
        <v>net</v>
      </c>
      <c r="O1351" s="180">
        <f>IF(N1351="net",_xlfn.XLOOKUP(E1351,cannabis_log!C:C,cannabis_log!N:N,"NOT FOUND",0,1),IF(N1351="gross",0,""))</f>
        <v>5</v>
      </c>
    </row>
    <row r="1352" spans="1:15">
      <c r="A1352" s="195" t="str">
        <f t="shared" si="69"/>
        <v>outbound</v>
      </c>
      <c r="B1352" s="196">
        <v>45735.581250000003</v>
      </c>
      <c r="C1352" s="197" t="s">
        <v>1921</v>
      </c>
      <c r="D1352" s="197" t="s">
        <v>2757</v>
      </c>
      <c r="E1352" s="217" t="s">
        <v>2758</v>
      </c>
      <c r="F1352" s="112">
        <f>IF(ISBLANK(E1352),"",_xlfn.XLOOKUP(E1352,cannabis_log!C:C,cannabis_log!J:J,"",0,))</f>
        <v>2025021901</v>
      </c>
      <c r="G1352" s="112"/>
      <c r="H1352" s="112" t="str">
        <f>IF(ISBLANK(E1352),"",_xlfn.XLOOKUP(E1352,cannabis_log!C:C,cannabis_log!H:H,"",0,1))</f>
        <v>extract_distillate_bulk</v>
      </c>
      <c r="I1352" s="113" t="str">
        <f>IF(ISBLANK(E1352),"",_xlfn.XLOOKUP(E1352,cannabis_log!C:C,cannabis_log!K:K,"NOT FOUND",0,1))</f>
        <v>NA</v>
      </c>
      <c r="J1352" s="185">
        <v>-1</v>
      </c>
      <c r="K1352" s="186">
        <v>-591.6</v>
      </c>
      <c r="L1352" s="288">
        <f t="shared" si="67"/>
        <v>0</v>
      </c>
      <c r="M1352" s="24"/>
      <c r="N1352" s="112" t="str">
        <f>IF(ISBLANK(E1352),"",_xlfn.XLOOKUP(E1352,cannabis_log!C:C,cannabis_log!T:T,"Not Found",0,))</f>
        <v>gross</v>
      </c>
      <c r="O1352" s="180">
        <f>IF(N1352="net",_xlfn.XLOOKUP(E1352,cannabis_log!C:C,cannabis_log!N:N,"NOT FOUND",0,1),IF(N1352="gross",0,""))</f>
        <v>0</v>
      </c>
    </row>
    <row r="1353" spans="1:15">
      <c r="A1353" s="195" t="str">
        <f t="shared" si="69"/>
        <v>outbound</v>
      </c>
      <c r="B1353" s="196">
        <v>45735.586111111108</v>
      </c>
      <c r="C1353" s="197" t="s">
        <v>1929</v>
      </c>
      <c r="D1353" s="197" t="s">
        <v>2759</v>
      </c>
      <c r="E1353" s="217" t="s">
        <v>2760</v>
      </c>
      <c r="F1353" s="112" t="str">
        <f>IF(ISBLANK(E1353),"",_xlfn.XLOOKUP(E1353,cannabis_log!C:C,cannabis_log!J:J,"",0,))</f>
        <v>TP24041202</v>
      </c>
      <c r="G1353" s="112"/>
      <c r="H1353" s="112" t="str">
        <f>IF(ISBLANK(E1353),"",_xlfn.XLOOKUP(E1353,cannabis_log!C:C,cannabis_log!H:H,"",0,1))</f>
        <v>topical_labelled</v>
      </c>
      <c r="I1353" s="113">
        <f>IF(ISBLANK(E1353),"",_xlfn.XLOOKUP(E1353,cannabis_log!C:C,cannabis_log!K:K,"NOT FOUND",0,1))</f>
        <v>45423</v>
      </c>
      <c r="J1353" s="185">
        <v>-8</v>
      </c>
      <c r="K1353" s="186">
        <f t="shared" ref="K1353:K1365" si="70">IF(N1353="net",0,"")</f>
        <v>0</v>
      </c>
      <c r="L1353" s="288">
        <f t="shared" si="67"/>
        <v>-704</v>
      </c>
      <c r="M1353" s="24"/>
      <c r="N1353" s="112" t="str">
        <f>IF(ISBLANK(E1353),"",_xlfn.XLOOKUP(E1353,cannabis_log!C:C,cannabis_log!T:T,"Not Found",0,))</f>
        <v>net</v>
      </c>
      <c r="O1353" s="180">
        <f>IF(N1353="net",_xlfn.XLOOKUP(E1353,cannabis_log!C:C,cannabis_log!N:N,"NOT FOUND",0,1),IF(N1353="gross",0,""))</f>
        <v>88</v>
      </c>
    </row>
    <row r="1354" spans="1:15">
      <c r="A1354" s="195" t="str">
        <f t="shared" si="69"/>
        <v>outbound</v>
      </c>
      <c r="B1354" s="196">
        <v>45735.586111111108</v>
      </c>
      <c r="C1354" s="197" t="s">
        <v>1929</v>
      </c>
      <c r="D1354" s="197" t="s">
        <v>2759</v>
      </c>
      <c r="E1354" s="217" t="s">
        <v>2761</v>
      </c>
      <c r="F1354" s="112" t="str">
        <f>IF(ISBLANK(E1354),"",_xlfn.XLOOKUP(E1354,cannabis_log!C:C,cannabis_log!J:J,"",0,))</f>
        <v>TP24082901</v>
      </c>
      <c r="G1354" s="112"/>
      <c r="H1354" s="112" t="str">
        <f>IF(ISBLANK(E1354),"",_xlfn.XLOOKUP(E1354,cannabis_log!C:C,cannabis_log!H:H,"",0,1))</f>
        <v>topical_labelled</v>
      </c>
      <c r="I1354" s="113">
        <f>IF(ISBLANK(E1354),"",_xlfn.XLOOKUP(E1354,cannabis_log!C:C,cannabis_log!K:K,"NOT FOUND",0,1))</f>
        <v>45560</v>
      </c>
      <c r="J1354" s="185">
        <v>-16</v>
      </c>
      <c r="K1354" s="186">
        <f t="shared" si="70"/>
        <v>0</v>
      </c>
      <c r="L1354" s="288">
        <f t="shared" si="67"/>
        <v>-1408</v>
      </c>
      <c r="M1354" s="24"/>
      <c r="N1354" s="112" t="str">
        <f>IF(ISBLANK(E1354),"",_xlfn.XLOOKUP(E1354,cannabis_log!C:C,cannabis_log!T:T,"Not Found",0,))</f>
        <v>net</v>
      </c>
      <c r="O1354" s="180">
        <f>IF(N1354="net",_xlfn.XLOOKUP(E1354,cannabis_log!C:C,cannabis_log!N:N,"NOT FOUND",0,1),IF(N1354="gross",0,""))</f>
        <v>88</v>
      </c>
    </row>
    <row r="1355" spans="1:15">
      <c r="A1355" s="195" t="str">
        <f t="shared" si="69"/>
        <v>outbound</v>
      </c>
      <c r="B1355" s="196">
        <v>45735.586111111108</v>
      </c>
      <c r="C1355" s="197" t="s">
        <v>1929</v>
      </c>
      <c r="D1355" s="197" t="s">
        <v>2759</v>
      </c>
      <c r="E1355" s="217" t="s">
        <v>2706</v>
      </c>
      <c r="F1355" s="112" t="str">
        <f>IF(ISBLANK(E1355),"",_xlfn.XLOOKUP(E1355,cannabis_log!C:C,cannabis_log!J:J,"",0,))</f>
        <v>EX25010907G1</v>
      </c>
      <c r="G1355" s="112"/>
      <c r="H1355" s="112" t="str">
        <f>IF(ISBLANK(E1355),"",_xlfn.XLOOKUP(E1355,cannabis_log!C:C,cannabis_log!H:H,"",0,1))</f>
        <v>extract_inhaled_labelled</v>
      </c>
      <c r="I1355" s="113">
        <f>IF(ISBLANK(E1355),"",_xlfn.XLOOKUP(E1355,cannabis_log!C:C,cannabis_log!K:K,"NOT FOUND",0,1))</f>
        <v>45714</v>
      </c>
      <c r="J1355" s="185">
        <v>-12</v>
      </c>
      <c r="K1355" s="186">
        <f t="shared" si="70"/>
        <v>0</v>
      </c>
      <c r="L1355" s="288">
        <f t="shared" si="67"/>
        <v>-12</v>
      </c>
      <c r="M1355" s="24"/>
      <c r="N1355" s="112" t="str">
        <f>IF(ISBLANK(E1355),"",_xlfn.XLOOKUP(E1355,cannabis_log!C:C,cannabis_log!T:T,"Not Found",0,))</f>
        <v>net</v>
      </c>
      <c r="O1355" s="180">
        <f>IF(N1355="net",_xlfn.XLOOKUP(E1355,cannabis_log!C:C,cannabis_log!N:N,"NOT FOUND",0,1),IF(N1355="gross",0,""))</f>
        <v>1</v>
      </c>
    </row>
    <row r="1356" spans="1:15">
      <c r="A1356" s="195" t="str">
        <f t="shared" si="69"/>
        <v>outbound</v>
      </c>
      <c r="B1356" s="196">
        <v>45735.586111111108</v>
      </c>
      <c r="C1356" s="197" t="s">
        <v>1929</v>
      </c>
      <c r="D1356" s="197" t="s">
        <v>2759</v>
      </c>
      <c r="E1356" s="217" t="s">
        <v>2700</v>
      </c>
      <c r="F1356" s="112" t="str">
        <f>IF(ISBLANK(E1356),"",_xlfn.XLOOKUP(E1356,cannabis_log!C:C,cannabis_log!J:J,"",0,))</f>
        <v>EX24111301G05</v>
      </c>
      <c r="G1356" s="112"/>
      <c r="H1356" s="112" t="str">
        <f>IF(ISBLANK(E1356),"",_xlfn.XLOOKUP(E1356,cannabis_log!C:C,cannabis_log!H:H,"",0,1))</f>
        <v>extract_inhaled_labelled</v>
      </c>
      <c r="I1356" s="113">
        <f>IF(ISBLANK(E1356),"",_xlfn.XLOOKUP(E1356,cannabis_log!C:C,cannabis_log!K:K,"NOT FOUND",0,1))</f>
        <v>45642</v>
      </c>
      <c r="J1356" s="185">
        <v>-36</v>
      </c>
      <c r="K1356" s="186">
        <f t="shared" si="70"/>
        <v>0</v>
      </c>
      <c r="L1356" s="288">
        <f t="shared" si="67"/>
        <v>-18</v>
      </c>
      <c r="M1356" s="24"/>
      <c r="N1356" s="112" t="str">
        <f>IF(ISBLANK(E1356),"",_xlfn.XLOOKUP(E1356,cannabis_log!C:C,cannabis_log!T:T,"Not Found",0,))</f>
        <v>net</v>
      </c>
      <c r="O1356" s="180">
        <f>IF(N1356="net",_xlfn.XLOOKUP(E1356,cannabis_log!C:C,cannabis_log!N:N,"NOT FOUND",0,1),IF(N1356="gross",0,""))</f>
        <v>0.5</v>
      </c>
    </row>
    <row r="1357" spans="1:15">
      <c r="A1357" s="195" t="str">
        <f t="shared" si="69"/>
        <v>outbound</v>
      </c>
      <c r="B1357" s="196">
        <v>45735.586111111108</v>
      </c>
      <c r="C1357" s="197" t="s">
        <v>1929</v>
      </c>
      <c r="D1357" s="197" t="s">
        <v>2759</v>
      </c>
      <c r="E1357" s="217" t="s">
        <v>2712</v>
      </c>
      <c r="F1357" s="112" t="str">
        <f>IF(ISBLANK(E1357),"",_xlfn.XLOOKUP(E1357,cannabis_log!C:C,cannabis_log!J:J,"",0,))</f>
        <v>PR241003F5P3</v>
      </c>
      <c r="G1357" s="112"/>
      <c r="H1357" s="112" t="str">
        <f>IF(ISBLANK(E1357),"",_xlfn.XLOOKUP(E1357,cannabis_log!C:C,cannabis_log!H:H,"",0,1))</f>
        <v>preroll_labelled</v>
      </c>
      <c r="I1357" s="113">
        <f>IF(ISBLANK(E1357),"",_xlfn.XLOOKUP(E1357,cannabis_log!C:C,cannabis_log!K:K,"NOT FOUND",0,1))</f>
        <v>45575</v>
      </c>
      <c r="J1357" s="185">
        <v>-36</v>
      </c>
      <c r="K1357" s="186">
        <f t="shared" si="70"/>
        <v>0</v>
      </c>
      <c r="L1357" s="288">
        <f t="shared" si="67"/>
        <v>-54</v>
      </c>
      <c r="M1357" s="24"/>
      <c r="N1357" s="112" t="str">
        <f>IF(ISBLANK(E1357),"",_xlfn.XLOOKUP(E1357,cannabis_log!C:C,cannabis_log!T:T,"Not Found",0,))</f>
        <v>net</v>
      </c>
      <c r="O1357" s="180">
        <f>IF(N1357="net",_xlfn.XLOOKUP(E1357,cannabis_log!C:C,cannabis_log!N:N,"NOT FOUND",0,1),IF(N1357="gross",0,""))</f>
        <v>1.5</v>
      </c>
    </row>
    <row r="1358" spans="1:15">
      <c r="A1358" s="195" t="str">
        <f t="shared" si="69"/>
        <v>outbound</v>
      </c>
      <c r="B1358" s="196">
        <v>45735.586111111108</v>
      </c>
      <c r="C1358" s="197" t="s">
        <v>1929</v>
      </c>
      <c r="D1358" s="197" t="s">
        <v>2759</v>
      </c>
      <c r="E1358" s="217" t="s">
        <v>2762</v>
      </c>
      <c r="F1358" s="112" t="str">
        <f>IF(ISBLANK(E1358),"",_xlfn.XLOOKUP(E1358,cannabis_log!C:C,cannabis_log!J:J,"",0,))</f>
        <v>PR2407F5P3</v>
      </c>
      <c r="G1358" s="112"/>
      <c r="H1358" s="112" t="str">
        <f>IF(ISBLANK(E1358),"",_xlfn.XLOOKUP(E1358,cannabis_log!C:C,cannabis_log!H:H,"",0,1))</f>
        <v>preroll_labelled</v>
      </c>
      <c r="I1358" s="113">
        <f>IF(ISBLANK(E1358),"",_xlfn.XLOOKUP(E1358,cannabis_log!C:C,cannabis_log!K:K,"NOT FOUND",0,1))</f>
        <v>45728</v>
      </c>
      <c r="J1358" s="185">
        <v>-36</v>
      </c>
      <c r="K1358" s="186">
        <f t="shared" si="70"/>
        <v>0</v>
      </c>
      <c r="L1358" s="288">
        <f t="shared" si="67"/>
        <v>-54</v>
      </c>
      <c r="M1358" s="24"/>
      <c r="N1358" s="112" t="str">
        <f>IF(ISBLANK(E1358),"",_xlfn.XLOOKUP(E1358,cannabis_log!C:C,cannabis_log!T:T,"Not Found",0,))</f>
        <v>net</v>
      </c>
      <c r="O1358" s="180">
        <f>IF(N1358="net",_xlfn.XLOOKUP(E1358,cannabis_log!C:C,cannabis_log!N:N,"NOT FOUND",0,1),IF(N1358="gross",0,""))</f>
        <v>1.5</v>
      </c>
    </row>
    <row r="1359" spans="1:15">
      <c r="A1359" s="195" t="str">
        <f t="shared" si="69"/>
        <v>outbound</v>
      </c>
      <c r="B1359" s="196">
        <v>45736.492361111108</v>
      </c>
      <c r="C1359" s="197" t="s">
        <v>1924</v>
      </c>
      <c r="D1359" s="197" t="s">
        <v>2763</v>
      </c>
      <c r="E1359" s="217" t="s">
        <v>2764</v>
      </c>
      <c r="F1359" s="112" t="str">
        <f>IF(ISBLANK(E1359),"",_xlfn.XLOOKUP(E1359,cannabis_log!C:C,cannabis_log!J:J,"",0,))</f>
        <v>EX24101705G05</v>
      </c>
      <c r="G1359" s="112"/>
      <c r="H1359" s="112" t="str">
        <f>IF(ISBLANK(E1359),"",_xlfn.XLOOKUP(E1359,cannabis_log!C:C,cannabis_log!H:H,"",0,1))</f>
        <v>extract_inhaled_labelled</v>
      </c>
      <c r="I1359" s="113">
        <f>IF(ISBLANK(E1359),"",_xlfn.XLOOKUP(E1359,cannabis_log!C:C,cannabis_log!K:K,"NOT FOUND",0,1))</f>
        <v>45594</v>
      </c>
      <c r="J1359" s="185">
        <v>-3</v>
      </c>
      <c r="K1359" s="186">
        <f t="shared" si="70"/>
        <v>0</v>
      </c>
      <c r="L1359" s="288">
        <f t="shared" si="67"/>
        <v>-1.5</v>
      </c>
      <c r="M1359" s="24"/>
      <c r="N1359" s="112" t="str">
        <f>IF(ISBLANK(E1359),"",_xlfn.XLOOKUP(E1359,cannabis_log!C:C,cannabis_log!T:T,"Not Found",0,))</f>
        <v>net</v>
      </c>
      <c r="O1359" s="180">
        <f>IF(N1359="net",_xlfn.XLOOKUP(E1359,cannabis_log!C:C,cannabis_log!N:N,"NOT FOUND",0,1),IF(N1359="gross",0,""))</f>
        <v>0.5</v>
      </c>
    </row>
    <row r="1360" spans="1:15">
      <c r="A1360" s="195" t="str">
        <f t="shared" si="69"/>
        <v>outbound</v>
      </c>
      <c r="B1360" s="196">
        <v>45736.492361111108</v>
      </c>
      <c r="C1360" s="197" t="s">
        <v>1924</v>
      </c>
      <c r="D1360" s="197" t="s">
        <v>2763</v>
      </c>
      <c r="E1360" s="217" t="s">
        <v>2688</v>
      </c>
      <c r="F1360" s="112" t="str">
        <f>IF(ISBLANK(E1360),"",_xlfn.XLOOKUP(E1360,cannabis_log!C:C,cannabis_log!J:J,"",0,))</f>
        <v>EX25010907G1</v>
      </c>
      <c r="G1360" s="112"/>
      <c r="H1360" s="112" t="str">
        <f>IF(ISBLANK(E1360),"",_xlfn.XLOOKUP(E1360,cannabis_log!C:C,cannabis_log!H:H,"",0,1))</f>
        <v>extract_inhaled_labelled</v>
      </c>
      <c r="I1360" s="113">
        <f>IF(ISBLANK(E1360),"",_xlfn.XLOOKUP(E1360,cannabis_log!C:C,cannabis_log!K:K,"NOT FOUND",0,1))</f>
        <v>45666</v>
      </c>
      <c r="J1360" s="185">
        <v>-3</v>
      </c>
      <c r="K1360" s="186">
        <f t="shared" si="70"/>
        <v>0</v>
      </c>
      <c r="L1360" s="288">
        <f t="shared" si="67"/>
        <v>-3</v>
      </c>
      <c r="M1360" s="24"/>
      <c r="N1360" s="112" t="str">
        <f>IF(ISBLANK(E1360),"",_xlfn.XLOOKUP(E1360,cannabis_log!C:C,cannabis_log!T:T,"Not Found",0,))</f>
        <v>net</v>
      </c>
      <c r="O1360" s="180">
        <f>IF(N1360="net",_xlfn.XLOOKUP(E1360,cannabis_log!C:C,cannabis_log!N:N,"NOT FOUND",0,1),IF(N1360="gross",0,""))</f>
        <v>1</v>
      </c>
    </row>
    <row r="1361" spans="1:15">
      <c r="A1361" s="195" t="str">
        <f t="shared" si="69"/>
        <v>outbound</v>
      </c>
      <c r="B1361" s="196">
        <v>45736.494444444441</v>
      </c>
      <c r="C1361" s="197" t="s">
        <v>1921</v>
      </c>
      <c r="D1361" s="197" t="s">
        <v>2765</v>
      </c>
      <c r="E1361" s="217" t="s">
        <v>2766</v>
      </c>
      <c r="F1361" s="112" t="str">
        <f>IF(ISBLANK(E1361),"",_xlfn.XLOOKUP(E1361,cannabis_log!C:C,cannabis_log!J:J,"",0,))</f>
        <v>PR21071201G1</v>
      </c>
      <c r="G1361" s="112"/>
      <c r="H1361" s="112" t="str">
        <f>IF(ISBLANK(E1361),"",_xlfn.XLOOKUP(E1361,cannabis_log!C:C,cannabis_log!H:H,"",0,1))</f>
        <v>preroll_bulk</v>
      </c>
      <c r="I1361" s="113" t="str">
        <f>IF(ISBLANK(E1361),"",_xlfn.XLOOKUP(E1361,cannabis_log!C:C,cannabis_log!K:K,"NOT FOUND",0,1))</f>
        <v>NA</v>
      </c>
      <c r="J1361" s="185">
        <f>318-414</f>
        <v>-96</v>
      </c>
      <c r="K1361" s="186">
        <f t="shared" si="70"/>
        <v>0</v>
      </c>
      <c r="L1361" s="288">
        <f t="shared" si="67"/>
        <v>-96</v>
      </c>
      <c r="M1361" s="24"/>
      <c r="N1361" s="112" t="str">
        <f>IF(ISBLANK(E1361),"",_xlfn.XLOOKUP(E1361,cannabis_log!C:C,cannabis_log!T:T,"Not Found",0,))</f>
        <v>net</v>
      </c>
      <c r="O1361" s="180">
        <f>IF(N1361="net",_xlfn.XLOOKUP(E1361,cannabis_log!C:C,cannabis_log!N:N,"NOT FOUND",0,1),IF(N1361="gross",0,""))</f>
        <v>1</v>
      </c>
    </row>
    <row r="1362" spans="1:15">
      <c r="A1362" s="195" t="str">
        <f t="shared" si="69"/>
        <v>outbound</v>
      </c>
      <c r="B1362" s="196">
        <v>45736.555555555555</v>
      </c>
      <c r="C1362" s="197" t="s">
        <v>1929</v>
      </c>
      <c r="D1362" s="197" t="s">
        <v>2767</v>
      </c>
      <c r="E1362" s="217" t="s">
        <v>2720</v>
      </c>
      <c r="F1362" s="112" t="str">
        <f>IF(ISBLANK(E1362),"",_xlfn.XLOOKUP(E1362,cannabis_log!C:C,cannabis_log!J:J,"",0,))</f>
        <v>PR241101F5P3</v>
      </c>
      <c r="G1362" s="112"/>
      <c r="H1362" s="112" t="str">
        <f>IF(ISBLANK(E1362),"",_xlfn.XLOOKUP(E1362,cannabis_log!C:C,cannabis_log!H:H,"",0,1))</f>
        <v>preroll_labelled</v>
      </c>
      <c r="I1362" s="113">
        <f>IF(ISBLANK(E1362),"",_xlfn.XLOOKUP(E1362,cannabis_log!C:C,cannabis_log!K:K,"NOT FOUND",0,1))</f>
        <v>45707</v>
      </c>
      <c r="J1362" s="185">
        <v>-12</v>
      </c>
      <c r="K1362" s="186">
        <f t="shared" si="70"/>
        <v>0</v>
      </c>
      <c r="L1362" s="288">
        <f t="shared" si="67"/>
        <v>-18</v>
      </c>
      <c r="M1362" s="24"/>
      <c r="N1362" s="112" t="str">
        <f>IF(ISBLANK(E1362),"",_xlfn.XLOOKUP(E1362,cannabis_log!C:C,cannabis_log!T:T,"Not Found",0,))</f>
        <v>net</v>
      </c>
      <c r="O1362" s="180">
        <f>IF(N1362="net",_xlfn.XLOOKUP(E1362,cannabis_log!C:C,cannabis_log!N:N,"NOT FOUND",0,1),IF(N1362="gross",0,""))</f>
        <v>1.5</v>
      </c>
    </row>
    <row r="1363" spans="1:15">
      <c r="A1363" s="195" t="str">
        <f t="shared" si="69"/>
        <v>outbound</v>
      </c>
      <c r="B1363" s="196">
        <v>45736.555555555555</v>
      </c>
      <c r="C1363" s="197" t="s">
        <v>1929</v>
      </c>
      <c r="D1363" s="197" t="s">
        <v>2767</v>
      </c>
      <c r="E1363" s="217" t="s">
        <v>2724</v>
      </c>
      <c r="F1363" s="112" t="str">
        <f>IF(ISBLANK(E1363),"",_xlfn.XLOOKUP(E1363,cannabis_log!C:C,cannabis_log!J:J,"",0,))</f>
        <v>PR241102F5P3</v>
      </c>
      <c r="G1363" s="112"/>
      <c r="H1363" s="112" t="str">
        <f>IF(ISBLANK(E1363),"",_xlfn.XLOOKUP(E1363,cannabis_log!C:C,cannabis_log!H:H,"",0,1))</f>
        <v>preroll_labelled</v>
      </c>
      <c r="I1363" s="113">
        <f>IF(ISBLANK(E1363),"",_xlfn.XLOOKUP(E1363,cannabis_log!C:C,cannabis_log!K:K,"NOT FOUND",0,1))</f>
        <v>45660</v>
      </c>
      <c r="J1363" s="185">
        <v>-12</v>
      </c>
      <c r="K1363" s="186">
        <f t="shared" si="70"/>
        <v>0</v>
      </c>
      <c r="L1363" s="288">
        <f t="shared" si="67"/>
        <v>-18</v>
      </c>
      <c r="M1363" s="24"/>
      <c r="N1363" s="112" t="str">
        <f>IF(ISBLANK(E1363),"",_xlfn.XLOOKUP(E1363,cannabis_log!C:C,cannabis_log!T:T,"Not Found",0,))</f>
        <v>net</v>
      </c>
      <c r="O1363" s="180">
        <f>IF(N1363="net",_xlfn.XLOOKUP(E1363,cannabis_log!C:C,cannabis_log!N:N,"NOT FOUND",0,1),IF(N1363="gross",0,""))</f>
        <v>1.5</v>
      </c>
    </row>
    <row r="1364" spans="1:15">
      <c r="A1364" s="195" t="str">
        <f t="shared" si="69"/>
        <v>outbound</v>
      </c>
      <c r="B1364" s="196">
        <v>45736.555555555555</v>
      </c>
      <c r="C1364" s="197" t="s">
        <v>1929</v>
      </c>
      <c r="D1364" s="197" t="s">
        <v>2767</v>
      </c>
      <c r="E1364" s="217" t="s">
        <v>2687</v>
      </c>
      <c r="F1364" s="112" t="str">
        <f>IF(ISBLANK(E1364),"",_xlfn.XLOOKUP(E1364,cannabis_log!C:C,cannabis_log!J:J,"",0,))</f>
        <v>EX25011501V50</v>
      </c>
      <c r="G1364" s="112"/>
      <c r="H1364" s="112" t="str">
        <f>IF(ISBLANK(E1364),"",_xlfn.XLOOKUP(E1364,cannabis_log!C:C,cannabis_log!H:H,"",0,1))</f>
        <v>extract_ingested_cased_BC</v>
      </c>
      <c r="I1364" s="113">
        <f>IF(ISBLANK(E1364),"",_xlfn.XLOOKUP(E1364,cannabis_log!C:C,cannabis_log!K:K,"NOT FOUND",0,1))</f>
        <v>45692</v>
      </c>
      <c r="J1364" s="185">
        <v>-3</v>
      </c>
      <c r="K1364" s="186">
        <f t="shared" si="70"/>
        <v>0</v>
      </c>
      <c r="L1364" s="288">
        <f t="shared" si="67"/>
        <v>-1800</v>
      </c>
      <c r="M1364" s="24"/>
      <c r="N1364" s="112" t="str">
        <f>IF(ISBLANK(E1364),"",_xlfn.XLOOKUP(E1364,cannabis_log!C:C,cannabis_log!T:T,"Not Found",0,))</f>
        <v>net</v>
      </c>
      <c r="O1364" s="180">
        <f>IF(N1364="net",_xlfn.XLOOKUP(E1364,cannabis_log!C:C,cannabis_log!N:N,"NOT FOUND",0,1),IF(N1364="gross",0,""))</f>
        <v>600</v>
      </c>
    </row>
    <row r="1365" spans="1:15">
      <c r="A1365" s="195" t="str">
        <f t="shared" si="69"/>
        <v>outbound</v>
      </c>
      <c r="B1365" s="196">
        <v>45736.555555555555</v>
      </c>
      <c r="C1365" s="197" t="s">
        <v>1929</v>
      </c>
      <c r="D1365" s="197" t="s">
        <v>2767</v>
      </c>
      <c r="E1365" s="217" t="s">
        <v>2714</v>
      </c>
      <c r="F1365" s="112" t="str">
        <f>IF(ISBLANK(E1365),"",_xlfn.XLOOKUP(E1365,cannabis_log!C:C,cannabis_log!J:J,"",0,))</f>
        <v>EX24070901V50</v>
      </c>
      <c r="G1365" s="112"/>
      <c r="H1365" s="112" t="str">
        <f>IF(ISBLANK(E1365),"",_xlfn.XLOOKUP(E1365,cannabis_log!C:C,cannabis_log!H:H,"",0,1))</f>
        <v>extract_ingested_cased_BC</v>
      </c>
      <c r="I1365" s="113">
        <f>IF(ISBLANK(E1365),"",_xlfn.XLOOKUP(E1365,cannabis_log!C:C,cannabis_log!K:K,"NOT FOUND",0,1))</f>
        <v>45503</v>
      </c>
      <c r="J1365" s="185">
        <v>-1</v>
      </c>
      <c r="K1365" s="186">
        <f t="shared" si="70"/>
        <v>0</v>
      </c>
      <c r="L1365" s="288">
        <f t="shared" si="67"/>
        <v>-600</v>
      </c>
      <c r="M1365" s="24"/>
      <c r="N1365" s="112" t="str">
        <f>IF(ISBLANK(E1365),"",_xlfn.XLOOKUP(E1365,cannabis_log!C:C,cannabis_log!T:T,"Not Found",0,))</f>
        <v>net</v>
      </c>
      <c r="O1365" s="180">
        <f>IF(N1365="net",_xlfn.XLOOKUP(E1365,cannabis_log!C:C,cannabis_log!N:N,"NOT FOUND",0,1),IF(N1365="gross",0,""))</f>
        <v>600</v>
      </c>
    </row>
    <row r="1366" spans="1:15">
      <c r="A1366" s="195" t="str">
        <f t="shared" si="69"/>
        <v>outbound</v>
      </c>
      <c r="B1366" s="196">
        <v>45736.571527777778</v>
      </c>
      <c r="C1366" s="197" t="s">
        <v>1921</v>
      </c>
      <c r="D1366" s="197" t="s">
        <v>2768</v>
      </c>
      <c r="E1366" s="217" t="s">
        <v>2769</v>
      </c>
      <c r="F1366" s="112">
        <f>IF(ISBLANK(E1366),"",_xlfn.XLOOKUP(E1366,cannabis_log!C:C,cannabis_log!J:J,"",0,))</f>
        <v>2024121801</v>
      </c>
      <c r="G1366" s="112"/>
      <c r="H1366" s="112" t="str">
        <f>IF(ISBLANK(E1366),"",_xlfn.XLOOKUP(E1366,cannabis_log!C:C,cannabis_log!H:H,"",0,1))</f>
        <v>driedflower_bulk</v>
      </c>
      <c r="I1366" s="113" t="str">
        <f>IF(ISBLANK(E1366),"",_xlfn.XLOOKUP(E1366,cannabis_log!C:C,cannabis_log!K:K,"NOT FOUND",0,1))</f>
        <v>NA</v>
      </c>
      <c r="J1366" s="185">
        <v>-1</v>
      </c>
      <c r="K1366" s="186">
        <v>-1090</v>
      </c>
      <c r="L1366" s="288">
        <f t="shared" si="67"/>
        <v>0</v>
      </c>
      <c r="M1366" s="24"/>
      <c r="N1366" s="112" t="str">
        <f>IF(ISBLANK(E1366),"",_xlfn.XLOOKUP(E1366,cannabis_log!C:C,cannabis_log!T:T,"Not Found",0,))</f>
        <v>gross</v>
      </c>
      <c r="O1366" s="180">
        <f>IF(N1366="net",_xlfn.XLOOKUP(E1366,cannabis_log!C:C,cannabis_log!N:N,"NOT FOUND",0,1),IF(N1366="gross",0,""))</f>
        <v>0</v>
      </c>
    </row>
    <row r="1367" spans="1:15">
      <c r="A1367" s="195" t="str">
        <f t="shared" si="69"/>
        <v>outbound</v>
      </c>
      <c r="B1367" s="196">
        <v>45736.571527777778</v>
      </c>
      <c r="C1367" s="197" t="s">
        <v>1921</v>
      </c>
      <c r="D1367" s="197" t="s">
        <v>2768</v>
      </c>
      <c r="E1367" s="217" t="s">
        <v>2770</v>
      </c>
      <c r="F1367" s="112">
        <f>IF(ISBLANK(E1367),"",_xlfn.XLOOKUP(E1367,cannabis_log!C:C,cannabis_log!J:J,"",0,))</f>
        <v>2024121801</v>
      </c>
      <c r="G1367" s="112"/>
      <c r="H1367" s="112" t="str">
        <f>IF(ISBLANK(E1367),"",_xlfn.XLOOKUP(E1367,cannabis_log!C:C,cannabis_log!H:H,"",0,1))</f>
        <v>driedflower_bulk</v>
      </c>
      <c r="I1367" s="113" t="str">
        <f>IF(ISBLANK(E1367),"",_xlfn.XLOOKUP(E1367,cannabis_log!C:C,cannabis_log!K:K,"NOT FOUND",0,1))</f>
        <v>NA</v>
      </c>
      <c r="J1367" s="185">
        <v>-1</v>
      </c>
      <c r="K1367" s="186">
        <v>-1090</v>
      </c>
      <c r="L1367" s="288">
        <f t="shared" si="67"/>
        <v>0</v>
      </c>
      <c r="M1367" s="24"/>
      <c r="N1367" s="112" t="str">
        <f>IF(ISBLANK(E1367),"",_xlfn.XLOOKUP(E1367,cannabis_log!C:C,cannabis_log!T:T,"Not Found",0,))</f>
        <v>gross</v>
      </c>
      <c r="O1367" s="180">
        <f>IF(N1367="net",_xlfn.XLOOKUP(E1367,cannabis_log!C:C,cannabis_log!N:N,"NOT FOUND",0,1),IF(N1367="gross",0,""))</f>
        <v>0</v>
      </c>
    </row>
    <row r="1368" spans="1:15">
      <c r="A1368" s="195" t="str">
        <f t="shared" si="69"/>
        <v>outbound</v>
      </c>
      <c r="B1368" s="196">
        <v>45736.571527777778</v>
      </c>
      <c r="C1368" s="197" t="s">
        <v>1921</v>
      </c>
      <c r="D1368" s="197" t="s">
        <v>2768</v>
      </c>
      <c r="E1368" s="217" t="s">
        <v>2771</v>
      </c>
      <c r="F1368" s="112">
        <f>IF(ISBLANK(E1368),"",_xlfn.XLOOKUP(E1368,cannabis_log!C:C,cannabis_log!J:J,"",0,))</f>
        <v>2024121801</v>
      </c>
      <c r="G1368" s="112"/>
      <c r="H1368" s="112" t="str">
        <f>IF(ISBLANK(E1368),"",_xlfn.XLOOKUP(E1368,cannabis_log!C:C,cannabis_log!H:H,"",0,1))</f>
        <v>driedflower_bulk</v>
      </c>
      <c r="I1368" s="113" t="str">
        <f>IF(ISBLANK(E1368),"",_xlfn.XLOOKUP(E1368,cannabis_log!C:C,cannabis_log!K:K,"NOT FOUND",0,1))</f>
        <v>NA</v>
      </c>
      <c r="J1368" s="185">
        <v>-1</v>
      </c>
      <c r="K1368" s="186">
        <v>-1090</v>
      </c>
      <c r="L1368" s="288">
        <f t="shared" si="67"/>
        <v>0</v>
      </c>
      <c r="M1368" s="24"/>
      <c r="N1368" s="112" t="str">
        <f>IF(ISBLANK(E1368),"",_xlfn.XLOOKUP(E1368,cannabis_log!C:C,cannabis_log!T:T,"Not Found",0,))</f>
        <v>gross</v>
      </c>
      <c r="O1368" s="180">
        <f>IF(N1368="net",_xlfn.XLOOKUP(E1368,cannabis_log!C:C,cannabis_log!N:N,"NOT FOUND",0,1),IF(N1368="gross",0,""))</f>
        <v>0</v>
      </c>
    </row>
    <row r="1369" spans="1:15">
      <c r="A1369" s="195" t="str">
        <f t="shared" si="69"/>
        <v>outbound</v>
      </c>
      <c r="B1369" s="196">
        <v>45736.571527777778</v>
      </c>
      <c r="C1369" s="197" t="s">
        <v>1921</v>
      </c>
      <c r="D1369" s="197" t="s">
        <v>2768</v>
      </c>
      <c r="E1369" s="217" t="s">
        <v>2772</v>
      </c>
      <c r="F1369" s="112">
        <f>IF(ISBLANK(E1369),"",_xlfn.XLOOKUP(E1369,cannabis_log!C:C,cannabis_log!J:J,"",0,))</f>
        <v>2024121801</v>
      </c>
      <c r="G1369" s="112"/>
      <c r="H1369" s="112" t="str">
        <f>IF(ISBLANK(E1369),"",_xlfn.XLOOKUP(E1369,cannabis_log!C:C,cannabis_log!H:H,"",0,1))</f>
        <v>driedflower_bulk</v>
      </c>
      <c r="I1369" s="113" t="str">
        <f>IF(ISBLANK(E1369),"",_xlfn.XLOOKUP(E1369,cannabis_log!C:C,cannabis_log!K:K,"NOT FOUND",0,1))</f>
        <v>NA</v>
      </c>
      <c r="J1369" s="185">
        <v>-1</v>
      </c>
      <c r="K1369" s="186">
        <v>-1095</v>
      </c>
      <c r="L1369" s="288">
        <f t="shared" si="67"/>
        <v>0</v>
      </c>
      <c r="M1369" s="24"/>
      <c r="N1369" s="112" t="str">
        <f>IF(ISBLANK(E1369),"",_xlfn.XLOOKUP(E1369,cannabis_log!C:C,cannabis_log!T:T,"Not Found",0,))</f>
        <v>gross</v>
      </c>
      <c r="O1369" s="180">
        <f>IF(N1369="net",_xlfn.XLOOKUP(E1369,cannabis_log!C:C,cannabis_log!N:N,"NOT FOUND",0,1),IF(N1369="gross",0,""))</f>
        <v>0</v>
      </c>
    </row>
    <row r="1370" spans="1:15">
      <c r="A1370" s="195" t="str">
        <f t="shared" si="69"/>
        <v>outbound</v>
      </c>
      <c r="B1370" s="196">
        <v>45736.571527777778</v>
      </c>
      <c r="C1370" s="197" t="s">
        <v>1921</v>
      </c>
      <c r="D1370" s="197" t="s">
        <v>2768</v>
      </c>
      <c r="E1370" s="217" t="s">
        <v>2773</v>
      </c>
      <c r="F1370" s="112">
        <f>IF(ISBLANK(E1370),"",_xlfn.XLOOKUP(E1370,cannabis_log!C:C,cannabis_log!J:J,"",0,))</f>
        <v>2024121801</v>
      </c>
      <c r="G1370" s="112"/>
      <c r="H1370" s="112" t="str">
        <f>IF(ISBLANK(E1370),"",_xlfn.XLOOKUP(E1370,cannabis_log!C:C,cannabis_log!H:H,"",0,1))</f>
        <v>driedflower_bulk</v>
      </c>
      <c r="I1370" s="113" t="str">
        <f>IF(ISBLANK(E1370),"",_xlfn.XLOOKUP(E1370,cannabis_log!C:C,cannabis_log!K:K,"NOT FOUND",0,1))</f>
        <v>NA</v>
      </c>
      <c r="J1370" s="185">
        <v>-1</v>
      </c>
      <c r="K1370" s="186">
        <v>-510</v>
      </c>
      <c r="L1370" s="288">
        <f t="shared" si="67"/>
        <v>0</v>
      </c>
      <c r="M1370" s="24"/>
      <c r="N1370" s="112" t="str">
        <f>IF(ISBLANK(E1370),"",_xlfn.XLOOKUP(E1370,cannabis_log!C:C,cannabis_log!T:T,"Not Found",0,))</f>
        <v>gross</v>
      </c>
      <c r="O1370" s="180">
        <f>IF(N1370="net",_xlfn.XLOOKUP(E1370,cannabis_log!C:C,cannabis_log!N:N,"NOT FOUND",0,1),IF(N1370="gross",0,""))</f>
        <v>0</v>
      </c>
    </row>
    <row r="1371" spans="1:15">
      <c r="A1371" s="195" t="str">
        <f t="shared" si="69"/>
        <v>outbound</v>
      </c>
      <c r="B1371" s="196">
        <v>45736.571527777778</v>
      </c>
      <c r="C1371" s="197" t="s">
        <v>1921</v>
      </c>
      <c r="D1371" s="197" t="s">
        <v>2768</v>
      </c>
      <c r="E1371" s="217" t="s">
        <v>2774</v>
      </c>
      <c r="F1371" s="112">
        <f>IF(ISBLANK(E1371),"",_xlfn.XLOOKUP(E1371,cannabis_log!C:C,cannabis_log!J:J,"",0,))</f>
        <v>2024121801</v>
      </c>
      <c r="G1371" s="112"/>
      <c r="H1371" s="112" t="str">
        <f>IF(ISBLANK(E1371),"",_xlfn.XLOOKUP(E1371,cannabis_log!C:C,cannabis_log!H:H,"",0,1))</f>
        <v>driedflower_bulk</v>
      </c>
      <c r="I1371" s="113" t="str">
        <f>IF(ISBLANK(E1371),"",_xlfn.XLOOKUP(E1371,cannabis_log!C:C,cannabis_log!K:K,"NOT FOUND",0,1))</f>
        <v>NA</v>
      </c>
      <c r="J1371" s="185">
        <v>-1</v>
      </c>
      <c r="K1371" s="186">
        <v>-1095</v>
      </c>
      <c r="L1371" s="288">
        <f t="shared" si="67"/>
        <v>0</v>
      </c>
      <c r="M1371" s="24"/>
      <c r="N1371" s="112" t="str">
        <f>IF(ISBLANK(E1371),"",_xlfn.XLOOKUP(E1371,cannabis_log!C:C,cannabis_log!T:T,"Not Found",0,))</f>
        <v>gross</v>
      </c>
      <c r="O1371" s="180">
        <f>IF(N1371="net",_xlfn.XLOOKUP(E1371,cannabis_log!C:C,cannabis_log!N:N,"NOT FOUND",0,1),IF(N1371="gross",0,""))</f>
        <v>0</v>
      </c>
    </row>
    <row r="1372" spans="1:15">
      <c r="A1372" s="195" t="str">
        <f t="shared" si="69"/>
        <v>outbound</v>
      </c>
      <c r="B1372" s="196">
        <v>45736.571527777778</v>
      </c>
      <c r="C1372" s="197" t="s">
        <v>1921</v>
      </c>
      <c r="D1372" s="197" t="s">
        <v>2768</v>
      </c>
      <c r="E1372" s="217" t="s">
        <v>2775</v>
      </c>
      <c r="F1372" s="112">
        <f>IF(ISBLANK(E1372),"",_xlfn.XLOOKUP(E1372,cannabis_log!C:C,cannabis_log!J:J,"",0,))</f>
        <v>2024121801</v>
      </c>
      <c r="G1372" s="112"/>
      <c r="H1372" s="112" t="str">
        <f>IF(ISBLANK(E1372),"",_xlfn.XLOOKUP(E1372,cannabis_log!C:C,cannabis_log!H:H,"",0,1))</f>
        <v>driedflower_bulk</v>
      </c>
      <c r="I1372" s="113" t="str">
        <f>IF(ISBLANK(E1372),"",_xlfn.XLOOKUP(E1372,cannabis_log!C:C,cannabis_log!K:K,"NOT FOUND",0,1))</f>
        <v>NA</v>
      </c>
      <c r="J1372" s="185">
        <v>-1</v>
      </c>
      <c r="K1372" s="186">
        <v>-1095</v>
      </c>
      <c r="L1372" s="288">
        <f t="shared" si="67"/>
        <v>0</v>
      </c>
      <c r="M1372" s="24"/>
      <c r="N1372" s="112" t="str">
        <f>IF(ISBLANK(E1372),"",_xlfn.XLOOKUP(E1372,cannabis_log!C:C,cannabis_log!T:T,"Not Found",0,))</f>
        <v>gross</v>
      </c>
      <c r="O1372" s="180">
        <f>IF(N1372="net",_xlfn.XLOOKUP(E1372,cannabis_log!C:C,cannabis_log!N:N,"NOT FOUND",0,1),IF(N1372="gross",0,""))</f>
        <v>0</v>
      </c>
    </row>
    <row r="1373" spans="1:15">
      <c r="A1373" s="195" t="str">
        <f t="shared" si="69"/>
        <v>outbound</v>
      </c>
      <c r="B1373" s="196">
        <v>45736.571527777778</v>
      </c>
      <c r="C1373" s="197" t="s">
        <v>1921</v>
      </c>
      <c r="D1373" s="197" t="s">
        <v>2768</v>
      </c>
      <c r="E1373" s="217" t="s">
        <v>2776</v>
      </c>
      <c r="F1373" s="112">
        <f>IF(ISBLANK(E1373),"",_xlfn.XLOOKUP(E1373,cannabis_log!C:C,cannabis_log!J:J,"",0,))</f>
        <v>2024121801</v>
      </c>
      <c r="G1373" s="112"/>
      <c r="H1373" s="112" t="str">
        <f>IF(ISBLANK(E1373),"",_xlfn.XLOOKUP(E1373,cannabis_log!C:C,cannabis_log!H:H,"",0,1))</f>
        <v>driedflower_bulk</v>
      </c>
      <c r="I1373" s="113" t="str">
        <f>IF(ISBLANK(E1373),"",_xlfn.XLOOKUP(E1373,cannabis_log!C:C,cannabis_log!K:K,"NOT FOUND",0,1))</f>
        <v>NA</v>
      </c>
      <c r="J1373" s="185">
        <v>-1</v>
      </c>
      <c r="K1373" s="186">
        <v>-1095</v>
      </c>
      <c r="L1373" s="288">
        <f t="shared" si="67"/>
        <v>0</v>
      </c>
      <c r="M1373" s="24"/>
      <c r="N1373" s="112" t="str">
        <f>IF(ISBLANK(E1373),"",_xlfn.XLOOKUP(E1373,cannabis_log!C:C,cannabis_log!T:T,"Not Found",0,))</f>
        <v>gross</v>
      </c>
      <c r="O1373" s="180">
        <f>IF(N1373="net",_xlfn.XLOOKUP(E1373,cannabis_log!C:C,cannabis_log!N:N,"NOT FOUND",0,1),IF(N1373="gross",0,""))</f>
        <v>0</v>
      </c>
    </row>
    <row r="1374" spans="1:15">
      <c r="A1374" s="195" t="str">
        <f t="shared" si="69"/>
        <v>outbound</v>
      </c>
      <c r="B1374" s="196">
        <v>45736.571527777778</v>
      </c>
      <c r="C1374" s="197" t="s">
        <v>1921</v>
      </c>
      <c r="D1374" s="197" t="s">
        <v>2768</v>
      </c>
      <c r="E1374" s="217" t="s">
        <v>2777</v>
      </c>
      <c r="F1374" s="112">
        <f>IF(ISBLANK(E1374),"",_xlfn.XLOOKUP(E1374,cannabis_log!C:C,cannabis_log!J:J,"",0,))</f>
        <v>2024121801</v>
      </c>
      <c r="G1374" s="112"/>
      <c r="H1374" s="112" t="str">
        <f>IF(ISBLANK(E1374),"",_xlfn.XLOOKUP(E1374,cannabis_log!C:C,cannabis_log!H:H,"",0,1))</f>
        <v>driedflower_bulk</v>
      </c>
      <c r="I1374" s="113" t="str">
        <f>IF(ISBLANK(E1374),"",_xlfn.XLOOKUP(E1374,cannabis_log!C:C,cannabis_log!K:K,"NOT FOUND",0,1))</f>
        <v>NA</v>
      </c>
      <c r="J1374" s="185">
        <v>-1</v>
      </c>
      <c r="K1374" s="186">
        <v>-1095</v>
      </c>
      <c r="L1374" s="288">
        <f t="shared" si="67"/>
        <v>0</v>
      </c>
      <c r="M1374" s="24"/>
      <c r="N1374" s="112" t="str">
        <f>IF(ISBLANK(E1374),"",_xlfn.XLOOKUP(E1374,cannabis_log!C:C,cannabis_log!T:T,"Not Found",0,))</f>
        <v>gross</v>
      </c>
      <c r="O1374" s="180">
        <f>IF(N1374="net",_xlfn.XLOOKUP(E1374,cannabis_log!C:C,cannabis_log!N:N,"NOT FOUND",0,1),IF(N1374="gross",0,""))</f>
        <v>0</v>
      </c>
    </row>
    <row r="1375" spans="1:15">
      <c r="A1375" s="195" t="str">
        <f t="shared" si="69"/>
        <v>outbound</v>
      </c>
      <c r="B1375" s="196">
        <v>45736.571527777778</v>
      </c>
      <c r="C1375" s="197" t="s">
        <v>1921</v>
      </c>
      <c r="D1375" s="197" t="s">
        <v>2768</v>
      </c>
      <c r="E1375" s="217" t="s">
        <v>2778</v>
      </c>
      <c r="F1375" s="112">
        <f>IF(ISBLANK(E1375),"",_xlfn.XLOOKUP(E1375,cannabis_log!C:C,cannabis_log!J:J,"",0,))</f>
        <v>2024121801</v>
      </c>
      <c r="G1375" s="112"/>
      <c r="H1375" s="112" t="str">
        <f>IF(ISBLANK(E1375),"",_xlfn.XLOOKUP(E1375,cannabis_log!C:C,cannabis_log!H:H,"",0,1))</f>
        <v>driedflower_bulk</v>
      </c>
      <c r="I1375" s="113" t="str">
        <f>IF(ISBLANK(E1375),"",_xlfn.XLOOKUP(E1375,cannabis_log!C:C,cannabis_log!K:K,"NOT FOUND",0,1))</f>
        <v>NA</v>
      </c>
      <c r="J1375" s="185">
        <v>-1</v>
      </c>
      <c r="K1375" s="186">
        <v>-1095</v>
      </c>
      <c r="L1375" s="288">
        <f t="shared" si="67"/>
        <v>0</v>
      </c>
      <c r="M1375" s="24"/>
      <c r="N1375" s="112" t="str">
        <f>IF(ISBLANK(E1375),"",_xlfn.XLOOKUP(E1375,cannabis_log!C:C,cannabis_log!T:T,"Not Found",0,))</f>
        <v>gross</v>
      </c>
      <c r="O1375" s="180">
        <f>IF(N1375="net",_xlfn.XLOOKUP(E1375,cannabis_log!C:C,cannabis_log!N:N,"NOT FOUND",0,1),IF(N1375="gross",0,""))</f>
        <v>0</v>
      </c>
    </row>
    <row r="1376" spans="1:15">
      <c r="A1376" s="195" t="str">
        <f t="shared" si="69"/>
        <v>outbound</v>
      </c>
      <c r="B1376" s="196">
        <v>45736.571527777778</v>
      </c>
      <c r="C1376" s="197" t="s">
        <v>1921</v>
      </c>
      <c r="D1376" s="197" t="s">
        <v>2768</v>
      </c>
      <c r="E1376" s="217" t="s">
        <v>2779</v>
      </c>
      <c r="F1376" s="112">
        <f>IF(ISBLANK(E1376),"",_xlfn.XLOOKUP(E1376,cannabis_log!C:C,cannabis_log!J:J,"",0,))</f>
        <v>2024121801</v>
      </c>
      <c r="G1376" s="112"/>
      <c r="H1376" s="112" t="str">
        <f>IF(ISBLANK(E1376),"",_xlfn.XLOOKUP(E1376,cannabis_log!C:C,cannabis_log!H:H,"",0,1))</f>
        <v>driedflower_bulk</v>
      </c>
      <c r="I1376" s="113" t="str">
        <f>IF(ISBLANK(E1376),"",_xlfn.XLOOKUP(E1376,cannabis_log!C:C,cannabis_log!K:K,"NOT FOUND",0,1))</f>
        <v>NA</v>
      </c>
      <c r="J1376" s="185">
        <v>-1</v>
      </c>
      <c r="K1376" s="186">
        <v>-1095</v>
      </c>
      <c r="L1376" s="288">
        <f t="shared" si="67"/>
        <v>0</v>
      </c>
      <c r="M1376" s="24"/>
      <c r="N1376" s="112" t="str">
        <f>IF(ISBLANK(E1376),"",_xlfn.XLOOKUP(E1376,cannabis_log!C:C,cannabis_log!T:T,"Not Found",0,))</f>
        <v>gross</v>
      </c>
      <c r="O1376" s="180">
        <f>IF(N1376="net",_xlfn.XLOOKUP(E1376,cannabis_log!C:C,cannabis_log!N:N,"NOT FOUND",0,1),IF(N1376="gross",0,""))</f>
        <v>0</v>
      </c>
    </row>
    <row r="1377" spans="1:15">
      <c r="A1377" s="195" t="str">
        <f t="shared" si="69"/>
        <v>outbound</v>
      </c>
      <c r="B1377" s="196">
        <v>45736.571527777778</v>
      </c>
      <c r="C1377" s="197" t="s">
        <v>1921</v>
      </c>
      <c r="D1377" s="197" t="s">
        <v>2768</v>
      </c>
      <c r="E1377" s="217" t="s">
        <v>2780</v>
      </c>
      <c r="F1377" s="112">
        <f>IF(ISBLANK(E1377),"",_xlfn.XLOOKUP(E1377,cannabis_log!C:C,cannabis_log!J:J,"",0,))</f>
        <v>2024121801</v>
      </c>
      <c r="G1377" s="112"/>
      <c r="H1377" s="112" t="str">
        <f>IF(ISBLANK(E1377),"",_xlfn.XLOOKUP(E1377,cannabis_log!C:C,cannabis_log!H:H,"",0,1))</f>
        <v>driedflower_bulk</v>
      </c>
      <c r="I1377" s="113" t="str">
        <f>IF(ISBLANK(E1377),"",_xlfn.XLOOKUP(E1377,cannabis_log!C:C,cannabis_log!K:K,"NOT FOUND",0,1))</f>
        <v>NA</v>
      </c>
      <c r="J1377" s="185">
        <v>-1</v>
      </c>
      <c r="K1377" s="186">
        <v>-1095</v>
      </c>
      <c r="L1377" s="288">
        <f t="shared" si="67"/>
        <v>0</v>
      </c>
      <c r="M1377" s="24"/>
      <c r="N1377" s="112" t="str">
        <f>IF(ISBLANK(E1377),"",_xlfn.XLOOKUP(E1377,cannabis_log!C:C,cannabis_log!T:T,"Not Found",0,))</f>
        <v>gross</v>
      </c>
      <c r="O1377" s="180">
        <f>IF(N1377="net",_xlfn.XLOOKUP(E1377,cannabis_log!C:C,cannabis_log!N:N,"NOT FOUND",0,1),IF(N1377="gross",0,""))</f>
        <v>0</v>
      </c>
    </row>
    <row r="1378" spans="1:15">
      <c r="A1378" s="195" t="str">
        <f t="shared" si="69"/>
        <v>outbound</v>
      </c>
      <c r="B1378" s="196">
        <v>45736.571527777778</v>
      </c>
      <c r="C1378" s="197" t="s">
        <v>1921</v>
      </c>
      <c r="D1378" s="197" t="s">
        <v>2768</v>
      </c>
      <c r="E1378" s="217" t="s">
        <v>2781</v>
      </c>
      <c r="F1378" s="112">
        <f>IF(ISBLANK(E1378),"",_xlfn.XLOOKUP(E1378,cannabis_log!C:C,cannabis_log!J:J,"",0,))</f>
        <v>2024121801</v>
      </c>
      <c r="G1378" s="112"/>
      <c r="H1378" s="112" t="str">
        <f>IF(ISBLANK(E1378),"",_xlfn.XLOOKUP(E1378,cannabis_log!C:C,cannabis_log!H:H,"",0,1))</f>
        <v>driedflower_bulk</v>
      </c>
      <c r="I1378" s="113" t="str">
        <f>IF(ISBLANK(E1378),"",_xlfn.XLOOKUP(E1378,cannabis_log!C:C,cannabis_log!K:K,"NOT FOUND",0,1))</f>
        <v>NA</v>
      </c>
      <c r="J1378" s="185">
        <v>-1</v>
      </c>
      <c r="K1378" s="186">
        <v>-1095</v>
      </c>
      <c r="L1378" s="288">
        <f t="shared" si="67"/>
        <v>0</v>
      </c>
      <c r="M1378" s="24"/>
      <c r="N1378" s="112" t="str">
        <f>IF(ISBLANK(E1378),"",_xlfn.XLOOKUP(E1378,cannabis_log!C:C,cannabis_log!T:T,"Not Found",0,))</f>
        <v>gross</v>
      </c>
      <c r="O1378" s="180">
        <f>IF(N1378="net",_xlfn.XLOOKUP(E1378,cannabis_log!C:C,cannabis_log!N:N,"NOT FOUND",0,1),IF(N1378="gross",0,""))</f>
        <v>0</v>
      </c>
    </row>
    <row r="1379" spans="1:15">
      <c r="A1379" s="195" t="str">
        <f t="shared" si="69"/>
        <v>outbound</v>
      </c>
      <c r="B1379" s="196">
        <v>45736.571527777778</v>
      </c>
      <c r="C1379" s="197" t="s">
        <v>1921</v>
      </c>
      <c r="D1379" s="197" t="s">
        <v>2768</v>
      </c>
      <c r="E1379" s="217" t="s">
        <v>2782</v>
      </c>
      <c r="F1379" s="112">
        <f>IF(ISBLANK(E1379),"",_xlfn.XLOOKUP(E1379,cannabis_log!C:C,cannabis_log!J:J,"",0,))</f>
        <v>2024121801</v>
      </c>
      <c r="G1379" s="112"/>
      <c r="H1379" s="112" t="str">
        <f>IF(ISBLANK(E1379),"",_xlfn.XLOOKUP(E1379,cannabis_log!C:C,cannabis_log!H:H,"",0,1))</f>
        <v>driedflower_bulk</v>
      </c>
      <c r="I1379" s="113" t="str">
        <f>IF(ISBLANK(E1379),"",_xlfn.XLOOKUP(E1379,cannabis_log!C:C,cannabis_log!K:K,"NOT FOUND",0,1))</f>
        <v>NA</v>
      </c>
      <c r="J1379" s="185">
        <v>-1</v>
      </c>
      <c r="K1379" s="186">
        <v>-1226</v>
      </c>
      <c r="L1379" s="288">
        <f t="shared" si="67"/>
        <v>0</v>
      </c>
      <c r="M1379" s="24"/>
      <c r="N1379" s="112" t="str">
        <f>IF(ISBLANK(E1379),"",_xlfn.XLOOKUP(E1379,cannabis_log!C:C,cannabis_log!T:T,"Not Found",0,))</f>
        <v>gross</v>
      </c>
      <c r="O1379" s="180">
        <f>IF(N1379="net",_xlfn.XLOOKUP(E1379,cannabis_log!C:C,cannabis_log!N:N,"NOT FOUND",0,1),IF(N1379="gross",0,""))</f>
        <v>0</v>
      </c>
    </row>
    <row r="1380" spans="1:15">
      <c r="A1380" s="195" t="str">
        <f t="shared" si="69"/>
        <v>outbound</v>
      </c>
      <c r="B1380" s="196">
        <v>45736.571527777778</v>
      </c>
      <c r="C1380" s="197" t="s">
        <v>1921</v>
      </c>
      <c r="D1380" s="197" t="s">
        <v>2768</v>
      </c>
      <c r="E1380" s="217" t="s">
        <v>2783</v>
      </c>
      <c r="F1380" s="112">
        <f>IF(ISBLANK(E1380),"",_xlfn.XLOOKUP(E1380,cannabis_log!C:C,cannabis_log!J:J,"",0,))</f>
        <v>2024121801</v>
      </c>
      <c r="G1380" s="112"/>
      <c r="H1380" s="112" t="str">
        <f>IF(ISBLANK(E1380),"",_xlfn.XLOOKUP(E1380,cannabis_log!C:C,cannabis_log!H:H,"",0,1))</f>
        <v>driedflower_bulk</v>
      </c>
      <c r="I1380" s="113" t="str">
        <f>IF(ISBLANK(E1380),"",_xlfn.XLOOKUP(E1380,cannabis_log!C:C,cannabis_log!K:K,"NOT FOUND",0,1))</f>
        <v>NA</v>
      </c>
      <c r="J1380" s="185">
        <v>-1</v>
      </c>
      <c r="K1380" s="186">
        <v>-1094</v>
      </c>
      <c r="L1380" s="288">
        <f t="shared" si="67"/>
        <v>0</v>
      </c>
      <c r="M1380" s="24"/>
      <c r="N1380" s="112" t="str">
        <f>IF(ISBLANK(E1380),"",_xlfn.XLOOKUP(E1380,cannabis_log!C:C,cannabis_log!T:T,"Not Found",0,))</f>
        <v>gross</v>
      </c>
      <c r="O1380" s="180">
        <f>IF(N1380="net",_xlfn.XLOOKUP(E1380,cannabis_log!C:C,cannabis_log!N:N,"NOT FOUND",0,1),IF(N1380="gross",0,""))</f>
        <v>0</v>
      </c>
    </row>
    <row r="1381" spans="1:15">
      <c r="A1381" s="195" t="str">
        <f t="shared" si="69"/>
        <v>outbound</v>
      </c>
      <c r="B1381" s="196">
        <v>45736.571527777778</v>
      </c>
      <c r="C1381" s="197" t="s">
        <v>1921</v>
      </c>
      <c r="D1381" s="197" t="s">
        <v>2768</v>
      </c>
      <c r="E1381" s="217" t="s">
        <v>2784</v>
      </c>
      <c r="F1381" s="112">
        <f>IF(ISBLANK(E1381),"",_xlfn.XLOOKUP(E1381,cannabis_log!C:C,cannabis_log!J:J,"",0,))</f>
        <v>2024121801</v>
      </c>
      <c r="G1381" s="112"/>
      <c r="H1381" s="112" t="str">
        <f>IF(ISBLANK(E1381),"",_xlfn.XLOOKUP(E1381,cannabis_log!C:C,cannabis_log!H:H,"",0,1))</f>
        <v>driedflower_bulk</v>
      </c>
      <c r="I1381" s="113" t="str">
        <f>IF(ISBLANK(E1381),"",_xlfn.XLOOKUP(E1381,cannabis_log!C:C,cannabis_log!K:K,"NOT FOUND",0,1))</f>
        <v>NA</v>
      </c>
      <c r="J1381" s="185">
        <v>-1</v>
      </c>
      <c r="K1381" s="186">
        <v>-1094</v>
      </c>
      <c r="L1381" s="288">
        <f t="shared" si="67"/>
        <v>0</v>
      </c>
      <c r="M1381" s="24"/>
      <c r="N1381" s="112" t="str">
        <f>IF(ISBLANK(E1381),"",_xlfn.XLOOKUP(E1381,cannabis_log!C:C,cannabis_log!T:T,"Not Found",0,))</f>
        <v>gross</v>
      </c>
      <c r="O1381" s="180">
        <f>IF(N1381="net",_xlfn.XLOOKUP(E1381,cannabis_log!C:C,cannabis_log!N:N,"NOT FOUND",0,1),IF(N1381="gross",0,""))</f>
        <v>0</v>
      </c>
    </row>
    <row r="1382" spans="1:15">
      <c r="A1382" s="195" t="str">
        <f t="shared" si="69"/>
        <v>outbound</v>
      </c>
      <c r="B1382" s="196">
        <v>45736.571527777778</v>
      </c>
      <c r="C1382" s="197" t="s">
        <v>1921</v>
      </c>
      <c r="D1382" s="197" t="s">
        <v>2768</v>
      </c>
      <c r="E1382" s="217" t="s">
        <v>2785</v>
      </c>
      <c r="F1382" s="112">
        <f>IF(ISBLANK(E1382),"",_xlfn.XLOOKUP(E1382,cannabis_log!C:C,cannabis_log!J:J,"",0,))</f>
        <v>2024121801</v>
      </c>
      <c r="G1382" s="112"/>
      <c r="H1382" s="112" t="str">
        <f>IF(ISBLANK(E1382),"",_xlfn.XLOOKUP(E1382,cannabis_log!C:C,cannabis_log!H:H,"",0,1))</f>
        <v>driedflower_bulk</v>
      </c>
      <c r="I1382" s="113" t="str">
        <f>IF(ISBLANK(E1382),"",_xlfn.XLOOKUP(E1382,cannabis_log!C:C,cannabis_log!K:K,"NOT FOUND",0,1))</f>
        <v>NA</v>
      </c>
      <c r="J1382" s="185">
        <v>-1</v>
      </c>
      <c r="K1382" s="186">
        <v>-1096</v>
      </c>
      <c r="L1382" s="288">
        <f t="shared" si="67"/>
        <v>0</v>
      </c>
      <c r="M1382" s="24"/>
      <c r="N1382" s="112" t="str">
        <f>IF(ISBLANK(E1382),"",_xlfn.XLOOKUP(E1382,cannabis_log!C:C,cannabis_log!T:T,"Not Found",0,))</f>
        <v>gross</v>
      </c>
      <c r="O1382" s="180">
        <f>IF(N1382="net",_xlfn.XLOOKUP(E1382,cannabis_log!C:C,cannabis_log!N:N,"NOT FOUND",0,1),IF(N1382="gross",0,""))</f>
        <v>0</v>
      </c>
    </row>
    <row r="1383" spans="1:15">
      <c r="A1383" s="195" t="str">
        <f t="shared" si="69"/>
        <v>outbound</v>
      </c>
      <c r="B1383" s="196">
        <v>45736.571527777778</v>
      </c>
      <c r="C1383" s="197" t="s">
        <v>1921</v>
      </c>
      <c r="D1383" s="197" t="s">
        <v>2768</v>
      </c>
      <c r="E1383" s="217" t="s">
        <v>2786</v>
      </c>
      <c r="F1383" s="112">
        <f>IF(ISBLANK(E1383),"",_xlfn.XLOOKUP(E1383,cannabis_log!C:C,cannabis_log!J:J,"",0,))</f>
        <v>2024121801</v>
      </c>
      <c r="G1383" s="112"/>
      <c r="H1383" s="112" t="str">
        <f>IF(ISBLANK(E1383),"",_xlfn.XLOOKUP(E1383,cannabis_log!C:C,cannabis_log!H:H,"",0,1))</f>
        <v>driedflower_bulk</v>
      </c>
      <c r="I1383" s="113" t="str">
        <f>IF(ISBLANK(E1383),"",_xlfn.XLOOKUP(E1383,cannabis_log!C:C,cannabis_log!K:K,"NOT FOUND",0,1))</f>
        <v>NA</v>
      </c>
      <c r="J1383" s="185">
        <v>-1</v>
      </c>
      <c r="K1383" s="186">
        <v>-1092</v>
      </c>
      <c r="L1383" s="288">
        <f t="shared" si="67"/>
        <v>0</v>
      </c>
      <c r="M1383" s="24"/>
      <c r="N1383" s="112" t="str">
        <f>IF(ISBLANK(E1383),"",_xlfn.XLOOKUP(E1383,cannabis_log!C:C,cannabis_log!T:T,"Not Found",0,))</f>
        <v>gross</v>
      </c>
      <c r="O1383" s="180">
        <f>IF(N1383="net",_xlfn.XLOOKUP(E1383,cannabis_log!C:C,cannabis_log!N:N,"NOT FOUND",0,1),IF(N1383="gross",0,""))</f>
        <v>0</v>
      </c>
    </row>
    <row r="1384" spans="1:15">
      <c r="A1384" s="195" t="str">
        <f t="shared" si="69"/>
        <v>outbound</v>
      </c>
      <c r="B1384" s="196">
        <v>45736.571527777778</v>
      </c>
      <c r="C1384" s="197" t="s">
        <v>1921</v>
      </c>
      <c r="D1384" s="197" t="s">
        <v>2768</v>
      </c>
      <c r="E1384" s="217" t="s">
        <v>2787</v>
      </c>
      <c r="F1384" s="112">
        <f>IF(ISBLANK(E1384),"",_xlfn.XLOOKUP(E1384,cannabis_log!C:C,cannabis_log!J:J,"",0,))</f>
        <v>2024121801</v>
      </c>
      <c r="G1384" s="112"/>
      <c r="H1384" s="112" t="str">
        <f>IF(ISBLANK(E1384),"",_xlfn.XLOOKUP(E1384,cannabis_log!C:C,cannabis_log!H:H,"",0,1))</f>
        <v>driedflower_bulk</v>
      </c>
      <c r="I1384" s="113" t="str">
        <f>IF(ISBLANK(E1384),"",_xlfn.XLOOKUP(E1384,cannabis_log!C:C,cannabis_log!K:K,"NOT FOUND",0,1))</f>
        <v>NA</v>
      </c>
      <c r="J1384" s="185">
        <v>-1</v>
      </c>
      <c r="K1384" s="186">
        <v>-1088</v>
      </c>
      <c r="L1384" s="288">
        <f t="shared" si="67"/>
        <v>0</v>
      </c>
      <c r="M1384" s="24"/>
      <c r="N1384" s="112" t="str">
        <f>IF(ISBLANK(E1384),"",_xlfn.XLOOKUP(E1384,cannabis_log!C:C,cannabis_log!T:T,"Not Found",0,))</f>
        <v>gross</v>
      </c>
      <c r="O1384" s="180">
        <f>IF(N1384="net",_xlfn.XLOOKUP(E1384,cannabis_log!C:C,cannabis_log!N:N,"NOT FOUND",0,1),IF(N1384="gross",0,""))</f>
        <v>0</v>
      </c>
    </row>
    <row r="1385" spans="1:15">
      <c r="A1385" s="195" t="str">
        <f t="shared" si="69"/>
        <v>outbound</v>
      </c>
      <c r="B1385" s="196">
        <v>45736.571527777778</v>
      </c>
      <c r="C1385" s="197" t="s">
        <v>1921</v>
      </c>
      <c r="D1385" s="197" t="s">
        <v>2768</v>
      </c>
      <c r="E1385" s="217" t="s">
        <v>2788</v>
      </c>
      <c r="F1385" s="112">
        <f>IF(ISBLANK(E1385),"",_xlfn.XLOOKUP(E1385,cannabis_log!C:C,cannabis_log!J:J,"",0,))</f>
        <v>2024121801</v>
      </c>
      <c r="G1385" s="112"/>
      <c r="H1385" s="112" t="str">
        <f>IF(ISBLANK(E1385),"",_xlfn.XLOOKUP(E1385,cannabis_log!C:C,cannabis_log!H:H,"",0,1))</f>
        <v>driedflower_bulk</v>
      </c>
      <c r="I1385" s="113" t="str">
        <f>IF(ISBLANK(E1385),"",_xlfn.XLOOKUP(E1385,cannabis_log!C:C,cannabis_log!K:K,"NOT FOUND",0,1))</f>
        <v>NA</v>
      </c>
      <c r="J1385" s="185">
        <v>-1</v>
      </c>
      <c r="K1385" s="186">
        <v>-1094</v>
      </c>
      <c r="L1385" s="288">
        <f t="shared" si="67"/>
        <v>0</v>
      </c>
      <c r="M1385" s="24"/>
      <c r="N1385" s="112" t="str">
        <f>IF(ISBLANK(E1385),"",_xlfn.XLOOKUP(E1385,cannabis_log!C:C,cannabis_log!T:T,"Not Found",0,))</f>
        <v>gross</v>
      </c>
      <c r="O1385" s="180">
        <f>IF(N1385="net",_xlfn.XLOOKUP(E1385,cannabis_log!C:C,cannabis_log!N:N,"NOT FOUND",0,1),IF(N1385="gross",0,""))</f>
        <v>0</v>
      </c>
    </row>
    <row r="1386" spans="1:15">
      <c r="A1386" s="195" t="str">
        <f t="shared" si="69"/>
        <v>outbound</v>
      </c>
      <c r="B1386" s="196">
        <v>45736.571527777778</v>
      </c>
      <c r="C1386" s="197" t="s">
        <v>1921</v>
      </c>
      <c r="D1386" s="197" t="s">
        <v>2768</v>
      </c>
      <c r="E1386" s="217" t="s">
        <v>2789</v>
      </c>
      <c r="F1386" s="112">
        <f>IF(ISBLANK(E1386),"",_xlfn.XLOOKUP(E1386,cannabis_log!C:C,cannabis_log!J:J,"",0,))</f>
        <v>2024121801</v>
      </c>
      <c r="G1386" s="112"/>
      <c r="H1386" s="112" t="str">
        <f>IF(ISBLANK(E1386),"",_xlfn.XLOOKUP(E1386,cannabis_log!C:C,cannabis_log!H:H,"",0,1))</f>
        <v>driedflower_bulk</v>
      </c>
      <c r="I1386" s="113" t="str">
        <f>IF(ISBLANK(E1386),"",_xlfn.XLOOKUP(E1386,cannabis_log!C:C,cannabis_log!K:K,"NOT FOUND",0,1))</f>
        <v>NA</v>
      </c>
      <c r="J1386" s="185">
        <v>-1</v>
      </c>
      <c r="K1386" s="186">
        <v>-1090</v>
      </c>
      <c r="L1386" s="288">
        <f t="shared" si="67"/>
        <v>0</v>
      </c>
      <c r="M1386" s="24"/>
      <c r="N1386" s="112" t="str">
        <f>IF(ISBLANK(E1386),"",_xlfn.XLOOKUP(E1386,cannabis_log!C:C,cannabis_log!T:T,"Not Found",0,))</f>
        <v>gross</v>
      </c>
      <c r="O1386" s="180">
        <f>IF(N1386="net",_xlfn.XLOOKUP(E1386,cannabis_log!C:C,cannabis_log!N:N,"NOT FOUND",0,1),IF(N1386="gross",0,""))</f>
        <v>0</v>
      </c>
    </row>
    <row r="1387" spans="1:15">
      <c r="A1387" s="195" t="str">
        <f t="shared" si="69"/>
        <v>outbound</v>
      </c>
      <c r="B1387" s="196">
        <v>45736.571527777778</v>
      </c>
      <c r="C1387" s="197" t="s">
        <v>1921</v>
      </c>
      <c r="D1387" s="197" t="s">
        <v>2768</v>
      </c>
      <c r="E1387" s="217" t="s">
        <v>2790</v>
      </c>
      <c r="F1387" s="112">
        <f>IF(ISBLANK(E1387),"",_xlfn.XLOOKUP(E1387,cannabis_log!C:C,cannabis_log!J:J,"",0,))</f>
        <v>2024121801</v>
      </c>
      <c r="G1387" s="112"/>
      <c r="H1387" s="112" t="str">
        <f>IF(ISBLANK(E1387),"",_xlfn.XLOOKUP(E1387,cannabis_log!C:C,cannabis_log!H:H,"",0,1))</f>
        <v>driedflower_bulk</v>
      </c>
      <c r="I1387" s="113" t="str">
        <f>IF(ISBLANK(E1387),"",_xlfn.XLOOKUP(E1387,cannabis_log!C:C,cannabis_log!K:K,"NOT FOUND",0,1))</f>
        <v>NA</v>
      </c>
      <c r="J1387" s="185">
        <v>-1</v>
      </c>
      <c r="K1387" s="186">
        <v>-1096</v>
      </c>
      <c r="L1387" s="288">
        <f t="shared" si="67"/>
        <v>0</v>
      </c>
      <c r="M1387" s="24"/>
      <c r="N1387" s="112" t="str">
        <f>IF(ISBLANK(E1387),"",_xlfn.XLOOKUP(E1387,cannabis_log!C:C,cannabis_log!T:T,"Not Found",0,))</f>
        <v>gross</v>
      </c>
      <c r="O1387" s="180">
        <f>IF(N1387="net",_xlfn.XLOOKUP(E1387,cannabis_log!C:C,cannabis_log!N:N,"NOT FOUND",0,1),IF(N1387="gross",0,""))</f>
        <v>0</v>
      </c>
    </row>
    <row r="1388" spans="1:15">
      <c r="A1388" s="195" t="str">
        <f t="shared" si="69"/>
        <v>outbound</v>
      </c>
      <c r="B1388" s="196">
        <v>45736.571527777778</v>
      </c>
      <c r="C1388" s="197" t="s">
        <v>1921</v>
      </c>
      <c r="D1388" s="197" t="s">
        <v>2768</v>
      </c>
      <c r="E1388" s="217" t="s">
        <v>2791</v>
      </c>
      <c r="F1388" s="112">
        <f>IF(ISBLANK(E1388),"",_xlfn.XLOOKUP(E1388,cannabis_log!C:C,cannabis_log!J:J,"",0,))</f>
        <v>2024121801</v>
      </c>
      <c r="G1388" s="112"/>
      <c r="H1388" s="112" t="str">
        <f>IF(ISBLANK(E1388),"",_xlfn.XLOOKUP(E1388,cannabis_log!C:C,cannabis_log!H:H,"",0,1))</f>
        <v>driedflower_bulk</v>
      </c>
      <c r="I1388" s="113" t="str">
        <f>IF(ISBLANK(E1388),"",_xlfn.XLOOKUP(E1388,cannabis_log!C:C,cannabis_log!K:K,"NOT FOUND",0,1))</f>
        <v>NA</v>
      </c>
      <c r="J1388" s="185">
        <v>-1</v>
      </c>
      <c r="K1388" s="186">
        <v>-1094</v>
      </c>
      <c r="L1388" s="288">
        <f t="shared" si="67"/>
        <v>0</v>
      </c>
      <c r="M1388" s="24"/>
      <c r="N1388" s="112" t="str">
        <f>IF(ISBLANK(E1388),"",_xlfn.XLOOKUP(E1388,cannabis_log!C:C,cannabis_log!T:T,"Not Found",0,))</f>
        <v>gross</v>
      </c>
      <c r="O1388" s="180">
        <f>IF(N1388="net",_xlfn.XLOOKUP(E1388,cannabis_log!C:C,cannabis_log!N:N,"NOT FOUND",0,1),IF(N1388="gross",0,""))</f>
        <v>0</v>
      </c>
    </row>
    <row r="1389" spans="1:15">
      <c r="A1389" s="195" t="str">
        <f t="shared" si="69"/>
        <v>outbound</v>
      </c>
      <c r="B1389" s="196">
        <v>45736.571527777778</v>
      </c>
      <c r="C1389" s="197" t="s">
        <v>1921</v>
      </c>
      <c r="D1389" s="197" t="s">
        <v>2768</v>
      </c>
      <c r="E1389" s="217" t="s">
        <v>2792</v>
      </c>
      <c r="F1389" s="112">
        <f>IF(ISBLANK(E1389),"",_xlfn.XLOOKUP(E1389,cannabis_log!C:C,cannabis_log!J:J,"",0,))</f>
        <v>2024121801</v>
      </c>
      <c r="G1389" s="112"/>
      <c r="H1389" s="112" t="str">
        <f>IF(ISBLANK(E1389),"",_xlfn.XLOOKUP(E1389,cannabis_log!C:C,cannabis_log!H:H,"",0,1))</f>
        <v>driedflower_bulk</v>
      </c>
      <c r="I1389" s="113" t="str">
        <f>IF(ISBLANK(E1389),"",_xlfn.XLOOKUP(E1389,cannabis_log!C:C,cannabis_log!K:K,"NOT FOUND",0,1))</f>
        <v>NA</v>
      </c>
      <c r="J1389" s="185">
        <v>-1</v>
      </c>
      <c r="K1389" s="186">
        <v>-1086</v>
      </c>
      <c r="L1389" s="288">
        <f t="shared" si="67"/>
        <v>0</v>
      </c>
      <c r="M1389" s="24"/>
      <c r="N1389" s="112" t="str">
        <f>IF(ISBLANK(E1389),"",_xlfn.XLOOKUP(E1389,cannabis_log!C:C,cannabis_log!T:T,"Not Found",0,))</f>
        <v>gross</v>
      </c>
      <c r="O1389" s="180">
        <f>IF(N1389="net",_xlfn.XLOOKUP(E1389,cannabis_log!C:C,cannabis_log!N:N,"NOT FOUND",0,1),IF(N1389="gross",0,""))</f>
        <v>0</v>
      </c>
    </row>
    <row r="1390" spans="1:15">
      <c r="A1390" s="195" t="str">
        <f t="shared" si="69"/>
        <v>outbound</v>
      </c>
      <c r="B1390" s="196">
        <v>45736.571527777778</v>
      </c>
      <c r="C1390" s="197" t="s">
        <v>1921</v>
      </c>
      <c r="D1390" s="197" t="s">
        <v>2768</v>
      </c>
      <c r="E1390" s="217" t="s">
        <v>2793</v>
      </c>
      <c r="F1390" s="112">
        <f>IF(ISBLANK(E1390),"",_xlfn.XLOOKUP(E1390,cannabis_log!C:C,cannabis_log!J:J,"",0,))</f>
        <v>2024121801</v>
      </c>
      <c r="G1390" s="112"/>
      <c r="H1390" s="112" t="str">
        <f>IF(ISBLANK(E1390),"",_xlfn.XLOOKUP(E1390,cannabis_log!C:C,cannabis_log!H:H,"",0,1))</f>
        <v>driedflower_bulk</v>
      </c>
      <c r="I1390" s="113" t="str">
        <f>IF(ISBLANK(E1390),"",_xlfn.XLOOKUP(E1390,cannabis_log!C:C,cannabis_log!K:K,"NOT FOUND",0,1))</f>
        <v>NA</v>
      </c>
      <c r="J1390" s="185">
        <v>-1</v>
      </c>
      <c r="K1390" s="186">
        <v>-1090</v>
      </c>
      <c r="L1390" s="288">
        <f t="shared" ref="L1390:L1453" si="71">IFERROR(J1390*O1390,"")</f>
        <v>0</v>
      </c>
      <c r="M1390" s="24"/>
      <c r="N1390" s="112" t="str">
        <f>IF(ISBLANK(E1390),"",_xlfn.XLOOKUP(E1390,cannabis_log!C:C,cannabis_log!T:T,"Not Found",0,))</f>
        <v>gross</v>
      </c>
      <c r="O1390" s="180">
        <f>IF(N1390="net",_xlfn.XLOOKUP(E1390,cannabis_log!C:C,cannabis_log!N:N,"NOT FOUND",0,1),IF(N1390="gross",0,""))</f>
        <v>0</v>
      </c>
    </row>
    <row r="1391" spans="1:15">
      <c r="A1391" s="195" t="str">
        <f t="shared" si="69"/>
        <v>outbound</v>
      </c>
      <c r="B1391" s="196">
        <v>45736.571527777778</v>
      </c>
      <c r="C1391" s="197" t="s">
        <v>1921</v>
      </c>
      <c r="D1391" s="197" t="s">
        <v>2768</v>
      </c>
      <c r="E1391" s="217" t="s">
        <v>2794</v>
      </c>
      <c r="F1391" s="112">
        <f>IF(ISBLANK(E1391),"",_xlfn.XLOOKUP(E1391,cannabis_log!C:C,cannabis_log!J:J,"",0,))</f>
        <v>2024121801</v>
      </c>
      <c r="G1391" s="112"/>
      <c r="H1391" s="112" t="str">
        <f>IF(ISBLANK(E1391),"",_xlfn.XLOOKUP(E1391,cannabis_log!C:C,cannabis_log!H:H,"",0,1))</f>
        <v>driedflower_bulk</v>
      </c>
      <c r="I1391" s="113" t="str">
        <f>IF(ISBLANK(E1391),"",_xlfn.XLOOKUP(E1391,cannabis_log!C:C,cannabis_log!K:K,"NOT FOUND",0,1))</f>
        <v>NA</v>
      </c>
      <c r="J1391" s="185">
        <v>-1</v>
      </c>
      <c r="K1391" s="186">
        <v>-1020</v>
      </c>
      <c r="L1391" s="288">
        <f t="shared" si="71"/>
        <v>0</v>
      </c>
      <c r="M1391" s="24"/>
      <c r="N1391" s="112" t="str">
        <f>IF(ISBLANK(E1391),"",_xlfn.XLOOKUP(E1391,cannabis_log!C:C,cannabis_log!T:T,"Not Found",0,))</f>
        <v>gross</v>
      </c>
      <c r="O1391" s="180">
        <f>IF(N1391="net",_xlfn.XLOOKUP(E1391,cannabis_log!C:C,cannabis_log!N:N,"NOT FOUND",0,1),IF(N1391="gross",0,""))</f>
        <v>0</v>
      </c>
    </row>
    <row r="1392" spans="1:15">
      <c r="A1392" s="195" t="str">
        <f t="shared" si="69"/>
        <v>outbound</v>
      </c>
      <c r="B1392" s="196">
        <v>45736.630555555559</v>
      </c>
      <c r="C1392" s="197" t="s">
        <v>1924</v>
      </c>
      <c r="D1392" s="197" t="s">
        <v>2795</v>
      </c>
      <c r="E1392" s="217" t="s">
        <v>2741</v>
      </c>
      <c r="F1392" s="112">
        <f>IF(ISBLANK(E1392),"",_xlfn.XLOOKUP(E1392,cannabis_log!C:C,cannabis_log!J:J,"",0,))</f>
        <v>2025021301</v>
      </c>
      <c r="G1392" s="112"/>
      <c r="H1392" s="112" t="str">
        <f>IF(ISBLANK(E1392),"",_xlfn.XLOOKUP(E1392,cannabis_log!C:C,cannabis_log!H:H,"",0,1))</f>
        <v>driedflower_bulk</v>
      </c>
      <c r="I1392" s="113" t="str">
        <f>IF(ISBLANK(E1392),"",_xlfn.XLOOKUP(E1392,cannabis_log!C:C,cannabis_log!K:K,"NOT FOUND",0,1))</f>
        <v>NA</v>
      </c>
      <c r="J1392" s="185">
        <v>0</v>
      </c>
      <c r="K1392" s="186">
        <f>495-572</f>
        <v>-77</v>
      </c>
      <c r="L1392" s="288">
        <f t="shared" si="71"/>
        <v>0</v>
      </c>
      <c r="M1392" s="24"/>
      <c r="N1392" s="112" t="str">
        <f>IF(ISBLANK(E1392),"",_xlfn.XLOOKUP(E1392,cannabis_log!C:C,cannabis_log!T:T,"Not Found",0,))</f>
        <v>gross</v>
      </c>
      <c r="O1392" s="180">
        <f>IF(N1392="net",_xlfn.XLOOKUP(E1392,cannabis_log!C:C,cannabis_log!N:N,"NOT FOUND",0,1),IF(N1392="gross",0,""))</f>
        <v>0</v>
      </c>
    </row>
    <row r="1393" spans="1:15">
      <c r="A1393" s="195" t="str">
        <f t="shared" si="69"/>
        <v>outbound</v>
      </c>
      <c r="B1393" s="196">
        <v>45736.645138888889</v>
      </c>
      <c r="C1393" s="197" t="s">
        <v>1921</v>
      </c>
      <c r="D1393" s="22" t="s">
        <v>2728</v>
      </c>
      <c r="E1393" s="217" t="s">
        <v>2796</v>
      </c>
      <c r="F1393" s="112" t="str">
        <f>IF(ISBLANK(E1393),"",_xlfn.XLOOKUP(E1393,cannabis_log!C:C,cannabis_log!J:J,"",0,))</f>
        <v>BS23041701G180</v>
      </c>
      <c r="G1393" s="112"/>
      <c r="H1393" s="112" t="str">
        <f>IF(ISBLANK(E1393),"",_xlfn.XLOOKUP(E1393,cannabis_log!C:C,cannabis_log!H:H,"",0,1))</f>
        <v>topical_labelled</v>
      </c>
      <c r="I1393" s="113">
        <f>IF(ISBLANK(E1393),"",_xlfn.XLOOKUP(E1393,cannabis_log!C:C,cannabis_log!K:K,"NOT FOUND",0,1))</f>
        <v>45523</v>
      </c>
      <c r="J1393" s="185">
        <v>-10</v>
      </c>
      <c r="K1393" s="186">
        <f>IF(N1393="net",0,"")</f>
        <v>0</v>
      </c>
      <c r="L1393" s="288">
        <f t="shared" si="71"/>
        <v>-1800</v>
      </c>
      <c r="M1393" s="24"/>
      <c r="N1393" s="112" t="str">
        <f>IF(ISBLANK(E1393),"",_xlfn.XLOOKUP(E1393,cannabis_log!C:C,cannabis_log!T:T,"Not Found",0,))</f>
        <v>net</v>
      </c>
      <c r="O1393" s="180">
        <f>IF(N1393="net",_xlfn.XLOOKUP(E1393,cannabis_log!C:C,cannabis_log!N:N,"NOT FOUND",0,1),IF(N1393="gross",0,""))</f>
        <v>180</v>
      </c>
    </row>
    <row r="1394" spans="1:15">
      <c r="A1394" s="195" t="str">
        <f t="shared" si="69"/>
        <v>outbound</v>
      </c>
      <c r="B1394" s="196">
        <v>45736.648611111108</v>
      </c>
      <c r="C1394" s="197" t="s">
        <v>1921</v>
      </c>
      <c r="D1394" s="22" t="s">
        <v>2728</v>
      </c>
      <c r="E1394" s="217" t="s">
        <v>2797</v>
      </c>
      <c r="F1394" s="112" t="str">
        <f>IF(ISBLANK(E1394),"",_xlfn.XLOOKUP(E1394,cannabis_log!C:C,cannabis_log!J:J,"",0,))</f>
        <v>2021082601R1</v>
      </c>
      <c r="G1394" s="112"/>
      <c r="H1394" s="112" t="str">
        <f>IF(ISBLANK(E1394),"",_xlfn.XLOOKUP(E1394,cannabis_log!C:C,cannabis_log!H:H,"",0,1))</f>
        <v>driedflower_labelled_RTV</v>
      </c>
      <c r="I1394" s="113">
        <f>IF(ISBLANK(E1394),"",_xlfn.XLOOKUP(E1394,cannabis_log!C:C,cannabis_log!K:K,"NOT FOUND",0,1))</f>
        <v>45616</v>
      </c>
      <c r="J1394" s="185">
        <v>-135</v>
      </c>
      <c r="K1394" s="186">
        <f>IF(N1394="net",0,"")</f>
        <v>0</v>
      </c>
      <c r="L1394" s="288">
        <f t="shared" si="71"/>
        <v>-472.5</v>
      </c>
      <c r="M1394" s="24"/>
      <c r="N1394" s="112" t="str">
        <f>IF(ISBLANK(E1394),"",_xlfn.XLOOKUP(E1394,cannabis_log!C:C,cannabis_log!T:T,"Not Found",0,))</f>
        <v>net</v>
      </c>
      <c r="O1394" s="180">
        <f>IF(N1394="net",_xlfn.XLOOKUP(E1394,cannabis_log!C:C,cannabis_log!N:N,"NOT FOUND",0,1),IF(N1394="gross",0,""))</f>
        <v>3.5</v>
      </c>
    </row>
    <row r="1395" spans="1:15">
      <c r="A1395" s="195" t="str">
        <f t="shared" si="69"/>
        <v>inbound</v>
      </c>
      <c r="B1395" s="196">
        <v>45736.654861111114</v>
      </c>
      <c r="C1395" s="197" t="s">
        <v>1921</v>
      </c>
      <c r="D1395" s="22" t="s">
        <v>2728</v>
      </c>
      <c r="E1395" s="217" t="s">
        <v>2717</v>
      </c>
      <c r="F1395" s="112" t="str">
        <f>IF(ISBLANK(E1395),"",_xlfn.XLOOKUP(E1395,cannabis_log!C:C,cannabis_log!J:J,"",0,))</f>
        <v>2024111803G7</v>
      </c>
      <c r="G1395" s="112"/>
      <c r="H1395" s="112" t="str">
        <f>IF(ISBLANK(E1395),"",_xlfn.XLOOKUP(E1395,cannabis_log!C:C,cannabis_log!H:H,"",0,1))</f>
        <v>driedflower_labelled</v>
      </c>
      <c r="I1395" s="113">
        <f>IF(ISBLANK(E1395),"",_xlfn.XLOOKUP(E1395,cannabis_log!C:C,cannabis_log!K:K,"NOT FOUND",0,1))</f>
        <v>45721</v>
      </c>
      <c r="J1395" s="185">
        <v>135</v>
      </c>
      <c r="K1395" s="186">
        <f>IF(N1395="net",0,"")</f>
        <v>0</v>
      </c>
      <c r="L1395" s="288">
        <f t="shared" si="71"/>
        <v>945</v>
      </c>
      <c r="M1395" s="24"/>
      <c r="N1395" s="112" t="str">
        <f>IF(ISBLANK(E1395),"",_xlfn.XLOOKUP(E1395,cannabis_log!C:C,cannabis_log!T:T,"Not Found",0,))</f>
        <v>net</v>
      </c>
      <c r="O1395" s="180">
        <f>IF(N1395="net",_xlfn.XLOOKUP(E1395,cannabis_log!C:C,cannabis_log!N:N,"NOT FOUND",0,1),IF(N1395="gross",0,""))</f>
        <v>7</v>
      </c>
    </row>
    <row r="1396" spans="1:15">
      <c r="A1396" s="195" t="str">
        <f t="shared" si="69"/>
        <v>inbound</v>
      </c>
      <c r="B1396" s="196">
        <v>45736.65625</v>
      </c>
      <c r="C1396" s="197" t="s">
        <v>1927</v>
      </c>
      <c r="D1396" s="197"/>
      <c r="E1396" s="217" t="s">
        <v>2746</v>
      </c>
      <c r="F1396" s="112" t="str">
        <f>IF(ISBLANK(E1396),"",_xlfn.XLOOKUP(E1396,cannabis_log!C:C,cannabis_log!J:J,"",0,))</f>
        <v>PR2301</v>
      </c>
      <c r="G1396" s="112"/>
      <c r="H1396" s="112" t="str">
        <f>IF(ISBLANK(E1396),"",_xlfn.XLOOKUP(E1396,cannabis_log!C:C,cannabis_log!H:H,"",0,1))</f>
        <v>driedflower_milled_bulk</v>
      </c>
      <c r="I1396" s="113">
        <f>IF(ISBLANK(E1396),"",_xlfn.XLOOKUP(E1396,cannabis_log!C:C,cannabis_log!K:K,"NOT FOUND",0,1))</f>
        <v>45384</v>
      </c>
      <c r="J1396" s="185">
        <v>1</v>
      </c>
      <c r="K1396" s="186">
        <v>3980</v>
      </c>
      <c r="L1396" s="288">
        <f t="shared" si="71"/>
        <v>0</v>
      </c>
      <c r="M1396" s="24"/>
      <c r="N1396" s="112" t="str">
        <f>IF(ISBLANK(E1396),"",_xlfn.XLOOKUP(E1396,cannabis_log!C:C,cannabis_log!T:T,"Not Found",0,))</f>
        <v>gross</v>
      </c>
      <c r="O1396" s="180">
        <f>IF(N1396="net",_xlfn.XLOOKUP(E1396,cannabis_log!C:C,cannabis_log!N:N,"NOT FOUND",0,1),IF(N1396="gross",0,""))</f>
        <v>0</v>
      </c>
    </row>
    <row r="1397" spans="1:15">
      <c r="A1397" s="195" t="str">
        <f t="shared" si="69"/>
        <v>outbound</v>
      </c>
      <c r="B1397" s="196">
        <v>45737.402083333334</v>
      </c>
      <c r="C1397" s="197" t="s">
        <v>1921</v>
      </c>
      <c r="D1397" s="197" t="s">
        <v>2798</v>
      </c>
      <c r="E1397" s="217" t="s">
        <v>2799</v>
      </c>
      <c r="F1397" s="112" t="str">
        <f>IF(ISBLANK(E1397),"",_xlfn.XLOOKUP(E1397,cannabis_log!C:C,cannabis_log!J:J,"",0,))</f>
        <v>2021082601R1</v>
      </c>
      <c r="G1397" s="112"/>
      <c r="H1397" s="112" t="str">
        <f>IF(ISBLANK(E1397),"",_xlfn.XLOOKUP(E1397,cannabis_log!C:C,cannabis_log!H:H,"",0,1))</f>
        <v>driedflower_labelled_RTV</v>
      </c>
      <c r="I1397" s="113">
        <f>IF(ISBLANK(E1397),"",_xlfn.XLOOKUP(E1397,cannabis_log!C:C,cannabis_log!K:K,"NOT FOUND",0,1))</f>
        <v>44646</v>
      </c>
      <c r="J1397" s="185">
        <v>-72</v>
      </c>
      <c r="K1397" s="186">
        <f t="shared" ref="K1397:K1406" si="72">IF(N1397="net",0,"")</f>
        <v>0</v>
      </c>
      <c r="L1397" s="288">
        <f t="shared" si="71"/>
        <v>-252</v>
      </c>
      <c r="M1397" s="24"/>
      <c r="N1397" s="112" t="str">
        <f>IF(ISBLANK(E1397),"",_xlfn.XLOOKUP(E1397,cannabis_log!C:C,cannabis_log!T:T,"Not Found",0,))</f>
        <v>net</v>
      </c>
      <c r="O1397" s="180">
        <f>IF(N1397="net",_xlfn.XLOOKUP(E1397,cannabis_log!C:C,cannabis_log!N:N,"NOT FOUND",0,1),IF(N1397="gross",0,""))</f>
        <v>3.5</v>
      </c>
    </row>
    <row r="1398" spans="1:15">
      <c r="A1398" s="195" t="str">
        <f t="shared" si="69"/>
        <v>outbound</v>
      </c>
      <c r="B1398" s="196">
        <v>45737.402083333334</v>
      </c>
      <c r="C1398" s="197" t="s">
        <v>1921</v>
      </c>
      <c r="D1398" s="197" t="s">
        <v>2798</v>
      </c>
      <c r="E1398" s="217" t="s">
        <v>2800</v>
      </c>
      <c r="F1398" s="112" t="str">
        <f>IF(ISBLANK(E1398),"",_xlfn.XLOOKUP(E1398,cannabis_log!C:C,cannabis_log!J:J,"",0,))</f>
        <v>2021082601R1</v>
      </c>
      <c r="G1398" s="112"/>
      <c r="H1398" s="112" t="str">
        <f>IF(ISBLANK(E1398),"",_xlfn.XLOOKUP(E1398,cannabis_log!C:C,cannabis_log!H:H,"",0,1))</f>
        <v>driedflower_labelled_RTV</v>
      </c>
      <c r="I1398" s="113">
        <f>IF(ISBLANK(E1398),"",_xlfn.XLOOKUP(E1398,cannabis_log!C:C,cannabis_log!K:K,"NOT FOUND",0,1))</f>
        <v>44646</v>
      </c>
      <c r="J1398" s="185">
        <v>-108</v>
      </c>
      <c r="K1398" s="186">
        <f t="shared" si="72"/>
        <v>0</v>
      </c>
      <c r="L1398" s="288">
        <f t="shared" si="71"/>
        <v>-378</v>
      </c>
      <c r="M1398" s="24"/>
      <c r="N1398" s="112" t="str">
        <f>IF(ISBLANK(E1398),"",_xlfn.XLOOKUP(E1398,cannabis_log!C:C,cannabis_log!T:T,"Not Found",0,))</f>
        <v>net</v>
      </c>
      <c r="O1398" s="180">
        <f>IF(N1398="net",_xlfn.XLOOKUP(E1398,cannabis_log!C:C,cannabis_log!N:N,"NOT FOUND",0,1),IF(N1398="gross",0,""))</f>
        <v>3.5</v>
      </c>
    </row>
    <row r="1399" spans="1:15">
      <c r="A1399" s="195" t="str">
        <f t="shared" si="69"/>
        <v>outbound</v>
      </c>
      <c r="B1399" s="196">
        <v>45737.543055555558</v>
      </c>
      <c r="C1399" s="197" t="s">
        <v>1929</v>
      </c>
      <c r="D1399" s="197" t="s">
        <v>2801</v>
      </c>
      <c r="E1399" s="217" t="s">
        <v>2802</v>
      </c>
      <c r="F1399" s="112" t="str">
        <f>IF(ISBLANK(E1399),"",_xlfn.XLOOKUP(E1399,cannabis_log!C:C,cannabis_log!J:J,"",0,))</f>
        <v>TP24120401G45</v>
      </c>
      <c r="G1399" s="112"/>
      <c r="H1399" s="112" t="str">
        <f>IF(ISBLANK(E1399),"",_xlfn.XLOOKUP(E1399,cannabis_log!C:C,cannabis_log!H:H,"",0,1))</f>
        <v>topical_labelled</v>
      </c>
      <c r="I1399" s="113">
        <f>IF(ISBLANK(E1399),"",_xlfn.XLOOKUP(E1399,cannabis_log!C:C,cannabis_log!K:K,"NOT FOUND",0,1))</f>
        <v>45638</v>
      </c>
      <c r="J1399" s="185">
        <v>-12</v>
      </c>
      <c r="K1399" s="186">
        <f t="shared" si="72"/>
        <v>0</v>
      </c>
      <c r="L1399" s="288">
        <f t="shared" si="71"/>
        <v>-540</v>
      </c>
      <c r="M1399" s="24"/>
      <c r="N1399" s="112" t="str">
        <f>IF(ISBLANK(E1399),"",_xlfn.XLOOKUP(E1399,cannabis_log!C:C,cannabis_log!T:T,"Not Found",0,))</f>
        <v>net</v>
      </c>
      <c r="O1399" s="180">
        <f>IF(N1399="net",_xlfn.XLOOKUP(E1399,cannabis_log!C:C,cannabis_log!N:N,"NOT FOUND",0,1),IF(N1399="gross",0,""))</f>
        <v>45</v>
      </c>
    </row>
    <row r="1400" spans="1:15">
      <c r="A1400" s="195" t="str">
        <f t="shared" si="69"/>
        <v>outbound</v>
      </c>
      <c r="B1400" s="196">
        <v>45737.543055555558</v>
      </c>
      <c r="C1400" s="197" t="s">
        <v>1929</v>
      </c>
      <c r="D1400" s="197" t="s">
        <v>2801</v>
      </c>
      <c r="E1400" s="217" t="s">
        <v>2803</v>
      </c>
      <c r="F1400" s="112" t="str">
        <f>IF(ISBLANK(E1400),"",_xlfn.XLOOKUP(E1400,cannabis_log!C:C,cannabis_log!J:J,"",0,))</f>
        <v>EX24022302V30</v>
      </c>
      <c r="G1400" s="112"/>
      <c r="H1400" s="112" t="str">
        <f>IF(ISBLANK(E1400),"",_xlfn.XLOOKUP(E1400,cannabis_log!C:C,cannabis_log!H:H,"",0,1))</f>
        <v>extract_ingested_labelled</v>
      </c>
      <c r="I1400" s="113">
        <f>IF(ISBLANK(E1400),"",_xlfn.XLOOKUP(E1400,cannabis_log!C:C,cannabis_log!K:K,"NOT FOUND",0,1))</f>
        <v>45588</v>
      </c>
      <c r="J1400" s="185">
        <v>-12</v>
      </c>
      <c r="K1400" s="186">
        <f t="shared" si="72"/>
        <v>0</v>
      </c>
      <c r="L1400" s="288">
        <f t="shared" si="71"/>
        <v>-331.20000000000005</v>
      </c>
      <c r="M1400" s="24"/>
      <c r="N1400" s="112" t="str">
        <f>IF(ISBLANK(E1400),"",_xlfn.XLOOKUP(E1400,cannabis_log!C:C,cannabis_log!T:T,"Not Found",0,))</f>
        <v>net</v>
      </c>
      <c r="O1400" s="180">
        <f>IF(N1400="net",_xlfn.XLOOKUP(E1400,cannabis_log!C:C,cannabis_log!N:N,"NOT FOUND",0,1),IF(N1400="gross",0,""))</f>
        <v>27.6</v>
      </c>
    </row>
    <row r="1401" spans="1:15">
      <c r="A1401" s="195" t="str">
        <f t="shared" si="69"/>
        <v>outbound</v>
      </c>
      <c r="B1401" s="196">
        <v>45737.543055555558</v>
      </c>
      <c r="C1401" s="197" t="s">
        <v>1929</v>
      </c>
      <c r="D1401" s="197" t="s">
        <v>2801</v>
      </c>
      <c r="E1401" s="217" t="s">
        <v>2712</v>
      </c>
      <c r="F1401" s="112" t="str">
        <f>IF(ISBLANK(E1401),"",_xlfn.XLOOKUP(E1401,cannabis_log!C:C,cannabis_log!J:J,"",0,))</f>
        <v>PR241003F5P3</v>
      </c>
      <c r="G1401" s="112"/>
      <c r="H1401" s="112" t="str">
        <f>IF(ISBLANK(E1401),"",_xlfn.XLOOKUP(E1401,cannabis_log!C:C,cannabis_log!H:H,"",0,1))</f>
        <v>preroll_labelled</v>
      </c>
      <c r="I1401" s="113">
        <f>IF(ISBLANK(E1401),"",_xlfn.XLOOKUP(E1401,cannabis_log!C:C,cannabis_log!K:K,"NOT FOUND",0,1))</f>
        <v>45575</v>
      </c>
      <c r="J1401" s="185">
        <v>-12</v>
      </c>
      <c r="K1401" s="186">
        <f t="shared" si="72"/>
        <v>0</v>
      </c>
      <c r="L1401" s="288">
        <f t="shared" si="71"/>
        <v>-18</v>
      </c>
      <c r="M1401" s="24"/>
      <c r="N1401" s="112" t="str">
        <f>IF(ISBLANK(E1401),"",_xlfn.XLOOKUP(E1401,cannabis_log!C:C,cannabis_log!T:T,"Not Found",0,))</f>
        <v>net</v>
      </c>
      <c r="O1401" s="180">
        <f>IF(N1401="net",_xlfn.XLOOKUP(E1401,cannabis_log!C:C,cannabis_log!N:N,"NOT FOUND",0,1),IF(N1401="gross",0,""))</f>
        <v>1.5</v>
      </c>
    </row>
    <row r="1402" spans="1:15">
      <c r="A1402" s="195" t="str">
        <f t="shared" si="69"/>
        <v>outbound</v>
      </c>
      <c r="B1402" s="196">
        <v>45737.543055555558</v>
      </c>
      <c r="C1402" s="197" t="s">
        <v>1929</v>
      </c>
      <c r="D1402" s="197" t="s">
        <v>2801</v>
      </c>
      <c r="E1402" s="217" t="s">
        <v>2720</v>
      </c>
      <c r="F1402" s="112" t="str">
        <f>IF(ISBLANK(E1402),"",_xlfn.XLOOKUP(E1402,cannabis_log!C:C,cannabis_log!J:J,"",0,))</f>
        <v>PR241101F5P3</v>
      </c>
      <c r="G1402" s="112"/>
      <c r="H1402" s="112" t="str">
        <f>IF(ISBLANK(E1402),"",_xlfn.XLOOKUP(E1402,cannabis_log!C:C,cannabis_log!H:H,"",0,1))</f>
        <v>preroll_labelled</v>
      </c>
      <c r="I1402" s="113">
        <f>IF(ISBLANK(E1402),"",_xlfn.XLOOKUP(E1402,cannabis_log!C:C,cannabis_log!K:K,"NOT FOUND",0,1))</f>
        <v>45707</v>
      </c>
      <c r="J1402" s="185">
        <v>-12</v>
      </c>
      <c r="K1402" s="186">
        <f t="shared" si="72"/>
        <v>0</v>
      </c>
      <c r="L1402" s="288">
        <f t="shared" si="71"/>
        <v>-18</v>
      </c>
      <c r="M1402" s="24"/>
      <c r="N1402" s="112" t="str">
        <f>IF(ISBLANK(E1402),"",_xlfn.XLOOKUP(E1402,cannabis_log!C:C,cannabis_log!T:T,"Not Found",0,))</f>
        <v>net</v>
      </c>
      <c r="O1402" s="180">
        <f>IF(N1402="net",_xlfn.XLOOKUP(E1402,cannabis_log!C:C,cannabis_log!N:N,"NOT FOUND",0,1),IF(N1402="gross",0,""))</f>
        <v>1.5</v>
      </c>
    </row>
    <row r="1403" spans="1:15">
      <c r="A1403" s="195" t="str">
        <f t="shared" si="69"/>
        <v>outbound</v>
      </c>
      <c r="B1403" s="196">
        <v>45737.543055555558</v>
      </c>
      <c r="C1403" s="197" t="s">
        <v>1929</v>
      </c>
      <c r="D1403" s="197" t="s">
        <v>2801</v>
      </c>
      <c r="E1403" s="217" t="s">
        <v>2703</v>
      </c>
      <c r="F1403" s="112" t="str">
        <f>IF(ISBLANK(E1403),"",_xlfn.XLOOKUP(E1403,cannabis_log!C:C,cannabis_log!J:J,"",0,))</f>
        <v>PR2501F5P10</v>
      </c>
      <c r="G1403" s="112"/>
      <c r="H1403" s="112" t="str">
        <f>IF(ISBLANK(E1403),"",_xlfn.XLOOKUP(E1403,cannabis_log!C:C,cannabis_log!H:H,"",0,1))</f>
        <v>preroll_labelled</v>
      </c>
      <c r="I1403" s="113">
        <f>IF(ISBLANK(E1403),"",_xlfn.XLOOKUP(E1403,cannabis_log!C:C,cannabis_log!K:K,"NOT FOUND",0,1))</f>
        <v>45707</v>
      </c>
      <c r="J1403" s="185">
        <v>-12</v>
      </c>
      <c r="K1403" s="186">
        <f t="shared" si="72"/>
        <v>0</v>
      </c>
      <c r="L1403" s="288">
        <f t="shared" si="71"/>
        <v>-60</v>
      </c>
      <c r="M1403" s="24"/>
      <c r="N1403" s="112" t="str">
        <f>IF(ISBLANK(E1403),"",_xlfn.XLOOKUP(E1403,cannabis_log!C:C,cannabis_log!T:T,"Not Found",0,))</f>
        <v>net</v>
      </c>
      <c r="O1403" s="180">
        <f>IF(N1403="net",_xlfn.XLOOKUP(E1403,cannabis_log!C:C,cannabis_log!N:N,"NOT FOUND",0,1),IF(N1403="gross",0,""))</f>
        <v>5</v>
      </c>
    </row>
    <row r="1404" spans="1:15">
      <c r="A1404" s="195" t="str">
        <f t="shared" si="69"/>
        <v>outbound</v>
      </c>
      <c r="B1404" s="196">
        <v>45737.543055555558</v>
      </c>
      <c r="C1404" s="197" t="s">
        <v>1929</v>
      </c>
      <c r="D1404" s="197" t="s">
        <v>2801</v>
      </c>
      <c r="E1404" s="217" t="s">
        <v>2717</v>
      </c>
      <c r="F1404" s="112" t="str">
        <f>IF(ISBLANK(E1404),"",_xlfn.XLOOKUP(E1404,cannabis_log!C:C,cannabis_log!J:J,"",0,))</f>
        <v>2024111803G7</v>
      </c>
      <c r="G1404" s="112"/>
      <c r="H1404" s="112" t="str">
        <f>IF(ISBLANK(E1404),"",_xlfn.XLOOKUP(E1404,cannabis_log!C:C,cannabis_log!H:H,"",0,1))</f>
        <v>driedflower_labelled</v>
      </c>
      <c r="I1404" s="113">
        <f>IF(ISBLANK(E1404),"",_xlfn.XLOOKUP(E1404,cannabis_log!C:C,cannabis_log!K:K,"NOT FOUND",0,1))</f>
        <v>45721</v>
      </c>
      <c r="J1404" s="185">
        <v>-12</v>
      </c>
      <c r="K1404" s="186">
        <f t="shared" si="72"/>
        <v>0</v>
      </c>
      <c r="L1404" s="288">
        <f t="shared" si="71"/>
        <v>-84</v>
      </c>
      <c r="M1404" s="24"/>
      <c r="N1404" s="112" t="str">
        <f>IF(ISBLANK(E1404),"",_xlfn.XLOOKUP(E1404,cannabis_log!C:C,cannabis_log!T:T,"Not Found",0,))</f>
        <v>net</v>
      </c>
      <c r="O1404" s="180">
        <f>IF(N1404="net",_xlfn.XLOOKUP(E1404,cannabis_log!C:C,cannabis_log!N:N,"NOT FOUND",0,1),IF(N1404="gross",0,""))</f>
        <v>7</v>
      </c>
    </row>
    <row r="1405" spans="1:15">
      <c r="A1405" s="195" t="str">
        <f t="shared" si="69"/>
        <v>outbound</v>
      </c>
      <c r="B1405" s="196">
        <v>45737.543055555558</v>
      </c>
      <c r="C1405" s="197" t="s">
        <v>1929</v>
      </c>
      <c r="D1405" s="197" t="s">
        <v>2801</v>
      </c>
      <c r="E1405" s="217" t="s">
        <v>2732</v>
      </c>
      <c r="F1405" s="112" t="str">
        <f>IF(ISBLANK(E1405),"",_xlfn.XLOOKUP(E1405,cannabis_log!C:C,cannabis_log!J:J,"",0,))</f>
        <v>PR2507F1P2</v>
      </c>
      <c r="G1405" s="112"/>
      <c r="H1405" s="112" t="str">
        <f>IF(ISBLANK(E1405),"",_xlfn.XLOOKUP(E1405,cannabis_log!C:C,cannabis_log!H:H,"",0,1))</f>
        <v>preroll_labelled</v>
      </c>
      <c r="I1405" s="113">
        <f>IF(ISBLANK(E1405),"",_xlfn.XLOOKUP(E1405,cannabis_log!C:C,cannabis_log!K:K,"NOT FOUND",0,1))</f>
        <v>45728</v>
      </c>
      <c r="J1405" s="185">
        <v>-12</v>
      </c>
      <c r="K1405" s="186">
        <f t="shared" si="72"/>
        <v>0</v>
      </c>
      <c r="L1405" s="288">
        <f t="shared" si="71"/>
        <v>-24</v>
      </c>
      <c r="M1405" s="24"/>
      <c r="N1405" s="112" t="str">
        <f>IF(ISBLANK(E1405),"",_xlfn.XLOOKUP(E1405,cannabis_log!C:C,cannabis_log!T:T,"Not Found",0,))</f>
        <v>net</v>
      </c>
      <c r="O1405" s="180">
        <f>IF(N1405="net",_xlfn.XLOOKUP(E1405,cannabis_log!C:C,cannabis_log!N:N,"NOT FOUND",0,1),IF(N1405="gross",0,""))</f>
        <v>2</v>
      </c>
    </row>
    <row r="1406" spans="1:15">
      <c r="A1406" s="195" t="str">
        <f t="shared" si="69"/>
        <v>outbound</v>
      </c>
      <c r="B1406" s="196">
        <v>45737.574999999997</v>
      </c>
      <c r="C1406" s="197" t="s">
        <v>1929</v>
      </c>
      <c r="D1406" s="197" t="s">
        <v>2804</v>
      </c>
      <c r="E1406" s="217" t="s">
        <v>2805</v>
      </c>
      <c r="F1406" s="112" t="str">
        <f>IF(ISBLANK(E1406),"",_xlfn.XLOOKUP(E1406,cannabis_log!C:C,cannabis_log!J:J,"",0,))</f>
        <v>EX24111801V50</v>
      </c>
      <c r="G1406" s="112"/>
      <c r="H1406" s="112" t="str">
        <f>IF(ISBLANK(E1406),"",_xlfn.XLOOKUP(E1406,cannabis_log!C:C,cannabis_log!H:H,"",0,1))</f>
        <v>extract_ingested_cased_ON_RTV</v>
      </c>
      <c r="I1406" s="113">
        <f>IF(ISBLANK(E1406),"",_xlfn.XLOOKUP(E1406,cannabis_log!C:C,cannabis_log!K:K,"NOT FOUND",0,1))</f>
        <v>45624</v>
      </c>
      <c r="J1406" s="185">
        <v>-6</v>
      </c>
      <c r="K1406" s="186">
        <f t="shared" si="72"/>
        <v>0</v>
      </c>
      <c r="L1406" s="288">
        <f t="shared" si="71"/>
        <v>-3600</v>
      </c>
      <c r="M1406" s="24"/>
      <c r="N1406" s="112" t="str">
        <f>IF(ISBLANK(E1406),"",_xlfn.XLOOKUP(E1406,cannabis_log!C:C,cannabis_log!T:T,"Not Found",0,))</f>
        <v>net</v>
      </c>
      <c r="O1406" s="180">
        <f>IF(N1406="net",_xlfn.XLOOKUP(E1406,cannabis_log!C:C,cannabis_log!N:N,"NOT FOUND",0,1),IF(N1406="gross",0,""))</f>
        <v>600</v>
      </c>
    </row>
    <row r="1407" spans="1:15">
      <c r="A1407" s="195" t="str">
        <f t="shared" si="69"/>
        <v>outbound</v>
      </c>
      <c r="B1407" s="196">
        <v>45737.574999999997</v>
      </c>
      <c r="C1407" s="197" t="s">
        <v>1921</v>
      </c>
      <c r="D1407" s="197" t="s">
        <v>2806</v>
      </c>
      <c r="E1407" s="217" t="s">
        <v>2807</v>
      </c>
      <c r="F1407" s="112" t="str">
        <f>IF(ISBLANK(E1407),"",_xlfn.XLOOKUP(E1407,cannabis_log!C:C,cannabis_log!J:J,"",0,))</f>
        <v>LR23032101</v>
      </c>
      <c r="G1407" s="112"/>
      <c r="H1407" s="112" t="str">
        <f>IF(ISBLANK(E1407),"",_xlfn.XLOOKUP(E1407,cannabis_log!C:C,cannabis_log!H:H,"",0,1))</f>
        <v>extract_inhaled_bulk</v>
      </c>
      <c r="I1407" s="113" t="str">
        <f>IF(ISBLANK(E1407),"",_xlfn.XLOOKUP(E1407,cannabis_log!C:C,cannabis_log!K:K,"NOT FOUND",0,1))</f>
        <v>NA</v>
      </c>
      <c r="J1407" s="185">
        <v>-1</v>
      </c>
      <c r="K1407" s="186">
        <v>-1505.4</v>
      </c>
      <c r="L1407" s="288">
        <f t="shared" si="71"/>
        <v>0</v>
      </c>
      <c r="M1407" s="24"/>
      <c r="N1407" s="112" t="str">
        <f>IF(ISBLANK(E1407),"",_xlfn.XLOOKUP(E1407,cannabis_log!C:C,cannabis_log!T:T,"Not Found",0,))</f>
        <v>gross</v>
      </c>
      <c r="O1407" s="180">
        <f>IF(N1407="net",_xlfn.XLOOKUP(E1407,cannabis_log!C:C,cannabis_log!N:N,"NOT FOUND",0,1),IF(N1407="gross",0,""))</f>
        <v>0</v>
      </c>
    </row>
    <row r="1408" spans="1:15">
      <c r="A1408" s="195" t="str">
        <f t="shared" si="69"/>
        <v>outbound</v>
      </c>
      <c r="B1408" s="196">
        <v>45737.574999999997</v>
      </c>
      <c r="C1408" s="197" t="s">
        <v>1921</v>
      </c>
      <c r="D1408" s="197" t="s">
        <v>2806</v>
      </c>
      <c r="E1408" s="217" t="s">
        <v>2808</v>
      </c>
      <c r="F1408" s="112" t="str">
        <f>IF(ISBLANK(E1408),"",_xlfn.XLOOKUP(E1408,cannabis_log!C:C,cannabis_log!J:J,"",0,))</f>
        <v>PR2507</v>
      </c>
      <c r="G1408" s="112"/>
      <c r="H1408" s="112" t="str">
        <f>IF(ISBLANK(E1408),"",_xlfn.XLOOKUP(E1408,cannabis_log!C:C,cannabis_log!H:H,"",0,1))</f>
        <v>driedflower_milled_bulk</v>
      </c>
      <c r="I1408" s="113" t="str">
        <f>IF(ISBLANK(E1408),"",_xlfn.XLOOKUP(E1408,cannabis_log!C:C,cannabis_log!K:K,"NOT FOUND",0,1))</f>
        <v>NA</v>
      </c>
      <c r="J1408" s="185">
        <v>-1</v>
      </c>
      <c r="K1408" s="186">
        <v>-6472</v>
      </c>
      <c r="L1408" s="288">
        <f t="shared" si="71"/>
        <v>0</v>
      </c>
      <c r="M1408" s="24"/>
      <c r="N1408" s="112" t="str">
        <f>IF(ISBLANK(E1408),"",_xlfn.XLOOKUP(E1408,cannabis_log!C:C,cannabis_log!T:T,"Not Found",0,))</f>
        <v>gross</v>
      </c>
      <c r="O1408" s="180">
        <f>IF(N1408="net",_xlfn.XLOOKUP(E1408,cannabis_log!C:C,cannabis_log!N:N,"NOT FOUND",0,1),IF(N1408="gross",0,""))</f>
        <v>0</v>
      </c>
    </row>
    <row r="1409" spans="1:15">
      <c r="A1409" s="195" t="str">
        <f t="shared" ref="A1409:A1472" si="73">IF(ISBLANK(J1409),"",IF(J1409+K1409+L1409&lt;0,"outbound","inbound"))</f>
        <v>outbound</v>
      </c>
      <c r="B1409" s="196">
        <v>45737.574999999997</v>
      </c>
      <c r="C1409" s="197" t="s">
        <v>1921</v>
      </c>
      <c r="D1409" s="197" t="s">
        <v>2806</v>
      </c>
      <c r="E1409" s="217" t="s">
        <v>2753</v>
      </c>
      <c r="F1409" s="112" t="str">
        <f>IF(ISBLANK(E1409),"",_xlfn.XLOOKUP(E1409,cannabis_log!C:C,cannabis_log!J:J,"",0,))</f>
        <v>PR2501</v>
      </c>
      <c r="G1409" s="112"/>
      <c r="H1409" s="112" t="str">
        <f>IF(ISBLANK(E1409),"",_xlfn.XLOOKUP(E1409,cannabis_log!C:C,cannabis_log!H:H,"",0,1))</f>
        <v>driedflower_milled_bulk</v>
      </c>
      <c r="I1409" s="113" t="str">
        <f>IF(ISBLANK(E1409),"",_xlfn.XLOOKUP(E1409,cannabis_log!C:C,cannabis_log!K:K,"NOT FOUND",0,1))</f>
        <v>NA</v>
      </c>
      <c r="J1409" s="185">
        <v>-1</v>
      </c>
      <c r="K1409" s="186">
        <v>-3916</v>
      </c>
      <c r="L1409" s="288">
        <f t="shared" si="71"/>
        <v>0</v>
      </c>
      <c r="M1409" s="24"/>
      <c r="N1409" s="112" t="str">
        <f>IF(ISBLANK(E1409),"",_xlfn.XLOOKUP(E1409,cannabis_log!C:C,cannabis_log!T:T,"Not Found",0,))</f>
        <v>gross</v>
      </c>
      <c r="O1409" s="180">
        <f>IF(N1409="net",_xlfn.XLOOKUP(E1409,cannabis_log!C:C,cannabis_log!N:N,"NOT FOUND",0,1),IF(N1409="gross",0,""))</f>
        <v>0</v>
      </c>
    </row>
    <row r="1410" spans="1:15">
      <c r="A1410" s="195" t="str">
        <f t="shared" si="73"/>
        <v>outbound</v>
      </c>
      <c r="B1410" s="196">
        <v>45740.444444444445</v>
      </c>
      <c r="C1410" s="197" t="s">
        <v>1921</v>
      </c>
      <c r="D1410" s="197" t="s">
        <v>2809</v>
      </c>
      <c r="E1410" s="217" t="s">
        <v>2746</v>
      </c>
      <c r="F1410" s="112" t="str">
        <f>IF(ISBLANK(E1410),"",_xlfn.XLOOKUP(E1410,cannabis_log!C:C,cannabis_log!J:J,"",0,))</f>
        <v>PR2301</v>
      </c>
      <c r="G1410" s="112"/>
      <c r="H1410" s="112" t="str">
        <f>IF(ISBLANK(E1410),"",_xlfn.XLOOKUP(E1410,cannabis_log!C:C,cannabis_log!H:H,"",0,1))</f>
        <v>driedflower_milled_bulk</v>
      </c>
      <c r="I1410" s="113">
        <f>IF(ISBLANK(E1410),"",_xlfn.XLOOKUP(E1410,cannabis_log!C:C,cannabis_log!K:K,"NOT FOUND",0,1))</f>
        <v>45384</v>
      </c>
      <c r="J1410" s="185">
        <v>-1</v>
      </c>
      <c r="K1410" s="186">
        <v>-5747</v>
      </c>
      <c r="L1410" s="288">
        <f t="shared" si="71"/>
        <v>0</v>
      </c>
      <c r="M1410" s="24"/>
      <c r="N1410" s="112" t="str">
        <f>IF(ISBLANK(E1410),"",_xlfn.XLOOKUP(E1410,cannabis_log!C:C,cannabis_log!T:T,"Not Found",0,))</f>
        <v>gross</v>
      </c>
      <c r="O1410" s="180">
        <f>IF(N1410="net",_xlfn.XLOOKUP(E1410,cannabis_log!C:C,cannabis_log!N:N,"NOT FOUND",0,1),IF(N1410="gross",0,""))</f>
        <v>0</v>
      </c>
    </row>
    <row r="1411" spans="1:15">
      <c r="A1411" s="195" t="str">
        <f t="shared" si="73"/>
        <v>outbound</v>
      </c>
      <c r="B1411" s="196">
        <v>45740.542361111111</v>
      </c>
      <c r="C1411" s="197" t="s">
        <v>1921</v>
      </c>
      <c r="D1411" s="197" t="s">
        <v>2806</v>
      </c>
      <c r="E1411" s="217" t="s">
        <v>2810</v>
      </c>
      <c r="F1411" s="112" t="str">
        <f>IF(ISBLANK(E1411),"",_xlfn.XLOOKUP(E1411,cannabis_log!C:C,cannabis_log!J:J,"",0,))</f>
        <v>EX24101705</v>
      </c>
      <c r="G1411" s="112"/>
      <c r="H1411" s="112" t="str">
        <f>IF(ISBLANK(E1411),"",_xlfn.XLOOKUP(E1411,cannabis_log!C:C,cannabis_log!H:H,"",0,1))</f>
        <v>extract_inhaled_bulk</v>
      </c>
      <c r="I1411" s="113" t="str">
        <f>IF(ISBLANK(E1411),"",_xlfn.XLOOKUP(E1411,cannabis_log!C:C,cannabis_log!K:K,"NOT FOUND",0,1))</f>
        <v>NA</v>
      </c>
      <c r="J1411" s="185">
        <v>-1</v>
      </c>
      <c r="K1411" s="186">
        <v>-419.41</v>
      </c>
      <c r="L1411" s="288">
        <f t="shared" si="71"/>
        <v>0</v>
      </c>
      <c r="M1411" s="24"/>
      <c r="N1411" s="112" t="str">
        <f>IF(ISBLANK(E1411),"",_xlfn.XLOOKUP(E1411,cannabis_log!C:C,cannabis_log!T:T,"Not Found",0,))</f>
        <v>gross</v>
      </c>
      <c r="O1411" s="180">
        <f>IF(N1411="net",_xlfn.XLOOKUP(E1411,cannabis_log!C:C,cannabis_log!N:N,"NOT FOUND",0,1),IF(N1411="gross",0,""))</f>
        <v>0</v>
      </c>
    </row>
    <row r="1412" spans="1:15">
      <c r="A1412" s="195" t="str">
        <f t="shared" si="73"/>
        <v>outbound</v>
      </c>
      <c r="B1412" s="196">
        <v>45740.630555555559</v>
      </c>
      <c r="C1412" s="197" t="s">
        <v>1921</v>
      </c>
      <c r="D1412" s="197" t="s">
        <v>2809</v>
      </c>
      <c r="E1412" s="217" t="s">
        <v>2811</v>
      </c>
      <c r="F1412" s="112" t="str">
        <f>IF(ISBLANK(E1412),"",_xlfn.XLOOKUP(E1412,cannabis_log!C:C,cannabis_log!J:J,"",0,))</f>
        <v>CPR22112801</v>
      </c>
      <c r="G1412" s="112"/>
      <c r="H1412" s="112" t="str">
        <f>IF(ISBLANK(E1412),"",_xlfn.XLOOKUP(E1412,cannabis_log!C:C,cannabis_log!H:H,"",0,1))</f>
        <v>driedflower_milled_bulk</v>
      </c>
      <c r="I1412" s="113" t="str">
        <f>IF(ISBLANK(E1412),"",_xlfn.XLOOKUP(E1412,cannabis_log!C:C,cannabis_log!K:K,"NOT FOUND",0,1))</f>
        <v>NA</v>
      </c>
      <c r="J1412" s="185">
        <v>-1</v>
      </c>
      <c r="K1412" s="186">
        <v>-2920</v>
      </c>
      <c r="L1412" s="288">
        <f t="shared" si="71"/>
        <v>0</v>
      </c>
      <c r="M1412" s="24"/>
      <c r="N1412" s="112" t="str">
        <f>IF(ISBLANK(E1412),"",_xlfn.XLOOKUP(E1412,cannabis_log!C:C,cannabis_log!T:T,"Not Found",0,))</f>
        <v>gross</v>
      </c>
      <c r="O1412" s="180">
        <f>IF(N1412="net",_xlfn.XLOOKUP(E1412,cannabis_log!C:C,cannabis_log!N:N,"NOT FOUND",0,1),IF(N1412="gross",0,""))</f>
        <v>0</v>
      </c>
    </row>
    <row r="1413" spans="1:15">
      <c r="A1413" s="195" t="str">
        <f t="shared" si="73"/>
        <v>outbound</v>
      </c>
      <c r="B1413" s="196">
        <v>45740.650694444441</v>
      </c>
      <c r="C1413" s="197" t="s">
        <v>1921</v>
      </c>
      <c r="D1413" s="197" t="s">
        <v>2809</v>
      </c>
      <c r="E1413" s="217" t="s">
        <v>2812</v>
      </c>
      <c r="F1413" s="112" t="str">
        <f>IF(ISBLANK(E1413),"",_xlfn.XLOOKUP(E1413,cannabis_log!C:C,cannabis_log!J:J,"",0,))</f>
        <v>2022012401R1</v>
      </c>
      <c r="G1413" s="112"/>
      <c r="H1413" s="112" t="str">
        <f>IF(ISBLANK(E1413),"",_xlfn.XLOOKUP(E1413,cannabis_log!C:C,cannabis_log!H:H,"",0,1))</f>
        <v>driedflower_bulk</v>
      </c>
      <c r="I1413" s="113">
        <f>IF(ISBLANK(E1413),"",_xlfn.XLOOKUP(E1413,cannabis_log!C:C,cannabis_log!K:K,"NOT FOUND",0,1))</f>
        <v>44686</v>
      </c>
      <c r="J1413" s="185">
        <v>-1</v>
      </c>
      <c r="K1413" s="186">
        <v>-650</v>
      </c>
      <c r="L1413" s="288">
        <f t="shared" si="71"/>
        <v>0</v>
      </c>
      <c r="M1413" s="24"/>
      <c r="N1413" s="112" t="str">
        <f>IF(ISBLANK(E1413),"",_xlfn.XLOOKUP(E1413,cannabis_log!C:C,cannabis_log!T:T,"Not Found",0,))</f>
        <v>gross</v>
      </c>
      <c r="O1413" s="180">
        <f>IF(N1413="net",_xlfn.XLOOKUP(E1413,cannabis_log!C:C,cannabis_log!N:N,"NOT FOUND",0,1),IF(N1413="gross",0,""))</f>
        <v>0</v>
      </c>
    </row>
    <row r="1414" spans="1:15">
      <c r="A1414" s="195" t="str">
        <f t="shared" si="73"/>
        <v>outbound</v>
      </c>
      <c r="B1414" s="196">
        <v>45740.650694444441</v>
      </c>
      <c r="C1414" s="197" t="s">
        <v>1921</v>
      </c>
      <c r="D1414" s="197" t="s">
        <v>2809</v>
      </c>
      <c r="E1414" s="217" t="s">
        <v>2813</v>
      </c>
      <c r="F1414" s="112" t="str">
        <f>IF(ISBLANK(E1414),"",_xlfn.XLOOKUP(E1414,cannabis_log!C:C,cannabis_log!J:J,"",0,))</f>
        <v>2022012401R1</v>
      </c>
      <c r="G1414" s="112"/>
      <c r="H1414" s="112" t="str">
        <f>IF(ISBLANK(E1414),"",_xlfn.XLOOKUP(E1414,cannabis_log!C:C,cannabis_log!H:H,"",0,1))</f>
        <v>driedflower_bulk</v>
      </c>
      <c r="I1414" s="113">
        <f>IF(ISBLANK(E1414),"",_xlfn.XLOOKUP(E1414,cannabis_log!C:C,cannabis_log!K:K,"NOT FOUND",0,1))</f>
        <v>44686</v>
      </c>
      <c r="J1414" s="185">
        <v>-1</v>
      </c>
      <c r="K1414" s="186">
        <v>-1625</v>
      </c>
      <c r="L1414" s="288">
        <f t="shared" si="71"/>
        <v>0</v>
      </c>
      <c r="M1414" s="24"/>
      <c r="N1414" s="112" t="str">
        <f>IF(ISBLANK(E1414),"",_xlfn.XLOOKUP(E1414,cannabis_log!C:C,cannabis_log!T:T,"Not Found",0,))</f>
        <v>gross</v>
      </c>
      <c r="O1414" s="180">
        <f>IF(N1414="net",_xlfn.XLOOKUP(E1414,cannabis_log!C:C,cannabis_log!N:N,"NOT FOUND",0,1),IF(N1414="gross",0,""))</f>
        <v>0</v>
      </c>
    </row>
    <row r="1415" spans="1:15">
      <c r="A1415" s="195" t="str">
        <f t="shared" si="73"/>
        <v>outbound</v>
      </c>
      <c r="B1415" s="196">
        <v>45740.650694444441</v>
      </c>
      <c r="C1415" s="197" t="s">
        <v>1921</v>
      </c>
      <c r="D1415" s="197" t="s">
        <v>2809</v>
      </c>
      <c r="E1415" s="217" t="s">
        <v>2814</v>
      </c>
      <c r="F1415" s="112" t="str">
        <f>IF(ISBLANK(E1415),"",_xlfn.XLOOKUP(E1415,cannabis_log!C:C,cannabis_log!J:J,"",0,))</f>
        <v>2022012401R1</v>
      </c>
      <c r="G1415" s="112"/>
      <c r="H1415" s="112" t="str">
        <f>IF(ISBLANK(E1415),"",_xlfn.XLOOKUP(E1415,cannabis_log!C:C,cannabis_log!H:H,"",0,1))</f>
        <v>driedflower_bulk</v>
      </c>
      <c r="I1415" s="113">
        <f>IF(ISBLANK(E1415),"",_xlfn.XLOOKUP(E1415,cannabis_log!C:C,cannabis_log!K:K,"NOT FOUND",0,1))</f>
        <v>44686</v>
      </c>
      <c r="J1415" s="185">
        <v>-1</v>
      </c>
      <c r="K1415" s="186">
        <v>-1025.7</v>
      </c>
      <c r="L1415" s="288">
        <f t="shared" si="71"/>
        <v>0</v>
      </c>
      <c r="M1415" s="24"/>
      <c r="N1415" s="112" t="str">
        <f>IF(ISBLANK(E1415),"",_xlfn.XLOOKUP(E1415,cannabis_log!C:C,cannabis_log!T:T,"Not Found",0,))</f>
        <v>gross</v>
      </c>
      <c r="O1415" s="180">
        <f>IF(N1415="net",_xlfn.XLOOKUP(E1415,cannabis_log!C:C,cannabis_log!N:N,"NOT FOUND",0,1),IF(N1415="gross",0,""))</f>
        <v>0</v>
      </c>
    </row>
    <row r="1416" spans="1:15">
      <c r="A1416" s="195" t="str">
        <f t="shared" si="73"/>
        <v>outbound</v>
      </c>
      <c r="B1416" s="196">
        <v>45741.444444444445</v>
      </c>
      <c r="C1416" s="197" t="s">
        <v>1929</v>
      </c>
      <c r="D1416" s="197" t="s">
        <v>2815</v>
      </c>
      <c r="E1416" s="217" t="s">
        <v>2732</v>
      </c>
      <c r="F1416" s="112" t="str">
        <f>IF(ISBLANK(E1416),"",_xlfn.XLOOKUP(E1416,cannabis_log!C:C,cannabis_log!J:J,"",0,))</f>
        <v>PR2507F1P2</v>
      </c>
      <c r="G1416" s="112"/>
      <c r="H1416" s="112" t="str">
        <f>IF(ISBLANK(E1416),"",_xlfn.XLOOKUP(E1416,cannabis_log!C:C,cannabis_log!H:H,"",0,1))</f>
        <v>preroll_labelled</v>
      </c>
      <c r="I1416" s="113">
        <f>IF(ISBLANK(E1416),"",_xlfn.XLOOKUP(E1416,cannabis_log!C:C,cannabis_log!K:K,"NOT FOUND",0,1))</f>
        <v>45728</v>
      </c>
      <c r="J1416" s="185">
        <v>-36</v>
      </c>
      <c r="K1416" s="186">
        <f>IF(N1416="net",0,"")</f>
        <v>0</v>
      </c>
      <c r="L1416" s="288">
        <f t="shared" si="71"/>
        <v>-72</v>
      </c>
      <c r="M1416" s="24"/>
      <c r="N1416" s="112" t="str">
        <f>IF(ISBLANK(E1416),"",_xlfn.XLOOKUP(E1416,cannabis_log!C:C,cannabis_log!T:T,"Not Found",0,))</f>
        <v>net</v>
      </c>
      <c r="O1416" s="180">
        <f>IF(N1416="net",_xlfn.XLOOKUP(E1416,cannabis_log!C:C,cannabis_log!N:N,"NOT FOUND",0,1),IF(N1416="gross",0,""))</f>
        <v>2</v>
      </c>
    </row>
    <row r="1417" spans="1:15">
      <c r="A1417" s="195" t="str">
        <f t="shared" si="73"/>
        <v>outbound</v>
      </c>
      <c r="B1417" s="196">
        <v>45741.552083333336</v>
      </c>
      <c r="C1417" s="197" t="s">
        <v>1921</v>
      </c>
      <c r="D1417" s="197" t="s">
        <v>2816</v>
      </c>
      <c r="E1417" s="217" t="s">
        <v>2817</v>
      </c>
      <c r="F1417" s="112">
        <f>IF(ISBLANK(E1417),"",_xlfn.XLOOKUP(E1417,cannabis_log!C:C,cannabis_log!J:J,"",0,))</f>
        <v>2025012801</v>
      </c>
      <c r="G1417" s="112"/>
      <c r="H1417" s="112" t="str">
        <f>IF(ISBLANK(E1417),"",_xlfn.XLOOKUP(E1417,cannabis_log!C:C,cannabis_log!H:H,"",0,1))</f>
        <v>extract_distillate_bulk</v>
      </c>
      <c r="I1417" s="113" t="str">
        <f>IF(ISBLANK(E1417),"",_xlfn.XLOOKUP(E1417,cannabis_log!C:C,cannabis_log!K:K,"NOT FOUND",0,1))</f>
        <v>NA</v>
      </c>
      <c r="J1417" s="185">
        <v>-1</v>
      </c>
      <c r="K1417" s="186">
        <v>-2166.1999999999998</v>
      </c>
      <c r="L1417" s="288">
        <f t="shared" si="71"/>
        <v>0</v>
      </c>
      <c r="M1417" s="24"/>
      <c r="N1417" s="112" t="str">
        <f>IF(ISBLANK(E1417),"",_xlfn.XLOOKUP(E1417,cannabis_log!C:C,cannabis_log!T:T,"Not Found",0,))</f>
        <v>gross</v>
      </c>
      <c r="O1417" s="180">
        <f>IF(N1417="net",_xlfn.XLOOKUP(E1417,cannabis_log!C:C,cannabis_log!N:N,"NOT FOUND",0,1),IF(N1417="gross",0,""))</f>
        <v>0</v>
      </c>
    </row>
    <row r="1418" spans="1:15">
      <c r="A1418" s="195" t="str">
        <f t="shared" si="73"/>
        <v>outbound</v>
      </c>
      <c r="B1418" s="196">
        <v>45741.581250000003</v>
      </c>
      <c r="C1418" s="197" t="s">
        <v>1921</v>
      </c>
      <c r="D1418" s="197" t="s">
        <v>2818</v>
      </c>
      <c r="E1418" s="217" t="s">
        <v>2819</v>
      </c>
      <c r="F1418" s="112">
        <f>IF(ISBLANK(E1418),"",_xlfn.XLOOKUP(E1418,cannabis_log!C:C,cannabis_log!J:J,"",0,))</f>
        <v>2025030702</v>
      </c>
      <c r="G1418" s="112"/>
      <c r="H1418" s="112" t="str">
        <f>IF(ISBLANK(E1418),"",_xlfn.XLOOKUP(E1418,cannabis_log!C:C,cannabis_log!H:H,"",0,1))</f>
        <v>driedflower_bulk_Rohan</v>
      </c>
      <c r="I1418" s="113" t="str">
        <f>IF(ISBLANK(E1418),"",_xlfn.XLOOKUP(E1418,cannabis_log!C:C,cannabis_log!K:K,"NOT FOUND",0,1))</f>
        <v>NA</v>
      </c>
      <c r="J1418" s="185">
        <v>-1</v>
      </c>
      <c r="K1418" s="186">
        <v>-6602</v>
      </c>
      <c r="L1418" s="288">
        <f t="shared" si="71"/>
        <v>0</v>
      </c>
      <c r="M1418" s="24"/>
      <c r="N1418" s="112" t="str">
        <f>IF(ISBLANK(E1418),"",_xlfn.XLOOKUP(E1418,cannabis_log!C:C,cannabis_log!T:T,"Not Found",0,))</f>
        <v>gross</v>
      </c>
      <c r="O1418" s="180">
        <f>IF(N1418="net",_xlfn.XLOOKUP(E1418,cannabis_log!C:C,cannabis_log!N:N,"NOT FOUND",0,1),IF(N1418="gross",0,""))</f>
        <v>0</v>
      </c>
    </row>
    <row r="1419" spans="1:15">
      <c r="A1419" s="195" t="str">
        <f t="shared" si="73"/>
        <v>outbound</v>
      </c>
      <c r="B1419" s="196">
        <v>45741.581250000003</v>
      </c>
      <c r="C1419" s="197" t="s">
        <v>1921</v>
      </c>
      <c r="D1419" s="197" t="s">
        <v>2818</v>
      </c>
      <c r="E1419" s="217" t="s">
        <v>2819</v>
      </c>
      <c r="F1419" s="112">
        <f>IF(ISBLANK(E1419),"",_xlfn.XLOOKUP(E1419,cannabis_log!C:C,cannabis_log!J:J,"",0,))</f>
        <v>2025030702</v>
      </c>
      <c r="G1419" s="112"/>
      <c r="H1419" s="112" t="str">
        <f>IF(ISBLANK(E1419),"",_xlfn.XLOOKUP(E1419,cannabis_log!C:C,cannabis_log!H:H,"",0,1))</f>
        <v>driedflower_bulk_Rohan</v>
      </c>
      <c r="I1419" s="113" t="str">
        <f>IF(ISBLANK(E1419),"",_xlfn.XLOOKUP(E1419,cannabis_log!C:C,cannabis_log!K:K,"NOT FOUND",0,1))</f>
        <v>NA</v>
      </c>
      <c r="J1419" s="185">
        <v>-1</v>
      </c>
      <c r="K1419" s="186">
        <v>-5058</v>
      </c>
      <c r="L1419" s="288">
        <f t="shared" si="71"/>
        <v>0</v>
      </c>
      <c r="M1419" s="24"/>
      <c r="N1419" s="112" t="str">
        <f>IF(ISBLANK(E1419),"",_xlfn.XLOOKUP(E1419,cannabis_log!C:C,cannabis_log!T:T,"Not Found",0,))</f>
        <v>gross</v>
      </c>
      <c r="O1419" s="180">
        <f>IF(N1419="net",_xlfn.XLOOKUP(E1419,cannabis_log!C:C,cannabis_log!N:N,"NOT FOUND",0,1),IF(N1419="gross",0,""))</f>
        <v>0</v>
      </c>
    </row>
    <row r="1420" spans="1:15">
      <c r="A1420" s="195" t="str">
        <f t="shared" si="73"/>
        <v>inbound</v>
      </c>
      <c r="B1420" s="196">
        <v>45741.599305555559</v>
      </c>
      <c r="C1420" s="197" t="s">
        <v>1927</v>
      </c>
      <c r="D1420" s="197"/>
      <c r="E1420" s="217" t="s">
        <v>2800</v>
      </c>
      <c r="F1420" s="112" t="str">
        <f>IF(ISBLANK(E1420),"",_xlfn.XLOOKUP(E1420,cannabis_log!C:C,cannabis_log!J:J,"",0,))</f>
        <v>2021082601R1</v>
      </c>
      <c r="G1420" s="112"/>
      <c r="H1420" s="112" t="str">
        <f>IF(ISBLANK(E1420),"",_xlfn.XLOOKUP(E1420,cannabis_log!C:C,cannabis_log!H:H,"",0,1))</f>
        <v>driedflower_labelled_RTV</v>
      </c>
      <c r="I1420" s="113">
        <f>IF(ISBLANK(E1420),"",_xlfn.XLOOKUP(E1420,cannabis_log!C:C,cannabis_log!K:K,"NOT FOUND",0,1))</f>
        <v>44646</v>
      </c>
      <c r="J1420" s="185">
        <v>10</v>
      </c>
      <c r="K1420" s="186">
        <f>IF(N1420="net",0,"")</f>
        <v>0</v>
      </c>
      <c r="L1420" s="288">
        <f t="shared" si="71"/>
        <v>35</v>
      </c>
      <c r="M1420" s="24"/>
      <c r="N1420" s="112" t="str">
        <f>IF(ISBLANK(E1420),"",_xlfn.XLOOKUP(E1420,cannabis_log!C:C,cannabis_log!T:T,"Not Found",0,))</f>
        <v>net</v>
      </c>
      <c r="O1420" s="180">
        <f>IF(N1420="net",_xlfn.XLOOKUP(E1420,cannabis_log!C:C,cannabis_log!N:N,"NOT FOUND",0,1),IF(N1420="gross",0,""))</f>
        <v>3.5</v>
      </c>
    </row>
    <row r="1421" spans="1:15">
      <c r="A1421" s="195" t="str">
        <f t="shared" si="73"/>
        <v>inbound</v>
      </c>
      <c r="B1421" s="196">
        <v>45741.599305555559</v>
      </c>
      <c r="C1421" s="197" t="s">
        <v>1927</v>
      </c>
      <c r="D1421" s="197"/>
      <c r="E1421" s="217" t="s">
        <v>2810</v>
      </c>
      <c r="F1421" s="112" t="str">
        <f>IF(ISBLANK(E1421),"",_xlfn.XLOOKUP(E1421,cannabis_log!C:C,cannabis_log!J:J,"",0,))</f>
        <v>EX24101705</v>
      </c>
      <c r="G1421" s="112"/>
      <c r="H1421" s="112" t="str">
        <f>IF(ISBLANK(E1421),"",_xlfn.XLOOKUP(E1421,cannabis_log!C:C,cannabis_log!H:H,"",0,1))</f>
        <v>extract_inhaled_bulk</v>
      </c>
      <c r="I1421" s="113" t="str">
        <f>IF(ISBLANK(E1421),"",_xlfn.XLOOKUP(E1421,cannabis_log!C:C,cannabis_log!K:K,"NOT FOUND",0,1))</f>
        <v>NA</v>
      </c>
      <c r="J1421" s="185">
        <v>1</v>
      </c>
      <c r="K1421" s="186">
        <v>417.39</v>
      </c>
      <c r="L1421" s="288">
        <f t="shared" si="71"/>
        <v>0</v>
      </c>
      <c r="M1421" s="24"/>
      <c r="N1421" s="112" t="str">
        <f>IF(ISBLANK(E1421),"",_xlfn.XLOOKUP(E1421,cannabis_log!C:C,cannabis_log!T:T,"Not Found",0,))</f>
        <v>gross</v>
      </c>
      <c r="O1421" s="180">
        <f>IF(N1421="net",_xlfn.XLOOKUP(E1421,cannabis_log!C:C,cannabis_log!N:N,"NOT FOUND",0,1),IF(N1421="gross",0,""))</f>
        <v>0</v>
      </c>
    </row>
    <row r="1422" spans="1:15">
      <c r="A1422" s="195" t="str">
        <f t="shared" si="73"/>
        <v>inbound</v>
      </c>
      <c r="B1422" s="196">
        <v>45741.599305555559</v>
      </c>
      <c r="C1422" s="197" t="s">
        <v>1927</v>
      </c>
      <c r="D1422" s="197"/>
      <c r="E1422" s="217" t="s">
        <v>2807</v>
      </c>
      <c r="F1422" s="112" t="str">
        <f>IF(ISBLANK(E1422),"",_xlfn.XLOOKUP(E1422,cannabis_log!C:C,cannabis_log!J:J,"",0,))</f>
        <v>LR23032101</v>
      </c>
      <c r="G1422" s="112"/>
      <c r="H1422" s="112" t="str">
        <f>IF(ISBLANK(E1422),"",_xlfn.XLOOKUP(E1422,cannabis_log!C:C,cannabis_log!H:H,"",0,1))</f>
        <v>extract_inhaled_bulk</v>
      </c>
      <c r="I1422" s="113" t="str">
        <f>IF(ISBLANK(E1422),"",_xlfn.XLOOKUP(E1422,cannabis_log!C:C,cannabis_log!K:K,"NOT FOUND",0,1))</f>
        <v>NA</v>
      </c>
      <c r="J1422" s="185">
        <v>1</v>
      </c>
      <c r="K1422" s="186">
        <v>1317.9</v>
      </c>
      <c r="L1422" s="288">
        <f t="shared" si="71"/>
        <v>0</v>
      </c>
      <c r="M1422" s="24"/>
      <c r="N1422" s="112" t="str">
        <f>IF(ISBLANK(E1422),"",_xlfn.XLOOKUP(E1422,cannabis_log!C:C,cannabis_log!T:T,"Not Found",0,))</f>
        <v>gross</v>
      </c>
      <c r="O1422" s="180">
        <f>IF(N1422="net",_xlfn.XLOOKUP(E1422,cannabis_log!C:C,cannabis_log!N:N,"NOT FOUND",0,1),IF(N1422="gross",0,""))</f>
        <v>0</v>
      </c>
    </row>
    <row r="1423" spans="1:15">
      <c r="A1423" s="195" t="str">
        <f t="shared" si="73"/>
        <v>inbound</v>
      </c>
      <c r="B1423" s="196">
        <v>45741.599305555559</v>
      </c>
      <c r="C1423" s="197" t="s">
        <v>1927</v>
      </c>
      <c r="D1423" s="197"/>
      <c r="E1423" s="217" t="s">
        <v>2745</v>
      </c>
      <c r="F1423" s="112">
        <f>IF(ISBLANK(E1423),"",_xlfn.XLOOKUP(E1423,cannabis_log!C:C,cannabis_log!J:J,"",0,))</f>
        <v>2024120601</v>
      </c>
      <c r="G1423" s="112"/>
      <c r="H1423" s="112" t="str">
        <f>IF(ISBLANK(E1423),"",_xlfn.XLOOKUP(E1423,cannabis_log!C:C,cannabis_log!H:H,"",0,1))</f>
        <v>extract_inhaled_bulk</v>
      </c>
      <c r="I1423" s="113" t="str">
        <f>IF(ISBLANK(E1423),"",_xlfn.XLOOKUP(E1423,cannabis_log!C:C,cannabis_log!K:K,"NOT FOUND",0,1))</f>
        <v>NA</v>
      </c>
      <c r="J1423" s="185">
        <v>1</v>
      </c>
      <c r="K1423" s="186">
        <v>1445</v>
      </c>
      <c r="L1423" s="288">
        <f t="shared" si="71"/>
        <v>0</v>
      </c>
      <c r="M1423" s="24"/>
      <c r="N1423" s="112" t="str">
        <f>IF(ISBLANK(E1423),"",_xlfn.XLOOKUP(E1423,cannabis_log!C:C,cannabis_log!T:T,"Not Found",0,))</f>
        <v>gross</v>
      </c>
      <c r="O1423" s="180">
        <f>IF(N1423="net",_xlfn.XLOOKUP(E1423,cannabis_log!C:C,cannabis_log!N:N,"NOT FOUND",0,1),IF(N1423="gross",0,""))</f>
        <v>0</v>
      </c>
    </row>
    <row r="1424" spans="1:15">
      <c r="A1424" s="195" t="str">
        <f t="shared" si="73"/>
        <v>inbound</v>
      </c>
      <c r="B1424" s="196">
        <v>45741.599305555559</v>
      </c>
      <c r="C1424" s="197" t="s">
        <v>1927</v>
      </c>
      <c r="D1424" s="197"/>
      <c r="E1424" s="217" t="s">
        <v>2758</v>
      </c>
      <c r="F1424" s="112">
        <f>IF(ISBLANK(E1424),"",_xlfn.XLOOKUP(E1424,cannabis_log!C:C,cannabis_log!J:J,"",0,))</f>
        <v>2025021901</v>
      </c>
      <c r="G1424" s="112"/>
      <c r="H1424" s="112" t="str">
        <f>IF(ISBLANK(E1424),"",_xlfn.XLOOKUP(E1424,cannabis_log!C:C,cannabis_log!H:H,"",0,1))</f>
        <v>extract_distillate_bulk</v>
      </c>
      <c r="I1424" s="113" t="str">
        <f>IF(ISBLANK(E1424),"",_xlfn.XLOOKUP(E1424,cannabis_log!C:C,cannabis_log!K:K,"NOT FOUND",0,1))</f>
        <v>NA</v>
      </c>
      <c r="J1424" s="185">
        <v>1</v>
      </c>
      <c r="K1424" s="186">
        <v>1200.9000000000001</v>
      </c>
      <c r="L1424" s="288">
        <f t="shared" si="71"/>
        <v>0</v>
      </c>
      <c r="M1424" s="24"/>
      <c r="N1424" s="112" t="str">
        <f>IF(ISBLANK(E1424),"",_xlfn.XLOOKUP(E1424,cannabis_log!C:C,cannabis_log!T:T,"Not Found",0,))</f>
        <v>gross</v>
      </c>
      <c r="O1424" s="180">
        <f>IF(N1424="net",_xlfn.XLOOKUP(E1424,cannabis_log!C:C,cannabis_log!N:N,"NOT FOUND",0,1),IF(N1424="gross",0,""))</f>
        <v>0</v>
      </c>
    </row>
    <row r="1425" spans="1:15">
      <c r="A1425" s="195" t="str">
        <f t="shared" si="73"/>
        <v>outbound</v>
      </c>
      <c r="B1425" s="196">
        <v>45742.450694444444</v>
      </c>
      <c r="C1425" s="197" t="s">
        <v>1929</v>
      </c>
      <c r="D1425" s="22" t="s">
        <v>2671</v>
      </c>
      <c r="E1425" s="217" t="s">
        <v>2736</v>
      </c>
      <c r="F1425" s="112" t="str">
        <f>IF(ISBLANK(E1425),"",_xlfn.XLOOKUP(E1425,cannabis_log!C:C,cannabis_log!J:J,"",0,))</f>
        <v>EX25011501V50</v>
      </c>
      <c r="G1425" s="112"/>
      <c r="H1425" s="112" t="str">
        <f>IF(ISBLANK(E1425),"",_xlfn.XLOOKUP(E1425,cannabis_log!C:C,cannabis_log!H:H,"",0,1))</f>
        <v>extract_ingested_labelled</v>
      </c>
      <c r="I1425" s="113">
        <f>IF(ISBLANK(E1425),"",_xlfn.XLOOKUP(E1425,cannabis_log!C:C,cannabis_log!K:K,"NOT FOUND",0,1))</f>
        <v>45692</v>
      </c>
      <c r="J1425" s="185">
        <v>-36</v>
      </c>
      <c r="K1425" s="186">
        <f>IF(N1425="net",0,"")</f>
        <v>0</v>
      </c>
      <c r="L1425" s="288">
        <f t="shared" si="71"/>
        <v>-1800</v>
      </c>
      <c r="M1425" s="24"/>
      <c r="N1425" s="112" t="str">
        <f>IF(ISBLANK(E1425),"",_xlfn.XLOOKUP(E1425,cannabis_log!C:C,cannabis_log!T:T,"Not Found",0,))</f>
        <v>net</v>
      </c>
      <c r="O1425" s="180">
        <f>IF(N1425="net",_xlfn.XLOOKUP(E1425,cannabis_log!C:C,cannabis_log!N:N,"NOT FOUND",0,1),IF(N1425="gross",0,""))</f>
        <v>50</v>
      </c>
    </row>
    <row r="1426" spans="1:15">
      <c r="A1426" s="195" t="str">
        <f t="shared" si="73"/>
        <v>outbound</v>
      </c>
      <c r="B1426" s="196">
        <v>45742.450694444444</v>
      </c>
      <c r="C1426" s="197" t="s">
        <v>1929</v>
      </c>
      <c r="D1426" s="22" t="s">
        <v>2671</v>
      </c>
      <c r="E1426" s="217" t="s">
        <v>2820</v>
      </c>
      <c r="F1426" s="112" t="str">
        <f>IF(ISBLANK(E1426),"",_xlfn.XLOOKUP(E1426,cannabis_log!C:C,cannabis_log!J:J,"",0,))</f>
        <v>EX25011501V50</v>
      </c>
      <c r="G1426" s="112"/>
      <c r="H1426" s="112" t="str">
        <f>IF(ISBLANK(E1426),"",_xlfn.XLOOKUP(E1426,cannabis_log!C:C,cannabis_log!H:H,"",0,1))</f>
        <v>extract_ingested_labelled</v>
      </c>
      <c r="I1426" s="113">
        <f>IF(ISBLANK(E1426),"",_xlfn.XLOOKUP(E1426,cannabis_log!C:C,cannabis_log!K:K,"NOT FOUND",0,1))</f>
        <v>45692</v>
      </c>
      <c r="J1426" s="185">
        <v>-111</v>
      </c>
      <c r="K1426" s="186">
        <f>IF(N1426="net",0,"")</f>
        <v>0</v>
      </c>
      <c r="L1426" s="288">
        <f t="shared" si="71"/>
        <v>-5550</v>
      </c>
      <c r="M1426" s="24"/>
      <c r="N1426" s="112" t="str">
        <f>IF(ISBLANK(E1426),"",_xlfn.XLOOKUP(E1426,cannabis_log!C:C,cannabis_log!T:T,"Not Found",0,))</f>
        <v>net</v>
      </c>
      <c r="O1426" s="180">
        <f>IF(N1426="net",_xlfn.XLOOKUP(E1426,cannabis_log!C:C,cannabis_log!N:N,"NOT FOUND",0,1),IF(N1426="gross",0,""))</f>
        <v>50</v>
      </c>
    </row>
    <row r="1427" spans="1:15">
      <c r="A1427" s="195" t="str">
        <f t="shared" si="73"/>
        <v>outbound</v>
      </c>
      <c r="B1427" s="196">
        <v>45742.634722222225</v>
      </c>
      <c r="C1427" s="197" t="s">
        <v>1929</v>
      </c>
      <c r="D1427" s="275" t="s">
        <v>2821</v>
      </c>
      <c r="E1427" s="217" t="s">
        <v>2822</v>
      </c>
      <c r="F1427" s="112" t="str">
        <f>IF(ISBLANK(E1427),"",_xlfn.XLOOKUP(E1427,cannabis_log!C:C,cannabis_log!J:J,"",0,))</f>
        <v>RP23070701</v>
      </c>
      <c r="G1427" s="112"/>
      <c r="H1427" s="112" t="str">
        <f>IF(ISBLANK(E1427),"",_xlfn.XLOOKUP(E1427,cannabis_log!C:C,cannabis_log!H:H,"",0,1))</f>
        <v>extract_inhaled_bulk_WT</v>
      </c>
      <c r="I1427" s="113" t="str">
        <f>IF(ISBLANK(E1427),"",_xlfn.XLOOKUP(E1427,cannabis_log!C:C,cannabis_log!K:K,"NOT FOUND",0,1))</f>
        <v>NA</v>
      </c>
      <c r="J1427" s="185">
        <v>-1</v>
      </c>
      <c r="K1427" s="186">
        <v>-1170</v>
      </c>
      <c r="L1427" s="288">
        <f t="shared" si="71"/>
        <v>0</v>
      </c>
      <c r="M1427" s="24"/>
      <c r="N1427" s="112" t="str">
        <f>IF(ISBLANK(E1427),"",_xlfn.XLOOKUP(E1427,cannabis_log!C:C,cannabis_log!T:T,"Not Found",0,))</f>
        <v>gross</v>
      </c>
      <c r="O1427" s="180">
        <f>IF(N1427="net",_xlfn.XLOOKUP(E1427,cannabis_log!C:C,cannabis_log!N:N,"NOT FOUND",0,1),IF(N1427="gross",0,""))</f>
        <v>0</v>
      </c>
    </row>
    <row r="1428" spans="1:15">
      <c r="A1428" s="195" t="str">
        <f t="shared" si="73"/>
        <v>outbound</v>
      </c>
      <c r="B1428" s="196">
        <v>45742.634722222225</v>
      </c>
      <c r="C1428" s="197" t="s">
        <v>1929</v>
      </c>
      <c r="D1428" s="275" t="s">
        <v>2821</v>
      </c>
      <c r="E1428" s="217" t="s">
        <v>2823</v>
      </c>
      <c r="F1428" s="112" t="str">
        <f>IF(ISBLANK(E1428),"",_xlfn.XLOOKUP(E1428,cannabis_log!C:C,cannabis_log!J:J,"",0,))</f>
        <v>RP23070701D</v>
      </c>
      <c r="G1428" s="112"/>
      <c r="H1428" s="112" t="str">
        <f>IF(ISBLANK(E1428),"",_xlfn.XLOOKUP(E1428,cannabis_log!C:C,cannabis_log!H:H,"",0,1))</f>
        <v>extract_inhaled_bulk_WT</v>
      </c>
      <c r="I1428" s="113" t="str">
        <f>IF(ISBLANK(E1428),"",_xlfn.XLOOKUP(E1428,cannabis_log!C:C,cannabis_log!K:K,"NOT FOUND",0,1))</f>
        <v>NA</v>
      </c>
      <c r="J1428" s="185">
        <v>-1</v>
      </c>
      <c r="K1428" s="186">
        <v>-2735</v>
      </c>
      <c r="L1428" s="288">
        <f t="shared" si="71"/>
        <v>0</v>
      </c>
      <c r="M1428" s="24"/>
      <c r="N1428" s="112" t="str">
        <f>IF(ISBLANK(E1428),"",_xlfn.XLOOKUP(E1428,cannabis_log!C:C,cannabis_log!T:T,"Not Found",0,))</f>
        <v>gross</v>
      </c>
      <c r="O1428" s="180">
        <f>IF(N1428="net",_xlfn.XLOOKUP(E1428,cannabis_log!C:C,cannabis_log!N:N,"NOT FOUND",0,1),IF(N1428="gross",0,""))</f>
        <v>0</v>
      </c>
    </row>
    <row r="1429" spans="1:15">
      <c r="A1429" s="195" t="str">
        <f t="shared" si="73"/>
        <v>outbound</v>
      </c>
      <c r="B1429" s="196">
        <v>45742.634722222225</v>
      </c>
      <c r="C1429" s="197" t="s">
        <v>1921</v>
      </c>
      <c r="D1429" s="197" t="s">
        <v>2824</v>
      </c>
      <c r="E1429" s="217" t="s">
        <v>2825</v>
      </c>
      <c r="F1429" s="112">
        <f>IF(ISBLANK(E1429),"",_xlfn.XLOOKUP(E1429,cannabis_log!C:C,cannabis_log!J:J,"",0,))</f>
        <v>2024121801</v>
      </c>
      <c r="G1429" s="112"/>
      <c r="H1429" s="112" t="str">
        <f>IF(ISBLANK(E1429),"",_xlfn.XLOOKUP(E1429,cannabis_log!C:C,cannabis_log!H:H,"",0,1))</f>
        <v>driedflower_bulk_big</v>
      </c>
      <c r="I1429" s="113" t="str">
        <f>IF(ISBLANK(E1429),"",_xlfn.XLOOKUP(E1429,cannabis_log!C:C,cannabis_log!K:K,"NOT FOUND",0,1))</f>
        <v>NA</v>
      </c>
      <c r="J1429" s="185">
        <v>-1</v>
      </c>
      <c r="K1429" s="186">
        <v>-5550</v>
      </c>
      <c r="L1429" s="288">
        <f t="shared" si="71"/>
        <v>0</v>
      </c>
      <c r="M1429" s="24"/>
      <c r="N1429" s="112" t="str">
        <f>IF(ISBLANK(E1429),"",_xlfn.XLOOKUP(E1429,cannabis_log!C:C,cannabis_log!T:T,"Not Found",0,))</f>
        <v>gross</v>
      </c>
      <c r="O1429" s="180">
        <f>IF(N1429="net",_xlfn.XLOOKUP(E1429,cannabis_log!C:C,cannabis_log!N:N,"NOT FOUND",0,1),IF(N1429="gross",0,""))</f>
        <v>0</v>
      </c>
    </row>
    <row r="1430" spans="1:15">
      <c r="A1430" s="195" t="str">
        <f t="shared" si="73"/>
        <v>outbound</v>
      </c>
      <c r="B1430" s="196">
        <v>45742.634722222225</v>
      </c>
      <c r="C1430" s="197" t="s">
        <v>1929</v>
      </c>
      <c r="D1430" s="197" t="s">
        <v>2826</v>
      </c>
      <c r="E1430" s="217" t="s">
        <v>2762</v>
      </c>
      <c r="F1430" s="112" t="str">
        <f>IF(ISBLANK(E1430),"",_xlfn.XLOOKUP(E1430,cannabis_log!C:C,cannabis_log!J:J,"",0,))</f>
        <v>PR2407F5P3</v>
      </c>
      <c r="G1430" s="112"/>
      <c r="H1430" s="112" t="str">
        <f>IF(ISBLANK(E1430),"",_xlfn.XLOOKUP(E1430,cannabis_log!C:C,cannabis_log!H:H,"",0,1))</f>
        <v>preroll_labelled</v>
      </c>
      <c r="I1430" s="113">
        <f>IF(ISBLANK(E1430),"",_xlfn.XLOOKUP(E1430,cannabis_log!C:C,cannabis_log!K:K,"NOT FOUND",0,1))</f>
        <v>45728</v>
      </c>
      <c r="J1430" s="185">
        <v>-6</v>
      </c>
      <c r="K1430" s="186">
        <f t="shared" ref="K1430:K1441" si="74">IF(N1430="net",0,"")</f>
        <v>0</v>
      </c>
      <c r="L1430" s="288">
        <f t="shared" si="71"/>
        <v>-9</v>
      </c>
      <c r="M1430" s="24"/>
      <c r="N1430" s="112" t="str">
        <f>IF(ISBLANK(E1430),"",_xlfn.XLOOKUP(E1430,cannabis_log!C:C,cannabis_log!T:T,"Not Found",0,))</f>
        <v>net</v>
      </c>
      <c r="O1430" s="180">
        <f>IF(N1430="net",_xlfn.XLOOKUP(E1430,cannabis_log!C:C,cannabis_log!N:N,"NOT FOUND",0,1),IF(N1430="gross",0,""))</f>
        <v>1.5</v>
      </c>
    </row>
    <row r="1431" spans="1:15">
      <c r="A1431" s="195" t="str">
        <f t="shared" si="73"/>
        <v>outbound</v>
      </c>
      <c r="B1431" s="196">
        <v>45742.634722222225</v>
      </c>
      <c r="C1431" s="197" t="s">
        <v>1929</v>
      </c>
      <c r="D1431" s="197" t="s">
        <v>2826</v>
      </c>
      <c r="E1431" s="217" t="s">
        <v>2716</v>
      </c>
      <c r="F1431" s="112" t="str">
        <f>IF(ISBLANK(E1431),"",_xlfn.XLOOKUP(E1431,cannabis_log!C:C,cannabis_log!J:J,"",0,))</f>
        <v>PR2407F5P3</v>
      </c>
      <c r="G1431" s="112"/>
      <c r="H1431" s="112" t="str">
        <f>IF(ISBLANK(E1431),"",_xlfn.XLOOKUP(E1431,cannabis_log!C:C,cannabis_log!H:H,"",0,1))</f>
        <v>preroll_labelled</v>
      </c>
      <c r="I1431" s="113">
        <f>IF(ISBLANK(E1431),"",_xlfn.XLOOKUP(E1431,cannabis_log!C:C,cannabis_log!K:K,"NOT FOUND",0,1))</f>
        <v>45447</v>
      </c>
      <c r="J1431" s="185">
        <v>-18</v>
      </c>
      <c r="K1431" s="186">
        <f t="shared" si="74"/>
        <v>0</v>
      </c>
      <c r="L1431" s="288">
        <f t="shared" si="71"/>
        <v>-27</v>
      </c>
      <c r="M1431" s="24"/>
      <c r="N1431" s="112" t="str">
        <f>IF(ISBLANK(E1431),"",_xlfn.XLOOKUP(E1431,cannabis_log!C:C,cannabis_log!T:T,"Not Found",0,))</f>
        <v>net</v>
      </c>
      <c r="O1431" s="180">
        <f>IF(N1431="net",_xlfn.XLOOKUP(E1431,cannabis_log!C:C,cannabis_log!N:N,"NOT FOUND",0,1),IF(N1431="gross",0,""))</f>
        <v>1.5</v>
      </c>
    </row>
    <row r="1432" spans="1:15">
      <c r="A1432" s="195" t="str">
        <f t="shared" si="73"/>
        <v>outbound</v>
      </c>
      <c r="B1432" s="196">
        <v>45742.634722222225</v>
      </c>
      <c r="C1432" s="197" t="s">
        <v>1929</v>
      </c>
      <c r="D1432" s="197" t="s">
        <v>2826</v>
      </c>
      <c r="E1432" s="217" t="s">
        <v>2827</v>
      </c>
      <c r="F1432" s="112" t="str">
        <f>IF(ISBLANK(E1432),"",_xlfn.XLOOKUP(E1432,cannabis_log!C:C,cannabis_log!J:J,"",0,))</f>
        <v>PR2301F5P3</v>
      </c>
      <c r="G1432" s="112"/>
      <c r="H1432" s="112" t="str">
        <f>IF(ISBLANK(E1432),"",_xlfn.XLOOKUP(E1432,cannabis_log!C:C,cannabis_log!H:H,"",0,1))</f>
        <v>preroll_labelled</v>
      </c>
      <c r="I1432" s="113">
        <f>IF(ISBLANK(E1432),"",_xlfn.XLOOKUP(E1432,cannabis_log!C:C,cannabis_log!K:K,"NOT FOUND",0,1))</f>
        <v>45728</v>
      </c>
      <c r="J1432" s="185">
        <v>-24</v>
      </c>
      <c r="K1432" s="186">
        <f t="shared" si="74"/>
        <v>0</v>
      </c>
      <c r="L1432" s="288">
        <f t="shared" si="71"/>
        <v>-36</v>
      </c>
      <c r="M1432" s="24"/>
      <c r="N1432" s="112" t="str">
        <f>IF(ISBLANK(E1432),"",_xlfn.XLOOKUP(E1432,cannabis_log!C:C,cannabis_log!T:T,"Not Found",0,))</f>
        <v>net</v>
      </c>
      <c r="O1432" s="180">
        <f>IF(N1432="net",_xlfn.XLOOKUP(E1432,cannabis_log!C:C,cannabis_log!N:N,"NOT FOUND",0,1),IF(N1432="gross",0,""))</f>
        <v>1.5</v>
      </c>
    </row>
    <row r="1433" spans="1:15">
      <c r="A1433" s="195" t="str">
        <f t="shared" si="73"/>
        <v>outbound</v>
      </c>
      <c r="B1433" s="196">
        <v>45742.634722222225</v>
      </c>
      <c r="C1433" s="197" t="s">
        <v>1929</v>
      </c>
      <c r="D1433" s="197" t="s">
        <v>2826</v>
      </c>
      <c r="E1433" s="217" t="s">
        <v>2703</v>
      </c>
      <c r="F1433" s="112" t="str">
        <f>IF(ISBLANK(E1433),"",_xlfn.XLOOKUP(E1433,cannabis_log!C:C,cannabis_log!J:J,"",0,))</f>
        <v>PR2501F5P10</v>
      </c>
      <c r="G1433" s="112"/>
      <c r="H1433" s="112" t="str">
        <f>IF(ISBLANK(E1433),"",_xlfn.XLOOKUP(E1433,cannabis_log!C:C,cannabis_log!H:H,"",0,1))</f>
        <v>preroll_labelled</v>
      </c>
      <c r="I1433" s="113">
        <f>IF(ISBLANK(E1433),"",_xlfn.XLOOKUP(E1433,cannabis_log!C:C,cannabis_log!K:K,"NOT FOUND",0,1))</f>
        <v>45707</v>
      </c>
      <c r="J1433" s="185">
        <v>-12</v>
      </c>
      <c r="K1433" s="186">
        <f t="shared" si="74"/>
        <v>0</v>
      </c>
      <c r="L1433" s="288">
        <f t="shared" si="71"/>
        <v>-60</v>
      </c>
      <c r="M1433" s="24"/>
      <c r="N1433" s="112" t="str">
        <f>IF(ISBLANK(E1433),"",_xlfn.XLOOKUP(E1433,cannabis_log!C:C,cannabis_log!T:T,"Not Found",0,))</f>
        <v>net</v>
      </c>
      <c r="O1433" s="180">
        <f>IF(N1433="net",_xlfn.XLOOKUP(E1433,cannabis_log!C:C,cannabis_log!N:N,"NOT FOUND",0,1),IF(N1433="gross",0,""))</f>
        <v>5</v>
      </c>
    </row>
    <row r="1434" spans="1:15">
      <c r="A1434" s="195" t="str">
        <f t="shared" si="73"/>
        <v>outbound</v>
      </c>
      <c r="B1434" s="196">
        <v>45742.634722222225</v>
      </c>
      <c r="C1434" s="197" t="s">
        <v>1929</v>
      </c>
      <c r="D1434" s="197" t="s">
        <v>2826</v>
      </c>
      <c r="E1434" s="217" t="s">
        <v>2700</v>
      </c>
      <c r="F1434" s="112" t="str">
        <f>IF(ISBLANK(E1434),"",_xlfn.XLOOKUP(E1434,cannabis_log!C:C,cannabis_log!J:J,"",0,))</f>
        <v>EX24111301G05</v>
      </c>
      <c r="G1434" s="112"/>
      <c r="H1434" s="112" t="str">
        <f>IF(ISBLANK(E1434),"",_xlfn.XLOOKUP(E1434,cannabis_log!C:C,cannabis_log!H:H,"",0,1))</f>
        <v>extract_inhaled_labelled</v>
      </c>
      <c r="I1434" s="113">
        <f>IF(ISBLANK(E1434),"",_xlfn.XLOOKUP(E1434,cannabis_log!C:C,cannabis_log!K:K,"NOT FOUND",0,1))</f>
        <v>45642</v>
      </c>
      <c r="J1434" s="185">
        <v>-12</v>
      </c>
      <c r="K1434" s="186">
        <f t="shared" si="74"/>
        <v>0</v>
      </c>
      <c r="L1434" s="288">
        <f t="shared" si="71"/>
        <v>-6</v>
      </c>
      <c r="M1434" s="24"/>
      <c r="N1434" s="112" t="str">
        <f>IF(ISBLANK(E1434),"",_xlfn.XLOOKUP(E1434,cannabis_log!C:C,cannabis_log!T:T,"Not Found",0,))</f>
        <v>net</v>
      </c>
      <c r="O1434" s="180">
        <f>IF(N1434="net",_xlfn.XLOOKUP(E1434,cannabis_log!C:C,cannabis_log!N:N,"NOT FOUND",0,1),IF(N1434="gross",0,""))</f>
        <v>0.5</v>
      </c>
    </row>
    <row r="1435" spans="1:15">
      <c r="A1435" s="195" t="str">
        <f t="shared" si="73"/>
        <v>outbound</v>
      </c>
      <c r="B1435" s="196">
        <v>45742.634722222225</v>
      </c>
      <c r="C1435" s="197" t="s">
        <v>1929</v>
      </c>
      <c r="D1435" s="197" t="s">
        <v>2826</v>
      </c>
      <c r="E1435" s="217" t="s">
        <v>2699</v>
      </c>
      <c r="F1435" s="112" t="str">
        <f>IF(ISBLANK(E1435),"",_xlfn.XLOOKUP(E1435,cannabis_log!C:C,cannabis_log!J:J,"",0,))</f>
        <v>EX24111306G05</v>
      </c>
      <c r="G1435" s="112"/>
      <c r="H1435" s="112" t="str">
        <f>IF(ISBLANK(E1435),"",_xlfn.XLOOKUP(E1435,cannabis_log!C:C,cannabis_log!H:H,"",0,1))</f>
        <v>extract_inhaled_labelled</v>
      </c>
      <c r="I1435" s="113">
        <f>IF(ISBLANK(E1435),"",_xlfn.XLOOKUP(E1435,cannabis_log!C:C,cannabis_log!K:K,"NOT FOUND",0,1))</f>
        <v>45623</v>
      </c>
      <c r="J1435" s="185">
        <v>-12</v>
      </c>
      <c r="K1435" s="186">
        <f t="shared" si="74"/>
        <v>0</v>
      </c>
      <c r="L1435" s="288">
        <f t="shared" si="71"/>
        <v>-6</v>
      </c>
      <c r="M1435" s="24"/>
      <c r="N1435" s="112" t="str">
        <f>IF(ISBLANK(E1435),"",_xlfn.XLOOKUP(E1435,cannabis_log!C:C,cannabis_log!T:T,"Not Found",0,))</f>
        <v>net</v>
      </c>
      <c r="O1435" s="180">
        <f>IF(N1435="net",_xlfn.XLOOKUP(E1435,cannabis_log!C:C,cannabis_log!N:N,"NOT FOUND",0,1),IF(N1435="gross",0,""))</f>
        <v>0.5</v>
      </c>
    </row>
    <row r="1436" spans="1:15">
      <c r="A1436" s="195" t="str">
        <f t="shared" si="73"/>
        <v>outbound</v>
      </c>
      <c r="B1436" s="196">
        <v>45742.634722222225</v>
      </c>
      <c r="C1436" s="197" t="s">
        <v>1929</v>
      </c>
      <c r="D1436" s="197" t="s">
        <v>2826</v>
      </c>
      <c r="E1436" s="217" t="s">
        <v>2689</v>
      </c>
      <c r="F1436" s="112" t="str">
        <f>IF(ISBLANK(E1436),"",_xlfn.XLOOKUP(E1436,cannabis_log!C:C,cannabis_log!J:J,"",0,))</f>
        <v>EX25020601G1</v>
      </c>
      <c r="G1436" s="112"/>
      <c r="H1436" s="112" t="str">
        <f>IF(ISBLANK(E1436),"",_xlfn.XLOOKUP(E1436,cannabis_log!C:C,cannabis_log!H:H,"",0,1))</f>
        <v>extract_inhaled_labelled</v>
      </c>
      <c r="I1436" s="113">
        <f>IF(ISBLANK(E1436),"",_xlfn.XLOOKUP(E1436,cannabis_log!C:C,cannabis_log!K:K,"NOT FOUND",0,1))</f>
        <v>45707</v>
      </c>
      <c r="J1436" s="185">
        <v>-12</v>
      </c>
      <c r="K1436" s="186">
        <f t="shared" si="74"/>
        <v>0</v>
      </c>
      <c r="L1436" s="288">
        <f t="shared" si="71"/>
        <v>-12</v>
      </c>
      <c r="M1436" s="24"/>
      <c r="N1436" s="112" t="str">
        <f>IF(ISBLANK(E1436),"",_xlfn.XLOOKUP(E1436,cannabis_log!C:C,cannabis_log!T:T,"Not Found",0,))</f>
        <v>net</v>
      </c>
      <c r="O1436" s="180">
        <f>IF(N1436="net",_xlfn.XLOOKUP(E1436,cannabis_log!C:C,cannabis_log!N:N,"NOT FOUND",0,1),IF(N1436="gross",0,""))</f>
        <v>1</v>
      </c>
    </row>
    <row r="1437" spans="1:15">
      <c r="A1437" s="195" t="str">
        <f t="shared" si="73"/>
        <v>outbound</v>
      </c>
      <c r="B1437" s="196">
        <v>45742.65347222222</v>
      </c>
      <c r="C1437" s="197" t="s">
        <v>1924</v>
      </c>
      <c r="D1437" s="197" t="s">
        <v>2809</v>
      </c>
      <c r="E1437" s="217" t="s">
        <v>2828</v>
      </c>
      <c r="F1437" s="112" t="str">
        <f>IF(ISBLANK(E1437),"",_xlfn.XLOOKUP(E1437,cannabis_log!C:C,cannabis_log!J:J,"",0,))</f>
        <v>PR241105F5</v>
      </c>
      <c r="G1437" s="112"/>
      <c r="H1437" s="112" t="str">
        <f>IF(ISBLANK(E1437),"",_xlfn.XLOOKUP(E1437,cannabis_log!C:C,cannabis_log!H:H,"",0,1))</f>
        <v>preroll_bulk</v>
      </c>
      <c r="I1437" s="113" t="str">
        <f>IF(ISBLANK(E1437),"",_xlfn.XLOOKUP(E1437,cannabis_log!C:C,cannabis_log!K:K,"NOT FOUND",0,1))</f>
        <v>NA</v>
      </c>
      <c r="J1437" s="185">
        <v>-105</v>
      </c>
      <c r="K1437" s="186">
        <f t="shared" si="74"/>
        <v>0</v>
      </c>
      <c r="L1437" s="288">
        <f t="shared" si="71"/>
        <v>-52.5</v>
      </c>
      <c r="M1437" s="24"/>
      <c r="N1437" s="112" t="str">
        <f>IF(ISBLANK(E1437),"",_xlfn.XLOOKUP(E1437,cannabis_log!C:C,cannabis_log!T:T,"Not Found",0,))</f>
        <v>net</v>
      </c>
      <c r="O1437" s="180">
        <f>IF(N1437="net",_xlfn.XLOOKUP(E1437,cannabis_log!C:C,cannabis_log!N:N,"NOT FOUND",0,1),IF(N1437="gross",0,""))</f>
        <v>0.5</v>
      </c>
    </row>
    <row r="1438" spans="1:15">
      <c r="A1438" s="195" t="str">
        <f t="shared" si="73"/>
        <v>outbound</v>
      </c>
      <c r="B1438" s="196">
        <v>45743.398611111108</v>
      </c>
      <c r="C1438" s="197" t="s">
        <v>1924</v>
      </c>
      <c r="D1438" s="197" t="s">
        <v>2829</v>
      </c>
      <c r="E1438" s="217" t="s">
        <v>2830</v>
      </c>
      <c r="F1438" s="112" t="str">
        <f>IF(ISBLANK(E1438),"",_xlfn.XLOOKUP(E1438,cannabis_log!C:C,cannabis_log!J:J,"",0,))</f>
        <v>EX25020601G05</v>
      </c>
      <c r="G1438" s="112"/>
      <c r="H1438" s="112" t="str">
        <f>IF(ISBLANK(E1438),"",_xlfn.XLOOKUP(E1438,cannabis_log!C:C,cannabis_log!H:H,"",0,1))</f>
        <v>extract_inhaled_labelled</v>
      </c>
      <c r="I1438" s="113">
        <f>IF(ISBLANK(E1438),"",_xlfn.XLOOKUP(E1438,cannabis_log!C:C,cannabis_log!K:K,"NOT FOUND",0,1))</f>
        <v>45702</v>
      </c>
      <c r="J1438" s="185">
        <v>-1</v>
      </c>
      <c r="K1438" s="186">
        <f t="shared" si="74"/>
        <v>0</v>
      </c>
      <c r="L1438" s="288">
        <f t="shared" si="71"/>
        <v>-0.5</v>
      </c>
      <c r="M1438" s="24"/>
      <c r="N1438" s="112" t="str">
        <f>IF(ISBLANK(E1438),"",_xlfn.XLOOKUP(E1438,cannabis_log!C:C,cannabis_log!T:T,"Not Found",0,))</f>
        <v>net</v>
      </c>
      <c r="O1438" s="180">
        <f>IF(N1438="net",_xlfn.XLOOKUP(E1438,cannabis_log!C:C,cannabis_log!N:N,"NOT FOUND",0,1),IF(N1438="gross",0,""))</f>
        <v>0.5</v>
      </c>
    </row>
    <row r="1439" spans="1:15">
      <c r="A1439" s="195" t="str">
        <f t="shared" si="73"/>
        <v>outbound</v>
      </c>
      <c r="B1439" s="196">
        <v>45743.436111111114</v>
      </c>
      <c r="C1439" s="197" t="s">
        <v>1929</v>
      </c>
      <c r="D1439" s="197" t="s">
        <v>2831</v>
      </c>
      <c r="E1439" s="217" t="s">
        <v>2802</v>
      </c>
      <c r="F1439" s="112" t="str">
        <f>IF(ISBLANK(E1439),"",_xlfn.XLOOKUP(E1439,cannabis_log!C:C,cannabis_log!J:J,"",0,))</f>
        <v>TP24120401G45</v>
      </c>
      <c r="G1439" s="112"/>
      <c r="H1439" s="112" t="str">
        <f>IF(ISBLANK(E1439),"",_xlfn.XLOOKUP(E1439,cannabis_log!C:C,cannabis_log!H:H,"",0,1))</f>
        <v>topical_labelled</v>
      </c>
      <c r="I1439" s="113">
        <f>IF(ISBLANK(E1439),"",_xlfn.XLOOKUP(E1439,cannabis_log!C:C,cannabis_log!K:K,"NOT FOUND",0,1))</f>
        <v>45638</v>
      </c>
      <c r="J1439" s="185">
        <v>-64</v>
      </c>
      <c r="K1439" s="186">
        <f t="shared" si="74"/>
        <v>0</v>
      </c>
      <c r="L1439" s="288">
        <f t="shared" si="71"/>
        <v>-2880</v>
      </c>
      <c r="M1439" s="24"/>
      <c r="N1439" s="112" t="str">
        <f>IF(ISBLANK(E1439),"",_xlfn.XLOOKUP(E1439,cannabis_log!C:C,cannabis_log!T:T,"Not Found",0,))</f>
        <v>net</v>
      </c>
      <c r="O1439" s="180">
        <f>IF(N1439="net",_xlfn.XLOOKUP(E1439,cannabis_log!C:C,cannabis_log!N:N,"NOT FOUND",0,1),IF(N1439="gross",0,""))</f>
        <v>45</v>
      </c>
    </row>
    <row r="1440" spans="1:15">
      <c r="A1440" s="195" t="str">
        <f t="shared" si="73"/>
        <v>outbound</v>
      </c>
      <c r="B1440" s="196">
        <v>45743.436111111114</v>
      </c>
      <c r="C1440" s="197" t="s">
        <v>1929</v>
      </c>
      <c r="D1440" s="197" t="s">
        <v>2831</v>
      </c>
      <c r="E1440" s="217" t="s">
        <v>2705</v>
      </c>
      <c r="F1440" s="112" t="str">
        <f>IF(ISBLANK(E1440),"",_xlfn.XLOOKUP(E1440,cannabis_log!C:C,cannabis_log!J:J,"",0,))</f>
        <v>TP24120401G45</v>
      </c>
      <c r="G1440" s="112"/>
      <c r="H1440" s="112" t="str">
        <f>IF(ISBLANK(E1440),"",_xlfn.XLOOKUP(E1440,cannabis_log!C:C,cannabis_log!H:H,"",0,1))</f>
        <v>topical_labelled</v>
      </c>
      <c r="I1440" s="113">
        <f>IF(ISBLANK(E1440),"",_xlfn.XLOOKUP(E1440,cannabis_log!C:C,cannabis_log!K:K,"NOT FOUND",0,1))</f>
        <v>45638</v>
      </c>
      <c r="J1440" s="185">
        <v>-144</v>
      </c>
      <c r="K1440" s="186">
        <f t="shared" si="74"/>
        <v>0</v>
      </c>
      <c r="L1440" s="288">
        <f t="shared" si="71"/>
        <v>-6480</v>
      </c>
      <c r="M1440" s="24"/>
      <c r="N1440" s="112" t="str">
        <f>IF(ISBLANK(E1440),"",_xlfn.XLOOKUP(E1440,cannabis_log!C:C,cannabis_log!T:T,"Not Found",0,))</f>
        <v>net</v>
      </c>
      <c r="O1440" s="180">
        <f>IF(N1440="net",_xlfn.XLOOKUP(E1440,cannabis_log!C:C,cannabis_log!N:N,"NOT FOUND",0,1),IF(N1440="gross",0,""))</f>
        <v>45</v>
      </c>
    </row>
    <row r="1441" spans="1:15">
      <c r="A1441" s="195" t="str">
        <f t="shared" si="73"/>
        <v>outbound</v>
      </c>
      <c r="B1441" s="196">
        <v>45743.464583333334</v>
      </c>
      <c r="C1441" s="197" t="s">
        <v>1929</v>
      </c>
      <c r="D1441" s="197" t="s">
        <v>2831</v>
      </c>
      <c r="E1441" s="217" t="s">
        <v>2832</v>
      </c>
      <c r="F1441" s="112" t="str">
        <f>IF(ISBLANK(E1441),"",_xlfn.XLOOKUP(E1441,cannabis_log!C:C,cannabis_log!J:J,"",0,))</f>
        <v>EX25011501V50</v>
      </c>
      <c r="G1441" s="112"/>
      <c r="H1441" s="112" t="str">
        <f>IF(ISBLANK(E1441),"",_xlfn.XLOOKUP(E1441,cannabis_log!C:C,cannabis_log!H:H,"",0,1))</f>
        <v>extract_ingested_cased_ON</v>
      </c>
      <c r="I1441" s="113">
        <f>IF(ISBLANK(E1441),"",_xlfn.XLOOKUP(E1441,cannabis_log!C:C,cannabis_log!K:K,"NOT FOUND",0,1))</f>
        <v>45692</v>
      </c>
      <c r="J1441" s="185">
        <v>-32</v>
      </c>
      <c r="K1441" s="186">
        <f t="shared" si="74"/>
        <v>0</v>
      </c>
      <c r="L1441" s="288">
        <f t="shared" si="71"/>
        <v>-19200</v>
      </c>
      <c r="M1441" s="24"/>
      <c r="N1441" s="112" t="str">
        <f>IF(ISBLANK(E1441),"",_xlfn.XLOOKUP(E1441,cannabis_log!C:C,cannabis_log!T:T,"Not Found",0,))</f>
        <v>net</v>
      </c>
      <c r="O1441" s="180">
        <f>IF(N1441="net",_xlfn.XLOOKUP(E1441,cannabis_log!C:C,cannabis_log!N:N,"NOT FOUND",0,1),IF(N1441="gross",0,""))</f>
        <v>600</v>
      </c>
    </row>
    <row r="1442" spans="1:15">
      <c r="A1442" s="195" t="str">
        <f t="shared" si="73"/>
        <v>outbound</v>
      </c>
      <c r="B1442" s="196">
        <v>45743.612500000003</v>
      </c>
      <c r="C1442" s="197" t="s">
        <v>1924</v>
      </c>
      <c r="D1442" s="197" t="s">
        <v>2809</v>
      </c>
      <c r="E1442" s="217" t="s">
        <v>2833</v>
      </c>
      <c r="F1442" s="112" t="str">
        <f>IF(ISBLANK(E1442),"",_xlfn.XLOOKUP(E1442,cannabis_log!C:C,cannabis_log!J:J,"",0,))</f>
        <v>CPR22102102</v>
      </c>
      <c r="G1442" s="112"/>
      <c r="H1442" s="112" t="str">
        <f>IF(ISBLANK(E1442),"",_xlfn.XLOOKUP(E1442,cannabis_log!C:C,cannabis_log!H:H,"",0,1))</f>
        <v>driedflower_milled_bulk</v>
      </c>
      <c r="I1442" s="113" t="str">
        <f>IF(ISBLANK(E1442),"",_xlfn.XLOOKUP(E1442,cannabis_log!C:C,cannabis_log!K:K,"NOT FOUND",0,1))</f>
        <v>NA</v>
      </c>
      <c r="J1442" s="185">
        <v>-1</v>
      </c>
      <c r="K1442" s="186">
        <v>-2558</v>
      </c>
      <c r="L1442" s="288">
        <f t="shared" si="71"/>
        <v>0</v>
      </c>
      <c r="M1442" s="24"/>
      <c r="N1442" s="112" t="str">
        <f>IF(ISBLANK(E1442),"",_xlfn.XLOOKUP(E1442,cannabis_log!C:C,cannabis_log!T:T,"Not Found",0,))</f>
        <v>gross</v>
      </c>
      <c r="O1442" s="180">
        <f>IF(N1442="net",_xlfn.XLOOKUP(E1442,cannabis_log!C:C,cannabis_log!N:N,"NOT FOUND",0,1),IF(N1442="gross",0,""))</f>
        <v>0</v>
      </c>
    </row>
    <row r="1443" spans="1:15">
      <c r="A1443" s="195" t="str">
        <f t="shared" si="73"/>
        <v>inbound</v>
      </c>
      <c r="B1443" s="196">
        <v>45743.614583333336</v>
      </c>
      <c r="C1443" s="197" t="s">
        <v>1927</v>
      </c>
      <c r="D1443" s="197"/>
      <c r="E1443" s="217" t="s">
        <v>2687</v>
      </c>
      <c r="F1443" s="112" t="str">
        <f>IF(ISBLANK(E1443),"",_xlfn.XLOOKUP(E1443,cannabis_log!C:C,cannabis_log!J:J,"",0,))</f>
        <v>EX25011501V50</v>
      </c>
      <c r="G1443" s="112"/>
      <c r="H1443" s="112" t="str">
        <f>IF(ISBLANK(E1443),"",_xlfn.XLOOKUP(E1443,cannabis_log!C:C,cannabis_log!H:H,"",0,1))</f>
        <v>extract_ingested_cased_BC</v>
      </c>
      <c r="I1443" s="113">
        <f>IF(ISBLANK(E1443),"",_xlfn.XLOOKUP(E1443,cannabis_log!C:C,cannabis_log!K:K,"NOT FOUND",0,1))</f>
        <v>45692</v>
      </c>
      <c r="J1443" s="185">
        <v>2</v>
      </c>
      <c r="K1443" s="186">
        <f>IF(N1443="net",0,"")</f>
        <v>0</v>
      </c>
      <c r="L1443" s="288">
        <f t="shared" si="71"/>
        <v>1200</v>
      </c>
      <c r="M1443" s="24"/>
      <c r="N1443" s="112" t="str">
        <f>IF(ISBLANK(E1443),"",_xlfn.XLOOKUP(E1443,cannabis_log!C:C,cannabis_log!T:T,"Not Found",0,))</f>
        <v>net</v>
      </c>
      <c r="O1443" s="180">
        <f>IF(N1443="net",_xlfn.XLOOKUP(E1443,cannabis_log!C:C,cannabis_log!N:N,"NOT FOUND",0,1),IF(N1443="gross",0,""))</f>
        <v>600</v>
      </c>
    </row>
    <row r="1444" spans="1:15">
      <c r="A1444" s="195" t="str">
        <f t="shared" si="73"/>
        <v>inbound</v>
      </c>
      <c r="B1444" s="196">
        <v>45743.614583333336</v>
      </c>
      <c r="C1444" s="197" t="s">
        <v>1927</v>
      </c>
      <c r="D1444" s="197"/>
      <c r="E1444" s="217" t="s">
        <v>2722</v>
      </c>
      <c r="F1444" s="112" t="str">
        <f>IF(ISBLANK(E1444),"",_xlfn.XLOOKUP(E1444,cannabis_log!C:C,cannabis_log!J:J,"",0,))</f>
        <v>PR2301F35P12</v>
      </c>
      <c r="G1444" s="112"/>
      <c r="H1444" s="112" t="str">
        <f>IF(ISBLANK(E1444),"",_xlfn.XLOOKUP(E1444,cannabis_log!C:C,cannabis_log!H:H,"",0,1))</f>
        <v>preroll_labelled</v>
      </c>
      <c r="I1444" s="113">
        <f>IF(ISBLANK(E1444),"",_xlfn.XLOOKUP(E1444,cannabis_log!C:C,cannabis_log!K:K,"NOT FOUND",0,1))</f>
        <v>45649</v>
      </c>
      <c r="J1444" s="185">
        <v>1</v>
      </c>
      <c r="K1444" s="186">
        <f>IF(N1444="net",0,"")</f>
        <v>0</v>
      </c>
      <c r="L1444" s="288">
        <f t="shared" si="71"/>
        <v>4.1999999999999993</v>
      </c>
      <c r="M1444" s="24"/>
      <c r="N1444" s="112" t="str">
        <f>IF(ISBLANK(E1444),"",_xlfn.XLOOKUP(E1444,cannabis_log!C:C,cannabis_log!T:T,"Not Found",0,))</f>
        <v>net</v>
      </c>
      <c r="O1444" s="180">
        <f>IF(N1444="net",_xlfn.XLOOKUP(E1444,cannabis_log!C:C,cannabis_log!N:N,"NOT FOUND",0,1),IF(N1444="gross",0,""))</f>
        <v>4.1999999999999993</v>
      </c>
    </row>
    <row r="1445" spans="1:15">
      <c r="A1445" s="195" t="str">
        <f t="shared" si="73"/>
        <v>inbound</v>
      </c>
      <c r="B1445" s="196">
        <v>45743.614583333336</v>
      </c>
      <c r="C1445" s="197" t="s">
        <v>1927</v>
      </c>
      <c r="D1445" s="197"/>
      <c r="E1445" s="217" t="s">
        <v>2755</v>
      </c>
      <c r="F1445" s="112">
        <f>IF(ISBLANK(E1445),"",_xlfn.XLOOKUP(E1445,cannabis_log!C:C,cannabis_log!J:J,"",0,))</f>
        <v>2024111803</v>
      </c>
      <c r="G1445" s="112"/>
      <c r="H1445" s="112" t="str">
        <f>IF(ISBLANK(E1445),"",_xlfn.XLOOKUP(E1445,cannabis_log!C:C,cannabis_log!H:H,"",0,1))</f>
        <v>driedflower_bulk</v>
      </c>
      <c r="I1445" s="113" t="str">
        <f>IF(ISBLANK(E1445),"",_xlfn.XLOOKUP(E1445,cannabis_log!C:C,cannabis_log!K:K,"NOT FOUND",0,1))</f>
        <v>NA</v>
      </c>
      <c r="J1445" s="185">
        <v>1</v>
      </c>
      <c r="K1445" s="186">
        <v>1210</v>
      </c>
      <c r="L1445" s="288">
        <f t="shared" si="71"/>
        <v>0</v>
      </c>
      <c r="M1445" s="24"/>
      <c r="N1445" s="112" t="str">
        <f>IF(ISBLANK(E1445),"",_xlfn.XLOOKUP(E1445,cannabis_log!C:C,cannabis_log!T:T,"Not Found",0,))</f>
        <v>gross</v>
      </c>
      <c r="O1445" s="180">
        <f>IF(N1445="net",_xlfn.XLOOKUP(E1445,cannabis_log!C:C,cannabis_log!N:N,"NOT FOUND",0,1),IF(N1445="gross",0,""))</f>
        <v>0</v>
      </c>
    </row>
    <row r="1446" spans="1:15">
      <c r="A1446" s="195" t="str">
        <f t="shared" si="73"/>
        <v>inbound</v>
      </c>
      <c r="B1446" s="196">
        <v>45743.614583333336</v>
      </c>
      <c r="C1446" s="197" t="s">
        <v>1927</v>
      </c>
      <c r="D1446" s="183"/>
      <c r="E1446" s="217" t="s">
        <v>2808</v>
      </c>
      <c r="F1446" s="112" t="str">
        <f>IF(ISBLANK(E1446),"",_xlfn.XLOOKUP(E1446,cannabis_log!C:C,cannabis_log!J:J,"",0,))</f>
        <v>PR2507</v>
      </c>
      <c r="G1446" s="112"/>
      <c r="H1446" s="112" t="str">
        <f>IF(ISBLANK(E1446),"",_xlfn.XLOOKUP(E1446,cannabis_log!C:C,cannabis_log!H:H,"",0,1))</f>
        <v>driedflower_milled_bulk</v>
      </c>
      <c r="I1446" s="113" t="str">
        <f>IF(ISBLANK(E1446),"",_xlfn.XLOOKUP(E1446,cannabis_log!C:C,cannabis_log!K:K,"NOT FOUND",0,1))</f>
        <v>NA</v>
      </c>
      <c r="J1446" s="185">
        <v>1</v>
      </c>
      <c r="K1446" s="186">
        <v>6396</v>
      </c>
      <c r="L1446" s="288">
        <f t="shared" si="71"/>
        <v>0</v>
      </c>
      <c r="M1446" s="24"/>
      <c r="N1446" s="112" t="str">
        <f>IF(ISBLANK(E1446),"",_xlfn.XLOOKUP(E1446,cannabis_log!C:C,cannabis_log!T:T,"Not Found",0,))</f>
        <v>gross</v>
      </c>
      <c r="O1446" s="180">
        <f>IF(N1446="net",_xlfn.XLOOKUP(E1446,cannabis_log!C:C,cannabis_log!N:N,"NOT FOUND",0,1),IF(N1446="gross",0,""))</f>
        <v>0</v>
      </c>
    </row>
    <row r="1447" spans="1:15">
      <c r="A1447" s="195" t="str">
        <f t="shared" si="73"/>
        <v>inbound</v>
      </c>
      <c r="B1447" s="196">
        <v>45743.614583333336</v>
      </c>
      <c r="C1447" s="197" t="s">
        <v>1927</v>
      </c>
      <c r="D1447" s="197"/>
      <c r="E1447" s="217" t="s">
        <v>2817</v>
      </c>
      <c r="F1447" s="112">
        <f>IF(ISBLANK(E1447),"",_xlfn.XLOOKUP(E1447,cannabis_log!C:C,cannabis_log!J:J,"",0,))</f>
        <v>2025012801</v>
      </c>
      <c r="G1447" s="112"/>
      <c r="H1447" s="112" t="str">
        <f>IF(ISBLANK(E1447),"",_xlfn.XLOOKUP(E1447,cannabis_log!C:C,cannabis_log!H:H,"",0,1))</f>
        <v>extract_distillate_bulk</v>
      </c>
      <c r="I1447" s="113" t="str">
        <f>IF(ISBLANK(E1447),"",_xlfn.XLOOKUP(E1447,cannabis_log!C:C,cannabis_log!K:K,"NOT FOUND",0,1))</f>
        <v>NA</v>
      </c>
      <c r="J1447" s="185">
        <v>1</v>
      </c>
      <c r="K1447" s="186">
        <v>2164.1999999999998</v>
      </c>
      <c r="L1447" s="288">
        <f t="shared" si="71"/>
        <v>0</v>
      </c>
      <c r="M1447" s="24"/>
      <c r="N1447" s="112" t="str">
        <f>IF(ISBLANK(E1447),"",_xlfn.XLOOKUP(E1447,cannabis_log!C:C,cannabis_log!T:T,"Not Found",0,))</f>
        <v>gross</v>
      </c>
      <c r="O1447" s="180">
        <f>IF(N1447="net",_xlfn.XLOOKUP(E1447,cannabis_log!C:C,cannabis_log!N:N,"NOT FOUND",0,1),IF(N1447="gross",0,""))</f>
        <v>0</v>
      </c>
    </row>
    <row r="1448" spans="1:15">
      <c r="A1448" s="195" t="str">
        <f t="shared" si="73"/>
        <v>inbound</v>
      </c>
      <c r="B1448" s="196">
        <v>45743.614583333336</v>
      </c>
      <c r="C1448" s="197" t="s">
        <v>1927</v>
      </c>
      <c r="D1448" s="197"/>
      <c r="E1448" s="217" t="s">
        <v>2811</v>
      </c>
      <c r="F1448" s="112" t="str">
        <f>IF(ISBLANK(E1448),"",_xlfn.XLOOKUP(E1448,cannabis_log!C:C,cannabis_log!J:J,"",0,))</f>
        <v>CPR22112801</v>
      </c>
      <c r="G1448" s="112"/>
      <c r="H1448" s="112" t="str">
        <f>IF(ISBLANK(E1448),"",_xlfn.XLOOKUP(E1448,cannabis_log!C:C,cannabis_log!H:H,"",0,1))</f>
        <v>driedflower_milled_bulk</v>
      </c>
      <c r="I1448" s="113" t="str">
        <f>IF(ISBLANK(E1448),"",_xlfn.XLOOKUP(E1448,cannabis_log!C:C,cannabis_log!K:K,"NOT FOUND",0,1))</f>
        <v>NA</v>
      </c>
      <c r="J1448" s="185">
        <v>1</v>
      </c>
      <c r="K1448" s="186">
        <v>2920</v>
      </c>
      <c r="L1448" s="288">
        <f t="shared" si="71"/>
        <v>0</v>
      </c>
      <c r="M1448" s="24"/>
      <c r="N1448" s="112" t="str">
        <f>IF(ISBLANK(E1448),"",_xlfn.XLOOKUP(E1448,cannabis_log!C:C,cannabis_log!T:T,"Not Found",0,))</f>
        <v>gross</v>
      </c>
      <c r="O1448" s="180">
        <f>IF(N1448="net",_xlfn.XLOOKUP(E1448,cannabis_log!C:C,cannabis_log!N:N,"NOT FOUND",0,1),IF(N1448="gross",0,""))</f>
        <v>0</v>
      </c>
    </row>
    <row r="1449" spans="1:15">
      <c r="A1449" s="195" t="str">
        <f t="shared" si="73"/>
        <v>inbound</v>
      </c>
      <c r="B1449" s="196">
        <v>45743.614583333336</v>
      </c>
      <c r="C1449" s="197" t="s">
        <v>1927</v>
      </c>
      <c r="D1449" s="197"/>
      <c r="E1449" s="217" t="s">
        <v>2813</v>
      </c>
      <c r="F1449" s="112" t="str">
        <f>IF(ISBLANK(E1449),"",_xlfn.XLOOKUP(E1449,cannabis_log!C:C,cannabis_log!J:J,"",0,))</f>
        <v>2022012401R1</v>
      </c>
      <c r="G1449" s="112"/>
      <c r="H1449" s="112" t="str">
        <f>IF(ISBLANK(E1449),"",_xlfn.XLOOKUP(E1449,cannabis_log!C:C,cannabis_log!H:H,"",0,1))</f>
        <v>driedflower_bulk</v>
      </c>
      <c r="I1449" s="113">
        <f>IF(ISBLANK(E1449),"",_xlfn.XLOOKUP(E1449,cannabis_log!C:C,cannabis_log!K:K,"NOT FOUND",0,1))</f>
        <v>44686</v>
      </c>
      <c r="J1449" s="185">
        <v>1</v>
      </c>
      <c r="K1449" s="186">
        <v>1252</v>
      </c>
      <c r="L1449" s="288">
        <f t="shared" si="71"/>
        <v>0</v>
      </c>
      <c r="M1449" s="24"/>
      <c r="N1449" s="112" t="str">
        <f>IF(ISBLANK(E1449),"",_xlfn.XLOOKUP(E1449,cannabis_log!C:C,cannabis_log!T:T,"Not Found",0,))</f>
        <v>gross</v>
      </c>
      <c r="O1449" s="180">
        <f>IF(N1449="net",_xlfn.XLOOKUP(E1449,cannabis_log!C:C,cannabis_log!N:N,"NOT FOUND",0,1),IF(N1449="gross",0,""))</f>
        <v>0</v>
      </c>
    </row>
    <row r="1450" spans="1:15">
      <c r="A1450" s="195" t="str">
        <f t="shared" si="73"/>
        <v>inbound</v>
      </c>
      <c r="B1450" s="196">
        <v>45743.614583333336</v>
      </c>
      <c r="C1450" s="197" t="s">
        <v>1927</v>
      </c>
      <c r="D1450" s="197"/>
      <c r="E1450" s="217" t="s">
        <v>2753</v>
      </c>
      <c r="F1450" s="112" t="str">
        <f>IF(ISBLANK(E1450),"",_xlfn.XLOOKUP(E1450,cannabis_log!C:C,cannabis_log!J:J,"",0,))</f>
        <v>PR2501</v>
      </c>
      <c r="G1450" s="112"/>
      <c r="H1450" s="112" t="str">
        <f>IF(ISBLANK(E1450),"",_xlfn.XLOOKUP(E1450,cannabis_log!C:C,cannabis_log!H:H,"",0,1))</f>
        <v>driedflower_milled_bulk</v>
      </c>
      <c r="I1450" s="113" t="str">
        <f>IF(ISBLANK(E1450),"",_xlfn.XLOOKUP(E1450,cannabis_log!C:C,cannabis_log!K:K,"NOT FOUND",0,1))</f>
        <v>NA</v>
      </c>
      <c r="J1450" s="185">
        <v>1</v>
      </c>
      <c r="K1450" s="186">
        <v>3846</v>
      </c>
      <c r="L1450" s="288">
        <f t="shared" si="71"/>
        <v>0</v>
      </c>
      <c r="M1450" s="24"/>
      <c r="N1450" s="112" t="str">
        <f>IF(ISBLANK(E1450),"",_xlfn.XLOOKUP(E1450,cannabis_log!C:C,cannabis_log!T:T,"Not Found",0,))</f>
        <v>gross</v>
      </c>
      <c r="O1450" s="180">
        <f>IF(N1450="net",_xlfn.XLOOKUP(E1450,cannabis_log!C:C,cannabis_log!N:N,"NOT FOUND",0,1),IF(N1450="gross",0,""))</f>
        <v>0</v>
      </c>
    </row>
    <row r="1451" spans="1:15">
      <c r="A1451" s="195" t="str">
        <f t="shared" si="73"/>
        <v>inbound</v>
      </c>
      <c r="B1451" s="196">
        <v>45743.614583333336</v>
      </c>
      <c r="C1451" s="197" t="s">
        <v>1927</v>
      </c>
      <c r="D1451" s="197"/>
      <c r="E1451" s="217" t="s">
        <v>2814</v>
      </c>
      <c r="F1451" s="112" t="str">
        <f>IF(ISBLANK(E1451),"",_xlfn.XLOOKUP(E1451,cannabis_log!C:C,cannabis_log!J:J,"",0,))</f>
        <v>2022012401R1</v>
      </c>
      <c r="G1451" s="112"/>
      <c r="H1451" s="112" t="str">
        <f>IF(ISBLANK(E1451),"",_xlfn.XLOOKUP(E1451,cannabis_log!C:C,cannabis_log!H:H,"",0,1))</f>
        <v>driedflower_bulk</v>
      </c>
      <c r="I1451" s="113">
        <f>IF(ISBLANK(E1451),"",_xlfn.XLOOKUP(E1451,cannabis_log!C:C,cannabis_log!K:K,"NOT FOUND",0,1))</f>
        <v>44686</v>
      </c>
      <c r="J1451" s="185">
        <v>1</v>
      </c>
      <c r="K1451" s="186">
        <v>1025.7</v>
      </c>
      <c r="L1451" s="288">
        <f t="shared" si="71"/>
        <v>0</v>
      </c>
      <c r="M1451" s="24"/>
      <c r="N1451" s="112" t="str">
        <f>IF(ISBLANK(E1451),"",_xlfn.XLOOKUP(E1451,cannabis_log!C:C,cannabis_log!T:T,"Not Found",0,))</f>
        <v>gross</v>
      </c>
      <c r="O1451" s="180">
        <f>IF(N1451="net",_xlfn.XLOOKUP(E1451,cannabis_log!C:C,cannabis_log!N:N,"NOT FOUND",0,1),IF(N1451="gross",0,""))</f>
        <v>0</v>
      </c>
    </row>
    <row r="1452" spans="1:15">
      <c r="A1452" s="195" t="str">
        <f t="shared" si="73"/>
        <v>inbound</v>
      </c>
      <c r="B1452" s="196">
        <v>45743.614583333336</v>
      </c>
      <c r="C1452" s="197" t="s">
        <v>1927</v>
      </c>
      <c r="D1452" s="197"/>
      <c r="E1452" s="217" t="s">
        <v>2736</v>
      </c>
      <c r="F1452" s="112" t="str">
        <f>IF(ISBLANK(E1452),"",_xlfn.XLOOKUP(E1452,cannabis_log!C:C,cannabis_log!J:J,"",0,))</f>
        <v>EX25011501V50</v>
      </c>
      <c r="G1452" s="112"/>
      <c r="H1452" s="112" t="str">
        <f>IF(ISBLANK(E1452),"",_xlfn.XLOOKUP(E1452,cannabis_log!C:C,cannabis_log!H:H,"",0,1))</f>
        <v>extract_ingested_labelled</v>
      </c>
      <c r="I1452" s="113">
        <f>IF(ISBLANK(E1452),"",_xlfn.XLOOKUP(E1452,cannabis_log!C:C,cannabis_log!K:K,"NOT FOUND",0,1))</f>
        <v>45692</v>
      </c>
      <c r="J1452" s="185">
        <v>3</v>
      </c>
      <c r="K1452" s="186">
        <f t="shared" ref="K1452:K1461" si="75">IF(N1452="net",0,"")</f>
        <v>0</v>
      </c>
      <c r="L1452" s="288">
        <f t="shared" si="71"/>
        <v>150</v>
      </c>
      <c r="M1452" s="24"/>
      <c r="N1452" s="112" t="str">
        <f>IF(ISBLANK(E1452),"",_xlfn.XLOOKUP(E1452,cannabis_log!C:C,cannabis_log!T:T,"Not Found",0,))</f>
        <v>net</v>
      </c>
      <c r="O1452" s="180">
        <f>IF(N1452="net",_xlfn.XLOOKUP(E1452,cannabis_log!C:C,cannabis_log!N:N,"NOT FOUND",0,1),IF(N1452="gross",0,""))</f>
        <v>50</v>
      </c>
    </row>
    <row r="1453" spans="1:15">
      <c r="A1453" s="195" t="str">
        <f t="shared" si="73"/>
        <v>outbound</v>
      </c>
      <c r="B1453" s="196">
        <v>45743.681250000001</v>
      </c>
      <c r="C1453" s="197" t="s">
        <v>1929</v>
      </c>
      <c r="D1453" s="22" t="s">
        <v>2834</v>
      </c>
      <c r="E1453" s="217" t="s">
        <v>2724</v>
      </c>
      <c r="F1453" s="112" t="str">
        <f>IF(ISBLANK(E1453),"",_xlfn.XLOOKUP(E1453,cannabis_log!C:C,cannabis_log!J:J,"",0,))</f>
        <v>PR241102F5P3</v>
      </c>
      <c r="G1453" s="112"/>
      <c r="H1453" s="112" t="str">
        <f>IF(ISBLANK(E1453),"",_xlfn.XLOOKUP(E1453,cannabis_log!C:C,cannabis_log!H:H,"",0,1))</f>
        <v>preroll_labelled</v>
      </c>
      <c r="I1453" s="113">
        <f>IF(ISBLANK(E1453),"",_xlfn.XLOOKUP(E1453,cannabis_log!C:C,cannabis_log!K:K,"NOT FOUND",0,1))</f>
        <v>45660</v>
      </c>
      <c r="J1453" s="185">
        <v>-48</v>
      </c>
      <c r="K1453" s="186">
        <f t="shared" si="75"/>
        <v>0</v>
      </c>
      <c r="L1453" s="288">
        <f t="shared" si="71"/>
        <v>-72</v>
      </c>
      <c r="M1453" s="24"/>
      <c r="N1453" s="112" t="str">
        <f>IF(ISBLANK(E1453),"",_xlfn.XLOOKUP(E1453,cannabis_log!C:C,cannabis_log!T:T,"Not Found",0,))</f>
        <v>net</v>
      </c>
      <c r="O1453" s="180">
        <f>IF(N1453="net",_xlfn.XLOOKUP(E1453,cannabis_log!C:C,cannabis_log!N:N,"NOT FOUND",0,1),IF(N1453="gross",0,""))</f>
        <v>1.5</v>
      </c>
    </row>
    <row r="1454" spans="1:15">
      <c r="A1454" s="195" t="str">
        <f t="shared" si="73"/>
        <v>outbound</v>
      </c>
      <c r="B1454" s="196">
        <v>45743.681250000001</v>
      </c>
      <c r="C1454" s="197" t="s">
        <v>1929</v>
      </c>
      <c r="D1454" s="22" t="s">
        <v>2834</v>
      </c>
      <c r="E1454" s="217" t="s">
        <v>2711</v>
      </c>
      <c r="F1454" s="112" t="str">
        <f>IF(ISBLANK(E1454),"",_xlfn.XLOOKUP(E1454,cannabis_log!C:C,cannabis_log!J:J,"",0,))</f>
        <v>PR241005F5P3</v>
      </c>
      <c r="G1454" s="112"/>
      <c r="H1454" s="112" t="str">
        <f>IF(ISBLANK(E1454),"",_xlfn.XLOOKUP(E1454,cannabis_log!C:C,cannabis_log!H:H,"",0,1))</f>
        <v>preroll_labelled</v>
      </c>
      <c r="I1454" s="113">
        <f>IF(ISBLANK(E1454),"",_xlfn.XLOOKUP(E1454,cannabis_log!C:C,cannabis_log!K:K,"NOT FOUND",0,1))</f>
        <v>45575</v>
      </c>
      <c r="J1454" s="185">
        <v>-48</v>
      </c>
      <c r="K1454" s="186">
        <f t="shared" si="75"/>
        <v>0</v>
      </c>
      <c r="L1454" s="288">
        <f t="shared" ref="L1454:L1517" si="76">IFERROR(J1454*O1454,"")</f>
        <v>-72</v>
      </c>
      <c r="M1454" s="24"/>
      <c r="N1454" s="112" t="str">
        <f>IF(ISBLANK(E1454),"",_xlfn.XLOOKUP(E1454,cannabis_log!C:C,cannabis_log!T:T,"Not Found",0,))</f>
        <v>net</v>
      </c>
      <c r="O1454" s="180">
        <f>IF(N1454="net",_xlfn.XLOOKUP(E1454,cannabis_log!C:C,cannabis_log!N:N,"NOT FOUND",0,1),IF(N1454="gross",0,""))</f>
        <v>1.5</v>
      </c>
    </row>
    <row r="1455" spans="1:15">
      <c r="A1455" s="195" t="str">
        <f t="shared" si="73"/>
        <v>outbound</v>
      </c>
      <c r="B1455" s="196">
        <v>45743.681250000001</v>
      </c>
      <c r="C1455" s="197" t="s">
        <v>1929</v>
      </c>
      <c r="D1455" s="22" t="s">
        <v>2834</v>
      </c>
      <c r="E1455" s="217" t="s">
        <v>2712</v>
      </c>
      <c r="F1455" s="112" t="str">
        <f>IF(ISBLANK(E1455),"",_xlfn.XLOOKUP(E1455,cannabis_log!C:C,cannabis_log!J:J,"",0,))</f>
        <v>PR241003F5P3</v>
      </c>
      <c r="G1455" s="112"/>
      <c r="H1455" s="112" t="str">
        <f>IF(ISBLANK(E1455),"",_xlfn.XLOOKUP(E1455,cannabis_log!C:C,cannabis_log!H:H,"",0,1))</f>
        <v>preroll_labelled</v>
      </c>
      <c r="I1455" s="113">
        <f>IF(ISBLANK(E1455),"",_xlfn.XLOOKUP(E1455,cannabis_log!C:C,cannabis_log!K:K,"NOT FOUND",0,1))</f>
        <v>45575</v>
      </c>
      <c r="J1455" s="185">
        <v>-48</v>
      </c>
      <c r="K1455" s="186">
        <f t="shared" si="75"/>
        <v>0</v>
      </c>
      <c r="L1455" s="288">
        <f t="shared" si="76"/>
        <v>-72</v>
      </c>
      <c r="M1455" s="24"/>
      <c r="N1455" s="112" t="str">
        <f>IF(ISBLANK(E1455),"",_xlfn.XLOOKUP(E1455,cannabis_log!C:C,cannabis_log!T:T,"Not Found",0,))</f>
        <v>net</v>
      </c>
      <c r="O1455" s="180">
        <f>IF(N1455="net",_xlfn.XLOOKUP(E1455,cannabis_log!C:C,cannabis_log!N:N,"NOT FOUND",0,1),IF(N1455="gross",0,""))</f>
        <v>1.5</v>
      </c>
    </row>
    <row r="1456" spans="1:15">
      <c r="A1456" s="195" t="str">
        <f t="shared" si="73"/>
        <v>outbound</v>
      </c>
      <c r="B1456" s="196">
        <v>45743.681250000001</v>
      </c>
      <c r="C1456" s="197" t="s">
        <v>1929</v>
      </c>
      <c r="D1456" s="22" t="s">
        <v>2834</v>
      </c>
      <c r="E1456" s="217" t="s">
        <v>2720</v>
      </c>
      <c r="F1456" s="112" t="str">
        <f>IF(ISBLANK(E1456),"",_xlfn.XLOOKUP(E1456,cannabis_log!C:C,cannabis_log!J:J,"",0,))</f>
        <v>PR241101F5P3</v>
      </c>
      <c r="G1456" s="112"/>
      <c r="H1456" s="112" t="str">
        <f>IF(ISBLANK(E1456),"",_xlfn.XLOOKUP(E1456,cannabis_log!C:C,cannabis_log!H:H,"",0,1))</f>
        <v>preroll_labelled</v>
      </c>
      <c r="I1456" s="113">
        <f>IF(ISBLANK(E1456),"",_xlfn.XLOOKUP(E1456,cannabis_log!C:C,cannabis_log!K:K,"NOT FOUND",0,1))</f>
        <v>45707</v>
      </c>
      <c r="J1456" s="185">
        <v>-48</v>
      </c>
      <c r="K1456" s="186">
        <f t="shared" si="75"/>
        <v>0</v>
      </c>
      <c r="L1456" s="288">
        <f t="shared" si="76"/>
        <v>-72</v>
      </c>
      <c r="M1456" s="24"/>
      <c r="N1456" s="112" t="str">
        <f>IF(ISBLANK(E1456),"",_xlfn.XLOOKUP(E1456,cannabis_log!C:C,cannabis_log!T:T,"Not Found",0,))</f>
        <v>net</v>
      </c>
      <c r="O1456" s="180">
        <f>IF(N1456="net",_xlfn.XLOOKUP(E1456,cannabis_log!C:C,cannabis_log!N:N,"NOT FOUND",0,1),IF(N1456="gross",0,""))</f>
        <v>1.5</v>
      </c>
    </row>
    <row r="1457" spans="1:15">
      <c r="A1457" s="195" t="str">
        <f t="shared" si="73"/>
        <v>outbound</v>
      </c>
      <c r="B1457" s="196">
        <v>45743.681250000001</v>
      </c>
      <c r="C1457" s="197" t="s">
        <v>1929</v>
      </c>
      <c r="D1457" s="22" t="s">
        <v>2834</v>
      </c>
      <c r="E1457" s="217" t="s">
        <v>2703</v>
      </c>
      <c r="F1457" s="112" t="str">
        <f>IF(ISBLANK(E1457),"",_xlfn.XLOOKUP(E1457,cannabis_log!C:C,cannabis_log!J:J,"",0,))</f>
        <v>PR2501F5P10</v>
      </c>
      <c r="G1457" s="112"/>
      <c r="H1457" s="112" t="str">
        <f>IF(ISBLANK(E1457),"",_xlfn.XLOOKUP(E1457,cannabis_log!C:C,cannabis_log!H:H,"",0,1))</f>
        <v>preroll_labelled</v>
      </c>
      <c r="I1457" s="113">
        <f>IF(ISBLANK(E1457),"",_xlfn.XLOOKUP(E1457,cannabis_log!C:C,cannabis_log!K:K,"NOT FOUND",0,1))</f>
        <v>45707</v>
      </c>
      <c r="J1457" s="185">
        <v>-11</v>
      </c>
      <c r="K1457" s="186">
        <f t="shared" si="75"/>
        <v>0</v>
      </c>
      <c r="L1457" s="288">
        <f t="shared" si="76"/>
        <v>-55</v>
      </c>
      <c r="M1457" s="24"/>
      <c r="N1457" s="112" t="str">
        <f>IF(ISBLANK(E1457),"",_xlfn.XLOOKUP(E1457,cannabis_log!C:C,cannabis_log!T:T,"Not Found",0,))</f>
        <v>net</v>
      </c>
      <c r="O1457" s="180">
        <f>IF(N1457="net",_xlfn.XLOOKUP(E1457,cannabis_log!C:C,cannabis_log!N:N,"NOT FOUND",0,1),IF(N1457="gross",0,""))</f>
        <v>5</v>
      </c>
    </row>
    <row r="1458" spans="1:15">
      <c r="A1458" s="195" t="str">
        <f t="shared" si="73"/>
        <v>outbound</v>
      </c>
      <c r="B1458" s="196">
        <v>45743.681250000001</v>
      </c>
      <c r="C1458" s="197" t="s">
        <v>1929</v>
      </c>
      <c r="D1458" s="22" t="s">
        <v>2834</v>
      </c>
      <c r="E1458" s="217" t="s">
        <v>2707</v>
      </c>
      <c r="F1458" s="112" t="str">
        <f>IF(ISBLANK(E1458),"",_xlfn.XLOOKUP(E1458,cannabis_log!C:C,cannabis_log!J:J,"",0,))</f>
        <v>EX25010601V30</v>
      </c>
      <c r="G1458" s="112"/>
      <c r="H1458" s="112" t="str">
        <f>IF(ISBLANK(E1458),"",_xlfn.XLOOKUP(E1458,cannabis_log!C:C,cannabis_log!H:H,"",0,1))</f>
        <v>extract_ingested_labelled</v>
      </c>
      <c r="I1458" s="113">
        <f>IF(ISBLANK(E1458),"",_xlfn.XLOOKUP(E1458,cannabis_log!C:C,cannabis_log!K:K,"NOT FOUND",0,1))</f>
        <v>45674</v>
      </c>
      <c r="J1458" s="185">
        <v>-14</v>
      </c>
      <c r="K1458" s="186">
        <f t="shared" si="75"/>
        <v>0</v>
      </c>
      <c r="L1458" s="288">
        <f t="shared" si="76"/>
        <v>-33616.800000000003</v>
      </c>
      <c r="M1458" s="24"/>
      <c r="N1458" s="112" t="str">
        <f>IF(ISBLANK(E1458),"",_xlfn.XLOOKUP(E1458,cannabis_log!C:C,cannabis_log!T:T,"Not Found",0,))</f>
        <v>net</v>
      </c>
      <c r="O1458" s="180">
        <f>IF(N1458="net",_xlfn.XLOOKUP(E1458,cannabis_log!C:C,cannabis_log!N:N,"NOT FOUND",0,1),IF(N1458="gross",0,""))</f>
        <v>2401.2000000000003</v>
      </c>
    </row>
    <row r="1459" spans="1:15">
      <c r="A1459" s="195" t="str">
        <f t="shared" si="73"/>
        <v>outbound</v>
      </c>
      <c r="B1459" s="196">
        <v>45743.681250000001</v>
      </c>
      <c r="C1459" s="197" t="s">
        <v>1929</v>
      </c>
      <c r="D1459" s="22" t="s">
        <v>2834</v>
      </c>
      <c r="E1459" s="217" t="s">
        <v>2708</v>
      </c>
      <c r="F1459" s="112" t="str">
        <f>IF(ISBLANK(E1459),"",_xlfn.XLOOKUP(E1459,cannabis_log!C:C,cannabis_log!J:J,"",0,))</f>
        <v>EX24101802V30</v>
      </c>
      <c r="G1459" s="112"/>
      <c r="H1459" s="112" t="str">
        <f>IF(ISBLANK(E1459),"",_xlfn.XLOOKUP(E1459,cannabis_log!C:C,cannabis_log!H:H,"",0,1))</f>
        <v>extract_ingested_labelled</v>
      </c>
      <c r="I1459" s="113">
        <f>IF(ISBLANK(E1459),"",_xlfn.XLOOKUP(E1459,cannabis_log!C:C,cannabis_log!K:K,"NOT FOUND",0,1))</f>
        <v>45588</v>
      </c>
      <c r="J1459" s="185">
        <v>-22</v>
      </c>
      <c r="K1459" s="186">
        <f t="shared" si="75"/>
        <v>0</v>
      </c>
      <c r="L1459" s="288">
        <f t="shared" si="76"/>
        <v>-607.20000000000005</v>
      </c>
      <c r="M1459" s="24"/>
      <c r="N1459" s="112" t="str">
        <f>IF(ISBLANK(E1459),"",_xlfn.XLOOKUP(E1459,cannabis_log!C:C,cannabis_log!T:T,"Not Found",0,))</f>
        <v>net</v>
      </c>
      <c r="O1459" s="180">
        <f>IF(N1459="net",_xlfn.XLOOKUP(E1459,cannabis_log!C:C,cannabis_log!N:N,"NOT FOUND",0,1),IF(N1459="gross",0,""))</f>
        <v>27.6</v>
      </c>
    </row>
    <row r="1460" spans="1:15">
      <c r="A1460" s="195" t="str">
        <f t="shared" si="73"/>
        <v>outbound</v>
      </c>
      <c r="B1460" s="196">
        <v>45743.681250000001</v>
      </c>
      <c r="C1460" s="197" t="s">
        <v>1929</v>
      </c>
      <c r="D1460" s="197" t="s">
        <v>627</v>
      </c>
      <c r="E1460" s="217" t="s">
        <v>2687</v>
      </c>
      <c r="F1460" s="112" t="str">
        <f>IF(ISBLANK(E1460),"",_xlfn.XLOOKUP(E1460,cannabis_log!C:C,cannabis_log!J:J,"",0,))</f>
        <v>EX25011501V50</v>
      </c>
      <c r="G1460" s="112"/>
      <c r="H1460" s="112" t="str">
        <f>IF(ISBLANK(E1460),"",_xlfn.XLOOKUP(E1460,cannabis_log!C:C,cannabis_log!H:H,"",0,1))</f>
        <v>extract_ingested_cased_BC</v>
      </c>
      <c r="I1460" s="113">
        <f>IF(ISBLANK(E1460),"",_xlfn.XLOOKUP(E1460,cannabis_log!C:C,cannabis_log!K:K,"NOT FOUND",0,1))</f>
        <v>45692</v>
      </c>
      <c r="J1460" s="185">
        <v>-2</v>
      </c>
      <c r="K1460" s="186">
        <f t="shared" si="75"/>
        <v>0</v>
      </c>
      <c r="L1460" s="288">
        <f t="shared" si="76"/>
        <v>-1200</v>
      </c>
      <c r="M1460" s="24"/>
      <c r="N1460" s="112" t="str">
        <f>IF(ISBLANK(E1460),"",_xlfn.XLOOKUP(E1460,cannabis_log!C:C,cannabis_log!T:T,"Not Found",0,))</f>
        <v>net</v>
      </c>
      <c r="O1460" s="180">
        <f>IF(N1460="net",_xlfn.XLOOKUP(E1460,cannabis_log!C:C,cannabis_log!N:N,"NOT FOUND",0,1),IF(N1460="gross",0,""))</f>
        <v>600</v>
      </c>
    </row>
    <row r="1461" spans="1:15">
      <c r="A1461" s="195" t="str">
        <f t="shared" si="73"/>
        <v>outbound</v>
      </c>
      <c r="B1461" s="196">
        <v>45743.681250000001</v>
      </c>
      <c r="C1461" s="197" t="s">
        <v>1929</v>
      </c>
      <c r="D1461" s="197" t="s">
        <v>627</v>
      </c>
      <c r="E1461" s="217" t="s">
        <v>2835</v>
      </c>
      <c r="F1461" s="112" t="str">
        <f>IF(ISBLANK(E1461),"",_xlfn.XLOOKUP(E1461,cannabis_log!C:C,cannabis_log!J:J,"",0,))</f>
        <v>PR2406F1P1</v>
      </c>
      <c r="G1461" s="112"/>
      <c r="H1461" s="112" t="str">
        <f>IF(ISBLANK(E1461),"",_xlfn.XLOOKUP(E1461,cannabis_log!C:C,cannabis_log!H:H,"",0,1))</f>
        <v>preroll_labelled</v>
      </c>
      <c r="I1461" s="113">
        <f>IF(ISBLANK(E1461),"",_xlfn.XLOOKUP(E1461,cannabis_log!C:C,cannabis_log!K:K,"NOT FOUND",0,1))</f>
        <v>45728</v>
      </c>
      <c r="J1461" s="185">
        <v>-24</v>
      </c>
      <c r="K1461" s="186">
        <f t="shared" si="75"/>
        <v>0</v>
      </c>
      <c r="L1461" s="288">
        <f t="shared" si="76"/>
        <v>-24</v>
      </c>
      <c r="M1461" s="24"/>
      <c r="N1461" s="112" t="str">
        <f>IF(ISBLANK(E1461),"",_xlfn.XLOOKUP(E1461,cannabis_log!C:C,cannabis_log!T:T,"Not Found",0,))</f>
        <v>net</v>
      </c>
      <c r="O1461" s="180">
        <f>IF(N1461="net",_xlfn.XLOOKUP(E1461,cannabis_log!C:C,cannabis_log!N:N,"NOT FOUND",0,1),IF(N1461="gross",0,""))</f>
        <v>1</v>
      </c>
    </row>
    <row r="1462" spans="1:15">
      <c r="A1462" s="195" t="str">
        <f t="shared" si="73"/>
        <v>outbound</v>
      </c>
      <c r="B1462" s="196">
        <v>45744.581944444442</v>
      </c>
      <c r="C1462" s="197" t="s">
        <v>1924</v>
      </c>
      <c r="D1462" s="197" t="s">
        <v>2836</v>
      </c>
      <c r="E1462" s="217" t="s">
        <v>2837</v>
      </c>
      <c r="F1462" s="112" t="str">
        <f>IF(ISBLANK(E1462),"",_xlfn.XLOOKUP(E1462,cannabis_log!C:C,cannabis_log!J:J,"",0,))</f>
        <v>ROGEX002</v>
      </c>
      <c r="G1462" s="112"/>
      <c r="H1462" s="112" t="str">
        <f>IF(ISBLANK(E1462),"",_xlfn.XLOOKUP(E1462,cannabis_log!C:C,cannabis_log!H:H,"",0,1))</f>
        <v>extract_inhaled_bulk_Rohan</v>
      </c>
      <c r="I1462" s="113" t="str">
        <f>IF(ISBLANK(E1462),"",_xlfn.XLOOKUP(E1462,cannabis_log!C:C,cannabis_log!K:K,"NOT FOUND",0,1))</f>
        <v>NA</v>
      </c>
      <c r="J1462" s="185">
        <v>-1</v>
      </c>
      <c r="K1462" s="186">
        <v>-2813</v>
      </c>
      <c r="L1462" s="288">
        <f t="shared" si="76"/>
        <v>0</v>
      </c>
      <c r="M1462" s="24"/>
      <c r="N1462" s="112" t="str">
        <f>IF(ISBLANK(E1462),"",_xlfn.XLOOKUP(E1462,cannabis_log!C:C,cannabis_log!T:T,"Not Found",0,))</f>
        <v>gross</v>
      </c>
      <c r="O1462" s="180">
        <f>IF(N1462="net",_xlfn.XLOOKUP(E1462,cannabis_log!C:C,cannabis_log!N:N,"NOT FOUND",0,1),IF(N1462="gross",0,""))</f>
        <v>0</v>
      </c>
    </row>
    <row r="1463" spans="1:15">
      <c r="A1463" s="195" t="str">
        <f t="shared" si="73"/>
        <v>outbound</v>
      </c>
      <c r="B1463" s="196">
        <v>45747.421527777777</v>
      </c>
      <c r="C1463" s="197" t="s">
        <v>1921</v>
      </c>
      <c r="D1463" s="197" t="s">
        <v>1603</v>
      </c>
      <c r="E1463" s="217" t="s">
        <v>2838</v>
      </c>
      <c r="F1463" s="112">
        <f>IF(ISBLANK(E1463),"",_xlfn.XLOOKUP(E1463,cannabis_log!C:C,cannabis_log!J:J,"",0,))</f>
        <v>2025010201</v>
      </c>
      <c r="G1463" s="112"/>
      <c r="H1463" s="112" t="str">
        <f>IF(ISBLANK(E1463),"",_xlfn.XLOOKUP(E1463,cannabis_log!C:C,cannabis_log!H:H,"",0,1))</f>
        <v>driedflower_bulk_BURB</v>
      </c>
      <c r="I1463" s="113" t="str">
        <f>IF(ISBLANK(E1463),"",_xlfn.XLOOKUP(E1463,cannabis_log!C:C,cannabis_log!K:K,"NOT FOUND",0,1))</f>
        <v>NA</v>
      </c>
      <c r="J1463" s="185">
        <v>-1</v>
      </c>
      <c r="K1463" s="186">
        <v>-2590</v>
      </c>
      <c r="L1463" s="288">
        <f t="shared" si="76"/>
        <v>0</v>
      </c>
      <c r="M1463" s="24"/>
      <c r="N1463" s="112" t="str">
        <f>IF(ISBLANK(E1463),"",_xlfn.XLOOKUP(E1463,cannabis_log!C:C,cannabis_log!T:T,"Not Found",0,))</f>
        <v>gross</v>
      </c>
      <c r="O1463" s="180">
        <f>IF(N1463="net",_xlfn.XLOOKUP(E1463,cannabis_log!C:C,cannabis_log!N:N,"NOT FOUND",0,1),IF(N1463="gross",0,""))</f>
        <v>0</v>
      </c>
    </row>
    <row r="1464" spans="1:15">
      <c r="A1464" s="195" t="str">
        <f t="shared" si="73"/>
        <v>outbound</v>
      </c>
      <c r="B1464" s="196">
        <v>45747.425000000003</v>
      </c>
      <c r="C1464" s="197" t="s">
        <v>1921</v>
      </c>
      <c r="D1464" s="197" t="s">
        <v>2619</v>
      </c>
      <c r="E1464" s="217" t="s">
        <v>2716</v>
      </c>
      <c r="F1464" s="112" t="str">
        <f>IF(ISBLANK(E1464),"",_xlfn.XLOOKUP(E1464,cannabis_log!C:C,cannabis_log!J:J,"",0,))</f>
        <v>PR2407F5P3</v>
      </c>
      <c r="G1464" s="112"/>
      <c r="H1464" s="112" t="str">
        <f>IF(ISBLANK(E1464),"",_xlfn.XLOOKUP(E1464,cannabis_log!C:C,cannabis_log!H:H,"",0,1))</f>
        <v>preroll_labelled</v>
      </c>
      <c r="I1464" s="113">
        <f>IF(ISBLANK(E1464),"",_xlfn.XLOOKUP(E1464,cannabis_log!C:C,cannabis_log!K:K,"NOT FOUND",0,1))</f>
        <v>45447</v>
      </c>
      <c r="J1464" s="185">
        <v>-155</v>
      </c>
      <c r="K1464" s="186">
        <f>IF(N1464="net",0,"")</f>
        <v>0</v>
      </c>
      <c r="L1464" s="288">
        <f t="shared" si="76"/>
        <v>-232.5</v>
      </c>
      <c r="M1464" s="24"/>
      <c r="N1464" s="112" t="str">
        <f>IF(ISBLANK(E1464),"",_xlfn.XLOOKUP(E1464,cannabis_log!C:C,cannabis_log!T:T,"Not Found",0,))</f>
        <v>net</v>
      </c>
      <c r="O1464" s="180">
        <f>IF(N1464="net",_xlfn.XLOOKUP(E1464,cannabis_log!C:C,cannabis_log!N:N,"NOT FOUND",0,1),IF(N1464="gross",0,""))</f>
        <v>1.5</v>
      </c>
    </row>
    <row r="1465" spans="1:15">
      <c r="A1465" s="195" t="str">
        <f t="shared" si="73"/>
        <v>outbound</v>
      </c>
      <c r="B1465" s="196">
        <v>45747.434027777781</v>
      </c>
      <c r="C1465" s="197" t="s">
        <v>1921</v>
      </c>
      <c r="D1465" s="197" t="s">
        <v>2619</v>
      </c>
      <c r="E1465" s="217" t="s">
        <v>2692</v>
      </c>
      <c r="F1465" s="112" t="str">
        <f>IF(ISBLANK(E1465),"",_xlfn.XLOOKUP(E1465,cannabis_log!C:C,cannabis_log!J:J,"",0,))</f>
        <v>PR2301F5P3</v>
      </c>
      <c r="G1465" s="112"/>
      <c r="H1465" s="112" t="str">
        <f>IF(ISBLANK(E1465),"",_xlfn.XLOOKUP(E1465,cannabis_log!C:C,cannabis_log!H:H,"",0,1))</f>
        <v>preroll_labelled</v>
      </c>
      <c r="I1465" s="113">
        <f>IF(ISBLANK(E1465),"",_xlfn.XLOOKUP(E1465,cannabis_log!C:C,cannabis_log!K:K,"NOT FOUND",0,1))</f>
        <v>45457</v>
      </c>
      <c r="J1465" s="185">
        <v>-142</v>
      </c>
      <c r="K1465" s="186">
        <f>IF(N1465="net",0,"")</f>
        <v>0</v>
      </c>
      <c r="L1465" s="288">
        <f t="shared" si="76"/>
        <v>-213</v>
      </c>
      <c r="M1465" s="24"/>
      <c r="N1465" s="112" t="str">
        <f>IF(ISBLANK(E1465),"",_xlfn.XLOOKUP(E1465,cannabis_log!C:C,cannabis_log!T:T,"Not Found",0,))</f>
        <v>net</v>
      </c>
      <c r="O1465" s="180">
        <f>IF(N1465="net",_xlfn.XLOOKUP(E1465,cannabis_log!C:C,cannabis_log!N:N,"NOT FOUND",0,1),IF(N1465="gross",0,""))</f>
        <v>1.5</v>
      </c>
    </row>
    <row r="1466" spans="1:15">
      <c r="A1466" s="195" t="str">
        <f t="shared" si="73"/>
        <v>outbound</v>
      </c>
      <c r="B1466" s="196">
        <v>45747.434027777781</v>
      </c>
      <c r="C1466" s="197" t="s">
        <v>1921</v>
      </c>
      <c r="D1466" s="197" t="s">
        <v>2619</v>
      </c>
      <c r="E1466" s="217" t="s">
        <v>2695</v>
      </c>
      <c r="F1466" s="112" t="str">
        <f>IF(ISBLANK(E1466),"",_xlfn.XLOOKUP(E1466,cannabis_log!C:C,cannabis_log!J:J,"",0,))</f>
        <v>PR2406F1P1</v>
      </c>
      <c r="G1466" s="112"/>
      <c r="H1466" s="112" t="str">
        <f>IF(ISBLANK(E1466),"",_xlfn.XLOOKUP(E1466,cannabis_log!C:C,cannabis_log!H:H,"",0,1))</f>
        <v>preroll_labelled</v>
      </c>
      <c r="I1466" s="113">
        <f>IF(ISBLANK(E1466),"",_xlfn.XLOOKUP(E1466,cannabis_log!C:C,cannabis_log!K:K,"NOT FOUND",0,1))</f>
        <v>45462</v>
      </c>
      <c r="J1466" s="185">
        <v>-482</v>
      </c>
      <c r="K1466" s="186">
        <f>IF(N1466="net",0,"")</f>
        <v>0</v>
      </c>
      <c r="L1466" s="288">
        <f t="shared" si="76"/>
        <v>-482</v>
      </c>
      <c r="M1466" s="24"/>
      <c r="N1466" s="112" t="str">
        <f>IF(ISBLANK(E1466),"",_xlfn.XLOOKUP(E1466,cannabis_log!C:C,cannabis_log!T:T,"Not Found",0,))</f>
        <v>net</v>
      </c>
      <c r="O1466" s="180">
        <f>IF(N1466="net",_xlfn.XLOOKUP(E1466,cannabis_log!C:C,cannabis_log!N:N,"NOT FOUND",0,1),IF(N1466="gross",0,""))</f>
        <v>1</v>
      </c>
    </row>
    <row r="1467" spans="1:15">
      <c r="A1467" s="195" t="str">
        <f t="shared" si="73"/>
        <v>outbound</v>
      </c>
      <c r="B1467" s="196">
        <v>45747.434027777781</v>
      </c>
      <c r="C1467" s="197" t="s">
        <v>1921</v>
      </c>
      <c r="D1467" s="197" t="s">
        <v>2619</v>
      </c>
      <c r="E1467" s="217" t="s">
        <v>2835</v>
      </c>
      <c r="F1467" s="112" t="str">
        <f>IF(ISBLANK(E1467),"",_xlfn.XLOOKUP(E1467,cannabis_log!C:C,cannabis_log!J:J,"",0,))</f>
        <v>PR2406F1P1</v>
      </c>
      <c r="G1467" s="112"/>
      <c r="H1467" s="112" t="str">
        <f>IF(ISBLANK(E1467),"",_xlfn.XLOOKUP(E1467,cannabis_log!C:C,cannabis_log!H:H,"",0,1))</f>
        <v>preroll_labelled</v>
      </c>
      <c r="I1467" s="113">
        <f>IF(ISBLANK(E1467),"",_xlfn.XLOOKUP(E1467,cannabis_log!C:C,cannabis_log!K:K,"NOT FOUND",0,1))</f>
        <v>45728</v>
      </c>
      <c r="J1467" s="185">
        <v>-29</v>
      </c>
      <c r="K1467" s="186">
        <f>IF(N1467="net",0,"")</f>
        <v>0</v>
      </c>
      <c r="L1467" s="288">
        <f t="shared" si="76"/>
        <v>-29</v>
      </c>
      <c r="M1467" s="24"/>
      <c r="N1467" s="112" t="str">
        <f>IF(ISBLANK(E1467),"",_xlfn.XLOOKUP(E1467,cannabis_log!C:C,cannabis_log!T:T,"Not Found",0,))</f>
        <v>net</v>
      </c>
      <c r="O1467" s="180">
        <f>IF(N1467="net",_xlfn.XLOOKUP(E1467,cannabis_log!C:C,cannabis_log!N:N,"NOT FOUND",0,1),IF(N1467="gross",0,""))</f>
        <v>1</v>
      </c>
    </row>
    <row r="1468" spans="1:15">
      <c r="A1468" s="195" t="str">
        <f t="shared" si="73"/>
        <v>outbound</v>
      </c>
      <c r="B1468" s="196">
        <v>45747.434027777781</v>
      </c>
      <c r="C1468" s="197" t="s">
        <v>1921</v>
      </c>
      <c r="D1468" s="197" t="s">
        <v>2619</v>
      </c>
      <c r="E1468" s="217" t="s">
        <v>2839</v>
      </c>
      <c r="F1468" s="112" t="str">
        <f>IF(ISBLANK(E1468),"",_xlfn.XLOOKUP(E1468,cannabis_log!C:C,cannabis_log!J:J,"",0,))</f>
        <v>PR2406F5P3</v>
      </c>
      <c r="G1468" s="112"/>
      <c r="H1468" s="112" t="str">
        <f>IF(ISBLANK(E1468),"",_xlfn.XLOOKUP(E1468,cannabis_log!C:C,cannabis_log!H:H,"",0,1))</f>
        <v>preroll_packaged</v>
      </c>
      <c r="I1468" s="113" t="str">
        <f>IF(ISBLANK(E1468),"",_xlfn.XLOOKUP(E1468,cannabis_log!C:C,cannabis_log!K:K,"NOT FOUND",0,1))</f>
        <v>NA</v>
      </c>
      <c r="J1468" s="185">
        <v>-174</v>
      </c>
      <c r="K1468" s="186">
        <f>IF(N1468="net",0,"")</f>
        <v>0</v>
      </c>
      <c r="L1468" s="288">
        <f t="shared" si="76"/>
        <v>-261</v>
      </c>
      <c r="M1468" s="24"/>
      <c r="N1468" s="112" t="str">
        <f>IF(ISBLANK(E1468),"",_xlfn.XLOOKUP(E1468,cannabis_log!C:C,cannabis_log!T:T,"Not Found",0,))</f>
        <v>net</v>
      </c>
      <c r="O1468" s="180">
        <f>IF(N1468="net",_xlfn.XLOOKUP(E1468,cannabis_log!C:C,cannabis_log!N:N,"NOT FOUND",0,1),IF(N1468="gross",0,""))</f>
        <v>1.5</v>
      </c>
    </row>
    <row r="1469" spans="1:15">
      <c r="A1469" s="195" t="str">
        <f t="shared" si="73"/>
        <v>inbound</v>
      </c>
      <c r="B1469" s="196">
        <v>45747.481249999997</v>
      </c>
      <c r="C1469" s="197" t="s">
        <v>1927</v>
      </c>
      <c r="D1469" s="197"/>
      <c r="E1469" s="217" t="s">
        <v>2837</v>
      </c>
      <c r="F1469" s="112" t="str">
        <f>IF(ISBLANK(E1469),"",_xlfn.XLOOKUP(E1469,cannabis_log!C:C,cannabis_log!J:J,"",0,))</f>
        <v>ROGEX002</v>
      </c>
      <c r="G1469" s="112"/>
      <c r="H1469" s="112" t="str">
        <f>IF(ISBLANK(E1469),"",_xlfn.XLOOKUP(E1469,cannabis_log!C:C,cannabis_log!H:H,"",0,1))</f>
        <v>extract_inhaled_bulk_Rohan</v>
      </c>
      <c r="I1469" s="113" t="str">
        <f>IF(ISBLANK(E1469),"",_xlfn.XLOOKUP(E1469,cannabis_log!C:C,cannabis_log!K:K,"NOT FOUND",0,1))</f>
        <v>NA</v>
      </c>
      <c r="J1469" s="185">
        <v>1</v>
      </c>
      <c r="K1469" s="186">
        <v>2812</v>
      </c>
      <c r="L1469" s="288">
        <f t="shared" si="76"/>
        <v>0</v>
      </c>
      <c r="M1469" s="24"/>
      <c r="N1469" s="112" t="str">
        <f>IF(ISBLANK(E1469),"",_xlfn.XLOOKUP(E1469,cannabis_log!C:C,cannabis_log!T:T,"Not Found",0,))</f>
        <v>gross</v>
      </c>
      <c r="O1469" s="180">
        <f>IF(N1469="net",_xlfn.XLOOKUP(E1469,cannabis_log!C:C,cannabis_log!N:N,"NOT FOUND",0,1),IF(N1469="gross",0,""))</f>
        <v>0</v>
      </c>
    </row>
    <row r="1470" spans="1:15">
      <c r="A1470" s="195" t="str">
        <f t="shared" si="73"/>
        <v>inbound</v>
      </c>
      <c r="B1470" s="196">
        <v>45747.481249999997</v>
      </c>
      <c r="C1470" s="197" t="s">
        <v>1927</v>
      </c>
      <c r="D1470" s="197"/>
      <c r="E1470" s="217" t="s">
        <v>2840</v>
      </c>
      <c r="F1470" s="112">
        <f>IF(ISBLANK(E1470),"",_xlfn.XLOOKUP(E1470,cannabis_log!C:C,cannabis_log!J:J,"",0,))</f>
        <v>2025030702</v>
      </c>
      <c r="G1470" s="112"/>
      <c r="H1470" s="112" t="str">
        <f>IF(ISBLANK(E1470),"",_xlfn.XLOOKUP(E1470,cannabis_log!C:C,cannabis_log!H:H,"",0,1))</f>
        <v>driedflower_bulk_Rohan</v>
      </c>
      <c r="I1470" s="113" t="str">
        <f>IF(ISBLANK(E1470),"",_xlfn.XLOOKUP(E1470,cannabis_log!C:C,cannabis_log!K:K,"NOT FOUND",0,1))</f>
        <v>NA</v>
      </c>
      <c r="J1470" s="185">
        <v>1</v>
      </c>
      <c r="K1470" s="186">
        <v>3070</v>
      </c>
      <c r="L1470" s="288">
        <f t="shared" si="76"/>
        <v>0</v>
      </c>
      <c r="M1470" s="24"/>
      <c r="N1470" s="112" t="str">
        <f>IF(ISBLANK(E1470),"",_xlfn.XLOOKUP(E1470,cannabis_log!C:C,cannabis_log!T:T,"Not Found",0,))</f>
        <v>gross</v>
      </c>
      <c r="O1470" s="180">
        <f>IF(N1470="net",_xlfn.XLOOKUP(E1470,cannabis_log!C:C,cannabis_log!N:N,"NOT FOUND",0,1),IF(N1470="gross",0,""))</f>
        <v>0</v>
      </c>
    </row>
    <row r="1471" spans="1:15">
      <c r="A1471" s="195" t="str">
        <f t="shared" si="73"/>
        <v>inbound</v>
      </c>
      <c r="B1471" s="196">
        <v>45747.481249999997</v>
      </c>
      <c r="C1471" s="197" t="s">
        <v>1927</v>
      </c>
      <c r="D1471" s="197"/>
      <c r="E1471" s="217" t="s">
        <v>2825</v>
      </c>
      <c r="F1471" s="112">
        <f>IF(ISBLANK(E1471),"",_xlfn.XLOOKUP(E1471,cannabis_log!C:C,cannabis_log!J:J,"",0,))</f>
        <v>2024121801</v>
      </c>
      <c r="G1471" s="112"/>
      <c r="H1471" s="112" t="str">
        <f>IF(ISBLANK(E1471),"",_xlfn.XLOOKUP(E1471,cannabis_log!C:C,cannabis_log!H:H,"",0,1))</f>
        <v>driedflower_bulk_big</v>
      </c>
      <c r="I1471" s="113" t="str">
        <f>IF(ISBLANK(E1471),"",_xlfn.XLOOKUP(E1471,cannabis_log!C:C,cannabis_log!K:K,"NOT FOUND",0,1))</f>
        <v>NA</v>
      </c>
      <c r="J1471" s="185">
        <v>1</v>
      </c>
      <c r="K1471" s="186">
        <v>4728</v>
      </c>
      <c r="L1471" s="288">
        <f t="shared" si="76"/>
        <v>0</v>
      </c>
      <c r="M1471" s="24"/>
      <c r="N1471" s="112" t="str">
        <f>IF(ISBLANK(E1471),"",_xlfn.XLOOKUP(E1471,cannabis_log!C:C,cannabis_log!T:T,"Not Found",0,))</f>
        <v>gross</v>
      </c>
      <c r="O1471" s="180">
        <f>IF(N1471="net",_xlfn.XLOOKUP(E1471,cannabis_log!C:C,cannabis_log!N:N,"NOT FOUND",0,1),IF(N1471="gross",0,""))</f>
        <v>0</v>
      </c>
    </row>
    <row r="1472" spans="1:15">
      <c r="A1472" s="195" t="str">
        <f t="shared" si="73"/>
        <v>outbound</v>
      </c>
      <c r="B1472" s="196">
        <v>45747.7</v>
      </c>
      <c r="C1472" s="197" t="s">
        <v>1921</v>
      </c>
      <c r="D1472" s="197" t="s">
        <v>1619</v>
      </c>
      <c r="E1472" s="217" t="s">
        <v>2841</v>
      </c>
      <c r="F1472" s="112">
        <f>IF(ISBLANK(E1472),"",_xlfn.XLOOKUP(E1472,cannabis_log!C:C,cannabis_log!J:J,"",0,))</f>
        <v>2024120501</v>
      </c>
      <c r="G1472" s="112"/>
      <c r="H1472" s="112" t="str">
        <f>IF(ISBLANK(E1472),"",_xlfn.XLOOKUP(E1472,cannabis_log!C:C,cannabis_log!H:H,"",0,1))</f>
        <v>driedflower_bulk_BURB</v>
      </c>
      <c r="I1472" s="113" t="str">
        <f>IF(ISBLANK(E1472),"",_xlfn.XLOOKUP(E1472,cannabis_log!C:C,cannabis_log!K:K,"NOT FOUND",0,1))</f>
        <v>NA</v>
      </c>
      <c r="J1472" s="185">
        <v>-1</v>
      </c>
      <c r="K1472" s="186">
        <v>-890.5</v>
      </c>
      <c r="L1472" s="288">
        <f t="shared" si="76"/>
        <v>0</v>
      </c>
      <c r="M1472" s="24"/>
      <c r="N1472" s="112" t="str">
        <f>IF(ISBLANK(E1472),"",_xlfn.XLOOKUP(E1472,cannabis_log!C:C,cannabis_log!T:T,"Not Found",0,))</f>
        <v>gross</v>
      </c>
      <c r="O1472" s="180">
        <f>IF(N1472="net",_xlfn.XLOOKUP(E1472,cannabis_log!C:C,cannabis_log!N:N,"NOT FOUND",0,1),IF(N1472="gross",0,""))</f>
        <v>0</v>
      </c>
    </row>
    <row r="1473" spans="1:15">
      <c r="A1473" s="195" t="str">
        <f t="shared" ref="A1473:A1536" si="77">IF(ISBLANK(J1473),"",IF(J1473+K1473+L1473&lt;0,"outbound","inbound"))</f>
        <v>outbound</v>
      </c>
      <c r="B1473" s="196">
        <v>45747.7</v>
      </c>
      <c r="C1473" s="197" t="s">
        <v>1921</v>
      </c>
      <c r="D1473" s="197" t="s">
        <v>1619</v>
      </c>
      <c r="E1473" s="217" t="s">
        <v>2842</v>
      </c>
      <c r="F1473" s="112">
        <f>IF(ISBLANK(E1473),"",_xlfn.XLOOKUP(E1473,cannabis_log!C:C,cannabis_log!J:J,"",0,))</f>
        <v>2024120501</v>
      </c>
      <c r="G1473" s="112"/>
      <c r="H1473" s="112" t="str">
        <f>IF(ISBLANK(E1473),"",_xlfn.XLOOKUP(E1473,cannabis_log!C:C,cannabis_log!H:H,"",0,1))</f>
        <v>driedflower_bulk_BURB</v>
      </c>
      <c r="I1473" s="113" t="str">
        <f>IF(ISBLANK(E1473),"",_xlfn.XLOOKUP(E1473,cannabis_log!C:C,cannabis_log!K:K,"NOT FOUND",0,1))</f>
        <v>NA</v>
      </c>
      <c r="J1473" s="185">
        <v>-1</v>
      </c>
      <c r="K1473" s="186">
        <v>-615</v>
      </c>
      <c r="L1473" s="288">
        <f t="shared" si="76"/>
        <v>0</v>
      </c>
      <c r="M1473" s="24"/>
      <c r="N1473" s="112" t="str">
        <f>IF(ISBLANK(E1473),"",_xlfn.XLOOKUP(E1473,cannabis_log!C:C,cannabis_log!T:T,"Not Found",0,))</f>
        <v>gross</v>
      </c>
      <c r="O1473" s="180">
        <f>IF(N1473="net",_xlfn.XLOOKUP(E1473,cannabis_log!C:C,cannabis_log!N:N,"NOT FOUND",0,1),IF(N1473="gross",0,""))</f>
        <v>0</v>
      </c>
    </row>
    <row r="1474" spans="1:15">
      <c r="A1474" s="195" t="str">
        <f t="shared" si="77"/>
        <v>outbound</v>
      </c>
      <c r="B1474" s="196">
        <v>45747.7</v>
      </c>
      <c r="C1474" s="197" t="s">
        <v>1921</v>
      </c>
      <c r="D1474" s="197" t="s">
        <v>1619</v>
      </c>
      <c r="E1474" s="217" t="s">
        <v>2843</v>
      </c>
      <c r="F1474" s="112">
        <f>IF(ISBLANK(E1474),"",_xlfn.XLOOKUP(E1474,cannabis_log!C:C,cannabis_log!J:J,"",0,))</f>
        <v>2024120501</v>
      </c>
      <c r="G1474" s="112"/>
      <c r="H1474" s="112" t="str">
        <f>IF(ISBLANK(E1474),"",_xlfn.XLOOKUP(E1474,cannabis_log!C:C,cannabis_log!H:H,"",0,1))</f>
        <v>driedflower_bulk_BURB</v>
      </c>
      <c r="I1474" s="113" t="str">
        <f>IF(ISBLANK(E1474),"",_xlfn.XLOOKUP(E1474,cannabis_log!C:C,cannabis_log!K:K,"NOT FOUND",0,1))</f>
        <v>NA</v>
      </c>
      <c r="J1474" s="185">
        <v>-1</v>
      </c>
      <c r="K1474" s="186">
        <v>-1000</v>
      </c>
      <c r="L1474" s="288">
        <f t="shared" si="76"/>
        <v>0</v>
      </c>
      <c r="M1474" s="24"/>
      <c r="N1474" s="112" t="str">
        <f>IF(ISBLANK(E1474),"",_xlfn.XLOOKUP(E1474,cannabis_log!C:C,cannabis_log!T:T,"Not Found",0,))</f>
        <v>gross</v>
      </c>
      <c r="O1474" s="180">
        <f>IF(N1474="net",_xlfn.XLOOKUP(E1474,cannabis_log!C:C,cannabis_log!N:N,"NOT FOUND",0,1),IF(N1474="gross",0,""))</f>
        <v>0</v>
      </c>
    </row>
    <row r="1475" spans="1:15">
      <c r="A1475" s="195" t="str">
        <f t="shared" si="77"/>
        <v>outbound</v>
      </c>
      <c r="B1475" s="196">
        <v>45747.7</v>
      </c>
      <c r="C1475" s="197" t="s">
        <v>1921</v>
      </c>
      <c r="D1475" s="197" t="s">
        <v>1619</v>
      </c>
      <c r="E1475" s="217" t="s">
        <v>2844</v>
      </c>
      <c r="F1475" s="112">
        <f>IF(ISBLANK(E1475),"",_xlfn.XLOOKUP(E1475,cannabis_log!C:C,cannabis_log!J:J,"",0,))</f>
        <v>2024120501</v>
      </c>
      <c r="G1475" s="112"/>
      <c r="H1475" s="112" t="str">
        <f>IF(ISBLANK(E1475),"",_xlfn.XLOOKUP(E1475,cannabis_log!C:C,cannabis_log!H:H,"",0,1))</f>
        <v>driedflower_bulk_BURB</v>
      </c>
      <c r="I1475" s="113" t="str">
        <f>IF(ISBLANK(E1475),"",_xlfn.XLOOKUP(E1475,cannabis_log!C:C,cannabis_log!K:K,"NOT FOUND",0,1))</f>
        <v>NA</v>
      </c>
      <c r="J1475" s="185">
        <v>-1</v>
      </c>
      <c r="K1475" s="186">
        <v>-985</v>
      </c>
      <c r="L1475" s="288">
        <f t="shared" si="76"/>
        <v>0</v>
      </c>
      <c r="M1475" s="24"/>
      <c r="N1475" s="112" t="str">
        <f>IF(ISBLANK(E1475),"",_xlfn.XLOOKUP(E1475,cannabis_log!C:C,cannabis_log!T:T,"Not Found",0,))</f>
        <v>gross</v>
      </c>
      <c r="O1475" s="180">
        <f>IF(N1475="net",_xlfn.XLOOKUP(E1475,cannabis_log!C:C,cannabis_log!N:N,"NOT FOUND",0,1),IF(N1475="gross",0,""))</f>
        <v>0</v>
      </c>
    </row>
    <row r="1476" spans="1:15">
      <c r="A1476" s="195" t="str">
        <f t="shared" si="77"/>
        <v>outbound</v>
      </c>
      <c r="B1476" s="196">
        <v>45747.7</v>
      </c>
      <c r="C1476" s="197" t="s">
        <v>1921</v>
      </c>
      <c r="D1476" s="197" t="s">
        <v>1615</v>
      </c>
      <c r="E1476" s="217" t="s">
        <v>2845</v>
      </c>
      <c r="F1476" s="112">
        <f>IF(ISBLANK(E1476),"",_xlfn.XLOOKUP(E1476,cannabis_log!C:C,cannabis_log!J:J,"",0,))</f>
        <v>2024110601</v>
      </c>
      <c r="G1476" s="112"/>
      <c r="H1476" s="112" t="str">
        <f>IF(ISBLANK(E1476),"",_xlfn.XLOOKUP(E1476,cannabis_log!C:C,cannabis_log!H:H,"",0,1))</f>
        <v>driedflower_bulk_BURB</v>
      </c>
      <c r="I1476" s="113" t="str">
        <f>IF(ISBLANK(E1476),"",_xlfn.XLOOKUP(E1476,cannabis_log!C:C,cannabis_log!K:K,"NOT FOUND",0,1))</f>
        <v>NA</v>
      </c>
      <c r="J1476" s="185">
        <v>-1</v>
      </c>
      <c r="K1476" s="186">
        <v>-2240</v>
      </c>
      <c r="L1476" s="288">
        <f t="shared" si="76"/>
        <v>0</v>
      </c>
      <c r="M1476" s="24"/>
      <c r="N1476" s="112" t="str">
        <f>IF(ISBLANK(E1476),"",_xlfn.XLOOKUP(E1476,cannabis_log!C:C,cannabis_log!T:T,"Not Found",0,))</f>
        <v>gross</v>
      </c>
      <c r="O1476" s="180">
        <f>IF(N1476="net",_xlfn.XLOOKUP(E1476,cannabis_log!C:C,cannabis_log!N:N,"NOT FOUND",0,1),IF(N1476="gross",0,""))</f>
        <v>0</v>
      </c>
    </row>
    <row r="1477" spans="1:15">
      <c r="A1477" s="195" t="str">
        <f t="shared" si="77"/>
        <v>outbound</v>
      </c>
      <c r="B1477" s="196">
        <v>45747.7</v>
      </c>
      <c r="C1477" s="197" t="s">
        <v>1921</v>
      </c>
      <c r="D1477" s="197" t="s">
        <v>1615</v>
      </c>
      <c r="E1477" s="217" t="s">
        <v>2846</v>
      </c>
      <c r="F1477" s="112">
        <f>IF(ISBLANK(E1477),"",_xlfn.XLOOKUP(E1477,cannabis_log!C:C,cannabis_log!J:J,"",0,))</f>
        <v>2024110601</v>
      </c>
      <c r="G1477" s="112"/>
      <c r="H1477" s="112" t="str">
        <f>IF(ISBLANK(E1477),"",_xlfn.XLOOKUP(E1477,cannabis_log!C:C,cannabis_log!H:H,"",0,1))</f>
        <v>driedflower_bulk_BURB</v>
      </c>
      <c r="I1477" s="113" t="str">
        <f>IF(ISBLANK(E1477),"",_xlfn.XLOOKUP(E1477,cannabis_log!C:C,cannabis_log!K:K,"NOT FOUND",0,1))</f>
        <v>NA</v>
      </c>
      <c r="J1477" s="185">
        <v>-1</v>
      </c>
      <c r="K1477" s="186">
        <v>-3088</v>
      </c>
      <c r="L1477" s="288">
        <f t="shared" si="76"/>
        <v>0</v>
      </c>
      <c r="M1477" s="24"/>
      <c r="N1477" s="112" t="str">
        <f>IF(ISBLANK(E1477),"",_xlfn.XLOOKUP(E1477,cannabis_log!C:C,cannabis_log!T:T,"Not Found",0,))</f>
        <v>gross</v>
      </c>
      <c r="O1477" s="180">
        <f>IF(N1477="net",_xlfn.XLOOKUP(E1477,cannabis_log!C:C,cannabis_log!N:N,"NOT FOUND",0,1),IF(N1477="gross",0,""))</f>
        <v>0</v>
      </c>
    </row>
    <row r="1478" spans="1:15">
      <c r="A1478" s="195" t="str">
        <f t="shared" si="77"/>
        <v>outbound</v>
      </c>
      <c r="B1478" s="196">
        <v>45747.7</v>
      </c>
      <c r="C1478" s="197" t="s">
        <v>1921</v>
      </c>
      <c r="D1478" s="197" t="s">
        <v>1615</v>
      </c>
      <c r="E1478" s="217" t="s">
        <v>2847</v>
      </c>
      <c r="F1478" s="112">
        <f>IF(ISBLANK(E1478),"",_xlfn.XLOOKUP(E1478,cannabis_log!C:C,cannabis_log!J:J,"",0,))</f>
        <v>2024110601</v>
      </c>
      <c r="G1478" s="112"/>
      <c r="H1478" s="112" t="str">
        <f>IF(ISBLANK(E1478),"",_xlfn.XLOOKUP(E1478,cannabis_log!C:C,cannabis_log!H:H,"",0,1))</f>
        <v>driedflower_bulk_BURB</v>
      </c>
      <c r="I1478" s="113" t="str">
        <f>IF(ISBLANK(E1478),"",_xlfn.XLOOKUP(E1478,cannabis_log!C:C,cannabis_log!K:K,"NOT FOUND",0,1))</f>
        <v>NA</v>
      </c>
      <c r="J1478" s="185">
        <v>-1</v>
      </c>
      <c r="K1478" s="186">
        <v>-1640</v>
      </c>
      <c r="L1478" s="288">
        <f t="shared" si="76"/>
        <v>0</v>
      </c>
      <c r="M1478" s="24"/>
      <c r="N1478" s="112" t="str">
        <f>IF(ISBLANK(E1478),"",_xlfn.XLOOKUP(E1478,cannabis_log!C:C,cannabis_log!T:T,"Not Found",0,))</f>
        <v>gross</v>
      </c>
      <c r="O1478" s="180">
        <f>IF(N1478="net",_xlfn.XLOOKUP(E1478,cannabis_log!C:C,cannabis_log!N:N,"NOT FOUND",0,1),IF(N1478="gross",0,""))</f>
        <v>0</v>
      </c>
    </row>
    <row r="1479" spans="1:15">
      <c r="A1479" s="195" t="str">
        <f t="shared" si="77"/>
        <v>outbound</v>
      </c>
      <c r="B1479" s="196">
        <v>45748.438194444447</v>
      </c>
      <c r="C1479" s="197" t="s">
        <v>1921</v>
      </c>
      <c r="D1479" s="197"/>
      <c r="E1479" s="217" t="s">
        <v>2711</v>
      </c>
      <c r="F1479" s="112" t="str">
        <f>IF(ISBLANK(E1479),"",_xlfn.XLOOKUP(E1479,cannabis_log!C:C,cannabis_log!J:J,"",0,))</f>
        <v>PR241005F5P3</v>
      </c>
      <c r="G1479" s="112"/>
      <c r="H1479" s="112" t="str">
        <f>IF(ISBLANK(E1479),"",_xlfn.XLOOKUP(E1479,cannabis_log!C:C,cannabis_log!H:H,"",0,1))</f>
        <v>preroll_labelled</v>
      </c>
      <c r="I1479" s="113">
        <f>IF(ISBLANK(E1479),"",_xlfn.XLOOKUP(E1479,cannabis_log!C:C,cannabis_log!K:K,"NOT FOUND",0,1))</f>
        <v>45575</v>
      </c>
      <c r="J1479" s="185">
        <v>-48</v>
      </c>
      <c r="K1479" s="186">
        <f>IF(N1479="net",0,"")</f>
        <v>0</v>
      </c>
      <c r="L1479" s="288">
        <f t="shared" si="76"/>
        <v>-72</v>
      </c>
      <c r="M1479" s="24"/>
      <c r="N1479" s="112" t="str">
        <f>IF(ISBLANK(E1479),"",_xlfn.XLOOKUP(E1479,cannabis_log!C:C,cannabis_log!T:T,"Not Found",0,))</f>
        <v>net</v>
      </c>
      <c r="O1479" s="180">
        <f>IF(N1479="net",_xlfn.XLOOKUP(E1479,cannabis_log!C:C,cannabis_log!N:N,"NOT FOUND",0,1),IF(N1479="gross",0,""))</f>
        <v>1.5</v>
      </c>
    </row>
    <row r="1480" spans="1:15">
      <c r="A1480" s="195" t="str">
        <f t="shared" si="77"/>
        <v>outbound</v>
      </c>
      <c r="B1480" s="196">
        <v>45748.438194444447</v>
      </c>
      <c r="C1480" s="197" t="s">
        <v>1921</v>
      </c>
      <c r="D1480" s="197"/>
      <c r="E1480" s="217" t="s">
        <v>2700</v>
      </c>
      <c r="F1480" s="112" t="str">
        <f>IF(ISBLANK(E1480),"",_xlfn.XLOOKUP(E1480,cannabis_log!C:C,cannabis_log!J:J,"",0,))</f>
        <v>EX24111301G05</v>
      </c>
      <c r="G1480" s="112"/>
      <c r="H1480" s="112" t="str">
        <f>IF(ISBLANK(E1480),"",_xlfn.XLOOKUP(E1480,cannabis_log!C:C,cannabis_log!H:H,"",0,1))</f>
        <v>extract_inhaled_labelled</v>
      </c>
      <c r="I1480" s="113">
        <f>IF(ISBLANK(E1480),"",_xlfn.XLOOKUP(E1480,cannabis_log!C:C,cannabis_log!K:K,"NOT FOUND",0,1))</f>
        <v>45642</v>
      </c>
      <c r="J1480" s="185">
        <v>-14</v>
      </c>
      <c r="K1480" s="186">
        <f>IF(N1480="net",0,"")</f>
        <v>0</v>
      </c>
      <c r="L1480" s="288">
        <f t="shared" si="76"/>
        <v>-7</v>
      </c>
      <c r="M1480" s="24"/>
      <c r="N1480" s="112" t="str">
        <f>IF(ISBLANK(E1480),"",_xlfn.XLOOKUP(E1480,cannabis_log!C:C,cannabis_log!T:T,"Not Found",0,))</f>
        <v>net</v>
      </c>
      <c r="O1480" s="180">
        <f>IF(N1480="net",_xlfn.XLOOKUP(E1480,cannabis_log!C:C,cannabis_log!N:N,"NOT FOUND",0,1),IF(N1480="gross",0,""))</f>
        <v>0.5</v>
      </c>
    </row>
    <row r="1481" spans="1:15">
      <c r="A1481" s="195" t="str">
        <f t="shared" si="77"/>
        <v>outbound</v>
      </c>
      <c r="B1481" s="196">
        <v>45748.45</v>
      </c>
      <c r="C1481" s="197" t="s">
        <v>1929</v>
      </c>
      <c r="D1481" s="22" t="s">
        <v>628</v>
      </c>
      <c r="E1481" s="217" t="s">
        <v>2848</v>
      </c>
      <c r="F1481" s="112" t="str">
        <f>IF(ISBLANK(E1481),"",_xlfn.XLOOKUP(E1481,cannabis_log!C:C,cannabis_log!J:J,"",0,))</f>
        <v>PR2501F5P10</v>
      </c>
      <c r="G1481" s="112"/>
      <c r="H1481" s="112" t="str">
        <f>IF(ISBLANK(E1481),"",_xlfn.XLOOKUP(E1481,cannabis_log!C:C,cannabis_log!H:H,"",0,1))</f>
        <v>preroll_labelled</v>
      </c>
      <c r="I1481" s="113">
        <f>IF(ISBLANK(E1481),"",_xlfn.XLOOKUP(E1481,cannabis_log!C:C,cannabis_log!K:K,"NOT FOUND",0,1))</f>
        <v>45742</v>
      </c>
      <c r="J1481" s="185">
        <v>-12</v>
      </c>
      <c r="K1481" s="186">
        <f>IF(N1481="net",0,"")</f>
        <v>0</v>
      </c>
      <c r="L1481" s="288">
        <f t="shared" si="76"/>
        <v>-60</v>
      </c>
      <c r="M1481" s="24"/>
      <c r="N1481" s="112" t="str">
        <f>IF(ISBLANK(E1481),"",_xlfn.XLOOKUP(E1481,cannabis_log!C:C,cannabis_log!T:T,"Not Found",0,))</f>
        <v>net</v>
      </c>
      <c r="O1481" s="180">
        <f>IF(N1481="net",_xlfn.XLOOKUP(E1481,cannabis_log!C:C,cannabis_log!N:N,"NOT FOUND",0,1),IF(N1481="gross",0,""))</f>
        <v>5</v>
      </c>
    </row>
    <row r="1482" spans="1:15">
      <c r="A1482" s="195" t="str">
        <f t="shared" si="77"/>
        <v>outbound</v>
      </c>
      <c r="B1482" s="196">
        <v>45748.45</v>
      </c>
      <c r="C1482" s="197" t="s">
        <v>1929</v>
      </c>
      <c r="D1482" s="22" t="s">
        <v>628</v>
      </c>
      <c r="E1482" s="217" t="s">
        <v>2849</v>
      </c>
      <c r="F1482" s="112" t="str">
        <f>IF(ISBLANK(E1482),"",_xlfn.XLOOKUP(E1482,cannabis_log!C:C,cannabis_log!J:J,"",0,))</f>
        <v>2024121801G7</v>
      </c>
      <c r="G1482" s="112"/>
      <c r="H1482" s="112" t="str">
        <f>IF(ISBLANK(E1482),"",_xlfn.XLOOKUP(E1482,cannabis_log!C:C,cannabis_log!H:H,"",0,1))</f>
        <v>driedflower_labelled</v>
      </c>
      <c r="I1482" s="113">
        <f>IF(ISBLANK(E1482),"",_xlfn.XLOOKUP(E1482,cannabis_log!C:C,cannabis_log!K:K,"NOT FOUND",0,1))</f>
        <v>45742</v>
      </c>
      <c r="J1482" s="185">
        <v>-11</v>
      </c>
      <c r="K1482" s="186">
        <f>IF(N1482="net",0,"")</f>
        <v>0</v>
      </c>
      <c r="L1482" s="288">
        <f t="shared" si="76"/>
        <v>-77</v>
      </c>
      <c r="M1482" s="24"/>
      <c r="N1482" s="112" t="str">
        <f>IF(ISBLANK(E1482),"",_xlfn.XLOOKUP(E1482,cannabis_log!C:C,cannabis_log!T:T,"Not Found",0,))</f>
        <v>net</v>
      </c>
      <c r="O1482" s="180">
        <f>IF(N1482="net",_xlfn.XLOOKUP(E1482,cannabis_log!C:C,cannabis_log!N:N,"NOT FOUND",0,1),IF(N1482="gross",0,""))</f>
        <v>7</v>
      </c>
    </row>
    <row r="1483" spans="1:15">
      <c r="A1483" s="195" t="str">
        <f t="shared" si="77"/>
        <v>outbound</v>
      </c>
      <c r="B1483" s="196">
        <v>45748.45</v>
      </c>
      <c r="C1483" s="197" t="s">
        <v>1929</v>
      </c>
      <c r="D1483" s="22" t="s">
        <v>629</v>
      </c>
      <c r="E1483" s="217" t="s">
        <v>2732</v>
      </c>
      <c r="F1483" s="112" t="str">
        <f>IF(ISBLANK(E1483),"",_xlfn.XLOOKUP(E1483,cannabis_log!C:C,cannabis_log!J:J,"",0,))</f>
        <v>PR2507F1P2</v>
      </c>
      <c r="G1483" s="112"/>
      <c r="H1483" s="112" t="str">
        <f>IF(ISBLANK(E1483),"",_xlfn.XLOOKUP(E1483,cannabis_log!C:C,cannabis_log!H:H,"",0,1))</f>
        <v>preroll_labelled</v>
      </c>
      <c r="I1483" s="113">
        <f>IF(ISBLANK(E1483),"",_xlfn.XLOOKUP(E1483,cannabis_log!C:C,cannabis_log!K:K,"NOT FOUND",0,1))</f>
        <v>45728</v>
      </c>
      <c r="J1483" s="185">
        <v>-120</v>
      </c>
      <c r="K1483" s="186">
        <f>IF(N1483="net",0,"")</f>
        <v>0</v>
      </c>
      <c r="L1483" s="288">
        <f t="shared" si="76"/>
        <v>-240</v>
      </c>
      <c r="M1483" s="24"/>
      <c r="N1483" s="112" t="str">
        <f>IF(ISBLANK(E1483),"",_xlfn.XLOOKUP(E1483,cannabis_log!C:C,cannabis_log!T:T,"Not Found",0,))</f>
        <v>net</v>
      </c>
      <c r="O1483" s="180">
        <f>IF(N1483="net",_xlfn.XLOOKUP(E1483,cannabis_log!C:C,cannabis_log!N:N,"NOT FOUND",0,1),IF(N1483="gross",0,""))</f>
        <v>2</v>
      </c>
    </row>
    <row r="1484" spans="1:15">
      <c r="A1484" s="195" t="str">
        <f t="shared" si="77"/>
        <v>outbound</v>
      </c>
      <c r="B1484" s="196">
        <v>45748.45</v>
      </c>
      <c r="C1484" s="197" t="s">
        <v>1921</v>
      </c>
      <c r="D1484" s="197" t="s">
        <v>2850</v>
      </c>
      <c r="E1484" s="217" t="s">
        <v>2851</v>
      </c>
      <c r="F1484" s="112">
        <f>IF(ISBLANK(E1484),"",_xlfn.XLOOKUP(E1484,cannabis_log!C:C,cannabis_log!J:J,"",0,))</f>
        <v>2024100401</v>
      </c>
      <c r="G1484" s="112"/>
      <c r="H1484" s="112" t="str">
        <f>IF(ISBLANK(E1484),"",_xlfn.XLOOKUP(E1484,cannabis_log!C:C,cannabis_log!H:H,"",0,1))</f>
        <v>extract_distillate_bulk</v>
      </c>
      <c r="I1484" s="113">
        <f>IF(ISBLANK(E1484),"",_xlfn.XLOOKUP(E1484,cannabis_log!C:C,cannabis_log!K:K,"NOT FOUND",0,1))</f>
        <v>45595</v>
      </c>
      <c r="J1484" s="185">
        <v>-1</v>
      </c>
      <c r="K1484" s="186">
        <v>-1354</v>
      </c>
      <c r="L1484" s="288">
        <f t="shared" si="76"/>
        <v>0</v>
      </c>
      <c r="M1484" s="24"/>
      <c r="N1484" s="112" t="str">
        <f>IF(ISBLANK(E1484),"",_xlfn.XLOOKUP(E1484,cannabis_log!C:C,cannabis_log!T:T,"Not Found",0,))</f>
        <v>gross</v>
      </c>
      <c r="O1484" s="180">
        <f>IF(N1484="net",_xlfn.XLOOKUP(E1484,cannabis_log!C:C,cannabis_log!N:N,"NOT FOUND",0,1),IF(N1484="gross",0,""))</f>
        <v>0</v>
      </c>
    </row>
    <row r="1485" spans="1:15">
      <c r="A1485" s="195" t="str">
        <f t="shared" si="77"/>
        <v>outbound</v>
      </c>
      <c r="B1485" s="196">
        <v>45748.45</v>
      </c>
      <c r="C1485" s="197" t="s">
        <v>1921</v>
      </c>
      <c r="D1485" s="197" t="s">
        <v>2852</v>
      </c>
      <c r="E1485" s="217" t="s">
        <v>2853</v>
      </c>
      <c r="F1485" s="112" t="str">
        <f>IF(ISBLANK(E1485),"",_xlfn.XLOOKUP(E1485,cannabis_log!C:C,cannabis_log!J:J,"",0,))</f>
        <v>EX24111301</v>
      </c>
      <c r="G1485" s="112"/>
      <c r="H1485" s="112" t="str">
        <f>IF(ISBLANK(E1485),"",_xlfn.XLOOKUP(E1485,cannabis_log!C:C,cannabis_log!H:H,"",0,1))</f>
        <v>extract_inhaled_bulk</v>
      </c>
      <c r="I1485" s="113" t="str">
        <f>IF(ISBLANK(E1485),"",_xlfn.XLOOKUP(E1485,cannabis_log!C:C,cannabis_log!K:K,"NOT FOUND",0,1))</f>
        <v>NA</v>
      </c>
      <c r="J1485" s="185">
        <v>-1</v>
      </c>
      <c r="K1485" s="186">
        <v>-734.2</v>
      </c>
      <c r="L1485" s="288">
        <f t="shared" si="76"/>
        <v>0</v>
      </c>
      <c r="M1485" s="24"/>
      <c r="N1485" s="112" t="str">
        <f>IF(ISBLANK(E1485),"",_xlfn.XLOOKUP(E1485,cannabis_log!C:C,cannabis_log!T:T,"Not Found",0,))</f>
        <v>gross</v>
      </c>
      <c r="O1485" s="180">
        <f>IF(N1485="net",_xlfn.XLOOKUP(E1485,cannabis_log!C:C,cannabis_log!N:N,"NOT FOUND",0,1),IF(N1485="gross",0,""))</f>
        <v>0</v>
      </c>
    </row>
    <row r="1486" spans="1:15">
      <c r="A1486" s="195" t="str">
        <f t="shared" si="77"/>
        <v>outbound</v>
      </c>
      <c r="B1486" s="196">
        <v>45748.498611111114</v>
      </c>
      <c r="C1486" s="197" t="s">
        <v>1921</v>
      </c>
      <c r="D1486" s="197" t="s">
        <v>2850</v>
      </c>
      <c r="E1486" s="217" t="s">
        <v>2817</v>
      </c>
      <c r="F1486" s="112">
        <f>IF(ISBLANK(E1486),"",_xlfn.XLOOKUP(E1486,cannabis_log!C:C,cannabis_log!J:J,"",0,))</f>
        <v>2025012801</v>
      </c>
      <c r="G1486" s="112"/>
      <c r="H1486" s="112" t="str">
        <f>IF(ISBLANK(E1486),"",_xlfn.XLOOKUP(E1486,cannabis_log!C:C,cannabis_log!H:H,"",0,1))</f>
        <v>extract_distillate_bulk</v>
      </c>
      <c r="I1486" s="113" t="str">
        <f>IF(ISBLANK(E1486),"",_xlfn.XLOOKUP(E1486,cannabis_log!C:C,cannabis_log!K:K,"NOT FOUND",0,1))</f>
        <v>NA</v>
      </c>
      <c r="J1486" s="185">
        <v>-1</v>
      </c>
      <c r="K1486" s="186">
        <v>-2164.1999999999998</v>
      </c>
      <c r="L1486" s="288">
        <f t="shared" si="76"/>
        <v>0</v>
      </c>
      <c r="M1486" s="24"/>
      <c r="N1486" s="112" t="str">
        <f>IF(ISBLANK(E1486),"",_xlfn.XLOOKUP(E1486,cannabis_log!C:C,cannabis_log!T:T,"Not Found",0,))</f>
        <v>gross</v>
      </c>
      <c r="O1486" s="180">
        <f>IF(N1486="net",_xlfn.XLOOKUP(E1486,cannabis_log!C:C,cannabis_log!N:N,"NOT FOUND",0,1),IF(N1486="gross",0,""))</f>
        <v>0</v>
      </c>
    </row>
    <row r="1487" spans="1:15">
      <c r="A1487" s="195" t="str">
        <f t="shared" si="77"/>
        <v>inbound</v>
      </c>
      <c r="B1487" s="196">
        <v>45748.625694444447</v>
      </c>
      <c r="C1487" s="197" t="s">
        <v>1927</v>
      </c>
      <c r="D1487" s="197"/>
      <c r="E1487" s="217" t="s">
        <v>2853</v>
      </c>
      <c r="F1487" s="112" t="str">
        <f>IF(ISBLANK(E1487),"",_xlfn.XLOOKUP(E1487,cannabis_log!C:C,cannabis_log!J:J,"",0,))</f>
        <v>EX24111301</v>
      </c>
      <c r="G1487" s="112"/>
      <c r="H1487" s="112" t="str">
        <f>IF(ISBLANK(E1487),"",_xlfn.XLOOKUP(E1487,cannabis_log!C:C,cannabis_log!H:H,"",0,1))</f>
        <v>extract_inhaled_bulk</v>
      </c>
      <c r="I1487" s="113" t="str">
        <f>IF(ISBLANK(E1487),"",_xlfn.XLOOKUP(E1487,cannabis_log!C:C,cannabis_log!K:K,"NOT FOUND",0,1))</f>
        <v>NA</v>
      </c>
      <c r="J1487" s="185">
        <v>1</v>
      </c>
      <c r="K1487" s="186">
        <v>665.7</v>
      </c>
      <c r="L1487" s="288">
        <f t="shared" si="76"/>
        <v>0</v>
      </c>
      <c r="M1487" s="24"/>
      <c r="N1487" s="112" t="str">
        <f>IF(ISBLANK(E1487),"",_xlfn.XLOOKUP(E1487,cannabis_log!C:C,cannabis_log!T:T,"Not Found",0,))</f>
        <v>gross</v>
      </c>
      <c r="O1487" s="180">
        <f>IF(N1487="net",_xlfn.XLOOKUP(E1487,cannabis_log!C:C,cannabis_log!N:N,"NOT FOUND",0,1),IF(N1487="gross",0,""))</f>
        <v>0</v>
      </c>
    </row>
    <row r="1488" spans="1:15">
      <c r="A1488" s="195" t="str">
        <f t="shared" si="77"/>
        <v>outbound</v>
      </c>
      <c r="B1488" s="196">
        <v>45748.628472222219</v>
      </c>
      <c r="C1488" s="197" t="s">
        <v>1921</v>
      </c>
      <c r="D1488" s="197" t="s">
        <v>1637</v>
      </c>
      <c r="E1488" s="217" t="s">
        <v>2743</v>
      </c>
      <c r="F1488" s="112" t="str">
        <f>IF(ISBLANK(E1488),"",_xlfn.XLOOKUP(E1488,cannabis_log!C:C,cannabis_log!J:J,"",0,))</f>
        <v>PR2507</v>
      </c>
      <c r="G1488" s="112"/>
      <c r="H1488" s="112" t="str">
        <f>IF(ISBLANK(E1488),"",_xlfn.XLOOKUP(E1488,cannabis_log!C:C,cannabis_log!H:H,"",0,1))</f>
        <v>driedflower_milled_bulk</v>
      </c>
      <c r="I1488" s="113" t="str">
        <f>IF(ISBLANK(E1488),"",_xlfn.XLOOKUP(E1488,cannabis_log!C:C,cannabis_log!K:K,"NOT FOUND",0,1))</f>
        <v>NA</v>
      </c>
      <c r="J1488" s="185">
        <v>-1</v>
      </c>
      <c r="K1488" s="186">
        <v>-5706</v>
      </c>
      <c r="L1488" s="288">
        <f t="shared" si="76"/>
        <v>0</v>
      </c>
      <c r="M1488" s="24"/>
      <c r="N1488" s="112" t="str">
        <f>IF(ISBLANK(E1488),"",_xlfn.XLOOKUP(E1488,cannabis_log!C:C,cannabis_log!T:T,"Not Found",0,))</f>
        <v>gross</v>
      </c>
      <c r="O1488" s="180">
        <f>IF(N1488="net",_xlfn.XLOOKUP(E1488,cannabis_log!C:C,cannabis_log!N:N,"NOT FOUND",0,1),IF(N1488="gross",0,""))</f>
        <v>0</v>
      </c>
    </row>
    <row r="1489" spans="1:15">
      <c r="A1489" s="195" t="str">
        <f t="shared" si="77"/>
        <v>inbound</v>
      </c>
      <c r="B1489" s="196">
        <v>45748.657638888886</v>
      </c>
      <c r="C1489" s="197" t="s">
        <v>1927</v>
      </c>
      <c r="D1489" s="197"/>
      <c r="E1489" s="217" t="s">
        <v>2828</v>
      </c>
      <c r="F1489" s="112" t="str">
        <f>IF(ISBLANK(E1489),"",_xlfn.XLOOKUP(E1489,cannabis_log!C:C,cannabis_log!J:J,"",0,))</f>
        <v>PR241105F5</v>
      </c>
      <c r="G1489" s="112"/>
      <c r="H1489" s="112" t="str">
        <f>IF(ISBLANK(E1489),"",_xlfn.XLOOKUP(E1489,cannabis_log!C:C,cannabis_log!H:H,"",0,1))</f>
        <v>preroll_bulk</v>
      </c>
      <c r="I1489" s="113" t="str">
        <f>IF(ISBLANK(E1489),"",_xlfn.XLOOKUP(E1489,cannabis_log!C:C,cannabis_log!K:K,"NOT FOUND",0,1))</f>
        <v>NA</v>
      </c>
      <c r="J1489" s="185">
        <v>1</v>
      </c>
      <c r="K1489" s="186">
        <v>55</v>
      </c>
      <c r="L1489" s="288">
        <f t="shared" si="76"/>
        <v>0.5</v>
      </c>
      <c r="M1489" s="24"/>
      <c r="N1489" s="112" t="str">
        <f>IF(ISBLANK(E1489),"",_xlfn.XLOOKUP(E1489,cannabis_log!C:C,cannabis_log!T:T,"Not Found",0,))</f>
        <v>net</v>
      </c>
      <c r="O1489" s="180">
        <f>IF(N1489="net",_xlfn.XLOOKUP(E1489,cannabis_log!C:C,cannabis_log!N:N,"NOT FOUND",0,1),IF(N1489="gross",0,""))</f>
        <v>0.5</v>
      </c>
    </row>
    <row r="1490" spans="1:15">
      <c r="A1490" s="195" t="str">
        <f t="shared" si="77"/>
        <v>inbound</v>
      </c>
      <c r="B1490" s="196">
        <v>45748.690972222219</v>
      </c>
      <c r="C1490" s="197" t="s">
        <v>1927</v>
      </c>
      <c r="D1490" s="197"/>
      <c r="E1490" s="217" t="s">
        <v>2833</v>
      </c>
      <c r="F1490" s="112" t="str">
        <f>IF(ISBLANK(E1490),"",_xlfn.XLOOKUP(E1490,cannabis_log!C:C,cannabis_log!J:J,"",0,))</f>
        <v>CPR22102102</v>
      </c>
      <c r="G1490" s="112"/>
      <c r="H1490" s="112" t="str">
        <f>IF(ISBLANK(E1490),"",_xlfn.XLOOKUP(E1490,cannabis_log!C:C,cannabis_log!H:H,"",0,1))</f>
        <v>driedflower_milled_bulk</v>
      </c>
      <c r="I1490" s="113" t="str">
        <f>IF(ISBLANK(E1490),"",_xlfn.XLOOKUP(E1490,cannabis_log!C:C,cannabis_log!K:K,"NOT FOUND",0,1))</f>
        <v>NA</v>
      </c>
      <c r="J1490" s="185">
        <v>1</v>
      </c>
      <c r="K1490" s="186">
        <v>2510</v>
      </c>
      <c r="L1490" s="288">
        <f t="shared" si="76"/>
        <v>0</v>
      </c>
      <c r="M1490" s="24"/>
      <c r="N1490" s="112" t="str">
        <f>IF(ISBLANK(E1490),"",_xlfn.XLOOKUP(E1490,cannabis_log!C:C,cannabis_log!T:T,"Not Found",0,))</f>
        <v>gross</v>
      </c>
      <c r="O1490" s="180">
        <f>IF(N1490="net",_xlfn.XLOOKUP(E1490,cannabis_log!C:C,cannabis_log!N:N,"NOT FOUND",0,1),IF(N1490="gross",0,""))</f>
        <v>0</v>
      </c>
    </row>
    <row r="1491" spans="1:15">
      <c r="A1491" s="195" t="str">
        <f t="shared" si="77"/>
        <v>inbound</v>
      </c>
      <c r="B1491" s="196">
        <v>45748.690972222219</v>
      </c>
      <c r="C1491" s="197" t="s">
        <v>1927</v>
      </c>
      <c r="D1491" s="197"/>
      <c r="E1491" s="217" t="s">
        <v>2746</v>
      </c>
      <c r="F1491" s="112" t="str">
        <f>IF(ISBLANK(E1491),"",_xlfn.XLOOKUP(E1491,cannabis_log!C:C,cannabis_log!J:J,"",0,))</f>
        <v>PR2301</v>
      </c>
      <c r="G1491" s="112"/>
      <c r="H1491" s="112" t="str">
        <f>IF(ISBLANK(E1491),"",_xlfn.XLOOKUP(E1491,cannabis_log!C:C,cannabis_log!H:H,"",0,1))</f>
        <v>driedflower_milled_bulk</v>
      </c>
      <c r="I1491" s="113">
        <f>IF(ISBLANK(E1491),"",_xlfn.XLOOKUP(E1491,cannabis_log!C:C,cannabis_log!K:K,"NOT FOUND",0,1))</f>
        <v>45384</v>
      </c>
      <c r="J1491" s="185">
        <v>1</v>
      </c>
      <c r="K1491" s="186">
        <v>4576</v>
      </c>
      <c r="L1491" s="288">
        <f t="shared" si="76"/>
        <v>0</v>
      </c>
      <c r="M1491" s="24"/>
      <c r="N1491" s="112" t="str">
        <f>IF(ISBLANK(E1491),"",_xlfn.XLOOKUP(E1491,cannabis_log!C:C,cannabis_log!T:T,"Not Found",0,))</f>
        <v>gross</v>
      </c>
      <c r="O1491" s="180">
        <f>IF(N1491="net",_xlfn.XLOOKUP(E1491,cannabis_log!C:C,cannabis_log!N:N,"NOT FOUND",0,1),IF(N1491="gross",0,""))</f>
        <v>0</v>
      </c>
    </row>
    <row r="1492" spans="1:15">
      <c r="A1492" s="195" t="str">
        <f t="shared" si="77"/>
        <v>inbound</v>
      </c>
      <c r="B1492" s="196">
        <v>45748.704861111109</v>
      </c>
      <c r="C1492" s="197" t="s">
        <v>1927</v>
      </c>
      <c r="D1492" s="197"/>
      <c r="E1492" s="217" t="s">
        <v>2845</v>
      </c>
      <c r="F1492" s="112">
        <f>IF(ISBLANK(E1492),"",_xlfn.XLOOKUP(E1492,cannabis_log!C:C,cannabis_log!J:J,"",0,))</f>
        <v>2024110601</v>
      </c>
      <c r="G1492" s="112"/>
      <c r="H1492" s="112" t="str">
        <f>IF(ISBLANK(E1492),"",_xlfn.XLOOKUP(E1492,cannabis_log!C:C,cannabis_log!H:H,"",0,1))</f>
        <v>driedflower_bulk_BURB</v>
      </c>
      <c r="I1492" s="113" t="str">
        <f>IF(ISBLANK(E1492),"",_xlfn.XLOOKUP(E1492,cannabis_log!C:C,cannabis_log!K:K,"NOT FOUND",0,1))</f>
        <v>NA</v>
      </c>
      <c r="J1492" s="185">
        <v>1</v>
      </c>
      <c r="K1492" s="186">
        <v>1514</v>
      </c>
      <c r="L1492" s="288">
        <f t="shared" si="76"/>
        <v>0</v>
      </c>
      <c r="M1492" s="24"/>
      <c r="N1492" s="112" t="str">
        <f>IF(ISBLANK(E1492),"",_xlfn.XLOOKUP(E1492,cannabis_log!C:C,cannabis_log!T:T,"Not Found",0,))</f>
        <v>gross</v>
      </c>
      <c r="O1492" s="180">
        <f>IF(N1492="net",_xlfn.XLOOKUP(E1492,cannabis_log!C:C,cannabis_log!N:N,"NOT FOUND",0,1),IF(N1492="gross",0,""))</f>
        <v>0</v>
      </c>
    </row>
    <row r="1493" spans="1:15">
      <c r="A1493" s="195" t="str">
        <f t="shared" si="77"/>
        <v>inbound</v>
      </c>
      <c r="B1493" s="196">
        <v>45748.704861111109</v>
      </c>
      <c r="C1493" s="197" t="s">
        <v>1927</v>
      </c>
      <c r="D1493" s="197"/>
      <c r="E1493" s="217" t="s">
        <v>2847</v>
      </c>
      <c r="F1493" s="112">
        <f>IF(ISBLANK(E1493),"",_xlfn.XLOOKUP(E1493,cannabis_log!C:C,cannabis_log!J:J,"",0,))</f>
        <v>2024110601</v>
      </c>
      <c r="G1493" s="112"/>
      <c r="H1493" s="112" t="str">
        <f>IF(ISBLANK(E1493),"",_xlfn.XLOOKUP(E1493,cannabis_log!C:C,cannabis_log!H:H,"",0,1))</f>
        <v>driedflower_bulk_BURB</v>
      </c>
      <c r="I1493" s="113" t="str">
        <f>IF(ISBLANK(E1493),"",_xlfn.XLOOKUP(E1493,cannabis_log!C:C,cannabis_log!K:K,"NOT FOUND",0,1))</f>
        <v>NA</v>
      </c>
      <c r="J1493" s="185">
        <v>1</v>
      </c>
      <c r="K1493" s="186">
        <v>724</v>
      </c>
      <c r="L1493" s="288">
        <f t="shared" si="76"/>
        <v>0</v>
      </c>
      <c r="M1493" s="24"/>
      <c r="N1493" s="112" t="str">
        <f>IF(ISBLANK(E1493),"",_xlfn.XLOOKUP(E1493,cannabis_log!C:C,cannabis_log!T:T,"Not Found",0,))</f>
        <v>gross</v>
      </c>
      <c r="O1493" s="180">
        <f>IF(N1493="net",_xlfn.XLOOKUP(E1493,cannabis_log!C:C,cannabis_log!N:N,"NOT FOUND",0,1),IF(N1493="gross",0,""))</f>
        <v>0</v>
      </c>
    </row>
    <row r="1494" spans="1:15">
      <c r="A1494" s="195" t="str">
        <f t="shared" si="77"/>
        <v>inbound</v>
      </c>
      <c r="B1494" s="196">
        <v>45748.704861111109</v>
      </c>
      <c r="C1494" s="197" t="s">
        <v>1927</v>
      </c>
      <c r="D1494" s="197"/>
      <c r="E1494" s="217" t="s">
        <v>2841</v>
      </c>
      <c r="F1494" s="112">
        <f>IF(ISBLANK(E1494),"",_xlfn.XLOOKUP(E1494,cannabis_log!C:C,cannabis_log!J:J,"",0,))</f>
        <v>2024120501</v>
      </c>
      <c r="G1494" s="112"/>
      <c r="H1494" s="112" t="str">
        <f>IF(ISBLANK(E1494),"",_xlfn.XLOOKUP(E1494,cannabis_log!C:C,cannabis_log!H:H,"",0,1))</f>
        <v>driedflower_bulk_BURB</v>
      </c>
      <c r="I1494" s="113" t="str">
        <f>IF(ISBLANK(E1494),"",_xlfn.XLOOKUP(E1494,cannabis_log!C:C,cannabis_log!K:K,"NOT FOUND",0,1))</f>
        <v>NA</v>
      </c>
      <c r="J1494" s="185">
        <v>1</v>
      </c>
      <c r="K1494" s="186">
        <v>210</v>
      </c>
      <c r="L1494" s="288">
        <f t="shared" si="76"/>
        <v>0</v>
      </c>
      <c r="M1494" s="24"/>
      <c r="N1494" s="112" t="str">
        <f>IF(ISBLANK(E1494),"",_xlfn.XLOOKUP(E1494,cannabis_log!C:C,cannabis_log!T:T,"Not Found",0,))</f>
        <v>gross</v>
      </c>
      <c r="O1494" s="180">
        <f>IF(N1494="net",_xlfn.XLOOKUP(E1494,cannabis_log!C:C,cannabis_log!N:N,"NOT FOUND",0,1),IF(N1494="gross",0,""))</f>
        <v>0</v>
      </c>
    </row>
    <row r="1495" spans="1:15">
      <c r="A1495" s="195" t="str">
        <f t="shared" si="77"/>
        <v>inbound</v>
      </c>
      <c r="B1495" s="196">
        <v>45748.704861111109</v>
      </c>
      <c r="C1495" s="197" t="s">
        <v>1927</v>
      </c>
      <c r="D1495" s="197"/>
      <c r="E1495" s="217" t="s">
        <v>2854</v>
      </c>
      <c r="F1495" s="112" t="str">
        <f>IF(ISBLANK(E1495),"",_xlfn.XLOOKUP(E1495,cannabis_log!C:C,cannabis_log!J:J,"",0,))</f>
        <v>PR2301F5P3</v>
      </c>
      <c r="G1495" s="112"/>
      <c r="H1495" s="112" t="str">
        <f>IF(ISBLANK(E1495),"",_xlfn.XLOOKUP(E1495,cannabis_log!C:C,cannabis_log!H:H,"",0,1))</f>
        <v>preroll_labelled</v>
      </c>
      <c r="I1495" s="113">
        <f>IF(ISBLANK(E1495),"",_xlfn.XLOOKUP(E1495,cannabis_log!C:C,cannabis_log!K:K,"NOT FOUND",0,1))</f>
        <v>45742</v>
      </c>
      <c r="J1495" s="185">
        <v>122</v>
      </c>
      <c r="K1495" s="186">
        <f t="shared" ref="K1495:K1501" si="78">IF(N1495="net",0,"")</f>
        <v>0</v>
      </c>
      <c r="L1495" s="288">
        <f t="shared" si="76"/>
        <v>183</v>
      </c>
      <c r="M1495" s="24"/>
      <c r="N1495" s="112" t="str">
        <f>IF(ISBLANK(E1495),"",_xlfn.XLOOKUP(E1495,cannabis_log!C:C,cannabis_log!T:T,"Not Found",0,))</f>
        <v>net</v>
      </c>
      <c r="O1495" s="180">
        <f>IF(N1495="net",_xlfn.XLOOKUP(E1495,cannabis_log!C:C,cannabis_log!N:N,"NOT FOUND",0,1),IF(N1495="gross",0,""))</f>
        <v>1.5</v>
      </c>
    </row>
    <row r="1496" spans="1:15">
      <c r="A1496" s="195" t="str">
        <f t="shared" si="77"/>
        <v>inbound</v>
      </c>
      <c r="B1496" s="196">
        <v>45748.704861111109</v>
      </c>
      <c r="C1496" s="197" t="s">
        <v>1927</v>
      </c>
      <c r="D1496" s="197"/>
      <c r="E1496" s="217" t="s">
        <v>2692</v>
      </c>
      <c r="F1496" s="112" t="str">
        <f>IF(ISBLANK(E1496),"",_xlfn.XLOOKUP(E1496,cannabis_log!C:C,cannabis_log!J:J,"",0,))</f>
        <v>PR2301F5P3</v>
      </c>
      <c r="G1496" s="112"/>
      <c r="H1496" s="112" t="str">
        <f>IF(ISBLANK(E1496),"",_xlfn.XLOOKUP(E1496,cannabis_log!C:C,cannabis_log!H:H,"",0,1))</f>
        <v>preroll_labelled</v>
      </c>
      <c r="I1496" s="113">
        <f>IF(ISBLANK(E1496),"",_xlfn.XLOOKUP(E1496,cannabis_log!C:C,cannabis_log!K:K,"NOT FOUND",0,1))</f>
        <v>45457</v>
      </c>
      <c r="J1496" s="185">
        <v>20</v>
      </c>
      <c r="K1496" s="186">
        <f t="shared" si="78"/>
        <v>0</v>
      </c>
      <c r="L1496" s="288">
        <f t="shared" si="76"/>
        <v>30</v>
      </c>
      <c r="M1496" s="24"/>
      <c r="N1496" s="112" t="str">
        <f>IF(ISBLANK(E1496),"",_xlfn.XLOOKUP(E1496,cannabis_log!C:C,cannabis_log!T:T,"Not Found",0,))</f>
        <v>net</v>
      </c>
      <c r="O1496" s="180">
        <f>IF(N1496="net",_xlfn.XLOOKUP(E1496,cannabis_log!C:C,cannabis_log!N:N,"NOT FOUND",0,1),IF(N1496="gross",0,""))</f>
        <v>1.5</v>
      </c>
    </row>
    <row r="1497" spans="1:15">
      <c r="A1497" s="195" t="str">
        <f t="shared" si="77"/>
        <v>inbound</v>
      </c>
      <c r="B1497" s="196">
        <v>45748.705555555556</v>
      </c>
      <c r="C1497" s="197" t="s">
        <v>1927</v>
      </c>
      <c r="D1497" s="197"/>
      <c r="E1497" s="217" t="s">
        <v>2839</v>
      </c>
      <c r="F1497" s="112" t="str">
        <f>IF(ISBLANK(E1497),"",_xlfn.XLOOKUP(E1497,cannabis_log!C:C,cannabis_log!J:J,"",0,))</f>
        <v>PR2406F5P3</v>
      </c>
      <c r="G1497" s="112"/>
      <c r="H1497" s="112" t="str">
        <f>IF(ISBLANK(E1497),"",_xlfn.XLOOKUP(E1497,cannabis_log!C:C,cannabis_log!H:H,"",0,1))</f>
        <v>preroll_packaged</v>
      </c>
      <c r="I1497" s="113" t="str">
        <f>IF(ISBLANK(E1497),"",_xlfn.XLOOKUP(E1497,cannabis_log!C:C,cannabis_log!K:K,"NOT FOUND",0,1))</f>
        <v>NA</v>
      </c>
      <c r="J1497" s="185">
        <v>54</v>
      </c>
      <c r="K1497" s="186">
        <f t="shared" si="78"/>
        <v>0</v>
      </c>
      <c r="L1497" s="288">
        <f t="shared" si="76"/>
        <v>81</v>
      </c>
      <c r="M1497" s="24"/>
      <c r="N1497" s="112" t="str">
        <f>IF(ISBLANK(E1497),"",_xlfn.XLOOKUP(E1497,cannabis_log!C:C,cannabis_log!T:T,"Not Found",0,))</f>
        <v>net</v>
      </c>
      <c r="O1497" s="180">
        <f>IF(N1497="net",_xlfn.XLOOKUP(E1497,cannabis_log!C:C,cannabis_log!N:N,"NOT FOUND",0,1),IF(N1497="gross",0,""))</f>
        <v>1.5</v>
      </c>
    </row>
    <row r="1498" spans="1:15">
      <c r="A1498" s="195" t="str">
        <f t="shared" si="77"/>
        <v>outbound</v>
      </c>
      <c r="B1498" s="196">
        <v>45749.42083333333</v>
      </c>
      <c r="C1498" s="197" t="s">
        <v>1929</v>
      </c>
      <c r="D1498" s="22" t="s">
        <v>2855</v>
      </c>
      <c r="E1498" s="217" t="s">
        <v>2717</v>
      </c>
      <c r="F1498" s="112" t="str">
        <f>IF(ISBLANK(E1498),"",_xlfn.XLOOKUP(E1498,cannabis_log!C:C,cannabis_log!J:J,"",0,))</f>
        <v>2024111803G7</v>
      </c>
      <c r="G1498" s="112"/>
      <c r="H1498" s="112" t="str">
        <f>IF(ISBLANK(E1498),"",_xlfn.XLOOKUP(E1498,cannabis_log!C:C,cannabis_log!H:H,"",0,1))</f>
        <v>driedflower_labelled</v>
      </c>
      <c r="I1498" s="113">
        <f>IF(ISBLANK(E1498),"",_xlfn.XLOOKUP(E1498,cannabis_log!C:C,cannabis_log!K:K,"NOT FOUND",0,1))</f>
        <v>45721</v>
      </c>
      <c r="J1498" s="185">
        <v>-12</v>
      </c>
      <c r="K1498" s="186">
        <f t="shared" si="78"/>
        <v>0</v>
      </c>
      <c r="L1498" s="288">
        <f t="shared" si="76"/>
        <v>-84</v>
      </c>
      <c r="M1498" s="24"/>
      <c r="N1498" s="112" t="str">
        <f>IF(ISBLANK(E1498),"",_xlfn.XLOOKUP(E1498,cannabis_log!C:C,cannabis_log!T:T,"Not Found",0,))</f>
        <v>net</v>
      </c>
      <c r="O1498" s="180">
        <f>IF(N1498="net",_xlfn.XLOOKUP(E1498,cannabis_log!C:C,cannabis_log!N:N,"NOT FOUND",0,1),IF(N1498="gross",0,""))</f>
        <v>7</v>
      </c>
    </row>
    <row r="1499" spans="1:15">
      <c r="A1499" s="195" t="str">
        <f t="shared" si="77"/>
        <v>outbound</v>
      </c>
      <c r="B1499" s="196">
        <v>45749.45416666667</v>
      </c>
      <c r="C1499" s="197" t="s">
        <v>1929</v>
      </c>
      <c r="D1499" s="22" t="s">
        <v>2856</v>
      </c>
      <c r="E1499" s="217" t="s">
        <v>2848</v>
      </c>
      <c r="F1499" s="112" t="str">
        <f>IF(ISBLANK(E1499),"",_xlfn.XLOOKUP(E1499,cannabis_log!C:C,cannabis_log!J:J,"",0,))</f>
        <v>PR2501F5P10</v>
      </c>
      <c r="G1499" s="112"/>
      <c r="H1499" s="112" t="str">
        <f>IF(ISBLANK(E1499),"",_xlfn.XLOOKUP(E1499,cannabis_log!C:C,cannabis_log!H:H,"",0,1))</f>
        <v>preroll_labelled</v>
      </c>
      <c r="I1499" s="113">
        <f>IF(ISBLANK(E1499),"",_xlfn.XLOOKUP(E1499,cannabis_log!C:C,cannabis_log!K:K,"NOT FOUND",0,1))</f>
        <v>45742</v>
      </c>
      <c r="J1499" s="185">
        <v>-12</v>
      </c>
      <c r="K1499" s="186">
        <f t="shared" si="78"/>
        <v>0</v>
      </c>
      <c r="L1499" s="288">
        <f t="shared" si="76"/>
        <v>-60</v>
      </c>
      <c r="M1499" s="24"/>
      <c r="N1499" s="112" t="str">
        <f>IF(ISBLANK(E1499),"",_xlfn.XLOOKUP(E1499,cannabis_log!C:C,cannabis_log!T:T,"Not Found",0,))</f>
        <v>net</v>
      </c>
      <c r="O1499" s="180">
        <f>IF(N1499="net",_xlfn.XLOOKUP(E1499,cannabis_log!C:C,cannabis_log!N:N,"NOT FOUND",0,1),IF(N1499="gross",0,""))</f>
        <v>5</v>
      </c>
    </row>
    <row r="1500" spans="1:15">
      <c r="A1500" s="195" t="str">
        <f t="shared" si="77"/>
        <v>inbound</v>
      </c>
      <c r="B1500" s="196">
        <v>45749.584722222222</v>
      </c>
      <c r="C1500" s="197" t="s">
        <v>1927</v>
      </c>
      <c r="D1500" s="197"/>
      <c r="E1500" s="217" t="s">
        <v>2748</v>
      </c>
      <c r="F1500" s="112" t="str">
        <f>IF(ISBLANK(E1500),"",_xlfn.XLOOKUP(E1500,cannabis_log!C:C,cannabis_log!J:J,"",0,))</f>
        <v>EX24100801V30</v>
      </c>
      <c r="G1500" s="112"/>
      <c r="H1500" s="112" t="str">
        <f>IF(ISBLANK(E1500),"",_xlfn.XLOOKUP(E1500,cannabis_log!C:C,cannabis_log!H:H,"",0,1))</f>
        <v>extract_ingested_labelled</v>
      </c>
      <c r="I1500" s="113">
        <f>IF(ISBLANK(E1500),"",_xlfn.XLOOKUP(E1500,cannabis_log!C:C,cannabis_log!K:K,"NOT FOUND",0,1))</f>
        <v>45590</v>
      </c>
      <c r="J1500" s="185">
        <v>19</v>
      </c>
      <c r="K1500" s="186">
        <f t="shared" si="78"/>
        <v>0</v>
      </c>
      <c r="L1500" s="288">
        <f t="shared" si="76"/>
        <v>518.70000000000005</v>
      </c>
      <c r="M1500" s="24"/>
      <c r="N1500" s="112" t="str">
        <f>IF(ISBLANK(E1500),"",_xlfn.XLOOKUP(E1500,cannabis_log!C:C,cannabis_log!T:T,"Not Found",0,))</f>
        <v>net</v>
      </c>
      <c r="O1500" s="180">
        <f>IF(N1500="net",_xlfn.XLOOKUP(E1500,cannabis_log!C:C,cannabis_log!N:N,"NOT FOUND",0,1),IF(N1500="gross",0,""))</f>
        <v>27.3</v>
      </c>
    </row>
    <row r="1501" spans="1:15">
      <c r="A1501" s="195" t="str">
        <f t="shared" si="77"/>
        <v>inbound</v>
      </c>
      <c r="B1501" s="196">
        <v>45749.585416666669</v>
      </c>
      <c r="C1501" s="197" t="s">
        <v>1927</v>
      </c>
      <c r="D1501" s="197"/>
      <c r="E1501" s="217" t="s">
        <v>2705</v>
      </c>
      <c r="F1501" s="112" t="str">
        <f>IF(ISBLANK(E1501),"",_xlfn.XLOOKUP(E1501,cannabis_log!C:C,cannabis_log!J:J,"",0,))</f>
        <v>TP24120401G45</v>
      </c>
      <c r="G1501" s="112"/>
      <c r="H1501" s="112" t="str">
        <f>IF(ISBLANK(E1501),"",_xlfn.XLOOKUP(E1501,cannabis_log!C:C,cannabis_log!H:H,"",0,1))</f>
        <v>topical_labelled</v>
      </c>
      <c r="I1501" s="113">
        <f>IF(ISBLANK(E1501),"",_xlfn.XLOOKUP(E1501,cannabis_log!C:C,cannabis_log!K:K,"NOT FOUND",0,1))</f>
        <v>45638</v>
      </c>
      <c r="J1501" s="185">
        <v>112</v>
      </c>
      <c r="K1501" s="186">
        <f t="shared" si="78"/>
        <v>0</v>
      </c>
      <c r="L1501" s="288">
        <f t="shared" si="76"/>
        <v>5040</v>
      </c>
      <c r="M1501" s="24"/>
      <c r="N1501" s="112" t="str">
        <f>IF(ISBLANK(E1501),"",_xlfn.XLOOKUP(E1501,cannabis_log!C:C,cannabis_log!T:T,"Not Found",0,))</f>
        <v>net</v>
      </c>
      <c r="O1501" s="180">
        <f>IF(N1501="net",_xlfn.XLOOKUP(E1501,cannabis_log!C:C,cannabis_log!N:N,"NOT FOUND",0,1),IF(N1501="gross",0,""))</f>
        <v>45</v>
      </c>
    </row>
    <row r="1502" spans="1:15">
      <c r="A1502" s="195" t="str">
        <f t="shared" si="77"/>
        <v>outbound</v>
      </c>
      <c r="B1502" s="196">
        <v>45750.394444444442</v>
      </c>
      <c r="C1502" s="197" t="s">
        <v>1924</v>
      </c>
      <c r="D1502" s="197" t="s">
        <v>1635</v>
      </c>
      <c r="E1502" s="217" t="s">
        <v>2857</v>
      </c>
      <c r="F1502" s="112">
        <f>IF(ISBLANK(E1502),"",_xlfn.XLOOKUP(E1502,cannabis_log!C:C,cannabis_log!J:J,"",0,))</f>
        <v>2025021301</v>
      </c>
      <c r="G1502" s="112"/>
      <c r="H1502" s="112" t="str">
        <f>IF(ISBLANK(E1502),"",_xlfn.XLOOKUP(E1502,cannabis_log!C:C,cannabis_log!H:H,"",0,1))</f>
        <v>driedflower_bulk</v>
      </c>
      <c r="I1502" s="113" t="str">
        <f>IF(ISBLANK(E1502),"",_xlfn.XLOOKUP(E1502,cannabis_log!C:C,cannabis_log!K:K,"NOT FOUND",0,1))</f>
        <v>NA</v>
      </c>
      <c r="J1502" s="185">
        <v>-1</v>
      </c>
      <c r="K1502" s="186">
        <v>-624</v>
      </c>
      <c r="L1502" s="288">
        <f t="shared" si="76"/>
        <v>0</v>
      </c>
      <c r="M1502" s="24"/>
      <c r="N1502" s="112" t="str">
        <f>IF(ISBLANK(E1502),"",_xlfn.XLOOKUP(E1502,cannabis_log!C:C,cannabis_log!T:T,"Not Found",0,))</f>
        <v>gross</v>
      </c>
      <c r="O1502" s="180">
        <f>IF(N1502="net",_xlfn.XLOOKUP(E1502,cannabis_log!C:C,cannabis_log!N:N,"NOT FOUND",0,1),IF(N1502="gross",0,""))</f>
        <v>0</v>
      </c>
    </row>
    <row r="1503" spans="1:15">
      <c r="A1503" s="195" t="str">
        <f t="shared" si="77"/>
        <v>outbound</v>
      </c>
      <c r="B1503" s="196">
        <v>45750.394444444442</v>
      </c>
      <c r="C1503" s="197" t="s">
        <v>1924</v>
      </c>
      <c r="D1503" s="197" t="s">
        <v>1635</v>
      </c>
      <c r="E1503" s="217" t="s">
        <v>2739</v>
      </c>
      <c r="F1503" s="112">
        <f>IF(ISBLANK(E1503),"",_xlfn.XLOOKUP(E1503,cannabis_log!C:C,cannabis_log!J:J,"",0,))</f>
        <v>2023110201</v>
      </c>
      <c r="G1503" s="112"/>
      <c r="H1503" s="112" t="str">
        <f>IF(ISBLANK(E1503),"",_xlfn.XLOOKUP(E1503,cannabis_log!C:C,cannabis_log!H:H,"",0,1))</f>
        <v>extract_distillate_bulk</v>
      </c>
      <c r="I1503" s="113" t="str">
        <f>IF(ISBLANK(E1503),"",_xlfn.XLOOKUP(E1503,cannabis_log!C:C,cannabis_log!K:K,"NOT FOUND",0,1))</f>
        <v>NA</v>
      </c>
      <c r="J1503" s="185">
        <v>-1</v>
      </c>
      <c r="K1503" s="186">
        <v>-606</v>
      </c>
      <c r="L1503" s="288">
        <f t="shared" si="76"/>
        <v>0</v>
      </c>
      <c r="M1503" s="24"/>
      <c r="N1503" s="112" t="str">
        <f>IF(ISBLANK(E1503),"",_xlfn.XLOOKUP(E1503,cannabis_log!C:C,cannabis_log!T:T,"Not Found",0,))</f>
        <v>gross</v>
      </c>
      <c r="O1503" s="180">
        <f>IF(N1503="net",_xlfn.XLOOKUP(E1503,cannabis_log!C:C,cannabis_log!N:N,"NOT FOUND",0,1),IF(N1503="gross",0,""))</f>
        <v>0</v>
      </c>
    </row>
    <row r="1504" spans="1:15">
      <c r="A1504" s="195" t="str">
        <f t="shared" si="77"/>
        <v>outbound</v>
      </c>
      <c r="B1504" s="196">
        <v>45750.394444444442</v>
      </c>
      <c r="C1504" s="197" t="s">
        <v>1924</v>
      </c>
      <c r="D1504" s="197" t="s">
        <v>1635</v>
      </c>
      <c r="E1504" s="217" t="s">
        <v>2740</v>
      </c>
      <c r="F1504" s="112">
        <f>IF(ISBLANK(E1504),"",_xlfn.XLOOKUP(E1504,cannabis_log!C:C,cannabis_log!J:J,"",0,))</f>
        <v>2025021303</v>
      </c>
      <c r="G1504" s="112"/>
      <c r="H1504" s="112" t="str">
        <f>IF(ISBLANK(E1504),"",_xlfn.XLOOKUP(E1504,cannabis_log!C:C,cannabis_log!H:H,"",0,1))</f>
        <v>infusedflower_bulk</v>
      </c>
      <c r="I1504" s="113" t="str">
        <f>IF(ISBLANK(E1504),"",_xlfn.XLOOKUP(E1504,cannabis_log!C:C,cannabis_log!K:K,"NOT FOUND",0,1))</f>
        <v>NA</v>
      </c>
      <c r="J1504" s="185">
        <v>-1</v>
      </c>
      <c r="K1504" s="186">
        <v>-806</v>
      </c>
      <c r="L1504" s="288">
        <f t="shared" si="76"/>
        <v>0</v>
      </c>
      <c r="M1504" s="24"/>
      <c r="N1504" s="112" t="str">
        <f>IF(ISBLANK(E1504),"",_xlfn.XLOOKUP(E1504,cannabis_log!C:C,cannabis_log!T:T,"Not Found",0,))</f>
        <v>gross</v>
      </c>
      <c r="O1504" s="180">
        <f>IF(N1504="net",_xlfn.XLOOKUP(E1504,cannabis_log!C:C,cannabis_log!N:N,"NOT FOUND",0,1),IF(N1504="gross",0,""))</f>
        <v>0</v>
      </c>
    </row>
    <row r="1505" spans="1:15">
      <c r="A1505" s="195" t="str">
        <f t="shared" si="77"/>
        <v>outbound</v>
      </c>
      <c r="B1505" s="196">
        <v>45750.401388888888</v>
      </c>
      <c r="C1505" s="197" t="s">
        <v>1929</v>
      </c>
      <c r="D1505" s="197"/>
      <c r="E1505" s="217" t="s">
        <v>2732</v>
      </c>
      <c r="F1505" s="112" t="str">
        <f>IF(ISBLANK(E1505),"",_xlfn.XLOOKUP(E1505,cannabis_log!C:C,cannabis_log!J:J,"",0,))</f>
        <v>PR2507F1P2</v>
      </c>
      <c r="G1505" s="112"/>
      <c r="H1505" s="112" t="str">
        <f>IF(ISBLANK(E1505),"",_xlfn.XLOOKUP(E1505,cannabis_log!C:C,cannabis_log!H:H,"",0,1))</f>
        <v>preroll_labelled</v>
      </c>
      <c r="I1505" s="113">
        <f>IF(ISBLANK(E1505),"",_xlfn.XLOOKUP(E1505,cannabis_log!C:C,cannabis_log!K:K,"NOT FOUND",0,1))</f>
        <v>45728</v>
      </c>
      <c r="J1505" s="185">
        <v>-10</v>
      </c>
      <c r="K1505" s="186">
        <f t="shared" ref="K1505:K1520" si="79">IF(N1505="net",0,"")</f>
        <v>0</v>
      </c>
      <c r="L1505" s="288">
        <f t="shared" si="76"/>
        <v>-20</v>
      </c>
      <c r="M1505" s="24"/>
      <c r="N1505" s="112" t="str">
        <f>IF(ISBLANK(E1505),"",_xlfn.XLOOKUP(E1505,cannabis_log!C:C,cannabis_log!T:T,"Not Found",0,))</f>
        <v>net</v>
      </c>
      <c r="O1505" s="180">
        <f>IF(N1505="net",_xlfn.XLOOKUP(E1505,cannabis_log!C:C,cannabis_log!N:N,"NOT FOUND",0,1),IF(N1505="gross",0,""))</f>
        <v>2</v>
      </c>
    </row>
    <row r="1506" spans="1:15">
      <c r="A1506" s="195" t="str">
        <f t="shared" si="77"/>
        <v>outbound</v>
      </c>
      <c r="B1506" s="196">
        <v>45750.433333333334</v>
      </c>
      <c r="C1506" s="197" t="s">
        <v>1929</v>
      </c>
      <c r="D1506" s="197"/>
      <c r="E1506" s="217" t="s">
        <v>2849</v>
      </c>
      <c r="F1506" s="112" t="str">
        <f>IF(ISBLANK(E1506),"",_xlfn.XLOOKUP(E1506,cannabis_log!C:C,cannabis_log!J:J,"",0,))</f>
        <v>2024121801G7</v>
      </c>
      <c r="G1506" s="112"/>
      <c r="H1506" s="112" t="str">
        <f>IF(ISBLANK(E1506),"",_xlfn.XLOOKUP(E1506,cannabis_log!C:C,cannabis_log!H:H,"",0,1))</f>
        <v>driedflower_labelled</v>
      </c>
      <c r="I1506" s="113">
        <f>IF(ISBLANK(E1506),"",_xlfn.XLOOKUP(E1506,cannabis_log!C:C,cannabis_log!K:K,"NOT FOUND",0,1))</f>
        <v>45742</v>
      </c>
      <c r="J1506" s="185">
        <v>-68</v>
      </c>
      <c r="K1506" s="186">
        <f t="shared" si="79"/>
        <v>0</v>
      </c>
      <c r="L1506" s="288">
        <f t="shared" si="76"/>
        <v>-476</v>
      </c>
      <c r="M1506" s="24"/>
      <c r="N1506" s="112" t="str">
        <f>IF(ISBLANK(E1506),"",_xlfn.XLOOKUP(E1506,cannabis_log!C:C,cannabis_log!T:T,"Not Found",0,))</f>
        <v>net</v>
      </c>
      <c r="O1506" s="180">
        <f>IF(N1506="net",_xlfn.XLOOKUP(E1506,cannabis_log!C:C,cannabis_log!N:N,"NOT FOUND",0,1),IF(N1506="gross",0,""))</f>
        <v>7</v>
      </c>
    </row>
    <row r="1507" spans="1:15">
      <c r="A1507" s="195" t="str">
        <f t="shared" si="77"/>
        <v>outbound</v>
      </c>
      <c r="B1507" s="196">
        <v>45750.433333333334</v>
      </c>
      <c r="C1507" s="197" t="s">
        <v>1929</v>
      </c>
      <c r="D1507" s="197"/>
      <c r="E1507" s="217" t="s">
        <v>2848</v>
      </c>
      <c r="F1507" s="112" t="str">
        <f>IF(ISBLANK(E1507),"",_xlfn.XLOOKUP(E1507,cannabis_log!C:C,cannabis_log!J:J,"",0,))</f>
        <v>PR2501F5P10</v>
      </c>
      <c r="G1507" s="112"/>
      <c r="H1507" s="112" t="str">
        <f>IF(ISBLANK(E1507),"",_xlfn.XLOOKUP(E1507,cannabis_log!C:C,cannabis_log!H:H,"",0,1))</f>
        <v>preroll_labelled</v>
      </c>
      <c r="I1507" s="113">
        <f>IF(ISBLANK(E1507),"",_xlfn.XLOOKUP(E1507,cannabis_log!C:C,cannabis_log!K:K,"NOT FOUND",0,1))</f>
        <v>45742</v>
      </c>
      <c r="J1507" s="185">
        <v>-36</v>
      </c>
      <c r="K1507" s="186">
        <f t="shared" si="79"/>
        <v>0</v>
      </c>
      <c r="L1507" s="288">
        <f t="shared" si="76"/>
        <v>-180</v>
      </c>
      <c r="M1507" s="24"/>
      <c r="N1507" s="112" t="str">
        <f>IF(ISBLANK(E1507),"",_xlfn.XLOOKUP(E1507,cannabis_log!C:C,cannabis_log!T:T,"Not Found",0,))</f>
        <v>net</v>
      </c>
      <c r="O1507" s="180">
        <f>IF(N1507="net",_xlfn.XLOOKUP(E1507,cannabis_log!C:C,cannabis_log!N:N,"NOT FOUND",0,1),IF(N1507="gross",0,""))</f>
        <v>5</v>
      </c>
    </row>
    <row r="1508" spans="1:15">
      <c r="A1508" s="195" t="str">
        <f t="shared" si="77"/>
        <v>outbound</v>
      </c>
      <c r="B1508" s="196">
        <v>45750.607638888891</v>
      </c>
      <c r="C1508" s="197" t="s">
        <v>1929</v>
      </c>
      <c r="D1508" s="197"/>
      <c r="E1508" s="217" t="s">
        <v>2735</v>
      </c>
      <c r="F1508" s="112" t="str">
        <f>IF(ISBLANK(E1508),"",_xlfn.XLOOKUP(E1508,cannabis_log!C:C,cannabis_log!J:J,"",0,))</f>
        <v>EX25012101V50</v>
      </c>
      <c r="G1508" s="112"/>
      <c r="H1508" s="112" t="str">
        <f>IF(ISBLANK(E1508),"",_xlfn.XLOOKUP(E1508,cannabis_log!C:C,cannabis_log!H:H,"",0,1))</f>
        <v>extract_ingested_packaged</v>
      </c>
      <c r="I1508" s="113">
        <f>IF(ISBLANK(E1508),"",_xlfn.XLOOKUP(E1508,cannabis_log!C:C,cannabis_log!K:K,"NOT FOUND",0,1))</f>
        <v>45700</v>
      </c>
      <c r="J1508" s="185">
        <v>-164</v>
      </c>
      <c r="K1508" s="186">
        <f t="shared" si="79"/>
        <v>0</v>
      </c>
      <c r="L1508" s="288">
        <f t="shared" si="76"/>
        <v>-8200</v>
      </c>
      <c r="M1508" s="24"/>
      <c r="N1508" s="112" t="str">
        <f>IF(ISBLANK(E1508),"",_xlfn.XLOOKUP(E1508,cannabis_log!C:C,cannabis_log!T:T,"Not Found",0,))</f>
        <v>net</v>
      </c>
      <c r="O1508" s="180">
        <f>IF(N1508="net",_xlfn.XLOOKUP(E1508,cannabis_log!C:C,cannabis_log!N:N,"NOT FOUND",0,1),IF(N1508="gross",0,""))</f>
        <v>50</v>
      </c>
    </row>
    <row r="1509" spans="1:15">
      <c r="A1509" s="195" t="str">
        <f t="shared" si="77"/>
        <v>outbound</v>
      </c>
      <c r="B1509" s="196">
        <v>45750.607638888891</v>
      </c>
      <c r="C1509" s="197" t="s">
        <v>1929</v>
      </c>
      <c r="D1509" s="197"/>
      <c r="E1509" s="217" t="s">
        <v>2737</v>
      </c>
      <c r="F1509" s="112" t="str">
        <f>IF(ISBLANK(E1509),"",_xlfn.XLOOKUP(E1509,cannabis_log!C:C,cannabis_log!J:J,"",0,))</f>
        <v>EX24092601V50</v>
      </c>
      <c r="G1509" s="112"/>
      <c r="H1509" s="112" t="str">
        <f>IF(ISBLANK(E1509),"",_xlfn.XLOOKUP(E1509,cannabis_log!C:C,cannabis_log!H:H,"",0,1))</f>
        <v>extract_ingested_labelled</v>
      </c>
      <c r="I1509" s="113">
        <f>IF(ISBLANK(E1509),"",_xlfn.XLOOKUP(E1509,cannabis_log!C:C,cannabis_log!K:K,"NOT FOUND",0,1))</f>
        <v>45576</v>
      </c>
      <c r="J1509" s="185">
        <v>-181</v>
      </c>
      <c r="K1509" s="186">
        <f t="shared" si="79"/>
        <v>0</v>
      </c>
      <c r="L1509" s="288">
        <f t="shared" si="76"/>
        <v>-9050</v>
      </c>
      <c r="M1509" s="24"/>
      <c r="N1509" s="112" t="str">
        <f>IF(ISBLANK(E1509),"",_xlfn.XLOOKUP(E1509,cannabis_log!C:C,cannabis_log!T:T,"Not Found",0,))</f>
        <v>net</v>
      </c>
      <c r="O1509" s="180">
        <f>IF(N1509="net",_xlfn.XLOOKUP(E1509,cannabis_log!C:C,cannabis_log!N:N,"NOT FOUND",0,1),IF(N1509="gross",0,""))</f>
        <v>50</v>
      </c>
    </row>
    <row r="1510" spans="1:15">
      <c r="A1510" s="195" t="str">
        <f t="shared" si="77"/>
        <v>outbound</v>
      </c>
      <c r="B1510" s="196">
        <v>45750.607638888891</v>
      </c>
      <c r="C1510" s="197" t="s">
        <v>1929</v>
      </c>
      <c r="D1510" s="197"/>
      <c r="E1510" s="217" t="s">
        <v>2848</v>
      </c>
      <c r="F1510" s="112" t="str">
        <f>IF(ISBLANK(E1510),"",_xlfn.XLOOKUP(E1510,cannabis_log!C:C,cannabis_log!J:J,"",0,))</f>
        <v>PR2501F5P10</v>
      </c>
      <c r="G1510" s="112"/>
      <c r="H1510" s="112" t="str">
        <f>IF(ISBLANK(E1510),"",_xlfn.XLOOKUP(E1510,cannabis_log!C:C,cannabis_log!H:H,"",0,1))</f>
        <v>preroll_labelled</v>
      </c>
      <c r="I1510" s="113">
        <f>IF(ISBLANK(E1510),"",_xlfn.XLOOKUP(E1510,cannabis_log!C:C,cannabis_log!K:K,"NOT FOUND",0,1))</f>
        <v>45742</v>
      </c>
      <c r="J1510" s="185">
        <v>-12</v>
      </c>
      <c r="K1510" s="186">
        <f t="shared" si="79"/>
        <v>0</v>
      </c>
      <c r="L1510" s="288">
        <f t="shared" si="76"/>
        <v>-60</v>
      </c>
      <c r="M1510" s="24"/>
      <c r="N1510" s="112" t="str">
        <f>IF(ISBLANK(E1510),"",_xlfn.XLOOKUP(E1510,cannabis_log!C:C,cannabis_log!T:T,"Not Found",0,))</f>
        <v>net</v>
      </c>
      <c r="O1510" s="180">
        <f>IF(N1510="net",_xlfn.XLOOKUP(E1510,cannabis_log!C:C,cannabis_log!N:N,"NOT FOUND",0,1),IF(N1510="gross",0,""))</f>
        <v>5</v>
      </c>
    </row>
    <row r="1511" spans="1:15">
      <c r="A1511" s="195" t="str">
        <f t="shared" si="77"/>
        <v>outbound</v>
      </c>
      <c r="B1511" s="196">
        <v>45750.607638888891</v>
      </c>
      <c r="C1511" s="197" t="s">
        <v>1929</v>
      </c>
      <c r="D1511" s="197"/>
      <c r="E1511" s="217" t="s">
        <v>2748</v>
      </c>
      <c r="F1511" s="112" t="str">
        <f>IF(ISBLANK(E1511),"",_xlfn.XLOOKUP(E1511,cannabis_log!C:C,cannabis_log!J:J,"",0,))</f>
        <v>EX24100801V30</v>
      </c>
      <c r="G1511" s="112"/>
      <c r="H1511" s="112" t="str">
        <f>IF(ISBLANK(E1511),"",_xlfn.XLOOKUP(E1511,cannabis_log!C:C,cannabis_log!H:H,"",0,1))</f>
        <v>extract_ingested_labelled</v>
      </c>
      <c r="I1511" s="113">
        <f>IF(ISBLANK(E1511),"",_xlfn.XLOOKUP(E1511,cannabis_log!C:C,cannabis_log!K:K,"NOT FOUND",0,1))</f>
        <v>45590</v>
      </c>
      <c r="J1511" s="185">
        <v>-12</v>
      </c>
      <c r="K1511" s="186">
        <f t="shared" si="79"/>
        <v>0</v>
      </c>
      <c r="L1511" s="288">
        <f t="shared" si="76"/>
        <v>-327.60000000000002</v>
      </c>
      <c r="M1511" s="24"/>
      <c r="N1511" s="112" t="str">
        <f>IF(ISBLANK(E1511),"",_xlfn.XLOOKUP(E1511,cannabis_log!C:C,cannabis_log!T:T,"Not Found",0,))</f>
        <v>net</v>
      </c>
      <c r="O1511" s="180">
        <f>IF(N1511="net",_xlfn.XLOOKUP(E1511,cannabis_log!C:C,cannabis_log!N:N,"NOT FOUND",0,1),IF(N1511="gross",0,""))</f>
        <v>27.3</v>
      </c>
    </row>
    <row r="1512" spans="1:15">
      <c r="A1512" s="195" t="str">
        <f t="shared" si="77"/>
        <v>outbound</v>
      </c>
      <c r="B1512" s="196">
        <v>45750.607638888891</v>
      </c>
      <c r="C1512" s="197" t="s">
        <v>1929</v>
      </c>
      <c r="D1512" s="197"/>
      <c r="E1512" s="217" t="s">
        <v>2858</v>
      </c>
      <c r="F1512" s="112" t="str">
        <f>IF(ISBLANK(E1512),"",_xlfn.XLOOKUP(E1512,cannabis_log!C:C,cannabis_log!J:J,"",0,))</f>
        <v>DI22092601V60</v>
      </c>
      <c r="G1512" s="112"/>
      <c r="H1512" s="112" t="str">
        <f>IF(ISBLANK(E1512),"",_xlfn.XLOOKUP(E1512,cannabis_log!C:C,cannabis_log!H:H,"",0,1))</f>
        <v>extract_ingested_labelled</v>
      </c>
      <c r="I1512" s="113">
        <f>IF(ISBLANK(E1512),"",_xlfn.XLOOKUP(E1512,cannabis_log!C:C,cannabis_log!K:K,"NOT FOUND",0,1))</f>
        <v>45110</v>
      </c>
      <c r="J1512" s="185">
        <v>-3</v>
      </c>
      <c r="K1512" s="186">
        <f t="shared" si="79"/>
        <v>0</v>
      </c>
      <c r="L1512" s="288">
        <f t="shared" si="76"/>
        <v>-164.39999999999998</v>
      </c>
      <c r="M1512" s="24"/>
      <c r="N1512" s="112" t="str">
        <f>IF(ISBLANK(E1512),"",_xlfn.XLOOKUP(E1512,cannabis_log!C:C,cannabis_log!T:T,"Not Found",0,))</f>
        <v>net</v>
      </c>
      <c r="O1512" s="180">
        <f>IF(N1512="net",_xlfn.XLOOKUP(E1512,cannabis_log!C:C,cannabis_log!N:N,"NOT FOUND",0,1),IF(N1512="gross",0,""))</f>
        <v>54.8</v>
      </c>
    </row>
    <row r="1513" spans="1:15">
      <c r="A1513" s="195" t="str">
        <f t="shared" si="77"/>
        <v>outbound</v>
      </c>
      <c r="B1513" s="196">
        <v>45750.607638888891</v>
      </c>
      <c r="C1513" s="197" t="s">
        <v>1929</v>
      </c>
      <c r="D1513" s="197"/>
      <c r="E1513" s="217" t="s">
        <v>2724</v>
      </c>
      <c r="F1513" s="112" t="str">
        <f>IF(ISBLANK(E1513),"",_xlfn.XLOOKUP(E1513,cannabis_log!C:C,cannabis_log!J:J,"",0,))</f>
        <v>PR241102F5P3</v>
      </c>
      <c r="G1513" s="112"/>
      <c r="H1513" s="112" t="str">
        <f>IF(ISBLANK(E1513),"",_xlfn.XLOOKUP(E1513,cannabis_log!C:C,cannabis_log!H:H,"",0,1))</f>
        <v>preroll_labelled</v>
      </c>
      <c r="I1513" s="113">
        <f>IF(ISBLANK(E1513),"",_xlfn.XLOOKUP(E1513,cannabis_log!C:C,cannabis_log!K:K,"NOT FOUND",0,1))</f>
        <v>45660</v>
      </c>
      <c r="J1513" s="185">
        <v>-12</v>
      </c>
      <c r="K1513" s="186">
        <f t="shared" si="79"/>
        <v>0</v>
      </c>
      <c r="L1513" s="288">
        <f t="shared" si="76"/>
        <v>-18</v>
      </c>
      <c r="M1513" s="24"/>
      <c r="N1513" s="112" t="str">
        <f>IF(ISBLANK(E1513),"",_xlfn.XLOOKUP(E1513,cannabis_log!C:C,cannabis_log!T:T,"Not Found",0,))</f>
        <v>net</v>
      </c>
      <c r="O1513" s="180">
        <f>IF(N1513="net",_xlfn.XLOOKUP(E1513,cannabis_log!C:C,cannabis_log!N:N,"NOT FOUND",0,1),IF(N1513="gross",0,""))</f>
        <v>1.5</v>
      </c>
    </row>
    <row r="1514" spans="1:15">
      <c r="A1514" s="195" t="str">
        <f t="shared" si="77"/>
        <v>outbound</v>
      </c>
      <c r="B1514" s="196">
        <v>45750.607638888891</v>
      </c>
      <c r="C1514" s="197" t="s">
        <v>1929</v>
      </c>
      <c r="D1514" s="197"/>
      <c r="E1514" s="217" t="s">
        <v>2712</v>
      </c>
      <c r="F1514" s="112" t="str">
        <f>IF(ISBLANK(E1514),"",_xlfn.XLOOKUP(E1514,cannabis_log!C:C,cannabis_log!J:J,"",0,))</f>
        <v>PR241003F5P3</v>
      </c>
      <c r="G1514" s="112"/>
      <c r="H1514" s="112" t="str">
        <f>IF(ISBLANK(E1514),"",_xlfn.XLOOKUP(E1514,cannabis_log!C:C,cannabis_log!H:H,"",0,1))</f>
        <v>preroll_labelled</v>
      </c>
      <c r="I1514" s="113">
        <f>IF(ISBLANK(E1514),"",_xlfn.XLOOKUP(E1514,cannabis_log!C:C,cannabis_log!K:K,"NOT FOUND",0,1))</f>
        <v>45575</v>
      </c>
      <c r="J1514" s="185">
        <v>-12</v>
      </c>
      <c r="K1514" s="186">
        <f t="shared" si="79"/>
        <v>0</v>
      </c>
      <c r="L1514" s="288">
        <f t="shared" si="76"/>
        <v>-18</v>
      </c>
      <c r="M1514" s="24"/>
      <c r="N1514" s="112" t="str">
        <f>IF(ISBLANK(E1514),"",_xlfn.XLOOKUP(E1514,cannabis_log!C:C,cannabis_log!T:T,"Not Found",0,))</f>
        <v>net</v>
      </c>
      <c r="O1514" s="180">
        <f>IF(N1514="net",_xlfn.XLOOKUP(E1514,cannabis_log!C:C,cannabis_log!N:N,"NOT FOUND",0,1),IF(N1514="gross",0,""))</f>
        <v>1.5</v>
      </c>
    </row>
    <row r="1515" spans="1:15">
      <c r="A1515" s="195" t="str">
        <f t="shared" si="77"/>
        <v>outbound</v>
      </c>
      <c r="B1515" s="196">
        <v>45750.607638888891</v>
      </c>
      <c r="C1515" s="197" t="s">
        <v>1921</v>
      </c>
      <c r="D1515" s="197"/>
      <c r="E1515" s="217" t="s">
        <v>2859</v>
      </c>
      <c r="F1515" s="112" t="str">
        <f>IF(ISBLANK(E1515),"",_xlfn.XLOOKUP(E1515,cannabis_log!C:C,cannabis_log!J:J,"",0,))</f>
        <v>PR2511F5</v>
      </c>
      <c r="G1515" s="112"/>
      <c r="H1515" s="112" t="str">
        <f>IF(ISBLANK(E1515),"",_xlfn.XLOOKUP(E1515,cannabis_log!C:C,cannabis_log!H:H,"",0,1))</f>
        <v>preroll_bulk</v>
      </c>
      <c r="I1515" s="113" t="str">
        <f>IF(ISBLANK(E1515),"",_xlfn.XLOOKUP(E1515,cannabis_log!C:C,cannabis_log!K:K,"NOT FOUND",0,1))</f>
        <v>NA</v>
      </c>
      <c r="J1515" s="185">
        <v>-517</v>
      </c>
      <c r="K1515" s="186">
        <f t="shared" si="79"/>
        <v>0</v>
      </c>
      <c r="L1515" s="288">
        <f t="shared" si="76"/>
        <v>-258.5</v>
      </c>
      <c r="M1515" s="24"/>
      <c r="N1515" s="112" t="str">
        <f>IF(ISBLANK(E1515),"",_xlfn.XLOOKUP(E1515,cannabis_log!C:C,cannabis_log!T:T,"Not Found",0,))</f>
        <v>net</v>
      </c>
      <c r="O1515" s="180">
        <f>IF(N1515="net",_xlfn.XLOOKUP(E1515,cannabis_log!C:C,cannabis_log!N:N,"NOT FOUND",0,1),IF(N1515="gross",0,""))</f>
        <v>0.5</v>
      </c>
    </row>
    <row r="1516" spans="1:15">
      <c r="A1516" s="195" t="str">
        <f t="shared" si="77"/>
        <v>outbound</v>
      </c>
      <c r="B1516" s="196">
        <v>45750.607638888891</v>
      </c>
      <c r="C1516" s="197" t="s">
        <v>1921</v>
      </c>
      <c r="D1516" s="197"/>
      <c r="E1516" s="217" t="s">
        <v>2860</v>
      </c>
      <c r="F1516" s="112" t="str">
        <f>IF(ISBLANK(E1516),"",_xlfn.XLOOKUP(E1516,cannabis_log!C:C,cannabis_log!J:J,"",0,))</f>
        <v>PR2511F5</v>
      </c>
      <c r="G1516" s="112"/>
      <c r="H1516" s="112" t="str">
        <f>IF(ISBLANK(E1516),"",_xlfn.XLOOKUP(E1516,cannabis_log!C:C,cannabis_log!H:H,"",0,1))</f>
        <v>preroll_bulk</v>
      </c>
      <c r="I1516" s="113" t="str">
        <f>IF(ISBLANK(E1516),"",_xlfn.XLOOKUP(E1516,cannabis_log!C:C,cannabis_log!K:K,"NOT FOUND",0,1))</f>
        <v>NA</v>
      </c>
      <c r="J1516" s="185">
        <v>-550</v>
      </c>
      <c r="K1516" s="186">
        <f t="shared" si="79"/>
        <v>0</v>
      </c>
      <c r="L1516" s="288">
        <f t="shared" si="76"/>
        <v>-275</v>
      </c>
      <c r="M1516" s="24"/>
      <c r="N1516" s="112" t="str">
        <f>IF(ISBLANK(E1516),"",_xlfn.XLOOKUP(E1516,cannabis_log!C:C,cannabis_log!T:T,"Not Found",0,))</f>
        <v>net</v>
      </c>
      <c r="O1516" s="180">
        <f>IF(N1516="net",_xlfn.XLOOKUP(E1516,cannabis_log!C:C,cannabis_log!N:N,"NOT FOUND",0,1),IF(N1516="gross",0,""))</f>
        <v>0.5</v>
      </c>
    </row>
    <row r="1517" spans="1:15">
      <c r="A1517" s="195" t="str">
        <f t="shared" si="77"/>
        <v>outbound</v>
      </c>
      <c r="B1517" s="196">
        <v>45750.607638888891</v>
      </c>
      <c r="C1517" s="197" t="s">
        <v>1929</v>
      </c>
      <c r="D1517" s="197"/>
      <c r="E1517" s="217" t="s">
        <v>2861</v>
      </c>
      <c r="F1517" s="112" t="str">
        <f>IF(ISBLANK(E1517),"",_xlfn.XLOOKUP(E1517,cannabis_log!C:C,cannabis_log!J:J,"",0,))</f>
        <v>PR2406F1P1</v>
      </c>
      <c r="G1517" s="112"/>
      <c r="H1517" s="112" t="str">
        <f>IF(ISBLANK(E1517),"",_xlfn.XLOOKUP(E1517,cannabis_log!C:C,cannabis_log!H:H,"",0,1))</f>
        <v>preroll_labelled</v>
      </c>
      <c r="I1517" s="113">
        <f>IF(ISBLANK(E1517),"",_xlfn.XLOOKUP(E1517,cannabis_log!C:C,cannabis_log!K:K,"NOT FOUND",0,1))</f>
        <v>45742</v>
      </c>
      <c r="J1517" s="185">
        <v>-12</v>
      </c>
      <c r="K1517" s="186">
        <f t="shared" si="79"/>
        <v>0</v>
      </c>
      <c r="L1517" s="288">
        <f t="shared" si="76"/>
        <v>-12</v>
      </c>
      <c r="M1517" s="24"/>
      <c r="N1517" s="112" t="str">
        <f>IF(ISBLANK(E1517),"",_xlfn.XLOOKUP(E1517,cannabis_log!C:C,cannabis_log!T:T,"Not Found",0,))</f>
        <v>net</v>
      </c>
      <c r="O1517" s="180">
        <f>IF(N1517="net",_xlfn.XLOOKUP(E1517,cannabis_log!C:C,cannabis_log!N:N,"NOT FOUND",0,1),IF(N1517="gross",0,""))</f>
        <v>1</v>
      </c>
    </row>
    <row r="1518" spans="1:15">
      <c r="A1518" s="195" t="str">
        <f t="shared" si="77"/>
        <v>outbound</v>
      </c>
      <c r="B1518" s="196">
        <v>45750.607638888891</v>
      </c>
      <c r="C1518" s="197" t="s">
        <v>1924</v>
      </c>
      <c r="D1518" s="197" t="s">
        <v>2862</v>
      </c>
      <c r="E1518" s="217" t="s">
        <v>2705</v>
      </c>
      <c r="F1518" s="112" t="str">
        <f>IF(ISBLANK(E1518),"",_xlfn.XLOOKUP(E1518,cannabis_log!C:C,cannabis_log!J:J,"",0,))</f>
        <v>TP24120401G45</v>
      </c>
      <c r="G1518" s="112"/>
      <c r="H1518" s="112" t="str">
        <f>IF(ISBLANK(E1518),"",_xlfn.XLOOKUP(E1518,cannabis_log!C:C,cannabis_log!H:H,"",0,1))</f>
        <v>topical_labelled</v>
      </c>
      <c r="I1518" s="113">
        <f>IF(ISBLANK(E1518),"",_xlfn.XLOOKUP(E1518,cannabis_log!C:C,cannabis_log!K:K,"NOT FOUND",0,1))</f>
        <v>45638</v>
      </c>
      <c r="J1518" s="185">
        <v>-1</v>
      </c>
      <c r="K1518" s="186">
        <f t="shared" si="79"/>
        <v>0</v>
      </c>
      <c r="L1518" s="288">
        <f t="shared" ref="L1518:L1581" si="80">IFERROR(J1518*O1518,"")</f>
        <v>-45</v>
      </c>
      <c r="M1518" s="24"/>
      <c r="N1518" s="112" t="str">
        <f>IF(ISBLANK(E1518),"",_xlfn.XLOOKUP(E1518,cannabis_log!C:C,cannabis_log!T:T,"Not Found",0,))</f>
        <v>net</v>
      </c>
      <c r="O1518" s="180">
        <f>IF(N1518="net",_xlfn.XLOOKUP(E1518,cannabis_log!C:C,cannabis_log!N:N,"NOT FOUND",0,1),IF(N1518="gross",0,""))</f>
        <v>45</v>
      </c>
    </row>
    <row r="1519" spans="1:15">
      <c r="A1519" s="195" t="str">
        <f t="shared" si="77"/>
        <v>outbound</v>
      </c>
      <c r="B1519" s="196">
        <v>45750.607638888891</v>
      </c>
      <c r="C1519" s="197" t="s">
        <v>1924</v>
      </c>
      <c r="D1519" s="197" t="s">
        <v>2862</v>
      </c>
      <c r="E1519" s="217" t="s">
        <v>2863</v>
      </c>
      <c r="F1519" s="112" t="str">
        <f>IF(ISBLANK(E1519),"",_xlfn.XLOOKUP(E1519,cannabis_log!C:C,cannabis_log!J:J,"",0,))</f>
        <v>TP24082901</v>
      </c>
      <c r="G1519" s="112"/>
      <c r="H1519" s="112" t="str">
        <f>IF(ISBLANK(E1519),"",_xlfn.XLOOKUP(E1519,cannabis_log!C:C,cannabis_log!H:H,"",0,1))</f>
        <v>topical_labelled</v>
      </c>
      <c r="I1519" s="113">
        <f>IF(ISBLANK(E1519),"",_xlfn.XLOOKUP(E1519,cannabis_log!C:C,cannabis_log!K:K,"NOT FOUND",0,1))</f>
        <v>45569</v>
      </c>
      <c r="J1519" s="185">
        <v>-1</v>
      </c>
      <c r="K1519" s="186">
        <f t="shared" si="79"/>
        <v>0</v>
      </c>
      <c r="L1519" s="288">
        <f t="shared" si="80"/>
        <v>-88</v>
      </c>
      <c r="M1519" s="24"/>
      <c r="N1519" s="112" t="str">
        <f>IF(ISBLANK(E1519),"",_xlfn.XLOOKUP(E1519,cannabis_log!C:C,cannabis_log!T:T,"Not Found",0,))</f>
        <v>net</v>
      </c>
      <c r="O1519" s="180">
        <f>IF(N1519="net",_xlfn.XLOOKUP(E1519,cannabis_log!C:C,cannabis_log!N:N,"NOT FOUND",0,1),IF(N1519="gross",0,""))</f>
        <v>88</v>
      </c>
    </row>
    <row r="1520" spans="1:15">
      <c r="A1520" s="195" t="str">
        <f t="shared" si="77"/>
        <v>outbound</v>
      </c>
      <c r="B1520" s="196">
        <v>45750.607638888891</v>
      </c>
      <c r="C1520" s="197" t="s">
        <v>1924</v>
      </c>
      <c r="D1520" s="197" t="s">
        <v>2862</v>
      </c>
      <c r="E1520" s="217" t="s">
        <v>2864</v>
      </c>
      <c r="F1520" s="112" t="str">
        <f>IF(ISBLANK(E1520),"",_xlfn.XLOOKUP(E1520,cannabis_log!C:C,cannabis_log!J:J,"",0,))</f>
        <v>TP25021901</v>
      </c>
      <c r="G1520" s="112"/>
      <c r="H1520" s="112" t="str">
        <f>IF(ISBLANK(E1520),"",_xlfn.XLOOKUP(E1520,cannabis_log!C:C,cannabis_log!H:H,"",0,1))</f>
        <v>topical_labelled</v>
      </c>
      <c r="I1520" s="113">
        <f>IF(ISBLANK(E1520),"",_xlfn.XLOOKUP(E1520,cannabis_log!C:C,cannabis_log!K:K,"NOT FOUND",0,1))</f>
        <v>45714</v>
      </c>
      <c r="J1520" s="185">
        <v>-1</v>
      </c>
      <c r="K1520" s="186">
        <f t="shared" si="79"/>
        <v>0</v>
      </c>
      <c r="L1520" s="288">
        <f t="shared" si="80"/>
        <v>-88</v>
      </c>
      <c r="M1520" s="24"/>
      <c r="N1520" s="112" t="str">
        <f>IF(ISBLANK(E1520),"",_xlfn.XLOOKUP(E1520,cannabis_log!C:C,cannabis_log!T:T,"Not Found",0,))</f>
        <v>net</v>
      </c>
      <c r="O1520" s="180">
        <f>IF(N1520="net",_xlfn.XLOOKUP(E1520,cannabis_log!C:C,cannabis_log!N:N,"NOT FOUND",0,1),IF(N1520="gross",0,""))</f>
        <v>88</v>
      </c>
    </row>
    <row r="1521" spans="1:15">
      <c r="A1521" s="195" t="str">
        <f t="shared" si="77"/>
        <v>inbound</v>
      </c>
      <c r="B1521" s="196">
        <v>45750.659722222219</v>
      </c>
      <c r="C1521" s="197" t="s">
        <v>1927</v>
      </c>
      <c r="D1521" s="197"/>
      <c r="E1521" s="217" t="s">
        <v>2739</v>
      </c>
      <c r="F1521" s="112">
        <f>IF(ISBLANK(E1521),"",_xlfn.XLOOKUP(E1521,cannabis_log!C:C,cannabis_log!J:J,"",0,))</f>
        <v>2023110201</v>
      </c>
      <c r="G1521" s="112"/>
      <c r="H1521" s="112" t="str">
        <f>IF(ISBLANK(E1521),"",_xlfn.XLOOKUP(E1521,cannabis_log!C:C,cannabis_log!H:H,"",0,1))</f>
        <v>extract_distillate_bulk</v>
      </c>
      <c r="I1521" s="113" t="str">
        <f>IF(ISBLANK(E1521),"",_xlfn.XLOOKUP(E1521,cannabis_log!C:C,cannabis_log!K:K,"NOT FOUND",0,1))</f>
        <v>NA</v>
      </c>
      <c r="J1521" s="185">
        <v>1</v>
      </c>
      <c r="K1521" s="186">
        <v>516.13</v>
      </c>
      <c r="L1521" s="288">
        <f t="shared" si="80"/>
        <v>0</v>
      </c>
      <c r="M1521" s="24"/>
      <c r="N1521" s="112" t="str">
        <f>IF(ISBLANK(E1521),"",_xlfn.XLOOKUP(E1521,cannabis_log!C:C,cannabis_log!T:T,"Not Found",0,))</f>
        <v>gross</v>
      </c>
      <c r="O1521" s="180">
        <f>IF(N1521="net",_xlfn.XLOOKUP(E1521,cannabis_log!C:C,cannabis_log!N:N,"NOT FOUND",0,1),IF(N1521="gross",0,""))</f>
        <v>0</v>
      </c>
    </row>
    <row r="1522" spans="1:15">
      <c r="A1522" s="195" t="str">
        <f t="shared" si="77"/>
        <v>inbound</v>
      </c>
      <c r="B1522" s="196">
        <v>45750.659722222219</v>
      </c>
      <c r="C1522" s="197" t="s">
        <v>1927</v>
      </c>
      <c r="D1522" s="197"/>
      <c r="E1522" s="217" t="s">
        <v>2857</v>
      </c>
      <c r="F1522" s="112">
        <f>IF(ISBLANK(E1522),"",_xlfn.XLOOKUP(E1522,cannabis_log!C:C,cannabis_log!J:J,"",0,))</f>
        <v>2025021301</v>
      </c>
      <c r="G1522" s="112"/>
      <c r="H1522" s="112" t="str">
        <f>IF(ISBLANK(E1522),"",_xlfn.XLOOKUP(E1522,cannabis_log!C:C,cannabis_log!H:H,"",0,1))</f>
        <v>driedflower_bulk</v>
      </c>
      <c r="I1522" s="113" t="str">
        <f>IF(ISBLANK(E1522),"",_xlfn.XLOOKUP(E1522,cannabis_log!C:C,cannabis_log!K:K,"NOT FOUND",0,1))</f>
        <v>NA</v>
      </c>
      <c r="J1522" s="185">
        <v>1</v>
      </c>
      <c r="K1522" s="186">
        <v>420</v>
      </c>
      <c r="L1522" s="288">
        <f t="shared" si="80"/>
        <v>0</v>
      </c>
      <c r="M1522" s="24"/>
      <c r="N1522" s="112" t="str">
        <f>IF(ISBLANK(E1522),"",_xlfn.XLOOKUP(E1522,cannabis_log!C:C,cannabis_log!T:T,"Not Found",0,))</f>
        <v>gross</v>
      </c>
      <c r="O1522" s="180">
        <f>IF(N1522="net",_xlfn.XLOOKUP(E1522,cannabis_log!C:C,cannabis_log!N:N,"NOT FOUND",0,1),IF(N1522="gross",0,""))</f>
        <v>0</v>
      </c>
    </row>
    <row r="1523" spans="1:15">
      <c r="A1523" s="195" t="str">
        <f t="shared" si="77"/>
        <v>inbound</v>
      </c>
      <c r="B1523" s="196">
        <v>45750.659722222219</v>
      </c>
      <c r="C1523" s="197" t="s">
        <v>1927</v>
      </c>
      <c r="D1523" s="197"/>
      <c r="E1523" s="217" t="s">
        <v>2740</v>
      </c>
      <c r="F1523" s="112">
        <f>IF(ISBLANK(E1523),"",_xlfn.XLOOKUP(E1523,cannabis_log!C:C,cannabis_log!J:J,"",0,))</f>
        <v>2025021303</v>
      </c>
      <c r="G1523" s="112"/>
      <c r="H1523" s="112" t="str">
        <f>IF(ISBLANK(E1523),"",_xlfn.XLOOKUP(E1523,cannabis_log!C:C,cannabis_log!H:H,"",0,1))</f>
        <v>infusedflower_bulk</v>
      </c>
      <c r="I1523" s="113" t="str">
        <f>IF(ISBLANK(E1523),"",_xlfn.XLOOKUP(E1523,cannabis_log!C:C,cannabis_log!K:K,"NOT FOUND",0,1))</f>
        <v>NA</v>
      </c>
      <c r="J1523" s="185">
        <v>1</v>
      </c>
      <c r="K1523" s="186">
        <v>710</v>
      </c>
      <c r="L1523" s="288">
        <f t="shared" si="80"/>
        <v>0</v>
      </c>
      <c r="M1523" s="24"/>
      <c r="N1523" s="112" t="str">
        <f>IF(ISBLANK(E1523),"",_xlfn.XLOOKUP(E1523,cannabis_log!C:C,cannabis_log!T:T,"Not Found",0,))</f>
        <v>gross</v>
      </c>
      <c r="O1523" s="180">
        <f>IF(N1523="net",_xlfn.XLOOKUP(E1523,cannabis_log!C:C,cannabis_log!N:N,"NOT FOUND",0,1),IF(N1523="gross",0,""))</f>
        <v>0</v>
      </c>
    </row>
    <row r="1524" spans="1:15">
      <c r="A1524" s="195" t="str">
        <f t="shared" si="77"/>
        <v>inbound</v>
      </c>
      <c r="B1524" s="196">
        <v>45750.659722222219</v>
      </c>
      <c r="C1524" s="197" t="s">
        <v>1927</v>
      </c>
      <c r="D1524" s="197"/>
      <c r="E1524" s="217" t="s">
        <v>2859</v>
      </c>
      <c r="F1524" s="112" t="str">
        <f>IF(ISBLANK(E1524),"",_xlfn.XLOOKUP(E1524,cannabis_log!C:C,cannabis_log!J:J,"",0,))</f>
        <v>PR2511F5</v>
      </c>
      <c r="G1524" s="112"/>
      <c r="H1524" s="112" t="str">
        <f>IF(ISBLANK(E1524),"",_xlfn.XLOOKUP(E1524,cannabis_log!C:C,cannabis_log!H:H,"",0,1))</f>
        <v>preroll_bulk</v>
      </c>
      <c r="I1524" s="113" t="str">
        <f>IF(ISBLANK(E1524),"",_xlfn.XLOOKUP(E1524,cannabis_log!C:C,cannabis_log!K:K,"NOT FOUND",0,1))</f>
        <v>NA</v>
      </c>
      <c r="J1524" s="185">
        <v>19</v>
      </c>
      <c r="K1524" s="186">
        <f t="shared" ref="K1524:K1530" si="81">IF(N1524="net",0,"")</f>
        <v>0</v>
      </c>
      <c r="L1524" s="288">
        <f t="shared" si="80"/>
        <v>9.5</v>
      </c>
      <c r="M1524" s="24"/>
      <c r="N1524" s="112" t="str">
        <f>IF(ISBLANK(E1524),"",_xlfn.XLOOKUP(E1524,cannabis_log!C:C,cannabis_log!T:T,"Not Found",0,))</f>
        <v>net</v>
      </c>
      <c r="O1524" s="180">
        <f>IF(N1524="net",_xlfn.XLOOKUP(E1524,cannabis_log!C:C,cannabis_log!N:N,"NOT FOUND",0,1),IF(N1524="gross",0,""))</f>
        <v>0.5</v>
      </c>
    </row>
    <row r="1525" spans="1:15">
      <c r="A1525" s="195" t="str">
        <f t="shared" si="77"/>
        <v>inbound</v>
      </c>
      <c r="B1525" s="196">
        <v>45750.659722222219</v>
      </c>
      <c r="C1525" s="197" t="s">
        <v>1927</v>
      </c>
      <c r="D1525" s="197"/>
      <c r="E1525" s="217" t="s">
        <v>2860</v>
      </c>
      <c r="F1525" s="112" t="str">
        <f>IF(ISBLANK(E1525),"",_xlfn.XLOOKUP(E1525,cannabis_log!C:C,cannabis_log!J:J,"",0,))</f>
        <v>PR2511F5</v>
      </c>
      <c r="G1525" s="112"/>
      <c r="H1525" s="112" t="str">
        <f>IF(ISBLANK(E1525),"",_xlfn.XLOOKUP(E1525,cannabis_log!C:C,cannabis_log!H:H,"",0,1))</f>
        <v>preroll_bulk</v>
      </c>
      <c r="I1525" s="113" t="str">
        <f>IF(ISBLANK(E1525),"",_xlfn.XLOOKUP(E1525,cannabis_log!C:C,cannabis_log!K:K,"NOT FOUND",0,1))</f>
        <v>NA</v>
      </c>
      <c r="J1525" s="185">
        <v>3</v>
      </c>
      <c r="K1525" s="186">
        <f t="shared" si="81"/>
        <v>0</v>
      </c>
      <c r="L1525" s="288">
        <f t="shared" si="80"/>
        <v>1.5</v>
      </c>
      <c r="M1525" s="24"/>
      <c r="N1525" s="112" t="str">
        <f>IF(ISBLANK(E1525),"",_xlfn.XLOOKUP(E1525,cannabis_log!C:C,cannabis_log!T:T,"Not Found",0,))</f>
        <v>net</v>
      </c>
      <c r="O1525" s="180">
        <f>IF(N1525="net",_xlfn.XLOOKUP(E1525,cannabis_log!C:C,cannabis_log!N:N,"NOT FOUND",0,1),IF(N1525="gross",0,""))</f>
        <v>0.5</v>
      </c>
    </row>
    <row r="1526" spans="1:15">
      <c r="A1526" s="195" t="str">
        <f t="shared" si="77"/>
        <v>outbound</v>
      </c>
      <c r="B1526" s="196">
        <v>45750.659722222219</v>
      </c>
      <c r="C1526" s="197" t="s">
        <v>1929</v>
      </c>
      <c r="D1526" s="197" t="s">
        <v>2865</v>
      </c>
      <c r="E1526" s="217" t="s">
        <v>2719</v>
      </c>
      <c r="F1526" s="112" t="str">
        <f>IF(ISBLANK(E1526),"",_xlfn.XLOOKUP(E1526,cannabis_log!C:C,cannabis_log!J:J,"",0,))</f>
        <v>PR241104F5P3</v>
      </c>
      <c r="G1526" s="112"/>
      <c r="H1526" s="112" t="str">
        <f>IF(ISBLANK(E1526),"",_xlfn.XLOOKUP(E1526,cannabis_log!C:C,cannabis_log!H:H,"",0,1))</f>
        <v>preroll_labelled</v>
      </c>
      <c r="I1526" s="113">
        <f>IF(ISBLANK(E1526),"",_xlfn.XLOOKUP(E1526,cannabis_log!C:C,cannabis_log!K:K,"NOT FOUND",0,1))</f>
        <v>45630</v>
      </c>
      <c r="J1526" s="185">
        <v>-12</v>
      </c>
      <c r="K1526" s="186">
        <f t="shared" si="81"/>
        <v>0</v>
      </c>
      <c r="L1526" s="288">
        <f t="shared" si="80"/>
        <v>-18</v>
      </c>
      <c r="M1526" s="24"/>
      <c r="N1526" s="112" t="str">
        <f>IF(ISBLANK(E1526),"",_xlfn.XLOOKUP(E1526,cannabis_log!C:C,cannabis_log!T:T,"Not Found",0,))</f>
        <v>net</v>
      </c>
      <c r="O1526" s="180">
        <f>IF(N1526="net",_xlfn.XLOOKUP(E1526,cannabis_log!C:C,cannabis_log!N:N,"NOT FOUND",0,1),IF(N1526="gross",0,""))</f>
        <v>1.5</v>
      </c>
    </row>
    <row r="1527" spans="1:15">
      <c r="A1527" s="195" t="str">
        <f t="shared" si="77"/>
        <v>outbound</v>
      </c>
      <c r="B1527" s="196">
        <v>45750.659722222219</v>
      </c>
      <c r="C1527" s="197" t="s">
        <v>1929</v>
      </c>
      <c r="D1527" s="197" t="s">
        <v>2865</v>
      </c>
      <c r="E1527" s="217" t="s">
        <v>2866</v>
      </c>
      <c r="F1527" s="112" t="str">
        <f>IF(ISBLANK(E1527),"",_xlfn.XLOOKUP(E1527,cannabis_log!C:C,cannabis_log!J:J,"",0,))</f>
        <v>PR21071201G1</v>
      </c>
      <c r="G1527" s="112"/>
      <c r="H1527" s="112" t="str">
        <f>IF(ISBLANK(E1527),"",_xlfn.XLOOKUP(E1527,cannabis_log!C:C,cannabis_log!H:H,"",0,1))</f>
        <v>preroll_labelled</v>
      </c>
      <c r="I1527" s="113">
        <f>IF(ISBLANK(E1527),"",_xlfn.XLOOKUP(E1527,cannabis_log!C:C,cannabis_log!K:K,"NOT FOUND",0,1))</f>
        <v>45735</v>
      </c>
      <c r="J1527" s="185">
        <v>-12</v>
      </c>
      <c r="K1527" s="186">
        <f t="shared" si="81"/>
        <v>0</v>
      </c>
      <c r="L1527" s="288">
        <f t="shared" si="80"/>
        <v>-12</v>
      </c>
      <c r="M1527" s="24"/>
      <c r="N1527" s="112" t="str">
        <f>IF(ISBLANK(E1527),"",_xlfn.XLOOKUP(E1527,cannabis_log!C:C,cannabis_log!T:T,"Not Found",0,))</f>
        <v>net</v>
      </c>
      <c r="O1527" s="180">
        <f>IF(N1527="net",_xlfn.XLOOKUP(E1527,cannabis_log!C:C,cannabis_log!N:N,"NOT FOUND",0,1),IF(N1527="gross",0,""))</f>
        <v>1</v>
      </c>
    </row>
    <row r="1528" spans="1:15">
      <c r="A1528" s="195" t="str">
        <f t="shared" si="77"/>
        <v>outbound</v>
      </c>
      <c r="B1528" s="196">
        <v>45750.659722222219</v>
      </c>
      <c r="C1528" s="197" t="s">
        <v>1929</v>
      </c>
      <c r="D1528" s="197" t="s">
        <v>2865</v>
      </c>
      <c r="E1528" s="217" t="s">
        <v>2697</v>
      </c>
      <c r="F1528" s="112" t="str">
        <f>IF(ISBLANK(E1528),"",_xlfn.XLOOKUP(E1528,cannabis_log!C:C,cannabis_log!J:J,"",0,))</f>
        <v>EX24101703G05</v>
      </c>
      <c r="G1528" s="112"/>
      <c r="H1528" s="112" t="str">
        <f>IF(ISBLANK(E1528),"",_xlfn.XLOOKUP(E1528,cannabis_log!C:C,cannabis_log!H:H,"",0,1))</f>
        <v>extract_inhaled_labelled</v>
      </c>
      <c r="I1528" s="113">
        <f>IF(ISBLANK(E1528),"",_xlfn.XLOOKUP(E1528,cannabis_log!C:C,cannabis_log!K:K,"NOT FOUND",0,1))</f>
        <v>45603</v>
      </c>
      <c r="J1528" s="185">
        <v>-12</v>
      </c>
      <c r="K1528" s="186">
        <f t="shared" si="81"/>
        <v>0</v>
      </c>
      <c r="L1528" s="288">
        <f t="shared" si="80"/>
        <v>-6</v>
      </c>
      <c r="M1528" s="24"/>
      <c r="N1528" s="112" t="str">
        <f>IF(ISBLANK(E1528),"",_xlfn.XLOOKUP(E1528,cannabis_log!C:C,cannabis_log!T:T,"Not Found",0,))</f>
        <v>net</v>
      </c>
      <c r="O1528" s="180">
        <f>IF(N1528="net",_xlfn.XLOOKUP(E1528,cannabis_log!C:C,cannabis_log!N:N,"NOT FOUND",0,1),IF(N1528="gross",0,""))</f>
        <v>0.5</v>
      </c>
    </row>
    <row r="1529" spans="1:15">
      <c r="A1529" s="195" t="str">
        <f t="shared" si="77"/>
        <v>outbound</v>
      </c>
      <c r="B1529" s="196">
        <v>45750.659722222219</v>
      </c>
      <c r="C1529" s="197" t="s">
        <v>1929</v>
      </c>
      <c r="D1529" s="197" t="s">
        <v>2865</v>
      </c>
      <c r="E1529" s="217" t="s">
        <v>2848</v>
      </c>
      <c r="F1529" s="112" t="str">
        <f>IF(ISBLANK(E1529),"",_xlfn.XLOOKUP(E1529,cannabis_log!C:C,cannabis_log!J:J,"",0,))</f>
        <v>PR2501F5P10</v>
      </c>
      <c r="G1529" s="112"/>
      <c r="H1529" s="112" t="str">
        <f>IF(ISBLANK(E1529),"",_xlfn.XLOOKUP(E1529,cannabis_log!C:C,cannabis_log!H:H,"",0,1))</f>
        <v>preroll_labelled</v>
      </c>
      <c r="I1529" s="113">
        <f>IF(ISBLANK(E1529),"",_xlfn.XLOOKUP(E1529,cannabis_log!C:C,cannabis_log!K:K,"NOT FOUND",0,1))</f>
        <v>45742</v>
      </c>
      <c r="J1529" s="185">
        <v>-12</v>
      </c>
      <c r="K1529" s="186">
        <f t="shared" si="81"/>
        <v>0</v>
      </c>
      <c r="L1529" s="288">
        <f t="shared" si="80"/>
        <v>-60</v>
      </c>
      <c r="M1529" s="24"/>
      <c r="N1529" s="112" t="str">
        <f>IF(ISBLANK(E1529),"",_xlfn.XLOOKUP(E1529,cannabis_log!C:C,cannabis_log!T:T,"Not Found",0,))</f>
        <v>net</v>
      </c>
      <c r="O1529" s="180">
        <f>IF(N1529="net",_xlfn.XLOOKUP(E1529,cannabis_log!C:C,cannabis_log!N:N,"NOT FOUND",0,1),IF(N1529="gross",0,""))</f>
        <v>5</v>
      </c>
    </row>
    <row r="1530" spans="1:15">
      <c r="A1530" s="195" t="str">
        <f t="shared" si="77"/>
        <v>outbound</v>
      </c>
      <c r="B1530" s="196">
        <v>45750.659722222219</v>
      </c>
      <c r="C1530" s="197" t="s">
        <v>1929</v>
      </c>
      <c r="D1530" s="197" t="s">
        <v>2865</v>
      </c>
      <c r="E1530" s="217" t="s">
        <v>2867</v>
      </c>
      <c r="F1530" s="112" t="str">
        <f>IF(ISBLANK(E1530),"",_xlfn.XLOOKUP(E1530,cannabis_log!C:C,cannabis_log!J:J,"",0,))</f>
        <v>PR241105F5P3</v>
      </c>
      <c r="G1530" s="112"/>
      <c r="H1530" s="112" t="str">
        <f>IF(ISBLANK(E1530),"",_xlfn.XLOOKUP(E1530,cannabis_log!C:C,cannabis_log!H:H,"",0,1))</f>
        <v>preroll_labelled</v>
      </c>
      <c r="I1530" s="113">
        <f>IF(ISBLANK(E1530),"",_xlfn.XLOOKUP(E1530,cannabis_log!C:C,cannabis_log!K:K,"NOT FOUND",0,1))</f>
        <v>45615</v>
      </c>
      <c r="J1530" s="185">
        <v>-12</v>
      </c>
      <c r="K1530" s="186">
        <f t="shared" si="81"/>
        <v>0</v>
      </c>
      <c r="L1530" s="288">
        <f t="shared" si="80"/>
        <v>-18</v>
      </c>
      <c r="M1530" s="24"/>
      <c r="N1530" s="112" t="str">
        <f>IF(ISBLANK(E1530),"",_xlfn.XLOOKUP(E1530,cannabis_log!C:C,cannabis_log!T:T,"Not Found",0,))</f>
        <v>net</v>
      </c>
      <c r="O1530" s="180">
        <f>IF(N1530="net",_xlfn.XLOOKUP(E1530,cannabis_log!C:C,cannabis_log!N:N,"NOT FOUND",0,1),IF(N1530="gross",0,""))</f>
        <v>1.5</v>
      </c>
    </row>
    <row r="1531" spans="1:15">
      <c r="A1531" s="195" t="str">
        <f t="shared" si="77"/>
        <v>outbound</v>
      </c>
      <c r="B1531" s="196">
        <v>45751.386111111111</v>
      </c>
      <c r="C1531" s="197" t="s">
        <v>1921</v>
      </c>
      <c r="D1531" s="197" t="s">
        <v>2868</v>
      </c>
      <c r="E1531" s="217" t="s">
        <v>2869</v>
      </c>
      <c r="F1531" s="112" t="str">
        <f>IF(ISBLANK(E1531),"",_xlfn.XLOOKUP(E1531,cannabis_log!C:C,cannabis_log!J:J,"",0,))</f>
        <v>PR2514</v>
      </c>
      <c r="G1531" s="112"/>
      <c r="H1531" s="112" t="str">
        <f>IF(ISBLANK(E1531),"",_xlfn.XLOOKUP(E1531,cannabis_log!C:C,cannabis_log!H:H,"",0,1))</f>
        <v>driedflower_milled_bulk_BURB</v>
      </c>
      <c r="I1531" s="113" t="str">
        <f>IF(ISBLANK(E1531),"",_xlfn.XLOOKUP(E1531,cannabis_log!C:C,cannabis_log!K:K,"NOT FOUND",0,1))</f>
        <v>NA</v>
      </c>
      <c r="J1531" s="185">
        <v>-1</v>
      </c>
      <c r="K1531" s="186">
        <v>-4100</v>
      </c>
      <c r="L1531" s="288">
        <f t="shared" si="80"/>
        <v>0</v>
      </c>
      <c r="M1531" s="24"/>
      <c r="N1531" s="112" t="str">
        <f>IF(ISBLANK(E1531),"",_xlfn.XLOOKUP(E1531,cannabis_log!C:C,cannabis_log!T:T,"Not Found",0,))</f>
        <v>gross</v>
      </c>
      <c r="O1531" s="180">
        <f>IF(N1531="net",_xlfn.XLOOKUP(E1531,cannabis_log!C:C,cannabis_log!N:N,"NOT FOUND",0,1),IF(N1531="gross",0,""))</f>
        <v>0</v>
      </c>
    </row>
    <row r="1532" spans="1:15">
      <c r="A1532" s="195" t="str">
        <f t="shared" si="77"/>
        <v>outbound</v>
      </c>
      <c r="B1532" s="196">
        <v>45751.411111111112</v>
      </c>
      <c r="C1532" s="197" t="s">
        <v>1927</v>
      </c>
      <c r="D1532" s="197"/>
      <c r="E1532" s="217" t="s">
        <v>2743</v>
      </c>
      <c r="F1532" s="112" t="str">
        <f>IF(ISBLANK(E1532),"",_xlfn.XLOOKUP(E1532,cannabis_log!C:C,cannabis_log!J:J,"",0,))</f>
        <v>PR2507</v>
      </c>
      <c r="G1532" s="112"/>
      <c r="H1532" s="112" t="str">
        <f>IF(ISBLANK(E1532),"",_xlfn.XLOOKUP(E1532,cannabis_log!C:C,cannabis_log!H:H,"",0,1))</f>
        <v>driedflower_milled_bulk</v>
      </c>
      <c r="I1532" s="113" t="str">
        <f>IF(ISBLANK(E1532),"",_xlfn.XLOOKUP(E1532,cannabis_log!C:C,cannabis_log!K:K,"NOT FOUND",0,1))</f>
        <v>NA</v>
      </c>
      <c r="J1532" s="185">
        <v>-1</v>
      </c>
      <c r="K1532" s="186">
        <v>-5188</v>
      </c>
      <c r="L1532" s="288">
        <f t="shared" si="80"/>
        <v>0</v>
      </c>
      <c r="M1532" s="24"/>
      <c r="N1532" s="112" t="str">
        <f>IF(ISBLANK(E1532),"",_xlfn.XLOOKUP(E1532,cannabis_log!C:C,cannabis_log!T:T,"Not Found",0,))</f>
        <v>gross</v>
      </c>
      <c r="O1532" s="180">
        <f>IF(N1532="net",_xlfn.XLOOKUP(E1532,cannabis_log!C:C,cannabis_log!N:N,"NOT FOUND",0,1),IF(N1532="gross",0,""))</f>
        <v>0</v>
      </c>
    </row>
    <row r="1533" spans="1:15">
      <c r="A1533" s="195" t="str">
        <f t="shared" si="77"/>
        <v>inbound</v>
      </c>
      <c r="B1533" s="196">
        <v>45751.4375</v>
      </c>
      <c r="C1533" s="197" t="s">
        <v>1927</v>
      </c>
      <c r="D1533" s="197"/>
      <c r="E1533" s="217" t="s">
        <v>2737</v>
      </c>
      <c r="F1533" s="112" t="str">
        <f>IF(ISBLANK(E1533),"",_xlfn.XLOOKUP(E1533,cannabis_log!C:C,cannabis_log!J:J,"",0,))</f>
        <v>EX24092601V50</v>
      </c>
      <c r="G1533" s="112"/>
      <c r="H1533" s="112" t="str">
        <f>IF(ISBLANK(E1533),"",_xlfn.XLOOKUP(E1533,cannabis_log!C:C,cannabis_log!H:H,"",0,1))</f>
        <v>extract_ingested_labelled</v>
      </c>
      <c r="I1533" s="113">
        <f>IF(ISBLANK(E1533),"",_xlfn.XLOOKUP(E1533,cannabis_log!C:C,cannabis_log!K:K,"NOT FOUND",0,1))</f>
        <v>45576</v>
      </c>
      <c r="J1533" s="185">
        <v>68</v>
      </c>
      <c r="K1533" s="186">
        <f>IF(N1533="net",0,"")</f>
        <v>0</v>
      </c>
      <c r="L1533" s="288">
        <f t="shared" si="80"/>
        <v>3400</v>
      </c>
      <c r="M1533" s="24"/>
      <c r="N1533" s="112" t="str">
        <f>IF(ISBLANK(E1533),"",_xlfn.XLOOKUP(E1533,cannabis_log!C:C,cannabis_log!T:T,"Not Found",0,))</f>
        <v>net</v>
      </c>
      <c r="O1533" s="180">
        <f>IF(N1533="net",_xlfn.XLOOKUP(E1533,cannabis_log!C:C,cannabis_log!N:N,"NOT FOUND",0,1),IF(N1533="gross",0,""))</f>
        <v>50</v>
      </c>
    </row>
    <row r="1534" spans="1:15">
      <c r="A1534" s="195" t="str">
        <f t="shared" si="77"/>
        <v>inbound</v>
      </c>
      <c r="B1534" s="196">
        <v>45751.438888888886</v>
      </c>
      <c r="C1534" s="197" t="s">
        <v>1927</v>
      </c>
      <c r="D1534" s="183"/>
      <c r="E1534" s="217" t="s">
        <v>2735</v>
      </c>
      <c r="F1534" s="112" t="str">
        <f>IF(ISBLANK(E1534),"",_xlfn.XLOOKUP(E1534,cannabis_log!C:C,cannabis_log!J:J,"",0,))</f>
        <v>EX25012101V50</v>
      </c>
      <c r="G1534" s="112"/>
      <c r="H1534" s="112" t="str">
        <f>IF(ISBLANK(E1534),"",_xlfn.XLOOKUP(E1534,cannabis_log!C:C,cannabis_log!H:H,"",0,1))</f>
        <v>extract_ingested_packaged</v>
      </c>
      <c r="I1534" s="113">
        <f>IF(ISBLANK(E1534),"",_xlfn.XLOOKUP(E1534,cannabis_log!C:C,cannabis_log!K:K,"NOT FOUND",0,1))</f>
        <v>45700</v>
      </c>
      <c r="J1534" s="185">
        <v>68</v>
      </c>
      <c r="K1534" s="186">
        <f>IF(N1534="net",0,"")</f>
        <v>0</v>
      </c>
      <c r="L1534" s="288">
        <f t="shared" si="80"/>
        <v>3400</v>
      </c>
      <c r="M1534" s="24"/>
      <c r="N1534" s="112" t="str">
        <f>IF(ISBLANK(E1534),"",_xlfn.XLOOKUP(E1534,cannabis_log!C:C,cannabis_log!T:T,"Not Found",0,))</f>
        <v>net</v>
      </c>
      <c r="O1534" s="180">
        <f>IF(N1534="net",_xlfn.XLOOKUP(E1534,cannabis_log!C:C,cannabis_log!N:N,"NOT FOUND",0,1),IF(N1534="gross",0,""))</f>
        <v>50</v>
      </c>
    </row>
    <row r="1535" spans="1:15">
      <c r="A1535" s="195" t="str">
        <f t="shared" si="77"/>
        <v>inbound</v>
      </c>
      <c r="B1535" s="196">
        <v>45751.438888888886</v>
      </c>
      <c r="C1535" s="197" t="s">
        <v>1927</v>
      </c>
      <c r="D1535" s="197"/>
      <c r="E1535" s="217" t="s">
        <v>2805</v>
      </c>
      <c r="F1535" s="112" t="str">
        <f>IF(ISBLANK(E1535),"",_xlfn.XLOOKUP(E1535,cannabis_log!C:C,cannabis_log!J:J,"",0,))</f>
        <v>EX24111801V50</v>
      </c>
      <c r="G1535" s="112"/>
      <c r="H1535" s="112" t="str">
        <f>IF(ISBLANK(E1535),"",_xlfn.XLOOKUP(E1535,cannabis_log!C:C,cannabis_log!H:H,"",0,1))</f>
        <v>extract_ingested_cased_ON_RTV</v>
      </c>
      <c r="I1535" s="113">
        <f>IF(ISBLANK(E1535),"",_xlfn.XLOOKUP(E1535,cannabis_log!C:C,cannabis_log!K:K,"NOT FOUND",0,1))</f>
        <v>45624</v>
      </c>
      <c r="J1535" s="185">
        <v>5</v>
      </c>
      <c r="K1535" s="186">
        <f>IF(N1535="net",0,"")</f>
        <v>0</v>
      </c>
      <c r="L1535" s="288">
        <f t="shared" si="80"/>
        <v>3000</v>
      </c>
      <c r="M1535" s="24"/>
      <c r="N1535" s="112" t="str">
        <f>IF(ISBLANK(E1535),"",_xlfn.XLOOKUP(E1535,cannabis_log!C:C,cannabis_log!T:T,"Not Found",0,))</f>
        <v>net</v>
      </c>
      <c r="O1535" s="180">
        <f>IF(N1535="net",_xlfn.XLOOKUP(E1535,cannabis_log!C:C,cannabis_log!N:N,"NOT FOUND",0,1),IF(N1535="gross",0,""))</f>
        <v>600</v>
      </c>
    </row>
    <row r="1536" spans="1:15">
      <c r="A1536" s="195" t="str">
        <f t="shared" si="77"/>
        <v>inbound</v>
      </c>
      <c r="B1536" s="196">
        <v>45751.441666666666</v>
      </c>
      <c r="C1536" s="197" t="s">
        <v>1927</v>
      </c>
      <c r="D1536" s="197"/>
      <c r="E1536" s="217" t="s">
        <v>2750</v>
      </c>
      <c r="F1536" s="112" t="str">
        <f>IF(ISBLANK(E1536),"",_xlfn.XLOOKUP(E1536,cannabis_log!C:C,cannabis_log!J:J,"",0,))</f>
        <v>EX24092601V50</v>
      </c>
      <c r="G1536" s="112"/>
      <c r="H1536" s="112" t="str">
        <f>IF(ISBLANK(E1536),"",_xlfn.XLOOKUP(E1536,cannabis_log!C:C,cannabis_log!H:H,"",0,1))</f>
        <v>extract_ingested_cased_BC</v>
      </c>
      <c r="I1536" s="113">
        <f>IF(ISBLANK(E1536),"",_xlfn.XLOOKUP(E1536,cannabis_log!C:C,cannabis_log!K:K,"NOT FOUND",0,1))</f>
        <v>45576</v>
      </c>
      <c r="J1536" s="185">
        <v>10</v>
      </c>
      <c r="K1536" s="186">
        <f>IF(N1536="net",0,"")</f>
        <v>0</v>
      </c>
      <c r="L1536" s="288">
        <f t="shared" si="80"/>
        <v>6000</v>
      </c>
      <c r="M1536" s="24"/>
      <c r="N1536" s="112" t="str">
        <f>IF(ISBLANK(E1536),"",_xlfn.XLOOKUP(E1536,cannabis_log!C:C,cannabis_log!T:T,"Not Found",0,))</f>
        <v>net</v>
      </c>
      <c r="O1536" s="180">
        <f>IF(N1536="net",_xlfn.XLOOKUP(E1536,cannabis_log!C:C,cannabis_log!N:N,"NOT FOUND",0,1),IF(N1536="gross",0,""))</f>
        <v>600</v>
      </c>
    </row>
    <row r="1537" spans="1:15">
      <c r="A1537" s="195" t="str">
        <f t="shared" ref="A1537:A1600" si="82">IF(ISBLANK(J1537),"",IF(J1537+K1537+L1537&lt;0,"outbound","inbound"))</f>
        <v>inbound</v>
      </c>
      <c r="B1537" s="196">
        <v>45751.441666666666</v>
      </c>
      <c r="C1537" s="197" t="s">
        <v>1927</v>
      </c>
      <c r="D1537" s="197"/>
      <c r="E1537" s="217" t="s">
        <v>2686</v>
      </c>
      <c r="F1537" s="112" t="str">
        <f>IF(ISBLANK(E1537),"",_xlfn.XLOOKUP(E1537,cannabis_log!C:C,cannabis_log!J:J,"",0,))</f>
        <v>EX25012101V50</v>
      </c>
      <c r="G1537" s="112"/>
      <c r="H1537" s="112" t="str">
        <f>IF(ISBLANK(E1537),"",_xlfn.XLOOKUP(E1537,cannabis_log!C:C,cannabis_log!H:H,"",0,1))</f>
        <v>extract_ingested_cased_BC</v>
      </c>
      <c r="I1537" s="113">
        <f>IF(ISBLANK(E1537),"",_xlfn.XLOOKUP(E1537,cannabis_log!C:C,cannabis_log!K:K,"NOT FOUND",0,1))</f>
        <v>45700</v>
      </c>
      <c r="J1537" s="185">
        <v>5</v>
      </c>
      <c r="K1537" s="186">
        <f>IF(N1537="net",0,"")</f>
        <v>0</v>
      </c>
      <c r="L1537" s="288">
        <f t="shared" si="80"/>
        <v>3000</v>
      </c>
      <c r="M1537" s="24"/>
      <c r="N1537" s="112" t="str">
        <f>IF(ISBLANK(E1537),"",_xlfn.XLOOKUP(E1537,cannabis_log!C:C,cannabis_log!T:T,"Not Found",0,))</f>
        <v>net</v>
      </c>
      <c r="O1537" s="180">
        <f>IF(N1537="net",_xlfn.XLOOKUP(E1537,cannabis_log!C:C,cannabis_log!N:N,"NOT FOUND",0,1),IF(N1537="gross",0,""))</f>
        <v>600</v>
      </c>
    </row>
    <row r="1538" spans="1:15">
      <c r="A1538" s="195" t="str">
        <f t="shared" si="82"/>
        <v>outbound</v>
      </c>
      <c r="B1538" s="196">
        <v>45751.576388888891</v>
      </c>
      <c r="C1538" s="197" t="s">
        <v>1921</v>
      </c>
      <c r="D1538" s="197"/>
      <c r="E1538" s="217" t="s">
        <v>2870</v>
      </c>
      <c r="F1538" s="112">
        <f>IF(ISBLANK(E1538),"",_xlfn.XLOOKUP(E1538,cannabis_log!C:C,cannabis_log!J:J,"",0,))</f>
        <v>2025030701</v>
      </c>
      <c r="G1538" s="112"/>
      <c r="H1538" s="112" t="str">
        <f>IF(ISBLANK(E1538),"",_xlfn.XLOOKUP(E1538,cannabis_log!C:C,cannabis_log!H:H,"",0,1))</f>
        <v>driedflower_bulk_JEN</v>
      </c>
      <c r="I1538" s="113" t="str">
        <f>IF(ISBLANK(E1538),"",_xlfn.XLOOKUP(E1538,cannabis_log!C:C,cannabis_log!K:K,"NOT FOUND",0,1))</f>
        <v>NA</v>
      </c>
      <c r="J1538" s="185">
        <v>-1</v>
      </c>
      <c r="K1538" s="186">
        <v>-1025</v>
      </c>
      <c r="L1538" s="288">
        <f t="shared" si="80"/>
        <v>0</v>
      </c>
      <c r="M1538" s="24"/>
      <c r="N1538" s="112" t="str">
        <f>IF(ISBLANK(E1538),"",_xlfn.XLOOKUP(E1538,cannabis_log!C:C,cannabis_log!T:T,"Not Found",0,))</f>
        <v>gross</v>
      </c>
      <c r="O1538" s="180">
        <f>IF(N1538="net",_xlfn.XLOOKUP(E1538,cannabis_log!C:C,cannabis_log!N:N,"NOT FOUND",0,1),IF(N1538="gross",0,""))</f>
        <v>0</v>
      </c>
    </row>
    <row r="1539" spans="1:15">
      <c r="A1539" s="195" t="str">
        <f t="shared" si="82"/>
        <v>outbound</v>
      </c>
      <c r="B1539" s="196">
        <v>45751.576388888891</v>
      </c>
      <c r="C1539" s="197" t="s">
        <v>1921</v>
      </c>
      <c r="D1539" s="197"/>
      <c r="E1539" s="217" t="s">
        <v>2871</v>
      </c>
      <c r="F1539" s="112">
        <f>IF(ISBLANK(E1539),"",_xlfn.XLOOKUP(E1539,cannabis_log!C:C,cannabis_log!J:J,"",0,))</f>
        <v>2025030701</v>
      </c>
      <c r="G1539" s="112"/>
      <c r="H1539" s="112" t="str">
        <f>IF(ISBLANK(E1539),"",_xlfn.XLOOKUP(E1539,cannabis_log!C:C,cannabis_log!H:H,"",0,1))</f>
        <v>driedflower_bulk_JEN</v>
      </c>
      <c r="I1539" s="113" t="str">
        <f>IF(ISBLANK(E1539),"",_xlfn.XLOOKUP(E1539,cannabis_log!C:C,cannabis_log!K:K,"NOT FOUND",0,1))</f>
        <v>NA</v>
      </c>
      <c r="J1539" s="185">
        <v>-1</v>
      </c>
      <c r="K1539" s="186">
        <v>-1025</v>
      </c>
      <c r="L1539" s="288">
        <f t="shared" si="80"/>
        <v>0</v>
      </c>
      <c r="M1539" s="24"/>
      <c r="N1539" s="112" t="str">
        <f>IF(ISBLANK(E1539),"",_xlfn.XLOOKUP(E1539,cannabis_log!C:C,cannabis_log!T:T,"Not Found",0,))</f>
        <v>gross</v>
      </c>
      <c r="O1539" s="180">
        <f>IF(N1539="net",_xlfn.XLOOKUP(E1539,cannabis_log!C:C,cannabis_log!N:N,"NOT FOUND",0,1),IF(N1539="gross",0,""))</f>
        <v>0</v>
      </c>
    </row>
    <row r="1540" spans="1:15">
      <c r="A1540" s="195" t="str">
        <f t="shared" si="82"/>
        <v>outbound</v>
      </c>
      <c r="B1540" s="196">
        <v>45751.576388888891</v>
      </c>
      <c r="C1540" s="197" t="s">
        <v>1921</v>
      </c>
      <c r="D1540" s="197"/>
      <c r="E1540" s="217" t="s">
        <v>2872</v>
      </c>
      <c r="F1540" s="112" t="str">
        <f>IF(ISBLANK(E1540),"",_xlfn.XLOOKUP(E1540,cannabis_log!C:C,cannabis_log!J:J,"",0,))</f>
        <v>PR2511</v>
      </c>
      <c r="G1540" s="112"/>
      <c r="H1540" s="112" t="str">
        <f>IF(ISBLANK(E1540),"",_xlfn.XLOOKUP(E1540,cannabis_log!C:C,cannabis_log!H:H,"",0,1))</f>
        <v>driedflower_milled_bulk</v>
      </c>
      <c r="I1540" s="113" t="str">
        <f>IF(ISBLANK(E1540),"",_xlfn.XLOOKUP(E1540,cannabis_log!C:C,cannabis_log!K:K,"NOT FOUND",0,1))</f>
        <v>NA</v>
      </c>
      <c r="J1540" s="185">
        <v>-1</v>
      </c>
      <c r="K1540" s="186">
        <v>-2580</v>
      </c>
      <c r="L1540" s="288">
        <f t="shared" si="80"/>
        <v>0</v>
      </c>
      <c r="M1540" s="24"/>
      <c r="N1540" s="112" t="str">
        <f>IF(ISBLANK(E1540),"",_xlfn.XLOOKUP(E1540,cannabis_log!C:C,cannabis_log!T:T,"Not Found",0,))</f>
        <v>gross</v>
      </c>
      <c r="O1540" s="180">
        <f>IF(N1540="net",_xlfn.XLOOKUP(E1540,cannabis_log!C:C,cannabis_log!N:N,"NOT FOUND",0,1),IF(N1540="gross",0,""))</f>
        <v>0</v>
      </c>
    </row>
    <row r="1541" spans="1:15">
      <c r="A1541" s="195" t="str">
        <f t="shared" si="82"/>
        <v>outbound</v>
      </c>
      <c r="B1541" s="196">
        <v>45751.576388888891</v>
      </c>
      <c r="C1541" s="197" t="s">
        <v>1929</v>
      </c>
      <c r="D1541" s="22" t="s">
        <v>2873</v>
      </c>
      <c r="E1541" s="217" t="s">
        <v>2874</v>
      </c>
      <c r="F1541" s="112" t="str">
        <f>IF(ISBLANK(E1541),"",_xlfn.XLOOKUP(E1541,cannabis_log!C:C,cannabis_log!J:J,"",0,))</f>
        <v>2024120501G28</v>
      </c>
      <c r="G1541" s="112"/>
      <c r="H1541" s="112" t="str">
        <f>IF(ISBLANK(E1541),"",_xlfn.XLOOKUP(E1541,cannabis_log!C:C,cannabis_log!H:H,"",0,1))</f>
        <v>driedflower_labelled</v>
      </c>
      <c r="I1541" s="113">
        <f>IF(ISBLANK(E1541),"",_xlfn.XLOOKUP(E1541,cannabis_log!C:C,cannabis_log!K:K,"NOT FOUND",0,1))</f>
        <v>45744</v>
      </c>
      <c r="J1541" s="185">
        <v>-43</v>
      </c>
      <c r="K1541" s="186">
        <f>IF(N1541="net",0,"")</f>
        <v>0</v>
      </c>
      <c r="L1541" s="288">
        <f t="shared" si="80"/>
        <v>-1204</v>
      </c>
      <c r="M1541" s="24"/>
      <c r="N1541" s="112" t="str">
        <f>IF(ISBLANK(E1541),"",_xlfn.XLOOKUP(E1541,cannabis_log!C:C,cannabis_log!T:T,"Not Found",0,))</f>
        <v>net</v>
      </c>
      <c r="O1541" s="180">
        <f>IF(N1541="net",_xlfn.XLOOKUP(E1541,cannabis_log!C:C,cannabis_log!N:N,"NOT FOUND",0,1),IF(N1541="gross",0,""))</f>
        <v>28</v>
      </c>
    </row>
    <row r="1542" spans="1:15">
      <c r="A1542" s="195" t="str">
        <f t="shared" si="82"/>
        <v>outbound</v>
      </c>
      <c r="B1542" s="196">
        <v>45751.576388888891</v>
      </c>
      <c r="C1542" s="197" t="s">
        <v>1929</v>
      </c>
      <c r="D1542" s="22" t="s">
        <v>2873</v>
      </c>
      <c r="E1542" s="217" t="s">
        <v>2875</v>
      </c>
      <c r="F1542" s="112" t="str">
        <f>IF(ISBLANK(E1542),"",_xlfn.XLOOKUP(E1542,cannabis_log!C:C,cannabis_log!J:J,"",0,))</f>
        <v>2024120501G28</v>
      </c>
      <c r="G1542" s="112"/>
      <c r="H1542" s="112" t="str">
        <f>IF(ISBLANK(E1542),"",_xlfn.XLOOKUP(E1542,cannabis_log!C:C,cannabis_log!H:H,"",0,1))</f>
        <v>driedflower_labelled</v>
      </c>
      <c r="I1542" s="113">
        <f>IF(ISBLANK(E1542),"",_xlfn.XLOOKUP(E1542,cannabis_log!C:C,cannabis_log!K:K,"NOT FOUND",0,1))</f>
        <v>45744</v>
      </c>
      <c r="J1542" s="185">
        <v>-65</v>
      </c>
      <c r="K1542" s="186">
        <f>IF(N1542="net",0,"")</f>
        <v>0</v>
      </c>
      <c r="L1542" s="288">
        <f t="shared" si="80"/>
        <v>-1820</v>
      </c>
      <c r="M1542" s="24"/>
      <c r="N1542" s="112" t="str">
        <f>IF(ISBLANK(E1542),"",_xlfn.XLOOKUP(E1542,cannabis_log!C:C,cannabis_log!T:T,"Not Found",0,))</f>
        <v>net</v>
      </c>
      <c r="O1542" s="180">
        <f>IF(N1542="net",_xlfn.XLOOKUP(E1542,cannabis_log!C:C,cannabis_log!N:N,"NOT FOUND",0,1),IF(N1542="gross",0,""))</f>
        <v>28</v>
      </c>
    </row>
    <row r="1543" spans="1:15">
      <c r="A1543" s="195" t="str">
        <f t="shared" si="82"/>
        <v>outbound</v>
      </c>
      <c r="B1543" s="196">
        <v>45751.576388888891</v>
      </c>
      <c r="C1543" s="197" t="s">
        <v>1929</v>
      </c>
      <c r="D1543" s="22" t="s">
        <v>2873</v>
      </c>
      <c r="E1543" s="217" t="s">
        <v>2876</v>
      </c>
      <c r="F1543" s="112" t="str">
        <f>IF(ISBLANK(E1543),"",_xlfn.XLOOKUP(E1543,cannabis_log!C:C,cannabis_log!J:J,"",0,))</f>
        <v>2024110601G28</v>
      </c>
      <c r="G1543" s="112"/>
      <c r="H1543" s="112" t="str">
        <f>IF(ISBLANK(E1543),"",_xlfn.XLOOKUP(E1543,cannabis_log!C:C,cannabis_log!H:H,"",0,1))</f>
        <v>driedflower_labelled</v>
      </c>
      <c r="I1543" s="113">
        <f>IF(ISBLANK(E1543),"",_xlfn.XLOOKUP(E1543,cannabis_log!C:C,cannabis_log!K:K,"NOT FOUND",0,1))</f>
        <v>45744</v>
      </c>
      <c r="J1543" s="185">
        <v>-156</v>
      </c>
      <c r="K1543" s="186">
        <f>IF(N1543="net",0,"")</f>
        <v>0</v>
      </c>
      <c r="L1543" s="288">
        <f t="shared" si="80"/>
        <v>-4368</v>
      </c>
      <c r="M1543" s="24"/>
      <c r="N1543" s="112" t="str">
        <f>IF(ISBLANK(E1543),"",_xlfn.XLOOKUP(E1543,cannabis_log!C:C,cannabis_log!T:T,"Not Found",0,))</f>
        <v>net</v>
      </c>
      <c r="O1543" s="180">
        <f>IF(N1543="net",_xlfn.XLOOKUP(E1543,cannabis_log!C:C,cannabis_log!N:N,"NOT FOUND",0,1),IF(N1543="gross",0,""))</f>
        <v>28</v>
      </c>
    </row>
    <row r="1544" spans="1:15">
      <c r="A1544" s="195" t="str">
        <f t="shared" si="82"/>
        <v>inbound</v>
      </c>
      <c r="B1544" s="196">
        <v>45754.520138888889</v>
      </c>
      <c r="C1544" s="197" t="s">
        <v>1927</v>
      </c>
      <c r="D1544" s="197"/>
      <c r="E1544" s="217" t="s">
        <v>2819</v>
      </c>
      <c r="F1544" s="112">
        <f>IF(ISBLANK(E1544),"",_xlfn.XLOOKUP(E1544,cannabis_log!C:C,cannabis_log!J:J,"",0,))</f>
        <v>2025030702</v>
      </c>
      <c r="G1544" s="112"/>
      <c r="H1544" s="112" t="str">
        <f>IF(ISBLANK(E1544),"",_xlfn.XLOOKUP(E1544,cannabis_log!C:C,cannabis_log!H:H,"",0,1))</f>
        <v>driedflower_bulk_Rohan</v>
      </c>
      <c r="I1544" s="113" t="str">
        <f>IF(ISBLANK(E1544),"",_xlfn.XLOOKUP(E1544,cannabis_log!C:C,cannabis_log!K:K,"NOT FOUND",0,1))</f>
        <v>NA</v>
      </c>
      <c r="J1544" s="185">
        <v>1</v>
      </c>
      <c r="K1544" s="186">
        <v>6602</v>
      </c>
      <c r="L1544" s="288">
        <f t="shared" si="80"/>
        <v>0</v>
      </c>
      <c r="M1544" s="24"/>
      <c r="N1544" s="112" t="str">
        <f>IF(ISBLANK(E1544),"",_xlfn.XLOOKUP(E1544,cannabis_log!C:C,cannabis_log!T:T,"Not Found",0,))</f>
        <v>gross</v>
      </c>
      <c r="O1544" s="180">
        <f>IF(N1544="net",_xlfn.XLOOKUP(E1544,cannabis_log!C:C,cannabis_log!N:N,"NOT FOUND",0,1),IF(N1544="gross",0,""))</f>
        <v>0</v>
      </c>
    </row>
    <row r="1545" spans="1:15">
      <c r="A1545" s="195" t="str">
        <f t="shared" si="82"/>
        <v>inbound</v>
      </c>
      <c r="B1545" s="196">
        <v>45754.520833333336</v>
      </c>
      <c r="C1545" s="197" t="s">
        <v>1927</v>
      </c>
      <c r="D1545" s="197"/>
      <c r="E1545" s="217" t="s">
        <v>2849</v>
      </c>
      <c r="F1545" s="112" t="str">
        <f>IF(ISBLANK(E1545),"",_xlfn.XLOOKUP(E1545,cannabis_log!C:C,cannabis_log!J:J,"",0,))</f>
        <v>2024121801G7</v>
      </c>
      <c r="G1545" s="112"/>
      <c r="H1545" s="112" t="str">
        <f>IF(ISBLANK(E1545),"",_xlfn.XLOOKUP(E1545,cannabis_log!C:C,cannabis_log!H:H,"",0,1))</f>
        <v>driedflower_labelled</v>
      </c>
      <c r="I1545" s="113">
        <f>IF(ISBLANK(E1545),"",_xlfn.XLOOKUP(E1545,cannabis_log!C:C,cannabis_log!K:K,"NOT FOUND",0,1))</f>
        <v>45742</v>
      </c>
      <c r="J1545" s="185">
        <v>7</v>
      </c>
      <c r="K1545" s="186">
        <f>IF(N1545="net",0,"")</f>
        <v>0</v>
      </c>
      <c r="L1545" s="288">
        <f t="shared" si="80"/>
        <v>49</v>
      </c>
      <c r="M1545" s="24"/>
      <c r="N1545" s="112" t="str">
        <f>IF(ISBLANK(E1545),"",_xlfn.XLOOKUP(E1545,cannabis_log!C:C,cannabis_log!T:T,"Not Found",0,))</f>
        <v>net</v>
      </c>
      <c r="O1545" s="180">
        <f>IF(N1545="net",_xlfn.XLOOKUP(E1545,cannabis_log!C:C,cannabis_log!N:N,"NOT FOUND",0,1),IF(N1545="gross",0,""))</f>
        <v>7</v>
      </c>
    </row>
    <row r="1546" spans="1:15">
      <c r="A1546" s="195" t="str">
        <f t="shared" si="82"/>
        <v>outbound</v>
      </c>
      <c r="B1546" s="196">
        <v>45754.584722222222</v>
      </c>
      <c r="C1546" s="197" t="s">
        <v>1924</v>
      </c>
      <c r="D1546" s="197" t="s">
        <v>2877</v>
      </c>
      <c r="E1546" s="217" t="s">
        <v>2355</v>
      </c>
      <c r="F1546" s="112" t="str">
        <f>IF(ISBLANK(E1546),"",_xlfn.XLOOKUP(E1546,cannabis_log!C:C,cannabis_log!J:J,"",0,))</f>
        <v>PR241105F5</v>
      </c>
      <c r="G1546" s="112"/>
      <c r="H1546" s="112" t="str">
        <f>IF(ISBLANK(E1546),"",_xlfn.XLOOKUP(E1546,cannabis_log!C:C,cannabis_log!H:H,"",0,1))</f>
        <v>preroll_bulk</v>
      </c>
      <c r="I1546" s="113" t="str">
        <f>IF(ISBLANK(E1546),"",_xlfn.XLOOKUP(E1546,cannabis_log!C:C,cannabis_log!K:K,"NOT FOUND",0,1))</f>
        <v>NA</v>
      </c>
      <c r="J1546" s="185">
        <v>-1</v>
      </c>
      <c r="K1546" s="186">
        <f>IF(N1546="net",0,"")</f>
        <v>0</v>
      </c>
      <c r="L1546" s="288">
        <f t="shared" si="80"/>
        <v>-0.5</v>
      </c>
      <c r="M1546" s="24"/>
      <c r="N1546" s="112" t="str">
        <f>IF(ISBLANK(E1546),"",_xlfn.XLOOKUP(E1546,cannabis_log!C:C,cannabis_log!T:T,"Not Found",0,))</f>
        <v>net</v>
      </c>
      <c r="O1546" s="180">
        <f>IF(N1546="net",_xlfn.XLOOKUP(E1546,cannabis_log!C:C,cannabis_log!N:N,"NOT FOUND",0,1),IF(N1546="gross",0,""))</f>
        <v>0.5</v>
      </c>
    </row>
    <row r="1547" spans="1:15">
      <c r="A1547" s="195" t="str">
        <f t="shared" si="82"/>
        <v>outbound</v>
      </c>
      <c r="B1547" s="196">
        <v>45755.385416666664</v>
      </c>
      <c r="C1547" s="197" t="s">
        <v>1921</v>
      </c>
      <c r="D1547" s="197"/>
      <c r="E1547" s="217" t="s">
        <v>2753</v>
      </c>
      <c r="F1547" s="112" t="str">
        <f>IF(ISBLANK(E1547),"",_xlfn.XLOOKUP(E1547,cannabis_log!C:C,cannabis_log!J:J,"",0,))</f>
        <v>PR2501</v>
      </c>
      <c r="G1547" s="112"/>
      <c r="H1547" s="112" t="str">
        <f>IF(ISBLANK(E1547),"",_xlfn.XLOOKUP(E1547,cannabis_log!C:C,cannabis_log!H:H,"",0,1))</f>
        <v>driedflower_milled_bulk</v>
      </c>
      <c r="I1547" s="113" t="str">
        <f>IF(ISBLANK(E1547),"",_xlfn.XLOOKUP(E1547,cannabis_log!C:C,cannabis_log!K:K,"NOT FOUND",0,1))</f>
        <v>NA</v>
      </c>
      <c r="J1547" s="185">
        <v>-1</v>
      </c>
      <c r="K1547" s="186">
        <v>-3802</v>
      </c>
      <c r="L1547" s="288">
        <f t="shared" si="80"/>
        <v>0</v>
      </c>
      <c r="M1547" s="24"/>
      <c r="N1547" s="112" t="str">
        <f>IF(ISBLANK(E1547),"",_xlfn.XLOOKUP(E1547,cannabis_log!C:C,cannabis_log!T:T,"Not Found",0,))</f>
        <v>gross</v>
      </c>
      <c r="O1547" s="180">
        <f>IF(N1547="net",_xlfn.XLOOKUP(E1547,cannabis_log!C:C,cannabis_log!N:N,"NOT FOUND",0,1),IF(N1547="gross",0,""))</f>
        <v>0</v>
      </c>
    </row>
    <row r="1548" spans="1:15">
      <c r="A1548" s="195" t="str">
        <f t="shared" si="82"/>
        <v>outbound</v>
      </c>
      <c r="B1548" s="196">
        <v>45755.448611111111</v>
      </c>
      <c r="C1548" s="197" t="s">
        <v>1929</v>
      </c>
      <c r="D1548" s="197" t="s">
        <v>2878</v>
      </c>
      <c r="E1548" s="217" t="s">
        <v>2879</v>
      </c>
      <c r="F1548" s="112" t="str">
        <f>IF(ISBLANK(E1548),"",_xlfn.XLOOKUP(E1548,cannabis_log!C:C,cannabis_log!J:J,"",0,))</f>
        <v>EX24111301G05</v>
      </c>
      <c r="G1548" s="112"/>
      <c r="H1548" s="112" t="str">
        <f>IF(ISBLANK(E1548),"",_xlfn.XLOOKUP(E1548,cannabis_log!C:C,cannabis_log!H:H,"",0,1))</f>
        <v>extract_inhaled_labelled</v>
      </c>
      <c r="I1548" s="113">
        <f>IF(ISBLANK(E1548),"",_xlfn.XLOOKUP(E1548,cannabis_log!C:C,cannabis_log!K:K,"NOT FOUND",0,1))</f>
        <v>45749</v>
      </c>
      <c r="J1548" s="185">
        <v>-1</v>
      </c>
      <c r="K1548" s="186">
        <f>IF(N1548="net",0,"")</f>
        <v>0</v>
      </c>
      <c r="L1548" s="288">
        <f t="shared" si="80"/>
        <v>-0.5</v>
      </c>
      <c r="M1548" s="24"/>
      <c r="N1548" s="112" t="str">
        <f>IF(ISBLANK(E1548),"",_xlfn.XLOOKUP(E1548,cannabis_log!C:C,cannabis_log!T:T,"Not Found",0,))</f>
        <v>net</v>
      </c>
      <c r="O1548" s="180">
        <f>IF(N1548="net",_xlfn.XLOOKUP(E1548,cannabis_log!C:C,cannabis_log!N:N,"NOT FOUND",0,1),IF(N1548="gross",0,""))</f>
        <v>0.5</v>
      </c>
    </row>
    <row r="1549" spans="1:15">
      <c r="A1549" s="195" t="str">
        <f t="shared" si="82"/>
        <v>outbound</v>
      </c>
      <c r="B1549" s="196">
        <v>45755.448611111111</v>
      </c>
      <c r="C1549" s="197" t="s">
        <v>1929</v>
      </c>
      <c r="D1549" s="197" t="s">
        <v>2880</v>
      </c>
      <c r="E1549" s="217" t="s">
        <v>2881</v>
      </c>
      <c r="F1549" s="112" t="str">
        <f>IF(ISBLANK(E1549),"",_xlfn.XLOOKUP(E1549,cannabis_log!C:C,cannabis_log!J:J,"",0,))</f>
        <v>PR2512</v>
      </c>
      <c r="G1549" s="112"/>
      <c r="H1549" s="112" t="str">
        <f>IF(ISBLANK(E1549),"",_xlfn.XLOOKUP(E1549,cannabis_log!C:C,cannabis_log!H:H,"",0,1))</f>
        <v>diredflower_milled_bulk_Rohan</v>
      </c>
      <c r="I1549" s="113" t="str">
        <f>IF(ISBLANK(E1549),"",_xlfn.XLOOKUP(E1549,cannabis_log!C:C,cannabis_log!K:K,"NOT FOUND",0,1))</f>
        <v>NA</v>
      </c>
      <c r="J1549" s="185">
        <v>-1</v>
      </c>
      <c r="K1549" s="186">
        <v>-3695</v>
      </c>
      <c r="L1549" s="288">
        <f t="shared" si="80"/>
        <v>0</v>
      </c>
      <c r="M1549" s="24"/>
      <c r="N1549" s="112" t="str">
        <f>IF(ISBLANK(E1549),"",_xlfn.XLOOKUP(E1549,cannabis_log!C:C,cannabis_log!T:T,"Not Found",0,))</f>
        <v>gross</v>
      </c>
      <c r="O1549" s="180">
        <f>IF(N1549="net",_xlfn.XLOOKUP(E1549,cannabis_log!C:C,cannabis_log!N:N,"NOT FOUND",0,1),IF(N1549="gross",0,""))</f>
        <v>0</v>
      </c>
    </row>
    <row r="1550" spans="1:15">
      <c r="A1550" s="195" t="str">
        <f t="shared" si="82"/>
        <v>outbound</v>
      </c>
      <c r="B1550" s="196">
        <v>45755.448611111111</v>
      </c>
      <c r="C1550" s="197" t="s">
        <v>1929</v>
      </c>
      <c r="D1550" s="197" t="s">
        <v>2882</v>
      </c>
      <c r="E1550" s="217" t="s">
        <v>2883</v>
      </c>
      <c r="F1550" s="112" t="str">
        <f>IF(ISBLANK(E1550),"",_xlfn.XLOOKUP(E1550,cannabis_log!C:C,cannabis_log!J:J,"",0,))</f>
        <v>PR2416F5P10</v>
      </c>
      <c r="G1550" s="112"/>
      <c r="H1550" s="112" t="str">
        <f>IF(ISBLANK(E1550),"",_xlfn.XLOOKUP(E1550,cannabis_log!C:C,cannabis_log!H:H,"",0,1))</f>
        <v>preroll_labelled</v>
      </c>
      <c r="I1550" s="113">
        <f>IF(ISBLANK(E1550),"",_xlfn.XLOOKUP(E1550,cannabis_log!C:C,cannabis_log!K:K,"NOT FOUND",0,1))</f>
        <v>45642</v>
      </c>
      <c r="J1550" s="185">
        <v>-10</v>
      </c>
      <c r="K1550" s="186">
        <f t="shared" ref="K1550:K1581" si="83">IF(N1550="net",0,"")</f>
        <v>0</v>
      </c>
      <c r="L1550" s="288">
        <f t="shared" si="80"/>
        <v>-50</v>
      </c>
      <c r="M1550" s="24"/>
      <c r="N1550" s="112" t="str">
        <f>IF(ISBLANK(E1550),"",_xlfn.XLOOKUP(E1550,cannabis_log!C:C,cannabis_log!T:T,"Not Found",0,))</f>
        <v>net</v>
      </c>
      <c r="O1550" s="180">
        <f>IF(N1550="net",_xlfn.XLOOKUP(E1550,cannabis_log!C:C,cannabis_log!N:N,"NOT FOUND",0,1),IF(N1550="gross",0,""))</f>
        <v>5</v>
      </c>
    </row>
    <row r="1551" spans="1:15">
      <c r="A1551" s="195" t="str">
        <f t="shared" si="82"/>
        <v>outbound</v>
      </c>
      <c r="B1551" s="196">
        <v>45755.46597222222</v>
      </c>
      <c r="C1551" s="197" t="s">
        <v>1929</v>
      </c>
      <c r="D1551" s="197" t="s">
        <v>2884</v>
      </c>
      <c r="E1551" s="217" t="s">
        <v>2885</v>
      </c>
      <c r="F1551" s="112" t="str">
        <f>IF(ISBLANK(E1551),"",_xlfn.XLOOKUP(E1551,cannabis_log!C:C,cannabis_log!J:J,"",0,))</f>
        <v>ROGEX001G1</v>
      </c>
      <c r="G1551" s="112"/>
      <c r="H1551" s="112" t="str">
        <f>IF(ISBLANK(E1551),"",_xlfn.XLOOKUP(E1551,cannabis_log!C:C,cannabis_log!H:H,"",0,1))</f>
        <v>extract_inhaled_labelled_Rohan</v>
      </c>
      <c r="I1551" s="113">
        <f>IF(ISBLANK(E1551),"",_xlfn.XLOOKUP(E1551,cannabis_log!C:C,cannabis_log!K:K,"NOT FOUND",0,1))</f>
        <v>45740</v>
      </c>
      <c r="J1551" s="185">
        <v>-36</v>
      </c>
      <c r="K1551" s="186">
        <f t="shared" si="83"/>
        <v>0</v>
      </c>
      <c r="L1551" s="288">
        <f t="shared" si="80"/>
        <v>-36</v>
      </c>
      <c r="M1551" s="24"/>
      <c r="N1551" s="112" t="str">
        <f>IF(ISBLANK(E1551),"",_xlfn.XLOOKUP(E1551,cannabis_log!C:C,cannabis_log!T:T,"Not Found",0,))</f>
        <v>net</v>
      </c>
      <c r="O1551" s="180">
        <f>IF(N1551="net",_xlfn.XLOOKUP(E1551,cannabis_log!C:C,cannabis_log!N:N,"NOT FOUND",0,1),IF(N1551="gross",0,""))</f>
        <v>1</v>
      </c>
    </row>
    <row r="1552" spans="1:15">
      <c r="A1552" s="195" t="str">
        <f t="shared" si="82"/>
        <v>outbound</v>
      </c>
      <c r="B1552" s="196">
        <v>45755.46597222222</v>
      </c>
      <c r="C1552" s="197" t="s">
        <v>1929</v>
      </c>
      <c r="D1552" s="197" t="s">
        <v>2884</v>
      </c>
      <c r="E1552" s="217" t="s">
        <v>2712</v>
      </c>
      <c r="F1552" s="112" t="str">
        <f>IF(ISBLANK(E1552),"",_xlfn.XLOOKUP(E1552,cannabis_log!C:C,cannabis_log!J:J,"",0,))</f>
        <v>PR241003F5P3</v>
      </c>
      <c r="G1552" s="112"/>
      <c r="H1552" s="112" t="str">
        <f>IF(ISBLANK(E1552),"",_xlfn.XLOOKUP(E1552,cannabis_log!C:C,cannabis_log!H:H,"",0,1))</f>
        <v>preroll_labelled</v>
      </c>
      <c r="I1552" s="113">
        <f>IF(ISBLANK(E1552),"",_xlfn.XLOOKUP(E1552,cannabis_log!C:C,cannabis_log!K:K,"NOT FOUND",0,1))</f>
        <v>45575</v>
      </c>
      <c r="J1552" s="185">
        <v>-12</v>
      </c>
      <c r="K1552" s="186">
        <f t="shared" si="83"/>
        <v>0</v>
      </c>
      <c r="L1552" s="288">
        <f t="shared" si="80"/>
        <v>-18</v>
      </c>
      <c r="M1552" s="24"/>
      <c r="N1552" s="112" t="str">
        <f>IF(ISBLANK(E1552),"",_xlfn.XLOOKUP(E1552,cannabis_log!C:C,cannabis_log!T:T,"Not Found",0,))</f>
        <v>net</v>
      </c>
      <c r="O1552" s="180">
        <f>IF(N1552="net",_xlfn.XLOOKUP(E1552,cannabis_log!C:C,cannabis_log!N:N,"NOT FOUND",0,1),IF(N1552="gross",0,""))</f>
        <v>1.5</v>
      </c>
    </row>
    <row r="1553" spans="1:15">
      <c r="A1553" s="195" t="str">
        <f t="shared" si="82"/>
        <v>outbound</v>
      </c>
      <c r="B1553" s="196">
        <v>45755.46597222222</v>
      </c>
      <c r="C1553" s="197" t="s">
        <v>1929</v>
      </c>
      <c r="D1553" s="197" t="s">
        <v>2884</v>
      </c>
      <c r="E1553" s="217" t="s">
        <v>2719</v>
      </c>
      <c r="F1553" s="112" t="str">
        <f>IF(ISBLANK(E1553),"",_xlfn.XLOOKUP(E1553,cannabis_log!C:C,cannabis_log!J:J,"",0,))</f>
        <v>PR241104F5P3</v>
      </c>
      <c r="G1553" s="112"/>
      <c r="H1553" s="112" t="str">
        <f>IF(ISBLANK(E1553),"",_xlfn.XLOOKUP(E1553,cannabis_log!C:C,cannabis_log!H:H,"",0,1))</f>
        <v>preroll_labelled</v>
      </c>
      <c r="I1553" s="113">
        <f>IF(ISBLANK(E1553),"",_xlfn.XLOOKUP(E1553,cannabis_log!C:C,cannabis_log!K:K,"NOT FOUND",0,1))</f>
        <v>45630</v>
      </c>
      <c r="J1553" s="185">
        <v>-12</v>
      </c>
      <c r="K1553" s="186">
        <f t="shared" si="83"/>
        <v>0</v>
      </c>
      <c r="L1553" s="288">
        <f t="shared" si="80"/>
        <v>-18</v>
      </c>
      <c r="M1553" s="24"/>
      <c r="N1553" s="112" t="str">
        <f>IF(ISBLANK(E1553),"",_xlfn.XLOOKUP(E1553,cannabis_log!C:C,cannabis_log!T:T,"Not Found",0,))</f>
        <v>net</v>
      </c>
      <c r="O1553" s="180">
        <f>IF(N1553="net",_xlfn.XLOOKUP(E1553,cannabis_log!C:C,cannabis_log!N:N,"NOT FOUND",0,1),IF(N1553="gross",0,""))</f>
        <v>1.5</v>
      </c>
    </row>
    <row r="1554" spans="1:15">
      <c r="A1554" s="195" t="str">
        <f t="shared" si="82"/>
        <v>outbound</v>
      </c>
      <c r="B1554" s="196">
        <v>45755.46597222222</v>
      </c>
      <c r="C1554" s="197" t="s">
        <v>1929</v>
      </c>
      <c r="D1554" s="197" t="s">
        <v>2884</v>
      </c>
      <c r="E1554" s="217" t="s">
        <v>2711</v>
      </c>
      <c r="F1554" s="112" t="str">
        <f>IF(ISBLANK(E1554),"",_xlfn.XLOOKUP(E1554,cannabis_log!C:C,cannabis_log!J:J,"",0,))</f>
        <v>PR241005F5P3</v>
      </c>
      <c r="G1554" s="112"/>
      <c r="H1554" s="112" t="str">
        <f>IF(ISBLANK(E1554),"",_xlfn.XLOOKUP(E1554,cannabis_log!C:C,cannabis_log!H:H,"",0,1))</f>
        <v>preroll_labelled</v>
      </c>
      <c r="I1554" s="113">
        <f>IF(ISBLANK(E1554),"",_xlfn.XLOOKUP(E1554,cannabis_log!C:C,cannabis_log!K:K,"NOT FOUND",0,1))</f>
        <v>45575</v>
      </c>
      <c r="J1554" s="185">
        <v>-5</v>
      </c>
      <c r="K1554" s="186">
        <f t="shared" si="83"/>
        <v>0</v>
      </c>
      <c r="L1554" s="288">
        <f t="shared" si="80"/>
        <v>-7.5</v>
      </c>
      <c r="M1554" s="24"/>
      <c r="N1554" s="112" t="str">
        <f>IF(ISBLANK(E1554),"",_xlfn.XLOOKUP(E1554,cannabis_log!C:C,cannabis_log!T:T,"Not Found",0,))</f>
        <v>net</v>
      </c>
      <c r="O1554" s="180">
        <f>IF(N1554="net",_xlfn.XLOOKUP(E1554,cannabis_log!C:C,cannabis_log!N:N,"NOT FOUND",0,1),IF(N1554="gross",0,""))</f>
        <v>1.5</v>
      </c>
    </row>
    <row r="1555" spans="1:15">
      <c r="A1555" s="195" t="str">
        <f t="shared" si="82"/>
        <v>outbound</v>
      </c>
      <c r="B1555" s="196">
        <v>45755.46597222222</v>
      </c>
      <c r="C1555" s="197" t="s">
        <v>1929</v>
      </c>
      <c r="D1555" s="197" t="s">
        <v>2884</v>
      </c>
      <c r="E1555" s="217" t="s">
        <v>2886</v>
      </c>
      <c r="F1555" s="112" t="str">
        <f>IF(ISBLANK(E1555),"",_xlfn.XLOOKUP(E1555,cannabis_log!C:C,cannabis_log!J:J,"",0,))</f>
        <v>PR241105F5P3</v>
      </c>
      <c r="G1555" s="112"/>
      <c r="H1555" s="112" t="str">
        <f>IF(ISBLANK(E1555),"",_xlfn.XLOOKUP(E1555,cannabis_log!C:C,cannabis_log!H:H,"",0,1))</f>
        <v>preroll_labelled</v>
      </c>
      <c r="I1555" s="113">
        <f>IF(ISBLANK(E1555),"",_xlfn.XLOOKUP(E1555,cannabis_log!C:C,cannabis_log!K:K,"NOT FOUND",0,1))</f>
        <v>45581</v>
      </c>
      <c r="J1555" s="185">
        <v>-7</v>
      </c>
      <c r="K1555" s="186">
        <f t="shared" si="83"/>
        <v>0</v>
      </c>
      <c r="L1555" s="288">
        <f t="shared" si="80"/>
        <v>-10.5</v>
      </c>
      <c r="M1555" s="24"/>
      <c r="N1555" s="112" t="str">
        <f>IF(ISBLANK(E1555),"",_xlfn.XLOOKUP(E1555,cannabis_log!C:C,cannabis_log!T:T,"Not Found",0,))</f>
        <v>net</v>
      </c>
      <c r="O1555" s="180">
        <f>IF(N1555="net",_xlfn.XLOOKUP(E1555,cannabis_log!C:C,cannabis_log!N:N,"NOT FOUND",0,1),IF(N1555="gross",0,""))</f>
        <v>1.5</v>
      </c>
    </row>
    <row r="1556" spans="1:15">
      <c r="A1556" s="195" t="str">
        <f t="shared" si="82"/>
        <v>outbound</v>
      </c>
      <c r="B1556" s="196">
        <v>45755.46597222222</v>
      </c>
      <c r="C1556" s="197" t="s">
        <v>1929</v>
      </c>
      <c r="D1556" s="197" t="s">
        <v>2884</v>
      </c>
      <c r="E1556" s="217" t="s">
        <v>2689</v>
      </c>
      <c r="F1556" s="112" t="str">
        <f>IF(ISBLANK(E1556),"",_xlfn.XLOOKUP(E1556,cannabis_log!C:C,cannabis_log!J:J,"",0,))</f>
        <v>EX25020601G1</v>
      </c>
      <c r="G1556" s="112"/>
      <c r="H1556" s="112" t="str">
        <f>IF(ISBLANK(E1556),"",_xlfn.XLOOKUP(E1556,cannabis_log!C:C,cannabis_log!H:H,"",0,1))</f>
        <v>extract_inhaled_labelled</v>
      </c>
      <c r="I1556" s="113">
        <f>IF(ISBLANK(E1556),"",_xlfn.XLOOKUP(E1556,cannabis_log!C:C,cannabis_log!K:K,"NOT FOUND",0,1))</f>
        <v>45707</v>
      </c>
      <c r="J1556" s="185">
        <v>-12</v>
      </c>
      <c r="K1556" s="186">
        <f t="shared" si="83"/>
        <v>0</v>
      </c>
      <c r="L1556" s="288">
        <f t="shared" si="80"/>
        <v>-12</v>
      </c>
      <c r="M1556" s="24"/>
      <c r="N1556" s="112" t="str">
        <f>IF(ISBLANK(E1556),"",_xlfn.XLOOKUP(E1556,cannabis_log!C:C,cannabis_log!T:T,"Not Found",0,))</f>
        <v>net</v>
      </c>
      <c r="O1556" s="180">
        <f>IF(N1556="net",_xlfn.XLOOKUP(E1556,cannabis_log!C:C,cannabis_log!N:N,"NOT FOUND",0,1),IF(N1556="gross",0,""))</f>
        <v>1</v>
      </c>
    </row>
    <row r="1557" spans="1:15">
      <c r="A1557" s="195" t="str">
        <f t="shared" si="82"/>
        <v>outbound</v>
      </c>
      <c r="B1557" s="196">
        <v>45755.46597222222</v>
      </c>
      <c r="C1557" s="197" t="s">
        <v>1929</v>
      </c>
      <c r="D1557" s="197" t="s">
        <v>2884</v>
      </c>
      <c r="E1557" s="217" t="s">
        <v>2887</v>
      </c>
      <c r="F1557" s="112" t="str">
        <f>IF(ISBLANK(E1557),"",_xlfn.XLOOKUP(E1557,cannabis_log!C:C,cannabis_log!J:J,"",0,))</f>
        <v>PR2507F1P2</v>
      </c>
      <c r="G1557" s="112"/>
      <c r="H1557" s="112" t="str">
        <f>IF(ISBLANK(E1557),"",_xlfn.XLOOKUP(E1557,cannabis_log!C:C,cannabis_log!H:H,"",0,1))</f>
        <v>preroll_labelled</v>
      </c>
      <c r="I1557" s="113">
        <f>IF(ISBLANK(E1557),"",_xlfn.XLOOKUP(E1557,cannabis_log!C:C,cannabis_log!K:K,"NOT FOUND",0,1))</f>
        <v>45749</v>
      </c>
      <c r="J1557" s="185">
        <v>-24</v>
      </c>
      <c r="K1557" s="186">
        <f t="shared" si="83"/>
        <v>0</v>
      </c>
      <c r="L1557" s="288">
        <f t="shared" si="80"/>
        <v>-48</v>
      </c>
      <c r="M1557" s="24"/>
      <c r="N1557" s="112" t="str">
        <f>IF(ISBLANK(E1557),"",_xlfn.XLOOKUP(E1557,cannabis_log!C:C,cannabis_log!T:T,"Not Found",0,))</f>
        <v>net</v>
      </c>
      <c r="O1557" s="180">
        <f>IF(N1557="net",_xlfn.XLOOKUP(E1557,cannabis_log!C:C,cannabis_log!N:N,"NOT FOUND",0,1),IF(N1557="gross",0,""))</f>
        <v>2</v>
      </c>
    </row>
    <row r="1558" spans="1:15">
      <c r="A1558" s="195" t="str">
        <f t="shared" si="82"/>
        <v>outbound</v>
      </c>
      <c r="B1558" s="196">
        <v>45755.46597222222</v>
      </c>
      <c r="C1558" s="197" t="s">
        <v>1929</v>
      </c>
      <c r="D1558" s="197" t="s">
        <v>2888</v>
      </c>
      <c r="E1558" s="217" t="s">
        <v>2697</v>
      </c>
      <c r="F1558" s="112" t="str">
        <f>IF(ISBLANK(E1558),"",_xlfn.XLOOKUP(E1558,cannabis_log!C:C,cannabis_log!J:J,"",0,))</f>
        <v>EX24101703G05</v>
      </c>
      <c r="G1558" s="112"/>
      <c r="H1558" s="112" t="str">
        <f>IF(ISBLANK(E1558),"",_xlfn.XLOOKUP(E1558,cannabis_log!C:C,cannabis_log!H:H,"",0,1))</f>
        <v>extract_inhaled_labelled</v>
      </c>
      <c r="I1558" s="113">
        <f>IF(ISBLANK(E1558),"",_xlfn.XLOOKUP(E1558,cannabis_log!C:C,cannabis_log!K:K,"NOT FOUND",0,1))</f>
        <v>45603</v>
      </c>
      <c r="J1558" s="185">
        <v>-12</v>
      </c>
      <c r="K1558" s="186">
        <f t="shared" si="83"/>
        <v>0</v>
      </c>
      <c r="L1558" s="288">
        <f t="shared" si="80"/>
        <v>-6</v>
      </c>
      <c r="M1558" s="24"/>
      <c r="N1558" s="112" t="str">
        <f>IF(ISBLANK(E1558),"",_xlfn.XLOOKUP(E1558,cannabis_log!C:C,cannabis_log!T:T,"Not Found",0,))</f>
        <v>net</v>
      </c>
      <c r="O1558" s="180">
        <f>IF(N1558="net",_xlfn.XLOOKUP(E1558,cannabis_log!C:C,cannabis_log!N:N,"NOT FOUND",0,1),IF(N1558="gross",0,""))</f>
        <v>0.5</v>
      </c>
    </row>
    <row r="1559" spans="1:15">
      <c r="A1559" s="195" t="str">
        <f t="shared" si="82"/>
        <v>outbound</v>
      </c>
      <c r="B1559" s="196">
        <v>45755.46597222222</v>
      </c>
      <c r="C1559" s="197" t="s">
        <v>1929</v>
      </c>
      <c r="D1559" s="197" t="s">
        <v>2888</v>
      </c>
      <c r="E1559" s="217" t="s">
        <v>2698</v>
      </c>
      <c r="F1559" s="112" t="str">
        <f>IF(ISBLANK(E1559),"",_xlfn.XLOOKUP(E1559,cannabis_log!C:C,cannabis_log!J:J,"",0,))</f>
        <v>EX24111302G05</v>
      </c>
      <c r="G1559" s="112"/>
      <c r="H1559" s="112" t="str">
        <f>IF(ISBLANK(E1559),"",_xlfn.XLOOKUP(E1559,cannabis_log!C:C,cannabis_log!H:H,"",0,1))</f>
        <v>extract_inhaled_labelled</v>
      </c>
      <c r="I1559" s="113">
        <f>IF(ISBLANK(E1559),"",_xlfn.XLOOKUP(E1559,cannabis_log!C:C,cannabis_log!K:K,"NOT FOUND",0,1))</f>
        <v>45707</v>
      </c>
      <c r="J1559" s="185">
        <v>-12</v>
      </c>
      <c r="K1559" s="186">
        <f t="shared" si="83"/>
        <v>0</v>
      </c>
      <c r="L1559" s="288">
        <f t="shared" si="80"/>
        <v>-6</v>
      </c>
      <c r="M1559" s="24"/>
      <c r="N1559" s="112" t="str">
        <f>IF(ISBLANK(E1559),"",_xlfn.XLOOKUP(E1559,cannabis_log!C:C,cannabis_log!T:T,"Not Found",0,))</f>
        <v>net</v>
      </c>
      <c r="O1559" s="180">
        <f>IF(N1559="net",_xlfn.XLOOKUP(E1559,cannabis_log!C:C,cannabis_log!N:N,"NOT FOUND",0,1),IF(N1559="gross",0,""))</f>
        <v>0.5</v>
      </c>
    </row>
    <row r="1560" spans="1:15">
      <c r="A1560" s="195" t="str">
        <f t="shared" si="82"/>
        <v>outbound</v>
      </c>
      <c r="B1560" s="196">
        <v>45755.46597222222</v>
      </c>
      <c r="C1560" s="197" t="s">
        <v>1929</v>
      </c>
      <c r="D1560" s="197" t="s">
        <v>2888</v>
      </c>
      <c r="E1560" s="217" t="s">
        <v>2879</v>
      </c>
      <c r="F1560" s="112" t="str">
        <f>IF(ISBLANK(E1560),"",_xlfn.XLOOKUP(E1560,cannabis_log!C:C,cannabis_log!J:J,"",0,))</f>
        <v>EX24111301G05</v>
      </c>
      <c r="G1560" s="112"/>
      <c r="H1560" s="112" t="str">
        <f>IF(ISBLANK(E1560),"",_xlfn.XLOOKUP(E1560,cannabis_log!C:C,cannabis_log!H:H,"",0,1))</f>
        <v>extract_inhaled_labelled</v>
      </c>
      <c r="I1560" s="113">
        <f>IF(ISBLANK(E1560),"",_xlfn.XLOOKUP(E1560,cannabis_log!C:C,cannabis_log!K:K,"NOT FOUND",0,1))</f>
        <v>45749</v>
      </c>
      <c r="J1560" s="185">
        <v>-12</v>
      </c>
      <c r="K1560" s="186">
        <f t="shared" si="83"/>
        <v>0</v>
      </c>
      <c r="L1560" s="288">
        <f t="shared" si="80"/>
        <v>-6</v>
      </c>
      <c r="M1560" s="24"/>
      <c r="N1560" s="112" t="str">
        <f>IF(ISBLANK(E1560),"",_xlfn.XLOOKUP(E1560,cannabis_log!C:C,cannabis_log!T:T,"Not Found",0,))</f>
        <v>net</v>
      </c>
      <c r="O1560" s="180">
        <f>IF(N1560="net",_xlfn.XLOOKUP(E1560,cannabis_log!C:C,cannabis_log!N:N,"NOT FOUND",0,1),IF(N1560="gross",0,""))</f>
        <v>0.5</v>
      </c>
    </row>
    <row r="1561" spans="1:15">
      <c r="A1561" s="195" t="str">
        <f t="shared" si="82"/>
        <v>outbound</v>
      </c>
      <c r="B1561" s="196">
        <v>45755.46597222222</v>
      </c>
      <c r="C1561" s="197" t="s">
        <v>1929</v>
      </c>
      <c r="D1561" s="197" t="s">
        <v>2888</v>
      </c>
      <c r="E1561" s="217" t="s">
        <v>2699</v>
      </c>
      <c r="F1561" s="112" t="str">
        <f>IF(ISBLANK(E1561),"",_xlfn.XLOOKUP(E1561,cannabis_log!C:C,cannabis_log!J:J,"",0,))</f>
        <v>EX24111306G05</v>
      </c>
      <c r="G1561" s="112"/>
      <c r="H1561" s="112" t="str">
        <f>IF(ISBLANK(E1561),"",_xlfn.XLOOKUP(E1561,cannabis_log!C:C,cannabis_log!H:H,"",0,1))</f>
        <v>extract_inhaled_labelled</v>
      </c>
      <c r="I1561" s="113">
        <f>IF(ISBLANK(E1561),"",_xlfn.XLOOKUP(E1561,cannabis_log!C:C,cannabis_log!K:K,"NOT FOUND",0,1))</f>
        <v>45623</v>
      </c>
      <c r="J1561" s="185">
        <v>-12</v>
      </c>
      <c r="K1561" s="186">
        <f t="shared" si="83"/>
        <v>0</v>
      </c>
      <c r="L1561" s="288">
        <f t="shared" si="80"/>
        <v>-6</v>
      </c>
      <c r="M1561" s="24"/>
      <c r="N1561" s="112" t="str">
        <f>IF(ISBLANK(E1561),"",_xlfn.XLOOKUP(E1561,cannabis_log!C:C,cannabis_log!T:T,"Not Found",0,))</f>
        <v>net</v>
      </c>
      <c r="O1561" s="180">
        <f>IF(N1561="net",_xlfn.XLOOKUP(E1561,cannabis_log!C:C,cannabis_log!N:N,"NOT FOUND",0,1),IF(N1561="gross",0,""))</f>
        <v>0.5</v>
      </c>
    </row>
    <row r="1562" spans="1:15">
      <c r="A1562" s="195" t="str">
        <f t="shared" si="82"/>
        <v>outbound</v>
      </c>
      <c r="B1562" s="196">
        <v>45755.46597222222</v>
      </c>
      <c r="C1562" s="197" t="s">
        <v>1929</v>
      </c>
      <c r="D1562" s="197" t="s">
        <v>2888</v>
      </c>
      <c r="E1562" s="217" t="s">
        <v>2686</v>
      </c>
      <c r="F1562" s="112" t="str">
        <f>IF(ISBLANK(E1562),"",_xlfn.XLOOKUP(E1562,cannabis_log!C:C,cannabis_log!J:J,"",0,))</f>
        <v>EX25012101V50</v>
      </c>
      <c r="G1562" s="112"/>
      <c r="H1562" s="112" t="str">
        <f>IF(ISBLANK(E1562),"",_xlfn.XLOOKUP(E1562,cannabis_log!C:C,cannabis_log!H:H,"",0,1))</f>
        <v>extract_ingested_cased_BC</v>
      </c>
      <c r="I1562" s="113">
        <f>IF(ISBLANK(E1562),"",_xlfn.XLOOKUP(E1562,cannabis_log!C:C,cannabis_log!K:K,"NOT FOUND",0,1))</f>
        <v>45700</v>
      </c>
      <c r="J1562" s="185">
        <v>-2</v>
      </c>
      <c r="K1562" s="186">
        <f t="shared" si="83"/>
        <v>0</v>
      </c>
      <c r="L1562" s="288">
        <f t="shared" si="80"/>
        <v>-1200</v>
      </c>
      <c r="M1562" s="24"/>
      <c r="N1562" s="112" t="str">
        <f>IF(ISBLANK(E1562),"",_xlfn.XLOOKUP(E1562,cannabis_log!C:C,cannabis_log!T:T,"Not Found",0,))</f>
        <v>net</v>
      </c>
      <c r="O1562" s="180">
        <f>IF(N1562="net",_xlfn.XLOOKUP(E1562,cannabis_log!C:C,cannabis_log!N:N,"NOT FOUND",0,1),IF(N1562="gross",0,""))</f>
        <v>600</v>
      </c>
    </row>
    <row r="1563" spans="1:15">
      <c r="A1563" s="195" t="str">
        <f t="shared" si="82"/>
        <v>outbound</v>
      </c>
      <c r="B1563" s="196">
        <v>45755.46597222222</v>
      </c>
      <c r="C1563" s="197" t="s">
        <v>1929</v>
      </c>
      <c r="D1563" s="197" t="s">
        <v>2888</v>
      </c>
      <c r="E1563" s="217" t="s">
        <v>2687</v>
      </c>
      <c r="F1563" s="112" t="str">
        <f>IF(ISBLANK(E1563),"",_xlfn.XLOOKUP(E1563,cannabis_log!C:C,cannabis_log!J:J,"",0,))</f>
        <v>EX25011501V50</v>
      </c>
      <c r="G1563" s="112"/>
      <c r="H1563" s="112" t="str">
        <f>IF(ISBLANK(E1563),"",_xlfn.XLOOKUP(E1563,cannabis_log!C:C,cannabis_log!H:H,"",0,1))</f>
        <v>extract_ingested_cased_BC</v>
      </c>
      <c r="I1563" s="113">
        <f>IF(ISBLANK(E1563),"",_xlfn.XLOOKUP(E1563,cannabis_log!C:C,cannabis_log!K:K,"NOT FOUND",0,1))</f>
        <v>45692</v>
      </c>
      <c r="J1563" s="185">
        <v>-2</v>
      </c>
      <c r="K1563" s="186">
        <f t="shared" si="83"/>
        <v>0</v>
      </c>
      <c r="L1563" s="288">
        <f t="shared" si="80"/>
        <v>-1200</v>
      </c>
      <c r="M1563" s="24"/>
      <c r="N1563" s="112" t="str">
        <f>IF(ISBLANK(E1563),"",_xlfn.XLOOKUP(E1563,cannabis_log!C:C,cannabis_log!T:T,"Not Found",0,))</f>
        <v>net</v>
      </c>
      <c r="O1563" s="180">
        <f>IF(N1563="net",_xlfn.XLOOKUP(E1563,cannabis_log!C:C,cannabis_log!N:N,"NOT FOUND",0,1),IF(N1563="gross",0,""))</f>
        <v>600</v>
      </c>
    </row>
    <row r="1564" spans="1:15">
      <c r="A1564" s="195" t="str">
        <f t="shared" si="82"/>
        <v>outbound</v>
      </c>
      <c r="B1564" s="196">
        <v>45755.46597222222</v>
      </c>
      <c r="C1564" s="197" t="s">
        <v>1929</v>
      </c>
      <c r="D1564" s="197" t="s">
        <v>2888</v>
      </c>
      <c r="E1564" s="217" t="s">
        <v>2750</v>
      </c>
      <c r="F1564" s="112" t="str">
        <f>IF(ISBLANK(E1564),"",_xlfn.XLOOKUP(E1564,cannabis_log!C:C,cannabis_log!J:J,"",0,))</f>
        <v>EX24092601V50</v>
      </c>
      <c r="G1564" s="112"/>
      <c r="H1564" s="112" t="str">
        <f>IF(ISBLANK(E1564),"",_xlfn.XLOOKUP(E1564,cannabis_log!C:C,cannabis_log!H:H,"",0,1))</f>
        <v>extract_ingested_cased_BC</v>
      </c>
      <c r="I1564" s="113">
        <f>IF(ISBLANK(E1564),"",_xlfn.XLOOKUP(E1564,cannabis_log!C:C,cannabis_log!K:K,"NOT FOUND",0,1))</f>
        <v>45576</v>
      </c>
      <c r="J1564" s="185">
        <v>-1</v>
      </c>
      <c r="K1564" s="186">
        <f t="shared" si="83"/>
        <v>0</v>
      </c>
      <c r="L1564" s="288">
        <f t="shared" si="80"/>
        <v>-600</v>
      </c>
      <c r="M1564" s="24"/>
      <c r="N1564" s="112" t="str">
        <f>IF(ISBLANK(E1564),"",_xlfn.XLOOKUP(E1564,cannabis_log!C:C,cannabis_log!T:T,"Not Found",0,))</f>
        <v>net</v>
      </c>
      <c r="O1564" s="180">
        <f>IF(N1564="net",_xlfn.XLOOKUP(E1564,cannabis_log!C:C,cannabis_log!N:N,"NOT FOUND",0,1),IF(N1564="gross",0,""))</f>
        <v>600</v>
      </c>
    </row>
    <row r="1565" spans="1:15">
      <c r="A1565" s="195" t="str">
        <f t="shared" si="82"/>
        <v>outbound</v>
      </c>
      <c r="B1565" s="196">
        <v>45755.46597222222</v>
      </c>
      <c r="C1565" s="197" t="s">
        <v>1929</v>
      </c>
      <c r="D1565" s="197" t="s">
        <v>2888</v>
      </c>
      <c r="E1565" s="217" t="s">
        <v>2854</v>
      </c>
      <c r="F1565" s="112" t="str">
        <f>IF(ISBLANK(E1565),"",_xlfn.XLOOKUP(E1565,cannabis_log!C:C,cannabis_log!J:J,"",0,))</f>
        <v>PR2301F5P3</v>
      </c>
      <c r="G1565" s="112"/>
      <c r="H1565" s="112" t="str">
        <f>IF(ISBLANK(E1565),"",_xlfn.XLOOKUP(E1565,cannabis_log!C:C,cannabis_log!H:H,"",0,1))</f>
        <v>preroll_labelled</v>
      </c>
      <c r="I1565" s="113">
        <f>IF(ISBLANK(E1565),"",_xlfn.XLOOKUP(E1565,cannabis_log!C:C,cannabis_log!K:K,"NOT FOUND",0,1))</f>
        <v>45742</v>
      </c>
      <c r="J1565" s="185">
        <v>-24</v>
      </c>
      <c r="K1565" s="186">
        <f t="shared" si="83"/>
        <v>0</v>
      </c>
      <c r="L1565" s="288">
        <f t="shared" si="80"/>
        <v>-36</v>
      </c>
      <c r="M1565" s="24"/>
      <c r="N1565" s="112" t="str">
        <f>IF(ISBLANK(E1565),"",_xlfn.XLOOKUP(E1565,cannabis_log!C:C,cannabis_log!T:T,"Not Found",0,))</f>
        <v>net</v>
      </c>
      <c r="O1565" s="180">
        <f>IF(N1565="net",_xlfn.XLOOKUP(E1565,cannabis_log!C:C,cannabis_log!N:N,"NOT FOUND",0,1),IF(N1565="gross",0,""))</f>
        <v>1.5</v>
      </c>
    </row>
    <row r="1566" spans="1:15">
      <c r="A1566" s="195" t="str">
        <f t="shared" si="82"/>
        <v>outbound</v>
      </c>
      <c r="B1566" s="196">
        <v>45755.46597222222</v>
      </c>
      <c r="C1566" s="197" t="s">
        <v>1929</v>
      </c>
      <c r="D1566" s="197" t="s">
        <v>2888</v>
      </c>
      <c r="E1566" s="217" t="s">
        <v>2732</v>
      </c>
      <c r="F1566" s="112" t="str">
        <f>IF(ISBLANK(E1566),"",_xlfn.XLOOKUP(E1566,cannabis_log!C:C,cannabis_log!J:J,"",0,))</f>
        <v>PR2507F1P2</v>
      </c>
      <c r="G1566" s="112"/>
      <c r="H1566" s="112" t="str">
        <f>IF(ISBLANK(E1566),"",_xlfn.XLOOKUP(E1566,cannabis_log!C:C,cannabis_log!H:H,"",0,1))</f>
        <v>preroll_labelled</v>
      </c>
      <c r="I1566" s="113">
        <f>IF(ISBLANK(E1566),"",_xlfn.XLOOKUP(E1566,cannabis_log!C:C,cannabis_log!K:K,"NOT FOUND",0,1))</f>
        <v>45728</v>
      </c>
      <c r="J1566" s="185">
        <v>-24</v>
      </c>
      <c r="K1566" s="186">
        <f t="shared" si="83"/>
        <v>0</v>
      </c>
      <c r="L1566" s="288">
        <f t="shared" si="80"/>
        <v>-48</v>
      </c>
      <c r="M1566" s="24"/>
      <c r="N1566" s="112" t="str">
        <f>IF(ISBLANK(E1566),"",_xlfn.XLOOKUP(E1566,cannabis_log!C:C,cannabis_log!T:T,"Not Found",0,))</f>
        <v>net</v>
      </c>
      <c r="O1566" s="180">
        <f>IF(N1566="net",_xlfn.XLOOKUP(E1566,cannabis_log!C:C,cannabis_log!N:N,"NOT FOUND",0,1),IF(N1566="gross",0,""))</f>
        <v>2</v>
      </c>
    </row>
    <row r="1567" spans="1:15">
      <c r="A1567" s="195" t="str">
        <f t="shared" si="82"/>
        <v>outbound</v>
      </c>
      <c r="B1567" s="196">
        <v>45755.46597222222</v>
      </c>
      <c r="C1567" s="197" t="s">
        <v>1929</v>
      </c>
      <c r="D1567" s="197" t="s">
        <v>2889</v>
      </c>
      <c r="E1567" s="217" t="s">
        <v>2885</v>
      </c>
      <c r="F1567" s="112" t="str">
        <f>IF(ISBLANK(E1567),"",_xlfn.XLOOKUP(E1567,cannabis_log!C:C,cannabis_log!J:J,"",0,))</f>
        <v>ROGEX001G1</v>
      </c>
      <c r="G1567" s="112"/>
      <c r="H1567" s="112" t="str">
        <f>IF(ISBLANK(E1567),"",_xlfn.XLOOKUP(E1567,cannabis_log!C:C,cannabis_log!H:H,"",0,1))</f>
        <v>extract_inhaled_labelled_Rohan</v>
      </c>
      <c r="I1567" s="113">
        <f>IF(ISBLANK(E1567),"",_xlfn.XLOOKUP(E1567,cannabis_log!C:C,cannabis_log!K:K,"NOT FOUND",0,1))</f>
        <v>45740</v>
      </c>
      <c r="J1567" s="185">
        <v>-24</v>
      </c>
      <c r="K1567" s="186">
        <f t="shared" si="83"/>
        <v>0</v>
      </c>
      <c r="L1567" s="288">
        <f t="shared" si="80"/>
        <v>-24</v>
      </c>
      <c r="M1567" s="24"/>
      <c r="N1567" s="112" t="str">
        <f>IF(ISBLANK(E1567),"",_xlfn.XLOOKUP(E1567,cannabis_log!C:C,cannabis_log!T:T,"Not Found",0,))</f>
        <v>net</v>
      </c>
      <c r="O1567" s="180">
        <f>IF(N1567="net",_xlfn.XLOOKUP(E1567,cannabis_log!C:C,cannabis_log!N:N,"NOT FOUND",0,1),IF(N1567="gross",0,""))</f>
        <v>1</v>
      </c>
    </row>
    <row r="1568" spans="1:15">
      <c r="A1568" s="195" t="str">
        <f t="shared" si="82"/>
        <v>outbound</v>
      </c>
      <c r="B1568" s="196">
        <v>45755.486111111109</v>
      </c>
      <c r="C1568" s="197" t="s">
        <v>1929</v>
      </c>
      <c r="D1568" s="197" t="s">
        <v>2890</v>
      </c>
      <c r="E1568" s="217" t="s">
        <v>2697</v>
      </c>
      <c r="F1568" s="112" t="str">
        <f>IF(ISBLANK(E1568),"",_xlfn.XLOOKUP(E1568,cannabis_log!C:C,cannabis_log!J:J,"",0,))</f>
        <v>EX24101703G05</v>
      </c>
      <c r="G1568" s="112"/>
      <c r="H1568" s="112" t="str">
        <f>IF(ISBLANK(E1568),"",_xlfn.XLOOKUP(E1568,cannabis_log!C:C,cannabis_log!H:H,"",0,1))</f>
        <v>extract_inhaled_labelled</v>
      </c>
      <c r="I1568" s="113">
        <f>IF(ISBLANK(E1568),"",_xlfn.XLOOKUP(E1568,cannabis_log!C:C,cannabis_log!K:K,"NOT FOUND",0,1))</f>
        <v>45603</v>
      </c>
      <c r="J1568" s="185">
        <v>-12</v>
      </c>
      <c r="K1568" s="186">
        <f t="shared" si="83"/>
        <v>0</v>
      </c>
      <c r="L1568" s="288">
        <f t="shared" si="80"/>
        <v>-6</v>
      </c>
      <c r="M1568" s="24"/>
      <c r="N1568" s="112" t="str">
        <f>IF(ISBLANK(E1568),"",_xlfn.XLOOKUP(E1568,cannabis_log!C:C,cannabis_log!T:T,"Not Found",0,))</f>
        <v>net</v>
      </c>
      <c r="O1568" s="180">
        <f>IF(N1568="net",_xlfn.XLOOKUP(E1568,cannabis_log!C:C,cannabis_log!N:N,"NOT FOUND",0,1),IF(N1568="gross",0,""))</f>
        <v>0.5</v>
      </c>
    </row>
    <row r="1569" spans="1:15">
      <c r="A1569" s="195" t="str">
        <f t="shared" si="82"/>
        <v>outbound</v>
      </c>
      <c r="B1569" s="196">
        <v>45755.486111111109</v>
      </c>
      <c r="C1569" s="197" t="s">
        <v>1929</v>
      </c>
      <c r="D1569" s="197" t="s">
        <v>2890</v>
      </c>
      <c r="E1569" s="217" t="s">
        <v>2689</v>
      </c>
      <c r="F1569" s="112" t="str">
        <f>IF(ISBLANK(E1569),"",_xlfn.XLOOKUP(E1569,cannabis_log!C:C,cannabis_log!J:J,"",0,))</f>
        <v>EX25020601G1</v>
      </c>
      <c r="G1569" s="112"/>
      <c r="H1569" s="112" t="str">
        <f>IF(ISBLANK(E1569),"",_xlfn.XLOOKUP(E1569,cannabis_log!C:C,cannabis_log!H:H,"",0,1))</f>
        <v>extract_inhaled_labelled</v>
      </c>
      <c r="I1569" s="113">
        <f>IF(ISBLANK(E1569),"",_xlfn.XLOOKUP(E1569,cannabis_log!C:C,cannabis_log!K:K,"NOT FOUND",0,1))</f>
        <v>45707</v>
      </c>
      <c r="J1569" s="185">
        <v>-12</v>
      </c>
      <c r="K1569" s="186">
        <f t="shared" si="83"/>
        <v>0</v>
      </c>
      <c r="L1569" s="288">
        <f t="shared" si="80"/>
        <v>-12</v>
      </c>
      <c r="M1569" s="24"/>
      <c r="N1569" s="112" t="str">
        <f>IF(ISBLANK(E1569),"",_xlfn.XLOOKUP(E1569,cannabis_log!C:C,cannabis_log!T:T,"Not Found",0,))</f>
        <v>net</v>
      </c>
      <c r="O1569" s="180">
        <f>IF(N1569="net",_xlfn.XLOOKUP(E1569,cannabis_log!C:C,cannabis_log!N:N,"NOT FOUND",0,1),IF(N1569="gross",0,""))</f>
        <v>1</v>
      </c>
    </row>
    <row r="1570" spans="1:15">
      <c r="A1570" s="195" t="str">
        <f t="shared" si="82"/>
        <v>outbound</v>
      </c>
      <c r="B1570" s="196">
        <v>45755.486111111109</v>
      </c>
      <c r="C1570" s="197" t="s">
        <v>1929</v>
      </c>
      <c r="D1570" s="197" t="s">
        <v>2890</v>
      </c>
      <c r="E1570" s="217" t="s">
        <v>2879</v>
      </c>
      <c r="F1570" s="112" t="str">
        <f>IF(ISBLANK(E1570),"",_xlfn.XLOOKUP(E1570,cannabis_log!C:C,cannabis_log!J:J,"",0,))</f>
        <v>EX24111301G05</v>
      </c>
      <c r="G1570" s="112"/>
      <c r="H1570" s="112" t="str">
        <f>IF(ISBLANK(E1570),"",_xlfn.XLOOKUP(E1570,cannabis_log!C:C,cannabis_log!H:H,"",0,1))</f>
        <v>extract_inhaled_labelled</v>
      </c>
      <c r="I1570" s="113">
        <f>IF(ISBLANK(E1570),"",_xlfn.XLOOKUP(E1570,cannabis_log!C:C,cannabis_log!K:K,"NOT FOUND",0,1))</f>
        <v>45749</v>
      </c>
      <c r="J1570" s="185">
        <v>-12</v>
      </c>
      <c r="K1570" s="186">
        <f t="shared" si="83"/>
        <v>0</v>
      </c>
      <c r="L1570" s="288">
        <f t="shared" si="80"/>
        <v>-6</v>
      </c>
      <c r="M1570" s="24"/>
      <c r="N1570" s="112" t="str">
        <f>IF(ISBLANK(E1570),"",_xlfn.XLOOKUP(E1570,cannabis_log!C:C,cannabis_log!T:T,"Not Found",0,))</f>
        <v>net</v>
      </c>
      <c r="O1570" s="180">
        <f>IF(N1570="net",_xlfn.XLOOKUP(E1570,cannabis_log!C:C,cannabis_log!N:N,"NOT FOUND",0,1),IF(N1570="gross",0,""))</f>
        <v>0.5</v>
      </c>
    </row>
    <row r="1571" spans="1:15">
      <c r="A1571" s="195" t="str">
        <f t="shared" si="82"/>
        <v>outbound</v>
      </c>
      <c r="B1571" s="196">
        <v>45755.486111111109</v>
      </c>
      <c r="C1571" s="197" t="s">
        <v>1929</v>
      </c>
      <c r="D1571" s="197" t="s">
        <v>2890</v>
      </c>
      <c r="E1571" s="217" t="s">
        <v>2698</v>
      </c>
      <c r="F1571" s="112" t="str">
        <f>IF(ISBLANK(E1571),"",_xlfn.XLOOKUP(E1571,cannabis_log!C:C,cannabis_log!J:J,"",0,))</f>
        <v>EX24111302G05</v>
      </c>
      <c r="G1571" s="112"/>
      <c r="H1571" s="112" t="str">
        <f>IF(ISBLANK(E1571),"",_xlfn.XLOOKUP(E1571,cannabis_log!C:C,cannabis_log!H:H,"",0,1))</f>
        <v>extract_inhaled_labelled</v>
      </c>
      <c r="I1571" s="113">
        <f>IF(ISBLANK(E1571),"",_xlfn.XLOOKUP(E1571,cannabis_log!C:C,cannabis_log!K:K,"NOT FOUND",0,1))</f>
        <v>45707</v>
      </c>
      <c r="J1571" s="185">
        <v>-12</v>
      </c>
      <c r="K1571" s="186">
        <f t="shared" si="83"/>
        <v>0</v>
      </c>
      <c r="L1571" s="288">
        <f t="shared" si="80"/>
        <v>-6</v>
      </c>
      <c r="M1571" s="24"/>
      <c r="N1571" s="112" t="str">
        <f>IF(ISBLANK(E1571),"",_xlfn.XLOOKUP(E1571,cannabis_log!C:C,cannabis_log!T:T,"Not Found",0,))</f>
        <v>net</v>
      </c>
      <c r="O1571" s="180">
        <f>IF(N1571="net",_xlfn.XLOOKUP(E1571,cannabis_log!C:C,cannabis_log!N:N,"NOT FOUND",0,1),IF(N1571="gross",0,""))</f>
        <v>0.5</v>
      </c>
    </row>
    <row r="1572" spans="1:15">
      <c r="A1572" s="195" t="str">
        <f t="shared" si="82"/>
        <v>outbound</v>
      </c>
      <c r="B1572" s="196">
        <v>45755.486111111109</v>
      </c>
      <c r="C1572" s="197" t="s">
        <v>1929</v>
      </c>
      <c r="D1572" s="197" t="s">
        <v>2890</v>
      </c>
      <c r="E1572" s="217" t="s">
        <v>2699</v>
      </c>
      <c r="F1572" s="112" t="str">
        <f>IF(ISBLANK(E1572),"",_xlfn.XLOOKUP(E1572,cannabis_log!C:C,cannabis_log!J:J,"",0,))</f>
        <v>EX24111306G05</v>
      </c>
      <c r="G1572" s="112"/>
      <c r="H1572" s="112" t="str">
        <f>IF(ISBLANK(E1572),"",_xlfn.XLOOKUP(E1572,cannabis_log!C:C,cannabis_log!H:H,"",0,1))</f>
        <v>extract_inhaled_labelled</v>
      </c>
      <c r="I1572" s="113">
        <f>IF(ISBLANK(E1572),"",_xlfn.XLOOKUP(E1572,cannabis_log!C:C,cannabis_log!K:K,"NOT FOUND",0,1))</f>
        <v>45623</v>
      </c>
      <c r="J1572" s="185">
        <v>-10</v>
      </c>
      <c r="K1572" s="186">
        <f t="shared" si="83"/>
        <v>0</v>
      </c>
      <c r="L1572" s="288">
        <f t="shared" si="80"/>
        <v>-5</v>
      </c>
      <c r="M1572" s="24"/>
      <c r="N1572" s="112" t="str">
        <f>IF(ISBLANK(E1572),"",_xlfn.XLOOKUP(E1572,cannabis_log!C:C,cannabis_log!T:T,"Not Found",0,))</f>
        <v>net</v>
      </c>
      <c r="O1572" s="180">
        <f>IF(N1572="net",_xlfn.XLOOKUP(E1572,cannabis_log!C:C,cannabis_log!N:N,"NOT FOUND",0,1),IF(N1572="gross",0,""))</f>
        <v>0.5</v>
      </c>
    </row>
    <row r="1573" spans="1:15">
      <c r="A1573" s="195" t="str">
        <f t="shared" si="82"/>
        <v>outbound</v>
      </c>
      <c r="B1573" s="196">
        <v>45755.486111111109</v>
      </c>
      <c r="C1573" s="197" t="s">
        <v>1929</v>
      </c>
      <c r="D1573" s="197" t="s">
        <v>2890</v>
      </c>
      <c r="E1573" s="217" t="s">
        <v>2885</v>
      </c>
      <c r="F1573" s="112" t="str">
        <f>IF(ISBLANK(E1573),"",_xlfn.XLOOKUP(E1573,cannabis_log!C:C,cannabis_log!J:J,"",0,))</f>
        <v>ROGEX001G1</v>
      </c>
      <c r="G1573" s="112"/>
      <c r="H1573" s="112" t="str">
        <f>IF(ISBLANK(E1573),"",_xlfn.XLOOKUP(E1573,cannabis_log!C:C,cannabis_log!H:H,"",0,1))</f>
        <v>extract_inhaled_labelled_Rohan</v>
      </c>
      <c r="I1573" s="113">
        <f>IF(ISBLANK(E1573),"",_xlfn.XLOOKUP(E1573,cannabis_log!C:C,cannabis_log!K:K,"NOT FOUND",0,1))</f>
        <v>45740</v>
      </c>
      <c r="J1573" s="185">
        <v>-12</v>
      </c>
      <c r="K1573" s="186">
        <f t="shared" si="83"/>
        <v>0</v>
      </c>
      <c r="L1573" s="288">
        <f t="shared" si="80"/>
        <v>-12</v>
      </c>
      <c r="M1573" s="24"/>
      <c r="N1573" s="112" t="str">
        <f>IF(ISBLANK(E1573),"",_xlfn.XLOOKUP(E1573,cannabis_log!C:C,cannabis_log!T:T,"Not Found",0,))</f>
        <v>net</v>
      </c>
      <c r="O1573" s="180">
        <f>IF(N1573="net",_xlfn.XLOOKUP(E1573,cannabis_log!C:C,cannabis_log!N:N,"NOT FOUND",0,1),IF(N1573="gross",0,""))</f>
        <v>1</v>
      </c>
    </row>
    <row r="1574" spans="1:15">
      <c r="A1574" s="195" t="str">
        <f t="shared" si="82"/>
        <v>outbound</v>
      </c>
      <c r="B1574" s="196">
        <v>45755.51666666667</v>
      </c>
      <c r="C1574" s="197" t="s">
        <v>1929</v>
      </c>
      <c r="D1574" s="197" t="s">
        <v>2891</v>
      </c>
      <c r="E1574" s="217" t="s">
        <v>2892</v>
      </c>
      <c r="F1574" s="112" t="str">
        <f>IF(ISBLANK(E1574),"",_xlfn.XLOOKUP(E1574,cannabis_log!C:C,cannabis_log!J:J,"",0,))</f>
        <v>EX24022302V30</v>
      </c>
      <c r="G1574" s="112"/>
      <c r="H1574" s="112" t="str">
        <f>IF(ISBLANK(E1574),"",_xlfn.XLOOKUP(E1574,cannabis_log!C:C,cannabis_log!H:H,"",0,1))</f>
        <v>extract_ingested_cased_AB</v>
      </c>
      <c r="I1574" s="113">
        <f>IF(ISBLANK(E1574),"",_xlfn.XLOOKUP(E1574,cannabis_log!C:C,cannabis_log!K:K,"NOT FOUND",0,1))</f>
        <v>45354</v>
      </c>
      <c r="J1574" s="185">
        <v>-1</v>
      </c>
      <c r="K1574" s="186">
        <f t="shared" si="83"/>
        <v>0</v>
      </c>
      <c r="L1574" s="288">
        <f t="shared" si="80"/>
        <v>-165.60000000000002</v>
      </c>
      <c r="M1574" s="24"/>
      <c r="N1574" s="112" t="str">
        <f>IF(ISBLANK(E1574),"",_xlfn.XLOOKUP(E1574,cannabis_log!C:C,cannabis_log!T:T,"Not Found",0,))</f>
        <v>net</v>
      </c>
      <c r="O1574" s="180">
        <f>IF(N1574="net",_xlfn.XLOOKUP(E1574,cannabis_log!C:C,cannabis_log!N:N,"NOT FOUND",0,1),IF(N1574="gross",0,""))</f>
        <v>165.60000000000002</v>
      </c>
    </row>
    <row r="1575" spans="1:15">
      <c r="A1575" s="195" t="str">
        <f t="shared" si="82"/>
        <v>outbound</v>
      </c>
      <c r="B1575" s="196">
        <v>45755.51666666667</v>
      </c>
      <c r="C1575" s="197" t="s">
        <v>1929</v>
      </c>
      <c r="D1575" s="197" t="s">
        <v>2891</v>
      </c>
      <c r="E1575" s="217" t="s">
        <v>2893</v>
      </c>
      <c r="F1575" s="112" t="str">
        <f>IF(ISBLANK(E1575),"",_xlfn.XLOOKUP(E1575,cannabis_log!C:C,cannabis_log!J:J,"",0,))</f>
        <v>EX24061401V30</v>
      </c>
      <c r="G1575" s="112"/>
      <c r="H1575" s="112" t="str">
        <f>IF(ISBLANK(E1575),"",_xlfn.XLOOKUP(E1575,cannabis_log!C:C,cannabis_log!H:H,"",0,1))</f>
        <v>extract_ingested_labelled</v>
      </c>
      <c r="I1575" s="113">
        <f>IF(ISBLANK(E1575),"",_xlfn.XLOOKUP(E1575,cannabis_log!C:C,cannabis_log!K:K,"NOT FOUND",0,1))</f>
        <v>45467</v>
      </c>
      <c r="J1575" s="185">
        <v>-12</v>
      </c>
      <c r="K1575" s="186">
        <f t="shared" si="83"/>
        <v>0</v>
      </c>
      <c r="L1575" s="288">
        <f t="shared" si="80"/>
        <v>-327.60000000000002</v>
      </c>
      <c r="M1575" s="24"/>
      <c r="N1575" s="112" t="str">
        <f>IF(ISBLANK(E1575),"",_xlfn.XLOOKUP(E1575,cannabis_log!C:C,cannabis_log!T:T,"Not Found",0,))</f>
        <v>net</v>
      </c>
      <c r="O1575" s="180">
        <f>IF(N1575="net",_xlfn.XLOOKUP(E1575,cannabis_log!C:C,cannabis_log!N:N,"NOT FOUND",0,1),IF(N1575="gross",0,""))</f>
        <v>27.3</v>
      </c>
    </row>
    <row r="1576" spans="1:15">
      <c r="A1576" s="195" t="str">
        <f t="shared" si="82"/>
        <v>outbound</v>
      </c>
      <c r="B1576" s="196">
        <v>45755.51666666667</v>
      </c>
      <c r="C1576" s="197" t="s">
        <v>1929</v>
      </c>
      <c r="D1576" s="197" t="s">
        <v>2891</v>
      </c>
      <c r="E1576" s="217" t="s">
        <v>2707</v>
      </c>
      <c r="F1576" s="112" t="str">
        <f>IF(ISBLANK(E1576),"",_xlfn.XLOOKUP(E1576,cannabis_log!C:C,cannabis_log!J:J,"",0,))</f>
        <v>EX25010601V30</v>
      </c>
      <c r="G1576" s="112"/>
      <c r="H1576" s="112" t="str">
        <f>IF(ISBLANK(E1576),"",_xlfn.XLOOKUP(E1576,cannabis_log!C:C,cannabis_log!H:H,"",0,1))</f>
        <v>extract_ingested_labelled</v>
      </c>
      <c r="I1576" s="113">
        <f>IF(ISBLANK(E1576),"",_xlfn.XLOOKUP(E1576,cannabis_log!C:C,cannabis_log!K:K,"NOT FOUND",0,1))</f>
        <v>45674</v>
      </c>
      <c r="J1576" s="185">
        <v>-12</v>
      </c>
      <c r="K1576" s="186">
        <f t="shared" si="83"/>
        <v>0</v>
      </c>
      <c r="L1576" s="288">
        <f t="shared" si="80"/>
        <v>-28814.400000000001</v>
      </c>
      <c r="M1576" s="24"/>
      <c r="N1576" s="112" t="str">
        <f>IF(ISBLANK(E1576),"",_xlfn.XLOOKUP(E1576,cannabis_log!C:C,cannabis_log!T:T,"Not Found",0,))</f>
        <v>net</v>
      </c>
      <c r="O1576" s="180">
        <f>IF(N1576="net",_xlfn.XLOOKUP(E1576,cannabis_log!C:C,cannabis_log!N:N,"NOT FOUND",0,1),IF(N1576="gross",0,""))</f>
        <v>2401.2000000000003</v>
      </c>
    </row>
    <row r="1577" spans="1:15">
      <c r="A1577" s="195" t="str">
        <f t="shared" si="82"/>
        <v>outbound</v>
      </c>
      <c r="B1577" s="196">
        <v>45755.51666666667</v>
      </c>
      <c r="C1577" s="197" t="s">
        <v>1929</v>
      </c>
      <c r="D1577" s="183" t="s">
        <v>2891</v>
      </c>
      <c r="E1577" s="217" t="s">
        <v>2803</v>
      </c>
      <c r="F1577" s="112" t="str">
        <f>IF(ISBLANK(E1577),"",_xlfn.XLOOKUP(E1577,cannabis_log!C:C,cannabis_log!J:J,"",0,))</f>
        <v>EX24022302V30</v>
      </c>
      <c r="G1577" s="112"/>
      <c r="H1577" s="112" t="str">
        <f>IF(ISBLANK(E1577),"",_xlfn.XLOOKUP(E1577,cannabis_log!C:C,cannabis_log!H:H,"",0,1))</f>
        <v>extract_ingested_labelled</v>
      </c>
      <c r="I1577" s="113">
        <f>IF(ISBLANK(E1577),"",_xlfn.XLOOKUP(E1577,cannabis_log!C:C,cannabis_log!K:K,"NOT FOUND",0,1))</f>
        <v>45588</v>
      </c>
      <c r="J1577" s="185">
        <v>-6</v>
      </c>
      <c r="K1577" s="186">
        <f t="shared" si="83"/>
        <v>0</v>
      </c>
      <c r="L1577" s="288">
        <f t="shared" si="80"/>
        <v>-165.60000000000002</v>
      </c>
      <c r="M1577" s="24"/>
      <c r="N1577" s="112" t="str">
        <f>IF(ISBLANK(E1577),"",_xlfn.XLOOKUP(E1577,cannabis_log!C:C,cannabis_log!T:T,"Not Found",0,))</f>
        <v>net</v>
      </c>
      <c r="O1577" s="180">
        <f>IF(N1577="net",_xlfn.XLOOKUP(E1577,cannabis_log!C:C,cannabis_log!N:N,"NOT FOUND",0,1),IF(N1577="gross",0,""))</f>
        <v>27.6</v>
      </c>
    </row>
    <row r="1578" spans="1:15">
      <c r="A1578" s="195" t="str">
        <f t="shared" si="82"/>
        <v>outbound</v>
      </c>
      <c r="B1578" s="196">
        <v>45755.529861111114</v>
      </c>
      <c r="C1578" s="197" t="s">
        <v>1929</v>
      </c>
      <c r="D1578" s="22" t="s">
        <v>2894</v>
      </c>
      <c r="E1578" s="217" t="s">
        <v>2895</v>
      </c>
      <c r="F1578" s="112" t="str">
        <f>IF(ISBLANK(E1578),"",_xlfn.XLOOKUP(E1578,cannabis_log!C:C,cannabis_log!J:J,"",0,))</f>
        <v>DI22110301V30</v>
      </c>
      <c r="G1578" s="112"/>
      <c r="H1578" s="112" t="str">
        <f>IF(ISBLANK(E1578),"",_xlfn.XLOOKUP(E1578,cannabis_log!C:C,cannabis_log!H:H,"",0,1))</f>
        <v>extract_ingested_labelled</v>
      </c>
      <c r="I1578" s="113">
        <f>IF(ISBLANK(E1578),"",_xlfn.XLOOKUP(E1578,cannabis_log!C:C,cannabis_log!K:K,"NOT FOUND",0,1))</f>
        <v>45110</v>
      </c>
      <c r="J1578" s="185">
        <v>-24</v>
      </c>
      <c r="K1578" s="186">
        <f t="shared" si="83"/>
        <v>0</v>
      </c>
      <c r="L1578" s="288">
        <f t="shared" si="80"/>
        <v>-655.20000000000005</v>
      </c>
      <c r="M1578" s="24"/>
      <c r="N1578" s="112" t="str">
        <f>IF(ISBLANK(E1578),"",_xlfn.XLOOKUP(E1578,cannabis_log!C:C,cannabis_log!T:T,"Not Found",0,))</f>
        <v>net</v>
      </c>
      <c r="O1578" s="180">
        <f>IF(N1578="net",_xlfn.XLOOKUP(E1578,cannabis_log!C:C,cannabis_log!N:N,"NOT FOUND",0,1),IF(N1578="gross",0,""))</f>
        <v>27.3</v>
      </c>
    </row>
    <row r="1579" spans="1:15">
      <c r="A1579" s="195" t="str">
        <f t="shared" si="82"/>
        <v>outbound</v>
      </c>
      <c r="B1579" s="196">
        <v>45755.529861111114</v>
      </c>
      <c r="C1579" s="197" t="s">
        <v>1929</v>
      </c>
      <c r="D1579" s="15" t="s">
        <v>2894</v>
      </c>
      <c r="E1579" s="217" t="s">
        <v>2864</v>
      </c>
      <c r="F1579" s="112" t="str">
        <f>IF(ISBLANK(E1579),"",_xlfn.XLOOKUP(E1579,cannabis_log!C:C,cannabis_log!J:J,"",0,))</f>
        <v>TP25021901</v>
      </c>
      <c r="G1579" s="112"/>
      <c r="H1579" s="112" t="str">
        <f>IF(ISBLANK(E1579),"",_xlfn.XLOOKUP(E1579,cannabis_log!C:C,cannabis_log!H:H,"",0,1))</f>
        <v>topical_labelled</v>
      </c>
      <c r="I1579" s="113">
        <f>IF(ISBLANK(E1579),"",_xlfn.XLOOKUP(E1579,cannabis_log!C:C,cannabis_log!K:K,"NOT FOUND",0,1))</f>
        <v>45714</v>
      </c>
      <c r="J1579" s="185">
        <v>-12</v>
      </c>
      <c r="K1579" s="186">
        <f t="shared" si="83"/>
        <v>0</v>
      </c>
      <c r="L1579" s="288">
        <f t="shared" si="80"/>
        <v>-1056</v>
      </c>
      <c r="M1579" s="24"/>
      <c r="N1579" s="112" t="str">
        <f>IF(ISBLANK(E1579),"",_xlfn.XLOOKUP(E1579,cannabis_log!C:C,cannabis_log!T:T,"Not Found",0,))</f>
        <v>net</v>
      </c>
      <c r="O1579" s="180">
        <f>IF(N1579="net",_xlfn.XLOOKUP(E1579,cannabis_log!C:C,cannabis_log!N:N,"NOT FOUND",0,1),IF(N1579="gross",0,""))</f>
        <v>88</v>
      </c>
    </row>
    <row r="1580" spans="1:15">
      <c r="A1580" s="195" t="str">
        <f t="shared" si="82"/>
        <v>outbound</v>
      </c>
      <c r="B1580" s="196">
        <v>45755.634027777778</v>
      </c>
      <c r="C1580" s="197" t="s">
        <v>1921</v>
      </c>
      <c r="D1580" s="197" t="s">
        <v>1598</v>
      </c>
      <c r="E1580" s="217" t="s">
        <v>2896</v>
      </c>
      <c r="F1580" s="112" t="str">
        <f>IF(ISBLANK(E1580),"",_xlfn.XLOOKUP(E1580,cannabis_log!C:C,cannabis_log!J:J,"",0,))</f>
        <v>PR2513F1</v>
      </c>
      <c r="G1580" s="112"/>
      <c r="H1580" s="112" t="str">
        <f>IF(ISBLANK(E1580),"",_xlfn.XLOOKUP(E1580,cannabis_log!C:C,cannabis_log!H:H,"",0,1))</f>
        <v>preroll_bulk_JEN</v>
      </c>
      <c r="I1580" s="113" t="str">
        <f>IF(ISBLANK(E1580),"",_xlfn.XLOOKUP(E1580,cannabis_log!C:C,cannabis_log!K:K,"NOT FOUND",0,1))</f>
        <v>NA</v>
      </c>
      <c r="J1580" s="185">
        <v>-85</v>
      </c>
      <c r="K1580" s="186">
        <f t="shared" si="83"/>
        <v>0</v>
      </c>
      <c r="L1580" s="288">
        <f t="shared" si="80"/>
        <v>-85</v>
      </c>
      <c r="M1580" s="24"/>
      <c r="N1580" s="112" t="str">
        <f>IF(ISBLANK(E1580),"",_xlfn.XLOOKUP(E1580,cannabis_log!C:C,cannabis_log!T:T,"Not Found",0,))</f>
        <v>net</v>
      </c>
      <c r="O1580" s="180">
        <f>IF(N1580="net",_xlfn.XLOOKUP(E1580,cannabis_log!C:C,cannabis_log!N:N,"NOT FOUND",0,1),IF(N1580="gross",0,""))</f>
        <v>1</v>
      </c>
    </row>
    <row r="1581" spans="1:15">
      <c r="A1581" s="195" t="str">
        <f t="shared" si="82"/>
        <v>outbound</v>
      </c>
      <c r="B1581" s="196">
        <v>45755.634027777778</v>
      </c>
      <c r="C1581" s="197" t="s">
        <v>1921</v>
      </c>
      <c r="D1581" s="197" t="s">
        <v>1599</v>
      </c>
      <c r="E1581" s="217" t="s">
        <v>2897</v>
      </c>
      <c r="F1581" s="112" t="str">
        <f>IF(ISBLANK(E1581),"",_xlfn.XLOOKUP(E1581,cannabis_log!C:C,cannabis_log!J:J,"",0,))</f>
        <v>PR2513F5</v>
      </c>
      <c r="G1581" s="112"/>
      <c r="H1581" s="112" t="str">
        <f>IF(ISBLANK(E1581),"",_xlfn.XLOOKUP(E1581,cannabis_log!C:C,cannabis_log!H:H,"",0,1))</f>
        <v>preroll_bulk</v>
      </c>
      <c r="I1581" s="113" t="str">
        <f>IF(ISBLANK(E1581),"",_xlfn.XLOOKUP(E1581,cannabis_log!C:C,cannabis_log!K:K,"NOT FOUND",0,1))</f>
        <v>NA</v>
      </c>
      <c r="J1581" s="185">
        <v>-89</v>
      </c>
      <c r="K1581" s="186">
        <f t="shared" si="83"/>
        <v>0</v>
      </c>
      <c r="L1581" s="288">
        <f t="shared" si="80"/>
        <v>-44.5</v>
      </c>
      <c r="M1581" s="24"/>
      <c r="N1581" s="112" t="str">
        <f>IF(ISBLANK(E1581),"",_xlfn.XLOOKUP(E1581,cannabis_log!C:C,cannabis_log!T:T,"Not Found",0,))</f>
        <v>net</v>
      </c>
      <c r="O1581" s="180">
        <f>IF(N1581="net",_xlfn.XLOOKUP(E1581,cannabis_log!C:C,cannabis_log!N:N,"NOT FOUND",0,1),IF(N1581="gross",0,""))</f>
        <v>0.5</v>
      </c>
    </row>
    <row r="1582" spans="1:15">
      <c r="A1582" s="195" t="str">
        <f t="shared" si="82"/>
        <v>outbound</v>
      </c>
      <c r="B1582" s="196">
        <v>45755.634027777778</v>
      </c>
      <c r="C1582" s="197" t="s">
        <v>1921</v>
      </c>
      <c r="D1582" s="197" t="s">
        <v>2898</v>
      </c>
      <c r="E1582" s="217" t="s">
        <v>2899</v>
      </c>
      <c r="F1582" s="112" t="str">
        <f>IF(ISBLANK(E1582),"",_xlfn.XLOOKUP(E1582,cannabis_log!C:C,cannabis_log!J:J,"",0,))</f>
        <v>PR2513</v>
      </c>
      <c r="G1582" s="112"/>
      <c r="H1582" s="112" t="str">
        <f>IF(ISBLANK(E1582),"",_xlfn.XLOOKUP(E1582,cannabis_log!C:C,cannabis_log!H:H,"",0,1))</f>
        <v>driedflower_milled_bulk_JEN</v>
      </c>
      <c r="I1582" s="113" t="str">
        <f>IF(ISBLANK(E1582),"",_xlfn.XLOOKUP(E1582,cannabis_log!C:C,cannabis_log!K:K,"NOT FOUND",0,1))</f>
        <v>NA</v>
      </c>
      <c r="J1582" s="185">
        <v>-1</v>
      </c>
      <c r="K1582" s="186">
        <v>-3696</v>
      </c>
      <c r="L1582" s="288">
        <f t="shared" ref="L1582:L1645" si="84">IFERROR(J1582*O1582,"")</f>
        <v>0</v>
      </c>
      <c r="M1582" s="24"/>
      <c r="N1582" s="112" t="str">
        <f>IF(ISBLANK(E1582),"",_xlfn.XLOOKUP(E1582,cannabis_log!C:C,cannabis_log!T:T,"Not Found",0,))</f>
        <v>gross</v>
      </c>
      <c r="O1582" s="180">
        <f>IF(N1582="net",_xlfn.XLOOKUP(E1582,cannabis_log!C:C,cannabis_log!N:N,"NOT FOUND",0,1),IF(N1582="gross",0,""))</f>
        <v>0</v>
      </c>
    </row>
    <row r="1583" spans="1:15">
      <c r="A1583" s="195" t="str">
        <f t="shared" si="82"/>
        <v>outbound</v>
      </c>
      <c r="B1583" s="196">
        <v>45756</v>
      </c>
      <c r="C1583" s="197" t="s">
        <v>1929</v>
      </c>
      <c r="D1583" s="197" t="s">
        <v>2900</v>
      </c>
      <c r="E1583" s="217" t="s">
        <v>2887</v>
      </c>
      <c r="F1583" s="112" t="str">
        <f>IF(ISBLANK(E1583),"",_xlfn.XLOOKUP(E1583,cannabis_log!C:C,cannabis_log!J:J,"",0,))</f>
        <v>PR2507F1P2</v>
      </c>
      <c r="G1583" s="112"/>
      <c r="H1583" s="112" t="str">
        <f>IF(ISBLANK(E1583),"",_xlfn.XLOOKUP(E1583,cannabis_log!C:C,cannabis_log!H:H,"",0,1))</f>
        <v>preroll_labelled</v>
      </c>
      <c r="I1583" s="113">
        <f>IF(ISBLANK(E1583),"",_xlfn.XLOOKUP(E1583,cannabis_log!C:C,cannabis_log!K:K,"NOT FOUND",0,1))</f>
        <v>45749</v>
      </c>
      <c r="J1583" s="185">
        <v>-72</v>
      </c>
      <c r="K1583" s="186">
        <f>IF(N1583="net",0,"")</f>
        <v>0</v>
      </c>
      <c r="L1583" s="288">
        <f t="shared" si="84"/>
        <v>-144</v>
      </c>
      <c r="M1583" s="24"/>
      <c r="N1583" s="112" t="str">
        <f>IF(ISBLANK(E1583),"",_xlfn.XLOOKUP(E1583,cannabis_log!C:C,cannabis_log!T:T,"Not Found",0,))</f>
        <v>net</v>
      </c>
      <c r="O1583" s="180">
        <f>IF(N1583="net",_xlfn.XLOOKUP(E1583,cannabis_log!C:C,cannabis_log!N:N,"NOT FOUND",0,1),IF(N1583="gross",0,""))</f>
        <v>2</v>
      </c>
    </row>
    <row r="1584" spans="1:15">
      <c r="A1584" s="195" t="str">
        <f t="shared" si="82"/>
        <v>outbound</v>
      </c>
      <c r="B1584" s="196">
        <v>45756.434027777781</v>
      </c>
      <c r="C1584" s="197" t="s">
        <v>1921</v>
      </c>
      <c r="D1584" s="197" t="s">
        <v>2901</v>
      </c>
      <c r="E1584" s="217" t="s">
        <v>2902</v>
      </c>
      <c r="F1584" s="112">
        <f>IF(ISBLANK(E1584),"",_xlfn.XLOOKUP(E1584,cannabis_log!C:C,cannabis_log!J:J,"",0,))</f>
        <v>2024111901</v>
      </c>
      <c r="G1584" s="112"/>
      <c r="H1584" s="112" t="str">
        <f>IF(ISBLANK(E1584),"",_xlfn.XLOOKUP(E1584,cannabis_log!C:C,cannabis_log!H:H,"",0,1))</f>
        <v>extract_inhaled_bulk</v>
      </c>
      <c r="I1584" s="113" t="str">
        <f>IF(ISBLANK(E1584),"",_xlfn.XLOOKUP(E1584,cannabis_log!C:C,cannabis_log!K:K,"NOT FOUND",0,1))</f>
        <v>NA</v>
      </c>
      <c r="J1584" s="185">
        <v>-1</v>
      </c>
      <c r="K1584" s="186">
        <v>-1660</v>
      </c>
      <c r="L1584" s="288">
        <f t="shared" si="84"/>
        <v>0</v>
      </c>
      <c r="M1584" s="24"/>
      <c r="N1584" s="112" t="str">
        <f>IF(ISBLANK(E1584),"",_xlfn.XLOOKUP(E1584,cannabis_log!C:C,cannabis_log!T:T,"Not Found",0,))</f>
        <v>gross</v>
      </c>
      <c r="O1584" s="180">
        <f>IF(N1584="net",_xlfn.XLOOKUP(E1584,cannabis_log!C:C,cannabis_log!N:N,"NOT FOUND",0,1),IF(N1584="gross",0,""))</f>
        <v>0</v>
      </c>
    </row>
    <row r="1585" spans="1:15">
      <c r="A1585" s="195" t="str">
        <f t="shared" si="82"/>
        <v>inbound</v>
      </c>
      <c r="B1585" s="196">
        <v>45756.462500000001</v>
      </c>
      <c r="C1585" s="197" t="s">
        <v>1927</v>
      </c>
      <c r="D1585" s="197"/>
      <c r="E1585" s="217" t="s">
        <v>2902</v>
      </c>
      <c r="F1585" s="112">
        <f>IF(ISBLANK(E1585),"",_xlfn.XLOOKUP(E1585,cannabis_log!C:C,cannabis_log!J:J,"",0,))</f>
        <v>2024111901</v>
      </c>
      <c r="G1585" s="112"/>
      <c r="H1585" s="112" t="str">
        <f>IF(ISBLANK(E1585),"",_xlfn.XLOOKUP(E1585,cannabis_log!C:C,cannabis_log!H:H,"",0,1))</f>
        <v>extract_inhaled_bulk</v>
      </c>
      <c r="I1585" s="113" t="str">
        <f>IF(ISBLANK(E1585),"",_xlfn.XLOOKUP(E1585,cannabis_log!C:C,cannabis_log!K:K,"NOT FOUND",0,1))</f>
        <v>NA</v>
      </c>
      <c r="J1585" s="185">
        <v>1</v>
      </c>
      <c r="K1585" s="186">
        <v>1590</v>
      </c>
      <c r="L1585" s="288">
        <f t="shared" si="84"/>
        <v>0</v>
      </c>
      <c r="M1585" s="24"/>
      <c r="N1585" s="112" t="str">
        <f>IF(ISBLANK(E1585),"",_xlfn.XLOOKUP(E1585,cannabis_log!C:C,cannabis_log!T:T,"Not Found",0,))</f>
        <v>gross</v>
      </c>
      <c r="O1585" s="180">
        <f>IF(N1585="net",_xlfn.XLOOKUP(E1585,cannabis_log!C:C,cannabis_log!N:N,"NOT FOUND",0,1),IF(N1585="gross",0,""))</f>
        <v>0</v>
      </c>
    </row>
    <row r="1586" spans="1:15">
      <c r="A1586" s="195" t="str">
        <f t="shared" si="82"/>
        <v>outbound</v>
      </c>
      <c r="B1586" s="196">
        <v>45756.480555555558</v>
      </c>
      <c r="C1586" s="197" t="s">
        <v>1921</v>
      </c>
      <c r="D1586" s="197" t="s">
        <v>2619</v>
      </c>
      <c r="E1586" s="217" t="s">
        <v>2903</v>
      </c>
      <c r="F1586" s="112" t="str">
        <f>IF(ISBLANK(E1586),"",_xlfn.XLOOKUP(E1586,cannabis_log!C:C,cannabis_log!J:J,"",0,))</f>
        <v>PR251108F5P12</v>
      </c>
      <c r="G1586" s="112"/>
      <c r="H1586" s="112" t="str">
        <f>IF(ISBLANK(E1586),"",_xlfn.XLOOKUP(E1586,cannabis_log!C:C,cannabis_log!H:H,"",0,1))</f>
        <v>preroll_labelled</v>
      </c>
      <c r="I1586" s="113">
        <f>IF(ISBLANK(E1586),"",_xlfn.XLOOKUP(E1586,cannabis_log!C:C,cannabis_log!K:K,"NOT FOUND",0,1))</f>
        <v>45755</v>
      </c>
      <c r="J1586" s="185">
        <v>-167</v>
      </c>
      <c r="K1586" s="186">
        <f t="shared" ref="K1586:K1603" si="85">IF(N1586="net",0,"")</f>
        <v>0</v>
      </c>
      <c r="L1586" s="288">
        <f t="shared" si="84"/>
        <v>-1002</v>
      </c>
      <c r="M1586" s="24"/>
      <c r="N1586" s="112" t="str">
        <f>IF(ISBLANK(E1586),"",_xlfn.XLOOKUP(E1586,cannabis_log!C:C,cannabis_log!T:T,"Not Found",0,))</f>
        <v>net</v>
      </c>
      <c r="O1586" s="180">
        <f>IF(N1586="net",_xlfn.XLOOKUP(E1586,cannabis_log!C:C,cannabis_log!N:N,"NOT FOUND",0,1),IF(N1586="gross",0,""))</f>
        <v>6</v>
      </c>
    </row>
    <row r="1587" spans="1:15">
      <c r="A1587" s="195" t="str">
        <f t="shared" si="82"/>
        <v>outbound</v>
      </c>
      <c r="B1587" s="196">
        <v>45756.511805555558</v>
      </c>
      <c r="C1587" s="197" t="s">
        <v>1929</v>
      </c>
      <c r="D1587" s="197" t="s">
        <v>2904</v>
      </c>
      <c r="E1587" s="217" t="s">
        <v>2885</v>
      </c>
      <c r="F1587" s="112" t="str">
        <f>IF(ISBLANK(E1587),"",_xlfn.XLOOKUP(E1587,cannabis_log!C:C,cannabis_log!J:J,"",0,))</f>
        <v>ROGEX001G1</v>
      </c>
      <c r="G1587" s="112"/>
      <c r="H1587" s="112" t="str">
        <f>IF(ISBLANK(E1587),"",_xlfn.XLOOKUP(E1587,cannabis_log!C:C,cannabis_log!H:H,"",0,1))</f>
        <v>extract_inhaled_labelled_Rohan</v>
      </c>
      <c r="I1587" s="113">
        <f>IF(ISBLANK(E1587),"",_xlfn.XLOOKUP(E1587,cannabis_log!C:C,cannabis_log!K:K,"NOT FOUND",0,1))</f>
        <v>45740</v>
      </c>
      <c r="J1587" s="185">
        <v>-72</v>
      </c>
      <c r="K1587" s="186">
        <f t="shared" si="85"/>
        <v>0</v>
      </c>
      <c r="L1587" s="288">
        <f t="shared" si="84"/>
        <v>-72</v>
      </c>
      <c r="M1587" s="24"/>
      <c r="N1587" s="112" t="str">
        <f>IF(ISBLANK(E1587),"",_xlfn.XLOOKUP(E1587,cannabis_log!C:C,cannabis_log!T:T,"Not Found",0,))</f>
        <v>net</v>
      </c>
      <c r="O1587" s="180">
        <f>IF(N1587="net",_xlfn.XLOOKUP(E1587,cannabis_log!C:C,cannabis_log!N:N,"NOT FOUND",0,1),IF(N1587="gross",0,""))</f>
        <v>1</v>
      </c>
    </row>
    <row r="1588" spans="1:15">
      <c r="A1588" s="195" t="str">
        <f t="shared" si="82"/>
        <v>outbound</v>
      </c>
      <c r="B1588" s="196">
        <v>45756.511805555558</v>
      </c>
      <c r="C1588" s="197" t="s">
        <v>1929</v>
      </c>
      <c r="D1588" s="197" t="s">
        <v>2905</v>
      </c>
      <c r="E1588" s="217" t="s">
        <v>2906</v>
      </c>
      <c r="F1588" s="112" t="str">
        <f>IF(ISBLANK(E1588),"",_xlfn.XLOOKUP(E1588,cannabis_log!C:C,cannabis_log!J:J,"",0,))</f>
        <v>PR2501INF5P3</v>
      </c>
      <c r="G1588" s="112"/>
      <c r="H1588" s="112" t="str">
        <f>IF(ISBLANK(E1588),"",_xlfn.XLOOKUP(E1588,cannabis_log!C:C,cannabis_log!H:H,"",0,1))</f>
        <v>preroll_labelled</v>
      </c>
      <c r="I1588" s="113">
        <f>IF(ISBLANK(E1588),"",_xlfn.XLOOKUP(E1588,cannabis_log!C:C,cannabis_log!K:K,"NOT FOUND",0,1))</f>
        <v>45756</v>
      </c>
      <c r="J1588" s="185">
        <v>-24</v>
      </c>
      <c r="K1588" s="186">
        <f t="shared" si="85"/>
        <v>0</v>
      </c>
      <c r="L1588" s="288">
        <f t="shared" si="84"/>
        <v>-36</v>
      </c>
      <c r="M1588" s="24"/>
      <c r="N1588" s="112" t="str">
        <f>IF(ISBLANK(E1588),"",_xlfn.XLOOKUP(E1588,cannabis_log!C:C,cannabis_log!T:T,"Not Found",0,))</f>
        <v>NET</v>
      </c>
      <c r="O1588" s="180">
        <f>IF(N1588="net",_xlfn.XLOOKUP(E1588,cannabis_log!C:C,cannabis_log!N:N,"NOT FOUND",0,1),IF(N1588="gross",0,""))</f>
        <v>1.5</v>
      </c>
    </row>
    <row r="1589" spans="1:15">
      <c r="A1589" s="195" t="str">
        <f t="shared" si="82"/>
        <v>outbound</v>
      </c>
      <c r="B1589" s="196">
        <v>45756.511805555558</v>
      </c>
      <c r="C1589" s="197" t="s">
        <v>1929</v>
      </c>
      <c r="D1589" s="197" t="s">
        <v>2905</v>
      </c>
      <c r="E1589" s="217" t="s">
        <v>2698</v>
      </c>
      <c r="F1589" s="112" t="str">
        <f>IF(ISBLANK(E1589),"",_xlfn.XLOOKUP(E1589,cannabis_log!C:C,cannabis_log!J:J,"",0,))</f>
        <v>EX24111302G05</v>
      </c>
      <c r="G1589" s="112"/>
      <c r="H1589" s="112" t="str">
        <f>IF(ISBLANK(E1589),"",_xlfn.XLOOKUP(E1589,cannabis_log!C:C,cannabis_log!H:H,"",0,1))</f>
        <v>extract_inhaled_labelled</v>
      </c>
      <c r="I1589" s="113">
        <f>IF(ISBLANK(E1589),"",_xlfn.XLOOKUP(E1589,cannabis_log!C:C,cannabis_log!K:K,"NOT FOUND",0,1))</f>
        <v>45707</v>
      </c>
      <c r="J1589" s="185">
        <v>-12</v>
      </c>
      <c r="K1589" s="186">
        <f t="shared" si="85"/>
        <v>0</v>
      </c>
      <c r="L1589" s="288">
        <f t="shared" si="84"/>
        <v>-6</v>
      </c>
      <c r="M1589" s="24"/>
      <c r="N1589" s="112" t="str">
        <f>IF(ISBLANK(E1589),"",_xlfn.XLOOKUP(E1589,cannabis_log!C:C,cannabis_log!T:T,"Not Found",0,))</f>
        <v>net</v>
      </c>
      <c r="O1589" s="180">
        <f>IF(N1589="net",_xlfn.XLOOKUP(E1589,cannabis_log!C:C,cannabis_log!N:N,"NOT FOUND",0,1),IF(N1589="gross",0,""))</f>
        <v>0.5</v>
      </c>
    </row>
    <row r="1590" spans="1:15">
      <c r="A1590" s="195" t="str">
        <f t="shared" si="82"/>
        <v>outbound</v>
      </c>
      <c r="B1590" s="196">
        <v>45756.511805555558</v>
      </c>
      <c r="C1590" s="197" t="s">
        <v>1929</v>
      </c>
      <c r="D1590" s="197" t="s">
        <v>2905</v>
      </c>
      <c r="E1590" s="217" t="s">
        <v>2879</v>
      </c>
      <c r="F1590" s="112" t="str">
        <f>IF(ISBLANK(E1590),"",_xlfn.XLOOKUP(E1590,cannabis_log!C:C,cannabis_log!J:J,"",0,))</f>
        <v>EX24111301G05</v>
      </c>
      <c r="G1590" s="112"/>
      <c r="H1590" s="112" t="str">
        <f>IF(ISBLANK(E1590),"",_xlfn.XLOOKUP(E1590,cannabis_log!C:C,cannabis_log!H:H,"",0,1))</f>
        <v>extract_inhaled_labelled</v>
      </c>
      <c r="I1590" s="113">
        <f>IF(ISBLANK(E1590),"",_xlfn.XLOOKUP(E1590,cannabis_log!C:C,cannabis_log!K:K,"NOT FOUND",0,1))</f>
        <v>45749</v>
      </c>
      <c r="J1590" s="185">
        <v>-12</v>
      </c>
      <c r="K1590" s="186">
        <f t="shared" si="85"/>
        <v>0</v>
      </c>
      <c r="L1590" s="288">
        <f t="shared" si="84"/>
        <v>-6</v>
      </c>
      <c r="M1590" s="24"/>
      <c r="N1590" s="112" t="str">
        <f>IF(ISBLANK(E1590),"",_xlfn.XLOOKUP(E1590,cannabis_log!C:C,cannabis_log!T:T,"Not Found",0,))</f>
        <v>net</v>
      </c>
      <c r="O1590" s="180">
        <f>IF(N1590="net",_xlfn.XLOOKUP(E1590,cannabis_log!C:C,cannabis_log!N:N,"NOT FOUND",0,1),IF(N1590="gross",0,""))</f>
        <v>0.5</v>
      </c>
    </row>
    <row r="1591" spans="1:15">
      <c r="A1591" s="195" t="str">
        <f t="shared" si="82"/>
        <v>outbound</v>
      </c>
      <c r="B1591" s="196">
        <v>45756.511805555558</v>
      </c>
      <c r="C1591" s="197" t="s">
        <v>1929</v>
      </c>
      <c r="D1591" s="197" t="s">
        <v>2905</v>
      </c>
      <c r="E1591" s="217" t="s">
        <v>2885</v>
      </c>
      <c r="F1591" s="112" t="str">
        <f>IF(ISBLANK(E1591),"",_xlfn.XLOOKUP(E1591,cannabis_log!C:C,cannabis_log!J:J,"",0,))</f>
        <v>ROGEX001G1</v>
      </c>
      <c r="G1591" s="112"/>
      <c r="H1591" s="112" t="str">
        <f>IF(ISBLANK(E1591),"",_xlfn.XLOOKUP(E1591,cannabis_log!C:C,cannabis_log!H:H,"",0,1))</f>
        <v>extract_inhaled_labelled_Rohan</v>
      </c>
      <c r="I1591" s="113">
        <f>IF(ISBLANK(E1591),"",_xlfn.XLOOKUP(E1591,cannabis_log!C:C,cannabis_log!K:K,"NOT FOUND",0,1))</f>
        <v>45740</v>
      </c>
      <c r="J1591" s="185">
        <v>-12</v>
      </c>
      <c r="K1591" s="186">
        <f t="shared" si="85"/>
        <v>0</v>
      </c>
      <c r="L1591" s="288">
        <f t="shared" si="84"/>
        <v>-12</v>
      </c>
      <c r="M1591" s="24"/>
      <c r="N1591" s="112" t="str">
        <f>IF(ISBLANK(E1591),"",_xlfn.XLOOKUP(E1591,cannabis_log!C:C,cannabis_log!T:T,"Not Found",0,))</f>
        <v>net</v>
      </c>
      <c r="O1591" s="180">
        <f>IF(N1591="net",_xlfn.XLOOKUP(E1591,cannabis_log!C:C,cannabis_log!N:N,"NOT FOUND",0,1),IF(N1591="gross",0,""))</f>
        <v>1</v>
      </c>
    </row>
    <row r="1592" spans="1:15">
      <c r="A1592" s="195" t="str">
        <f t="shared" si="82"/>
        <v>outbound</v>
      </c>
      <c r="B1592" s="196">
        <v>45756.53402777778</v>
      </c>
      <c r="C1592" s="197" t="s">
        <v>1929</v>
      </c>
      <c r="D1592" s="197" t="s">
        <v>2907</v>
      </c>
      <c r="E1592" s="217" t="s">
        <v>2686</v>
      </c>
      <c r="F1592" s="112" t="str">
        <f>IF(ISBLANK(E1592),"",_xlfn.XLOOKUP(E1592,cannabis_log!C:C,cannabis_log!J:J,"",0,))</f>
        <v>EX25012101V50</v>
      </c>
      <c r="G1592" s="112"/>
      <c r="H1592" s="112" t="str">
        <f>IF(ISBLANK(E1592),"",_xlfn.XLOOKUP(E1592,cannabis_log!C:C,cannabis_log!H:H,"",0,1))</f>
        <v>extract_ingested_cased_BC</v>
      </c>
      <c r="I1592" s="113">
        <f>IF(ISBLANK(E1592),"",_xlfn.XLOOKUP(E1592,cannabis_log!C:C,cannabis_log!K:K,"NOT FOUND",0,1))</f>
        <v>45700</v>
      </c>
      <c r="J1592" s="185">
        <v>-1</v>
      </c>
      <c r="K1592" s="186">
        <f t="shared" si="85"/>
        <v>0</v>
      </c>
      <c r="L1592" s="288">
        <f t="shared" si="84"/>
        <v>-600</v>
      </c>
      <c r="M1592" s="24"/>
      <c r="N1592" s="112" t="str">
        <f>IF(ISBLANK(E1592),"",_xlfn.XLOOKUP(E1592,cannabis_log!C:C,cannabis_log!T:T,"Not Found",0,))</f>
        <v>net</v>
      </c>
      <c r="O1592" s="180">
        <f>IF(N1592="net",_xlfn.XLOOKUP(E1592,cannabis_log!C:C,cannabis_log!N:N,"NOT FOUND",0,1),IF(N1592="gross",0,""))</f>
        <v>600</v>
      </c>
    </row>
    <row r="1593" spans="1:15">
      <c r="A1593" s="195" t="str">
        <f t="shared" si="82"/>
        <v>outbound</v>
      </c>
      <c r="B1593" s="196">
        <v>45756.53402777778</v>
      </c>
      <c r="C1593" s="197" t="s">
        <v>1929</v>
      </c>
      <c r="D1593" s="197" t="s">
        <v>2907</v>
      </c>
      <c r="E1593" s="217" t="s">
        <v>2908</v>
      </c>
      <c r="F1593" s="112" t="str">
        <f>IF(ISBLANK(E1593),"",_xlfn.XLOOKUP(E1593,cannabis_log!C:C,cannabis_log!J:J,"",0,))</f>
        <v>TP24101701</v>
      </c>
      <c r="G1593" s="112"/>
      <c r="H1593" s="112" t="str">
        <f>IF(ISBLANK(E1593),"",_xlfn.XLOOKUP(E1593,cannabis_log!C:C,cannabis_log!H:H,"",0,1))</f>
        <v>topical_labelled</v>
      </c>
      <c r="I1593" s="113">
        <f>IF(ISBLANK(E1593),"",_xlfn.XLOOKUP(E1593,cannabis_log!C:C,cannabis_log!K:K,"NOT FOUND",0,1))</f>
        <v>45588</v>
      </c>
      <c r="J1593" s="185">
        <v>-6</v>
      </c>
      <c r="K1593" s="186">
        <f t="shared" si="85"/>
        <v>0</v>
      </c>
      <c r="L1593" s="288">
        <f t="shared" si="84"/>
        <v>-528</v>
      </c>
      <c r="M1593" s="24"/>
      <c r="N1593" s="112" t="str">
        <f>IF(ISBLANK(E1593),"",_xlfn.XLOOKUP(E1593,cannabis_log!C:C,cannabis_log!T:T,"Not Found",0,))</f>
        <v>net</v>
      </c>
      <c r="O1593" s="180">
        <f>IF(N1593="net",_xlfn.XLOOKUP(E1593,cannabis_log!C:C,cannabis_log!N:N,"NOT FOUND",0,1),IF(N1593="gross",0,""))</f>
        <v>88</v>
      </c>
    </row>
    <row r="1594" spans="1:15">
      <c r="A1594" s="195" t="str">
        <f t="shared" si="82"/>
        <v>outbound</v>
      </c>
      <c r="B1594" s="196">
        <v>45756.53402777778</v>
      </c>
      <c r="C1594" s="197" t="s">
        <v>1929</v>
      </c>
      <c r="D1594" s="197" t="s">
        <v>2907</v>
      </c>
      <c r="E1594" s="217" t="s">
        <v>2712</v>
      </c>
      <c r="F1594" s="112" t="str">
        <f>IF(ISBLANK(E1594),"",_xlfn.XLOOKUP(E1594,cannabis_log!C:C,cannabis_log!J:J,"",0,))</f>
        <v>PR241003F5P3</v>
      </c>
      <c r="G1594" s="112"/>
      <c r="H1594" s="112" t="str">
        <f>IF(ISBLANK(E1594),"",_xlfn.XLOOKUP(E1594,cannabis_log!C:C,cannabis_log!H:H,"",0,1))</f>
        <v>preroll_labelled</v>
      </c>
      <c r="I1594" s="113">
        <f>IF(ISBLANK(E1594),"",_xlfn.XLOOKUP(E1594,cannabis_log!C:C,cannabis_log!K:K,"NOT FOUND",0,1))</f>
        <v>45575</v>
      </c>
      <c r="J1594" s="185">
        <v>-12</v>
      </c>
      <c r="K1594" s="186">
        <f t="shared" si="85"/>
        <v>0</v>
      </c>
      <c r="L1594" s="288">
        <f t="shared" si="84"/>
        <v>-18</v>
      </c>
      <c r="M1594" s="24"/>
      <c r="N1594" s="112" t="str">
        <f>IF(ISBLANK(E1594),"",_xlfn.XLOOKUP(E1594,cannabis_log!C:C,cannabis_log!T:T,"Not Found",0,))</f>
        <v>net</v>
      </c>
      <c r="O1594" s="180">
        <f>IF(N1594="net",_xlfn.XLOOKUP(E1594,cannabis_log!C:C,cannabis_log!N:N,"NOT FOUND",0,1),IF(N1594="gross",0,""))</f>
        <v>1.5</v>
      </c>
    </row>
    <row r="1595" spans="1:15">
      <c r="A1595" s="195" t="str">
        <f t="shared" si="82"/>
        <v>outbound</v>
      </c>
      <c r="B1595" s="196">
        <v>45756.53402777778</v>
      </c>
      <c r="C1595" s="197" t="s">
        <v>1929</v>
      </c>
      <c r="D1595" s="197" t="s">
        <v>2907</v>
      </c>
      <c r="E1595" s="217" t="s">
        <v>2720</v>
      </c>
      <c r="F1595" s="112" t="str">
        <f>IF(ISBLANK(E1595),"",_xlfn.XLOOKUP(E1595,cannabis_log!C:C,cannabis_log!J:J,"",0,))</f>
        <v>PR241101F5P3</v>
      </c>
      <c r="G1595" s="112"/>
      <c r="H1595" s="112" t="str">
        <f>IF(ISBLANK(E1595),"",_xlfn.XLOOKUP(E1595,cannabis_log!C:C,cannabis_log!H:H,"",0,1))</f>
        <v>preroll_labelled</v>
      </c>
      <c r="I1595" s="113">
        <f>IF(ISBLANK(E1595),"",_xlfn.XLOOKUP(E1595,cannabis_log!C:C,cannabis_log!K:K,"NOT FOUND",0,1))</f>
        <v>45707</v>
      </c>
      <c r="J1595" s="185">
        <v>-12</v>
      </c>
      <c r="K1595" s="186">
        <f t="shared" si="85"/>
        <v>0</v>
      </c>
      <c r="L1595" s="288">
        <f t="shared" si="84"/>
        <v>-18</v>
      </c>
      <c r="M1595" s="24"/>
      <c r="N1595" s="112" t="str">
        <f>IF(ISBLANK(E1595),"",_xlfn.XLOOKUP(E1595,cannabis_log!C:C,cannabis_log!T:T,"Not Found",0,))</f>
        <v>net</v>
      </c>
      <c r="O1595" s="180">
        <f>IF(N1595="net",_xlfn.XLOOKUP(E1595,cannabis_log!C:C,cannabis_log!N:N,"NOT FOUND",0,1),IF(N1595="gross",0,""))</f>
        <v>1.5</v>
      </c>
    </row>
    <row r="1596" spans="1:15">
      <c r="A1596" s="195" t="str">
        <f t="shared" si="82"/>
        <v>outbound</v>
      </c>
      <c r="B1596" s="196">
        <v>45756.53402777778</v>
      </c>
      <c r="C1596" s="197" t="s">
        <v>1929</v>
      </c>
      <c r="D1596" s="197" t="s">
        <v>2907</v>
      </c>
      <c r="E1596" s="215" t="s">
        <v>2866</v>
      </c>
      <c r="F1596" s="112" t="str">
        <f>IF(ISBLANK(E1596),"",_xlfn.XLOOKUP(E1596,cannabis_log!C:C,cannabis_log!J:J,"",0,))</f>
        <v>PR21071201G1</v>
      </c>
      <c r="G1596" s="112"/>
      <c r="H1596" s="112" t="str">
        <f>IF(ISBLANK(E1596),"",_xlfn.XLOOKUP(E1596,cannabis_log!C:C,cannabis_log!H:H,"",0,1))</f>
        <v>preroll_labelled</v>
      </c>
      <c r="I1596" s="113">
        <f>IF(ISBLANK(E1596),"",_xlfn.XLOOKUP(E1596,cannabis_log!C:C,cannabis_log!K:K,"NOT FOUND",0,1))</f>
        <v>45735</v>
      </c>
      <c r="J1596" s="185">
        <v>-12</v>
      </c>
      <c r="K1596" s="186">
        <f t="shared" si="85"/>
        <v>0</v>
      </c>
      <c r="L1596" s="288">
        <f t="shared" si="84"/>
        <v>-12</v>
      </c>
      <c r="M1596" s="24"/>
      <c r="N1596" s="112" t="str">
        <f>IF(ISBLANK(E1596),"",_xlfn.XLOOKUP(E1596,cannabis_log!C:C,cannabis_log!T:T,"Not Found",0,))</f>
        <v>net</v>
      </c>
      <c r="O1596" s="180">
        <f>IF(N1596="net",_xlfn.XLOOKUP(E1596,cannabis_log!C:C,cannabis_log!N:N,"NOT FOUND",0,1),IF(N1596="gross",0,""))</f>
        <v>1</v>
      </c>
    </row>
    <row r="1597" spans="1:15">
      <c r="A1597" s="195" t="str">
        <f t="shared" si="82"/>
        <v>outbound</v>
      </c>
      <c r="B1597" s="196">
        <v>45756.53402777778</v>
      </c>
      <c r="C1597" s="197" t="s">
        <v>1929</v>
      </c>
      <c r="D1597" s="197" t="s">
        <v>2907</v>
      </c>
      <c r="E1597" s="215" t="s">
        <v>2717</v>
      </c>
      <c r="F1597" s="112" t="str">
        <f>IF(ISBLANK(E1597),"",_xlfn.XLOOKUP(E1597,cannabis_log!C:C,cannabis_log!J:J,"",0,))</f>
        <v>2024111803G7</v>
      </c>
      <c r="G1597" s="112"/>
      <c r="H1597" s="112" t="str">
        <f>IF(ISBLANK(E1597),"",_xlfn.XLOOKUP(E1597,cannabis_log!C:C,cannabis_log!H:H,"",0,1))</f>
        <v>driedflower_labelled</v>
      </c>
      <c r="I1597" s="113">
        <f>IF(ISBLANK(E1597),"",_xlfn.XLOOKUP(E1597,cannabis_log!C:C,cannabis_log!K:K,"NOT FOUND",0,1))</f>
        <v>45721</v>
      </c>
      <c r="J1597" s="185">
        <v>-12</v>
      </c>
      <c r="K1597" s="186">
        <f t="shared" si="85"/>
        <v>0</v>
      </c>
      <c r="L1597" s="288">
        <f t="shared" si="84"/>
        <v>-84</v>
      </c>
      <c r="M1597" s="24"/>
      <c r="N1597" s="112" t="str">
        <f>IF(ISBLANK(E1597),"",_xlfn.XLOOKUP(E1597,cannabis_log!C:C,cannabis_log!T:T,"Not Found",0,))</f>
        <v>net</v>
      </c>
      <c r="O1597" s="180">
        <f>IF(N1597="net",_xlfn.XLOOKUP(E1597,cannabis_log!C:C,cannabis_log!N:N,"NOT FOUND",0,1),IF(N1597="gross",0,""))</f>
        <v>7</v>
      </c>
    </row>
    <row r="1598" spans="1:15">
      <c r="A1598" s="195" t="str">
        <f t="shared" si="82"/>
        <v>outbound</v>
      </c>
      <c r="B1598" s="196">
        <v>45756.555555555555</v>
      </c>
      <c r="C1598" s="197" t="s">
        <v>1929</v>
      </c>
      <c r="D1598" s="197" t="s">
        <v>2900</v>
      </c>
      <c r="E1598" s="215" t="s">
        <v>2885</v>
      </c>
      <c r="F1598" s="112" t="str">
        <f>IF(ISBLANK(E1598),"",_xlfn.XLOOKUP(E1598,cannabis_log!C:C,cannabis_log!J:J,"",0,))</f>
        <v>ROGEX001G1</v>
      </c>
      <c r="G1598" s="112"/>
      <c r="H1598" s="112" t="str">
        <f>IF(ISBLANK(E1598),"",_xlfn.XLOOKUP(E1598,cannabis_log!C:C,cannabis_log!H:H,"",0,1))</f>
        <v>extract_inhaled_labelled_Rohan</v>
      </c>
      <c r="I1598" s="113">
        <f>IF(ISBLANK(E1598),"",_xlfn.XLOOKUP(E1598,cannabis_log!C:C,cannabis_log!K:K,"NOT FOUND",0,1))</f>
        <v>45740</v>
      </c>
      <c r="J1598" s="185">
        <v>-24</v>
      </c>
      <c r="K1598" s="186">
        <f t="shared" si="85"/>
        <v>0</v>
      </c>
      <c r="L1598" s="288">
        <f t="shared" si="84"/>
        <v>-24</v>
      </c>
      <c r="M1598" s="24"/>
      <c r="N1598" s="112" t="str">
        <f>IF(ISBLANK(E1598),"",_xlfn.XLOOKUP(E1598,cannabis_log!C:C,cannabis_log!T:T,"Not Found",0,))</f>
        <v>net</v>
      </c>
      <c r="O1598" s="180">
        <f>IF(N1598="net",_xlfn.XLOOKUP(E1598,cannabis_log!C:C,cannabis_log!N:N,"NOT FOUND",0,1),IF(N1598="gross",0,""))</f>
        <v>1</v>
      </c>
    </row>
    <row r="1599" spans="1:15">
      <c r="A1599" s="195" t="str">
        <f t="shared" si="82"/>
        <v>outbound</v>
      </c>
      <c r="B1599" s="196">
        <v>45756.56527777778</v>
      </c>
      <c r="C1599" s="197" t="s">
        <v>1929</v>
      </c>
      <c r="D1599" s="197" t="s">
        <v>2909</v>
      </c>
      <c r="E1599" s="215" t="s">
        <v>2705</v>
      </c>
      <c r="F1599" s="112" t="str">
        <f>IF(ISBLANK(E1599),"",_xlfn.XLOOKUP(E1599,cannabis_log!C:C,cannabis_log!J:J,"",0,))</f>
        <v>TP24120401G45</v>
      </c>
      <c r="G1599" s="112"/>
      <c r="H1599" s="112" t="str">
        <f>IF(ISBLANK(E1599),"",_xlfn.XLOOKUP(E1599,cannabis_log!C:C,cannabis_log!H:H,"",0,1))</f>
        <v>topical_labelled</v>
      </c>
      <c r="I1599" s="113">
        <f>IF(ISBLANK(E1599),"",_xlfn.XLOOKUP(E1599,cannabis_log!C:C,cannabis_log!K:K,"NOT FOUND",0,1))</f>
        <v>45638</v>
      </c>
      <c r="J1599" s="185">
        <v>-12</v>
      </c>
      <c r="K1599" s="186">
        <f t="shared" si="85"/>
        <v>0</v>
      </c>
      <c r="L1599" s="288">
        <f t="shared" si="84"/>
        <v>-540</v>
      </c>
      <c r="M1599" s="24"/>
      <c r="N1599" s="112" t="str">
        <f>IF(ISBLANK(E1599),"",_xlfn.XLOOKUP(E1599,cannabis_log!C:C,cannabis_log!T:T,"Not Found",0,))</f>
        <v>net</v>
      </c>
      <c r="O1599" s="180">
        <f>IF(N1599="net",_xlfn.XLOOKUP(E1599,cannabis_log!C:C,cannabis_log!N:N,"NOT FOUND",0,1),IF(N1599="gross",0,""))</f>
        <v>45</v>
      </c>
    </row>
    <row r="1600" spans="1:15">
      <c r="A1600" s="195" t="str">
        <f t="shared" si="82"/>
        <v>outbound</v>
      </c>
      <c r="B1600" s="196">
        <v>45756.56527777778</v>
      </c>
      <c r="C1600" s="197" t="s">
        <v>1929</v>
      </c>
      <c r="D1600" s="197" t="s">
        <v>2909</v>
      </c>
      <c r="E1600" s="215" t="s">
        <v>2885</v>
      </c>
      <c r="F1600" s="112" t="str">
        <f>IF(ISBLANK(E1600),"",_xlfn.XLOOKUP(E1600,cannabis_log!C:C,cannabis_log!J:J,"",0,))</f>
        <v>ROGEX001G1</v>
      </c>
      <c r="G1600" s="112"/>
      <c r="H1600" s="112" t="str">
        <f>IF(ISBLANK(E1600),"",_xlfn.XLOOKUP(E1600,cannabis_log!C:C,cannabis_log!H:H,"",0,1))</f>
        <v>extract_inhaled_labelled_Rohan</v>
      </c>
      <c r="I1600" s="113">
        <f>IF(ISBLANK(E1600),"",_xlfn.XLOOKUP(E1600,cannabis_log!C:C,cannabis_log!K:K,"NOT FOUND",0,1))</f>
        <v>45740</v>
      </c>
      <c r="J1600" s="185">
        <v>-12</v>
      </c>
      <c r="K1600" s="186">
        <f t="shared" si="85"/>
        <v>0</v>
      </c>
      <c r="L1600" s="288">
        <f t="shared" si="84"/>
        <v>-12</v>
      </c>
      <c r="M1600" s="24"/>
      <c r="N1600" s="112" t="str">
        <f>IF(ISBLANK(E1600),"",_xlfn.XLOOKUP(E1600,cannabis_log!C:C,cannabis_log!T:T,"Not Found",0,))</f>
        <v>net</v>
      </c>
      <c r="O1600" s="180">
        <f>IF(N1600="net",_xlfn.XLOOKUP(E1600,cannabis_log!C:C,cannabis_log!N:N,"NOT FOUND",0,1),IF(N1600="gross",0,""))</f>
        <v>1</v>
      </c>
    </row>
    <row r="1601" spans="1:15">
      <c r="A1601" s="195" t="str">
        <f t="shared" ref="A1601:A1664" si="86">IF(ISBLANK(J1601),"",IF(J1601+K1601+L1601&lt;0,"outbound","inbound"))</f>
        <v>outbound</v>
      </c>
      <c r="B1601" s="196">
        <v>45756.56527777778</v>
      </c>
      <c r="C1601" s="197" t="s">
        <v>1929</v>
      </c>
      <c r="D1601" s="197" t="s">
        <v>2910</v>
      </c>
      <c r="E1601" s="215" t="s">
        <v>2879</v>
      </c>
      <c r="F1601" s="112" t="str">
        <f>IF(ISBLANK(E1601),"",_xlfn.XLOOKUP(E1601,[2]cannabis_log!C:C,[2]cannabis_log!J:J,"",0,))</f>
        <v>EX24111301G05</v>
      </c>
      <c r="G1601" s="112"/>
      <c r="H1601" s="112" t="str">
        <f>IF(ISBLANK(E1601),"",_xlfn.XLOOKUP(E1601,cannabis_log!C:C,cannabis_log!H:H,"",0,1))</f>
        <v>extract_inhaled_labelled</v>
      </c>
      <c r="I1601" s="113">
        <f>IF(ISBLANK(E1601),"",_xlfn.XLOOKUP(E1601,cannabis_log!C:C,cannabis_log!K:K,"NOT FOUND",0,1))</f>
        <v>45749</v>
      </c>
      <c r="J1601" s="185">
        <v>-48</v>
      </c>
      <c r="K1601" s="186">
        <f t="shared" si="85"/>
        <v>0</v>
      </c>
      <c r="L1601" s="288">
        <f t="shared" si="84"/>
        <v>-24</v>
      </c>
      <c r="M1601" s="24"/>
      <c r="N1601" s="112" t="str">
        <f>IF(ISBLANK(E1601),"",_xlfn.XLOOKUP(E1601,[2]cannabis_log!C:C,[2]cannabis_log!T:T,"Not Found",0,))</f>
        <v>net</v>
      </c>
      <c r="O1601" s="180">
        <f>IF(N1601="net",_xlfn.XLOOKUP(E1601,[2]cannabis_log!C:C,[2]cannabis_log!N:N,"NOT FOUND",0,1),IF(N1601="gross",0,""))</f>
        <v>0.5</v>
      </c>
    </row>
    <row r="1602" spans="1:15">
      <c r="A1602" s="195" t="str">
        <f t="shared" si="86"/>
        <v>outbound</v>
      </c>
      <c r="B1602" s="196">
        <v>45756.56527777778</v>
      </c>
      <c r="C1602" s="197" t="s">
        <v>1929</v>
      </c>
      <c r="D1602" s="197" t="s">
        <v>2910</v>
      </c>
      <c r="E1602" s="215" t="s">
        <v>2885</v>
      </c>
      <c r="F1602" s="112" t="str">
        <f>IF(ISBLANK(E1602),"",_xlfn.XLOOKUP(E1602,[2]cannabis_log!C:C,[2]cannabis_log!J:J,"",0,))</f>
        <v>ROGEX001G1</v>
      </c>
      <c r="G1602" s="112"/>
      <c r="H1602" s="112" t="str">
        <f>IF(ISBLANK(E1602),"",_xlfn.XLOOKUP(E1602,cannabis_log!C:C,cannabis_log!H:H,"",0,1))</f>
        <v>extract_inhaled_labelled_Rohan</v>
      </c>
      <c r="I1602" s="113">
        <f>IF(ISBLANK(E1602),"",_xlfn.XLOOKUP(E1602,cannabis_log!C:C,cannabis_log!K:K,"NOT FOUND",0,1))</f>
        <v>45740</v>
      </c>
      <c r="J1602" s="185">
        <v>-24</v>
      </c>
      <c r="K1602" s="186">
        <f t="shared" si="85"/>
        <v>0</v>
      </c>
      <c r="L1602" s="288">
        <f t="shared" si="84"/>
        <v>-24</v>
      </c>
      <c r="M1602" s="24"/>
      <c r="N1602" s="112" t="str">
        <f>IF(ISBLANK(E1602),"",_xlfn.XLOOKUP(E1602,[2]cannabis_log!C:C,[2]cannabis_log!T:T,"Not Found",0,))</f>
        <v>net</v>
      </c>
      <c r="O1602" s="180">
        <f>IF(N1602="net",_xlfn.XLOOKUP(E1602,[2]cannabis_log!C:C,[2]cannabis_log!N:N,"NOT FOUND",0,1),IF(N1602="gross",0,""))</f>
        <v>1</v>
      </c>
    </row>
    <row r="1603" spans="1:15">
      <c r="A1603" s="195" t="str">
        <f t="shared" si="86"/>
        <v>outbound</v>
      </c>
      <c r="B1603" s="196">
        <v>45756.697916666664</v>
      </c>
      <c r="C1603" s="197" t="s">
        <v>1921</v>
      </c>
      <c r="D1603" s="197" t="s">
        <v>2911</v>
      </c>
      <c r="E1603" s="215" t="s">
        <v>2887</v>
      </c>
      <c r="F1603" s="112" t="str">
        <f>IF(ISBLANK(E1603),"",_xlfn.XLOOKUP(E1603,[2]cannabis_log!C:C,[2]cannabis_log!J:J,"",0,))</f>
        <v>PR2507F1P2</v>
      </c>
      <c r="G1603" s="112"/>
      <c r="H1603" s="112" t="str">
        <f>IF(ISBLANK(E1603),"",_xlfn.XLOOKUP(E1603,cannabis_log!C:C,cannabis_log!H:H,"",0,1))</f>
        <v>preroll_labelled</v>
      </c>
      <c r="I1603" s="113">
        <f>IF(ISBLANK(E1603),"",_xlfn.XLOOKUP(E1603,cannabis_log!C:C,cannabis_log!K:K,"NOT FOUND",0,1))</f>
        <v>45749</v>
      </c>
      <c r="J1603" s="185">
        <v>-22</v>
      </c>
      <c r="K1603" s="186">
        <f t="shared" si="85"/>
        <v>0</v>
      </c>
      <c r="L1603" s="288">
        <f t="shared" si="84"/>
        <v>-44</v>
      </c>
      <c r="M1603" s="24"/>
      <c r="N1603" s="112" t="str">
        <f>IF(ISBLANK(E1603),"",_xlfn.XLOOKUP(E1603,[2]cannabis_log!C:C,[2]cannabis_log!T:T,"Not Found",0,))</f>
        <v>net</v>
      </c>
      <c r="O1603" s="180">
        <f>IF(N1603="net",_xlfn.XLOOKUP(E1603,[2]cannabis_log!C:C,[2]cannabis_log!N:N,"NOT FOUND",0,1),IF(N1603="gross",0,""))</f>
        <v>2</v>
      </c>
    </row>
    <row r="1604" spans="1:15">
      <c r="A1604" s="195" t="str">
        <f t="shared" si="86"/>
        <v>outbound</v>
      </c>
      <c r="B1604" s="196">
        <v>45756.710416666669</v>
      </c>
      <c r="C1604" s="197" t="s">
        <v>1929</v>
      </c>
      <c r="D1604" s="197" t="s">
        <v>2912</v>
      </c>
      <c r="E1604" s="215" t="s">
        <v>2913</v>
      </c>
      <c r="F1604" s="112" t="str">
        <f>IF(ISBLANK(E1604),"",_xlfn.XLOOKUP(E1604,[2]cannabis_log!C:C,[2]cannabis_log!J:J,"",0,))</f>
        <v>DI24001</v>
      </c>
      <c r="G1604" s="112"/>
      <c r="H1604" s="112" t="str">
        <f>IF(ISBLANK(E1604),"",_xlfn.XLOOKUP(E1604,cannabis_log!C:C,cannabis_log!H:H,"",0,1))</f>
        <v>extract_inhaled_bulk_WT</v>
      </c>
      <c r="I1604" s="113" t="str">
        <f>IF(ISBLANK(E1604),"",_xlfn.XLOOKUP(E1604,cannabis_log!C:C,cannabis_log!K:K,"NOT FOUND",0,1))</f>
        <v>NA</v>
      </c>
      <c r="J1604" s="185">
        <v>-1</v>
      </c>
      <c r="K1604" s="186">
        <v>-12845</v>
      </c>
      <c r="L1604" s="288">
        <f t="shared" si="84"/>
        <v>0</v>
      </c>
      <c r="M1604" s="24"/>
      <c r="N1604" s="112" t="str">
        <f>IF(ISBLANK(E1604),"",_xlfn.XLOOKUP(E1604,[2]cannabis_log!C:C,[2]cannabis_log!T:T,"Not Found",0,))</f>
        <v>gross</v>
      </c>
      <c r="O1604" s="180">
        <f>IF(N1604="net",_xlfn.XLOOKUP(E1604,[2]cannabis_log!C:C,[2]cannabis_log!N:N,"NOT FOUND",0,1),IF(N1604="gross",0,""))</f>
        <v>0</v>
      </c>
    </row>
    <row r="1605" spans="1:15">
      <c r="A1605" s="195" t="str">
        <f t="shared" si="86"/>
        <v>outbound</v>
      </c>
      <c r="B1605" s="196">
        <v>45756.710416666669</v>
      </c>
      <c r="C1605" s="197" t="s">
        <v>1929</v>
      </c>
      <c r="D1605" s="197" t="s">
        <v>2912</v>
      </c>
      <c r="E1605" s="215" t="s">
        <v>2914</v>
      </c>
      <c r="F1605" s="112" t="str">
        <f>IF(ISBLANK(E1605),"",_xlfn.XLOOKUP(E1605,[2]cannabis_log!C:C,[2]cannabis_log!J:J,"",0,))</f>
        <v>DI24001</v>
      </c>
      <c r="G1605" s="112"/>
      <c r="H1605" s="112" t="str">
        <f>IF(ISBLANK(E1605),"",_xlfn.XLOOKUP(E1605,cannabis_log!C:C,cannabis_log!H:H,"",0,1))</f>
        <v>extract_inhaled_bulk_WT</v>
      </c>
      <c r="I1605" s="113" t="str">
        <f>IF(ISBLANK(E1605),"",_xlfn.XLOOKUP(E1605,cannabis_log!C:C,cannabis_log!K:K,"NOT FOUND",0,1))</f>
        <v>NA</v>
      </c>
      <c r="J1605" s="185">
        <v>-1</v>
      </c>
      <c r="K1605" s="186">
        <v>-20310</v>
      </c>
      <c r="L1605" s="288">
        <f t="shared" si="84"/>
        <v>0</v>
      </c>
      <c r="M1605" s="24"/>
      <c r="N1605" s="112" t="str">
        <f>IF(ISBLANK(E1605),"",_xlfn.XLOOKUP(E1605,[2]cannabis_log!C:C,[2]cannabis_log!T:T,"Not Found",0,))</f>
        <v>gross</v>
      </c>
      <c r="O1605" s="180">
        <f>IF(N1605="net",_xlfn.XLOOKUP(E1605,[2]cannabis_log!C:C,[2]cannabis_log!N:N,"NOT FOUND",0,1),IF(N1605="gross",0,""))</f>
        <v>0</v>
      </c>
    </row>
    <row r="1606" spans="1:15">
      <c r="A1606" s="195" t="str">
        <f t="shared" si="86"/>
        <v>outbound</v>
      </c>
      <c r="B1606" s="196">
        <v>45757.491666666669</v>
      </c>
      <c r="C1606" s="197" t="s">
        <v>1929</v>
      </c>
      <c r="D1606" s="197" t="s">
        <v>2915</v>
      </c>
      <c r="E1606" s="215" t="s">
        <v>2885</v>
      </c>
      <c r="F1606" s="112" t="str">
        <f>IF(ISBLANK(E1606),"",_xlfn.XLOOKUP(E1606,[2]cannabis_log!C:C,[2]cannabis_log!J:J,"",0,))</f>
        <v>ROGEX001G1</v>
      </c>
      <c r="G1606" s="112"/>
      <c r="H1606" s="112" t="str">
        <f>IF(ISBLANK(E1606),"",_xlfn.XLOOKUP(E1606,cannabis_log!C:C,cannabis_log!H:H,"",0,1))</f>
        <v>extract_inhaled_labelled_Rohan</v>
      </c>
      <c r="I1606" s="113">
        <f>IF(ISBLANK(E1606),"",_xlfn.XLOOKUP(E1606,cannabis_log!C:C,cannabis_log!K:K,"NOT FOUND",0,1))</f>
        <v>45740</v>
      </c>
      <c r="J1606" s="185">
        <v>-24</v>
      </c>
      <c r="K1606" s="186">
        <f t="shared" ref="K1606:K1624" si="87">IF(N1606="net",0,"")</f>
        <v>0</v>
      </c>
      <c r="L1606" s="288">
        <f t="shared" si="84"/>
        <v>-24</v>
      </c>
      <c r="M1606" s="24"/>
      <c r="N1606" s="112" t="str">
        <f>IF(ISBLANK(E1606),"",_xlfn.XLOOKUP(E1606,[2]cannabis_log!C:C,[2]cannabis_log!T:T,"Not Found",0,))</f>
        <v>net</v>
      </c>
      <c r="O1606" s="180">
        <f>IF(N1606="net",_xlfn.XLOOKUP(E1606,[2]cannabis_log!C:C,[2]cannabis_log!N:N,"NOT FOUND",0,1),IF(N1606="gross",0,""))</f>
        <v>1</v>
      </c>
    </row>
    <row r="1607" spans="1:15">
      <c r="A1607" s="195" t="str">
        <f t="shared" si="86"/>
        <v>outbound</v>
      </c>
      <c r="B1607" s="196">
        <v>45757.491666666669</v>
      </c>
      <c r="C1607" s="197" t="s">
        <v>1929</v>
      </c>
      <c r="D1607" s="197" t="s">
        <v>2915</v>
      </c>
      <c r="E1607" s="215" t="s">
        <v>2879</v>
      </c>
      <c r="F1607" s="112" t="str">
        <f>IF(ISBLANK(E1607),"",_xlfn.XLOOKUP(E1607,[2]cannabis_log!C:C,[2]cannabis_log!J:J,"",0,))</f>
        <v>EX24111301G05</v>
      </c>
      <c r="G1607" s="112"/>
      <c r="H1607" s="112" t="str">
        <f>IF(ISBLANK(E1607),"",_xlfn.XLOOKUP(E1607,cannabis_log!C:C,cannabis_log!H:H,"",0,1))</f>
        <v>extract_inhaled_labelled</v>
      </c>
      <c r="I1607" s="113">
        <f>IF(ISBLANK(E1607),"",_xlfn.XLOOKUP(E1607,cannabis_log!C:C,cannabis_log!K:K,"NOT FOUND",0,1))</f>
        <v>45749</v>
      </c>
      <c r="J1607" s="185">
        <v>-24</v>
      </c>
      <c r="K1607" s="186">
        <f t="shared" si="87"/>
        <v>0</v>
      </c>
      <c r="L1607" s="288">
        <f t="shared" si="84"/>
        <v>-12</v>
      </c>
      <c r="M1607" s="24"/>
      <c r="N1607" s="112" t="str">
        <f>IF(ISBLANK(E1607),"",_xlfn.XLOOKUP(E1607,[2]cannabis_log!C:C,[2]cannabis_log!T:T,"Not Found",0,))</f>
        <v>net</v>
      </c>
      <c r="O1607" s="180">
        <f>IF(N1607="net",_xlfn.XLOOKUP(E1607,[2]cannabis_log!C:C,[2]cannabis_log!N:N,"NOT FOUND",0,1),IF(N1607="gross",0,""))</f>
        <v>0.5</v>
      </c>
    </row>
    <row r="1608" spans="1:15">
      <c r="A1608" s="195" t="str">
        <f t="shared" si="86"/>
        <v>outbound</v>
      </c>
      <c r="B1608" s="196">
        <v>45757.491666666669</v>
      </c>
      <c r="C1608" s="197" t="s">
        <v>1929</v>
      </c>
      <c r="D1608" s="197" t="s">
        <v>2915</v>
      </c>
      <c r="E1608" s="215" t="s">
        <v>2854</v>
      </c>
      <c r="F1608" s="112" t="str">
        <f>IF(ISBLANK(E1608),"",_xlfn.XLOOKUP(E1608,[2]cannabis_log!C:C,[2]cannabis_log!J:J,"",0,))</f>
        <v>PR2301F5P3</v>
      </c>
      <c r="G1608" s="112"/>
      <c r="H1608" s="112" t="str">
        <f>IF(ISBLANK(E1608),"",_xlfn.XLOOKUP(E1608,cannabis_log!C:C,cannabis_log!H:H,"",0,1))</f>
        <v>preroll_labelled</v>
      </c>
      <c r="I1608" s="113">
        <f>IF(ISBLANK(E1608),"",_xlfn.XLOOKUP(E1608,cannabis_log!C:C,cannabis_log!K:K,"NOT FOUND",0,1))</f>
        <v>45742</v>
      </c>
      <c r="J1608" s="185">
        <v>-24</v>
      </c>
      <c r="K1608" s="186">
        <f t="shared" si="87"/>
        <v>0</v>
      </c>
      <c r="L1608" s="288">
        <f t="shared" si="84"/>
        <v>-36</v>
      </c>
      <c r="M1608" s="24"/>
      <c r="N1608" s="112" t="str">
        <f>IF(ISBLANK(E1608),"",_xlfn.XLOOKUP(E1608,[2]cannabis_log!C:C,[2]cannabis_log!T:T,"Not Found",0,))</f>
        <v>net</v>
      </c>
      <c r="O1608" s="180">
        <f>IF(N1608="net",_xlfn.XLOOKUP(E1608,[2]cannabis_log!C:C,[2]cannabis_log!N:N,"NOT FOUND",0,1),IF(N1608="gross",0,""))</f>
        <v>1.5</v>
      </c>
    </row>
    <row r="1609" spans="1:15">
      <c r="A1609" s="195" t="str">
        <f t="shared" si="86"/>
        <v>outbound</v>
      </c>
      <c r="B1609" s="196">
        <v>45757.491666666669</v>
      </c>
      <c r="C1609" s="197" t="s">
        <v>1929</v>
      </c>
      <c r="D1609" s="197" t="s">
        <v>2915</v>
      </c>
      <c r="E1609" s="215" t="s">
        <v>2866</v>
      </c>
      <c r="F1609" s="112" t="str">
        <f>IF(ISBLANK(E1609),"",_xlfn.XLOOKUP(E1609,[2]cannabis_log!C:C,[2]cannabis_log!J:J,"",0,))</f>
        <v>PR21071201G1</v>
      </c>
      <c r="G1609" s="112"/>
      <c r="H1609" s="112" t="str">
        <f>IF(ISBLANK(E1609),"",_xlfn.XLOOKUP(E1609,cannabis_log!C:C,cannabis_log!H:H,"",0,1))</f>
        <v>preroll_labelled</v>
      </c>
      <c r="I1609" s="113">
        <f>IF(ISBLANK(E1609),"",_xlfn.XLOOKUP(E1609,cannabis_log!C:C,cannabis_log!K:K,"NOT FOUND",0,1))</f>
        <v>45735</v>
      </c>
      <c r="J1609" s="185">
        <v>-36</v>
      </c>
      <c r="K1609" s="186">
        <f t="shared" si="87"/>
        <v>0</v>
      </c>
      <c r="L1609" s="288">
        <f t="shared" si="84"/>
        <v>-36</v>
      </c>
      <c r="M1609" s="24"/>
      <c r="N1609" s="112" t="str">
        <f>IF(ISBLANK(E1609),"",_xlfn.XLOOKUP(E1609,[2]cannabis_log!C:C,[2]cannabis_log!T:T,"Not Found",0,))</f>
        <v>net</v>
      </c>
      <c r="O1609" s="180">
        <f>IF(N1609="net",_xlfn.XLOOKUP(E1609,[2]cannabis_log!C:C,[2]cannabis_log!N:N,"NOT FOUND",0,1),IF(N1609="gross",0,""))</f>
        <v>1</v>
      </c>
    </row>
    <row r="1610" spans="1:15">
      <c r="A1610" s="195" t="str">
        <f t="shared" si="86"/>
        <v>outbound</v>
      </c>
      <c r="B1610" s="196">
        <v>45757.681250000001</v>
      </c>
      <c r="C1610" s="197" t="s">
        <v>1921</v>
      </c>
      <c r="D1610" s="305" t="s">
        <v>2916</v>
      </c>
      <c r="E1610" s="215" t="s">
        <v>2917</v>
      </c>
      <c r="F1610" s="112" t="str">
        <f>IF(ISBLANK(E1610),"",_xlfn.XLOOKUP(E1610,[2]cannabis_log!C:C,[2]cannabis_log!J:J,"",0,))</f>
        <v>PR241105F5</v>
      </c>
      <c r="G1610" s="112"/>
      <c r="H1610" s="112" t="str">
        <f>IF(ISBLANK(E1610),"",_xlfn.XLOOKUP(E1610,cannabis_log!C:C,cannabis_log!H:H,"",0,1))</f>
        <v>preroll_bulk</v>
      </c>
      <c r="I1610" s="113" t="str">
        <f>IF(ISBLANK(E1610),"",_xlfn.XLOOKUP(E1610,cannabis_log!C:C,cannabis_log!K:K,"NOT FOUND",0,1))</f>
        <v>NA</v>
      </c>
      <c r="J1610" s="185">
        <v>-357</v>
      </c>
      <c r="K1610" s="186">
        <f t="shared" si="87"/>
        <v>0</v>
      </c>
      <c r="L1610" s="288">
        <f t="shared" si="84"/>
        <v>-178.5</v>
      </c>
      <c r="M1610" s="24"/>
      <c r="N1610" s="112" t="str">
        <f>IF(ISBLANK(E1610),"",_xlfn.XLOOKUP(E1610,[2]cannabis_log!C:C,[2]cannabis_log!T:T,"Not Found",0,))</f>
        <v>net</v>
      </c>
      <c r="O1610" s="180">
        <f>IF(N1610="net",_xlfn.XLOOKUP(E1610,[2]cannabis_log!C:C,[2]cannabis_log!N:N,"NOT FOUND",0,1),IF(N1610="gross",0,""))</f>
        <v>0.5</v>
      </c>
    </row>
    <row r="1611" spans="1:15">
      <c r="A1611" s="195" t="str">
        <f t="shared" si="86"/>
        <v>outbound</v>
      </c>
      <c r="B1611" s="196">
        <v>45757.681250000001</v>
      </c>
      <c r="C1611" s="197" t="s">
        <v>1921</v>
      </c>
      <c r="D1611" s="305" t="s">
        <v>2916</v>
      </c>
      <c r="E1611" s="215" t="s">
        <v>2918</v>
      </c>
      <c r="F1611" s="112" t="str">
        <f>IF(ISBLANK(E1611),"",_xlfn.XLOOKUP(E1611,[2]cannabis_log!C:C,[2]cannabis_log!J:J,"",0,))</f>
        <v>PR241105F5</v>
      </c>
      <c r="G1611" s="112"/>
      <c r="H1611" s="112" t="str">
        <f>IF(ISBLANK(E1611),"",_xlfn.XLOOKUP(E1611,cannabis_log!C:C,cannabis_log!H:H,"",0,1))</f>
        <v>preroll_bulk</v>
      </c>
      <c r="I1611" s="113" t="str">
        <f>IF(ISBLANK(E1611),"",_xlfn.XLOOKUP(E1611,cannabis_log!C:C,cannabis_log!K:K,"NOT FOUND",0,1))</f>
        <v>NA</v>
      </c>
      <c r="J1611" s="185">
        <v>-242</v>
      </c>
      <c r="K1611" s="186">
        <f t="shared" si="87"/>
        <v>0</v>
      </c>
      <c r="L1611" s="288">
        <f t="shared" si="84"/>
        <v>-121</v>
      </c>
      <c r="M1611" s="24"/>
      <c r="N1611" s="112" t="str">
        <f>IF(ISBLANK(E1611),"",_xlfn.XLOOKUP(E1611,[2]cannabis_log!C:C,[2]cannabis_log!T:T,"Not Found",0,))</f>
        <v>net</v>
      </c>
      <c r="O1611" s="180">
        <f>IF(N1611="net",_xlfn.XLOOKUP(E1611,[2]cannabis_log!C:C,[2]cannabis_log!N:N,"NOT FOUND",0,1),IF(N1611="gross",0,""))</f>
        <v>0.5</v>
      </c>
    </row>
    <row r="1612" spans="1:15">
      <c r="A1612" s="195" t="str">
        <f t="shared" si="86"/>
        <v>outbound</v>
      </c>
      <c r="B1612" s="196">
        <v>45757.681250000001</v>
      </c>
      <c r="C1612" s="197" t="s">
        <v>1921</v>
      </c>
      <c r="D1612" s="305" t="s">
        <v>2916</v>
      </c>
      <c r="E1612" s="215" t="s">
        <v>2919</v>
      </c>
      <c r="F1612" s="112" t="str">
        <f>IF(ISBLANK(E1612),"",_xlfn.XLOOKUP(E1612,[2]cannabis_log!C:C,[2]cannabis_log!J:J,"",0,))</f>
        <v>PR241105F5</v>
      </c>
      <c r="G1612" s="112"/>
      <c r="H1612" s="112" t="str">
        <f>IF(ISBLANK(E1612),"",_xlfn.XLOOKUP(E1612,cannabis_log!C:C,cannabis_log!H:H,"",0,1))</f>
        <v>preroll_bulk</v>
      </c>
      <c r="I1612" s="113" t="str">
        <f>IF(ISBLANK(E1612),"",_xlfn.XLOOKUP(E1612,cannabis_log!C:C,cannabis_log!K:K,"NOT FOUND",0,1))</f>
        <v>NA</v>
      </c>
      <c r="J1612" s="185">
        <v>-48</v>
      </c>
      <c r="K1612" s="186">
        <f t="shared" si="87"/>
        <v>0</v>
      </c>
      <c r="L1612" s="288">
        <f t="shared" si="84"/>
        <v>-24</v>
      </c>
      <c r="M1612" s="24"/>
      <c r="N1612" s="112" t="str">
        <f>IF(ISBLANK(E1612),"",_xlfn.XLOOKUP(E1612,[2]cannabis_log!C:C,[2]cannabis_log!T:T,"Not Found",0,))</f>
        <v>net</v>
      </c>
      <c r="O1612" s="180">
        <f>IF(N1612="net",_xlfn.XLOOKUP(E1612,[2]cannabis_log!C:C,[2]cannabis_log!N:N,"NOT FOUND",0,1),IF(N1612="gross",0,""))</f>
        <v>0.5</v>
      </c>
    </row>
    <row r="1613" spans="1:15">
      <c r="A1613" s="195" t="str">
        <f t="shared" si="86"/>
        <v>outbound</v>
      </c>
      <c r="B1613" s="196">
        <v>45757.681250000001</v>
      </c>
      <c r="C1613" s="197" t="s">
        <v>1921</v>
      </c>
      <c r="D1613" s="305" t="s">
        <v>2916</v>
      </c>
      <c r="E1613" s="215" t="s">
        <v>2828</v>
      </c>
      <c r="F1613" s="112" t="str">
        <f>IF(ISBLANK(E1613),"",_xlfn.XLOOKUP(E1613,[2]cannabis_log!C:C,[2]cannabis_log!J:J,"",0,))</f>
        <v>PR241105F5</v>
      </c>
      <c r="G1613" s="112"/>
      <c r="H1613" s="112" t="str">
        <f>IF(ISBLANK(E1613),"",_xlfn.XLOOKUP(E1613,cannabis_log!C:C,cannabis_log!H:H,"",0,1))</f>
        <v>preroll_bulk</v>
      </c>
      <c r="I1613" s="113" t="str">
        <f>IF(ISBLANK(E1613),"",_xlfn.XLOOKUP(E1613,cannabis_log!C:C,cannabis_log!K:K,"NOT FOUND",0,1))</f>
        <v>NA</v>
      </c>
      <c r="J1613" s="185">
        <v>-55</v>
      </c>
      <c r="K1613" s="186">
        <f t="shared" si="87"/>
        <v>0</v>
      </c>
      <c r="L1613" s="288">
        <f t="shared" si="84"/>
        <v>-27.5</v>
      </c>
      <c r="M1613" s="24"/>
      <c r="N1613" s="112" t="str">
        <f>IF(ISBLANK(E1613),"",_xlfn.XLOOKUP(E1613,[2]cannabis_log!C:C,[2]cannabis_log!T:T,"Not Found",0,))</f>
        <v>net</v>
      </c>
      <c r="O1613" s="180">
        <f>IF(N1613="net",_xlfn.XLOOKUP(E1613,[2]cannabis_log!C:C,[2]cannabis_log!N:N,"NOT FOUND",0,1),IF(N1613="gross",0,""))</f>
        <v>0.5</v>
      </c>
    </row>
    <row r="1614" spans="1:15">
      <c r="A1614" s="195" t="str">
        <f t="shared" si="86"/>
        <v>outbound</v>
      </c>
      <c r="B1614" s="196">
        <v>45758.543749999997</v>
      </c>
      <c r="C1614" s="197" t="s">
        <v>1929</v>
      </c>
      <c r="D1614" s="175" t="s">
        <v>2890</v>
      </c>
      <c r="E1614" s="215" t="s">
        <v>2717</v>
      </c>
      <c r="F1614" s="112" t="str">
        <f>IF(ISBLANK(E1614),"",_xlfn.XLOOKUP(E1614,[2]cannabis_log!C:C,[2]cannabis_log!J:J,"",0,))</f>
        <v>2024111803G7</v>
      </c>
      <c r="G1614" s="112"/>
      <c r="H1614" s="112" t="str">
        <f>IF(ISBLANK(E1614),"",_xlfn.XLOOKUP(E1614,cannabis_log!C:C,cannabis_log!H:H,"",0,1))</f>
        <v>driedflower_labelled</v>
      </c>
      <c r="I1614" s="113">
        <f>IF(ISBLANK(E1614),"",_xlfn.XLOOKUP(E1614,cannabis_log!C:C,cannabis_log!K:K,"NOT FOUND",0,1))</f>
        <v>45721</v>
      </c>
      <c r="J1614" s="185">
        <v>-12</v>
      </c>
      <c r="K1614" s="186">
        <f t="shared" si="87"/>
        <v>0</v>
      </c>
      <c r="L1614" s="288">
        <f t="shared" si="84"/>
        <v>-84</v>
      </c>
      <c r="M1614" s="24"/>
      <c r="N1614" s="112" t="str">
        <f>IF(ISBLANK(E1614),"",_xlfn.XLOOKUP(E1614,[2]cannabis_log!C:C,[2]cannabis_log!T:T,"Not Found",0,))</f>
        <v>net</v>
      </c>
      <c r="O1614" s="180">
        <f>IF(N1614="net",_xlfn.XLOOKUP(E1614,[2]cannabis_log!C:C,[2]cannabis_log!N:N,"NOT FOUND",0,1),IF(N1614="gross",0,""))</f>
        <v>7</v>
      </c>
    </row>
    <row r="1615" spans="1:15">
      <c r="A1615" s="195" t="str">
        <f t="shared" si="86"/>
        <v>outbound</v>
      </c>
      <c r="B1615" s="196">
        <v>45758.543749999997</v>
      </c>
      <c r="C1615" s="197" t="s">
        <v>1929</v>
      </c>
      <c r="D1615" s="175" t="s">
        <v>2890</v>
      </c>
      <c r="E1615" s="215" t="s">
        <v>2920</v>
      </c>
      <c r="F1615" s="112" t="str">
        <f>IF(ISBLANK(E1615),"",_xlfn.XLOOKUP(E1615,[2]cannabis_log!C:C,[2]cannabis_log!J:J,"",0,))</f>
        <v>PR2407F5P3</v>
      </c>
      <c r="G1615" s="112"/>
      <c r="H1615" s="112" t="str">
        <f>IF(ISBLANK(E1615),"",_xlfn.XLOOKUP(E1615,cannabis_log!C:C,cannabis_log!H:H,"",0,1))</f>
        <v>preroll_labelled</v>
      </c>
      <c r="I1615" s="113">
        <f>IF(ISBLANK(E1615),"",_xlfn.XLOOKUP(E1615,cannabis_log!C:C,cannabis_log!K:K,"NOT FOUND",0,1))</f>
        <v>45742</v>
      </c>
      <c r="J1615" s="185">
        <v>-12</v>
      </c>
      <c r="K1615" s="186">
        <f t="shared" si="87"/>
        <v>0</v>
      </c>
      <c r="L1615" s="288">
        <f t="shared" si="84"/>
        <v>-18</v>
      </c>
      <c r="M1615" s="24"/>
      <c r="N1615" s="112" t="str">
        <f>IF(ISBLANK(E1615),"",_xlfn.XLOOKUP(E1615,[2]cannabis_log!C:C,[2]cannabis_log!T:T,"Not Found",0,))</f>
        <v>net</v>
      </c>
      <c r="O1615" s="180">
        <f>IF(N1615="net",_xlfn.XLOOKUP(E1615,[2]cannabis_log!C:C,[2]cannabis_log!N:N,"NOT FOUND",0,1),IF(N1615="gross",0,""))</f>
        <v>1.5</v>
      </c>
    </row>
    <row r="1616" spans="1:15">
      <c r="A1616" s="195" t="str">
        <f t="shared" si="86"/>
        <v>outbound</v>
      </c>
      <c r="B1616" s="196">
        <v>45758.543749999997</v>
      </c>
      <c r="C1616" s="197" t="s">
        <v>1929</v>
      </c>
      <c r="D1616" s="175" t="s">
        <v>2890</v>
      </c>
      <c r="E1616" s="215" t="s">
        <v>2921</v>
      </c>
      <c r="F1616" s="112" t="str">
        <f>IF(ISBLANK(E1616),"",_xlfn.XLOOKUP(E1616,[2]cannabis_log!C:C,[2]cannabis_log!J:J,"",0,))</f>
        <v>EX24061401V30</v>
      </c>
      <c r="G1616" s="112"/>
      <c r="H1616" s="112" t="str">
        <f>IF(ISBLANK(E1616),"",_xlfn.XLOOKUP(E1616,cannabis_log!C:C,cannabis_log!H:H,"",0,1))</f>
        <v>extract_ingested_labelled</v>
      </c>
      <c r="I1616" s="113">
        <f>IF(ISBLANK(E1616),"",_xlfn.XLOOKUP(E1616,cannabis_log!C:C,cannabis_log!K:K,"NOT FOUND",0,1))</f>
        <v>45467</v>
      </c>
      <c r="J1616" s="185">
        <v>-6</v>
      </c>
      <c r="K1616" s="186">
        <f t="shared" si="87"/>
        <v>0</v>
      </c>
      <c r="L1616" s="288">
        <f t="shared" si="84"/>
        <v>-163.80000000000001</v>
      </c>
      <c r="M1616" s="24"/>
      <c r="N1616" s="112" t="str">
        <f>IF(ISBLANK(E1616),"",_xlfn.XLOOKUP(E1616,[2]cannabis_log!C:C,[2]cannabis_log!T:T,"Not Found",0,))</f>
        <v>net</v>
      </c>
      <c r="O1616" s="180">
        <f>IF(N1616="net",_xlfn.XLOOKUP(E1616,[2]cannabis_log!C:C,[2]cannabis_log!N:N,"NOT FOUND",0,1),IF(N1616="gross",0,""))</f>
        <v>27.3</v>
      </c>
    </row>
    <row r="1617" spans="1:15">
      <c r="A1617" s="195" t="str">
        <f t="shared" si="86"/>
        <v>outbound</v>
      </c>
      <c r="B1617" s="196">
        <v>45758.543749999997</v>
      </c>
      <c r="C1617" s="197" t="s">
        <v>1929</v>
      </c>
      <c r="D1617" s="175" t="s">
        <v>2890</v>
      </c>
      <c r="E1617" s="215" t="s">
        <v>2748</v>
      </c>
      <c r="F1617" s="112" t="str">
        <f>IF(ISBLANK(E1617),"",_xlfn.XLOOKUP(E1617,[2]cannabis_log!C:C,[2]cannabis_log!J:J,"",0,))</f>
        <v>EX24100801V30</v>
      </c>
      <c r="G1617" s="112"/>
      <c r="H1617" s="112" t="str">
        <f>IF(ISBLANK(E1617),"",_xlfn.XLOOKUP(E1617,cannabis_log!C:C,cannabis_log!H:H,"",0,1))</f>
        <v>extract_ingested_labelled</v>
      </c>
      <c r="I1617" s="113">
        <f>IF(ISBLANK(E1617),"",_xlfn.XLOOKUP(E1617,cannabis_log!C:C,cannabis_log!K:K,"NOT FOUND",0,1))</f>
        <v>45590</v>
      </c>
      <c r="J1617" s="185">
        <v>-6</v>
      </c>
      <c r="K1617" s="186">
        <f t="shared" si="87"/>
        <v>0</v>
      </c>
      <c r="L1617" s="288">
        <f t="shared" si="84"/>
        <v>-163.80000000000001</v>
      </c>
      <c r="M1617" s="24"/>
      <c r="N1617" s="112" t="str">
        <f>IF(ISBLANK(E1617),"",_xlfn.XLOOKUP(E1617,[2]cannabis_log!C:C,[2]cannabis_log!T:T,"Not Found",0,))</f>
        <v>net</v>
      </c>
      <c r="O1617" s="180">
        <f>IF(N1617="net",_xlfn.XLOOKUP(E1617,[2]cannabis_log!C:C,[2]cannabis_log!N:N,"NOT FOUND",0,1),IF(N1617="gross",0,""))</f>
        <v>27.3</v>
      </c>
    </row>
    <row r="1618" spans="1:15">
      <c r="A1618" s="195" t="str">
        <f t="shared" si="86"/>
        <v>outbound</v>
      </c>
      <c r="B1618" s="196">
        <v>45758.543749999997</v>
      </c>
      <c r="C1618" s="197" t="s">
        <v>1929</v>
      </c>
      <c r="D1618" s="197" t="s">
        <v>2890</v>
      </c>
      <c r="E1618" s="215" t="s">
        <v>2922</v>
      </c>
      <c r="F1618" s="112" t="str">
        <f>IF(ISBLANK(E1618),"",_xlfn.XLOOKUP(E1618,[2]cannabis_log!C:C,[2]cannabis_log!J:J,"",0,))</f>
        <v>PR241104F5P3</v>
      </c>
      <c r="G1618" s="112"/>
      <c r="H1618" s="112" t="str">
        <f>IF(ISBLANK(E1618),"",_xlfn.XLOOKUP(E1618,cannabis_log!C:C,cannabis_log!H:H,"",0,1))</f>
        <v>preroll_labelled</v>
      </c>
      <c r="I1618" s="113">
        <f>IF(ISBLANK(E1618),"",_xlfn.XLOOKUP(E1618,cannabis_log!C:C,cannabis_log!K:K,"NOT FOUND",0,1))</f>
        <v>45588</v>
      </c>
      <c r="J1618" s="185">
        <v>-12</v>
      </c>
      <c r="K1618" s="186">
        <f t="shared" si="87"/>
        <v>0</v>
      </c>
      <c r="L1618" s="288">
        <f t="shared" si="84"/>
        <v>-18</v>
      </c>
      <c r="M1618" s="24"/>
      <c r="N1618" s="112" t="str">
        <f>IF(ISBLANK(E1618),"",_xlfn.XLOOKUP(E1618,[2]cannabis_log!C:C,[2]cannabis_log!T:T,"Not Found",0,))</f>
        <v>net</v>
      </c>
      <c r="O1618" s="180">
        <f>IF(N1618="net",_xlfn.XLOOKUP(E1618,[2]cannabis_log!C:C,[2]cannabis_log!N:N,"NOT FOUND",0,1),IF(N1618="gross",0,""))</f>
        <v>1.5</v>
      </c>
    </row>
    <row r="1619" spans="1:15">
      <c r="A1619" s="195" t="str">
        <f t="shared" si="86"/>
        <v>outbound</v>
      </c>
      <c r="B1619" s="196">
        <v>45758.543749999997</v>
      </c>
      <c r="C1619" s="197" t="s">
        <v>1929</v>
      </c>
      <c r="D1619" s="197" t="s">
        <v>2890</v>
      </c>
      <c r="E1619" s="215" t="s">
        <v>2720</v>
      </c>
      <c r="F1619" s="112" t="str">
        <f>IF(ISBLANK(E1619),"",_xlfn.XLOOKUP(E1619,[2]cannabis_log!C:C,[2]cannabis_log!J:J,"",0,))</f>
        <v>PR241101F5P3</v>
      </c>
      <c r="G1619" s="112"/>
      <c r="H1619" s="112" t="str">
        <f>IF(ISBLANK(E1619),"",_xlfn.XLOOKUP(E1619,cannabis_log!C:C,cannabis_log!H:H,"",0,1))</f>
        <v>preroll_labelled</v>
      </c>
      <c r="I1619" s="113">
        <f>IF(ISBLANK(E1619),"",_xlfn.XLOOKUP(E1619,cannabis_log!C:C,cannabis_log!K:K,"NOT FOUND",0,1))</f>
        <v>45707</v>
      </c>
      <c r="J1619" s="185">
        <v>-12</v>
      </c>
      <c r="K1619" s="186">
        <f t="shared" si="87"/>
        <v>0</v>
      </c>
      <c r="L1619" s="288">
        <f t="shared" si="84"/>
        <v>-18</v>
      </c>
      <c r="M1619" s="24"/>
      <c r="N1619" s="112" t="str">
        <f>IF(ISBLANK(E1619),"",_xlfn.XLOOKUP(E1619,[2]cannabis_log!C:C,[2]cannabis_log!T:T,"Not Found",0,))</f>
        <v>net</v>
      </c>
      <c r="O1619" s="180">
        <f>IF(N1619="net",_xlfn.XLOOKUP(E1619,[2]cannabis_log!C:C,[2]cannabis_log!N:N,"NOT FOUND",0,1),IF(N1619="gross",0,""))</f>
        <v>1.5</v>
      </c>
    </row>
    <row r="1620" spans="1:15">
      <c r="A1620" s="195" t="str">
        <f t="shared" si="86"/>
        <v>outbound</v>
      </c>
      <c r="B1620" s="196">
        <v>45758.543749999997</v>
      </c>
      <c r="C1620" s="197" t="s">
        <v>1929</v>
      </c>
      <c r="D1620" s="197" t="s">
        <v>2890</v>
      </c>
      <c r="E1620" s="215" t="s">
        <v>2867</v>
      </c>
      <c r="F1620" s="112" t="str">
        <f>IF(ISBLANK(E1620),"",_xlfn.XLOOKUP(E1620,[2]cannabis_log!C:C,[2]cannabis_log!J:J,"",0,))</f>
        <v>PR241105F5P3</v>
      </c>
      <c r="G1620" s="112"/>
      <c r="H1620" s="112" t="str">
        <f>IF(ISBLANK(E1620),"",_xlfn.XLOOKUP(E1620,cannabis_log!C:C,cannabis_log!H:H,"",0,1))</f>
        <v>preroll_labelled</v>
      </c>
      <c r="I1620" s="113">
        <f>IF(ISBLANK(E1620),"",_xlfn.XLOOKUP(E1620,cannabis_log!C:C,cannabis_log!K:K,"NOT FOUND",0,1))</f>
        <v>45615</v>
      </c>
      <c r="J1620" s="185">
        <v>-12</v>
      </c>
      <c r="K1620" s="186">
        <f t="shared" si="87"/>
        <v>0</v>
      </c>
      <c r="L1620" s="288">
        <f t="shared" si="84"/>
        <v>-18</v>
      </c>
      <c r="M1620" s="24"/>
      <c r="N1620" s="112" t="str">
        <f>IF(ISBLANK(E1620),"",_xlfn.XLOOKUP(E1620,[2]cannabis_log!C:C,[2]cannabis_log!T:T,"Not Found",0,))</f>
        <v>net</v>
      </c>
      <c r="O1620" s="180">
        <f>IF(N1620="net",_xlfn.XLOOKUP(E1620,[2]cannabis_log!C:C,[2]cannabis_log!N:N,"NOT FOUND",0,1),IF(N1620="gross",0,""))</f>
        <v>1.5</v>
      </c>
    </row>
    <row r="1621" spans="1:15">
      <c r="A1621" s="195" t="str">
        <f t="shared" si="86"/>
        <v>outbound</v>
      </c>
      <c r="B1621" s="196">
        <v>45758.543749999997</v>
      </c>
      <c r="C1621" s="197" t="s">
        <v>1929</v>
      </c>
      <c r="D1621" s="197" t="s">
        <v>2890</v>
      </c>
      <c r="E1621" s="215" t="s">
        <v>2724</v>
      </c>
      <c r="F1621" s="112" t="str">
        <f>IF(ISBLANK(E1621),"",_xlfn.XLOOKUP(E1621,[2]cannabis_log!C:C,[2]cannabis_log!J:J,"",0,))</f>
        <v>PR241102F5P3</v>
      </c>
      <c r="G1621" s="112"/>
      <c r="H1621" s="112" t="str">
        <f>IF(ISBLANK(E1621),"",_xlfn.XLOOKUP(E1621,cannabis_log!C:C,cannabis_log!H:H,"",0,1))</f>
        <v>preroll_labelled</v>
      </c>
      <c r="I1621" s="113">
        <f>IF(ISBLANK(E1621),"",_xlfn.XLOOKUP(E1621,cannabis_log!C:C,cannabis_log!K:K,"NOT FOUND",0,1))</f>
        <v>45660</v>
      </c>
      <c r="J1621" s="185">
        <v>-12</v>
      </c>
      <c r="K1621" s="186">
        <f t="shared" si="87"/>
        <v>0</v>
      </c>
      <c r="L1621" s="288">
        <f t="shared" si="84"/>
        <v>-18</v>
      </c>
      <c r="M1621" s="24"/>
      <c r="N1621" s="112" t="str">
        <f>IF(ISBLANK(E1621),"",_xlfn.XLOOKUP(E1621,[2]cannabis_log!C:C,[2]cannabis_log!T:T,"Not Found",0,))</f>
        <v>net</v>
      </c>
      <c r="O1621" s="180">
        <f>IF(N1621="net",_xlfn.XLOOKUP(E1621,[2]cannabis_log!C:C,[2]cannabis_log!N:N,"NOT FOUND",0,1),IF(N1621="gross",0,""))</f>
        <v>1.5</v>
      </c>
    </row>
    <row r="1622" spans="1:15">
      <c r="A1622" s="195" t="str">
        <f t="shared" si="86"/>
        <v>outbound</v>
      </c>
      <c r="B1622" s="196">
        <v>45758.543749999997</v>
      </c>
      <c r="C1622" s="197" t="s">
        <v>1929</v>
      </c>
      <c r="D1622" s="197" t="s">
        <v>2890</v>
      </c>
      <c r="E1622" s="215" t="s">
        <v>2694</v>
      </c>
      <c r="F1622" s="112" t="str">
        <f>IF(ISBLANK(E1622),"",_xlfn.XLOOKUP(E1622,[2]cannabis_log!C:C,[2]cannabis_log!J:J,"",0,))</f>
        <v>PR21071201G1</v>
      </c>
      <c r="G1622" s="112"/>
      <c r="H1622" s="112" t="str">
        <f>IF(ISBLANK(E1622),"",_xlfn.XLOOKUP(E1622,cannabis_log!C:C,cannabis_log!H:H,"",0,1))</f>
        <v>preroll_labelled</v>
      </c>
      <c r="I1622" s="113">
        <f>IF(ISBLANK(E1622),"",_xlfn.XLOOKUP(E1622,cannabis_log!C:C,cannabis_log!K:K,"NOT FOUND",0,1))</f>
        <v>45685</v>
      </c>
      <c r="J1622" s="185">
        <v>-12</v>
      </c>
      <c r="K1622" s="186">
        <f t="shared" si="87"/>
        <v>0</v>
      </c>
      <c r="L1622" s="288">
        <f t="shared" si="84"/>
        <v>-12</v>
      </c>
      <c r="M1622" s="24"/>
      <c r="N1622" s="112" t="str">
        <f>IF(ISBLANK(E1622),"",_xlfn.XLOOKUP(E1622,[2]cannabis_log!C:C,[2]cannabis_log!T:T,"Not Found",0,))</f>
        <v>net</v>
      </c>
      <c r="O1622" s="180">
        <f>IF(N1622="net",_xlfn.XLOOKUP(E1622,[2]cannabis_log!C:C,[2]cannabis_log!N:N,"NOT FOUND",0,1),IF(N1622="gross",0,""))</f>
        <v>1</v>
      </c>
    </row>
    <row r="1623" spans="1:15">
      <c r="A1623" s="195" t="str">
        <f t="shared" si="86"/>
        <v>outbound</v>
      </c>
      <c r="B1623" s="196">
        <v>45758.543749999997</v>
      </c>
      <c r="C1623" s="197" t="s">
        <v>1929</v>
      </c>
      <c r="D1623" s="197" t="s">
        <v>2890</v>
      </c>
      <c r="E1623" s="215" t="s">
        <v>2854</v>
      </c>
      <c r="F1623" s="112" t="str">
        <f>IF(ISBLANK(E1623),"",_xlfn.XLOOKUP(E1623,[2]cannabis_log!C:C,[2]cannabis_log!J:J,"",0,))</f>
        <v>PR2301F5P3</v>
      </c>
      <c r="G1623" s="112"/>
      <c r="H1623" s="112" t="str">
        <f>IF(ISBLANK(E1623),"",_xlfn.XLOOKUP(E1623,cannabis_log!C:C,cannabis_log!H:H,"",0,1))</f>
        <v>preroll_labelled</v>
      </c>
      <c r="I1623" s="113">
        <f>IF(ISBLANK(E1623),"",_xlfn.XLOOKUP(E1623,cannabis_log!C:C,cannabis_log!K:K,"NOT FOUND",0,1))</f>
        <v>45742</v>
      </c>
      <c r="J1623" s="185">
        <v>-12</v>
      </c>
      <c r="K1623" s="186">
        <f t="shared" si="87"/>
        <v>0</v>
      </c>
      <c r="L1623" s="288">
        <f t="shared" si="84"/>
        <v>-18</v>
      </c>
      <c r="M1623" s="24"/>
      <c r="N1623" s="112" t="str">
        <f>IF(ISBLANK(E1623),"",_xlfn.XLOOKUP(E1623,[2]cannabis_log!C:C,[2]cannabis_log!T:T,"Not Found",0,))</f>
        <v>net</v>
      </c>
      <c r="O1623" s="180">
        <f>IF(N1623="net",_xlfn.XLOOKUP(E1623,[2]cannabis_log!C:C,[2]cannabis_log!N:N,"NOT FOUND",0,1),IF(N1623="gross",0,""))</f>
        <v>1.5</v>
      </c>
    </row>
    <row r="1624" spans="1:15">
      <c r="A1624" s="195" t="str">
        <f t="shared" si="86"/>
        <v>outbound</v>
      </c>
      <c r="B1624" s="196">
        <v>45758.543749999997</v>
      </c>
      <c r="C1624" s="197" t="s">
        <v>1929</v>
      </c>
      <c r="D1624" s="197" t="s">
        <v>2890</v>
      </c>
      <c r="E1624" s="215" t="s">
        <v>2885</v>
      </c>
      <c r="F1624" s="112" t="str">
        <f>IF(ISBLANK(E1624),"",_xlfn.XLOOKUP(E1624,[2]cannabis_log!C:C,[2]cannabis_log!J:J,"",0,))</f>
        <v>ROGEX001G1</v>
      </c>
      <c r="G1624" s="112"/>
      <c r="H1624" s="112" t="str">
        <f>IF(ISBLANK(E1624),"",_xlfn.XLOOKUP(E1624,cannabis_log!C:C,cannabis_log!H:H,"",0,1))</f>
        <v>extract_inhaled_labelled_Rohan</v>
      </c>
      <c r="I1624" s="113">
        <f>IF(ISBLANK(E1624),"",_xlfn.XLOOKUP(E1624,cannabis_log!C:C,cannabis_log!K:K,"NOT FOUND",0,1))</f>
        <v>45740</v>
      </c>
      <c r="J1624" s="185">
        <v>-36</v>
      </c>
      <c r="K1624" s="186">
        <f t="shared" si="87"/>
        <v>0</v>
      </c>
      <c r="L1624" s="288">
        <f t="shared" si="84"/>
        <v>-36</v>
      </c>
      <c r="M1624" s="24"/>
      <c r="N1624" s="112" t="str">
        <f>IF(ISBLANK(E1624),"",_xlfn.XLOOKUP(E1624,[2]cannabis_log!C:C,[2]cannabis_log!T:T,"Not Found",0,))</f>
        <v>net</v>
      </c>
      <c r="O1624" s="180">
        <f>IF(N1624="net",_xlfn.XLOOKUP(E1624,[2]cannabis_log!C:C,[2]cannabis_log!N:N,"NOT FOUND",0,1),IF(N1624="gross",0,""))</f>
        <v>1</v>
      </c>
    </row>
    <row r="1625" spans="1:15">
      <c r="A1625" s="195" t="str">
        <f t="shared" si="86"/>
        <v>outbound</v>
      </c>
      <c r="B1625" s="196">
        <v>45758.621527777781</v>
      </c>
      <c r="C1625" s="197" t="s">
        <v>1921</v>
      </c>
      <c r="D1625" s="197" t="s">
        <v>2348</v>
      </c>
      <c r="E1625" s="215" t="s">
        <v>2825</v>
      </c>
      <c r="F1625" s="112">
        <f>IF(ISBLANK(E1625),"",_xlfn.XLOOKUP(E1625,[2]cannabis_log!C:C,[2]cannabis_log!J:J,"",0,))</f>
        <v>2024121801</v>
      </c>
      <c r="G1625" s="112"/>
      <c r="H1625" s="112" t="str">
        <f>IF(ISBLANK(E1625),"",_xlfn.XLOOKUP(E1625,cannabis_log!C:C,cannabis_log!H:H,"",0,1))</f>
        <v>driedflower_bulk_big</v>
      </c>
      <c r="I1625" s="113" t="str">
        <f>IF(ISBLANK(E1625),"",_xlfn.XLOOKUP(E1625,cannabis_log!C:C,cannabis_log!K:K,"NOT FOUND",0,1))</f>
        <v>NA</v>
      </c>
      <c r="J1625" s="185">
        <v>-1</v>
      </c>
      <c r="K1625" s="186">
        <v>-4728</v>
      </c>
      <c r="L1625" s="288">
        <f t="shared" si="84"/>
        <v>0</v>
      </c>
      <c r="M1625" s="24"/>
      <c r="N1625" s="112" t="str">
        <f>IF(ISBLANK(E1625),"",_xlfn.XLOOKUP(E1625,[2]cannabis_log!C:C,[2]cannabis_log!T:T,"Not Found",0,))</f>
        <v>gross</v>
      </c>
      <c r="O1625" s="180">
        <f>IF(N1625="net",_xlfn.XLOOKUP(E1625,[2]cannabis_log!C:C,[2]cannabis_log!N:N,"NOT FOUND",0,1),IF(N1625="gross",0,""))</f>
        <v>0</v>
      </c>
    </row>
    <row r="1626" spans="1:15">
      <c r="A1626" s="195" t="str">
        <f t="shared" si="86"/>
        <v>outbound</v>
      </c>
      <c r="B1626" s="196">
        <v>45758.621527777781</v>
      </c>
      <c r="C1626" s="197" t="s">
        <v>1921</v>
      </c>
      <c r="D1626" s="197" t="s">
        <v>2348</v>
      </c>
      <c r="E1626" s="215" t="s">
        <v>2923</v>
      </c>
      <c r="F1626" s="112">
        <f>IF(ISBLANK(E1626),"",_xlfn.XLOOKUP(E1626,[2]cannabis_log!C:C,[2]cannabis_log!J:J,"",0,))</f>
        <v>2024121801</v>
      </c>
      <c r="G1626" s="112"/>
      <c r="H1626" s="112" t="str">
        <f>IF(ISBLANK(E1626),"",_xlfn.XLOOKUP(E1626,cannabis_log!C:C,cannabis_log!H:H,"",0,1))</f>
        <v>driedflower_bulk_small</v>
      </c>
      <c r="I1626" s="113" t="str">
        <f>IF(ISBLANK(E1626),"",_xlfn.XLOOKUP(E1626,cannabis_log!C:C,cannabis_log!K:K,"NOT FOUND",0,1))</f>
        <v>NA</v>
      </c>
      <c r="J1626" s="185">
        <v>-1</v>
      </c>
      <c r="K1626" s="186">
        <v>-7679</v>
      </c>
      <c r="L1626" s="288">
        <f t="shared" si="84"/>
        <v>0</v>
      </c>
      <c r="M1626" s="24"/>
      <c r="N1626" s="112" t="str">
        <f>IF(ISBLANK(E1626),"",_xlfn.XLOOKUP(E1626,[2]cannabis_log!C:C,[2]cannabis_log!T:T,"Not Found",0,))</f>
        <v>gross</v>
      </c>
      <c r="O1626" s="180">
        <f>IF(N1626="net",_xlfn.XLOOKUP(E1626,[2]cannabis_log!C:C,[2]cannabis_log!N:N,"NOT FOUND",0,1),IF(N1626="gross",0,""))</f>
        <v>0</v>
      </c>
    </row>
    <row r="1627" spans="1:15">
      <c r="A1627" s="195" t="str">
        <f t="shared" si="86"/>
        <v>outbound</v>
      </c>
      <c r="B1627" s="196">
        <v>45758.623611111114</v>
      </c>
      <c r="C1627" s="197" t="s">
        <v>1921</v>
      </c>
      <c r="D1627" s="197" t="s">
        <v>2924</v>
      </c>
      <c r="E1627" s="215" t="s">
        <v>2925</v>
      </c>
      <c r="F1627" s="112" t="str">
        <f>IF(ISBLANK(E1627),"",_xlfn.XLOOKUP(E1627,[2]cannabis_log!C:C,[2]cannabis_log!J:J,"",0,))</f>
        <v>PR241103F5</v>
      </c>
      <c r="G1627" s="112"/>
      <c r="H1627" s="112" t="str">
        <f>IF(ISBLANK(E1627),"",_xlfn.XLOOKUP(E1627,cannabis_log!C:C,cannabis_log!H:H,"",0,1))</f>
        <v>preroll_bulk</v>
      </c>
      <c r="I1627" s="113" t="str">
        <f>IF(ISBLANK(E1627),"",_xlfn.XLOOKUP(E1627,cannabis_log!C:C,cannabis_log!K:K,"NOT FOUND",0,1))</f>
        <v>NA</v>
      </c>
      <c r="J1627" s="185">
        <v>-676</v>
      </c>
      <c r="K1627" s="186">
        <f t="shared" ref="K1627:K1636" si="88">IF(N1627="net",0,"")</f>
        <v>0</v>
      </c>
      <c r="L1627" s="288">
        <f t="shared" si="84"/>
        <v>-338</v>
      </c>
      <c r="M1627" s="24"/>
      <c r="N1627" s="112" t="str">
        <f>IF(ISBLANK(E1627),"",_xlfn.XLOOKUP(E1627,[2]cannabis_log!C:C,[2]cannabis_log!T:T,"Not Found",0,))</f>
        <v>net</v>
      </c>
      <c r="O1627" s="180">
        <f>IF(N1627="net",_xlfn.XLOOKUP(E1627,[2]cannabis_log!C:C,[2]cannabis_log!N:N,"NOT FOUND",0,1),IF(N1627="gross",0,""))</f>
        <v>0.5</v>
      </c>
    </row>
    <row r="1628" spans="1:15">
      <c r="A1628" s="195" t="str">
        <f t="shared" si="86"/>
        <v>outbound</v>
      </c>
      <c r="B1628" s="196">
        <v>45758.629166666666</v>
      </c>
      <c r="C1628" s="197" t="s">
        <v>1921</v>
      </c>
      <c r="D1628" s="197" t="s">
        <v>2926</v>
      </c>
      <c r="E1628" s="215" t="s">
        <v>2766</v>
      </c>
      <c r="F1628" s="112" t="str">
        <f>IF(ISBLANK(E1628),"",_xlfn.XLOOKUP(E1628,[2]cannabis_log!C:C,[2]cannabis_log!J:J,"",0,))</f>
        <v>PR21071201G1</v>
      </c>
      <c r="G1628" s="112"/>
      <c r="H1628" s="112" t="str">
        <f>IF(ISBLANK(E1628),"",_xlfn.XLOOKUP(E1628,cannabis_log!C:C,cannabis_log!H:H,"",0,1))</f>
        <v>preroll_bulk</v>
      </c>
      <c r="I1628" s="113" t="str">
        <f>IF(ISBLANK(E1628),"",_xlfn.XLOOKUP(E1628,cannabis_log!C:C,cannabis_log!K:K,"NOT FOUND",0,1))</f>
        <v>NA</v>
      </c>
      <c r="J1628" s="185">
        <v>-318</v>
      </c>
      <c r="K1628" s="186">
        <f t="shared" si="88"/>
        <v>0</v>
      </c>
      <c r="L1628" s="288">
        <f t="shared" si="84"/>
        <v>-318</v>
      </c>
      <c r="M1628" s="24"/>
      <c r="N1628" s="112" t="str">
        <f>IF(ISBLANK(E1628),"",_xlfn.XLOOKUP(E1628,[2]cannabis_log!C:C,[2]cannabis_log!T:T,"Not Found",0,))</f>
        <v>net</v>
      </c>
      <c r="O1628" s="180">
        <f>IF(N1628="net",_xlfn.XLOOKUP(E1628,[2]cannabis_log!C:C,[2]cannabis_log!N:N,"NOT FOUND",0,1),IF(N1628="gross",0,""))</f>
        <v>1</v>
      </c>
    </row>
    <row r="1629" spans="1:15">
      <c r="A1629" s="195" t="str">
        <f t="shared" si="86"/>
        <v>outbound</v>
      </c>
      <c r="B1629" s="196">
        <v>45758.629166666666</v>
      </c>
      <c r="C1629" s="197" t="s">
        <v>1921</v>
      </c>
      <c r="D1629" s="197" t="s">
        <v>2926</v>
      </c>
      <c r="E1629" s="215" t="s">
        <v>2694</v>
      </c>
      <c r="F1629" s="112" t="str">
        <f>IF(ISBLANK(E1629),"",_xlfn.XLOOKUP(E1629,[2]cannabis_log!C:C,[2]cannabis_log!J:J,"",0,))</f>
        <v>PR21071201G1</v>
      </c>
      <c r="G1629" s="112"/>
      <c r="H1629" s="112" t="str">
        <f>IF(ISBLANK(E1629),"",_xlfn.XLOOKUP(E1629,cannabis_log!C:C,cannabis_log!H:H,"",0,1))</f>
        <v>preroll_labelled</v>
      </c>
      <c r="I1629" s="113">
        <f>IF(ISBLANK(E1629),"",_xlfn.XLOOKUP(E1629,cannabis_log!C:C,cannabis_log!K:K,"NOT FOUND",0,1))</f>
        <v>45685</v>
      </c>
      <c r="J1629" s="185">
        <v>-15</v>
      </c>
      <c r="K1629" s="186">
        <f t="shared" si="88"/>
        <v>0</v>
      </c>
      <c r="L1629" s="288">
        <f t="shared" si="84"/>
        <v>-15</v>
      </c>
      <c r="M1629" s="24"/>
      <c r="N1629" s="112" t="str">
        <f>IF(ISBLANK(E1629),"",_xlfn.XLOOKUP(E1629,[2]cannabis_log!C:C,[2]cannabis_log!T:T,"Not Found",0,))</f>
        <v>net</v>
      </c>
      <c r="O1629" s="180">
        <f>IF(N1629="net",_xlfn.XLOOKUP(E1629,[2]cannabis_log!C:C,[2]cannabis_log!N:N,"NOT FOUND",0,1),IF(N1629="gross",0,""))</f>
        <v>1</v>
      </c>
    </row>
    <row r="1630" spans="1:15">
      <c r="A1630" s="195" t="str">
        <f t="shared" si="86"/>
        <v>outbound</v>
      </c>
      <c r="B1630" s="196">
        <v>45758.698611111111</v>
      </c>
      <c r="C1630" s="197" t="s">
        <v>1929</v>
      </c>
      <c r="D1630" s="197" t="s">
        <v>2927</v>
      </c>
      <c r="E1630" s="215" t="s">
        <v>2928</v>
      </c>
      <c r="F1630" s="112" t="str">
        <f>IF(ISBLANK(E1630),"",_xlfn.XLOOKUP(E1630,[2]cannabis_log!C:C,[2]cannabis_log!J:J,"",0,))</f>
        <v>PR2302INF1</v>
      </c>
      <c r="G1630" s="112"/>
      <c r="H1630" s="112" t="str">
        <f>IF(ISBLANK(E1630),"",_xlfn.XLOOKUP(E1630,cannabis_log!C:C,cannabis_log!H:H,"",0,1))</f>
        <v>preroll_bulk</v>
      </c>
      <c r="I1630" s="113" t="str">
        <f>IF(ISBLANK(E1630),"",_xlfn.XLOOKUP(E1630,cannabis_log!C:C,cannabis_log!K:K,"NOT FOUND",0,1))</f>
        <v>NA</v>
      </c>
      <c r="J1630" s="185">
        <v>-100</v>
      </c>
      <c r="K1630" s="186">
        <f t="shared" si="88"/>
        <v>0</v>
      </c>
      <c r="L1630" s="288">
        <f t="shared" si="84"/>
        <v>-100</v>
      </c>
      <c r="M1630" s="24"/>
      <c r="N1630" s="112" t="str">
        <f>IF(ISBLANK(E1630),"",_xlfn.XLOOKUP(E1630,[2]cannabis_log!C:C,[2]cannabis_log!T:T,"Not Found",0,))</f>
        <v>net</v>
      </c>
      <c r="O1630" s="180">
        <f>IF(N1630="net",_xlfn.XLOOKUP(E1630,[2]cannabis_log!C:C,[2]cannabis_log!N:N,"NOT FOUND",0,1),IF(N1630="gross",0,""))</f>
        <v>1</v>
      </c>
    </row>
    <row r="1631" spans="1:15">
      <c r="A1631" s="195" t="str">
        <f t="shared" si="86"/>
        <v>outbound</v>
      </c>
      <c r="B1631" s="196">
        <v>45758.698611111111</v>
      </c>
      <c r="C1631" s="197" t="s">
        <v>1929</v>
      </c>
      <c r="D1631" s="197" t="s">
        <v>2927</v>
      </c>
      <c r="E1631" s="215" t="s">
        <v>2929</v>
      </c>
      <c r="F1631" s="112" t="str">
        <f>IF(ISBLANK(E1631),"",_xlfn.XLOOKUP(E1631,[2]cannabis_log!C:C,[2]cannabis_log!J:J,"",0,))</f>
        <v>2022012401R1G7</v>
      </c>
      <c r="G1631" s="112"/>
      <c r="H1631" s="112" t="str">
        <f>IF(ISBLANK(E1631),"",_xlfn.XLOOKUP(E1631,cannabis_log!C:C,cannabis_log!H:H,"",0,1))</f>
        <v>driedflower_labelled</v>
      </c>
      <c r="I1631" s="113">
        <f>IF(ISBLANK(E1631),"",_xlfn.XLOOKUP(E1631,cannabis_log!C:C,cannabis_log!K:K,"NOT FOUND",0,1))</f>
        <v>45531</v>
      </c>
      <c r="J1631" s="185">
        <v>-24</v>
      </c>
      <c r="K1631" s="186">
        <f t="shared" si="88"/>
        <v>0</v>
      </c>
      <c r="L1631" s="288">
        <f t="shared" si="84"/>
        <v>-168</v>
      </c>
      <c r="M1631" s="24"/>
      <c r="N1631" s="112" t="str">
        <f>IF(ISBLANK(E1631),"",_xlfn.XLOOKUP(E1631,[2]cannabis_log!C:C,[2]cannabis_log!T:T,"Not Found",0,))</f>
        <v>net</v>
      </c>
      <c r="O1631" s="180">
        <f>IF(N1631="net",_xlfn.XLOOKUP(E1631,[2]cannabis_log!C:C,[2]cannabis_log!N:N,"NOT FOUND",0,1),IF(N1631="gross",0,""))</f>
        <v>7</v>
      </c>
    </row>
    <row r="1632" spans="1:15">
      <c r="A1632" s="195" t="str">
        <f t="shared" si="86"/>
        <v>outbound</v>
      </c>
      <c r="B1632" s="196">
        <v>45758.698611111111</v>
      </c>
      <c r="C1632" s="197" t="s">
        <v>1929</v>
      </c>
      <c r="D1632" s="197" t="s">
        <v>2927</v>
      </c>
      <c r="E1632" s="215" t="s">
        <v>2724</v>
      </c>
      <c r="F1632" s="112" t="str">
        <f>IF(ISBLANK(E1632),"",_xlfn.XLOOKUP(E1632,[2]cannabis_log!C:C,[2]cannabis_log!J:J,"",0,))</f>
        <v>PR241102F5P3</v>
      </c>
      <c r="G1632" s="112"/>
      <c r="H1632" s="112" t="str">
        <f>IF(ISBLANK(E1632),"",_xlfn.XLOOKUP(E1632,cannabis_log!C:C,cannabis_log!H:H,"",0,1))</f>
        <v>preroll_labelled</v>
      </c>
      <c r="I1632" s="113">
        <f>IF(ISBLANK(E1632),"",_xlfn.XLOOKUP(E1632,cannabis_log!C:C,cannabis_log!K:K,"NOT FOUND",0,1))</f>
        <v>45660</v>
      </c>
      <c r="J1632" s="185">
        <v>-36</v>
      </c>
      <c r="K1632" s="186">
        <f t="shared" si="88"/>
        <v>0</v>
      </c>
      <c r="L1632" s="288">
        <f t="shared" si="84"/>
        <v>-54</v>
      </c>
      <c r="M1632" s="24"/>
      <c r="N1632" s="112" t="str">
        <f>IF(ISBLANK(E1632),"",_xlfn.XLOOKUP(E1632,[2]cannabis_log!C:C,[2]cannabis_log!T:T,"Not Found",0,))</f>
        <v>net</v>
      </c>
      <c r="O1632" s="180">
        <f>IF(N1632="net",_xlfn.XLOOKUP(E1632,[2]cannabis_log!C:C,[2]cannabis_log!N:N,"NOT FOUND",0,1),IF(N1632="gross",0,""))</f>
        <v>1.5</v>
      </c>
    </row>
    <row r="1633" spans="1:15">
      <c r="A1633" s="195" t="str">
        <f t="shared" si="86"/>
        <v>outbound</v>
      </c>
      <c r="B1633" s="196">
        <v>45758.698611111111</v>
      </c>
      <c r="C1633" s="197" t="s">
        <v>1929</v>
      </c>
      <c r="D1633" s="197" t="s">
        <v>2927</v>
      </c>
      <c r="E1633" s="215" t="s">
        <v>2720</v>
      </c>
      <c r="F1633" s="112" t="str">
        <f>IF(ISBLANK(E1633),"",_xlfn.XLOOKUP(E1633,[2]cannabis_log!C:C,[2]cannabis_log!J:J,"",0,))</f>
        <v>PR241101F5P3</v>
      </c>
      <c r="G1633" s="112"/>
      <c r="H1633" s="112" t="str">
        <f>IF(ISBLANK(E1633),"",_xlfn.XLOOKUP(E1633,cannabis_log!C:C,cannabis_log!H:H,"",0,1))</f>
        <v>preroll_labelled</v>
      </c>
      <c r="I1633" s="113">
        <f>IF(ISBLANK(E1633),"",_xlfn.XLOOKUP(E1633,cannabis_log!C:C,cannabis_log!K:K,"NOT FOUND",0,1))</f>
        <v>45707</v>
      </c>
      <c r="J1633" s="185">
        <v>-36</v>
      </c>
      <c r="K1633" s="186">
        <f t="shared" si="88"/>
        <v>0</v>
      </c>
      <c r="L1633" s="288">
        <f t="shared" si="84"/>
        <v>-54</v>
      </c>
      <c r="M1633" s="24"/>
      <c r="N1633" s="112" t="str">
        <f>IF(ISBLANK(E1633),"",_xlfn.XLOOKUP(E1633,[2]cannabis_log!C:C,[2]cannabis_log!T:T,"Not Found",0,))</f>
        <v>net</v>
      </c>
      <c r="O1633" s="180">
        <f>IF(N1633="net",_xlfn.XLOOKUP(E1633,[2]cannabis_log!C:C,[2]cannabis_log!N:N,"NOT FOUND",0,1),IF(N1633="gross",0,""))</f>
        <v>1.5</v>
      </c>
    </row>
    <row r="1634" spans="1:15">
      <c r="A1634" s="195" t="str">
        <f t="shared" si="86"/>
        <v>outbound</v>
      </c>
      <c r="B1634" s="196">
        <v>45758.698611111111</v>
      </c>
      <c r="C1634" s="197" t="s">
        <v>1929</v>
      </c>
      <c r="D1634" s="197" t="s">
        <v>2927</v>
      </c>
      <c r="E1634" s="215" t="s">
        <v>2717</v>
      </c>
      <c r="F1634" s="112" t="str">
        <f>IF(ISBLANK(E1634),"",_xlfn.XLOOKUP(E1634,[2]cannabis_log!C:C,[2]cannabis_log!J:J,"",0,))</f>
        <v>2024111803G7</v>
      </c>
      <c r="G1634" s="112"/>
      <c r="H1634" s="112" t="str">
        <f>IF(ISBLANK(E1634),"",_xlfn.XLOOKUP(E1634,cannabis_log!C:C,cannabis_log!H:H,"",0,1))</f>
        <v>driedflower_labelled</v>
      </c>
      <c r="I1634" s="113">
        <f>IF(ISBLANK(E1634),"",_xlfn.XLOOKUP(E1634,cannabis_log!C:C,cannabis_log!K:K,"NOT FOUND",0,1))</f>
        <v>45721</v>
      </c>
      <c r="J1634" s="185">
        <v>-12</v>
      </c>
      <c r="K1634" s="186">
        <f t="shared" si="88"/>
        <v>0</v>
      </c>
      <c r="L1634" s="288">
        <f t="shared" si="84"/>
        <v>-84</v>
      </c>
      <c r="M1634" s="24"/>
      <c r="N1634" s="112" t="str">
        <f>IF(ISBLANK(E1634),"",_xlfn.XLOOKUP(E1634,[2]cannabis_log!C:C,[2]cannabis_log!T:T,"Not Found",0,))</f>
        <v>net</v>
      </c>
      <c r="O1634" s="180">
        <f>IF(N1634="net",_xlfn.XLOOKUP(E1634,[2]cannabis_log!C:C,[2]cannabis_log!N:N,"NOT FOUND",0,1),IF(N1634="gross",0,""))</f>
        <v>7</v>
      </c>
    </row>
    <row r="1635" spans="1:15">
      <c r="A1635" s="195" t="str">
        <f t="shared" si="86"/>
        <v>inbound</v>
      </c>
      <c r="B1635" s="196">
        <v>45761</v>
      </c>
      <c r="C1635" s="197" t="s">
        <v>1927</v>
      </c>
      <c r="D1635" s="197"/>
      <c r="E1635" s="215" t="s">
        <v>2903</v>
      </c>
      <c r="F1635" s="112" t="str">
        <f>IF(ISBLANK(E1635),"",_xlfn.XLOOKUP(E1635,cannabis_log!C:C,cannabis_log!J:J,"",0,))</f>
        <v>PR251108F5P12</v>
      </c>
      <c r="G1635" s="112"/>
      <c r="H1635" s="112" t="str">
        <f>IF(ISBLANK(E1635),"",_xlfn.XLOOKUP(E1635,cannabis_log!C:C,cannabis_log!H:H,"",0,1))</f>
        <v>preroll_labelled</v>
      </c>
      <c r="I1635" s="113">
        <f>IF(ISBLANK(E1635),"",_xlfn.XLOOKUP(E1635,cannabis_log!C:C,cannabis_log!K:K,"NOT FOUND",0,1))</f>
        <v>45755</v>
      </c>
      <c r="J1635" s="185">
        <v>143</v>
      </c>
      <c r="K1635" s="186">
        <f t="shared" si="88"/>
        <v>0</v>
      </c>
      <c r="L1635" s="288">
        <f t="shared" si="84"/>
        <v>858</v>
      </c>
      <c r="M1635" s="24"/>
      <c r="N1635" s="112" t="str">
        <f>IF(ISBLANK(E1635),"",_xlfn.XLOOKUP(E1635,cannabis_log!C:C,cannabis_log!T:T,"Not Found",0,))</f>
        <v>net</v>
      </c>
      <c r="O1635" s="180">
        <f>IF(N1635="net",_xlfn.XLOOKUP(E1635,cannabis_log!C:C,cannabis_log!N:N,"NOT FOUND",0,1),IF(N1635="gross",0,""))</f>
        <v>6</v>
      </c>
    </row>
    <row r="1636" spans="1:15">
      <c r="A1636" s="195" t="str">
        <f t="shared" si="86"/>
        <v>outbound</v>
      </c>
      <c r="B1636" s="196">
        <v>45761.000694444447</v>
      </c>
      <c r="C1636" s="197" t="s">
        <v>1929</v>
      </c>
      <c r="D1636" s="197" t="s">
        <v>2930</v>
      </c>
      <c r="E1636" s="215" t="s">
        <v>2903</v>
      </c>
      <c r="F1636" s="112" t="str">
        <f>IF(ISBLANK(E1636),"",_xlfn.XLOOKUP(E1636,cannabis_log!C:C,cannabis_log!J:J,"",0,))</f>
        <v>PR251108F5P12</v>
      </c>
      <c r="G1636" s="112"/>
      <c r="H1636" s="112" t="str">
        <f>IF(ISBLANK(E1636),"",_xlfn.XLOOKUP(E1636,cannabis_log!C:C,cannabis_log!H:H,"",0,1))</f>
        <v>preroll_labelled</v>
      </c>
      <c r="I1636" s="113">
        <f>IF(ISBLANK(E1636),"",_xlfn.XLOOKUP(E1636,cannabis_log!C:C,cannabis_log!K:K,"NOT FOUND",0,1))</f>
        <v>45755</v>
      </c>
      <c r="J1636" s="185">
        <v>-12</v>
      </c>
      <c r="K1636" s="186">
        <f t="shared" si="88"/>
        <v>0</v>
      </c>
      <c r="L1636" s="288">
        <f t="shared" si="84"/>
        <v>-72</v>
      </c>
      <c r="M1636" s="24"/>
      <c r="N1636" s="112" t="str">
        <f>IF(ISBLANK(E1636),"",_xlfn.XLOOKUP(E1636,cannabis_log!C:C,cannabis_log!T:T,"Not Found",0,))</f>
        <v>net</v>
      </c>
      <c r="O1636" s="180">
        <f>IF(N1636="net",_xlfn.XLOOKUP(E1636,cannabis_log!C:C,cannabis_log!N:N,"NOT FOUND",0,1),IF(N1636="gross",0,""))</f>
        <v>6</v>
      </c>
    </row>
    <row r="1637" spans="1:15">
      <c r="A1637" s="195" t="str">
        <f t="shared" si="86"/>
        <v>outbound</v>
      </c>
      <c r="B1637" s="196">
        <v>45761.395833333336</v>
      </c>
      <c r="C1637" s="197" t="s">
        <v>1921</v>
      </c>
      <c r="D1637" s="197" t="s">
        <v>2818</v>
      </c>
      <c r="E1637" s="215" t="s">
        <v>2931</v>
      </c>
      <c r="F1637" s="112">
        <f>IF(ISBLANK(E1637),"",_xlfn.XLOOKUP(E1637,cannabis_log!C:C,cannabis_log!J:J,"",0,))</f>
        <v>2024121801</v>
      </c>
      <c r="G1637" s="112"/>
      <c r="H1637" s="112" t="str">
        <f>IF(ISBLANK(E1637),"",_xlfn.XLOOKUP(E1637,cannabis_log!C:C,cannabis_log!H:H,"",0,1))</f>
        <v>driedflower_bulk_small</v>
      </c>
      <c r="I1637" s="113" t="str">
        <f>IF(ISBLANK(E1637),"",_xlfn.XLOOKUP(E1637,cannabis_log!C:C,cannabis_log!K:K,"NOT FOUND",0,1))</f>
        <v>NA</v>
      </c>
      <c r="J1637" s="185">
        <v>-1</v>
      </c>
      <c r="K1637" s="186">
        <v>-10610</v>
      </c>
      <c r="L1637" s="288">
        <f t="shared" si="84"/>
        <v>0</v>
      </c>
      <c r="M1637" s="24"/>
      <c r="N1637" s="112" t="str">
        <f>IF(ISBLANK(E1637),"",_xlfn.XLOOKUP(E1637,cannabis_log!C:C,cannabis_log!T:T,"Not Found",0,))</f>
        <v>gross</v>
      </c>
      <c r="O1637" s="180">
        <f>IF(N1637="net",_xlfn.XLOOKUP(E1637,cannabis_log!C:C,cannabis_log!N:N,"NOT FOUND",0,1),IF(N1637="gross",0,""))</f>
        <v>0</v>
      </c>
    </row>
    <row r="1638" spans="1:15">
      <c r="A1638" s="195" t="str">
        <f t="shared" si="86"/>
        <v>outbound</v>
      </c>
      <c r="B1638" s="196">
        <v>45761.44027777778</v>
      </c>
      <c r="C1638" s="197" t="s">
        <v>1921</v>
      </c>
      <c r="D1638" s="197"/>
      <c r="E1638" s="215" t="s">
        <v>2758</v>
      </c>
      <c r="F1638" s="112">
        <f>IF(ISBLANK(E1638),"",_xlfn.XLOOKUP(E1638,cannabis_log!C:C,cannabis_log!J:J,"",0,))</f>
        <v>2025021901</v>
      </c>
      <c r="G1638" s="112"/>
      <c r="H1638" s="112" t="str">
        <f>IF(ISBLANK(E1638),"",_xlfn.XLOOKUP(E1638,cannabis_log!C:C,cannabis_log!H:H,"",0,1))</f>
        <v>extract_distillate_bulk</v>
      </c>
      <c r="I1638" s="113" t="str">
        <f>IF(ISBLANK(E1638),"",_xlfn.XLOOKUP(E1638,cannabis_log!C:C,cannabis_log!K:K,"NOT FOUND",0,1))</f>
        <v>NA</v>
      </c>
      <c r="J1638" s="185">
        <v>-1</v>
      </c>
      <c r="K1638" s="186">
        <v>-1200.9000000000001</v>
      </c>
      <c r="L1638" s="288">
        <f t="shared" si="84"/>
        <v>0</v>
      </c>
      <c r="M1638" s="24"/>
      <c r="N1638" s="112" t="str">
        <f>IF(ISBLANK(E1638),"",_xlfn.XLOOKUP(E1638,cannabis_log!C:C,cannabis_log!T:T,"Not Found",0,))</f>
        <v>gross</v>
      </c>
      <c r="O1638" s="180">
        <f>IF(N1638="net",_xlfn.XLOOKUP(E1638,cannabis_log!C:C,cannabis_log!N:N,"NOT FOUND",0,1),IF(N1638="gross",0,""))</f>
        <v>0</v>
      </c>
    </row>
    <row r="1639" spans="1:15">
      <c r="A1639" s="195" t="str">
        <f t="shared" si="86"/>
        <v>inbound</v>
      </c>
      <c r="B1639" s="196">
        <v>45761.44027777778</v>
      </c>
      <c r="C1639" s="197" t="s">
        <v>1927</v>
      </c>
      <c r="D1639" s="197"/>
      <c r="E1639" s="215" t="s">
        <v>2887</v>
      </c>
      <c r="F1639" s="112" t="str">
        <f>IF(ISBLANK(E1639),"",_xlfn.XLOOKUP(E1639,cannabis_log!C:C,cannabis_log!J:J,"",0,))</f>
        <v>PR2507F1P2</v>
      </c>
      <c r="G1639" s="112"/>
      <c r="H1639" s="112" t="str">
        <f>IF(ISBLANK(E1639),"",_xlfn.XLOOKUP(E1639,cannabis_log!C:C,cannabis_log!H:H,"",0,1))</f>
        <v>preroll_labelled</v>
      </c>
      <c r="I1639" s="113">
        <f>IF(ISBLANK(E1639),"",_xlfn.XLOOKUP(E1639,cannabis_log!C:C,cannabis_log!K:K,"NOT FOUND",0,1))</f>
        <v>45749</v>
      </c>
      <c r="J1639" s="185">
        <v>70</v>
      </c>
      <c r="K1639" s="186">
        <f t="shared" ref="K1639:K1650" si="89">IF(N1639="net",0,"")</f>
        <v>0</v>
      </c>
      <c r="L1639" s="288">
        <f t="shared" si="84"/>
        <v>140</v>
      </c>
      <c r="M1639" s="24"/>
      <c r="N1639" s="112" t="str">
        <f>IF(ISBLANK(E1639),"",_xlfn.XLOOKUP(E1639,cannabis_log!C:C,cannabis_log!T:T,"Not Found",0,))</f>
        <v>net</v>
      </c>
      <c r="O1639" s="180">
        <f>IF(N1639="net",_xlfn.XLOOKUP(E1639,cannabis_log!C:C,cannabis_log!N:N,"NOT FOUND",0,1),IF(N1639="gross",0,""))</f>
        <v>2</v>
      </c>
    </row>
    <row r="1640" spans="1:15">
      <c r="A1640" s="195" t="str">
        <f t="shared" si="86"/>
        <v>outbound</v>
      </c>
      <c r="B1640" s="196">
        <v>45761.44027777778</v>
      </c>
      <c r="C1640" s="197" t="s">
        <v>1929</v>
      </c>
      <c r="D1640" s="197" t="s">
        <v>2932</v>
      </c>
      <c r="E1640" s="215" t="s">
        <v>2885</v>
      </c>
      <c r="F1640" s="112" t="str">
        <f>IF(ISBLANK(E1640),"",_xlfn.XLOOKUP(E1640,cannabis_log!C:C,cannabis_log!J:J,"",0,))</f>
        <v>ROGEX001G1</v>
      </c>
      <c r="G1640" s="112"/>
      <c r="H1640" s="112" t="str">
        <f>IF(ISBLANK(E1640),"",_xlfn.XLOOKUP(E1640,cannabis_log!C:C,cannabis_log!H:H,"",0,1))</f>
        <v>extract_inhaled_labelled_Rohan</v>
      </c>
      <c r="I1640" s="113">
        <f>IF(ISBLANK(E1640),"",_xlfn.XLOOKUP(E1640,cannabis_log!C:C,cannabis_log!K:K,"NOT FOUND",0,1))</f>
        <v>45740</v>
      </c>
      <c r="J1640" s="185">
        <v>-12</v>
      </c>
      <c r="K1640" s="186">
        <f t="shared" si="89"/>
        <v>0</v>
      </c>
      <c r="L1640" s="288">
        <f t="shared" si="84"/>
        <v>-12</v>
      </c>
      <c r="M1640" s="24"/>
      <c r="N1640" s="112" t="str">
        <f>IF(ISBLANK(E1640),"",_xlfn.XLOOKUP(E1640,cannabis_log!C:C,cannabis_log!T:T,"Not Found",0,))</f>
        <v>net</v>
      </c>
      <c r="O1640" s="180">
        <f>IF(N1640="net",_xlfn.XLOOKUP(E1640,cannabis_log!C:C,cannabis_log!N:N,"NOT FOUND",0,1),IF(N1640="gross",0,""))</f>
        <v>1</v>
      </c>
    </row>
    <row r="1641" spans="1:15">
      <c r="A1641" s="195" t="str">
        <f t="shared" si="86"/>
        <v>outbound</v>
      </c>
      <c r="B1641" s="196">
        <v>45761.44027777778</v>
      </c>
      <c r="C1641" s="197" t="s">
        <v>1929</v>
      </c>
      <c r="D1641" s="197" t="s">
        <v>2932</v>
      </c>
      <c r="E1641" s="215" t="s">
        <v>2906</v>
      </c>
      <c r="F1641" s="112" t="str">
        <f>IF(ISBLANK(E1641),"",_xlfn.XLOOKUP(E1641,cannabis_log!C:C,cannabis_log!J:J,"",0,))</f>
        <v>PR2501INF5P3</v>
      </c>
      <c r="G1641" s="112"/>
      <c r="H1641" s="112" t="str">
        <f>IF(ISBLANK(E1641),"",_xlfn.XLOOKUP(E1641,cannabis_log!C:C,cannabis_log!H:H,"",0,1))</f>
        <v>preroll_labelled</v>
      </c>
      <c r="I1641" s="113">
        <f>IF(ISBLANK(E1641),"",_xlfn.XLOOKUP(E1641,cannabis_log!C:C,cannabis_log!K:K,"NOT FOUND",0,1))</f>
        <v>45756</v>
      </c>
      <c r="J1641" s="185">
        <v>-12</v>
      </c>
      <c r="K1641" s="186">
        <f t="shared" si="89"/>
        <v>0</v>
      </c>
      <c r="L1641" s="288">
        <f t="shared" si="84"/>
        <v>-18</v>
      </c>
      <c r="M1641" s="24"/>
      <c r="N1641" s="112" t="str">
        <f>IF(ISBLANK(E1641),"",_xlfn.XLOOKUP(E1641,cannabis_log!C:C,cannabis_log!T:T,"Not Found",0,))</f>
        <v>NET</v>
      </c>
      <c r="O1641" s="180">
        <f>IF(N1641="net",_xlfn.XLOOKUP(E1641,cannabis_log!C:C,cannabis_log!N:N,"NOT FOUND",0,1),IF(N1641="gross",0,""))</f>
        <v>1.5</v>
      </c>
    </row>
    <row r="1642" spans="1:15">
      <c r="A1642" s="195" t="str">
        <f t="shared" si="86"/>
        <v>outbound</v>
      </c>
      <c r="B1642" s="196">
        <v>45761.44027777778</v>
      </c>
      <c r="C1642" s="197" t="s">
        <v>1929</v>
      </c>
      <c r="D1642" s="197" t="s">
        <v>2932</v>
      </c>
      <c r="E1642" s="215" t="s">
        <v>2887</v>
      </c>
      <c r="F1642" s="112" t="str">
        <f>IF(ISBLANK(E1642),"",_xlfn.XLOOKUP(E1642,cannabis_log!C:C,cannabis_log!J:J,"",0,))</f>
        <v>PR2507F1P2</v>
      </c>
      <c r="G1642" s="112"/>
      <c r="H1642" s="112" t="str">
        <f>IF(ISBLANK(E1642),"",_xlfn.XLOOKUP(E1642,cannabis_log!C:C,cannabis_log!H:H,"",0,1))</f>
        <v>preroll_labelled</v>
      </c>
      <c r="I1642" s="113">
        <f>IF(ISBLANK(E1642),"",_xlfn.XLOOKUP(E1642,cannabis_log!C:C,cannabis_log!K:K,"NOT FOUND",0,1))</f>
        <v>45749</v>
      </c>
      <c r="J1642" s="185">
        <v>-36</v>
      </c>
      <c r="K1642" s="186">
        <f t="shared" si="89"/>
        <v>0</v>
      </c>
      <c r="L1642" s="288">
        <f t="shared" si="84"/>
        <v>-72</v>
      </c>
      <c r="M1642" s="24"/>
      <c r="N1642" s="112" t="str">
        <f>IF(ISBLANK(E1642),"",_xlfn.XLOOKUP(E1642,cannabis_log!C:C,cannabis_log!T:T,"Not Found",0,))</f>
        <v>net</v>
      </c>
      <c r="O1642" s="180">
        <f>IF(N1642="net",_xlfn.XLOOKUP(E1642,cannabis_log!C:C,cannabis_log!N:N,"NOT FOUND",0,1),IF(N1642="gross",0,""))</f>
        <v>2</v>
      </c>
    </row>
    <row r="1643" spans="1:15">
      <c r="A1643" s="195" t="str">
        <f t="shared" si="86"/>
        <v>outbound</v>
      </c>
      <c r="B1643" s="196">
        <v>45761.44027777778</v>
      </c>
      <c r="C1643" s="197" t="s">
        <v>1929</v>
      </c>
      <c r="D1643" s="197" t="s">
        <v>2933</v>
      </c>
      <c r="E1643" s="215" t="s">
        <v>2689</v>
      </c>
      <c r="F1643" s="112" t="str">
        <f>IF(ISBLANK(E1643),"",_xlfn.XLOOKUP(E1643,cannabis_log!C:C,cannabis_log!J:J,"",0,))</f>
        <v>EX25020601G1</v>
      </c>
      <c r="G1643" s="112"/>
      <c r="H1643" s="112" t="str">
        <f>IF(ISBLANK(E1643),"",_xlfn.XLOOKUP(E1643,cannabis_log!C:C,cannabis_log!H:H,"",0,1))</f>
        <v>extract_inhaled_labelled</v>
      </c>
      <c r="I1643" s="113">
        <f>IF(ISBLANK(E1643),"",_xlfn.XLOOKUP(E1643,cannabis_log!C:C,cannabis_log!K:K,"NOT FOUND",0,1))</f>
        <v>45707</v>
      </c>
      <c r="J1643" s="185">
        <v>-12</v>
      </c>
      <c r="K1643" s="186">
        <f t="shared" si="89"/>
        <v>0</v>
      </c>
      <c r="L1643" s="288">
        <f t="shared" si="84"/>
        <v>-12</v>
      </c>
      <c r="M1643" s="24"/>
      <c r="N1643" s="112" t="str">
        <f>IF(ISBLANK(E1643),"",_xlfn.XLOOKUP(E1643,cannabis_log!C:C,cannabis_log!T:T,"Not Found",0,))</f>
        <v>net</v>
      </c>
      <c r="O1643" s="180">
        <f>IF(N1643="net",_xlfn.XLOOKUP(E1643,cannabis_log!C:C,cannabis_log!N:N,"NOT FOUND",0,1),IF(N1643="gross",0,""))</f>
        <v>1</v>
      </c>
    </row>
    <row r="1644" spans="1:15">
      <c r="A1644" s="195" t="str">
        <f t="shared" si="86"/>
        <v>outbound</v>
      </c>
      <c r="B1644" s="196">
        <v>45761.44027777778</v>
      </c>
      <c r="C1644" s="197" t="s">
        <v>1929</v>
      </c>
      <c r="D1644" s="197" t="s">
        <v>2933</v>
      </c>
      <c r="E1644" s="215" t="s">
        <v>2885</v>
      </c>
      <c r="F1644" s="112" t="str">
        <f>IF(ISBLANK(E1644),"",_xlfn.XLOOKUP(E1644,cannabis_log!C:C,cannabis_log!J:J,"",0,))</f>
        <v>ROGEX001G1</v>
      </c>
      <c r="G1644" s="112"/>
      <c r="H1644" s="112" t="str">
        <f>IF(ISBLANK(E1644),"",_xlfn.XLOOKUP(E1644,cannabis_log!C:C,cannabis_log!H:H,"",0,1))</f>
        <v>extract_inhaled_labelled_Rohan</v>
      </c>
      <c r="I1644" s="113">
        <f>IF(ISBLANK(E1644),"",_xlfn.XLOOKUP(E1644,cannabis_log!C:C,cannabis_log!K:K,"NOT FOUND",0,1))</f>
        <v>45740</v>
      </c>
      <c r="J1644" s="185">
        <v>-12</v>
      </c>
      <c r="K1644" s="186">
        <f t="shared" si="89"/>
        <v>0</v>
      </c>
      <c r="L1644" s="288">
        <f t="shared" si="84"/>
        <v>-12</v>
      </c>
      <c r="M1644" s="24"/>
      <c r="N1644" s="112" t="str">
        <f>IF(ISBLANK(E1644),"",_xlfn.XLOOKUP(E1644,cannabis_log!C:C,cannabis_log!T:T,"Not Found",0,))</f>
        <v>net</v>
      </c>
      <c r="O1644" s="180">
        <f>IF(N1644="net",_xlfn.XLOOKUP(E1644,cannabis_log!C:C,cannabis_log!N:N,"NOT FOUND",0,1),IF(N1644="gross",0,""))</f>
        <v>1</v>
      </c>
    </row>
    <row r="1645" spans="1:15">
      <c r="A1645" s="195" t="str">
        <f t="shared" si="86"/>
        <v>outbound</v>
      </c>
      <c r="B1645" s="196">
        <v>45761.44027777778</v>
      </c>
      <c r="C1645" s="197" t="s">
        <v>1929</v>
      </c>
      <c r="D1645" s="197" t="s">
        <v>2933</v>
      </c>
      <c r="E1645" s="215" t="s">
        <v>2705</v>
      </c>
      <c r="F1645" s="112" t="str">
        <f>IF(ISBLANK(E1645),"",_xlfn.XLOOKUP(E1645,cannabis_log!C:C,cannabis_log!J:J,"",0,))</f>
        <v>TP24120401G45</v>
      </c>
      <c r="G1645" s="112"/>
      <c r="H1645" s="112" t="str">
        <f>IF(ISBLANK(E1645),"",_xlfn.XLOOKUP(E1645,cannabis_log!C:C,cannabis_log!H:H,"",0,1))</f>
        <v>topical_labelled</v>
      </c>
      <c r="I1645" s="113">
        <f>IF(ISBLANK(E1645),"",_xlfn.XLOOKUP(E1645,cannabis_log!C:C,cannabis_log!K:K,"NOT FOUND",0,1))</f>
        <v>45638</v>
      </c>
      <c r="J1645" s="185">
        <v>-12</v>
      </c>
      <c r="K1645" s="186">
        <f t="shared" si="89"/>
        <v>0</v>
      </c>
      <c r="L1645" s="288">
        <f t="shared" si="84"/>
        <v>-540</v>
      </c>
      <c r="M1645" s="24"/>
      <c r="N1645" s="112" t="str">
        <f>IF(ISBLANK(E1645),"",_xlfn.XLOOKUP(E1645,cannabis_log!C:C,cannabis_log!T:T,"Not Found",0,))</f>
        <v>net</v>
      </c>
      <c r="O1645" s="180">
        <f>IF(N1645="net",_xlfn.XLOOKUP(E1645,cannabis_log!C:C,cannabis_log!N:N,"NOT FOUND",0,1),IF(N1645="gross",0,""))</f>
        <v>45</v>
      </c>
    </row>
    <row r="1646" spans="1:15">
      <c r="A1646" s="195" t="str">
        <f t="shared" si="86"/>
        <v>outbound</v>
      </c>
      <c r="B1646" s="196">
        <v>45761.44027777778</v>
      </c>
      <c r="C1646" s="197" t="s">
        <v>1929</v>
      </c>
      <c r="D1646" s="197" t="s">
        <v>2934</v>
      </c>
      <c r="E1646" s="215" t="s">
        <v>2686</v>
      </c>
      <c r="F1646" s="112" t="str">
        <f>IF(ISBLANK(E1646),"",_xlfn.XLOOKUP(E1646,cannabis_log!C:C,cannabis_log!J:J,"",0,))</f>
        <v>EX25012101V50</v>
      </c>
      <c r="G1646" s="112"/>
      <c r="H1646" s="112" t="str">
        <f>IF(ISBLANK(E1646),"",_xlfn.XLOOKUP(E1646,cannabis_log!C:C,cannabis_log!H:H,"",0,1))</f>
        <v>extract_ingested_cased_BC</v>
      </c>
      <c r="I1646" s="113">
        <f>IF(ISBLANK(E1646),"",_xlfn.XLOOKUP(E1646,cannabis_log!C:C,cannabis_log!K:K,"NOT FOUND",0,1))</f>
        <v>45700</v>
      </c>
      <c r="J1646" s="185">
        <v>-2</v>
      </c>
      <c r="K1646" s="186">
        <f t="shared" si="89"/>
        <v>0</v>
      </c>
      <c r="L1646" s="288">
        <f t="shared" ref="L1646:L1709" si="90">IFERROR(J1646*O1646,"")</f>
        <v>-1200</v>
      </c>
      <c r="M1646" s="24"/>
      <c r="N1646" s="112" t="str">
        <f>IF(ISBLANK(E1646),"",_xlfn.XLOOKUP(E1646,cannabis_log!C:C,cannabis_log!T:T,"Not Found",0,))</f>
        <v>net</v>
      </c>
      <c r="O1646" s="180">
        <f>IF(N1646="net",_xlfn.XLOOKUP(E1646,cannabis_log!C:C,cannabis_log!N:N,"NOT FOUND",0,1),IF(N1646="gross",0,""))</f>
        <v>600</v>
      </c>
    </row>
    <row r="1647" spans="1:15">
      <c r="A1647" s="195" t="str">
        <f t="shared" si="86"/>
        <v>outbound</v>
      </c>
      <c r="B1647" s="196">
        <v>45761.44027777778</v>
      </c>
      <c r="C1647" s="197" t="s">
        <v>1929</v>
      </c>
      <c r="D1647" s="197" t="s">
        <v>2934</v>
      </c>
      <c r="E1647" s="215" t="s">
        <v>2885</v>
      </c>
      <c r="F1647" s="112" t="str">
        <f>IF(ISBLANK(E1647),"",_xlfn.XLOOKUP(E1647,cannabis_log!C:C,cannabis_log!J:J,"",0,))</f>
        <v>ROGEX001G1</v>
      </c>
      <c r="G1647" s="112"/>
      <c r="H1647" s="112" t="str">
        <f>IF(ISBLANK(E1647),"",_xlfn.XLOOKUP(E1647,cannabis_log!C:C,cannabis_log!H:H,"",0,1))</f>
        <v>extract_inhaled_labelled_Rohan</v>
      </c>
      <c r="I1647" s="113">
        <f>IF(ISBLANK(E1647),"",_xlfn.XLOOKUP(E1647,cannabis_log!C:C,cannabis_log!K:K,"NOT FOUND",0,1))</f>
        <v>45740</v>
      </c>
      <c r="J1647" s="185">
        <v>-24</v>
      </c>
      <c r="K1647" s="186">
        <f t="shared" si="89"/>
        <v>0</v>
      </c>
      <c r="L1647" s="288">
        <f t="shared" si="90"/>
        <v>-24</v>
      </c>
      <c r="M1647" s="24"/>
      <c r="N1647" s="112" t="str">
        <f>IF(ISBLANK(E1647),"",_xlfn.XLOOKUP(E1647,cannabis_log!C:C,cannabis_log!T:T,"Not Found",0,))</f>
        <v>net</v>
      </c>
      <c r="O1647" s="180">
        <f>IF(N1647="net",_xlfn.XLOOKUP(E1647,cannabis_log!C:C,cannabis_log!N:N,"NOT FOUND",0,1),IF(N1647="gross",0,""))</f>
        <v>1</v>
      </c>
    </row>
    <row r="1648" spans="1:15">
      <c r="A1648" s="195" t="str">
        <f t="shared" si="86"/>
        <v>outbound</v>
      </c>
      <c r="B1648" s="196">
        <v>45761.44027777778</v>
      </c>
      <c r="C1648" s="197" t="s">
        <v>1929</v>
      </c>
      <c r="D1648" s="197" t="s">
        <v>2930</v>
      </c>
      <c r="E1648" s="215" t="s">
        <v>2719</v>
      </c>
      <c r="F1648" s="112" t="str">
        <f>IF(ISBLANK(E1648),"",_xlfn.XLOOKUP(E1648,cannabis_log!C:C,cannabis_log!J:J,"",0,))</f>
        <v>PR241104F5P3</v>
      </c>
      <c r="G1648" s="112"/>
      <c r="H1648" s="112" t="str">
        <f>IF(ISBLANK(E1648),"",_xlfn.XLOOKUP(E1648,cannabis_log!C:C,cannabis_log!H:H,"",0,1))</f>
        <v>preroll_labelled</v>
      </c>
      <c r="I1648" s="113">
        <f>IF(ISBLANK(E1648),"",_xlfn.XLOOKUP(E1648,cannabis_log!C:C,cannabis_log!K:K,"NOT FOUND",0,1))</f>
        <v>45630</v>
      </c>
      <c r="J1648" s="185">
        <v>-12</v>
      </c>
      <c r="K1648" s="186">
        <f t="shared" si="89"/>
        <v>0</v>
      </c>
      <c r="L1648" s="288">
        <f t="shared" si="90"/>
        <v>-18</v>
      </c>
      <c r="M1648" s="24"/>
      <c r="N1648" s="112" t="str">
        <f>IF(ISBLANK(E1648),"",_xlfn.XLOOKUP(E1648,cannabis_log!C:C,cannabis_log!T:T,"Not Found",0,))</f>
        <v>net</v>
      </c>
      <c r="O1648" s="180">
        <f>IF(N1648="net",_xlfn.XLOOKUP(E1648,cannabis_log!C:C,cannabis_log!N:N,"NOT FOUND",0,1),IF(N1648="gross",0,""))</f>
        <v>1.5</v>
      </c>
    </row>
    <row r="1649" spans="1:15">
      <c r="A1649" s="195" t="str">
        <f t="shared" si="86"/>
        <v>outbound</v>
      </c>
      <c r="B1649" s="196">
        <v>45761.44027777778</v>
      </c>
      <c r="C1649" s="197" t="s">
        <v>1929</v>
      </c>
      <c r="D1649" s="197" t="s">
        <v>2930</v>
      </c>
      <c r="E1649" s="215" t="s">
        <v>2885</v>
      </c>
      <c r="F1649" s="112" t="str">
        <f>IF(ISBLANK(E1649),"",_xlfn.XLOOKUP(E1649,cannabis_log!C:C,cannabis_log!J:J,"",0,))</f>
        <v>ROGEX001G1</v>
      </c>
      <c r="G1649" s="112"/>
      <c r="H1649" s="112" t="str">
        <f>IF(ISBLANK(E1649),"",_xlfn.XLOOKUP(E1649,cannabis_log!C:C,cannabis_log!H:H,"",0,1))</f>
        <v>extract_inhaled_labelled_Rohan</v>
      </c>
      <c r="I1649" s="113">
        <f>IF(ISBLANK(E1649),"",_xlfn.XLOOKUP(E1649,cannabis_log!C:C,cannabis_log!K:K,"NOT FOUND",0,1))</f>
        <v>45740</v>
      </c>
      <c r="J1649" s="185">
        <v>-12</v>
      </c>
      <c r="K1649" s="186">
        <f t="shared" si="89"/>
        <v>0</v>
      </c>
      <c r="L1649" s="288">
        <f t="shared" si="90"/>
        <v>-12</v>
      </c>
      <c r="M1649" s="24"/>
      <c r="N1649" s="112" t="str">
        <f>IF(ISBLANK(E1649),"",_xlfn.XLOOKUP(E1649,cannabis_log!C:C,cannabis_log!T:T,"Not Found",0,))</f>
        <v>net</v>
      </c>
      <c r="O1649" s="180">
        <f>IF(N1649="net",_xlfn.XLOOKUP(E1649,cannabis_log!C:C,cannabis_log!N:N,"NOT FOUND",0,1),IF(N1649="gross",0,""))</f>
        <v>1</v>
      </c>
    </row>
    <row r="1650" spans="1:15">
      <c r="A1650" s="195" t="str">
        <f t="shared" si="86"/>
        <v>outbound</v>
      </c>
      <c r="B1650" s="196">
        <v>45761.44027777778</v>
      </c>
      <c r="C1650" s="197" t="s">
        <v>1929</v>
      </c>
      <c r="D1650" s="197" t="s">
        <v>2930</v>
      </c>
      <c r="E1650" s="215" t="s">
        <v>2906</v>
      </c>
      <c r="F1650" s="112" t="str">
        <f>IF(ISBLANK(E1650),"",_xlfn.XLOOKUP(E1650,cannabis_log!C:C,cannabis_log!J:J,"",0,))</f>
        <v>PR2501INF5P3</v>
      </c>
      <c r="G1650" s="112"/>
      <c r="H1650" s="112" t="str">
        <f>IF(ISBLANK(E1650),"",_xlfn.XLOOKUP(E1650,cannabis_log!C:C,cannabis_log!H:H,"",0,1))</f>
        <v>preroll_labelled</v>
      </c>
      <c r="I1650" s="113">
        <f>IF(ISBLANK(E1650),"",_xlfn.XLOOKUP(E1650,cannabis_log!C:C,cannabis_log!K:K,"NOT FOUND",0,1))</f>
        <v>45756</v>
      </c>
      <c r="J1650" s="185">
        <v>-24</v>
      </c>
      <c r="K1650" s="186">
        <f t="shared" si="89"/>
        <v>0</v>
      </c>
      <c r="L1650" s="288">
        <f t="shared" si="90"/>
        <v>-36</v>
      </c>
      <c r="M1650" s="24"/>
      <c r="N1650" s="112" t="str">
        <f>IF(ISBLANK(E1650),"",_xlfn.XLOOKUP(E1650,cannabis_log!C:C,cannabis_log!T:T,"Not Found",0,))</f>
        <v>NET</v>
      </c>
      <c r="O1650" s="180">
        <f>IF(N1650="net",_xlfn.XLOOKUP(E1650,cannabis_log!C:C,cannabis_log!N:N,"NOT FOUND",0,1),IF(N1650="gross",0,""))</f>
        <v>1.5</v>
      </c>
    </row>
    <row r="1651" spans="1:15">
      <c r="A1651" s="195" t="str">
        <f t="shared" si="86"/>
        <v>outbound</v>
      </c>
      <c r="B1651" s="196">
        <v>45762.386111111111</v>
      </c>
      <c r="C1651" s="197" t="s">
        <v>1921</v>
      </c>
      <c r="D1651" s="197"/>
      <c r="E1651" s="215" t="s">
        <v>2853</v>
      </c>
      <c r="F1651" s="112" t="str">
        <f>IF(ISBLANK(E1651),"",_xlfn.XLOOKUP(E1651,cannabis_log!C:C,cannabis_log!J:J,"",0,))</f>
        <v>EX24111301</v>
      </c>
      <c r="G1651" s="112"/>
      <c r="H1651" s="112" t="str">
        <f>IF(ISBLANK(E1651),"",_xlfn.XLOOKUP(E1651,cannabis_log!C:C,cannabis_log!H:H,"",0,1))</f>
        <v>extract_inhaled_bulk</v>
      </c>
      <c r="I1651" s="113" t="str">
        <f>IF(ISBLANK(E1651),"",_xlfn.XLOOKUP(E1651,cannabis_log!C:C,cannabis_log!K:K,"NOT FOUND",0,1))</f>
        <v>NA</v>
      </c>
      <c r="J1651" s="185">
        <v>-1</v>
      </c>
      <c r="K1651" s="186">
        <v>-665.7</v>
      </c>
      <c r="L1651" s="288">
        <f t="shared" si="90"/>
        <v>0</v>
      </c>
      <c r="M1651" s="24"/>
      <c r="N1651" s="112" t="str">
        <f>IF(ISBLANK(E1651),"",_xlfn.XLOOKUP(E1651,cannabis_log!C:C,cannabis_log!T:T,"Not Found",0,))</f>
        <v>gross</v>
      </c>
      <c r="O1651" s="180">
        <f>IF(N1651="net",_xlfn.XLOOKUP(E1651,cannabis_log!C:C,cannabis_log!N:N,"NOT FOUND",0,1),IF(N1651="gross",0,""))</f>
        <v>0</v>
      </c>
    </row>
    <row r="1652" spans="1:15">
      <c r="A1652" s="195" t="str">
        <f t="shared" si="86"/>
        <v>outbound</v>
      </c>
      <c r="B1652" s="196">
        <v>45762.398611111108</v>
      </c>
      <c r="C1652" s="197" t="s">
        <v>1921</v>
      </c>
      <c r="D1652" s="15" t="s">
        <v>1682</v>
      </c>
      <c r="E1652" s="215" t="s">
        <v>2928</v>
      </c>
      <c r="F1652" s="112" t="str">
        <f>IF(ISBLANK(E1652),"",_xlfn.XLOOKUP(E1652,cannabis_log!C:C,cannabis_log!J:J,"",0,))</f>
        <v>PR2302INF1</v>
      </c>
      <c r="G1652" s="112"/>
      <c r="H1652" s="112" t="str">
        <f>IF(ISBLANK(E1652),"",_xlfn.XLOOKUP(E1652,cannabis_log!C:C,cannabis_log!H:H,"",0,1))</f>
        <v>preroll_bulk</v>
      </c>
      <c r="I1652" s="113" t="str">
        <f>IF(ISBLANK(E1652),"",_xlfn.XLOOKUP(E1652,cannabis_log!C:C,cannabis_log!K:K,"NOT FOUND",0,1))</f>
        <v>NA</v>
      </c>
      <c r="J1652" s="185">
        <v>-100</v>
      </c>
      <c r="K1652" s="186">
        <f>IF(N1652="net",0,"")</f>
        <v>0</v>
      </c>
      <c r="L1652" s="288">
        <f t="shared" si="90"/>
        <v>-100</v>
      </c>
      <c r="M1652" s="24"/>
      <c r="N1652" s="112" t="str">
        <f>IF(ISBLANK(E1652),"",_xlfn.XLOOKUP(E1652,cannabis_log!C:C,cannabis_log!T:T,"Not Found",0,))</f>
        <v>net</v>
      </c>
      <c r="O1652" s="180">
        <f>IF(N1652="net",_xlfn.XLOOKUP(E1652,cannabis_log!C:C,cannabis_log!N:N,"NOT FOUND",0,1),IF(N1652="gross",0,""))</f>
        <v>1</v>
      </c>
    </row>
    <row r="1653" spans="1:15">
      <c r="A1653" s="195" t="str">
        <f t="shared" si="86"/>
        <v>outbound</v>
      </c>
      <c r="B1653" s="196">
        <v>45762.447916666664</v>
      </c>
      <c r="C1653" s="197" t="s">
        <v>1921</v>
      </c>
      <c r="D1653" s="197" t="s">
        <v>2935</v>
      </c>
      <c r="E1653" s="215" t="s">
        <v>2936</v>
      </c>
      <c r="F1653" s="112" t="str">
        <f>IF(ISBLANK(E1653),"",_xlfn.XLOOKUP(E1653,cannabis_log!C:C,cannabis_log!J:J,"",0,))</f>
        <v>PR2502</v>
      </c>
      <c r="G1653" s="112"/>
      <c r="H1653" s="112" t="str">
        <f>IF(ISBLANK(E1653),"",_xlfn.XLOOKUP(E1653,cannabis_log!C:C,cannabis_log!H:H,"",0,1))</f>
        <v>driedflower_milled_bulk_BURB</v>
      </c>
      <c r="I1653" s="113" t="str">
        <f>IF(ISBLANK(E1653),"",_xlfn.XLOOKUP(E1653,cannabis_log!C:C,cannabis_log!K:K,"NOT FOUND",0,1))</f>
        <v>NA</v>
      </c>
      <c r="J1653" s="185">
        <v>-1</v>
      </c>
      <c r="K1653" s="186">
        <v>-3420</v>
      </c>
      <c r="L1653" s="288">
        <f t="shared" si="90"/>
        <v>0</v>
      </c>
      <c r="M1653" s="24"/>
      <c r="N1653" s="112" t="str">
        <f>IF(ISBLANK(E1653),"",_xlfn.XLOOKUP(E1653,cannabis_log!C:C,cannabis_log!T:T,"Not Found",0,))</f>
        <v>gross</v>
      </c>
      <c r="O1653" s="180">
        <f>IF(N1653="net",_xlfn.XLOOKUP(E1653,cannabis_log!C:C,cannabis_log!N:N,"NOT FOUND",0,1),IF(N1653="gross",0,""))</f>
        <v>0</v>
      </c>
    </row>
    <row r="1654" spans="1:15">
      <c r="A1654" s="195" t="str">
        <f t="shared" si="86"/>
        <v>outbound</v>
      </c>
      <c r="B1654" s="196">
        <v>45762.492361111108</v>
      </c>
      <c r="C1654" s="197" t="s">
        <v>1929</v>
      </c>
      <c r="D1654" s="197" t="s">
        <v>577</v>
      </c>
      <c r="E1654" s="215" t="s">
        <v>2885</v>
      </c>
      <c r="F1654" s="112" t="str">
        <f>IF(ISBLANK(E1654),"",_xlfn.XLOOKUP(E1654,cannabis_log!C:C,cannabis_log!J:J,"",0,))</f>
        <v>ROGEX001G1</v>
      </c>
      <c r="G1654" s="112"/>
      <c r="H1654" s="112" t="str">
        <f>IF(ISBLANK(E1654),"",_xlfn.XLOOKUP(E1654,cannabis_log!C:C,cannabis_log!H:H,"",0,1))</f>
        <v>extract_inhaled_labelled_Rohan</v>
      </c>
      <c r="I1654" s="113">
        <f>IF(ISBLANK(E1654),"",_xlfn.XLOOKUP(E1654,cannabis_log!C:C,cannabis_log!K:K,"NOT FOUND",0,1))</f>
        <v>45740</v>
      </c>
      <c r="J1654" s="185">
        <v>-12</v>
      </c>
      <c r="K1654" s="186">
        <f t="shared" ref="K1654:K1670" si="91">IF(N1654="net",0,"")</f>
        <v>0</v>
      </c>
      <c r="L1654" s="288">
        <f t="shared" si="90"/>
        <v>-12</v>
      </c>
      <c r="M1654" s="24"/>
      <c r="N1654" s="112" t="str">
        <f>IF(ISBLANK(E1654),"",_xlfn.XLOOKUP(E1654,cannabis_log!C:C,cannabis_log!T:T,"Not Found",0,))</f>
        <v>net</v>
      </c>
      <c r="O1654" s="180">
        <f>IF(N1654="net",_xlfn.XLOOKUP(E1654,cannabis_log!C:C,cannabis_log!N:N,"NOT FOUND",0,1),IF(N1654="gross",0,""))</f>
        <v>1</v>
      </c>
    </row>
    <row r="1655" spans="1:15">
      <c r="A1655" s="195" t="str">
        <f t="shared" si="86"/>
        <v>outbound</v>
      </c>
      <c r="B1655" s="196">
        <v>45762.492361111108</v>
      </c>
      <c r="C1655" s="197" t="s">
        <v>1929</v>
      </c>
      <c r="D1655" s="197" t="s">
        <v>577</v>
      </c>
      <c r="E1655" s="215" t="s">
        <v>2686</v>
      </c>
      <c r="F1655" s="112" t="str">
        <f>IF(ISBLANK(E1655),"",_xlfn.XLOOKUP(E1655,cannabis_log!C:C,cannabis_log!J:J,"",0,))</f>
        <v>EX25012101V50</v>
      </c>
      <c r="G1655" s="112"/>
      <c r="H1655" s="112" t="str">
        <f>IF(ISBLANK(E1655),"",_xlfn.XLOOKUP(E1655,cannabis_log!C:C,cannabis_log!H:H,"",0,1))</f>
        <v>extract_ingested_cased_BC</v>
      </c>
      <c r="I1655" s="113">
        <f>IF(ISBLANK(E1655),"",_xlfn.XLOOKUP(E1655,cannabis_log!C:C,cannabis_log!K:K,"NOT FOUND",0,1))</f>
        <v>45700</v>
      </c>
      <c r="J1655" s="185">
        <v>-2</v>
      </c>
      <c r="K1655" s="186">
        <f t="shared" si="91"/>
        <v>0</v>
      </c>
      <c r="L1655" s="288">
        <f t="shared" si="90"/>
        <v>-1200</v>
      </c>
      <c r="M1655" s="24"/>
      <c r="N1655" s="112" t="str">
        <f>IF(ISBLANK(E1655),"",_xlfn.XLOOKUP(E1655,cannabis_log!C:C,cannabis_log!T:T,"Not Found",0,))</f>
        <v>net</v>
      </c>
      <c r="O1655" s="180">
        <f>IF(N1655="net",_xlfn.XLOOKUP(E1655,cannabis_log!C:C,cannabis_log!N:N,"NOT FOUND",0,1),IF(N1655="gross",0,""))</f>
        <v>600</v>
      </c>
    </row>
    <row r="1656" spans="1:15">
      <c r="A1656" s="195" t="str">
        <f t="shared" si="86"/>
        <v>outbound</v>
      </c>
      <c r="B1656" s="196">
        <v>45762.492361111108</v>
      </c>
      <c r="C1656" s="197" t="s">
        <v>1929</v>
      </c>
      <c r="D1656" s="183" t="s">
        <v>577</v>
      </c>
      <c r="E1656" s="215" t="s">
        <v>2906</v>
      </c>
      <c r="F1656" s="112" t="str">
        <f>IF(ISBLANK(E1656),"",_xlfn.XLOOKUP(E1656,cannabis_log!C:C,cannabis_log!J:J,"",0,))</f>
        <v>PR2501INF5P3</v>
      </c>
      <c r="G1656" s="112"/>
      <c r="H1656" s="112" t="str">
        <f>IF(ISBLANK(E1656),"",_xlfn.XLOOKUP(E1656,cannabis_log!C:C,cannabis_log!H:H,"",0,1))</f>
        <v>preroll_labelled</v>
      </c>
      <c r="I1656" s="113">
        <f>IF(ISBLANK(E1656),"",_xlfn.XLOOKUP(E1656,cannabis_log!C:C,cannabis_log!K:K,"NOT FOUND",0,1))</f>
        <v>45756</v>
      </c>
      <c r="J1656" s="185">
        <v>-12</v>
      </c>
      <c r="K1656" s="186">
        <f t="shared" si="91"/>
        <v>0</v>
      </c>
      <c r="L1656" s="288">
        <f t="shared" si="90"/>
        <v>-18</v>
      </c>
      <c r="M1656" s="24"/>
      <c r="N1656" s="112" t="str">
        <f>IF(ISBLANK(E1656),"",_xlfn.XLOOKUP(E1656,cannabis_log!C:C,cannabis_log!T:T,"Not Found",0,))</f>
        <v>NET</v>
      </c>
      <c r="O1656" s="180">
        <f>IF(N1656="net",_xlfn.XLOOKUP(E1656,cannabis_log!C:C,cannabis_log!N:N,"NOT FOUND",0,1),IF(N1656="gross",0,""))</f>
        <v>1.5</v>
      </c>
    </row>
    <row r="1657" spans="1:15">
      <c r="A1657" s="195" t="str">
        <f t="shared" si="86"/>
        <v>outbound</v>
      </c>
      <c r="B1657" s="196">
        <v>45762.492361111108</v>
      </c>
      <c r="C1657" s="197" t="s">
        <v>1929</v>
      </c>
      <c r="D1657" s="197" t="s">
        <v>577</v>
      </c>
      <c r="E1657" s="215" t="s">
        <v>2903</v>
      </c>
      <c r="F1657" s="112" t="str">
        <f>IF(ISBLANK(E1657),"",_xlfn.XLOOKUP(E1657,cannabis_log!C:C,cannabis_log!J:J,"",0,))</f>
        <v>PR251108F5P12</v>
      </c>
      <c r="G1657" s="112"/>
      <c r="H1657" s="112" t="str">
        <f>IF(ISBLANK(E1657),"",_xlfn.XLOOKUP(E1657,cannabis_log!C:C,cannabis_log!H:H,"",0,1))</f>
        <v>preroll_labelled</v>
      </c>
      <c r="I1657" s="113">
        <f>IF(ISBLANK(E1657),"",_xlfn.XLOOKUP(E1657,cannabis_log!C:C,cannabis_log!K:K,"NOT FOUND",0,1))</f>
        <v>45755</v>
      </c>
      <c r="J1657" s="185">
        <v>-12</v>
      </c>
      <c r="K1657" s="186">
        <f t="shared" si="91"/>
        <v>0</v>
      </c>
      <c r="L1657" s="288">
        <f t="shared" si="90"/>
        <v>-72</v>
      </c>
      <c r="M1657" s="24"/>
      <c r="N1657" s="112" t="str">
        <f>IF(ISBLANK(E1657),"",_xlfn.XLOOKUP(E1657,cannabis_log!C:C,cannabis_log!T:T,"Not Found",0,))</f>
        <v>net</v>
      </c>
      <c r="O1657" s="180">
        <f>IF(N1657="net",_xlfn.XLOOKUP(E1657,cannabis_log!C:C,cannabis_log!N:N,"NOT FOUND",0,1),IF(N1657="gross",0,""))</f>
        <v>6</v>
      </c>
    </row>
    <row r="1658" spans="1:15">
      <c r="A1658" s="195" t="str">
        <f t="shared" si="86"/>
        <v>outbound</v>
      </c>
      <c r="B1658" s="196">
        <v>45762.492361111108</v>
      </c>
      <c r="C1658" s="197" t="s">
        <v>1929</v>
      </c>
      <c r="D1658" s="197" t="s">
        <v>577</v>
      </c>
      <c r="E1658" s="215" t="s">
        <v>2854</v>
      </c>
      <c r="F1658" s="112" t="str">
        <f>IF(ISBLANK(E1658),"",_xlfn.XLOOKUP(E1658,cannabis_log!C:C,cannabis_log!J:J,"",0,))</f>
        <v>PR2301F5P3</v>
      </c>
      <c r="G1658" s="112"/>
      <c r="H1658" s="112" t="str">
        <f>IF(ISBLANK(E1658),"",_xlfn.XLOOKUP(E1658,cannabis_log!C:C,cannabis_log!H:H,"",0,1))</f>
        <v>preroll_labelled</v>
      </c>
      <c r="I1658" s="113">
        <f>IF(ISBLANK(E1658),"",_xlfn.XLOOKUP(E1658,cannabis_log!C:C,cannabis_log!K:K,"NOT FOUND",0,1))</f>
        <v>45742</v>
      </c>
      <c r="J1658" s="185">
        <v>-12</v>
      </c>
      <c r="K1658" s="186">
        <f t="shared" si="91"/>
        <v>0</v>
      </c>
      <c r="L1658" s="288">
        <f t="shared" si="90"/>
        <v>-18</v>
      </c>
      <c r="M1658" s="24"/>
      <c r="N1658" s="112" t="str">
        <f>IF(ISBLANK(E1658),"",_xlfn.XLOOKUP(E1658,cannabis_log!C:C,cannabis_log!T:T,"Not Found",0,))</f>
        <v>net</v>
      </c>
      <c r="O1658" s="180">
        <f>IF(N1658="net",_xlfn.XLOOKUP(E1658,cannabis_log!C:C,cannabis_log!N:N,"NOT FOUND",0,1),IF(N1658="gross",0,""))</f>
        <v>1.5</v>
      </c>
    </row>
    <row r="1659" spans="1:15">
      <c r="A1659" s="195" t="str">
        <f t="shared" si="86"/>
        <v>outbound</v>
      </c>
      <c r="B1659" s="196">
        <v>45762.591666666667</v>
      </c>
      <c r="C1659" s="197" t="s">
        <v>1929</v>
      </c>
      <c r="D1659" s="15" t="s">
        <v>2937</v>
      </c>
      <c r="E1659" s="215" t="s">
        <v>2938</v>
      </c>
      <c r="F1659" s="112" t="str">
        <f>IF(ISBLANK(E1659),"",_xlfn.XLOOKUP(E1659,cannabis_log!C:C,cannabis_log!J:J,"",0,))</f>
        <v>EX24022302V30</v>
      </c>
      <c r="G1659" s="112"/>
      <c r="H1659" s="112" t="str">
        <f>IF(ISBLANK(E1659),"",_xlfn.XLOOKUP(E1659,cannabis_log!C:C,cannabis_log!H:H,"",0,1))</f>
        <v>extract_ingested_cased_MB</v>
      </c>
      <c r="I1659" s="113">
        <f>IF(ISBLANK(E1659),"",_xlfn.XLOOKUP(E1659,cannabis_log!C:C,cannabis_log!K:K,"NOT FOUND",0,1))</f>
        <v>45588</v>
      </c>
      <c r="J1659" s="185">
        <v>-1</v>
      </c>
      <c r="K1659" s="186">
        <f t="shared" si="91"/>
        <v>0</v>
      </c>
      <c r="L1659" s="288">
        <f t="shared" si="90"/>
        <v>-331.20000000000005</v>
      </c>
      <c r="M1659" s="24"/>
      <c r="N1659" s="112" t="str">
        <f>IF(ISBLANK(E1659),"",_xlfn.XLOOKUP(E1659,cannabis_log!C:C,cannabis_log!T:T,"Not Found",0,))</f>
        <v>NET</v>
      </c>
      <c r="O1659" s="180">
        <f>IF(N1659="net",_xlfn.XLOOKUP(E1659,cannabis_log!C:C,cannabis_log!N:N,"NOT FOUND",0,1),IF(N1659="gross",0,""))</f>
        <v>331.20000000000005</v>
      </c>
    </row>
    <row r="1660" spans="1:15">
      <c r="A1660" s="195" t="str">
        <f t="shared" si="86"/>
        <v>outbound</v>
      </c>
      <c r="B1660" s="196">
        <v>45763.415972222225</v>
      </c>
      <c r="C1660" s="197" t="s">
        <v>1929</v>
      </c>
      <c r="D1660" s="15" t="s">
        <v>524</v>
      </c>
      <c r="E1660" s="215" t="s">
        <v>2939</v>
      </c>
      <c r="F1660" s="112" t="str">
        <f>IF(ISBLANK(E1660),"",_xlfn.XLOOKUP(E1660,cannabis_log!C:C,cannabis_log!J:J,"",0,))</f>
        <v>PR241104F5P3</v>
      </c>
      <c r="G1660" s="112"/>
      <c r="H1660" s="112" t="str">
        <f>IF(ISBLANK(E1660),"",_xlfn.XLOOKUP(E1660,cannabis_log!C:C,cannabis_log!H:H,"",0,1))</f>
        <v>preroll_cased_ON</v>
      </c>
      <c r="I1660" s="113">
        <f>IF(ISBLANK(E1660),"",_xlfn.XLOOKUP(E1660,cannabis_log!C:C,cannabis_log!K:K,"NOT FOUND",0,1))</f>
        <v>45588</v>
      </c>
      <c r="J1660" s="185">
        <v>-22</v>
      </c>
      <c r="K1660" s="186">
        <f t="shared" si="91"/>
        <v>0</v>
      </c>
      <c r="L1660" s="288">
        <f t="shared" si="90"/>
        <v>-396</v>
      </c>
      <c r="M1660" s="24"/>
      <c r="N1660" s="112" t="str">
        <f>IF(ISBLANK(E1660),"",_xlfn.XLOOKUP(E1660,cannabis_log!C:C,cannabis_log!T:T,"Not Found",0,))</f>
        <v>net</v>
      </c>
      <c r="O1660" s="180">
        <f>IF(N1660="net",_xlfn.XLOOKUP(E1660,cannabis_log!C:C,cannabis_log!N:N,"NOT FOUND",0,1),IF(N1660="gross",0,""))</f>
        <v>18</v>
      </c>
    </row>
    <row r="1661" spans="1:15">
      <c r="A1661" s="195" t="str">
        <f t="shared" si="86"/>
        <v>outbound</v>
      </c>
      <c r="B1661" s="196">
        <v>45763.415972222225</v>
      </c>
      <c r="C1661" s="197" t="s">
        <v>1929</v>
      </c>
      <c r="D1661" s="15" t="s">
        <v>524</v>
      </c>
      <c r="E1661" s="215" t="s">
        <v>2922</v>
      </c>
      <c r="F1661" s="112" t="str">
        <f>IF(ISBLANK(E1661),"",_xlfn.XLOOKUP(E1661,cannabis_log!C:C,cannabis_log!J:J,"",0,))</f>
        <v>PR241104F5P3</v>
      </c>
      <c r="G1661" s="112"/>
      <c r="H1661" s="112" t="str">
        <f>IF(ISBLANK(E1661),"",_xlfn.XLOOKUP(E1661,cannabis_log!C:C,cannabis_log!H:H,"",0,1))</f>
        <v>preroll_labelled</v>
      </c>
      <c r="I1661" s="113">
        <f>IF(ISBLANK(E1661),"",_xlfn.XLOOKUP(E1661,cannabis_log!C:C,cannabis_log!K:K,"NOT FOUND",0,1))</f>
        <v>45588</v>
      </c>
      <c r="J1661" s="185">
        <v>-80</v>
      </c>
      <c r="K1661" s="186">
        <f t="shared" si="91"/>
        <v>0</v>
      </c>
      <c r="L1661" s="288">
        <f t="shared" si="90"/>
        <v>-120</v>
      </c>
      <c r="M1661" s="24"/>
      <c r="N1661" s="112" t="str">
        <f>IF(ISBLANK(E1661),"",_xlfn.XLOOKUP(E1661,cannabis_log!C:C,cannabis_log!T:T,"Not Found",0,))</f>
        <v>net</v>
      </c>
      <c r="O1661" s="180">
        <f>IF(N1661="net",_xlfn.XLOOKUP(E1661,cannabis_log!C:C,cannabis_log!N:N,"NOT FOUND",0,1),IF(N1661="gross",0,""))</f>
        <v>1.5</v>
      </c>
    </row>
    <row r="1662" spans="1:15">
      <c r="A1662" s="195" t="str">
        <f t="shared" si="86"/>
        <v>outbound</v>
      </c>
      <c r="B1662" s="196">
        <v>45763.415972222225</v>
      </c>
      <c r="C1662" s="197" t="s">
        <v>1929</v>
      </c>
      <c r="D1662" s="15" t="s">
        <v>524</v>
      </c>
      <c r="E1662" s="215" t="s">
        <v>2676</v>
      </c>
      <c r="F1662" s="112" t="str">
        <f>IF(ISBLANK(E1662),"",_xlfn.XLOOKUP(E1662,cannabis_log!C:C,cannabis_log!J:J,"",0,))</f>
        <v>PR2401F5P2</v>
      </c>
      <c r="G1662" s="112"/>
      <c r="H1662" s="112" t="str">
        <f>IF(ISBLANK(E1662),"",_xlfn.XLOOKUP(E1662,cannabis_log!C:C,cannabis_log!H:H,"",0,1))</f>
        <v>preroll_labelled</v>
      </c>
      <c r="I1662" s="113">
        <f>IF(ISBLANK(E1662),"",_xlfn.XLOOKUP(E1662,cannabis_log!C:C,cannabis_log!K:K,"NOT FOUND",0,1))</f>
        <v>45670</v>
      </c>
      <c r="J1662" s="185">
        <v>-455</v>
      </c>
      <c r="K1662" s="186">
        <f t="shared" si="91"/>
        <v>0</v>
      </c>
      <c r="L1662" s="288">
        <f t="shared" si="90"/>
        <v>-455</v>
      </c>
      <c r="M1662" s="24"/>
      <c r="N1662" s="112" t="str">
        <f>IF(ISBLANK(E1662),"",_xlfn.XLOOKUP(E1662,cannabis_log!C:C,cannabis_log!T:T,"Not Found",0,))</f>
        <v>net</v>
      </c>
      <c r="O1662" s="180">
        <f>IF(N1662="net",_xlfn.XLOOKUP(E1662,cannabis_log!C:C,cannabis_log!N:N,"NOT FOUND",0,1),IF(N1662="gross",0,""))</f>
        <v>1</v>
      </c>
    </row>
    <row r="1663" spans="1:15">
      <c r="A1663" s="195" t="str">
        <f t="shared" si="86"/>
        <v>outbound</v>
      </c>
      <c r="B1663" s="196">
        <v>45763.415972222225</v>
      </c>
      <c r="C1663" s="197" t="s">
        <v>1929</v>
      </c>
      <c r="D1663" s="22" t="s">
        <v>524</v>
      </c>
      <c r="E1663" s="215" t="s">
        <v>2940</v>
      </c>
      <c r="F1663" s="112" t="str">
        <f>IF(ISBLANK(E1663),"",_xlfn.XLOOKUP(E1663,cannabis_log!C:C,cannabis_log!J:J,"",0,))</f>
        <v>EX24101802V30</v>
      </c>
      <c r="G1663" s="112"/>
      <c r="H1663" s="112" t="str">
        <f>IF(ISBLANK(E1663),"",_xlfn.XLOOKUP(E1663,cannabis_log!C:C,cannabis_log!H:H,"",0,1))</f>
        <v>extract_ingested_cased_MB</v>
      </c>
      <c r="I1663" s="113">
        <f>IF(ISBLANK(E1663),"",_xlfn.XLOOKUP(E1663,cannabis_log!C:C,cannabis_log!K:K,"NOT FOUND",0,1))</f>
        <v>45588</v>
      </c>
      <c r="J1663" s="185">
        <v>-9</v>
      </c>
      <c r="K1663" s="186">
        <f t="shared" si="91"/>
        <v>0</v>
      </c>
      <c r="L1663" s="288">
        <f t="shared" si="90"/>
        <v>-2980.8</v>
      </c>
      <c r="M1663" s="24"/>
      <c r="N1663" s="112" t="str">
        <f>IF(ISBLANK(E1663),"",_xlfn.XLOOKUP(E1663,cannabis_log!C:C,cannabis_log!T:T,"Not Found",0,))</f>
        <v>NET</v>
      </c>
      <c r="O1663" s="180">
        <f>IF(N1663="net",_xlfn.XLOOKUP(E1663,cannabis_log!C:C,cannabis_log!N:N,"NOT FOUND",0,1),IF(N1663="gross",0,""))</f>
        <v>331.20000000000005</v>
      </c>
    </row>
    <row r="1664" spans="1:15">
      <c r="A1664" s="195" t="str">
        <f t="shared" si="86"/>
        <v>outbound</v>
      </c>
      <c r="B1664" s="196">
        <v>45763.488888888889</v>
      </c>
      <c r="C1664" s="197" t="s">
        <v>1929</v>
      </c>
      <c r="D1664" s="22" t="s">
        <v>609</v>
      </c>
      <c r="E1664" s="215" t="s">
        <v>2735</v>
      </c>
      <c r="F1664" s="112" t="str">
        <f>IF(ISBLANK(E1664),"",_xlfn.XLOOKUP(E1664,cannabis_log!C:C,cannabis_log!J:J,"",0,))</f>
        <v>EX25012101V50</v>
      </c>
      <c r="G1664" s="112"/>
      <c r="H1664" s="112" t="str">
        <f>IF(ISBLANK(E1664),"",_xlfn.XLOOKUP(E1664,cannabis_log!C:C,cannabis_log!H:H,"",0,1))</f>
        <v>extract_ingested_packaged</v>
      </c>
      <c r="I1664" s="113">
        <f>IF(ISBLANK(E1664),"",_xlfn.XLOOKUP(E1664,cannabis_log!C:C,cannabis_log!K:K,"NOT FOUND",0,1))</f>
        <v>45700</v>
      </c>
      <c r="J1664" s="185">
        <v>-68</v>
      </c>
      <c r="K1664" s="186">
        <f t="shared" si="91"/>
        <v>0</v>
      </c>
      <c r="L1664" s="288">
        <f t="shared" si="90"/>
        <v>-3400</v>
      </c>
      <c r="M1664" s="24"/>
      <c r="N1664" s="112" t="str">
        <f>IF(ISBLANK(E1664),"",_xlfn.XLOOKUP(E1664,cannabis_log!C:C,cannabis_log!T:T,"Not Found",0,))</f>
        <v>net</v>
      </c>
      <c r="O1664" s="180">
        <f>IF(N1664="net",_xlfn.XLOOKUP(E1664,cannabis_log!C:C,cannabis_log!N:N,"NOT FOUND",0,1),IF(N1664="gross",0,""))</f>
        <v>50</v>
      </c>
    </row>
    <row r="1665" spans="1:15">
      <c r="A1665" s="195" t="str">
        <f t="shared" ref="A1665:A1728" si="92">IF(ISBLANK(J1665),"",IF(J1665+K1665+L1665&lt;0,"outbound","inbound"))</f>
        <v>outbound</v>
      </c>
      <c r="B1665" s="196">
        <v>45763.488888888889</v>
      </c>
      <c r="C1665" s="197" t="s">
        <v>1929</v>
      </c>
      <c r="D1665" s="22" t="s">
        <v>609</v>
      </c>
      <c r="E1665" s="215" t="s">
        <v>2941</v>
      </c>
      <c r="F1665" s="112" t="str">
        <f>IF(ISBLANK(E1665),"",_xlfn.XLOOKUP(E1665,cannabis_log!C:C,cannabis_log!J:J,"",0,))</f>
        <v>EX25012101V50</v>
      </c>
      <c r="G1665" s="112"/>
      <c r="H1665" s="112" t="str">
        <f>IF(ISBLANK(E1665),"",_xlfn.XLOOKUP(E1665,cannabis_log!C:C,cannabis_log!H:H,"",0,1))</f>
        <v>extract_ingested_labelled</v>
      </c>
      <c r="I1665" s="113">
        <f>IF(ISBLANK(E1665),"",_xlfn.XLOOKUP(E1665,cannabis_log!C:C,cannabis_log!K:K,"NOT FOUND",0,1))</f>
        <v>45700</v>
      </c>
      <c r="J1665" s="185">
        <v>-264</v>
      </c>
      <c r="K1665" s="186">
        <f t="shared" si="91"/>
        <v>0</v>
      </c>
      <c r="L1665" s="288">
        <f t="shared" si="90"/>
        <v>-13200</v>
      </c>
      <c r="M1665" s="24"/>
      <c r="N1665" s="112" t="str">
        <f>IF(ISBLANK(E1665),"",_xlfn.XLOOKUP(E1665,cannabis_log!C:C,cannabis_log!T:T,"Not Found",0,))</f>
        <v>net</v>
      </c>
      <c r="O1665" s="180">
        <f>IF(N1665="net",_xlfn.XLOOKUP(E1665,cannabis_log!C:C,cannabis_log!N:N,"NOT FOUND",0,1),IF(N1665="gross",0,""))</f>
        <v>50</v>
      </c>
    </row>
    <row r="1666" spans="1:15">
      <c r="A1666" s="195" t="str">
        <f t="shared" si="92"/>
        <v>outbound</v>
      </c>
      <c r="B1666" s="196">
        <v>45763.672222222223</v>
      </c>
      <c r="C1666" s="197" t="s">
        <v>1929</v>
      </c>
      <c r="D1666" s="183"/>
      <c r="E1666" s="215" t="s">
        <v>2938</v>
      </c>
      <c r="F1666" s="112" t="str">
        <f>IF(ISBLANK(E1666),"",_xlfn.XLOOKUP(E1666,cannabis_log!C:C,cannabis_log!J:J,"",0,))</f>
        <v>EX24022302V30</v>
      </c>
      <c r="G1666" s="112"/>
      <c r="H1666" s="112" t="str">
        <f>IF(ISBLANK(E1666),"",_xlfn.XLOOKUP(E1666,cannabis_log!C:C,cannabis_log!H:H,"",0,1))</f>
        <v>extract_ingested_cased_MB</v>
      </c>
      <c r="I1666" s="113">
        <f>IF(ISBLANK(E1666),"",_xlfn.XLOOKUP(E1666,cannabis_log!C:C,cannabis_log!K:K,"NOT FOUND",0,1))</f>
        <v>45588</v>
      </c>
      <c r="J1666" s="185">
        <v>-1</v>
      </c>
      <c r="K1666" s="186">
        <f t="shared" si="91"/>
        <v>0</v>
      </c>
      <c r="L1666" s="288">
        <f t="shared" si="90"/>
        <v>-331.20000000000005</v>
      </c>
      <c r="M1666" s="24"/>
      <c r="N1666" s="112" t="str">
        <f>IF(ISBLANK(E1666),"",_xlfn.XLOOKUP(E1666,cannabis_log!C:C,cannabis_log!T:T,"Not Found",0,))</f>
        <v>NET</v>
      </c>
      <c r="O1666" s="180">
        <f>IF(N1666="net",_xlfn.XLOOKUP(E1666,cannabis_log!C:C,cannabis_log!N:N,"NOT FOUND",0,1),IF(N1666="gross",0,""))</f>
        <v>331.20000000000005</v>
      </c>
    </row>
    <row r="1667" spans="1:15">
      <c r="A1667" s="195" t="str">
        <f t="shared" si="92"/>
        <v>outbound</v>
      </c>
      <c r="B1667" s="196">
        <v>45763.696527777778</v>
      </c>
      <c r="C1667" s="197" t="s">
        <v>1929</v>
      </c>
      <c r="D1667" s="183" t="s">
        <v>621</v>
      </c>
      <c r="E1667" s="215" t="s">
        <v>2697</v>
      </c>
      <c r="F1667" s="112" t="str">
        <f>IF(ISBLANK(E1667),"",_xlfn.XLOOKUP(E1667,cannabis_log!C:C,cannabis_log!J:J,"",0,))</f>
        <v>EX24101703G05</v>
      </c>
      <c r="G1667" s="112"/>
      <c r="H1667" s="112" t="str">
        <f>IF(ISBLANK(E1667),"",_xlfn.XLOOKUP(E1667,cannabis_log!C:C,cannabis_log!H:H,"",0,1))</f>
        <v>extract_inhaled_labelled</v>
      </c>
      <c r="I1667" s="113">
        <f>IF(ISBLANK(E1667),"",_xlfn.XLOOKUP(E1667,cannabis_log!C:C,cannabis_log!K:K,"NOT FOUND",0,1))</f>
        <v>45603</v>
      </c>
      <c r="J1667" s="185">
        <v>-24</v>
      </c>
      <c r="K1667" s="186">
        <f t="shared" si="91"/>
        <v>0</v>
      </c>
      <c r="L1667" s="288">
        <f t="shared" si="90"/>
        <v>-12</v>
      </c>
      <c r="M1667" s="24"/>
      <c r="N1667" s="112" t="str">
        <f>IF(ISBLANK(E1667),"",_xlfn.XLOOKUP(E1667,cannabis_log!C:C,cannabis_log!T:T,"Not Found",0,))</f>
        <v>net</v>
      </c>
      <c r="O1667" s="180">
        <f>IF(N1667="net",_xlfn.XLOOKUP(E1667,cannabis_log!C:C,cannabis_log!N:N,"NOT FOUND",0,1),IF(N1667="gross",0,""))</f>
        <v>0.5</v>
      </c>
    </row>
    <row r="1668" spans="1:15">
      <c r="A1668" s="195" t="str">
        <f t="shared" si="92"/>
        <v>outbound</v>
      </c>
      <c r="B1668" s="196">
        <v>45763.696527777778</v>
      </c>
      <c r="C1668" s="197" t="s">
        <v>1929</v>
      </c>
      <c r="D1668" s="183" t="s">
        <v>621</v>
      </c>
      <c r="E1668" s="215" t="s">
        <v>2689</v>
      </c>
      <c r="F1668" s="112" t="str">
        <f>IF(ISBLANK(E1668),"",_xlfn.XLOOKUP(E1668,cannabis_log!C:C,cannabis_log!J:J,"",0,))</f>
        <v>EX25020601G1</v>
      </c>
      <c r="G1668" s="112"/>
      <c r="H1668" s="112" t="str">
        <f>IF(ISBLANK(E1668),"",_xlfn.XLOOKUP(E1668,cannabis_log!C:C,cannabis_log!H:H,"",0,1))</f>
        <v>extract_inhaled_labelled</v>
      </c>
      <c r="I1668" s="113">
        <f>IF(ISBLANK(E1668),"",_xlfn.XLOOKUP(E1668,cannabis_log!C:C,cannabis_log!K:K,"NOT FOUND",0,1))</f>
        <v>45707</v>
      </c>
      <c r="J1668" s="185">
        <v>-24</v>
      </c>
      <c r="K1668" s="186">
        <f t="shared" si="91"/>
        <v>0</v>
      </c>
      <c r="L1668" s="288">
        <f t="shared" si="90"/>
        <v>-24</v>
      </c>
      <c r="M1668" s="24"/>
      <c r="N1668" s="112" t="str">
        <f>IF(ISBLANK(E1668),"",_xlfn.XLOOKUP(E1668,cannabis_log!C:C,cannabis_log!T:T,"Not Found",0,))</f>
        <v>net</v>
      </c>
      <c r="O1668" s="180">
        <f>IF(N1668="net",_xlfn.XLOOKUP(E1668,cannabis_log!C:C,cannabis_log!N:N,"NOT FOUND",0,1),IF(N1668="gross",0,""))</f>
        <v>1</v>
      </c>
    </row>
    <row r="1669" spans="1:15">
      <c r="A1669" s="195" t="str">
        <f t="shared" si="92"/>
        <v>outbound</v>
      </c>
      <c r="B1669" s="196">
        <v>45763.696527777778</v>
      </c>
      <c r="C1669" s="197" t="s">
        <v>1929</v>
      </c>
      <c r="D1669" s="183" t="s">
        <v>621</v>
      </c>
      <c r="E1669" s="215" t="s">
        <v>2886</v>
      </c>
      <c r="F1669" s="112" t="str">
        <f>IF(ISBLANK(E1669),"",_xlfn.XLOOKUP(E1669,cannabis_log!C:C,cannabis_log!J:J,"",0,))</f>
        <v>PR241105F5P3</v>
      </c>
      <c r="G1669" s="112"/>
      <c r="H1669" s="112" t="str">
        <f>IF(ISBLANK(E1669),"",_xlfn.XLOOKUP(E1669,cannabis_log!C:C,cannabis_log!H:H,"",0,1))</f>
        <v>preroll_labelled</v>
      </c>
      <c r="I1669" s="113">
        <f>IF(ISBLANK(E1669),"",_xlfn.XLOOKUP(E1669,cannabis_log!C:C,cannabis_log!K:K,"NOT FOUND",0,1))</f>
        <v>45581</v>
      </c>
      <c r="J1669" s="185">
        <v>-1</v>
      </c>
      <c r="K1669" s="186">
        <f t="shared" si="91"/>
        <v>0</v>
      </c>
      <c r="L1669" s="288">
        <f t="shared" si="90"/>
        <v>-1.5</v>
      </c>
      <c r="M1669" s="24"/>
      <c r="N1669" s="112" t="str">
        <f>IF(ISBLANK(E1669),"",_xlfn.XLOOKUP(E1669,cannabis_log!C:C,cannabis_log!T:T,"Not Found",0,))</f>
        <v>net</v>
      </c>
      <c r="O1669" s="180">
        <f>IF(N1669="net",_xlfn.XLOOKUP(E1669,cannabis_log!C:C,cannabis_log!N:N,"NOT FOUND",0,1),IF(N1669="gross",0,""))</f>
        <v>1.5</v>
      </c>
    </row>
    <row r="1670" spans="1:15">
      <c r="A1670" s="195" t="str">
        <f t="shared" si="92"/>
        <v>outbound</v>
      </c>
      <c r="B1670" s="196">
        <v>45763.696527777778</v>
      </c>
      <c r="C1670" s="197" t="s">
        <v>1929</v>
      </c>
      <c r="D1670" s="197" t="s">
        <v>621</v>
      </c>
      <c r="E1670" s="215" t="s">
        <v>2720</v>
      </c>
      <c r="F1670" s="112" t="str">
        <f>IF(ISBLANK(E1670),"",_xlfn.XLOOKUP(E1670,cannabis_log!C:C,cannabis_log!J:J,"",0,))</f>
        <v>PR241101F5P3</v>
      </c>
      <c r="G1670" s="112"/>
      <c r="H1670" s="112" t="str">
        <f>IF(ISBLANK(E1670),"",_xlfn.XLOOKUP(E1670,cannabis_log!C:C,cannabis_log!H:H,"",0,1))</f>
        <v>preroll_labelled</v>
      </c>
      <c r="I1670" s="113">
        <f>IF(ISBLANK(E1670),"",_xlfn.XLOOKUP(E1670,cannabis_log!C:C,cannabis_log!K:K,"NOT FOUND",0,1))</f>
        <v>45707</v>
      </c>
      <c r="J1670" s="185">
        <v>-17</v>
      </c>
      <c r="K1670" s="186">
        <f t="shared" si="91"/>
        <v>0</v>
      </c>
      <c r="L1670" s="288">
        <f t="shared" si="90"/>
        <v>-25.5</v>
      </c>
      <c r="M1670" s="24"/>
      <c r="N1670" s="112" t="str">
        <f>IF(ISBLANK(E1670),"",_xlfn.XLOOKUP(E1670,cannabis_log!C:C,cannabis_log!T:T,"Not Found",0,))</f>
        <v>net</v>
      </c>
      <c r="O1670" s="180">
        <f>IF(N1670="net",_xlfn.XLOOKUP(E1670,cannabis_log!C:C,cannabis_log!N:N,"NOT FOUND",0,1),IF(N1670="gross",0,""))</f>
        <v>1.5</v>
      </c>
    </row>
    <row r="1671" spans="1:15">
      <c r="A1671" s="195" t="str">
        <f t="shared" si="92"/>
        <v>outbound</v>
      </c>
      <c r="B1671" s="196">
        <v>45764.462500000001</v>
      </c>
      <c r="C1671" s="197" t="s">
        <v>1921</v>
      </c>
      <c r="D1671" s="197" t="s">
        <v>1707</v>
      </c>
      <c r="E1671" s="215" t="s">
        <v>2813</v>
      </c>
      <c r="F1671" s="112" t="str">
        <f>IF(ISBLANK(E1671),"",_xlfn.XLOOKUP(E1671,cannabis_log!C:C,cannabis_log!J:J,"",0,))</f>
        <v>2022012401R1</v>
      </c>
      <c r="G1671" s="112"/>
      <c r="H1671" s="112" t="str">
        <f>IF(ISBLANK(E1671),"",_xlfn.XLOOKUP(E1671,cannabis_log!C:C,cannabis_log!H:H,"",0,1))</f>
        <v>driedflower_bulk</v>
      </c>
      <c r="I1671" s="113">
        <f>IF(ISBLANK(E1671),"",_xlfn.XLOOKUP(E1671,cannabis_log!C:C,cannabis_log!K:K,"NOT FOUND",0,1))</f>
        <v>44686</v>
      </c>
      <c r="J1671" s="185">
        <v>-1</v>
      </c>
      <c r="K1671" s="186">
        <v>-1252</v>
      </c>
      <c r="L1671" s="288">
        <f t="shared" si="90"/>
        <v>0</v>
      </c>
      <c r="M1671" s="24"/>
      <c r="N1671" s="112" t="str">
        <f>IF(ISBLANK(E1671),"",_xlfn.XLOOKUP(E1671,cannabis_log!C:C,cannabis_log!T:T,"Not Found",0,))</f>
        <v>gross</v>
      </c>
      <c r="O1671" s="180">
        <f>IF(N1671="net",_xlfn.XLOOKUP(E1671,cannabis_log!C:C,cannabis_log!N:N,"NOT FOUND",0,1),IF(N1671="gross",0,""))</f>
        <v>0</v>
      </c>
    </row>
    <row r="1672" spans="1:15">
      <c r="A1672" s="195" t="str">
        <f t="shared" si="92"/>
        <v>outbound</v>
      </c>
      <c r="B1672" s="196">
        <v>45764.462500000001</v>
      </c>
      <c r="C1672" s="197" t="s">
        <v>1921</v>
      </c>
      <c r="D1672" s="197" t="s">
        <v>1707</v>
      </c>
      <c r="E1672" s="215" t="s">
        <v>2942</v>
      </c>
      <c r="F1672" s="112" t="str">
        <f>IF(ISBLANK(E1672),"",_xlfn.XLOOKUP(E1672,cannabis_log!C:C,cannabis_log!J:J,"",0,))</f>
        <v>2022012401R1</v>
      </c>
      <c r="G1672" s="112"/>
      <c r="H1672" s="112" t="str">
        <f>IF(ISBLANK(E1672),"",_xlfn.XLOOKUP(E1672,cannabis_log!C:C,cannabis_log!H:H,"",0,1))</f>
        <v>driedflower_bulk</v>
      </c>
      <c r="I1672" s="113">
        <f>IF(ISBLANK(E1672),"",_xlfn.XLOOKUP(E1672,cannabis_log!C:C,cannabis_log!K:K,"NOT FOUND",0,1))</f>
        <v>44686</v>
      </c>
      <c r="J1672" s="185">
        <v>-1</v>
      </c>
      <c r="K1672" s="186">
        <v>-320</v>
      </c>
      <c r="L1672" s="288">
        <f t="shared" si="90"/>
        <v>0</v>
      </c>
      <c r="M1672" s="24"/>
      <c r="N1672" s="112" t="str">
        <f>IF(ISBLANK(E1672),"",_xlfn.XLOOKUP(E1672,cannabis_log!C:C,cannabis_log!T:T,"Not Found",0,))</f>
        <v>gross</v>
      </c>
      <c r="O1672" s="180">
        <f>IF(N1672="net",_xlfn.XLOOKUP(E1672,cannabis_log!C:C,cannabis_log!N:N,"NOT FOUND",0,1),IF(N1672="gross",0,""))</f>
        <v>0</v>
      </c>
    </row>
    <row r="1673" spans="1:15">
      <c r="A1673" s="195" t="str">
        <f t="shared" si="92"/>
        <v>outbound</v>
      </c>
      <c r="B1673" s="196">
        <v>45764.462500000001</v>
      </c>
      <c r="C1673" s="197" t="s">
        <v>1921</v>
      </c>
      <c r="D1673" s="197" t="s">
        <v>1707</v>
      </c>
      <c r="E1673" s="215" t="s">
        <v>2814</v>
      </c>
      <c r="F1673" s="112" t="str">
        <f>IF(ISBLANK(E1673),"",_xlfn.XLOOKUP(E1673,cannabis_log!C:C,cannabis_log!J:J,"",0,))</f>
        <v>2022012401R1</v>
      </c>
      <c r="G1673" s="112"/>
      <c r="H1673" s="112" t="str">
        <f>IF(ISBLANK(E1673),"",_xlfn.XLOOKUP(E1673,cannabis_log!C:C,cannabis_log!H:H,"",0,1))</f>
        <v>driedflower_bulk</v>
      </c>
      <c r="I1673" s="113">
        <f>IF(ISBLANK(E1673),"",_xlfn.XLOOKUP(E1673,cannabis_log!C:C,cannabis_log!K:K,"NOT FOUND",0,1))</f>
        <v>44686</v>
      </c>
      <c r="J1673" s="185">
        <v>-1</v>
      </c>
      <c r="K1673" s="186">
        <v>-1025.7</v>
      </c>
      <c r="L1673" s="288">
        <f t="shared" si="90"/>
        <v>0</v>
      </c>
      <c r="M1673" s="24"/>
      <c r="N1673" s="112" t="str">
        <f>IF(ISBLANK(E1673),"",_xlfn.XLOOKUP(E1673,cannabis_log!C:C,cannabis_log!T:T,"Not Found",0,))</f>
        <v>gross</v>
      </c>
      <c r="O1673" s="180">
        <f>IF(N1673="net",_xlfn.XLOOKUP(E1673,cannabis_log!C:C,cannabis_log!N:N,"NOT FOUND",0,1),IF(N1673="gross",0,""))</f>
        <v>0</v>
      </c>
    </row>
    <row r="1674" spans="1:15">
      <c r="A1674" s="195" t="str">
        <f t="shared" si="92"/>
        <v>outbound</v>
      </c>
      <c r="B1674" s="196">
        <v>45764.462500000001</v>
      </c>
      <c r="C1674" s="197" t="s">
        <v>1921</v>
      </c>
      <c r="D1674" s="197" t="s">
        <v>1707</v>
      </c>
      <c r="E1674" s="215" t="s">
        <v>2943</v>
      </c>
      <c r="F1674" s="112" t="str">
        <f>IF(ISBLANK(E1674),"",_xlfn.XLOOKUP(E1674,cannabis_log!C:C,cannabis_log!J:J,"",0,))</f>
        <v>PR2301</v>
      </c>
      <c r="G1674" s="112"/>
      <c r="H1674" s="112" t="str">
        <f>IF(ISBLANK(E1674),"",_xlfn.XLOOKUP(E1674,cannabis_log!C:C,cannabis_log!H:H,"",0,1))</f>
        <v>driedflower_milled_bulk</v>
      </c>
      <c r="I1674" s="113">
        <f>IF(ISBLANK(E1674),"",_xlfn.XLOOKUP(E1674,cannabis_log!C:C,cannabis_log!K:K,"NOT FOUND",0,1))</f>
        <v>44206</v>
      </c>
      <c r="J1674" s="185">
        <v>-1</v>
      </c>
      <c r="K1674" s="186">
        <v>-4060</v>
      </c>
      <c r="L1674" s="288">
        <f t="shared" si="90"/>
        <v>0</v>
      </c>
      <c r="M1674" s="24"/>
      <c r="N1674" s="112" t="str">
        <f>IF(ISBLANK(E1674),"",_xlfn.XLOOKUP(E1674,cannabis_log!C:C,cannabis_log!T:T,"Not Found",0,))</f>
        <v>gross</v>
      </c>
      <c r="O1674" s="180">
        <f>IF(N1674="net",_xlfn.XLOOKUP(E1674,cannabis_log!C:C,cannabis_log!N:N,"NOT FOUND",0,1),IF(N1674="gross",0,""))</f>
        <v>0</v>
      </c>
    </row>
    <row r="1675" spans="1:15">
      <c r="A1675" s="195" t="str">
        <f t="shared" si="92"/>
        <v>outbound</v>
      </c>
      <c r="B1675" s="196">
        <v>45764.465277777781</v>
      </c>
      <c r="C1675" s="197" t="s">
        <v>1929</v>
      </c>
      <c r="D1675" s="15" t="s">
        <v>633</v>
      </c>
      <c r="E1675" s="215" t="s">
        <v>2686</v>
      </c>
      <c r="F1675" s="112" t="str">
        <f>IF(ISBLANK(E1675),"",_xlfn.XLOOKUP(E1675,cannabis_log!C:C,cannabis_log!J:J,"",0,))</f>
        <v>EX25012101V50</v>
      </c>
      <c r="G1675" s="112"/>
      <c r="H1675" s="112" t="str">
        <f>IF(ISBLANK(E1675),"",_xlfn.XLOOKUP(E1675,cannabis_log!C:C,cannabis_log!H:H,"",0,1))</f>
        <v>extract_ingested_cased_BC</v>
      </c>
      <c r="I1675" s="113">
        <f>IF(ISBLANK(E1675),"",_xlfn.XLOOKUP(E1675,cannabis_log!C:C,cannabis_log!K:K,"NOT FOUND",0,1))</f>
        <v>45700</v>
      </c>
      <c r="J1675" s="185">
        <v>-1</v>
      </c>
      <c r="K1675" s="186">
        <f>IF(N1675="net",0,"")</f>
        <v>0</v>
      </c>
      <c r="L1675" s="288">
        <f t="shared" si="90"/>
        <v>-600</v>
      </c>
      <c r="M1675" s="24"/>
      <c r="N1675" s="112" t="str">
        <f>IF(ISBLANK(E1675),"",_xlfn.XLOOKUP(E1675,cannabis_log!C:C,cannabis_log!T:T,"Not Found",0,))</f>
        <v>net</v>
      </c>
      <c r="O1675" s="180">
        <f>IF(N1675="net",_xlfn.XLOOKUP(E1675,cannabis_log!C:C,cannabis_log!N:N,"NOT FOUND",0,1),IF(N1675="gross",0,""))</f>
        <v>600</v>
      </c>
    </row>
    <row r="1676" spans="1:15">
      <c r="A1676" s="195" t="str">
        <f t="shared" si="92"/>
        <v>outbound</v>
      </c>
      <c r="B1676" s="196">
        <v>45764.465277777781</v>
      </c>
      <c r="C1676" s="197" t="s">
        <v>1929</v>
      </c>
      <c r="D1676" s="15" t="s">
        <v>633</v>
      </c>
      <c r="E1676" s="215" t="s">
        <v>2750</v>
      </c>
      <c r="F1676" s="112" t="str">
        <f>IF(ISBLANK(E1676),"",_xlfn.XLOOKUP(E1676,cannabis_log!C:C,cannabis_log!J:J,"",0,))</f>
        <v>EX24092601V50</v>
      </c>
      <c r="G1676" s="112"/>
      <c r="H1676" s="112" t="str">
        <f>IF(ISBLANK(E1676),"",_xlfn.XLOOKUP(E1676,cannabis_log!C:C,cannabis_log!H:H,"",0,1))</f>
        <v>extract_ingested_cased_BC</v>
      </c>
      <c r="I1676" s="113">
        <f>IF(ISBLANK(E1676),"",_xlfn.XLOOKUP(E1676,cannabis_log!C:C,cannabis_log!K:K,"NOT FOUND",0,1))</f>
        <v>45576</v>
      </c>
      <c r="J1676" s="185">
        <v>-1</v>
      </c>
      <c r="K1676" s="186">
        <f>IF(N1676="net",0,"")</f>
        <v>0</v>
      </c>
      <c r="L1676" s="288">
        <f t="shared" si="90"/>
        <v>-600</v>
      </c>
      <c r="M1676" s="24"/>
      <c r="N1676" s="112" t="str">
        <f>IF(ISBLANK(E1676),"",_xlfn.XLOOKUP(E1676,cannabis_log!C:C,cannabis_log!T:T,"Not Found",0,))</f>
        <v>net</v>
      </c>
      <c r="O1676" s="180">
        <f>IF(N1676="net",_xlfn.XLOOKUP(E1676,cannabis_log!C:C,cannabis_log!N:N,"NOT FOUND",0,1),IF(N1676="gross",0,""))</f>
        <v>600</v>
      </c>
    </row>
    <row r="1677" spans="1:15">
      <c r="A1677" s="195" t="str">
        <f t="shared" si="92"/>
        <v>outbound</v>
      </c>
      <c r="B1677" s="196">
        <v>45764.465277777781</v>
      </c>
      <c r="C1677" s="197" t="s">
        <v>1929</v>
      </c>
      <c r="D1677" s="15" t="s">
        <v>632</v>
      </c>
      <c r="E1677" s="215" t="s">
        <v>2887</v>
      </c>
      <c r="F1677" s="112" t="str">
        <f>IF(ISBLANK(E1677),"",_xlfn.XLOOKUP(E1677,cannabis_log!C:C,cannabis_log!J:J,"",0,))</f>
        <v>PR2507F1P2</v>
      </c>
      <c r="G1677" s="112"/>
      <c r="H1677" s="112" t="str">
        <f>IF(ISBLANK(E1677),"",_xlfn.XLOOKUP(E1677,cannabis_log!C:C,cannabis_log!H:H,"",0,1))</f>
        <v>preroll_labelled</v>
      </c>
      <c r="I1677" s="113">
        <f>IF(ISBLANK(E1677),"",_xlfn.XLOOKUP(E1677,cannabis_log!C:C,cannabis_log!K:K,"NOT FOUND",0,1))</f>
        <v>45749</v>
      </c>
      <c r="J1677" s="185">
        <v>-12</v>
      </c>
      <c r="K1677" s="186">
        <f>IF(N1677="net",0,"")</f>
        <v>0</v>
      </c>
      <c r="L1677" s="288">
        <f t="shared" si="90"/>
        <v>-24</v>
      </c>
      <c r="M1677" s="24"/>
      <c r="N1677" s="112" t="str">
        <f>IF(ISBLANK(E1677),"",_xlfn.XLOOKUP(E1677,cannabis_log!C:C,cannabis_log!T:T,"Not Found",0,))</f>
        <v>net</v>
      </c>
      <c r="O1677" s="180">
        <f>IF(N1677="net",_xlfn.XLOOKUP(E1677,cannabis_log!C:C,cannabis_log!N:N,"NOT FOUND",0,1),IF(N1677="gross",0,""))</f>
        <v>2</v>
      </c>
    </row>
    <row r="1678" spans="1:15">
      <c r="A1678" s="195" t="str">
        <f t="shared" si="92"/>
        <v>outbound</v>
      </c>
      <c r="B1678" s="196">
        <v>45764.465277777781</v>
      </c>
      <c r="C1678" s="197" t="s">
        <v>1929</v>
      </c>
      <c r="D1678" s="15" t="s">
        <v>632</v>
      </c>
      <c r="E1678" s="215" t="s">
        <v>2885</v>
      </c>
      <c r="F1678" s="112" t="str">
        <f>IF(ISBLANK(E1678),"",_xlfn.XLOOKUP(E1678,cannabis_log!C:C,cannabis_log!J:J,"",0,))</f>
        <v>ROGEX001G1</v>
      </c>
      <c r="G1678" s="112"/>
      <c r="H1678" s="112" t="str">
        <f>IF(ISBLANK(E1678),"",_xlfn.XLOOKUP(E1678,cannabis_log!C:C,cannabis_log!H:H,"",0,1))</f>
        <v>extract_inhaled_labelled_Rohan</v>
      </c>
      <c r="I1678" s="113">
        <f>IF(ISBLANK(E1678),"",_xlfn.XLOOKUP(E1678,cannabis_log!C:C,cannabis_log!K:K,"NOT FOUND",0,1))</f>
        <v>45740</v>
      </c>
      <c r="J1678" s="185">
        <v>-12</v>
      </c>
      <c r="K1678" s="186">
        <f>IF(N1678="net",0,"")</f>
        <v>0</v>
      </c>
      <c r="L1678" s="288">
        <f t="shared" si="90"/>
        <v>-12</v>
      </c>
      <c r="M1678" s="24"/>
      <c r="N1678" s="112" t="str">
        <f>IF(ISBLANK(E1678),"",_xlfn.XLOOKUP(E1678,cannabis_log!C:C,cannabis_log!T:T,"Not Found",0,))</f>
        <v>net</v>
      </c>
      <c r="O1678" s="180">
        <f>IF(N1678="net",_xlfn.XLOOKUP(E1678,cannabis_log!C:C,cannabis_log!N:N,"NOT FOUND",0,1),IF(N1678="gross",0,""))</f>
        <v>1</v>
      </c>
    </row>
    <row r="1679" spans="1:15">
      <c r="A1679" s="195" t="str">
        <f t="shared" si="92"/>
        <v>outbound</v>
      </c>
      <c r="B1679" s="196">
        <v>45764.477083333331</v>
      </c>
      <c r="C1679" s="197" t="s">
        <v>1921</v>
      </c>
      <c r="D1679" s="183"/>
      <c r="E1679" s="215" t="s">
        <v>2841</v>
      </c>
      <c r="F1679" s="112">
        <f>IF(ISBLANK(E1679),"",_xlfn.XLOOKUP(E1679,cannabis_log!C:C,cannabis_log!J:J,"",0,))</f>
        <v>2024120501</v>
      </c>
      <c r="G1679" s="112"/>
      <c r="H1679" s="112" t="str">
        <f>IF(ISBLANK(E1679),"",_xlfn.XLOOKUP(E1679,cannabis_log!C:C,cannabis_log!H:H,"",0,1))</f>
        <v>driedflower_bulk_BURB</v>
      </c>
      <c r="I1679" s="113" t="str">
        <f>IF(ISBLANK(E1679),"",_xlfn.XLOOKUP(E1679,cannabis_log!C:C,cannabis_log!K:K,"NOT FOUND",0,1))</f>
        <v>NA</v>
      </c>
      <c r="J1679" s="185">
        <v>-1</v>
      </c>
      <c r="K1679" s="186">
        <v>-210</v>
      </c>
      <c r="L1679" s="288">
        <f t="shared" si="90"/>
        <v>0</v>
      </c>
      <c r="M1679" s="24"/>
      <c r="N1679" s="112" t="str">
        <f>IF(ISBLANK(E1679),"",_xlfn.XLOOKUP(E1679,cannabis_log!C:C,cannabis_log!T:T,"Not Found",0,))</f>
        <v>gross</v>
      </c>
      <c r="O1679" s="180">
        <f>IF(N1679="net",_xlfn.XLOOKUP(E1679,cannabis_log!C:C,cannabis_log!N:N,"NOT FOUND",0,1),IF(N1679="gross",0,""))</f>
        <v>0</v>
      </c>
    </row>
    <row r="1680" spans="1:15">
      <c r="A1680" s="195" t="str">
        <f t="shared" si="92"/>
        <v>outbound</v>
      </c>
      <c r="B1680" s="196">
        <v>45764.518750000003</v>
      </c>
      <c r="C1680" s="197" t="s">
        <v>1929</v>
      </c>
      <c r="D1680" s="22" t="s">
        <v>2944</v>
      </c>
      <c r="E1680" s="215" t="s">
        <v>2719</v>
      </c>
      <c r="F1680" s="112" t="str">
        <f>IF(ISBLANK(E1680),"",_xlfn.XLOOKUP(E1680,cannabis_log!C:C,cannabis_log!J:J,"",0,))</f>
        <v>PR241104F5P3</v>
      </c>
      <c r="G1680" s="112"/>
      <c r="H1680" s="112" t="str">
        <f>IF(ISBLANK(E1680),"",_xlfn.XLOOKUP(E1680,cannabis_log!C:C,cannabis_log!H:H,"",0,1))</f>
        <v>preroll_labelled</v>
      </c>
      <c r="I1680" s="113">
        <f>IF(ISBLANK(E1680),"",_xlfn.XLOOKUP(E1680,cannabis_log!C:C,cannabis_log!K:K,"NOT FOUND",0,1))</f>
        <v>45630</v>
      </c>
      <c r="J1680" s="185">
        <v>-12</v>
      </c>
      <c r="K1680" s="186">
        <f>IF(N1680="net",0,"")</f>
        <v>0</v>
      </c>
      <c r="L1680" s="288">
        <f t="shared" si="90"/>
        <v>-18</v>
      </c>
      <c r="M1680" s="24"/>
      <c r="N1680" s="112" t="str">
        <f>IF(ISBLANK(E1680),"",_xlfn.XLOOKUP(E1680,cannabis_log!C:C,cannabis_log!T:T,"Not Found",0,))</f>
        <v>net</v>
      </c>
      <c r="O1680" s="180">
        <f>IF(N1680="net",_xlfn.XLOOKUP(E1680,cannabis_log!C:C,cannabis_log!N:N,"NOT FOUND",0,1),IF(N1680="gross",0,""))</f>
        <v>1.5</v>
      </c>
    </row>
    <row r="1681" spans="1:15">
      <c r="A1681" s="195" t="str">
        <f t="shared" si="92"/>
        <v>inbound</v>
      </c>
      <c r="B1681" s="196">
        <v>45764.644444444442</v>
      </c>
      <c r="C1681" s="197" t="s">
        <v>1927</v>
      </c>
      <c r="D1681" s="183"/>
      <c r="E1681" s="215" t="s">
        <v>2869</v>
      </c>
      <c r="F1681" s="112" t="str">
        <f>IF(ISBLANK(E1681),"",_xlfn.XLOOKUP(E1681,cannabis_log!C:C,cannabis_log!J:J,"",0,))</f>
        <v>PR2514</v>
      </c>
      <c r="G1681" s="112"/>
      <c r="H1681" s="112" t="str">
        <f>IF(ISBLANK(E1681),"",_xlfn.XLOOKUP(E1681,cannabis_log!C:C,cannabis_log!H:H,"",0,1))</f>
        <v>driedflower_milled_bulk_BURB</v>
      </c>
      <c r="I1681" s="113" t="str">
        <f>IF(ISBLANK(E1681),"",_xlfn.XLOOKUP(E1681,cannabis_log!C:C,cannabis_log!K:K,"NOT FOUND",0,1))</f>
        <v>NA</v>
      </c>
      <c r="J1681" s="185">
        <v>1</v>
      </c>
      <c r="K1681" s="186">
        <v>2888</v>
      </c>
      <c r="L1681" s="288">
        <f t="shared" si="90"/>
        <v>0</v>
      </c>
      <c r="M1681" s="24"/>
      <c r="N1681" s="112" t="str">
        <f>IF(ISBLANK(E1681),"",_xlfn.XLOOKUP(E1681,cannabis_log!C:C,cannabis_log!T:T,"Not Found",0,))</f>
        <v>gross</v>
      </c>
      <c r="O1681" s="180">
        <f>IF(N1681="net",_xlfn.XLOOKUP(E1681,cannabis_log!C:C,cannabis_log!N:N,"NOT FOUND",0,1),IF(N1681="gross",0,""))</f>
        <v>0</v>
      </c>
    </row>
    <row r="1682" spans="1:15">
      <c r="A1682" s="195" t="str">
        <f t="shared" si="92"/>
        <v>inbound</v>
      </c>
      <c r="B1682" s="196">
        <v>45764.661111111112</v>
      </c>
      <c r="C1682" s="197" t="s">
        <v>1927</v>
      </c>
      <c r="D1682" s="183"/>
      <c r="E1682" s="215" t="s">
        <v>2758</v>
      </c>
      <c r="F1682" s="112">
        <f>IF(ISBLANK(E1682),"",_xlfn.XLOOKUP(E1682,cannabis_log!C:C,cannabis_log!J:J,"",0,))</f>
        <v>2025021901</v>
      </c>
      <c r="G1682" s="112"/>
      <c r="H1682" s="112" t="str">
        <f>IF(ISBLANK(E1682),"",_xlfn.XLOOKUP(E1682,cannabis_log!C:C,cannabis_log!H:H,"",0,1))</f>
        <v>extract_distillate_bulk</v>
      </c>
      <c r="I1682" s="113" t="str">
        <f>IF(ISBLANK(E1682),"",_xlfn.XLOOKUP(E1682,cannabis_log!C:C,cannabis_log!K:K,"NOT FOUND",0,1))</f>
        <v>NA</v>
      </c>
      <c r="J1682" s="185">
        <v>1</v>
      </c>
      <c r="K1682" s="186">
        <v>900.3</v>
      </c>
      <c r="L1682" s="288">
        <f t="shared" si="90"/>
        <v>0</v>
      </c>
      <c r="M1682" s="24"/>
      <c r="N1682" s="112" t="str">
        <f>IF(ISBLANK(E1682),"",_xlfn.XLOOKUP(E1682,cannabis_log!C:C,cannabis_log!T:T,"Not Found",0,))</f>
        <v>gross</v>
      </c>
      <c r="O1682" s="180">
        <f>IF(N1682="net",_xlfn.XLOOKUP(E1682,cannabis_log!C:C,cannabis_log!N:N,"NOT FOUND",0,1),IF(N1682="gross",0,""))</f>
        <v>0</v>
      </c>
    </row>
    <row r="1683" spans="1:15">
      <c r="A1683" s="195" t="str">
        <f t="shared" si="92"/>
        <v>inbound</v>
      </c>
      <c r="B1683" s="196">
        <v>45764.661111111112</v>
      </c>
      <c r="C1683" s="197" t="s">
        <v>1927</v>
      </c>
      <c r="D1683" s="197"/>
      <c r="E1683" s="215" t="s">
        <v>2851</v>
      </c>
      <c r="F1683" s="112">
        <f>IF(ISBLANK(E1683),"",_xlfn.XLOOKUP(E1683,cannabis_log!C:C,cannabis_log!J:J,"",0,))</f>
        <v>2024100401</v>
      </c>
      <c r="G1683" s="112"/>
      <c r="H1683" s="112" t="str">
        <f>IF(ISBLANK(E1683),"",_xlfn.XLOOKUP(E1683,cannabis_log!C:C,cannabis_log!H:H,"",0,1))</f>
        <v>extract_distillate_bulk</v>
      </c>
      <c r="I1683" s="113">
        <f>IF(ISBLANK(E1683),"",_xlfn.XLOOKUP(E1683,cannabis_log!C:C,cannabis_log!K:K,"NOT FOUND",0,1))</f>
        <v>45595</v>
      </c>
      <c r="J1683" s="185">
        <v>1</v>
      </c>
      <c r="K1683" s="186">
        <v>1020</v>
      </c>
      <c r="L1683" s="288">
        <f t="shared" si="90"/>
        <v>0</v>
      </c>
      <c r="M1683" s="24"/>
      <c r="N1683" s="112" t="str">
        <f>IF(ISBLANK(E1683),"",_xlfn.XLOOKUP(E1683,cannabis_log!C:C,cannabis_log!T:T,"Not Found",0,))</f>
        <v>gross</v>
      </c>
      <c r="O1683" s="180">
        <f>IF(N1683="net",_xlfn.XLOOKUP(E1683,cannabis_log!C:C,cannabis_log!N:N,"NOT FOUND",0,1),IF(N1683="gross",0,""))</f>
        <v>0</v>
      </c>
    </row>
    <row r="1684" spans="1:15">
      <c r="A1684" s="195" t="str">
        <f t="shared" si="92"/>
        <v>inbound</v>
      </c>
      <c r="B1684" s="196">
        <v>45764.661111111112</v>
      </c>
      <c r="C1684" s="197" t="s">
        <v>1927</v>
      </c>
      <c r="D1684" s="183"/>
      <c r="E1684" s="215" t="s">
        <v>2817</v>
      </c>
      <c r="F1684" s="112">
        <f>IF(ISBLANK(E1684),"",_xlfn.XLOOKUP(E1684,cannabis_log!C:C,cannabis_log!J:J,"",0,))</f>
        <v>2025012801</v>
      </c>
      <c r="G1684" s="112"/>
      <c r="H1684" s="112" t="str">
        <f>IF(ISBLANK(E1684),"",_xlfn.XLOOKUP(E1684,cannabis_log!C:C,cannabis_log!H:H,"",0,1))</f>
        <v>extract_distillate_bulk</v>
      </c>
      <c r="I1684" s="113" t="str">
        <f>IF(ISBLANK(E1684),"",_xlfn.XLOOKUP(E1684,cannabis_log!C:C,cannabis_log!K:K,"NOT FOUND",0,1))</f>
        <v>NA</v>
      </c>
      <c r="J1684" s="185">
        <v>1</v>
      </c>
      <c r="K1684" s="186">
        <v>1993</v>
      </c>
      <c r="L1684" s="288">
        <f t="shared" si="90"/>
        <v>0</v>
      </c>
      <c r="M1684" s="24"/>
      <c r="N1684" s="112" t="str">
        <f>IF(ISBLANK(E1684),"",_xlfn.XLOOKUP(E1684,cannabis_log!C:C,cannabis_log!T:T,"Not Found",0,))</f>
        <v>gross</v>
      </c>
      <c r="O1684" s="180">
        <f>IF(N1684="net",_xlfn.XLOOKUP(E1684,cannabis_log!C:C,cannabis_log!N:N,"NOT FOUND",0,1),IF(N1684="gross",0,""))</f>
        <v>0</v>
      </c>
    </row>
    <row r="1685" spans="1:15">
      <c r="A1685" s="195" t="str">
        <f t="shared" si="92"/>
        <v>inbound</v>
      </c>
      <c r="B1685" s="196">
        <v>45764.661111111112</v>
      </c>
      <c r="C1685" s="197" t="s">
        <v>1927</v>
      </c>
      <c r="D1685" s="197"/>
      <c r="E1685" s="215" t="s">
        <v>2881</v>
      </c>
      <c r="F1685" s="112" t="str">
        <f>IF(ISBLANK(E1685),"",_xlfn.XLOOKUP(E1685,cannabis_log!C:C,cannabis_log!J:J,"",0,))</f>
        <v>PR2512</v>
      </c>
      <c r="G1685" s="112"/>
      <c r="H1685" s="112" t="str">
        <f>IF(ISBLANK(E1685),"",_xlfn.XLOOKUP(E1685,cannabis_log!C:C,cannabis_log!H:H,"",0,1))</f>
        <v>diredflower_milled_bulk_Rohan</v>
      </c>
      <c r="I1685" s="113" t="str">
        <f>IF(ISBLANK(E1685),"",_xlfn.XLOOKUP(E1685,cannabis_log!C:C,cannabis_log!K:K,"NOT FOUND",0,1))</f>
        <v>NA</v>
      </c>
      <c r="J1685" s="185">
        <v>1</v>
      </c>
      <c r="K1685" s="186">
        <v>3680</v>
      </c>
      <c r="L1685" s="288">
        <f t="shared" si="90"/>
        <v>0</v>
      </c>
      <c r="M1685" s="24"/>
      <c r="N1685" s="112" t="str">
        <f>IF(ISBLANK(E1685),"",_xlfn.XLOOKUP(E1685,cannabis_log!C:C,cannabis_log!T:T,"Not Found",0,))</f>
        <v>gross</v>
      </c>
      <c r="O1685" s="180">
        <f>IF(N1685="net",_xlfn.XLOOKUP(E1685,cannabis_log!C:C,cannabis_log!N:N,"NOT FOUND",0,1),IF(N1685="gross",0,""))</f>
        <v>0</v>
      </c>
    </row>
    <row r="1686" spans="1:15">
      <c r="A1686" s="195" t="str">
        <f t="shared" si="92"/>
        <v>inbound</v>
      </c>
      <c r="B1686" s="196">
        <v>45764.661111111112</v>
      </c>
      <c r="C1686" s="197" t="s">
        <v>1927</v>
      </c>
      <c r="D1686" s="197"/>
      <c r="E1686" s="215" t="s">
        <v>2899</v>
      </c>
      <c r="F1686" s="112" t="str">
        <f>IF(ISBLANK(E1686),"",_xlfn.XLOOKUP(E1686,cannabis_log!C:C,cannabis_log!J:J,"",0,))</f>
        <v>PR2513</v>
      </c>
      <c r="G1686" s="112"/>
      <c r="H1686" s="112" t="str">
        <f>IF(ISBLANK(E1686),"",_xlfn.XLOOKUP(E1686,cannabis_log!C:C,cannabis_log!H:H,"",0,1))</f>
        <v>driedflower_milled_bulk_JEN</v>
      </c>
      <c r="I1686" s="113" t="str">
        <f>IF(ISBLANK(E1686),"",_xlfn.XLOOKUP(E1686,cannabis_log!C:C,cannabis_log!K:K,"NOT FOUND",0,1))</f>
        <v>NA</v>
      </c>
      <c r="J1686" s="185">
        <v>1</v>
      </c>
      <c r="K1686" s="186">
        <v>1832</v>
      </c>
      <c r="L1686" s="288">
        <f t="shared" si="90"/>
        <v>0</v>
      </c>
      <c r="M1686" s="24"/>
      <c r="N1686" s="112" t="str">
        <f>IF(ISBLANK(E1686),"",_xlfn.XLOOKUP(E1686,cannabis_log!C:C,cannabis_log!T:T,"Not Found",0,))</f>
        <v>gross</v>
      </c>
      <c r="O1686" s="180">
        <f>IF(N1686="net",_xlfn.XLOOKUP(E1686,cannabis_log!C:C,cannabis_log!N:N,"NOT FOUND",0,1),IF(N1686="gross",0,""))</f>
        <v>0</v>
      </c>
    </row>
    <row r="1687" spans="1:15">
      <c r="A1687" s="195" t="str">
        <f t="shared" si="92"/>
        <v>inbound</v>
      </c>
      <c r="B1687" s="196">
        <v>45764.661111111112</v>
      </c>
      <c r="C1687" s="197" t="s">
        <v>1927</v>
      </c>
      <c r="D1687" s="197"/>
      <c r="E1687" s="215" t="s">
        <v>2941</v>
      </c>
      <c r="F1687" s="112" t="str">
        <f>IF(ISBLANK(E1687),"",_xlfn.XLOOKUP(E1687,cannabis_log!C:C,cannabis_log!J:J,"",0,))</f>
        <v>EX25012101V50</v>
      </c>
      <c r="G1687" s="112"/>
      <c r="H1687" s="112" t="str">
        <f>IF(ISBLANK(E1687),"",_xlfn.XLOOKUP(E1687,cannabis_log!C:C,cannabis_log!H:H,"",0,1))</f>
        <v>extract_ingested_labelled</v>
      </c>
      <c r="I1687" s="113">
        <f>IF(ISBLANK(E1687),"",_xlfn.XLOOKUP(E1687,cannabis_log!C:C,cannabis_log!K:K,"NOT FOUND",0,1))</f>
        <v>45700</v>
      </c>
      <c r="J1687" s="185">
        <v>278</v>
      </c>
      <c r="K1687" s="186">
        <f t="shared" ref="K1687:K1699" si="93">IF(N1687="net",0,"")</f>
        <v>0</v>
      </c>
      <c r="L1687" s="288">
        <f t="shared" si="90"/>
        <v>13900</v>
      </c>
      <c r="M1687" s="24"/>
      <c r="N1687" s="112" t="str">
        <f>IF(ISBLANK(E1687),"",_xlfn.XLOOKUP(E1687,cannabis_log!C:C,cannabis_log!T:T,"Not Found",0,))</f>
        <v>net</v>
      </c>
      <c r="O1687" s="180">
        <f>IF(N1687="net",_xlfn.XLOOKUP(E1687,cannabis_log!C:C,cannabis_log!N:N,"NOT FOUND",0,1),IF(N1687="gross",0,""))</f>
        <v>50</v>
      </c>
    </row>
    <row r="1688" spans="1:15">
      <c r="A1688" s="195" t="str">
        <f t="shared" si="92"/>
        <v>inbound</v>
      </c>
      <c r="B1688" s="196">
        <v>45764.661111111112</v>
      </c>
      <c r="C1688" s="197" t="s">
        <v>1927</v>
      </c>
      <c r="D1688" s="197"/>
      <c r="E1688" s="215" t="s">
        <v>2735</v>
      </c>
      <c r="F1688" s="112" t="str">
        <f>IF(ISBLANK(E1688),"",_xlfn.XLOOKUP(E1688,cannabis_log!C:C,cannabis_log!J:J,"",0,))</f>
        <v>EX25012101V50</v>
      </c>
      <c r="G1688" s="112"/>
      <c r="H1688" s="112" t="str">
        <f>IF(ISBLANK(E1688),"",_xlfn.XLOOKUP(E1688,cannabis_log!C:C,cannabis_log!H:H,"",0,1))</f>
        <v>extract_ingested_packaged</v>
      </c>
      <c r="I1688" s="113">
        <f>IF(ISBLANK(E1688),"",_xlfn.XLOOKUP(E1688,cannabis_log!C:C,cannabis_log!K:K,"NOT FOUND",0,1))</f>
        <v>45700</v>
      </c>
      <c r="J1688" s="185">
        <v>44</v>
      </c>
      <c r="K1688" s="186">
        <f t="shared" si="93"/>
        <v>0</v>
      </c>
      <c r="L1688" s="288">
        <f t="shared" si="90"/>
        <v>2200</v>
      </c>
      <c r="M1688" s="24"/>
      <c r="N1688" s="112" t="str">
        <f>IF(ISBLANK(E1688),"",_xlfn.XLOOKUP(E1688,cannabis_log!C:C,cannabis_log!T:T,"Not Found",0,))</f>
        <v>net</v>
      </c>
      <c r="O1688" s="180">
        <f>IF(N1688="net",_xlfn.XLOOKUP(E1688,cannabis_log!C:C,cannabis_log!N:N,"NOT FOUND",0,1),IF(N1688="gross",0,""))</f>
        <v>50</v>
      </c>
    </row>
    <row r="1689" spans="1:15">
      <c r="A1689" s="195" t="str">
        <f t="shared" si="92"/>
        <v>inbound</v>
      </c>
      <c r="B1689" s="196">
        <v>45764.682638888888</v>
      </c>
      <c r="C1689" s="197" t="s">
        <v>1927</v>
      </c>
      <c r="D1689" s="197"/>
      <c r="E1689" s="215" t="s">
        <v>2922</v>
      </c>
      <c r="F1689" s="112" t="str">
        <f>IF(ISBLANK(E1689),"",_xlfn.XLOOKUP(E1689,cannabis_log!C:C,cannabis_log!J:J,"",0,))</f>
        <v>PR241104F5P3</v>
      </c>
      <c r="G1689" s="112"/>
      <c r="H1689" s="112" t="str">
        <f>IF(ISBLANK(E1689),"",_xlfn.XLOOKUP(E1689,cannabis_log!C:C,cannabis_log!H:H,"",0,1))</f>
        <v>preroll_labelled</v>
      </c>
      <c r="I1689" s="113">
        <f>IF(ISBLANK(E1689),"",_xlfn.XLOOKUP(E1689,cannabis_log!C:C,cannabis_log!K:K,"NOT FOUND",0,1))</f>
        <v>45588</v>
      </c>
      <c r="J1689" s="185">
        <v>44</v>
      </c>
      <c r="K1689" s="186">
        <f t="shared" si="93"/>
        <v>0</v>
      </c>
      <c r="L1689" s="288">
        <f t="shared" si="90"/>
        <v>66</v>
      </c>
      <c r="M1689" s="24"/>
      <c r="N1689" s="112" t="str">
        <f>IF(ISBLANK(E1689),"",_xlfn.XLOOKUP(E1689,cannabis_log!C:C,cannabis_log!T:T,"Not Found",0,))</f>
        <v>net</v>
      </c>
      <c r="O1689" s="180">
        <f>IF(N1689="net",_xlfn.XLOOKUP(E1689,cannabis_log!C:C,cannabis_log!N:N,"NOT FOUND",0,1),IF(N1689="gross",0,""))</f>
        <v>1.5</v>
      </c>
    </row>
    <row r="1690" spans="1:15">
      <c r="A1690" s="195" t="str">
        <f t="shared" si="92"/>
        <v>inbound</v>
      </c>
      <c r="B1690" s="196">
        <v>45764.685416666667</v>
      </c>
      <c r="C1690" s="197" t="s">
        <v>1927</v>
      </c>
      <c r="D1690" s="197"/>
      <c r="E1690" s="215" t="s">
        <v>2676</v>
      </c>
      <c r="F1690" s="112" t="str">
        <f>IF(ISBLANK(E1690),"",_xlfn.XLOOKUP(E1690,cannabis_log!C:C,cannabis_log!J:J,"",0,))</f>
        <v>PR2401F5P2</v>
      </c>
      <c r="G1690" s="112"/>
      <c r="H1690" s="112" t="str">
        <f>IF(ISBLANK(E1690),"",_xlfn.XLOOKUP(E1690,cannabis_log!C:C,cannabis_log!H:H,"",0,1))</f>
        <v>preroll_labelled</v>
      </c>
      <c r="I1690" s="113">
        <f>IF(ISBLANK(E1690),"",_xlfn.XLOOKUP(E1690,cannabis_log!C:C,cannabis_log!K:K,"NOT FOUND",0,1))</f>
        <v>45670</v>
      </c>
      <c r="J1690" s="185">
        <v>275</v>
      </c>
      <c r="K1690" s="186">
        <f t="shared" si="93"/>
        <v>0</v>
      </c>
      <c r="L1690" s="288">
        <f t="shared" si="90"/>
        <v>275</v>
      </c>
      <c r="M1690" s="24"/>
      <c r="N1690" s="112" t="str">
        <f>IF(ISBLANK(E1690),"",_xlfn.XLOOKUP(E1690,cannabis_log!C:C,cannabis_log!T:T,"Not Found",0,))</f>
        <v>net</v>
      </c>
      <c r="O1690" s="180">
        <f>IF(N1690="net",_xlfn.XLOOKUP(E1690,cannabis_log!C:C,cannabis_log!N:N,"NOT FOUND",0,1),IF(N1690="gross",0,""))</f>
        <v>1</v>
      </c>
    </row>
    <row r="1691" spans="1:15">
      <c r="A1691" s="195" t="str">
        <f t="shared" si="92"/>
        <v>outbound</v>
      </c>
      <c r="B1691" s="196">
        <v>45768</v>
      </c>
      <c r="C1691" s="197" t="s">
        <v>1929</v>
      </c>
      <c r="D1691" s="197" t="s">
        <v>2945</v>
      </c>
      <c r="E1691" s="215" t="s">
        <v>2946</v>
      </c>
      <c r="F1691" s="112" t="str">
        <f>IF(ISBLANK(E1691),"",_xlfn.XLOOKUP(E1691,cannabis_log!C:C,cannabis_log!J:J,"",0,))</f>
        <v>CW20210507-01A</v>
      </c>
      <c r="G1691" s="112"/>
      <c r="H1691" s="112" t="str">
        <f>IF(ISBLANK(E1691),"",_xlfn.XLOOKUP(E1691,cannabis_log!C:C,cannabis_log!H:H,"",0,1))</f>
        <v>extract_inhaled_labelled_WT</v>
      </c>
      <c r="I1691" s="113">
        <f>IF(ISBLANK(E1691),"",_xlfn.XLOOKUP(E1691,cannabis_log!C:C,cannabis_log!K:K,"NOT FOUND",0,1))</f>
        <v>44510</v>
      </c>
      <c r="J1691" s="185">
        <v>-30</v>
      </c>
      <c r="K1691" s="186">
        <f t="shared" si="93"/>
        <v>0</v>
      </c>
      <c r="L1691" s="288">
        <f t="shared" si="90"/>
        <v>-30</v>
      </c>
      <c r="M1691" s="24"/>
      <c r="N1691" s="112" t="str">
        <f>IF(ISBLANK(E1691),"",_xlfn.XLOOKUP(E1691,cannabis_log!C:C,cannabis_log!T:T,"Not Found",0,))</f>
        <v>net</v>
      </c>
      <c r="O1691" s="180">
        <f>IF(N1691="net",_xlfn.XLOOKUP(E1691,cannabis_log!C:C,cannabis_log!N:N,"NOT FOUND",0,1),IF(N1691="gross",0,""))</f>
        <v>1</v>
      </c>
    </row>
    <row r="1692" spans="1:15">
      <c r="A1692" s="195" t="str">
        <f t="shared" si="92"/>
        <v>outbound</v>
      </c>
      <c r="B1692" s="196">
        <v>45768</v>
      </c>
      <c r="C1692" s="197" t="s">
        <v>1929</v>
      </c>
      <c r="D1692" s="197" t="s">
        <v>2945</v>
      </c>
      <c r="E1692" s="215" t="s">
        <v>2947</v>
      </c>
      <c r="F1692" s="112" t="str">
        <f>IF(ISBLANK(E1692),"",_xlfn.XLOOKUP(E1692,cannabis_log!C:C,cannabis_log!J:J,"",0,))</f>
        <v>CW22011701</v>
      </c>
      <c r="G1692" s="112"/>
      <c r="H1692" s="112" t="str">
        <f>IF(ISBLANK(E1692),"",_xlfn.XLOOKUP(E1692,cannabis_log!C:C,cannabis_log!H:H,"",0,1))</f>
        <v>extract_inhaled_labelled_WT</v>
      </c>
      <c r="I1692" s="113">
        <f>IF(ISBLANK(E1692),"",_xlfn.XLOOKUP(E1692,cannabis_log!C:C,cannabis_log!K:K,"NOT FOUND",0,1))</f>
        <v>44879</v>
      </c>
      <c r="J1692" s="185">
        <v>-30</v>
      </c>
      <c r="K1692" s="186">
        <f t="shared" si="93"/>
        <v>0</v>
      </c>
      <c r="L1692" s="288">
        <f t="shared" si="90"/>
        <v>-30</v>
      </c>
      <c r="M1692" s="24"/>
      <c r="N1692" s="112" t="str">
        <f>IF(ISBLANK(E1692),"",_xlfn.XLOOKUP(E1692,cannabis_log!C:C,cannabis_log!T:T,"Not Found",0,))</f>
        <v>net</v>
      </c>
      <c r="O1692" s="180">
        <f>IF(N1692="net",_xlfn.XLOOKUP(E1692,cannabis_log!C:C,cannabis_log!N:N,"NOT FOUND",0,1),IF(N1692="gross",0,""))</f>
        <v>1</v>
      </c>
    </row>
    <row r="1693" spans="1:15">
      <c r="A1693" s="195" t="str">
        <f t="shared" si="92"/>
        <v>outbound</v>
      </c>
      <c r="B1693" s="196">
        <v>45768</v>
      </c>
      <c r="C1693" s="197" t="s">
        <v>1929</v>
      </c>
      <c r="D1693" s="197" t="s">
        <v>2945</v>
      </c>
      <c r="E1693" s="215" t="s">
        <v>2948</v>
      </c>
      <c r="F1693" s="112" t="str">
        <f>IF(ISBLANK(E1693),"",_xlfn.XLOOKUP(E1693,cannabis_log!C:C,cannabis_log!J:J,"",0,))</f>
        <v>CW2103051</v>
      </c>
      <c r="G1693" s="112"/>
      <c r="H1693" s="112" t="str">
        <f>IF(ISBLANK(E1693),"",_xlfn.XLOOKUP(E1693,cannabis_log!C:C,cannabis_log!H:H,"",0,1))</f>
        <v>extract_inhaled_labelled_WT</v>
      </c>
      <c r="I1693" s="113">
        <f>IF(ISBLANK(E1693),"",_xlfn.XLOOKUP(E1693,cannabis_log!C:C,cannabis_log!K:K,"NOT FOUND",0,1))</f>
        <v>44601</v>
      </c>
      <c r="J1693" s="185">
        <v>-30</v>
      </c>
      <c r="K1693" s="186">
        <f t="shared" si="93"/>
        <v>0</v>
      </c>
      <c r="L1693" s="288">
        <f t="shared" si="90"/>
        <v>-30</v>
      </c>
      <c r="M1693" s="24"/>
      <c r="N1693" s="112" t="str">
        <f>IF(ISBLANK(E1693),"",_xlfn.XLOOKUP(E1693,cannabis_log!C:C,cannabis_log!T:T,"Not Found",0,))</f>
        <v>net</v>
      </c>
      <c r="O1693" s="180">
        <f>IF(N1693="net",_xlfn.XLOOKUP(E1693,cannabis_log!C:C,cannabis_log!N:N,"NOT FOUND",0,1),IF(N1693="gross",0,""))</f>
        <v>1</v>
      </c>
    </row>
    <row r="1694" spans="1:15">
      <c r="A1694" s="195" t="str">
        <f t="shared" si="92"/>
        <v>outbound</v>
      </c>
      <c r="B1694" s="196">
        <v>45768</v>
      </c>
      <c r="C1694" s="197" t="s">
        <v>1929</v>
      </c>
      <c r="D1694" s="197" t="s">
        <v>2945</v>
      </c>
      <c r="E1694" s="215" t="s">
        <v>2949</v>
      </c>
      <c r="F1694" s="112" t="str">
        <f>IF(ISBLANK(E1694),"",_xlfn.XLOOKUP(E1694,cannabis_log!C:C,cannabis_log!J:J,"",0,))</f>
        <v>RP24001</v>
      </c>
      <c r="G1694" s="112"/>
      <c r="H1694" s="112" t="str">
        <f>IF(ISBLANK(E1694),"",_xlfn.XLOOKUP(E1694,cannabis_log!C:C,cannabis_log!H:H,"",0,1))</f>
        <v>extract_inhaled_labelled_WT</v>
      </c>
      <c r="I1694" s="113">
        <f>IF(ISBLANK(E1694),"",_xlfn.XLOOKUP(E1694,cannabis_log!C:C,cannabis_log!K:K,"NOT FOUND",0,1))</f>
        <v>45543</v>
      </c>
      <c r="J1694" s="185">
        <v>-30</v>
      </c>
      <c r="K1694" s="186">
        <f t="shared" si="93"/>
        <v>0</v>
      </c>
      <c r="L1694" s="288">
        <f t="shared" si="90"/>
        <v>-30</v>
      </c>
      <c r="M1694" s="24"/>
      <c r="N1694" s="112" t="str">
        <f>IF(ISBLANK(E1694),"",_xlfn.XLOOKUP(E1694,cannabis_log!C:C,cannabis_log!T:T,"Not Found",0,))</f>
        <v>net</v>
      </c>
      <c r="O1694" s="180">
        <f>IF(N1694="net",_xlfn.XLOOKUP(E1694,cannabis_log!C:C,cannabis_log!N:N,"NOT FOUND",0,1),IF(N1694="gross",0,""))</f>
        <v>1</v>
      </c>
    </row>
    <row r="1695" spans="1:15">
      <c r="A1695" s="195" t="str">
        <f t="shared" si="92"/>
        <v>outbound</v>
      </c>
      <c r="B1695" s="196">
        <v>45768</v>
      </c>
      <c r="C1695" s="197" t="s">
        <v>1929</v>
      </c>
      <c r="D1695" s="197" t="s">
        <v>2945</v>
      </c>
      <c r="E1695" s="215" t="s">
        <v>2950</v>
      </c>
      <c r="F1695" s="112" t="str">
        <f>IF(ISBLANK(E1695),"",_xlfn.XLOOKUP(E1695,cannabis_log!C:C,cannabis_log!J:J,"",0,))</f>
        <v>FP23006</v>
      </c>
      <c r="G1695" s="112"/>
      <c r="H1695" s="112" t="str">
        <f>IF(ISBLANK(E1695),"",_xlfn.XLOOKUP(E1695,cannabis_log!C:C,cannabis_log!H:H,"",0,1))</f>
        <v>extract_inhaled_labelled_WT</v>
      </c>
      <c r="I1695" s="113">
        <f>IF(ISBLANK(E1695),"",_xlfn.XLOOKUP(E1695,cannabis_log!C:C,cannabis_log!K:K,"NOT FOUND",0,1))</f>
        <v>45689</v>
      </c>
      <c r="J1695" s="185">
        <v>-18</v>
      </c>
      <c r="K1695" s="186">
        <f t="shared" si="93"/>
        <v>0</v>
      </c>
      <c r="L1695" s="288">
        <f t="shared" si="90"/>
        <v>-18</v>
      </c>
      <c r="M1695" s="24"/>
      <c r="N1695" s="112" t="str">
        <f>IF(ISBLANK(E1695),"",_xlfn.XLOOKUP(E1695,cannabis_log!C:C,cannabis_log!T:T,"Not Found",0,))</f>
        <v>net</v>
      </c>
      <c r="O1695" s="180">
        <f>IF(N1695="net",_xlfn.XLOOKUP(E1695,cannabis_log!C:C,cannabis_log!N:N,"NOT FOUND",0,1),IF(N1695="gross",0,""))</f>
        <v>1</v>
      </c>
    </row>
    <row r="1696" spans="1:15">
      <c r="A1696" s="195" t="str">
        <f t="shared" si="92"/>
        <v>outbound</v>
      </c>
      <c r="B1696" s="196">
        <v>45768</v>
      </c>
      <c r="C1696" s="197" t="s">
        <v>1929</v>
      </c>
      <c r="D1696" s="197" t="s">
        <v>2945</v>
      </c>
      <c r="E1696" s="215" t="s">
        <v>2951</v>
      </c>
      <c r="F1696" s="112" t="str">
        <f>IF(ISBLANK(E1696),"",_xlfn.XLOOKUP(E1696,cannabis_log!C:C,cannabis_log!J:J,"",0,))</f>
        <v>EX24092701V30</v>
      </c>
      <c r="G1696" s="112"/>
      <c r="H1696" s="112" t="str">
        <f>IF(ISBLANK(E1696),"",_xlfn.XLOOKUP(E1696,cannabis_log!C:C,cannabis_log!H:H,"",0,1))</f>
        <v>extract_ingested_packaged_WT</v>
      </c>
      <c r="I1696" s="113">
        <f>IF(ISBLANK(E1696),"",_xlfn.XLOOKUP(E1696,cannabis_log!C:C,cannabis_log!K:K,"NOT FOUND",0,1))</f>
        <v>45633</v>
      </c>
      <c r="J1696" s="185">
        <v>-233</v>
      </c>
      <c r="K1696" s="186">
        <f t="shared" si="93"/>
        <v>0</v>
      </c>
      <c r="L1696" s="288">
        <f t="shared" si="90"/>
        <v>-6430.8</v>
      </c>
      <c r="M1696" s="24"/>
      <c r="N1696" s="112" t="str">
        <f>IF(ISBLANK(E1696),"",_xlfn.XLOOKUP(E1696,cannabis_log!C:C,cannabis_log!T:T,"Not Found",0,))</f>
        <v>net</v>
      </c>
      <c r="O1696" s="180">
        <f>IF(N1696="net",_xlfn.XLOOKUP(E1696,cannabis_log!C:C,cannabis_log!N:N,"NOT FOUND",0,1),IF(N1696="gross",0,""))</f>
        <v>27.6</v>
      </c>
    </row>
    <row r="1697" spans="1:15">
      <c r="A1697" s="195" t="str">
        <f t="shared" si="92"/>
        <v>outbound</v>
      </c>
      <c r="B1697" s="196">
        <v>45768</v>
      </c>
      <c r="C1697" s="197" t="s">
        <v>1929</v>
      </c>
      <c r="D1697" s="197" t="s">
        <v>2945</v>
      </c>
      <c r="E1697" s="215" t="s">
        <v>2952</v>
      </c>
      <c r="F1697" s="112" t="str">
        <f>IF(ISBLANK(E1697),"",_xlfn.XLOOKUP(E1697,cannabis_log!C:C,cannabis_log!J:J,"",0,))</f>
        <v>EX24092701V30</v>
      </c>
      <c r="G1697" s="112"/>
      <c r="H1697" s="112" t="str">
        <f>IF(ISBLANK(E1697),"",_xlfn.XLOOKUP(E1697,cannabis_log!C:C,cannabis_log!H:H,"",0,1))</f>
        <v>extract_ingested_packaged_WT</v>
      </c>
      <c r="I1697" s="113">
        <f>IF(ISBLANK(E1697),"",_xlfn.XLOOKUP(E1697,cannabis_log!C:C,cannabis_log!K:K,"NOT FOUND",0,1))</f>
        <v>45633</v>
      </c>
      <c r="J1697" s="185">
        <v>-230</v>
      </c>
      <c r="K1697" s="186">
        <f t="shared" si="93"/>
        <v>0</v>
      </c>
      <c r="L1697" s="288">
        <f t="shared" si="90"/>
        <v>-6348</v>
      </c>
      <c r="M1697" s="24"/>
      <c r="N1697" s="112" t="str">
        <f>IF(ISBLANK(E1697),"",_xlfn.XLOOKUP(E1697,cannabis_log!C:C,cannabis_log!T:T,"Not Found",0,))</f>
        <v>net</v>
      </c>
      <c r="O1697" s="180">
        <f>IF(N1697="net",_xlfn.XLOOKUP(E1697,cannabis_log!C:C,cannabis_log!N:N,"NOT FOUND",0,1),IF(N1697="gross",0,""))</f>
        <v>27.6</v>
      </c>
    </row>
    <row r="1698" spans="1:15">
      <c r="A1698" s="195" t="str">
        <f t="shared" si="92"/>
        <v>outbound</v>
      </c>
      <c r="B1698" s="196">
        <v>45768</v>
      </c>
      <c r="C1698" s="197" t="s">
        <v>1929</v>
      </c>
      <c r="D1698" s="197" t="s">
        <v>2945</v>
      </c>
      <c r="E1698" s="215" t="s">
        <v>2953</v>
      </c>
      <c r="F1698" s="112" t="str">
        <f>IF(ISBLANK(E1698),"",_xlfn.XLOOKUP(E1698,cannabis_log!C:C,cannabis_log!J:J,"",0,))</f>
        <v>EX24092701V30</v>
      </c>
      <c r="G1698" s="112"/>
      <c r="H1698" s="112" t="str">
        <f>IF(ISBLANK(E1698),"",_xlfn.XLOOKUP(E1698,cannabis_log!C:C,cannabis_log!H:H,"",0,1))</f>
        <v>extract_ingested_packaged_WT</v>
      </c>
      <c r="I1698" s="113" t="str">
        <f>IF(ISBLANK(E1698),"",_xlfn.XLOOKUP(E1698,cannabis_log!C:C,cannabis_log!K:K,"NOT FOUND",0,1))</f>
        <v>NA</v>
      </c>
      <c r="J1698" s="185">
        <v>-71</v>
      </c>
      <c r="K1698" s="186">
        <f t="shared" si="93"/>
        <v>0</v>
      </c>
      <c r="L1698" s="288">
        <f t="shared" si="90"/>
        <v>-1959.6000000000001</v>
      </c>
      <c r="M1698" s="24"/>
      <c r="N1698" s="112" t="str">
        <f>IF(ISBLANK(E1698),"",_xlfn.XLOOKUP(E1698,cannabis_log!C:C,cannabis_log!T:T,"Not Found",0,))</f>
        <v>net</v>
      </c>
      <c r="O1698" s="180">
        <f>IF(N1698="net",_xlfn.XLOOKUP(E1698,cannabis_log!C:C,cannabis_log!N:N,"NOT FOUND",0,1),IF(N1698="gross",0,""))</f>
        <v>27.6</v>
      </c>
    </row>
    <row r="1699" spans="1:15">
      <c r="A1699" s="195" t="str">
        <f t="shared" si="92"/>
        <v>outbound</v>
      </c>
      <c r="B1699" s="196">
        <v>45768</v>
      </c>
      <c r="C1699" s="197" t="s">
        <v>1929</v>
      </c>
      <c r="D1699" s="197" t="s">
        <v>2945</v>
      </c>
      <c r="E1699" s="215" t="s">
        <v>2954</v>
      </c>
      <c r="F1699" s="112" t="str">
        <f>IF(ISBLANK(E1699),"",_xlfn.XLOOKUP(E1699,cannabis_log!C:C,cannabis_log!J:J,"",0,))</f>
        <v>EX24092701V30</v>
      </c>
      <c r="G1699" s="112"/>
      <c r="H1699" s="112" t="str">
        <f>IF(ISBLANK(E1699),"",_xlfn.XLOOKUP(E1699,cannabis_log!C:C,cannabis_log!H:H,"",0,1))</f>
        <v>extract_ingested_packaged_WT</v>
      </c>
      <c r="I1699" s="113">
        <f>IF(ISBLANK(E1699),"",_xlfn.XLOOKUP(E1699,cannabis_log!C:C,cannabis_log!K:K,"NOT FOUND",0,1))</f>
        <v>45633</v>
      </c>
      <c r="J1699" s="185">
        <v>-37</v>
      </c>
      <c r="K1699" s="186">
        <f t="shared" si="93"/>
        <v>0</v>
      </c>
      <c r="L1699" s="288">
        <f t="shared" si="90"/>
        <v>-1021.2</v>
      </c>
      <c r="M1699" s="24"/>
      <c r="N1699" s="112" t="str">
        <f>IF(ISBLANK(E1699),"",_xlfn.XLOOKUP(E1699,cannabis_log!C:C,cannabis_log!T:T,"Not Found",0,))</f>
        <v>net</v>
      </c>
      <c r="O1699" s="180">
        <f>IF(N1699="net",_xlfn.XLOOKUP(E1699,cannabis_log!C:C,cannabis_log!N:N,"NOT FOUND",0,1),IF(N1699="gross",0,""))</f>
        <v>27.6</v>
      </c>
    </row>
    <row r="1700" spans="1:15">
      <c r="A1700" s="195" t="str">
        <f t="shared" si="92"/>
        <v>outbound</v>
      </c>
      <c r="B1700" s="196">
        <v>45778.421527777777</v>
      </c>
      <c r="C1700" s="197" t="s">
        <v>1921</v>
      </c>
      <c r="D1700" s="197"/>
      <c r="E1700" s="215" t="s">
        <v>2746</v>
      </c>
      <c r="F1700" s="112" t="str">
        <f>IF(ISBLANK(E1700),"",_xlfn.XLOOKUP(E1700,cannabis_log!C:C,cannabis_log!J:J,"",0,))</f>
        <v>PR2301</v>
      </c>
      <c r="G1700" s="112"/>
      <c r="H1700" s="112" t="str">
        <f>IF(ISBLANK(E1700),"",_xlfn.XLOOKUP(E1700,cannabis_log!C:C,cannabis_log!H:H,"",0,1))</f>
        <v>driedflower_milled_bulk</v>
      </c>
      <c r="I1700" s="113">
        <f>IF(ISBLANK(E1700),"",_xlfn.XLOOKUP(E1700,cannabis_log!C:C,cannabis_log!K:K,"NOT FOUND",0,1))</f>
        <v>45384</v>
      </c>
      <c r="J1700" s="185">
        <v>-1</v>
      </c>
      <c r="K1700" s="186">
        <v>-4576</v>
      </c>
      <c r="L1700" s="288">
        <f t="shared" si="90"/>
        <v>0</v>
      </c>
      <c r="M1700" s="24"/>
      <c r="N1700" s="112" t="str">
        <f>IF(ISBLANK(E1700),"",_xlfn.XLOOKUP(E1700,cannabis_log!C:C,cannabis_log!T:T,"Not Found",0,))</f>
        <v>gross</v>
      </c>
      <c r="O1700" s="180">
        <f>IF(N1700="net",_xlfn.XLOOKUP(E1700,cannabis_log!C:C,cannabis_log!N:N,"NOT FOUND",0,1),IF(N1700="gross",0,""))</f>
        <v>0</v>
      </c>
    </row>
    <row r="1701" spans="1:15">
      <c r="A1701" s="195" t="str">
        <f t="shared" si="92"/>
        <v>outbound</v>
      </c>
      <c r="B1701" s="196">
        <v>45778.484027777777</v>
      </c>
      <c r="C1701" s="197" t="s">
        <v>1929</v>
      </c>
      <c r="D1701" s="197" t="s">
        <v>2955</v>
      </c>
      <c r="E1701" s="215" t="s">
        <v>2922</v>
      </c>
      <c r="F1701" s="112" t="str">
        <f>IF(ISBLANK(E1701),"",_xlfn.XLOOKUP(E1701,cannabis_log!C:C,cannabis_log!J:J,"",0,))</f>
        <v>PR241104F5P3</v>
      </c>
      <c r="G1701" s="112"/>
      <c r="H1701" s="112" t="str">
        <f>IF(ISBLANK(E1701),"",_xlfn.XLOOKUP(E1701,cannabis_log!C:C,cannabis_log!H:H,"",0,1))</f>
        <v>preroll_labelled</v>
      </c>
      <c r="I1701" s="113">
        <f>IF(ISBLANK(E1701),"",_xlfn.XLOOKUP(E1701,cannabis_log!C:C,cannabis_log!K:K,"NOT FOUND",0,1))</f>
        <v>45588</v>
      </c>
      <c r="J1701" s="185">
        <v>-24</v>
      </c>
      <c r="K1701" s="186">
        <f>IF(N1701="net",0,"")</f>
        <v>0</v>
      </c>
      <c r="L1701" s="288">
        <f t="shared" si="90"/>
        <v>-36</v>
      </c>
      <c r="M1701" s="24"/>
      <c r="N1701" s="112" t="str">
        <f>IF(ISBLANK(E1701),"",_xlfn.XLOOKUP(E1701,cannabis_log!C:C,cannabis_log!T:T,"Not Found",0,))</f>
        <v>net</v>
      </c>
      <c r="O1701" s="180">
        <f>IF(N1701="net",_xlfn.XLOOKUP(E1701,cannabis_log!C:C,cannabis_log!N:N,"NOT FOUND",0,1),IF(N1701="gross",0,""))</f>
        <v>1.5</v>
      </c>
    </row>
    <row r="1702" spans="1:15">
      <c r="A1702" s="195" t="str">
        <f t="shared" si="92"/>
        <v>outbound</v>
      </c>
      <c r="B1702" s="196">
        <v>45778.543749999997</v>
      </c>
      <c r="C1702" s="197" t="s">
        <v>1929</v>
      </c>
      <c r="D1702" s="197"/>
      <c r="E1702" s="215" t="s">
        <v>2881</v>
      </c>
      <c r="F1702" s="112" t="str">
        <f>IF(ISBLANK(E1702),"",_xlfn.XLOOKUP(E1702,cannabis_log!C:C,cannabis_log!J:J,"",0,))</f>
        <v>PR2512</v>
      </c>
      <c r="G1702" s="112"/>
      <c r="H1702" s="112" t="str">
        <f>IF(ISBLANK(E1702),"",_xlfn.XLOOKUP(E1702,cannabis_log!C:C,cannabis_log!H:H,"",0,1))</f>
        <v>diredflower_milled_bulk_Rohan</v>
      </c>
      <c r="I1702" s="113" t="str">
        <f>IF(ISBLANK(E1702),"",_xlfn.XLOOKUP(E1702,cannabis_log!C:C,cannabis_log!K:K,"NOT FOUND",0,1))</f>
        <v>NA</v>
      </c>
      <c r="J1702" s="185">
        <v>-1</v>
      </c>
      <c r="K1702" s="186">
        <v>-3680</v>
      </c>
      <c r="L1702" s="288">
        <f t="shared" si="90"/>
        <v>0</v>
      </c>
      <c r="M1702" s="24"/>
      <c r="N1702" s="112" t="str">
        <f>IF(ISBLANK(E1702),"",_xlfn.XLOOKUP(E1702,cannabis_log!C:C,cannabis_log!T:T,"Not Found",0,))</f>
        <v>gross</v>
      </c>
      <c r="O1702" s="180">
        <f>IF(N1702="net",_xlfn.XLOOKUP(E1702,cannabis_log!C:C,cannabis_log!N:N,"NOT FOUND",0,1),IF(N1702="gross",0,""))</f>
        <v>0</v>
      </c>
    </row>
    <row r="1703" spans="1:15">
      <c r="A1703" s="195" t="str">
        <f t="shared" si="92"/>
        <v>outbound</v>
      </c>
      <c r="B1703" s="196">
        <v>45778.543749999997</v>
      </c>
      <c r="C1703" s="197" t="s">
        <v>1924</v>
      </c>
      <c r="D1703" s="197" t="s">
        <v>2956</v>
      </c>
      <c r="E1703" s="215" t="s">
        <v>2908</v>
      </c>
      <c r="F1703" s="112" t="str">
        <f>IF(ISBLANK(E1703),"",_xlfn.XLOOKUP(E1703,cannabis_log!C:C,cannabis_log!J:J,"",0,))</f>
        <v>TP24101701</v>
      </c>
      <c r="G1703" s="112"/>
      <c r="H1703" s="112" t="str">
        <f>IF(ISBLANK(E1703),"",_xlfn.XLOOKUP(E1703,cannabis_log!C:C,cannabis_log!H:H,"",0,1))</f>
        <v>topical_labelled</v>
      </c>
      <c r="I1703" s="113">
        <f>IF(ISBLANK(E1703),"",_xlfn.XLOOKUP(E1703,cannabis_log!C:C,cannabis_log!K:K,"NOT FOUND",0,1))</f>
        <v>45588</v>
      </c>
      <c r="J1703" s="185">
        <v>-1</v>
      </c>
      <c r="K1703" s="186">
        <f t="shared" ref="K1703:K1726" si="94">IF(N1703="net",0,"")</f>
        <v>0</v>
      </c>
      <c r="L1703" s="288">
        <f t="shared" si="90"/>
        <v>-88</v>
      </c>
      <c r="M1703" s="24"/>
      <c r="N1703" s="112" t="str">
        <f>IF(ISBLANK(E1703),"",_xlfn.XLOOKUP(E1703,cannabis_log!C:C,cannabis_log!T:T,"Not Found",0,))</f>
        <v>net</v>
      </c>
      <c r="O1703" s="180">
        <f>IF(N1703="net",_xlfn.XLOOKUP(E1703,cannabis_log!C:C,cannabis_log!N:N,"NOT FOUND",0,1),IF(N1703="gross",0,""))</f>
        <v>88</v>
      </c>
    </row>
    <row r="1704" spans="1:15">
      <c r="A1704" s="195" t="str">
        <f t="shared" si="92"/>
        <v>outbound</v>
      </c>
      <c r="B1704" s="196">
        <v>45778.624305555553</v>
      </c>
      <c r="C1704" s="197" t="s">
        <v>1929</v>
      </c>
      <c r="D1704" s="197" t="s">
        <v>2957</v>
      </c>
      <c r="E1704" s="215" t="s">
        <v>2717</v>
      </c>
      <c r="F1704" s="112" t="str">
        <f>IF(ISBLANK(E1704),"",_xlfn.XLOOKUP(E1704,cannabis_log!C:C,cannabis_log!J:J,"",0,))</f>
        <v>2024111803G7</v>
      </c>
      <c r="G1704" s="112"/>
      <c r="H1704" s="112" t="str">
        <f>IF(ISBLANK(E1704),"",_xlfn.XLOOKUP(E1704,cannabis_log!C:C,cannabis_log!H:H,"",0,1))</f>
        <v>driedflower_labelled</v>
      </c>
      <c r="I1704" s="113">
        <f>IF(ISBLANK(E1704),"",_xlfn.XLOOKUP(E1704,cannabis_log!C:C,cannabis_log!K:K,"NOT FOUND",0,1))</f>
        <v>45721</v>
      </c>
      <c r="J1704" s="185">
        <v>-36</v>
      </c>
      <c r="K1704" s="186">
        <f t="shared" si="94"/>
        <v>0</v>
      </c>
      <c r="L1704" s="288">
        <f t="shared" si="90"/>
        <v>-252</v>
      </c>
      <c r="M1704" s="24"/>
      <c r="N1704" s="112" t="str">
        <f>IF(ISBLANK(E1704),"",_xlfn.XLOOKUP(E1704,cannabis_log!C:C,cannabis_log!T:T,"Not Found",0,))</f>
        <v>net</v>
      </c>
      <c r="O1704" s="180">
        <f>IF(N1704="net",_xlfn.XLOOKUP(E1704,cannabis_log!C:C,cannabis_log!N:N,"NOT FOUND",0,1),IF(N1704="gross",0,""))</f>
        <v>7</v>
      </c>
    </row>
    <row r="1705" spans="1:15">
      <c r="A1705" s="195" t="str">
        <f t="shared" si="92"/>
        <v>outbound</v>
      </c>
      <c r="B1705" s="196">
        <v>45778.624305555553</v>
      </c>
      <c r="C1705" s="197" t="s">
        <v>1929</v>
      </c>
      <c r="D1705" s="197" t="s">
        <v>2958</v>
      </c>
      <c r="E1705" s="215" t="s">
        <v>2885</v>
      </c>
      <c r="F1705" s="112" t="str">
        <f>IF(ISBLANK(E1705),"",_xlfn.XLOOKUP(E1705,cannabis_log!C:C,cannabis_log!J:J,"",0,))</f>
        <v>ROGEX001G1</v>
      </c>
      <c r="G1705" s="112"/>
      <c r="H1705" s="112" t="str">
        <f>IF(ISBLANK(E1705),"",_xlfn.XLOOKUP(E1705,cannabis_log!C:C,cannabis_log!H:H,"",0,1))</f>
        <v>extract_inhaled_labelled_Rohan</v>
      </c>
      <c r="I1705" s="113">
        <f>IF(ISBLANK(E1705),"",_xlfn.XLOOKUP(E1705,cannabis_log!C:C,cannabis_log!K:K,"NOT FOUND",0,1))</f>
        <v>45740</v>
      </c>
      <c r="J1705" s="185">
        <v>-12</v>
      </c>
      <c r="K1705" s="186">
        <f t="shared" si="94"/>
        <v>0</v>
      </c>
      <c r="L1705" s="288">
        <f t="shared" si="90"/>
        <v>-12</v>
      </c>
      <c r="M1705" s="24"/>
      <c r="N1705" s="112" t="str">
        <f>IF(ISBLANK(E1705),"",_xlfn.XLOOKUP(E1705,cannabis_log!C:C,cannabis_log!T:T,"Not Found",0,))</f>
        <v>net</v>
      </c>
      <c r="O1705" s="180">
        <f>IF(N1705="net",_xlfn.XLOOKUP(E1705,cannabis_log!C:C,cannabis_log!N:N,"NOT FOUND",0,1),IF(N1705="gross",0,""))</f>
        <v>1</v>
      </c>
    </row>
    <row r="1706" spans="1:15">
      <c r="A1706" s="195" t="str">
        <f t="shared" si="92"/>
        <v>outbound</v>
      </c>
      <c r="B1706" s="196">
        <v>45778.624305555553</v>
      </c>
      <c r="C1706" s="197" t="s">
        <v>1929</v>
      </c>
      <c r="D1706" s="197" t="s">
        <v>2958</v>
      </c>
      <c r="E1706" s="215" t="s">
        <v>2959</v>
      </c>
      <c r="F1706" s="112" t="str">
        <f>IF(ISBLANK(E1706),"",_xlfn.XLOOKUP(E1706,cannabis_log!C:C,cannabis_log!J:J,"",0,))</f>
        <v>PR2501F5P10</v>
      </c>
      <c r="G1706" s="112"/>
      <c r="H1706" s="112" t="str">
        <f>IF(ISBLANK(E1706),"",_xlfn.XLOOKUP(E1706,cannabis_log!C:C,cannabis_log!H:H,"",0,1))</f>
        <v>preroll_labelled</v>
      </c>
      <c r="I1706" s="113">
        <f>IF(ISBLANK(E1706),"",_xlfn.XLOOKUP(E1706,cannabis_log!C:C,cannabis_log!K:K,"NOT FOUND",0,1))</f>
        <v>45755</v>
      </c>
      <c r="J1706" s="185">
        <v>-12</v>
      </c>
      <c r="K1706" s="186">
        <f t="shared" si="94"/>
        <v>0</v>
      </c>
      <c r="L1706" s="288">
        <f t="shared" si="90"/>
        <v>-60</v>
      </c>
      <c r="M1706" s="24"/>
      <c r="N1706" s="112" t="str">
        <f>IF(ISBLANK(E1706),"",_xlfn.XLOOKUP(E1706,cannabis_log!C:C,cannabis_log!T:T,"Not Found",0,))</f>
        <v>net</v>
      </c>
      <c r="O1706" s="180">
        <f>IF(N1706="net",_xlfn.XLOOKUP(E1706,cannabis_log!C:C,cannabis_log!N:N,"NOT FOUND",0,1),IF(N1706="gross",0,""))</f>
        <v>5</v>
      </c>
    </row>
    <row r="1707" spans="1:15">
      <c r="A1707" s="195" t="str">
        <f t="shared" si="92"/>
        <v>outbound</v>
      </c>
      <c r="B1707" s="196">
        <v>45778.624305555553</v>
      </c>
      <c r="C1707" s="197" t="s">
        <v>1929</v>
      </c>
      <c r="D1707" s="197" t="s">
        <v>2958</v>
      </c>
      <c r="E1707" s="215" t="s">
        <v>2717</v>
      </c>
      <c r="F1707" s="112" t="str">
        <f>IF(ISBLANK(E1707),"",_xlfn.XLOOKUP(E1707,cannabis_log!C:C,cannabis_log!J:J,"",0,))</f>
        <v>2024111803G7</v>
      </c>
      <c r="G1707" s="112"/>
      <c r="H1707" s="112" t="str">
        <f>IF(ISBLANK(E1707),"",_xlfn.XLOOKUP(E1707,cannabis_log!C:C,cannabis_log!H:H,"",0,1))</f>
        <v>driedflower_labelled</v>
      </c>
      <c r="I1707" s="113">
        <f>IF(ISBLANK(E1707),"",_xlfn.XLOOKUP(E1707,cannabis_log!C:C,cannabis_log!K:K,"NOT FOUND",0,1))</f>
        <v>45721</v>
      </c>
      <c r="J1707" s="185">
        <v>-12</v>
      </c>
      <c r="K1707" s="186">
        <f t="shared" si="94"/>
        <v>0</v>
      </c>
      <c r="L1707" s="288">
        <f t="shared" si="90"/>
        <v>-84</v>
      </c>
      <c r="M1707" s="24"/>
      <c r="N1707" s="112" t="str">
        <f>IF(ISBLANK(E1707),"",_xlfn.XLOOKUP(E1707,cannabis_log!C:C,cannabis_log!T:T,"Not Found",0,))</f>
        <v>net</v>
      </c>
      <c r="O1707" s="180">
        <f>IF(N1707="net",_xlfn.XLOOKUP(E1707,cannabis_log!C:C,cannabis_log!N:N,"NOT FOUND",0,1),IF(N1707="gross",0,""))</f>
        <v>7</v>
      </c>
    </row>
    <row r="1708" spans="1:15">
      <c r="A1708" s="195" t="str">
        <f t="shared" si="92"/>
        <v>outbound</v>
      </c>
      <c r="B1708" s="196">
        <v>45779.414583333331</v>
      </c>
      <c r="C1708" s="197" t="s">
        <v>1929</v>
      </c>
      <c r="D1708" s="197" t="s">
        <v>2960</v>
      </c>
      <c r="E1708" s="215" t="s">
        <v>2864</v>
      </c>
      <c r="F1708" s="112" t="str">
        <f>IF(ISBLANK(E1708),"",_xlfn.XLOOKUP(E1708,cannabis_log!C:C,cannabis_log!J:J,"",0,))</f>
        <v>TP25021901</v>
      </c>
      <c r="G1708" s="112"/>
      <c r="H1708" s="112" t="str">
        <f>IF(ISBLANK(E1708),"",_xlfn.XLOOKUP(E1708,cannabis_log!C:C,cannabis_log!H:H,"",0,1))</f>
        <v>topical_labelled</v>
      </c>
      <c r="I1708" s="113">
        <f>IF(ISBLANK(E1708),"",_xlfn.XLOOKUP(E1708,cannabis_log!C:C,cannabis_log!K:K,"NOT FOUND",0,1))</f>
        <v>45714</v>
      </c>
      <c r="J1708" s="185">
        <v>-12</v>
      </c>
      <c r="K1708" s="186">
        <f t="shared" si="94"/>
        <v>0</v>
      </c>
      <c r="L1708" s="288">
        <f t="shared" si="90"/>
        <v>-1056</v>
      </c>
      <c r="M1708" s="24"/>
      <c r="N1708" s="112" t="str">
        <f>IF(ISBLANK(E1708),"",_xlfn.XLOOKUP(E1708,cannabis_log!C:C,cannabis_log!T:T,"Not Found",0,))</f>
        <v>net</v>
      </c>
      <c r="O1708" s="180">
        <f>IF(N1708="net",_xlfn.XLOOKUP(E1708,cannabis_log!C:C,cannabis_log!N:N,"NOT FOUND",0,1),IF(N1708="gross",0,""))</f>
        <v>88</v>
      </c>
    </row>
    <row r="1709" spans="1:15">
      <c r="A1709" s="195" t="str">
        <f t="shared" si="92"/>
        <v>outbound</v>
      </c>
      <c r="B1709" s="196">
        <v>45779.473611111112</v>
      </c>
      <c r="C1709" s="197" t="s">
        <v>1929</v>
      </c>
      <c r="D1709" s="197" t="s">
        <v>2960</v>
      </c>
      <c r="E1709" s="215" t="s">
        <v>2920</v>
      </c>
      <c r="F1709" s="112" t="str">
        <f>IF(ISBLANK(E1709),"",_xlfn.XLOOKUP(E1709,cannabis_log!C:C,cannabis_log!J:J,"",0,))</f>
        <v>PR2407F5P3</v>
      </c>
      <c r="G1709" s="112"/>
      <c r="H1709" s="112" t="str">
        <f>IF(ISBLANK(E1709),"",_xlfn.XLOOKUP(E1709,cannabis_log!C:C,cannabis_log!H:H,"",0,1))</f>
        <v>preroll_labelled</v>
      </c>
      <c r="I1709" s="113">
        <f>IF(ISBLANK(E1709),"",_xlfn.XLOOKUP(E1709,cannabis_log!C:C,cannabis_log!K:K,"NOT FOUND",0,1))</f>
        <v>45742</v>
      </c>
      <c r="J1709" s="185">
        <v>-12</v>
      </c>
      <c r="K1709" s="186">
        <f t="shared" si="94"/>
        <v>0</v>
      </c>
      <c r="L1709" s="288">
        <f t="shared" si="90"/>
        <v>-18</v>
      </c>
      <c r="M1709" s="24"/>
      <c r="N1709" s="112" t="str">
        <f>IF(ISBLANK(E1709),"",_xlfn.XLOOKUP(E1709,cannabis_log!C:C,cannabis_log!T:T,"Not Found",0,))</f>
        <v>net</v>
      </c>
      <c r="O1709" s="180">
        <f>IF(N1709="net",_xlfn.XLOOKUP(E1709,cannabis_log!C:C,cannabis_log!N:N,"NOT FOUND",0,1),IF(N1709="gross",0,""))</f>
        <v>1.5</v>
      </c>
    </row>
    <row r="1710" spans="1:15">
      <c r="A1710" s="195" t="str">
        <f t="shared" si="92"/>
        <v>outbound</v>
      </c>
      <c r="B1710" s="196">
        <v>45779.486111111109</v>
      </c>
      <c r="C1710" s="197" t="s">
        <v>1921</v>
      </c>
      <c r="D1710" s="197" t="s">
        <v>2961</v>
      </c>
      <c r="E1710" s="215" t="s">
        <v>2962</v>
      </c>
      <c r="F1710" s="112" t="str">
        <f>IF(ISBLANK(E1710),"",_xlfn.XLOOKUP(E1710,cannabis_log!C:C,cannabis_log!J:J,"",0,))</f>
        <v>PR21071201G5</v>
      </c>
      <c r="G1710" s="112"/>
      <c r="H1710" s="112" t="str">
        <f>IF(ISBLANK(E1710),"",_xlfn.XLOOKUP(E1710,cannabis_log!C:C,cannabis_log!H:H,"",0,1))</f>
        <v>preroll_labelled</v>
      </c>
      <c r="I1710" s="113">
        <f>IF(ISBLANK(E1710),"",_xlfn.XLOOKUP(E1710,cannabis_log!C:C,cannabis_log!K:K,"NOT FOUND",0,1))</f>
        <v>45051</v>
      </c>
      <c r="J1710" s="185">
        <v>-22</v>
      </c>
      <c r="K1710" s="186">
        <f t="shared" si="94"/>
        <v>0</v>
      </c>
      <c r="L1710" s="288">
        <f t="shared" ref="L1710:L1773" si="95">IFERROR(J1710*O1710,"")</f>
        <v>-22</v>
      </c>
      <c r="M1710" s="24"/>
      <c r="N1710" s="112" t="str">
        <f>IF(ISBLANK(E1710),"",_xlfn.XLOOKUP(E1710,cannabis_log!C:C,cannabis_log!T:T,"Not Found",0,))</f>
        <v>net</v>
      </c>
      <c r="O1710" s="180">
        <f>IF(N1710="net",_xlfn.XLOOKUP(E1710,cannabis_log!C:C,cannabis_log!N:N,"NOT FOUND",0,1),IF(N1710="gross",0,""))</f>
        <v>1</v>
      </c>
    </row>
    <row r="1711" spans="1:15">
      <c r="A1711" s="195" t="str">
        <f t="shared" si="92"/>
        <v>outbound</v>
      </c>
      <c r="B1711" s="196">
        <v>45779.486111111109</v>
      </c>
      <c r="C1711" s="197" t="s">
        <v>1921</v>
      </c>
      <c r="D1711" s="197" t="s">
        <v>2961</v>
      </c>
      <c r="E1711" s="215" t="s">
        <v>2963</v>
      </c>
      <c r="F1711" s="112">
        <f>IF(ISBLANK(E1711),"",_xlfn.XLOOKUP(E1711,cannabis_log!C:C,cannabis_log!J:J,"",0,))</f>
        <v>2021042701</v>
      </c>
      <c r="G1711" s="112"/>
      <c r="H1711" s="112" t="str">
        <f>IF(ISBLANK(E1711),"",_xlfn.XLOOKUP(E1711,cannabis_log!C:C,cannabis_log!H:H,"",0,1))</f>
        <v>preroll_labelled</v>
      </c>
      <c r="I1711" s="113">
        <f>IF(ISBLANK(E1711),"",_xlfn.XLOOKUP(E1711,cannabis_log!C:C,cannabis_log!K:K,"NOT FOUND",0,1))</f>
        <v>44314</v>
      </c>
      <c r="J1711" s="185">
        <v>-34</v>
      </c>
      <c r="K1711" s="186">
        <f t="shared" si="94"/>
        <v>0</v>
      </c>
      <c r="L1711" s="288">
        <f t="shared" si="95"/>
        <v>-34</v>
      </c>
      <c r="M1711" s="24"/>
      <c r="N1711" s="112" t="str">
        <f>IF(ISBLANK(E1711),"",_xlfn.XLOOKUP(E1711,cannabis_log!C:C,cannabis_log!T:T,"Not Found",0,))</f>
        <v>net</v>
      </c>
      <c r="O1711" s="180">
        <f>IF(N1711="net",_xlfn.XLOOKUP(E1711,cannabis_log!C:C,cannabis_log!N:N,"NOT FOUND",0,1),IF(N1711="gross",0,""))</f>
        <v>1</v>
      </c>
    </row>
    <row r="1712" spans="1:15">
      <c r="A1712" s="195" t="str">
        <f t="shared" si="92"/>
        <v>outbound</v>
      </c>
      <c r="B1712" s="196">
        <v>45779.486111111109</v>
      </c>
      <c r="C1712" s="197" t="s">
        <v>1921</v>
      </c>
      <c r="D1712" s="197" t="s">
        <v>2961</v>
      </c>
      <c r="E1712" s="215" t="s">
        <v>2964</v>
      </c>
      <c r="F1712" s="112" t="str">
        <f>IF(ISBLANK(E1712),"",_xlfn.XLOOKUP(E1712,cannabis_log!C:C,cannabis_log!J:J,"",0,))</f>
        <v>2021042701G5</v>
      </c>
      <c r="G1712" s="112"/>
      <c r="H1712" s="112" t="str">
        <f>IF(ISBLANK(E1712),"",_xlfn.XLOOKUP(E1712,cannabis_log!C:C,cannabis_log!H:H,"",0,1))</f>
        <v>preroll_bulk</v>
      </c>
      <c r="I1712" s="113">
        <f>IF(ISBLANK(E1712),"",_xlfn.XLOOKUP(E1712,cannabis_log!C:C,cannabis_log!K:K,"NOT FOUND",0,1))</f>
        <v>45112</v>
      </c>
      <c r="J1712" s="185">
        <v>-377</v>
      </c>
      <c r="K1712" s="186">
        <f t="shared" si="94"/>
        <v>0</v>
      </c>
      <c r="L1712" s="288">
        <f t="shared" si="95"/>
        <v>-188.5</v>
      </c>
      <c r="M1712" s="24"/>
      <c r="N1712" s="112" t="str">
        <f>IF(ISBLANK(E1712),"",_xlfn.XLOOKUP(E1712,cannabis_log!C:C,cannabis_log!T:T,"Not Found",0,))</f>
        <v>net</v>
      </c>
      <c r="O1712" s="180">
        <f>IF(N1712="net",_xlfn.XLOOKUP(E1712,cannabis_log!C:C,cannabis_log!N:N,"NOT FOUND",0,1),IF(N1712="gross",0,""))</f>
        <v>0.5</v>
      </c>
    </row>
    <row r="1713" spans="1:15">
      <c r="A1713" s="195" t="str">
        <f t="shared" si="92"/>
        <v>outbound</v>
      </c>
      <c r="B1713" s="196">
        <v>45779.486111111109</v>
      </c>
      <c r="C1713" s="197" t="s">
        <v>1921</v>
      </c>
      <c r="D1713" s="197" t="s">
        <v>2961</v>
      </c>
      <c r="E1713" s="215" t="s">
        <v>2965</v>
      </c>
      <c r="F1713" s="112" t="str">
        <f>IF(ISBLANK(E1713),"",_xlfn.XLOOKUP(E1713,cannabis_log!C:C,cannabis_log!J:J,"",0,))</f>
        <v>PR21071201</v>
      </c>
      <c r="G1713" s="112"/>
      <c r="H1713" s="112" t="str">
        <f>IF(ISBLANK(E1713),"",_xlfn.XLOOKUP(E1713,cannabis_log!C:C,cannabis_log!H:H,"",0,1))</f>
        <v>preroll_bulk</v>
      </c>
      <c r="I1713" s="113">
        <f>IF(ISBLANK(E1713),"",_xlfn.XLOOKUP(E1713,cannabis_log!C:C,cannabis_log!K:K,"NOT FOUND",0,1))</f>
        <v>44960</v>
      </c>
      <c r="J1713" s="185">
        <v>-46</v>
      </c>
      <c r="K1713" s="186">
        <f t="shared" si="94"/>
        <v>0</v>
      </c>
      <c r="L1713" s="288">
        <f t="shared" si="95"/>
        <v>-0.46</v>
      </c>
      <c r="M1713" s="24"/>
      <c r="N1713" s="112" t="str">
        <f>IF(ISBLANK(E1713),"",_xlfn.XLOOKUP(E1713,cannabis_log!C:C,cannabis_log!T:T,"Not Found",0,))</f>
        <v>net</v>
      </c>
      <c r="O1713" s="180">
        <f>IF(N1713="net",_xlfn.XLOOKUP(E1713,cannabis_log!C:C,cannabis_log!N:N,"NOT FOUND",0,1),IF(N1713="gross",0,""))</f>
        <v>0.01</v>
      </c>
    </row>
    <row r="1714" spans="1:15">
      <c r="A1714" s="195" t="str">
        <f t="shared" si="92"/>
        <v>outbound</v>
      </c>
      <c r="B1714" s="196">
        <v>45779.549305555556</v>
      </c>
      <c r="C1714" s="197" t="s">
        <v>1921</v>
      </c>
      <c r="D1714" s="197" t="s">
        <v>2966</v>
      </c>
      <c r="E1714" s="215" t="s">
        <v>2849</v>
      </c>
      <c r="F1714" s="112" t="str">
        <f>IF(ISBLANK(E1714),"",_xlfn.XLOOKUP(E1714,cannabis_log!C:C,cannabis_log!J:J,"",0,))</f>
        <v>2024121801G7</v>
      </c>
      <c r="G1714" s="112"/>
      <c r="H1714" s="112" t="str">
        <f>IF(ISBLANK(E1714),"",_xlfn.XLOOKUP(E1714,cannabis_log!C:C,cannabis_log!H:H,"",0,1))</f>
        <v>driedflower_labelled</v>
      </c>
      <c r="I1714" s="113">
        <f>IF(ISBLANK(E1714),"",_xlfn.XLOOKUP(E1714,cannabis_log!C:C,cannabis_log!K:K,"NOT FOUND",0,1))</f>
        <v>45742</v>
      </c>
      <c r="J1714" s="185">
        <v>-7</v>
      </c>
      <c r="K1714" s="186">
        <f t="shared" si="94"/>
        <v>0</v>
      </c>
      <c r="L1714" s="288">
        <f t="shared" si="95"/>
        <v>-49</v>
      </c>
      <c r="M1714" s="24"/>
      <c r="N1714" s="112" t="str">
        <f>IF(ISBLANK(E1714),"",_xlfn.XLOOKUP(E1714,cannabis_log!C:C,cannabis_log!T:T,"Not Found",0,))</f>
        <v>net</v>
      </c>
      <c r="O1714" s="180">
        <f>IF(N1714="net",_xlfn.XLOOKUP(E1714,cannabis_log!C:C,cannabis_log!N:N,"NOT FOUND",0,1),IF(N1714="gross",0,""))</f>
        <v>7</v>
      </c>
    </row>
    <row r="1715" spans="1:15">
      <c r="A1715" s="195" t="str">
        <f t="shared" si="92"/>
        <v>outbound</v>
      </c>
      <c r="B1715" s="196">
        <v>45779.549305555556</v>
      </c>
      <c r="C1715" s="197" t="s">
        <v>1921</v>
      </c>
      <c r="D1715" s="197" t="s">
        <v>2966</v>
      </c>
      <c r="E1715" s="215" t="s">
        <v>2697</v>
      </c>
      <c r="F1715" s="112" t="str">
        <f>IF(ISBLANK(E1715),"",_xlfn.XLOOKUP(E1715,cannabis_log!C:C,cannabis_log!J:J,"",0,))</f>
        <v>EX24101703G05</v>
      </c>
      <c r="G1715" s="112"/>
      <c r="H1715" s="112" t="str">
        <f>IF(ISBLANK(E1715),"",_xlfn.XLOOKUP(E1715,cannabis_log!C:C,cannabis_log!H:H,"",0,1))</f>
        <v>extract_inhaled_labelled</v>
      </c>
      <c r="I1715" s="113">
        <f>IF(ISBLANK(E1715),"",_xlfn.XLOOKUP(E1715,cannabis_log!C:C,cannabis_log!K:K,"NOT FOUND",0,1))</f>
        <v>45603</v>
      </c>
      <c r="J1715" s="185">
        <v>-12</v>
      </c>
      <c r="K1715" s="186">
        <f t="shared" si="94"/>
        <v>0</v>
      </c>
      <c r="L1715" s="288">
        <f t="shared" si="95"/>
        <v>-6</v>
      </c>
      <c r="M1715" s="24"/>
      <c r="N1715" s="112" t="str">
        <f>IF(ISBLANK(E1715),"",_xlfn.XLOOKUP(E1715,cannabis_log!C:C,cannabis_log!T:T,"Not Found",0,))</f>
        <v>net</v>
      </c>
      <c r="O1715" s="180">
        <f>IF(N1715="net",_xlfn.XLOOKUP(E1715,cannabis_log!C:C,cannabis_log!N:N,"NOT FOUND",0,1),IF(N1715="gross",0,""))</f>
        <v>0.5</v>
      </c>
    </row>
    <row r="1716" spans="1:15">
      <c r="A1716" s="195" t="str">
        <f t="shared" si="92"/>
        <v>outbound</v>
      </c>
      <c r="B1716" s="196">
        <v>45779.549305555556</v>
      </c>
      <c r="C1716" s="197" t="s">
        <v>1921</v>
      </c>
      <c r="D1716" s="197" t="s">
        <v>2966</v>
      </c>
      <c r="E1716" s="215" t="s">
        <v>2967</v>
      </c>
      <c r="F1716" s="112" t="str">
        <f>IF(ISBLANK(E1716),"",_xlfn.XLOOKUP(E1716,cannabis_log!C:C,cannabis_log!J:J,"",0,))</f>
        <v>EX25040806G05</v>
      </c>
      <c r="G1716" s="112"/>
      <c r="H1716" s="112" t="str">
        <f>IF(ISBLANK(E1716),"",_xlfn.XLOOKUP(E1716,cannabis_log!C:C,cannabis_log!H:H,"",0,1))</f>
        <v>extract_inhaled_labelled</v>
      </c>
      <c r="I1716" s="113">
        <f>IF(ISBLANK(E1716),"",_xlfn.XLOOKUP(E1716,cannabis_log!C:C,cannabis_log!K:K,"NOT FOUND",0,1))</f>
        <v>45755</v>
      </c>
      <c r="J1716" s="185">
        <v>-12</v>
      </c>
      <c r="K1716" s="186">
        <f t="shared" si="94"/>
        <v>0</v>
      </c>
      <c r="L1716" s="288">
        <f t="shared" si="95"/>
        <v>-6</v>
      </c>
      <c r="M1716" s="24"/>
      <c r="N1716" s="112" t="str">
        <f>IF(ISBLANK(E1716),"",_xlfn.XLOOKUP(E1716,cannabis_log!C:C,cannabis_log!T:T,"Not Found",0,))</f>
        <v>net</v>
      </c>
      <c r="O1716" s="180">
        <f>IF(N1716="net",_xlfn.XLOOKUP(E1716,cannabis_log!C:C,cannabis_log!N:N,"NOT FOUND",0,1),IF(N1716="gross",0,""))</f>
        <v>0.5</v>
      </c>
    </row>
    <row r="1717" spans="1:15">
      <c r="A1717" s="195" t="str">
        <f t="shared" si="92"/>
        <v>outbound</v>
      </c>
      <c r="B1717" s="196">
        <v>45779.561111111114</v>
      </c>
      <c r="C1717" s="197" t="s">
        <v>1929</v>
      </c>
      <c r="D1717" s="197" t="s">
        <v>2968</v>
      </c>
      <c r="E1717" s="215" t="s">
        <v>2861</v>
      </c>
      <c r="F1717" s="112" t="str">
        <f>IF(ISBLANK(E1717),"",_xlfn.XLOOKUP(E1717,cannabis_log!C:C,cannabis_log!J:J,"",0,))</f>
        <v>PR2406F1P1</v>
      </c>
      <c r="G1717" s="112"/>
      <c r="H1717" s="112" t="str">
        <f>IF(ISBLANK(E1717),"",_xlfn.XLOOKUP(E1717,cannabis_log!C:C,cannabis_log!H:H,"",0,1))</f>
        <v>preroll_labelled</v>
      </c>
      <c r="I1717" s="113">
        <f>IF(ISBLANK(E1717),"",_xlfn.XLOOKUP(E1717,cannabis_log!C:C,cannabis_log!K:K,"NOT FOUND",0,1))</f>
        <v>45742</v>
      </c>
      <c r="J1717" s="185">
        <v>-24</v>
      </c>
      <c r="K1717" s="186">
        <f t="shared" si="94"/>
        <v>0</v>
      </c>
      <c r="L1717" s="288">
        <f t="shared" si="95"/>
        <v>-24</v>
      </c>
      <c r="M1717" s="24"/>
      <c r="N1717" s="112" t="str">
        <f>IF(ISBLANK(E1717),"",_xlfn.XLOOKUP(E1717,cannabis_log!C:C,cannabis_log!T:T,"Not Found",0,))</f>
        <v>net</v>
      </c>
      <c r="O1717" s="180">
        <f>IF(N1717="net",_xlfn.XLOOKUP(E1717,cannabis_log!C:C,cannabis_log!N:N,"NOT FOUND",0,1),IF(N1717="gross",0,""))</f>
        <v>1</v>
      </c>
    </row>
    <row r="1718" spans="1:15">
      <c r="A1718" s="195" t="str">
        <f t="shared" si="92"/>
        <v>outbound</v>
      </c>
      <c r="B1718" s="196">
        <v>45779.561111111114</v>
      </c>
      <c r="C1718" s="197" t="s">
        <v>1929</v>
      </c>
      <c r="D1718" s="197" t="s">
        <v>2968</v>
      </c>
      <c r="E1718" s="215" t="s">
        <v>2920</v>
      </c>
      <c r="F1718" s="112" t="str">
        <f>IF(ISBLANK(E1718),"",_xlfn.XLOOKUP(E1718,cannabis_log!C:C,cannabis_log!J:J,"",0,))</f>
        <v>PR2407F5P3</v>
      </c>
      <c r="G1718" s="112"/>
      <c r="H1718" s="112" t="str">
        <f>IF(ISBLANK(E1718),"",_xlfn.XLOOKUP(E1718,cannabis_log!C:C,cannabis_log!H:H,"",0,1))</f>
        <v>preroll_labelled</v>
      </c>
      <c r="I1718" s="113">
        <f>IF(ISBLANK(E1718),"",_xlfn.XLOOKUP(E1718,cannabis_log!C:C,cannabis_log!K:K,"NOT FOUND",0,1))</f>
        <v>45742</v>
      </c>
      <c r="J1718" s="185">
        <v>-36</v>
      </c>
      <c r="K1718" s="186">
        <f t="shared" si="94"/>
        <v>0</v>
      </c>
      <c r="L1718" s="288">
        <f t="shared" si="95"/>
        <v>-54</v>
      </c>
      <c r="M1718" s="24"/>
      <c r="N1718" s="112" t="str">
        <f>IF(ISBLANK(E1718),"",_xlfn.XLOOKUP(E1718,cannabis_log!C:C,cannabis_log!T:T,"Not Found",0,))</f>
        <v>net</v>
      </c>
      <c r="O1718" s="180">
        <f>IF(N1718="net",_xlfn.XLOOKUP(E1718,cannabis_log!C:C,cannabis_log!N:N,"NOT FOUND",0,1),IF(N1718="gross",0,""))</f>
        <v>1.5</v>
      </c>
    </row>
    <row r="1719" spans="1:15">
      <c r="A1719" s="195" t="str">
        <f t="shared" si="92"/>
        <v>outbound</v>
      </c>
      <c r="B1719" s="196">
        <v>45779.561111111114</v>
      </c>
      <c r="C1719" s="197" t="s">
        <v>1929</v>
      </c>
      <c r="D1719" s="197" t="s">
        <v>2968</v>
      </c>
      <c r="E1719" s="215" t="s">
        <v>2694</v>
      </c>
      <c r="F1719" s="112" t="str">
        <f>IF(ISBLANK(E1719),"",_xlfn.XLOOKUP(E1719,cannabis_log!C:C,cannabis_log!J:J,"",0,))</f>
        <v>PR21071201G1</v>
      </c>
      <c r="G1719" s="112"/>
      <c r="H1719" s="112" t="str">
        <f>IF(ISBLANK(E1719),"",_xlfn.XLOOKUP(E1719,cannabis_log!C:C,cannabis_log!H:H,"",0,1))</f>
        <v>preroll_labelled</v>
      </c>
      <c r="I1719" s="113">
        <f>IF(ISBLANK(E1719),"",_xlfn.XLOOKUP(E1719,cannabis_log!C:C,cannabis_log!K:K,"NOT FOUND",0,1))</f>
        <v>45685</v>
      </c>
      <c r="J1719" s="185">
        <v>-12</v>
      </c>
      <c r="K1719" s="186">
        <f t="shared" si="94"/>
        <v>0</v>
      </c>
      <c r="L1719" s="288">
        <f t="shared" si="95"/>
        <v>-12</v>
      </c>
      <c r="M1719" s="24"/>
      <c r="N1719" s="112" t="str">
        <f>IF(ISBLANK(E1719),"",_xlfn.XLOOKUP(E1719,cannabis_log!C:C,cannabis_log!T:T,"Not Found",0,))</f>
        <v>net</v>
      </c>
      <c r="O1719" s="180">
        <f>IF(N1719="net",_xlfn.XLOOKUP(E1719,cannabis_log!C:C,cannabis_log!N:N,"NOT FOUND",0,1),IF(N1719="gross",0,""))</f>
        <v>1</v>
      </c>
    </row>
    <row r="1720" spans="1:15">
      <c r="A1720" s="195" t="str">
        <f t="shared" si="92"/>
        <v>outbound</v>
      </c>
      <c r="B1720" s="196">
        <v>45779.561111111114</v>
      </c>
      <c r="C1720" s="197" t="s">
        <v>1929</v>
      </c>
      <c r="D1720" s="197" t="s">
        <v>2968</v>
      </c>
      <c r="E1720" s="215" t="s">
        <v>2717</v>
      </c>
      <c r="F1720" s="112" t="str">
        <f>IF(ISBLANK(E1720),"",_xlfn.XLOOKUP(E1720,cannabis_log!C:C,cannabis_log!J:J,"",0,))</f>
        <v>2024111803G7</v>
      </c>
      <c r="G1720" s="112"/>
      <c r="H1720" s="112" t="str">
        <f>IF(ISBLANK(E1720),"",_xlfn.XLOOKUP(E1720,cannabis_log!C:C,cannabis_log!H:H,"",0,1))</f>
        <v>driedflower_labelled</v>
      </c>
      <c r="I1720" s="113">
        <f>IF(ISBLANK(E1720),"",_xlfn.XLOOKUP(E1720,cannabis_log!C:C,cannabis_log!K:K,"NOT FOUND",0,1))</f>
        <v>45721</v>
      </c>
      <c r="J1720" s="185">
        <v>-30</v>
      </c>
      <c r="K1720" s="186">
        <f t="shared" si="94"/>
        <v>0</v>
      </c>
      <c r="L1720" s="288">
        <f t="shared" si="95"/>
        <v>-210</v>
      </c>
      <c r="M1720" s="24"/>
      <c r="N1720" s="112" t="str">
        <f>IF(ISBLANK(E1720),"",_xlfn.XLOOKUP(E1720,cannabis_log!C:C,cannabis_log!T:T,"Not Found",0,))</f>
        <v>net</v>
      </c>
      <c r="O1720" s="180">
        <f>IF(N1720="net",_xlfn.XLOOKUP(E1720,cannabis_log!C:C,cannabis_log!N:N,"NOT FOUND",0,1),IF(N1720="gross",0,""))</f>
        <v>7</v>
      </c>
    </row>
    <row r="1721" spans="1:15">
      <c r="A1721" s="195" t="str">
        <f t="shared" si="92"/>
        <v>outbound</v>
      </c>
      <c r="B1721" s="196">
        <v>45779.561111111114</v>
      </c>
      <c r="C1721" s="197" t="s">
        <v>1929</v>
      </c>
      <c r="D1721" s="197" t="s">
        <v>2968</v>
      </c>
      <c r="E1721" s="215" t="s">
        <v>2885</v>
      </c>
      <c r="F1721" s="112" t="str">
        <f>IF(ISBLANK(E1721),"",_xlfn.XLOOKUP(E1721,cannabis_log!C:C,cannabis_log!J:J,"",0,))</f>
        <v>ROGEX001G1</v>
      </c>
      <c r="G1721" s="112"/>
      <c r="H1721" s="112" t="str">
        <f>IF(ISBLANK(E1721),"",_xlfn.XLOOKUP(E1721,cannabis_log!C:C,cannabis_log!H:H,"",0,1))</f>
        <v>extract_inhaled_labelled_Rohan</v>
      </c>
      <c r="I1721" s="113">
        <f>IF(ISBLANK(E1721),"",_xlfn.XLOOKUP(E1721,cannabis_log!C:C,cannabis_log!K:K,"NOT FOUND",0,1))</f>
        <v>45740</v>
      </c>
      <c r="J1721" s="185">
        <v>-12</v>
      </c>
      <c r="K1721" s="186">
        <f t="shared" si="94"/>
        <v>0</v>
      </c>
      <c r="L1721" s="288">
        <f t="shared" si="95"/>
        <v>-12</v>
      </c>
      <c r="M1721" s="24"/>
      <c r="N1721" s="112" t="str">
        <f>IF(ISBLANK(E1721),"",_xlfn.XLOOKUP(E1721,cannabis_log!C:C,cannabis_log!T:T,"Not Found",0,))</f>
        <v>net</v>
      </c>
      <c r="O1721" s="180">
        <f>IF(N1721="net",_xlfn.XLOOKUP(E1721,cannabis_log!C:C,cannabis_log!N:N,"NOT FOUND",0,1),IF(N1721="gross",0,""))</f>
        <v>1</v>
      </c>
    </row>
    <row r="1722" spans="1:15">
      <c r="A1722" s="195" t="str">
        <f t="shared" si="92"/>
        <v>inbound</v>
      </c>
      <c r="B1722" s="196">
        <v>45779.678472222222</v>
      </c>
      <c r="C1722" s="197" t="s">
        <v>1927</v>
      </c>
      <c r="D1722" s="197"/>
      <c r="E1722" s="215" t="s">
        <v>2962</v>
      </c>
      <c r="F1722" s="112" t="str">
        <f>IF(ISBLANK(E1722),"",_xlfn.XLOOKUP(E1722,cannabis_log!C:C,cannabis_log!J:J,"",0,))</f>
        <v>PR21071201G5</v>
      </c>
      <c r="G1722" s="112"/>
      <c r="H1722" s="112" t="str">
        <f>IF(ISBLANK(E1722),"",_xlfn.XLOOKUP(E1722,cannabis_log!C:C,cannabis_log!H:H,"",0,1))</f>
        <v>preroll_labelled</v>
      </c>
      <c r="I1722" s="113">
        <f>IF(ISBLANK(E1722),"",_xlfn.XLOOKUP(E1722,cannabis_log!C:C,cannabis_log!K:K,"NOT FOUND",0,1))</f>
        <v>45051</v>
      </c>
      <c r="J1722" s="185">
        <v>10</v>
      </c>
      <c r="K1722" s="186">
        <f t="shared" si="94"/>
        <v>0</v>
      </c>
      <c r="L1722" s="288">
        <f t="shared" si="95"/>
        <v>10</v>
      </c>
      <c r="M1722" s="24"/>
      <c r="N1722" s="112" t="str">
        <f>IF(ISBLANK(E1722),"",_xlfn.XLOOKUP(E1722,cannabis_log!C:C,cannabis_log!T:T,"Not Found",0,))</f>
        <v>net</v>
      </c>
      <c r="O1722" s="180">
        <f>IF(N1722="net",_xlfn.XLOOKUP(E1722,cannabis_log!C:C,cannabis_log!N:N,"NOT FOUND",0,1),IF(N1722="gross",0,""))</f>
        <v>1</v>
      </c>
    </row>
    <row r="1723" spans="1:15">
      <c r="A1723" s="195" t="str">
        <f t="shared" si="92"/>
        <v>inbound</v>
      </c>
      <c r="B1723" s="196">
        <v>45779.678472222222</v>
      </c>
      <c r="C1723" s="197" t="s">
        <v>1927</v>
      </c>
      <c r="D1723" s="197"/>
      <c r="E1723" s="215" t="s">
        <v>2963</v>
      </c>
      <c r="F1723" s="112">
        <f>IF(ISBLANK(E1723),"",_xlfn.XLOOKUP(E1723,cannabis_log!C:C,cannabis_log!J:J,"",0,))</f>
        <v>2021042701</v>
      </c>
      <c r="G1723" s="112"/>
      <c r="H1723" s="112" t="str">
        <f>IF(ISBLANK(E1723),"",_xlfn.XLOOKUP(E1723,cannabis_log!C:C,cannabis_log!H:H,"",0,1))</f>
        <v>preroll_labelled</v>
      </c>
      <c r="I1723" s="113">
        <f>IF(ISBLANK(E1723),"",_xlfn.XLOOKUP(E1723,cannabis_log!C:C,cannabis_log!K:K,"NOT FOUND",0,1))</f>
        <v>44314</v>
      </c>
      <c r="J1723" s="185">
        <v>34</v>
      </c>
      <c r="K1723" s="186">
        <f t="shared" si="94"/>
        <v>0</v>
      </c>
      <c r="L1723" s="288">
        <f t="shared" si="95"/>
        <v>34</v>
      </c>
      <c r="M1723" s="24"/>
      <c r="N1723" s="112" t="str">
        <f>IF(ISBLANK(E1723),"",_xlfn.XLOOKUP(E1723,cannabis_log!C:C,cannabis_log!T:T,"Not Found",0,))</f>
        <v>net</v>
      </c>
      <c r="O1723" s="180">
        <f>IF(N1723="net",_xlfn.XLOOKUP(E1723,cannabis_log!C:C,cannabis_log!N:N,"NOT FOUND",0,1),IF(N1723="gross",0,""))</f>
        <v>1</v>
      </c>
    </row>
    <row r="1724" spans="1:15">
      <c r="A1724" s="195" t="str">
        <f t="shared" si="92"/>
        <v>outbound</v>
      </c>
      <c r="B1724" s="196">
        <v>45782.537499999999</v>
      </c>
      <c r="C1724" s="197" t="s">
        <v>1929</v>
      </c>
      <c r="D1724" s="197" t="s">
        <v>2969</v>
      </c>
      <c r="E1724" s="215" t="s">
        <v>2970</v>
      </c>
      <c r="F1724" s="112" t="str">
        <f>IF(ISBLANK(E1724),"",_xlfn.XLOOKUP(E1724,cannabis_log!C:C,cannabis_log!J:J,"",0,))</f>
        <v>PR2501F5P10</v>
      </c>
      <c r="G1724" s="112"/>
      <c r="H1724" s="112" t="str">
        <f>IF(ISBLANK(E1724),"",_xlfn.XLOOKUP(E1724,cannabis_log!C:C,cannabis_log!H:H,"",0,1))</f>
        <v>preroll_labelled</v>
      </c>
      <c r="I1724" s="113">
        <f>IF(ISBLANK(E1724),"",_xlfn.XLOOKUP(E1724,cannabis_log!C:C,cannabis_log!K:K,"NOT FOUND",0,1))</f>
        <v>45763</v>
      </c>
      <c r="J1724" s="185">
        <v>-7</v>
      </c>
      <c r="K1724" s="186">
        <f t="shared" si="94"/>
        <v>0</v>
      </c>
      <c r="L1724" s="288">
        <f t="shared" si="95"/>
        <v>-17.5</v>
      </c>
      <c r="M1724" s="24"/>
      <c r="N1724" s="112" t="str">
        <f>IF(ISBLANK(E1724),"",_xlfn.XLOOKUP(E1724,cannabis_log!C:C,cannabis_log!T:T,"Not Found",0,))</f>
        <v>NET</v>
      </c>
      <c r="O1724" s="180">
        <f>IF(N1724="net",_xlfn.XLOOKUP(E1724,cannabis_log!C:C,cannabis_log!N:N,"NOT FOUND",0,1),IF(N1724="gross",0,""))</f>
        <v>2.5</v>
      </c>
    </row>
    <row r="1725" spans="1:15">
      <c r="A1725" s="195" t="str">
        <f t="shared" si="92"/>
        <v>outbound</v>
      </c>
      <c r="B1725" s="196">
        <v>45782.537499999999</v>
      </c>
      <c r="C1725" s="197" t="s">
        <v>1929</v>
      </c>
      <c r="D1725" s="197" t="s">
        <v>2969</v>
      </c>
      <c r="E1725" s="215" t="s">
        <v>2971</v>
      </c>
      <c r="F1725" s="112" t="str">
        <f>IF(ISBLANK(E1725),"",_xlfn.XLOOKUP(E1725,cannabis_log!C:C,cannabis_log!J:J,"",0,))</f>
        <v>PR2501INF5P3</v>
      </c>
      <c r="G1725" s="112"/>
      <c r="H1725" s="112" t="str">
        <f>IF(ISBLANK(E1725),"",_xlfn.XLOOKUP(E1725,cannabis_log!C:C,cannabis_log!H:H,"",0,1))</f>
        <v>preroll_labelled</v>
      </c>
      <c r="I1725" s="113">
        <f>IF(ISBLANK(E1725),"",_xlfn.XLOOKUP(E1725,cannabis_log!C:C,cannabis_log!K:K,"NOT FOUND",0,1))</f>
        <v>45756</v>
      </c>
      <c r="J1725" s="185">
        <v>-24</v>
      </c>
      <c r="K1725" s="186">
        <f t="shared" si="94"/>
        <v>0</v>
      </c>
      <c r="L1725" s="288">
        <f t="shared" si="95"/>
        <v>-36</v>
      </c>
      <c r="M1725" s="24"/>
      <c r="N1725" s="112" t="str">
        <f>IF(ISBLANK(E1725),"",_xlfn.XLOOKUP(E1725,cannabis_log!C:C,cannabis_log!T:T,"Not Found",0,))</f>
        <v>net</v>
      </c>
      <c r="O1725" s="180">
        <f>IF(N1725="net",_xlfn.XLOOKUP(E1725,cannabis_log!C:C,cannabis_log!N:N,"NOT FOUND",0,1),IF(N1725="gross",0,""))</f>
        <v>1.5</v>
      </c>
    </row>
    <row r="1726" spans="1:15">
      <c r="A1726" s="195" t="str">
        <f t="shared" si="92"/>
        <v>outbound</v>
      </c>
      <c r="B1726" s="196">
        <v>45782.537499999999</v>
      </c>
      <c r="C1726" s="197" t="s">
        <v>1929</v>
      </c>
      <c r="D1726" s="197" t="s">
        <v>2969</v>
      </c>
      <c r="E1726" s="215" t="s">
        <v>2972</v>
      </c>
      <c r="F1726" s="112" t="str">
        <f>IF(ISBLANK(E1726),"",_xlfn.XLOOKUP(E1726,cannabis_log!C:C,cannabis_log!J:J,"",0,))</f>
        <v>PR2516F5P10</v>
      </c>
      <c r="G1726" s="112"/>
      <c r="H1726" s="112" t="str">
        <f>IF(ISBLANK(E1726),"",_xlfn.XLOOKUP(E1726,cannabis_log!C:C,cannabis_log!H:H,"",0,1))</f>
        <v>preroll_labelled</v>
      </c>
      <c r="I1726" s="113">
        <f>IF(ISBLANK(E1726),"",_xlfn.XLOOKUP(E1726,cannabis_log!C:C,cannabis_log!K:K,"NOT FOUND",0,1))</f>
        <v>45772</v>
      </c>
      <c r="J1726" s="185">
        <v>-5</v>
      </c>
      <c r="K1726" s="186">
        <f t="shared" si="94"/>
        <v>0</v>
      </c>
      <c r="L1726" s="288">
        <f t="shared" si="95"/>
        <v>-25</v>
      </c>
      <c r="M1726" s="24"/>
      <c r="N1726" s="112" t="str">
        <f>IF(ISBLANK(E1726),"",_xlfn.XLOOKUP(E1726,cannabis_log!C:C,cannabis_log!T:T,"Not Found",0,))</f>
        <v>net</v>
      </c>
      <c r="O1726" s="180">
        <f>IF(N1726="net",_xlfn.XLOOKUP(E1726,cannabis_log!C:C,cannabis_log!N:N,"NOT FOUND",0,1),IF(N1726="gross",0,""))</f>
        <v>5</v>
      </c>
    </row>
    <row r="1727" spans="1:15">
      <c r="A1727" s="195" t="str">
        <f t="shared" si="92"/>
        <v>outbound</v>
      </c>
      <c r="B1727" s="196">
        <v>45782.537499999999</v>
      </c>
      <c r="C1727" s="197" t="s">
        <v>1921</v>
      </c>
      <c r="D1727" s="197"/>
      <c r="E1727" s="215" t="s">
        <v>2973</v>
      </c>
      <c r="F1727" s="112" t="str">
        <f>IF(ISBLANK(E1727),"",_xlfn.XLOOKUP(E1727,cannabis_log!C:C,cannabis_log!J:J,"",0,))</f>
        <v>PR2516</v>
      </c>
      <c r="G1727" s="112"/>
      <c r="H1727" s="112" t="str">
        <f>IF(ISBLANK(E1727),"",_xlfn.XLOOKUP(E1727,cannabis_log!C:C,cannabis_log!H:H,"",0,1))</f>
        <v>driedflower_milled_bulk</v>
      </c>
      <c r="I1727" s="113" t="str">
        <f>IF(ISBLANK(E1727),"",_xlfn.XLOOKUP(E1727,cannabis_log!C:C,cannabis_log!K:K,"NOT FOUND",0,1))</f>
        <v>NA</v>
      </c>
      <c r="J1727" s="185">
        <v>-1</v>
      </c>
      <c r="K1727" s="186">
        <v>-4496</v>
      </c>
      <c r="L1727" s="288">
        <f t="shared" si="95"/>
        <v>0</v>
      </c>
      <c r="M1727" s="24"/>
      <c r="N1727" s="112" t="str">
        <f>IF(ISBLANK(E1727),"",_xlfn.XLOOKUP(E1727,cannabis_log!C:C,cannabis_log!T:T,"Not Found",0,))</f>
        <v>gross</v>
      </c>
      <c r="O1727" s="180">
        <f>IF(N1727="net",_xlfn.XLOOKUP(E1727,cannabis_log!C:C,cannabis_log!N:N,"NOT FOUND",0,1),IF(N1727="gross",0,""))</f>
        <v>0</v>
      </c>
    </row>
    <row r="1728" spans="1:15">
      <c r="A1728" s="195" t="str">
        <f t="shared" si="92"/>
        <v>outbound</v>
      </c>
      <c r="B1728" s="196">
        <v>45782.546527777777</v>
      </c>
      <c r="C1728" s="197" t="s">
        <v>1924</v>
      </c>
      <c r="D1728" s="197" t="s">
        <v>2974</v>
      </c>
      <c r="E1728" s="215" t="s">
        <v>2736</v>
      </c>
      <c r="F1728" s="112" t="str">
        <f>IF(ISBLANK(E1728),"",_xlfn.XLOOKUP(E1728,cannabis_log!C:C,cannabis_log!J:J,"",0,))</f>
        <v>EX25011501V50</v>
      </c>
      <c r="G1728" s="112"/>
      <c r="H1728" s="112" t="str">
        <f>IF(ISBLANK(E1728),"",_xlfn.XLOOKUP(E1728,cannabis_log!C:C,cannabis_log!H:H,"",0,1))</f>
        <v>extract_ingested_labelled</v>
      </c>
      <c r="I1728" s="113">
        <f>IF(ISBLANK(E1728),"",_xlfn.XLOOKUP(E1728,cannabis_log!C:C,cannabis_log!K:K,"NOT FOUND",0,1))</f>
        <v>45692</v>
      </c>
      <c r="J1728" s="185">
        <v>-3</v>
      </c>
      <c r="K1728" s="186">
        <f>IF(N1728="net",0,"")</f>
        <v>0</v>
      </c>
      <c r="L1728" s="288">
        <f t="shared" si="95"/>
        <v>-150</v>
      </c>
      <c r="M1728" s="24"/>
      <c r="N1728" s="112" t="str">
        <f>IF(ISBLANK(E1728),"",_xlfn.XLOOKUP(E1728,cannabis_log!C:C,cannabis_log!T:T,"Not Found",0,))</f>
        <v>net</v>
      </c>
      <c r="O1728" s="180">
        <f>IF(N1728="net",_xlfn.XLOOKUP(E1728,cannabis_log!C:C,cannabis_log!N:N,"NOT FOUND",0,1),IF(N1728="gross",0,""))</f>
        <v>50</v>
      </c>
    </row>
    <row r="1729" spans="1:15">
      <c r="A1729" s="195" t="str">
        <f t="shared" ref="A1729:A1792" si="96">IF(ISBLANK(J1729),"",IF(J1729+K1729+L1729&lt;0,"outbound","inbound"))</f>
        <v>outbound</v>
      </c>
      <c r="B1729" s="196">
        <v>45783.402777777781</v>
      </c>
      <c r="C1729" s="197" t="s">
        <v>1929</v>
      </c>
      <c r="D1729" s="197" t="s">
        <v>2975</v>
      </c>
      <c r="E1729" s="215" t="s">
        <v>2864</v>
      </c>
      <c r="F1729" s="112" t="str">
        <f>IF(ISBLANK(E1729),"",_xlfn.XLOOKUP(E1729,cannabis_log!C:C,cannabis_log!J:J,"",0,))</f>
        <v>TP25021901</v>
      </c>
      <c r="G1729" s="112"/>
      <c r="H1729" s="112" t="str">
        <f>IF(ISBLANK(E1729),"",_xlfn.XLOOKUP(E1729,cannabis_log!C:C,cannabis_log!H:H,"",0,1))</f>
        <v>topical_labelled</v>
      </c>
      <c r="I1729" s="113">
        <f>IF(ISBLANK(E1729),"",_xlfn.XLOOKUP(E1729,cannabis_log!C:C,cannabis_log!K:K,"NOT FOUND",0,1))</f>
        <v>45714</v>
      </c>
      <c r="J1729" s="185">
        <v>-12</v>
      </c>
      <c r="K1729" s="186">
        <f>IF(N1729="net",0,"")</f>
        <v>0</v>
      </c>
      <c r="L1729" s="288">
        <f t="shared" si="95"/>
        <v>-1056</v>
      </c>
      <c r="M1729" s="24"/>
      <c r="N1729" s="112" t="str">
        <f>IF(ISBLANK(E1729),"",_xlfn.XLOOKUP(E1729,cannabis_log!C:C,cannabis_log!T:T,"Not Found",0,))</f>
        <v>net</v>
      </c>
      <c r="O1729" s="180">
        <f>IF(N1729="net",_xlfn.XLOOKUP(E1729,cannabis_log!C:C,cannabis_log!N:N,"NOT FOUND",0,1),IF(N1729="gross",0,""))</f>
        <v>88</v>
      </c>
    </row>
    <row r="1730" spans="1:15">
      <c r="A1730" s="195" t="str">
        <f t="shared" si="96"/>
        <v>outbound</v>
      </c>
      <c r="B1730" s="196">
        <v>45783.474999999999</v>
      </c>
      <c r="C1730" s="197" t="s">
        <v>1921</v>
      </c>
      <c r="D1730" s="197" t="s">
        <v>2976</v>
      </c>
      <c r="E1730" s="215" t="s">
        <v>2977</v>
      </c>
      <c r="F1730" s="112" t="str">
        <f>IF(ISBLANK(E1730),"",_xlfn.XLOOKUP(E1730,cannabis_log!C:C,cannabis_log!J:J,"",0,))</f>
        <v>PR2511</v>
      </c>
      <c r="G1730" s="112"/>
      <c r="H1730" s="112" t="str">
        <f>IF(ISBLANK(E1730),"",_xlfn.XLOOKUP(E1730,cannabis_log!C:C,cannabis_log!H:H,"",0,1))</f>
        <v>driedflower_milled_bulk</v>
      </c>
      <c r="I1730" s="113" t="str">
        <f>IF(ISBLANK(E1730),"",_xlfn.XLOOKUP(E1730,cannabis_log!C:C,cannabis_log!K:K,"NOT FOUND",0,1))</f>
        <v>NA</v>
      </c>
      <c r="J1730" s="185">
        <v>-1</v>
      </c>
      <c r="K1730" s="186">
        <v>-2582</v>
      </c>
      <c r="L1730" s="288">
        <f t="shared" si="95"/>
        <v>0</v>
      </c>
      <c r="M1730" s="24"/>
      <c r="N1730" s="112" t="str">
        <f>IF(ISBLANK(E1730),"",_xlfn.XLOOKUP(E1730,cannabis_log!C:C,cannabis_log!T:T,"Not Found",0,))</f>
        <v>gross</v>
      </c>
      <c r="O1730" s="180">
        <f>IF(N1730="net",_xlfn.XLOOKUP(E1730,cannabis_log!C:C,cannabis_log!N:N,"NOT FOUND",0,1),IF(N1730="gross",0,""))</f>
        <v>0</v>
      </c>
    </row>
    <row r="1731" spans="1:15">
      <c r="A1731" s="195" t="str">
        <f t="shared" si="96"/>
        <v>outbound</v>
      </c>
      <c r="B1731" s="196">
        <v>45783.474999999999</v>
      </c>
      <c r="C1731" s="197" t="s">
        <v>1921</v>
      </c>
      <c r="D1731" s="197" t="s">
        <v>2976</v>
      </c>
      <c r="E1731" s="215" t="s">
        <v>2978</v>
      </c>
      <c r="F1731" s="112" t="str">
        <f>IF(ISBLANK(E1731),"",_xlfn.XLOOKUP(E1731,cannabis_log!C:C,cannabis_log!J:J,"",0,))</f>
        <v>PR2511</v>
      </c>
      <c r="G1731" s="112"/>
      <c r="H1731" s="112" t="str">
        <f>IF(ISBLANK(E1731),"",_xlfn.XLOOKUP(E1731,cannabis_log!C:C,cannabis_log!H:H,"",0,1))</f>
        <v>driedflower_milled_bulk</v>
      </c>
      <c r="I1731" s="113" t="str">
        <f>IF(ISBLANK(E1731),"",_xlfn.XLOOKUP(E1731,cannabis_log!C:C,cannabis_log!K:K,"NOT FOUND",0,1))</f>
        <v>NA</v>
      </c>
      <c r="J1731" s="185">
        <v>-1</v>
      </c>
      <c r="K1731" s="186">
        <v>-3358</v>
      </c>
      <c r="L1731" s="288">
        <f t="shared" si="95"/>
        <v>-1594</v>
      </c>
      <c r="M1731" s="24"/>
      <c r="N1731" s="112" t="str">
        <f>IF(ISBLANK(E1731),"",_xlfn.XLOOKUP(E1731,cannabis_log!C:C,cannabis_log!T:T,"Not Found",0,))</f>
        <v>net</v>
      </c>
      <c r="O1731" s="180">
        <f>IF(N1731="net",_xlfn.XLOOKUP(E1731,cannabis_log!C:C,cannabis_log!N:N,"NOT FOUND",0,1),IF(N1731="gross",0,""))</f>
        <v>1594</v>
      </c>
    </row>
    <row r="1732" spans="1:15">
      <c r="A1732" s="195" t="str">
        <f t="shared" si="96"/>
        <v>outbound</v>
      </c>
      <c r="B1732" s="196">
        <v>45783.541666666664</v>
      </c>
      <c r="C1732" s="197" t="s">
        <v>1929</v>
      </c>
      <c r="D1732" s="197" t="s">
        <v>2979</v>
      </c>
      <c r="E1732" s="215" t="s">
        <v>2864</v>
      </c>
      <c r="F1732" s="112" t="str">
        <f>IF(ISBLANK(E1732),"",_xlfn.XLOOKUP(E1732,cannabis_log!C:C,cannabis_log!J:J,"",0,))</f>
        <v>TP25021901</v>
      </c>
      <c r="G1732" s="112"/>
      <c r="H1732" s="112" t="str">
        <f>IF(ISBLANK(E1732),"",_xlfn.XLOOKUP(E1732,cannabis_log!C:C,cannabis_log!H:H,"",0,1))</f>
        <v>topical_labelled</v>
      </c>
      <c r="I1732" s="113">
        <f>IF(ISBLANK(E1732),"",_xlfn.XLOOKUP(E1732,cannabis_log!C:C,cannabis_log!K:K,"NOT FOUND",0,1))</f>
        <v>45714</v>
      </c>
      <c r="J1732" s="185">
        <v>-12</v>
      </c>
      <c r="K1732" s="186">
        <f>IF(N1732="net",0,"")</f>
        <v>0</v>
      </c>
      <c r="L1732" s="288">
        <f t="shared" si="95"/>
        <v>-1056</v>
      </c>
      <c r="M1732" s="24"/>
      <c r="N1732" s="112" t="str">
        <f>IF(ISBLANK(E1732),"",_xlfn.XLOOKUP(E1732,cannabis_log!C:C,cannabis_log!T:T,"Not Found",0,))</f>
        <v>net</v>
      </c>
      <c r="O1732" s="180">
        <f>IF(N1732="net",_xlfn.XLOOKUP(E1732,cannabis_log!C:C,cannabis_log!N:N,"NOT FOUND",0,1),IF(N1732="gross",0,""))</f>
        <v>88</v>
      </c>
    </row>
    <row r="1733" spans="1:15">
      <c r="A1733" s="195" t="str">
        <f t="shared" si="96"/>
        <v>outbound</v>
      </c>
      <c r="B1733" s="196">
        <v>45783.554861111108</v>
      </c>
      <c r="C1733" s="197" t="s">
        <v>1921</v>
      </c>
      <c r="D1733" s="197"/>
      <c r="E1733" s="215" t="s">
        <v>2811</v>
      </c>
      <c r="F1733" s="112" t="str">
        <f>IF(ISBLANK(E1733),"",_xlfn.XLOOKUP(E1733,cannabis_log!C:C,cannabis_log!J:J,"",0,))</f>
        <v>CPR22112801</v>
      </c>
      <c r="G1733" s="112"/>
      <c r="H1733" s="112" t="str">
        <f>IF(ISBLANK(E1733),"",_xlfn.XLOOKUP(E1733,cannabis_log!C:C,cannabis_log!H:H,"",0,1))</f>
        <v>driedflower_milled_bulk</v>
      </c>
      <c r="I1733" s="113" t="str">
        <f>IF(ISBLANK(E1733),"",_xlfn.XLOOKUP(E1733,cannabis_log!C:C,cannabis_log!K:K,"NOT FOUND",0,1))</f>
        <v>NA</v>
      </c>
      <c r="J1733" s="185">
        <v>-1</v>
      </c>
      <c r="K1733" s="186">
        <v>-2920</v>
      </c>
      <c r="L1733" s="288">
        <f t="shared" si="95"/>
        <v>0</v>
      </c>
      <c r="M1733" s="24"/>
      <c r="N1733" s="112" t="str">
        <f>IF(ISBLANK(E1733),"",_xlfn.XLOOKUP(E1733,cannabis_log!C:C,cannabis_log!T:T,"Not Found",0,))</f>
        <v>gross</v>
      </c>
      <c r="O1733" s="180">
        <f>IF(N1733="net",_xlfn.XLOOKUP(E1733,cannabis_log!C:C,cannabis_log!N:N,"NOT FOUND",0,1),IF(N1733="gross",0,""))</f>
        <v>0</v>
      </c>
    </row>
    <row r="1734" spans="1:15">
      <c r="A1734" s="195" t="str">
        <f t="shared" si="96"/>
        <v>outbound</v>
      </c>
      <c r="B1734" s="196">
        <v>45783.554861111108</v>
      </c>
      <c r="C1734" s="197" t="s">
        <v>1921</v>
      </c>
      <c r="D1734" s="197"/>
      <c r="E1734" s="215" t="s">
        <v>2980</v>
      </c>
      <c r="F1734" s="112" t="str">
        <f>IF(ISBLANK(E1734),"",_xlfn.XLOOKUP(E1734,cannabis_log!C:C,cannabis_log!J:J,"",0,))</f>
        <v>2022012401R1</v>
      </c>
      <c r="G1734" s="112"/>
      <c r="H1734" s="112" t="str">
        <f>IF(ISBLANK(E1734),"",_xlfn.XLOOKUP(E1734,cannabis_log!C:C,cannabis_log!H:H,"",0,1))</f>
        <v>driedflower_bulk</v>
      </c>
      <c r="I1734" s="113">
        <f>IF(ISBLANK(E1734),"",_xlfn.XLOOKUP(E1734,cannabis_log!C:C,cannabis_log!K:K,"NOT FOUND",0,1))</f>
        <v>44686</v>
      </c>
      <c r="J1734" s="185">
        <v>-1</v>
      </c>
      <c r="K1734" s="186">
        <v>-177.65</v>
      </c>
      <c r="L1734" s="288">
        <f t="shared" si="95"/>
        <v>0</v>
      </c>
      <c r="M1734" s="24"/>
      <c r="N1734" s="112" t="str">
        <f>IF(ISBLANK(E1734),"",_xlfn.XLOOKUP(E1734,cannabis_log!C:C,cannabis_log!T:T,"Not Found",0,))</f>
        <v>gross</v>
      </c>
      <c r="O1734" s="180">
        <f>IF(N1734="net",_xlfn.XLOOKUP(E1734,cannabis_log!C:C,cannabis_log!N:N,"NOT FOUND",0,1),IF(N1734="gross",0,""))</f>
        <v>0</v>
      </c>
    </row>
    <row r="1735" spans="1:15">
      <c r="A1735" s="195" t="str">
        <f t="shared" si="96"/>
        <v>outbound</v>
      </c>
      <c r="B1735" s="196">
        <v>45783.554861111108</v>
      </c>
      <c r="C1735" s="197" t="s">
        <v>1921</v>
      </c>
      <c r="D1735" s="197"/>
      <c r="E1735" s="215" t="s">
        <v>2981</v>
      </c>
      <c r="F1735" s="112" t="str">
        <f>IF(ISBLANK(E1735),"",_xlfn.XLOOKUP(E1735,cannabis_log!C:C,cannabis_log!J:J,"",0,))</f>
        <v>2022012401R1</v>
      </c>
      <c r="G1735" s="112"/>
      <c r="H1735" s="112" t="str">
        <f>IF(ISBLANK(E1735),"",_xlfn.XLOOKUP(E1735,cannabis_log!C:C,cannabis_log!H:H,"",0,1))</f>
        <v>driedflower_bulk</v>
      </c>
      <c r="I1735" s="113">
        <f>IF(ISBLANK(E1735),"",_xlfn.XLOOKUP(E1735,cannabis_log!C:C,cannabis_log!K:K,"NOT FOUND",0,1))</f>
        <v>44686</v>
      </c>
      <c r="J1735" s="185">
        <v>-1</v>
      </c>
      <c r="K1735" s="186">
        <v>-255</v>
      </c>
      <c r="L1735" s="288">
        <f t="shared" si="95"/>
        <v>0</v>
      </c>
      <c r="M1735" s="24"/>
      <c r="N1735" s="112" t="str">
        <f>IF(ISBLANK(E1735),"",_xlfn.XLOOKUP(E1735,cannabis_log!C:C,cannabis_log!T:T,"Not Found",0,))</f>
        <v>gross</v>
      </c>
      <c r="O1735" s="180">
        <f>IF(N1735="net",_xlfn.XLOOKUP(E1735,cannabis_log!C:C,cannabis_log!N:N,"NOT FOUND",0,1),IF(N1735="gross",0,""))</f>
        <v>0</v>
      </c>
    </row>
    <row r="1736" spans="1:15">
      <c r="A1736" s="195" t="str">
        <f t="shared" si="96"/>
        <v>inbound</v>
      </c>
      <c r="B1736" s="196">
        <v>45783.588194444441</v>
      </c>
      <c r="C1736" s="197" t="s">
        <v>1927</v>
      </c>
      <c r="D1736" s="197"/>
      <c r="E1736" s="215" t="s">
        <v>2825</v>
      </c>
      <c r="F1736" s="112">
        <f>IF(ISBLANK(E1736),"",_xlfn.XLOOKUP(E1736,cannabis_log!C:C,cannabis_log!J:J,"",0,))</f>
        <v>2024121801</v>
      </c>
      <c r="G1736" s="112"/>
      <c r="H1736" s="112" t="str">
        <f>IF(ISBLANK(E1736),"",_xlfn.XLOOKUP(E1736,cannabis_log!C:C,cannabis_log!H:H,"",0,1))</f>
        <v>driedflower_bulk_big</v>
      </c>
      <c r="I1736" s="113" t="str">
        <f>IF(ISBLANK(E1736),"",_xlfn.XLOOKUP(E1736,cannabis_log!C:C,cannabis_log!K:K,"NOT FOUND",0,1))</f>
        <v>NA</v>
      </c>
      <c r="J1736" s="185">
        <v>1</v>
      </c>
      <c r="K1736" s="186">
        <v>2038</v>
      </c>
      <c r="L1736" s="288">
        <f t="shared" si="95"/>
        <v>0</v>
      </c>
      <c r="M1736" s="24"/>
      <c r="N1736" s="112" t="str">
        <f>IF(ISBLANK(E1736),"",_xlfn.XLOOKUP(E1736,cannabis_log!C:C,cannabis_log!T:T,"Not Found",0,))</f>
        <v>gross</v>
      </c>
      <c r="O1736" s="180">
        <f>IF(N1736="net",_xlfn.XLOOKUP(E1736,cannabis_log!C:C,cannabis_log!N:N,"NOT FOUND",0,1),IF(N1736="gross",0,""))</f>
        <v>0</v>
      </c>
    </row>
    <row r="1737" spans="1:15">
      <c r="A1737" s="195" t="str">
        <f t="shared" si="96"/>
        <v>inbound</v>
      </c>
      <c r="B1737" s="196">
        <v>45783.588194444441</v>
      </c>
      <c r="C1737" s="197" t="s">
        <v>1927</v>
      </c>
      <c r="D1737" s="183"/>
      <c r="E1737" s="215" t="s">
        <v>2923</v>
      </c>
      <c r="F1737" s="112">
        <f>IF(ISBLANK(E1737),"",_xlfn.XLOOKUP(E1737,cannabis_log!C:C,cannabis_log!J:J,"",0,))</f>
        <v>2024121801</v>
      </c>
      <c r="G1737" s="112"/>
      <c r="H1737" s="112" t="str">
        <f>IF(ISBLANK(E1737),"",_xlfn.XLOOKUP(E1737,cannabis_log!C:C,cannabis_log!H:H,"",0,1))</f>
        <v>driedflower_bulk_small</v>
      </c>
      <c r="I1737" s="113" t="str">
        <f>IF(ISBLANK(E1737),"",_xlfn.XLOOKUP(E1737,cannabis_log!C:C,cannabis_log!K:K,"NOT FOUND",0,1))</f>
        <v>NA</v>
      </c>
      <c r="J1737" s="185">
        <v>1</v>
      </c>
      <c r="K1737" s="186">
        <v>5426</v>
      </c>
      <c r="L1737" s="288">
        <f t="shared" si="95"/>
        <v>0</v>
      </c>
      <c r="M1737" s="24"/>
      <c r="N1737" s="112" t="str">
        <f>IF(ISBLANK(E1737),"",_xlfn.XLOOKUP(E1737,cannabis_log!C:C,cannabis_log!T:T,"Not Found",0,))</f>
        <v>gross</v>
      </c>
      <c r="O1737" s="180">
        <f>IF(N1737="net",_xlfn.XLOOKUP(E1737,cannabis_log!C:C,cannabis_log!N:N,"NOT FOUND",0,1),IF(N1737="gross",0,""))</f>
        <v>0</v>
      </c>
    </row>
    <row r="1738" spans="1:15">
      <c r="A1738" s="195" t="str">
        <f t="shared" si="96"/>
        <v>inbound</v>
      </c>
      <c r="B1738" s="196">
        <v>45783.588194444441</v>
      </c>
      <c r="C1738" s="197" t="s">
        <v>1927</v>
      </c>
      <c r="D1738" s="197"/>
      <c r="E1738" s="215" t="s">
        <v>2982</v>
      </c>
      <c r="F1738" s="112">
        <f>IF(ISBLANK(E1738),"",_xlfn.XLOOKUP(E1738,cannabis_log!C:C,cannabis_log!J:J,"",0,))</f>
        <v>2024121801</v>
      </c>
      <c r="G1738" s="112"/>
      <c r="H1738" s="112" t="str">
        <f>IF(ISBLANK(E1738),"",_xlfn.XLOOKUP(E1738,cannabis_log!C:C,cannabis_log!H:H,"",0,1))</f>
        <v>driedflower_bulk_big</v>
      </c>
      <c r="I1738" s="113" t="str">
        <f>IF(ISBLANK(E1738),"",_xlfn.XLOOKUP(E1738,cannabis_log!C:C,cannabis_log!K:K,"NOT FOUND",0,1))</f>
        <v>NA</v>
      </c>
      <c r="J1738" s="185">
        <v>1</v>
      </c>
      <c r="K1738" s="186">
        <v>10250</v>
      </c>
      <c r="L1738" s="288">
        <f t="shared" si="95"/>
        <v>0</v>
      </c>
      <c r="M1738" s="24"/>
      <c r="N1738" s="112" t="str">
        <f>IF(ISBLANK(E1738),"",_xlfn.XLOOKUP(E1738,cannabis_log!C:C,cannabis_log!T:T,"Not Found",0,))</f>
        <v>gross</v>
      </c>
      <c r="O1738" s="180">
        <f>IF(N1738="net",_xlfn.XLOOKUP(E1738,cannabis_log!C:C,cannabis_log!N:N,"NOT FOUND",0,1),IF(N1738="gross",0,""))</f>
        <v>0</v>
      </c>
    </row>
    <row r="1739" spans="1:15">
      <c r="A1739" s="195" t="str">
        <f t="shared" si="96"/>
        <v>inbound</v>
      </c>
      <c r="B1739" s="196">
        <v>45783.597222222219</v>
      </c>
      <c r="C1739" s="197" t="s">
        <v>1927</v>
      </c>
      <c r="D1739" s="197"/>
      <c r="E1739" s="215" t="s">
        <v>2720</v>
      </c>
      <c r="F1739" s="112" t="str">
        <f>IF(ISBLANK(E1739),"",_xlfn.XLOOKUP(E1739,cannabis_log!C:C,cannabis_log!J:J,"",0,))</f>
        <v>PR241101F5P3</v>
      </c>
      <c r="G1739" s="112"/>
      <c r="H1739" s="112" t="str">
        <f>IF(ISBLANK(E1739),"",_xlfn.XLOOKUP(E1739,cannabis_log!C:C,cannabis_log!H:H,"",0,1))</f>
        <v>preroll_labelled</v>
      </c>
      <c r="I1739" s="113">
        <f>IF(ISBLANK(E1739),"",_xlfn.XLOOKUP(E1739,cannabis_log!C:C,cannabis_log!K:K,"NOT FOUND",0,1))</f>
        <v>45707</v>
      </c>
      <c r="J1739" s="185">
        <v>17</v>
      </c>
      <c r="K1739" s="186">
        <f>IF(N1739="net",0,"")</f>
        <v>0</v>
      </c>
      <c r="L1739" s="288">
        <f t="shared" si="95"/>
        <v>25.5</v>
      </c>
      <c r="M1739" s="24"/>
      <c r="N1739" s="112" t="str">
        <f>IF(ISBLANK(E1739),"",_xlfn.XLOOKUP(E1739,cannabis_log!C:C,cannabis_log!T:T,"Not Found",0,))</f>
        <v>net</v>
      </c>
      <c r="O1739" s="180">
        <f>IF(N1739="net",_xlfn.XLOOKUP(E1739,cannabis_log!C:C,cannabis_log!N:N,"NOT FOUND",0,1),IF(N1739="gross",0,""))</f>
        <v>1.5</v>
      </c>
    </row>
    <row r="1740" spans="1:15">
      <c r="A1740" s="195" t="str">
        <f t="shared" si="96"/>
        <v>inbound</v>
      </c>
      <c r="B1740" s="196">
        <v>45783.601388888892</v>
      </c>
      <c r="C1740" s="197" t="s">
        <v>1927</v>
      </c>
      <c r="D1740" s="197"/>
      <c r="E1740" s="215" t="s">
        <v>2694</v>
      </c>
      <c r="F1740" s="112" t="str">
        <f>IF(ISBLANK(E1740),"",_xlfn.XLOOKUP(E1740,cannabis_log!C:C,cannabis_log!J:J,"",0,))</f>
        <v>PR21071201G1</v>
      </c>
      <c r="G1740" s="112"/>
      <c r="H1740" s="112" t="str">
        <f>IF(ISBLANK(E1740),"",_xlfn.XLOOKUP(E1740,cannabis_log!C:C,cannabis_log!H:H,"",0,1))</f>
        <v>preroll_labelled</v>
      </c>
      <c r="I1740" s="113">
        <f>IF(ISBLANK(E1740),"",_xlfn.XLOOKUP(E1740,cannabis_log!C:C,cannabis_log!K:K,"NOT FOUND",0,1))</f>
        <v>45685</v>
      </c>
      <c r="J1740" s="185">
        <v>11</v>
      </c>
      <c r="K1740" s="186">
        <f>IF(N1740="net",0,"")</f>
        <v>0</v>
      </c>
      <c r="L1740" s="288">
        <f t="shared" si="95"/>
        <v>11</v>
      </c>
      <c r="M1740" s="24"/>
      <c r="N1740" s="112" t="str">
        <f>IF(ISBLANK(E1740),"",_xlfn.XLOOKUP(E1740,cannabis_log!C:C,cannabis_log!T:T,"Not Found",0,))</f>
        <v>net</v>
      </c>
      <c r="O1740" s="180">
        <f>IF(N1740="net",_xlfn.XLOOKUP(E1740,cannabis_log!C:C,cannabis_log!N:N,"NOT FOUND",0,1),IF(N1740="gross",0,""))</f>
        <v>1</v>
      </c>
    </row>
    <row r="1741" spans="1:15">
      <c r="A1741" s="195" t="str">
        <f t="shared" si="96"/>
        <v>outbound</v>
      </c>
      <c r="B1741" s="196">
        <v>45784.415277777778</v>
      </c>
      <c r="C1741" s="197" t="s">
        <v>1927</v>
      </c>
      <c r="D1741" s="197"/>
      <c r="E1741" s="215" t="s">
        <v>2983</v>
      </c>
      <c r="F1741" s="112" t="str">
        <f>IF(ISBLANK(E1741),"",_xlfn.XLOOKUP(E1741,cannabis_log!C:C,cannabis_log!J:J,"",0,))</f>
        <v>ROGEX002</v>
      </c>
      <c r="G1741" s="112"/>
      <c r="H1741" s="112" t="str">
        <f>IF(ISBLANK(E1741),"",_xlfn.XLOOKUP(E1741,cannabis_log!C:C,cannabis_log!H:H,"",0,1))</f>
        <v>extract_inhaled_bulk_Rohan</v>
      </c>
      <c r="I1741" s="113" t="str">
        <f>IF(ISBLANK(E1741),"",_xlfn.XLOOKUP(E1741,cannabis_log!C:C,cannabis_log!K:K,"NOT FOUND",0,1))</f>
        <v>NA</v>
      </c>
      <c r="J1741" s="185">
        <v>-1</v>
      </c>
      <c r="K1741" s="186">
        <v>-4450</v>
      </c>
      <c r="L1741" s="288">
        <f t="shared" si="95"/>
        <v>0</v>
      </c>
      <c r="M1741" s="24"/>
      <c r="N1741" s="112" t="str">
        <f>IF(ISBLANK(E1741),"",_xlfn.XLOOKUP(E1741,cannabis_log!C:C,cannabis_log!T:T,"Not Found",0,))</f>
        <v>gross</v>
      </c>
      <c r="O1741" s="180">
        <f>IF(N1741="net",_xlfn.XLOOKUP(E1741,cannabis_log!C:C,cannabis_log!N:N,"NOT FOUND",0,1),IF(N1741="gross",0,""))</f>
        <v>0</v>
      </c>
    </row>
    <row r="1742" spans="1:15">
      <c r="A1742" s="195" t="str">
        <f t="shared" si="96"/>
        <v>outbound</v>
      </c>
      <c r="B1742" s="196">
        <v>45784.591666666667</v>
      </c>
      <c r="C1742" s="197" t="s">
        <v>1921</v>
      </c>
      <c r="D1742" s="197"/>
      <c r="E1742" s="215" t="s">
        <v>2984</v>
      </c>
      <c r="F1742" s="112" t="str">
        <f>IF(ISBLANK(E1742),"",_xlfn.XLOOKUP(E1742,cannabis_log!C:C,cannabis_log!J:J,"",0,))</f>
        <v>2021082601R1</v>
      </c>
      <c r="G1742" s="112"/>
      <c r="H1742" s="112" t="str">
        <f>IF(ISBLANK(E1742),"",_xlfn.XLOOKUP(E1742,cannabis_log!C:C,cannabis_log!H:H,"",0,1))</f>
        <v>driedflower_bulk</v>
      </c>
      <c r="I1742" s="113" t="str">
        <f>IF(ISBLANK(E1742),"",_xlfn.XLOOKUP(E1742,cannabis_log!C:C,cannabis_log!K:K,"NOT FOUND",0,1))</f>
        <v>NA</v>
      </c>
      <c r="J1742" s="185">
        <v>-1</v>
      </c>
      <c r="K1742" s="186">
        <v>-229</v>
      </c>
      <c r="L1742" s="288">
        <f t="shared" si="95"/>
        <v>0</v>
      </c>
      <c r="M1742" s="24"/>
      <c r="N1742" s="112" t="str">
        <f>IF(ISBLANK(E1742),"",_xlfn.XLOOKUP(E1742,cannabis_log!C:C,cannabis_log!T:T,"Not Found",0,))</f>
        <v>gross</v>
      </c>
      <c r="O1742" s="180">
        <f>IF(N1742="net",_xlfn.XLOOKUP(E1742,cannabis_log!C:C,cannabis_log!N:N,"NOT FOUND",0,1),IF(N1742="gross",0,""))</f>
        <v>0</v>
      </c>
    </row>
    <row r="1743" spans="1:15">
      <c r="A1743" s="195" t="str">
        <f t="shared" si="96"/>
        <v>outbound</v>
      </c>
      <c r="B1743" s="196">
        <v>45784.591666666667</v>
      </c>
      <c r="C1743" s="197" t="s">
        <v>1921</v>
      </c>
      <c r="D1743" s="197"/>
      <c r="E1743" s="215" t="s">
        <v>2800</v>
      </c>
      <c r="F1743" s="112" t="str">
        <f>IF(ISBLANK(E1743),"",_xlfn.XLOOKUP(E1743,cannabis_log!C:C,cannabis_log!J:J,"",0,))</f>
        <v>2021082601R1</v>
      </c>
      <c r="G1743" s="112"/>
      <c r="H1743" s="112" t="str">
        <f>IF(ISBLANK(E1743),"",_xlfn.XLOOKUP(E1743,cannabis_log!C:C,cannabis_log!H:H,"",0,1))</f>
        <v>driedflower_labelled_RTV</v>
      </c>
      <c r="I1743" s="113">
        <f>IF(ISBLANK(E1743),"",_xlfn.XLOOKUP(E1743,cannabis_log!C:C,cannabis_log!K:K,"NOT FOUND",0,1))</f>
        <v>44646</v>
      </c>
      <c r="J1743" s="185">
        <v>-10</v>
      </c>
      <c r="K1743" s="186">
        <f t="shared" ref="K1743:K1752" si="97">IF(N1743="net",0,"")</f>
        <v>0</v>
      </c>
      <c r="L1743" s="288">
        <f t="shared" si="95"/>
        <v>-35</v>
      </c>
      <c r="M1743" s="24"/>
      <c r="N1743" s="112" t="str">
        <f>IF(ISBLANK(E1743),"",_xlfn.XLOOKUP(E1743,cannabis_log!C:C,cannabis_log!T:T,"Not Found",0,))</f>
        <v>net</v>
      </c>
      <c r="O1743" s="180">
        <f>IF(N1743="net",_xlfn.XLOOKUP(E1743,cannabis_log!C:C,cannabis_log!N:N,"NOT FOUND",0,1),IF(N1743="gross",0,""))</f>
        <v>3.5</v>
      </c>
    </row>
    <row r="1744" spans="1:15">
      <c r="A1744" s="195" t="str">
        <f t="shared" si="96"/>
        <v>outbound</v>
      </c>
      <c r="B1744" s="196">
        <v>45784.591666666667</v>
      </c>
      <c r="C1744" s="197" t="s">
        <v>1921</v>
      </c>
      <c r="D1744" s="197"/>
      <c r="E1744" s="215" t="s">
        <v>2985</v>
      </c>
      <c r="F1744" s="112" t="str">
        <f>IF(ISBLANK(E1744),"",_xlfn.XLOOKUP(E1744,cannabis_log!C:C,cannabis_log!J:J,"",0,))</f>
        <v>2021082601R1</v>
      </c>
      <c r="G1744" s="112"/>
      <c r="H1744" s="112" t="str">
        <f>IF(ISBLANK(E1744),"",_xlfn.XLOOKUP(E1744,cannabis_log!C:C,cannabis_log!H:H,"",0,1))</f>
        <v>driedflower_labelled_RTV</v>
      </c>
      <c r="I1744" s="113">
        <f>IF(ISBLANK(E1744),"",_xlfn.XLOOKUP(E1744,cannabis_log!C:C,cannabis_log!K:K,"NOT FOUND",0,1))</f>
        <v>44646</v>
      </c>
      <c r="J1744" s="185">
        <v>-22</v>
      </c>
      <c r="K1744" s="186">
        <f t="shared" si="97"/>
        <v>0</v>
      </c>
      <c r="L1744" s="288">
        <f t="shared" si="95"/>
        <v>-77</v>
      </c>
      <c r="M1744" s="24"/>
      <c r="N1744" s="112" t="str">
        <f>IF(ISBLANK(E1744),"",_xlfn.XLOOKUP(E1744,cannabis_log!C:C,cannabis_log!T:T,"Not Found",0,))</f>
        <v>net</v>
      </c>
      <c r="O1744" s="180">
        <f>IF(N1744="net",_xlfn.XLOOKUP(E1744,cannabis_log!C:C,cannabis_log!N:N,"NOT FOUND",0,1),IF(N1744="gross",0,""))</f>
        <v>3.5</v>
      </c>
    </row>
    <row r="1745" spans="1:15">
      <c r="A1745" s="195" t="str">
        <f t="shared" si="96"/>
        <v>outbound</v>
      </c>
      <c r="B1745" s="196">
        <v>45784.591666666667</v>
      </c>
      <c r="C1745" s="197" t="s">
        <v>1921</v>
      </c>
      <c r="D1745" s="197"/>
      <c r="E1745" s="215" t="s">
        <v>2986</v>
      </c>
      <c r="F1745" s="112" t="str">
        <f>IF(ISBLANK(E1745),"",_xlfn.XLOOKUP(E1745,cannabis_log!C:C,cannabis_log!J:J,"",0,))</f>
        <v>2021082601R1</v>
      </c>
      <c r="G1745" s="112"/>
      <c r="H1745" s="112" t="str">
        <f>IF(ISBLANK(E1745),"",_xlfn.XLOOKUP(E1745,cannabis_log!C:C,cannabis_log!H:H,"",0,1))</f>
        <v>driedflower_labelled_RTV</v>
      </c>
      <c r="I1745" s="113">
        <f>IF(ISBLANK(E1745),"",_xlfn.XLOOKUP(E1745,cannabis_log!C:C,cannabis_log!K:K,"NOT FOUND",0,1))</f>
        <v>44646</v>
      </c>
      <c r="J1745" s="185">
        <v>-250</v>
      </c>
      <c r="K1745" s="186">
        <f t="shared" si="97"/>
        <v>0</v>
      </c>
      <c r="L1745" s="288">
        <f t="shared" si="95"/>
        <v>-875</v>
      </c>
      <c r="M1745" s="24"/>
      <c r="N1745" s="112" t="str">
        <f>IF(ISBLANK(E1745),"",_xlfn.XLOOKUP(E1745,cannabis_log!C:C,cannabis_log!T:T,"Not Found",0,))</f>
        <v>net</v>
      </c>
      <c r="O1745" s="180">
        <f>IF(N1745="net",_xlfn.XLOOKUP(E1745,cannabis_log!C:C,cannabis_log!N:N,"NOT FOUND",0,1),IF(N1745="gross",0,""))</f>
        <v>3.5</v>
      </c>
    </row>
    <row r="1746" spans="1:15">
      <c r="A1746" s="195" t="str">
        <f t="shared" si="96"/>
        <v>outbound</v>
      </c>
      <c r="B1746" s="196">
        <v>45784.591666666667</v>
      </c>
      <c r="C1746" s="197" t="s">
        <v>1921</v>
      </c>
      <c r="D1746" s="197"/>
      <c r="E1746" s="215" t="s">
        <v>2987</v>
      </c>
      <c r="F1746" s="112" t="str">
        <f>IF(ISBLANK(E1746),"",_xlfn.XLOOKUP(E1746,cannabis_log!C:C,cannabis_log!J:J,"",0,))</f>
        <v>2021082601R1</v>
      </c>
      <c r="G1746" s="112"/>
      <c r="H1746" s="112" t="str">
        <f>IF(ISBLANK(E1746),"",_xlfn.XLOOKUP(E1746,cannabis_log!C:C,cannabis_log!H:H,"",0,1))</f>
        <v>driedflower_labelled_RTV</v>
      </c>
      <c r="I1746" s="113">
        <f>IF(ISBLANK(E1746),"",_xlfn.XLOOKUP(E1746,cannabis_log!C:C,cannabis_log!K:K,"NOT FOUND",0,1))</f>
        <v>44646</v>
      </c>
      <c r="J1746" s="185">
        <v>-250</v>
      </c>
      <c r="K1746" s="186">
        <f t="shared" si="97"/>
        <v>0</v>
      </c>
      <c r="L1746" s="288">
        <f t="shared" si="95"/>
        <v>-875</v>
      </c>
      <c r="M1746" s="24"/>
      <c r="N1746" s="112" t="str">
        <f>IF(ISBLANK(E1746),"",_xlfn.XLOOKUP(E1746,cannabis_log!C:C,cannabis_log!T:T,"Not Found",0,))</f>
        <v>net</v>
      </c>
      <c r="O1746" s="180">
        <f>IF(N1746="net",_xlfn.XLOOKUP(E1746,cannabis_log!C:C,cannabis_log!N:N,"NOT FOUND",0,1),IF(N1746="gross",0,""))</f>
        <v>3.5</v>
      </c>
    </row>
    <row r="1747" spans="1:15">
      <c r="A1747" s="195" t="str">
        <f t="shared" si="96"/>
        <v>outbound</v>
      </c>
      <c r="B1747" s="196">
        <v>45784.591666666667</v>
      </c>
      <c r="C1747" s="197" t="s">
        <v>1921</v>
      </c>
      <c r="D1747" s="197"/>
      <c r="E1747" s="215" t="s">
        <v>2988</v>
      </c>
      <c r="F1747" s="112" t="str">
        <f>IF(ISBLANK(E1747),"",_xlfn.XLOOKUP(E1747,cannabis_log!C:C,cannabis_log!J:J,"",0,))</f>
        <v>2021082601R1</v>
      </c>
      <c r="G1747" s="112"/>
      <c r="H1747" s="112" t="str">
        <f>IF(ISBLANK(E1747),"",_xlfn.XLOOKUP(E1747,cannabis_log!C:C,cannabis_log!H:H,"",0,1))</f>
        <v>driedflower_labelled_RTV</v>
      </c>
      <c r="I1747" s="113">
        <f>IF(ISBLANK(E1747),"",_xlfn.XLOOKUP(E1747,cannabis_log!C:C,cannabis_log!K:K,"NOT FOUND",0,1))</f>
        <v>44646</v>
      </c>
      <c r="J1747" s="185">
        <v>-250</v>
      </c>
      <c r="K1747" s="186">
        <f t="shared" si="97"/>
        <v>0</v>
      </c>
      <c r="L1747" s="288">
        <f t="shared" si="95"/>
        <v>-875</v>
      </c>
      <c r="M1747" s="24"/>
      <c r="N1747" s="112" t="str">
        <f>IF(ISBLANK(E1747),"",_xlfn.XLOOKUP(E1747,cannabis_log!C:C,cannabis_log!T:T,"Not Found",0,))</f>
        <v>net</v>
      </c>
      <c r="O1747" s="180">
        <f>IF(N1747="net",_xlfn.XLOOKUP(E1747,cannabis_log!C:C,cannabis_log!N:N,"NOT FOUND",0,1),IF(N1747="gross",0,""))</f>
        <v>3.5</v>
      </c>
    </row>
    <row r="1748" spans="1:15">
      <c r="A1748" s="195" t="str">
        <f t="shared" si="96"/>
        <v>outbound</v>
      </c>
      <c r="B1748" s="196">
        <v>45785.550694444442</v>
      </c>
      <c r="C1748" s="197" t="s">
        <v>1921</v>
      </c>
      <c r="D1748" s="197"/>
      <c r="E1748" s="215" t="s">
        <v>2989</v>
      </c>
      <c r="F1748" s="112" t="str">
        <f>IF(ISBLANK(E1748),"",_xlfn.XLOOKUP(E1748,cannabis_log!C:C,cannabis_log!J:J,"",0,))</f>
        <v>PR251106F5</v>
      </c>
      <c r="G1748" s="112"/>
      <c r="H1748" s="112" t="str">
        <f>IF(ISBLANK(E1748),"",_xlfn.XLOOKUP(E1748,cannabis_log!C:C,cannabis_log!H:H,"",0,1))</f>
        <v>preroll_bulk</v>
      </c>
      <c r="I1748" s="113" t="str">
        <f>IF(ISBLANK(E1748),"",_xlfn.XLOOKUP(E1748,cannabis_log!C:C,cannabis_log!K:K,"NOT FOUND",0,1))</f>
        <v>NA</v>
      </c>
      <c r="J1748" s="185">
        <v>-44</v>
      </c>
      <c r="K1748" s="186">
        <f t="shared" si="97"/>
        <v>0</v>
      </c>
      <c r="L1748" s="288">
        <f t="shared" si="95"/>
        <v>-22</v>
      </c>
      <c r="M1748" s="24"/>
      <c r="N1748" s="112" t="str">
        <f>IF(ISBLANK(E1748),"",_xlfn.XLOOKUP(E1748,cannabis_log!C:C,cannabis_log!T:T,"Not Found",0,))</f>
        <v>net</v>
      </c>
      <c r="O1748" s="180">
        <f>IF(N1748="net",_xlfn.XLOOKUP(E1748,cannabis_log!C:C,cannabis_log!N:N,"NOT FOUND",0,1),IF(N1748="gross",0,""))</f>
        <v>0.5</v>
      </c>
    </row>
    <row r="1749" spans="1:15">
      <c r="A1749" s="195" t="str">
        <f t="shared" si="96"/>
        <v>outbound</v>
      </c>
      <c r="B1749" s="196">
        <v>45785.550694444442</v>
      </c>
      <c r="C1749" s="197" t="s">
        <v>1921</v>
      </c>
      <c r="D1749" s="197"/>
      <c r="E1749" s="215" t="s">
        <v>2859</v>
      </c>
      <c r="F1749" s="112" t="str">
        <f>IF(ISBLANK(E1749),"",_xlfn.XLOOKUP(E1749,cannabis_log!C:C,cannabis_log!J:J,"",0,))</f>
        <v>PR2511F5</v>
      </c>
      <c r="G1749" s="112"/>
      <c r="H1749" s="112" t="str">
        <f>IF(ISBLANK(E1749),"",_xlfn.XLOOKUP(E1749,cannabis_log!C:C,cannabis_log!H:H,"",0,1))</f>
        <v>preroll_bulk</v>
      </c>
      <c r="I1749" s="113" t="str">
        <f>IF(ISBLANK(E1749),"",_xlfn.XLOOKUP(E1749,cannabis_log!C:C,cannabis_log!K:K,"NOT FOUND",0,1))</f>
        <v>NA</v>
      </c>
      <c r="J1749" s="185">
        <v>-19</v>
      </c>
      <c r="K1749" s="186">
        <f t="shared" si="97"/>
        <v>0</v>
      </c>
      <c r="L1749" s="288">
        <f t="shared" si="95"/>
        <v>-9.5</v>
      </c>
      <c r="M1749" s="24"/>
      <c r="N1749" s="112" t="str">
        <f>IF(ISBLANK(E1749),"",_xlfn.XLOOKUP(E1749,cannabis_log!C:C,cannabis_log!T:T,"Not Found",0,))</f>
        <v>net</v>
      </c>
      <c r="O1749" s="180">
        <f>IF(N1749="net",_xlfn.XLOOKUP(E1749,cannabis_log!C:C,cannabis_log!N:N,"NOT FOUND",0,1),IF(N1749="gross",0,""))</f>
        <v>0.5</v>
      </c>
    </row>
    <row r="1750" spans="1:15">
      <c r="A1750" s="195" t="str">
        <f t="shared" si="96"/>
        <v>outbound</v>
      </c>
      <c r="B1750" s="196">
        <v>45786.432638888888</v>
      </c>
      <c r="C1750" s="197" t="s">
        <v>1929</v>
      </c>
      <c r="D1750" s="197" t="s">
        <v>2990</v>
      </c>
      <c r="E1750" s="215" t="s">
        <v>2887</v>
      </c>
      <c r="F1750" s="112" t="str">
        <f>IF(ISBLANK(E1750),"",_xlfn.XLOOKUP(E1750,cannabis_log!C:C,cannabis_log!J:J,"",0,))</f>
        <v>PR2507F1P2</v>
      </c>
      <c r="G1750" s="112"/>
      <c r="H1750" s="112" t="str">
        <f>IF(ISBLANK(E1750),"",_xlfn.XLOOKUP(E1750,cannabis_log!C:C,cannabis_log!H:H,"",0,1))</f>
        <v>preroll_labelled</v>
      </c>
      <c r="I1750" s="113">
        <f>IF(ISBLANK(E1750),"",_xlfn.XLOOKUP(E1750,cannabis_log!C:C,cannabis_log!K:K,"NOT FOUND",0,1))</f>
        <v>45749</v>
      </c>
      <c r="J1750" s="185">
        <v>-22</v>
      </c>
      <c r="K1750" s="186">
        <f t="shared" si="97"/>
        <v>0</v>
      </c>
      <c r="L1750" s="288">
        <f t="shared" si="95"/>
        <v>-44</v>
      </c>
      <c r="M1750" s="24"/>
      <c r="N1750" s="112" t="str">
        <f>IF(ISBLANK(E1750),"",_xlfn.XLOOKUP(E1750,cannabis_log!C:C,cannabis_log!T:T,"Not Found",0,))</f>
        <v>net</v>
      </c>
      <c r="O1750" s="180">
        <f>IF(N1750="net",_xlfn.XLOOKUP(E1750,cannabis_log!C:C,cannabis_log!N:N,"NOT FOUND",0,1),IF(N1750="gross",0,""))</f>
        <v>2</v>
      </c>
    </row>
    <row r="1751" spans="1:15">
      <c r="A1751" s="195" t="str">
        <f t="shared" si="96"/>
        <v>outbound</v>
      </c>
      <c r="B1751" s="196">
        <v>45786.432638888888</v>
      </c>
      <c r="C1751" s="197" t="s">
        <v>1929</v>
      </c>
      <c r="D1751" s="197" t="s">
        <v>2990</v>
      </c>
      <c r="E1751" s="215" t="s">
        <v>2991</v>
      </c>
      <c r="F1751" s="112" t="str">
        <f>IF(ISBLANK(E1751),"",_xlfn.XLOOKUP(E1751,cannabis_log!C:C,cannabis_log!J:J,"",0,))</f>
        <v>PR2507F1P2</v>
      </c>
      <c r="G1751" s="112"/>
      <c r="H1751" s="112" t="str">
        <f>IF(ISBLANK(E1751),"",_xlfn.XLOOKUP(E1751,cannabis_log!C:C,cannabis_log!H:H,"",0,1))</f>
        <v>preroll_labelled</v>
      </c>
      <c r="I1751" s="113">
        <f>IF(ISBLANK(E1751),"",_xlfn.XLOOKUP(E1751,cannabis_log!C:C,cannabis_log!K:K,"NOT FOUND",0,1))</f>
        <v>45772</v>
      </c>
      <c r="J1751" s="185">
        <f>-8*12-2</f>
        <v>-98</v>
      </c>
      <c r="K1751" s="186">
        <f t="shared" si="97"/>
        <v>0</v>
      </c>
      <c r="L1751" s="288">
        <f t="shared" si="95"/>
        <v>-196</v>
      </c>
      <c r="M1751" s="24"/>
      <c r="N1751" s="112" t="str">
        <f>IF(ISBLANK(E1751),"",_xlfn.XLOOKUP(E1751,cannabis_log!C:C,cannabis_log!T:T,"Not Found",0,))</f>
        <v>net</v>
      </c>
      <c r="O1751" s="180">
        <f>IF(N1751="net",_xlfn.XLOOKUP(E1751,cannabis_log!C:C,cannabis_log!N:N,"NOT FOUND",0,1),IF(N1751="gross",0,""))</f>
        <v>2</v>
      </c>
    </row>
    <row r="1752" spans="1:15">
      <c r="A1752" s="195" t="str">
        <f t="shared" si="96"/>
        <v>outbound</v>
      </c>
      <c r="B1752" s="196">
        <v>45786.432638888888</v>
      </c>
      <c r="C1752" s="197" t="s">
        <v>1929</v>
      </c>
      <c r="D1752" s="197" t="s">
        <v>2990</v>
      </c>
      <c r="E1752" s="215" t="s">
        <v>2992</v>
      </c>
      <c r="F1752" s="112" t="str">
        <f>IF(ISBLANK(E1752),"",_xlfn.XLOOKUP(E1752,cannabis_log!C:C,cannabis_log!J:J,"",0,))</f>
        <v>EX25041401V30</v>
      </c>
      <c r="G1752" s="112"/>
      <c r="H1752" s="112" t="str">
        <f>IF(ISBLANK(E1752),"",_xlfn.XLOOKUP(E1752,cannabis_log!C:C,cannabis_log!H:H,"",0,1))</f>
        <v>extract_ingested_labelled</v>
      </c>
      <c r="I1752" s="113">
        <f>IF(ISBLANK(E1752),"",_xlfn.XLOOKUP(E1752,cannabis_log!C:C,cannabis_log!K:K,"NOT FOUND",0,1))</f>
        <v>45777</v>
      </c>
      <c r="J1752" s="185">
        <v>-12</v>
      </c>
      <c r="K1752" s="186">
        <f t="shared" si="97"/>
        <v>0</v>
      </c>
      <c r="L1752" s="288">
        <f t="shared" si="95"/>
        <v>-327.60000000000002</v>
      </c>
      <c r="M1752" s="24"/>
      <c r="N1752" s="112" t="str">
        <f>IF(ISBLANK(E1752),"",_xlfn.XLOOKUP(E1752,cannabis_log!C:C,cannabis_log!T:T,"Not Found",0,))</f>
        <v>net</v>
      </c>
      <c r="O1752" s="180">
        <f>IF(N1752="net",_xlfn.XLOOKUP(E1752,cannabis_log!C:C,cannabis_log!N:N,"NOT FOUND",0,1),IF(N1752="gross",0,""))</f>
        <v>27.3</v>
      </c>
    </row>
    <row r="1753" spans="1:15">
      <c r="A1753" s="195" t="str">
        <f t="shared" si="96"/>
        <v>outbound</v>
      </c>
      <c r="B1753" s="196">
        <v>45789.410416666666</v>
      </c>
      <c r="C1753" s="197" t="s">
        <v>1921</v>
      </c>
      <c r="D1753" s="197" t="s">
        <v>2818</v>
      </c>
      <c r="E1753" s="215" t="s">
        <v>2993</v>
      </c>
      <c r="F1753" s="112">
        <f>IF(ISBLANK(E1753),"",_xlfn.XLOOKUP(E1753,cannabis_log!C:C,cannabis_log!J:J,"",0,))</f>
        <v>2025050501</v>
      </c>
      <c r="G1753" s="112"/>
      <c r="H1753" s="112" t="str">
        <f>IF(ISBLANK(E1753),"",_xlfn.XLOOKUP(E1753,cannabis_log!C:C,cannabis_log!H:H,"",0,1))</f>
        <v>driedflower_bulk_Rohan</v>
      </c>
      <c r="I1753" s="113" t="str">
        <f>IF(ISBLANK(E1753),"",_xlfn.XLOOKUP(E1753,cannabis_log!C:C,cannabis_log!K:K,"NOT FOUND",0,1))</f>
        <v>NA</v>
      </c>
      <c r="J1753" s="185">
        <v>-1</v>
      </c>
      <c r="K1753" s="186">
        <v>-3074</v>
      </c>
      <c r="L1753" s="288">
        <f t="shared" si="95"/>
        <v>0</v>
      </c>
      <c r="M1753" s="24"/>
      <c r="N1753" s="112" t="str">
        <f>IF(ISBLANK(E1753),"",_xlfn.XLOOKUP(E1753,cannabis_log!C:C,cannabis_log!T:T,"Not Found",0,))</f>
        <v>gross</v>
      </c>
      <c r="O1753" s="180">
        <f>IF(N1753="net",_xlfn.XLOOKUP(E1753,cannabis_log!C:C,cannabis_log!N:N,"NOT FOUND",0,1),IF(N1753="gross",0,""))</f>
        <v>0</v>
      </c>
    </row>
    <row r="1754" spans="1:15">
      <c r="A1754" s="195" t="str">
        <f t="shared" si="96"/>
        <v>outbound</v>
      </c>
      <c r="B1754" s="196">
        <v>45789.410416666666</v>
      </c>
      <c r="C1754" s="197" t="s">
        <v>1921</v>
      </c>
      <c r="D1754" s="197" t="s">
        <v>2818</v>
      </c>
      <c r="E1754" s="215" t="s">
        <v>2881</v>
      </c>
      <c r="F1754" s="112" t="str">
        <f>IF(ISBLANK(E1754),"",_xlfn.XLOOKUP(E1754,cannabis_log!C:C,cannabis_log!J:J,"",0,))</f>
        <v>PR2512</v>
      </c>
      <c r="G1754" s="112"/>
      <c r="H1754" s="112" t="str">
        <f>IF(ISBLANK(E1754),"",_xlfn.XLOOKUP(E1754,cannabis_log!C:C,cannabis_log!H:H,"",0,1))</f>
        <v>diredflower_milled_bulk_Rohan</v>
      </c>
      <c r="I1754" s="113" t="str">
        <f>IF(ISBLANK(E1754),"",_xlfn.XLOOKUP(E1754,cannabis_log!C:C,cannabis_log!K:K,"NOT FOUND",0,1))</f>
        <v>NA</v>
      </c>
      <c r="J1754" s="185">
        <v>-1</v>
      </c>
      <c r="K1754" s="186">
        <v>-2386</v>
      </c>
      <c r="L1754" s="288">
        <f t="shared" si="95"/>
        <v>0</v>
      </c>
      <c r="M1754" s="24"/>
      <c r="N1754" s="112" t="str">
        <f>IF(ISBLANK(E1754),"",_xlfn.XLOOKUP(E1754,cannabis_log!C:C,cannabis_log!T:T,"Not Found",0,))</f>
        <v>gross</v>
      </c>
      <c r="O1754" s="180">
        <f>IF(N1754="net",_xlfn.XLOOKUP(E1754,cannabis_log!C:C,cannabis_log!N:N,"NOT FOUND",0,1),IF(N1754="gross",0,""))</f>
        <v>0</v>
      </c>
    </row>
    <row r="1755" spans="1:15">
      <c r="A1755" s="195" t="str">
        <f t="shared" si="96"/>
        <v>inbound</v>
      </c>
      <c r="B1755" s="196">
        <v>45789.477777777778</v>
      </c>
      <c r="C1755" s="197" t="s">
        <v>1927</v>
      </c>
      <c r="D1755" s="197"/>
      <c r="E1755" s="215" t="s">
        <v>2703</v>
      </c>
      <c r="F1755" s="112" t="str">
        <f>IF(ISBLANK(E1755),"",_xlfn.XLOOKUP(E1755,cannabis_log!C:C,cannabis_log!J:J,"",0,))</f>
        <v>PR2501F5P10</v>
      </c>
      <c r="G1755" s="112"/>
      <c r="H1755" s="112" t="str">
        <f>IF(ISBLANK(E1755),"",_xlfn.XLOOKUP(E1755,cannabis_log!C:C,cannabis_log!H:H,"",0,1))</f>
        <v>preroll_labelled</v>
      </c>
      <c r="I1755" s="113">
        <f>IF(ISBLANK(E1755),"",_xlfn.XLOOKUP(E1755,cannabis_log!C:C,cannabis_log!K:K,"NOT FOUND",0,1))</f>
        <v>45707</v>
      </c>
      <c r="J1755" s="185">
        <v>1</v>
      </c>
      <c r="K1755" s="186">
        <v>1878</v>
      </c>
      <c r="L1755" s="288">
        <f t="shared" si="95"/>
        <v>5</v>
      </c>
      <c r="M1755" s="24"/>
      <c r="N1755" s="112" t="str">
        <f>IF(ISBLANK(E1755),"",_xlfn.XLOOKUP(E1755,cannabis_log!C:C,cannabis_log!T:T,"Not Found",0,))</f>
        <v>net</v>
      </c>
      <c r="O1755" s="180">
        <f>IF(N1755="net",_xlfn.XLOOKUP(E1755,cannabis_log!C:C,cannabis_log!N:N,"NOT FOUND",0,1),IF(N1755="gross",0,""))</f>
        <v>5</v>
      </c>
    </row>
    <row r="1756" spans="1:15">
      <c r="A1756" s="195" t="str">
        <f t="shared" si="96"/>
        <v>outbound</v>
      </c>
      <c r="B1756" s="196">
        <v>45789.624305555553</v>
      </c>
      <c r="C1756" s="197" t="s">
        <v>1929</v>
      </c>
      <c r="D1756" s="197"/>
      <c r="E1756" s="215" t="s">
        <v>2994</v>
      </c>
      <c r="F1756" s="112" t="str">
        <f>IF(ISBLANK(E1756),"",_xlfn.XLOOKUP(E1756,cannabis_log!C:C,cannabis_log!J:J,"",0,))</f>
        <v>PR21071201G5</v>
      </c>
      <c r="G1756" s="112"/>
      <c r="H1756" s="112" t="str">
        <f>IF(ISBLANK(E1756),"",_xlfn.XLOOKUP(E1756,cannabis_log!C:C,cannabis_log!H:H,"",0,1))</f>
        <v>preroll_labelled</v>
      </c>
      <c r="I1756" s="113">
        <f>IF(ISBLANK(E1756),"",_xlfn.XLOOKUP(E1756,cannabis_log!C:C,cannabis_log!K:K,"NOT FOUND",0,1))</f>
        <v>45779</v>
      </c>
      <c r="J1756" s="185">
        <v>-12</v>
      </c>
      <c r="K1756" s="186">
        <f>IF(N1756="net",0,"")</f>
        <v>0</v>
      </c>
      <c r="L1756" s="288">
        <f t="shared" si="95"/>
        <v>-18</v>
      </c>
      <c r="M1756" s="24"/>
      <c r="N1756" s="112" t="str">
        <f>IF(ISBLANK(E1756),"",_xlfn.XLOOKUP(E1756,cannabis_log!C:C,cannabis_log!T:T,"Not Found",0,))</f>
        <v>net</v>
      </c>
      <c r="O1756" s="180">
        <f>IF(N1756="net",_xlfn.XLOOKUP(E1756,cannabis_log!C:C,cannabis_log!N:N,"NOT FOUND",0,1),IF(N1756="gross",0,""))</f>
        <v>1.5</v>
      </c>
    </row>
    <row r="1757" spans="1:15">
      <c r="A1757" s="195" t="str">
        <f t="shared" si="96"/>
        <v>outbound</v>
      </c>
      <c r="B1757" s="196">
        <v>45789.624305555553</v>
      </c>
      <c r="C1757" s="197" t="s">
        <v>1929</v>
      </c>
      <c r="D1757" s="197"/>
      <c r="E1757" s="215" t="s">
        <v>2885</v>
      </c>
      <c r="F1757" s="112" t="str">
        <f>IF(ISBLANK(E1757),"",_xlfn.XLOOKUP(E1757,cannabis_log!C:C,cannabis_log!J:J,"",0,))</f>
        <v>ROGEX001G1</v>
      </c>
      <c r="G1757" s="112"/>
      <c r="H1757" s="112" t="str">
        <f>IF(ISBLANK(E1757),"",_xlfn.XLOOKUP(E1757,cannabis_log!C:C,cannabis_log!H:H,"",0,1))</f>
        <v>extract_inhaled_labelled_Rohan</v>
      </c>
      <c r="I1757" s="113">
        <f>IF(ISBLANK(E1757),"",_xlfn.XLOOKUP(E1757,cannabis_log!C:C,cannabis_log!K:K,"NOT FOUND",0,1))</f>
        <v>45740</v>
      </c>
      <c r="J1757" s="185">
        <v>-24</v>
      </c>
      <c r="K1757" s="186">
        <f>IF(N1757="net",0,"")</f>
        <v>0</v>
      </c>
      <c r="L1757" s="288">
        <f t="shared" si="95"/>
        <v>-24</v>
      </c>
      <c r="M1757" s="24"/>
      <c r="N1757" s="112" t="str">
        <f>IF(ISBLANK(E1757),"",_xlfn.XLOOKUP(E1757,cannabis_log!C:C,cannabis_log!T:T,"Not Found",0,))</f>
        <v>net</v>
      </c>
      <c r="O1757" s="180">
        <f>IF(N1757="net",_xlfn.XLOOKUP(E1757,cannabis_log!C:C,cannabis_log!N:N,"NOT FOUND",0,1),IF(N1757="gross",0,""))</f>
        <v>1</v>
      </c>
    </row>
    <row r="1758" spans="1:15">
      <c r="A1758" s="195" t="str">
        <f t="shared" si="96"/>
        <v>outbound</v>
      </c>
      <c r="B1758" s="196">
        <v>45789.624305555553</v>
      </c>
      <c r="C1758" s="197" t="s">
        <v>1929</v>
      </c>
      <c r="D1758" s="197"/>
      <c r="E1758" s="215" t="s">
        <v>2703</v>
      </c>
      <c r="F1758" s="112" t="str">
        <f>IF(ISBLANK(E1758),"",_xlfn.XLOOKUP(E1758,cannabis_log!C:C,cannabis_log!J:J,"",0,))</f>
        <v>PR2501F5P10</v>
      </c>
      <c r="G1758" s="112"/>
      <c r="H1758" s="112" t="str">
        <f>IF(ISBLANK(E1758),"",_xlfn.XLOOKUP(E1758,cannabis_log!C:C,cannabis_log!H:H,"",0,1))</f>
        <v>preroll_labelled</v>
      </c>
      <c r="I1758" s="113">
        <f>IF(ISBLANK(E1758),"",_xlfn.XLOOKUP(E1758,cannabis_log!C:C,cannabis_log!K:K,"NOT FOUND",0,1))</f>
        <v>45707</v>
      </c>
      <c r="J1758" s="185">
        <v>-12</v>
      </c>
      <c r="K1758" s="186">
        <f>IF(N1758="net",0,"")</f>
        <v>0</v>
      </c>
      <c r="L1758" s="288">
        <f t="shared" si="95"/>
        <v>-60</v>
      </c>
      <c r="M1758" s="24"/>
      <c r="N1758" s="112" t="str">
        <f>IF(ISBLANK(E1758),"",_xlfn.XLOOKUP(E1758,cannabis_log!C:C,cannabis_log!T:T,"Not Found",0,))</f>
        <v>net</v>
      </c>
      <c r="O1758" s="180">
        <f>IF(N1758="net",_xlfn.XLOOKUP(E1758,cannabis_log!C:C,cannabis_log!N:N,"NOT FOUND",0,1),IF(N1758="gross",0,""))</f>
        <v>5</v>
      </c>
    </row>
    <row r="1759" spans="1:15">
      <c r="A1759" s="195" t="str">
        <f t="shared" si="96"/>
        <v>outbound</v>
      </c>
      <c r="B1759" s="196">
        <v>45789.624305555553</v>
      </c>
      <c r="C1759" s="197" t="s">
        <v>1929</v>
      </c>
      <c r="D1759" s="197"/>
      <c r="E1759" s="215" t="s">
        <v>2991</v>
      </c>
      <c r="F1759" s="112" t="str">
        <f>IF(ISBLANK(E1759),"",_xlfn.XLOOKUP(E1759,cannabis_log!C:C,cannabis_log!J:J,"",0,))</f>
        <v>PR2507F1P2</v>
      </c>
      <c r="G1759" s="112"/>
      <c r="H1759" s="112" t="str">
        <f>IF(ISBLANK(E1759),"",_xlfn.XLOOKUP(E1759,cannabis_log!C:C,cannabis_log!H:H,"",0,1))</f>
        <v>preroll_labelled</v>
      </c>
      <c r="I1759" s="113">
        <f>IF(ISBLANK(E1759),"",_xlfn.XLOOKUP(E1759,cannabis_log!C:C,cannabis_log!K:K,"NOT FOUND",0,1))</f>
        <v>45772</v>
      </c>
      <c r="J1759" s="185">
        <v>-12</v>
      </c>
      <c r="K1759" s="186">
        <f>IF(N1759="net",0,"")</f>
        <v>0</v>
      </c>
      <c r="L1759" s="288">
        <f t="shared" si="95"/>
        <v>-24</v>
      </c>
      <c r="M1759" s="24"/>
      <c r="N1759" s="112" t="str">
        <f>IF(ISBLANK(E1759),"",_xlfn.XLOOKUP(E1759,cannabis_log!C:C,cannabis_log!T:T,"Not Found",0,))</f>
        <v>net</v>
      </c>
      <c r="O1759" s="180">
        <f>IF(N1759="net",_xlfn.XLOOKUP(E1759,cannabis_log!C:C,cannabis_log!N:N,"NOT FOUND",0,1),IF(N1759="gross",0,""))</f>
        <v>2</v>
      </c>
    </row>
    <row r="1760" spans="1:15">
      <c r="A1760" s="195" t="str">
        <f t="shared" si="96"/>
        <v>outbound</v>
      </c>
      <c r="B1760" s="196">
        <v>45789.624305555553</v>
      </c>
      <c r="C1760" s="197" t="s">
        <v>1929</v>
      </c>
      <c r="D1760" s="197"/>
      <c r="E1760" s="215" t="s">
        <v>2995</v>
      </c>
      <c r="F1760" s="112" t="str">
        <f>IF(ISBLANK(E1760),"",_xlfn.XLOOKUP(E1760,cannabis_log!C:C,cannabis_log!J:J,"",0,))</f>
        <v>PR2303IN02F5P3</v>
      </c>
      <c r="G1760" s="112"/>
      <c r="H1760" s="112" t="str">
        <f>IF(ISBLANK(E1760),"",_xlfn.XLOOKUP(E1760,cannabis_log!C:C,cannabis_log!H:H,"",0,1))</f>
        <v>infusedpreroll_cased_AB_RTV</v>
      </c>
      <c r="I1760" s="113">
        <f>IF(ISBLANK(E1760),"",_xlfn.XLOOKUP(E1760,cannabis_log!C:C,cannabis_log!K:K,"NOT FOUND",0,1))</f>
        <v>45478</v>
      </c>
      <c r="J1760" s="185">
        <v>-2</v>
      </c>
      <c r="K1760" s="186">
        <f>IF(N1760="net",0,"")</f>
        <v>0</v>
      </c>
      <c r="L1760" s="288">
        <f t="shared" si="95"/>
        <v>-18</v>
      </c>
      <c r="M1760" s="24"/>
      <c r="N1760" s="112" t="str">
        <f>IF(ISBLANK(E1760),"",_xlfn.XLOOKUP(E1760,cannabis_log!C:C,cannabis_log!T:T,"Not Found",0,))</f>
        <v>net</v>
      </c>
      <c r="O1760" s="180">
        <f>IF(N1760="net",_xlfn.XLOOKUP(E1760,cannabis_log!C:C,cannabis_log!N:N,"NOT FOUND",0,1),IF(N1760="gross",0,""))</f>
        <v>9</v>
      </c>
    </row>
    <row r="1761" spans="1:15">
      <c r="A1761" s="195" t="str">
        <f t="shared" si="96"/>
        <v>outbound</v>
      </c>
      <c r="B1761" s="196">
        <v>45790.384722222225</v>
      </c>
      <c r="C1761" s="197" t="s">
        <v>1921</v>
      </c>
      <c r="D1761" s="197"/>
      <c r="E1761" s="215" t="s">
        <v>2807</v>
      </c>
      <c r="F1761" s="112" t="str">
        <f>IF(ISBLANK(E1761),"",_xlfn.XLOOKUP(E1761,cannabis_log!C:C,cannabis_log!J:J,"",0,))</f>
        <v>LR23032101</v>
      </c>
      <c r="G1761" s="112"/>
      <c r="H1761" s="112" t="str">
        <f>IF(ISBLANK(E1761),"",_xlfn.XLOOKUP(E1761,cannabis_log!C:C,cannabis_log!H:H,"",0,1))</f>
        <v>extract_inhaled_bulk</v>
      </c>
      <c r="I1761" s="113" t="str">
        <f>IF(ISBLANK(E1761),"",_xlfn.XLOOKUP(E1761,cannabis_log!C:C,cannabis_log!K:K,"NOT FOUND",0,1))</f>
        <v>NA</v>
      </c>
      <c r="J1761" s="185">
        <v>-1</v>
      </c>
      <c r="K1761" s="186">
        <v>-1317.9</v>
      </c>
      <c r="L1761" s="288">
        <f t="shared" si="95"/>
        <v>0</v>
      </c>
      <c r="M1761" s="24"/>
      <c r="N1761" s="112" t="str">
        <f>IF(ISBLANK(E1761),"",_xlfn.XLOOKUP(E1761,cannabis_log!C:C,cannabis_log!T:T,"Not Found",0,))</f>
        <v>gross</v>
      </c>
      <c r="O1761" s="180">
        <f>IF(N1761="net",_xlfn.XLOOKUP(E1761,cannabis_log!C:C,cannabis_log!N:N,"NOT FOUND",0,1),IF(N1761="gross",0,""))</f>
        <v>0</v>
      </c>
    </row>
    <row r="1762" spans="1:15">
      <c r="A1762" s="195" t="str">
        <f t="shared" si="96"/>
        <v>outbound</v>
      </c>
      <c r="B1762" s="196">
        <v>45790.469444444447</v>
      </c>
      <c r="C1762" s="197" t="s">
        <v>1921</v>
      </c>
      <c r="D1762" s="197"/>
      <c r="E1762" s="215" t="s">
        <v>2996</v>
      </c>
      <c r="F1762" s="112">
        <f>IF(ISBLANK(E1762),"",_xlfn.XLOOKUP(E1762,cannabis_log!C:C,cannabis_log!J:J,"",0,))</f>
        <v>2025030701</v>
      </c>
      <c r="G1762" s="112"/>
      <c r="H1762" s="112" t="str">
        <f>IF(ISBLANK(E1762),"",_xlfn.XLOOKUP(E1762,cannabis_log!C:C,cannabis_log!H:H,"",0,1))</f>
        <v>driedflower_bulk_JEN</v>
      </c>
      <c r="I1762" s="113" t="str">
        <f>IF(ISBLANK(E1762),"",_xlfn.XLOOKUP(E1762,cannabis_log!C:C,cannabis_log!K:K,"NOT FOUND",0,1))</f>
        <v>NA</v>
      </c>
      <c r="J1762" s="185">
        <v>-1</v>
      </c>
      <c r="K1762" s="186">
        <v>-1025</v>
      </c>
      <c r="L1762" s="288">
        <f t="shared" si="95"/>
        <v>0</v>
      </c>
      <c r="M1762" s="24"/>
      <c r="N1762" s="112" t="str">
        <f>IF(ISBLANK(E1762),"",_xlfn.XLOOKUP(E1762,cannabis_log!C:C,cannabis_log!T:T,"Not Found",0,))</f>
        <v>gross</v>
      </c>
      <c r="O1762" s="180">
        <f>IF(N1762="net",_xlfn.XLOOKUP(E1762,cannabis_log!C:C,cannabis_log!N:N,"NOT FOUND",0,1),IF(N1762="gross",0,""))</f>
        <v>0</v>
      </c>
    </row>
    <row r="1763" spans="1:15">
      <c r="A1763" s="195" t="str">
        <f t="shared" si="96"/>
        <v>outbound</v>
      </c>
      <c r="B1763" s="196">
        <v>45790.469444444447</v>
      </c>
      <c r="C1763" s="197" t="s">
        <v>1921</v>
      </c>
      <c r="D1763" s="197"/>
      <c r="E1763" s="215" t="s">
        <v>2731</v>
      </c>
      <c r="F1763" s="112">
        <f>IF(ISBLANK(E1763),"",_xlfn.XLOOKUP(E1763,cannabis_log!C:C,cannabis_log!J:J,"",0,))</f>
        <v>2025030701</v>
      </c>
      <c r="G1763" s="112"/>
      <c r="H1763" s="112" t="str">
        <f>IF(ISBLANK(E1763),"",_xlfn.XLOOKUP(E1763,cannabis_log!C:C,cannabis_log!H:H,"",0,1))</f>
        <v>driedflower_bulk_JEN</v>
      </c>
      <c r="I1763" s="113" t="str">
        <f>IF(ISBLANK(E1763),"",_xlfn.XLOOKUP(E1763,cannabis_log!C:C,cannabis_log!K:K,"NOT FOUND",0,1))</f>
        <v>NA</v>
      </c>
      <c r="J1763" s="185">
        <v>-1</v>
      </c>
      <c r="K1763" s="186">
        <v>-698</v>
      </c>
      <c r="L1763" s="288">
        <f t="shared" si="95"/>
        <v>0</v>
      </c>
      <c r="M1763" s="24"/>
      <c r="N1763" s="112" t="str">
        <f>IF(ISBLANK(E1763),"",_xlfn.XLOOKUP(E1763,cannabis_log!C:C,cannabis_log!T:T,"Not Found",0,))</f>
        <v>gross</v>
      </c>
      <c r="O1763" s="180">
        <f>IF(N1763="net",_xlfn.XLOOKUP(E1763,cannabis_log!C:C,cannabis_log!N:N,"NOT FOUND",0,1),IF(N1763="gross",0,""))</f>
        <v>0</v>
      </c>
    </row>
    <row r="1764" spans="1:15">
      <c r="A1764" s="195" t="str">
        <f t="shared" si="96"/>
        <v>outbound</v>
      </c>
      <c r="B1764" s="196">
        <v>45790.469444444447</v>
      </c>
      <c r="C1764" s="197" t="s">
        <v>1921</v>
      </c>
      <c r="D1764" s="197"/>
      <c r="E1764" s="215" t="s">
        <v>2997</v>
      </c>
      <c r="F1764" s="112">
        <f>IF(ISBLANK(E1764),"",_xlfn.XLOOKUP(E1764,cannabis_log!C:C,cannabis_log!J:J,"",0,))</f>
        <v>2025030701</v>
      </c>
      <c r="G1764" s="112"/>
      <c r="H1764" s="112" t="str">
        <f>IF(ISBLANK(E1764),"",_xlfn.XLOOKUP(E1764,cannabis_log!C:C,cannabis_log!H:H,"",0,1))</f>
        <v>driedflower_bulk_JEN</v>
      </c>
      <c r="I1764" s="113" t="str">
        <f>IF(ISBLANK(E1764),"",_xlfn.XLOOKUP(E1764,cannabis_log!C:C,cannabis_log!K:K,"NOT FOUND",0,1))</f>
        <v>NA</v>
      </c>
      <c r="J1764" s="185">
        <v>-1</v>
      </c>
      <c r="K1764" s="186">
        <v>-1025</v>
      </c>
      <c r="L1764" s="288">
        <f t="shared" si="95"/>
        <v>0</v>
      </c>
      <c r="M1764" s="24"/>
      <c r="N1764" s="112" t="str">
        <f>IF(ISBLANK(E1764),"",_xlfn.XLOOKUP(E1764,cannabis_log!C:C,cannabis_log!T:T,"Not Found",0,))</f>
        <v>gross</v>
      </c>
      <c r="O1764" s="180">
        <f>IF(N1764="net",_xlfn.XLOOKUP(E1764,cannabis_log!C:C,cannabis_log!N:N,"NOT FOUND",0,1),IF(N1764="gross",0,""))</f>
        <v>0</v>
      </c>
    </row>
    <row r="1765" spans="1:15">
      <c r="A1765" s="195" t="str">
        <f t="shared" si="96"/>
        <v>outbound</v>
      </c>
      <c r="B1765" s="196">
        <v>45790.527083333334</v>
      </c>
      <c r="C1765" s="197" t="s">
        <v>1929</v>
      </c>
      <c r="D1765" s="197" t="s">
        <v>2998</v>
      </c>
      <c r="E1765" s="215" t="s">
        <v>2991</v>
      </c>
      <c r="F1765" s="112" t="str">
        <f>IF(ISBLANK(E1765),"",_xlfn.XLOOKUP(E1765,cannabis_log!C:C,cannabis_log!J:J,"",0,))</f>
        <v>PR2507F1P2</v>
      </c>
      <c r="G1765" s="112"/>
      <c r="H1765" s="112" t="str">
        <f>IF(ISBLANK(E1765),"",_xlfn.XLOOKUP(E1765,cannabis_log!C:C,cannabis_log!H:H,"",0,1))</f>
        <v>preroll_labelled</v>
      </c>
      <c r="I1765" s="113">
        <f>IF(ISBLANK(E1765),"",_xlfn.XLOOKUP(E1765,cannabis_log!C:C,cannabis_log!K:K,"NOT FOUND",0,1))</f>
        <v>45772</v>
      </c>
      <c r="J1765" s="185">
        <v>-12</v>
      </c>
      <c r="K1765" s="186">
        <f>IF(N1765="net",0,"")</f>
        <v>0</v>
      </c>
      <c r="L1765" s="288">
        <f t="shared" si="95"/>
        <v>-24</v>
      </c>
      <c r="M1765" s="24"/>
      <c r="N1765" s="112" t="str">
        <f>IF(ISBLANK(E1765),"",_xlfn.XLOOKUP(E1765,cannabis_log!C:C,cannabis_log!T:T,"Not Found",0,))</f>
        <v>net</v>
      </c>
      <c r="O1765" s="180">
        <f>IF(N1765="net",_xlfn.XLOOKUP(E1765,cannabis_log!C:C,cannabis_log!N:N,"NOT FOUND",0,1),IF(N1765="gross",0,""))</f>
        <v>2</v>
      </c>
    </row>
    <row r="1766" spans="1:15">
      <c r="A1766" s="195" t="str">
        <f t="shared" si="96"/>
        <v>outbound</v>
      </c>
      <c r="B1766" s="196">
        <v>45790.527083333334</v>
      </c>
      <c r="C1766" s="197" t="s">
        <v>1929</v>
      </c>
      <c r="D1766" s="197" t="s">
        <v>2998</v>
      </c>
      <c r="E1766" s="215" t="s">
        <v>2999</v>
      </c>
      <c r="F1766" s="112" t="str">
        <f>IF(ISBLANK(E1766),"",_xlfn.XLOOKUP(E1766,cannabis_log!C:C,cannabis_log!J:J,"",0,))</f>
        <v>PR251108F5P12</v>
      </c>
      <c r="G1766" s="112"/>
      <c r="H1766" s="112" t="str">
        <f>IF(ISBLANK(E1766),"",_xlfn.XLOOKUP(E1766,cannabis_log!C:C,cannabis_log!H:H,"",0,1))</f>
        <v>preroll_labelled</v>
      </c>
      <c r="I1766" s="113">
        <f>IF(ISBLANK(E1766),"",_xlfn.XLOOKUP(E1766,cannabis_log!C:C,cannabis_log!K:K,"NOT FOUND",0,1))</f>
        <v>45777</v>
      </c>
      <c r="J1766" s="185">
        <v>-12</v>
      </c>
      <c r="K1766" s="186">
        <f>IF(N1766="net",0,"")</f>
        <v>0</v>
      </c>
      <c r="L1766" s="288">
        <f t="shared" si="95"/>
        <v>-72</v>
      </c>
      <c r="M1766" s="24"/>
      <c r="N1766" s="112" t="str">
        <f>IF(ISBLANK(E1766),"",_xlfn.XLOOKUP(E1766,cannabis_log!C:C,cannabis_log!T:T,"Not Found",0,))</f>
        <v>net</v>
      </c>
      <c r="O1766" s="180">
        <f>IF(N1766="net",_xlfn.XLOOKUP(E1766,cannabis_log!C:C,cannabis_log!N:N,"NOT FOUND",0,1),IF(N1766="gross",0,""))</f>
        <v>6</v>
      </c>
    </row>
    <row r="1767" spans="1:15">
      <c r="A1767" s="195" t="str">
        <f t="shared" si="96"/>
        <v>outbound</v>
      </c>
      <c r="B1767" s="196">
        <v>45790.527083333334</v>
      </c>
      <c r="C1767" s="197" t="s">
        <v>1929</v>
      </c>
      <c r="D1767" s="197" t="s">
        <v>2998</v>
      </c>
      <c r="E1767" s="215" t="s">
        <v>3000</v>
      </c>
      <c r="F1767" s="112" t="str">
        <f>IF(ISBLANK(E1767),"",_xlfn.XLOOKUP(E1767,cannabis_log!C:C,cannabis_log!J:J,"",0,))</f>
        <v>PR241105F5P3</v>
      </c>
      <c r="G1767" s="112"/>
      <c r="H1767" s="112" t="str">
        <f>IF(ISBLANK(E1767),"",_xlfn.XLOOKUP(E1767,cannabis_log!C:C,cannabis_log!H:H,"",0,1))</f>
        <v>preroll_cased_SK_RTV</v>
      </c>
      <c r="I1767" s="113">
        <f>IF(ISBLANK(E1767),"",_xlfn.XLOOKUP(E1767,cannabis_log!C:C,cannabis_log!K:K,"NOT FOUND",0,1))</f>
        <v>45581</v>
      </c>
      <c r="J1767" s="185">
        <v>-1</v>
      </c>
      <c r="K1767" s="186">
        <f>IF(N1767="net",0,"")</f>
        <v>0</v>
      </c>
      <c r="L1767" s="288">
        <f t="shared" si="95"/>
        <v>-1.5</v>
      </c>
      <c r="M1767" s="24"/>
      <c r="N1767" s="112" t="str">
        <f>IF(ISBLANK(E1767),"",_xlfn.XLOOKUP(E1767,cannabis_log!C:C,cannabis_log!T:T,"Not Found",0,))</f>
        <v>net</v>
      </c>
      <c r="O1767" s="180">
        <f>IF(N1767="net",_xlfn.XLOOKUP(E1767,cannabis_log!C:C,cannabis_log!N:N,"NOT FOUND",0,1),IF(N1767="gross",0,""))</f>
        <v>1.5</v>
      </c>
    </row>
    <row r="1768" spans="1:15">
      <c r="A1768" s="195" t="str">
        <f t="shared" si="96"/>
        <v>outbound</v>
      </c>
      <c r="B1768" s="196">
        <v>45790.527083333334</v>
      </c>
      <c r="C1768" s="197" t="s">
        <v>1929</v>
      </c>
      <c r="D1768" s="197" t="s">
        <v>2998</v>
      </c>
      <c r="E1768" s="215" t="s">
        <v>2972</v>
      </c>
      <c r="F1768" s="112" t="str">
        <f>IF(ISBLANK(E1768),"",_xlfn.XLOOKUP(E1768,cannabis_log!C:C,cannabis_log!J:J,"",0,))</f>
        <v>PR2516F5P10</v>
      </c>
      <c r="G1768" s="112"/>
      <c r="H1768" s="112" t="str">
        <f>IF(ISBLANK(E1768),"",_xlfn.XLOOKUP(E1768,cannabis_log!C:C,cannabis_log!H:H,"",0,1))</f>
        <v>preroll_labelled</v>
      </c>
      <c r="I1768" s="113">
        <f>IF(ISBLANK(E1768),"",_xlfn.XLOOKUP(E1768,cannabis_log!C:C,cannabis_log!K:K,"NOT FOUND",0,1))</f>
        <v>45772</v>
      </c>
      <c r="J1768" s="185">
        <v>-12</v>
      </c>
      <c r="K1768" s="186">
        <f>IF(N1768="net",0,"")</f>
        <v>0</v>
      </c>
      <c r="L1768" s="288">
        <f t="shared" si="95"/>
        <v>-60</v>
      </c>
      <c r="M1768" s="24"/>
      <c r="N1768" s="112" t="str">
        <f>IF(ISBLANK(E1768),"",_xlfn.XLOOKUP(E1768,cannabis_log!C:C,cannabis_log!T:T,"Not Found",0,))</f>
        <v>net</v>
      </c>
      <c r="O1768" s="180">
        <f>IF(N1768="net",_xlfn.XLOOKUP(E1768,cannabis_log!C:C,cannabis_log!N:N,"NOT FOUND",0,1),IF(N1768="gross",0,""))</f>
        <v>5</v>
      </c>
    </row>
    <row r="1769" spans="1:15">
      <c r="A1769" s="195" t="str">
        <f t="shared" si="96"/>
        <v>outbound</v>
      </c>
      <c r="B1769" s="196">
        <v>45790.527083333334</v>
      </c>
      <c r="C1769" s="197" t="s">
        <v>1924</v>
      </c>
      <c r="D1769" s="197"/>
      <c r="E1769" s="215" t="s">
        <v>2857</v>
      </c>
      <c r="F1769" s="112">
        <f>IF(ISBLANK(E1769),"",_xlfn.XLOOKUP(E1769,cannabis_log!C:C,cannabis_log!J:J,"",0,))</f>
        <v>2025021301</v>
      </c>
      <c r="G1769" s="112"/>
      <c r="H1769" s="112" t="str">
        <f>IF(ISBLANK(E1769),"",_xlfn.XLOOKUP(E1769,cannabis_log!C:C,cannabis_log!H:H,"",0,1))</f>
        <v>driedflower_bulk</v>
      </c>
      <c r="I1769" s="113" t="str">
        <f>IF(ISBLANK(E1769),"",_xlfn.XLOOKUP(E1769,cannabis_log!C:C,cannabis_log!K:K,"NOT FOUND",0,1))</f>
        <v>NA</v>
      </c>
      <c r="J1769" s="185">
        <v>-1</v>
      </c>
      <c r="K1769" s="186">
        <v>-115</v>
      </c>
      <c r="L1769" s="288">
        <f t="shared" si="95"/>
        <v>0</v>
      </c>
      <c r="M1769" s="24"/>
      <c r="N1769" s="112" t="str">
        <f>IF(ISBLANK(E1769),"",_xlfn.XLOOKUP(E1769,cannabis_log!C:C,cannabis_log!T:T,"Not Found",0,))</f>
        <v>gross</v>
      </c>
      <c r="O1769" s="180">
        <f>IF(N1769="net",_xlfn.XLOOKUP(E1769,cannabis_log!C:C,cannabis_log!N:N,"NOT FOUND",0,1),IF(N1769="gross",0,""))</f>
        <v>0</v>
      </c>
    </row>
    <row r="1770" spans="1:15">
      <c r="A1770" s="195" t="str">
        <f t="shared" si="96"/>
        <v>outbound</v>
      </c>
      <c r="B1770" s="196">
        <v>45790.527083333334</v>
      </c>
      <c r="C1770" s="197" t="s">
        <v>1924</v>
      </c>
      <c r="D1770" s="197"/>
      <c r="E1770" s="215" t="s">
        <v>2740</v>
      </c>
      <c r="F1770" s="112">
        <f>IF(ISBLANK(E1770),"",_xlfn.XLOOKUP(E1770,cannabis_log!C:C,cannabis_log!J:J,"",0,))</f>
        <v>2025021303</v>
      </c>
      <c r="G1770" s="112"/>
      <c r="H1770" s="112" t="str">
        <f>IF(ISBLANK(E1770),"",_xlfn.XLOOKUP(E1770,cannabis_log!C:C,cannabis_log!H:H,"",0,1))</f>
        <v>infusedflower_bulk</v>
      </c>
      <c r="I1770" s="113" t="str">
        <f>IF(ISBLANK(E1770),"",_xlfn.XLOOKUP(E1770,cannabis_log!C:C,cannabis_log!K:K,"NOT FOUND",0,1))</f>
        <v>NA</v>
      </c>
      <c r="J1770" s="185">
        <v>-1</v>
      </c>
      <c r="K1770" s="186">
        <v>-555</v>
      </c>
      <c r="L1770" s="288">
        <f t="shared" si="95"/>
        <v>0</v>
      </c>
      <c r="M1770" s="24"/>
      <c r="N1770" s="112" t="str">
        <f>IF(ISBLANK(E1770),"",_xlfn.XLOOKUP(E1770,cannabis_log!C:C,cannabis_log!T:T,"Not Found",0,))</f>
        <v>gross</v>
      </c>
      <c r="O1770" s="180">
        <f>IF(N1770="net",_xlfn.XLOOKUP(E1770,cannabis_log!C:C,cannabis_log!N:N,"NOT FOUND",0,1),IF(N1770="gross",0,""))</f>
        <v>0</v>
      </c>
    </row>
    <row r="1771" spans="1:15">
      <c r="A1771" s="195" t="str">
        <f t="shared" si="96"/>
        <v>outbound</v>
      </c>
      <c r="B1771" s="196">
        <v>45790.527083333334</v>
      </c>
      <c r="C1771" s="197" t="s">
        <v>1924</v>
      </c>
      <c r="D1771" s="197"/>
      <c r="E1771" s="215" t="s">
        <v>2743</v>
      </c>
      <c r="F1771" s="112" t="str">
        <f>IF(ISBLANK(E1771),"",_xlfn.XLOOKUP(E1771,cannabis_log!C:C,cannabis_log!J:J,"",0,))</f>
        <v>PR2507</v>
      </c>
      <c r="G1771" s="112"/>
      <c r="H1771" s="112" t="str">
        <f>IF(ISBLANK(E1771),"",_xlfn.XLOOKUP(E1771,cannabis_log!C:C,cannabis_log!H:H,"",0,1))</f>
        <v>driedflower_milled_bulk</v>
      </c>
      <c r="I1771" s="113" t="str">
        <f>IF(ISBLANK(E1771),"",_xlfn.XLOOKUP(E1771,cannabis_log!C:C,cannabis_log!K:K,"NOT FOUND",0,1))</f>
        <v>NA</v>
      </c>
      <c r="J1771" s="185">
        <v>-1</v>
      </c>
      <c r="K1771" s="186">
        <v>-4150</v>
      </c>
      <c r="L1771" s="288">
        <f t="shared" si="95"/>
        <v>0</v>
      </c>
      <c r="M1771" s="24"/>
      <c r="N1771" s="112" t="str">
        <f>IF(ISBLANK(E1771),"",_xlfn.XLOOKUP(E1771,cannabis_log!C:C,cannabis_log!T:T,"Not Found",0,))</f>
        <v>gross</v>
      </c>
      <c r="O1771" s="180">
        <f>IF(N1771="net",_xlfn.XLOOKUP(E1771,cannabis_log!C:C,cannabis_log!N:N,"NOT FOUND",0,1),IF(N1771="gross",0,""))</f>
        <v>0</v>
      </c>
    </row>
    <row r="1772" spans="1:15">
      <c r="A1772" s="195" t="str">
        <f t="shared" si="96"/>
        <v>inbound</v>
      </c>
      <c r="B1772" s="196">
        <v>45791.650694444441</v>
      </c>
      <c r="C1772" s="197" t="s">
        <v>1921</v>
      </c>
      <c r="D1772" s="197"/>
      <c r="E1772" s="215" t="s">
        <v>2997</v>
      </c>
      <c r="F1772" s="112">
        <f>IF(ISBLANK(E1772),"",_xlfn.XLOOKUP(E1772,cannabis_log!C:C,cannabis_log!J:J,"",0,))</f>
        <v>2025030701</v>
      </c>
      <c r="G1772" s="112"/>
      <c r="H1772" s="112" t="str">
        <f>IF(ISBLANK(E1772),"",_xlfn.XLOOKUP(E1772,cannabis_log!C:C,cannabis_log!H:H,"",0,1))</f>
        <v>driedflower_bulk_JEN</v>
      </c>
      <c r="I1772" s="113" t="str">
        <f>IF(ISBLANK(E1772),"",_xlfn.XLOOKUP(E1772,cannabis_log!C:C,cannabis_log!K:K,"NOT FOUND",0,1))</f>
        <v>NA</v>
      </c>
      <c r="J1772" s="185">
        <v>1</v>
      </c>
      <c r="K1772" s="186">
        <v>632</v>
      </c>
      <c r="L1772" s="288">
        <f t="shared" si="95"/>
        <v>0</v>
      </c>
      <c r="M1772" s="24"/>
      <c r="N1772" s="112" t="str">
        <f>IF(ISBLANK(E1772),"",_xlfn.XLOOKUP(E1772,cannabis_log!C:C,cannabis_log!T:T,"Not Found",0,))</f>
        <v>gross</v>
      </c>
      <c r="O1772" s="180">
        <f>IF(N1772="net",_xlfn.XLOOKUP(E1772,cannabis_log!C:C,cannabis_log!N:N,"NOT FOUND",0,1),IF(N1772="gross",0,""))</f>
        <v>0</v>
      </c>
    </row>
    <row r="1773" spans="1:15">
      <c r="A1773" s="195" t="str">
        <f t="shared" si="96"/>
        <v>inbound</v>
      </c>
      <c r="B1773" s="196">
        <v>45791.695138888892</v>
      </c>
      <c r="C1773" s="197" t="s">
        <v>1927</v>
      </c>
      <c r="D1773" s="197"/>
      <c r="E1773" s="215" t="s">
        <v>2743</v>
      </c>
      <c r="F1773" s="112" t="str">
        <f>IF(ISBLANK(E1773),"",_xlfn.XLOOKUP(E1773,cannabis_log!C:C,cannabis_log!J:J,"",0,))</f>
        <v>PR2507</v>
      </c>
      <c r="G1773" s="112"/>
      <c r="H1773" s="112" t="str">
        <f>IF(ISBLANK(E1773),"",_xlfn.XLOOKUP(E1773,cannabis_log!C:C,cannabis_log!H:H,"",0,1))</f>
        <v>driedflower_milled_bulk</v>
      </c>
      <c r="I1773" s="113" t="str">
        <f>IF(ISBLANK(E1773),"",_xlfn.XLOOKUP(E1773,cannabis_log!C:C,cannabis_log!K:K,"NOT FOUND",0,1))</f>
        <v>NA</v>
      </c>
      <c r="J1773" s="185">
        <v>1</v>
      </c>
      <c r="K1773" s="186">
        <v>1998</v>
      </c>
      <c r="L1773" s="288">
        <f t="shared" si="95"/>
        <v>0</v>
      </c>
      <c r="M1773" s="24"/>
      <c r="N1773" s="112" t="str">
        <f>IF(ISBLANK(E1773),"",_xlfn.XLOOKUP(E1773,cannabis_log!C:C,cannabis_log!T:T,"Not Found",0,))</f>
        <v>gross</v>
      </c>
      <c r="O1773" s="180">
        <f>IF(N1773="net",_xlfn.XLOOKUP(E1773,cannabis_log!C:C,cannabis_log!N:N,"NOT FOUND",0,1),IF(N1773="gross",0,""))</f>
        <v>0</v>
      </c>
    </row>
    <row r="1774" spans="1:15">
      <c r="A1774" s="195" t="str">
        <f t="shared" si="96"/>
        <v>inbound</v>
      </c>
      <c r="B1774" s="196">
        <v>45791.708333333336</v>
      </c>
      <c r="C1774" s="197" t="s">
        <v>1927</v>
      </c>
      <c r="D1774" s="197"/>
      <c r="E1774" s="215" t="s">
        <v>2740</v>
      </c>
      <c r="F1774" s="112">
        <f>IF(ISBLANK(E1774),"",_xlfn.XLOOKUP(E1774,cannabis_log!C:C,cannabis_log!J:J,"",0,))</f>
        <v>2025021303</v>
      </c>
      <c r="G1774" s="112"/>
      <c r="H1774" s="112" t="str">
        <f>IF(ISBLANK(E1774),"",_xlfn.XLOOKUP(E1774,cannabis_log!C:C,cannabis_log!H:H,"",0,1))</f>
        <v>infusedflower_bulk</v>
      </c>
      <c r="I1774" s="113" t="str">
        <f>IF(ISBLANK(E1774),"",_xlfn.XLOOKUP(E1774,cannabis_log!C:C,cannabis_log!K:K,"NOT FOUND",0,1))</f>
        <v>NA</v>
      </c>
      <c r="J1774" s="185">
        <v>1</v>
      </c>
      <c r="K1774" s="186">
        <v>555</v>
      </c>
      <c r="L1774" s="288">
        <f t="shared" ref="L1774:L1837" si="98">IFERROR(J1774*O1774,"")</f>
        <v>0</v>
      </c>
      <c r="M1774" s="24"/>
      <c r="N1774" s="112" t="str">
        <f>IF(ISBLANK(E1774),"",_xlfn.XLOOKUP(E1774,cannabis_log!C:C,cannabis_log!T:T,"Not Found",0,))</f>
        <v>gross</v>
      </c>
      <c r="O1774" s="180">
        <f>IF(N1774="net",_xlfn.XLOOKUP(E1774,cannabis_log!C:C,cannabis_log!N:N,"NOT FOUND",0,1),IF(N1774="gross",0,""))</f>
        <v>0</v>
      </c>
    </row>
    <row r="1775" spans="1:15">
      <c r="A1775" s="195" t="str">
        <f t="shared" si="96"/>
        <v>inbound</v>
      </c>
      <c r="B1775" s="196">
        <v>45791.710416666669</v>
      </c>
      <c r="C1775" s="197" t="s">
        <v>1927</v>
      </c>
      <c r="D1775" s="197"/>
      <c r="E1775" s="215" t="s">
        <v>2857</v>
      </c>
      <c r="F1775" s="112">
        <f>IF(ISBLANK(E1775),"",_xlfn.XLOOKUP(E1775,cannabis_log!C:C,cannabis_log!J:J,"",0,))</f>
        <v>2025021301</v>
      </c>
      <c r="G1775" s="112"/>
      <c r="H1775" s="112" t="str">
        <f>IF(ISBLANK(E1775),"",_xlfn.XLOOKUP(E1775,cannabis_log!C:C,cannabis_log!H:H,"",0,1))</f>
        <v>driedflower_bulk</v>
      </c>
      <c r="I1775" s="113" t="str">
        <f>IF(ISBLANK(E1775),"",_xlfn.XLOOKUP(E1775,cannabis_log!C:C,cannabis_log!K:K,"NOT FOUND",0,1))</f>
        <v>NA</v>
      </c>
      <c r="J1775" s="185">
        <v>1</v>
      </c>
      <c r="K1775" s="186">
        <v>108</v>
      </c>
      <c r="L1775" s="288">
        <f t="shared" si="98"/>
        <v>0</v>
      </c>
      <c r="M1775" s="24"/>
      <c r="N1775" s="112" t="str">
        <f>IF(ISBLANK(E1775),"",_xlfn.XLOOKUP(E1775,cannabis_log!C:C,cannabis_log!T:T,"Not Found",0,))</f>
        <v>gross</v>
      </c>
      <c r="O1775" s="180">
        <f>IF(N1775="net",_xlfn.XLOOKUP(E1775,cannabis_log!C:C,cannabis_log!N:N,"NOT FOUND",0,1),IF(N1775="gross",0,""))</f>
        <v>0</v>
      </c>
    </row>
    <row r="1776" spans="1:15">
      <c r="A1776" s="195" t="str">
        <f t="shared" si="96"/>
        <v>outbound</v>
      </c>
      <c r="B1776" s="196">
        <v>45792.543749999997</v>
      </c>
      <c r="C1776" s="197" t="s">
        <v>1921</v>
      </c>
      <c r="D1776" s="197"/>
      <c r="E1776" s="215" t="s">
        <v>3001</v>
      </c>
      <c r="F1776" s="112">
        <f>IF(ISBLANK(E1776),"",_xlfn.XLOOKUP(E1776,cannabis_log!C:C,cannabis_log!J:J,"",0,))</f>
        <v>2025021901</v>
      </c>
      <c r="G1776" s="112"/>
      <c r="H1776" s="112" t="str">
        <f>IF(ISBLANK(E1776),"",_xlfn.XLOOKUP(E1776,cannabis_log!C:C,cannabis_log!H:H,"",0,1))</f>
        <v>extract_distillate_bulk</v>
      </c>
      <c r="I1776" s="113" t="str">
        <f>IF(ISBLANK(E1776),"",_xlfn.XLOOKUP(E1776,cannabis_log!C:C,cannabis_log!K:K,"NOT FOUND",0,1))</f>
        <v>NA</v>
      </c>
      <c r="J1776" s="185">
        <v>-1</v>
      </c>
      <c r="K1776" s="186">
        <v>-900.3</v>
      </c>
      <c r="L1776" s="288">
        <f t="shared" si="98"/>
        <v>0</v>
      </c>
      <c r="M1776" s="24"/>
      <c r="N1776" s="112" t="str">
        <f>IF(ISBLANK(E1776),"",_xlfn.XLOOKUP(E1776,cannabis_log!C:C,cannabis_log!T:T,"Not Found",0,))</f>
        <v>gross</v>
      </c>
      <c r="O1776" s="180">
        <f>IF(N1776="net",_xlfn.XLOOKUP(E1776,cannabis_log!C:C,cannabis_log!N:N,"NOT FOUND",0,1),IF(N1776="gross",0,""))</f>
        <v>0</v>
      </c>
    </row>
    <row r="1777" spans="1:15">
      <c r="A1777" s="195" t="str">
        <f t="shared" si="96"/>
        <v>outbound</v>
      </c>
      <c r="B1777" s="196">
        <v>45792.543749999997</v>
      </c>
      <c r="C1777" s="197" t="s">
        <v>1921</v>
      </c>
      <c r="D1777" s="197"/>
      <c r="E1777" s="215" t="s">
        <v>2031</v>
      </c>
      <c r="F1777" s="112">
        <f>IF(ISBLANK(E1777),"",_xlfn.XLOOKUP(E1777,cannabis_log!C:C,cannabis_log!J:J,"",0,))</f>
        <v>2024101701</v>
      </c>
      <c r="G1777" s="112"/>
      <c r="H1777" s="112" t="str">
        <f>IF(ISBLANK(E1777),"",_xlfn.XLOOKUP(E1777,cannabis_log!C:C,cannabis_log!H:H,"",0,1))</f>
        <v>extract_distillate_bulk</v>
      </c>
      <c r="I1777" s="113">
        <f>IF(ISBLANK(E1777),"",_xlfn.XLOOKUP(E1777,cannabis_log!C:C,cannabis_log!K:K,"NOT FOUND",0,1))</f>
        <v>45523</v>
      </c>
      <c r="J1777" s="185">
        <v>-1</v>
      </c>
      <c r="K1777" s="186">
        <v>-1350</v>
      </c>
      <c r="L1777" s="288">
        <f t="shared" si="98"/>
        <v>0</v>
      </c>
      <c r="M1777" s="24"/>
      <c r="N1777" s="112" t="str">
        <f>IF(ISBLANK(E1777),"",_xlfn.XLOOKUP(E1777,cannabis_log!C:C,cannabis_log!T:T,"Not Found",0,))</f>
        <v>gross</v>
      </c>
      <c r="O1777" s="180">
        <f>IF(N1777="net",_xlfn.XLOOKUP(E1777,cannabis_log!C:C,cannabis_log!N:N,"NOT FOUND",0,1),IF(N1777="gross",0,""))</f>
        <v>0</v>
      </c>
    </row>
    <row r="1778" spans="1:15">
      <c r="A1778" s="195" t="str">
        <f t="shared" si="96"/>
        <v>outbound</v>
      </c>
      <c r="B1778" s="196">
        <v>45792.543749999997</v>
      </c>
      <c r="C1778" s="197" t="s">
        <v>1921</v>
      </c>
      <c r="D1778" s="197"/>
      <c r="E1778" s="215" t="s">
        <v>2427</v>
      </c>
      <c r="F1778" s="112">
        <f>IF(ISBLANK(E1778),"",_xlfn.XLOOKUP(E1778,cannabis_log!C:C,cannabis_log!J:J,"",0,))</f>
        <v>2024120401</v>
      </c>
      <c r="G1778" s="112"/>
      <c r="H1778" s="112" t="str">
        <f>IF(ISBLANK(E1778),"",_xlfn.XLOOKUP(E1778,cannabis_log!C:C,cannabis_log!H:H,"",0,1))</f>
        <v>extract_distillate_bulk</v>
      </c>
      <c r="I1778" s="113" t="str">
        <f>IF(ISBLANK(E1778),"",_xlfn.XLOOKUP(E1778,cannabis_log!C:C,cannabis_log!K:K,"NOT FOUND",0,1))</f>
        <v>NA</v>
      </c>
      <c r="J1778" s="185">
        <v>-1</v>
      </c>
      <c r="K1778" s="186">
        <v>-1756.5</v>
      </c>
      <c r="L1778" s="288">
        <f t="shared" si="98"/>
        <v>0</v>
      </c>
      <c r="M1778" s="24"/>
      <c r="N1778" s="112" t="str">
        <f>IF(ISBLANK(E1778),"",_xlfn.XLOOKUP(E1778,cannabis_log!C:C,cannabis_log!T:T,"Not Found",0,))</f>
        <v>gross</v>
      </c>
      <c r="O1778" s="180">
        <f>IF(N1778="net",_xlfn.XLOOKUP(E1778,cannabis_log!C:C,cannabis_log!N:N,"NOT FOUND",0,1),IF(N1778="gross",0,""))</f>
        <v>0</v>
      </c>
    </row>
    <row r="1779" spans="1:15">
      <c r="A1779" s="195" t="str">
        <f t="shared" si="96"/>
        <v>outbound</v>
      </c>
      <c r="B1779" s="196">
        <v>45792.543749999997</v>
      </c>
      <c r="C1779" s="197" t="s">
        <v>1921</v>
      </c>
      <c r="D1779" s="197"/>
      <c r="E1779" s="215" t="s">
        <v>3002</v>
      </c>
      <c r="F1779" s="112">
        <f>IF(ISBLANK(E1779),"",_xlfn.XLOOKUP(E1779,cannabis_log!C:C,cannabis_log!J:J,"",0,))</f>
        <v>2025050101</v>
      </c>
      <c r="G1779" s="112"/>
      <c r="H1779" s="112" t="str">
        <f>IF(ISBLANK(E1779),"",_xlfn.XLOOKUP(E1779,cannabis_log!C:C,cannabis_log!H:H,"",0,1))</f>
        <v>extract_distillate_bulk</v>
      </c>
      <c r="I1779" s="113" t="str">
        <f>IF(ISBLANK(E1779),"",_xlfn.XLOOKUP(E1779,cannabis_log!C:C,cannabis_log!K:K,"NOT FOUND",0,1))</f>
        <v>NA</v>
      </c>
      <c r="J1779" s="185">
        <v>-1</v>
      </c>
      <c r="K1779" s="186">
        <v>-6756</v>
      </c>
      <c r="L1779" s="288">
        <f t="shared" si="98"/>
        <v>0</v>
      </c>
      <c r="M1779" s="24"/>
      <c r="N1779" s="112" t="str">
        <f>IF(ISBLANK(E1779),"",_xlfn.XLOOKUP(E1779,cannabis_log!C:C,cannabis_log!T:T,"Not Found",0,))</f>
        <v>gross</v>
      </c>
      <c r="O1779" s="180">
        <f>IF(N1779="net",_xlfn.XLOOKUP(E1779,cannabis_log!C:C,cannabis_log!N:N,"NOT FOUND",0,1),IF(N1779="gross",0,""))</f>
        <v>0</v>
      </c>
    </row>
    <row r="1780" spans="1:15">
      <c r="A1780" s="195" t="str">
        <f t="shared" si="96"/>
        <v>outbound</v>
      </c>
      <c r="B1780" s="196">
        <v>45792.543749999997</v>
      </c>
      <c r="C1780" s="197" t="s">
        <v>1921</v>
      </c>
      <c r="D1780" s="197"/>
      <c r="E1780" s="215" t="s">
        <v>2589</v>
      </c>
      <c r="F1780" s="112">
        <f>IF(ISBLANK(E1780),"",_xlfn.XLOOKUP(E1780,cannabis_log!C:C,cannabis_log!J:J,"",0,))</f>
        <v>2025012801</v>
      </c>
      <c r="G1780" s="112"/>
      <c r="H1780" s="112" t="str">
        <f>IF(ISBLANK(E1780),"",_xlfn.XLOOKUP(E1780,cannabis_log!C:C,cannabis_log!H:H,"",0,1))</f>
        <v>extract_distillate_bulk</v>
      </c>
      <c r="I1780" s="113" t="str">
        <f>IF(ISBLANK(E1780),"",_xlfn.XLOOKUP(E1780,cannabis_log!C:C,cannabis_log!K:K,"NOT FOUND",0,1))</f>
        <v>NA</v>
      </c>
      <c r="J1780" s="185">
        <v>-1</v>
      </c>
      <c r="K1780" s="186">
        <v>-1993</v>
      </c>
      <c r="L1780" s="288">
        <f t="shared" si="98"/>
        <v>0</v>
      </c>
      <c r="M1780" s="24"/>
      <c r="N1780" s="112" t="str">
        <f>IF(ISBLANK(E1780),"",_xlfn.XLOOKUP(E1780,cannabis_log!C:C,cannabis_log!T:T,"Not Found",0,))</f>
        <v>gross</v>
      </c>
      <c r="O1780" s="180">
        <f>IF(N1780="net",_xlfn.XLOOKUP(E1780,cannabis_log!C:C,cannabis_log!N:N,"NOT FOUND",0,1),IF(N1780="gross",0,""))</f>
        <v>0</v>
      </c>
    </row>
    <row r="1781" spans="1:15">
      <c r="A1781" s="195" t="str">
        <f t="shared" si="96"/>
        <v>outbound</v>
      </c>
      <c r="B1781" s="196">
        <v>45792.543749999997</v>
      </c>
      <c r="C1781" s="197" t="s">
        <v>1929</v>
      </c>
      <c r="D1781" s="197"/>
      <c r="E1781" s="215" t="s">
        <v>3003</v>
      </c>
      <c r="F1781" s="112" t="str">
        <f>IF(ISBLANK(E1781),"",_xlfn.XLOOKUP(E1781,cannabis_log!C:C,cannabis_log!J:J,"",0,))</f>
        <v>TP24120401G45</v>
      </c>
      <c r="G1781" s="112"/>
      <c r="H1781" s="112" t="str">
        <f>IF(ISBLANK(E1781),"",_xlfn.XLOOKUP(E1781,cannabis_log!C:C,cannabis_log!H:H,"",0,1))</f>
        <v>topical_labelled</v>
      </c>
      <c r="I1781" s="113">
        <f>IF(ISBLANK(E1781),"",_xlfn.XLOOKUP(E1781,cannabis_log!C:C,cannabis_log!K:K,"NOT FOUND",0,1))</f>
        <v>45638</v>
      </c>
      <c r="J1781" s="185">
        <v>-12</v>
      </c>
      <c r="K1781" s="186">
        <f>IF(N1781="net",0,"")</f>
        <v>0</v>
      </c>
      <c r="L1781" s="288">
        <f t="shared" si="98"/>
        <v>-540</v>
      </c>
      <c r="M1781" s="24"/>
      <c r="N1781" s="112" t="str">
        <f>IF(ISBLANK(E1781),"",_xlfn.XLOOKUP(E1781,cannabis_log!C:C,cannabis_log!T:T,"Not Found",0,))</f>
        <v>net</v>
      </c>
      <c r="O1781" s="180">
        <f>IF(N1781="net",_xlfn.XLOOKUP(E1781,cannabis_log!C:C,cannabis_log!N:N,"NOT FOUND",0,1),IF(N1781="gross",0,""))</f>
        <v>45</v>
      </c>
    </row>
    <row r="1782" spans="1:15">
      <c r="A1782" s="195" t="str">
        <f t="shared" si="96"/>
        <v>outbound</v>
      </c>
      <c r="B1782" s="196">
        <v>45792.543749999997</v>
      </c>
      <c r="C1782" s="197" t="s">
        <v>1921</v>
      </c>
      <c r="D1782" s="197"/>
      <c r="E1782" s="215" t="s">
        <v>2381</v>
      </c>
      <c r="F1782" s="112" t="str">
        <f>IF(ISBLANK(E1782),"",_xlfn.XLOOKUP(E1782,cannabis_log!C:C,cannabis_log!J:J,"",0,))</f>
        <v>EX24101705</v>
      </c>
      <c r="G1782" s="112"/>
      <c r="H1782" s="112" t="str">
        <f>IF(ISBLANK(E1782),"",_xlfn.XLOOKUP(E1782,cannabis_log!C:C,cannabis_log!H:H,"",0,1))</f>
        <v>extract_inhaled_bulk</v>
      </c>
      <c r="I1782" s="113" t="str">
        <f>IF(ISBLANK(E1782),"",_xlfn.XLOOKUP(E1782,cannabis_log!C:C,cannabis_log!K:K,"NOT FOUND",0,1))</f>
        <v>NA</v>
      </c>
      <c r="J1782" s="185">
        <v>-1</v>
      </c>
      <c r="K1782" s="186">
        <v>-417.39</v>
      </c>
      <c r="L1782" s="288">
        <f t="shared" si="98"/>
        <v>0</v>
      </c>
      <c r="M1782" s="24"/>
      <c r="N1782" s="112" t="str">
        <f>IF(ISBLANK(E1782),"",_xlfn.XLOOKUP(E1782,cannabis_log!C:C,cannabis_log!T:T,"Not Found",0,))</f>
        <v>gross</v>
      </c>
      <c r="O1782" s="180">
        <f>IF(N1782="net",_xlfn.XLOOKUP(E1782,cannabis_log!C:C,cannabis_log!N:N,"NOT FOUND",0,1),IF(N1782="gross",0,""))</f>
        <v>0</v>
      </c>
    </row>
    <row r="1783" spans="1:15">
      <c r="A1783" s="195" t="str">
        <f t="shared" si="96"/>
        <v>outbound</v>
      </c>
      <c r="B1783" s="196">
        <v>45792.543749999997</v>
      </c>
      <c r="C1783" s="197" t="s">
        <v>1921</v>
      </c>
      <c r="D1783" s="197"/>
      <c r="E1783" s="215" t="s">
        <v>2670</v>
      </c>
      <c r="F1783" s="112" t="str">
        <f>IF(ISBLANK(E1783),"",_xlfn.XLOOKUP(E1783,cannabis_log!C:C,cannabis_log!J:J,"",0,))</f>
        <v>EX25022105</v>
      </c>
      <c r="G1783" s="112"/>
      <c r="H1783" s="112" t="str">
        <f>IF(ISBLANK(E1783),"",_xlfn.XLOOKUP(E1783,cannabis_log!C:C,cannabis_log!H:H,"",0,1))</f>
        <v>extract_inhaled_bulk</v>
      </c>
      <c r="I1783" s="113" t="str">
        <f>IF(ISBLANK(E1783),"",_xlfn.XLOOKUP(E1783,cannabis_log!C:C,cannabis_log!K:K,"NOT FOUND",0,1))</f>
        <v>NA</v>
      </c>
      <c r="J1783" s="185">
        <v>-1</v>
      </c>
      <c r="K1783" s="186">
        <v>-490.92</v>
      </c>
      <c r="L1783" s="288">
        <f t="shared" si="98"/>
        <v>0</v>
      </c>
      <c r="M1783" s="24"/>
      <c r="N1783" s="112" t="str">
        <f>IF(ISBLANK(E1783),"",_xlfn.XLOOKUP(E1783,cannabis_log!C:C,cannabis_log!T:T,"Not Found",0,))</f>
        <v>gross</v>
      </c>
      <c r="O1783" s="180">
        <f>IF(N1783="net",_xlfn.XLOOKUP(E1783,cannabis_log!C:C,cannabis_log!N:N,"NOT FOUND",0,1),IF(N1783="gross",0,""))</f>
        <v>0</v>
      </c>
    </row>
    <row r="1784" spans="1:15">
      <c r="A1784" s="195" t="str">
        <f t="shared" si="96"/>
        <v>outbound</v>
      </c>
      <c r="B1784" s="196">
        <v>45793</v>
      </c>
      <c r="C1784" s="197" t="s">
        <v>1929</v>
      </c>
      <c r="D1784" s="197" t="s">
        <v>500</v>
      </c>
      <c r="E1784" s="215" t="s">
        <v>3004</v>
      </c>
      <c r="F1784" s="112" t="str">
        <f>IF(ISBLANK(E1784),"",_xlfn.XLOOKUP(E1784,cannabis_log!C:C,cannabis_log!J:J,"",0,))</f>
        <v>PR2407F5P3</v>
      </c>
      <c r="G1784" s="112"/>
      <c r="H1784" s="112" t="str">
        <f>IF(ISBLANK(E1784),"",_xlfn.XLOOKUP(E1784,cannabis_log!C:C,cannabis_log!H:H,"",0,1))</f>
        <v>preroll_labelled</v>
      </c>
      <c r="I1784" s="113">
        <f>IF(ISBLANK(E1784),"",_xlfn.XLOOKUP(E1784,cannabis_log!C:C,cannabis_log!K:K,"NOT FOUND",0,1))</f>
        <v>45742</v>
      </c>
      <c r="J1784" s="185">
        <v>-12</v>
      </c>
      <c r="K1784" s="186">
        <f t="shared" ref="K1784:K1828" si="99">IF(N1784="net",0,"")</f>
        <v>0</v>
      </c>
      <c r="L1784" s="288">
        <f t="shared" si="98"/>
        <v>-18</v>
      </c>
      <c r="M1784" s="24"/>
      <c r="N1784" s="112" t="str">
        <f>IF(ISBLANK(E1784),"",_xlfn.XLOOKUP(E1784,cannabis_log!C:C,cannabis_log!T:T,"Not Found",0,))</f>
        <v>net</v>
      </c>
      <c r="O1784" s="180">
        <f>IF(N1784="net",_xlfn.XLOOKUP(E1784,cannabis_log!C:C,cannabis_log!N:N,"NOT FOUND",0,1),IF(N1784="gross",0,""))</f>
        <v>1.5</v>
      </c>
    </row>
    <row r="1785" spans="1:15">
      <c r="A1785" s="195" t="str">
        <f t="shared" si="96"/>
        <v>outbound</v>
      </c>
      <c r="B1785" s="196">
        <v>45793</v>
      </c>
      <c r="C1785" s="197" t="s">
        <v>1929</v>
      </c>
      <c r="D1785" s="197" t="s">
        <v>500</v>
      </c>
      <c r="E1785" s="215" t="s">
        <v>3005</v>
      </c>
      <c r="F1785" s="112" t="str">
        <f>IF(ISBLANK(E1785),"",_xlfn.XLOOKUP(E1785,cannabis_log!C:C,cannabis_log!J:J,"",0,))</f>
        <v>PR2302INF1P1</v>
      </c>
      <c r="G1785" s="112"/>
      <c r="H1785" s="112" t="str">
        <f>IF(ISBLANK(E1785),"",_xlfn.XLOOKUP(E1785,cannabis_log!C:C,cannabis_log!H:H,"",0,1))</f>
        <v>preroll_labelled</v>
      </c>
      <c r="I1785" s="113">
        <f>IF(ISBLANK(E1785),"",_xlfn.XLOOKUP(E1785,cannabis_log!C:C,cannabis_log!K:K,"NOT FOUND",0,1))</f>
        <v>45763</v>
      </c>
      <c r="J1785" s="185">
        <v>-12</v>
      </c>
      <c r="K1785" s="186">
        <f t="shared" si="99"/>
        <v>0</v>
      </c>
      <c r="L1785" s="288">
        <f t="shared" si="98"/>
        <v>-12</v>
      </c>
      <c r="M1785" s="24"/>
      <c r="N1785" s="112" t="str">
        <f>IF(ISBLANK(E1785),"",_xlfn.XLOOKUP(E1785,cannabis_log!C:C,cannabis_log!T:T,"Not Found",0,))</f>
        <v>net</v>
      </c>
      <c r="O1785" s="180">
        <f>IF(N1785="net",_xlfn.XLOOKUP(E1785,cannabis_log!C:C,cannabis_log!N:N,"NOT FOUND",0,1),IF(N1785="gross",0,""))</f>
        <v>1</v>
      </c>
    </row>
    <row r="1786" spans="1:15">
      <c r="A1786" s="195" t="str">
        <f t="shared" si="96"/>
        <v>outbound</v>
      </c>
      <c r="B1786" s="196">
        <v>45793</v>
      </c>
      <c r="C1786" s="197" t="s">
        <v>1929</v>
      </c>
      <c r="D1786" s="197" t="s">
        <v>500</v>
      </c>
      <c r="E1786" s="215" t="s">
        <v>3006</v>
      </c>
      <c r="F1786" s="112" t="str">
        <f>IF(ISBLANK(E1786),"",_xlfn.XLOOKUP(E1786,cannabis_log!C:C,cannabis_log!J:J,"",0,))</f>
        <v>CPR22102101G5</v>
      </c>
      <c r="G1786" s="112"/>
      <c r="H1786" s="112" t="str">
        <f>IF(ISBLANK(E1786),"",_xlfn.XLOOKUP(E1786,cannabis_log!C:C,cannabis_log!H:H,"",0,1))</f>
        <v>preroll_labelled</v>
      </c>
      <c r="I1786" s="113">
        <f>IF(ISBLANK(E1786),"",_xlfn.XLOOKUP(E1786,cannabis_log!C:C,cannabis_log!K:K,"NOT FOUND",0,1))</f>
        <v>45510</v>
      </c>
      <c r="J1786" s="185">
        <v>-12</v>
      </c>
      <c r="K1786" s="186">
        <f t="shared" si="99"/>
        <v>0</v>
      </c>
      <c r="L1786" s="288">
        <f t="shared" si="98"/>
        <v>-12</v>
      </c>
      <c r="M1786" s="24"/>
      <c r="N1786" s="112" t="str">
        <f>IF(ISBLANK(E1786),"",_xlfn.XLOOKUP(E1786,cannabis_log!C:C,cannabis_log!T:T,"Not Found",0,))</f>
        <v>net</v>
      </c>
      <c r="O1786" s="180">
        <f>IF(N1786="net",_xlfn.XLOOKUP(E1786,cannabis_log!C:C,cannabis_log!N:N,"NOT FOUND",0,1),IF(N1786="gross",0,""))</f>
        <v>1</v>
      </c>
    </row>
    <row r="1787" spans="1:15">
      <c r="A1787" s="195" t="str">
        <f t="shared" si="96"/>
        <v>outbound</v>
      </c>
      <c r="B1787" s="196">
        <v>45793</v>
      </c>
      <c r="C1787" s="197" t="s">
        <v>1929</v>
      </c>
      <c r="D1787" s="197" t="s">
        <v>500</v>
      </c>
      <c r="E1787" s="215" t="s">
        <v>3007</v>
      </c>
      <c r="F1787" s="112" t="str">
        <f>IF(ISBLANK(E1787),"",_xlfn.XLOOKUP(E1787,cannabis_log!C:C,cannabis_log!J:J,"",0,))</f>
        <v>PR22051901G1</v>
      </c>
      <c r="G1787" s="112"/>
      <c r="H1787" s="112" t="str">
        <f>IF(ISBLANK(E1787),"",_xlfn.XLOOKUP(E1787,cannabis_log!C:C,cannabis_log!H:H,"",0,1))</f>
        <v>preroll_labelled</v>
      </c>
      <c r="I1787" s="113">
        <f>IF(ISBLANK(E1787),"",_xlfn.XLOOKUP(E1787,cannabis_log!C:C,cannabis_log!K:K,"NOT FOUND",0,1))</f>
        <v>45798</v>
      </c>
      <c r="J1787" s="185">
        <v>-24</v>
      </c>
      <c r="K1787" s="186">
        <f t="shared" si="99"/>
        <v>0</v>
      </c>
      <c r="L1787" s="288">
        <f t="shared" si="98"/>
        <v>-24</v>
      </c>
      <c r="M1787" s="24"/>
      <c r="N1787" s="112" t="str">
        <f>IF(ISBLANK(E1787),"",_xlfn.XLOOKUP(E1787,cannabis_log!C:C,cannabis_log!T:T,"Not Found",0,))</f>
        <v>net</v>
      </c>
      <c r="O1787" s="180">
        <f>IF(N1787="net",_xlfn.XLOOKUP(E1787,cannabis_log!C:C,cannabis_log!N:N,"NOT FOUND",0,1),IF(N1787="gross",0,""))</f>
        <v>1</v>
      </c>
    </row>
    <row r="1788" spans="1:15">
      <c r="A1788" s="195" t="str">
        <f t="shared" si="96"/>
        <v>outbound</v>
      </c>
      <c r="B1788" s="196">
        <v>45793</v>
      </c>
      <c r="C1788" s="197" t="s">
        <v>1929</v>
      </c>
      <c r="D1788" s="197" t="s">
        <v>500</v>
      </c>
      <c r="E1788" s="215" t="s">
        <v>3008</v>
      </c>
      <c r="F1788" s="112" t="str">
        <f>IF(ISBLANK(E1788),"",_xlfn.XLOOKUP(E1788,cannabis_log!C:C,cannabis_log!J:J,"",0,))</f>
        <v>CPR22012001G5</v>
      </c>
      <c r="G1788" s="112"/>
      <c r="H1788" s="112" t="str">
        <f>IF(ISBLANK(E1788),"",_xlfn.XLOOKUP(E1788,cannabis_log!C:C,cannabis_log!H:H,"",0,1))</f>
        <v>preroll_labelled</v>
      </c>
      <c r="I1788" s="113">
        <f>IF(ISBLANK(E1788),"",_xlfn.XLOOKUP(E1788,cannabis_log!C:C,cannabis_log!K:K,"NOT FOUND",0,1))</f>
        <v>45649</v>
      </c>
      <c r="J1788" s="185">
        <v>-24</v>
      </c>
      <c r="K1788" s="186">
        <f t="shared" si="99"/>
        <v>0</v>
      </c>
      <c r="L1788" s="288">
        <f t="shared" si="98"/>
        <v>-36</v>
      </c>
      <c r="M1788" s="24"/>
      <c r="N1788" s="112" t="str">
        <f>IF(ISBLANK(E1788),"",_xlfn.XLOOKUP(E1788,cannabis_log!C:C,cannabis_log!T:T,"Not Found",0,))</f>
        <v>net</v>
      </c>
      <c r="O1788" s="180">
        <f>IF(N1788="net",_xlfn.XLOOKUP(E1788,cannabis_log!C:C,cannabis_log!N:N,"NOT FOUND",0,1),IF(N1788="gross",0,""))</f>
        <v>1.5</v>
      </c>
    </row>
    <row r="1789" spans="1:15">
      <c r="A1789" s="195" t="str">
        <f t="shared" si="96"/>
        <v>outbound</v>
      </c>
      <c r="B1789" s="196">
        <v>45793</v>
      </c>
      <c r="C1789" s="197" t="s">
        <v>1929</v>
      </c>
      <c r="D1789" s="197" t="s">
        <v>500</v>
      </c>
      <c r="E1789" s="215" t="s">
        <v>2724</v>
      </c>
      <c r="F1789" s="112" t="str">
        <f>IF(ISBLANK(E1789),"",_xlfn.XLOOKUP(E1789,cannabis_log!C:C,cannabis_log!J:J,"",0,))</f>
        <v>PR241102F5P3</v>
      </c>
      <c r="G1789" s="112"/>
      <c r="H1789" s="112" t="str">
        <f>IF(ISBLANK(E1789),"",_xlfn.XLOOKUP(E1789,cannabis_log!C:C,cannabis_log!H:H,"",0,1))</f>
        <v>preroll_labelled</v>
      </c>
      <c r="I1789" s="113">
        <f>IF(ISBLANK(E1789),"",_xlfn.XLOOKUP(E1789,cannabis_log!C:C,cannabis_log!K:K,"NOT FOUND",0,1))</f>
        <v>45660</v>
      </c>
      <c r="J1789" s="185">
        <v>-24</v>
      </c>
      <c r="K1789" s="186">
        <f t="shared" si="99"/>
        <v>0</v>
      </c>
      <c r="L1789" s="288">
        <f t="shared" si="98"/>
        <v>-36</v>
      </c>
      <c r="M1789" s="24"/>
      <c r="N1789" s="112" t="str">
        <f>IF(ISBLANK(E1789),"",_xlfn.XLOOKUP(E1789,cannabis_log!C:C,cannabis_log!T:T,"Not Found",0,))</f>
        <v>net</v>
      </c>
      <c r="O1789" s="180">
        <f>IF(N1789="net",_xlfn.XLOOKUP(E1789,cannabis_log!C:C,cannabis_log!N:N,"NOT FOUND",0,1),IF(N1789="gross",0,""))</f>
        <v>1.5</v>
      </c>
    </row>
    <row r="1790" spans="1:15">
      <c r="A1790" s="195" t="str">
        <f t="shared" si="96"/>
        <v>outbound</v>
      </c>
      <c r="B1790" s="196">
        <v>45793</v>
      </c>
      <c r="C1790" s="197" t="s">
        <v>1929</v>
      </c>
      <c r="D1790" s="197" t="s">
        <v>500</v>
      </c>
      <c r="E1790" s="215" t="s">
        <v>3009</v>
      </c>
      <c r="F1790" s="112" t="str">
        <f>IF(ISBLANK(E1790),"",_xlfn.XLOOKUP(E1790,cannabis_log!C:C,cannabis_log!J:J,"",0,))</f>
        <v>PR251105F5P3</v>
      </c>
      <c r="G1790" s="112"/>
      <c r="H1790" s="112" t="str">
        <f>IF(ISBLANK(E1790),"",_xlfn.XLOOKUP(E1790,cannabis_log!C:C,cannabis_log!H:H,"",0,1))</f>
        <v>preroll_labelled</v>
      </c>
      <c r="I1790" s="113">
        <f>IF(ISBLANK(E1790),"",_xlfn.XLOOKUP(E1790,cannabis_log!C:C,cannabis_log!K:K,"NOT FOUND",0,1))</f>
        <v>45770</v>
      </c>
      <c r="J1790" s="185">
        <v>-84</v>
      </c>
      <c r="K1790" s="186">
        <f t="shared" si="99"/>
        <v>0</v>
      </c>
      <c r="L1790" s="288">
        <f t="shared" si="98"/>
        <v>-126</v>
      </c>
      <c r="M1790" s="24"/>
      <c r="N1790" s="112" t="str">
        <f>IF(ISBLANK(E1790),"",_xlfn.XLOOKUP(E1790,cannabis_log!C:C,cannabis_log!T:T,"Not Found",0,))</f>
        <v>net</v>
      </c>
      <c r="O1790" s="180">
        <f>IF(N1790="net",_xlfn.XLOOKUP(E1790,cannabis_log!C:C,cannabis_log!N:N,"NOT FOUND",0,1),IF(N1790="gross",0,""))</f>
        <v>1.5</v>
      </c>
    </row>
    <row r="1791" spans="1:15">
      <c r="A1791" s="195" t="str">
        <f t="shared" si="96"/>
        <v>outbound</v>
      </c>
      <c r="B1791" s="196">
        <v>45793</v>
      </c>
      <c r="C1791" s="197" t="s">
        <v>1929</v>
      </c>
      <c r="D1791" s="197" t="s">
        <v>500</v>
      </c>
      <c r="E1791" s="215" t="s">
        <v>2732</v>
      </c>
      <c r="F1791" s="112" t="str">
        <f>IF(ISBLANK(E1791),"",_xlfn.XLOOKUP(E1791,cannabis_log!C:C,cannabis_log!J:J,"",0,))</f>
        <v>PR2507F1P2</v>
      </c>
      <c r="G1791" s="112"/>
      <c r="H1791" s="112" t="str">
        <f>IF(ISBLANK(E1791),"",_xlfn.XLOOKUP(E1791,cannabis_log!C:C,cannabis_log!H:H,"",0,1))</f>
        <v>preroll_labelled</v>
      </c>
      <c r="I1791" s="113">
        <f>IF(ISBLANK(E1791),"",_xlfn.XLOOKUP(E1791,cannabis_log!C:C,cannabis_log!K:K,"NOT FOUND",0,1))</f>
        <v>45728</v>
      </c>
      <c r="J1791" s="185">
        <v>-24</v>
      </c>
      <c r="K1791" s="186">
        <f t="shared" si="99"/>
        <v>0</v>
      </c>
      <c r="L1791" s="288">
        <f t="shared" si="98"/>
        <v>-48</v>
      </c>
      <c r="M1791" s="24"/>
      <c r="N1791" s="112" t="str">
        <f>IF(ISBLANK(E1791),"",_xlfn.XLOOKUP(E1791,cannabis_log!C:C,cannabis_log!T:T,"Not Found",0,))</f>
        <v>net</v>
      </c>
      <c r="O1791" s="180">
        <f>IF(N1791="net",_xlfn.XLOOKUP(E1791,cannabis_log!C:C,cannabis_log!N:N,"NOT FOUND",0,1),IF(N1791="gross",0,""))</f>
        <v>2</v>
      </c>
    </row>
    <row r="1792" spans="1:15">
      <c r="A1792" s="195" t="str">
        <f t="shared" si="96"/>
        <v>outbound</v>
      </c>
      <c r="B1792" s="196">
        <v>45793</v>
      </c>
      <c r="C1792" s="197" t="s">
        <v>1929</v>
      </c>
      <c r="D1792" s="197" t="s">
        <v>500</v>
      </c>
      <c r="E1792" s="215" t="s">
        <v>3010</v>
      </c>
      <c r="F1792" s="112" t="str">
        <f>IF(ISBLANK(E1792),"",_xlfn.XLOOKUP(E1792,cannabis_log!C:C,cannabis_log!J:J,"",0,))</f>
        <v>PR241103F5P3</v>
      </c>
      <c r="G1792" s="112"/>
      <c r="H1792" s="112" t="str">
        <f>IF(ISBLANK(E1792),"",_xlfn.XLOOKUP(E1792,cannabis_log!C:C,cannabis_log!H:H,"",0,1))</f>
        <v>preroll_labelled</v>
      </c>
      <c r="I1792" s="113">
        <f>IF(ISBLANK(E1792),"",_xlfn.XLOOKUP(E1792,cannabis_log!C:C,cannabis_log!K:K,"NOT FOUND",0,1))</f>
        <v>45761</v>
      </c>
      <c r="J1792" s="185">
        <v>-24</v>
      </c>
      <c r="K1792" s="186">
        <f t="shared" si="99"/>
        <v>0</v>
      </c>
      <c r="L1792" s="288">
        <f t="shared" si="98"/>
        <v>-36</v>
      </c>
      <c r="M1792" s="24"/>
      <c r="N1792" s="112" t="str">
        <f>IF(ISBLANK(E1792),"",_xlfn.XLOOKUP(E1792,cannabis_log!C:C,cannabis_log!T:T,"Not Found",0,))</f>
        <v>net</v>
      </c>
      <c r="O1792" s="180">
        <f>IF(N1792="net",_xlfn.XLOOKUP(E1792,cannabis_log!C:C,cannabis_log!N:N,"NOT FOUND",0,1),IF(N1792="gross",0,""))</f>
        <v>1.5</v>
      </c>
    </row>
    <row r="1793" spans="1:15">
      <c r="A1793" s="195" t="str">
        <f t="shared" ref="A1793:A1856" si="100">IF(ISBLANK(J1793),"",IF(J1793+K1793+L1793&lt;0,"outbound","inbound"))</f>
        <v>outbound</v>
      </c>
      <c r="B1793" s="196">
        <v>45793</v>
      </c>
      <c r="C1793" s="197" t="s">
        <v>1929</v>
      </c>
      <c r="D1793" s="197" t="s">
        <v>500</v>
      </c>
      <c r="E1793" s="215" t="s">
        <v>2972</v>
      </c>
      <c r="F1793" s="112" t="str">
        <f>IF(ISBLANK(E1793),"",_xlfn.XLOOKUP(E1793,cannabis_log!C:C,cannabis_log!J:J,"",0,))</f>
        <v>PR2516F5P10</v>
      </c>
      <c r="G1793" s="112"/>
      <c r="H1793" s="112" t="str">
        <f>IF(ISBLANK(E1793),"",_xlfn.XLOOKUP(E1793,cannabis_log!C:C,cannabis_log!H:H,"",0,1))</f>
        <v>preroll_labelled</v>
      </c>
      <c r="I1793" s="113">
        <f>IF(ISBLANK(E1793),"",_xlfn.XLOOKUP(E1793,cannabis_log!C:C,cannabis_log!K:K,"NOT FOUND",0,1))</f>
        <v>45772</v>
      </c>
      <c r="J1793" s="185">
        <v>-12</v>
      </c>
      <c r="K1793" s="186">
        <f t="shared" si="99"/>
        <v>0</v>
      </c>
      <c r="L1793" s="288">
        <f t="shared" si="98"/>
        <v>-60</v>
      </c>
      <c r="M1793" s="24"/>
      <c r="N1793" s="112" t="str">
        <f>IF(ISBLANK(E1793),"",_xlfn.XLOOKUP(E1793,cannabis_log!C:C,cannabis_log!T:T,"Not Found",0,))</f>
        <v>net</v>
      </c>
      <c r="O1793" s="180">
        <f>IF(N1793="net",_xlfn.XLOOKUP(E1793,cannabis_log!C:C,cannabis_log!N:N,"NOT FOUND",0,1),IF(N1793="gross",0,""))</f>
        <v>5</v>
      </c>
    </row>
    <row r="1794" spans="1:15">
      <c r="A1794" s="195" t="str">
        <f t="shared" si="100"/>
        <v>outbound</v>
      </c>
      <c r="B1794" s="196">
        <v>45793</v>
      </c>
      <c r="C1794" s="197" t="s">
        <v>1929</v>
      </c>
      <c r="D1794" s="197" t="s">
        <v>500</v>
      </c>
      <c r="E1794" s="215" t="s">
        <v>3011</v>
      </c>
      <c r="F1794" s="112" t="str">
        <f>IF(ISBLANK(E1794),"",_xlfn.XLOOKUP(E1794,cannabis_log!C:C,cannabis_log!J:J,"",0,))</f>
        <v>2024121801G7</v>
      </c>
      <c r="G1794" s="112"/>
      <c r="H1794" s="112" t="str">
        <f>IF(ISBLANK(E1794),"",_xlfn.XLOOKUP(E1794,cannabis_log!C:C,cannabis_log!H:H,"",0,1))</f>
        <v>driedflower_labelled</v>
      </c>
      <c r="I1794" s="113">
        <f>IF(ISBLANK(E1794),"",_xlfn.XLOOKUP(E1794,cannabis_log!C:C,cannabis_log!K:K,"NOT FOUND",0,1))</f>
        <v>45763</v>
      </c>
      <c r="J1794" s="185">
        <v>-12</v>
      </c>
      <c r="K1794" s="186">
        <f t="shared" si="99"/>
        <v>0</v>
      </c>
      <c r="L1794" s="288">
        <f t="shared" si="98"/>
        <v>-84</v>
      </c>
      <c r="M1794" s="24"/>
      <c r="N1794" s="112" t="str">
        <f>IF(ISBLANK(E1794),"",_xlfn.XLOOKUP(E1794,cannabis_log!C:C,cannabis_log!T:T,"Not Found",0,))</f>
        <v>net</v>
      </c>
      <c r="O1794" s="180">
        <f>IF(N1794="net",_xlfn.XLOOKUP(E1794,cannabis_log!C:C,cannabis_log!N:N,"NOT FOUND",0,1),IF(N1794="gross",0,""))</f>
        <v>7</v>
      </c>
    </row>
    <row r="1795" spans="1:15">
      <c r="A1795" s="195" t="str">
        <f t="shared" si="100"/>
        <v>outbound</v>
      </c>
      <c r="B1795" s="196">
        <v>45793</v>
      </c>
      <c r="C1795" s="197" t="s">
        <v>1929</v>
      </c>
      <c r="D1795" s="197" t="s">
        <v>500</v>
      </c>
      <c r="E1795" s="215" t="s">
        <v>2722</v>
      </c>
      <c r="F1795" s="112" t="str">
        <f>IF(ISBLANK(E1795),"",_xlfn.XLOOKUP(E1795,cannabis_log!C:C,cannabis_log!J:J,"",0,))</f>
        <v>PR2301F35P12</v>
      </c>
      <c r="G1795" s="112"/>
      <c r="H1795" s="112" t="str">
        <f>IF(ISBLANK(E1795),"",_xlfn.XLOOKUP(E1795,cannabis_log!C:C,cannabis_log!H:H,"",0,1))</f>
        <v>preroll_labelled</v>
      </c>
      <c r="I1795" s="113">
        <f>IF(ISBLANK(E1795),"",_xlfn.XLOOKUP(E1795,cannabis_log!C:C,cannabis_log!K:K,"NOT FOUND",0,1))</f>
        <v>45649</v>
      </c>
      <c r="J1795" s="185">
        <v>-12</v>
      </c>
      <c r="K1795" s="186">
        <f t="shared" si="99"/>
        <v>0</v>
      </c>
      <c r="L1795" s="288">
        <f t="shared" si="98"/>
        <v>-50.399999999999991</v>
      </c>
      <c r="M1795" s="24"/>
      <c r="N1795" s="112" t="str">
        <f>IF(ISBLANK(E1795),"",_xlfn.XLOOKUP(E1795,cannabis_log!C:C,cannabis_log!T:T,"Not Found",0,))</f>
        <v>net</v>
      </c>
      <c r="O1795" s="180">
        <f>IF(N1795="net",_xlfn.XLOOKUP(E1795,cannabis_log!C:C,cannabis_log!N:N,"NOT FOUND",0,1),IF(N1795="gross",0,""))</f>
        <v>4.1999999999999993</v>
      </c>
    </row>
    <row r="1796" spans="1:15">
      <c r="A1796" s="195" t="str">
        <f t="shared" si="100"/>
        <v>outbound</v>
      </c>
      <c r="B1796" s="196">
        <v>45797.5</v>
      </c>
      <c r="C1796" s="197" t="s">
        <v>1929</v>
      </c>
      <c r="D1796" s="197" t="s">
        <v>505</v>
      </c>
      <c r="E1796" s="215" t="s">
        <v>3012</v>
      </c>
      <c r="F1796" s="112" t="str">
        <f>IF(ISBLANK(E1796),"",_xlfn.XLOOKUP(E1796,cannabis_log!C:C,cannabis_log!J:J,"",0,))</f>
        <v>LR23032101</v>
      </c>
      <c r="G1796" s="112"/>
      <c r="H1796" s="112" t="str">
        <f>IF(ISBLANK(E1796),"",_xlfn.XLOOKUP(E1796,cannabis_log!C:C,cannabis_log!H:H,"",0,1))</f>
        <v>extract_inhaled_labelled</v>
      </c>
      <c r="I1796" s="113">
        <f>IF(ISBLANK(E1796),"",_xlfn.XLOOKUP(E1796,cannabis_log!C:C,cannabis_log!K:K,"NOT FOUND",0,1))</f>
        <v>45793</v>
      </c>
      <c r="J1796" s="185">
        <v>-6</v>
      </c>
      <c r="K1796" s="186">
        <f t="shared" si="99"/>
        <v>0</v>
      </c>
      <c r="L1796" s="288">
        <f t="shared" si="98"/>
        <v>-6</v>
      </c>
      <c r="M1796" s="24"/>
      <c r="N1796" s="112" t="str">
        <f>IF(ISBLANK(E1796),"",_xlfn.XLOOKUP(E1796,cannabis_log!C:C,cannabis_log!T:T,"Not Found",0,))</f>
        <v>net</v>
      </c>
      <c r="O1796" s="180">
        <f>IF(N1796="net",_xlfn.XLOOKUP(E1796,cannabis_log!C:C,cannabis_log!N:N,"NOT FOUND",0,1),IF(N1796="gross",0,""))</f>
        <v>1</v>
      </c>
    </row>
    <row r="1797" spans="1:15">
      <c r="A1797" s="195" t="str">
        <f t="shared" si="100"/>
        <v>outbound</v>
      </c>
      <c r="B1797" s="196">
        <v>45797.5</v>
      </c>
      <c r="C1797" s="197" t="s">
        <v>1929</v>
      </c>
      <c r="D1797" s="197" t="s">
        <v>505</v>
      </c>
      <c r="E1797" s="215" t="s">
        <v>3013</v>
      </c>
      <c r="F1797" s="112" t="str">
        <f>IF(ISBLANK(E1797),"",_xlfn.XLOOKUP(E1797,cannabis_log!C:C,cannabis_log!J:J,"",0,))</f>
        <v>PR2303IN02F5P3</v>
      </c>
      <c r="G1797" s="112"/>
      <c r="H1797" s="112" t="str">
        <f>IF(ISBLANK(E1797),"",_xlfn.XLOOKUP(E1797,cannabis_log!C:C,cannabis_log!H:H,"",0,1))</f>
        <v>infusedpreroll_cased_AB_RTV</v>
      </c>
      <c r="I1797" s="113">
        <f>IF(ISBLANK(E1797),"",_xlfn.XLOOKUP(E1797,cannabis_log!C:C,cannabis_log!K:K,"NOT FOUND",0,1))</f>
        <v>45478</v>
      </c>
      <c r="J1797" s="185">
        <v>-1</v>
      </c>
      <c r="K1797" s="186">
        <f t="shared" si="99"/>
        <v>0</v>
      </c>
      <c r="L1797" s="288">
        <f t="shared" si="98"/>
        <v>-9</v>
      </c>
      <c r="M1797" s="24"/>
      <c r="N1797" s="112" t="str">
        <f>IF(ISBLANK(E1797),"",_xlfn.XLOOKUP(E1797,cannabis_log!C:C,cannabis_log!T:T,"Not Found",0,))</f>
        <v>net</v>
      </c>
      <c r="O1797" s="180">
        <f>IF(N1797="net",_xlfn.XLOOKUP(E1797,cannabis_log!C:C,cannabis_log!N:N,"NOT FOUND",0,1),IF(N1797="gross",0,""))</f>
        <v>9</v>
      </c>
    </row>
    <row r="1798" spans="1:15">
      <c r="A1798" s="195" t="str">
        <f t="shared" si="100"/>
        <v>outbound</v>
      </c>
      <c r="B1798" s="196">
        <v>45797.5</v>
      </c>
      <c r="C1798" s="197" t="s">
        <v>1929</v>
      </c>
      <c r="D1798" s="197" t="s">
        <v>505</v>
      </c>
      <c r="E1798" s="215" t="s">
        <v>3014</v>
      </c>
      <c r="F1798" s="112" t="str">
        <f>IF(ISBLANK(E1798),"",_xlfn.XLOOKUP(E1798,cannabis_log!C:C,cannabis_log!J:J,"",0,))</f>
        <v>EX24111306G05</v>
      </c>
      <c r="G1798" s="112"/>
      <c r="H1798" s="112" t="str">
        <f>IF(ISBLANK(E1798),"",_xlfn.XLOOKUP(E1798,cannabis_log!C:C,cannabis_log!H:H,"",0,1))</f>
        <v>extract_inhaled_cased_MB</v>
      </c>
      <c r="I1798" s="113">
        <f>IF(ISBLANK(E1798),"",_xlfn.XLOOKUP(E1798,cannabis_log!C:C,cannabis_log!K:K,"NOT FOUND",0,1))</f>
        <v>45623</v>
      </c>
      <c r="J1798" s="185">
        <v>-1</v>
      </c>
      <c r="K1798" s="186">
        <f t="shared" si="99"/>
        <v>0</v>
      </c>
      <c r="L1798" s="288">
        <f t="shared" si="98"/>
        <v>-6</v>
      </c>
      <c r="M1798" s="24"/>
      <c r="N1798" s="112" t="str">
        <f>IF(ISBLANK(E1798),"",_xlfn.XLOOKUP(E1798,cannabis_log!C:C,cannabis_log!T:T,"Not Found",0,))</f>
        <v>NET</v>
      </c>
      <c r="O1798" s="180">
        <f>IF(N1798="net",_xlfn.XLOOKUP(E1798,cannabis_log!C:C,cannabis_log!N:N,"NOT FOUND",0,1),IF(N1798="gross",0,""))</f>
        <v>6</v>
      </c>
    </row>
    <row r="1799" spans="1:15">
      <c r="A1799" s="195" t="str">
        <f t="shared" si="100"/>
        <v>outbound</v>
      </c>
      <c r="B1799" s="196">
        <v>45797.5</v>
      </c>
      <c r="C1799" s="197" t="s">
        <v>1929</v>
      </c>
      <c r="D1799" s="197" t="s">
        <v>519</v>
      </c>
      <c r="E1799" s="215" t="s">
        <v>3013</v>
      </c>
      <c r="F1799" s="112" t="str">
        <f>IF(ISBLANK(E1799),"",_xlfn.XLOOKUP(E1799,cannabis_log!C:C,cannabis_log!J:J,"",0,))</f>
        <v>PR2303IN02F5P3</v>
      </c>
      <c r="G1799" s="112"/>
      <c r="H1799" s="112" t="str">
        <f>IF(ISBLANK(E1799),"",_xlfn.XLOOKUP(E1799,cannabis_log!C:C,cannabis_log!H:H,"",0,1))</f>
        <v>infusedpreroll_cased_AB_RTV</v>
      </c>
      <c r="I1799" s="113">
        <f>IF(ISBLANK(E1799),"",_xlfn.XLOOKUP(E1799,cannabis_log!C:C,cannabis_log!K:K,"NOT FOUND",0,1))</f>
        <v>45478</v>
      </c>
      <c r="J1799" s="185">
        <v>-1</v>
      </c>
      <c r="K1799" s="186">
        <f t="shared" si="99"/>
        <v>0</v>
      </c>
      <c r="L1799" s="288">
        <f t="shared" si="98"/>
        <v>-9</v>
      </c>
      <c r="M1799" s="24"/>
      <c r="N1799" s="112" t="str">
        <f>IF(ISBLANK(E1799),"",_xlfn.XLOOKUP(E1799,cannabis_log!C:C,cannabis_log!T:T,"Not Found",0,))</f>
        <v>net</v>
      </c>
      <c r="O1799" s="180">
        <f>IF(N1799="net",_xlfn.XLOOKUP(E1799,cannabis_log!C:C,cannabis_log!N:N,"NOT FOUND",0,1),IF(N1799="gross",0,""))</f>
        <v>9</v>
      </c>
    </row>
    <row r="1800" spans="1:15">
      <c r="A1800" s="195" t="str">
        <f t="shared" si="100"/>
        <v>outbound</v>
      </c>
      <c r="B1800" s="196">
        <v>45797.5</v>
      </c>
      <c r="C1800" s="197" t="s">
        <v>1929</v>
      </c>
      <c r="D1800" s="197" t="s">
        <v>519</v>
      </c>
      <c r="E1800" s="215" t="s">
        <v>3003</v>
      </c>
      <c r="F1800" s="112" t="str">
        <f>IF(ISBLANK(E1800),"",_xlfn.XLOOKUP(E1800,cannabis_log!C:C,cannabis_log!J:J,"",0,))</f>
        <v>TP24120401G45</v>
      </c>
      <c r="G1800" s="112"/>
      <c r="H1800" s="112" t="str">
        <f>IF(ISBLANK(E1800),"",_xlfn.XLOOKUP(E1800,cannabis_log!C:C,cannabis_log!H:H,"",0,1))</f>
        <v>topical_labelled</v>
      </c>
      <c r="I1800" s="113">
        <f>IF(ISBLANK(E1800),"",_xlfn.XLOOKUP(E1800,cannabis_log!C:C,cannabis_log!K:K,"NOT FOUND",0,1))</f>
        <v>45638</v>
      </c>
      <c r="J1800" s="185">
        <v>-12</v>
      </c>
      <c r="K1800" s="186">
        <f t="shared" si="99"/>
        <v>0</v>
      </c>
      <c r="L1800" s="288">
        <f t="shared" si="98"/>
        <v>-540</v>
      </c>
      <c r="M1800" s="24"/>
      <c r="N1800" s="112" t="str">
        <f>IF(ISBLANK(E1800),"",_xlfn.XLOOKUP(E1800,cannabis_log!C:C,cannabis_log!T:T,"Not Found",0,))</f>
        <v>net</v>
      </c>
      <c r="O1800" s="180">
        <f>IF(N1800="net",_xlfn.XLOOKUP(E1800,cannabis_log!C:C,cannabis_log!N:N,"NOT FOUND",0,1),IF(N1800="gross",0,""))</f>
        <v>45</v>
      </c>
    </row>
    <row r="1801" spans="1:15">
      <c r="A1801" s="195" t="str">
        <f t="shared" si="100"/>
        <v>outbound</v>
      </c>
      <c r="B1801" s="196">
        <v>45797.5</v>
      </c>
      <c r="C1801" s="197" t="s">
        <v>1929</v>
      </c>
      <c r="D1801" s="197" t="s">
        <v>519</v>
      </c>
      <c r="E1801" s="215" t="s">
        <v>3015</v>
      </c>
      <c r="F1801" s="112" t="str">
        <f>IF(ISBLANK(E1801),"",_xlfn.XLOOKUP(E1801,cannabis_log!C:C,cannabis_log!J:J,"",0,))</f>
        <v>PR21071201G5</v>
      </c>
      <c r="G1801" s="112"/>
      <c r="H1801" s="112" t="str">
        <f>IF(ISBLANK(E1801),"",_xlfn.XLOOKUP(E1801,cannabis_log!C:C,cannabis_log!H:H,"",0,1))</f>
        <v>preroll_labelled</v>
      </c>
      <c r="I1801" s="113">
        <f>IF(ISBLANK(E1801),"",_xlfn.XLOOKUP(E1801,cannabis_log!C:C,cannabis_log!K:K,"NOT FOUND",0,1))</f>
        <v>45779</v>
      </c>
      <c r="J1801" s="185">
        <v>-12</v>
      </c>
      <c r="K1801" s="186">
        <f t="shared" si="99"/>
        <v>0</v>
      </c>
      <c r="L1801" s="288">
        <f t="shared" si="98"/>
        <v>-18</v>
      </c>
      <c r="M1801" s="24"/>
      <c r="N1801" s="112" t="str">
        <f>IF(ISBLANK(E1801),"",_xlfn.XLOOKUP(E1801,cannabis_log!C:C,cannabis_log!T:T,"Not Found",0,))</f>
        <v>net</v>
      </c>
      <c r="O1801" s="180">
        <f>IF(N1801="net",_xlfn.XLOOKUP(E1801,cannabis_log!C:C,cannabis_log!N:N,"NOT FOUND",0,1),IF(N1801="gross",0,""))</f>
        <v>1.5</v>
      </c>
    </row>
    <row r="1802" spans="1:15">
      <c r="A1802" s="195" t="str">
        <f t="shared" si="100"/>
        <v>outbound</v>
      </c>
      <c r="B1802" s="196">
        <v>45797.5</v>
      </c>
      <c r="C1802" s="197" t="s">
        <v>1929</v>
      </c>
      <c r="D1802" s="197" t="s">
        <v>519</v>
      </c>
      <c r="E1802" s="215" t="s">
        <v>3016</v>
      </c>
      <c r="F1802" s="112" t="str">
        <f>IF(ISBLANK(E1802),"",_xlfn.XLOOKUP(E1802,cannabis_log!C:C,cannabis_log!J:J,"",0,))</f>
        <v>EX24111302G05</v>
      </c>
      <c r="G1802" s="112"/>
      <c r="H1802" s="112" t="str">
        <f>IF(ISBLANK(E1802),"",_xlfn.XLOOKUP(E1802,cannabis_log!C:C,cannabis_log!H:H,"",0,1))</f>
        <v>extract_inhaled_cased_SK_RTV</v>
      </c>
      <c r="I1802" s="113">
        <f>IF(ISBLANK(E1802),"",_xlfn.XLOOKUP(E1802,cannabis_log!C:C,cannabis_log!K:K,"NOT FOUND",0,1))</f>
        <v>45623</v>
      </c>
      <c r="J1802" s="185">
        <v>-1</v>
      </c>
      <c r="K1802" s="186">
        <f t="shared" si="99"/>
        <v>0</v>
      </c>
      <c r="L1802" s="288">
        <f t="shared" si="98"/>
        <v>-6</v>
      </c>
      <c r="M1802" s="24"/>
      <c r="N1802" s="112" t="str">
        <f>IF(ISBLANK(E1802),"",_xlfn.XLOOKUP(E1802,cannabis_log!C:C,cannabis_log!T:T,"Not Found",0,))</f>
        <v>net</v>
      </c>
      <c r="O1802" s="180">
        <f>IF(N1802="net",_xlfn.XLOOKUP(E1802,cannabis_log!C:C,cannabis_log!N:N,"NOT FOUND",0,1),IF(N1802="gross",0,""))</f>
        <v>6</v>
      </c>
    </row>
    <row r="1803" spans="1:15">
      <c r="A1803" s="195" t="str">
        <f t="shared" si="100"/>
        <v>outbound</v>
      </c>
      <c r="B1803" s="196">
        <v>45797.5</v>
      </c>
      <c r="C1803" s="197" t="s">
        <v>1929</v>
      </c>
      <c r="D1803" s="197" t="s">
        <v>519</v>
      </c>
      <c r="E1803" s="215" t="s">
        <v>2653</v>
      </c>
      <c r="F1803" s="112" t="str">
        <f>IF(ISBLANK(E1803),"",_xlfn.XLOOKUP(E1803,cannabis_log!C:C,cannabis_log!J:J,"",0,))</f>
        <v>PR21071201G1</v>
      </c>
      <c r="G1803" s="112"/>
      <c r="H1803" s="112" t="str">
        <f>IF(ISBLANK(E1803),"",_xlfn.XLOOKUP(E1803,cannabis_log!C:C,cannabis_log!H:H,"",0,1))</f>
        <v>preroll_labelled</v>
      </c>
      <c r="I1803" s="113">
        <f>IF(ISBLANK(E1803),"",_xlfn.XLOOKUP(E1803,cannabis_log!C:C,cannabis_log!K:K,"NOT FOUND",0,1))</f>
        <v>45685</v>
      </c>
      <c r="J1803" s="185">
        <v>-11</v>
      </c>
      <c r="K1803" s="186">
        <f t="shared" si="99"/>
        <v>0</v>
      </c>
      <c r="L1803" s="288">
        <f t="shared" si="98"/>
        <v>-11</v>
      </c>
      <c r="M1803" s="24"/>
      <c r="N1803" s="112" t="str">
        <f>IF(ISBLANK(E1803),"",_xlfn.XLOOKUP(E1803,cannabis_log!C:C,cannabis_log!T:T,"Not Found",0,))</f>
        <v>net</v>
      </c>
      <c r="O1803" s="180">
        <f>IF(N1803="net",_xlfn.XLOOKUP(E1803,cannabis_log!C:C,cannabis_log!N:N,"NOT FOUND",0,1),IF(N1803="gross",0,""))</f>
        <v>1</v>
      </c>
    </row>
    <row r="1804" spans="1:15">
      <c r="A1804" s="195" t="str">
        <f t="shared" si="100"/>
        <v>outbound</v>
      </c>
      <c r="B1804" s="196">
        <v>45797.5</v>
      </c>
      <c r="C1804" s="197" t="s">
        <v>1929</v>
      </c>
      <c r="D1804" s="197" t="s">
        <v>519</v>
      </c>
      <c r="E1804" s="215" t="s">
        <v>3017</v>
      </c>
      <c r="F1804" s="112" t="str">
        <f>IF(ISBLANK(E1804),"",_xlfn.XLOOKUP(E1804,cannabis_log!C:C,cannabis_log!J:J,"",0,))</f>
        <v>PR21071201G1</v>
      </c>
      <c r="G1804" s="112"/>
      <c r="H1804" s="112" t="str">
        <f>IF(ISBLANK(E1804),"",_xlfn.XLOOKUP(E1804,cannabis_log!C:C,cannabis_log!H:H,"",0,1))</f>
        <v>preroll_labelled</v>
      </c>
      <c r="I1804" s="113">
        <f>IF(ISBLANK(E1804),"",_xlfn.XLOOKUP(E1804,cannabis_log!C:C,cannabis_log!K:K,"NOT FOUND",0,1))</f>
        <v>45735</v>
      </c>
      <c r="J1804" s="185">
        <v>-1</v>
      </c>
      <c r="K1804" s="186">
        <f t="shared" si="99"/>
        <v>0</v>
      </c>
      <c r="L1804" s="288">
        <f t="shared" si="98"/>
        <v>-1</v>
      </c>
      <c r="M1804" s="24"/>
      <c r="N1804" s="112" t="str">
        <f>IF(ISBLANK(E1804),"",_xlfn.XLOOKUP(E1804,cannabis_log!C:C,cannabis_log!T:T,"Not Found",0,))</f>
        <v>net</v>
      </c>
      <c r="O1804" s="180">
        <f>IF(N1804="net",_xlfn.XLOOKUP(E1804,cannabis_log!C:C,cannabis_log!N:N,"NOT FOUND",0,1),IF(N1804="gross",0,""))</f>
        <v>1</v>
      </c>
    </row>
    <row r="1805" spans="1:15">
      <c r="A1805" s="195" t="str">
        <f t="shared" si="100"/>
        <v>outbound</v>
      </c>
      <c r="B1805" s="196">
        <v>45797.5</v>
      </c>
      <c r="C1805" s="197" t="s">
        <v>1929</v>
      </c>
      <c r="D1805" s="197" t="s">
        <v>519</v>
      </c>
      <c r="E1805" s="215" t="s">
        <v>3018</v>
      </c>
      <c r="F1805" s="112" t="str">
        <f>IF(ISBLANK(E1805),"",_xlfn.XLOOKUP(E1805,cannabis_log!C:C,cannabis_log!J:J,"",0,))</f>
        <v>PR2501INF5P3</v>
      </c>
      <c r="G1805" s="112"/>
      <c r="H1805" s="112" t="str">
        <f>IF(ISBLANK(E1805),"",_xlfn.XLOOKUP(E1805,cannabis_log!C:C,cannabis_log!H:H,"",0,1))</f>
        <v>preroll_labelled</v>
      </c>
      <c r="I1805" s="113">
        <f>IF(ISBLANK(E1805),"",_xlfn.XLOOKUP(E1805,cannabis_log!C:C,cannabis_log!K:K,"NOT FOUND",0,1))</f>
        <v>45756</v>
      </c>
      <c r="J1805" s="185">
        <v>-11</v>
      </c>
      <c r="K1805" s="186">
        <f t="shared" si="99"/>
        <v>0</v>
      </c>
      <c r="L1805" s="288">
        <f t="shared" si="98"/>
        <v>-16.5</v>
      </c>
      <c r="M1805" s="24"/>
      <c r="N1805" s="112" t="str">
        <f>IF(ISBLANK(E1805),"",_xlfn.XLOOKUP(E1805,cannabis_log!C:C,cannabis_log!T:T,"Not Found",0,))</f>
        <v>net</v>
      </c>
      <c r="O1805" s="180">
        <f>IF(N1805="net",_xlfn.XLOOKUP(E1805,cannabis_log!C:C,cannabis_log!N:N,"NOT FOUND",0,1),IF(N1805="gross",0,""))</f>
        <v>1.5</v>
      </c>
    </row>
    <row r="1806" spans="1:15">
      <c r="A1806" s="195" t="str">
        <f t="shared" si="100"/>
        <v>outbound</v>
      </c>
      <c r="B1806" s="196">
        <v>45797.5</v>
      </c>
      <c r="C1806" s="197" t="s">
        <v>1929</v>
      </c>
      <c r="D1806" s="197" t="s">
        <v>519</v>
      </c>
      <c r="E1806" s="215" t="s">
        <v>3019</v>
      </c>
      <c r="F1806" s="112" t="str">
        <f>IF(ISBLANK(E1806),"",_xlfn.XLOOKUP(E1806,cannabis_log!C:C,cannabis_log!J:J,"",0,))</f>
        <v>PR2501INF5P3</v>
      </c>
      <c r="G1806" s="112"/>
      <c r="H1806" s="112" t="str">
        <f>IF(ISBLANK(E1806),"",_xlfn.XLOOKUP(E1806,cannabis_log!C:C,cannabis_log!H:H,"",0,1))</f>
        <v>preroll_labelled</v>
      </c>
      <c r="I1806" s="113">
        <f>IF(ISBLANK(E1806),"",_xlfn.XLOOKUP(E1806,cannabis_log!C:C,cannabis_log!K:K,"NOT FOUND",0,1))</f>
        <v>45778</v>
      </c>
      <c r="J1806" s="185">
        <v>-1</v>
      </c>
      <c r="K1806" s="186">
        <f t="shared" si="99"/>
        <v>0</v>
      </c>
      <c r="L1806" s="288">
        <f t="shared" si="98"/>
        <v>-1.5</v>
      </c>
      <c r="M1806" s="24"/>
      <c r="N1806" s="112" t="str">
        <f>IF(ISBLANK(E1806),"",_xlfn.XLOOKUP(E1806,cannabis_log!C:C,cannabis_log!T:T,"Not Found",0,))</f>
        <v>net</v>
      </c>
      <c r="O1806" s="180">
        <f>IF(N1806="net",_xlfn.XLOOKUP(E1806,cannabis_log!C:C,cannabis_log!N:N,"NOT FOUND",0,1),IF(N1806="gross",0,""))</f>
        <v>1.5</v>
      </c>
    </row>
    <row r="1807" spans="1:15">
      <c r="A1807" s="195" t="str">
        <f t="shared" si="100"/>
        <v>outbound</v>
      </c>
      <c r="B1807" s="196">
        <v>45797.5</v>
      </c>
      <c r="C1807" s="197" t="s">
        <v>1929</v>
      </c>
      <c r="D1807" s="197" t="s">
        <v>519</v>
      </c>
      <c r="E1807" s="215" t="s">
        <v>3020</v>
      </c>
      <c r="F1807" s="112" t="str">
        <f>IF(ISBLANK(E1807),"",_xlfn.XLOOKUP(E1807,cannabis_log!C:C,cannabis_log!J:J,"",0,))</f>
        <v>ROGEX001G1</v>
      </c>
      <c r="G1807" s="112"/>
      <c r="H1807" s="112" t="str">
        <f>IF(ISBLANK(E1807),"",_xlfn.XLOOKUP(E1807,cannabis_log!C:C,cannabis_log!H:H,"",0,1))</f>
        <v>extract_inhaled_labelled_Rohan</v>
      </c>
      <c r="I1807" s="113">
        <f>IF(ISBLANK(E1807),"",_xlfn.XLOOKUP(E1807,cannabis_log!C:C,cannabis_log!K:K,"NOT FOUND",0,1))</f>
        <v>45740</v>
      </c>
      <c r="J1807" s="185">
        <v>-12</v>
      </c>
      <c r="K1807" s="186">
        <f t="shared" si="99"/>
        <v>0</v>
      </c>
      <c r="L1807" s="288">
        <f t="shared" si="98"/>
        <v>-12</v>
      </c>
      <c r="M1807" s="24"/>
      <c r="N1807" s="112" t="str">
        <f>IF(ISBLANK(E1807),"",_xlfn.XLOOKUP(E1807,cannabis_log!C:C,cannabis_log!T:T,"Not Found",0,))</f>
        <v>net</v>
      </c>
      <c r="O1807" s="180">
        <f>IF(N1807="net",_xlfn.XLOOKUP(E1807,cannabis_log!C:C,cannabis_log!N:N,"NOT FOUND",0,1),IF(N1807="gross",0,""))</f>
        <v>1</v>
      </c>
    </row>
    <row r="1808" spans="1:15">
      <c r="A1808" s="195" t="str">
        <f t="shared" si="100"/>
        <v>outbound</v>
      </c>
      <c r="B1808" s="196">
        <v>45797.5</v>
      </c>
      <c r="C1808" s="197" t="s">
        <v>1929</v>
      </c>
      <c r="D1808" s="197" t="s">
        <v>539</v>
      </c>
      <c r="E1808" s="215" t="s">
        <v>3021</v>
      </c>
      <c r="F1808" s="112" t="str">
        <f>IF(ISBLANK(E1808),"",_xlfn.XLOOKUP(E1808,cannabis_log!C:C,cannabis_log!J:J,"",0,))</f>
        <v>PR251108F5P12</v>
      </c>
      <c r="G1808" s="112"/>
      <c r="H1808" s="112" t="str">
        <f>IF(ISBLANK(E1808),"",_xlfn.XLOOKUP(E1808,cannabis_log!C:C,cannabis_log!H:H,"",0,1))</f>
        <v>preroll_labelled</v>
      </c>
      <c r="I1808" s="113">
        <f>IF(ISBLANK(E1808),"",_xlfn.XLOOKUP(E1808,cannabis_log!C:C,cannabis_log!K:K,"NOT FOUND",0,1))</f>
        <v>45777</v>
      </c>
      <c r="J1808" s="185">
        <v>-24</v>
      </c>
      <c r="K1808" s="186">
        <f t="shared" si="99"/>
        <v>0</v>
      </c>
      <c r="L1808" s="288">
        <f t="shared" si="98"/>
        <v>-144</v>
      </c>
      <c r="M1808" s="24"/>
      <c r="N1808" s="112" t="str">
        <f>IF(ISBLANK(E1808),"",_xlfn.XLOOKUP(E1808,cannabis_log!C:C,cannabis_log!T:T,"Not Found",0,))</f>
        <v>net</v>
      </c>
      <c r="O1808" s="180">
        <f>IF(N1808="net",_xlfn.XLOOKUP(E1808,cannabis_log!C:C,cannabis_log!N:N,"NOT FOUND",0,1),IF(N1808="gross",0,""))</f>
        <v>6</v>
      </c>
    </row>
    <row r="1809" spans="1:15">
      <c r="A1809" s="195" t="str">
        <f t="shared" si="100"/>
        <v>outbound</v>
      </c>
      <c r="B1809" s="196">
        <v>45797.5</v>
      </c>
      <c r="C1809" s="197" t="s">
        <v>1929</v>
      </c>
      <c r="D1809" s="197" t="s">
        <v>539</v>
      </c>
      <c r="E1809" s="215" t="s">
        <v>3012</v>
      </c>
      <c r="F1809" s="112" t="str">
        <f>IF(ISBLANK(E1809),"",_xlfn.XLOOKUP(E1809,cannabis_log!C:C,cannabis_log!J:J,"",0,))</f>
        <v>LR23032101</v>
      </c>
      <c r="G1809" s="112"/>
      <c r="H1809" s="112" t="str">
        <f>IF(ISBLANK(E1809),"",_xlfn.XLOOKUP(E1809,cannabis_log!C:C,cannabis_log!H:H,"",0,1))</f>
        <v>extract_inhaled_labelled</v>
      </c>
      <c r="I1809" s="113">
        <f>IF(ISBLANK(E1809),"",_xlfn.XLOOKUP(E1809,cannabis_log!C:C,cannabis_log!K:K,"NOT FOUND",0,1))</f>
        <v>45793</v>
      </c>
      <c r="J1809" s="185">
        <v>-12</v>
      </c>
      <c r="K1809" s="186">
        <f t="shared" si="99"/>
        <v>0</v>
      </c>
      <c r="L1809" s="288">
        <f t="shared" si="98"/>
        <v>-12</v>
      </c>
      <c r="M1809" s="24"/>
      <c r="N1809" s="112" t="str">
        <f>IF(ISBLANK(E1809),"",_xlfn.XLOOKUP(E1809,cannabis_log!C:C,cannabis_log!T:T,"Not Found",0,))</f>
        <v>net</v>
      </c>
      <c r="O1809" s="180">
        <f>IF(N1809="net",_xlfn.XLOOKUP(E1809,cannabis_log!C:C,cannabis_log!N:N,"NOT FOUND",0,1),IF(N1809="gross",0,""))</f>
        <v>1</v>
      </c>
    </row>
    <row r="1810" spans="1:15">
      <c r="A1810" s="195" t="str">
        <f t="shared" si="100"/>
        <v>outbound</v>
      </c>
      <c r="B1810" s="196">
        <v>45797.5</v>
      </c>
      <c r="C1810" s="197" t="s">
        <v>1929</v>
      </c>
      <c r="D1810" s="197" t="s">
        <v>539</v>
      </c>
      <c r="E1810" s="215" t="s">
        <v>2477</v>
      </c>
      <c r="F1810" s="112" t="str">
        <f>IF(ISBLANK(E1810),"",_xlfn.XLOOKUP(E1810,cannabis_log!C:C,cannabis_log!J:J,"",0,))</f>
        <v>PR241102F5P3</v>
      </c>
      <c r="G1810" s="112"/>
      <c r="H1810" s="112" t="str">
        <f>IF(ISBLANK(E1810),"",_xlfn.XLOOKUP(E1810,cannabis_log!C:C,cannabis_log!H:H,"",0,1))</f>
        <v>preroll_labelled</v>
      </c>
      <c r="I1810" s="113">
        <f>IF(ISBLANK(E1810),"",_xlfn.XLOOKUP(E1810,cannabis_log!C:C,cannabis_log!K:K,"NOT FOUND",0,1))</f>
        <v>45660</v>
      </c>
      <c r="J1810" s="185">
        <v>-36</v>
      </c>
      <c r="K1810" s="186">
        <f t="shared" si="99"/>
        <v>0</v>
      </c>
      <c r="L1810" s="288">
        <f t="shared" si="98"/>
        <v>-54</v>
      </c>
      <c r="M1810" s="24"/>
      <c r="N1810" s="112" t="str">
        <f>IF(ISBLANK(E1810),"",_xlfn.XLOOKUP(E1810,cannabis_log!C:C,cannabis_log!T:T,"Not Found",0,))</f>
        <v>net</v>
      </c>
      <c r="O1810" s="180">
        <f>IF(N1810="net",_xlfn.XLOOKUP(E1810,cannabis_log!C:C,cannabis_log!N:N,"NOT FOUND",0,1),IF(N1810="gross",0,""))</f>
        <v>1.5</v>
      </c>
    </row>
    <row r="1811" spans="1:15">
      <c r="A1811" s="195" t="str">
        <f t="shared" si="100"/>
        <v>outbound</v>
      </c>
      <c r="B1811" s="196">
        <v>45797.5</v>
      </c>
      <c r="C1811" s="197" t="s">
        <v>1929</v>
      </c>
      <c r="D1811" s="197" t="s">
        <v>539</v>
      </c>
      <c r="E1811" s="215" t="s">
        <v>3022</v>
      </c>
      <c r="F1811" s="112" t="str">
        <f>IF(ISBLANK(E1811),"",_xlfn.XLOOKUP(E1811,cannabis_log!C:C,cannabis_log!J:J,"",0,))</f>
        <v>PR2516F5P10</v>
      </c>
      <c r="G1811" s="112"/>
      <c r="H1811" s="112" t="str">
        <f>IF(ISBLANK(E1811),"",_xlfn.XLOOKUP(E1811,cannabis_log!C:C,cannabis_log!H:H,"",0,1))</f>
        <v>preroll_labelled</v>
      </c>
      <c r="I1811" s="113">
        <f>IF(ISBLANK(E1811),"",_xlfn.XLOOKUP(E1811,cannabis_log!C:C,cannabis_log!K:K,"NOT FOUND",0,1))</f>
        <v>45772</v>
      </c>
      <c r="J1811" s="185">
        <v>-36</v>
      </c>
      <c r="K1811" s="186">
        <f t="shared" si="99"/>
        <v>0</v>
      </c>
      <c r="L1811" s="288">
        <f t="shared" si="98"/>
        <v>-180</v>
      </c>
      <c r="M1811" s="24"/>
      <c r="N1811" s="112" t="str">
        <f>IF(ISBLANK(E1811),"",_xlfn.XLOOKUP(E1811,cannabis_log!C:C,cannabis_log!T:T,"Not Found",0,))</f>
        <v>net</v>
      </c>
      <c r="O1811" s="180">
        <f>IF(N1811="net",_xlfn.XLOOKUP(E1811,cannabis_log!C:C,cannabis_log!N:N,"NOT FOUND",0,1),IF(N1811="gross",0,""))</f>
        <v>5</v>
      </c>
    </row>
    <row r="1812" spans="1:15">
      <c r="A1812" s="195" t="str">
        <f t="shared" si="100"/>
        <v>outbound</v>
      </c>
      <c r="B1812" s="196">
        <v>45797.5</v>
      </c>
      <c r="C1812" s="197" t="s">
        <v>1929</v>
      </c>
      <c r="D1812" s="197" t="s">
        <v>539</v>
      </c>
      <c r="E1812" s="215" t="s">
        <v>3023</v>
      </c>
      <c r="F1812" s="112" t="str">
        <f>IF(ISBLANK(E1812),"",_xlfn.XLOOKUP(E1812,cannabis_log!C:C,cannabis_log!J:J,"",0,))</f>
        <v>EX24101701G05</v>
      </c>
      <c r="G1812" s="112"/>
      <c r="H1812" s="112" t="str">
        <f>IF(ISBLANK(E1812),"",_xlfn.XLOOKUP(E1812,cannabis_log!C:C,cannabis_log!H:H,"",0,1))</f>
        <v>extract_inhaled_cased_SK_RTV</v>
      </c>
      <c r="I1812" s="113">
        <f>IF(ISBLANK(E1812),"",_xlfn.XLOOKUP(E1812,cannabis_log!C:C,cannabis_log!K:K,"NOT FOUND",0,1))</f>
        <v>45594</v>
      </c>
      <c r="J1812" s="185">
        <v>-2</v>
      </c>
      <c r="K1812" s="186">
        <f t="shared" si="99"/>
        <v>0</v>
      </c>
      <c r="L1812" s="288">
        <f t="shared" si="98"/>
        <v>-12</v>
      </c>
      <c r="M1812" s="24"/>
      <c r="N1812" s="112" t="str">
        <f>IF(ISBLANK(E1812),"",_xlfn.XLOOKUP(E1812,cannabis_log!C:C,cannabis_log!T:T,"Not Found",0,))</f>
        <v>net</v>
      </c>
      <c r="O1812" s="180">
        <f>IF(N1812="net",_xlfn.XLOOKUP(E1812,cannabis_log!C:C,cannabis_log!N:N,"NOT FOUND",0,1),IF(N1812="gross",0,""))</f>
        <v>6</v>
      </c>
    </row>
    <row r="1813" spans="1:15">
      <c r="A1813" s="195" t="str">
        <f t="shared" si="100"/>
        <v>outbound</v>
      </c>
      <c r="B1813" s="196">
        <v>45797.5</v>
      </c>
      <c r="C1813" s="197" t="s">
        <v>1929</v>
      </c>
      <c r="D1813" s="197" t="s">
        <v>548</v>
      </c>
      <c r="E1813" s="215" t="s">
        <v>2499</v>
      </c>
      <c r="F1813" s="112" t="str">
        <f>IF(ISBLANK(E1813),"",_xlfn.XLOOKUP(E1813,cannabis_log!C:C,cannabis_log!J:J,"",0,))</f>
        <v>2024101703G7</v>
      </c>
      <c r="G1813" s="112"/>
      <c r="H1813" s="112" t="str">
        <f>IF(ISBLANK(E1813),"",_xlfn.XLOOKUP(E1813,cannabis_log!C:C,cannabis_log!H:H,"",0,1))</f>
        <v>driedflower_labelled</v>
      </c>
      <c r="I1813" s="113">
        <f>IF(ISBLANK(E1813),"",_xlfn.XLOOKUP(E1813,cannabis_log!C:C,cannabis_log!K:K,"NOT FOUND",0,1))</f>
        <v>45618</v>
      </c>
      <c r="J1813" s="185">
        <v>-12</v>
      </c>
      <c r="K1813" s="186">
        <f t="shared" si="99"/>
        <v>0</v>
      </c>
      <c r="L1813" s="288">
        <f t="shared" si="98"/>
        <v>-84</v>
      </c>
      <c r="M1813" s="24"/>
      <c r="N1813" s="112" t="str">
        <f>IF(ISBLANK(E1813),"",_xlfn.XLOOKUP(E1813,cannabis_log!C:C,cannabis_log!T:T,"Not Found",0,))</f>
        <v>net</v>
      </c>
      <c r="O1813" s="180">
        <f>IF(N1813="net",_xlfn.XLOOKUP(E1813,cannabis_log!C:C,cannabis_log!N:N,"NOT FOUND",0,1),IF(N1813="gross",0,""))</f>
        <v>7</v>
      </c>
    </row>
    <row r="1814" spans="1:15">
      <c r="A1814" s="195" t="str">
        <f t="shared" si="100"/>
        <v>outbound</v>
      </c>
      <c r="B1814" s="196">
        <v>45797.5</v>
      </c>
      <c r="C1814" s="197" t="s">
        <v>1929</v>
      </c>
      <c r="D1814" s="197" t="s">
        <v>548</v>
      </c>
      <c r="E1814" s="215" t="s">
        <v>3024</v>
      </c>
      <c r="F1814" s="112" t="str">
        <f>IF(ISBLANK(E1814),"",_xlfn.XLOOKUP(E1814,cannabis_log!C:C,cannabis_log!J:J,"",0,))</f>
        <v>PR2507F1P2</v>
      </c>
      <c r="G1814" s="112"/>
      <c r="H1814" s="112" t="str">
        <f>IF(ISBLANK(E1814),"",_xlfn.XLOOKUP(E1814,cannabis_log!C:C,cannabis_log!H:H,"",0,1))</f>
        <v>preroll_labelled</v>
      </c>
      <c r="I1814" s="113">
        <f>IF(ISBLANK(E1814),"",_xlfn.XLOOKUP(E1814,cannabis_log!C:C,cannabis_log!K:K,"NOT FOUND",0,1))</f>
        <v>45772</v>
      </c>
      <c r="J1814" s="185">
        <v>-48</v>
      </c>
      <c r="K1814" s="186">
        <f t="shared" si="99"/>
        <v>0</v>
      </c>
      <c r="L1814" s="288">
        <f t="shared" si="98"/>
        <v>-96</v>
      </c>
      <c r="M1814" s="24"/>
      <c r="N1814" s="112" t="str">
        <f>IF(ISBLANK(E1814),"",_xlfn.XLOOKUP(E1814,cannabis_log!C:C,cannabis_log!T:T,"Not Found",0,))</f>
        <v>net</v>
      </c>
      <c r="O1814" s="180">
        <f>IF(N1814="net",_xlfn.XLOOKUP(E1814,cannabis_log!C:C,cannabis_log!N:N,"NOT FOUND",0,1),IF(N1814="gross",0,""))</f>
        <v>2</v>
      </c>
    </row>
    <row r="1815" spans="1:15">
      <c r="A1815" s="195" t="str">
        <f t="shared" si="100"/>
        <v>outbound</v>
      </c>
      <c r="B1815" s="196">
        <v>45797.580555555556</v>
      </c>
      <c r="C1815" s="197" t="s">
        <v>1929</v>
      </c>
      <c r="D1815" s="197" t="s">
        <v>3025</v>
      </c>
      <c r="E1815" s="215" t="s">
        <v>2991</v>
      </c>
      <c r="F1815" s="112" t="str">
        <f>IF(ISBLANK(E1815),"",_xlfn.XLOOKUP(E1815,cannabis_log!C:C,cannabis_log!J:J,"",0,))</f>
        <v>PR2507F1P2</v>
      </c>
      <c r="G1815" s="112"/>
      <c r="H1815" s="112" t="str">
        <f>IF(ISBLANK(E1815),"",_xlfn.XLOOKUP(E1815,cannabis_log!C:C,cannabis_log!H:H,"",0,1))</f>
        <v>preroll_labelled</v>
      </c>
      <c r="I1815" s="113">
        <f>IF(ISBLANK(E1815),"",_xlfn.XLOOKUP(E1815,cannabis_log!C:C,cannabis_log!K:K,"NOT FOUND",0,1))</f>
        <v>45772</v>
      </c>
      <c r="J1815" s="185">
        <v>-12</v>
      </c>
      <c r="K1815" s="186">
        <f t="shared" si="99"/>
        <v>0</v>
      </c>
      <c r="L1815" s="288">
        <f t="shared" si="98"/>
        <v>-24</v>
      </c>
      <c r="M1815" s="24"/>
      <c r="N1815" s="112" t="str">
        <f>IF(ISBLANK(E1815),"",_xlfn.XLOOKUP(E1815,cannabis_log!C:C,cannabis_log!T:T,"Not Found",0,))</f>
        <v>net</v>
      </c>
      <c r="O1815" s="180">
        <f>IF(N1815="net",_xlfn.XLOOKUP(E1815,cannabis_log!C:C,cannabis_log!N:N,"NOT FOUND",0,1),IF(N1815="gross",0,""))</f>
        <v>2</v>
      </c>
    </row>
    <row r="1816" spans="1:15">
      <c r="A1816" s="195" t="str">
        <f t="shared" si="100"/>
        <v>outbound</v>
      </c>
      <c r="B1816" s="196">
        <v>45797.580555555556</v>
      </c>
      <c r="C1816" s="197" t="s">
        <v>1929</v>
      </c>
      <c r="D1816" s="197" t="s">
        <v>3025</v>
      </c>
      <c r="E1816" s="215" t="s">
        <v>2861</v>
      </c>
      <c r="F1816" s="112" t="str">
        <f>IF(ISBLANK(E1816),"",_xlfn.XLOOKUP(E1816,cannabis_log!C:C,cannabis_log!J:J,"",0,))</f>
        <v>PR2406F1P1</v>
      </c>
      <c r="G1816" s="112"/>
      <c r="H1816" s="112" t="str">
        <f>IF(ISBLANK(E1816),"",_xlfn.XLOOKUP(E1816,cannabis_log!C:C,cannabis_log!H:H,"",0,1))</f>
        <v>preroll_labelled</v>
      </c>
      <c r="I1816" s="113">
        <f>IF(ISBLANK(E1816),"",_xlfn.XLOOKUP(E1816,cannabis_log!C:C,cannabis_log!K:K,"NOT FOUND",0,1))</f>
        <v>45742</v>
      </c>
      <c r="J1816" s="185">
        <v>-12</v>
      </c>
      <c r="K1816" s="186">
        <f t="shared" si="99"/>
        <v>0</v>
      </c>
      <c r="L1816" s="288">
        <f t="shared" si="98"/>
        <v>-12</v>
      </c>
      <c r="M1816" s="24"/>
      <c r="N1816" s="112" t="str">
        <f>IF(ISBLANK(E1816),"",_xlfn.XLOOKUP(E1816,cannabis_log!C:C,cannabis_log!T:T,"Not Found",0,))</f>
        <v>net</v>
      </c>
      <c r="O1816" s="180">
        <f>IF(N1816="net",_xlfn.XLOOKUP(E1816,cannabis_log!C:C,cannabis_log!N:N,"NOT FOUND",0,1),IF(N1816="gross",0,""))</f>
        <v>1</v>
      </c>
    </row>
    <row r="1817" spans="1:15">
      <c r="A1817" s="195" t="str">
        <f t="shared" si="100"/>
        <v>outbound</v>
      </c>
      <c r="B1817" s="196">
        <v>45797.580555555556</v>
      </c>
      <c r="C1817" s="197" t="s">
        <v>1929</v>
      </c>
      <c r="D1817" s="197" t="s">
        <v>3025</v>
      </c>
      <c r="E1817" s="215" t="s">
        <v>3026</v>
      </c>
      <c r="F1817" s="112" t="str">
        <f>IF(ISBLANK(E1817),"",_xlfn.XLOOKUP(E1817,cannabis_log!C:C,cannabis_log!J:J,"",0,))</f>
        <v>PR21071201G1</v>
      </c>
      <c r="G1817" s="112"/>
      <c r="H1817" s="112" t="str">
        <f>IF(ISBLANK(E1817),"",_xlfn.XLOOKUP(E1817,cannabis_log!C:C,cannabis_log!H:H,"",0,1))</f>
        <v>preroll_labelled</v>
      </c>
      <c r="I1817" s="113">
        <f>IF(ISBLANK(E1817),"",_xlfn.XLOOKUP(E1817,cannabis_log!C:C,cannabis_log!K:K,"NOT FOUND",0,1))</f>
        <v>45735</v>
      </c>
      <c r="J1817" s="185">
        <v>-12</v>
      </c>
      <c r="K1817" s="186">
        <f t="shared" si="99"/>
        <v>0</v>
      </c>
      <c r="L1817" s="288">
        <f t="shared" si="98"/>
        <v>-12</v>
      </c>
      <c r="M1817" s="24"/>
      <c r="N1817" s="112" t="str">
        <f>IF(ISBLANK(E1817),"",_xlfn.XLOOKUP(E1817,cannabis_log!C:C,cannabis_log!T:T,"Not Found",0,))</f>
        <v>net</v>
      </c>
      <c r="O1817" s="180">
        <f>IF(N1817="net",_xlfn.XLOOKUP(E1817,cannabis_log!C:C,cannabis_log!N:N,"NOT FOUND",0,1),IF(N1817="gross",0,""))</f>
        <v>1</v>
      </c>
    </row>
    <row r="1818" spans="1:15">
      <c r="A1818" s="195" t="str">
        <f t="shared" si="100"/>
        <v>outbound</v>
      </c>
      <c r="B1818" s="196">
        <v>45797.580555555556</v>
      </c>
      <c r="C1818" s="197" t="s">
        <v>1929</v>
      </c>
      <c r="D1818" s="197" t="s">
        <v>3025</v>
      </c>
      <c r="E1818" s="215" t="s">
        <v>3027</v>
      </c>
      <c r="F1818" s="112" t="str">
        <f>IF(ISBLANK(E1818),"",_xlfn.XLOOKUP(E1818,cannabis_log!C:C,cannabis_log!J:J,"",0,))</f>
        <v>PR2406F5P3</v>
      </c>
      <c r="G1818" s="112"/>
      <c r="H1818" s="112" t="str">
        <f>IF(ISBLANK(E1818),"",_xlfn.XLOOKUP(E1818,cannabis_log!C:C,cannabis_log!H:H,"",0,1))</f>
        <v>preroll_labelled</v>
      </c>
      <c r="I1818" s="113">
        <f>IF(ISBLANK(E1818),"",_xlfn.XLOOKUP(E1818,cannabis_log!C:C,cannabis_log!K:K,"NOT FOUND",0,1))</f>
        <v>45742</v>
      </c>
      <c r="J1818" s="185">
        <v>-12</v>
      </c>
      <c r="K1818" s="186">
        <f t="shared" si="99"/>
        <v>0</v>
      </c>
      <c r="L1818" s="288">
        <f t="shared" si="98"/>
        <v>-18</v>
      </c>
      <c r="M1818" s="24"/>
      <c r="N1818" s="112" t="str">
        <f>IF(ISBLANK(E1818),"",_xlfn.XLOOKUP(E1818,cannabis_log!C:C,cannabis_log!T:T,"Not Found",0,))</f>
        <v>net</v>
      </c>
      <c r="O1818" s="180">
        <f>IF(N1818="net",_xlfn.XLOOKUP(E1818,cannabis_log!C:C,cannabis_log!N:N,"NOT FOUND",0,1),IF(N1818="gross",0,""))</f>
        <v>1.5</v>
      </c>
    </row>
    <row r="1819" spans="1:15">
      <c r="A1819" s="195" t="str">
        <f t="shared" si="100"/>
        <v>outbound</v>
      </c>
      <c r="B1819" s="196">
        <v>45797.580555555556</v>
      </c>
      <c r="C1819" s="197" t="s">
        <v>1929</v>
      </c>
      <c r="D1819" s="197" t="s">
        <v>3025</v>
      </c>
      <c r="E1819" s="215" t="s">
        <v>2994</v>
      </c>
      <c r="F1819" s="112" t="str">
        <f>IF(ISBLANK(E1819),"",_xlfn.XLOOKUP(E1819,cannabis_log!C:C,cannabis_log!J:J,"",0,))</f>
        <v>PR21071201G5</v>
      </c>
      <c r="G1819" s="112"/>
      <c r="H1819" s="112" t="str">
        <f>IF(ISBLANK(E1819),"",_xlfn.XLOOKUP(E1819,cannabis_log!C:C,cannabis_log!H:H,"",0,1))</f>
        <v>preroll_labelled</v>
      </c>
      <c r="I1819" s="113">
        <f>IF(ISBLANK(E1819),"",_xlfn.XLOOKUP(E1819,cannabis_log!C:C,cannabis_log!K:K,"NOT FOUND",0,1))</f>
        <v>45779</v>
      </c>
      <c r="J1819" s="185">
        <v>-12</v>
      </c>
      <c r="K1819" s="186">
        <f t="shared" si="99"/>
        <v>0</v>
      </c>
      <c r="L1819" s="288">
        <f t="shared" si="98"/>
        <v>-18</v>
      </c>
      <c r="M1819" s="24"/>
      <c r="N1819" s="112" t="str">
        <f>IF(ISBLANK(E1819),"",_xlfn.XLOOKUP(E1819,cannabis_log!C:C,cannabis_log!T:T,"Not Found",0,))</f>
        <v>net</v>
      </c>
      <c r="O1819" s="180">
        <f>IF(N1819="net",_xlfn.XLOOKUP(E1819,cannabis_log!C:C,cannabis_log!N:N,"NOT FOUND",0,1),IF(N1819="gross",0,""))</f>
        <v>1.5</v>
      </c>
    </row>
    <row r="1820" spans="1:15">
      <c r="A1820" s="195" t="str">
        <f t="shared" si="100"/>
        <v>outbound</v>
      </c>
      <c r="B1820" s="196">
        <v>45797.580555555556</v>
      </c>
      <c r="C1820" s="197" t="s">
        <v>1929</v>
      </c>
      <c r="D1820" s="197" t="s">
        <v>3025</v>
      </c>
      <c r="E1820" s="215" t="s">
        <v>2920</v>
      </c>
      <c r="F1820" s="112" t="str">
        <f>IF(ISBLANK(E1820),"",_xlfn.XLOOKUP(E1820,cannabis_log!C:C,cannabis_log!J:J,"",0,))</f>
        <v>PR2407F5P3</v>
      </c>
      <c r="G1820" s="112"/>
      <c r="H1820" s="112" t="str">
        <f>IF(ISBLANK(E1820),"",_xlfn.XLOOKUP(E1820,cannabis_log!C:C,cannabis_log!H:H,"",0,1))</f>
        <v>preroll_labelled</v>
      </c>
      <c r="I1820" s="113">
        <f>IF(ISBLANK(E1820),"",_xlfn.XLOOKUP(E1820,cannabis_log!C:C,cannabis_log!K:K,"NOT FOUND",0,1))</f>
        <v>45742</v>
      </c>
      <c r="J1820" s="185">
        <v>-12</v>
      </c>
      <c r="K1820" s="186">
        <f t="shared" si="99"/>
        <v>0</v>
      </c>
      <c r="L1820" s="288">
        <f t="shared" si="98"/>
        <v>-18</v>
      </c>
      <c r="M1820" s="24"/>
      <c r="N1820" s="112" t="str">
        <f>IF(ISBLANK(E1820),"",_xlfn.XLOOKUP(E1820,cannabis_log!C:C,cannabis_log!T:T,"Not Found",0,))</f>
        <v>net</v>
      </c>
      <c r="O1820" s="180">
        <f>IF(N1820="net",_xlfn.XLOOKUP(E1820,cannabis_log!C:C,cannabis_log!N:N,"NOT FOUND",0,1),IF(N1820="gross",0,""))</f>
        <v>1.5</v>
      </c>
    </row>
    <row r="1821" spans="1:15">
      <c r="A1821" s="195" t="str">
        <f t="shared" si="100"/>
        <v>outbound</v>
      </c>
      <c r="B1821" s="196">
        <v>45797.580555555556</v>
      </c>
      <c r="C1821" s="197" t="s">
        <v>1929</v>
      </c>
      <c r="D1821" s="197" t="s">
        <v>3025</v>
      </c>
      <c r="E1821" s="215" t="s">
        <v>3028</v>
      </c>
      <c r="F1821" s="112" t="str">
        <f>IF(ISBLANK(E1821),"",_xlfn.XLOOKUP(E1821,cannabis_log!C:C,cannabis_log!J:J,"",0,))</f>
        <v>EX24111306G05</v>
      </c>
      <c r="G1821" s="112"/>
      <c r="H1821" s="112" t="str">
        <f>IF(ISBLANK(E1821),"",_xlfn.XLOOKUP(E1821,cannabis_log!C:C,cannabis_log!H:H,"",0,1))</f>
        <v>extract_inhaled_cased_SK_RTV</v>
      </c>
      <c r="I1821" s="113">
        <f>IF(ISBLANK(E1821),"",_xlfn.XLOOKUP(E1821,cannabis_log!C:C,cannabis_log!K:K,"NOT FOUND",0,1))</f>
        <v>45623</v>
      </c>
      <c r="J1821" s="185">
        <v>-1</v>
      </c>
      <c r="K1821" s="186">
        <f t="shared" si="99"/>
        <v>0</v>
      </c>
      <c r="L1821" s="288">
        <f t="shared" si="98"/>
        <v>-6</v>
      </c>
      <c r="M1821" s="24"/>
      <c r="N1821" s="112" t="str">
        <f>IF(ISBLANK(E1821),"",_xlfn.XLOOKUP(E1821,cannabis_log!C:C,cannabis_log!T:T,"Not Found",0,))</f>
        <v>net</v>
      </c>
      <c r="O1821" s="180">
        <f>IF(N1821="net",_xlfn.XLOOKUP(E1821,cannabis_log!C:C,cannabis_log!N:N,"NOT FOUND",0,1),IF(N1821="gross",0,""))</f>
        <v>6</v>
      </c>
    </row>
    <row r="1822" spans="1:15">
      <c r="A1822" s="195" t="str">
        <f t="shared" si="100"/>
        <v>outbound</v>
      </c>
      <c r="B1822" s="196">
        <v>45797.580555555556</v>
      </c>
      <c r="C1822" s="197" t="s">
        <v>1929</v>
      </c>
      <c r="D1822" s="197" t="s">
        <v>3025</v>
      </c>
      <c r="E1822" s="215" t="s">
        <v>3029</v>
      </c>
      <c r="F1822" s="112" t="str">
        <f>IF(ISBLANK(E1822),"",_xlfn.XLOOKUP(E1822,cannabis_log!C:C,cannabis_log!J:J,"",0,))</f>
        <v>EX24101701G05</v>
      </c>
      <c r="G1822" s="112"/>
      <c r="H1822" s="112" t="str">
        <f>IF(ISBLANK(E1822),"",_xlfn.XLOOKUP(E1822,cannabis_log!C:C,cannabis_log!H:H,"",0,1))</f>
        <v>extract_inhaled_cased_SK_RTV</v>
      </c>
      <c r="I1822" s="113">
        <f>IF(ISBLANK(E1822),"",_xlfn.XLOOKUP(E1822,cannabis_log!C:C,cannabis_log!K:K,"NOT FOUND",0,1))</f>
        <v>45594</v>
      </c>
      <c r="J1822" s="185">
        <v>-1</v>
      </c>
      <c r="K1822" s="186">
        <f t="shared" si="99"/>
        <v>0</v>
      </c>
      <c r="L1822" s="288">
        <f t="shared" si="98"/>
        <v>-6</v>
      </c>
      <c r="M1822" s="24"/>
      <c r="N1822" s="112" t="str">
        <f>IF(ISBLANK(E1822),"",_xlfn.XLOOKUP(E1822,cannabis_log!C:C,cannabis_log!T:T,"Not Found",0,))</f>
        <v>net</v>
      </c>
      <c r="O1822" s="180">
        <f>IF(N1822="net",_xlfn.XLOOKUP(E1822,cannabis_log!C:C,cannabis_log!N:N,"NOT FOUND",0,1),IF(N1822="gross",0,""))</f>
        <v>6</v>
      </c>
    </row>
    <row r="1823" spans="1:15">
      <c r="A1823" s="195" t="str">
        <f t="shared" si="100"/>
        <v>outbound</v>
      </c>
      <c r="B1823" s="196">
        <v>45797.580555555556</v>
      </c>
      <c r="C1823" s="197" t="s">
        <v>1929</v>
      </c>
      <c r="D1823" s="197" t="s">
        <v>3025</v>
      </c>
      <c r="E1823" s="215" t="s">
        <v>3030</v>
      </c>
      <c r="F1823" s="112" t="str">
        <f>IF(ISBLANK(E1823),"",_xlfn.XLOOKUP(E1823,cannabis_log!C:C,cannabis_log!J:J,"",0,))</f>
        <v>EX24111302G05</v>
      </c>
      <c r="G1823" s="112"/>
      <c r="H1823" s="112" t="str">
        <f>IF(ISBLANK(E1823),"",_xlfn.XLOOKUP(E1823,cannabis_log!C:C,cannabis_log!H:H,"",0,1))</f>
        <v>extract_inhaled_cased_SK_RTV</v>
      </c>
      <c r="I1823" s="113">
        <f>IF(ISBLANK(E1823),"",_xlfn.XLOOKUP(E1823,cannabis_log!C:C,cannabis_log!K:K,"NOT FOUND",0,1))</f>
        <v>45623</v>
      </c>
      <c r="J1823" s="185">
        <v>-1</v>
      </c>
      <c r="K1823" s="186">
        <f t="shared" si="99"/>
        <v>0</v>
      </c>
      <c r="L1823" s="288">
        <f t="shared" si="98"/>
        <v>-6</v>
      </c>
      <c r="M1823" s="24"/>
      <c r="N1823" s="112" t="str">
        <f>IF(ISBLANK(E1823),"",_xlfn.XLOOKUP(E1823,cannabis_log!C:C,cannabis_log!T:T,"Not Found",0,))</f>
        <v>net</v>
      </c>
      <c r="O1823" s="180">
        <f>IF(N1823="net",_xlfn.XLOOKUP(E1823,cannabis_log!C:C,cannabis_log!N:N,"NOT FOUND",0,1),IF(N1823="gross",0,""))</f>
        <v>6</v>
      </c>
    </row>
    <row r="1824" spans="1:15">
      <c r="A1824" s="195" t="str">
        <f t="shared" si="100"/>
        <v>outbound</v>
      </c>
      <c r="B1824" s="196">
        <v>45797.580555555556</v>
      </c>
      <c r="C1824" s="197" t="s">
        <v>1929</v>
      </c>
      <c r="D1824" s="197" t="s">
        <v>3025</v>
      </c>
      <c r="E1824" s="215" t="s">
        <v>2689</v>
      </c>
      <c r="F1824" s="112" t="str">
        <f>IF(ISBLANK(E1824),"",_xlfn.XLOOKUP(E1824,cannabis_log!C:C,cannabis_log!J:J,"",0,))</f>
        <v>EX25020601G1</v>
      </c>
      <c r="G1824" s="112"/>
      <c r="H1824" s="112" t="str">
        <f>IF(ISBLANK(E1824),"",_xlfn.XLOOKUP(E1824,cannabis_log!C:C,cannabis_log!H:H,"",0,1))</f>
        <v>extract_inhaled_labelled</v>
      </c>
      <c r="I1824" s="113">
        <f>IF(ISBLANK(E1824),"",_xlfn.XLOOKUP(E1824,cannabis_log!C:C,cannabis_log!K:K,"NOT FOUND",0,1))</f>
        <v>45707</v>
      </c>
      <c r="J1824" s="185">
        <v>-12</v>
      </c>
      <c r="K1824" s="186">
        <f t="shared" si="99"/>
        <v>0</v>
      </c>
      <c r="L1824" s="288">
        <f t="shared" si="98"/>
        <v>-12</v>
      </c>
      <c r="M1824" s="24"/>
      <c r="N1824" s="112" t="str">
        <f>IF(ISBLANK(E1824),"",_xlfn.XLOOKUP(E1824,cannabis_log!C:C,cannabis_log!T:T,"Not Found",0,))</f>
        <v>net</v>
      </c>
      <c r="O1824" s="180">
        <f>IF(N1824="net",_xlfn.XLOOKUP(E1824,cannabis_log!C:C,cannabis_log!N:N,"NOT FOUND",0,1),IF(N1824="gross",0,""))</f>
        <v>1</v>
      </c>
    </row>
    <row r="1825" spans="1:15">
      <c r="A1825" s="195" t="str">
        <f t="shared" si="100"/>
        <v>outbound</v>
      </c>
      <c r="B1825" s="196">
        <v>45797.580555555556</v>
      </c>
      <c r="C1825" s="197" t="s">
        <v>1929</v>
      </c>
      <c r="D1825" s="197" t="s">
        <v>3025</v>
      </c>
      <c r="E1825" s="215" t="s">
        <v>3031</v>
      </c>
      <c r="F1825" s="112" t="str">
        <f>IF(ISBLANK(E1825),"",_xlfn.XLOOKUP(E1825,cannabis_log!C:C,cannabis_log!J:J,"",0,))</f>
        <v>EX24101703G05</v>
      </c>
      <c r="G1825" s="112"/>
      <c r="H1825" s="112" t="str">
        <f>IF(ISBLANK(E1825),"",_xlfn.XLOOKUP(E1825,cannabis_log!C:C,cannabis_log!H:H,"",0,1))</f>
        <v>extract_inhaled_cased_SK_RTV</v>
      </c>
      <c r="I1825" s="113">
        <f>IF(ISBLANK(E1825),"",_xlfn.XLOOKUP(E1825,cannabis_log!C:C,cannabis_log!K:K,"NOT FOUND",0,1))</f>
        <v>45603</v>
      </c>
      <c r="J1825" s="185">
        <v>-1</v>
      </c>
      <c r="K1825" s="186">
        <f t="shared" si="99"/>
        <v>0</v>
      </c>
      <c r="L1825" s="288">
        <f t="shared" si="98"/>
        <v>-6</v>
      </c>
      <c r="M1825" s="24"/>
      <c r="N1825" s="112" t="str">
        <f>IF(ISBLANK(E1825),"",_xlfn.XLOOKUP(E1825,cannabis_log!C:C,cannabis_log!T:T,"Not Found",0,))</f>
        <v>net</v>
      </c>
      <c r="O1825" s="180">
        <f>IF(N1825="net",_xlfn.XLOOKUP(E1825,cannabis_log!C:C,cannabis_log!N:N,"NOT FOUND",0,1),IF(N1825="gross",0,""))</f>
        <v>6</v>
      </c>
    </row>
    <row r="1826" spans="1:15">
      <c r="A1826" s="195" t="str">
        <f t="shared" si="100"/>
        <v>outbound</v>
      </c>
      <c r="B1826" s="196">
        <v>45797.580555555556</v>
      </c>
      <c r="C1826" s="197" t="s">
        <v>1929</v>
      </c>
      <c r="D1826" s="197" t="s">
        <v>3025</v>
      </c>
      <c r="E1826" s="215" t="s">
        <v>2995</v>
      </c>
      <c r="F1826" s="112" t="str">
        <f>IF(ISBLANK(E1826),"",_xlfn.XLOOKUP(E1826,cannabis_log!C:C,cannabis_log!J:J,"",0,))</f>
        <v>PR2303IN02F5P3</v>
      </c>
      <c r="G1826" s="112"/>
      <c r="H1826" s="112" t="str">
        <f>IF(ISBLANK(E1826),"",_xlfn.XLOOKUP(E1826,cannabis_log!C:C,cannabis_log!H:H,"",0,1))</f>
        <v>infusedpreroll_cased_AB_RTV</v>
      </c>
      <c r="I1826" s="113">
        <f>IF(ISBLANK(E1826),"",_xlfn.XLOOKUP(E1826,cannabis_log!C:C,cannabis_log!K:K,"NOT FOUND",0,1))</f>
        <v>45478</v>
      </c>
      <c r="J1826" s="185">
        <v>-2</v>
      </c>
      <c r="K1826" s="186">
        <f t="shared" si="99"/>
        <v>0</v>
      </c>
      <c r="L1826" s="288">
        <f t="shared" si="98"/>
        <v>-18</v>
      </c>
      <c r="M1826" s="24"/>
      <c r="N1826" s="112" t="str">
        <f>IF(ISBLANK(E1826),"",_xlfn.XLOOKUP(E1826,cannabis_log!C:C,cannabis_log!T:T,"Not Found",0,))</f>
        <v>net</v>
      </c>
      <c r="O1826" s="180">
        <f>IF(N1826="net",_xlfn.XLOOKUP(E1826,cannabis_log!C:C,cannabis_log!N:N,"NOT FOUND",0,1),IF(N1826="gross",0,""))</f>
        <v>9</v>
      </c>
    </row>
    <row r="1827" spans="1:15">
      <c r="A1827" s="195" t="str">
        <f t="shared" si="100"/>
        <v>outbound</v>
      </c>
      <c r="B1827" s="196">
        <v>45797.580555555556</v>
      </c>
      <c r="C1827" s="197" t="s">
        <v>1929</v>
      </c>
      <c r="D1827" s="197" t="s">
        <v>3025</v>
      </c>
      <c r="E1827" s="215" t="s">
        <v>3032</v>
      </c>
      <c r="F1827" s="112" t="str">
        <f>IF(ISBLANK(E1827),"",_xlfn.XLOOKUP(E1827,cannabis_log!C:C,cannabis_log!J:J,"",0,))</f>
        <v>LR23032101</v>
      </c>
      <c r="G1827" s="112"/>
      <c r="H1827" s="112" t="str">
        <f>IF(ISBLANK(E1827),"",_xlfn.XLOOKUP(E1827,cannabis_log!C:C,cannabis_log!H:H,"",0,1))</f>
        <v>extract_inhaled_labelled</v>
      </c>
      <c r="I1827" s="113">
        <f>IF(ISBLANK(E1827),"",_xlfn.XLOOKUP(E1827,cannabis_log!C:C,cannabis_log!K:K,"NOT FOUND",0,1))</f>
        <v>45793</v>
      </c>
      <c r="J1827" s="185">
        <v>-6</v>
      </c>
      <c r="K1827" s="186">
        <f t="shared" si="99"/>
        <v>0</v>
      </c>
      <c r="L1827" s="288">
        <f t="shared" si="98"/>
        <v>-6</v>
      </c>
      <c r="M1827" s="24"/>
      <c r="N1827" s="112" t="str">
        <f>IF(ISBLANK(E1827),"",_xlfn.XLOOKUP(E1827,cannabis_log!C:C,cannabis_log!T:T,"Not Found",0,))</f>
        <v>net</v>
      </c>
      <c r="O1827" s="180">
        <f>IF(N1827="net",_xlfn.XLOOKUP(E1827,cannabis_log!C:C,cannabis_log!N:N,"NOT FOUND",0,1),IF(N1827="gross",0,""))</f>
        <v>1</v>
      </c>
    </row>
    <row r="1828" spans="1:15">
      <c r="A1828" s="195" t="str">
        <f t="shared" si="100"/>
        <v>outbound</v>
      </c>
      <c r="B1828" s="196">
        <v>45797.580555555556</v>
      </c>
      <c r="C1828" s="197" t="s">
        <v>1929</v>
      </c>
      <c r="D1828" s="197" t="s">
        <v>3025</v>
      </c>
      <c r="E1828" s="215" t="s">
        <v>3033</v>
      </c>
      <c r="F1828" s="112" t="str">
        <f>IF(ISBLANK(E1828),"",_xlfn.XLOOKUP(E1828,cannabis_log!C:C,cannabis_log!J:J,"",0,))</f>
        <v>PR2501INF5P3</v>
      </c>
      <c r="G1828" s="112"/>
      <c r="H1828" s="112" t="str">
        <f>IF(ISBLANK(E1828),"",_xlfn.XLOOKUP(E1828,cannabis_log!C:C,cannabis_log!H:H,"",0,1))</f>
        <v>preroll_labelled</v>
      </c>
      <c r="I1828" s="113">
        <f>IF(ISBLANK(E1828),"",_xlfn.XLOOKUP(E1828,cannabis_log!C:C,cannabis_log!K:K,"NOT FOUND",0,1))</f>
        <v>45778</v>
      </c>
      <c r="J1828" s="185">
        <v>-24</v>
      </c>
      <c r="K1828" s="186">
        <f t="shared" si="99"/>
        <v>0</v>
      </c>
      <c r="L1828" s="288">
        <f t="shared" si="98"/>
        <v>-36</v>
      </c>
      <c r="M1828" s="24"/>
      <c r="N1828" s="112" t="str">
        <f>IF(ISBLANK(E1828),"",_xlfn.XLOOKUP(E1828,cannabis_log!C:C,cannabis_log!T:T,"Not Found",0,))</f>
        <v>net</v>
      </c>
      <c r="O1828" s="180">
        <f>IF(N1828="net",_xlfn.XLOOKUP(E1828,cannabis_log!C:C,cannabis_log!N:N,"NOT FOUND",0,1),IF(N1828="gross",0,""))</f>
        <v>1.5</v>
      </c>
    </row>
    <row r="1829" spans="1:15">
      <c r="A1829" s="195" t="str">
        <f t="shared" si="100"/>
        <v>inbound</v>
      </c>
      <c r="B1829" s="196">
        <v>45797.580555555556</v>
      </c>
      <c r="C1829" s="197" t="s">
        <v>1927</v>
      </c>
      <c r="D1829" s="197"/>
      <c r="E1829" s="215" t="s">
        <v>2983</v>
      </c>
      <c r="F1829" s="112" t="str">
        <f>IF(ISBLANK(E1829),"",_xlfn.XLOOKUP(E1829,cannabis_log!C:C,cannabis_log!J:J,"",0,))</f>
        <v>ROGEX002</v>
      </c>
      <c r="G1829" s="112"/>
      <c r="H1829" s="112" t="str">
        <f>IF(ISBLANK(E1829),"",_xlfn.XLOOKUP(E1829,cannabis_log!C:C,cannabis_log!H:H,"",0,1))</f>
        <v>extract_inhaled_bulk_Rohan</v>
      </c>
      <c r="I1829" s="113" t="str">
        <f>IF(ISBLANK(E1829),"",_xlfn.XLOOKUP(E1829,cannabis_log!C:C,cannabis_log!K:K,"NOT FOUND",0,1))</f>
        <v>NA</v>
      </c>
      <c r="J1829" s="185">
        <v>1</v>
      </c>
      <c r="K1829" s="186">
        <v>3230</v>
      </c>
      <c r="L1829" s="288">
        <f t="shared" si="98"/>
        <v>0</v>
      </c>
      <c r="M1829" s="24"/>
      <c r="N1829" s="112" t="str">
        <f>IF(ISBLANK(E1829),"",_xlfn.XLOOKUP(E1829,cannabis_log!C:C,cannabis_log!T:T,"Not Found",0,))</f>
        <v>gross</v>
      </c>
      <c r="O1829" s="180">
        <f>IF(N1829="net",_xlfn.XLOOKUP(E1829,cannabis_log!C:C,cannabis_log!N:N,"NOT FOUND",0,1),IF(N1829="gross",0,""))</f>
        <v>0</v>
      </c>
    </row>
    <row r="1830" spans="1:15">
      <c r="A1830" s="195" t="str">
        <f t="shared" si="100"/>
        <v>inbound</v>
      </c>
      <c r="B1830" s="196">
        <v>45798.416666666664</v>
      </c>
      <c r="C1830" s="197" t="s">
        <v>1927</v>
      </c>
      <c r="D1830" s="197"/>
      <c r="E1830" s="215" t="s">
        <v>3012</v>
      </c>
      <c r="F1830" s="112" t="str">
        <f>IF(ISBLANK(E1830),"",_xlfn.XLOOKUP(E1830,cannabis_log!C:C,cannabis_log!J:J,"",0,))</f>
        <v>LR23032101</v>
      </c>
      <c r="G1830" s="112"/>
      <c r="H1830" s="112" t="str">
        <f>IF(ISBLANK(E1830),"",_xlfn.XLOOKUP(E1830,cannabis_log!C:C,cannabis_log!H:H,"",0,1))</f>
        <v>extract_inhaled_labelled</v>
      </c>
      <c r="I1830" s="113">
        <f>IF(ISBLANK(E1830),"",_xlfn.XLOOKUP(E1830,cannabis_log!C:C,cannabis_log!K:K,"NOT FOUND",0,1))</f>
        <v>45793</v>
      </c>
      <c r="J1830" s="185">
        <v>342</v>
      </c>
      <c r="K1830" s="186">
        <f>IF(N1830="net",0,"")</f>
        <v>0</v>
      </c>
      <c r="L1830" s="288">
        <f t="shared" si="98"/>
        <v>342</v>
      </c>
      <c r="M1830" s="24"/>
      <c r="N1830" s="112" t="str">
        <f>IF(ISBLANK(E1830),"",_xlfn.XLOOKUP(E1830,cannabis_log!C:C,cannabis_log!T:T,"Not Found",0,))</f>
        <v>net</v>
      </c>
      <c r="O1830" s="180">
        <f>IF(N1830="net",_xlfn.XLOOKUP(E1830,cannabis_log!C:C,cannabis_log!N:N,"NOT FOUND",0,1),IF(N1830="gross",0,""))</f>
        <v>1</v>
      </c>
    </row>
    <row r="1831" spans="1:15">
      <c r="A1831" s="195" t="str">
        <f t="shared" si="100"/>
        <v>outbound</v>
      </c>
      <c r="B1831" s="196">
        <v>45798.416666666664</v>
      </c>
      <c r="C1831" s="197" t="s">
        <v>1921</v>
      </c>
      <c r="D1831" s="197"/>
      <c r="E1831" s="215" t="s">
        <v>3034</v>
      </c>
      <c r="F1831" s="112">
        <f>IF(ISBLANK(E1831),"",_xlfn.XLOOKUP(E1831,cannabis_log!C:C,cannabis_log!J:J,"",0,))</f>
        <v>2025030701</v>
      </c>
      <c r="G1831" s="112"/>
      <c r="H1831" s="112" t="str">
        <f>IF(ISBLANK(E1831),"",_xlfn.XLOOKUP(E1831,cannabis_log!C:C,cannabis_log!H:H,"",0,1))</f>
        <v>driedflower_bulk_JEN</v>
      </c>
      <c r="I1831" s="113" t="str">
        <f>IF(ISBLANK(E1831),"",_xlfn.XLOOKUP(E1831,cannabis_log!C:C,cannabis_log!K:K,"NOT FOUND",0,1))</f>
        <v>NA</v>
      </c>
      <c r="J1831" s="185">
        <v>-1</v>
      </c>
      <c r="K1831" s="186">
        <v>-1025</v>
      </c>
      <c r="L1831" s="288">
        <f t="shared" si="98"/>
        <v>0</v>
      </c>
      <c r="M1831" s="24"/>
      <c r="N1831" s="112" t="str">
        <f>IF(ISBLANK(E1831),"",_xlfn.XLOOKUP(E1831,cannabis_log!C:C,cannabis_log!T:T,"Not Found",0,))</f>
        <v>gross</v>
      </c>
      <c r="O1831" s="180">
        <f>IF(N1831="net",_xlfn.XLOOKUP(E1831,cannabis_log!C:C,cannabis_log!N:N,"NOT FOUND",0,1),IF(N1831="gross",0,""))</f>
        <v>0</v>
      </c>
    </row>
    <row r="1832" spans="1:15">
      <c r="A1832" s="195" t="str">
        <f t="shared" si="100"/>
        <v>outbound</v>
      </c>
      <c r="B1832" s="196">
        <v>45798.416666666664</v>
      </c>
      <c r="C1832" s="197" t="s">
        <v>1921</v>
      </c>
      <c r="D1832" s="197" t="s">
        <v>572</v>
      </c>
      <c r="E1832" s="215" t="s">
        <v>3035</v>
      </c>
      <c r="F1832" s="112" t="str">
        <f>IF(ISBLANK(E1832),"",_xlfn.XLOOKUP(E1832,cannabis_log!C:C,cannabis_log!J:J,"",0,))</f>
        <v>PR2507</v>
      </c>
      <c r="G1832" s="112"/>
      <c r="H1832" s="112" t="str">
        <f>IF(ISBLANK(E1832),"",_xlfn.XLOOKUP(E1832,cannabis_log!C:C,cannabis_log!H:H,"",0,1))</f>
        <v>driedflower_milled_bulk</v>
      </c>
      <c r="I1832" s="113" t="str">
        <f>IF(ISBLANK(E1832),"",_xlfn.XLOOKUP(E1832,cannabis_log!C:C,cannabis_log!K:K,"NOT FOUND",0,1))</f>
        <v>NA</v>
      </c>
      <c r="J1832" s="185">
        <v>-1</v>
      </c>
      <c r="K1832" s="186">
        <v>-6396</v>
      </c>
      <c r="L1832" s="288">
        <f t="shared" si="98"/>
        <v>0</v>
      </c>
      <c r="M1832" s="24"/>
      <c r="N1832" s="112" t="str">
        <f>IF(ISBLANK(E1832),"",_xlfn.XLOOKUP(E1832,cannabis_log!C:C,cannabis_log!T:T,"Not Found",0,))</f>
        <v>gross</v>
      </c>
      <c r="O1832" s="180">
        <f>IF(N1832="net",_xlfn.XLOOKUP(E1832,cannabis_log!C:C,cannabis_log!N:N,"NOT FOUND",0,1),IF(N1832="gross",0,""))</f>
        <v>0</v>
      </c>
    </row>
    <row r="1833" spans="1:15">
      <c r="A1833" s="195" t="str">
        <f t="shared" si="100"/>
        <v>outbound</v>
      </c>
      <c r="B1833" s="196">
        <v>45798.416666666664</v>
      </c>
      <c r="C1833" s="197" t="s">
        <v>1929</v>
      </c>
      <c r="D1833" s="197" t="s">
        <v>572</v>
      </c>
      <c r="E1833" s="215" t="s">
        <v>3024</v>
      </c>
      <c r="F1833" s="112" t="str">
        <f>IF(ISBLANK(E1833),"",_xlfn.XLOOKUP(E1833,cannabis_log!C:C,cannabis_log!J:J,"",0,))</f>
        <v>PR2507F1P2</v>
      </c>
      <c r="G1833" s="112"/>
      <c r="H1833" s="112" t="str">
        <f>IF(ISBLANK(E1833),"",_xlfn.XLOOKUP(E1833,cannabis_log!C:C,cannabis_log!H:H,"",0,1))</f>
        <v>preroll_labelled</v>
      </c>
      <c r="I1833" s="113">
        <f>IF(ISBLANK(E1833),"",_xlfn.XLOOKUP(E1833,cannabis_log!C:C,cannabis_log!K:K,"NOT FOUND",0,1))</f>
        <v>45772</v>
      </c>
      <c r="J1833" s="185">
        <v>-92</v>
      </c>
      <c r="K1833" s="186">
        <f>IF(N1833="net",0,"")</f>
        <v>0</v>
      </c>
      <c r="L1833" s="288">
        <f t="shared" si="98"/>
        <v>-184</v>
      </c>
      <c r="M1833" s="24"/>
      <c r="N1833" s="112" t="str">
        <f>IF(ISBLANK(E1833),"",_xlfn.XLOOKUP(E1833,cannabis_log!C:C,cannabis_log!T:T,"Not Found",0,))</f>
        <v>net</v>
      </c>
      <c r="O1833" s="180">
        <f>IF(N1833="net",_xlfn.XLOOKUP(E1833,cannabis_log!C:C,cannabis_log!N:N,"NOT FOUND",0,1),IF(N1833="gross",0,""))</f>
        <v>2</v>
      </c>
    </row>
    <row r="1834" spans="1:15">
      <c r="A1834" s="195" t="str">
        <f t="shared" si="100"/>
        <v>outbound</v>
      </c>
      <c r="B1834" s="196">
        <v>45798.416666666664</v>
      </c>
      <c r="C1834" s="197" t="s">
        <v>1921</v>
      </c>
      <c r="D1834" s="197"/>
      <c r="E1834" s="215" t="s">
        <v>3036</v>
      </c>
      <c r="F1834" s="112">
        <f>IF(ISBLANK(E1834),"",_xlfn.XLOOKUP(E1834,cannabis_log!C:C,cannabis_log!J:J,"",0,))</f>
        <v>2025051501</v>
      </c>
      <c r="G1834" s="112"/>
      <c r="H1834" s="112" t="str">
        <f>IF(ISBLANK(E1834),"",_xlfn.XLOOKUP(E1834,cannabis_log!C:C,cannabis_log!H:H,"",0,1))</f>
        <v>extract_distillate_bulk</v>
      </c>
      <c r="I1834" s="113" t="str">
        <f>IF(ISBLANK(E1834),"",_xlfn.XLOOKUP(E1834,cannabis_log!C:C,cannabis_log!K:K,"NOT FOUND",0,1))</f>
        <v>NA</v>
      </c>
      <c r="J1834" s="185">
        <v>-1</v>
      </c>
      <c r="K1834" s="186">
        <v>-2992</v>
      </c>
      <c r="L1834" s="288">
        <f t="shared" si="98"/>
        <v>0</v>
      </c>
      <c r="M1834" s="24"/>
      <c r="N1834" s="112" t="str">
        <f>IF(ISBLANK(E1834),"",_xlfn.XLOOKUP(E1834,cannabis_log!C:C,cannabis_log!T:T,"Not Found",0,))</f>
        <v>gross</v>
      </c>
      <c r="O1834" s="180">
        <f>IF(N1834="net",_xlfn.XLOOKUP(E1834,cannabis_log!C:C,cannabis_log!N:N,"NOT FOUND",0,1),IF(N1834="gross",0,""))</f>
        <v>0</v>
      </c>
    </row>
    <row r="1835" spans="1:15">
      <c r="A1835" s="195" t="str">
        <f t="shared" si="100"/>
        <v>outbound</v>
      </c>
      <c r="B1835" s="196">
        <v>45798.416666666664</v>
      </c>
      <c r="C1835" s="197" t="s">
        <v>1929</v>
      </c>
      <c r="D1835" s="197" t="s">
        <v>579</v>
      </c>
      <c r="E1835" s="215" t="s">
        <v>2499</v>
      </c>
      <c r="F1835" s="112" t="str">
        <f>IF(ISBLANK(E1835),"",_xlfn.XLOOKUP(E1835,cannabis_log!C:C,cannabis_log!J:J,"",0,))</f>
        <v>2024101703G7</v>
      </c>
      <c r="G1835" s="112"/>
      <c r="H1835" s="112" t="str">
        <f>IF(ISBLANK(E1835),"",_xlfn.XLOOKUP(E1835,cannabis_log!C:C,cannabis_log!H:H,"",0,1))</f>
        <v>driedflower_labelled</v>
      </c>
      <c r="I1835" s="113">
        <f>IF(ISBLANK(E1835),"",_xlfn.XLOOKUP(E1835,cannabis_log!C:C,cannabis_log!K:K,"NOT FOUND",0,1))</f>
        <v>45618</v>
      </c>
      <c r="J1835" s="185">
        <v>-24</v>
      </c>
      <c r="K1835" s="186">
        <f>IF(N1835="net",0,"")</f>
        <v>0</v>
      </c>
      <c r="L1835" s="288">
        <f t="shared" si="98"/>
        <v>-168</v>
      </c>
      <c r="M1835" s="24"/>
      <c r="N1835" s="112" t="str">
        <f>IF(ISBLANK(E1835),"",_xlfn.XLOOKUP(E1835,cannabis_log!C:C,cannabis_log!T:T,"Not Found",0,))</f>
        <v>net</v>
      </c>
      <c r="O1835" s="180">
        <f>IF(N1835="net",_xlfn.XLOOKUP(E1835,cannabis_log!C:C,cannabis_log!N:N,"NOT FOUND",0,1),IF(N1835="gross",0,""))</f>
        <v>7</v>
      </c>
    </row>
    <row r="1836" spans="1:15">
      <c r="A1836" s="195" t="str">
        <f t="shared" si="100"/>
        <v>inbound</v>
      </c>
      <c r="B1836" s="196">
        <v>45798.541666666664</v>
      </c>
      <c r="C1836" s="197" t="s">
        <v>1927</v>
      </c>
      <c r="D1836" s="197"/>
      <c r="E1836" s="215" t="s">
        <v>3037</v>
      </c>
      <c r="F1836" s="112" t="str">
        <f>IF(ISBLANK(E1836),"",_xlfn.XLOOKUP(E1836,cannabis_log!C:C,cannabis_log!J:J,"",0,))</f>
        <v>EX25050501V50</v>
      </c>
      <c r="G1836" s="112"/>
      <c r="H1836" s="112" t="str">
        <f>IF(ISBLANK(E1836),"",_xlfn.XLOOKUP(E1836,cannabis_log!C:C,cannabis_log!H:H,"",0,1))</f>
        <v>extract_ingested_packaged</v>
      </c>
      <c r="I1836" s="113" t="str">
        <f>IF(ISBLANK(E1836),"",_xlfn.XLOOKUP(E1836,cannabis_log!C:C,cannabis_log!K:K,"NOT FOUND",0,1))</f>
        <v>NA</v>
      </c>
      <c r="J1836" s="185">
        <v>86</v>
      </c>
      <c r="K1836" s="186">
        <f>IF(N1836="net",0,"")</f>
        <v>0</v>
      </c>
      <c r="L1836" s="288">
        <f t="shared" si="98"/>
        <v>4300</v>
      </c>
      <c r="M1836" s="24"/>
      <c r="N1836" s="112" t="str">
        <f>IF(ISBLANK(E1836),"",_xlfn.XLOOKUP(E1836,cannabis_log!C:C,cannabis_log!T:T,"Not Found",0,))</f>
        <v>net</v>
      </c>
      <c r="O1836" s="180">
        <f>IF(N1836="net",_xlfn.XLOOKUP(E1836,cannabis_log!C:C,cannabis_log!N:N,"NOT FOUND",0,1),IF(N1836="gross",0,""))</f>
        <v>50</v>
      </c>
    </row>
    <row r="1837" spans="1:15">
      <c r="A1837" s="195" t="str">
        <f t="shared" si="100"/>
        <v>inbound</v>
      </c>
      <c r="B1837" s="196">
        <v>45798.541666666664</v>
      </c>
      <c r="C1837" s="197" t="s">
        <v>1927</v>
      </c>
      <c r="D1837" s="197"/>
      <c r="E1837" s="215" t="s">
        <v>3038</v>
      </c>
      <c r="F1837" s="112" t="str">
        <f>IF(ISBLANK(E1837),"",_xlfn.XLOOKUP(E1837,cannabis_log!C:C,cannabis_log!J:J,"",0,))</f>
        <v>EX25050501V50</v>
      </c>
      <c r="G1837" s="112"/>
      <c r="H1837" s="112" t="str">
        <f>IF(ISBLANK(E1837),"",_xlfn.XLOOKUP(E1837,cannabis_log!C:C,cannabis_log!H:H,"",0,1))</f>
        <v>extract_ingested_packaged</v>
      </c>
      <c r="I1837" s="113">
        <f>IF(ISBLANK(E1837),"",_xlfn.XLOOKUP(E1837,cannabis_log!C:C,cannabis_log!K:K,"NOT FOUND",0,1))</f>
        <v>45790</v>
      </c>
      <c r="J1837" s="185">
        <v>482</v>
      </c>
      <c r="K1837" s="186">
        <f>IF(N1837="net",0,"")</f>
        <v>0</v>
      </c>
      <c r="L1837" s="288">
        <f t="shared" si="98"/>
        <v>24100</v>
      </c>
      <c r="M1837" s="24"/>
      <c r="N1837" s="112" t="str">
        <f>IF(ISBLANK(E1837),"",_xlfn.XLOOKUP(E1837,cannabis_log!C:C,cannabis_log!T:T,"Not Found",0,))</f>
        <v>net</v>
      </c>
      <c r="O1837" s="180">
        <f>IF(N1837="net",_xlfn.XLOOKUP(E1837,cannabis_log!C:C,cannabis_log!N:N,"NOT FOUND",0,1),IF(N1837="gross",0,""))</f>
        <v>50</v>
      </c>
    </row>
    <row r="1838" spans="1:15">
      <c r="A1838" s="195" t="str">
        <f t="shared" si="100"/>
        <v>outbound</v>
      </c>
      <c r="B1838" s="196">
        <v>45798.541666666664</v>
      </c>
      <c r="C1838" s="197" t="s">
        <v>1929</v>
      </c>
      <c r="D1838" s="197" t="s">
        <v>3039</v>
      </c>
      <c r="E1838" s="215" t="s">
        <v>3040</v>
      </c>
      <c r="F1838" s="112" t="str">
        <f>IF(ISBLANK(E1838),"",_xlfn.XLOOKUP(E1838,cannabis_log!C:C,cannabis_log!J:J,"",0,))</f>
        <v>TP25021901</v>
      </c>
      <c r="G1838" s="112"/>
      <c r="H1838" s="112" t="str">
        <f>IF(ISBLANK(E1838),"",_xlfn.XLOOKUP(E1838,cannabis_log!C:C,cannabis_log!H:H,"",0,1))</f>
        <v>topical_labelled</v>
      </c>
      <c r="I1838" s="113">
        <f>IF(ISBLANK(E1838),"",_xlfn.XLOOKUP(E1838,cannabis_log!C:C,cannabis_log!K:K,"NOT FOUND",0,1))</f>
        <v>45714</v>
      </c>
      <c r="J1838" s="185">
        <v>-12</v>
      </c>
      <c r="K1838" s="186">
        <f>IF(N1838="net",0,"")</f>
        <v>0</v>
      </c>
      <c r="L1838" s="288">
        <f t="shared" ref="L1838:L1901" si="101">IFERROR(J1838*O1838,"")</f>
        <v>-1056</v>
      </c>
      <c r="M1838" s="24"/>
      <c r="N1838" s="112" t="str">
        <f>IF(ISBLANK(E1838),"",_xlfn.XLOOKUP(E1838,cannabis_log!C:C,cannabis_log!T:T,"Not Found",0,))</f>
        <v>net</v>
      </c>
      <c r="O1838" s="180">
        <f>IF(N1838="net",_xlfn.XLOOKUP(E1838,cannabis_log!C:C,cannabis_log!N:N,"NOT FOUND",0,1),IF(N1838="gross",0,""))</f>
        <v>88</v>
      </c>
    </row>
    <row r="1839" spans="1:15">
      <c r="A1839" s="195" t="str">
        <f t="shared" si="100"/>
        <v>outbound</v>
      </c>
      <c r="B1839" s="196">
        <v>45798.541666666664</v>
      </c>
      <c r="C1839" s="197" t="s">
        <v>1921</v>
      </c>
      <c r="D1839" s="197" t="s">
        <v>2489</v>
      </c>
      <c r="E1839" s="215" t="s">
        <v>2041</v>
      </c>
      <c r="F1839" s="112" t="str">
        <f>IF(ISBLANK(E1839),"",_xlfn.XLOOKUP(E1839,cannabis_log!C:C,cannabis_log!J:J,"",0,))</f>
        <v>PR22051901G1</v>
      </c>
      <c r="G1839" s="112"/>
      <c r="H1839" s="112" t="str">
        <f>IF(ISBLANK(E1839),"",_xlfn.XLOOKUP(E1839,cannabis_log!C:C,cannabis_log!H:H,"",0,1))</f>
        <v>preroll_labelled</v>
      </c>
      <c r="I1839" s="113">
        <f>IF(ISBLANK(E1839),"",_xlfn.XLOOKUP(E1839,cannabis_log!C:C,cannabis_log!K:K,"NOT FOUND",0,1))</f>
        <v>45798</v>
      </c>
      <c r="J1839" s="185">
        <v>-122</v>
      </c>
      <c r="K1839" s="186">
        <f>IF(N1839="net",0,"")</f>
        <v>0</v>
      </c>
      <c r="L1839" s="288">
        <f t="shared" si="101"/>
        <v>-122</v>
      </c>
      <c r="M1839" s="24"/>
      <c r="N1839" s="112" t="str">
        <f>IF(ISBLANK(E1839),"",_xlfn.XLOOKUP(E1839,cannabis_log!C:C,cannabis_log!T:T,"Not Found",0,))</f>
        <v>net</v>
      </c>
      <c r="O1839" s="180">
        <f>IF(N1839="net",_xlfn.XLOOKUP(E1839,cannabis_log!C:C,cannabis_log!N:N,"NOT FOUND",0,1),IF(N1839="gross",0,""))</f>
        <v>1</v>
      </c>
    </row>
    <row r="1840" spans="1:15">
      <c r="A1840" s="195" t="str">
        <f t="shared" si="100"/>
        <v>outbound</v>
      </c>
      <c r="B1840" s="196">
        <v>45799.541666666664</v>
      </c>
      <c r="C1840" s="197" t="s">
        <v>1921</v>
      </c>
      <c r="D1840" s="197"/>
      <c r="E1840" s="215" t="s">
        <v>3041</v>
      </c>
      <c r="F1840" s="112" t="str">
        <f>IF(ISBLANK(E1840),"",_xlfn.XLOOKUP(E1840,cannabis_log!C:C,cannabis_log!J:J,"",0,))</f>
        <v>PR2514</v>
      </c>
      <c r="G1840" s="112"/>
      <c r="H1840" s="112" t="str">
        <f>IF(ISBLANK(E1840),"",_xlfn.XLOOKUP(E1840,cannabis_log!C:C,cannabis_log!H:H,"",0,1))</f>
        <v>driedflower_milled_bulk_BURB</v>
      </c>
      <c r="I1840" s="113" t="str">
        <f>IF(ISBLANK(E1840),"",_xlfn.XLOOKUP(E1840,cannabis_log!C:C,cannabis_log!K:K,"NOT FOUND",0,1))</f>
        <v>NA</v>
      </c>
      <c r="J1840" s="185">
        <v>-1</v>
      </c>
      <c r="K1840" s="186">
        <v>-2888</v>
      </c>
      <c r="L1840" s="288">
        <f t="shared" si="101"/>
        <v>0</v>
      </c>
      <c r="M1840" s="24"/>
      <c r="N1840" s="112" t="str">
        <f>IF(ISBLANK(E1840),"",_xlfn.XLOOKUP(E1840,cannabis_log!C:C,cannabis_log!T:T,"Not Found",0,))</f>
        <v>gross</v>
      </c>
      <c r="O1840" s="180">
        <f>IF(N1840="net",_xlfn.XLOOKUP(E1840,cannabis_log!C:C,cannabis_log!N:N,"NOT FOUND",0,1),IF(N1840="gross",0,""))</f>
        <v>0</v>
      </c>
    </row>
    <row r="1841" spans="1:15">
      <c r="A1841" s="195" t="str">
        <f t="shared" si="100"/>
        <v>outbound</v>
      </c>
      <c r="B1841" s="196">
        <v>45800.416666666664</v>
      </c>
      <c r="C1841" s="197" t="s">
        <v>1921</v>
      </c>
      <c r="D1841" s="197"/>
      <c r="E1841" s="215" t="s">
        <v>3042</v>
      </c>
      <c r="F1841" s="112" t="str">
        <f>IF(ISBLANK(E1841),"",_xlfn.XLOOKUP(E1841,cannabis_log!C:C,cannabis_log!J:J,"",0,))</f>
        <v>PR2517</v>
      </c>
      <c r="G1841" s="112"/>
      <c r="H1841" s="112" t="str">
        <f>IF(ISBLANK(E1841),"",_xlfn.XLOOKUP(E1841,cannabis_log!C:C,cannabis_log!H:H,"",0,1))</f>
        <v>driedflower_milled_bulk</v>
      </c>
      <c r="I1841" s="113" t="str">
        <f>IF(ISBLANK(E1841),"",_xlfn.XLOOKUP(E1841,cannabis_log!C:C,cannabis_log!K:K,"NOT FOUND",0,1))</f>
        <v>NA</v>
      </c>
      <c r="J1841" s="185">
        <v>-1</v>
      </c>
      <c r="K1841" s="186">
        <v>-4070</v>
      </c>
      <c r="L1841" s="288">
        <f t="shared" si="101"/>
        <v>0</v>
      </c>
      <c r="M1841" s="24"/>
      <c r="N1841" s="112" t="str">
        <f>IF(ISBLANK(E1841),"",_xlfn.XLOOKUP(E1841,cannabis_log!C:C,cannabis_log!T:T,"Not Found",0,))</f>
        <v>gross</v>
      </c>
      <c r="O1841" s="180">
        <f>IF(N1841="net",_xlfn.XLOOKUP(E1841,cannabis_log!C:C,cannabis_log!N:N,"NOT FOUND",0,1),IF(N1841="gross",0,""))</f>
        <v>0</v>
      </c>
    </row>
    <row r="1842" spans="1:15">
      <c r="A1842" s="195" t="str">
        <f t="shared" si="100"/>
        <v>outbound</v>
      </c>
      <c r="B1842" s="196">
        <v>45800.416666666664</v>
      </c>
      <c r="C1842" s="197" t="s">
        <v>1929</v>
      </c>
      <c r="D1842" s="197" t="s">
        <v>3043</v>
      </c>
      <c r="E1842" s="215" t="s">
        <v>3044</v>
      </c>
      <c r="F1842" s="112" t="str">
        <f>IF(ISBLANK(E1842),"",_xlfn.XLOOKUP(E1842,cannabis_log!C:C,cannabis_log!J:J,"",0,))</f>
        <v>2024111803G7</v>
      </c>
      <c r="G1842" s="112"/>
      <c r="H1842" s="112" t="str">
        <f>IF(ISBLANK(E1842),"",_xlfn.XLOOKUP(E1842,cannabis_log!C:C,cannabis_log!H:H,"",0,1))</f>
        <v>driedflower_labelled</v>
      </c>
      <c r="I1842" s="113">
        <f>IF(ISBLANK(E1842),"",_xlfn.XLOOKUP(E1842,cannabis_log!C:C,cannabis_log!K:K,"NOT FOUND",0,1))</f>
        <v>45721</v>
      </c>
      <c r="J1842" s="185">
        <v>-12</v>
      </c>
      <c r="K1842" s="186">
        <f t="shared" ref="K1842:K1859" si="102">IF(N1842="net",0,"")</f>
        <v>0</v>
      </c>
      <c r="L1842" s="288">
        <f t="shared" si="101"/>
        <v>-84</v>
      </c>
      <c r="M1842" s="24"/>
      <c r="N1842" s="112" t="str">
        <f>IF(ISBLANK(E1842),"",_xlfn.XLOOKUP(E1842,cannabis_log!C:C,cannabis_log!T:T,"Not Found",0,))</f>
        <v>net</v>
      </c>
      <c r="O1842" s="180">
        <f>IF(N1842="net",_xlfn.XLOOKUP(E1842,cannabis_log!C:C,cannabis_log!N:N,"NOT FOUND",0,1),IF(N1842="gross",0,""))</f>
        <v>7</v>
      </c>
    </row>
    <row r="1843" spans="1:15">
      <c r="A1843" s="195" t="str">
        <f t="shared" si="100"/>
        <v>inbound</v>
      </c>
      <c r="B1843" s="196">
        <v>45800.416666666664</v>
      </c>
      <c r="C1843" s="197" t="s">
        <v>1929</v>
      </c>
      <c r="D1843" s="197" t="s">
        <v>3043</v>
      </c>
      <c r="E1843" s="215" t="s">
        <v>3045</v>
      </c>
      <c r="F1843" s="112" t="str">
        <f>IF(ISBLANK(E1843),"",_xlfn.XLOOKUP(E1843,cannabis_log!C:C,cannabis_log!J:J,"",0,))</f>
        <v>EX25041401V30</v>
      </c>
      <c r="G1843" s="112"/>
      <c r="H1843" s="112" t="str">
        <f>IF(ISBLANK(E1843),"",_xlfn.XLOOKUP(E1843,cannabis_log!C:C,cannabis_log!H:H,"",0,1))</f>
        <v>extract_ingested_labelled</v>
      </c>
      <c r="I1843" s="113">
        <f>IF(ISBLANK(E1843),"",_xlfn.XLOOKUP(E1843,cannabis_log!C:C,cannabis_log!K:K,"NOT FOUND",0,1))</f>
        <v>45777</v>
      </c>
      <c r="J1843" s="185">
        <v>6</v>
      </c>
      <c r="K1843" s="186">
        <f t="shared" si="102"/>
        <v>0</v>
      </c>
      <c r="L1843" s="288">
        <f t="shared" si="101"/>
        <v>163.80000000000001</v>
      </c>
      <c r="M1843" s="24"/>
      <c r="N1843" s="112" t="str">
        <f>IF(ISBLANK(E1843),"",_xlfn.XLOOKUP(E1843,cannabis_log!C:C,cannabis_log!T:T,"Not Found",0,))</f>
        <v>net</v>
      </c>
      <c r="O1843" s="180">
        <f>IF(N1843="net",_xlfn.XLOOKUP(E1843,cannabis_log!C:C,cannabis_log!N:N,"NOT FOUND",0,1),IF(N1843="gross",0,""))</f>
        <v>27.3</v>
      </c>
    </row>
    <row r="1844" spans="1:15">
      <c r="A1844" s="195" t="str">
        <f t="shared" si="100"/>
        <v>outbound</v>
      </c>
      <c r="B1844" s="196">
        <v>45800.416666666664</v>
      </c>
      <c r="C1844" s="197" t="s">
        <v>1929</v>
      </c>
      <c r="D1844" s="197" t="s">
        <v>3043</v>
      </c>
      <c r="E1844" s="215" t="s">
        <v>3046</v>
      </c>
      <c r="F1844" s="112" t="str">
        <f>IF(ISBLANK(E1844),"",_xlfn.XLOOKUP(E1844,cannabis_log!C:C,cannabis_log!J:J,"",0,))</f>
        <v>PR241102F5P3</v>
      </c>
      <c r="G1844" s="112"/>
      <c r="H1844" s="112" t="str">
        <f>IF(ISBLANK(E1844),"",_xlfn.XLOOKUP(E1844,cannabis_log!C:C,cannabis_log!H:H,"",0,1))</f>
        <v>preroll_cased_SK_RTV</v>
      </c>
      <c r="I1844" s="113">
        <f>IF(ISBLANK(E1844),"",_xlfn.XLOOKUP(E1844,cannabis_log!C:C,cannabis_log!K:K,"NOT FOUND",0,1))</f>
        <v>45604</v>
      </c>
      <c r="J1844" s="185">
        <v>-6</v>
      </c>
      <c r="K1844" s="186">
        <f t="shared" si="102"/>
        <v>0</v>
      </c>
      <c r="L1844" s="288">
        <f t="shared" si="101"/>
        <v>-9</v>
      </c>
      <c r="M1844" s="24"/>
      <c r="N1844" s="112" t="str">
        <f>IF(ISBLANK(E1844),"",_xlfn.XLOOKUP(E1844,cannabis_log!C:C,cannabis_log!T:T,"Not Found",0,))</f>
        <v>net</v>
      </c>
      <c r="O1844" s="180">
        <f>IF(N1844="net",_xlfn.XLOOKUP(E1844,cannabis_log!C:C,cannabis_log!N:N,"NOT FOUND",0,1),IF(N1844="gross",0,""))</f>
        <v>1.5</v>
      </c>
    </row>
    <row r="1845" spans="1:15">
      <c r="A1845" s="195" t="str">
        <f t="shared" si="100"/>
        <v>outbound</v>
      </c>
      <c r="B1845" s="196">
        <v>45800.416666666664</v>
      </c>
      <c r="C1845" s="197" t="s">
        <v>1929</v>
      </c>
      <c r="D1845" s="197" t="s">
        <v>3043</v>
      </c>
      <c r="E1845" s="215" t="s">
        <v>3047</v>
      </c>
      <c r="F1845" s="112" t="str">
        <f>IF(ISBLANK(E1845),"",_xlfn.XLOOKUP(E1845,cannabis_log!C:C,cannabis_log!J:J,"",0,))</f>
        <v>PR241105F5P3</v>
      </c>
      <c r="G1845" s="112"/>
      <c r="H1845" s="112" t="str">
        <f>IF(ISBLANK(E1845),"",_xlfn.XLOOKUP(E1845,cannabis_log!C:C,cannabis_log!H:H,"",0,1))</f>
        <v>preroll_cased_SK_RTV</v>
      </c>
      <c r="I1845" s="113">
        <f>IF(ISBLANK(E1845),"",_xlfn.XLOOKUP(E1845,cannabis_log!C:C,cannabis_log!K:K,"NOT FOUND",0,1))</f>
        <v>45581</v>
      </c>
      <c r="J1845" s="185">
        <v>-6</v>
      </c>
      <c r="K1845" s="186">
        <f t="shared" si="102"/>
        <v>0</v>
      </c>
      <c r="L1845" s="288">
        <f t="shared" si="101"/>
        <v>-9</v>
      </c>
      <c r="M1845" s="24"/>
      <c r="N1845" s="112" t="str">
        <f>IF(ISBLANK(E1845),"",_xlfn.XLOOKUP(E1845,cannabis_log!C:C,cannabis_log!T:T,"Not Found",0,))</f>
        <v>net</v>
      </c>
      <c r="O1845" s="180">
        <f>IF(N1845="net",_xlfn.XLOOKUP(E1845,cannabis_log!C:C,cannabis_log!N:N,"NOT FOUND",0,1),IF(N1845="gross",0,""))</f>
        <v>1.5</v>
      </c>
    </row>
    <row r="1846" spans="1:15">
      <c r="A1846" s="195" t="str">
        <f t="shared" si="100"/>
        <v>outbound</v>
      </c>
      <c r="B1846" s="196">
        <v>45800.416666666664</v>
      </c>
      <c r="C1846" s="197" t="s">
        <v>1929</v>
      </c>
      <c r="D1846" s="197" t="s">
        <v>3043</v>
      </c>
      <c r="E1846" s="215" t="s">
        <v>3048</v>
      </c>
      <c r="F1846" s="112" t="str">
        <f>IF(ISBLANK(E1846),"",_xlfn.XLOOKUP(E1846,cannabis_log!C:C,cannabis_log!J:J,"",0,))</f>
        <v>PR241003F5P3</v>
      </c>
      <c r="G1846" s="112"/>
      <c r="H1846" s="112" t="str">
        <f>IF(ISBLANK(E1846),"",_xlfn.XLOOKUP(E1846,cannabis_log!C:C,cannabis_log!H:H,"",0,1))</f>
        <v>preroll_cased_SK_RTV</v>
      </c>
      <c r="I1846" s="113">
        <f>IF(ISBLANK(E1846),"",_xlfn.XLOOKUP(E1846,cannabis_log!C:C,cannabis_log!K:K,"NOT FOUND",0,1))</f>
        <v>45575</v>
      </c>
      <c r="J1846" s="185">
        <v>-6</v>
      </c>
      <c r="K1846" s="186">
        <f t="shared" si="102"/>
        <v>0</v>
      </c>
      <c r="L1846" s="288">
        <f t="shared" si="101"/>
        <v>-9</v>
      </c>
      <c r="M1846" s="24"/>
      <c r="N1846" s="112" t="str">
        <f>IF(ISBLANK(E1846),"",_xlfn.XLOOKUP(E1846,cannabis_log!C:C,cannabis_log!T:T,"Not Found",0,))</f>
        <v>net</v>
      </c>
      <c r="O1846" s="180">
        <f>IF(N1846="net",_xlfn.XLOOKUP(E1846,cannabis_log!C:C,cannabis_log!N:N,"NOT FOUND",0,1),IF(N1846="gross",0,""))</f>
        <v>1.5</v>
      </c>
    </row>
    <row r="1847" spans="1:15">
      <c r="A1847" s="195" t="str">
        <f t="shared" si="100"/>
        <v>outbound</v>
      </c>
      <c r="B1847" s="196">
        <v>45800.416666666664</v>
      </c>
      <c r="C1847" s="197" t="s">
        <v>1929</v>
      </c>
      <c r="D1847" s="197" t="s">
        <v>3043</v>
      </c>
      <c r="E1847" s="215" t="s">
        <v>3049</v>
      </c>
      <c r="F1847" s="112" t="str">
        <f>IF(ISBLANK(E1847),"",_xlfn.XLOOKUP(E1847,cannabis_log!C:C,cannabis_log!J:J,"",0,))</f>
        <v>PR241101F5P3</v>
      </c>
      <c r="G1847" s="112"/>
      <c r="H1847" s="112" t="str">
        <f>IF(ISBLANK(E1847),"",_xlfn.XLOOKUP(E1847,cannabis_log!C:C,cannabis_log!H:H,"",0,1))</f>
        <v>preroll_labelled</v>
      </c>
      <c r="I1847" s="113">
        <f>IF(ISBLANK(E1847),"",_xlfn.XLOOKUP(E1847,cannabis_log!C:C,cannabis_log!K:K,"NOT FOUND",0,1))</f>
        <v>45707</v>
      </c>
      <c r="J1847" s="185">
        <v>-12</v>
      </c>
      <c r="K1847" s="186">
        <f t="shared" si="102"/>
        <v>0</v>
      </c>
      <c r="L1847" s="288">
        <f t="shared" si="101"/>
        <v>-18</v>
      </c>
      <c r="M1847" s="24"/>
      <c r="N1847" s="112" t="str">
        <f>IF(ISBLANK(E1847),"",_xlfn.XLOOKUP(E1847,cannabis_log!C:C,cannabis_log!T:T,"Not Found",0,))</f>
        <v>net</v>
      </c>
      <c r="O1847" s="180">
        <f>IF(N1847="net",_xlfn.XLOOKUP(E1847,cannabis_log!C:C,cannabis_log!N:N,"NOT FOUND",0,1),IF(N1847="gross",0,""))</f>
        <v>1.5</v>
      </c>
    </row>
    <row r="1848" spans="1:15">
      <c r="A1848" s="195" t="str">
        <f t="shared" si="100"/>
        <v>outbound</v>
      </c>
      <c r="B1848" s="196">
        <v>45800.416666666664</v>
      </c>
      <c r="C1848" s="197" t="s">
        <v>1929</v>
      </c>
      <c r="D1848" s="197" t="s">
        <v>3043</v>
      </c>
      <c r="E1848" s="215" t="s">
        <v>3050</v>
      </c>
      <c r="F1848" s="112" t="str">
        <f>IF(ISBLANK(E1848),"",_xlfn.XLOOKUP(E1848,cannabis_log!C:C,cannabis_log!J:J,"",0,))</f>
        <v>PR251101F5P3</v>
      </c>
      <c r="G1848" s="112"/>
      <c r="H1848" s="112" t="str">
        <f>IF(ISBLANK(E1848),"",_xlfn.XLOOKUP(E1848,cannabis_log!C:C,cannabis_log!H:H,"",0,1))</f>
        <v>preroll_labelled</v>
      </c>
      <c r="I1848" s="113">
        <f>IF(ISBLANK(E1848),"",_xlfn.XLOOKUP(E1848,cannabis_log!C:C,cannabis_log!K:K,"NOT FOUND",0,1))</f>
        <v>45770</v>
      </c>
      <c r="J1848" s="185">
        <v>-36</v>
      </c>
      <c r="K1848" s="186">
        <f t="shared" si="102"/>
        <v>0</v>
      </c>
      <c r="L1848" s="288">
        <f t="shared" si="101"/>
        <v>-54</v>
      </c>
      <c r="M1848" s="24"/>
      <c r="N1848" s="112" t="str">
        <f>IF(ISBLANK(E1848),"",_xlfn.XLOOKUP(E1848,cannabis_log!C:C,cannabis_log!T:T,"Not Found",0,))</f>
        <v>net</v>
      </c>
      <c r="O1848" s="180">
        <f>IF(N1848="net",_xlfn.XLOOKUP(E1848,cannabis_log!C:C,cannabis_log!N:N,"NOT FOUND",0,1),IF(N1848="gross",0,""))</f>
        <v>1.5</v>
      </c>
    </row>
    <row r="1849" spans="1:15">
      <c r="A1849" s="195" t="str">
        <f t="shared" si="100"/>
        <v>outbound</v>
      </c>
      <c r="B1849" s="196">
        <v>45800.416666666664</v>
      </c>
      <c r="C1849" s="197" t="s">
        <v>1929</v>
      </c>
      <c r="D1849" s="197" t="s">
        <v>3043</v>
      </c>
      <c r="E1849" s="215" t="s">
        <v>3019</v>
      </c>
      <c r="F1849" s="112" t="str">
        <f>IF(ISBLANK(E1849),"",_xlfn.XLOOKUP(E1849,cannabis_log!C:C,cannabis_log!J:J,"",0,))</f>
        <v>PR2501INF5P3</v>
      </c>
      <c r="G1849" s="112"/>
      <c r="H1849" s="112" t="str">
        <f>IF(ISBLANK(E1849),"",_xlfn.XLOOKUP(E1849,cannabis_log!C:C,cannabis_log!H:H,"",0,1))</f>
        <v>preroll_labelled</v>
      </c>
      <c r="I1849" s="113">
        <f>IF(ISBLANK(E1849),"",_xlfn.XLOOKUP(E1849,cannabis_log!C:C,cannabis_log!K:K,"NOT FOUND",0,1))</f>
        <v>45778</v>
      </c>
      <c r="J1849" s="185">
        <v>-24</v>
      </c>
      <c r="K1849" s="186">
        <f t="shared" si="102"/>
        <v>0</v>
      </c>
      <c r="L1849" s="288">
        <f t="shared" si="101"/>
        <v>-36</v>
      </c>
      <c r="M1849" s="24"/>
      <c r="N1849" s="112" t="str">
        <f>IF(ISBLANK(E1849),"",_xlfn.XLOOKUP(E1849,cannabis_log!C:C,cannabis_log!T:T,"Not Found",0,))</f>
        <v>net</v>
      </c>
      <c r="O1849" s="180">
        <f>IF(N1849="net",_xlfn.XLOOKUP(E1849,cannabis_log!C:C,cannabis_log!N:N,"NOT FOUND",0,1),IF(N1849="gross",0,""))</f>
        <v>1.5</v>
      </c>
    </row>
    <row r="1850" spans="1:15">
      <c r="A1850" s="195" t="str">
        <f t="shared" si="100"/>
        <v>outbound</v>
      </c>
      <c r="B1850" s="196">
        <v>45800.416666666664</v>
      </c>
      <c r="C1850" s="197" t="s">
        <v>1929</v>
      </c>
      <c r="D1850" s="197" t="s">
        <v>3043</v>
      </c>
      <c r="E1850" s="215" t="s">
        <v>3021</v>
      </c>
      <c r="F1850" s="112" t="str">
        <f>IF(ISBLANK(E1850),"",_xlfn.XLOOKUP(E1850,cannabis_log!C:C,cannabis_log!J:J,"",0,))</f>
        <v>PR251108F5P12</v>
      </c>
      <c r="G1850" s="112"/>
      <c r="H1850" s="112" t="str">
        <f>IF(ISBLANK(E1850),"",_xlfn.XLOOKUP(E1850,cannabis_log!C:C,cannabis_log!H:H,"",0,1))</f>
        <v>preroll_labelled</v>
      </c>
      <c r="I1850" s="113">
        <f>IF(ISBLANK(E1850),"",_xlfn.XLOOKUP(E1850,cannabis_log!C:C,cannabis_log!K:K,"NOT FOUND",0,1))</f>
        <v>45777</v>
      </c>
      <c r="J1850" s="185">
        <v>-96</v>
      </c>
      <c r="K1850" s="186">
        <f t="shared" si="102"/>
        <v>0</v>
      </c>
      <c r="L1850" s="288">
        <f t="shared" si="101"/>
        <v>-576</v>
      </c>
      <c r="M1850" s="24"/>
      <c r="N1850" s="112" t="str">
        <f>IF(ISBLANK(E1850),"",_xlfn.XLOOKUP(E1850,cannabis_log!C:C,cannabis_log!T:T,"Not Found",0,))</f>
        <v>net</v>
      </c>
      <c r="O1850" s="180">
        <f>IF(N1850="net",_xlfn.XLOOKUP(E1850,cannabis_log!C:C,cannabis_log!N:N,"NOT FOUND",0,1),IF(N1850="gross",0,""))</f>
        <v>6</v>
      </c>
    </row>
    <row r="1851" spans="1:15">
      <c r="A1851" s="195" t="str">
        <f t="shared" si="100"/>
        <v>outbound</v>
      </c>
      <c r="B1851" s="196">
        <v>45800.416666666664</v>
      </c>
      <c r="C1851" s="197" t="s">
        <v>1929</v>
      </c>
      <c r="D1851" s="197" t="s">
        <v>3043</v>
      </c>
      <c r="E1851" s="215" t="s">
        <v>3051</v>
      </c>
      <c r="F1851" s="112" t="str">
        <f>IF(ISBLANK(E1851),"",_xlfn.XLOOKUP(E1851,cannabis_log!C:C,cannabis_log!J:J,"",0,))</f>
        <v>EX25041401V30</v>
      </c>
      <c r="G1851" s="112"/>
      <c r="H1851" s="112" t="str">
        <f>IF(ISBLANK(E1851),"",_xlfn.XLOOKUP(E1851,cannabis_log!C:C,cannabis_log!H:H,"",0,1))</f>
        <v>extract_ingested_labelled</v>
      </c>
      <c r="I1851" s="113">
        <f>IF(ISBLANK(E1851),"",_xlfn.XLOOKUP(E1851,cannabis_log!C:C,cannabis_log!K:K,"NOT FOUND",0,1))</f>
        <v>45777</v>
      </c>
      <c r="J1851" s="185">
        <v>-6</v>
      </c>
      <c r="K1851" s="186">
        <f t="shared" si="102"/>
        <v>0</v>
      </c>
      <c r="L1851" s="288">
        <f t="shared" si="101"/>
        <v>-163.80000000000001</v>
      </c>
      <c r="M1851" s="24"/>
      <c r="N1851" s="112" t="str">
        <f>IF(ISBLANK(E1851),"",_xlfn.XLOOKUP(E1851,cannabis_log!C:C,cannabis_log!T:T,"Not Found",0,))</f>
        <v>net</v>
      </c>
      <c r="O1851" s="180">
        <f>IF(N1851="net",_xlfn.XLOOKUP(E1851,cannabis_log!C:C,cannabis_log!N:N,"NOT FOUND",0,1),IF(N1851="gross",0,""))</f>
        <v>27.3</v>
      </c>
    </row>
    <row r="1852" spans="1:15">
      <c r="A1852" s="195" t="str">
        <f t="shared" si="100"/>
        <v>outbound</v>
      </c>
      <c r="B1852" s="196">
        <v>45800.416666666664</v>
      </c>
      <c r="C1852" s="197" t="s">
        <v>1929</v>
      </c>
      <c r="D1852" s="197" t="s">
        <v>3043</v>
      </c>
      <c r="E1852" s="215" t="s">
        <v>2370</v>
      </c>
      <c r="F1852" s="112" t="str">
        <f>IF(ISBLANK(E1852),"",_xlfn.XLOOKUP(E1852,cannabis_log!C:C,cannabis_log!J:J,"",0,))</f>
        <v>EX23060701V30</v>
      </c>
      <c r="G1852" s="112"/>
      <c r="H1852" s="112" t="str">
        <f>IF(ISBLANK(E1852),"",_xlfn.XLOOKUP(E1852,cannabis_log!C:C,cannabis_log!H:H,"",0,1))</f>
        <v>extract_ingested_labelled</v>
      </c>
      <c r="I1852" s="113">
        <f>IF(ISBLANK(E1852),"",_xlfn.XLOOKUP(E1852,cannabis_log!C:C,cannabis_log!K:K,"NOT FOUND",0,1))</f>
        <v>45777</v>
      </c>
      <c r="J1852" s="185">
        <v>-24</v>
      </c>
      <c r="K1852" s="186">
        <f t="shared" si="102"/>
        <v>0</v>
      </c>
      <c r="L1852" s="288">
        <f t="shared" si="101"/>
        <v>-657.59999999999991</v>
      </c>
      <c r="M1852" s="24"/>
      <c r="N1852" s="112" t="str">
        <f>IF(ISBLANK(E1852),"",_xlfn.XLOOKUP(E1852,cannabis_log!C:C,cannabis_log!T:T,"Not Found",0,))</f>
        <v>net</v>
      </c>
      <c r="O1852" s="180">
        <f>IF(N1852="net",_xlfn.XLOOKUP(E1852,cannabis_log!C:C,cannabis_log!N:N,"NOT FOUND",0,1),IF(N1852="gross",0,""))</f>
        <v>27.4</v>
      </c>
    </row>
    <row r="1853" spans="1:15">
      <c r="A1853" s="195" t="str">
        <f t="shared" si="100"/>
        <v>outbound</v>
      </c>
      <c r="B1853" s="196">
        <v>45800.416666666664</v>
      </c>
      <c r="C1853" s="197" t="s">
        <v>1929</v>
      </c>
      <c r="D1853" s="197" t="s">
        <v>588</v>
      </c>
      <c r="E1853" s="215" t="s">
        <v>3019</v>
      </c>
      <c r="F1853" s="112" t="str">
        <f>IF(ISBLANK(E1853),"",_xlfn.XLOOKUP(E1853,cannabis_log!C:C,cannabis_log!J:J,"",0,))</f>
        <v>PR2501INF5P3</v>
      </c>
      <c r="G1853" s="112"/>
      <c r="H1853" s="112" t="str">
        <f>IF(ISBLANK(E1853),"",_xlfn.XLOOKUP(E1853,cannabis_log!C:C,cannabis_log!H:H,"",0,1))</f>
        <v>preroll_labelled</v>
      </c>
      <c r="I1853" s="113">
        <f>IF(ISBLANK(E1853),"",_xlfn.XLOOKUP(E1853,cannabis_log!C:C,cannabis_log!K:K,"NOT FOUND",0,1))</f>
        <v>45778</v>
      </c>
      <c r="J1853" s="185">
        <v>-12</v>
      </c>
      <c r="K1853" s="186">
        <f t="shared" si="102"/>
        <v>0</v>
      </c>
      <c r="L1853" s="288">
        <f t="shared" si="101"/>
        <v>-18</v>
      </c>
      <c r="M1853" s="24"/>
      <c r="N1853" s="112" t="str">
        <f>IF(ISBLANK(E1853),"",_xlfn.XLOOKUP(E1853,cannabis_log!C:C,cannabis_log!T:T,"Not Found",0,))</f>
        <v>net</v>
      </c>
      <c r="O1853" s="180">
        <f>IF(N1853="net",_xlfn.XLOOKUP(E1853,cannabis_log!C:C,cannabis_log!N:N,"NOT FOUND",0,1),IF(N1853="gross",0,""))</f>
        <v>1.5</v>
      </c>
    </row>
    <row r="1854" spans="1:15">
      <c r="A1854" s="195" t="str">
        <f t="shared" si="100"/>
        <v>outbound</v>
      </c>
      <c r="B1854" s="196">
        <v>45800.416666666664</v>
      </c>
      <c r="C1854" s="197" t="s">
        <v>1929</v>
      </c>
      <c r="D1854" s="197" t="s">
        <v>588</v>
      </c>
      <c r="E1854" s="215" t="s">
        <v>3023</v>
      </c>
      <c r="F1854" s="112" t="str">
        <f>IF(ISBLANK(E1854),"",_xlfn.XLOOKUP(E1854,cannabis_log!C:C,cannabis_log!J:J,"",0,))</f>
        <v>EX24101701G05</v>
      </c>
      <c r="G1854" s="112"/>
      <c r="H1854" s="112" t="str">
        <f>IF(ISBLANK(E1854),"",_xlfn.XLOOKUP(E1854,cannabis_log!C:C,cannabis_log!H:H,"",0,1))</f>
        <v>extract_inhaled_cased_SK_RTV</v>
      </c>
      <c r="I1854" s="113">
        <f>IF(ISBLANK(E1854),"",_xlfn.XLOOKUP(E1854,cannabis_log!C:C,cannabis_log!K:K,"NOT FOUND",0,1))</f>
        <v>45594</v>
      </c>
      <c r="J1854" s="185">
        <v>-1</v>
      </c>
      <c r="K1854" s="186">
        <f t="shared" si="102"/>
        <v>0</v>
      </c>
      <c r="L1854" s="288">
        <f t="shared" si="101"/>
        <v>-6</v>
      </c>
      <c r="M1854" s="24"/>
      <c r="N1854" s="112" t="str">
        <f>IF(ISBLANK(E1854),"",_xlfn.XLOOKUP(E1854,cannabis_log!C:C,cannabis_log!T:T,"Not Found",0,))</f>
        <v>net</v>
      </c>
      <c r="O1854" s="180">
        <f>IF(N1854="net",_xlfn.XLOOKUP(E1854,cannabis_log!C:C,cannabis_log!N:N,"NOT FOUND",0,1),IF(N1854="gross",0,""))</f>
        <v>6</v>
      </c>
    </row>
    <row r="1855" spans="1:15">
      <c r="A1855" s="195" t="str">
        <f t="shared" si="100"/>
        <v>outbound</v>
      </c>
      <c r="B1855" s="196">
        <v>45800.416666666664</v>
      </c>
      <c r="C1855" s="197" t="s">
        <v>1929</v>
      </c>
      <c r="D1855" s="197" t="s">
        <v>588</v>
      </c>
      <c r="E1855" s="215" t="s">
        <v>3052</v>
      </c>
      <c r="F1855" s="112" t="str">
        <f>IF(ISBLANK(E1855),"",_xlfn.XLOOKUP(E1855,cannabis_log!C:C,cannabis_log!J:J,"",0,))</f>
        <v>EX24082906G05</v>
      </c>
      <c r="G1855" s="112"/>
      <c r="H1855" s="112" t="str">
        <f>IF(ISBLANK(E1855),"",_xlfn.XLOOKUP(E1855,cannabis_log!C:C,cannabis_log!H:H,"",0,1))</f>
        <v>extract_inhaled_cased_MB</v>
      </c>
      <c r="I1855" s="113">
        <f>IF(ISBLANK(E1855),"",_xlfn.XLOOKUP(E1855,cannabis_log!C:C,cannabis_log!K:K,"NOT FOUND",0,1))</f>
        <v>45581</v>
      </c>
      <c r="J1855" s="185">
        <v>-1</v>
      </c>
      <c r="K1855" s="186">
        <f t="shared" si="102"/>
        <v>0</v>
      </c>
      <c r="L1855" s="288">
        <f t="shared" si="101"/>
        <v>-6</v>
      </c>
      <c r="M1855" s="24"/>
      <c r="N1855" s="112" t="str">
        <f>IF(ISBLANK(E1855),"",_xlfn.XLOOKUP(E1855,cannabis_log!C:C,cannabis_log!T:T,"Not Found",0,))</f>
        <v>NET</v>
      </c>
      <c r="O1855" s="180">
        <f>IF(N1855="net",_xlfn.XLOOKUP(E1855,cannabis_log!C:C,cannabis_log!N:N,"NOT FOUND",0,1),IF(N1855="gross",0,""))</f>
        <v>6</v>
      </c>
    </row>
    <row r="1856" spans="1:15">
      <c r="A1856" s="195" t="str">
        <f t="shared" si="100"/>
        <v>outbound</v>
      </c>
      <c r="B1856" s="196">
        <v>45800.416666666664</v>
      </c>
      <c r="C1856" s="197" t="s">
        <v>1929</v>
      </c>
      <c r="D1856" s="197" t="s">
        <v>588</v>
      </c>
      <c r="E1856" s="215" t="s">
        <v>2499</v>
      </c>
      <c r="F1856" s="112" t="str">
        <f>IF(ISBLANK(E1856),"",_xlfn.XLOOKUP(E1856,cannabis_log!C:C,cannabis_log!J:J,"",0,))</f>
        <v>2024101703G7</v>
      </c>
      <c r="G1856" s="112"/>
      <c r="H1856" s="112" t="str">
        <f>IF(ISBLANK(E1856),"",_xlfn.XLOOKUP(E1856,cannabis_log!C:C,cannabis_log!H:H,"",0,1))</f>
        <v>driedflower_labelled</v>
      </c>
      <c r="I1856" s="113">
        <f>IF(ISBLANK(E1856),"",_xlfn.XLOOKUP(E1856,cannabis_log!C:C,cannabis_log!K:K,"NOT FOUND",0,1))</f>
        <v>45618</v>
      </c>
      <c r="J1856" s="185">
        <v>-12</v>
      </c>
      <c r="K1856" s="186">
        <f t="shared" si="102"/>
        <v>0</v>
      </c>
      <c r="L1856" s="288">
        <f t="shared" si="101"/>
        <v>-84</v>
      </c>
      <c r="M1856" s="24"/>
      <c r="N1856" s="112" t="str">
        <f>IF(ISBLANK(E1856),"",_xlfn.XLOOKUP(E1856,cannabis_log!C:C,cannabis_log!T:T,"Not Found",0,))</f>
        <v>net</v>
      </c>
      <c r="O1856" s="180">
        <f>IF(N1856="net",_xlfn.XLOOKUP(E1856,cannabis_log!C:C,cannabis_log!N:N,"NOT FOUND",0,1),IF(N1856="gross",0,""))</f>
        <v>7</v>
      </c>
    </row>
    <row r="1857" spans="1:15">
      <c r="A1857" s="195" t="str">
        <f t="shared" ref="A1857:A1920" si="103">IF(ISBLANK(J1857),"",IF(J1857+K1857+L1857&lt;0,"outbound","inbound"))</f>
        <v>outbound</v>
      </c>
      <c r="B1857" s="196">
        <v>45803.416666666664</v>
      </c>
      <c r="C1857" s="197" t="s">
        <v>1929</v>
      </c>
      <c r="D1857" s="197" t="s">
        <v>3053</v>
      </c>
      <c r="E1857" s="215" t="s">
        <v>3019</v>
      </c>
      <c r="F1857" s="112" t="str">
        <f>IF(ISBLANK(E1857),"",_xlfn.XLOOKUP(E1857,cannabis_log!C:C,cannabis_log!J:J,"",0,))</f>
        <v>PR2501INF5P3</v>
      </c>
      <c r="G1857" s="112"/>
      <c r="H1857" s="112" t="str">
        <f>IF(ISBLANK(E1857),"",_xlfn.XLOOKUP(E1857,cannabis_log!C:C,cannabis_log!H:H,"",0,1))</f>
        <v>preroll_labelled</v>
      </c>
      <c r="I1857" s="113">
        <f>IF(ISBLANK(E1857),"",_xlfn.XLOOKUP(E1857,cannabis_log!C:C,cannabis_log!K:K,"NOT FOUND",0,1))</f>
        <v>45778</v>
      </c>
      <c r="J1857" s="185">
        <v>-72</v>
      </c>
      <c r="K1857" s="186">
        <f t="shared" si="102"/>
        <v>0</v>
      </c>
      <c r="L1857" s="288">
        <f t="shared" si="101"/>
        <v>-108</v>
      </c>
      <c r="M1857" s="24"/>
      <c r="N1857" s="112" t="str">
        <f>IF(ISBLANK(E1857),"",_xlfn.XLOOKUP(E1857,cannabis_log!C:C,cannabis_log!T:T,"Not Found",0,))</f>
        <v>net</v>
      </c>
      <c r="O1857" s="180">
        <f>IF(N1857="net",_xlfn.XLOOKUP(E1857,cannabis_log!C:C,cannabis_log!N:N,"NOT FOUND",0,1),IF(N1857="gross",0,""))</f>
        <v>1.5</v>
      </c>
    </row>
    <row r="1858" spans="1:15">
      <c r="A1858" s="195" t="str">
        <f t="shared" si="103"/>
        <v>outbound</v>
      </c>
      <c r="B1858" s="196">
        <v>45803.416666666664</v>
      </c>
      <c r="C1858" s="197" t="s">
        <v>1929</v>
      </c>
      <c r="D1858" s="197" t="s">
        <v>3053</v>
      </c>
      <c r="E1858" s="215" t="s">
        <v>3054</v>
      </c>
      <c r="F1858" s="112" t="str">
        <f>IF(ISBLANK(E1858),"",_xlfn.XLOOKUP(E1858,cannabis_log!C:C,cannabis_log!J:J,"",0,))</f>
        <v>ROGEX001G1</v>
      </c>
      <c r="G1858" s="112"/>
      <c r="H1858" s="112" t="str">
        <f>IF(ISBLANK(E1858),"",_xlfn.XLOOKUP(E1858,cannabis_log!C:C,cannabis_log!H:H,"",0,1))</f>
        <v>extract_inhaled_labelled_Rohan</v>
      </c>
      <c r="I1858" s="113">
        <f>IF(ISBLANK(E1858),"",_xlfn.XLOOKUP(E1858,cannabis_log!C:C,cannabis_log!K:K,"NOT FOUND",0,1))</f>
        <v>45772</v>
      </c>
      <c r="J1858" s="185">
        <v>-60</v>
      </c>
      <c r="K1858" s="186">
        <f t="shared" si="102"/>
        <v>0</v>
      </c>
      <c r="L1858" s="288">
        <f t="shared" si="101"/>
        <v>-60</v>
      </c>
      <c r="M1858" s="24"/>
      <c r="N1858" s="112" t="str">
        <f>IF(ISBLANK(E1858),"",_xlfn.XLOOKUP(E1858,cannabis_log!C:C,cannabis_log!T:T,"Not Found",0,))</f>
        <v>net</v>
      </c>
      <c r="O1858" s="180">
        <f>IF(N1858="net",_xlfn.XLOOKUP(E1858,cannabis_log!C:C,cannabis_log!N:N,"NOT FOUND",0,1),IF(N1858="gross",0,""))</f>
        <v>1</v>
      </c>
    </row>
    <row r="1859" spans="1:15">
      <c r="A1859" s="195" t="str">
        <f t="shared" si="103"/>
        <v>outbound</v>
      </c>
      <c r="B1859" s="196">
        <v>45803.416666666664</v>
      </c>
      <c r="C1859" s="197" t="s">
        <v>1929</v>
      </c>
      <c r="D1859" s="197" t="s">
        <v>3053</v>
      </c>
      <c r="E1859" s="215" t="s">
        <v>3020</v>
      </c>
      <c r="F1859" s="112" t="str">
        <f>IF(ISBLANK(E1859),"",_xlfn.XLOOKUP(E1859,cannabis_log!C:C,cannabis_log!J:J,"",0,))</f>
        <v>ROGEX001G1</v>
      </c>
      <c r="G1859" s="112"/>
      <c r="H1859" s="112" t="str">
        <f>IF(ISBLANK(E1859),"",_xlfn.XLOOKUP(E1859,cannabis_log!C:C,cannabis_log!H:H,"",0,1))</f>
        <v>extract_inhaled_labelled_Rohan</v>
      </c>
      <c r="I1859" s="113">
        <f>IF(ISBLANK(E1859),"",_xlfn.XLOOKUP(E1859,cannabis_log!C:C,cannabis_log!K:K,"NOT FOUND",0,1))</f>
        <v>45740</v>
      </c>
      <c r="J1859" s="185">
        <v>-12</v>
      </c>
      <c r="K1859" s="186">
        <f t="shared" si="102"/>
        <v>0</v>
      </c>
      <c r="L1859" s="288">
        <f t="shared" si="101"/>
        <v>-12</v>
      </c>
      <c r="M1859" s="24"/>
      <c r="N1859" s="112" t="str">
        <f>IF(ISBLANK(E1859),"",_xlfn.XLOOKUP(E1859,cannabis_log!C:C,cannabis_log!T:T,"Not Found",0,))</f>
        <v>net</v>
      </c>
      <c r="O1859" s="180">
        <f>IF(N1859="net",_xlfn.XLOOKUP(E1859,cannabis_log!C:C,cannabis_log!N:N,"NOT FOUND",0,1),IF(N1859="gross",0,""))</f>
        <v>1</v>
      </c>
    </row>
    <row r="1860" spans="1:15">
      <c r="A1860" s="195" t="str">
        <f t="shared" si="103"/>
        <v>outbound</v>
      </c>
      <c r="B1860" s="196">
        <v>45803.416666666664</v>
      </c>
      <c r="C1860" s="197" t="s">
        <v>1921</v>
      </c>
      <c r="D1860" s="197"/>
      <c r="E1860" s="215" t="s">
        <v>3055</v>
      </c>
      <c r="F1860" s="112">
        <f>IF(ISBLANK(E1860),"",_xlfn.XLOOKUP(E1860,cannabis_log!C:C,cannabis_log!J:J,"",0,))</f>
        <v>2025030701</v>
      </c>
      <c r="G1860" s="112"/>
      <c r="H1860" s="112" t="str">
        <f>IF(ISBLANK(E1860),"",_xlfn.XLOOKUP(E1860,cannabis_log!C:C,cannabis_log!H:H,"",0,1))</f>
        <v>driedflower_bulk_JEN</v>
      </c>
      <c r="I1860" s="113" t="str">
        <f>IF(ISBLANK(E1860),"",_xlfn.XLOOKUP(E1860,cannabis_log!C:C,cannabis_log!K:K,"NOT FOUND",0,1))</f>
        <v>NA</v>
      </c>
      <c r="J1860" s="185">
        <v>0</v>
      </c>
      <c r="K1860" s="186">
        <v>-4</v>
      </c>
      <c r="L1860" s="288">
        <f t="shared" si="101"/>
        <v>0</v>
      </c>
      <c r="M1860" s="24"/>
      <c r="N1860" s="112" t="str">
        <f>IF(ISBLANK(E1860),"",_xlfn.XLOOKUP(E1860,cannabis_log!C:C,cannabis_log!T:T,"Not Found",0,))</f>
        <v>gross</v>
      </c>
      <c r="O1860" s="180">
        <f>IF(N1860="net",_xlfn.XLOOKUP(E1860,cannabis_log!C:C,cannabis_log!N:N,"NOT FOUND",0,1),IF(N1860="gross",0,""))</f>
        <v>0</v>
      </c>
    </row>
    <row r="1861" spans="1:15">
      <c r="A1861" s="195" t="str">
        <f t="shared" si="103"/>
        <v>outbound</v>
      </c>
      <c r="B1861" s="196">
        <v>45803.416666666664</v>
      </c>
      <c r="C1861" s="197" t="s">
        <v>1921</v>
      </c>
      <c r="D1861" s="197"/>
      <c r="E1861" s="215" t="s">
        <v>2666</v>
      </c>
      <c r="F1861" s="112" t="str">
        <f>IF(ISBLANK(E1861),"",_xlfn.XLOOKUP(E1861,cannabis_log!C:C,cannabis_log!J:J,"",0,))</f>
        <v>PR2506</v>
      </c>
      <c r="G1861" s="112"/>
      <c r="H1861" s="112" t="str">
        <f>IF(ISBLANK(E1861),"",_xlfn.XLOOKUP(E1861,cannabis_log!C:C,cannabis_log!H:H,"",0,1))</f>
        <v>driedflower_milled_bulk_BURB</v>
      </c>
      <c r="I1861" s="113" t="str">
        <f>IF(ISBLANK(E1861),"",_xlfn.XLOOKUP(E1861,cannabis_log!C:C,cannabis_log!K:K,"NOT FOUND",0,1))</f>
        <v>NA</v>
      </c>
      <c r="J1861" s="185">
        <v>-1</v>
      </c>
      <c r="K1861" s="186">
        <f>-3435</f>
        <v>-3435</v>
      </c>
      <c r="L1861" s="288">
        <f t="shared" si="101"/>
        <v>0</v>
      </c>
      <c r="M1861" s="24"/>
      <c r="N1861" s="112" t="str">
        <f>IF(ISBLANK(E1861),"",_xlfn.XLOOKUP(E1861,cannabis_log!C:C,cannabis_log!T:T,"Not Found",0,))</f>
        <v>gross</v>
      </c>
      <c r="O1861" s="180">
        <f>IF(N1861="net",_xlfn.XLOOKUP(E1861,cannabis_log!C:C,cannabis_log!N:N,"NOT FOUND",0,1),IF(N1861="gross",0,""))</f>
        <v>0</v>
      </c>
    </row>
    <row r="1862" spans="1:15">
      <c r="A1862" s="195" t="str">
        <f t="shared" si="103"/>
        <v>outbound</v>
      </c>
      <c r="B1862" s="196">
        <v>45803.416666666664</v>
      </c>
      <c r="C1862" s="197" t="s">
        <v>1921</v>
      </c>
      <c r="D1862" s="197"/>
      <c r="E1862" s="215" t="s">
        <v>2560</v>
      </c>
      <c r="F1862" s="112" t="str">
        <f>IF(ISBLANK(E1862),"",_xlfn.XLOOKUP(E1862,cannabis_log!C:C,cannabis_log!J:J,"",0,))</f>
        <v>PR2502</v>
      </c>
      <c r="G1862" s="112"/>
      <c r="H1862" s="112" t="str">
        <f>IF(ISBLANK(E1862),"",_xlfn.XLOOKUP(E1862,cannabis_log!C:C,cannabis_log!H:H,"",0,1))</f>
        <v>driedflower_milled_bulk_BURB</v>
      </c>
      <c r="I1862" s="113" t="str">
        <f>IF(ISBLANK(E1862),"",_xlfn.XLOOKUP(E1862,cannabis_log!C:C,cannabis_log!K:K,"NOT FOUND",0,1))</f>
        <v>NA</v>
      </c>
      <c r="J1862" s="185">
        <v>-1</v>
      </c>
      <c r="K1862" s="186">
        <v>-2386</v>
      </c>
      <c r="L1862" s="288">
        <f t="shared" si="101"/>
        <v>0</v>
      </c>
      <c r="M1862" s="24"/>
      <c r="N1862" s="112" t="str">
        <f>IF(ISBLANK(E1862),"",_xlfn.XLOOKUP(E1862,cannabis_log!C:C,cannabis_log!T:T,"Not Found",0,))</f>
        <v>gross</v>
      </c>
      <c r="O1862" s="180">
        <f>IF(N1862="net",_xlfn.XLOOKUP(E1862,cannabis_log!C:C,cannabis_log!N:N,"NOT FOUND",0,1),IF(N1862="gross",0,""))</f>
        <v>0</v>
      </c>
    </row>
    <row r="1863" spans="1:15">
      <c r="A1863" s="195" t="str">
        <f t="shared" si="103"/>
        <v>outbound</v>
      </c>
      <c r="B1863" s="196">
        <v>45803.541666666664</v>
      </c>
      <c r="C1863" s="197" t="s">
        <v>1929</v>
      </c>
      <c r="D1863" s="197" t="s">
        <v>3056</v>
      </c>
      <c r="E1863" s="215" t="s">
        <v>3022</v>
      </c>
      <c r="F1863" s="112" t="str">
        <f>IF(ISBLANK(E1863),"",_xlfn.XLOOKUP(E1863,cannabis_log!C:C,cannabis_log!J:J,"",0,))</f>
        <v>PR2516F5P10</v>
      </c>
      <c r="G1863" s="112"/>
      <c r="H1863" s="112" t="str">
        <f>IF(ISBLANK(E1863),"",_xlfn.XLOOKUP(E1863,cannabis_log!C:C,cannabis_log!H:H,"",0,1))</f>
        <v>preroll_labelled</v>
      </c>
      <c r="I1863" s="113">
        <f>IF(ISBLANK(E1863),"",_xlfn.XLOOKUP(E1863,cannabis_log!C:C,cannabis_log!K:K,"NOT FOUND",0,1))</f>
        <v>45772</v>
      </c>
      <c r="J1863" s="185">
        <v>-3</v>
      </c>
      <c r="K1863" s="186">
        <f t="shared" ref="K1863:K1876" si="104">IF(N1863="net",0,"")</f>
        <v>0</v>
      </c>
      <c r="L1863" s="288">
        <f t="shared" si="101"/>
        <v>-15</v>
      </c>
      <c r="M1863" s="24"/>
      <c r="N1863" s="112" t="str">
        <f>IF(ISBLANK(E1863),"",_xlfn.XLOOKUP(E1863,cannabis_log!C:C,cannabis_log!T:T,"Not Found",0,))</f>
        <v>net</v>
      </c>
      <c r="O1863" s="180">
        <f>IF(N1863="net",_xlfn.XLOOKUP(E1863,cannabis_log!C:C,cannabis_log!N:N,"NOT FOUND",0,1),IF(N1863="gross",0,""))</f>
        <v>5</v>
      </c>
    </row>
    <row r="1864" spans="1:15">
      <c r="A1864" s="195" t="str">
        <f t="shared" si="103"/>
        <v>outbound</v>
      </c>
      <c r="B1864" s="196">
        <v>45803.541666666664</v>
      </c>
      <c r="C1864" s="197" t="s">
        <v>1929</v>
      </c>
      <c r="D1864" s="197" t="s">
        <v>3056</v>
      </c>
      <c r="E1864" s="215" t="s">
        <v>3057</v>
      </c>
      <c r="F1864" s="112" t="str">
        <f>IF(ISBLANK(E1864),"",_xlfn.XLOOKUP(E1864,cannabis_log!C:C,cannabis_log!J:J,"",0,))</f>
        <v>PR2406F5P3</v>
      </c>
      <c r="G1864" s="112"/>
      <c r="H1864" s="112" t="str">
        <f>IF(ISBLANK(E1864),"",_xlfn.XLOOKUP(E1864,cannabis_log!C:C,cannabis_log!H:H,"",0,1))</f>
        <v>preroll_labelled</v>
      </c>
      <c r="I1864" s="113">
        <f>IF(ISBLANK(E1864),"",_xlfn.XLOOKUP(E1864,cannabis_log!C:C,cannabis_log!K:K,"NOT FOUND",0,1))</f>
        <v>45728</v>
      </c>
      <c r="J1864" s="185">
        <v>-24</v>
      </c>
      <c r="K1864" s="186">
        <f t="shared" si="104"/>
        <v>0</v>
      </c>
      <c r="L1864" s="288">
        <f t="shared" si="101"/>
        <v>-36</v>
      </c>
      <c r="M1864" s="24"/>
      <c r="N1864" s="112" t="str">
        <f>IF(ISBLANK(E1864),"",_xlfn.XLOOKUP(E1864,cannabis_log!C:C,cannabis_log!T:T,"Not Found",0,))</f>
        <v>net</v>
      </c>
      <c r="O1864" s="180">
        <f>IF(N1864="net",_xlfn.XLOOKUP(E1864,cannabis_log!C:C,cannabis_log!N:N,"NOT FOUND",0,1),IF(N1864="gross",0,""))</f>
        <v>1.5</v>
      </c>
    </row>
    <row r="1865" spans="1:15">
      <c r="A1865" s="195" t="str">
        <f t="shared" si="103"/>
        <v>outbound</v>
      </c>
      <c r="B1865" s="196">
        <v>45803.541666666664</v>
      </c>
      <c r="C1865" s="197" t="s">
        <v>1929</v>
      </c>
      <c r="D1865" s="197" t="s">
        <v>3058</v>
      </c>
      <c r="E1865" s="215" t="s">
        <v>3023</v>
      </c>
      <c r="F1865" s="112" t="str">
        <f>IF(ISBLANK(E1865),"",_xlfn.XLOOKUP(E1865,cannabis_log!C:C,cannabis_log!J:J,"",0,))</f>
        <v>EX24101701G05</v>
      </c>
      <c r="G1865" s="112"/>
      <c r="H1865" s="112" t="str">
        <f>IF(ISBLANK(E1865),"",_xlfn.XLOOKUP(E1865,cannabis_log!C:C,cannabis_log!H:H,"",0,1))</f>
        <v>extract_inhaled_cased_SK_RTV</v>
      </c>
      <c r="I1865" s="113">
        <f>IF(ISBLANK(E1865),"",_xlfn.XLOOKUP(E1865,cannabis_log!C:C,cannabis_log!K:K,"NOT FOUND",0,1))</f>
        <v>45594</v>
      </c>
      <c r="J1865" s="185">
        <v>-2</v>
      </c>
      <c r="K1865" s="186">
        <f t="shared" si="104"/>
        <v>0</v>
      </c>
      <c r="L1865" s="288">
        <f t="shared" si="101"/>
        <v>-12</v>
      </c>
      <c r="M1865" s="24"/>
      <c r="N1865" s="112" t="str">
        <f>IF(ISBLANK(E1865),"",_xlfn.XLOOKUP(E1865,cannabis_log!C:C,cannabis_log!T:T,"Not Found",0,))</f>
        <v>net</v>
      </c>
      <c r="O1865" s="180">
        <f>IF(N1865="net",_xlfn.XLOOKUP(E1865,cannabis_log!C:C,cannabis_log!N:N,"NOT FOUND",0,1),IF(N1865="gross",0,""))</f>
        <v>6</v>
      </c>
    </row>
    <row r="1866" spans="1:15">
      <c r="A1866" s="195" t="str">
        <f t="shared" si="103"/>
        <v>outbound</v>
      </c>
      <c r="B1866" s="196">
        <v>45803.541666666664</v>
      </c>
      <c r="C1866" s="197" t="s">
        <v>1929</v>
      </c>
      <c r="D1866" s="197" t="s">
        <v>3059</v>
      </c>
      <c r="E1866" s="215" t="s">
        <v>3046</v>
      </c>
      <c r="F1866" s="112" t="str">
        <f>IF(ISBLANK(E1866),"",_xlfn.XLOOKUP(E1866,cannabis_log!C:C,cannabis_log!J:J,"",0,))</f>
        <v>PR241102F5P3</v>
      </c>
      <c r="G1866" s="112"/>
      <c r="H1866" s="112" t="str">
        <f>IF(ISBLANK(E1866),"",_xlfn.XLOOKUP(E1866,cannabis_log!C:C,cannabis_log!H:H,"",0,1))</f>
        <v>preroll_cased_SK_RTV</v>
      </c>
      <c r="I1866" s="113">
        <f>IF(ISBLANK(E1866),"",_xlfn.XLOOKUP(E1866,cannabis_log!C:C,cannabis_log!K:K,"NOT FOUND",0,1))</f>
        <v>45604</v>
      </c>
      <c r="J1866" s="185">
        <v>-12</v>
      </c>
      <c r="K1866" s="186">
        <f t="shared" si="104"/>
        <v>0</v>
      </c>
      <c r="L1866" s="288">
        <f t="shared" si="101"/>
        <v>-18</v>
      </c>
      <c r="M1866" s="24"/>
      <c r="N1866" s="112" t="str">
        <f>IF(ISBLANK(E1866),"",_xlfn.XLOOKUP(E1866,cannabis_log!C:C,cannabis_log!T:T,"Not Found",0,))</f>
        <v>net</v>
      </c>
      <c r="O1866" s="180">
        <f>IF(N1866="net",_xlfn.XLOOKUP(E1866,cannabis_log!C:C,cannabis_log!N:N,"NOT FOUND",0,1),IF(N1866="gross",0,""))</f>
        <v>1.5</v>
      </c>
    </row>
    <row r="1867" spans="1:15">
      <c r="A1867" s="195" t="str">
        <f t="shared" si="103"/>
        <v>outbound</v>
      </c>
      <c r="B1867" s="196">
        <v>45803.541666666664</v>
      </c>
      <c r="C1867" s="197" t="s">
        <v>1929</v>
      </c>
      <c r="D1867" s="197" t="s">
        <v>3059</v>
      </c>
      <c r="E1867" s="215" t="s">
        <v>2477</v>
      </c>
      <c r="F1867" s="112" t="str">
        <f>IF(ISBLANK(E1867),"",_xlfn.XLOOKUP(E1867,cannabis_log!C:C,cannabis_log!J:J,"",0,))</f>
        <v>PR241102F5P3</v>
      </c>
      <c r="G1867" s="112"/>
      <c r="H1867" s="112" t="str">
        <f>IF(ISBLANK(E1867),"",_xlfn.XLOOKUP(E1867,cannabis_log!C:C,cannabis_log!H:H,"",0,1))</f>
        <v>preroll_labelled</v>
      </c>
      <c r="I1867" s="113">
        <f>IF(ISBLANK(E1867),"",_xlfn.XLOOKUP(E1867,cannabis_log!C:C,cannabis_log!K:K,"NOT FOUND",0,1))</f>
        <v>45660</v>
      </c>
      <c r="J1867" s="185">
        <v>-36</v>
      </c>
      <c r="K1867" s="186">
        <f t="shared" si="104"/>
        <v>0</v>
      </c>
      <c r="L1867" s="288">
        <f t="shared" si="101"/>
        <v>-54</v>
      </c>
      <c r="M1867" s="24"/>
      <c r="N1867" s="112" t="str">
        <f>IF(ISBLANK(E1867),"",_xlfn.XLOOKUP(E1867,cannabis_log!C:C,cannabis_log!T:T,"Not Found",0,))</f>
        <v>net</v>
      </c>
      <c r="O1867" s="180">
        <f>IF(N1867="net",_xlfn.XLOOKUP(E1867,cannabis_log!C:C,cannabis_log!N:N,"NOT FOUND",0,1),IF(N1867="gross",0,""))</f>
        <v>1.5</v>
      </c>
    </row>
    <row r="1868" spans="1:15">
      <c r="A1868" s="195" t="str">
        <f t="shared" si="103"/>
        <v>outbound</v>
      </c>
      <c r="B1868" s="196">
        <v>45803.541666666664</v>
      </c>
      <c r="C1868" s="197" t="s">
        <v>1929</v>
      </c>
      <c r="D1868" s="197" t="s">
        <v>3059</v>
      </c>
      <c r="E1868" s="215" t="s">
        <v>3021</v>
      </c>
      <c r="F1868" s="112" t="str">
        <f>IF(ISBLANK(E1868),"",_xlfn.XLOOKUP(E1868,cannabis_log!C:C,cannabis_log!J:J,"",0,))</f>
        <v>PR251108F5P12</v>
      </c>
      <c r="G1868" s="112"/>
      <c r="H1868" s="112" t="str">
        <f>IF(ISBLANK(E1868),"",_xlfn.XLOOKUP(E1868,cannabis_log!C:C,cannabis_log!H:H,"",0,1))</f>
        <v>preroll_labelled</v>
      </c>
      <c r="I1868" s="113">
        <f>IF(ISBLANK(E1868),"",_xlfn.XLOOKUP(E1868,cannabis_log!C:C,cannabis_log!K:K,"NOT FOUND",0,1))</f>
        <v>45777</v>
      </c>
      <c r="J1868" s="185">
        <v>-38</v>
      </c>
      <c r="K1868" s="186">
        <f t="shared" si="104"/>
        <v>0</v>
      </c>
      <c r="L1868" s="288">
        <f t="shared" si="101"/>
        <v>-228</v>
      </c>
      <c r="M1868" s="24"/>
      <c r="N1868" s="112" t="str">
        <f>IF(ISBLANK(E1868),"",_xlfn.XLOOKUP(E1868,cannabis_log!C:C,cannabis_log!T:T,"Not Found",0,))</f>
        <v>net</v>
      </c>
      <c r="O1868" s="180">
        <f>IF(N1868="net",_xlfn.XLOOKUP(E1868,cannabis_log!C:C,cannabis_log!N:N,"NOT FOUND",0,1),IF(N1868="gross",0,""))</f>
        <v>6</v>
      </c>
    </row>
    <row r="1869" spans="1:15">
      <c r="A1869" s="195" t="str">
        <f t="shared" si="103"/>
        <v>outbound</v>
      </c>
      <c r="B1869" s="196">
        <v>45803.541666666664</v>
      </c>
      <c r="C1869" s="197" t="s">
        <v>1929</v>
      </c>
      <c r="D1869" s="197" t="s">
        <v>3059</v>
      </c>
      <c r="E1869" s="215" t="s">
        <v>3060</v>
      </c>
      <c r="F1869" s="112" t="str">
        <f>IF(ISBLANK(E1869),"",_xlfn.XLOOKUP(E1869,cannabis_log!C:C,cannabis_log!J:J,"",0,))</f>
        <v>PR251108F5P12</v>
      </c>
      <c r="G1869" s="112"/>
      <c r="H1869" s="112" t="str">
        <f>IF(ISBLANK(E1869),"",_xlfn.XLOOKUP(E1869,cannabis_log!C:C,cannabis_log!H:H,"",0,1))</f>
        <v>preroll_labelled</v>
      </c>
      <c r="I1869" s="113">
        <f>IF(ISBLANK(E1869),"",_xlfn.XLOOKUP(E1869,cannabis_log!C:C,cannabis_log!K:K,"NOT FOUND",0,1))</f>
        <v>45755</v>
      </c>
      <c r="J1869" s="185">
        <v>-119</v>
      </c>
      <c r="K1869" s="186">
        <f t="shared" si="104"/>
        <v>0</v>
      </c>
      <c r="L1869" s="288">
        <f t="shared" si="101"/>
        <v>-714</v>
      </c>
      <c r="M1869" s="24"/>
      <c r="N1869" s="112" t="str">
        <f>IF(ISBLANK(E1869),"",_xlfn.XLOOKUP(E1869,cannabis_log!C:C,cannabis_log!T:T,"Not Found",0,))</f>
        <v>net</v>
      </c>
      <c r="O1869" s="180">
        <f>IF(N1869="net",_xlfn.XLOOKUP(E1869,cannabis_log!C:C,cannabis_log!N:N,"NOT FOUND",0,1),IF(N1869="gross",0,""))</f>
        <v>6</v>
      </c>
    </row>
    <row r="1870" spans="1:15">
      <c r="A1870" s="195" t="str">
        <f t="shared" si="103"/>
        <v>outbound</v>
      </c>
      <c r="B1870" s="196">
        <v>45803.666666666664</v>
      </c>
      <c r="C1870" s="197" t="s">
        <v>1929</v>
      </c>
      <c r="D1870" s="197" t="s">
        <v>1882</v>
      </c>
      <c r="E1870" s="215" t="s">
        <v>3061</v>
      </c>
      <c r="F1870" s="112" t="str">
        <f>IF(ISBLANK(E1870),"",_xlfn.XLOOKUP(E1870,cannabis_log!C:C,cannabis_log!J:J,"",0,))</f>
        <v>PR250703F5P3</v>
      </c>
      <c r="G1870" s="112"/>
      <c r="H1870" s="112" t="str">
        <f>IF(ISBLANK(E1870),"",_xlfn.XLOOKUP(E1870,cannabis_log!C:C,cannabis_log!H:H,"",0,1))</f>
        <v>preroll_labelled</v>
      </c>
      <c r="I1870" s="113">
        <f>IF(ISBLANK(E1870),"",_xlfn.XLOOKUP(E1870,cannabis_log!C:C,cannabis_log!K:K,"NOT FOUND",0,1))</f>
        <v>45790</v>
      </c>
      <c r="J1870" s="185">
        <v>-168</v>
      </c>
      <c r="K1870" s="186">
        <f t="shared" si="104"/>
        <v>0</v>
      </c>
      <c r="L1870" s="288">
        <f t="shared" si="101"/>
        <v>-252</v>
      </c>
      <c r="M1870" s="24"/>
      <c r="N1870" s="112" t="str">
        <f>IF(ISBLANK(E1870),"",_xlfn.XLOOKUP(E1870,cannabis_log!C:C,cannabis_log!T:T,"Not Found",0,))</f>
        <v>net</v>
      </c>
      <c r="O1870" s="180">
        <f>IF(N1870="net",_xlfn.XLOOKUP(E1870,cannabis_log!C:C,cannabis_log!N:N,"NOT FOUND",0,1),IF(N1870="gross",0,""))</f>
        <v>1.5</v>
      </c>
    </row>
    <row r="1871" spans="1:15">
      <c r="A1871" s="195" t="str">
        <f t="shared" si="103"/>
        <v>outbound</v>
      </c>
      <c r="B1871" s="196">
        <v>45803.666666666664</v>
      </c>
      <c r="C1871" s="197" t="s">
        <v>1929</v>
      </c>
      <c r="D1871" s="197" t="s">
        <v>1882</v>
      </c>
      <c r="E1871" s="215" t="s">
        <v>3014</v>
      </c>
      <c r="F1871" s="112" t="str">
        <f>IF(ISBLANK(E1871),"",_xlfn.XLOOKUP(E1871,cannabis_log!C:C,cannabis_log!J:J,"",0,))</f>
        <v>EX24111306G05</v>
      </c>
      <c r="G1871" s="112"/>
      <c r="H1871" s="112" t="str">
        <f>IF(ISBLANK(E1871),"",_xlfn.XLOOKUP(E1871,cannabis_log!C:C,cannabis_log!H:H,"",0,1))</f>
        <v>extract_inhaled_cased_MB</v>
      </c>
      <c r="I1871" s="113">
        <f>IF(ISBLANK(E1871),"",_xlfn.XLOOKUP(E1871,cannabis_log!C:C,cannabis_log!K:K,"NOT FOUND",0,1))</f>
        <v>45623</v>
      </c>
      <c r="J1871" s="185">
        <v>-10</v>
      </c>
      <c r="K1871" s="186">
        <f t="shared" si="104"/>
        <v>0</v>
      </c>
      <c r="L1871" s="288">
        <f t="shared" si="101"/>
        <v>-60</v>
      </c>
      <c r="M1871" s="24"/>
      <c r="N1871" s="112" t="str">
        <f>IF(ISBLANK(E1871),"",_xlfn.XLOOKUP(E1871,cannabis_log!C:C,cannabis_log!T:T,"Not Found",0,))</f>
        <v>NET</v>
      </c>
      <c r="O1871" s="180">
        <f>IF(N1871="net",_xlfn.XLOOKUP(E1871,cannabis_log!C:C,cannabis_log!N:N,"NOT FOUND",0,1),IF(N1871="gross",0,""))</f>
        <v>6</v>
      </c>
    </row>
    <row r="1872" spans="1:15">
      <c r="A1872" s="195" t="str">
        <f t="shared" si="103"/>
        <v>outbound</v>
      </c>
      <c r="B1872" s="196">
        <v>45803.666666666664</v>
      </c>
      <c r="C1872" s="197" t="s">
        <v>1929</v>
      </c>
      <c r="D1872" s="197" t="s">
        <v>1882</v>
      </c>
      <c r="E1872" s="215" t="s">
        <v>3052</v>
      </c>
      <c r="F1872" s="112" t="str">
        <f>IF(ISBLANK(E1872),"",_xlfn.XLOOKUP(E1872,cannabis_log!C:C,cannabis_log!J:J,"",0,))</f>
        <v>EX24082906G05</v>
      </c>
      <c r="G1872" s="112"/>
      <c r="H1872" s="112" t="str">
        <f>IF(ISBLANK(E1872),"",_xlfn.XLOOKUP(E1872,cannabis_log!C:C,cannabis_log!H:H,"",0,1))</f>
        <v>extract_inhaled_cased_MB</v>
      </c>
      <c r="I1872" s="113">
        <f>IF(ISBLANK(E1872),"",_xlfn.XLOOKUP(E1872,cannabis_log!C:C,cannabis_log!K:K,"NOT FOUND",0,1))</f>
        <v>45581</v>
      </c>
      <c r="J1872" s="185">
        <v>-2</v>
      </c>
      <c r="K1872" s="186">
        <f t="shared" si="104"/>
        <v>0</v>
      </c>
      <c r="L1872" s="288">
        <f t="shared" si="101"/>
        <v>-12</v>
      </c>
      <c r="M1872" s="24"/>
      <c r="N1872" s="112" t="str">
        <f>IF(ISBLANK(E1872),"",_xlfn.XLOOKUP(E1872,cannabis_log!C:C,cannabis_log!T:T,"Not Found",0,))</f>
        <v>NET</v>
      </c>
      <c r="O1872" s="180">
        <f>IF(N1872="net",_xlfn.XLOOKUP(E1872,cannabis_log!C:C,cannabis_log!N:N,"NOT FOUND",0,1),IF(N1872="gross",0,""))</f>
        <v>6</v>
      </c>
    </row>
    <row r="1873" spans="1:15">
      <c r="A1873" s="195" t="str">
        <f t="shared" si="103"/>
        <v>outbound</v>
      </c>
      <c r="B1873" s="196">
        <v>45803.666666666664</v>
      </c>
      <c r="C1873" s="197" t="s">
        <v>1929</v>
      </c>
      <c r="D1873" s="197" t="s">
        <v>1882</v>
      </c>
      <c r="E1873" s="215" t="s">
        <v>3062</v>
      </c>
      <c r="F1873" s="112" t="str">
        <f>IF(ISBLANK(E1873),"",_xlfn.XLOOKUP(E1873,cannabis_log!C:C,cannabis_log!J:J,"",0,))</f>
        <v>EX24111306G05</v>
      </c>
      <c r="G1873" s="112"/>
      <c r="H1873" s="112" t="str">
        <f>IF(ISBLANK(E1873),"",_xlfn.XLOOKUP(E1873,cannabis_log!C:C,cannabis_log!H:H,"",0,1))</f>
        <v>extract_inhaled_cased_SK_RTV</v>
      </c>
      <c r="I1873" s="113">
        <f>IF(ISBLANK(E1873),"",_xlfn.XLOOKUP(E1873,cannabis_log!C:C,cannabis_log!K:K,"NOT FOUND",0,1))</f>
        <v>45623</v>
      </c>
      <c r="J1873" s="185">
        <v>-1</v>
      </c>
      <c r="K1873" s="186">
        <f t="shared" si="104"/>
        <v>0</v>
      </c>
      <c r="L1873" s="288">
        <f t="shared" si="101"/>
        <v>-6</v>
      </c>
      <c r="M1873" s="24"/>
      <c r="N1873" s="112" t="str">
        <f>IF(ISBLANK(E1873),"",_xlfn.XLOOKUP(E1873,cannabis_log!C:C,cannabis_log!T:T,"Not Found",0,))</f>
        <v>net</v>
      </c>
      <c r="O1873" s="180">
        <f>IF(N1873="net",_xlfn.XLOOKUP(E1873,cannabis_log!C:C,cannabis_log!N:N,"NOT FOUND",0,1),IF(N1873="gross",0,""))</f>
        <v>6</v>
      </c>
    </row>
    <row r="1874" spans="1:15">
      <c r="A1874" s="195" t="str">
        <f t="shared" si="103"/>
        <v>outbound</v>
      </c>
      <c r="B1874" s="196">
        <v>45803.666666666664</v>
      </c>
      <c r="C1874" s="197" t="s">
        <v>1929</v>
      </c>
      <c r="D1874" s="197" t="s">
        <v>1882</v>
      </c>
      <c r="E1874" s="215" t="s">
        <v>3063</v>
      </c>
      <c r="F1874" s="112" t="str">
        <f>IF(ISBLANK(E1874),"",_xlfn.XLOOKUP(E1874,cannabis_log!C:C,cannabis_log!J:J,"",0,))</f>
        <v>TP24120401G45</v>
      </c>
      <c r="G1874" s="112"/>
      <c r="H1874" s="112" t="str">
        <f>IF(ISBLANK(E1874),"",_xlfn.XLOOKUP(E1874,cannabis_log!C:C,cannabis_log!H:H,"",0,1))</f>
        <v>topical_labelled</v>
      </c>
      <c r="I1874" s="113">
        <f>IF(ISBLANK(E1874),"",_xlfn.XLOOKUP(E1874,cannabis_log!C:C,cannabis_log!K:K,"NOT FOUND",0,1))</f>
        <v>45638</v>
      </c>
      <c r="J1874" s="185">
        <v>-300</v>
      </c>
      <c r="K1874" s="186">
        <f t="shared" si="104"/>
        <v>0</v>
      </c>
      <c r="L1874" s="288">
        <f t="shared" si="101"/>
        <v>-13500</v>
      </c>
      <c r="M1874" s="24"/>
      <c r="N1874" s="112" t="str">
        <f>IF(ISBLANK(E1874),"",_xlfn.XLOOKUP(E1874,cannabis_log!C:C,cannabis_log!T:T,"Not Found",0,))</f>
        <v>net</v>
      </c>
      <c r="O1874" s="180">
        <f>IF(N1874="net",_xlfn.XLOOKUP(E1874,cannabis_log!C:C,cannabis_log!N:N,"NOT FOUND",0,1),IF(N1874="gross",0,""))</f>
        <v>45</v>
      </c>
    </row>
    <row r="1875" spans="1:15">
      <c r="A1875" s="195" t="str">
        <f t="shared" si="103"/>
        <v>outbound</v>
      </c>
      <c r="B1875" s="196">
        <v>45803.666666666664</v>
      </c>
      <c r="C1875" s="197" t="s">
        <v>1929</v>
      </c>
      <c r="D1875" s="197" t="s">
        <v>1882</v>
      </c>
      <c r="E1875" s="215" t="s">
        <v>3003</v>
      </c>
      <c r="F1875" s="112" t="str">
        <f>IF(ISBLANK(E1875),"",_xlfn.XLOOKUP(E1875,cannabis_log!C:C,cannabis_log!J:J,"",0,))</f>
        <v>TP24120401G45</v>
      </c>
      <c r="G1875" s="112"/>
      <c r="H1875" s="112" t="str">
        <f>IF(ISBLANK(E1875),"",_xlfn.XLOOKUP(E1875,cannabis_log!C:C,cannabis_log!H:H,"",0,1))</f>
        <v>topical_labelled</v>
      </c>
      <c r="I1875" s="113">
        <f>IF(ISBLANK(E1875),"",_xlfn.XLOOKUP(E1875,cannabis_log!C:C,cannabis_log!K:K,"NOT FOUND",0,1))</f>
        <v>45638</v>
      </c>
      <c r="J1875" s="185">
        <v>-51</v>
      </c>
      <c r="K1875" s="186">
        <f t="shared" si="104"/>
        <v>0</v>
      </c>
      <c r="L1875" s="288">
        <f t="shared" si="101"/>
        <v>-2295</v>
      </c>
      <c r="M1875" s="24"/>
      <c r="N1875" s="112" t="str">
        <f>IF(ISBLANK(E1875),"",_xlfn.XLOOKUP(E1875,cannabis_log!C:C,cannabis_log!T:T,"Not Found",0,))</f>
        <v>net</v>
      </c>
      <c r="O1875" s="180">
        <f>IF(N1875="net",_xlfn.XLOOKUP(E1875,cannabis_log!C:C,cannabis_log!N:N,"NOT FOUND",0,1),IF(N1875="gross",0,""))</f>
        <v>45</v>
      </c>
    </row>
    <row r="1876" spans="1:15">
      <c r="A1876" s="195" t="str">
        <f t="shared" si="103"/>
        <v>outbound</v>
      </c>
      <c r="B1876" s="196">
        <v>45803.666666666664</v>
      </c>
      <c r="C1876" s="197" t="s">
        <v>1929</v>
      </c>
      <c r="D1876" s="197" t="s">
        <v>1879</v>
      </c>
      <c r="E1876" s="215" t="s">
        <v>3040</v>
      </c>
      <c r="F1876" s="112" t="str">
        <f>IF(ISBLANK(E1876),"",_xlfn.XLOOKUP(E1876,cannabis_log!C:C,cannabis_log!J:J,"",0,))</f>
        <v>TP25021901</v>
      </c>
      <c r="G1876" s="112"/>
      <c r="H1876" s="112" t="str">
        <f>IF(ISBLANK(E1876),"",_xlfn.XLOOKUP(E1876,cannabis_log!C:C,cannabis_log!H:H,"",0,1))</f>
        <v>topical_labelled</v>
      </c>
      <c r="I1876" s="113">
        <f>IF(ISBLANK(E1876),"",_xlfn.XLOOKUP(E1876,cannabis_log!C:C,cannabis_log!K:K,"NOT FOUND",0,1))</f>
        <v>45714</v>
      </c>
      <c r="J1876" s="185">
        <v>-12</v>
      </c>
      <c r="K1876" s="186">
        <f t="shared" si="104"/>
        <v>0</v>
      </c>
      <c r="L1876" s="288">
        <f t="shared" si="101"/>
        <v>-1056</v>
      </c>
      <c r="M1876" s="24"/>
      <c r="N1876" s="112" t="str">
        <f>IF(ISBLANK(E1876),"",_xlfn.XLOOKUP(E1876,cannabis_log!C:C,cannabis_log!T:T,"Not Found",0,))</f>
        <v>net</v>
      </c>
      <c r="O1876" s="180">
        <f>IF(N1876="net",_xlfn.XLOOKUP(E1876,cannabis_log!C:C,cannabis_log!N:N,"NOT FOUND",0,1),IF(N1876="gross",0,""))</f>
        <v>88</v>
      </c>
    </row>
    <row r="1877" spans="1:15">
      <c r="A1877" s="195" t="str">
        <f t="shared" si="103"/>
        <v>outbound</v>
      </c>
      <c r="B1877" s="196">
        <v>45803.666666666664</v>
      </c>
      <c r="C1877" s="197" t="s">
        <v>1921</v>
      </c>
      <c r="D1877" s="197"/>
      <c r="E1877" s="215" t="s">
        <v>3064</v>
      </c>
      <c r="F1877" s="112" t="str">
        <f>IF(ISBLANK(E1877),"",_xlfn.XLOOKUP(E1877,cannabis_log!C:C,cannabis_log!J:J,"",0,))</f>
        <v>PR2505</v>
      </c>
      <c r="G1877" s="112"/>
      <c r="H1877" s="112" t="str">
        <f>IF(ISBLANK(E1877),"",_xlfn.XLOOKUP(E1877,cannabis_log!C:C,cannabis_log!H:H,"",0,1))</f>
        <v>driedflower_milled_bulk_BURB</v>
      </c>
      <c r="I1877" s="113" t="str">
        <f>IF(ISBLANK(E1877),"",_xlfn.XLOOKUP(E1877,cannabis_log!C:C,cannabis_log!K:K,"NOT FOUND",0,1))</f>
        <v>NA</v>
      </c>
      <c r="J1877" s="185">
        <v>-1</v>
      </c>
      <c r="K1877" s="186">
        <v>-4170</v>
      </c>
      <c r="L1877" s="288">
        <f t="shared" si="101"/>
        <v>0</v>
      </c>
      <c r="M1877" s="24"/>
      <c r="N1877" s="112" t="str">
        <f>IF(ISBLANK(E1877),"",_xlfn.XLOOKUP(E1877,cannabis_log!C:C,cannabis_log!T:T,"Not Found",0,))</f>
        <v>gross</v>
      </c>
      <c r="O1877" s="180">
        <f>IF(N1877="net",_xlfn.XLOOKUP(E1877,cannabis_log!C:C,cannabis_log!N:N,"NOT FOUND",0,1),IF(N1877="gross",0,""))</f>
        <v>0</v>
      </c>
    </row>
    <row r="1878" spans="1:15">
      <c r="A1878" s="195" t="str">
        <f t="shared" si="103"/>
        <v>outbound</v>
      </c>
      <c r="B1878" s="196">
        <v>45804.708333333336</v>
      </c>
      <c r="C1878" s="197" t="s">
        <v>1929</v>
      </c>
      <c r="D1878" s="197" t="s">
        <v>3065</v>
      </c>
      <c r="E1878" s="215" t="s">
        <v>2528</v>
      </c>
      <c r="F1878" s="112" t="str">
        <f>IF(ISBLANK(E1878),"",_xlfn.XLOOKUP(E1878,cannabis_log!C:C,cannabis_log!J:J,"",0,))</f>
        <v>EX24101704G05</v>
      </c>
      <c r="G1878" s="112"/>
      <c r="H1878" s="112" t="str">
        <f>IF(ISBLANK(E1878),"",_xlfn.XLOOKUP(E1878,cannabis_log!C:C,cannabis_log!H:H,"",0,1))</f>
        <v>extract_inhaled_labelled</v>
      </c>
      <c r="I1878" s="113">
        <f>IF(ISBLANK(E1878),"",_xlfn.XLOOKUP(E1878,cannabis_log!C:C,cannabis_log!K:K,"NOT FOUND",0,1))</f>
        <v>45625</v>
      </c>
      <c r="J1878" s="185">
        <v>-1</v>
      </c>
      <c r="K1878" s="186">
        <f>IF(N1878="net",0,"")</f>
        <v>0</v>
      </c>
      <c r="L1878" s="288">
        <f t="shared" si="101"/>
        <v>-0.5</v>
      </c>
      <c r="M1878" s="24"/>
      <c r="N1878" s="112" t="str">
        <f>IF(ISBLANK(E1878),"",_xlfn.XLOOKUP(E1878,cannabis_log!C:C,cannabis_log!T:T,"Not Found",0,))</f>
        <v>net</v>
      </c>
      <c r="O1878" s="180">
        <f>IF(N1878="net",_xlfn.XLOOKUP(E1878,cannabis_log!C:C,cannabis_log!N:N,"NOT FOUND",0,1),IF(N1878="gross",0,""))</f>
        <v>0.5</v>
      </c>
    </row>
    <row r="1879" spans="1:15">
      <c r="A1879" s="195" t="str">
        <f t="shared" si="103"/>
        <v>outbound</v>
      </c>
      <c r="B1879" s="196">
        <v>45805.393750000003</v>
      </c>
      <c r="C1879" s="197" t="s">
        <v>1921</v>
      </c>
      <c r="D1879" s="197" t="s">
        <v>3066</v>
      </c>
      <c r="E1879" s="215" t="s">
        <v>3067</v>
      </c>
      <c r="F1879" s="112">
        <f>IF(ISBLANK(E1879),"",_xlfn.XLOOKUP(E1879,cannabis_log!C:C,cannabis_log!J:J,"",0,))</f>
        <v>2025052701</v>
      </c>
      <c r="G1879" s="112"/>
      <c r="H1879" s="112" t="str">
        <f>IF(ISBLANK(E1879),"",_xlfn.XLOOKUP(E1879,cannabis_log!C:C,cannabis_log!H:H,"",0,1))</f>
        <v>extract_distillate_bulk</v>
      </c>
      <c r="I1879" s="113" t="str">
        <f>IF(ISBLANK(E1879),"",_xlfn.XLOOKUP(E1879,cannabis_log!C:C,cannabis_log!K:K,"NOT FOUND",0,1))</f>
        <v>NA</v>
      </c>
      <c r="J1879" s="185">
        <v>-1</v>
      </c>
      <c r="K1879" s="186">
        <v>-1938</v>
      </c>
      <c r="L1879" s="288">
        <f t="shared" si="101"/>
        <v>0</v>
      </c>
      <c r="M1879" s="24"/>
      <c r="N1879" s="112" t="str">
        <f>IF(ISBLANK(E1879),"",_xlfn.XLOOKUP(E1879,cannabis_log!C:C,cannabis_log!T:T,"Not Found",0,))</f>
        <v>gross</v>
      </c>
      <c r="O1879" s="180">
        <f>IF(N1879="net",_xlfn.XLOOKUP(E1879,cannabis_log!C:C,cannabis_log!N:N,"NOT FOUND",0,1),IF(N1879="gross",0,""))</f>
        <v>0</v>
      </c>
    </row>
    <row r="1880" spans="1:15">
      <c r="A1880" s="195" t="str">
        <f t="shared" si="103"/>
        <v>outbound</v>
      </c>
      <c r="B1880" s="196">
        <v>45805.393750000003</v>
      </c>
      <c r="C1880" s="197" t="s">
        <v>1921</v>
      </c>
      <c r="D1880" s="197" t="s">
        <v>3066</v>
      </c>
      <c r="E1880" s="215" t="s">
        <v>3068</v>
      </c>
      <c r="F1880" s="112">
        <f>IF(ISBLANK(E1880),"",_xlfn.XLOOKUP(E1880,cannabis_log!C:C,cannabis_log!J:J,"",0,))</f>
        <v>2025021301</v>
      </c>
      <c r="G1880" s="112"/>
      <c r="H1880" s="112" t="str">
        <f>IF(ISBLANK(E1880),"",_xlfn.XLOOKUP(E1880,cannabis_log!C:C,cannabis_log!H:H,"",0,1))</f>
        <v>driedflower_bulk</v>
      </c>
      <c r="I1880" s="113" t="str">
        <f>IF(ISBLANK(E1880),"",_xlfn.XLOOKUP(E1880,cannabis_log!C:C,cannabis_log!K:K,"NOT FOUND",0,1))</f>
        <v>NA</v>
      </c>
      <c r="J1880" s="185">
        <v>-1</v>
      </c>
      <c r="K1880" s="186">
        <v>-660</v>
      </c>
      <c r="L1880" s="288">
        <f t="shared" si="101"/>
        <v>0</v>
      </c>
      <c r="M1880" s="24"/>
      <c r="N1880" s="112" t="str">
        <f>IF(ISBLANK(E1880),"",_xlfn.XLOOKUP(E1880,cannabis_log!C:C,cannabis_log!T:T,"Not Found",0,))</f>
        <v>gross</v>
      </c>
      <c r="O1880" s="180">
        <f>IF(N1880="net",_xlfn.XLOOKUP(E1880,cannabis_log!C:C,cannabis_log!N:N,"NOT FOUND",0,1),IF(N1880="gross",0,""))</f>
        <v>0</v>
      </c>
    </row>
    <row r="1881" spans="1:15">
      <c r="A1881" s="195" t="str">
        <f t="shared" si="103"/>
        <v>outbound</v>
      </c>
      <c r="B1881" s="196">
        <v>45805.393750000003</v>
      </c>
      <c r="C1881" s="197" t="s">
        <v>1921</v>
      </c>
      <c r="D1881" s="197" t="s">
        <v>3066</v>
      </c>
      <c r="E1881" s="215" t="s">
        <v>3069</v>
      </c>
      <c r="F1881" s="112">
        <f>IF(ISBLANK(E1881),"",_xlfn.XLOOKUP(E1881,cannabis_log!C:C,cannabis_log!J:J,"",0,))</f>
        <v>2025021301</v>
      </c>
      <c r="G1881" s="112"/>
      <c r="H1881" s="112" t="str">
        <f>IF(ISBLANK(E1881),"",_xlfn.XLOOKUP(E1881,cannabis_log!C:C,cannabis_log!H:H,"",0,1))</f>
        <v>driedflower_bulk</v>
      </c>
      <c r="I1881" s="113" t="str">
        <f>IF(ISBLANK(E1881),"",_xlfn.XLOOKUP(E1881,cannabis_log!C:C,cannabis_log!K:K,"NOT FOUND",0,1))</f>
        <v>NA</v>
      </c>
      <c r="J1881" s="185">
        <v>-1</v>
      </c>
      <c r="K1881" s="186">
        <v>-108</v>
      </c>
      <c r="L1881" s="288">
        <f t="shared" si="101"/>
        <v>0</v>
      </c>
      <c r="M1881" s="24"/>
      <c r="N1881" s="112" t="str">
        <f>IF(ISBLANK(E1881),"",_xlfn.XLOOKUP(E1881,cannabis_log!C:C,cannabis_log!T:T,"Not Found",0,))</f>
        <v>gross</v>
      </c>
      <c r="O1881" s="180">
        <f>IF(N1881="net",_xlfn.XLOOKUP(E1881,cannabis_log!C:C,cannabis_log!N:N,"NOT FOUND",0,1),IF(N1881="gross",0,""))</f>
        <v>0</v>
      </c>
    </row>
    <row r="1882" spans="1:15">
      <c r="A1882" s="195" t="str">
        <f t="shared" si="103"/>
        <v>outbound</v>
      </c>
      <c r="B1882" s="196">
        <v>45805.393750000003</v>
      </c>
      <c r="C1882" s="197" t="s">
        <v>1921</v>
      </c>
      <c r="D1882" s="197" t="s">
        <v>3066</v>
      </c>
      <c r="E1882" s="215" t="s">
        <v>3070</v>
      </c>
      <c r="F1882" s="112">
        <f>IF(ISBLANK(E1882),"",_xlfn.XLOOKUP(E1882,cannabis_log!C:C,cannabis_log!J:J,"",0,))</f>
        <v>2025021301</v>
      </c>
      <c r="G1882" s="112"/>
      <c r="H1882" s="112" t="str">
        <f>IF(ISBLANK(E1882),"",_xlfn.XLOOKUP(E1882,cannabis_log!C:C,cannabis_log!H:H,"",0,1))</f>
        <v>driedflower_bulk</v>
      </c>
      <c r="I1882" s="113" t="str">
        <f>IF(ISBLANK(E1882),"",_xlfn.XLOOKUP(E1882,cannabis_log!C:C,cannabis_log!K:K,"NOT FOUND",0,1))</f>
        <v>NA</v>
      </c>
      <c r="J1882" s="185">
        <v>-1</v>
      </c>
      <c r="K1882" s="186">
        <v>-660</v>
      </c>
      <c r="L1882" s="288">
        <f t="shared" si="101"/>
        <v>0</v>
      </c>
      <c r="M1882" s="24"/>
      <c r="N1882" s="112" t="str">
        <f>IF(ISBLANK(E1882),"",_xlfn.XLOOKUP(E1882,cannabis_log!C:C,cannabis_log!T:T,"Not Found",0,))</f>
        <v>gross</v>
      </c>
      <c r="O1882" s="180">
        <f>IF(N1882="net",_xlfn.XLOOKUP(E1882,cannabis_log!C:C,cannabis_log!N:N,"NOT FOUND",0,1),IF(N1882="gross",0,""))</f>
        <v>0</v>
      </c>
    </row>
    <row r="1883" spans="1:15">
      <c r="A1883" s="195" t="str">
        <f t="shared" si="103"/>
        <v>outbound</v>
      </c>
      <c r="B1883" s="196">
        <v>45805.393750000003</v>
      </c>
      <c r="C1883" s="197" t="s">
        <v>1921</v>
      </c>
      <c r="D1883" s="197" t="s">
        <v>3066</v>
      </c>
      <c r="E1883" s="215" t="s">
        <v>3071</v>
      </c>
      <c r="F1883" s="112">
        <f>IF(ISBLANK(E1883),"",_xlfn.XLOOKUP(E1883,cannabis_log!C:C,cannabis_log!J:J,"",0,))</f>
        <v>2025021303</v>
      </c>
      <c r="G1883" s="112"/>
      <c r="H1883" s="112" t="str">
        <f>IF(ISBLANK(E1883),"",_xlfn.XLOOKUP(E1883,cannabis_log!C:C,cannabis_log!H:H,"",0,1))</f>
        <v>infusedflower_bulk</v>
      </c>
      <c r="I1883" s="113" t="str">
        <f>IF(ISBLANK(E1883),"",_xlfn.XLOOKUP(E1883,cannabis_log!C:C,cannabis_log!K:K,"NOT FOUND",0,1))</f>
        <v>NA</v>
      </c>
      <c r="J1883" s="185">
        <v>-1</v>
      </c>
      <c r="K1883" s="186">
        <v>-555</v>
      </c>
      <c r="L1883" s="288">
        <f t="shared" si="101"/>
        <v>0</v>
      </c>
      <c r="M1883" s="24"/>
      <c r="N1883" s="112" t="str">
        <f>IF(ISBLANK(E1883),"",_xlfn.XLOOKUP(E1883,cannabis_log!C:C,cannabis_log!T:T,"Not Found",0,))</f>
        <v>gross</v>
      </c>
      <c r="O1883" s="180">
        <f>IF(N1883="net",_xlfn.XLOOKUP(E1883,cannabis_log!C:C,cannabis_log!N:N,"NOT FOUND",0,1),IF(N1883="gross",0,""))</f>
        <v>0</v>
      </c>
    </row>
    <row r="1884" spans="1:15">
      <c r="A1884" s="195" t="str">
        <f t="shared" si="103"/>
        <v>inbound</v>
      </c>
      <c r="B1884" s="196">
        <v>45805.393750000003</v>
      </c>
      <c r="C1884" s="197" t="s">
        <v>1927</v>
      </c>
      <c r="D1884" s="197"/>
      <c r="E1884" s="215" t="s">
        <v>3014</v>
      </c>
      <c r="F1884" s="112" t="str">
        <f>IF(ISBLANK(E1884),"",_xlfn.XLOOKUP(E1884,cannabis_log!C:C,cannabis_log!J:J,"",0,))</f>
        <v>EX24111306G05</v>
      </c>
      <c r="G1884" s="112"/>
      <c r="H1884" s="112" t="str">
        <f>IF(ISBLANK(E1884),"",_xlfn.XLOOKUP(E1884,cannabis_log!C:C,cannabis_log!H:H,"",0,1))</f>
        <v>extract_inhaled_cased_MB</v>
      </c>
      <c r="I1884" s="113">
        <f>IF(ISBLANK(E1884),"",_xlfn.XLOOKUP(E1884,cannabis_log!C:C,cannabis_log!K:K,"NOT FOUND",0,1))</f>
        <v>45623</v>
      </c>
      <c r="J1884" s="185">
        <v>1</v>
      </c>
      <c r="K1884" s="186">
        <f>IF(N1884="net",0,"")</f>
        <v>0</v>
      </c>
      <c r="L1884" s="288">
        <f t="shared" si="101"/>
        <v>6</v>
      </c>
      <c r="M1884" s="24"/>
      <c r="N1884" s="112" t="str">
        <f>IF(ISBLANK(E1884),"",_xlfn.XLOOKUP(E1884,cannabis_log!C:C,cannabis_log!T:T,"Not Found",0,))</f>
        <v>NET</v>
      </c>
      <c r="O1884" s="180">
        <f>IF(N1884="net",_xlfn.XLOOKUP(E1884,cannabis_log!C:C,cannabis_log!N:N,"NOT FOUND",0,1),IF(N1884="gross",0,""))</f>
        <v>6</v>
      </c>
    </row>
    <row r="1885" spans="1:15">
      <c r="A1885" s="195" t="str">
        <f t="shared" si="103"/>
        <v>inbound</v>
      </c>
      <c r="B1885" s="196">
        <v>45805.393750000003</v>
      </c>
      <c r="C1885" s="197" t="s">
        <v>1927</v>
      </c>
      <c r="D1885" s="197"/>
      <c r="E1885" s="215" t="s">
        <v>3052</v>
      </c>
      <c r="F1885" s="112" t="str">
        <f>IF(ISBLANK(E1885),"",_xlfn.XLOOKUP(E1885,cannabis_log!C:C,cannabis_log!J:J,"",0,))</f>
        <v>EX24082906G05</v>
      </c>
      <c r="G1885" s="112"/>
      <c r="H1885" s="112" t="str">
        <f>IF(ISBLANK(E1885),"",_xlfn.XLOOKUP(E1885,cannabis_log!C:C,cannabis_log!H:H,"",0,1))</f>
        <v>extract_inhaled_cased_MB</v>
      </c>
      <c r="I1885" s="113">
        <f>IF(ISBLANK(E1885),"",_xlfn.XLOOKUP(E1885,cannabis_log!C:C,cannabis_log!K:K,"NOT FOUND",0,1))</f>
        <v>45581</v>
      </c>
      <c r="J1885" s="185">
        <v>1</v>
      </c>
      <c r="K1885" s="186">
        <f>IF(N1885="net",0,"")</f>
        <v>0</v>
      </c>
      <c r="L1885" s="288">
        <f t="shared" si="101"/>
        <v>6</v>
      </c>
      <c r="M1885" s="24"/>
      <c r="N1885" s="112" t="str">
        <f>IF(ISBLANK(E1885),"",_xlfn.XLOOKUP(E1885,cannabis_log!C:C,cannabis_log!T:T,"Not Found",0,))</f>
        <v>NET</v>
      </c>
      <c r="O1885" s="180">
        <f>IF(N1885="net",_xlfn.XLOOKUP(E1885,cannabis_log!C:C,cannabis_log!N:N,"NOT FOUND",0,1),IF(N1885="gross",0,""))</f>
        <v>6</v>
      </c>
    </row>
    <row r="1886" spans="1:15">
      <c r="A1886" s="195" t="str">
        <f t="shared" si="103"/>
        <v>outbound</v>
      </c>
      <c r="B1886" s="196">
        <v>45805.393750000003</v>
      </c>
      <c r="C1886" s="197" t="s">
        <v>1921</v>
      </c>
      <c r="D1886" s="197" t="s">
        <v>3066</v>
      </c>
      <c r="E1886" s="215" t="s">
        <v>2660</v>
      </c>
      <c r="F1886" s="112">
        <f>IF(ISBLANK(E1886),"",_xlfn.XLOOKUP(E1886,cannabis_log!C:C,cannabis_log!J:J,"",0,))</f>
        <v>2025021301</v>
      </c>
      <c r="G1886" s="112"/>
      <c r="H1886" s="112" t="str">
        <f>IF(ISBLANK(E1886),"",_xlfn.XLOOKUP(E1886,cannabis_log!C:C,cannabis_log!H:H,"",0,1))</f>
        <v>driedflower_bulk</v>
      </c>
      <c r="I1886" s="113" t="str">
        <f>IF(ISBLANK(E1886),"",_xlfn.XLOOKUP(E1886,cannabis_log!C:C,cannabis_log!K:K,"NOT FOUND",0,1))</f>
        <v>NA</v>
      </c>
      <c r="J1886" s="185">
        <v>-1</v>
      </c>
      <c r="K1886" s="186">
        <v>-980</v>
      </c>
      <c r="L1886" s="288">
        <f t="shared" si="101"/>
        <v>0</v>
      </c>
      <c r="M1886" s="24"/>
      <c r="N1886" s="112" t="str">
        <f>IF(ISBLANK(E1886),"",_xlfn.XLOOKUP(E1886,cannabis_log!C:C,cannabis_log!T:T,"Not Found",0,))</f>
        <v>gross</v>
      </c>
      <c r="O1886" s="180">
        <f>IF(N1886="net",_xlfn.XLOOKUP(E1886,cannabis_log!C:C,cannabis_log!N:N,"NOT FOUND",0,1),IF(N1886="gross",0,""))</f>
        <v>0</v>
      </c>
    </row>
    <row r="1887" spans="1:15">
      <c r="A1887" s="195" t="str">
        <f t="shared" si="103"/>
        <v>outbound</v>
      </c>
      <c r="B1887" s="196">
        <v>45806.393750000003</v>
      </c>
      <c r="C1887" s="197" t="s">
        <v>1924</v>
      </c>
      <c r="D1887" s="197" t="s">
        <v>3072</v>
      </c>
      <c r="E1887" s="215" t="s">
        <v>3073</v>
      </c>
      <c r="F1887" s="112" t="str">
        <f>IF(ISBLANK(E1887),"",_xlfn.XLOOKUP(E1887,cannabis_log!C:C,cannabis_log!J:J,"",0,))</f>
        <v>PR2518</v>
      </c>
      <c r="G1887" s="112"/>
      <c r="H1887" s="112" t="str">
        <f>IF(ISBLANK(E1887),"",_xlfn.XLOOKUP(E1887,cannabis_log!C:C,cannabis_log!H:H,"",0,1))</f>
        <v>driedflower_milled_bulk_Rohan</v>
      </c>
      <c r="I1887" s="113" t="str">
        <f>IF(ISBLANK(E1887),"",_xlfn.XLOOKUP(E1887,cannabis_log!C:C,cannabis_log!K:K,"NOT FOUND",0,1))</f>
        <v>NA</v>
      </c>
      <c r="J1887" s="185">
        <v>0</v>
      </c>
      <c r="K1887" s="186">
        <f>3880-3902</f>
        <v>-22</v>
      </c>
      <c r="L1887" s="288">
        <f t="shared" si="101"/>
        <v>0</v>
      </c>
      <c r="M1887" s="24"/>
      <c r="N1887" s="112" t="str">
        <f>IF(ISBLANK(E1887),"",_xlfn.XLOOKUP(E1887,cannabis_log!C:C,cannabis_log!T:T,"Not Found",0,))</f>
        <v>gross</v>
      </c>
      <c r="O1887" s="180">
        <f>IF(N1887="net",_xlfn.XLOOKUP(E1887,cannabis_log!C:C,cannabis_log!N:N,"NOT FOUND",0,1),IF(N1887="gross",0,""))</f>
        <v>0</v>
      </c>
    </row>
    <row r="1888" spans="1:15">
      <c r="A1888" s="195" t="str">
        <f t="shared" si="103"/>
        <v>outbound</v>
      </c>
      <c r="B1888" s="196">
        <v>45806.393750000003</v>
      </c>
      <c r="C1888" s="197" t="s">
        <v>1924</v>
      </c>
      <c r="D1888" s="197" t="s">
        <v>3072</v>
      </c>
      <c r="E1888" s="215" t="s">
        <v>2212</v>
      </c>
      <c r="F1888" s="112" t="str">
        <f>IF(ISBLANK(E1888),"",_xlfn.XLOOKUP(E1888,cannabis_log!C:C,cannabis_log!J:J,"",0,))</f>
        <v>EX24082902G05</v>
      </c>
      <c r="G1888" s="112"/>
      <c r="H1888" s="112" t="str">
        <f>IF(ISBLANK(E1888),"",_xlfn.XLOOKUP(E1888,cannabis_log!C:C,cannabis_log!H:H,"",0,1))</f>
        <v>extract_inhaled_labelled</v>
      </c>
      <c r="I1888" s="113">
        <f>IF(ISBLANK(E1888),"",_xlfn.XLOOKUP(E1888,cannabis_log!C:C,cannabis_log!K:K,"NOT FOUND",0,1))</f>
        <v>45569</v>
      </c>
      <c r="J1888" s="185">
        <v>-1</v>
      </c>
      <c r="K1888" s="186">
        <f t="shared" ref="K1888:K1904" si="105">IF(N1888="net",0,"")</f>
        <v>0</v>
      </c>
      <c r="L1888" s="288">
        <f t="shared" si="101"/>
        <v>-0.5</v>
      </c>
      <c r="M1888" s="24"/>
      <c r="N1888" s="112" t="str">
        <f>IF(ISBLANK(E1888),"",_xlfn.XLOOKUP(E1888,cannabis_log!C:C,cannabis_log!T:T,"Not Found",0,))</f>
        <v>net</v>
      </c>
      <c r="O1888" s="180">
        <f>IF(N1888="net",_xlfn.XLOOKUP(E1888,cannabis_log!C:C,cannabis_log!N:N,"NOT FOUND",0,1),IF(N1888="gross",0,""))</f>
        <v>0.5</v>
      </c>
    </row>
    <row r="1889" spans="1:15">
      <c r="A1889" s="195" t="str">
        <f t="shared" si="103"/>
        <v>outbound</v>
      </c>
      <c r="B1889" s="196">
        <v>45806.393750000003</v>
      </c>
      <c r="C1889" s="197" t="s">
        <v>1924</v>
      </c>
      <c r="D1889" s="197" t="s">
        <v>3072</v>
      </c>
      <c r="E1889" s="215" t="s">
        <v>3074</v>
      </c>
      <c r="F1889" s="112" t="str">
        <f>IF(ISBLANK(E1889),"",_xlfn.XLOOKUP(E1889,cannabis_log!C:C,cannabis_log!J:J,"",0,))</f>
        <v>EX25020601G05</v>
      </c>
      <c r="G1889" s="112"/>
      <c r="H1889" s="112" t="str">
        <f>IF(ISBLANK(E1889),"",_xlfn.XLOOKUP(E1889,cannabis_log!C:C,cannabis_log!H:H,"",0,1))</f>
        <v>extract_inhaled_labelled</v>
      </c>
      <c r="I1889" s="113">
        <f>IF(ISBLANK(E1889),"",_xlfn.XLOOKUP(E1889,cannabis_log!C:C,cannabis_log!K:K,"NOT FOUND",0,1))</f>
        <v>45702</v>
      </c>
      <c r="J1889" s="185">
        <v>-1</v>
      </c>
      <c r="K1889" s="186">
        <f t="shared" si="105"/>
        <v>0</v>
      </c>
      <c r="L1889" s="288">
        <f t="shared" si="101"/>
        <v>-0.5</v>
      </c>
      <c r="M1889" s="24"/>
      <c r="N1889" s="112" t="str">
        <f>IF(ISBLANK(E1889),"",_xlfn.XLOOKUP(E1889,cannabis_log!C:C,cannabis_log!T:T,"Not Found",0,))</f>
        <v>net</v>
      </c>
      <c r="O1889" s="180">
        <f>IF(N1889="net",_xlfn.XLOOKUP(E1889,cannabis_log!C:C,cannabis_log!N:N,"NOT FOUND",0,1),IF(N1889="gross",0,""))</f>
        <v>0.5</v>
      </c>
    </row>
    <row r="1890" spans="1:15">
      <c r="A1890" s="195" t="str">
        <f t="shared" si="103"/>
        <v>outbound</v>
      </c>
      <c r="B1890" s="196">
        <v>45806.393750000003</v>
      </c>
      <c r="C1890" s="197" t="s">
        <v>1924</v>
      </c>
      <c r="D1890" s="197" t="s">
        <v>3072</v>
      </c>
      <c r="E1890" s="215" t="s">
        <v>2456</v>
      </c>
      <c r="F1890" s="112" t="str">
        <f>IF(ISBLANK(E1890),"",_xlfn.XLOOKUP(E1890,cannabis_log!C:C,cannabis_log!J:J,"",0,))</f>
        <v>EX24101703G05</v>
      </c>
      <c r="G1890" s="112"/>
      <c r="H1890" s="112" t="str">
        <f>IF(ISBLANK(E1890),"",_xlfn.XLOOKUP(E1890,cannabis_log!C:C,cannabis_log!H:H,"",0,1))</f>
        <v>extract_inhaled_labelled</v>
      </c>
      <c r="I1890" s="113">
        <f>IF(ISBLANK(E1890),"",_xlfn.XLOOKUP(E1890,cannabis_log!C:C,cannabis_log!K:K,"NOT FOUND",0,1))</f>
        <v>45603</v>
      </c>
      <c r="J1890" s="185">
        <v>-1</v>
      </c>
      <c r="K1890" s="186">
        <f t="shared" si="105"/>
        <v>0</v>
      </c>
      <c r="L1890" s="288">
        <f t="shared" si="101"/>
        <v>-0.5</v>
      </c>
      <c r="M1890" s="24"/>
      <c r="N1890" s="112" t="str">
        <f>IF(ISBLANK(E1890),"",_xlfn.XLOOKUP(E1890,cannabis_log!C:C,cannabis_log!T:T,"Not Found",0,))</f>
        <v>net</v>
      </c>
      <c r="O1890" s="180">
        <f>IF(N1890="net",_xlfn.XLOOKUP(E1890,cannabis_log!C:C,cannabis_log!N:N,"NOT FOUND",0,1),IF(N1890="gross",0,""))</f>
        <v>0.5</v>
      </c>
    </row>
    <row r="1891" spans="1:15">
      <c r="A1891" s="195" t="str">
        <f t="shared" si="103"/>
        <v>outbound</v>
      </c>
      <c r="B1891" s="196">
        <v>45806.393750000003</v>
      </c>
      <c r="C1891" s="197" t="s">
        <v>1924</v>
      </c>
      <c r="D1891" s="197" t="s">
        <v>3072</v>
      </c>
      <c r="E1891" s="215" t="s">
        <v>2415</v>
      </c>
      <c r="F1891" s="112" t="str">
        <f>IF(ISBLANK(E1891),"",_xlfn.XLOOKUP(E1891,cannabis_log!C:C,cannabis_log!J:J,"",0,))</f>
        <v>EX24101701G05</v>
      </c>
      <c r="G1891" s="112"/>
      <c r="H1891" s="112" t="str">
        <f>IF(ISBLANK(E1891),"",_xlfn.XLOOKUP(E1891,cannabis_log!C:C,cannabis_log!H:H,"",0,1))</f>
        <v>extract_inhaled_labelled</v>
      </c>
      <c r="I1891" s="113">
        <f>IF(ISBLANK(E1891),"",_xlfn.XLOOKUP(E1891,cannabis_log!C:C,cannabis_log!K:K,"NOT FOUND",0,1))</f>
        <v>45618</v>
      </c>
      <c r="J1891" s="185">
        <v>-1</v>
      </c>
      <c r="K1891" s="186">
        <f t="shared" si="105"/>
        <v>0</v>
      </c>
      <c r="L1891" s="288">
        <f t="shared" si="101"/>
        <v>-0.5</v>
      </c>
      <c r="M1891" s="24"/>
      <c r="N1891" s="112" t="str">
        <f>IF(ISBLANK(E1891),"",_xlfn.XLOOKUP(E1891,cannabis_log!C:C,cannabis_log!T:T,"Not Found",0,))</f>
        <v>net</v>
      </c>
      <c r="O1891" s="180">
        <f>IF(N1891="net",_xlfn.XLOOKUP(E1891,cannabis_log!C:C,cannabis_log!N:N,"NOT FOUND",0,1),IF(N1891="gross",0,""))</f>
        <v>0.5</v>
      </c>
    </row>
    <row r="1892" spans="1:15">
      <c r="A1892" s="195" t="str">
        <f t="shared" si="103"/>
        <v>outbound</v>
      </c>
      <c r="B1892" s="196">
        <v>45806.393750000003</v>
      </c>
      <c r="C1892" s="197" t="s">
        <v>1929</v>
      </c>
      <c r="D1892" s="15" t="s">
        <v>3075</v>
      </c>
      <c r="E1892" s="215" t="s">
        <v>3040</v>
      </c>
      <c r="F1892" s="112" t="str">
        <f>IF(ISBLANK(E1892),"",_xlfn.XLOOKUP(E1892,cannabis_log!C:C,cannabis_log!J:J,"",0,))</f>
        <v>TP25021901</v>
      </c>
      <c r="G1892" s="112"/>
      <c r="H1892" s="112" t="str">
        <f>IF(ISBLANK(E1892),"",_xlfn.XLOOKUP(E1892,cannabis_log!C:C,cannabis_log!H:H,"",0,1))</f>
        <v>topical_labelled</v>
      </c>
      <c r="I1892" s="113">
        <f>IF(ISBLANK(E1892),"",_xlfn.XLOOKUP(E1892,cannabis_log!C:C,cannabis_log!K:K,"NOT FOUND",0,1))</f>
        <v>45714</v>
      </c>
      <c r="J1892" s="185">
        <v>-12</v>
      </c>
      <c r="K1892" s="186">
        <f t="shared" si="105"/>
        <v>0</v>
      </c>
      <c r="L1892" s="288">
        <f t="shared" si="101"/>
        <v>-1056</v>
      </c>
      <c r="M1892" s="24"/>
      <c r="N1892" s="112" t="str">
        <f>IF(ISBLANK(E1892),"",_xlfn.XLOOKUP(E1892,cannabis_log!C:C,cannabis_log!T:T,"Not Found",0,))</f>
        <v>net</v>
      </c>
      <c r="O1892" s="180">
        <f>IF(N1892="net",_xlfn.XLOOKUP(E1892,cannabis_log!C:C,cannabis_log!N:N,"NOT FOUND",0,1),IF(N1892="gross",0,""))</f>
        <v>88</v>
      </c>
    </row>
    <row r="1893" spans="1:15">
      <c r="A1893" s="195" t="str">
        <f t="shared" si="103"/>
        <v>outbound</v>
      </c>
      <c r="B1893" s="196">
        <v>45806.393750000003</v>
      </c>
      <c r="C1893" s="197" t="s">
        <v>1929</v>
      </c>
      <c r="D1893" s="197"/>
      <c r="E1893" s="215" t="s">
        <v>3076</v>
      </c>
      <c r="F1893" s="112" t="str">
        <f>IF(ISBLANK(E1893),"",_xlfn.XLOOKUP(E1893,cannabis_log!C:C,cannabis_log!J:J,"",0,))</f>
        <v>TP24120401G45</v>
      </c>
      <c r="G1893" s="112"/>
      <c r="H1893" s="112" t="str">
        <f>IF(ISBLANK(E1893),"",_xlfn.XLOOKUP(E1893,cannabis_log!C:C,cannabis_log!H:H,"",0,1))</f>
        <v>topical_cased_AB_RTV</v>
      </c>
      <c r="I1893" s="113">
        <f>IF(ISBLANK(E1893),"",_xlfn.XLOOKUP(E1893,cannabis_log!C:C,cannabis_log!K:K,"NOT FOUND",0,1))</f>
        <v>45638</v>
      </c>
      <c r="J1893" s="185">
        <v>-14</v>
      </c>
      <c r="K1893" s="186">
        <f t="shared" si="105"/>
        <v>0</v>
      </c>
      <c r="L1893" s="288">
        <f t="shared" si="101"/>
        <v>-7560</v>
      </c>
      <c r="M1893" s="24"/>
      <c r="N1893" s="112" t="str">
        <f>IF(ISBLANK(E1893),"",_xlfn.XLOOKUP(E1893,cannabis_log!C:C,cannabis_log!T:T,"Not Found",0,))</f>
        <v>net</v>
      </c>
      <c r="O1893" s="180">
        <f>IF(N1893="net",_xlfn.XLOOKUP(E1893,cannabis_log!C:C,cannabis_log!N:N,"NOT FOUND",0,1),IF(N1893="gross",0,""))</f>
        <v>540</v>
      </c>
    </row>
    <row r="1894" spans="1:15">
      <c r="A1894" s="195" t="str">
        <f t="shared" si="103"/>
        <v>outbound</v>
      </c>
      <c r="B1894" s="196">
        <v>45806.393750000003</v>
      </c>
      <c r="C1894" s="197" t="s">
        <v>1929</v>
      </c>
      <c r="D1894" s="197"/>
      <c r="E1894" s="215" t="s">
        <v>3077</v>
      </c>
      <c r="F1894" s="112" t="str">
        <f>IF(ISBLANK(E1894),"",_xlfn.XLOOKUP(E1894,cannabis_log!C:C,cannabis_log!J:J,"",0,))</f>
        <v>TP24120401G45</v>
      </c>
      <c r="G1894" s="112"/>
      <c r="H1894" s="112" t="str">
        <f>IF(ISBLANK(E1894),"",_xlfn.XLOOKUP(E1894,cannabis_log!C:C,cannabis_log!H:H,"",0,1))</f>
        <v>topical_cased_AB_RTV</v>
      </c>
      <c r="I1894" s="113">
        <f>IF(ISBLANK(E1894),"",_xlfn.XLOOKUP(E1894,cannabis_log!C:C,cannabis_log!K:K,"NOT FOUND",0,1))</f>
        <v>45638</v>
      </c>
      <c r="J1894" s="185">
        <v>-15</v>
      </c>
      <c r="K1894" s="186">
        <f t="shared" si="105"/>
        <v>0</v>
      </c>
      <c r="L1894" s="288">
        <f t="shared" si="101"/>
        <v>-8100</v>
      </c>
      <c r="M1894" s="24"/>
      <c r="N1894" s="112" t="str">
        <f>IF(ISBLANK(E1894),"",_xlfn.XLOOKUP(E1894,cannabis_log!C:C,cannabis_log!T:T,"Not Found",0,))</f>
        <v>net</v>
      </c>
      <c r="O1894" s="180">
        <f>IF(N1894="net",_xlfn.XLOOKUP(E1894,cannabis_log!C:C,cannabis_log!N:N,"NOT FOUND",0,1),IF(N1894="gross",0,""))</f>
        <v>540</v>
      </c>
    </row>
    <row r="1895" spans="1:15">
      <c r="A1895" s="195" t="str">
        <f t="shared" si="103"/>
        <v>outbound</v>
      </c>
      <c r="B1895" s="196">
        <v>45807.393750000003</v>
      </c>
      <c r="C1895" s="197" t="s">
        <v>1929</v>
      </c>
      <c r="D1895" s="197" t="s">
        <v>3078</v>
      </c>
      <c r="E1895" s="215" t="s">
        <v>3079</v>
      </c>
      <c r="F1895" s="112" t="str">
        <f>IF(ISBLANK(E1895),"",_xlfn.XLOOKUP(E1895,cannabis_log!C:C,cannabis_log!J:J,"",0,))</f>
        <v>2024121801G7</v>
      </c>
      <c r="G1895" s="112"/>
      <c r="H1895" s="112" t="str">
        <f>IF(ISBLANK(E1895),"",_xlfn.XLOOKUP(E1895,cannabis_log!C:C,cannabis_log!H:H,"",0,1))</f>
        <v>driedflower_labelled</v>
      </c>
      <c r="I1895" s="113">
        <f>IF(ISBLANK(E1895),"",_xlfn.XLOOKUP(E1895,cannabis_log!C:C,cannabis_log!K:K,"NOT FOUND",0,1))</f>
        <v>45763</v>
      </c>
      <c r="J1895" s="185">
        <v>-12</v>
      </c>
      <c r="K1895" s="186">
        <f t="shared" si="105"/>
        <v>0</v>
      </c>
      <c r="L1895" s="288">
        <f t="shared" si="101"/>
        <v>-84</v>
      </c>
      <c r="M1895" s="24"/>
      <c r="N1895" s="112" t="str">
        <f>IF(ISBLANK(E1895),"",_xlfn.XLOOKUP(E1895,cannabis_log!C:C,cannabis_log!T:T,"Not Found",0,))</f>
        <v>net</v>
      </c>
      <c r="O1895" s="180">
        <f>IF(N1895="net",_xlfn.XLOOKUP(E1895,cannabis_log!C:C,cannabis_log!N:N,"NOT FOUND",0,1),IF(N1895="gross",0,""))</f>
        <v>7</v>
      </c>
    </row>
    <row r="1896" spans="1:15">
      <c r="A1896" s="195" t="str">
        <f t="shared" si="103"/>
        <v>outbound</v>
      </c>
      <c r="B1896" s="196">
        <v>45807.393750000003</v>
      </c>
      <c r="C1896" s="197" t="s">
        <v>1929</v>
      </c>
      <c r="D1896" s="183" t="s">
        <v>3080</v>
      </c>
      <c r="E1896" s="215" t="s">
        <v>2499</v>
      </c>
      <c r="F1896" s="112" t="str">
        <f>IF(ISBLANK(E1896),"",_xlfn.XLOOKUP(E1896,cannabis_log!C:C,cannabis_log!J:J,"",0,))</f>
        <v>2024101703G7</v>
      </c>
      <c r="G1896" s="112"/>
      <c r="H1896" s="112" t="str">
        <f>IF(ISBLANK(E1896),"",_xlfn.XLOOKUP(E1896,cannabis_log!C:C,cannabis_log!H:H,"",0,1))</f>
        <v>driedflower_labelled</v>
      </c>
      <c r="I1896" s="113">
        <f>IF(ISBLANK(E1896),"",_xlfn.XLOOKUP(E1896,cannabis_log!C:C,cannabis_log!K:K,"NOT FOUND",0,1))</f>
        <v>45618</v>
      </c>
      <c r="J1896" s="185">
        <v>-2</v>
      </c>
      <c r="K1896" s="186">
        <f t="shared" si="105"/>
        <v>0</v>
      </c>
      <c r="L1896" s="288">
        <f t="shared" si="101"/>
        <v>-14</v>
      </c>
      <c r="M1896" s="24"/>
      <c r="N1896" s="112" t="str">
        <f>IF(ISBLANK(E1896),"",_xlfn.XLOOKUP(E1896,cannabis_log!C:C,cannabis_log!T:T,"Not Found",0,))</f>
        <v>net</v>
      </c>
      <c r="O1896" s="180">
        <f>IF(N1896="net",_xlfn.XLOOKUP(E1896,cannabis_log!C:C,cannabis_log!N:N,"NOT FOUND",0,1),IF(N1896="gross",0,""))</f>
        <v>7</v>
      </c>
    </row>
    <row r="1897" spans="1:15">
      <c r="A1897" s="195" t="str">
        <f t="shared" si="103"/>
        <v>outbound</v>
      </c>
      <c r="B1897" s="196">
        <v>45810.435416666667</v>
      </c>
      <c r="C1897" s="197" t="s">
        <v>1929</v>
      </c>
      <c r="D1897" s="197" t="s">
        <v>3081</v>
      </c>
      <c r="E1897" s="215" t="s">
        <v>3019</v>
      </c>
      <c r="F1897" s="112" t="str">
        <f>IF(ISBLANK(E1897),"",_xlfn.XLOOKUP(E1897,cannabis_log!C:C,cannabis_log!J:J,"",0,))</f>
        <v>PR2501INF5P3</v>
      </c>
      <c r="G1897" s="112"/>
      <c r="H1897" s="112" t="str">
        <f>IF(ISBLANK(E1897),"",_xlfn.XLOOKUP(E1897,cannabis_log!C:C,cannabis_log!H:H,"",0,1))</f>
        <v>preroll_labelled</v>
      </c>
      <c r="I1897" s="113">
        <f>IF(ISBLANK(E1897),"",_xlfn.XLOOKUP(E1897,cannabis_log!C:C,cannabis_log!K:K,"NOT FOUND",0,1))</f>
        <v>45778</v>
      </c>
      <c r="J1897" s="185">
        <v>-12</v>
      </c>
      <c r="K1897" s="186">
        <f t="shared" si="105"/>
        <v>0</v>
      </c>
      <c r="L1897" s="288">
        <f t="shared" si="101"/>
        <v>-18</v>
      </c>
      <c r="M1897" s="24"/>
      <c r="N1897" s="112" t="str">
        <f>IF(ISBLANK(E1897),"",_xlfn.XLOOKUP(E1897,cannabis_log!C:C,cannabis_log!T:T,"Not Found",0,))</f>
        <v>net</v>
      </c>
      <c r="O1897" s="180">
        <f>IF(N1897="net",_xlfn.XLOOKUP(E1897,cannabis_log!C:C,cannabis_log!N:N,"NOT FOUND",0,1),IF(N1897="gross",0,""))</f>
        <v>1.5</v>
      </c>
    </row>
    <row r="1898" spans="1:15">
      <c r="A1898" s="195" t="str">
        <f t="shared" si="103"/>
        <v>outbound</v>
      </c>
      <c r="B1898" s="196">
        <v>45810.435416666667</v>
      </c>
      <c r="C1898" s="197" t="s">
        <v>1929</v>
      </c>
      <c r="D1898" s="197" t="s">
        <v>3081</v>
      </c>
      <c r="E1898" s="215" t="s">
        <v>3012</v>
      </c>
      <c r="F1898" s="112" t="str">
        <f>IF(ISBLANK(E1898),"",_xlfn.XLOOKUP(E1898,cannabis_log!C:C,cannabis_log!J:J,"",0,))</f>
        <v>LR23032101</v>
      </c>
      <c r="G1898" s="112"/>
      <c r="H1898" s="112" t="str">
        <f>IF(ISBLANK(E1898),"",_xlfn.XLOOKUP(E1898,cannabis_log!C:C,cannabis_log!H:H,"",0,1))</f>
        <v>extract_inhaled_labelled</v>
      </c>
      <c r="I1898" s="113">
        <f>IF(ISBLANK(E1898),"",_xlfn.XLOOKUP(E1898,cannabis_log!C:C,cannabis_log!K:K,"NOT FOUND",0,1))</f>
        <v>45793</v>
      </c>
      <c r="J1898" s="185">
        <v>-18</v>
      </c>
      <c r="K1898" s="186">
        <f t="shared" si="105"/>
        <v>0</v>
      </c>
      <c r="L1898" s="288">
        <f t="shared" si="101"/>
        <v>-18</v>
      </c>
      <c r="M1898" s="24"/>
      <c r="N1898" s="112" t="str">
        <f>IF(ISBLANK(E1898),"",_xlfn.XLOOKUP(E1898,cannabis_log!C:C,cannabis_log!T:T,"Not Found",0,))</f>
        <v>net</v>
      </c>
      <c r="O1898" s="180">
        <f>IF(N1898="net",_xlfn.XLOOKUP(E1898,cannabis_log!C:C,cannabis_log!N:N,"NOT FOUND",0,1),IF(N1898="gross",0,""))</f>
        <v>1</v>
      </c>
    </row>
    <row r="1899" spans="1:15">
      <c r="A1899" s="195" t="str">
        <f t="shared" si="103"/>
        <v>outbound</v>
      </c>
      <c r="B1899" s="196">
        <v>45810.435416666667</v>
      </c>
      <c r="C1899" s="197" t="s">
        <v>1929</v>
      </c>
      <c r="D1899" s="197" t="s">
        <v>3082</v>
      </c>
      <c r="E1899" s="215" t="s">
        <v>3019</v>
      </c>
      <c r="F1899" s="112" t="str">
        <f>IF(ISBLANK(E1899),"",_xlfn.XLOOKUP(E1899,cannabis_log!C:C,cannabis_log!J:J,"",0,))</f>
        <v>PR2501INF5P3</v>
      </c>
      <c r="G1899" s="112"/>
      <c r="H1899" s="112" t="str">
        <f>IF(ISBLANK(E1899),"",_xlfn.XLOOKUP(E1899,cannabis_log!C:C,cannabis_log!H:H,"",0,1))</f>
        <v>preroll_labelled</v>
      </c>
      <c r="I1899" s="113">
        <f>IF(ISBLANK(E1899),"",_xlfn.XLOOKUP(E1899,cannabis_log!C:C,cannabis_log!K:K,"NOT FOUND",0,1))</f>
        <v>45778</v>
      </c>
      <c r="J1899" s="185">
        <v>-24</v>
      </c>
      <c r="K1899" s="186">
        <f t="shared" si="105"/>
        <v>0</v>
      </c>
      <c r="L1899" s="288">
        <f t="shared" si="101"/>
        <v>-36</v>
      </c>
      <c r="M1899" s="24"/>
      <c r="N1899" s="112" t="str">
        <f>IF(ISBLANK(E1899),"",_xlfn.XLOOKUP(E1899,cannabis_log!C:C,cannabis_log!T:T,"Not Found",0,))</f>
        <v>net</v>
      </c>
      <c r="O1899" s="180">
        <f>IF(N1899="net",_xlfn.XLOOKUP(E1899,cannabis_log!C:C,cannabis_log!N:N,"NOT FOUND",0,1),IF(N1899="gross",0,""))</f>
        <v>1.5</v>
      </c>
    </row>
    <row r="1900" spans="1:15">
      <c r="A1900" s="195" t="str">
        <f t="shared" si="103"/>
        <v>outbound</v>
      </c>
      <c r="B1900" s="196">
        <v>45810.435416666667</v>
      </c>
      <c r="C1900" s="197" t="s">
        <v>1929</v>
      </c>
      <c r="D1900" s="197" t="s">
        <v>3082</v>
      </c>
      <c r="E1900" s="215" t="s">
        <v>3017</v>
      </c>
      <c r="F1900" s="112" t="str">
        <f>IF(ISBLANK(E1900),"",_xlfn.XLOOKUP(E1900,cannabis_log!C:C,cannabis_log!J:J,"",0,))</f>
        <v>PR21071201G1</v>
      </c>
      <c r="G1900" s="112"/>
      <c r="H1900" s="112" t="str">
        <f>IF(ISBLANK(E1900),"",_xlfn.XLOOKUP(E1900,cannabis_log!C:C,cannabis_log!H:H,"",0,1))</f>
        <v>preroll_labelled</v>
      </c>
      <c r="I1900" s="113">
        <f>IF(ISBLANK(E1900),"",_xlfn.XLOOKUP(E1900,cannabis_log!C:C,cannabis_log!K:K,"NOT FOUND",0,1))</f>
        <v>45735</v>
      </c>
      <c r="J1900" s="185">
        <v>-24</v>
      </c>
      <c r="K1900" s="186">
        <f t="shared" si="105"/>
        <v>0</v>
      </c>
      <c r="L1900" s="288">
        <f t="shared" si="101"/>
        <v>-24</v>
      </c>
      <c r="M1900" s="24"/>
      <c r="N1900" s="112" t="str">
        <f>IF(ISBLANK(E1900),"",_xlfn.XLOOKUP(E1900,cannabis_log!C:C,cannabis_log!T:T,"Not Found",0,))</f>
        <v>net</v>
      </c>
      <c r="O1900" s="180">
        <f>IF(N1900="net",_xlfn.XLOOKUP(E1900,cannabis_log!C:C,cannabis_log!N:N,"NOT FOUND",0,1),IF(N1900="gross",0,""))</f>
        <v>1</v>
      </c>
    </row>
    <row r="1901" spans="1:15">
      <c r="A1901" s="195" t="str">
        <f t="shared" si="103"/>
        <v>outbound</v>
      </c>
      <c r="B1901" s="196">
        <v>45810.435416666667</v>
      </c>
      <c r="C1901" s="197" t="s">
        <v>1929</v>
      </c>
      <c r="D1901" s="197" t="s">
        <v>3082</v>
      </c>
      <c r="E1901" s="215" t="s">
        <v>2653</v>
      </c>
      <c r="F1901" s="112" t="str">
        <f>IF(ISBLANK(E1901),"",_xlfn.XLOOKUP(E1901,cannabis_log!C:C,cannabis_log!J:J,"",0,))</f>
        <v>PR21071201G1</v>
      </c>
      <c r="G1901" s="112"/>
      <c r="H1901" s="112" t="str">
        <f>IF(ISBLANK(E1901),"",_xlfn.XLOOKUP(E1901,cannabis_log!C:C,cannabis_log!H:H,"",0,1))</f>
        <v>preroll_labelled</v>
      </c>
      <c r="I1901" s="113">
        <f>IF(ISBLANK(E1901),"",_xlfn.XLOOKUP(E1901,cannabis_log!C:C,cannabis_log!K:K,"NOT FOUND",0,1))</f>
        <v>45685</v>
      </c>
      <c r="J1901" s="185">
        <v>-120</v>
      </c>
      <c r="K1901" s="186">
        <f t="shared" si="105"/>
        <v>0</v>
      </c>
      <c r="L1901" s="288">
        <f t="shared" si="101"/>
        <v>-120</v>
      </c>
      <c r="M1901" s="24"/>
      <c r="N1901" s="112" t="str">
        <f>IF(ISBLANK(E1901),"",_xlfn.XLOOKUP(E1901,cannabis_log!C:C,cannabis_log!T:T,"Not Found",0,))</f>
        <v>net</v>
      </c>
      <c r="O1901" s="180">
        <f>IF(N1901="net",_xlfn.XLOOKUP(E1901,cannabis_log!C:C,cannabis_log!N:N,"NOT FOUND",0,1),IF(N1901="gross",0,""))</f>
        <v>1</v>
      </c>
    </row>
    <row r="1902" spans="1:15">
      <c r="A1902" s="195" t="str">
        <f t="shared" si="103"/>
        <v>outbound</v>
      </c>
      <c r="B1902" s="196">
        <v>45810.435416666667</v>
      </c>
      <c r="C1902" s="197" t="s">
        <v>1929</v>
      </c>
      <c r="D1902" s="197" t="s">
        <v>3082</v>
      </c>
      <c r="E1902" s="215" t="s">
        <v>3017</v>
      </c>
      <c r="F1902" s="112" t="str">
        <f>IF(ISBLANK(E1902),"",_xlfn.XLOOKUP(E1902,cannabis_log!C:C,cannabis_log!J:J,"",0,))</f>
        <v>PR21071201G1</v>
      </c>
      <c r="G1902" s="112"/>
      <c r="H1902" s="112" t="str">
        <f>IF(ISBLANK(E1902),"",_xlfn.XLOOKUP(E1902,cannabis_log!C:C,cannabis_log!H:H,"",0,1))</f>
        <v>preroll_labelled</v>
      </c>
      <c r="I1902" s="113">
        <f>IF(ISBLANK(E1902),"",_xlfn.XLOOKUP(E1902,cannabis_log!C:C,cannabis_log!K:K,"NOT FOUND",0,1))</f>
        <v>45735</v>
      </c>
      <c r="J1902" s="185">
        <v>-2</v>
      </c>
      <c r="K1902" s="186">
        <f t="shared" si="105"/>
        <v>0</v>
      </c>
      <c r="L1902" s="288">
        <f t="shared" ref="L1902:L1965" si="106">IFERROR(J1902*O1902,"")</f>
        <v>-2</v>
      </c>
      <c r="M1902" s="24"/>
      <c r="N1902" s="112" t="str">
        <f>IF(ISBLANK(E1902),"",_xlfn.XLOOKUP(E1902,cannabis_log!C:C,cannabis_log!T:T,"Not Found",0,))</f>
        <v>net</v>
      </c>
      <c r="O1902" s="180">
        <f>IF(N1902="net",_xlfn.XLOOKUP(E1902,cannabis_log!C:C,cannabis_log!N:N,"NOT FOUND",0,1),IF(N1902="gross",0,""))</f>
        <v>1</v>
      </c>
    </row>
    <row r="1903" spans="1:15">
      <c r="A1903" s="195" t="str">
        <f t="shared" si="103"/>
        <v>inbound</v>
      </c>
      <c r="B1903" s="196">
        <v>45810.435416666667</v>
      </c>
      <c r="C1903" s="197" t="s">
        <v>1927</v>
      </c>
      <c r="D1903" s="197" t="s">
        <v>3083</v>
      </c>
      <c r="E1903" s="215" t="s">
        <v>3079</v>
      </c>
      <c r="F1903" s="112" t="str">
        <f>IF(ISBLANK(E1903),"",_xlfn.XLOOKUP(E1903,cannabis_log!C:C,cannabis_log!J:J,"",0,))</f>
        <v>2024121801G7</v>
      </c>
      <c r="G1903" s="112"/>
      <c r="H1903" s="112" t="str">
        <f>IF(ISBLANK(E1903),"",_xlfn.XLOOKUP(E1903,cannabis_log!C:C,cannabis_log!H:H,"",0,1))</f>
        <v>driedflower_labelled</v>
      </c>
      <c r="I1903" s="113">
        <f>IF(ISBLANK(E1903),"",_xlfn.XLOOKUP(E1903,cannabis_log!C:C,cannabis_log!K:K,"NOT FOUND",0,1))</f>
        <v>45763</v>
      </c>
      <c r="J1903" s="185">
        <v>2</v>
      </c>
      <c r="K1903" s="186">
        <f t="shared" si="105"/>
        <v>0</v>
      </c>
      <c r="L1903" s="288">
        <f t="shared" si="106"/>
        <v>14</v>
      </c>
      <c r="M1903" s="24"/>
      <c r="N1903" s="112" t="str">
        <f>IF(ISBLANK(E1903),"",_xlfn.XLOOKUP(E1903,cannabis_log!C:C,cannabis_log!T:T,"Not Found",0,))</f>
        <v>net</v>
      </c>
      <c r="O1903" s="180">
        <f>IF(N1903="net",_xlfn.XLOOKUP(E1903,cannabis_log!C:C,cannabis_log!N:N,"NOT FOUND",0,1),IF(N1903="gross",0,""))</f>
        <v>7</v>
      </c>
    </row>
    <row r="1904" spans="1:15">
      <c r="A1904" s="195" t="str">
        <f t="shared" si="103"/>
        <v>inbound</v>
      </c>
      <c r="B1904" s="196">
        <v>45811.435416666667</v>
      </c>
      <c r="C1904" s="197" t="s">
        <v>1927</v>
      </c>
      <c r="D1904" s="197"/>
      <c r="E1904" s="215" t="s">
        <v>3061</v>
      </c>
      <c r="F1904" s="112" t="str">
        <f>IF(ISBLANK(E1904),"",_xlfn.XLOOKUP(E1904,cannabis_log!C:C,cannabis_log!J:J,"",0,))</f>
        <v>PR250703F5P3</v>
      </c>
      <c r="G1904" s="112"/>
      <c r="H1904" s="112" t="str">
        <f>IF(ISBLANK(E1904),"",_xlfn.XLOOKUP(E1904,cannabis_log!C:C,cannabis_log!H:H,"",0,1))</f>
        <v>preroll_labelled</v>
      </c>
      <c r="I1904" s="113">
        <f>IF(ISBLANK(E1904),"",_xlfn.XLOOKUP(E1904,cannabis_log!C:C,cannabis_log!K:K,"NOT FOUND",0,1))</f>
        <v>45790</v>
      </c>
      <c r="J1904" s="185">
        <v>48</v>
      </c>
      <c r="K1904" s="186">
        <f t="shared" si="105"/>
        <v>0</v>
      </c>
      <c r="L1904" s="288">
        <f t="shared" si="106"/>
        <v>72</v>
      </c>
      <c r="M1904" s="24"/>
      <c r="N1904" s="112" t="str">
        <f>IF(ISBLANK(E1904),"",_xlfn.XLOOKUP(E1904,cannabis_log!C:C,cannabis_log!T:T,"Not Found",0,))</f>
        <v>net</v>
      </c>
      <c r="O1904" s="180">
        <f>IF(N1904="net",_xlfn.XLOOKUP(E1904,cannabis_log!C:C,cannabis_log!N:N,"NOT FOUND",0,1),IF(N1904="gross",0,""))</f>
        <v>1.5</v>
      </c>
    </row>
    <row r="1905" spans="1:15">
      <c r="A1905" s="195" t="str">
        <f t="shared" si="103"/>
        <v>inbound</v>
      </c>
      <c r="B1905" s="196">
        <v>45811.643750000003</v>
      </c>
      <c r="C1905" s="197" t="s">
        <v>1927</v>
      </c>
      <c r="D1905" s="197"/>
      <c r="E1905" s="215" t="s">
        <v>2660</v>
      </c>
      <c r="F1905" s="112">
        <f>IF(ISBLANK(E1905),"",_xlfn.XLOOKUP(E1905,cannabis_log!C:C,cannabis_log!J:J,"",0,))</f>
        <v>2025021301</v>
      </c>
      <c r="G1905" s="112"/>
      <c r="H1905" s="112" t="str">
        <f>IF(ISBLANK(E1905),"",_xlfn.XLOOKUP(E1905,cannabis_log!C:C,cannabis_log!H:H,"",0,1))</f>
        <v>driedflower_bulk</v>
      </c>
      <c r="I1905" s="113" t="str">
        <f>IF(ISBLANK(E1905),"",_xlfn.XLOOKUP(E1905,cannabis_log!C:C,cannabis_log!K:K,"NOT FOUND",0,1))</f>
        <v>NA</v>
      </c>
      <c r="J1905" s="185">
        <v>1</v>
      </c>
      <c r="K1905" s="186">
        <v>798</v>
      </c>
      <c r="L1905" s="288">
        <f t="shared" si="106"/>
        <v>0</v>
      </c>
      <c r="M1905" s="24"/>
      <c r="N1905" s="112" t="str">
        <f>IF(ISBLANK(E1905),"",_xlfn.XLOOKUP(E1905,cannabis_log!C:C,cannabis_log!T:T,"Not Found",0,))</f>
        <v>gross</v>
      </c>
      <c r="O1905" s="180">
        <f>IF(N1905="net",_xlfn.XLOOKUP(E1905,cannabis_log!C:C,cannabis_log!N:N,"NOT FOUND",0,1),IF(N1905="gross",0,""))</f>
        <v>0</v>
      </c>
    </row>
    <row r="1906" spans="1:15">
      <c r="A1906" s="195" t="str">
        <f t="shared" si="103"/>
        <v>outbound</v>
      </c>
      <c r="B1906" s="196">
        <v>45811.643750000003</v>
      </c>
      <c r="C1906" s="197" t="s">
        <v>1921</v>
      </c>
      <c r="D1906" s="197" t="s">
        <v>3084</v>
      </c>
      <c r="E1906" s="215" t="s">
        <v>3085</v>
      </c>
      <c r="F1906" s="112" t="str">
        <f>IF(ISBLANK(E1906),"",_xlfn.XLOOKUP(E1906,cannabis_log!C:C,cannabis_log!J:J,"",0,))</f>
        <v>PR2517</v>
      </c>
      <c r="G1906" s="112"/>
      <c r="H1906" s="112" t="str">
        <f>IF(ISBLANK(E1906),"",_xlfn.XLOOKUP(E1906,cannabis_log!C:C,cannabis_log!H:H,"",0,1))</f>
        <v>driedflower_milled_bulk</v>
      </c>
      <c r="I1906" s="113">
        <f>IF(ISBLANK(E1906),"",_xlfn.XLOOKUP(E1906,cannabis_log!C:C,cannabis_log!K:K,"NOT FOUND",0,1))</f>
        <v>45785</v>
      </c>
      <c r="J1906" s="185">
        <v>-1</v>
      </c>
      <c r="K1906" s="186">
        <v>-3546</v>
      </c>
      <c r="L1906" s="288">
        <f t="shared" si="106"/>
        <v>0</v>
      </c>
      <c r="M1906" s="24"/>
      <c r="N1906" s="112" t="str">
        <f>IF(ISBLANK(E1906),"",_xlfn.XLOOKUP(E1906,cannabis_log!C:C,cannabis_log!T:T,"Not Found",0,))</f>
        <v>gross</v>
      </c>
      <c r="O1906" s="180">
        <f>IF(N1906="net",_xlfn.XLOOKUP(E1906,cannabis_log!C:C,cannabis_log!N:N,"NOT FOUND",0,1),IF(N1906="gross",0,""))</f>
        <v>0</v>
      </c>
    </row>
    <row r="1907" spans="1:15">
      <c r="A1907" s="195" t="str">
        <f t="shared" si="103"/>
        <v>inbound</v>
      </c>
      <c r="B1907" s="196">
        <v>45811.643750000003</v>
      </c>
      <c r="C1907" s="197" t="s">
        <v>1927</v>
      </c>
      <c r="D1907" s="197"/>
      <c r="E1907" s="215" t="s">
        <v>3067</v>
      </c>
      <c r="F1907" s="112">
        <f>IF(ISBLANK(E1907),"",_xlfn.XLOOKUP(E1907,cannabis_log!C:C,cannabis_log!J:J,"",0,))</f>
        <v>2025052701</v>
      </c>
      <c r="G1907" s="112"/>
      <c r="H1907" s="112" t="str">
        <f>IF(ISBLANK(E1907),"",_xlfn.XLOOKUP(E1907,cannabis_log!C:C,cannabis_log!H:H,"",0,1))</f>
        <v>extract_distillate_bulk</v>
      </c>
      <c r="I1907" s="113" t="str">
        <f>IF(ISBLANK(E1907),"",_xlfn.XLOOKUP(E1907,cannabis_log!C:C,cannabis_log!K:K,"NOT FOUND",0,1))</f>
        <v>NA</v>
      </c>
      <c r="J1907" s="185">
        <v>1</v>
      </c>
      <c r="K1907" s="186">
        <v>1285</v>
      </c>
      <c r="L1907" s="288">
        <f t="shared" si="106"/>
        <v>0</v>
      </c>
      <c r="M1907" s="24"/>
      <c r="N1907" s="112" t="str">
        <f>IF(ISBLANK(E1907),"",_xlfn.XLOOKUP(E1907,cannabis_log!C:C,cannabis_log!T:T,"Not Found",0,))</f>
        <v>gross</v>
      </c>
      <c r="O1907" s="180">
        <f>IF(N1907="net",_xlfn.XLOOKUP(E1907,cannabis_log!C:C,cannabis_log!N:N,"NOT FOUND",0,1),IF(N1907="gross",0,""))</f>
        <v>0</v>
      </c>
    </row>
    <row r="1908" spans="1:15">
      <c r="A1908" s="195" t="str">
        <f t="shared" si="103"/>
        <v>inbound</v>
      </c>
      <c r="B1908" s="196">
        <v>45811.643750000003</v>
      </c>
      <c r="C1908" s="197" t="s">
        <v>1927</v>
      </c>
      <c r="D1908" s="197"/>
      <c r="E1908" s="215" t="s">
        <v>3036</v>
      </c>
      <c r="F1908" s="112">
        <f>IF(ISBLANK(E1908),"",_xlfn.XLOOKUP(E1908,cannabis_log!C:C,cannabis_log!J:J,"",0,))</f>
        <v>2025051501</v>
      </c>
      <c r="G1908" s="112"/>
      <c r="H1908" s="112" t="str">
        <f>IF(ISBLANK(E1908),"",_xlfn.XLOOKUP(E1908,cannabis_log!C:C,cannabis_log!H:H,"",0,1))</f>
        <v>extract_distillate_bulk</v>
      </c>
      <c r="I1908" s="113" t="str">
        <f>IF(ISBLANK(E1908),"",_xlfn.XLOOKUP(E1908,cannabis_log!C:C,cannabis_log!K:K,"NOT FOUND",0,1))</f>
        <v>NA</v>
      </c>
      <c r="J1908" s="185">
        <v>1</v>
      </c>
      <c r="K1908" s="186">
        <v>1724.2</v>
      </c>
      <c r="L1908" s="288">
        <f t="shared" si="106"/>
        <v>0</v>
      </c>
      <c r="M1908" s="24"/>
      <c r="N1908" s="112" t="str">
        <f>IF(ISBLANK(E1908),"",_xlfn.XLOOKUP(E1908,cannabis_log!C:C,cannabis_log!T:T,"Not Found",0,))</f>
        <v>gross</v>
      </c>
      <c r="O1908" s="180">
        <f>IF(N1908="net",_xlfn.XLOOKUP(E1908,cannabis_log!C:C,cannabis_log!N:N,"NOT FOUND",0,1),IF(N1908="gross",0,""))</f>
        <v>0</v>
      </c>
    </row>
    <row r="1909" spans="1:15">
      <c r="A1909" s="195" t="str">
        <f t="shared" si="103"/>
        <v>inbound</v>
      </c>
      <c r="B1909" s="196">
        <v>45811.643750000003</v>
      </c>
      <c r="C1909" s="197" t="s">
        <v>1927</v>
      </c>
      <c r="D1909" s="197"/>
      <c r="E1909" s="215" t="s">
        <v>3035</v>
      </c>
      <c r="F1909" s="112" t="str">
        <f>IF(ISBLANK(E1909),"",_xlfn.XLOOKUP(E1909,cannabis_log!C:C,cannabis_log!J:J,"",0,))</f>
        <v>PR2507</v>
      </c>
      <c r="G1909" s="112"/>
      <c r="H1909" s="112" t="str">
        <f>IF(ISBLANK(E1909),"",_xlfn.XLOOKUP(E1909,cannabis_log!C:C,cannabis_log!H:H,"",0,1))</f>
        <v>driedflower_milled_bulk</v>
      </c>
      <c r="I1909" s="113" t="str">
        <f>IF(ISBLANK(E1909),"",_xlfn.XLOOKUP(E1909,cannabis_log!C:C,cannabis_log!K:K,"NOT FOUND",0,1))</f>
        <v>NA</v>
      </c>
      <c r="J1909" s="185">
        <v>1</v>
      </c>
      <c r="K1909" s="186">
        <v>4214</v>
      </c>
      <c r="L1909" s="288">
        <f t="shared" si="106"/>
        <v>0</v>
      </c>
      <c r="M1909" s="24"/>
      <c r="N1909" s="112" t="str">
        <f>IF(ISBLANK(E1909),"",_xlfn.XLOOKUP(E1909,cannabis_log!C:C,cannabis_log!T:T,"Not Found",0,))</f>
        <v>gross</v>
      </c>
      <c r="O1909" s="180">
        <f>IF(N1909="net",_xlfn.XLOOKUP(E1909,cannabis_log!C:C,cannabis_log!N:N,"NOT FOUND",0,1),IF(N1909="gross",0,""))</f>
        <v>0</v>
      </c>
    </row>
    <row r="1910" spans="1:15">
      <c r="A1910" s="195" t="str">
        <f t="shared" si="103"/>
        <v>inbound</v>
      </c>
      <c r="B1910" s="196">
        <v>45811.643750000003</v>
      </c>
      <c r="C1910" s="197" t="s">
        <v>1927</v>
      </c>
      <c r="D1910" s="197"/>
      <c r="E1910" s="215" t="s">
        <v>3064</v>
      </c>
      <c r="F1910" s="112" t="str">
        <f>IF(ISBLANK(E1910),"",_xlfn.XLOOKUP(E1910,cannabis_log!C:C,cannabis_log!J:J,"",0,))</f>
        <v>PR2505</v>
      </c>
      <c r="G1910" s="112"/>
      <c r="H1910" s="112" t="str">
        <f>IF(ISBLANK(E1910),"",_xlfn.XLOOKUP(E1910,cannabis_log!C:C,cannabis_log!H:H,"",0,1))</f>
        <v>driedflower_milled_bulk_BURB</v>
      </c>
      <c r="I1910" s="113" t="str">
        <f>IF(ISBLANK(E1910),"",_xlfn.XLOOKUP(E1910,cannabis_log!C:C,cannabis_log!K:K,"NOT FOUND",0,1))</f>
        <v>NA</v>
      </c>
      <c r="J1910" s="185">
        <v>1</v>
      </c>
      <c r="K1910" s="186">
        <v>3648</v>
      </c>
      <c r="L1910" s="288">
        <f t="shared" si="106"/>
        <v>0</v>
      </c>
      <c r="M1910" s="24"/>
      <c r="N1910" s="112" t="str">
        <f>IF(ISBLANK(E1910),"",_xlfn.XLOOKUP(E1910,cannabis_log!C:C,cannabis_log!T:T,"Not Found",0,))</f>
        <v>gross</v>
      </c>
      <c r="O1910" s="180">
        <f>IF(N1910="net",_xlfn.XLOOKUP(E1910,cannabis_log!C:C,cannabis_log!N:N,"NOT FOUND",0,1),IF(N1910="gross",0,""))</f>
        <v>0</v>
      </c>
    </row>
    <row r="1911" spans="1:15">
      <c r="A1911" s="195" t="str">
        <f t="shared" si="103"/>
        <v>inbound</v>
      </c>
      <c r="B1911" s="196">
        <v>45811.643750000003</v>
      </c>
      <c r="C1911" s="197" t="s">
        <v>1927</v>
      </c>
      <c r="D1911" s="197"/>
      <c r="E1911" s="215" t="s">
        <v>2041</v>
      </c>
      <c r="F1911" s="112" t="str">
        <f>IF(ISBLANK(E1911),"",_xlfn.XLOOKUP(E1911,cannabis_log!C:C,cannabis_log!J:J,"",0,))</f>
        <v>PR22051901G1</v>
      </c>
      <c r="G1911" s="112"/>
      <c r="H1911" s="112" t="str">
        <f>IF(ISBLANK(E1911),"",_xlfn.XLOOKUP(E1911,cannabis_log!C:C,cannabis_log!H:H,"",0,1))</f>
        <v>preroll_labelled</v>
      </c>
      <c r="I1911" s="113">
        <f>IF(ISBLANK(E1911),"",_xlfn.XLOOKUP(E1911,cannabis_log!C:C,cannabis_log!K:K,"NOT FOUND",0,1))</f>
        <v>45798</v>
      </c>
      <c r="J1911" s="185">
        <v>122</v>
      </c>
      <c r="K1911" s="186">
        <f t="shared" ref="K1911:K1924" si="107">IF(N1911="net",0,"")</f>
        <v>0</v>
      </c>
      <c r="L1911" s="288">
        <f t="shared" si="106"/>
        <v>122</v>
      </c>
      <c r="M1911" s="24"/>
      <c r="N1911" s="112" t="str">
        <f>IF(ISBLANK(E1911),"",_xlfn.XLOOKUP(E1911,cannabis_log!C:C,cannabis_log!T:T,"Not Found",0,))</f>
        <v>net</v>
      </c>
      <c r="O1911" s="180">
        <f>IF(N1911="net",_xlfn.XLOOKUP(E1911,cannabis_log!C:C,cannabis_log!N:N,"NOT FOUND",0,1),IF(N1911="gross",0,""))</f>
        <v>1</v>
      </c>
    </row>
    <row r="1912" spans="1:15">
      <c r="A1912" s="195" t="str">
        <f t="shared" si="103"/>
        <v>outbound</v>
      </c>
      <c r="B1912" s="196">
        <v>45812.643750000003</v>
      </c>
      <c r="C1912" s="197" t="s">
        <v>1929</v>
      </c>
      <c r="D1912" s="197"/>
      <c r="E1912" s="215" t="s">
        <v>3054</v>
      </c>
      <c r="F1912" s="112" t="str">
        <f>IF(ISBLANK(E1912),"",_xlfn.XLOOKUP(E1912,cannabis_log!C:C,cannabis_log!J:J,"",0,))</f>
        <v>ROGEX001G1</v>
      </c>
      <c r="G1912" s="112"/>
      <c r="H1912" s="112" t="str">
        <f>IF(ISBLANK(E1912),"",_xlfn.XLOOKUP(E1912,cannabis_log!C:C,cannabis_log!H:H,"",0,1))</f>
        <v>extract_inhaled_labelled_Rohan</v>
      </c>
      <c r="I1912" s="113">
        <f>IF(ISBLANK(E1912),"",_xlfn.XLOOKUP(E1912,cannabis_log!C:C,cannabis_log!K:K,"NOT FOUND",0,1))</f>
        <v>45772</v>
      </c>
      <c r="J1912" s="185">
        <v>-12</v>
      </c>
      <c r="K1912" s="186">
        <f t="shared" si="107"/>
        <v>0</v>
      </c>
      <c r="L1912" s="288">
        <f t="shared" si="106"/>
        <v>-12</v>
      </c>
      <c r="M1912" s="24"/>
      <c r="N1912" s="112" t="str">
        <f>IF(ISBLANK(E1912),"",_xlfn.XLOOKUP(E1912,cannabis_log!C:C,cannabis_log!T:T,"Not Found",0,))</f>
        <v>net</v>
      </c>
      <c r="O1912" s="180">
        <f>IF(N1912="net",_xlfn.XLOOKUP(E1912,cannabis_log!C:C,cannabis_log!N:N,"NOT FOUND",0,1),IF(N1912="gross",0,""))</f>
        <v>1</v>
      </c>
    </row>
    <row r="1913" spans="1:15">
      <c r="A1913" s="195" t="str">
        <f t="shared" si="103"/>
        <v>outbound</v>
      </c>
      <c r="B1913" s="196">
        <v>45812.643750000003</v>
      </c>
      <c r="C1913" s="197" t="s">
        <v>1929</v>
      </c>
      <c r="D1913" s="197"/>
      <c r="E1913" s="215" t="s">
        <v>3019</v>
      </c>
      <c r="F1913" s="112" t="str">
        <f>IF(ISBLANK(E1913),"",_xlfn.XLOOKUP(E1913,cannabis_log!C:C,cannabis_log!J:J,"",0,))</f>
        <v>PR2501INF5P3</v>
      </c>
      <c r="G1913" s="112"/>
      <c r="H1913" s="112" t="str">
        <f>IF(ISBLANK(E1913),"",_xlfn.XLOOKUP(E1913,cannabis_log!C:C,cannabis_log!H:H,"",0,1))</f>
        <v>preroll_labelled</v>
      </c>
      <c r="I1913" s="113">
        <f>IF(ISBLANK(E1913),"",_xlfn.XLOOKUP(E1913,cannabis_log!C:C,cannabis_log!K:K,"NOT FOUND",0,1))</f>
        <v>45778</v>
      </c>
      <c r="J1913" s="185">
        <v>-12</v>
      </c>
      <c r="K1913" s="186">
        <f t="shared" si="107"/>
        <v>0</v>
      </c>
      <c r="L1913" s="288">
        <f t="shared" si="106"/>
        <v>-18</v>
      </c>
      <c r="M1913" s="24"/>
      <c r="N1913" s="112" t="str">
        <f>IF(ISBLANK(E1913),"",_xlfn.XLOOKUP(E1913,cannabis_log!C:C,cannabis_log!T:T,"Not Found",0,))</f>
        <v>net</v>
      </c>
      <c r="O1913" s="180">
        <f>IF(N1913="net",_xlfn.XLOOKUP(E1913,cannabis_log!C:C,cannabis_log!N:N,"NOT FOUND",0,1),IF(N1913="gross",0,""))</f>
        <v>1.5</v>
      </c>
    </row>
    <row r="1914" spans="1:15">
      <c r="A1914" s="195" t="str">
        <f t="shared" si="103"/>
        <v>outbound</v>
      </c>
      <c r="B1914" s="196">
        <v>45812.643750000003</v>
      </c>
      <c r="C1914" s="197" t="s">
        <v>1929</v>
      </c>
      <c r="D1914" s="197"/>
      <c r="E1914" s="215" t="s">
        <v>3013</v>
      </c>
      <c r="F1914" s="112" t="str">
        <f>IF(ISBLANK(E1914),"",_xlfn.XLOOKUP(E1914,cannabis_log!C:C,cannabis_log!J:J,"",0,))</f>
        <v>PR2303IN02F5P3</v>
      </c>
      <c r="G1914" s="112"/>
      <c r="H1914" s="112" t="str">
        <f>IF(ISBLANK(E1914),"",_xlfn.XLOOKUP(E1914,cannabis_log!C:C,cannabis_log!H:H,"",0,1))</f>
        <v>infusedpreroll_cased_AB_RTV</v>
      </c>
      <c r="I1914" s="113">
        <f>IF(ISBLANK(E1914),"",_xlfn.XLOOKUP(E1914,cannabis_log!C:C,cannabis_log!K:K,"NOT FOUND",0,1))</f>
        <v>45478</v>
      </c>
      <c r="J1914" s="185">
        <v>-1</v>
      </c>
      <c r="K1914" s="186">
        <f t="shared" si="107"/>
        <v>0</v>
      </c>
      <c r="L1914" s="288">
        <f t="shared" si="106"/>
        <v>-9</v>
      </c>
      <c r="M1914" s="24"/>
      <c r="N1914" s="112" t="str">
        <f>IF(ISBLANK(E1914),"",_xlfn.XLOOKUP(E1914,cannabis_log!C:C,cannabis_log!T:T,"Not Found",0,))</f>
        <v>net</v>
      </c>
      <c r="O1914" s="180">
        <f>IF(N1914="net",_xlfn.XLOOKUP(E1914,cannabis_log!C:C,cannabis_log!N:N,"NOT FOUND",0,1),IF(N1914="gross",0,""))</f>
        <v>9</v>
      </c>
    </row>
    <row r="1915" spans="1:15">
      <c r="A1915" s="195" t="str">
        <f t="shared" si="103"/>
        <v>outbound</v>
      </c>
      <c r="B1915" s="196">
        <v>45812.643750000003</v>
      </c>
      <c r="C1915" s="197" t="s">
        <v>1929</v>
      </c>
      <c r="D1915" s="197"/>
      <c r="E1915" s="215" t="s">
        <v>3012</v>
      </c>
      <c r="F1915" s="112" t="str">
        <f>IF(ISBLANK(E1915),"",_xlfn.XLOOKUP(E1915,cannabis_log!C:C,cannabis_log!J:J,"",0,))</f>
        <v>LR23032101</v>
      </c>
      <c r="G1915" s="112"/>
      <c r="H1915" s="112" t="str">
        <f>IF(ISBLANK(E1915),"",_xlfn.XLOOKUP(E1915,cannabis_log!C:C,cannabis_log!H:H,"",0,1))</f>
        <v>extract_inhaled_labelled</v>
      </c>
      <c r="I1915" s="113">
        <f>IF(ISBLANK(E1915),"",_xlfn.XLOOKUP(E1915,cannabis_log!C:C,cannabis_log!K:K,"NOT FOUND",0,1))</f>
        <v>45793</v>
      </c>
      <c r="J1915" s="185">
        <v>-12</v>
      </c>
      <c r="K1915" s="186">
        <f t="shared" si="107"/>
        <v>0</v>
      </c>
      <c r="L1915" s="288">
        <f t="shared" si="106"/>
        <v>-12</v>
      </c>
      <c r="M1915" s="24"/>
      <c r="N1915" s="112" t="str">
        <f>IF(ISBLANK(E1915),"",_xlfn.XLOOKUP(E1915,cannabis_log!C:C,cannabis_log!T:T,"Not Found",0,))</f>
        <v>net</v>
      </c>
      <c r="O1915" s="180">
        <f>IF(N1915="net",_xlfn.XLOOKUP(E1915,cannabis_log!C:C,cannabis_log!N:N,"NOT FOUND",0,1),IF(N1915="gross",0,""))</f>
        <v>1</v>
      </c>
    </row>
    <row r="1916" spans="1:15">
      <c r="A1916" s="195" t="str">
        <f t="shared" si="103"/>
        <v>outbound</v>
      </c>
      <c r="B1916" s="196">
        <v>45812.643750000003</v>
      </c>
      <c r="C1916" s="197" t="s">
        <v>1929</v>
      </c>
      <c r="D1916" s="197"/>
      <c r="E1916" s="215" t="s">
        <v>3062</v>
      </c>
      <c r="F1916" s="112" t="str">
        <f>IF(ISBLANK(E1916),"",_xlfn.XLOOKUP(E1916,cannabis_log!C:C,cannabis_log!J:J,"",0,))</f>
        <v>EX24111306G05</v>
      </c>
      <c r="G1916" s="112"/>
      <c r="H1916" s="112" t="str">
        <f>IF(ISBLANK(E1916),"",_xlfn.XLOOKUP(E1916,cannabis_log!C:C,cannabis_log!H:H,"",0,1))</f>
        <v>extract_inhaled_cased_SK_RTV</v>
      </c>
      <c r="I1916" s="113">
        <f>IF(ISBLANK(E1916),"",_xlfn.XLOOKUP(E1916,cannabis_log!C:C,cannabis_log!K:K,"NOT FOUND",0,1))</f>
        <v>45623</v>
      </c>
      <c r="J1916" s="185">
        <v>-1</v>
      </c>
      <c r="K1916" s="186">
        <f t="shared" si="107"/>
        <v>0</v>
      </c>
      <c r="L1916" s="288">
        <f t="shared" si="106"/>
        <v>-6</v>
      </c>
      <c r="M1916" s="24"/>
      <c r="N1916" s="112" t="str">
        <f>IF(ISBLANK(E1916),"",_xlfn.XLOOKUP(E1916,cannabis_log!C:C,cannabis_log!T:T,"Not Found",0,))</f>
        <v>net</v>
      </c>
      <c r="O1916" s="180">
        <f>IF(N1916="net",_xlfn.XLOOKUP(E1916,cannabis_log!C:C,cannabis_log!N:N,"NOT FOUND",0,1),IF(N1916="gross",0,""))</f>
        <v>6</v>
      </c>
    </row>
    <row r="1917" spans="1:15">
      <c r="A1917" s="195" t="str">
        <f t="shared" si="103"/>
        <v>outbound</v>
      </c>
      <c r="B1917" s="196">
        <v>45812.643750000003</v>
      </c>
      <c r="C1917" s="197" t="s">
        <v>1929</v>
      </c>
      <c r="D1917" s="197"/>
      <c r="E1917" s="215" t="s">
        <v>3045</v>
      </c>
      <c r="F1917" s="112" t="str">
        <f>IF(ISBLANK(E1917),"",_xlfn.XLOOKUP(E1917,cannabis_log!C:C,cannabis_log!J:J,"",0,))</f>
        <v>EX25041401V30</v>
      </c>
      <c r="G1917" s="112"/>
      <c r="H1917" s="112" t="str">
        <f>IF(ISBLANK(E1917),"",_xlfn.XLOOKUP(E1917,cannabis_log!C:C,cannabis_log!H:H,"",0,1))</f>
        <v>extract_ingested_labelled</v>
      </c>
      <c r="I1917" s="113">
        <f>IF(ISBLANK(E1917),"",_xlfn.XLOOKUP(E1917,cannabis_log!C:C,cannabis_log!K:K,"NOT FOUND",0,1))</f>
        <v>45777</v>
      </c>
      <c r="J1917" s="185">
        <v>-12</v>
      </c>
      <c r="K1917" s="186">
        <f t="shared" si="107"/>
        <v>0</v>
      </c>
      <c r="L1917" s="288">
        <f t="shared" si="106"/>
        <v>-327.60000000000002</v>
      </c>
      <c r="M1917" s="24"/>
      <c r="N1917" s="112" t="str">
        <f>IF(ISBLANK(E1917),"",_xlfn.XLOOKUP(E1917,cannabis_log!C:C,cannabis_log!T:T,"Not Found",0,))</f>
        <v>net</v>
      </c>
      <c r="O1917" s="180">
        <f>IF(N1917="net",_xlfn.XLOOKUP(E1917,cannabis_log!C:C,cannabis_log!N:N,"NOT FOUND",0,1),IF(N1917="gross",0,""))</f>
        <v>27.3</v>
      </c>
    </row>
    <row r="1918" spans="1:15">
      <c r="A1918" s="195" t="str">
        <f t="shared" si="103"/>
        <v>outbound</v>
      </c>
      <c r="B1918" s="196">
        <v>45812.643750000003</v>
      </c>
      <c r="C1918" s="197" t="s">
        <v>1929</v>
      </c>
      <c r="D1918" s="197"/>
      <c r="E1918" s="215" t="s">
        <v>3004</v>
      </c>
      <c r="F1918" s="112" t="str">
        <f>IF(ISBLANK(E1918),"",_xlfn.XLOOKUP(E1918,cannabis_log!C:C,cannabis_log!J:J,"",0,))</f>
        <v>PR2407F5P3</v>
      </c>
      <c r="G1918" s="112"/>
      <c r="H1918" s="112" t="str">
        <f>IF(ISBLANK(E1918),"",_xlfn.XLOOKUP(E1918,cannabis_log!C:C,cannabis_log!H:H,"",0,1))</f>
        <v>preroll_labelled</v>
      </c>
      <c r="I1918" s="113">
        <f>IF(ISBLANK(E1918),"",_xlfn.XLOOKUP(E1918,cannabis_log!C:C,cannabis_log!K:K,"NOT FOUND",0,1))</f>
        <v>45742</v>
      </c>
      <c r="J1918" s="185">
        <v>-12</v>
      </c>
      <c r="K1918" s="186">
        <f t="shared" si="107"/>
        <v>0</v>
      </c>
      <c r="L1918" s="288">
        <f t="shared" si="106"/>
        <v>-18</v>
      </c>
      <c r="M1918" s="24"/>
      <c r="N1918" s="112" t="str">
        <f>IF(ISBLANK(E1918),"",_xlfn.XLOOKUP(E1918,cannabis_log!C:C,cannabis_log!T:T,"Not Found",0,))</f>
        <v>net</v>
      </c>
      <c r="O1918" s="180">
        <f>IF(N1918="net",_xlfn.XLOOKUP(E1918,cannabis_log!C:C,cannabis_log!N:N,"NOT FOUND",0,1),IF(N1918="gross",0,""))</f>
        <v>1.5</v>
      </c>
    </row>
    <row r="1919" spans="1:15">
      <c r="A1919" s="195" t="str">
        <f t="shared" si="103"/>
        <v>outbound</v>
      </c>
      <c r="B1919" s="196">
        <v>45812.643750000003</v>
      </c>
      <c r="C1919" s="197" t="s">
        <v>1929</v>
      </c>
      <c r="D1919" s="197"/>
      <c r="E1919" s="215" t="s">
        <v>3086</v>
      </c>
      <c r="F1919" s="112" t="str">
        <f>IF(ISBLANK(E1919),"",_xlfn.XLOOKUP(E1919,cannabis_log!C:C,cannabis_log!J:J,"",0,))</f>
        <v>PR2301F5P3</v>
      </c>
      <c r="G1919" s="112"/>
      <c r="H1919" s="112" t="str">
        <f>IF(ISBLANK(E1919),"",_xlfn.XLOOKUP(E1919,cannabis_log!C:C,cannabis_log!H:H,"",0,1))</f>
        <v>preroll_labelled</v>
      </c>
      <c r="I1919" s="113">
        <f>IF(ISBLANK(E1919),"",_xlfn.XLOOKUP(E1919,cannabis_log!C:C,cannabis_log!K:K,"NOT FOUND",0,1))</f>
        <v>45742</v>
      </c>
      <c r="J1919" s="185">
        <v>-12</v>
      </c>
      <c r="K1919" s="186">
        <f t="shared" si="107"/>
        <v>0</v>
      </c>
      <c r="L1919" s="288">
        <f t="shared" si="106"/>
        <v>-18</v>
      </c>
      <c r="M1919" s="24"/>
      <c r="N1919" s="112" t="str">
        <f>IF(ISBLANK(E1919),"",_xlfn.XLOOKUP(E1919,cannabis_log!C:C,cannabis_log!T:T,"Not Found",0,))</f>
        <v>net</v>
      </c>
      <c r="O1919" s="180">
        <f>IF(N1919="net",_xlfn.XLOOKUP(E1919,cannabis_log!C:C,cannabis_log!N:N,"NOT FOUND",0,1),IF(N1919="gross",0,""))</f>
        <v>1.5</v>
      </c>
    </row>
    <row r="1920" spans="1:15">
      <c r="A1920" s="195" t="str">
        <f t="shared" si="103"/>
        <v>outbound</v>
      </c>
      <c r="B1920" s="196">
        <v>45812.643750000003</v>
      </c>
      <c r="C1920" s="197" t="s">
        <v>1929</v>
      </c>
      <c r="D1920" s="197"/>
      <c r="E1920" s="215" t="s">
        <v>2300</v>
      </c>
      <c r="F1920" s="112" t="str">
        <f>IF(ISBLANK(E1920),"",_xlfn.XLOOKUP(E1920,cannabis_log!C:C,cannabis_log!J:J,"",0,))</f>
        <v>EX23060701V30</v>
      </c>
      <c r="G1920" s="112"/>
      <c r="H1920" s="112" t="str">
        <f>IF(ISBLANK(E1920),"",_xlfn.XLOOKUP(E1920,cannabis_log!C:C,cannabis_log!H:H,"",0,1))</f>
        <v>extract_ingested_labelled</v>
      </c>
      <c r="I1920" s="113">
        <f>IF(ISBLANK(E1920),"",_xlfn.XLOOKUP(E1920,cannabis_log!C:C,cannabis_log!K:K,"NOT FOUND",0,1))</f>
        <v>45596</v>
      </c>
      <c r="J1920" s="185">
        <v>-12</v>
      </c>
      <c r="K1920" s="186">
        <f t="shared" si="107"/>
        <v>0</v>
      </c>
      <c r="L1920" s="288">
        <f t="shared" si="106"/>
        <v>-328.79999999999995</v>
      </c>
      <c r="M1920" s="24"/>
      <c r="N1920" s="112" t="str">
        <f>IF(ISBLANK(E1920),"",_xlfn.XLOOKUP(E1920,cannabis_log!C:C,cannabis_log!T:T,"Not Found",0,))</f>
        <v>net</v>
      </c>
      <c r="O1920" s="180">
        <f>IF(N1920="net",_xlfn.XLOOKUP(E1920,cannabis_log!C:C,cannabis_log!N:N,"NOT FOUND",0,1),IF(N1920="gross",0,""))</f>
        <v>27.4</v>
      </c>
    </row>
    <row r="1921" spans="1:15">
      <c r="A1921" s="195" t="str">
        <f t="shared" ref="A1921:A1984" si="108">IF(ISBLANK(J1921),"",IF(J1921+K1921+L1921&lt;0,"outbound","inbound"))</f>
        <v>outbound</v>
      </c>
      <c r="B1921" s="196">
        <v>45812.643750000003</v>
      </c>
      <c r="C1921" s="197" t="s">
        <v>1929</v>
      </c>
      <c r="D1921" s="197"/>
      <c r="E1921" s="215" t="s">
        <v>3087</v>
      </c>
      <c r="F1921" s="112" t="str">
        <f>IF(ISBLANK(E1921),"",_xlfn.XLOOKUP(E1921,cannabis_log!C:C,cannabis_log!J:J,"",0,))</f>
        <v>PR2516F5P10</v>
      </c>
      <c r="G1921" s="112"/>
      <c r="H1921" s="112" t="str">
        <f>IF(ISBLANK(E1921),"",_xlfn.XLOOKUP(E1921,cannabis_log!C:C,cannabis_log!H:H,"",0,1))</f>
        <v>preroll_labelled</v>
      </c>
      <c r="I1921" s="113">
        <f>IF(ISBLANK(E1921),"",_xlfn.XLOOKUP(E1921,cannabis_log!C:C,cannabis_log!K:K,"NOT FOUND",0,1))</f>
        <v>45783</v>
      </c>
      <c r="J1921" s="185">
        <v>-12</v>
      </c>
      <c r="K1921" s="186">
        <f t="shared" si="107"/>
        <v>0</v>
      </c>
      <c r="L1921" s="288">
        <f t="shared" si="106"/>
        <v>-60</v>
      </c>
      <c r="M1921" s="24"/>
      <c r="N1921" s="112" t="str">
        <f>IF(ISBLANK(E1921),"",_xlfn.XLOOKUP(E1921,cannabis_log!C:C,cannabis_log!T:T,"Not Found",0,))</f>
        <v>net</v>
      </c>
      <c r="O1921" s="180">
        <f>IF(N1921="net",_xlfn.XLOOKUP(E1921,cannabis_log!C:C,cannabis_log!N:N,"NOT FOUND",0,1),IF(N1921="gross",0,""))</f>
        <v>5</v>
      </c>
    </row>
    <row r="1922" spans="1:15">
      <c r="A1922" s="195" t="str">
        <f t="shared" si="108"/>
        <v>outbound</v>
      </c>
      <c r="B1922" s="196">
        <v>45812.643750000003</v>
      </c>
      <c r="C1922" s="197" t="s">
        <v>1929</v>
      </c>
      <c r="D1922" s="197"/>
      <c r="E1922" s="215" t="s">
        <v>3088</v>
      </c>
      <c r="F1922" s="112" t="str">
        <f>IF(ISBLANK(E1922),"",_xlfn.XLOOKUP(E1922,cannabis_log!C:C,cannabis_log!J:J,"",0,))</f>
        <v>PR2507F1P2</v>
      </c>
      <c r="G1922" s="112"/>
      <c r="H1922" s="112" t="str">
        <f>IF(ISBLANK(E1922),"",_xlfn.XLOOKUP(E1922,cannabis_log!C:C,cannabis_log!H:H,"",0,1))</f>
        <v>preroll_labelled</v>
      </c>
      <c r="I1922" s="113">
        <f>IF(ISBLANK(E1922),"",_xlfn.XLOOKUP(E1922,cannabis_log!C:C,cannabis_log!K:K,"NOT FOUND",0,1))</f>
        <v>45799</v>
      </c>
      <c r="J1922" s="185">
        <v>-865</v>
      </c>
      <c r="K1922" s="186">
        <f t="shared" si="107"/>
        <v>0</v>
      </c>
      <c r="L1922" s="288">
        <f t="shared" si="106"/>
        <v>-1730</v>
      </c>
      <c r="M1922" s="24"/>
      <c r="N1922" s="112" t="str">
        <f>IF(ISBLANK(E1922),"",_xlfn.XLOOKUP(E1922,cannabis_log!C:C,cannabis_log!T:T,"Not Found",0,))</f>
        <v>net</v>
      </c>
      <c r="O1922" s="180">
        <f>IF(N1922="net",_xlfn.XLOOKUP(E1922,cannabis_log!C:C,cannabis_log!N:N,"NOT FOUND",0,1),IF(N1922="gross",0,""))</f>
        <v>2</v>
      </c>
    </row>
    <row r="1923" spans="1:15">
      <c r="A1923" s="195" t="str">
        <f t="shared" si="108"/>
        <v>outbound</v>
      </c>
      <c r="B1923" s="196">
        <v>45812.643750000003</v>
      </c>
      <c r="C1923" s="197" t="s">
        <v>1929</v>
      </c>
      <c r="D1923" s="197"/>
      <c r="E1923" s="215" t="s">
        <v>3089</v>
      </c>
      <c r="F1923" s="112" t="str">
        <f>IF(ISBLANK(E1923),"",_xlfn.XLOOKUP(E1923,cannabis_log!C:C,cannabis_log!J:J,"",0,))</f>
        <v>EX24111302G05</v>
      </c>
      <c r="G1923" s="112"/>
      <c r="H1923" s="112" t="str">
        <f>IF(ISBLANK(E1923),"",_xlfn.XLOOKUP(E1923,cannabis_log!C:C,cannabis_log!H:H,"",0,1))</f>
        <v>extract_inhaled_labelled</v>
      </c>
      <c r="I1923" s="113">
        <f>IF(ISBLANK(E1923),"",_xlfn.XLOOKUP(E1923,cannabis_log!C:C,cannabis_log!K:K,"NOT FOUND",0,1))</f>
        <v>45707</v>
      </c>
      <c r="J1923" s="185">
        <v>-12</v>
      </c>
      <c r="K1923" s="186">
        <f t="shared" si="107"/>
        <v>0</v>
      </c>
      <c r="L1923" s="288">
        <f t="shared" si="106"/>
        <v>-6</v>
      </c>
      <c r="M1923" s="24"/>
      <c r="N1923" s="112" t="str">
        <f>IF(ISBLANK(E1923),"",_xlfn.XLOOKUP(E1923,cannabis_log!C:C,cannabis_log!T:T,"Not Found",0,))</f>
        <v>net</v>
      </c>
      <c r="O1923" s="180">
        <f>IF(N1923="net",_xlfn.XLOOKUP(E1923,cannabis_log!C:C,cannabis_log!N:N,"NOT FOUND",0,1),IF(N1923="gross",0,""))</f>
        <v>0.5</v>
      </c>
    </row>
    <row r="1924" spans="1:15">
      <c r="A1924" s="195" t="str">
        <f t="shared" si="108"/>
        <v>outbound</v>
      </c>
      <c r="B1924" s="196">
        <v>45812.643750000003</v>
      </c>
      <c r="C1924" s="197" t="s">
        <v>1929</v>
      </c>
      <c r="D1924" s="197"/>
      <c r="E1924" s="215" t="s">
        <v>3090</v>
      </c>
      <c r="F1924" s="112" t="str">
        <f>IF(ISBLANK(E1924),"",_xlfn.XLOOKUP(E1924,cannabis_log!C:C,cannabis_log!J:J,"",0,))</f>
        <v>EX25040806G05</v>
      </c>
      <c r="G1924" s="112"/>
      <c r="H1924" s="112" t="str">
        <f>IF(ISBLANK(E1924),"",_xlfn.XLOOKUP(E1924,cannabis_log!C:C,cannabis_log!H:H,"",0,1))</f>
        <v>extract_inhaled_labelled</v>
      </c>
      <c r="I1924" s="113">
        <f>IF(ISBLANK(E1924),"",_xlfn.XLOOKUP(E1924,cannabis_log!C:C,cannabis_log!K:K,"NOT FOUND",0,1))</f>
        <v>45755</v>
      </c>
      <c r="J1924" s="185">
        <v>-12</v>
      </c>
      <c r="K1924" s="186">
        <f t="shared" si="107"/>
        <v>0</v>
      </c>
      <c r="L1924" s="288">
        <f t="shared" si="106"/>
        <v>-6</v>
      </c>
      <c r="M1924" s="24"/>
      <c r="N1924" s="112" t="str">
        <f>IF(ISBLANK(E1924),"",_xlfn.XLOOKUP(E1924,cannabis_log!C:C,cannabis_log!T:T,"Not Found",0,))</f>
        <v>net</v>
      </c>
      <c r="O1924" s="180">
        <f>IF(N1924="net",_xlfn.XLOOKUP(E1924,cannabis_log!C:C,cannabis_log!N:N,"NOT FOUND",0,1),IF(N1924="gross",0,""))</f>
        <v>0.5</v>
      </c>
    </row>
    <row r="1925" spans="1:15">
      <c r="A1925" s="195" t="str">
        <f t="shared" si="108"/>
        <v>outbound</v>
      </c>
      <c r="B1925" s="196">
        <v>45813</v>
      </c>
      <c r="C1925" s="197" t="s">
        <v>1929</v>
      </c>
      <c r="D1925" s="197"/>
      <c r="E1925" s="215" t="s">
        <v>3091</v>
      </c>
      <c r="F1925" s="112">
        <f>IF(ISBLANK(E1925),"",_xlfn.XLOOKUP(E1925,cannabis_log!C:C,cannabis_log!J:J,"",0,))</f>
        <v>2025042201</v>
      </c>
      <c r="G1925" s="112"/>
      <c r="H1925" s="112" t="str">
        <f>IF(ISBLANK(E1925),"",_xlfn.XLOOKUP(E1925,cannabis_log!C:C,cannabis_log!H:H,"",0,1))</f>
        <v>driedflower_bulk_BURB</v>
      </c>
      <c r="I1925" s="113" t="str">
        <f>IF(ISBLANK(E1925),"",_xlfn.XLOOKUP(E1925,cannabis_log!C:C,cannabis_log!K:K,"NOT FOUND",0,1))</f>
        <v>NA</v>
      </c>
      <c r="J1925" s="185">
        <v>-1</v>
      </c>
      <c r="K1925" s="186">
        <v>-1060</v>
      </c>
      <c r="L1925" s="288">
        <f t="shared" si="106"/>
        <v>0</v>
      </c>
      <c r="M1925" s="24"/>
      <c r="N1925" s="112" t="str">
        <f>IF(ISBLANK(E1925),"",_xlfn.XLOOKUP(E1925,cannabis_log!C:C,cannabis_log!T:T,"Not Found",0,))</f>
        <v>gross</v>
      </c>
      <c r="O1925" s="180">
        <f>IF(N1925="net",_xlfn.XLOOKUP(E1925,cannabis_log!C:C,cannabis_log!N:N,"NOT FOUND",0,1),IF(N1925="gross",0,""))</f>
        <v>0</v>
      </c>
    </row>
    <row r="1926" spans="1:15">
      <c r="A1926" s="195" t="str">
        <f t="shared" si="108"/>
        <v>outbound</v>
      </c>
      <c r="B1926" s="196">
        <v>45813</v>
      </c>
      <c r="C1926" s="197" t="s">
        <v>1929</v>
      </c>
      <c r="D1926" s="197"/>
      <c r="E1926" s="215" t="s">
        <v>3092</v>
      </c>
      <c r="F1926" s="112">
        <f>IF(ISBLANK(E1926),"",_xlfn.XLOOKUP(E1926,cannabis_log!C:C,cannabis_log!J:J,"",0,))</f>
        <v>2025042201</v>
      </c>
      <c r="G1926" s="112"/>
      <c r="H1926" s="112" t="str">
        <f>IF(ISBLANK(E1926),"",_xlfn.XLOOKUP(E1926,cannabis_log!C:C,cannabis_log!H:H,"",0,1))</f>
        <v>driedflower_bulk_BURB</v>
      </c>
      <c r="I1926" s="113" t="str">
        <f>IF(ISBLANK(E1926),"",_xlfn.XLOOKUP(E1926,cannabis_log!C:C,cannabis_log!K:K,"NOT FOUND",0,1))</f>
        <v>NA</v>
      </c>
      <c r="J1926" s="185">
        <v>-1</v>
      </c>
      <c r="K1926" s="186">
        <v>-1198</v>
      </c>
      <c r="L1926" s="288">
        <f t="shared" si="106"/>
        <v>0</v>
      </c>
      <c r="M1926" s="24"/>
      <c r="N1926" s="112" t="str">
        <f>IF(ISBLANK(E1926),"",_xlfn.XLOOKUP(E1926,cannabis_log!C:C,cannabis_log!T:T,"Not Found",0,))</f>
        <v>gross</v>
      </c>
      <c r="O1926" s="180">
        <f>IF(N1926="net",_xlfn.XLOOKUP(E1926,cannabis_log!C:C,cannabis_log!N:N,"NOT FOUND",0,1),IF(N1926="gross",0,""))</f>
        <v>0</v>
      </c>
    </row>
    <row r="1927" spans="1:15">
      <c r="A1927" s="195" t="str">
        <f t="shared" si="108"/>
        <v>outbound</v>
      </c>
      <c r="B1927" s="196">
        <v>45813</v>
      </c>
      <c r="C1927" s="197" t="s">
        <v>1929</v>
      </c>
      <c r="D1927" s="197"/>
      <c r="E1927" s="215" t="s">
        <v>3093</v>
      </c>
      <c r="F1927" s="112">
        <f>IF(ISBLANK(E1927),"",_xlfn.XLOOKUP(E1927,cannabis_log!C:C,cannabis_log!J:J,"",0,))</f>
        <v>2025042201</v>
      </c>
      <c r="G1927" s="112"/>
      <c r="H1927" s="112" t="str">
        <f>IF(ISBLANK(E1927),"",_xlfn.XLOOKUP(E1927,cannabis_log!C:C,cannabis_log!H:H,"",0,1))</f>
        <v>driedflower_bulk_BURB</v>
      </c>
      <c r="I1927" s="113" t="str">
        <f>IF(ISBLANK(E1927),"",_xlfn.XLOOKUP(E1927,cannabis_log!C:C,cannabis_log!K:K,"NOT FOUND",0,1))</f>
        <v>NA</v>
      </c>
      <c r="J1927" s="185">
        <v>-1</v>
      </c>
      <c r="K1927" s="186">
        <v>-1058</v>
      </c>
      <c r="L1927" s="288">
        <f t="shared" si="106"/>
        <v>0</v>
      </c>
      <c r="M1927" s="24"/>
      <c r="N1927" s="112" t="str">
        <f>IF(ISBLANK(E1927),"",_xlfn.XLOOKUP(E1927,cannabis_log!C:C,cannabis_log!T:T,"Not Found",0,))</f>
        <v>gross</v>
      </c>
      <c r="O1927" s="180">
        <f>IF(N1927="net",_xlfn.XLOOKUP(E1927,cannabis_log!C:C,cannabis_log!N:N,"NOT FOUND",0,1),IF(N1927="gross",0,""))</f>
        <v>0</v>
      </c>
    </row>
    <row r="1928" spans="1:15">
      <c r="A1928" s="195" t="str">
        <f t="shared" si="108"/>
        <v>outbound</v>
      </c>
      <c r="B1928" s="196">
        <v>45813</v>
      </c>
      <c r="C1928" s="197" t="s">
        <v>1929</v>
      </c>
      <c r="D1928" s="197"/>
      <c r="E1928" s="215" t="s">
        <v>3094</v>
      </c>
      <c r="F1928" s="112">
        <f>IF(ISBLANK(E1928),"",_xlfn.XLOOKUP(E1928,cannabis_log!C:C,cannabis_log!J:J,"",0,))</f>
        <v>2025042201</v>
      </c>
      <c r="G1928" s="112"/>
      <c r="H1928" s="112" t="str">
        <f>IF(ISBLANK(E1928),"",_xlfn.XLOOKUP(E1928,cannabis_log!C:C,cannabis_log!H:H,"",0,1))</f>
        <v>driedflower_bulk_BURB</v>
      </c>
      <c r="I1928" s="113" t="str">
        <f>IF(ISBLANK(E1928),"",_xlfn.XLOOKUP(E1928,cannabis_log!C:C,cannabis_log!K:K,"NOT FOUND",0,1))</f>
        <v>NA</v>
      </c>
      <c r="J1928" s="185">
        <v>-1</v>
      </c>
      <c r="K1928" s="186">
        <v>-1058</v>
      </c>
      <c r="L1928" s="288">
        <f t="shared" si="106"/>
        <v>0</v>
      </c>
      <c r="M1928" s="24"/>
      <c r="N1928" s="112" t="str">
        <f>IF(ISBLANK(E1928),"",_xlfn.XLOOKUP(E1928,cannabis_log!C:C,cannabis_log!T:T,"Not Found",0,))</f>
        <v>gross</v>
      </c>
      <c r="O1928" s="180">
        <f>IF(N1928="net",_xlfn.XLOOKUP(E1928,cannabis_log!C:C,cannabis_log!N:N,"NOT FOUND",0,1),IF(N1928="gross",0,""))</f>
        <v>0</v>
      </c>
    </row>
    <row r="1929" spans="1:15">
      <c r="A1929" s="195" t="str">
        <f t="shared" si="108"/>
        <v>outbound</v>
      </c>
      <c r="B1929" s="196">
        <v>45813</v>
      </c>
      <c r="C1929" s="197" t="s">
        <v>1929</v>
      </c>
      <c r="D1929" s="197"/>
      <c r="E1929" s="215" t="s">
        <v>3095</v>
      </c>
      <c r="F1929" s="112">
        <f>IF(ISBLANK(E1929),"",_xlfn.XLOOKUP(E1929,cannabis_log!C:C,cannabis_log!J:J,"",0,))</f>
        <v>2025042201</v>
      </c>
      <c r="G1929" s="112"/>
      <c r="H1929" s="112" t="str">
        <f>IF(ISBLANK(E1929),"",_xlfn.XLOOKUP(E1929,cannabis_log!C:C,cannabis_log!H:H,"",0,1))</f>
        <v>driedflower_bulk_BURB</v>
      </c>
      <c r="I1929" s="113" t="str">
        <f>IF(ISBLANK(E1929),"",_xlfn.XLOOKUP(E1929,cannabis_log!C:C,cannabis_log!K:K,"NOT FOUND",0,1))</f>
        <v>NA</v>
      </c>
      <c r="J1929" s="185">
        <v>-1</v>
      </c>
      <c r="K1929" s="186">
        <v>-1154</v>
      </c>
      <c r="L1929" s="288">
        <f t="shared" si="106"/>
        <v>0</v>
      </c>
      <c r="M1929" s="24"/>
      <c r="N1929" s="112" t="str">
        <f>IF(ISBLANK(E1929),"",_xlfn.XLOOKUP(E1929,cannabis_log!C:C,cannabis_log!T:T,"Not Found",0,))</f>
        <v>gross</v>
      </c>
      <c r="O1929" s="180">
        <f>IF(N1929="net",_xlfn.XLOOKUP(E1929,cannabis_log!C:C,cannabis_log!N:N,"NOT FOUND",0,1),IF(N1929="gross",0,""))</f>
        <v>0</v>
      </c>
    </row>
    <row r="1930" spans="1:15">
      <c r="A1930" s="195" t="str">
        <f t="shared" si="108"/>
        <v>outbound</v>
      </c>
      <c r="B1930" s="196">
        <v>45813</v>
      </c>
      <c r="C1930" s="197" t="s">
        <v>1924</v>
      </c>
      <c r="D1930" s="197" t="s">
        <v>3096</v>
      </c>
      <c r="E1930" s="215" t="s">
        <v>3073</v>
      </c>
      <c r="F1930" s="112" t="str">
        <f>IF(ISBLANK(E1930),"",_xlfn.XLOOKUP(E1930,cannabis_log!C:C,cannabis_log!J:J,"",0,))</f>
        <v>PR2518</v>
      </c>
      <c r="G1930" s="112"/>
      <c r="H1930" s="112" t="str">
        <f>IF(ISBLANK(E1930),"",_xlfn.XLOOKUP(E1930,cannabis_log!C:C,cannabis_log!H:H,"",0,1))</f>
        <v>driedflower_milled_bulk_Rohan</v>
      </c>
      <c r="I1930" s="113" t="str">
        <f>IF(ISBLANK(E1930),"",_xlfn.XLOOKUP(E1930,cannabis_log!C:C,cannabis_log!K:K,"NOT FOUND",0,1))</f>
        <v>NA</v>
      </c>
      <c r="J1930" s="185">
        <v>-1</v>
      </c>
      <c r="K1930" s="186">
        <v>-3880</v>
      </c>
      <c r="L1930" s="288">
        <f t="shared" si="106"/>
        <v>0</v>
      </c>
      <c r="M1930" s="24"/>
      <c r="N1930" s="112" t="str">
        <f>IF(ISBLANK(E1930),"",_xlfn.XLOOKUP(E1930,cannabis_log!C:C,cannabis_log!T:T,"Not Found",0,))</f>
        <v>gross</v>
      </c>
      <c r="O1930" s="180">
        <f>IF(N1930="net",_xlfn.XLOOKUP(E1930,cannabis_log!C:C,cannabis_log!N:N,"NOT FOUND",0,1),IF(N1930="gross",0,""))</f>
        <v>0</v>
      </c>
    </row>
    <row r="1931" spans="1:15">
      <c r="A1931" s="195" t="str">
        <f t="shared" si="108"/>
        <v>outbound</v>
      </c>
      <c r="B1931" s="196">
        <v>45813</v>
      </c>
      <c r="C1931" s="197" t="s">
        <v>1929</v>
      </c>
      <c r="D1931" s="15" t="s">
        <v>1885</v>
      </c>
      <c r="E1931" s="215" t="s">
        <v>2492</v>
      </c>
      <c r="F1931" s="112" t="str">
        <f>IF(ISBLANK(E1931),"",_xlfn.XLOOKUP(E1931,cannabis_log!C:C,cannabis_log!J:J,"",0,))</f>
        <v>PR241104F5P3</v>
      </c>
      <c r="G1931" s="112"/>
      <c r="H1931" s="112" t="str">
        <f>IF(ISBLANK(E1931),"",_xlfn.XLOOKUP(E1931,cannabis_log!C:C,cannabis_log!H:H,"",0,1))</f>
        <v>preroll_labelled</v>
      </c>
      <c r="I1931" s="113">
        <f>IF(ISBLANK(E1931),"",_xlfn.XLOOKUP(E1931,cannabis_log!C:C,cannabis_log!K:K,"NOT FOUND",0,1))</f>
        <v>45630</v>
      </c>
      <c r="J1931" s="185">
        <v>-36</v>
      </c>
      <c r="K1931" s="186">
        <f t="shared" ref="K1931:K1939" si="109">IF(N1931="net",0,"")</f>
        <v>0</v>
      </c>
      <c r="L1931" s="288">
        <f t="shared" si="106"/>
        <v>-54</v>
      </c>
      <c r="M1931" s="24"/>
      <c r="N1931" s="112" t="str">
        <f>IF(ISBLANK(E1931),"",_xlfn.XLOOKUP(E1931,cannabis_log!C:C,cannabis_log!T:T,"Not Found",0,))</f>
        <v>net</v>
      </c>
      <c r="O1931" s="180">
        <f>IF(N1931="net",_xlfn.XLOOKUP(E1931,cannabis_log!C:C,cannabis_log!N:N,"NOT FOUND",0,1),IF(N1931="gross",0,""))</f>
        <v>1.5</v>
      </c>
    </row>
    <row r="1932" spans="1:15">
      <c r="A1932" s="195" t="str">
        <f t="shared" si="108"/>
        <v>outbound</v>
      </c>
      <c r="B1932" s="196">
        <v>45814</v>
      </c>
      <c r="C1932" s="197" t="s">
        <v>1929</v>
      </c>
      <c r="D1932" s="197" t="s">
        <v>1888</v>
      </c>
      <c r="E1932" s="215" t="s">
        <v>2477</v>
      </c>
      <c r="F1932" s="112" t="str">
        <f>IF(ISBLANK(E1932),"",_xlfn.XLOOKUP(E1932,cannabis_log!C:C,cannabis_log!J:J,"",0,))</f>
        <v>PR241102F5P3</v>
      </c>
      <c r="G1932" s="112"/>
      <c r="H1932" s="112" t="str">
        <f>IF(ISBLANK(E1932),"",_xlfn.XLOOKUP(E1932,cannabis_log!C:C,cannabis_log!H:H,"",0,1))</f>
        <v>preroll_labelled</v>
      </c>
      <c r="I1932" s="113">
        <f>IF(ISBLANK(E1932),"",_xlfn.XLOOKUP(E1932,cannabis_log!C:C,cannabis_log!K:K,"NOT FOUND",0,1))</f>
        <v>45660</v>
      </c>
      <c r="J1932" s="185">
        <v>-24</v>
      </c>
      <c r="K1932" s="186">
        <f t="shared" si="109"/>
        <v>0</v>
      </c>
      <c r="L1932" s="288">
        <f t="shared" si="106"/>
        <v>-36</v>
      </c>
      <c r="M1932" s="24"/>
      <c r="N1932" s="112" t="str">
        <f>IF(ISBLANK(E1932),"",_xlfn.XLOOKUP(E1932,cannabis_log!C:C,cannabis_log!T:T,"Not Found",0,))</f>
        <v>net</v>
      </c>
      <c r="O1932" s="180">
        <f>IF(N1932="net",_xlfn.XLOOKUP(E1932,cannabis_log!C:C,cannabis_log!N:N,"NOT FOUND",0,1),IF(N1932="gross",0,""))</f>
        <v>1.5</v>
      </c>
    </row>
    <row r="1933" spans="1:15">
      <c r="A1933" s="195" t="str">
        <f t="shared" si="108"/>
        <v>outbound</v>
      </c>
      <c r="B1933" s="196">
        <v>45814</v>
      </c>
      <c r="C1933" s="197" t="s">
        <v>1929</v>
      </c>
      <c r="D1933" s="197" t="s">
        <v>1888</v>
      </c>
      <c r="E1933" s="215" t="s">
        <v>3097</v>
      </c>
      <c r="F1933" s="112" t="str">
        <f>IF(ISBLANK(E1933),"",_xlfn.XLOOKUP(E1933,cannabis_log!C:C,cannabis_log!J:J,"",0,))</f>
        <v>PR251701F5P3</v>
      </c>
      <c r="G1933" s="112"/>
      <c r="H1933" s="112" t="str">
        <f>IF(ISBLANK(E1933),"",_xlfn.XLOOKUP(E1933,cannabis_log!C:C,cannabis_log!H:H,"",0,1))</f>
        <v>preroll_labelled</v>
      </c>
      <c r="I1933" s="113">
        <f>IF(ISBLANK(E1933),"",_xlfn.XLOOKUP(E1933,cannabis_log!C:C,cannabis_log!K:K,"NOT FOUND",0,1))</f>
        <v>45800</v>
      </c>
      <c r="J1933" s="185">
        <v>-24</v>
      </c>
      <c r="K1933" s="186">
        <f t="shared" si="109"/>
        <v>0</v>
      </c>
      <c r="L1933" s="288">
        <f t="shared" si="106"/>
        <v>-36</v>
      </c>
      <c r="M1933" s="24"/>
      <c r="N1933" s="112" t="str">
        <f>IF(ISBLANK(E1933),"",_xlfn.XLOOKUP(E1933,cannabis_log!C:C,cannabis_log!T:T,"Not Found",0,))</f>
        <v>net</v>
      </c>
      <c r="O1933" s="180">
        <f>IF(N1933="net",_xlfn.XLOOKUP(E1933,cannabis_log!C:C,cannabis_log!N:N,"NOT FOUND",0,1),IF(N1933="gross",0,""))</f>
        <v>1.5</v>
      </c>
    </row>
    <row r="1934" spans="1:15">
      <c r="A1934" s="195" t="str">
        <f t="shared" si="108"/>
        <v>outbound</v>
      </c>
      <c r="B1934" s="196">
        <v>45814</v>
      </c>
      <c r="C1934" s="197" t="s">
        <v>1929</v>
      </c>
      <c r="D1934" s="197" t="s">
        <v>1888</v>
      </c>
      <c r="E1934" s="215" t="s">
        <v>3098</v>
      </c>
      <c r="F1934" s="112" t="str">
        <f>IF(ISBLANK(E1934),"",_xlfn.XLOOKUP(E1934,cannabis_log!C:C,cannabis_log!J:J,"",0,))</f>
        <v>PR241103F5P3</v>
      </c>
      <c r="G1934" s="112"/>
      <c r="H1934" s="112" t="str">
        <f>IF(ISBLANK(E1934),"",_xlfn.XLOOKUP(E1934,cannabis_log!C:C,cannabis_log!H:H,"",0,1))</f>
        <v>preroll_labelled</v>
      </c>
      <c r="I1934" s="113">
        <f>IF(ISBLANK(E1934),"",_xlfn.XLOOKUP(E1934,cannabis_log!C:C,cannabis_log!K:K,"NOT FOUND",0,1))</f>
        <v>45761</v>
      </c>
      <c r="J1934" s="185">
        <v>-24</v>
      </c>
      <c r="K1934" s="186">
        <f t="shared" si="109"/>
        <v>0</v>
      </c>
      <c r="L1934" s="288">
        <f t="shared" si="106"/>
        <v>-36</v>
      </c>
      <c r="M1934" s="24"/>
      <c r="N1934" s="112" t="str">
        <f>IF(ISBLANK(E1934),"",_xlfn.XLOOKUP(E1934,cannabis_log!C:C,cannabis_log!T:T,"Not Found",0,))</f>
        <v>net</v>
      </c>
      <c r="O1934" s="180">
        <f>IF(N1934="net",_xlfn.XLOOKUP(E1934,cannabis_log!C:C,cannabis_log!N:N,"NOT FOUND",0,1),IF(N1934="gross",0,""))</f>
        <v>1.5</v>
      </c>
    </row>
    <row r="1935" spans="1:15">
      <c r="A1935" s="195" t="str">
        <f t="shared" si="108"/>
        <v>outbound</v>
      </c>
      <c r="B1935" s="196">
        <v>45814</v>
      </c>
      <c r="C1935" s="197" t="s">
        <v>1929</v>
      </c>
      <c r="D1935" s="183" t="s">
        <v>1888</v>
      </c>
      <c r="E1935" s="215" t="s">
        <v>3099</v>
      </c>
      <c r="F1935" s="112" t="str">
        <f>IF(ISBLANK(E1935),"",_xlfn.XLOOKUP(E1935,cannabis_log!C:C,cannabis_log!J:J,"",0,))</f>
        <v>EX24111301G05</v>
      </c>
      <c r="G1935" s="112"/>
      <c r="H1935" s="112" t="str">
        <f>IF(ISBLANK(E1935),"",_xlfn.XLOOKUP(E1935,cannabis_log!C:C,cannabis_log!H:H,"",0,1))</f>
        <v>extract_inhaled_labelled</v>
      </c>
      <c r="I1935" s="113">
        <f>IF(ISBLANK(E1935),"",_xlfn.XLOOKUP(E1935,cannabis_log!C:C,cannabis_log!K:K,"NOT FOUND",0,1))</f>
        <v>45763</v>
      </c>
      <c r="J1935" s="185">
        <v>-12</v>
      </c>
      <c r="K1935" s="186">
        <f t="shared" si="109"/>
        <v>0</v>
      </c>
      <c r="L1935" s="288">
        <f t="shared" si="106"/>
        <v>-6</v>
      </c>
      <c r="M1935" s="24"/>
      <c r="N1935" s="112" t="str">
        <f>IF(ISBLANK(E1935),"",_xlfn.XLOOKUP(E1935,cannabis_log!C:C,cannabis_log!T:T,"Not Found",0,))</f>
        <v>net</v>
      </c>
      <c r="O1935" s="180">
        <f>IF(N1935="net",_xlfn.XLOOKUP(E1935,cannabis_log!C:C,cannabis_log!N:N,"NOT FOUND",0,1),IF(N1935="gross",0,""))</f>
        <v>0.5</v>
      </c>
    </row>
    <row r="1936" spans="1:15">
      <c r="A1936" s="195" t="str">
        <f t="shared" si="108"/>
        <v>outbound</v>
      </c>
      <c r="B1936" s="196">
        <v>45814</v>
      </c>
      <c r="C1936" s="197" t="s">
        <v>1929</v>
      </c>
      <c r="D1936" s="197" t="s">
        <v>1888</v>
      </c>
      <c r="E1936" s="215" t="s">
        <v>3100</v>
      </c>
      <c r="F1936" s="112" t="str">
        <f>IF(ISBLANK(E1936),"",_xlfn.XLOOKUP(E1936,cannabis_log!C:C,cannabis_log!J:J,"",0,))</f>
        <v>EX24111301G05</v>
      </c>
      <c r="G1936" s="112"/>
      <c r="H1936" s="112" t="str">
        <f>IF(ISBLANK(E1936),"",_xlfn.XLOOKUP(E1936,cannabis_log!C:C,cannabis_log!H:H,"",0,1))</f>
        <v>extract_inhaled_labelled</v>
      </c>
      <c r="I1936" s="113">
        <f>IF(ISBLANK(E1936),"",_xlfn.XLOOKUP(E1936,cannabis_log!C:C,cannabis_log!K:K,"NOT FOUND",0,1))</f>
        <v>45756</v>
      </c>
      <c r="J1936" s="185">
        <v>-12</v>
      </c>
      <c r="K1936" s="186">
        <f t="shared" si="109"/>
        <v>0</v>
      </c>
      <c r="L1936" s="288">
        <f t="shared" si="106"/>
        <v>-6</v>
      </c>
      <c r="M1936" s="24"/>
      <c r="N1936" s="112" t="str">
        <f>IF(ISBLANK(E1936),"",_xlfn.XLOOKUP(E1936,cannabis_log!C:C,cannabis_log!T:T,"Not Found",0,))</f>
        <v>net</v>
      </c>
      <c r="O1936" s="180">
        <f>IF(N1936="net",_xlfn.XLOOKUP(E1936,cannabis_log!C:C,cannabis_log!N:N,"NOT FOUND",0,1),IF(N1936="gross",0,""))</f>
        <v>0.5</v>
      </c>
    </row>
    <row r="1937" spans="1:15">
      <c r="A1937" s="195" t="str">
        <f t="shared" si="108"/>
        <v>outbound</v>
      </c>
      <c r="B1937" s="196">
        <v>45814</v>
      </c>
      <c r="C1937" s="197" t="s">
        <v>1929</v>
      </c>
      <c r="D1937" s="197" t="s">
        <v>1888</v>
      </c>
      <c r="E1937" s="215" t="s">
        <v>3087</v>
      </c>
      <c r="F1937" s="112" t="str">
        <f>IF(ISBLANK(E1937),"",_xlfn.XLOOKUP(E1937,cannabis_log!C:C,cannabis_log!J:J,"",0,))</f>
        <v>PR2516F5P10</v>
      </c>
      <c r="G1937" s="112"/>
      <c r="H1937" s="112" t="str">
        <f>IF(ISBLANK(E1937),"",_xlfn.XLOOKUP(E1937,cannabis_log!C:C,cannabis_log!H:H,"",0,1))</f>
        <v>preroll_labelled</v>
      </c>
      <c r="I1937" s="113">
        <f>IF(ISBLANK(E1937),"",_xlfn.XLOOKUP(E1937,cannabis_log!C:C,cannabis_log!K:K,"NOT FOUND",0,1))</f>
        <v>45783</v>
      </c>
      <c r="J1937" s="185">
        <v>-24</v>
      </c>
      <c r="K1937" s="186">
        <f t="shared" si="109"/>
        <v>0</v>
      </c>
      <c r="L1937" s="288">
        <f t="shared" si="106"/>
        <v>-120</v>
      </c>
      <c r="M1937" s="24"/>
      <c r="N1937" s="112" t="str">
        <f>IF(ISBLANK(E1937),"",_xlfn.XLOOKUP(E1937,cannabis_log!C:C,cannabis_log!T:T,"Not Found",0,))</f>
        <v>net</v>
      </c>
      <c r="O1937" s="180">
        <f>IF(N1937="net",_xlfn.XLOOKUP(E1937,cannabis_log!C:C,cannabis_log!N:N,"NOT FOUND",0,1),IF(N1937="gross",0,""))</f>
        <v>5</v>
      </c>
    </row>
    <row r="1938" spans="1:15">
      <c r="A1938" s="195" t="str">
        <f t="shared" si="108"/>
        <v>outbound</v>
      </c>
      <c r="B1938" s="196">
        <v>45814</v>
      </c>
      <c r="C1938" s="197" t="s">
        <v>1929</v>
      </c>
      <c r="D1938" s="197" t="s">
        <v>1888</v>
      </c>
      <c r="E1938" s="215" t="s">
        <v>3079</v>
      </c>
      <c r="F1938" s="112" t="str">
        <f>IF(ISBLANK(E1938),"",_xlfn.XLOOKUP(E1938,cannabis_log!C:C,cannabis_log!J:J,"",0,))</f>
        <v>2024121801G7</v>
      </c>
      <c r="G1938" s="112"/>
      <c r="H1938" s="112" t="str">
        <f>IF(ISBLANK(E1938),"",_xlfn.XLOOKUP(E1938,cannabis_log!C:C,cannabis_log!H:H,"",0,1))</f>
        <v>driedflower_labelled</v>
      </c>
      <c r="I1938" s="113">
        <f>IF(ISBLANK(E1938),"",_xlfn.XLOOKUP(E1938,cannabis_log!C:C,cannabis_log!K:K,"NOT FOUND",0,1))</f>
        <v>45763</v>
      </c>
      <c r="J1938" s="185">
        <v>-24</v>
      </c>
      <c r="K1938" s="186">
        <f t="shared" si="109"/>
        <v>0</v>
      </c>
      <c r="L1938" s="288">
        <f t="shared" si="106"/>
        <v>-168</v>
      </c>
      <c r="M1938" s="24"/>
      <c r="N1938" s="112" t="str">
        <f>IF(ISBLANK(E1938),"",_xlfn.XLOOKUP(E1938,cannabis_log!C:C,cannabis_log!T:T,"Not Found",0,))</f>
        <v>net</v>
      </c>
      <c r="O1938" s="180">
        <f>IF(N1938="net",_xlfn.XLOOKUP(E1938,cannabis_log!C:C,cannabis_log!N:N,"NOT FOUND",0,1),IF(N1938="gross",0,""))</f>
        <v>7</v>
      </c>
    </row>
    <row r="1939" spans="1:15">
      <c r="A1939" s="195" t="str">
        <f t="shared" si="108"/>
        <v>outbound</v>
      </c>
      <c r="B1939" s="196">
        <v>45814</v>
      </c>
      <c r="C1939" s="197" t="s">
        <v>1929</v>
      </c>
      <c r="D1939" s="197" t="s">
        <v>1888</v>
      </c>
      <c r="E1939" s="215" t="s">
        <v>3101</v>
      </c>
      <c r="F1939" s="112" t="str">
        <f>IF(ISBLANK(E1939),"",_xlfn.XLOOKUP(E1939,cannabis_log!C:C,cannabis_log!J:J,"",0,))</f>
        <v>PR251108F5P12</v>
      </c>
      <c r="G1939" s="112"/>
      <c r="H1939" s="112" t="str">
        <f>IF(ISBLANK(E1939),"",_xlfn.XLOOKUP(E1939,cannabis_log!C:C,cannabis_log!H:H,"",0,1))</f>
        <v>preroll_labelled</v>
      </c>
      <c r="I1939" s="113">
        <f>IF(ISBLANK(E1939),"",_xlfn.XLOOKUP(E1939,cannabis_log!C:C,cannabis_log!K:K,"NOT FOUND",0,1))</f>
        <v>45803</v>
      </c>
      <c r="J1939" s="185">
        <v>-24</v>
      </c>
      <c r="K1939" s="186">
        <f t="shared" si="109"/>
        <v>0</v>
      </c>
      <c r="L1939" s="288">
        <f t="shared" si="106"/>
        <v>-144</v>
      </c>
      <c r="M1939" s="24"/>
      <c r="N1939" s="112" t="str">
        <f>IF(ISBLANK(E1939),"",_xlfn.XLOOKUP(E1939,cannabis_log!C:C,cannabis_log!T:T,"Not Found",0,))</f>
        <v>net</v>
      </c>
      <c r="O1939" s="180">
        <f>IF(N1939="net",_xlfn.XLOOKUP(E1939,cannabis_log!C:C,cannabis_log!N:N,"NOT FOUND",0,1),IF(N1939="gross",0,""))</f>
        <v>6</v>
      </c>
    </row>
    <row r="1940" spans="1:15">
      <c r="A1940" s="195" t="str">
        <f t="shared" si="108"/>
        <v>outbound</v>
      </c>
      <c r="B1940" s="196">
        <v>45814</v>
      </c>
      <c r="C1940" s="197" t="s">
        <v>1921</v>
      </c>
      <c r="D1940" s="197" t="s">
        <v>1765</v>
      </c>
      <c r="E1940" s="215" t="s">
        <v>3102</v>
      </c>
      <c r="F1940" s="112">
        <f>IF(ISBLANK(E1940),"",_xlfn.XLOOKUP(E1940,cannabis_log!C:C,cannabis_log!J:J,"",0,))</f>
        <v>2025030702</v>
      </c>
      <c r="G1940" s="112"/>
      <c r="H1940" s="112" t="str">
        <f>IF(ISBLANK(E1940),"",_xlfn.XLOOKUP(E1940,cannabis_log!C:C,cannabis_log!H:H,"",0,1))</f>
        <v>driedflower_bulk_Rohan</v>
      </c>
      <c r="I1940" s="113" t="str">
        <f>IF(ISBLANK(E1940),"",_xlfn.XLOOKUP(E1940,cannabis_log!C:C,cannabis_log!K:K,"NOT FOUND",0,1))</f>
        <v>NA</v>
      </c>
      <c r="J1940" s="185">
        <v>-1</v>
      </c>
      <c r="K1940" s="186">
        <v>-5080</v>
      </c>
      <c r="L1940" s="288">
        <f t="shared" si="106"/>
        <v>0</v>
      </c>
      <c r="M1940" s="24"/>
      <c r="N1940" s="112" t="str">
        <f>IF(ISBLANK(E1940),"",_xlfn.XLOOKUP(E1940,cannabis_log!C:C,cannabis_log!T:T,"Not Found",0,))</f>
        <v>gross</v>
      </c>
      <c r="O1940" s="180">
        <f>IF(N1940="net",_xlfn.XLOOKUP(E1940,cannabis_log!C:C,cannabis_log!N:N,"NOT FOUND",0,1),IF(N1940="gross",0,""))</f>
        <v>0</v>
      </c>
    </row>
    <row r="1941" spans="1:15">
      <c r="A1941" s="195" t="str">
        <f t="shared" si="108"/>
        <v>outbound</v>
      </c>
      <c r="B1941" s="196">
        <v>45817.5</v>
      </c>
      <c r="C1941" s="197" t="s">
        <v>1929</v>
      </c>
      <c r="D1941" s="197" t="s">
        <v>3103</v>
      </c>
      <c r="E1941" s="215" t="s">
        <v>3087</v>
      </c>
      <c r="F1941" s="112" t="str">
        <f>IF(ISBLANK(E1941),"",_xlfn.XLOOKUP(E1941,cannabis_log!C:C,cannabis_log!J:J,"",0,))</f>
        <v>PR2516F5P10</v>
      </c>
      <c r="G1941" s="112"/>
      <c r="H1941" s="112" t="str">
        <f>IF(ISBLANK(E1941),"",_xlfn.XLOOKUP(E1941,cannabis_log!C:C,cannabis_log!H:H,"",0,1))</f>
        <v>preroll_labelled</v>
      </c>
      <c r="I1941" s="113">
        <f>IF(ISBLANK(E1941),"",_xlfn.XLOOKUP(E1941,cannabis_log!C:C,cannabis_log!K:K,"NOT FOUND",0,1))</f>
        <v>45783</v>
      </c>
      <c r="J1941" s="185">
        <v>-12</v>
      </c>
      <c r="K1941" s="186">
        <f t="shared" ref="K1941:K1954" si="110">IF(N1941="net",0,"")</f>
        <v>0</v>
      </c>
      <c r="L1941" s="288">
        <f t="shared" si="106"/>
        <v>-60</v>
      </c>
      <c r="M1941" s="24"/>
      <c r="N1941" s="112" t="str">
        <f>IF(ISBLANK(E1941),"",_xlfn.XLOOKUP(E1941,cannabis_log!C:C,cannabis_log!T:T,"Not Found",0,))</f>
        <v>net</v>
      </c>
      <c r="O1941" s="180">
        <f>IF(N1941="net",_xlfn.XLOOKUP(E1941,cannabis_log!C:C,cannabis_log!N:N,"NOT FOUND",0,1),IF(N1941="gross",0,""))</f>
        <v>5</v>
      </c>
    </row>
    <row r="1942" spans="1:15">
      <c r="A1942" s="195" t="str">
        <f t="shared" si="108"/>
        <v>outbound</v>
      </c>
      <c r="B1942" s="196">
        <v>45817.5</v>
      </c>
      <c r="C1942" s="197" t="s">
        <v>1929</v>
      </c>
      <c r="D1942" s="197" t="s">
        <v>3103</v>
      </c>
      <c r="E1942" s="215" t="s">
        <v>3049</v>
      </c>
      <c r="F1942" s="112" t="str">
        <f>IF(ISBLANK(E1942),"",_xlfn.XLOOKUP(E1942,cannabis_log!C:C,cannabis_log!J:J,"",0,))</f>
        <v>PR241101F5P3</v>
      </c>
      <c r="G1942" s="112"/>
      <c r="H1942" s="112" t="str">
        <f>IF(ISBLANK(E1942),"",_xlfn.XLOOKUP(E1942,cannabis_log!C:C,cannabis_log!H:H,"",0,1))</f>
        <v>preroll_labelled</v>
      </c>
      <c r="I1942" s="113">
        <f>IF(ISBLANK(E1942),"",_xlfn.XLOOKUP(E1942,cannabis_log!C:C,cannabis_log!K:K,"NOT FOUND",0,1))</f>
        <v>45707</v>
      </c>
      <c r="J1942" s="185">
        <v>-5</v>
      </c>
      <c r="K1942" s="186">
        <f t="shared" si="110"/>
        <v>0</v>
      </c>
      <c r="L1942" s="288">
        <f t="shared" si="106"/>
        <v>-7.5</v>
      </c>
      <c r="M1942" s="24"/>
      <c r="N1942" s="112" t="str">
        <f>IF(ISBLANK(E1942),"",_xlfn.XLOOKUP(E1942,cannabis_log!C:C,cannabis_log!T:T,"Not Found",0,))</f>
        <v>net</v>
      </c>
      <c r="O1942" s="180">
        <f>IF(N1942="net",_xlfn.XLOOKUP(E1942,cannabis_log!C:C,cannabis_log!N:N,"NOT FOUND",0,1),IF(N1942="gross",0,""))</f>
        <v>1.5</v>
      </c>
    </row>
    <row r="1943" spans="1:15">
      <c r="A1943" s="195" t="str">
        <f t="shared" si="108"/>
        <v>outbound</v>
      </c>
      <c r="B1943" s="196">
        <v>45817.5</v>
      </c>
      <c r="C1943" s="197" t="s">
        <v>1929</v>
      </c>
      <c r="D1943" s="197" t="s">
        <v>3103</v>
      </c>
      <c r="E1943" s="215" t="s">
        <v>3050</v>
      </c>
      <c r="F1943" s="112" t="str">
        <f>IF(ISBLANK(E1943),"",_xlfn.XLOOKUP(E1943,cannabis_log!C:C,cannabis_log!J:J,"",0,))</f>
        <v>PR251101F5P3</v>
      </c>
      <c r="G1943" s="112"/>
      <c r="H1943" s="112" t="str">
        <f>IF(ISBLANK(E1943),"",_xlfn.XLOOKUP(E1943,cannabis_log!C:C,cannabis_log!H:H,"",0,1))</f>
        <v>preroll_labelled</v>
      </c>
      <c r="I1943" s="113">
        <f>IF(ISBLANK(E1943),"",_xlfn.XLOOKUP(E1943,cannabis_log!C:C,cannabis_log!K:K,"NOT FOUND",0,1))</f>
        <v>45770</v>
      </c>
      <c r="J1943" s="185">
        <v>-9</v>
      </c>
      <c r="K1943" s="186">
        <f t="shared" si="110"/>
        <v>0</v>
      </c>
      <c r="L1943" s="288">
        <f t="shared" si="106"/>
        <v>-13.5</v>
      </c>
      <c r="M1943" s="24"/>
      <c r="N1943" s="112" t="str">
        <f>IF(ISBLANK(E1943),"",_xlfn.XLOOKUP(E1943,cannabis_log!C:C,cannabis_log!T:T,"Not Found",0,))</f>
        <v>net</v>
      </c>
      <c r="O1943" s="180">
        <f>IF(N1943="net",_xlfn.XLOOKUP(E1943,cannabis_log!C:C,cannabis_log!N:N,"NOT FOUND",0,1),IF(N1943="gross",0,""))</f>
        <v>1.5</v>
      </c>
    </row>
    <row r="1944" spans="1:15">
      <c r="A1944" s="195" t="str">
        <f t="shared" si="108"/>
        <v>outbound</v>
      </c>
      <c r="B1944" s="196">
        <v>45817.5</v>
      </c>
      <c r="C1944" s="197" t="s">
        <v>1929</v>
      </c>
      <c r="D1944" s="197" t="s">
        <v>3103</v>
      </c>
      <c r="E1944" s="215" t="s">
        <v>3097</v>
      </c>
      <c r="F1944" s="112" t="str">
        <f>IF(ISBLANK(E1944),"",_xlfn.XLOOKUP(E1944,cannabis_log!C:C,cannabis_log!J:J,"",0,))</f>
        <v>PR251701F5P3</v>
      </c>
      <c r="G1944" s="112"/>
      <c r="H1944" s="112" t="str">
        <f>IF(ISBLANK(E1944),"",_xlfn.XLOOKUP(E1944,cannabis_log!C:C,cannabis_log!H:H,"",0,1))</f>
        <v>preroll_labelled</v>
      </c>
      <c r="I1944" s="113">
        <f>IF(ISBLANK(E1944),"",_xlfn.XLOOKUP(E1944,cannabis_log!C:C,cannabis_log!K:K,"NOT FOUND",0,1))</f>
        <v>45800</v>
      </c>
      <c r="J1944" s="185">
        <v>-10</v>
      </c>
      <c r="K1944" s="186">
        <f t="shared" si="110"/>
        <v>0</v>
      </c>
      <c r="L1944" s="288">
        <f t="shared" si="106"/>
        <v>-15</v>
      </c>
      <c r="M1944" s="24"/>
      <c r="N1944" s="112" t="str">
        <f>IF(ISBLANK(E1944),"",_xlfn.XLOOKUP(E1944,cannabis_log!C:C,cannabis_log!T:T,"Not Found",0,))</f>
        <v>net</v>
      </c>
      <c r="O1944" s="180">
        <f>IF(N1944="net",_xlfn.XLOOKUP(E1944,cannabis_log!C:C,cannabis_log!N:N,"NOT FOUND",0,1),IF(N1944="gross",0,""))</f>
        <v>1.5</v>
      </c>
    </row>
    <row r="1945" spans="1:15">
      <c r="A1945" s="195" t="str">
        <f t="shared" si="108"/>
        <v>outbound</v>
      </c>
      <c r="B1945" s="196">
        <v>45817.5</v>
      </c>
      <c r="C1945" s="197" t="s">
        <v>1929</v>
      </c>
      <c r="D1945" s="197" t="s">
        <v>3103</v>
      </c>
      <c r="E1945" s="215" t="s">
        <v>2477</v>
      </c>
      <c r="F1945" s="112" t="str">
        <f>IF(ISBLANK(E1945),"",_xlfn.XLOOKUP(E1945,cannabis_log!C:C,cannabis_log!J:J,"",0,))</f>
        <v>PR241102F5P3</v>
      </c>
      <c r="G1945" s="112"/>
      <c r="H1945" s="112" t="str">
        <f>IF(ISBLANK(E1945),"",_xlfn.XLOOKUP(E1945,cannabis_log!C:C,cannabis_log!H:H,"",0,1))</f>
        <v>preroll_labelled</v>
      </c>
      <c r="I1945" s="113">
        <f>IF(ISBLANK(E1945),"",_xlfn.XLOOKUP(E1945,cannabis_log!C:C,cannabis_log!K:K,"NOT FOUND",0,1))</f>
        <v>45660</v>
      </c>
      <c r="J1945" s="185">
        <v>-24</v>
      </c>
      <c r="K1945" s="186">
        <f t="shared" si="110"/>
        <v>0</v>
      </c>
      <c r="L1945" s="288">
        <f t="shared" si="106"/>
        <v>-36</v>
      </c>
      <c r="M1945" s="24"/>
      <c r="N1945" s="112" t="str">
        <f>IF(ISBLANK(E1945),"",_xlfn.XLOOKUP(E1945,cannabis_log!C:C,cannabis_log!T:T,"Not Found",0,))</f>
        <v>net</v>
      </c>
      <c r="O1945" s="180">
        <f>IF(N1945="net",_xlfn.XLOOKUP(E1945,cannabis_log!C:C,cannabis_log!N:N,"NOT FOUND",0,1),IF(N1945="gross",0,""))</f>
        <v>1.5</v>
      </c>
    </row>
    <row r="1946" spans="1:15">
      <c r="A1946" s="195" t="str">
        <f t="shared" si="108"/>
        <v>outbound</v>
      </c>
      <c r="B1946" s="196">
        <v>45817.5</v>
      </c>
      <c r="C1946" s="197" t="s">
        <v>1929</v>
      </c>
      <c r="D1946" s="197" t="s">
        <v>3103</v>
      </c>
      <c r="E1946" s="215" t="s">
        <v>2492</v>
      </c>
      <c r="F1946" s="112" t="str">
        <f>IF(ISBLANK(E1946),"",_xlfn.XLOOKUP(E1946,cannabis_log!C:C,cannabis_log!J:J,"",0,))</f>
        <v>PR241104F5P3</v>
      </c>
      <c r="G1946" s="112"/>
      <c r="H1946" s="112" t="str">
        <f>IF(ISBLANK(E1946),"",_xlfn.XLOOKUP(E1946,cannabis_log!C:C,cannabis_log!H:H,"",0,1))</f>
        <v>preroll_labelled</v>
      </c>
      <c r="I1946" s="113">
        <f>IF(ISBLANK(E1946),"",_xlfn.XLOOKUP(E1946,cannabis_log!C:C,cannabis_log!K:K,"NOT FOUND",0,1))</f>
        <v>45630</v>
      </c>
      <c r="J1946" s="185">
        <v>-24</v>
      </c>
      <c r="K1946" s="186">
        <f t="shared" si="110"/>
        <v>0</v>
      </c>
      <c r="L1946" s="288">
        <f t="shared" si="106"/>
        <v>-36</v>
      </c>
      <c r="M1946" s="24"/>
      <c r="N1946" s="112" t="str">
        <f>IF(ISBLANK(E1946),"",_xlfn.XLOOKUP(E1946,cannabis_log!C:C,cannabis_log!T:T,"Not Found",0,))</f>
        <v>net</v>
      </c>
      <c r="O1946" s="180">
        <f>IF(N1946="net",_xlfn.XLOOKUP(E1946,cannabis_log!C:C,cannabis_log!N:N,"NOT FOUND",0,1),IF(N1946="gross",0,""))</f>
        <v>1.5</v>
      </c>
    </row>
    <row r="1947" spans="1:15">
      <c r="A1947" s="195" t="str">
        <f t="shared" si="108"/>
        <v>outbound</v>
      </c>
      <c r="B1947" s="196">
        <v>45817.5</v>
      </c>
      <c r="C1947" s="197" t="s">
        <v>1929</v>
      </c>
      <c r="D1947" s="197" t="s">
        <v>3103</v>
      </c>
      <c r="E1947" s="215" t="s">
        <v>3088</v>
      </c>
      <c r="F1947" s="112" t="str">
        <f>IF(ISBLANK(E1947),"",_xlfn.XLOOKUP(E1947,cannabis_log!C:C,cannabis_log!J:J,"",0,))</f>
        <v>PR2507F1P2</v>
      </c>
      <c r="G1947" s="112"/>
      <c r="H1947" s="112" t="str">
        <f>IF(ISBLANK(E1947),"",_xlfn.XLOOKUP(E1947,cannabis_log!C:C,cannabis_log!H:H,"",0,1))</f>
        <v>preroll_labelled</v>
      </c>
      <c r="I1947" s="113">
        <f>IF(ISBLANK(E1947),"",_xlfn.XLOOKUP(E1947,cannabis_log!C:C,cannabis_log!K:K,"NOT FOUND",0,1))</f>
        <v>45799</v>
      </c>
      <c r="J1947" s="185">
        <v>-36</v>
      </c>
      <c r="K1947" s="186">
        <f t="shared" si="110"/>
        <v>0</v>
      </c>
      <c r="L1947" s="288">
        <f t="shared" si="106"/>
        <v>-72</v>
      </c>
      <c r="M1947" s="24"/>
      <c r="N1947" s="112" t="str">
        <f>IF(ISBLANK(E1947),"",_xlfn.XLOOKUP(E1947,cannabis_log!C:C,cannabis_log!T:T,"Not Found",0,))</f>
        <v>net</v>
      </c>
      <c r="O1947" s="180">
        <f>IF(N1947="net",_xlfn.XLOOKUP(E1947,cannabis_log!C:C,cannabis_log!N:N,"NOT FOUND",0,1),IF(N1947="gross",0,""))</f>
        <v>2</v>
      </c>
    </row>
    <row r="1948" spans="1:15">
      <c r="A1948" s="195" t="str">
        <f t="shared" si="108"/>
        <v>outbound</v>
      </c>
      <c r="B1948" s="196">
        <v>45817.5</v>
      </c>
      <c r="C1948" s="197" t="s">
        <v>1929</v>
      </c>
      <c r="D1948" s="197" t="s">
        <v>3104</v>
      </c>
      <c r="E1948" s="215" t="s">
        <v>3086</v>
      </c>
      <c r="F1948" s="112" t="str">
        <f>IF(ISBLANK(E1948),"",_xlfn.XLOOKUP(E1948,cannabis_log!C:C,cannabis_log!J:J,"",0,))</f>
        <v>PR2301F5P3</v>
      </c>
      <c r="G1948" s="112"/>
      <c r="H1948" s="112" t="str">
        <f>IF(ISBLANK(E1948),"",_xlfn.XLOOKUP(E1948,cannabis_log!C:C,cannabis_log!H:H,"",0,1))</f>
        <v>preroll_labelled</v>
      </c>
      <c r="I1948" s="113">
        <f>IF(ISBLANK(E1948),"",_xlfn.XLOOKUP(E1948,cannabis_log!C:C,cannabis_log!K:K,"NOT FOUND",0,1))</f>
        <v>45742</v>
      </c>
      <c r="J1948" s="185">
        <v>-12</v>
      </c>
      <c r="K1948" s="186">
        <f t="shared" si="110"/>
        <v>0</v>
      </c>
      <c r="L1948" s="288">
        <f t="shared" si="106"/>
        <v>-18</v>
      </c>
      <c r="M1948" s="24"/>
      <c r="N1948" s="112" t="str">
        <f>IF(ISBLANK(E1948),"",_xlfn.XLOOKUP(E1948,cannabis_log!C:C,cannabis_log!T:T,"Not Found",0,))</f>
        <v>net</v>
      </c>
      <c r="O1948" s="180">
        <f>IF(N1948="net",_xlfn.XLOOKUP(E1948,cannabis_log!C:C,cannabis_log!N:N,"NOT FOUND",0,1),IF(N1948="gross",0,""))</f>
        <v>1.5</v>
      </c>
    </row>
    <row r="1949" spans="1:15">
      <c r="A1949" s="195" t="str">
        <f t="shared" si="108"/>
        <v>outbound</v>
      </c>
      <c r="B1949" s="196">
        <v>45817.5</v>
      </c>
      <c r="C1949" s="197" t="s">
        <v>1929</v>
      </c>
      <c r="D1949" s="197" t="s">
        <v>3104</v>
      </c>
      <c r="E1949" s="215" t="s">
        <v>3054</v>
      </c>
      <c r="F1949" s="112" t="str">
        <f>IF(ISBLANK(E1949),"",_xlfn.XLOOKUP(E1949,cannabis_log!C:C,cannabis_log!J:J,"",0,))</f>
        <v>ROGEX001G1</v>
      </c>
      <c r="G1949" s="112"/>
      <c r="H1949" s="112" t="str">
        <f>IF(ISBLANK(E1949),"",_xlfn.XLOOKUP(E1949,cannabis_log!C:C,cannabis_log!H:H,"",0,1))</f>
        <v>extract_inhaled_labelled_Rohan</v>
      </c>
      <c r="I1949" s="113">
        <f>IF(ISBLANK(E1949),"",_xlfn.XLOOKUP(E1949,cannabis_log!C:C,cannabis_log!K:K,"NOT FOUND",0,1))</f>
        <v>45772</v>
      </c>
      <c r="J1949" s="185">
        <v>-24</v>
      </c>
      <c r="K1949" s="186">
        <f t="shared" si="110"/>
        <v>0</v>
      </c>
      <c r="L1949" s="288">
        <f t="shared" si="106"/>
        <v>-24</v>
      </c>
      <c r="M1949" s="24"/>
      <c r="N1949" s="112" t="str">
        <f>IF(ISBLANK(E1949),"",_xlfn.XLOOKUP(E1949,cannabis_log!C:C,cannabis_log!T:T,"Not Found",0,))</f>
        <v>net</v>
      </c>
      <c r="O1949" s="180">
        <f>IF(N1949="net",_xlfn.XLOOKUP(E1949,cannabis_log!C:C,cannabis_log!N:N,"NOT FOUND",0,1),IF(N1949="gross",0,""))</f>
        <v>1</v>
      </c>
    </row>
    <row r="1950" spans="1:15">
      <c r="A1950" s="195" t="str">
        <f t="shared" si="108"/>
        <v>outbound</v>
      </c>
      <c r="B1950" s="196">
        <v>45817.5</v>
      </c>
      <c r="C1950" s="197" t="s">
        <v>1929</v>
      </c>
      <c r="D1950" s="197" t="s">
        <v>3104</v>
      </c>
      <c r="E1950" s="215" t="s">
        <v>3019</v>
      </c>
      <c r="F1950" s="112" t="str">
        <f>IF(ISBLANK(E1950),"",_xlfn.XLOOKUP(E1950,cannabis_log!C:C,cannabis_log!J:J,"",0,))</f>
        <v>PR2501INF5P3</v>
      </c>
      <c r="G1950" s="112"/>
      <c r="H1950" s="112" t="str">
        <f>IF(ISBLANK(E1950),"",_xlfn.XLOOKUP(E1950,cannabis_log!C:C,cannabis_log!H:H,"",0,1))</f>
        <v>preroll_labelled</v>
      </c>
      <c r="I1950" s="113">
        <f>IF(ISBLANK(E1950),"",_xlfn.XLOOKUP(E1950,cannabis_log!C:C,cannabis_log!K:K,"NOT FOUND",0,1))</f>
        <v>45778</v>
      </c>
      <c r="J1950" s="185">
        <v>-12</v>
      </c>
      <c r="K1950" s="186">
        <f t="shared" si="110"/>
        <v>0</v>
      </c>
      <c r="L1950" s="288">
        <f t="shared" si="106"/>
        <v>-18</v>
      </c>
      <c r="M1950" s="24"/>
      <c r="N1950" s="112" t="str">
        <f>IF(ISBLANK(E1950),"",_xlfn.XLOOKUP(E1950,cannabis_log!C:C,cannabis_log!T:T,"Not Found",0,))</f>
        <v>net</v>
      </c>
      <c r="O1950" s="180">
        <f>IF(N1950="net",_xlfn.XLOOKUP(E1950,cannabis_log!C:C,cannabis_log!N:N,"NOT FOUND",0,1),IF(N1950="gross",0,""))</f>
        <v>1.5</v>
      </c>
    </row>
    <row r="1951" spans="1:15">
      <c r="A1951" s="195" t="str">
        <f t="shared" si="108"/>
        <v>outbound</v>
      </c>
      <c r="B1951" s="196">
        <v>45817.5</v>
      </c>
      <c r="C1951" s="197" t="s">
        <v>1929</v>
      </c>
      <c r="D1951" s="197" t="s">
        <v>3104</v>
      </c>
      <c r="E1951" s="215" t="s">
        <v>3012</v>
      </c>
      <c r="F1951" s="112" t="str">
        <f>IF(ISBLANK(E1951),"",_xlfn.XLOOKUP(E1951,cannabis_log!C:C,cannabis_log!J:J,"",0,))</f>
        <v>LR23032101</v>
      </c>
      <c r="G1951" s="112"/>
      <c r="H1951" s="112" t="str">
        <f>IF(ISBLANK(E1951),"",_xlfn.XLOOKUP(E1951,cannabis_log!C:C,cannabis_log!H:H,"",0,1))</f>
        <v>extract_inhaled_labelled</v>
      </c>
      <c r="I1951" s="113">
        <f>IF(ISBLANK(E1951),"",_xlfn.XLOOKUP(E1951,cannabis_log!C:C,cannabis_log!K:K,"NOT FOUND",0,1))</f>
        <v>45793</v>
      </c>
      <c r="J1951" s="185">
        <v>-12</v>
      </c>
      <c r="K1951" s="186">
        <f t="shared" si="110"/>
        <v>0</v>
      </c>
      <c r="L1951" s="288">
        <f t="shared" si="106"/>
        <v>-12</v>
      </c>
      <c r="M1951" s="24"/>
      <c r="N1951" s="112" t="str">
        <f>IF(ISBLANK(E1951),"",_xlfn.XLOOKUP(E1951,cannabis_log!C:C,cannabis_log!T:T,"Not Found",0,))</f>
        <v>net</v>
      </c>
      <c r="O1951" s="180">
        <f>IF(N1951="net",_xlfn.XLOOKUP(E1951,cannabis_log!C:C,cannabis_log!N:N,"NOT FOUND",0,1),IF(N1951="gross",0,""))</f>
        <v>1</v>
      </c>
    </row>
    <row r="1952" spans="1:15">
      <c r="A1952" s="195" t="str">
        <f t="shared" si="108"/>
        <v>outbound</v>
      </c>
      <c r="B1952" s="196">
        <v>45817.5</v>
      </c>
      <c r="C1952" s="197" t="s">
        <v>1929</v>
      </c>
      <c r="D1952" s="197" t="s">
        <v>1889</v>
      </c>
      <c r="E1952" s="215" t="s">
        <v>2461</v>
      </c>
      <c r="F1952" s="112" t="str">
        <f>IF(ISBLANK(E1952),"",_xlfn.XLOOKUP(E1952,cannabis_log!C:C,cannabis_log!J:J,"",0,))</f>
        <v>TP21121701</v>
      </c>
      <c r="G1952" s="112"/>
      <c r="H1952" s="112" t="str">
        <f>IF(ISBLANK(E1952),"",_xlfn.XLOOKUP(E1952,cannabis_log!C:C,cannabis_log!H:H,"",0,1))</f>
        <v>topical_labelled</v>
      </c>
      <c r="I1952" s="113">
        <f>IF(ISBLANK(E1952),"",_xlfn.XLOOKUP(E1952,cannabis_log!C:C,cannabis_log!K:K,"NOT FOUND",0,1))</f>
        <v>45649</v>
      </c>
      <c r="J1952" s="185">
        <v>-12</v>
      </c>
      <c r="K1952" s="186">
        <f t="shared" si="110"/>
        <v>0</v>
      </c>
      <c r="L1952" s="288">
        <f t="shared" si="106"/>
        <v>-1440</v>
      </c>
      <c r="M1952" s="24"/>
      <c r="N1952" s="112" t="str">
        <f>IF(ISBLANK(E1952),"",_xlfn.XLOOKUP(E1952,cannabis_log!C:C,cannabis_log!T:T,"Not Found",0,))</f>
        <v>net</v>
      </c>
      <c r="O1952" s="180">
        <f>IF(N1952="net",_xlfn.XLOOKUP(E1952,cannabis_log!C:C,cannabis_log!N:N,"NOT FOUND",0,1),IF(N1952="gross",0,""))</f>
        <v>120</v>
      </c>
    </row>
    <row r="1953" spans="1:15">
      <c r="A1953" s="195" t="str">
        <f t="shared" si="108"/>
        <v>outbound</v>
      </c>
      <c r="B1953" s="196">
        <v>45817.5</v>
      </c>
      <c r="C1953" s="197" t="s">
        <v>1929</v>
      </c>
      <c r="D1953" s="197" t="s">
        <v>1889</v>
      </c>
      <c r="E1953" s="215" t="s">
        <v>2300</v>
      </c>
      <c r="F1953" s="112" t="str">
        <f>IF(ISBLANK(E1953),"",_xlfn.XLOOKUP(E1953,cannabis_log!C:C,cannabis_log!J:J,"",0,))</f>
        <v>EX23060701V30</v>
      </c>
      <c r="G1953" s="112"/>
      <c r="H1953" s="112" t="str">
        <f>IF(ISBLANK(E1953),"",_xlfn.XLOOKUP(E1953,cannabis_log!C:C,cannabis_log!H:H,"",0,1))</f>
        <v>extract_ingested_labelled</v>
      </c>
      <c r="I1953" s="113">
        <f>IF(ISBLANK(E1953),"",_xlfn.XLOOKUP(E1953,cannabis_log!C:C,cannabis_log!K:K,"NOT FOUND",0,1))</f>
        <v>45596</v>
      </c>
      <c r="J1953" s="185">
        <v>-12</v>
      </c>
      <c r="K1953" s="186">
        <f t="shared" si="110"/>
        <v>0</v>
      </c>
      <c r="L1953" s="288">
        <f t="shared" si="106"/>
        <v>-328.79999999999995</v>
      </c>
      <c r="M1953" s="24"/>
      <c r="N1953" s="112" t="str">
        <f>IF(ISBLANK(E1953),"",_xlfn.XLOOKUP(E1953,cannabis_log!C:C,cannabis_log!T:T,"Not Found",0,))</f>
        <v>net</v>
      </c>
      <c r="O1953" s="180">
        <f>IF(N1953="net",_xlfn.XLOOKUP(E1953,cannabis_log!C:C,cannabis_log!N:N,"NOT FOUND",0,1),IF(N1953="gross",0,""))</f>
        <v>27.4</v>
      </c>
    </row>
    <row r="1954" spans="1:15">
      <c r="A1954" s="195" t="str">
        <f t="shared" si="108"/>
        <v>outbound</v>
      </c>
      <c r="B1954" s="196">
        <v>45817.5</v>
      </c>
      <c r="C1954" s="197" t="s">
        <v>1929</v>
      </c>
      <c r="D1954" s="197"/>
      <c r="E1954" s="215" t="s">
        <v>3087</v>
      </c>
      <c r="F1954" s="112" t="str">
        <f>IF(ISBLANK(E1954),"",_xlfn.XLOOKUP(E1954,cannabis_log!C:C,cannabis_log!J:J,"",0,))</f>
        <v>PR2516F5P10</v>
      </c>
      <c r="G1954" s="112"/>
      <c r="H1954" s="112" t="str">
        <f>IF(ISBLANK(E1954),"",_xlfn.XLOOKUP(E1954,cannabis_log!C:C,cannabis_log!H:H,"",0,1))</f>
        <v>preroll_labelled</v>
      </c>
      <c r="I1954" s="113">
        <f>IF(ISBLANK(E1954),"",_xlfn.XLOOKUP(E1954,cannabis_log!C:C,cannabis_log!K:K,"NOT FOUND",0,1))</f>
        <v>45783</v>
      </c>
      <c r="J1954" s="185">
        <v>-64</v>
      </c>
      <c r="K1954" s="186">
        <f t="shared" si="110"/>
        <v>0</v>
      </c>
      <c r="L1954" s="288">
        <f t="shared" si="106"/>
        <v>-320</v>
      </c>
      <c r="M1954" s="24"/>
      <c r="N1954" s="112" t="str">
        <f>IF(ISBLANK(E1954),"",_xlfn.XLOOKUP(E1954,cannabis_log!C:C,cannabis_log!T:T,"Not Found",0,))</f>
        <v>net</v>
      </c>
      <c r="O1954" s="180">
        <f>IF(N1954="net",_xlfn.XLOOKUP(E1954,cannabis_log!C:C,cannabis_log!N:N,"NOT FOUND",0,1),IF(N1954="gross",0,""))</f>
        <v>5</v>
      </c>
    </row>
    <row r="1955" spans="1:15">
      <c r="A1955" s="195" t="str">
        <f t="shared" si="108"/>
        <v>outbound</v>
      </c>
      <c r="B1955" s="196">
        <v>45817.5</v>
      </c>
      <c r="C1955" s="197" t="s">
        <v>1921</v>
      </c>
      <c r="D1955" s="197"/>
      <c r="E1955" s="215" t="s">
        <v>2656</v>
      </c>
      <c r="F1955" s="112" t="str">
        <f>IF(ISBLANK(E1955),"",_xlfn.XLOOKUP(E1955,cannabis_log!C:C,cannabis_log!J:J,"",0,))</f>
        <v>PR2507</v>
      </c>
      <c r="G1955" s="112"/>
      <c r="H1955" s="112" t="str">
        <f>IF(ISBLANK(E1955),"",_xlfn.XLOOKUP(E1955,cannabis_log!C:C,cannabis_log!H:H,"",0,1))</f>
        <v>driedflower_milled_bulk</v>
      </c>
      <c r="I1955" s="113" t="str">
        <f>IF(ISBLANK(E1955),"",_xlfn.XLOOKUP(E1955,cannabis_log!C:C,cannabis_log!K:K,"NOT FOUND",0,1))</f>
        <v>NA</v>
      </c>
      <c r="J1955" s="185">
        <v>-1</v>
      </c>
      <c r="K1955" s="186">
        <v>-3868</v>
      </c>
      <c r="L1955" s="288">
        <f t="shared" si="106"/>
        <v>0</v>
      </c>
      <c r="M1955" s="24"/>
      <c r="N1955" s="112" t="str">
        <f>IF(ISBLANK(E1955),"",_xlfn.XLOOKUP(E1955,cannabis_log!C:C,cannabis_log!T:T,"Not Found",0,))</f>
        <v>gross</v>
      </c>
      <c r="O1955" s="180">
        <f>IF(N1955="net",_xlfn.XLOOKUP(E1955,cannabis_log!C:C,cannabis_log!N:N,"NOT FOUND",0,1),IF(N1955="gross",0,""))</f>
        <v>0</v>
      </c>
    </row>
    <row r="1956" spans="1:15">
      <c r="A1956" s="195" t="str">
        <f t="shared" si="108"/>
        <v>outbound</v>
      </c>
      <c r="B1956" s="196">
        <v>45817.5</v>
      </c>
      <c r="C1956" s="197" t="s">
        <v>1921</v>
      </c>
      <c r="D1956" s="197"/>
      <c r="E1956" s="215" t="s">
        <v>3105</v>
      </c>
      <c r="F1956" s="112" t="str">
        <f>IF(ISBLANK(E1956),"",_xlfn.XLOOKUP(E1956,cannabis_log!C:C,cannabis_log!J:J,"",0,))</f>
        <v>PR2516</v>
      </c>
      <c r="G1956" s="112"/>
      <c r="H1956" s="112" t="str">
        <f>IF(ISBLANK(E1956),"",_xlfn.XLOOKUP(E1956,cannabis_log!C:C,cannabis_log!H:H,"",0,1))</f>
        <v>driedflower_milled_bulk</v>
      </c>
      <c r="I1956" s="113" t="str">
        <f>IF(ISBLANK(E1956),"",_xlfn.XLOOKUP(E1956,cannabis_log!C:C,cannabis_log!K:K,"NOT FOUND",0,1))</f>
        <v>NA</v>
      </c>
      <c r="J1956" s="185">
        <v>-1</v>
      </c>
      <c r="K1956" s="186">
        <v>-5770</v>
      </c>
      <c r="L1956" s="288">
        <f t="shared" si="106"/>
        <v>0</v>
      </c>
      <c r="M1956" s="24"/>
      <c r="N1956" s="112" t="str">
        <f>IF(ISBLANK(E1956),"",_xlfn.XLOOKUP(E1956,cannabis_log!C:C,cannabis_log!T:T,"Not Found",0,))</f>
        <v>gross</v>
      </c>
      <c r="O1956" s="180">
        <f>IF(N1956="net",_xlfn.XLOOKUP(E1956,cannabis_log!C:C,cannabis_log!N:N,"NOT FOUND",0,1),IF(N1956="gross",0,""))</f>
        <v>0</v>
      </c>
    </row>
    <row r="1957" spans="1:15">
      <c r="A1957" s="195" t="str">
        <f t="shared" si="108"/>
        <v>outbound</v>
      </c>
      <c r="B1957" s="196">
        <v>45818.625</v>
      </c>
      <c r="C1957" s="197" t="s">
        <v>1929</v>
      </c>
      <c r="D1957" s="197" t="s">
        <v>3106</v>
      </c>
      <c r="E1957" s="215" t="s">
        <v>3045</v>
      </c>
      <c r="F1957" s="112" t="str">
        <f>IF(ISBLANK(E1957),"",_xlfn.XLOOKUP(E1957,cannabis_log!C:C,cannabis_log!J:J,"",0,))</f>
        <v>EX25041401V30</v>
      </c>
      <c r="G1957" s="112"/>
      <c r="H1957" s="112" t="str">
        <f>IF(ISBLANK(E1957),"",_xlfn.XLOOKUP(E1957,cannabis_log!C:C,cannabis_log!H:H,"",0,1))</f>
        <v>extract_ingested_labelled</v>
      </c>
      <c r="I1957" s="113">
        <f>IF(ISBLANK(E1957),"",_xlfn.XLOOKUP(E1957,cannabis_log!C:C,cannabis_log!K:K,"NOT FOUND",0,1))</f>
        <v>45777</v>
      </c>
      <c r="J1957" s="185">
        <v>-12</v>
      </c>
      <c r="K1957" s="186">
        <f t="shared" ref="K1957:K1968" si="111">IF(N1957="net",0,"")</f>
        <v>0</v>
      </c>
      <c r="L1957" s="288">
        <f t="shared" si="106"/>
        <v>-327.60000000000002</v>
      </c>
      <c r="M1957" s="24"/>
      <c r="N1957" s="112" t="str">
        <f>IF(ISBLANK(E1957),"",_xlfn.XLOOKUP(E1957,cannabis_log!C:C,cannabis_log!T:T,"Not Found",0,))</f>
        <v>net</v>
      </c>
      <c r="O1957" s="180">
        <f>IF(N1957="net",_xlfn.XLOOKUP(E1957,cannabis_log!C:C,cannabis_log!N:N,"NOT FOUND",0,1),IF(N1957="gross",0,""))</f>
        <v>27.3</v>
      </c>
    </row>
    <row r="1958" spans="1:15">
      <c r="A1958" s="195" t="str">
        <f t="shared" si="108"/>
        <v>outbound</v>
      </c>
      <c r="B1958" s="196">
        <v>45818.625</v>
      </c>
      <c r="C1958" s="197" t="s">
        <v>1929</v>
      </c>
      <c r="D1958" s="197" t="s">
        <v>3106</v>
      </c>
      <c r="E1958" s="215" t="s">
        <v>2499</v>
      </c>
      <c r="F1958" s="112" t="str">
        <f>IF(ISBLANK(E1958),"",_xlfn.XLOOKUP(E1958,cannabis_log!C:C,cannabis_log!J:J,"",0,))</f>
        <v>2024101703G7</v>
      </c>
      <c r="G1958" s="112"/>
      <c r="H1958" s="112" t="str">
        <f>IF(ISBLANK(E1958),"",_xlfn.XLOOKUP(E1958,cannabis_log!C:C,cannabis_log!H:H,"",0,1))</f>
        <v>driedflower_labelled</v>
      </c>
      <c r="I1958" s="113">
        <f>IF(ISBLANK(E1958),"",_xlfn.XLOOKUP(E1958,cannabis_log!C:C,cannabis_log!K:K,"NOT FOUND",0,1))</f>
        <v>45618</v>
      </c>
      <c r="J1958" s="185">
        <v>-10</v>
      </c>
      <c r="K1958" s="186">
        <f t="shared" si="111"/>
        <v>0</v>
      </c>
      <c r="L1958" s="288">
        <f t="shared" si="106"/>
        <v>-70</v>
      </c>
      <c r="M1958" s="24"/>
      <c r="N1958" s="112" t="str">
        <f>IF(ISBLANK(E1958),"",_xlfn.XLOOKUP(E1958,cannabis_log!C:C,cannabis_log!T:T,"Not Found",0,))</f>
        <v>net</v>
      </c>
      <c r="O1958" s="180">
        <f>IF(N1958="net",_xlfn.XLOOKUP(E1958,cannabis_log!C:C,cannabis_log!N:N,"NOT FOUND",0,1),IF(N1958="gross",0,""))</f>
        <v>7</v>
      </c>
    </row>
    <row r="1959" spans="1:15">
      <c r="A1959" s="195" t="str">
        <f t="shared" si="108"/>
        <v>outbound</v>
      </c>
      <c r="B1959" s="196">
        <v>45818.625</v>
      </c>
      <c r="C1959" s="197" t="s">
        <v>1929</v>
      </c>
      <c r="D1959" s="197" t="s">
        <v>3106</v>
      </c>
      <c r="E1959" s="215" t="s">
        <v>3107</v>
      </c>
      <c r="F1959" s="112" t="str">
        <f>IF(ISBLANK(E1959),"",_xlfn.XLOOKUP(E1959,cannabis_log!C:C,cannabis_log!J:J,"",0,))</f>
        <v>2024121801G7</v>
      </c>
      <c r="G1959" s="112"/>
      <c r="H1959" s="112" t="str">
        <f>IF(ISBLANK(E1959),"",_xlfn.XLOOKUP(E1959,cannabis_log!C:C,cannabis_log!H:H,"",0,1))</f>
        <v>driedflower_labelled</v>
      </c>
      <c r="I1959" s="113">
        <f>IF(ISBLANK(E1959),"",_xlfn.XLOOKUP(E1959,cannabis_log!C:C,cannabis_log!K:K,"NOT FOUND",0,1))</f>
        <v>45721</v>
      </c>
      <c r="J1959" s="185">
        <v>-2</v>
      </c>
      <c r="K1959" s="186">
        <f t="shared" si="111"/>
        <v>0</v>
      </c>
      <c r="L1959" s="288">
        <f t="shared" si="106"/>
        <v>-14</v>
      </c>
      <c r="M1959" s="24"/>
      <c r="N1959" s="112" t="str">
        <f>IF(ISBLANK(E1959),"",_xlfn.XLOOKUP(E1959,cannabis_log!C:C,cannabis_log!T:T,"Not Found",0,))</f>
        <v>net</v>
      </c>
      <c r="O1959" s="180">
        <f>IF(N1959="net",_xlfn.XLOOKUP(E1959,cannabis_log!C:C,cannabis_log!N:N,"NOT FOUND",0,1),IF(N1959="gross",0,""))</f>
        <v>7</v>
      </c>
    </row>
    <row r="1960" spans="1:15">
      <c r="A1960" s="195" t="str">
        <f t="shared" si="108"/>
        <v>outbound</v>
      </c>
      <c r="B1960" s="196">
        <v>45818.625</v>
      </c>
      <c r="C1960" s="197" t="s">
        <v>1929</v>
      </c>
      <c r="D1960" s="197" t="s">
        <v>1891</v>
      </c>
      <c r="E1960" s="215" t="s">
        <v>3019</v>
      </c>
      <c r="F1960" s="112" t="str">
        <f>IF(ISBLANK(E1960),"",_xlfn.XLOOKUP(E1960,cannabis_log!C:C,cannabis_log!J:J,"",0,))</f>
        <v>PR2501INF5P3</v>
      </c>
      <c r="G1960" s="112"/>
      <c r="H1960" s="112" t="str">
        <f>IF(ISBLANK(E1960),"",_xlfn.XLOOKUP(E1960,cannabis_log!C:C,cannabis_log!H:H,"",0,1))</f>
        <v>preroll_labelled</v>
      </c>
      <c r="I1960" s="113">
        <f>IF(ISBLANK(E1960),"",_xlfn.XLOOKUP(E1960,cannabis_log!C:C,cannabis_log!K:K,"NOT FOUND",0,1))</f>
        <v>45778</v>
      </c>
      <c r="J1960" s="185">
        <v>-36</v>
      </c>
      <c r="K1960" s="186">
        <f t="shared" si="111"/>
        <v>0</v>
      </c>
      <c r="L1960" s="288">
        <f t="shared" si="106"/>
        <v>-54</v>
      </c>
      <c r="M1960" s="24"/>
      <c r="N1960" s="112" t="str">
        <f>IF(ISBLANK(E1960),"",_xlfn.XLOOKUP(E1960,cannabis_log!C:C,cannabis_log!T:T,"Not Found",0,))</f>
        <v>net</v>
      </c>
      <c r="O1960" s="180">
        <f>IF(N1960="net",_xlfn.XLOOKUP(E1960,cannabis_log!C:C,cannabis_log!N:N,"NOT FOUND",0,1),IF(N1960="gross",0,""))</f>
        <v>1.5</v>
      </c>
    </row>
    <row r="1961" spans="1:15">
      <c r="A1961" s="195" t="str">
        <f t="shared" si="108"/>
        <v>outbound</v>
      </c>
      <c r="B1961" s="196">
        <v>45818.625</v>
      </c>
      <c r="C1961" s="197" t="s">
        <v>1929</v>
      </c>
      <c r="D1961" s="197" t="s">
        <v>1891</v>
      </c>
      <c r="E1961" s="215" t="s">
        <v>3054</v>
      </c>
      <c r="F1961" s="112" t="str">
        <f>IF(ISBLANK(E1961),"",_xlfn.XLOOKUP(E1961,cannabis_log!C:C,cannabis_log!J:J,"",0,))</f>
        <v>ROGEX001G1</v>
      </c>
      <c r="G1961" s="112"/>
      <c r="H1961" s="112" t="str">
        <f>IF(ISBLANK(E1961),"",_xlfn.XLOOKUP(E1961,cannabis_log!C:C,cannabis_log!H:H,"",0,1))</f>
        <v>extract_inhaled_labelled_Rohan</v>
      </c>
      <c r="I1961" s="113">
        <f>IF(ISBLANK(E1961),"",_xlfn.XLOOKUP(E1961,cannabis_log!C:C,cannabis_log!K:K,"NOT FOUND",0,1))</f>
        <v>45772</v>
      </c>
      <c r="J1961" s="185">
        <v>-12</v>
      </c>
      <c r="K1961" s="186">
        <f t="shared" si="111"/>
        <v>0</v>
      </c>
      <c r="L1961" s="288">
        <f t="shared" si="106"/>
        <v>-12</v>
      </c>
      <c r="M1961" s="24"/>
      <c r="N1961" s="112" t="str">
        <f>IF(ISBLANK(E1961),"",_xlfn.XLOOKUP(E1961,cannabis_log!C:C,cannabis_log!T:T,"Not Found",0,))</f>
        <v>net</v>
      </c>
      <c r="O1961" s="180">
        <f>IF(N1961="net",_xlfn.XLOOKUP(E1961,cannabis_log!C:C,cannabis_log!N:N,"NOT FOUND",0,1),IF(N1961="gross",0,""))</f>
        <v>1</v>
      </c>
    </row>
    <row r="1962" spans="1:15">
      <c r="A1962" s="195" t="str">
        <f t="shared" si="108"/>
        <v>outbound</v>
      </c>
      <c r="B1962" s="196">
        <v>45819.625</v>
      </c>
      <c r="C1962" s="197" t="s">
        <v>1924</v>
      </c>
      <c r="D1962" s="197" t="s">
        <v>3108</v>
      </c>
      <c r="E1962" s="215" t="s">
        <v>3109</v>
      </c>
      <c r="F1962" s="112" t="str">
        <f>IF(ISBLANK(E1962),"",_xlfn.XLOOKUP(E1962,cannabis_log!C:C,cannabis_log!J:J,"",0,))</f>
        <v>EX25020601G1</v>
      </c>
      <c r="G1962" s="112"/>
      <c r="H1962" s="112" t="str">
        <f>IF(ISBLANK(E1962),"",_xlfn.XLOOKUP(E1962,cannabis_log!C:C,cannabis_log!H:H,"",0,1))</f>
        <v>extract_inhaled_labelled</v>
      </c>
      <c r="I1962" s="113">
        <f>IF(ISBLANK(E1962),"",_xlfn.XLOOKUP(E1962,cannabis_log!C:C,cannabis_log!K:K,"NOT FOUND",0,1))</f>
        <v>45707</v>
      </c>
      <c r="J1962" s="185">
        <v>-1</v>
      </c>
      <c r="K1962" s="186">
        <f t="shared" si="111"/>
        <v>0</v>
      </c>
      <c r="L1962" s="288">
        <f t="shared" si="106"/>
        <v>-1</v>
      </c>
      <c r="M1962" s="24"/>
      <c r="N1962" s="112" t="str">
        <f>IF(ISBLANK(E1962),"",_xlfn.XLOOKUP(E1962,cannabis_log!C:C,cannabis_log!T:T,"Not Found",0,))</f>
        <v>net</v>
      </c>
      <c r="O1962" s="180">
        <f>IF(N1962="net",_xlfn.XLOOKUP(E1962,cannabis_log!C:C,cannabis_log!N:N,"NOT FOUND",0,1),IF(N1962="gross",0,""))</f>
        <v>1</v>
      </c>
    </row>
    <row r="1963" spans="1:15">
      <c r="A1963" s="195" t="str">
        <f t="shared" si="108"/>
        <v>outbound</v>
      </c>
      <c r="B1963" s="196">
        <v>45819.625</v>
      </c>
      <c r="C1963" s="197" t="s">
        <v>1924</v>
      </c>
      <c r="D1963" s="197" t="s">
        <v>3108</v>
      </c>
      <c r="E1963" s="215" t="s">
        <v>2513</v>
      </c>
      <c r="F1963" s="112" t="str">
        <f>IF(ISBLANK(E1963),"",_xlfn.XLOOKUP(E1963,cannabis_log!C:C,cannabis_log!J:J,"",0,))</f>
        <v>TP24101701</v>
      </c>
      <c r="G1963" s="112"/>
      <c r="H1963" s="112" t="str">
        <f>IF(ISBLANK(E1963),"",_xlfn.XLOOKUP(E1963,cannabis_log!C:C,cannabis_log!H:H,"",0,1))</f>
        <v>topical_labelled</v>
      </c>
      <c r="I1963" s="113">
        <f>IF(ISBLANK(E1963),"",_xlfn.XLOOKUP(E1963,cannabis_log!C:C,cannabis_log!K:K,"NOT FOUND",0,1))</f>
        <v>45588</v>
      </c>
      <c r="J1963" s="185">
        <v>-1</v>
      </c>
      <c r="K1963" s="186">
        <f t="shared" si="111"/>
        <v>0</v>
      </c>
      <c r="L1963" s="288">
        <f t="shared" si="106"/>
        <v>-88</v>
      </c>
      <c r="M1963" s="24"/>
      <c r="N1963" s="112" t="str">
        <f>IF(ISBLANK(E1963),"",_xlfn.XLOOKUP(E1963,cannabis_log!C:C,cannabis_log!T:T,"Not Found",0,))</f>
        <v>net</v>
      </c>
      <c r="O1963" s="180">
        <f>IF(N1963="net",_xlfn.XLOOKUP(E1963,cannabis_log!C:C,cannabis_log!N:N,"NOT FOUND",0,1),IF(N1963="gross",0,""))</f>
        <v>88</v>
      </c>
    </row>
    <row r="1964" spans="1:15">
      <c r="A1964" s="195" t="str">
        <f t="shared" si="108"/>
        <v>outbound</v>
      </c>
      <c r="B1964" s="196">
        <v>45819.625</v>
      </c>
      <c r="C1964" s="197" t="s">
        <v>1924</v>
      </c>
      <c r="D1964" s="197" t="s">
        <v>3108</v>
      </c>
      <c r="E1964" s="215" t="s">
        <v>3101</v>
      </c>
      <c r="F1964" s="112" t="str">
        <f>IF(ISBLANK(E1964),"",_xlfn.XLOOKUP(E1964,cannabis_log!C:C,cannabis_log!J:J,"",0,))</f>
        <v>PR251108F5P12</v>
      </c>
      <c r="G1964" s="112"/>
      <c r="H1964" s="112" t="str">
        <f>IF(ISBLANK(E1964),"",_xlfn.XLOOKUP(E1964,cannabis_log!C:C,cannabis_log!H:H,"",0,1))</f>
        <v>preroll_labelled</v>
      </c>
      <c r="I1964" s="113">
        <f>IF(ISBLANK(E1964),"",_xlfn.XLOOKUP(E1964,cannabis_log!C:C,cannabis_log!K:K,"NOT FOUND",0,1))</f>
        <v>45803</v>
      </c>
      <c r="J1964" s="185">
        <v>-1</v>
      </c>
      <c r="K1964" s="186">
        <f t="shared" si="111"/>
        <v>0</v>
      </c>
      <c r="L1964" s="288">
        <f t="shared" si="106"/>
        <v>-6</v>
      </c>
      <c r="M1964" s="24"/>
      <c r="N1964" s="112" t="str">
        <f>IF(ISBLANK(E1964),"",_xlfn.XLOOKUP(E1964,cannabis_log!C:C,cannabis_log!T:T,"Not Found",0,))</f>
        <v>net</v>
      </c>
      <c r="O1964" s="180">
        <f>IF(N1964="net",_xlfn.XLOOKUP(E1964,cannabis_log!C:C,cannabis_log!N:N,"NOT FOUND",0,1),IF(N1964="gross",0,""))</f>
        <v>6</v>
      </c>
    </row>
    <row r="1965" spans="1:15">
      <c r="A1965" s="195" t="str">
        <f t="shared" si="108"/>
        <v>outbound</v>
      </c>
      <c r="B1965" s="196">
        <v>45819.625</v>
      </c>
      <c r="C1965" s="197" t="s">
        <v>1924</v>
      </c>
      <c r="D1965" s="197" t="s">
        <v>3108</v>
      </c>
      <c r="E1965" s="215" t="s">
        <v>3107</v>
      </c>
      <c r="F1965" s="112" t="str">
        <f>IF(ISBLANK(E1965),"",_xlfn.XLOOKUP(E1965,cannabis_log!C:C,cannabis_log!J:J,"",0,))</f>
        <v>2024121801G7</v>
      </c>
      <c r="G1965" s="112"/>
      <c r="H1965" s="112" t="str">
        <f>IF(ISBLANK(E1965),"",_xlfn.XLOOKUP(E1965,cannabis_log!C:C,cannabis_log!H:H,"",0,1))</f>
        <v>driedflower_labelled</v>
      </c>
      <c r="I1965" s="113">
        <f>IF(ISBLANK(E1965),"",_xlfn.XLOOKUP(E1965,cannabis_log!C:C,cannabis_log!K:K,"NOT FOUND",0,1))</f>
        <v>45721</v>
      </c>
      <c r="J1965" s="185">
        <v>-1</v>
      </c>
      <c r="K1965" s="186">
        <f t="shared" si="111"/>
        <v>0</v>
      </c>
      <c r="L1965" s="288">
        <f t="shared" si="106"/>
        <v>-7</v>
      </c>
      <c r="M1965" s="24"/>
      <c r="N1965" s="112" t="str">
        <f>IF(ISBLANK(E1965),"",_xlfn.XLOOKUP(E1965,cannabis_log!C:C,cannabis_log!T:T,"Not Found",0,))</f>
        <v>net</v>
      </c>
      <c r="O1965" s="180">
        <f>IF(N1965="net",_xlfn.XLOOKUP(E1965,cannabis_log!C:C,cannabis_log!N:N,"NOT FOUND",0,1),IF(N1965="gross",0,""))</f>
        <v>7</v>
      </c>
    </row>
    <row r="1966" spans="1:15">
      <c r="A1966" s="195" t="str">
        <f t="shared" si="108"/>
        <v>outbound</v>
      </c>
      <c r="B1966" s="196">
        <v>45819.625</v>
      </c>
      <c r="C1966" s="197" t="s">
        <v>1924</v>
      </c>
      <c r="D1966" s="197" t="s">
        <v>3108</v>
      </c>
      <c r="E1966" s="215" t="s">
        <v>3110</v>
      </c>
      <c r="F1966" s="112" t="str">
        <f>IF(ISBLANK(E1966),"",_xlfn.XLOOKUP(E1966,cannabis_log!C:C,cannabis_log!J:J,"",0,))</f>
        <v>PR251107F5</v>
      </c>
      <c r="G1966" s="112"/>
      <c r="H1966" s="112" t="str">
        <f>IF(ISBLANK(E1966),"",_xlfn.XLOOKUP(E1966,cannabis_log!C:C,cannabis_log!H:H,"",0,1))</f>
        <v>preroll_bulk</v>
      </c>
      <c r="I1966" s="113" t="str">
        <f>IF(ISBLANK(E1966),"",_xlfn.XLOOKUP(E1966,cannabis_log!C:C,cannabis_log!K:K,"NOT FOUND",0,1))</f>
        <v>NA</v>
      </c>
      <c r="J1966" s="185">
        <v>-40</v>
      </c>
      <c r="K1966" s="186">
        <f t="shared" si="111"/>
        <v>0</v>
      </c>
      <c r="L1966" s="288">
        <f t="shared" ref="L1966:L2029" si="112">IFERROR(J1966*O1966,"")</f>
        <v>-20</v>
      </c>
      <c r="M1966" s="24"/>
      <c r="N1966" s="112" t="str">
        <f>IF(ISBLANK(E1966),"",_xlfn.XLOOKUP(E1966,cannabis_log!C:C,cannabis_log!T:T,"Not Found",0,))</f>
        <v>net</v>
      </c>
      <c r="O1966" s="180">
        <f>IF(N1966="net",_xlfn.XLOOKUP(E1966,cannabis_log!C:C,cannabis_log!N:N,"NOT FOUND",0,1),IF(N1966="gross",0,""))</f>
        <v>0.5</v>
      </c>
    </row>
    <row r="1967" spans="1:15">
      <c r="A1967" s="195" t="str">
        <f t="shared" si="108"/>
        <v>outbound</v>
      </c>
      <c r="B1967" s="196">
        <v>45820.625</v>
      </c>
      <c r="C1967" s="197" t="s">
        <v>1924</v>
      </c>
      <c r="D1967" s="197" t="s">
        <v>3111</v>
      </c>
      <c r="E1967" s="215" t="s">
        <v>3040</v>
      </c>
      <c r="F1967" s="112" t="str">
        <f>IF(ISBLANK(E1967),"",_xlfn.XLOOKUP(E1967,cannabis_log!C:C,cannabis_log!J:J,"",0,))</f>
        <v>TP25021901</v>
      </c>
      <c r="G1967" s="112"/>
      <c r="H1967" s="112" t="str">
        <f>IF(ISBLANK(E1967),"",_xlfn.XLOOKUP(E1967,cannabis_log!C:C,cannabis_log!H:H,"",0,1))</f>
        <v>topical_labelled</v>
      </c>
      <c r="I1967" s="113">
        <f>IF(ISBLANK(E1967),"",_xlfn.XLOOKUP(E1967,cannabis_log!C:C,cannabis_log!K:K,"NOT FOUND",0,1))</f>
        <v>45714</v>
      </c>
      <c r="J1967" s="185">
        <v>-1</v>
      </c>
      <c r="K1967" s="186">
        <f t="shared" si="111"/>
        <v>0</v>
      </c>
      <c r="L1967" s="288">
        <f t="shared" si="112"/>
        <v>-88</v>
      </c>
      <c r="M1967" s="24"/>
      <c r="N1967" s="112" t="str">
        <f>IF(ISBLANK(E1967),"",_xlfn.XLOOKUP(E1967,cannabis_log!C:C,cannabis_log!T:T,"Not Found",0,))</f>
        <v>net</v>
      </c>
      <c r="O1967" s="180">
        <f>IF(N1967="net",_xlfn.XLOOKUP(E1967,cannabis_log!C:C,cannabis_log!N:N,"NOT FOUND",0,1),IF(N1967="gross",0,""))</f>
        <v>88</v>
      </c>
    </row>
    <row r="1968" spans="1:15">
      <c r="A1968" s="195" t="str">
        <f t="shared" si="108"/>
        <v>outbound</v>
      </c>
      <c r="B1968" s="196">
        <v>45821.625</v>
      </c>
      <c r="C1968" s="197" t="s">
        <v>1929</v>
      </c>
      <c r="D1968" s="197" t="s">
        <v>1895</v>
      </c>
      <c r="E1968" s="215" t="s">
        <v>3101</v>
      </c>
      <c r="F1968" s="112" t="str">
        <f>IF(ISBLANK(E1968),"",_xlfn.XLOOKUP(E1968,cannabis_log!C:C,cannabis_log!J:J,"",0,))</f>
        <v>PR251108F5P12</v>
      </c>
      <c r="G1968" s="112"/>
      <c r="H1968" s="112" t="str">
        <f>IF(ISBLANK(E1968),"",_xlfn.XLOOKUP(E1968,cannabis_log!C:C,cannabis_log!H:H,"",0,1))</f>
        <v>preroll_labelled</v>
      </c>
      <c r="I1968" s="113">
        <f>IF(ISBLANK(E1968),"",_xlfn.XLOOKUP(E1968,cannabis_log!C:C,cannabis_log!K:K,"NOT FOUND",0,1))</f>
        <v>45803</v>
      </c>
      <c r="J1968" s="185">
        <v>-48</v>
      </c>
      <c r="K1968" s="186">
        <f t="shared" si="111"/>
        <v>0</v>
      </c>
      <c r="L1968" s="288">
        <f t="shared" si="112"/>
        <v>-288</v>
      </c>
      <c r="M1968" s="24"/>
      <c r="N1968" s="112" t="str">
        <f>IF(ISBLANK(E1968),"",_xlfn.XLOOKUP(E1968,cannabis_log!C:C,cannabis_log!T:T,"Not Found",0,))</f>
        <v>net</v>
      </c>
      <c r="O1968" s="180">
        <f>IF(N1968="net",_xlfn.XLOOKUP(E1968,cannabis_log!C:C,cannabis_log!N:N,"NOT FOUND",0,1),IF(N1968="gross",0,""))</f>
        <v>6</v>
      </c>
    </row>
    <row r="1969" spans="1:15">
      <c r="A1969" s="195" t="str">
        <f t="shared" si="108"/>
        <v>outbound</v>
      </c>
      <c r="B1969" s="196">
        <v>45821.625</v>
      </c>
      <c r="C1969" s="197" t="s">
        <v>1921</v>
      </c>
      <c r="D1969" s="197"/>
      <c r="E1969" s="215" t="s">
        <v>3112</v>
      </c>
      <c r="F1969" s="112" t="str">
        <f>IF(ISBLANK(E1969),"",_xlfn.XLOOKUP(E1969,cannabis_log!C:C,cannabis_log!J:J,"",0,))</f>
        <v>PR2516</v>
      </c>
      <c r="G1969" s="112"/>
      <c r="H1969" s="112" t="str">
        <f>IF(ISBLANK(E1969),"",_xlfn.XLOOKUP(E1969,cannabis_log!C:C,cannabis_log!H:H,"",0,1))</f>
        <v>driedflower_milled_bulk</v>
      </c>
      <c r="I1969" s="113" t="str">
        <f>IF(ISBLANK(E1969),"",_xlfn.XLOOKUP(E1969,cannabis_log!C:C,cannabis_log!K:K,"NOT FOUND",0,1))</f>
        <v>NA</v>
      </c>
      <c r="J1969" s="185">
        <v>-1</v>
      </c>
      <c r="K1969" s="186">
        <v>-1878</v>
      </c>
      <c r="L1969" s="288">
        <f t="shared" si="112"/>
        <v>0</v>
      </c>
      <c r="M1969" s="24"/>
      <c r="N1969" s="112" t="str">
        <f>IF(ISBLANK(E1969),"",_xlfn.XLOOKUP(E1969,cannabis_log!C:C,cannabis_log!T:T,"Not Found",0,))</f>
        <v>gross</v>
      </c>
      <c r="O1969" s="180">
        <f>IF(N1969="net",_xlfn.XLOOKUP(E1969,cannabis_log!C:C,cannabis_log!N:N,"NOT FOUND",0,1),IF(N1969="gross",0,""))</f>
        <v>0</v>
      </c>
    </row>
    <row r="1970" spans="1:15">
      <c r="A1970" s="195" t="str">
        <f t="shared" si="108"/>
        <v>inbound</v>
      </c>
      <c r="B1970" s="196">
        <v>45821.625</v>
      </c>
      <c r="C1970" s="197" t="s">
        <v>1927</v>
      </c>
      <c r="D1970" s="197"/>
      <c r="E1970" s="215" t="s">
        <v>2656</v>
      </c>
      <c r="F1970" s="112" t="str">
        <f>IF(ISBLANK(E1970),"",_xlfn.XLOOKUP(E1970,cannabis_log!C:C,cannabis_log!J:J,"",0,))</f>
        <v>PR2507</v>
      </c>
      <c r="G1970" s="112"/>
      <c r="H1970" s="112" t="str">
        <f>IF(ISBLANK(E1970),"",_xlfn.XLOOKUP(E1970,cannabis_log!C:C,cannabis_log!H:H,"",0,1))</f>
        <v>driedflower_milled_bulk</v>
      </c>
      <c r="I1970" s="113" t="str">
        <f>IF(ISBLANK(E1970),"",_xlfn.XLOOKUP(E1970,cannabis_log!C:C,cannabis_log!K:K,"NOT FOUND",0,1))</f>
        <v>NA</v>
      </c>
      <c r="J1970" s="185">
        <v>1</v>
      </c>
      <c r="K1970" s="186">
        <v>2064</v>
      </c>
      <c r="L1970" s="288">
        <f t="shared" si="112"/>
        <v>0</v>
      </c>
      <c r="M1970" s="24"/>
      <c r="N1970" s="112" t="str">
        <f>IF(ISBLANK(E1970),"",_xlfn.XLOOKUP(E1970,cannabis_log!C:C,cannabis_log!T:T,"Not Found",0,))</f>
        <v>gross</v>
      </c>
      <c r="O1970" s="180">
        <f>IF(N1970="net",_xlfn.XLOOKUP(E1970,cannabis_log!C:C,cannabis_log!N:N,"NOT FOUND",0,1),IF(N1970="gross",0,""))</f>
        <v>0</v>
      </c>
    </row>
    <row r="1971" spans="1:15">
      <c r="A1971" s="195" t="str">
        <f t="shared" si="108"/>
        <v>inbound</v>
      </c>
      <c r="B1971" s="196">
        <v>45821.625</v>
      </c>
      <c r="C1971" s="197" t="s">
        <v>1927</v>
      </c>
      <c r="D1971" s="197"/>
      <c r="E1971" s="215" t="s">
        <v>3093</v>
      </c>
      <c r="F1971" s="112">
        <f>IF(ISBLANK(E1971),"",_xlfn.XLOOKUP(E1971,cannabis_log!C:C,cannabis_log!J:J,"",0,))</f>
        <v>2025042201</v>
      </c>
      <c r="G1971" s="112"/>
      <c r="H1971" s="112" t="str">
        <f>IF(ISBLANK(E1971),"",_xlfn.XLOOKUP(E1971,cannabis_log!C:C,cannabis_log!H:H,"",0,1))</f>
        <v>driedflower_bulk_BURB</v>
      </c>
      <c r="I1971" s="113" t="str">
        <f>IF(ISBLANK(E1971),"",_xlfn.XLOOKUP(E1971,cannabis_log!C:C,cannabis_log!K:K,"NOT FOUND",0,1))</f>
        <v>NA</v>
      </c>
      <c r="J1971" s="185">
        <v>1</v>
      </c>
      <c r="K1971" s="186">
        <v>240</v>
      </c>
      <c r="L1971" s="288">
        <f t="shared" si="112"/>
        <v>0</v>
      </c>
      <c r="M1971" s="24"/>
      <c r="N1971" s="112" t="str">
        <f>IF(ISBLANK(E1971),"",_xlfn.XLOOKUP(E1971,cannabis_log!C:C,cannabis_log!T:T,"Not Found",0,))</f>
        <v>gross</v>
      </c>
      <c r="O1971" s="180">
        <f>IF(N1971="net",_xlfn.XLOOKUP(E1971,cannabis_log!C:C,cannabis_log!N:N,"NOT FOUND",0,1),IF(N1971="gross",0,""))</f>
        <v>0</v>
      </c>
    </row>
    <row r="1972" spans="1:15">
      <c r="A1972" s="195" t="str">
        <f t="shared" si="108"/>
        <v>outbound</v>
      </c>
      <c r="B1972" s="196">
        <v>45824.625</v>
      </c>
      <c r="C1972" s="197" t="s">
        <v>1929</v>
      </c>
      <c r="D1972" s="197" t="s">
        <v>3113</v>
      </c>
      <c r="E1972" s="215" t="s">
        <v>3079</v>
      </c>
      <c r="F1972" s="112" t="str">
        <f>IF(ISBLANK(E1972),"",_xlfn.XLOOKUP(E1972,cannabis_log!C:C,cannabis_log!J:J,"",0,))</f>
        <v>2024121801G7</v>
      </c>
      <c r="G1972" s="112"/>
      <c r="H1972" s="112" t="str">
        <f>IF(ISBLANK(E1972),"",_xlfn.XLOOKUP(E1972,cannabis_log!C:C,cannabis_log!H:H,"",0,1))</f>
        <v>driedflower_labelled</v>
      </c>
      <c r="I1972" s="113">
        <f>IF(ISBLANK(E1972),"",_xlfn.XLOOKUP(E1972,cannabis_log!C:C,cannabis_log!K:K,"NOT FOUND",0,1))</f>
        <v>45763</v>
      </c>
      <c r="J1972" s="185">
        <v>-24</v>
      </c>
      <c r="K1972" s="186">
        <f t="shared" ref="K1972:K1979" si="113">IF(N1972="net",0,"")</f>
        <v>0</v>
      </c>
      <c r="L1972" s="288">
        <f t="shared" si="112"/>
        <v>-168</v>
      </c>
      <c r="M1972" s="24"/>
      <c r="N1972" s="112" t="str">
        <f>IF(ISBLANK(E1972),"",_xlfn.XLOOKUP(E1972,cannabis_log!C:C,cannabis_log!T:T,"Not Found",0,))</f>
        <v>net</v>
      </c>
      <c r="O1972" s="180">
        <f>IF(N1972="net",_xlfn.XLOOKUP(E1972,cannabis_log!C:C,cannabis_log!N:N,"NOT FOUND",0,1),IF(N1972="gross",0,""))</f>
        <v>7</v>
      </c>
    </row>
    <row r="1973" spans="1:15">
      <c r="A1973" s="195" t="str">
        <f t="shared" si="108"/>
        <v>outbound</v>
      </c>
      <c r="B1973" s="196">
        <v>45824.625</v>
      </c>
      <c r="C1973" s="197" t="s">
        <v>1921</v>
      </c>
      <c r="D1973" s="197"/>
      <c r="E1973" s="215" t="s">
        <v>3114</v>
      </c>
      <c r="F1973" s="112" t="str">
        <f>IF(ISBLANK(E1973),"",_xlfn.XLOOKUP(E1973,cannabis_log!C:C,cannabis_log!J:J,"",0,))</f>
        <v>PR251709F5</v>
      </c>
      <c r="G1973" s="112"/>
      <c r="H1973" s="112" t="str">
        <f>IF(ISBLANK(E1973),"",_xlfn.XLOOKUP(E1973,cannabis_log!C:C,cannabis_log!H:H,"",0,1))</f>
        <v>preroll_bulk</v>
      </c>
      <c r="I1973" s="113" t="str">
        <f>IF(ISBLANK(E1973),"",_xlfn.XLOOKUP(E1973,cannabis_log!C:C,cannabis_log!K:K,"NOT FOUND",0,1))</f>
        <v>NA</v>
      </c>
      <c r="J1973" s="185">
        <v>-141</v>
      </c>
      <c r="K1973" s="186">
        <f t="shared" si="113"/>
        <v>0</v>
      </c>
      <c r="L1973" s="288">
        <f t="shared" si="112"/>
        <v>-70.5</v>
      </c>
      <c r="M1973" s="24"/>
      <c r="N1973" s="112" t="str">
        <f>IF(ISBLANK(E1973),"",_xlfn.XLOOKUP(E1973,cannabis_log!C:C,cannabis_log!T:T,"Not Found",0,))</f>
        <v>net</v>
      </c>
      <c r="O1973" s="180">
        <f>IF(N1973="net",_xlfn.XLOOKUP(E1973,cannabis_log!C:C,cannabis_log!N:N,"NOT FOUND",0,1),IF(N1973="gross",0,""))</f>
        <v>0.5</v>
      </c>
    </row>
    <row r="1974" spans="1:15">
      <c r="A1974" s="195" t="str">
        <f t="shared" si="108"/>
        <v>outbound</v>
      </c>
      <c r="B1974" s="196">
        <v>45824.625</v>
      </c>
      <c r="C1974" s="197" t="s">
        <v>1921</v>
      </c>
      <c r="D1974" s="197"/>
      <c r="E1974" s="215" t="s">
        <v>3115</v>
      </c>
      <c r="F1974" s="112" t="str">
        <f>IF(ISBLANK(E1974),"",_xlfn.XLOOKUP(E1974,cannabis_log!C:C,cannabis_log!J:J,"",0,))</f>
        <v>PR251706F5</v>
      </c>
      <c r="G1974" s="112"/>
      <c r="H1974" s="112" t="str">
        <f>IF(ISBLANK(E1974),"",_xlfn.XLOOKUP(E1974,cannabis_log!C:C,cannabis_log!H:H,"",0,1))</f>
        <v>preroll_bulk</v>
      </c>
      <c r="I1974" s="113" t="str">
        <f>IF(ISBLANK(E1974),"",_xlfn.XLOOKUP(E1974,cannabis_log!C:C,cannabis_log!K:K,"NOT FOUND",0,1))</f>
        <v>NA</v>
      </c>
      <c r="J1974" s="185">
        <v>-62</v>
      </c>
      <c r="K1974" s="186">
        <f t="shared" si="113"/>
        <v>0</v>
      </c>
      <c r="L1974" s="288">
        <f t="shared" si="112"/>
        <v>-31</v>
      </c>
      <c r="M1974" s="24"/>
      <c r="N1974" s="112" t="str">
        <f>IF(ISBLANK(E1974),"",_xlfn.XLOOKUP(E1974,cannabis_log!C:C,cannabis_log!T:T,"Not Found",0,))</f>
        <v>net</v>
      </c>
      <c r="O1974" s="180">
        <f>IF(N1974="net",_xlfn.XLOOKUP(E1974,cannabis_log!C:C,cannabis_log!N:N,"NOT FOUND",0,1),IF(N1974="gross",0,""))</f>
        <v>0.5</v>
      </c>
    </row>
    <row r="1975" spans="1:15">
      <c r="A1975" s="195" t="str">
        <f t="shared" si="108"/>
        <v>outbound</v>
      </c>
      <c r="B1975" s="196">
        <v>45824.625</v>
      </c>
      <c r="C1975" s="197" t="s">
        <v>1929</v>
      </c>
      <c r="D1975" s="197"/>
      <c r="E1975" s="215" t="s">
        <v>3116</v>
      </c>
      <c r="F1975" s="112" t="str">
        <f>IF(ISBLANK(E1975),"",_xlfn.XLOOKUP(E1975,cannabis_log!C:C,cannabis_log!J:J,"",0,))</f>
        <v>EX25050501V50</v>
      </c>
      <c r="G1975" s="112"/>
      <c r="H1975" s="112" t="str">
        <f>IF(ISBLANK(E1975),"",_xlfn.XLOOKUP(E1975,cannabis_log!C:C,cannabis_log!H:H,"",0,1))</f>
        <v>extract_ingested_cased_ON</v>
      </c>
      <c r="I1975" s="113">
        <f>IF(ISBLANK(E1975),"",_xlfn.XLOOKUP(E1975,cannabis_log!C:C,cannabis_log!K:K,"NOT FOUND",0,1))</f>
        <v>45790</v>
      </c>
      <c r="J1975" s="185">
        <v>-10</v>
      </c>
      <c r="K1975" s="186">
        <f t="shared" si="113"/>
        <v>0</v>
      </c>
      <c r="L1975" s="288">
        <f t="shared" si="112"/>
        <v>-6000</v>
      </c>
      <c r="M1975" s="24"/>
      <c r="N1975" s="112" t="str">
        <f>IF(ISBLANK(E1975),"",_xlfn.XLOOKUP(E1975,cannabis_log!C:C,cannabis_log!T:T,"Not Found",0,))</f>
        <v>net</v>
      </c>
      <c r="O1975" s="180">
        <f>IF(N1975="net",_xlfn.XLOOKUP(E1975,cannabis_log!C:C,cannabis_log!N:N,"NOT FOUND",0,1),IF(N1975="gross",0,""))</f>
        <v>600</v>
      </c>
    </row>
    <row r="1976" spans="1:15">
      <c r="A1976" s="195" t="str">
        <f t="shared" si="108"/>
        <v>outbound</v>
      </c>
      <c r="B1976" s="196">
        <v>45824.625</v>
      </c>
      <c r="C1976" s="197" t="s">
        <v>1929</v>
      </c>
      <c r="D1976" s="197"/>
      <c r="E1976" s="215" t="s">
        <v>3038</v>
      </c>
      <c r="F1976" s="112" t="str">
        <f>IF(ISBLANK(E1976),"",_xlfn.XLOOKUP(E1976,cannabis_log!C:C,cannabis_log!J:J,"",0,))</f>
        <v>EX25050501V50</v>
      </c>
      <c r="G1976" s="112"/>
      <c r="H1976" s="112" t="str">
        <f>IF(ISBLANK(E1976),"",_xlfn.XLOOKUP(E1976,cannabis_log!C:C,cannabis_log!H:H,"",0,1))</f>
        <v>extract_ingested_packaged</v>
      </c>
      <c r="I1976" s="113">
        <f>IF(ISBLANK(E1976),"",_xlfn.XLOOKUP(E1976,cannabis_log!C:C,cannabis_log!K:K,"NOT FOUND",0,1))</f>
        <v>45790</v>
      </c>
      <c r="J1976" s="185">
        <v>-482</v>
      </c>
      <c r="K1976" s="186">
        <f t="shared" si="113"/>
        <v>0</v>
      </c>
      <c r="L1976" s="288">
        <f t="shared" si="112"/>
        <v>-24100</v>
      </c>
      <c r="M1976" s="24"/>
      <c r="N1976" s="112" t="str">
        <f>IF(ISBLANK(E1976),"",_xlfn.XLOOKUP(E1976,cannabis_log!C:C,cannabis_log!T:T,"Not Found",0,))</f>
        <v>net</v>
      </c>
      <c r="O1976" s="180">
        <f>IF(N1976="net",_xlfn.XLOOKUP(E1976,cannabis_log!C:C,cannabis_log!N:N,"NOT FOUND",0,1),IF(N1976="gross",0,""))</f>
        <v>50</v>
      </c>
    </row>
    <row r="1977" spans="1:15">
      <c r="A1977" s="195" t="str">
        <f t="shared" si="108"/>
        <v>outbound</v>
      </c>
      <c r="B1977" s="196">
        <v>45824.625</v>
      </c>
      <c r="C1977" s="197" t="s">
        <v>1929</v>
      </c>
      <c r="D1977" s="197" t="s">
        <v>3117</v>
      </c>
      <c r="E1977" s="215" t="s">
        <v>3012</v>
      </c>
      <c r="F1977" s="112" t="str">
        <f>IF(ISBLANK(E1977),"",_xlfn.XLOOKUP(E1977,cannabis_log!C:C,cannabis_log!J:J,"",0,))</f>
        <v>LR23032101</v>
      </c>
      <c r="G1977" s="112"/>
      <c r="H1977" s="112" t="str">
        <f>IF(ISBLANK(E1977),"",_xlfn.XLOOKUP(E1977,cannabis_log!C:C,cannabis_log!H:H,"",0,1))</f>
        <v>extract_inhaled_labelled</v>
      </c>
      <c r="I1977" s="113">
        <f>IF(ISBLANK(E1977),"",_xlfn.XLOOKUP(E1977,cannabis_log!C:C,cannabis_log!K:K,"NOT FOUND",0,1))</f>
        <v>45793</v>
      </c>
      <c r="J1977" s="185">
        <v>-12</v>
      </c>
      <c r="K1977" s="186">
        <f t="shared" si="113"/>
        <v>0</v>
      </c>
      <c r="L1977" s="288">
        <f t="shared" si="112"/>
        <v>-12</v>
      </c>
      <c r="M1977" s="24"/>
      <c r="N1977" s="112" t="str">
        <f>IF(ISBLANK(E1977),"",_xlfn.XLOOKUP(E1977,cannabis_log!C:C,cannabis_log!T:T,"Not Found",0,))</f>
        <v>net</v>
      </c>
      <c r="O1977" s="180">
        <f>IF(N1977="net",_xlfn.XLOOKUP(E1977,cannabis_log!C:C,cannabis_log!N:N,"NOT FOUND",0,1),IF(N1977="gross",0,""))</f>
        <v>1</v>
      </c>
    </row>
    <row r="1978" spans="1:15">
      <c r="A1978" s="195" t="str">
        <f t="shared" si="108"/>
        <v>outbound</v>
      </c>
      <c r="B1978" s="196">
        <v>45824.625</v>
      </c>
      <c r="C1978" s="197" t="s">
        <v>1929</v>
      </c>
      <c r="D1978" s="197" t="s">
        <v>3117</v>
      </c>
      <c r="E1978" s="215" t="s">
        <v>3051</v>
      </c>
      <c r="F1978" s="112" t="str">
        <f>IF(ISBLANK(E1978),"",_xlfn.XLOOKUP(E1978,cannabis_log!C:C,cannabis_log!J:J,"",0,))</f>
        <v>EX25041401V30</v>
      </c>
      <c r="G1978" s="112"/>
      <c r="H1978" s="112" t="str">
        <f>IF(ISBLANK(E1978),"",_xlfn.XLOOKUP(E1978,cannabis_log!C:C,cannabis_log!H:H,"",0,1))</f>
        <v>extract_ingested_labelled</v>
      </c>
      <c r="I1978" s="113">
        <f>IF(ISBLANK(E1978),"",_xlfn.XLOOKUP(E1978,cannabis_log!C:C,cannabis_log!K:K,"NOT FOUND",0,1))</f>
        <v>45777</v>
      </c>
      <c r="J1978" s="185">
        <v>-24</v>
      </c>
      <c r="K1978" s="186">
        <f t="shared" si="113"/>
        <v>0</v>
      </c>
      <c r="L1978" s="288">
        <f t="shared" si="112"/>
        <v>-655.20000000000005</v>
      </c>
      <c r="M1978" s="24"/>
      <c r="N1978" s="112" t="str">
        <f>IF(ISBLANK(E1978),"",_xlfn.XLOOKUP(E1978,cannabis_log!C:C,cannabis_log!T:T,"Not Found",0,))</f>
        <v>net</v>
      </c>
      <c r="O1978" s="180">
        <f>IF(N1978="net",_xlfn.XLOOKUP(E1978,cannabis_log!C:C,cannabis_log!N:N,"NOT FOUND",0,1),IF(N1978="gross",0,""))</f>
        <v>27.3</v>
      </c>
    </row>
    <row r="1979" spans="1:15">
      <c r="A1979" s="195" t="str">
        <f t="shared" si="108"/>
        <v>outbound</v>
      </c>
      <c r="B1979" s="196">
        <v>45824.625</v>
      </c>
      <c r="C1979" s="197" t="s">
        <v>1929</v>
      </c>
      <c r="D1979" s="197" t="s">
        <v>1894</v>
      </c>
      <c r="E1979" s="215" t="s">
        <v>2311</v>
      </c>
      <c r="F1979" s="112" t="str">
        <f>IF(ISBLANK(E1979),"",_xlfn.XLOOKUP(E1979,cannabis_log!C:C,cannabis_log!J:J,"",0,))</f>
        <v>PR241104F5P3</v>
      </c>
      <c r="G1979" s="112"/>
      <c r="H1979" s="112" t="str">
        <f>IF(ISBLANK(E1979),"",_xlfn.XLOOKUP(E1979,cannabis_log!C:C,cannabis_log!H:H,"",0,1))</f>
        <v>preroll_labelled</v>
      </c>
      <c r="I1979" s="113">
        <f>IF(ISBLANK(E1979),"",_xlfn.XLOOKUP(E1979,cannabis_log!C:C,cannabis_log!K:K,"NOT FOUND",0,1))</f>
        <v>45588</v>
      </c>
      <c r="J1979" s="185">
        <v>-12</v>
      </c>
      <c r="K1979" s="186">
        <f t="shared" si="113"/>
        <v>0</v>
      </c>
      <c r="L1979" s="288">
        <f t="shared" si="112"/>
        <v>-18</v>
      </c>
      <c r="M1979" s="24"/>
      <c r="N1979" s="112" t="str">
        <f>IF(ISBLANK(E1979),"",_xlfn.XLOOKUP(E1979,cannabis_log!C:C,cannabis_log!T:T,"Not Found",0,))</f>
        <v>net</v>
      </c>
      <c r="O1979" s="180">
        <f>IF(N1979="net",_xlfn.XLOOKUP(E1979,cannabis_log!C:C,cannabis_log!N:N,"NOT FOUND",0,1),IF(N1979="gross",0,""))</f>
        <v>1.5</v>
      </c>
    </row>
    <row r="1980" spans="1:15">
      <c r="A1980" s="195" t="str">
        <f t="shared" si="108"/>
        <v>outbound</v>
      </c>
      <c r="B1980" s="196">
        <v>45824.625</v>
      </c>
      <c r="C1980" s="197" t="s">
        <v>1921</v>
      </c>
      <c r="D1980" s="197"/>
      <c r="E1980" s="215" t="s">
        <v>3118</v>
      </c>
      <c r="F1980" s="112">
        <f>IF(ISBLANK(E1980),"",_xlfn.XLOOKUP(E1980,cannabis_log!C:C,cannabis_log!J:J,"",0,))</f>
        <v>2024121801</v>
      </c>
      <c r="G1980" s="112"/>
      <c r="H1980" s="112" t="str">
        <f>IF(ISBLANK(E1980),"",_xlfn.XLOOKUP(E1980,cannabis_log!C:C,cannabis_log!H:H,"",0,1))</f>
        <v>driedflower_bulk_small</v>
      </c>
      <c r="I1980" s="113" t="str">
        <f>IF(ISBLANK(E1980),"",_xlfn.XLOOKUP(E1980,cannabis_log!C:C,cannabis_log!K:K,"NOT FOUND",0,1))</f>
        <v>NA</v>
      </c>
      <c r="J1980" s="185">
        <v>-1</v>
      </c>
      <c r="K1980" s="186">
        <v>-510</v>
      </c>
      <c r="L1980" s="288">
        <f t="shared" si="112"/>
        <v>0</v>
      </c>
      <c r="M1980" s="24"/>
      <c r="N1980" s="112" t="str">
        <f>IF(ISBLANK(E1980),"",_xlfn.XLOOKUP(E1980,cannabis_log!C:C,cannabis_log!T:T,"Not Found",0,))</f>
        <v>gross</v>
      </c>
      <c r="O1980" s="180">
        <f>IF(N1980="net",_xlfn.XLOOKUP(E1980,cannabis_log!C:C,cannabis_log!N:N,"NOT FOUND",0,1),IF(N1980="gross",0,""))</f>
        <v>0</v>
      </c>
    </row>
    <row r="1981" spans="1:15">
      <c r="A1981" s="195" t="str">
        <f t="shared" si="108"/>
        <v>outbound</v>
      </c>
      <c r="B1981" s="196">
        <v>45824.625</v>
      </c>
      <c r="C1981" s="197" t="s">
        <v>1921</v>
      </c>
      <c r="D1981" s="197"/>
      <c r="E1981" s="215" t="s">
        <v>3119</v>
      </c>
      <c r="F1981" s="112">
        <f>IF(ISBLANK(E1981),"",_xlfn.XLOOKUP(E1981,cannabis_log!C:C,cannabis_log!J:J,"",0,))</f>
        <v>2024121801</v>
      </c>
      <c r="G1981" s="112"/>
      <c r="H1981" s="112" t="str">
        <f>IF(ISBLANK(E1981),"",_xlfn.XLOOKUP(E1981,cannabis_log!C:C,cannabis_log!H:H,"",0,1))</f>
        <v>driedflower_bulk_big</v>
      </c>
      <c r="I1981" s="113" t="str">
        <f>IF(ISBLANK(E1981),"",_xlfn.XLOOKUP(E1981,cannabis_log!C:C,cannabis_log!K:K,"NOT FOUND",0,1))</f>
        <v>NA</v>
      </c>
      <c r="J1981" s="185">
        <v>-1</v>
      </c>
      <c r="K1981" s="186">
        <v>-2038</v>
      </c>
      <c r="L1981" s="288">
        <f t="shared" si="112"/>
        <v>0</v>
      </c>
      <c r="M1981" s="24"/>
      <c r="N1981" s="112" t="str">
        <f>IF(ISBLANK(E1981),"",_xlfn.XLOOKUP(E1981,cannabis_log!C:C,cannabis_log!T:T,"Not Found",0,))</f>
        <v>gross</v>
      </c>
      <c r="O1981" s="180">
        <f>IF(N1981="net",_xlfn.XLOOKUP(E1981,cannabis_log!C:C,cannabis_log!N:N,"NOT FOUND",0,1),IF(N1981="gross",0,""))</f>
        <v>0</v>
      </c>
    </row>
    <row r="1982" spans="1:15">
      <c r="A1982" s="195" t="str">
        <f t="shared" si="108"/>
        <v>outbound</v>
      </c>
      <c r="B1982" s="196">
        <v>45825.625</v>
      </c>
      <c r="C1982" s="197" t="s">
        <v>1924</v>
      </c>
      <c r="D1982" s="197" t="s">
        <v>3120</v>
      </c>
      <c r="E1982" s="215" t="s">
        <v>3121</v>
      </c>
      <c r="F1982" s="112" t="str">
        <f>IF(ISBLANK(E1982),"",_xlfn.XLOOKUP(E1982,cannabis_log!C:C,cannabis_log!J:J,"",0,))</f>
        <v>PR2502INF5P3</v>
      </c>
      <c r="G1982" s="112"/>
      <c r="H1982" s="112" t="str">
        <f>IF(ISBLANK(E1982),"",_xlfn.XLOOKUP(E1982,cannabis_log!C:C,cannabis_log!H:H,"",0,1))</f>
        <v>preroll_labelled</v>
      </c>
      <c r="I1982" s="113">
        <f>IF(ISBLANK(E1982),"",_xlfn.XLOOKUP(E1982,cannabis_log!C:C,cannabis_log!K:K,"NOT FOUND",0,1))</f>
        <v>45826</v>
      </c>
      <c r="J1982" s="185">
        <v>-4</v>
      </c>
      <c r="K1982" s="186">
        <f>IF(N1982="net",0,"")</f>
        <v>0</v>
      </c>
      <c r="L1982" s="288">
        <f t="shared" si="112"/>
        <v>-6</v>
      </c>
      <c r="M1982" s="24"/>
      <c r="N1982" s="112" t="str">
        <f>IF(ISBLANK(E1982),"",_xlfn.XLOOKUP(E1982,cannabis_log!C:C,cannabis_log!T:T,"Not Found",0,))</f>
        <v>net</v>
      </c>
      <c r="O1982" s="180">
        <f>IF(N1982="net",_xlfn.XLOOKUP(E1982,cannabis_log!C:C,cannabis_log!N:N,"NOT FOUND",0,1),IF(N1982="gross",0,""))</f>
        <v>1.5</v>
      </c>
    </row>
    <row r="1983" spans="1:15">
      <c r="A1983" s="195" t="str">
        <f t="shared" si="108"/>
        <v>outbound</v>
      </c>
      <c r="B1983" s="196">
        <v>45825.625</v>
      </c>
      <c r="C1983" s="197" t="s">
        <v>1924</v>
      </c>
      <c r="D1983" s="197" t="s">
        <v>3120</v>
      </c>
      <c r="E1983" s="215" t="s">
        <v>3074</v>
      </c>
      <c r="F1983" s="112" t="str">
        <f>IF(ISBLANK(E1983),"",_xlfn.XLOOKUP(E1983,cannabis_log!C:C,cannabis_log!J:J,"",0,))</f>
        <v>EX25020601G05</v>
      </c>
      <c r="G1983" s="112"/>
      <c r="H1983" s="112" t="str">
        <f>IF(ISBLANK(E1983),"",_xlfn.XLOOKUP(E1983,cannabis_log!C:C,cannabis_log!H:H,"",0,1))</f>
        <v>extract_inhaled_labelled</v>
      </c>
      <c r="I1983" s="113">
        <f>IF(ISBLANK(E1983),"",_xlfn.XLOOKUP(E1983,cannabis_log!C:C,cannabis_log!K:K,"NOT FOUND",0,1))</f>
        <v>45702</v>
      </c>
      <c r="J1983" s="185">
        <v>-5</v>
      </c>
      <c r="K1983" s="186">
        <f>IF(N1983="net",0,"")</f>
        <v>0</v>
      </c>
      <c r="L1983" s="288">
        <f t="shared" si="112"/>
        <v>-2.5</v>
      </c>
      <c r="M1983" s="24"/>
      <c r="N1983" s="112" t="str">
        <f>IF(ISBLANK(E1983),"",_xlfn.XLOOKUP(E1983,cannabis_log!C:C,cannabis_log!T:T,"Not Found",0,))</f>
        <v>net</v>
      </c>
      <c r="O1983" s="180">
        <f>IF(N1983="net",_xlfn.XLOOKUP(E1983,cannabis_log!C:C,cannabis_log!N:N,"NOT FOUND",0,1),IF(N1983="gross",0,""))</f>
        <v>0.5</v>
      </c>
    </row>
    <row r="1984" spans="1:15">
      <c r="A1984" s="195" t="str">
        <f t="shared" si="108"/>
        <v>inbound</v>
      </c>
      <c r="B1984" s="196">
        <v>45825.625</v>
      </c>
      <c r="C1984" s="197" t="s">
        <v>1927</v>
      </c>
      <c r="D1984" s="197"/>
      <c r="E1984" s="215" t="s">
        <v>3122</v>
      </c>
      <c r="F1984" s="112">
        <f>IF(ISBLANK(E1984),"",_xlfn.XLOOKUP(E1984,cannabis_log!C:C,cannabis_log!J:J,"",0,))</f>
        <v>2025030702</v>
      </c>
      <c r="G1984" s="112"/>
      <c r="H1984" s="112" t="str">
        <f>IF(ISBLANK(E1984),"",_xlfn.XLOOKUP(E1984,cannabis_log!C:C,cannabis_log!H:H,"",0,1))</f>
        <v>driedflower_bulk_Rohan</v>
      </c>
      <c r="I1984" s="113" t="str">
        <f>IF(ISBLANK(E1984),"",_xlfn.XLOOKUP(E1984,cannabis_log!C:C,cannabis_log!K:K,"NOT FOUND",0,1))</f>
        <v>NA</v>
      </c>
      <c r="J1984" s="185">
        <v>1</v>
      </c>
      <c r="K1984" s="186">
        <v>3543</v>
      </c>
      <c r="L1984" s="288">
        <f t="shared" si="112"/>
        <v>0</v>
      </c>
      <c r="M1984" s="24"/>
      <c r="N1984" s="112" t="str">
        <f>IF(ISBLANK(E1984),"",_xlfn.XLOOKUP(E1984,cannabis_log!C:C,cannabis_log!T:T,"Not Found",0,))</f>
        <v>gross</v>
      </c>
      <c r="O1984" s="180">
        <f>IF(N1984="net",_xlfn.XLOOKUP(E1984,cannabis_log!C:C,cannabis_log!N:N,"NOT FOUND",0,1),IF(N1984="gross",0,""))</f>
        <v>0</v>
      </c>
    </row>
    <row r="1985" spans="1:15">
      <c r="A1985" s="195" t="str">
        <f t="shared" ref="A1985:A2053" si="114">IF(ISBLANK(J1985),"",IF(J1985+K1985+L1985&lt;0,"outbound","inbound"))</f>
        <v>outbound</v>
      </c>
      <c r="B1985" s="196">
        <v>45825.625</v>
      </c>
      <c r="C1985" s="197" t="s">
        <v>1921</v>
      </c>
      <c r="D1985" s="197"/>
      <c r="E1985" s="215" t="s">
        <v>2656</v>
      </c>
      <c r="F1985" s="112" t="str">
        <f>IF(ISBLANK(E1985),"",_xlfn.XLOOKUP(E1985,cannabis_log!C:C,cannabis_log!J:J,"",0,))</f>
        <v>PR2507</v>
      </c>
      <c r="G1985" s="112"/>
      <c r="H1985" s="112" t="str">
        <f>IF(ISBLANK(E1985),"",_xlfn.XLOOKUP(E1985,cannabis_log!C:C,cannabis_log!H:H,"",0,1))</f>
        <v>driedflower_milled_bulk</v>
      </c>
      <c r="I1985" s="113" t="str">
        <f>IF(ISBLANK(E1985),"",_xlfn.XLOOKUP(E1985,cannabis_log!C:C,cannabis_log!K:K,"NOT FOUND",0,1))</f>
        <v>NA</v>
      </c>
      <c r="J1985" s="185">
        <v>0</v>
      </c>
      <c r="K1985" s="186">
        <f>2052-2064</f>
        <v>-12</v>
      </c>
      <c r="L1985" s="288">
        <f t="shared" si="112"/>
        <v>0</v>
      </c>
      <c r="M1985" s="24"/>
      <c r="N1985" s="112" t="str">
        <f>IF(ISBLANK(E1985),"",_xlfn.XLOOKUP(E1985,cannabis_log!C:C,cannabis_log!T:T,"Not Found",0,))</f>
        <v>gross</v>
      </c>
      <c r="O1985" s="180">
        <f>IF(N1985="net",_xlfn.XLOOKUP(E1985,cannabis_log!C:C,cannabis_log!N:N,"NOT FOUND",0,1),IF(N1985="gross",0,""))</f>
        <v>0</v>
      </c>
    </row>
    <row r="1986" spans="1:15">
      <c r="A1986" s="195" t="str">
        <f t="shared" si="114"/>
        <v>outbound</v>
      </c>
      <c r="B1986" s="196">
        <v>45825.625</v>
      </c>
      <c r="C1986" s="197" t="s">
        <v>1921</v>
      </c>
      <c r="D1986" s="197"/>
      <c r="E1986" s="215" t="s">
        <v>3123</v>
      </c>
      <c r="F1986" s="112" t="str">
        <f>IF(ISBLANK(E1986),"",_xlfn.XLOOKUP(E1986,cannabis_log!C:C,cannabis_log!J:J,"",0,))</f>
        <v>PR2512</v>
      </c>
      <c r="G1986" s="112"/>
      <c r="H1986" s="112" t="str">
        <f>IF(ISBLANK(E1986),"",_xlfn.XLOOKUP(E1986,cannabis_log!C:C,cannabis_log!H:H,"",0,1))</f>
        <v>diredflower_milled_bulk_Rohan</v>
      </c>
      <c r="I1986" s="113" t="str">
        <f>IF(ISBLANK(E1986),"",_xlfn.XLOOKUP(E1986,cannabis_log!C:C,cannabis_log!K:K,"NOT FOUND",0,1))</f>
        <v>NA</v>
      </c>
      <c r="J1986" s="185">
        <v>-1</v>
      </c>
      <c r="K1986" s="186">
        <v>-4366</v>
      </c>
      <c r="L1986" s="288">
        <f t="shared" si="112"/>
        <v>0</v>
      </c>
      <c r="M1986" s="24"/>
      <c r="N1986" s="112" t="str">
        <f>IF(ISBLANK(E1986),"",_xlfn.XLOOKUP(E1986,cannabis_log!C:C,cannabis_log!T:T,"Not Found",0,))</f>
        <v>gross</v>
      </c>
      <c r="O1986" s="180">
        <f>IF(N1986="net",_xlfn.XLOOKUP(E1986,cannabis_log!C:C,cannabis_log!N:N,"NOT FOUND",0,1),IF(N1986="gross",0,""))</f>
        <v>0</v>
      </c>
    </row>
    <row r="1987" spans="1:15">
      <c r="A1987" s="195" t="str">
        <f t="shared" si="114"/>
        <v>inbound</v>
      </c>
      <c r="B1987" s="196">
        <v>45825.625</v>
      </c>
      <c r="C1987" s="197" t="s">
        <v>1927</v>
      </c>
      <c r="D1987" s="197"/>
      <c r="E1987" s="215" t="s">
        <v>3087</v>
      </c>
      <c r="F1987" s="112" t="str">
        <f>IF(ISBLANK(E1987),"",_xlfn.XLOOKUP(E1987,cannabis_log!C:C,cannabis_log!J:J,"",0,))</f>
        <v>PR2516F5P10</v>
      </c>
      <c r="G1987" s="112"/>
      <c r="H1987" s="112" t="str">
        <f>IF(ISBLANK(E1987),"",_xlfn.XLOOKUP(E1987,cannabis_log!C:C,cannabis_log!H:H,"",0,1))</f>
        <v>preroll_labelled</v>
      </c>
      <c r="I1987" s="113">
        <f>IF(ISBLANK(E1987),"",_xlfn.XLOOKUP(E1987,cannabis_log!C:C,cannabis_log!K:K,"NOT FOUND",0,1))</f>
        <v>45783</v>
      </c>
      <c r="J1987" s="185">
        <v>52</v>
      </c>
      <c r="K1987" s="186">
        <f t="shared" ref="K1987:K1992" si="115">IF(N1987="net",0,"")</f>
        <v>0</v>
      </c>
      <c r="L1987" s="288">
        <f t="shared" si="112"/>
        <v>260</v>
      </c>
      <c r="M1987" s="24"/>
      <c r="N1987" s="112" t="str">
        <f>IF(ISBLANK(E1987),"",_xlfn.XLOOKUP(E1987,cannabis_log!C:C,cannabis_log!T:T,"Not Found",0,))</f>
        <v>net</v>
      </c>
      <c r="O1987" s="180">
        <f>IF(N1987="net",_xlfn.XLOOKUP(E1987,cannabis_log!C:C,cannabis_log!N:N,"NOT FOUND",0,1),IF(N1987="gross",0,""))</f>
        <v>5</v>
      </c>
    </row>
    <row r="1988" spans="1:15">
      <c r="A1988" s="195" t="str">
        <f t="shared" si="114"/>
        <v>inbound</v>
      </c>
      <c r="B1988" s="196">
        <v>45825.625</v>
      </c>
      <c r="C1988" s="197" t="s">
        <v>1927</v>
      </c>
      <c r="D1988" s="197"/>
      <c r="E1988" s="215" t="s">
        <v>3038</v>
      </c>
      <c r="F1988" s="112" t="str">
        <f>IF(ISBLANK(E1988),"",_xlfn.XLOOKUP(E1988,cannabis_log!C:C,cannabis_log!J:J,"",0,))</f>
        <v>EX25050501V50</v>
      </c>
      <c r="G1988" s="112"/>
      <c r="H1988" s="112" t="str">
        <f>IF(ISBLANK(E1988),"",_xlfn.XLOOKUP(E1988,cannabis_log!C:C,cannabis_log!H:H,"",0,1))</f>
        <v>extract_ingested_packaged</v>
      </c>
      <c r="I1988" s="113">
        <f>IF(ISBLANK(E1988),"",_xlfn.XLOOKUP(E1988,cannabis_log!C:C,cannabis_log!K:K,"NOT FOUND",0,1))</f>
        <v>45790</v>
      </c>
      <c r="J1988" s="185">
        <v>338</v>
      </c>
      <c r="K1988" s="186">
        <f t="shared" si="115"/>
        <v>0</v>
      </c>
      <c r="L1988" s="288">
        <f t="shared" si="112"/>
        <v>16900</v>
      </c>
      <c r="M1988" s="24"/>
      <c r="N1988" s="112" t="str">
        <f>IF(ISBLANK(E1988),"",_xlfn.XLOOKUP(E1988,cannabis_log!C:C,cannabis_log!T:T,"Not Found",0,))</f>
        <v>net</v>
      </c>
      <c r="O1988" s="180">
        <f>IF(N1988="net",_xlfn.XLOOKUP(E1988,cannabis_log!C:C,cannabis_log!N:N,"NOT FOUND",0,1),IF(N1988="gross",0,""))</f>
        <v>50</v>
      </c>
    </row>
    <row r="1989" spans="1:15">
      <c r="A1989" s="195" t="str">
        <f t="shared" si="114"/>
        <v>outbound</v>
      </c>
      <c r="B1989" s="196">
        <v>45826</v>
      </c>
      <c r="C1989" s="197" t="s">
        <v>1921</v>
      </c>
      <c r="D1989" s="197" t="s">
        <v>1994</v>
      </c>
      <c r="E1989" s="215" t="s">
        <v>3121</v>
      </c>
      <c r="F1989" s="112" t="str">
        <f>IF(ISBLANK(E1989),"",_xlfn.XLOOKUP(E1989,cannabis_log!C:C,cannabis_log!J:J,"",0,))</f>
        <v>PR2502INF5P3</v>
      </c>
      <c r="G1989" s="112"/>
      <c r="H1989" s="112" t="str">
        <f>IF(ISBLANK(E1989),"",_xlfn.XLOOKUP(E1989,cannabis_log!C:C,cannabis_log!H:H,"",0,1))</f>
        <v>preroll_labelled</v>
      </c>
      <c r="I1989" s="113">
        <f>IF(ISBLANK(E1989),"",_xlfn.XLOOKUP(E1989,cannabis_log!C:C,cannabis_log!K:K,"NOT FOUND",0,1))</f>
        <v>45826</v>
      </c>
      <c r="J1989" s="185">
        <v>-1094</v>
      </c>
      <c r="K1989" s="186">
        <f t="shared" si="115"/>
        <v>0</v>
      </c>
      <c r="L1989" s="288">
        <f t="shared" si="112"/>
        <v>-1641</v>
      </c>
      <c r="M1989" s="24"/>
      <c r="N1989" s="112" t="str">
        <f>IF(ISBLANK(E1989),"",_xlfn.XLOOKUP(E1989,cannabis_log!C:C,cannabis_log!T:T,"Not Found",0,))</f>
        <v>net</v>
      </c>
      <c r="O1989" s="180">
        <f>IF(N1989="net",_xlfn.XLOOKUP(E1989,cannabis_log!C:C,cannabis_log!N:N,"NOT FOUND",0,1),IF(N1989="gross",0,""))</f>
        <v>1.5</v>
      </c>
    </row>
    <row r="1990" spans="1:15">
      <c r="A1990" s="195" t="str">
        <f t="shared" si="114"/>
        <v>outbound</v>
      </c>
      <c r="B1990" s="196">
        <v>45826</v>
      </c>
      <c r="C1990" s="197" t="s">
        <v>1929</v>
      </c>
      <c r="D1990" s="197" t="s">
        <v>1897</v>
      </c>
      <c r="E1990" s="215" t="s">
        <v>3054</v>
      </c>
      <c r="F1990" s="112" t="str">
        <f>IF(ISBLANK(E1990),"",_xlfn.XLOOKUP(E1990,cannabis_log!C:C,cannabis_log!J:J,"",0,))</f>
        <v>ROGEX001G1</v>
      </c>
      <c r="G1990" s="112"/>
      <c r="H1990" s="112" t="str">
        <f>IF(ISBLANK(E1990),"",_xlfn.XLOOKUP(E1990,cannabis_log!C:C,cannabis_log!H:H,"",0,1))</f>
        <v>extract_inhaled_labelled_Rohan</v>
      </c>
      <c r="I1990" s="113">
        <f>IF(ISBLANK(E1990),"",_xlfn.XLOOKUP(E1990,cannabis_log!C:C,cannabis_log!K:K,"NOT FOUND",0,1))</f>
        <v>45772</v>
      </c>
      <c r="J1990" s="185">
        <v>-12</v>
      </c>
      <c r="K1990" s="186">
        <f t="shared" si="115"/>
        <v>0</v>
      </c>
      <c r="L1990" s="288">
        <f t="shared" si="112"/>
        <v>-12</v>
      </c>
      <c r="M1990" s="24"/>
      <c r="N1990" s="112" t="str">
        <f>IF(ISBLANK(E1990),"",_xlfn.XLOOKUP(E1990,cannabis_log!C:C,cannabis_log!T:T,"Not Found",0,))</f>
        <v>net</v>
      </c>
      <c r="O1990" s="180">
        <f>IF(N1990="net",_xlfn.XLOOKUP(E1990,cannabis_log!C:C,cannabis_log!N:N,"NOT FOUND",0,1),IF(N1990="gross",0,""))</f>
        <v>1</v>
      </c>
    </row>
    <row r="1991" spans="1:15">
      <c r="A1991" s="195" t="str">
        <f t="shared" si="114"/>
        <v>outbound</v>
      </c>
      <c r="B1991" s="196">
        <v>45826</v>
      </c>
      <c r="C1991" s="197" t="s">
        <v>1929</v>
      </c>
      <c r="D1991" s="197" t="s">
        <v>1897</v>
      </c>
      <c r="E1991" s="215" t="s">
        <v>3087</v>
      </c>
      <c r="F1991" s="112" t="str">
        <f>IF(ISBLANK(E1991),"",_xlfn.XLOOKUP(E1991,cannabis_log!C:C,cannabis_log!J:J,"",0,))</f>
        <v>PR2516F5P10</v>
      </c>
      <c r="G1991" s="112"/>
      <c r="H1991" s="112" t="str">
        <f>IF(ISBLANK(E1991),"",_xlfn.XLOOKUP(E1991,cannabis_log!C:C,cannabis_log!H:H,"",0,1))</f>
        <v>preroll_labelled</v>
      </c>
      <c r="I1991" s="113">
        <f>IF(ISBLANK(E1991),"",_xlfn.XLOOKUP(E1991,cannabis_log!C:C,cannabis_log!K:K,"NOT FOUND",0,1))</f>
        <v>45783</v>
      </c>
      <c r="J1991" s="185">
        <v>-12</v>
      </c>
      <c r="K1991" s="186">
        <f t="shared" si="115"/>
        <v>0</v>
      </c>
      <c r="L1991" s="288">
        <f t="shared" si="112"/>
        <v>-60</v>
      </c>
      <c r="M1991" s="24"/>
      <c r="N1991" s="112" t="str">
        <f>IF(ISBLANK(E1991),"",_xlfn.XLOOKUP(E1991,cannabis_log!C:C,cannabis_log!T:T,"Not Found",0,))</f>
        <v>net</v>
      </c>
      <c r="O1991" s="180">
        <f>IF(N1991="net",_xlfn.XLOOKUP(E1991,cannabis_log!C:C,cannabis_log!N:N,"NOT FOUND",0,1),IF(N1991="gross",0,""))</f>
        <v>5</v>
      </c>
    </row>
    <row r="1992" spans="1:15">
      <c r="A1992" s="195" t="str">
        <f t="shared" si="114"/>
        <v>outbound</v>
      </c>
      <c r="B1992" s="196">
        <v>45826</v>
      </c>
      <c r="C1992" s="197" t="s">
        <v>1929</v>
      </c>
      <c r="D1992" s="197" t="s">
        <v>1897</v>
      </c>
      <c r="E1992" s="215" t="s">
        <v>3016</v>
      </c>
      <c r="F1992" s="112" t="str">
        <f>IF(ISBLANK(E1992),"",_xlfn.XLOOKUP(E1992,cannabis_log!C:C,cannabis_log!J:J,"",0,))</f>
        <v>EX24111302G05</v>
      </c>
      <c r="G1992" s="112"/>
      <c r="H1992" s="112" t="str">
        <f>IF(ISBLANK(E1992),"",_xlfn.XLOOKUP(E1992,cannabis_log!C:C,cannabis_log!H:H,"",0,1))</f>
        <v>extract_inhaled_cased_SK_RTV</v>
      </c>
      <c r="I1992" s="113">
        <f>IF(ISBLANK(E1992),"",_xlfn.XLOOKUP(E1992,cannabis_log!C:C,cannabis_log!K:K,"NOT FOUND",0,1))</f>
        <v>45623</v>
      </c>
      <c r="J1992" s="185">
        <v>-1</v>
      </c>
      <c r="K1992" s="186">
        <f t="shared" si="115"/>
        <v>0</v>
      </c>
      <c r="L1992" s="288">
        <f t="shared" si="112"/>
        <v>-6</v>
      </c>
      <c r="M1992" s="24"/>
      <c r="N1992" s="112" t="str">
        <f>IF(ISBLANK(E1992),"",_xlfn.XLOOKUP(E1992,cannabis_log!C:C,cannabis_log!T:T,"Not Found",0,))</f>
        <v>net</v>
      </c>
      <c r="O1992" s="180">
        <f>IF(N1992="net",_xlfn.XLOOKUP(E1992,cannabis_log!C:C,cannabis_log!N:N,"NOT FOUND",0,1),IF(N1992="gross",0,""))</f>
        <v>6</v>
      </c>
    </row>
    <row r="1993" spans="1:15">
      <c r="A1993" s="195" t="str">
        <f t="shared" si="114"/>
        <v>outbound</v>
      </c>
      <c r="B1993" s="196">
        <v>45826</v>
      </c>
      <c r="C1993" s="197" t="s">
        <v>1921</v>
      </c>
      <c r="D1993" s="197"/>
      <c r="E1993" s="215" t="s">
        <v>2433</v>
      </c>
      <c r="F1993" s="112">
        <f>IF(ISBLANK(E1993),"",_xlfn.XLOOKUP(E1993,cannabis_log!C:C,cannabis_log!J:J,"",0,))</f>
        <v>2024111803</v>
      </c>
      <c r="G1993" s="112"/>
      <c r="H1993" s="112" t="str">
        <f>IF(ISBLANK(E1993),"",_xlfn.XLOOKUP(E1993,cannabis_log!C:C,cannabis_log!H:H,"",0,1))</f>
        <v>driedflower_bulk</v>
      </c>
      <c r="I1993" s="113" t="str">
        <f>IF(ISBLANK(E1993),"",_xlfn.XLOOKUP(E1993,cannabis_log!C:C,cannabis_log!K:K,"NOT FOUND",0,1))</f>
        <v>NA</v>
      </c>
      <c r="J1993" s="185">
        <v>-1</v>
      </c>
      <c r="K1993" s="186">
        <v>-2580</v>
      </c>
      <c r="L1993" s="288">
        <f t="shared" si="112"/>
        <v>0</v>
      </c>
      <c r="M1993" s="24"/>
      <c r="N1993" s="112" t="str">
        <f>IF(ISBLANK(E1993),"",_xlfn.XLOOKUP(E1993,cannabis_log!C:C,cannabis_log!T:T,"Not Found",0,))</f>
        <v>gross</v>
      </c>
      <c r="O1993" s="180">
        <f>IF(N1993="net",_xlfn.XLOOKUP(E1993,cannabis_log!C:C,cannabis_log!N:N,"NOT FOUND",0,1),IF(N1993="gross",0,""))</f>
        <v>0</v>
      </c>
    </row>
    <row r="1994" spans="1:15">
      <c r="A1994" s="195" t="str">
        <f t="shared" si="114"/>
        <v>outbound</v>
      </c>
      <c r="B1994" s="196">
        <v>45826</v>
      </c>
      <c r="C1994" s="197" t="s">
        <v>1921</v>
      </c>
      <c r="D1994" s="197"/>
      <c r="E1994" s="215" t="s">
        <v>2432</v>
      </c>
      <c r="F1994" s="112">
        <f>IF(ISBLANK(E1994),"",_xlfn.XLOOKUP(E1994,cannabis_log!C:C,cannabis_log!J:J,"",0,))</f>
        <v>2024111803</v>
      </c>
      <c r="G1994" s="112"/>
      <c r="H1994" s="112" t="str">
        <f>IF(ISBLANK(E1994),"",_xlfn.XLOOKUP(E1994,cannabis_log!C:C,cannabis_log!H:H,"",0,1))</f>
        <v>driedflower_bulk</v>
      </c>
      <c r="I1994" s="113" t="str">
        <f>IF(ISBLANK(E1994),"",_xlfn.XLOOKUP(E1994,cannabis_log!C:C,cannabis_log!K:K,"NOT FOUND",0,1))</f>
        <v>NA</v>
      </c>
      <c r="J1994" s="185">
        <v>-1</v>
      </c>
      <c r="K1994" s="186">
        <v>-1210</v>
      </c>
      <c r="L1994" s="288">
        <f t="shared" si="112"/>
        <v>0</v>
      </c>
      <c r="M1994" s="24"/>
      <c r="N1994" s="112" t="str">
        <f>IF(ISBLANK(E1994),"",_xlfn.XLOOKUP(E1994,cannabis_log!C:C,cannabis_log!T:T,"Not Found",0,))</f>
        <v>gross</v>
      </c>
      <c r="O1994" s="180">
        <f>IF(N1994="net",_xlfn.XLOOKUP(E1994,cannabis_log!C:C,cannabis_log!N:N,"NOT FOUND",0,1),IF(N1994="gross",0,""))</f>
        <v>0</v>
      </c>
    </row>
    <row r="1995" spans="1:15">
      <c r="A1995" s="195" t="str">
        <f t="shared" si="114"/>
        <v>outbound</v>
      </c>
      <c r="B1995" s="196">
        <v>45827</v>
      </c>
      <c r="C1995" s="197" t="s">
        <v>1929</v>
      </c>
      <c r="D1995" s="197" t="s">
        <v>1896</v>
      </c>
      <c r="E1995" s="215" t="s">
        <v>3013</v>
      </c>
      <c r="F1995" s="112" t="str">
        <f>IF(ISBLANK(E1995),"",_xlfn.XLOOKUP(E1995,cannabis_log!C:C,cannabis_log!J:J,"",0,))</f>
        <v>PR2303IN02F5P3</v>
      </c>
      <c r="G1995" s="112"/>
      <c r="H1995" s="112" t="str">
        <f>IF(ISBLANK(E1995),"",_xlfn.XLOOKUP(E1995,cannabis_log!C:C,cannabis_log!H:H,"",0,1))</f>
        <v>infusedpreroll_cased_AB_RTV</v>
      </c>
      <c r="I1995" s="113">
        <f>IF(ISBLANK(E1995),"",_xlfn.XLOOKUP(E1995,cannabis_log!C:C,cannabis_log!K:K,"NOT FOUND",0,1))</f>
        <v>45478</v>
      </c>
      <c r="J1995" s="185">
        <v>-2</v>
      </c>
      <c r="K1995" s="186">
        <f>IF(N1995="net",0,"")</f>
        <v>0</v>
      </c>
      <c r="L1995" s="288">
        <f t="shared" si="112"/>
        <v>-18</v>
      </c>
      <c r="M1995" s="24"/>
      <c r="N1995" s="112" t="str">
        <f>IF(ISBLANK(E1995),"",_xlfn.XLOOKUP(E1995,cannabis_log!C:C,cannabis_log!T:T,"Not Found",0,))</f>
        <v>net</v>
      </c>
      <c r="O1995" s="180">
        <f>IF(N1995="net",_xlfn.XLOOKUP(E1995,cannabis_log!C:C,cannabis_log!N:N,"NOT FOUND",0,1),IF(N1995="gross",0,""))</f>
        <v>9</v>
      </c>
    </row>
    <row r="1996" spans="1:15">
      <c r="A1996" s="195" t="str">
        <f t="shared" si="114"/>
        <v>outbound</v>
      </c>
      <c r="B1996" s="196">
        <v>45827</v>
      </c>
      <c r="C1996" s="197" t="s">
        <v>1929</v>
      </c>
      <c r="D1996" s="197" t="s">
        <v>1896</v>
      </c>
      <c r="E1996" s="215" t="s">
        <v>3054</v>
      </c>
      <c r="F1996" s="112" t="str">
        <f>IF(ISBLANK(E1996),"",_xlfn.XLOOKUP(E1996,cannabis_log!C:C,cannabis_log!J:J,"",0,))</f>
        <v>ROGEX001G1</v>
      </c>
      <c r="G1996" s="112"/>
      <c r="H1996" s="112" t="str">
        <f>IF(ISBLANK(E1996),"",_xlfn.XLOOKUP(E1996,cannabis_log!C:C,cannabis_log!H:H,"",0,1))</f>
        <v>extract_inhaled_labelled_Rohan</v>
      </c>
      <c r="I1996" s="113">
        <f>IF(ISBLANK(E1996),"",_xlfn.XLOOKUP(E1996,cannabis_log!C:C,cannabis_log!K:K,"NOT FOUND",0,1))</f>
        <v>45772</v>
      </c>
      <c r="J1996" s="185">
        <v>-12</v>
      </c>
      <c r="K1996" s="186">
        <f>IF(N1996="net",0,"")</f>
        <v>0</v>
      </c>
      <c r="L1996" s="288">
        <f t="shared" si="112"/>
        <v>-12</v>
      </c>
      <c r="M1996" s="24"/>
      <c r="N1996" s="112" t="str">
        <f>IF(ISBLANK(E1996),"",_xlfn.XLOOKUP(E1996,cannabis_log!C:C,cannabis_log!T:T,"Not Found",0,))</f>
        <v>net</v>
      </c>
      <c r="O1996" s="180">
        <f>IF(N1996="net",_xlfn.XLOOKUP(E1996,cannabis_log!C:C,cannabis_log!N:N,"NOT FOUND",0,1),IF(N1996="gross",0,""))</f>
        <v>1</v>
      </c>
    </row>
    <row r="1997" spans="1:15">
      <c r="A1997" s="195" t="str">
        <f t="shared" si="114"/>
        <v>outbound</v>
      </c>
      <c r="B1997" s="196">
        <v>45827</v>
      </c>
      <c r="C1997" s="197" t="s">
        <v>1929</v>
      </c>
      <c r="D1997" s="197" t="s">
        <v>1896</v>
      </c>
      <c r="E1997" s="215" t="s">
        <v>3016</v>
      </c>
      <c r="F1997" s="112" t="str">
        <f>IF(ISBLANK(E1997),"",_xlfn.XLOOKUP(E1997,cannabis_log!C:C,cannabis_log!J:J,"",0,))</f>
        <v>EX24111302G05</v>
      </c>
      <c r="G1997" s="112"/>
      <c r="H1997" s="112" t="str">
        <f>IF(ISBLANK(E1997),"",_xlfn.XLOOKUP(E1997,cannabis_log!C:C,cannabis_log!H:H,"",0,1))</f>
        <v>extract_inhaled_cased_SK_RTV</v>
      </c>
      <c r="I1997" s="113">
        <f>IF(ISBLANK(E1997),"",_xlfn.XLOOKUP(E1997,cannabis_log!C:C,cannabis_log!K:K,"NOT FOUND",0,1))</f>
        <v>45623</v>
      </c>
      <c r="J1997" s="185">
        <v>-1</v>
      </c>
      <c r="K1997" s="186">
        <f>IF(N1997="net",0,"")</f>
        <v>0</v>
      </c>
      <c r="L1997" s="288">
        <f t="shared" si="112"/>
        <v>-6</v>
      </c>
      <c r="M1997" s="24"/>
      <c r="N1997" s="112" t="str">
        <f>IF(ISBLANK(E1997),"",_xlfn.XLOOKUP(E1997,cannabis_log!C:C,cannabis_log!T:T,"Not Found",0,))</f>
        <v>net</v>
      </c>
      <c r="O1997" s="180">
        <f>IF(N1997="net",_xlfn.XLOOKUP(E1997,cannabis_log!C:C,cannabis_log!N:N,"NOT FOUND",0,1),IF(N1997="gross",0,""))</f>
        <v>6</v>
      </c>
    </row>
    <row r="1998" spans="1:15">
      <c r="A1998" s="195" t="str">
        <f t="shared" si="114"/>
        <v>outbound</v>
      </c>
      <c r="B1998" s="196">
        <v>45828.416666666664</v>
      </c>
      <c r="C1998" s="197" t="s">
        <v>1921</v>
      </c>
      <c r="D1998" s="197"/>
      <c r="E1998" s="215" t="s">
        <v>3124</v>
      </c>
      <c r="F1998" s="112" t="str">
        <f>IF(ISBLANK(E1998),"",_xlfn.XLOOKUP(E1998,cannabis_log!C:C,cannabis_log!J:J,"",0,))</f>
        <v>ROGEX003</v>
      </c>
      <c r="G1998" s="112"/>
      <c r="H1998" s="112" t="str">
        <f>IF(ISBLANK(E1998),"",_xlfn.XLOOKUP(E1998,cannabis_log!C:C,cannabis_log!H:H,"",0,1))</f>
        <v>extract_inhaled_bulk_Rohan</v>
      </c>
      <c r="I1998" s="113" t="str">
        <f>IF(ISBLANK(E1998),"",_xlfn.XLOOKUP(E1998,cannabis_log!C:C,cannabis_log!K:K,"NOT FOUND",0,1))</f>
        <v>NA</v>
      </c>
      <c r="J1998" s="185">
        <v>-1</v>
      </c>
      <c r="K1998" s="186">
        <v>-3282</v>
      </c>
      <c r="L1998" s="288">
        <f t="shared" si="112"/>
        <v>0</v>
      </c>
      <c r="M1998" s="24"/>
      <c r="N1998" s="112" t="str">
        <f>IF(ISBLANK(E1998),"",_xlfn.XLOOKUP(E1998,cannabis_log!C:C,cannabis_log!T:T,"Not Found",0,))</f>
        <v>gross</v>
      </c>
      <c r="O1998" s="180">
        <f>IF(N1998="net",_xlfn.XLOOKUP(E1998,cannabis_log!C:C,cannabis_log!N:N,"NOT FOUND",0,1),IF(N1998="gross",0,""))</f>
        <v>0</v>
      </c>
    </row>
    <row r="1999" spans="1:15">
      <c r="A1999" s="195" t="str">
        <f t="shared" si="114"/>
        <v>outbound</v>
      </c>
      <c r="B1999" s="196">
        <v>45828.416666666664</v>
      </c>
      <c r="C1999" s="197" t="s">
        <v>1929</v>
      </c>
      <c r="D1999" s="197" t="s">
        <v>3125</v>
      </c>
      <c r="E1999" s="215" t="s">
        <v>3016</v>
      </c>
      <c r="F1999" s="112" t="str">
        <f>IF(ISBLANK(E1999),"",_xlfn.XLOOKUP(E1999,cannabis_log!C:C,cannabis_log!J:J,"",0,))</f>
        <v>EX24111302G05</v>
      </c>
      <c r="G1999" s="112"/>
      <c r="H1999" s="112" t="str">
        <f>IF(ISBLANK(E1999),"",_xlfn.XLOOKUP(E1999,cannabis_log!C:C,cannabis_log!H:H,"",0,1))</f>
        <v>extract_inhaled_cased_SK_RTV</v>
      </c>
      <c r="I1999" s="113">
        <f>IF(ISBLANK(E1999),"",_xlfn.XLOOKUP(E1999,cannabis_log!C:C,cannabis_log!K:K,"NOT FOUND",0,1))</f>
        <v>45623</v>
      </c>
      <c r="J1999" s="185">
        <v>-3</v>
      </c>
      <c r="K1999" s="186">
        <f t="shared" ref="K1999:K2012" si="116">IF(N1999="net",0,"")</f>
        <v>0</v>
      </c>
      <c r="L1999" s="288">
        <f t="shared" si="112"/>
        <v>-18</v>
      </c>
      <c r="M1999" s="24"/>
      <c r="N1999" s="112" t="str">
        <f>IF(ISBLANK(E1999),"",_xlfn.XLOOKUP(E1999,cannabis_log!C:C,cannabis_log!T:T,"Not Found",0,))</f>
        <v>net</v>
      </c>
      <c r="O1999" s="180">
        <f>IF(N1999="net",_xlfn.XLOOKUP(E1999,cannabis_log!C:C,cannabis_log!N:N,"NOT FOUND",0,1),IF(N1999="gross",0,""))</f>
        <v>6</v>
      </c>
    </row>
    <row r="2000" spans="1:15">
      <c r="A2000" s="195" t="str">
        <f t="shared" si="114"/>
        <v>outbound</v>
      </c>
      <c r="B2000" s="196">
        <v>45828.416666666664</v>
      </c>
      <c r="C2000" s="197" t="s">
        <v>1929</v>
      </c>
      <c r="D2000" s="197" t="s">
        <v>3125</v>
      </c>
      <c r="E2000" s="215" t="s">
        <v>3015</v>
      </c>
      <c r="F2000" s="112" t="str">
        <f>IF(ISBLANK(E2000),"",_xlfn.XLOOKUP(E2000,cannabis_log!C:C,cannabis_log!J:J,"",0,))</f>
        <v>PR21071201G5</v>
      </c>
      <c r="G2000" s="112"/>
      <c r="H2000" s="112" t="str">
        <f>IF(ISBLANK(E2000),"",_xlfn.XLOOKUP(E2000,cannabis_log!C:C,cannabis_log!H:H,"",0,1))</f>
        <v>preroll_labelled</v>
      </c>
      <c r="I2000" s="113">
        <f>IF(ISBLANK(E2000),"",_xlfn.XLOOKUP(E2000,cannabis_log!C:C,cannabis_log!K:K,"NOT FOUND",0,1))</f>
        <v>45779</v>
      </c>
      <c r="J2000" s="185">
        <v>-24</v>
      </c>
      <c r="K2000" s="186">
        <f t="shared" si="116"/>
        <v>0</v>
      </c>
      <c r="L2000" s="288">
        <f t="shared" si="112"/>
        <v>-36</v>
      </c>
      <c r="M2000" s="24"/>
      <c r="N2000" s="112" t="str">
        <f>IF(ISBLANK(E2000),"",_xlfn.XLOOKUP(E2000,cannabis_log!C:C,cannabis_log!T:T,"Not Found",0,))</f>
        <v>net</v>
      </c>
      <c r="O2000" s="180">
        <f>IF(N2000="net",_xlfn.XLOOKUP(E2000,cannabis_log!C:C,cannabis_log!N:N,"NOT FOUND",0,1),IF(N2000="gross",0,""))</f>
        <v>1.5</v>
      </c>
    </row>
    <row r="2001" spans="1:15">
      <c r="A2001" s="195" t="str">
        <f t="shared" si="114"/>
        <v>outbound</v>
      </c>
      <c r="B2001" s="196">
        <v>45828.416666666664</v>
      </c>
      <c r="C2001" s="197" t="s">
        <v>1929</v>
      </c>
      <c r="D2001" s="197" t="s">
        <v>3125</v>
      </c>
      <c r="E2001" s="215" t="s">
        <v>3014</v>
      </c>
      <c r="F2001" s="112" t="str">
        <f>IF(ISBLANK(E2001),"",_xlfn.XLOOKUP(E2001,cannabis_log!C:C,cannabis_log!J:J,"",0,))</f>
        <v>EX24111306G05</v>
      </c>
      <c r="G2001" s="112"/>
      <c r="H2001" s="112" t="str">
        <f>IF(ISBLANK(E2001),"",_xlfn.XLOOKUP(E2001,cannabis_log!C:C,cannabis_log!H:H,"",0,1))</f>
        <v>extract_inhaled_cased_MB</v>
      </c>
      <c r="I2001" s="113">
        <f>IF(ISBLANK(E2001),"",_xlfn.XLOOKUP(E2001,cannabis_log!C:C,cannabis_log!K:K,"NOT FOUND",0,1))</f>
        <v>45623</v>
      </c>
      <c r="J2001" s="185">
        <v>-1</v>
      </c>
      <c r="K2001" s="186">
        <f t="shared" si="116"/>
        <v>0</v>
      </c>
      <c r="L2001" s="288">
        <f t="shared" si="112"/>
        <v>-6</v>
      </c>
      <c r="M2001" s="24"/>
      <c r="N2001" s="112" t="str">
        <f>IF(ISBLANK(E2001),"",_xlfn.XLOOKUP(E2001,cannabis_log!C:C,cannabis_log!T:T,"Not Found",0,))</f>
        <v>NET</v>
      </c>
      <c r="O2001" s="180">
        <f>IF(N2001="net",_xlfn.XLOOKUP(E2001,cannabis_log!C:C,cannabis_log!N:N,"NOT FOUND",0,1),IF(N2001="gross",0,""))</f>
        <v>6</v>
      </c>
    </row>
    <row r="2002" spans="1:15">
      <c r="A2002" s="195" t="str">
        <f t="shared" si="114"/>
        <v>outbound</v>
      </c>
      <c r="B2002" s="196">
        <v>45828.416666666664</v>
      </c>
      <c r="C2002" s="197" t="s">
        <v>1929</v>
      </c>
      <c r="D2002" s="197" t="s">
        <v>3125</v>
      </c>
      <c r="E2002" s="215" t="s">
        <v>3052</v>
      </c>
      <c r="F2002" s="112" t="str">
        <f>IF(ISBLANK(E2002),"",_xlfn.XLOOKUP(E2002,cannabis_log!C:C,cannabis_log!J:J,"",0,))</f>
        <v>EX24082906G05</v>
      </c>
      <c r="G2002" s="112"/>
      <c r="H2002" s="112" t="str">
        <f>IF(ISBLANK(E2002),"",_xlfn.XLOOKUP(E2002,cannabis_log!C:C,cannabis_log!H:H,"",0,1))</f>
        <v>extract_inhaled_cased_MB</v>
      </c>
      <c r="I2002" s="113">
        <f>IF(ISBLANK(E2002),"",_xlfn.XLOOKUP(E2002,cannabis_log!C:C,cannabis_log!K:K,"NOT FOUND",0,1))</f>
        <v>45581</v>
      </c>
      <c r="J2002" s="185">
        <v>-1</v>
      </c>
      <c r="K2002" s="186">
        <f t="shared" si="116"/>
        <v>0</v>
      </c>
      <c r="L2002" s="288">
        <f t="shared" si="112"/>
        <v>-6</v>
      </c>
      <c r="M2002" s="24"/>
      <c r="N2002" s="112" t="str">
        <f>IF(ISBLANK(E2002),"",_xlfn.XLOOKUP(E2002,cannabis_log!C:C,cannabis_log!T:T,"Not Found",0,))</f>
        <v>NET</v>
      </c>
      <c r="O2002" s="180">
        <f>IF(N2002="net",_xlfn.XLOOKUP(E2002,cannabis_log!C:C,cannabis_log!N:N,"NOT FOUND",0,1),IF(N2002="gross",0,""))</f>
        <v>6</v>
      </c>
    </row>
    <row r="2003" spans="1:15">
      <c r="A2003" s="195" t="str">
        <f t="shared" si="114"/>
        <v>outbound</v>
      </c>
      <c r="B2003" s="196">
        <v>45828.416666666664</v>
      </c>
      <c r="C2003" s="197" t="s">
        <v>1929</v>
      </c>
      <c r="D2003" s="197" t="s">
        <v>3125</v>
      </c>
      <c r="E2003" s="215" t="s">
        <v>3062</v>
      </c>
      <c r="F2003" s="112" t="str">
        <f>IF(ISBLANK(E2003),"",_xlfn.XLOOKUP(E2003,cannabis_log!C:C,cannabis_log!J:J,"",0,))</f>
        <v>EX24111306G05</v>
      </c>
      <c r="G2003" s="112"/>
      <c r="H2003" s="112" t="str">
        <f>IF(ISBLANK(E2003),"",_xlfn.XLOOKUP(E2003,cannabis_log!C:C,cannabis_log!H:H,"",0,1))</f>
        <v>extract_inhaled_cased_SK_RTV</v>
      </c>
      <c r="I2003" s="113">
        <f>IF(ISBLANK(E2003),"",_xlfn.XLOOKUP(E2003,cannabis_log!C:C,cannabis_log!K:K,"NOT FOUND",0,1))</f>
        <v>45623</v>
      </c>
      <c r="J2003" s="185">
        <v>-1</v>
      </c>
      <c r="K2003" s="186">
        <f t="shared" si="116"/>
        <v>0</v>
      </c>
      <c r="L2003" s="288">
        <f t="shared" si="112"/>
        <v>-6</v>
      </c>
      <c r="M2003" s="24"/>
      <c r="N2003" s="112" t="str">
        <f>IF(ISBLANK(E2003),"",_xlfn.XLOOKUP(E2003,cannabis_log!C:C,cannabis_log!T:T,"Not Found",0,))</f>
        <v>net</v>
      </c>
      <c r="O2003" s="180">
        <f>IF(N2003="net",_xlfn.XLOOKUP(E2003,cannabis_log!C:C,cannabis_log!N:N,"NOT FOUND",0,1),IF(N2003="gross",0,""))</f>
        <v>6</v>
      </c>
    </row>
    <row r="2004" spans="1:15">
      <c r="A2004" s="195" t="str">
        <f t="shared" si="114"/>
        <v>outbound</v>
      </c>
      <c r="B2004" s="196">
        <v>45828.416666666664</v>
      </c>
      <c r="C2004" s="197" t="s">
        <v>1929</v>
      </c>
      <c r="D2004" s="197" t="s">
        <v>3125</v>
      </c>
      <c r="E2004" s="215" t="s">
        <v>3126</v>
      </c>
      <c r="F2004" s="112" t="str">
        <f>IF(ISBLANK(E2004),"",_xlfn.XLOOKUP(E2004,cannabis_log!C:C,cannabis_log!J:J,"",0,))</f>
        <v>PR2407F5P3</v>
      </c>
      <c r="G2004" s="112"/>
      <c r="H2004" s="112" t="str">
        <f>IF(ISBLANK(E2004),"",_xlfn.XLOOKUP(E2004,cannabis_log!C:C,cannabis_log!H:H,"",0,1))</f>
        <v>preroll_packaged</v>
      </c>
      <c r="I2004" s="113" t="str">
        <f>IF(ISBLANK(E2004),"",_xlfn.XLOOKUP(E2004,cannabis_log!C:C,cannabis_log!K:K,"NOT FOUND",0,1))</f>
        <v>NA</v>
      </c>
      <c r="J2004" s="185">
        <v>-230</v>
      </c>
      <c r="K2004" s="186">
        <f t="shared" si="116"/>
        <v>0</v>
      </c>
      <c r="L2004" s="288">
        <f t="shared" si="112"/>
        <v>-345</v>
      </c>
      <c r="M2004" s="24"/>
      <c r="N2004" s="112" t="str">
        <f>IF(ISBLANK(E2004),"",_xlfn.XLOOKUP(E2004,cannabis_log!C:C,cannabis_log!T:T,"Not Found",0,))</f>
        <v>net</v>
      </c>
      <c r="O2004" s="180">
        <f>IF(N2004="net",_xlfn.XLOOKUP(E2004,cannabis_log!C:C,cannabis_log!N:N,"NOT FOUND",0,1),IF(N2004="gross",0,""))</f>
        <v>1.5</v>
      </c>
    </row>
    <row r="2005" spans="1:15">
      <c r="A2005" s="195" t="str">
        <f t="shared" si="114"/>
        <v>outbound</v>
      </c>
      <c r="B2005" s="196">
        <v>45828.416666666664</v>
      </c>
      <c r="C2005" s="197" t="s">
        <v>1929</v>
      </c>
      <c r="D2005" s="15" t="s">
        <v>3127</v>
      </c>
      <c r="E2005" s="215" t="s">
        <v>3128</v>
      </c>
      <c r="F2005" s="112" t="str">
        <f>IF(ISBLANK(E2005),"",_xlfn.XLOOKUP(E2005,cannabis_log!C:C,cannabis_log!J:J,"",0,))</f>
        <v>PR2516F5P10</v>
      </c>
      <c r="G2005" s="112"/>
      <c r="H2005" s="112" t="str">
        <f>IF(ISBLANK(E2005),"",_xlfn.XLOOKUP(E2005,cannabis_log!C:C,cannabis_log!H:H,"",0,1))</f>
        <v>preroll_labelled</v>
      </c>
      <c r="I2005" s="113">
        <f>IF(ISBLANK(E2005),"",_xlfn.XLOOKUP(E2005,cannabis_log!C:C,cannabis_log!K:K,"NOT FOUND",0,1))</f>
        <v>45821</v>
      </c>
      <c r="J2005" s="185">
        <v>-577</v>
      </c>
      <c r="K2005" s="186">
        <f t="shared" si="116"/>
        <v>0</v>
      </c>
      <c r="L2005" s="288">
        <f t="shared" si="112"/>
        <v>-2885</v>
      </c>
      <c r="M2005" s="24"/>
      <c r="N2005" s="112" t="str">
        <f>IF(ISBLANK(E2005),"",_xlfn.XLOOKUP(E2005,cannabis_log!C:C,cannabis_log!T:T,"Not Found",0,))</f>
        <v>net</v>
      </c>
      <c r="O2005" s="180">
        <f>IF(N2005="net",_xlfn.XLOOKUP(E2005,cannabis_log!C:C,cannabis_log!N:N,"NOT FOUND",0,1),IF(N2005="gross",0,""))</f>
        <v>5</v>
      </c>
    </row>
    <row r="2006" spans="1:15">
      <c r="A2006" s="195" t="str">
        <f t="shared" si="114"/>
        <v>outbound</v>
      </c>
      <c r="B2006" s="196">
        <v>45828.583333333336</v>
      </c>
      <c r="C2006" s="197" t="s">
        <v>1929</v>
      </c>
      <c r="D2006" s="197"/>
      <c r="E2006" s="215" t="s">
        <v>2953</v>
      </c>
      <c r="F2006" s="112" t="str">
        <f>IF(ISBLANK(E2006),"",_xlfn.XLOOKUP(E2006,[2]cannabis_log!C:C,[2]cannabis_log!J:J,"",0,))</f>
        <v>EX24092701V30</v>
      </c>
      <c r="G2006" s="112"/>
      <c r="H2006" s="112" t="str">
        <f>IF(ISBLANK(E2006),"",_xlfn.XLOOKUP(E2006,cannabis_log!C:C,cannabis_log!H:H,"",0,1))</f>
        <v>extract_ingested_packaged_WT</v>
      </c>
      <c r="I2006" s="113" t="str">
        <f>IF(ISBLANK(E2006),"",_xlfn.XLOOKUP(E2006,cannabis_log!C:C,cannabis_log!K:K,"NOT FOUND",0,1))</f>
        <v>NA</v>
      </c>
      <c r="J2006" s="185">
        <v>-71</v>
      </c>
      <c r="K2006" s="186">
        <f t="shared" si="116"/>
        <v>0</v>
      </c>
      <c r="L2006" s="288">
        <f t="shared" si="112"/>
        <v>-1959.6000000000001</v>
      </c>
      <c r="M2006" s="24"/>
      <c r="N2006" s="112" t="str">
        <f>IF(ISBLANK(E2006),"",_xlfn.XLOOKUP(E2006,[2]cannabis_log!C:C,[2]cannabis_log!T:T,"Not Found",0,))</f>
        <v>net</v>
      </c>
      <c r="O2006" s="180">
        <f>IF(N2006="net",_xlfn.XLOOKUP(E2006,[2]cannabis_log!C:C,[2]cannabis_log!N:N,"NOT FOUND",0,1),IF(N2006="gross",0,""))</f>
        <v>27.6</v>
      </c>
    </row>
    <row r="2007" spans="1:15">
      <c r="A2007" s="195" t="str">
        <f t="shared" si="114"/>
        <v>outbound</v>
      </c>
      <c r="B2007" s="196">
        <v>45828.583333333336</v>
      </c>
      <c r="C2007" s="197" t="s">
        <v>1929</v>
      </c>
      <c r="D2007" s="183">
        <v>549</v>
      </c>
      <c r="E2007" s="215" t="s">
        <v>2954</v>
      </c>
      <c r="F2007" s="112" t="str">
        <f>IF(ISBLANK(E2007),"",_xlfn.XLOOKUP(E2007,[2]cannabis_log!C:C,[2]cannabis_log!J:J,"",0,))</f>
        <v>EX24092701V30</v>
      </c>
      <c r="G2007" s="112"/>
      <c r="H2007" s="112" t="str">
        <f>IF(ISBLANK(E2007),"",_xlfn.XLOOKUP(E2007,cannabis_log!C:C,cannabis_log!H:H,"",0,1))</f>
        <v>extract_ingested_packaged_WT</v>
      </c>
      <c r="I2007" s="113">
        <f>IF(ISBLANK(E2007),"",_xlfn.XLOOKUP(E2007,cannabis_log!C:C,cannabis_log!K:K,"NOT FOUND",0,1))</f>
        <v>45633</v>
      </c>
      <c r="J2007" s="185">
        <v>-37</v>
      </c>
      <c r="K2007" s="186">
        <f t="shared" si="116"/>
        <v>0</v>
      </c>
      <c r="L2007" s="288">
        <f t="shared" si="112"/>
        <v>-1021.2</v>
      </c>
      <c r="M2007" s="24"/>
      <c r="N2007" s="112" t="str">
        <f>IF(ISBLANK(E2007),"",_xlfn.XLOOKUP(E2007,[2]cannabis_log!C:C,[2]cannabis_log!T:T,"Not Found",0,))</f>
        <v>net</v>
      </c>
      <c r="O2007" s="180">
        <f>IF(N2007="net",_xlfn.XLOOKUP(E2007,[2]cannabis_log!C:C,[2]cannabis_log!N:N,"NOT FOUND",0,1),IF(N2007="gross",0,""))</f>
        <v>27.6</v>
      </c>
    </row>
    <row r="2008" spans="1:15">
      <c r="A2008" s="195" t="str">
        <f t="shared" si="114"/>
        <v>outbound</v>
      </c>
      <c r="B2008" s="196">
        <v>45828.583333333336</v>
      </c>
      <c r="C2008" s="197" t="s">
        <v>1929</v>
      </c>
      <c r="D2008" s="197"/>
      <c r="E2008" s="215" t="s">
        <v>2951</v>
      </c>
      <c r="F2008" s="112" t="str">
        <f>IF(ISBLANK(E2008),"",_xlfn.XLOOKUP(E2008,[2]cannabis_log!C:C,[2]cannabis_log!J:J,"",0,))</f>
        <v>EX24092701V30</v>
      </c>
      <c r="G2008" s="112"/>
      <c r="H2008" s="112" t="str">
        <f>IF(ISBLANK(E2008),"",_xlfn.XLOOKUP(E2008,cannabis_log!C:C,cannabis_log!H:H,"",0,1))</f>
        <v>extract_ingested_packaged_WT</v>
      </c>
      <c r="I2008" s="113">
        <f>IF(ISBLANK(E2008),"",_xlfn.XLOOKUP(E2008,cannabis_log!C:C,cannabis_log!K:K,"NOT FOUND",0,1))</f>
        <v>45633</v>
      </c>
      <c r="J2008" s="185">
        <v>-233</v>
      </c>
      <c r="K2008" s="186">
        <f t="shared" si="116"/>
        <v>0</v>
      </c>
      <c r="L2008" s="288">
        <f t="shared" si="112"/>
        <v>-6430.8</v>
      </c>
      <c r="M2008" s="24"/>
      <c r="N2008" s="112" t="str">
        <f>IF(ISBLANK(E2008),"",_xlfn.XLOOKUP(E2008,[2]cannabis_log!C:C,[2]cannabis_log!T:T,"Not Found",0,))</f>
        <v>net</v>
      </c>
      <c r="O2008" s="180">
        <f>IF(N2008="net",_xlfn.XLOOKUP(E2008,[2]cannabis_log!C:C,[2]cannabis_log!N:N,"NOT FOUND",0,1),IF(N2008="gross",0,""))</f>
        <v>27.6</v>
      </c>
    </row>
    <row r="2009" spans="1:15">
      <c r="A2009" s="195" t="str">
        <f t="shared" si="114"/>
        <v>outbound</v>
      </c>
      <c r="B2009" s="196">
        <v>45828.583333333336</v>
      </c>
      <c r="C2009" s="197" t="s">
        <v>1929</v>
      </c>
      <c r="D2009" s="197"/>
      <c r="E2009" s="215" t="s">
        <v>2952</v>
      </c>
      <c r="F2009" s="112" t="str">
        <f>IF(ISBLANK(E2009),"",_xlfn.XLOOKUP(E2009,[2]cannabis_log!C:C,[2]cannabis_log!J:J,"",0,))</f>
        <v>EX24092701V30</v>
      </c>
      <c r="G2009" s="112"/>
      <c r="H2009" s="112" t="str">
        <f>IF(ISBLANK(E2009),"",_xlfn.XLOOKUP(E2009,cannabis_log!C:C,cannabis_log!H:H,"",0,1))</f>
        <v>extract_ingested_packaged_WT</v>
      </c>
      <c r="I2009" s="113">
        <f>IF(ISBLANK(E2009),"",_xlfn.XLOOKUP(E2009,cannabis_log!C:C,cannabis_log!K:K,"NOT FOUND",0,1))</f>
        <v>45633</v>
      </c>
      <c r="J2009" s="185">
        <v>-230</v>
      </c>
      <c r="K2009" s="186">
        <f t="shared" si="116"/>
        <v>0</v>
      </c>
      <c r="L2009" s="288">
        <f t="shared" si="112"/>
        <v>-6348</v>
      </c>
      <c r="M2009" s="24"/>
      <c r="N2009" s="112" t="str">
        <f>IF(ISBLANK(E2009),"",_xlfn.XLOOKUP(E2009,[2]cannabis_log!C:C,[2]cannabis_log!T:T,"Not Found",0,))</f>
        <v>net</v>
      </c>
      <c r="O2009" s="180">
        <f>IF(N2009="net",_xlfn.XLOOKUP(E2009,[2]cannabis_log!C:C,[2]cannabis_log!N:N,"NOT FOUND",0,1),IF(N2009="gross",0,""))</f>
        <v>27.6</v>
      </c>
    </row>
    <row r="2010" spans="1:15">
      <c r="A2010" s="195" t="str">
        <f t="shared" si="114"/>
        <v>outbound</v>
      </c>
      <c r="B2010" s="196">
        <v>45828.583333333336</v>
      </c>
      <c r="C2010" s="197" t="s">
        <v>1929</v>
      </c>
      <c r="D2010" s="197" t="s">
        <v>3129</v>
      </c>
      <c r="E2010" s="215" t="s">
        <v>3130</v>
      </c>
      <c r="F2010" s="112" t="str">
        <f>IF(ISBLANK(E2010),"",_xlfn.XLOOKUP(E2010,cannabis_log!C:C,cannabis_log!J:J,"",0,))</f>
        <v>FP23006</v>
      </c>
      <c r="G2010" s="112"/>
      <c r="H2010" s="112" t="str">
        <f>IF(ISBLANK(E2010),"",_xlfn.XLOOKUP(E2010,cannabis_log!C:C,cannabis_log!H:H,"",0,1))</f>
        <v>extract_inhaled_labelled_WT</v>
      </c>
      <c r="I2010" s="113">
        <f>IF(ISBLANK(E2010),"",_xlfn.XLOOKUP(E2010,cannabis_log!C:C,cannabis_log!K:K,"NOT FOUND",0,1))</f>
        <v>45689</v>
      </c>
      <c r="J2010" s="185">
        <v>-18</v>
      </c>
      <c r="K2010" s="186">
        <f t="shared" si="116"/>
        <v>0</v>
      </c>
      <c r="L2010" s="288">
        <f t="shared" si="112"/>
        <v>-18</v>
      </c>
      <c r="M2010" s="24"/>
      <c r="N2010" s="112" t="str">
        <f>IF(ISBLANK(E2010),"",_xlfn.XLOOKUP(E2010,cannabis_log!C:C,cannabis_log!T:T,"Not Found",0,))</f>
        <v>net</v>
      </c>
      <c r="O2010" s="180">
        <f>IF(N2010="net",_xlfn.XLOOKUP(E2010,cannabis_log!C:C,cannabis_log!N:N,"NOT FOUND",0,1),IF(N2010="gross",0,""))</f>
        <v>1</v>
      </c>
    </row>
    <row r="2011" spans="1:15">
      <c r="A2011" s="195" t="str">
        <f t="shared" si="114"/>
        <v>outbound</v>
      </c>
      <c r="B2011" s="196">
        <v>45828.583333333336</v>
      </c>
      <c r="C2011" s="197" t="s">
        <v>1929</v>
      </c>
      <c r="D2011" s="197" t="s">
        <v>3129</v>
      </c>
      <c r="E2011" s="215" t="s">
        <v>2662</v>
      </c>
      <c r="F2011" s="112" t="str">
        <f>IF(ISBLANK(E2011),"",_xlfn.XLOOKUP(E2011,cannabis_log!C:C,cannabis_log!J:J,"",0,))</f>
        <v>DI22110901V30</v>
      </c>
      <c r="G2011" s="112"/>
      <c r="H2011" s="112" t="str">
        <f>IF(ISBLANK(E2011),"",_xlfn.XLOOKUP(E2011,cannabis_log!C:C,cannabis_log!H:H,"",0,1))</f>
        <v>extract_ingested_labelled_WT</v>
      </c>
      <c r="I2011" s="113">
        <f>IF(ISBLANK(E2011),"",_xlfn.XLOOKUP(E2011,cannabis_log!C:C,cannabis_log!K:K,"NOT FOUND",0,1))</f>
        <v>44907</v>
      </c>
      <c r="J2011" s="185">
        <v>-12</v>
      </c>
      <c r="K2011" s="186">
        <f t="shared" si="116"/>
        <v>0</v>
      </c>
      <c r="L2011" s="288">
        <f t="shared" si="112"/>
        <v>-12</v>
      </c>
      <c r="M2011" s="24"/>
      <c r="N2011" s="112" t="str">
        <f>IF(ISBLANK(E2011),"",_xlfn.XLOOKUP(E2011,cannabis_log!C:C,cannabis_log!T:T,"Not Found",0,))</f>
        <v>net</v>
      </c>
      <c r="O2011" s="180">
        <f>IF(N2011="net",_xlfn.XLOOKUP(E2011,cannabis_log!C:C,cannabis_log!N:N,"NOT FOUND",0,1),IF(N2011="gross",0,""))</f>
        <v>1</v>
      </c>
    </row>
    <row r="2012" spans="1:15">
      <c r="A2012" s="195" t="str">
        <f t="shared" si="114"/>
        <v>outbound</v>
      </c>
      <c r="B2012" s="196">
        <v>45828.583333333336</v>
      </c>
      <c r="C2012" s="197" t="s">
        <v>1929</v>
      </c>
      <c r="D2012" s="197" t="s">
        <v>3129</v>
      </c>
      <c r="E2012" s="215" t="s">
        <v>3131</v>
      </c>
      <c r="F2012" s="112" t="str">
        <f>IF(ISBLANK(E2012),"",_xlfn.XLOOKUP(E2012,cannabis_log!C:C,cannabis_log!J:J,"",0,))</f>
        <v>CW2103051</v>
      </c>
      <c r="G2012" s="112"/>
      <c r="H2012" s="112" t="str">
        <f>IF(ISBLANK(E2012),"",_xlfn.XLOOKUP(E2012,cannabis_log!C:C,cannabis_log!H:H,"",0,1))</f>
        <v>extract_inhaled_labelled_WT</v>
      </c>
      <c r="I2012" s="113">
        <f>IF(ISBLANK(E2012),"",_xlfn.XLOOKUP(E2012,cannabis_log!C:C,cannabis_log!K:K,"NOT FOUND",0,1))</f>
        <v>44601</v>
      </c>
      <c r="J2012" s="185">
        <v>-6</v>
      </c>
      <c r="K2012" s="186">
        <f t="shared" si="116"/>
        <v>0</v>
      </c>
      <c r="L2012" s="288">
        <f t="shared" si="112"/>
        <v>-6</v>
      </c>
      <c r="M2012" s="24"/>
      <c r="N2012" s="112" t="str">
        <f>IF(ISBLANK(E2012),"",_xlfn.XLOOKUP(E2012,cannabis_log!C:C,cannabis_log!T:T,"Not Found",0,))</f>
        <v>net</v>
      </c>
      <c r="O2012" s="180">
        <f>IF(N2012="net",_xlfn.XLOOKUP(E2012,cannabis_log!C:C,cannabis_log!N:N,"NOT FOUND",0,1),IF(N2012="gross",0,""))</f>
        <v>1</v>
      </c>
    </row>
    <row r="2013" spans="1:15">
      <c r="A2013" s="195" t="str">
        <f t="shared" si="114"/>
        <v>outbound</v>
      </c>
      <c r="B2013" s="196">
        <v>45828.583333333336</v>
      </c>
      <c r="C2013" s="197" t="s">
        <v>1929</v>
      </c>
      <c r="D2013" s="197" t="s">
        <v>3132</v>
      </c>
      <c r="E2013" s="215" t="s">
        <v>3133</v>
      </c>
      <c r="F2013" s="112" t="str">
        <f>IF(ISBLANK(E2013),"",_xlfn.XLOOKUP(E2013,cannabis_log!C:C,cannabis_log!J:J,"",0,))</f>
        <v>EX24101601</v>
      </c>
      <c r="G2013" s="112"/>
      <c r="H2013" s="112" t="str">
        <f>IF(ISBLANK(E2013),"",_xlfn.XLOOKUP(E2013,cannabis_log!C:C,cannabis_log!H:H,"",0,1))</f>
        <v>extract_ingested_bulk_WT</v>
      </c>
      <c r="I2013" s="113" t="str">
        <f>IF(ISBLANK(E2013),"",_xlfn.XLOOKUP(E2013,cannabis_log!C:C,cannabis_log!K:K,"NOT FOUND",0,1))</f>
        <v>NA</v>
      </c>
      <c r="J2013" s="185">
        <v>-1</v>
      </c>
      <c r="K2013" s="186">
        <v>-5640</v>
      </c>
      <c r="L2013" s="288">
        <f t="shared" si="112"/>
        <v>0</v>
      </c>
      <c r="M2013" s="24"/>
      <c r="N2013" s="112" t="str">
        <f>IF(ISBLANK(E2013),"",_xlfn.XLOOKUP(E2013,cannabis_log!C:C,cannabis_log!T:T,"Not Found",0,))</f>
        <v>gross</v>
      </c>
      <c r="O2013" s="180">
        <f>IF(N2013="net",_xlfn.XLOOKUP(E2013,cannabis_log!C:C,cannabis_log!N:N,"NOT FOUND",0,1),IF(N2013="gross",0,""))</f>
        <v>0</v>
      </c>
    </row>
    <row r="2014" spans="1:15">
      <c r="A2014" s="195" t="str">
        <f t="shared" si="114"/>
        <v>outbound</v>
      </c>
      <c r="B2014" s="196">
        <v>45828.583333333336</v>
      </c>
      <c r="C2014" s="197" t="s">
        <v>1929</v>
      </c>
      <c r="D2014" s="197" t="s">
        <v>3132</v>
      </c>
      <c r="E2014" s="215" t="s">
        <v>3134</v>
      </c>
      <c r="F2014" s="112" t="str">
        <f>IF(ISBLANK(E2014),"",_xlfn.XLOOKUP(E2014,cannabis_log!C:C,cannabis_log!J:J,"",0,))</f>
        <v>EX24101601</v>
      </c>
      <c r="G2014" s="112"/>
      <c r="H2014" s="112" t="str">
        <f>IF(ISBLANK(E2014),"",_xlfn.XLOOKUP(E2014,cannabis_log!C:C,cannabis_log!H:H,"",0,1))</f>
        <v>extract_ingested_bulk_WT</v>
      </c>
      <c r="I2014" s="113" t="str">
        <f>IF(ISBLANK(E2014),"",_xlfn.XLOOKUP(E2014,cannabis_log!C:C,cannabis_log!K:K,"NOT FOUND",0,1))</f>
        <v>NA</v>
      </c>
      <c r="J2014" s="185">
        <v>-1</v>
      </c>
      <c r="K2014" s="186">
        <v>-17450</v>
      </c>
      <c r="L2014" s="288">
        <f t="shared" si="112"/>
        <v>0</v>
      </c>
      <c r="M2014" s="24"/>
      <c r="N2014" s="112" t="str">
        <f>IF(ISBLANK(E2014),"",_xlfn.XLOOKUP(E2014,cannabis_log!C:C,cannabis_log!T:T,"Not Found",0,))</f>
        <v>gross</v>
      </c>
      <c r="O2014" s="180">
        <f>IF(N2014="net",_xlfn.XLOOKUP(E2014,cannabis_log!C:C,cannabis_log!N:N,"NOT FOUND",0,1),IF(N2014="gross",0,""))</f>
        <v>0</v>
      </c>
    </row>
    <row r="2015" spans="1:15">
      <c r="A2015" s="195" t="str">
        <f t="shared" si="114"/>
        <v>outbound</v>
      </c>
      <c r="B2015" s="196">
        <v>45828.583333333336</v>
      </c>
      <c r="C2015" s="197" t="s">
        <v>1929</v>
      </c>
      <c r="D2015" s="197" t="s">
        <v>3132</v>
      </c>
      <c r="E2015" s="215" t="s">
        <v>3135</v>
      </c>
      <c r="F2015" s="112" t="str">
        <f>IF(ISBLANK(E2015),"",_xlfn.XLOOKUP(E2015,cannabis_log!C:C,cannabis_log!J:J,"",0,))</f>
        <v>EX24101601</v>
      </c>
      <c r="G2015" s="112"/>
      <c r="H2015" s="112" t="str">
        <f>IF(ISBLANK(E2015),"",_xlfn.XLOOKUP(E2015,cannabis_log!C:C,cannabis_log!H:H,"",0,1))</f>
        <v>extract_ingested_bulk_WT</v>
      </c>
      <c r="I2015" s="113" t="str">
        <f>IF(ISBLANK(E2015),"",_xlfn.XLOOKUP(E2015,cannabis_log!C:C,cannabis_log!K:K,"NOT FOUND",0,1))</f>
        <v>NA</v>
      </c>
      <c r="J2015" s="185">
        <v>-1</v>
      </c>
      <c r="K2015" s="186">
        <v>-7845</v>
      </c>
      <c r="L2015" s="288">
        <f t="shared" si="112"/>
        <v>0</v>
      </c>
      <c r="M2015" s="24"/>
      <c r="N2015" s="112" t="str">
        <f>IF(ISBLANK(E2015),"",_xlfn.XLOOKUP(E2015,cannabis_log!C:C,cannabis_log!T:T,"Not Found",0,))</f>
        <v>gross</v>
      </c>
      <c r="O2015" s="180">
        <f>IF(N2015="net",_xlfn.XLOOKUP(E2015,cannabis_log!C:C,cannabis_log!N:N,"NOT FOUND",0,1),IF(N2015="gross",0,""))</f>
        <v>0</v>
      </c>
    </row>
    <row r="2016" spans="1:15">
      <c r="A2016" s="195" t="str">
        <f t="shared" si="114"/>
        <v>outbound</v>
      </c>
      <c r="B2016" s="196">
        <v>45828.583333333336</v>
      </c>
      <c r="C2016" s="197" t="s">
        <v>1929</v>
      </c>
      <c r="D2016" s="197"/>
      <c r="E2016" s="215" t="s">
        <v>3136</v>
      </c>
      <c r="F2016" s="112" t="str">
        <f>IF(ISBLANK(E2016),"",_xlfn.XLOOKUP(E2016,cannabis_log!C:C,cannabis_log!J:J,"",0,))</f>
        <v>CW21032701</v>
      </c>
      <c r="G2016" s="112"/>
      <c r="H2016" s="112" t="str">
        <f>IF(ISBLANK(E2016),"",_xlfn.XLOOKUP(E2016,cannabis_log!C:C,cannabis_log!H:H,"",0,1))</f>
        <v>extract_inhaled_packaged_WT</v>
      </c>
      <c r="I2016" s="113" t="str">
        <f>IF(ISBLANK(E2016),"",_xlfn.XLOOKUP(E2016,cannabis_log!C:C,cannabis_log!K:K,"NOT FOUND",0,1))</f>
        <v>NA</v>
      </c>
      <c r="J2016" s="185">
        <v>-353</v>
      </c>
      <c r="K2016" s="186">
        <f>IF(N2016="net",0,"")</f>
        <v>0</v>
      </c>
      <c r="L2016" s="288">
        <f t="shared" si="112"/>
        <v>-353</v>
      </c>
      <c r="M2016" s="24"/>
      <c r="N2016" s="112" t="str">
        <f>IF(ISBLANK(E2016),"",_xlfn.XLOOKUP(E2016,cannabis_log!C:C,cannabis_log!T:T,"Not Found",0,))</f>
        <v>net</v>
      </c>
      <c r="O2016" s="180">
        <f>IF(N2016="net",_xlfn.XLOOKUP(E2016,cannabis_log!C:C,cannabis_log!N:N,"NOT FOUND",0,1),IF(N2016="gross",0,""))</f>
        <v>1</v>
      </c>
    </row>
    <row r="2017" spans="1:15">
      <c r="A2017" s="195" t="str">
        <f t="shared" si="114"/>
        <v>outbound</v>
      </c>
      <c r="B2017" s="196">
        <v>45828.583333333336</v>
      </c>
      <c r="C2017" s="197" t="s">
        <v>1929</v>
      </c>
      <c r="D2017" s="197"/>
      <c r="E2017" s="215" t="s">
        <v>3137</v>
      </c>
      <c r="F2017" s="112" t="str">
        <f>IF(ISBLANK(E2017),"",_xlfn.XLOOKUP(E2017,cannabis_log!C:C,cannabis_log!J:J,"",0,))</f>
        <v>RP24-001</v>
      </c>
      <c r="G2017" s="112"/>
      <c r="H2017" s="112" t="str">
        <f>IF(ISBLANK(E2017),"",_xlfn.XLOOKUP(E2017,cannabis_log!C:C,cannabis_log!H:H,"",0,1))</f>
        <v>extract_inhaled_bulk_WT</v>
      </c>
      <c r="I2017" s="113" t="str">
        <f>IF(ISBLANK(E2017),"",_xlfn.XLOOKUP(E2017,cannabis_log!C:C,cannabis_log!K:K,"NOT FOUND",0,1))</f>
        <v>NA</v>
      </c>
      <c r="J2017" s="185">
        <v>-1</v>
      </c>
      <c r="K2017" s="186">
        <v>-1175</v>
      </c>
      <c r="L2017" s="288">
        <f t="shared" si="112"/>
        <v>0</v>
      </c>
      <c r="M2017" s="24"/>
      <c r="N2017" s="112" t="str">
        <f>IF(ISBLANK(E2017),"",_xlfn.XLOOKUP(E2017,cannabis_log!C:C,cannabis_log!T:T,"Not Found",0,))</f>
        <v>gross</v>
      </c>
      <c r="O2017" s="180">
        <f>IF(N2017="net",_xlfn.XLOOKUP(E2017,cannabis_log!C:C,cannabis_log!N:N,"NOT FOUND",0,1),IF(N2017="gross",0,""))</f>
        <v>0</v>
      </c>
    </row>
    <row r="2018" spans="1:15">
      <c r="A2018" s="195" t="str">
        <f t="shared" si="114"/>
        <v>outbound</v>
      </c>
      <c r="B2018" s="196">
        <v>45828.583333333336</v>
      </c>
      <c r="C2018" s="197" t="s">
        <v>1929</v>
      </c>
      <c r="D2018" s="197" t="s">
        <v>3129</v>
      </c>
      <c r="E2018" s="215" t="s">
        <v>3138</v>
      </c>
      <c r="F2018" s="112" t="str">
        <f>IF(ISBLANK(E2018),"",_xlfn.XLOOKUP(E2018,cannabis_log!C:C,cannabis_log!J:J,"",0,))</f>
        <v>RP24001</v>
      </c>
      <c r="G2018" s="112"/>
      <c r="H2018" s="112" t="str">
        <f>IF(ISBLANK(E2018),"",_xlfn.XLOOKUP(E2018,cannabis_log!C:C,cannabis_log!H:H,"",0,1))</f>
        <v>extract_inhaled_labelled_WT</v>
      </c>
      <c r="I2018" s="113">
        <f>IF(ISBLANK(E2018),"",_xlfn.XLOOKUP(E2018,cannabis_log!C:C,cannabis_log!K:K,"NOT FOUND",0,1))</f>
        <v>45543</v>
      </c>
      <c r="J2018" s="185">
        <v>-6</v>
      </c>
      <c r="K2018" s="186">
        <f t="shared" ref="K2018:K2025" si="117">IF(N2018="net",0,"")</f>
        <v>0</v>
      </c>
      <c r="L2018" s="288">
        <f t="shared" si="112"/>
        <v>-6</v>
      </c>
      <c r="M2018" s="24"/>
      <c r="N2018" s="112" t="str">
        <f>IF(ISBLANK(E2018),"",_xlfn.XLOOKUP(E2018,cannabis_log!C:C,cannabis_log!T:T,"Not Found",0,))</f>
        <v>net</v>
      </c>
      <c r="O2018" s="180">
        <f>IF(N2018="net",_xlfn.XLOOKUP(E2018,cannabis_log!C:C,cannabis_log!N:N,"NOT FOUND",0,1),IF(N2018="gross",0,""))</f>
        <v>1</v>
      </c>
    </row>
    <row r="2019" spans="1:15">
      <c r="A2019" s="195" t="str">
        <f t="shared" si="114"/>
        <v>outbound</v>
      </c>
      <c r="B2019" s="196">
        <v>45828.583333333336</v>
      </c>
      <c r="C2019" s="197" t="s">
        <v>1929</v>
      </c>
      <c r="D2019" s="197"/>
      <c r="E2019" s="215" t="s">
        <v>3139</v>
      </c>
      <c r="F2019" s="112" t="str">
        <f>IF(ISBLANK(E2019),"",_xlfn.XLOOKUP(E2019,cannabis_log!C:C,cannabis_log!J:J,"",0,))</f>
        <v>WX20210224-01A</v>
      </c>
      <c r="G2019" s="112"/>
      <c r="H2019" s="112" t="str">
        <f>IF(ISBLANK(E2019),"",_xlfn.XLOOKUP(E2019,cannabis_log!C:C,cannabis_log!H:H,"",0,1))</f>
        <v>extract_inhaled_labelled_WT</v>
      </c>
      <c r="I2019" s="113">
        <f>IF(ISBLANK(E2019),"",_xlfn.XLOOKUP(E2019,cannabis_log!C:C,cannabis_log!K:K,"NOT FOUND",0,1))</f>
        <v>44415</v>
      </c>
      <c r="J2019" s="185">
        <v>-408</v>
      </c>
      <c r="K2019" s="186">
        <f t="shared" si="117"/>
        <v>0</v>
      </c>
      <c r="L2019" s="288">
        <f t="shared" si="112"/>
        <v>-408</v>
      </c>
      <c r="M2019" s="24"/>
      <c r="N2019" s="112" t="str">
        <f>IF(ISBLANK(E2019),"",_xlfn.XLOOKUP(E2019,cannabis_log!C:C,cannabis_log!T:T,"Not Found",0,))</f>
        <v>net</v>
      </c>
      <c r="O2019" s="180">
        <f>IF(N2019="net",_xlfn.XLOOKUP(E2019,cannabis_log!C:C,cannabis_log!N:N,"NOT FOUND",0,1),IF(N2019="gross",0,""))</f>
        <v>1</v>
      </c>
    </row>
    <row r="2020" spans="1:15">
      <c r="A2020" s="195" t="str">
        <f t="shared" si="114"/>
        <v>outbound</v>
      </c>
      <c r="B2020" s="196">
        <v>45828.583333333336</v>
      </c>
      <c r="C2020" s="197" t="s">
        <v>1929</v>
      </c>
      <c r="D2020" s="197"/>
      <c r="E2020" s="215" t="s">
        <v>3140</v>
      </c>
      <c r="F2020" s="112" t="str">
        <f>IF(ISBLANK(E2020),"",_xlfn.XLOOKUP(E2020,cannabis_log!C:C,cannabis_log!J:J,"",0,))</f>
        <v>CW21042501</v>
      </c>
      <c r="G2020" s="112"/>
      <c r="H2020" s="112" t="str">
        <f>IF(ISBLANK(E2020),"",_xlfn.XLOOKUP(E2020,cannabis_log!C:C,cannabis_log!H:H,"",0,1))</f>
        <v>extract_inhaled_packaged_WT</v>
      </c>
      <c r="I2020" s="113">
        <f>IF(ISBLANK(E2020),"",_xlfn.XLOOKUP(E2020,cannabis_log!C:C,cannabis_log!K:K,"NOT FOUND",0,1))</f>
        <v>44415</v>
      </c>
      <c r="J2020" s="185">
        <v>-211</v>
      </c>
      <c r="K2020" s="186">
        <f t="shared" si="117"/>
        <v>0</v>
      </c>
      <c r="L2020" s="288">
        <f t="shared" si="112"/>
        <v>-211</v>
      </c>
      <c r="M2020" s="24"/>
      <c r="N2020" s="112" t="str">
        <f>IF(ISBLANK(E2020),"",_xlfn.XLOOKUP(E2020,cannabis_log!C:C,cannabis_log!T:T,"Not Found",0,))</f>
        <v>net</v>
      </c>
      <c r="O2020" s="180">
        <f>IF(N2020="net",_xlfn.XLOOKUP(E2020,cannabis_log!C:C,cannabis_log!N:N,"NOT FOUND",0,1),IF(N2020="gross",0,""))</f>
        <v>1</v>
      </c>
    </row>
    <row r="2021" spans="1:15">
      <c r="A2021" s="195" t="str">
        <f t="shared" si="114"/>
        <v>outbound</v>
      </c>
      <c r="B2021" s="196">
        <v>45828.583333333336</v>
      </c>
      <c r="C2021" s="197" t="s">
        <v>1929</v>
      </c>
      <c r="D2021" s="197"/>
      <c r="E2021" s="215" t="s">
        <v>3141</v>
      </c>
      <c r="F2021" s="112" t="str">
        <f>IF(ISBLANK(E2021),"",_xlfn.XLOOKUP(E2021,cannabis_log!C:C,cannabis_log!J:J,"",0,))</f>
        <v>BH201214</v>
      </c>
      <c r="G2021" s="112"/>
      <c r="H2021" s="112" t="str">
        <f>IF(ISBLANK(E2021),"",_xlfn.XLOOKUP(E2021,cannabis_log!C:C,cannabis_log!H:H,"",0,1))</f>
        <v>extract_inhaled_labelled_WT</v>
      </c>
      <c r="I2021" s="113">
        <f>IF(ISBLANK(E2021),"",_xlfn.XLOOKUP(E2021,cannabis_log!C:C,cannabis_log!K:K,"NOT FOUND",0,1))</f>
        <v>44261</v>
      </c>
      <c r="J2021" s="185">
        <v>-733</v>
      </c>
      <c r="K2021" s="186">
        <f t="shared" si="117"/>
        <v>0</v>
      </c>
      <c r="L2021" s="288">
        <f t="shared" si="112"/>
        <v>-733</v>
      </c>
      <c r="M2021" s="24"/>
      <c r="N2021" s="112" t="str">
        <f>IF(ISBLANK(E2021),"",_xlfn.XLOOKUP(E2021,cannabis_log!C:C,cannabis_log!T:T,"Not Found",0,))</f>
        <v>net</v>
      </c>
      <c r="O2021" s="180">
        <f>IF(N2021="net",_xlfn.XLOOKUP(E2021,cannabis_log!C:C,cannabis_log!N:N,"NOT FOUND",0,1),IF(N2021="gross",0,""))</f>
        <v>1</v>
      </c>
    </row>
    <row r="2022" spans="1:15">
      <c r="A2022" s="195" t="str">
        <f t="shared" si="114"/>
        <v>outbound</v>
      </c>
      <c r="B2022" s="196">
        <v>45828.583333333336</v>
      </c>
      <c r="C2022" s="197" t="s">
        <v>1929</v>
      </c>
      <c r="D2022" s="197" t="s">
        <v>3129</v>
      </c>
      <c r="E2022" s="215" t="s">
        <v>3142</v>
      </c>
      <c r="F2022" s="112" t="str">
        <f>IF(ISBLANK(E2022),"",_xlfn.XLOOKUP(E2022,cannabis_log!C:C,cannabis_log!J:J,"",0,))</f>
        <v>CW22011701</v>
      </c>
      <c r="G2022" s="112"/>
      <c r="H2022" s="112" t="str">
        <f>IF(ISBLANK(E2022),"",_xlfn.XLOOKUP(E2022,cannabis_log!C:C,cannabis_log!H:H,"",0,1))</f>
        <v>extract_inhaled_labelled_WT</v>
      </c>
      <c r="I2022" s="113">
        <f>IF(ISBLANK(E2022),"",_xlfn.XLOOKUP(E2022,cannabis_log!C:C,cannabis_log!K:K,"NOT FOUND",0,1))</f>
        <v>44879</v>
      </c>
      <c r="J2022" s="185">
        <v>-387</v>
      </c>
      <c r="K2022" s="186">
        <f t="shared" si="117"/>
        <v>0</v>
      </c>
      <c r="L2022" s="288">
        <f t="shared" si="112"/>
        <v>-387</v>
      </c>
      <c r="M2022" s="24"/>
      <c r="N2022" s="112" t="str">
        <f>IF(ISBLANK(E2022),"",_xlfn.XLOOKUP(E2022,cannabis_log!C:C,cannabis_log!T:T,"Not Found",0,))</f>
        <v>net</v>
      </c>
      <c r="O2022" s="180">
        <f>IF(N2022="net",_xlfn.XLOOKUP(E2022,cannabis_log!C:C,cannabis_log!N:N,"NOT FOUND",0,1),IF(N2022="gross",0,""))</f>
        <v>1</v>
      </c>
    </row>
    <row r="2023" spans="1:15">
      <c r="A2023" s="195" t="str">
        <f t="shared" si="114"/>
        <v>outbound</v>
      </c>
      <c r="B2023" s="196">
        <v>45828.583333333336</v>
      </c>
      <c r="C2023" s="197" t="s">
        <v>1929</v>
      </c>
      <c r="D2023" s="197"/>
      <c r="E2023" s="215" t="s">
        <v>3143</v>
      </c>
      <c r="F2023" s="112" t="str">
        <f>IF(ISBLANK(E2023),"",_xlfn.XLOOKUP(E2023,cannabis_log!C:C,cannabis_log!J:J,"",0,))</f>
        <v>WX2021021102A</v>
      </c>
      <c r="G2023" s="112"/>
      <c r="H2023" s="112" t="str">
        <f>IF(ISBLANK(E2023),"",_xlfn.XLOOKUP(E2023,cannabis_log!C:C,cannabis_log!H:H,"",0,1))</f>
        <v>extract_inhaled_packaged_WT</v>
      </c>
      <c r="I2023" s="113" t="str">
        <f>IF(ISBLANK(E2023),"",_xlfn.XLOOKUP(E2023,cannabis_log!C:C,cannabis_log!K:K,"NOT FOUND",0,1))</f>
        <v>NA</v>
      </c>
      <c r="J2023" s="185">
        <v>-290</v>
      </c>
      <c r="K2023" s="186">
        <f t="shared" si="117"/>
        <v>0</v>
      </c>
      <c r="L2023" s="288">
        <f t="shared" si="112"/>
        <v>-290</v>
      </c>
      <c r="M2023" s="24"/>
      <c r="N2023" s="112" t="str">
        <f>IF(ISBLANK(E2023),"",_xlfn.XLOOKUP(E2023,cannabis_log!C:C,cannabis_log!T:T,"Not Found",0,))</f>
        <v>net</v>
      </c>
      <c r="O2023" s="180">
        <f>IF(N2023="net",_xlfn.XLOOKUP(E2023,cannabis_log!C:C,cannabis_log!N:N,"NOT FOUND",0,1),IF(N2023="gross",0,""))</f>
        <v>1</v>
      </c>
    </row>
    <row r="2024" spans="1:15">
      <c r="A2024" s="195" t="str">
        <f t="shared" si="114"/>
        <v>outbound</v>
      </c>
      <c r="B2024" s="196">
        <v>45828.583333333336</v>
      </c>
      <c r="C2024" s="197" t="s">
        <v>1929</v>
      </c>
      <c r="D2024" s="197" t="s">
        <v>3129</v>
      </c>
      <c r="E2024" s="215" t="s">
        <v>2663</v>
      </c>
      <c r="F2024" s="112" t="str">
        <f>IF(ISBLANK(E2024),"",_xlfn.XLOOKUP(E2024,cannabis_log!C:C,cannabis_log!J:J,"",0,))</f>
        <v>DI22120501V30</v>
      </c>
      <c r="G2024" s="112"/>
      <c r="H2024" s="112" t="str">
        <f>IF(ISBLANK(E2024),"",_xlfn.XLOOKUP(E2024,cannabis_log!C:C,cannabis_log!H:H,"",0,1))</f>
        <v>extract_ingested_labelled_WT</v>
      </c>
      <c r="I2024" s="113">
        <f>IF(ISBLANK(E2024),"",_xlfn.XLOOKUP(E2024,cannabis_log!C:C,cannabis_log!K:K,"NOT FOUND",0,1))</f>
        <v>44954</v>
      </c>
      <c r="J2024" s="185">
        <v>-12</v>
      </c>
      <c r="K2024" s="186">
        <f t="shared" si="117"/>
        <v>0</v>
      </c>
      <c r="L2024" s="288">
        <f t="shared" si="112"/>
        <v>-333.6</v>
      </c>
      <c r="M2024" s="24"/>
      <c r="N2024" s="112" t="str">
        <f>IF(ISBLANK(E2024),"",_xlfn.XLOOKUP(E2024,cannabis_log!C:C,cannabis_log!T:T,"Not Found",0,))</f>
        <v>net</v>
      </c>
      <c r="O2024" s="180">
        <f>IF(N2024="net",_xlfn.XLOOKUP(E2024,cannabis_log!C:C,cannabis_log!N:N,"NOT FOUND",0,1),IF(N2024="gross",0,""))</f>
        <v>27.8</v>
      </c>
    </row>
    <row r="2025" spans="1:15">
      <c r="A2025" s="195" t="str">
        <f t="shared" si="114"/>
        <v>outbound</v>
      </c>
      <c r="B2025" s="196">
        <v>45828.583333333336</v>
      </c>
      <c r="C2025" s="197" t="s">
        <v>1929</v>
      </c>
      <c r="D2025" s="197" t="s">
        <v>1898</v>
      </c>
      <c r="E2025" s="215" t="s">
        <v>2492</v>
      </c>
      <c r="F2025" s="112" t="str">
        <f>IF(ISBLANK(E2025),"",_xlfn.XLOOKUP(E2025,cannabis_log!C:C,cannabis_log!J:J,"",0,))</f>
        <v>PR241104F5P3</v>
      </c>
      <c r="G2025" s="112"/>
      <c r="H2025" s="112" t="str">
        <f>IF(ISBLANK(E2025),"",_xlfn.XLOOKUP(E2025,cannabis_log!C:C,cannabis_log!H:H,"",0,1))</f>
        <v>preroll_labelled</v>
      </c>
      <c r="I2025" s="113">
        <f>IF(ISBLANK(E2025),"",_xlfn.XLOOKUP(E2025,cannabis_log!C:C,cannabis_log!K:K,"NOT FOUND",0,1))</f>
        <v>45630</v>
      </c>
      <c r="J2025" s="185">
        <v>-48</v>
      </c>
      <c r="K2025" s="186">
        <f t="shared" si="117"/>
        <v>0</v>
      </c>
      <c r="L2025" s="288">
        <f t="shared" si="112"/>
        <v>-72</v>
      </c>
      <c r="M2025" s="24"/>
      <c r="N2025" s="112" t="str">
        <f>IF(ISBLANK(E2025),"",_xlfn.XLOOKUP(E2025,cannabis_log!C:C,cannabis_log!T:T,"Not Found",0,))</f>
        <v>net</v>
      </c>
      <c r="O2025" s="180">
        <f>IF(N2025="net",_xlfn.XLOOKUP(E2025,cannabis_log!C:C,cannabis_log!N:N,"NOT FOUND",0,1),IF(N2025="gross",0,""))</f>
        <v>1.5</v>
      </c>
    </row>
    <row r="2026" spans="1:15">
      <c r="A2026" s="195" t="str">
        <f t="shared" si="114"/>
        <v>outbound</v>
      </c>
      <c r="B2026" s="196">
        <v>45828.583333333336</v>
      </c>
      <c r="C2026" s="197" t="s">
        <v>1921</v>
      </c>
      <c r="D2026" s="197" t="s">
        <v>1970</v>
      </c>
      <c r="E2026" s="215" t="s">
        <v>3144</v>
      </c>
      <c r="F2026" s="112">
        <f>IF(ISBLANK(E2026),"",_xlfn.XLOOKUP(E2026,cannabis_log!C:C,cannabis_log!J:J,"",0,))</f>
        <v>2022051601</v>
      </c>
      <c r="G2026" s="112"/>
      <c r="H2026" s="112" t="str">
        <f>IF(ISBLANK(E2026),"",_xlfn.XLOOKUP(E2026,cannabis_log!C:C,cannabis_log!H:H,"",0,1))</f>
        <v>driedflower_bulk</v>
      </c>
      <c r="I2026" s="113">
        <f>IF(ISBLANK(E2026),"",_xlfn.XLOOKUP(E2026,cannabis_log!C:C,cannabis_log!K:K,"NOT FOUND",0,1))</f>
        <v>44830</v>
      </c>
      <c r="J2026" s="185">
        <v>-1</v>
      </c>
      <c r="K2026" s="186">
        <v>-1126</v>
      </c>
      <c r="L2026" s="288">
        <f t="shared" si="112"/>
        <v>0</v>
      </c>
      <c r="M2026" s="24"/>
      <c r="N2026" s="112" t="str">
        <f>IF(ISBLANK(E2026),"",_xlfn.XLOOKUP(E2026,cannabis_log!C:C,cannabis_log!T:T,"Not Found",0,))</f>
        <v>gross</v>
      </c>
      <c r="O2026" s="180">
        <f>IF(N2026="net",_xlfn.XLOOKUP(E2026,cannabis_log!C:C,cannabis_log!N:N,"NOT FOUND",0,1),IF(N2026="gross",0,""))</f>
        <v>0</v>
      </c>
    </row>
    <row r="2027" spans="1:15">
      <c r="A2027" s="195" t="str">
        <f t="shared" si="114"/>
        <v>outbound</v>
      </c>
      <c r="B2027" s="196">
        <v>45828.583333333336</v>
      </c>
      <c r="C2027" s="197" t="s">
        <v>1921</v>
      </c>
      <c r="D2027" s="197" t="s">
        <v>1970</v>
      </c>
      <c r="E2027" s="215" t="s">
        <v>3145</v>
      </c>
      <c r="F2027" s="112">
        <f>IF(ISBLANK(E2027),"",_xlfn.XLOOKUP(E2027,cannabis_log!C:C,cannabis_log!J:J,"",0,))</f>
        <v>2022051601</v>
      </c>
      <c r="G2027" s="112"/>
      <c r="H2027" s="112" t="str">
        <f>IF(ISBLANK(E2027),"",_xlfn.XLOOKUP(E2027,cannabis_log!C:C,cannabis_log!H:H,"",0,1))</f>
        <v>driedflower_bulk</v>
      </c>
      <c r="I2027" s="113">
        <f>IF(ISBLANK(E2027),"",_xlfn.XLOOKUP(E2027,cannabis_log!C:C,cannabis_log!K:K,"NOT FOUND",0,1))</f>
        <v>44830</v>
      </c>
      <c r="J2027" s="185">
        <v>-1</v>
      </c>
      <c r="K2027" s="186">
        <v>-1044</v>
      </c>
      <c r="L2027" s="288">
        <f t="shared" si="112"/>
        <v>0</v>
      </c>
      <c r="M2027" s="24"/>
      <c r="N2027" s="112" t="str">
        <f>IF(ISBLANK(E2027),"",_xlfn.XLOOKUP(E2027,cannabis_log!C:C,cannabis_log!T:T,"Not Found",0,))</f>
        <v>gross</v>
      </c>
      <c r="O2027" s="180">
        <f>IF(N2027="net",_xlfn.XLOOKUP(E2027,cannabis_log!C:C,cannabis_log!N:N,"NOT FOUND",0,1),IF(N2027="gross",0,""))</f>
        <v>0</v>
      </c>
    </row>
    <row r="2028" spans="1:15">
      <c r="A2028" s="195" t="str">
        <f t="shared" si="114"/>
        <v>outbound</v>
      </c>
      <c r="B2028" s="196">
        <v>45828.583333333336</v>
      </c>
      <c r="C2028" s="197" t="s">
        <v>1921</v>
      </c>
      <c r="D2028" s="197" t="s">
        <v>1970</v>
      </c>
      <c r="E2028" s="215" t="s">
        <v>3146</v>
      </c>
      <c r="F2028" s="112">
        <f>IF(ISBLANK(E2028),"",_xlfn.XLOOKUP(E2028,cannabis_log!C:C,cannabis_log!J:J,"",0,))</f>
        <v>2022051601</v>
      </c>
      <c r="G2028" s="112"/>
      <c r="H2028" s="112" t="str">
        <f>IF(ISBLANK(E2028),"",_xlfn.XLOOKUP(E2028,cannabis_log!C:C,cannabis_log!H:H,"",0,1))</f>
        <v>driedflower_bulk</v>
      </c>
      <c r="I2028" s="113">
        <f>IF(ISBLANK(E2028),"",_xlfn.XLOOKUP(E2028,cannabis_log!C:C,cannabis_log!K:K,"NOT FOUND",0,1))</f>
        <v>44830</v>
      </c>
      <c r="J2028" s="185">
        <v>-1</v>
      </c>
      <c r="K2028" s="186">
        <v>-1039</v>
      </c>
      <c r="L2028" s="288">
        <f t="shared" si="112"/>
        <v>0</v>
      </c>
      <c r="M2028" s="24"/>
      <c r="N2028" s="112" t="str">
        <f>IF(ISBLANK(E2028),"",_xlfn.XLOOKUP(E2028,cannabis_log!C:C,cannabis_log!T:T,"Not Found",0,))</f>
        <v>gross</v>
      </c>
      <c r="O2028" s="180">
        <f>IF(N2028="net",_xlfn.XLOOKUP(E2028,cannabis_log!C:C,cannabis_log!N:N,"NOT FOUND",0,1),IF(N2028="gross",0,""))</f>
        <v>0</v>
      </c>
    </row>
    <row r="2029" spans="1:15">
      <c r="A2029" s="195" t="str">
        <f t="shared" si="114"/>
        <v>outbound</v>
      </c>
      <c r="B2029" s="196">
        <v>45828.583333333336</v>
      </c>
      <c r="C2029" s="197" t="s">
        <v>1921</v>
      </c>
      <c r="D2029" s="197" t="s">
        <v>1970</v>
      </c>
      <c r="E2029" s="215" t="s">
        <v>3147</v>
      </c>
      <c r="F2029" s="112">
        <f>IF(ISBLANK(E2029),"",_xlfn.XLOOKUP(E2029,cannabis_log!C:C,cannabis_log!J:J,"",0,))</f>
        <v>2022051601</v>
      </c>
      <c r="G2029" s="112"/>
      <c r="H2029" s="112" t="str">
        <f>IF(ISBLANK(E2029),"",_xlfn.XLOOKUP(E2029,cannabis_log!C:C,cannabis_log!H:H,"",0,1))</f>
        <v>driedflower_bulk</v>
      </c>
      <c r="I2029" s="113">
        <f>IF(ISBLANK(E2029),"",_xlfn.XLOOKUP(E2029,cannabis_log!C:C,cannabis_log!K:K,"NOT FOUND",0,1))</f>
        <v>44830</v>
      </c>
      <c r="J2029" s="185">
        <v>-1</v>
      </c>
      <c r="K2029" s="186">
        <v>-1046</v>
      </c>
      <c r="L2029" s="288">
        <f t="shared" si="112"/>
        <v>0</v>
      </c>
      <c r="M2029" s="24"/>
      <c r="N2029" s="112" t="str">
        <f>IF(ISBLANK(E2029),"",_xlfn.XLOOKUP(E2029,cannabis_log!C:C,cannabis_log!T:T,"Not Found",0,))</f>
        <v>gross</v>
      </c>
      <c r="O2029" s="180">
        <f>IF(N2029="net",_xlfn.XLOOKUP(E2029,cannabis_log!C:C,cannabis_log!N:N,"NOT FOUND",0,1),IF(N2029="gross",0,""))</f>
        <v>0</v>
      </c>
    </row>
    <row r="2030" spans="1:15">
      <c r="A2030" s="195" t="str">
        <f t="shared" si="114"/>
        <v>outbound</v>
      </c>
      <c r="B2030" s="196">
        <v>45828.583333333336</v>
      </c>
      <c r="C2030" s="197" t="s">
        <v>1921</v>
      </c>
      <c r="D2030" s="197" t="s">
        <v>1970</v>
      </c>
      <c r="E2030" s="215" t="s">
        <v>3148</v>
      </c>
      <c r="F2030" s="112">
        <f>IF(ISBLANK(E2030),"",_xlfn.XLOOKUP(E2030,cannabis_log!C:C,cannabis_log!J:J,"",0,))</f>
        <v>2022051601</v>
      </c>
      <c r="G2030" s="112"/>
      <c r="H2030" s="112" t="str">
        <f>IF(ISBLANK(E2030),"",_xlfn.XLOOKUP(E2030,cannabis_log!C:C,cannabis_log!H:H,"",0,1))</f>
        <v>driedflower_bulk</v>
      </c>
      <c r="I2030" s="113">
        <f>IF(ISBLANK(E2030),"",_xlfn.XLOOKUP(E2030,cannabis_log!C:C,cannabis_log!K:K,"NOT FOUND",0,1))</f>
        <v>44830</v>
      </c>
      <c r="J2030" s="185">
        <v>-1</v>
      </c>
      <c r="K2030" s="186">
        <v>-1048</v>
      </c>
      <c r="L2030" s="288">
        <f t="shared" ref="L2030:L2053" si="118">IFERROR(J2030*O2030,"")</f>
        <v>0</v>
      </c>
      <c r="M2030" s="24"/>
      <c r="N2030" s="112" t="str">
        <f>IF(ISBLANK(E2030),"",_xlfn.XLOOKUP(E2030,cannabis_log!C:C,cannabis_log!T:T,"Not Found",0,))</f>
        <v>gross</v>
      </c>
      <c r="O2030" s="180">
        <f>IF(N2030="net",_xlfn.XLOOKUP(E2030,cannabis_log!C:C,cannabis_log!N:N,"NOT FOUND",0,1),IF(N2030="gross",0,""))</f>
        <v>0</v>
      </c>
    </row>
    <row r="2031" spans="1:15">
      <c r="A2031" s="195" t="str">
        <f t="shared" si="114"/>
        <v>outbound</v>
      </c>
      <c r="B2031" s="196">
        <v>45831.416666666664</v>
      </c>
      <c r="C2031" s="197" t="s">
        <v>1929</v>
      </c>
      <c r="D2031" s="197" t="s">
        <v>3149</v>
      </c>
      <c r="E2031" s="215" t="s">
        <v>3062</v>
      </c>
      <c r="F2031" s="112" t="str">
        <f>IF(ISBLANK(E2031),"",_xlfn.XLOOKUP(E2031,cannabis_log!C:C,cannabis_log!J:J,"",0,))</f>
        <v>EX24111306G05</v>
      </c>
      <c r="G2031" s="112"/>
      <c r="H2031" s="112" t="str">
        <f>IF(ISBLANK(E2031),"",_xlfn.XLOOKUP(E2031,cannabis_log!C:C,cannabis_log!H:H,"",0,1))</f>
        <v>extract_inhaled_cased_SK_RTV</v>
      </c>
      <c r="I2031" s="113">
        <f>IF(ISBLANK(E2031),"",_xlfn.XLOOKUP(E2031,cannabis_log!C:C,cannabis_log!K:K,"NOT FOUND",0,1))</f>
        <v>45623</v>
      </c>
      <c r="J2031" s="185">
        <v>-1</v>
      </c>
      <c r="K2031" s="186">
        <v>-2580</v>
      </c>
      <c r="L2031" s="288">
        <f t="shared" si="118"/>
        <v>-6</v>
      </c>
      <c r="M2031" s="24"/>
      <c r="N2031" s="112" t="str">
        <f>IF(ISBLANK(E2031),"",_xlfn.XLOOKUP(E2031,cannabis_log!C:C,cannabis_log!T:T,"Not Found",0,))</f>
        <v>net</v>
      </c>
      <c r="O2031" s="180">
        <f>IF(N2031="net",_xlfn.XLOOKUP(E2031,cannabis_log!C:C,cannabis_log!N:N,"NOT FOUND",0,1),IF(N2031="gross",0,""))</f>
        <v>6</v>
      </c>
    </row>
    <row r="2032" spans="1:15">
      <c r="A2032" s="195" t="str">
        <f t="shared" si="114"/>
        <v>outbound</v>
      </c>
      <c r="B2032" s="196">
        <v>45831.416666666664</v>
      </c>
      <c r="C2032" s="197" t="s">
        <v>1929</v>
      </c>
      <c r="D2032" s="197" t="s">
        <v>3149</v>
      </c>
      <c r="E2032" s="215" t="s">
        <v>3079</v>
      </c>
      <c r="F2032" s="112" t="str">
        <f>IF(ISBLANK(E2032),"",_xlfn.XLOOKUP(E2032,cannabis_log!C:C,cannabis_log!J:J,"",0,))</f>
        <v>2024121801G7</v>
      </c>
      <c r="G2032" s="112"/>
      <c r="H2032" s="112" t="str">
        <f>IF(ISBLANK(E2032),"",_xlfn.XLOOKUP(E2032,cannabis_log!C:C,cannabis_log!H:H,"",0,1))</f>
        <v>driedflower_labelled</v>
      </c>
      <c r="I2032" s="113">
        <f>IF(ISBLANK(E2032),"",_xlfn.XLOOKUP(E2032,cannabis_log!C:C,cannabis_log!K:K,"NOT FOUND",0,1))</f>
        <v>45763</v>
      </c>
      <c r="J2032" s="185">
        <v>-12</v>
      </c>
      <c r="K2032" s="186">
        <f>IF(N2032="net",0,"")</f>
        <v>0</v>
      </c>
      <c r="L2032" s="288">
        <f t="shared" si="118"/>
        <v>-84</v>
      </c>
      <c r="M2032" s="24"/>
      <c r="N2032" s="112" t="str">
        <f>IF(ISBLANK(E2032),"",_xlfn.XLOOKUP(E2032,cannabis_log!C:C,cannabis_log!T:T,"Not Found",0,))</f>
        <v>net</v>
      </c>
      <c r="O2032" s="180">
        <f>IF(N2032="net",_xlfn.XLOOKUP(E2032,cannabis_log!C:C,cannabis_log!N:N,"NOT FOUND",0,1),IF(N2032="gross",0,""))</f>
        <v>7</v>
      </c>
    </row>
    <row r="2033" spans="1:15">
      <c r="A2033" s="195" t="str">
        <f t="shared" si="114"/>
        <v>outbound</v>
      </c>
      <c r="B2033" s="196">
        <v>45831.416666666664</v>
      </c>
      <c r="C2033" s="197" t="s">
        <v>1921</v>
      </c>
      <c r="D2033" s="197"/>
      <c r="E2033" s="215" t="s">
        <v>2562</v>
      </c>
      <c r="F2033" s="112" t="str">
        <f>IF(ISBLANK(E2033),"",_xlfn.XLOOKUP(E2033,cannabis_log!C:C,cannabis_log!J:J,"",0,))</f>
        <v>CPR22102001</v>
      </c>
      <c r="G2033" s="112"/>
      <c r="H2033" s="112" t="str">
        <f>IF(ISBLANK(E2033),"",_xlfn.XLOOKUP(E2033,cannabis_log!C:C,cannabis_log!H:H,"",0,1))</f>
        <v>driedflower_milled_bulk</v>
      </c>
      <c r="I2033" s="113" t="str">
        <f>IF(ISBLANK(E2033),"",_xlfn.XLOOKUP(E2033,cannabis_log!C:C,cannabis_log!K:K,"NOT FOUND",0,1))</f>
        <v>NA</v>
      </c>
      <c r="J2033" s="185">
        <v>-1</v>
      </c>
      <c r="K2033" s="186">
        <v>-3328</v>
      </c>
      <c r="L2033" s="288">
        <f t="shared" si="118"/>
        <v>0</v>
      </c>
      <c r="M2033" s="24"/>
      <c r="N2033" s="112" t="str">
        <f>IF(ISBLANK(E2033),"",_xlfn.XLOOKUP(E2033,cannabis_log!C:C,cannabis_log!T:T,"Not Found",0,))</f>
        <v>gross</v>
      </c>
      <c r="O2033" s="180">
        <f>IF(N2033="net",_xlfn.XLOOKUP(E2033,cannabis_log!C:C,cannabis_log!N:N,"NOT FOUND",0,1),IF(N2033="gross",0,""))</f>
        <v>0</v>
      </c>
    </row>
    <row r="2034" spans="1:15">
      <c r="A2034" s="195" t="str">
        <f t="shared" si="114"/>
        <v>outbound</v>
      </c>
      <c r="B2034" s="196">
        <v>45831.416666666664</v>
      </c>
      <c r="C2034" s="197" t="s">
        <v>1921</v>
      </c>
      <c r="D2034" s="197"/>
      <c r="E2034" s="215" t="s">
        <v>3055</v>
      </c>
      <c r="F2034" s="112">
        <f>IF(ISBLANK(E2034),"",_xlfn.XLOOKUP(E2034,cannabis_log!C:C,cannabis_log!J:J,"",0,))</f>
        <v>2025030701</v>
      </c>
      <c r="G2034" s="112"/>
      <c r="H2034" s="112" t="str">
        <f>IF(ISBLANK(E2034),"",_xlfn.XLOOKUP(E2034,cannabis_log!C:C,cannabis_log!H:H,"",0,1))</f>
        <v>driedflower_bulk_JEN</v>
      </c>
      <c r="I2034" s="113" t="str">
        <f>IF(ISBLANK(E2034),"",_xlfn.XLOOKUP(E2034,cannabis_log!C:C,cannabis_log!K:K,"NOT FOUND",0,1))</f>
        <v>NA</v>
      </c>
      <c r="J2034" s="185">
        <v>-1</v>
      </c>
      <c r="K2034" s="186">
        <v>-628</v>
      </c>
      <c r="L2034" s="288">
        <f t="shared" si="118"/>
        <v>0</v>
      </c>
      <c r="M2034" s="24"/>
      <c r="N2034" s="112" t="str">
        <f>IF(ISBLANK(E2034),"",_xlfn.XLOOKUP(E2034,cannabis_log!C:C,cannabis_log!T:T,"Not Found",0,))</f>
        <v>gross</v>
      </c>
      <c r="O2034" s="180">
        <f>IF(N2034="net",_xlfn.XLOOKUP(E2034,cannabis_log!C:C,cannabis_log!N:N,"NOT FOUND",0,1),IF(N2034="gross",0,""))</f>
        <v>0</v>
      </c>
    </row>
    <row r="2035" spans="1:15">
      <c r="A2035" s="195" t="str">
        <f t="shared" si="114"/>
        <v>outbound</v>
      </c>
      <c r="B2035" s="196">
        <v>45831.416666666664</v>
      </c>
      <c r="C2035" s="197" t="s">
        <v>1921</v>
      </c>
      <c r="D2035" s="197"/>
      <c r="E2035" s="215" t="s">
        <v>3150</v>
      </c>
      <c r="F2035" s="112" t="str">
        <f>IF(ISBLANK(E2035),"",_xlfn.XLOOKUP(E2035,cannabis_log!C:C,cannabis_log!J:J,"",0,))</f>
        <v>PR2513</v>
      </c>
      <c r="G2035" s="112"/>
      <c r="H2035" s="112" t="str">
        <f>IF(ISBLANK(E2035),"",_xlfn.XLOOKUP(E2035,cannabis_log!C:C,cannabis_log!H:H,"",0,1))</f>
        <v>driedflower_milled_bulk_JEN</v>
      </c>
      <c r="I2035" s="113" t="str">
        <f>IF(ISBLANK(E2035),"",_xlfn.XLOOKUP(E2035,cannabis_log!C:C,cannabis_log!K:K,"NOT FOUND",0,1))</f>
        <v>NA</v>
      </c>
      <c r="J2035" s="185">
        <v>-1</v>
      </c>
      <c r="K2035" s="186">
        <v>-1832</v>
      </c>
      <c r="L2035" s="288">
        <f t="shared" si="118"/>
        <v>0</v>
      </c>
      <c r="M2035" s="24"/>
      <c r="N2035" s="112" t="str">
        <f>IF(ISBLANK(E2035),"",_xlfn.XLOOKUP(E2035,cannabis_log!C:C,cannabis_log!T:T,"Not Found",0,))</f>
        <v>gross</v>
      </c>
      <c r="O2035" s="180">
        <f>IF(N2035="net",_xlfn.XLOOKUP(E2035,cannabis_log!C:C,cannabis_log!N:N,"NOT FOUND",0,1),IF(N2035="gross",0,""))</f>
        <v>0</v>
      </c>
    </row>
    <row r="2036" spans="1:15">
      <c r="A2036" s="195" t="str">
        <f t="shared" si="114"/>
        <v>outbound</v>
      </c>
      <c r="B2036" s="196">
        <v>45831.416666666664</v>
      </c>
      <c r="C2036" s="197" t="s">
        <v>1929</v>
      </c>
      <c r="D2036" s="197"/>
      <c r="E2036" s="215" t="s">
        <v>3151</v>
      </c>
      <c r="F2036" s="112" t="str">
        <f>IF(ISBLANK(E2036),"",_xlfn.XLOOKUP(E2036,cannabis_log!C:C,cannabis_log!J:J,"",0,))</f>
        <v>2025030701G28</v>
      </c>
      <c r="G2036" s="112"/>
      <c r="H2036" s="112" t="str">
        <f>IF(ISBLANK(E2036),"",_xlfn.XLOOKUP(E2036,cannabis_log!C:C,cannabis_log!H:H,"",0,1))</f>
        <v>diredflower_labelled_JEN</v>
      </c>
      <c r="I2036" s="113">
        <f>IF(ISBLANK(E2036),"",_xlfn.XLOOKUP(E2036,cannabis_log!C:C,cannabis_log!K:K,"NOT FOUND",0,1))</f>
        <v>45786</v>
      </c>
      <c r="J2036" s="185">
        <v>-36</v>
      </c>
      <c r="K2036" s="186">
        <f>IF(N2036="net",0,"")</f>
        <v>0</v>
      </c>
      <c r="L2036" s="288">
        <f t="shared" si="118"/>
        <v>-1008</v>
      </c>
      <c r="M2036" s="24"/>
      <c r="N2036" s="112" t="str">
        <f>IF(ISBLANK(E2036),"",_xlfn.XLOOKUP(E2036,cannabis_log!C:C,cannabis_log!T:T,"Not Found",0,))</f>
        <v>net</v>
      </c>
      <c r="O2036" s="180">
        <f>IF(N2036="net",_xlfn.XLOOKUP(E2036,cannabis_log!C:C,cannabis_log!N:N,"NOT FOUND",0,1),IF(N2036="gross",0,""))</f>
        <v>28</v>
      </c>
    </row>
    <row r="2037" spans="1:15">
      <c r="A2037" s="195" t="str">
        <f t="shared" si="114"/>
        <v>outbound</v>
      </c>
      <c r="B2037" s="196">
        <v>45831.416666666664</v>
      </c>
      <c r="C2037" s="197" t="s">
        <v>1929</v>
      </c>
      <c r="D2037" s="197"/>
      <c r="E2037" s="215" t="s">
        <v>3152</v>
      </c>
      <c r="F2037" s="112">
        <f>IF(ISBLANK(E2037),"",_xlfn.XLOOKUP(E2037,cannabis_log!C:C,cannabis_log!J:J,"",0,))</f>
        <v>2025030701</v>
      </c>
      <c r="G2037" s="112"/>
      <c r="H2037" s="112" t="str">
        <f>IF(ISBLANK(E2037),"",_xlfn.XLOOKUP(E2037,cannabis_log!C:C,cannabis_log!H:H,"",0,1))</f>
        <v>driedflower_bulk_JEN</v>
      </c>
      <c r="I2037" s="113" t="str">
        <f>IF(ISBLANK(E2037),"",_xlfn.XLOOKUP(E2037,cannabis_log!C:C,cannabis_log!K:K,"NOT FOUND",0,1))</f>
        <v>NA</v>
      </c>
      <c r="J2037" s="185">
        <v>-1</v>
      </c>
      <c r="K2037" s="186">
        <v>-1025</v>
      </c>
      <c r="L2037" s="288">
        <f t="shared" si="118"/>
        <v>0</v>
      </c>
      <c r="M2037" s="24"/>
      <c r="N2037" s="112" t="str">
        <f>IF(ISBLANK(E2037),"",_xlfn.XLOOKUP(E2037,cannabis_log!C:C,cannabis_log!T:T,"Not Found",0,))</f>
        <v>gross</v>
      </c>
      <c r="O2037" s="180">
        <f>IF(N2037="net",_xlfn.XLOOKUP(E2037,cannabis_log!C:C,cannabis_log!N:N,"NOT FOUND",0,1),IF(N2037="gross",0,""))</f>
        <v>0</v>
      </c>
    </row>
    <row r="2038" spans="1:15">
      <c r="A2038" s="195" t="str">
        <f t="shared" si="114"/>
        <v>outbound</v>
      </c>
      <c r="B2038" s="196">
        <v>45831.625</v>
      </c>
      <c r="C2038" s="197" t="s">
        <v>1929</v>
      </c>
      <c r="D2038" s="197"/>
      <c r="E2038" s="215" t="s">
        <v>3087</v>
      </c>
      <c r="F2038" s="112" t="str">
        <f>IF(ISBLANK(E2038),"",_xlfn.XLOOKUP(E2038,cannabis_log!C:C,cannabis_log!J:J,"",0,))</f>
        <v>PR2516F5P10</v>
      </c>
      <c r="G2038" s="112"/>
      <c r="H2038" s="112" t="str">
        <f>IF(ISBLANK(E2038),"",_xlfn.XLOOKUP(E2038,cannabis_log!C:C,cannabis_log!H:H,"",0,1))</f>
        <v>preroll_labelled</v>
      </c>
      <c r="I2038" s="113">
        <f>IF(ISBLANK(E2038),"",_xlfn.XLOOKUP(E2038,cannabis_log!C:C,cannabis_log!K:K,"NOT FOUND",0,1))</f>
        <v>45783</v>
      </c>
      <c r="J2038" s="185">
        <v>-24</v>
      </c>
      <c r="K2038" s="186">
        <f>IF(N2038="net",0,"")</f>
        <v>0</v>
      </c>
      <c r="L2038" s="288">
        <f t="shared" si="118"/>
        <v>-120</v>
      </c>
      <c r="M2038" s="24"/>
      <c r="N2038" s="112" t="str">
        <f>IF(ISBLANK(E2038),"",_xlfn.XLOOKUP(E2038,cannabis_log!C:C,cannabis_log!T:T,"Not Found",0,))</f>
        <v>net</v>
      </c>
      <c r="O2038" s="180">
        <f>IF(N2038="net",_xlfn.XLOOKUP(E2038,cannabis_log!C:C,cannabis_log!N:N,"NOT FOUND",0,1),IF(N2038="gross",0,""))</f>
        <v>5</v>
      </c>
    </row>
    <row r="2039" spans="1:15">
      <c r="A2039" s="195" t="str">
        <f t="shared" si="114"/>
        <v>outbound</v>
      </c>
      <c r="B2039" s="196">
        <v>45832.625</v>
      </c>
      <c r="C2039" s="197" t="s">
        <v>1929</v>
      </c>
      <c r="D2039" s="197" t="s">
        <v>1899</v>
      </c>
      <c r="E2039" s="215" t="s">
        <v>2212</v>
      </c>
      <c r="F2039" s="112" t="str">
        <f>IF(ISBLANK(E2039),"",_xlfn.XLOOKUP(E2039,cannabis_log!C:C,cannabis_log!J:J,"",0,))</f>
        <v>EX24082902G05</v>
      </c>
      <c r="G2039" s="112"/>
      <c r="H2039" s="112" t="str">
        <f>IF(ISBLANK(E2039),"",_xlfn.XLOOKUP(E2039,cannabis_log!C:C,cannabis_log!H:H,"",0,1))</f>
        <v>extract_inhaled_labelled</v>
      </c>
      <c r="I2039" s="113">
        <f>IF(ISBLANK(E2039),"",_xlfn.XLOOKUP(E2039,cannabis_log!C:C,cannabis_log!K:K,"NOT FOUND",0,1))</f>
        <v>45569</v>
      </c>
      <c r="J2039" s="185">
        <v>-1</v>
      </c>
      <c r="K2039" s="186">
        <f>IF(N2039="net",0,"")</f>
        <v>0</v>
      </c>
      <c r="L2039" s="288">
        <f t="shared" si="118"/>
        <v>-0.5</v>
      </c>
      <c r="M2039" s="24"/>
      <c r="N2039" s="112" t="str">
        <f>IF(ISBLANK(E2039),"",_xlfn.XLOOKUP(E2039,cannabis_log!C:C,cannabis_log!T:T,"Not Found",0,))</f>
        <v>net</v>
      </c>
      <c r="O2039" s="180">
        <f>IF(N2039="net",_xlfn.XLOOKUP(E2039,cannabis_log!C:C,cannabis_log!N:N,"NOT FOUND",0,1),IF(N2039="gross",0,""))</f>
        <v>0.5</v>
      </c>
    </row>
    <row r="2040" spans="1:15">
      <c r="A2040" s="195" t="str">
        <f t="shared" si="114"/>
        <v>outbound</v>
      </c>
      <c r="B2040" s="196">
        <v>45832.625</v>
      </c>
      <c r="C2040" s="197" t="s">
        <v>1929</v>
      </c>
      <c r="D2040" s="197" t="s">
        <v>1899</v>
      </c>
      <c r="E2040" s="215" t="s">
        <v>2415</v>
      </c>
      <c r="F2040" s="112" t="str">
        <f>IF(ISBLANK(E2040),"",_xlfn.XLOOKUP(E2040,cannabis_log!C:C,cannabis_log!J:J,"",0,))</f>
        <v>EX24101701G05</v>
      </c>
      <c r="G2040" s="112"/>
      <c r="H2040" s="112" t="str">
        <f>IF(ISBLANK(E2040),"",_xlfn.XLOOKUP(E2040,cannabis_log!C:C,cannabis_log!H:H,"",0,1))</f>
        <v>extract_inhaled_labelled</v>
      </c>
      <c r="I2040" s="113">
        <f>IF(ISBLANK(E2040),"",_xlfn.XLOOKUP(E2040,cannabis_log!C:C,cannabis_log!K:K,"NOT FOUND",0,1))</f>
        <v>45618</v>
      </c>
      <c r="J2040" s="185">
        <v>-1</v>
      </c>
      <c r="K2040" s="186">
        <f>IF(N2040="net",0,"")</f>
        <v>0</v>
      </c>
      <c r="L2040" s="288">
        <f t="shared" si="118"/>
        <v>-0.5</v>
      </c>
      <c r="M2040" s="24"/>
      <c r="N2040" s="112" t="str">
        <f>IF(ISBLANK(E2040),"",_xlfn.XLOOKUP(E2040,cannabis_log!C:C,cannabis_log!T:T,"Not Found",0,))</f>
        <v>net</v>
      </c>
      <c r="O2040" s="180">
        <f>IF(N2040="net",_xlfn.XLOOKUP(E2040,cannabis_log!C:C,cannabis_log!N:N,"NOT FOUND",0,1),IF(N2040="gross",0,""))</f>
        <v>0.5</v>
      </c>
    </row>
    <row r="2041" spans="1:15">
      <c r="A2041" s="195" t="str">
        <f t="shared" si="114"/>
        <v>outbound</v>
      </c>
      <c r="B2041" s="196">
        <v>45833.625</v>
      </c>
      <c r="C2041" s="197" t="s">
        <v>1924</v>
      </c>
      <c r="D2041" s="197" t="s">
        <v>3153</v>
      </c>
      <c r="E2041" s="215" t="s">
        <v>2656</v>
      </c>
      <c r="F2041" s="112" t="str">
        <f>IF(ISBLANK(E2041),"",_xlfn.XLOOKUP(E2041,cannabis_log!C:C,cannabis_log!J:J,"",0,))</f>
        <v>PR2507</v>
      </c>
      <c r="G2041" s="112"/>
      <c r="H2041" s="112" t="str">
        <f>IF(ISBLANK(E2041),"",_xlfn.XLOOKUP(E2041,cannabis_log!C:C,cannabis_log!H:H,"",0,1))</f>
        <v>driedflower_milled_bulk</v>
      </c>
      <c r="I2041" s="113" t="str">
        <f>IF(ISBLANK(E2041),"",_xlfn.XLOOKUP(E2041,cannabis_log!C:C,cannabis_log!K:K,"NOT FOUND",0,1))</f>
        <v>NA</v>
      </c>
      <c r="J2041" s="185">
        <v>-1</v>
      </c>
      <c r="K2041" s="186">
        <v>-2052</v>
      </c>
      <c r="L2041" s="288">
        <f t="shared" si="118"/>
        <v>0</v>
      </c>
      <c r="M2041" s="24"/>
      <c r="N2041" s="112" t="str">
        <f>IF(ISBLANK(E2041),"",_xlfn.XLOOKUP(E2041,cannabis_log!C:C,cannabis_log!T:T,"Not Found",0,))</f>
        <v>gross</v>
      </c>
      <c r="O2041" s="180">
        <f>IF(N2041="net",_xlfn.XLOOKUP(E2041,cannabis_log!C:C,cannabis_log!N:N,"NOT FOUND",0,1),IF(N2041="gross",0,""))</f>
        <v>0</v>
      </c>
    </row>
    <row r="2042" spans="1:15">
      <c r="A2042" s="195" t="str">
        <f t="shared" si="114"/>
        <v>outbound</v>
      </c>
      <c r="B2042" s="196">
        <v>45833.625</v>
      </c>
      <c r="C2042" s="197" t="s">
        <v>1921</v>
      </c>
      <c r="D2042" s="197" t="s">
        <v>1900</v>
      </c>
      <c r="E2042" s="215" t="s">
        <v>2477</v>
      </c>
      <c r="F2042" s="112" t="str">
        <f>IF(ISBLANK(E2042),"",_xlfn.XLOOKUP(E2042,cannabis_log!C:C,cannabis_log!J:J,"",0,))</f>
        <v>PR241102F5P3</v>
      </c>
      <c r="G2042" s="112"/>
      <c r="H2042" s="112" t="str">
        <f>IF(ISBLANK(E2042),"",_xlfn.XLOOKUP(E2042,cannabis_log!C:C,cannabis_log!H:H,"",0,1))</f>
        <v>preroll_labelled</v>
      </c>
      <c r="I2042" s="113">
        <f>IF(ISBLANK(E2042),"",_xlfn.XLOOKUP(E2042,cannabis_log!C:C,cannabis_log!K:K,"NOT FOUND",0,1))</f>
        <v>45660</v>
      </c>
      <c r="J2042" s="185">
        <v>-12</v>
      </c>
      <c r="K2042" s="186">
        <f t="shared" ref="K2042:K2063" si="119">IF(N2042="net",0,"")</f>
        <v>0</v>
      </c>
      <c r="L2042" s="288">
        <f t="shared" si="118"/>
        <v>-18</v>
      </c>
      <c r="M2042" s="24"/>
      <c r="N2042" s="112" t="str">
        <f>IF(ISBLANK(E2042),"",_xlfn.XLOOKUP(E2042,cannabis_log!C:C,cannabis_log!T:T,"Not Found",0,))</f>
        <v>net</v>
      </c>
      <c r="O2042" s="180">
        <f>IF(N2042="net",_xlfn.XLOOKUP(E2042,cannabis_log!C:C,cannabis_log!N:N,"NOT FOUND",0,1),IF(N2042="gross",0,""))</f>
        <v>1.5</v>
      </c>
    </row>
    <row r="2043" spans="1:15">
      <c r="A2043" s="195" t="str">
        <f t="shared" si="114"/>
        <v>outbound</v>
      </c>
      <c r="B2043" s="196">
        <v>45833.625</v>
      </c>
      <c r="C2043" s="197" t="s">
        <v>1921</v>
      </c>
      <c r="D2043" s="197" t="s">
        <v>1900</v>
      </c>
      <c r="E2043" s="215" t="s">
        <v>3097</v>
      </c>
      <c r="F2043" s="112" t="str">
        <f>IF(ISBLANK(E2043),"",_xlfn.XLOOKUP(E2043,cannabis_log!C:C,cannabis_log!J:J,"",0,))</f>
        <v>PR251701F5P3</v>
      </c>
      <c r="G2043" s="112"/>
      <c r="H2043" s="112" t="str">
        <f>IF(ISBLANK(E2043),"",_xlfn.XLOOKUP(E2043,cannabis_log!C:C,cannabis_log!H:H,"",0,1))</f>
        <v>preroll_labelled</v>
      </c>
      <c r="I2043" s="113">
        <f>IF(ISBLANK(E2043),"",_xlfn.XLOOKUP(E2043,cannabis_log!C:C,cannabis_log!K:K,"NOT FOUND",0,1))</f>
        <v>45800</v>
      </c>
      <c r="J2043" s="185">
        <v>-12</v>
      </c>
      <c r="K2043" s="186">
        <f t="shared" si="119"/>
        <v>0</v>
      </c>
      <c r="L2043" s="288">
        <f t="shared" si="118"/>
        <v>-18</v>
      </c>
      <c r="M2043" s="24"/>
      <c r="N2043" s="112" t="str">
        <f>IF(ISBLANK(E2043),"",_xlfn.XLOOKUP(E2043,cannabis_log!C:C,cannabis_log!T:T,"Not Found",0,))</f>
        <v>net</v>
      </c>
      <c r="O2043" s="180">
        <f>IF(N2043="net",_xlfn.XLOOKUP(E2043,cannabis_log!C:C,cannabis_log!N:N,"NOT FOUND",0,1),IF(N2043="gross",0,""))</f>
        <v>1.5</v>
      </c>
    </row>
    <row r="2044" spans="1:15">
      <c r="A2044" s="195" t="str">
        <f t="shared" si="114"/>
        <v>outbound</v>
      </c>
      <c r="B2044" s="196">
        <v>45833.625</v>
      </c>
      <c r="C2044" s="197" t="s">
        <v>1921</v>
      </c>
      <c r="D2044" s="197" t="s">
        <v>1900</v>
      </c>
      <c r="E2044" s="215" t="s">
        <v>3154</v>
      </c>
      <c r="F2044" s="112" t="str">
        <f>IF(ISBLANK(E2044),"",_xlfn.XLOOKUP(E2044,cannabis_log!C:C,cannabis_log!J:J,"",0,))</f>
        <v>PR251705F5P3</v>
      </c>
      <c r="G2044" s="112"/>
      <c r="H2044" s="112" t="str">
        <f>IF(ISBLANK(E2044),"",_xlfn.XLOOKUP(E2044,cannabis_log!C:C,cannabis_log!H:H,"",0,1))</f>
        <v>preroll_labelled</v>
      </c>
      <c r="I2044" s="113">
        <f>IF(ISBLANK(E2044),"",_xlfn.XLOOKUP(E2044,cannabis_log!C:C,cannabis_log!K:K,"NOT FOUND",0,1))</f>
        <v>45804</v>
      </c>
      <c r="J2044" s="185">
        <v>-12</v>
      </c>
      <c r="K2044" s="186">
        <f t="shared" si="119"/>
        <v>0</v>
      </c>
      <c r="L2044" s="288">
        <f t="shared" si="118"/>
        <v>-18</v>
      </c>
      <c r="M2044" s="24"/>
      <c r="N2044" s="112" t="str">
        <f>IF(ISBLANK(E2044),"",_xlfn.XLOOKUP(E2044,cannabis_log!C:C,cannabis_log!T:T,"Not Found",0,))</f>
        <v>net</v>
      </c>
      <c r="O2044" s="180">
        <f>IF(N2044="net",_xlfn.XLOOKUP(E2044,cannabis_log!C:C,cannabis_log!N:N,"NOT FOUND",0,1),IF(N2044="gross",0,""))</f>
        <v>1.5</v>
      </c>
    </row>
    <row r="2045" spans="1:15">
      <c r="A2045" s="195" t="str">
        <f t="shared" si="114"/>
        <v>outbound</v>
      </c>
      <c r="B2045" s="196">
        <v>45833.625</v>
      </c>
      <c r="C2045" s="197" t="s">
        <v>1921</v>
      </c>
      <c r="D2045" s="197" t="s">
        <v>1900</v>
      </c>
      <c r="E2045" s="215" t="s">
        <v>3086</v>
      </c>
      <c r="F2045" s="112" t="str">
        <f>IF(ISBLANK(E2045),"",_xlfn.XLOOKUP(E2045,cannabis_log!C:C,cannabis_log!J:J,"",0,))</f>
        <v>PR2301F5P3</v>
      </c>
      <c r="G2045" s="112"/>
      <c r="H2045" s="112" t="str">
        <f>IF(ISBLANK(E2045),"",_xlfn.XLOOKUP(E2045,cannabis_log!C:C,cannabis_log!H:H,"",0,1))</f>
        <v>preroll_labelled</v>
      </c>
      <c r="I2045" s="113">
        <f>IF(ISBLANK(E2045),"",_xlfn.XLOOKUP(E2045,cannabis_log!C:C,cannabis_log!K:K,"NOT FOUND",0,1))</f>
        <v>45742</v>
      </c>
      <c r="J2045" s="185">
        <v>-12</v>
      </c>
      <c r="K2045" s="186">
        <f t="shared" si="119"/>
        <v>0</v>
      </c>
      <c r="L2045" s="288">
        <f t="shared" si="118"/>
        <v>-18</v>
      </c>
      <c r="M2045" s="24"/>
      <c r="N2045" s="112" t="str">
        <f>IF(ISBLANK(E2045),"",_xlfn.XLOOKUP(E2045,cannabis_log!C:C,cannabis_log!T:T,"Not Found",0,))</f>
        <v>net</v>
      </c>
      <c r="O2045" s="180">
        <f>IF(N2045="net",_xlfn.XLOOKUP(E2045,cannabis_log!C:C,cannabis_log!N:N,"NOT FOUND",0,1),IF(N2045="gross",0,""))</f>
        <v>1.5</v>
      </c>
    </row>
    <row r="2046" spans="1:15">
      <c r="A2046" s="195" t="str">
        <f t="shared" si="114"/>
        <v>outbound</v>
      </c>
      <c r="B2046" s="196">
        <v>45833.625</v>
      </c>
      <c r="C2046" s="197" t="s">
        <v>1921</v>
      </c>
      <c r="D2046" s="197" t="s">
        <v>1900</v>
      </c>
      <c r="E2046" s="215" t="s">
        <v>3062</v>
      </c>
      <c r="F2046" s="112" t="str">
        <f>IF(ISBLANK(E2046),"",_xlfn.XLOOKUP(E2046,cannabis_log!C:C,cannabis_log!J:J,"",0,))</f>
        <v>EX24111306G05</v>
      </c>
      <c r="G2046" s="112"/>
      <c r="H2046" s="112" t="str">
        <f>IF(ISBLANK(E2046),"",_xlfn.XLOOKUP(E2046,cannabis_log!C:C,cannabis_log!H:H,"",0,1))</f>
        <v>extract_inhaled_cased_SK_RTV</v>
      </c>
      <c r="I2046" s="113">
        <f>IF(ISBLANK(E2046),"",_xlfn.XLOOKUP(E2046,cannabis_log!C:C,cannabis_log!K:K,"NOT FOUND",0,1))</f>
        <v>45623</v>
      </c>
      <c r="J2046" s="185">
        <v>-2</v>
      </c>
      <c r="K2046" s="186">
        <f t="shared" si="119"/>
        <v>0</v>
      </c>
      <c r="L2046" s="288">
        <f t="shared" si="118"/>
        <v>-12</v>
      </c>
      <c r="M2046" s="24"/>
      <c r="N2046" s="112" t="str">
        <f>IF(ISBLANK(E2046),"",_xlfn.XLOOKUP(E2046,cannabis_log!C:C,cannabis_log!T:T,"Not Found",0,))</f>
        <v>net</v>
      </c>
      <c r="O2046" s="180">
        <f>IF(N2046="net",_xlfn.XLOOKUP(E2046,cannabis_log!C:C,cannabis_log!N:N,"NOT FOUND",0,1),IF(N2046="gross",0,""))</f>
        <v>6</v>
      </c>
    </row>
    <row r="2047" spans="1:15">
      <c r="A2047" s="195" t="str">
        <f t="shared" si="114"/>
        <v>outbound</v>
      </c>
      <c r="B2047" s="196">
        <v>45833.625</v>
      </c>
      <c r="C2047" s="197" t="s">
        <v>1921</v>
      </c>
      <c r="D2047" s="197" t="s">
        <v>3155</v>
      </c>
      <c r="E2047" s="215" t="s">
        <v>3012</v>
      </c>
      <c r="F2047" s="112" t="str">
        <f>IF(ISBLANK(E2047),"",_xlfn.XLOOKUP(E2047,cannabis_log!C:C,cannabis_log!J:J,"",0,))</f>
        <v>LR23032101</v>
      </c>
      <c r="G2047" s="112"/>
      <c r="H2047" s="112" t="str">
        <f>IF(ISBLANK(E2047),"",_xlfn.XLOOKUP(E2047,cannabis_log!C:C,cannabis_log!H:H,"",0,1))</f>
        <v>extract_inhaled_labelled</v>
      </c>
      <c r="I2047" s="113">
        <f>IF(ISBLANK(E2047),"",_xlfn.XLOOKUP(E2047,cannabis_log!C:C,cannabis_log!K:K,"NOT FOUND",0,1))</f>
        <v>45793</v>
      </c>
      <c r="J2047" s="185">
        <v>-6</v>
      </c>
      <c r="K2047" s="186">
        <f t="shared" si="119"/>
        <v>0</v>
      </c>
      <c r="L2047" s="288">
        <f t="shared" si="118"/>
        <v>-6</v>
      </c>
      <c r="M2047" s="24"/>
      <c r="N2047" s="112" t="str">
        <f>IF(ISBLANK(E2047),"",_xlfn.XLOOKUP(E2047,cannabis_log!C:C,cannabis_log!T:T,"Not Found",0,))</f>
        <v>net</v>
      </c>
      <c r="O2047" s="180">
        <f>IF(N2047="net",_xlfn.XLOOKUP(E2047,cannabis_log!C:C,cannabis_log!N:N,"NOT FOUND",0,1),IF(N2047="gross",0,""))</f>
        <v>1</v>
      </c>
    </row>
    <row r="2048" spans="1:15">
      <c r="A2048" s="195" t="str">
        <f t="shared" si="114"/>
        <v>outbound</v>
      </c>
      <c r="B2048" s="196">
        <v>45833.625</v>
      </c>
      <c r="C2048" s="197" t="s">
        <v>1921</v>
      </c>
      <c r="D2048" s="197" t="s">
        <v>3155</v>
      </c>
      <c r="E2048" s="215" t="s">
        <v>3079</v>
      </c>
      <c r="F2048" s="112" t="str">
        <f>IF(ISBLANK(E2048),"",_xlfn.XLOOKUP(E2048,cannabis_log!C:C,cannabis_log!J:J,"",0,))</f>
        <v>2024121801G7</v>
      </c>
      <c r="G2048" s="112"/>
      <c r="H2048" s="112" t="str">
        <f>IF(ISBLANK(E2048),"",_xlfn.XLOOKUP(E2048,cannabis_log!C:C,cannabis_log!H:H,"",0,1))</f>
        <v>driedflower_labelled</v>
      </c>
      <c r="I2048" s="113">
        <f>IF(ISBLANK(E2048),"",_xlfn.XLOOKUP(E2048,cannabis_log!C:C,cannabis_log!K:K,"NOT FOUND",0,1))</f>
        <v>45763</v>
      </c>
      <c r="J2048" s="185">
        <v>-12</v>
      </c>
      <c r="K2048" s="186">
        <f t="shared" si="119"/>
        <v>0</v>
      </c>
      <c r="L2048" s="288">
        <f t="shared" si="118"/>
        <v>-84</v>
      </c>
      <c r="M2048" s="24"/>
      <c r="N2048" s="112" t="str">
        <f>IF(ISBLANK(E2048),"",_xlfn.XLOOKUP(E2048,cannabis_log!C:C,cannabis_log!T:T,"Not Found",0,))</f>
        <v>net</v>
      </c>
      <c r="O2048" s="180">
        <f>IF(N2048="net",_xlfn.XLOOKUP(E2048,cannabis_log!C:C,cannabis_log!N:N,"NOT FOUND",0,1),IF(N2048="gross",0,""))</f>
        <v>7</v>
      </c>
    </row>
    <row r="2049" spans="1:15">
      <c r="A2049" s="195" t="str">
        <f t="shared" si="114"/>
        <v>outbound</v>
      </c>
      <c r="B2049" s="196">
        <v>45835.625</v>
      </c>
      <c r="C2049" s="197" t="s">
        <v>1929</v>
      </c>
      <c r="D2049" s="197" t="s">
        <v>3156</v>
      </c>
      <c r="E2049" s="215" t="s">
        <v>3079</v>
      </c>
      <c r="F2049" s="112" t="str">
        <f>IF(ISBLANK(E2049),"",_xlfn.XLOOKUP(E2049,cannabis_log!C:C,cannabis_log!J:J,"",0,))</f>
        <v>2024121801G7</v>
      </c>
      <c r="G2049" s="112"/>
      <c r="H2049" s="112" t="str">
        <f>IF(ISBLANK(E2049),"",_xlfn.XLOOKUP(E2049,cannabis_log!C:C,cannabis_log!H:H,"",0,1))</f>
        <v>driedflower_labelled</v>
      </c>
      <c r="I2049" s="113">
        <f>IF(ISBLANK(E2049),"",_xlfn.XLOOKUP(E2049,cannabis_log!C:C,cannabis_log!K:K,"NOT FOUND",0,1))</f>
        <v>45763</v>
      </c>
      <c r="J2049" s="185">
        <v>-24</v>
      </c>
      <c r="K2049" s="186">
        <f t="shared" si="119"/>
        <v>0</v>
      </c>
      <c r="L2049" s="288">
        <f t="shared" si="118"/>
        <v>-168</v>
      </c>
      <c r="M2049" s="24"/>
      <c r="N2049" s="112" t="str">
        <f>IF(ISBLANK(E2049),"",_xlfn.XLOOKUP(E2049,cannabis_log!C:C,cannabis_log!T:T,"Not Found",0,))</f>
        <v>net</v>
      </c>
      <c r="O2049" s="180">
        <f>IF(N2049="net",_xlfn.XLOOKUP(E2049,cannabis_log!C:C,cannabis_log!N:N,"NOT FOUND",0,1),IF(N2049="gross",0,""))</f>
        <v>7</v>
      </c>
    </row>
    <row r="2050" spans="1:15">
      <c r="A2050" s="195" t="str">
        <f t="shared" si="114"/>
        <v>outbound</v>
      </c>
      <c r="B2050" s="196">
        <v>45835.625</v>
      </c>
      <c r="C2050" s="197" t="s">
        <v>1929</v>
      </c>
      <c r="D2050" s="197" t="s">
        <v>3156</v>
      </c>
      <c r="E2050" s="215" t="s">
        <v>2477</v>
      </c>
      <c r="F2050" s="112" t="str">
        <f>IF(ISBLANK(E2050),"",_xlfn.XLOOKUP(E2050,cannabis_log!C:C,cannabis_log!J:J,"",0,))</f>
        <v>PR241102F5P3</v>
      </c>
      <c r="G2050" s="112"/>
      <c r="H2050" s="112" t="str">
        <f>IF(ISBLANK(E2050),"",_xlfn.XLOOKUP(E2050,cannabis_log!C:C,cannabis_log!H:H,"",0,1))</f>
        <v>preroll_labelled</v>
      </c>
      <c r="I2050" s="113">
        <f>IF(ISBLANK(E2050),"",_xlfn.XLOOKUP(E2050,cannabis_log!C:C,cannabis_log!K:K,"NOT FOUND",0,1))</f>
        <v>45660</v>
      </c>
      <c r="J2050" s="185">
        <v>-60</v>
      </c>
      <c r="K2050" s="186">
        <f t="shared" si="119"/>
        <v>0</v>
      </c>
      <c r="L2050" s="288">
        <f t="shared" si="118"/>
        <v>-90</v>
      </c>
      <c r="M2050" s="24"/>
      <c r="N2050" s="112" t="str">
        <f>IF(ISBLANK(E2050),"",_xlfn.XLOOKUP(E2050,cannabis_log!C:C,cannabis_log!T:T,"Not Found",0,))</f>
        <v>net</v>
      </c>
      <c r="O2050" s="180">
        <f>IF(N2050="net",_xlfn.XLOOKUP(E2050,cannabis_log!C:C,cannabis_log!N:N,"NOT FOUND",0,1),IF(N2050="gross",0,""))</f>
        <v>1.5</v>
      </c>
    </row>
    <row r="2051" spans="1:15">
      <c r="A2051" s="195" t="str">
        <f t="shared" si="114"/>
        <v>outbound</v>
      </c>
      <c r="B2051" s="196">
        <v>45835.625</v>
      </c>
      <c r="C2051" s="197" t="s">
        <v>1929</v>
      </c>
      <c r="D2051" s="197" t="s">
        <v>3156</v>
      </c>
      <c r="E2051" s="215" t="s">
        <v>3154</v>
      </c>
      <c r="F2051" s="112" t="str">
        <f>IF(ISBLANK(E2051),"",_xlfn.XLOOKUP(E2051,cannabis_log!C:C,cannabis_log!J:J,"",0,))</f>
        <v>PR251705F5P3</v>
      </c>
      <c r="G2051" s="112"/>
      <c r="H2051" s="112" t="str">
        <f>IF(ISBLANK(E2051),"",_xlfn.XLOOKUP(E2051,cannabis_log!C:C,cannabis_log!H:H,"",0,1))</f>
        <v>preroll_labelled</v>
      </c>
      <c r="I2051" s="113">
        <f>IF(ISBLANK(E2051),"",_xlfn.XLOOKUP(E2051,cannabis_log!C:C,cannabis_log!K:K,"NOT FOUND",0,1))</f>
        <v>45804</v>
      </c>
      <c r="J2051" s="185">
        <v>-60</v>
      </c>
      <c r="K2051" s="186">
        <f t="shared" si="119"/>
        <v>0</v>
      </c>
      <c r="L2051" s="288">
        <f t="shared" si="118"/>
        <v>-90</v>
      </c>
      <c r="M2051" s="24"/>
      <c r="N2051" s="112" t="str">
        <f>IF(ISBLANK(E2051),"",_xlfn.XLOOKUP(E2051,cannabis_log!C:C,cannabis_log!T:T,"Not Found",0,))</f>
        <v>net</v>
      </c>
      <c r="O2051" s="180">
        <f>IF(N2051="net",_xlfn.XLOOKUP(E2051,cannabis_log!C:C,cannabis_log!N:N,"NOT FOUND",0,1),IF(N2051="gross",0,""))</f>
        <v>1.5</v>
      </c>
    </row>
    <row r="2052" spans="1:15">
      <c r="A2052" s="195" t="str">
        <f t="shared" si="114"/>
        <v>outbound</v>
      </c>
      <c r="B2052" s="196">
        <v>45835.625</v>
      </c>
      <c r="C2052" s="197" t="s">
        <v>1929</v>
      </c>
      <c r="D2052" s="197" t="s">
        <v>3156</v>
      </c>
      <c r="E2052" s="215" t="s">
        <v>3048</v>
      </c>
      <c r="F2052" s="112" t="str">
        <f>IF(ISBLANK(E2052),"",_xlfn.XLOOKUP(E2052,cannabis_log!C:C,cannabis_log!J:J,"",0,))</f>
        <v>PR241003F5P3</v>
      </c>
      <c r="G2052" s="112"/>
      <c r="H2052" s="112" t="str">
        <f>IF(ISBLANK(E2052),"",_xlfn.XLOOKUP(E2052,cannabis_log!C:C,cannabis_log!H:H,"",0,1))</f>
        <v>preroll_cased_SK_RTV</v>
      </c>
      <c r="I2052" s="113">
        <f>IF(ISBLANK(E2052),"",_xlfn.XLOOKUP(E2052,cannabis_log!C:C,cannabis_log!K:K,"NOT FOUND",0,1))</f>
        <v>45575</v>
      </c>
      <c r="J2052" s="185">
        <v>-60</v>
      </c>
      <c r="K2052" s="186">
        <f t="shared" si="119"/>
        <v>0</v>
      </c>
      <c r="L2052" s="288">
        <f t="shared" si="118"/>
        <v>-90</v>
      </c>
      <c r="M2052" s="24"/>
      <c r="N2052" s="112" t="str">
        <f>IF(ISBLANK(E2052),"",_xlfn.XLOOKUP(E2052,cannabis_log!C:C,cannabis_log!T:T,"Not Found",0,))</f>
        <v>net</v>
      </c>
      <c r="O2052" s="180">
        <f>IF(N2052="net",_xlfn.XLOOKUP(E2052,cannabis_log!C:C,cannabis_log!N:N,"NOT FOUND",0,1),IF(N2052="gross",0,""))</f>
        <v>1.5</v>
      </c>
    </row>
    <row r="2053" spans="1:15">
      <c r="A2053" s="195" t="str">
        <f t="shared" si="114"/>
        <v>outbound</v>
      </c>
      <c r="B2053" s="196">
        <v>45835.625</v>
      </c>
      <c r="C2053" s="197" t="s">
        <v>1929</v>
      </c>
      <c r="D2053" s="197" t="s">
        <v>3156</v>
      </c>
      <c r="E2053" s="215" t="s">
        <v>3100</v>
      </c>
      <c r="F2053" s="112" t="str">
        <f>IF(ISBLANK(E2053),"",_xlfn.XLOOKUP(E2053,cannabis_log!C:C,cannabis_log!J:J,"",0,))</f>
        <v>EX24111301G05</v>
      </c>
      <c r="G2053" s="112"/>
      <c r="H2053" s="112" t="str">
        <f>IF(ISBLANK(E2053),"",_xlfn.XLOOKUP(E2053,cannabis_log!C:C,cannabis_log!H:H,"",0,1))</f>
        <v>extract_inhaled_labelled</v>
      </c>
      <c r="I2053" s="113">
        <f>IF(ISBLANK(E2053),"",_xlfn.XLOOKUP(E2053,cannabis_log!C:C,cannabis_log!K:K,"NOT FOUND",0,1))</f>
        <v>45756</v>
      </c>
      <c r="J2053" s="185">
        <v>-48</v>
      </c>
      <c r="K2053" s="186">
        <f t="shared" si="119"/>
        <v>0</v>
      </c>
      <c r="L2053" s="288">
        <f t="shared" si="118"/>
        <v>-24</v>
      </c>
      <c r="M2053" s="24"/>
      <c r="N2053" s="112" t="str">
        <f>IF(ISBLANK(E2053),"",_xlfn.XLOOKUP(E2053,cannabis_log!C:C,cannabis_log!T:T,"Not Found",0,))</f>
        <v>net</v>
      </c>
      <c r="O2053" s="180">
        <f>IF(N2053="net",_xlfn.XLOOKUP(E2053,cannabis_log!C:C,cannabis_log!N:N,"NOT FOUND",0,1),IF(N2053="gross",0,""))</f>
        <v>0.5</v>
      </c>
    </row>
    <row r="2054" spans="1:15">
      <c r="A2054" s="195" t="str">
        <f t="shared" ref="A2054:A2062" si="120">IF(ISBLANK(J2053),"",IF(J2053+K2054+L2054&lt;0,"outbound","inbound"))</f>
        <v>outbound</v>
      </c>
      <c r="B2054" s="196">
        <v>45835.625</v>
      </c>
      <c r="C2054" s="197" t="s">
        <v>1929</v>
      </c>
      <c r="D2054" s="197" t="s">
        <v>3156</v>
      </c>
      <c r="E2054" s="215" t="s">
        <v>3157</v>
      </c>
      <c r="F2054" s="112" t="str">
        <f>IF(ISBLANK(E2054),"",_xlfn.XLOOKUP(E2054,cannabis_log!C:C,cannabis_log!J:J,"",0,))</f>
        <v>EX24101703G05</v>
      </c>
      <c r="G2054" s="112"/>
      <c r="H2054" s="112" t="str">
        <f>IF(ISBLANK(E2054),"",_xlfn.XLOOKUP(E2054,cannabis_log!C:C,cannabis_log!H:H,"",0,1))</f>
        <v>extract_inhaled_cased_SK_RTV</v>
      </c>
      <c r="I2054" s="113">
        <f>IF(ISBLANK(E2054),"",_xlfn.XLOOKUP(E2054,cannabis_log!C:C,cannabis_log!K:K,"NOT FOUND",0,1))</f>
        <v>45603</v>
      </c>
      <c r="J2054" s="185">
        <v>-2</v>
      </c>
      <c r="K2054" s="186">
        <f t="shared" si="119"/>
        <v>0</v>
      </c>
      <c r="L2054" s="288">
        <f t="shared" ref="L2054:L2062" si="121">IFERROR(J2053*O2054,"")</f>
        <v>-288</v>
      </c>
      <c r="M2054" s="24"/>
      <c r="N2054" s="112" t="str">
        <f>IF(ISBLANK(E2054),"",_xlfn.XLOOKUP(E2054,cannabis_log!C:C,cannabis_log!T:T,"Not Found",0,))</f>
        <v>net</v>
      </c>
      <c r="O2054" s="180">
        <f>IF(N2054="net",_xlfn.XLOOKUP(E2054,cannabis_log!C:C,cannabis_log!N:N,"NOT FOUND",0,1),IF(N2054="gross",0,""))</f>
        <v>6</v>
      </c>
    </row>
    <row r="2055" spans="1:15">
      <c r="A2055" s="195" t="str">
        <f t="shared" si="120"/>
        <v>outbound</v>
      </c>
      <c r="B2055" s="196">
        <v>45835.625</v>
      </c>
      <c r="C2055" s="197" t="s">
        <v>1929</v>
      </c>
      <c r="D2055" s="197" t="s">
        <v>3156</v>
      </c>
      <c r="E2055" s="215" t="s">
        <v>2456</v>
      </c>
      <c r="F2055" s="112" t="str">
        <f>IF(ISBLANK(E2055),"",_xlfn.XLOOKUP(E2055,cannabis_log!C:C,cannabis_log!J:J,"",0,))</f>
        <v>EX24101703G05</v>
      </c>
      <c r="G2055" s="112"/>
      <c r="H2055" s="112" t="str">
        <f>IF(ISBLANK(E2055),"",_xlfn.XLOOKUP(E2055,cannabis_log!C:C,cannabis_log!H:H,"",0,1))</f>
        <v>extract_inhaled_labelled</v>
      </c>
      <c r="I2055" s="113">
        <f>IF(ISBLANK(E2055),"",_xlfn.XLOOKUP(E2055,cannabis_log!C:C,cannabis_log!K:K,"NOT FOUND",0,1))</f>
        <v>45603</v>
      </c>
      <c r="J2055" s="185">
        <v>-24</v>
      </c>
      <c r="K2055" s="186">
        <f t="shared" si="119"/>
        <v>0</v>
      </c>
      <c r="L2055" s="288">
        <f t="shared" si="121"/>
        <v>-1</v>
      </c>
      <c r="M2055" s="24"/>
      <c r="N2055" s="112" t="str">
        <f>IF(ISBLANK(E2055),"",_xlfn.XLOOKUP(E2055,cannabis_log!C:C,cannabis_log!T:T,"Not Found",0,))</f>
        <v>net</v>
      </c>
      <c r="O2055" s="180">
        <f>IF(N2055="net",_xlfn.XLOOKUP(E2055,cannabis_log!C:C,cannabis_log!N:N,"NOT FOUND",0,1),IF(N2055="gross",0,""))</f>
        <v>0.5</v>
      </c>
    </row>
    <row r="2056" spans="1:15">
      <c r="A2056" s="195" t="str">
        <f t="shared" si="120"/>
        <v>outbound</v>
      </c>
      <c r="B2056" s="196">
        <v>45835.625</v>
      </c>
      <c r="C2056" s="197" t="s">
        <v>1929</v>
      </c>
      <c r="D2056" s="197" t="s">
        <v>3156</v>
      </c>
      <c r="E2056" s="215" t="s">
        <v>3158</v>
      </c>
      <c r="F2056" s="112" t="str">
        <f>IF(ISBLANK(E2056),"",_xlfn.XLOOKUP(E2056,cannabis_log!C:C,cannabis_log!J:J,"",0,))</f>
        <v>EX24102905G05</v>
      </c>
      <c r="G2056" s="112"/>
      <c r="H2056" s="112" t="str">
        <f>IF(ISBLANK(E2056),"",_xlfn.XLOOKUP(E2056,cannabis_log!C:C,cannabis_log!H:H,"",0,1))</f>
        <v>extract_inhaled_cased_SK_RTV</v>
      </c>
      <c r="I2056" s="113">
        <f>IF(ISBLANK(E2056),"",_xlfn.XLOOKUP(E2056,cannabis_log!C:C,cannabis_log!K:K,"NOT FOUND",0,1))</f>
        <v>45594</v>
      </c>
      <c r="J2056" s="185">
        <v>-1</v>
      </c>
      <c r="K2056" s="186">
        <f t="shared" si="119"/>
        <v>0</v>
      </c>
      <c r="L2056" s="288">
        <f t="shared" si="121"/>
        <v>-144</v>
      </c>
      <c r="M2056" s="24"/>
      <c r="N2056" s="112" t="str">
        <f>IF(ISBLANK(E2056),"",_xlfn.XLOOKUP(E2056,cannabis_log!C:C,cannabis_log!T:T,"Not Found",0,))</f>
        <v>net</v>
      </c>
      <c r="O2056" s="180">
        <f>IF(N2056="net",_xlfn.XLOOKUP(E2056,cannabis_log!C:C,cannabis_log!N:N,"NOT FOUND",0,1),IF(N2056="gross",0,""))</f>
        <v>6</v>
      </c>
    </row>
    <row r="2057" spans="1:15">
      <c r="A2057" s="195" t="str">
        <f t="shared" si="120"/>
        <v>outbound</v>
      </c>
      <c r="B2057" s="196">
        <v>45835.625</v>
      </c>
      <c r="C2057" s="197" t="s">
        <v>1929</v>
      </c>
      <c r="D2057" s="197" t="s">
        <v>3156</v>
      </c>
      <c r="E2057" s="215" t="s">
        <v>3016</v>
      </c>
      <c r="F2057" s="112" t="str">
        <f>IF(ISBLANK(E2057),"",_xlfn.XLOOKUP(E2057,cannabis_log!C:C,cannabis_log!J:J,"",0,))</f>
        <v>EX24111302G05</v>
      </c>
      <c r="G2057" s="112"/>
      <c r="H2057" s="112" t="str">
        <f>IF(ISBLANK(E2057),"",_xlfn.XLOOKUP(E2057,cannabis_log!C:C,cannabis_log!H:H,"",0,1))</f>
        <v>extract_inhaled_cased_SK_RTV</v>
      </c>
      <c r="I2057" s="113">
        <f>IF(ISBLANK(E2057),"",_xlfn.XLOOKUP(E2057,cannabis_log!C:C,cannabis_log!K:K,"NOT FOUND",0,1))</f>
        <v>45623</v>
      </c>
      <c r="J2057" s="185">
        <v>-2</v>
      </c>
      <c r="K2057" s="186">
        <f t="shared" si="119"/>
        <v>0</v>
      </c>
      <c r="L2057" s="288">
        <f t="shared" si="121"/>
        <v>-6</v>
      </c>
      <c r="M2057" s="24"/>
      <c r="N2057" s="112" t="str">
        <f>IF(ISBLANK(E2057),"",_xlfn.XLOOKUP(E2057,cannabis_log!C:C,cannabis_log!T:T,"Not Found",0,))</f>
        <v>net</v>
      </c>
      <c r="O2057" s="180">
        <f>IF(N2057="net",_xlfn.XLOOKUP(E2057,cannabis_log!C:C,cannabis_log!N:N,"NOT FOUND",0,1),IF(N2057="gross",0,""))</f>
        <v>6</v>
      </c>
    </row>
    <row r="2058" spans="1:15">
      <c r="A2058" s="195" t="str">
        <f t="shared" si="120"/>
        <v>outbound</v>
      </c>
      <c r="B2058" s="196">
        <v>45835.625</v>
      </c>
      <c r="C2058" s="197" t="s">
        <v>1929</v>
      </c>
      <c r="D2058" s="197" t="s">
        <v>3156</v>
      </c>
      <c r="E2058" s="215" t="s">
        <v>3089</v>
      </c>
      <c r="F2058" s="112" t="str">
        <f>IF(ISBLANK(E2058),"",_xlfn.XLOOKUP(E2058,cannabis_log!C:C,cannabis_log!J:J,"",0,))</f>
        <v>EX24111302G05</v>
      </c>
      <c r="G2058" s="112"/>
      <c r="H2058" s="112" t="str">
        <f>IF(ISBLANK(E2058),"",_xlfn.XLOOKUP(E2058,cannabis_log!C:C,cannabis_log!H:H,"",0,1))</f>
        <v>extract_inhaled_labelled</v>
      </c>
      <c r="I2058" s="113">
        <f>IF(ISBLANK(E2058),"",_xlfn.XLOOKUP(E2058,cannabis_log!C:C,cannabis_log!K:K,"NOT FOUND",0,1))</f>
        <v>45707</v>
      </c>
      <c r="J2058" s="185">
        <v>-24</v>
      </c>
      <c r="K2058" s="186">
        <f t="shared" si="119"/>
        <v>0</v>
      </c>
      <c r="L2058" s="288">
        <f t="shared" si="121"/>
        <v>-1</v>
      </c>
      <c r="M2058" s="24"/>
      <c r="N2058" s="112" t="str">
        <f>IF(ISBLANK(E2058),"",_xlfn.XLOOKUP(E2058,cannabis_log!C:C,cannabis_log!T:T,"Not Found",0,))</f>
        <v>net</v>
      </c>
      <c r="O2058" s="180">
        <f>IF(N2058="net",_xlfn.XLOOKUP(E2058,cannabis_log!C:C,cannabis_log!N:N,"NOT FOUND",0,1),IF(N2058="gross",0,""))</f>
        <v>0.5</v>
      </c>
    </row>
    <row r="2059" spans="1:15">
      <c r="A2059" s="195" t="str">
        <f t="shared" si="120"/>
        <v>outbound</v>
      </c>
      <c r="B2059" s="196">
        <v>45835.625</v>
      </c>
      <c r="C2059" s="197" t="s">
        <v>1929</v>
      </c>
      <c r="D2059" s="197" t="s">
        <v>3156</v>
      </c>
      <c r="E2059" s="215" t="s">
        <v>3159</v>
      </c>
      <c r="F2059" s="112" t="str">
        <f>IF(ISBLANK(E2059),"",_xlfn.XLOOKUP(E2059,cannabis_log!C:C,cannabis_log!J:J,"",0,))</f>
        <v>EX24082904G05</v>
      </c>
      <c r="G2059" s="112"/>
      <c r="H2059" s="112" t="str">
        <f>IF(ISBLANK(E2059),"",_xlfn.XLOOKUP(E2059,cannabis_log!C:C,cannabis_log!H:H,"",0,1))</f>
        <v>extract_inhaled_cased_SK_RTV</v>
      </c>
      <c r="I2059" s="113">
        <f>IF(ISBLANK(E2059),"",_xlfn.XLOOKUP(E2059,cannabis_log!C:C,cannabis_log!K:K,"NOT FOUND",0,1))</f>
        <v>45555</v>
      </c>
      <c r="J2059" s="185">
        <v>-1</v>
      </c>
      <c r="K2059" s="186">
        <f t="shared" si="119"/>
        <v>0</v>
      </c>
      <c r="L2059" s="288">
        <f t="shared" si="121"/>
        <v>-144</v>
      </c>
      <c r="M2059" s="24"/>
      <c r="N2059" s="112" t="str">
        <f>IF(ISBLANK(E2059),"",_xlfn.XLOOKUP(E2059,cannabis_log!C:C,cannabis_log!T:T,"Not Found",0,))</f>
        <v>net</v>
      </c>
      <c r="O2059" s="180">
        <f>IF(N2059="net",_xlfn.XLOOKUP(E2059,cannabis_log!C:C,cannabis_log!N:N,"NOT FOUND",0,1),IF(N2059="gross",0,""))</f>
        <v>6</v>
      </c>
    </row>
    <row r="2060" spans="1:15">
      <c r="A2060" s="195" t="str">
        <f t="shared" si="120"/>
        <v>outbound</v>
      </c>
      <c r="B2060" s="196">
        <v>45835.625</v>
      </c>
      <c r="C2060" s="197" t="s">
        <v>1929</v>
      </c>
      <c r="D2060" s="197" t="s">
        <v>3156</v>
      </c>
      <c r="E2060" s="215" t="s">
        <v>3097</v>
      </c>
      <c r="F2060" s="112" t="str">
        <f>IF(ISBLANK(E2060),"",_xlfn.XLOOKUP(E2060,cannabis_log!C:C,cannabis_log!J:J,"",0,))</f>
        <v>PR251701F5P3</v>
      </c>
      <c r="G2060" s="112"/>
      <c r="H2060" s="112" t="str">
        <f>IF(ISBLANK(E2060),"",_xlfn.XLOOKUP(E2060,cannabis_log!C:C,cannabis_log!H:H,"",0,1))</f>
        <v>preroll_labelled</v>
      </c>
      <c r="I2060" s="113">
        <f>IF(ISBLANK(E2060),"",_xlfn.XLOOKUP(E2060,cannabis_log!C:C,cannabis_log!K:K,"NOT FOUND",0,1))</f>
        <v>45800</v>
      </c>
      <c r="J2060" s="185">
        <v>-60</v>
      </c>
      <c r="K2060" s="186">
        <f t="shared" si="119"/>
        <v>0</v>
      </c>
      <c r="L2060" s="288">
        <f t="shared" si="121"/>
        <v>-1.5</v>
      </c>
      <c r="M2060" s="24"/>
      <c r="N2060" s="112" t="str">
        <f>IF(ISBLANK(E2060),"",_xlfn.XLOOKUP(E2060,cannabis_log!C:C,cannabis_log!T:T,"Not Found",0,))</f>
        <v>net</v>
      </c>
      <c r="O2060" s="180">
        <f>IF(N2060="net",_xlfn.XLOOKUP(E2060,cannabis_log!C:C,cannabis_log!N:N,"NOT FOUND",0,1),IF(N2060="gross",0,""))</f>
        <v>1.5</v>
      </c>
    </row>
    <row r="2061" spans="1:15">
      <c r="A2061" s="195" t="str">
        <f t="shared" si="120"/>
        <v>outbound</v>
      </c>
      <c r="B2061" s="196">
        <v>45835.625</v>
      </c>
      <c r="C2061" s="197" t="s">
        <v>1929</v>
      </c>
      <c r="D2061" s="197" t="s">
        <v>3156</v>
      </c>
      <c r="E2061" s="215" t="s">
        <v>3160</v>
      </c>
      <c r="F2061" s="112" t="str">
        <f>IF(ISBLANK(E2061),"",_xlfn.XLOOKUP(E2061,cannabis_log!C:C,cannabis_log!J:J,"",0,))</f>
        <v>EX25010907G1</v>
      </c>
      <c r="G2061" s="112"/>
      <c r="H2061" s="112" t="str">
        <f>IF(ISBLANK(E2061),"",_xlfn.XLOOKUP(E2061,cannabis_log!C:C,cannabis_log!H:H,"",0,1))</f>
        <v>extract_inhaled_labelled</v>
      </c>
      <c r="I2061" s="113">
        <f>IF(ISBLANK(E2061),"",_xlfn.XLOOKUP(E2061,cannabis_log!C:C,cannabis_log!K:K,"NOT FOUND",0,1))</f>
        <v>45742</v>
      </c>
      <c r="J2061" s="185">
        <v>-12</v>
      </c>
      <c r="K2061" s="186">
        <f t="shared" si="119"/>
        <v>0</v>
      </c>
      <c r="L2061" s="288">
        <f t="shared" si="121"/>
        <v>-60</v>
      </c>
      <c r="M2061" s="24"/>
      <c r="N2061" s="112" t="str">
        <f>IF(ISBLANK(E2061),"",_xlfn.XLOOKUP(E2061,cannabis_log!C:C,cannabis_log!T:T,"Not Found",0,))</f>
        <v>net</v>
      </c>
      <c r="O2061" s="180">
        <f>IF(N2061="net",_xlfn.XLOOKUP(E2061,cannabis_log!C:C,cannabis_log!N:N,"NOT FOUND",0,1),IF(N2061="gross",0,""))</f>
        <v>1</v>
      </c>
    </row>
    <row r="2062" spans="1:15">
      <c r="A2062" s="195" t="str">
        <f t="shared" si="120"/>
        <v>outbound</v>
      </c>
      <c r="B2062" s="196">
        <v>45835.625</v>
      </c>
      <c r="C2062" s="197" t="s">
        <v>1929</v>
      </c>
      <c r="D2062" s="197" t="s">
        <v>3156</v>
      </c>
      <c r="E2062" s="215" t="s">
        <v>3109</v>
      </c>
      <c r="F2062" s="112" t="str">
        <f>IF(ISBLANK(E2062),"",_xlfn.XLOOKUP(E2062,cannabis_log!C:C,cannabis_log!J:J,"",0,))</f>
        <v>EX25020601G1</v>
      </c>
      <c r="G2062" s="112"/>
      <c r="H2062" s="112" t="str">
        <f>IF(ISBLANK(E2062),"",_xlfn.XLOOKUP(E2062,cannabis_log!C:C,cannabis_log!H:H,"",0,1))</f>
        <v>extract_inhaled_labelled</v>
      </c>
      <c r="I2062" s="113">
        <f>IF(ISBLANK(E2062),"",_xlfn.XLOOKUP(E2062,cannabis_log!C:C,cannabis_log!K:K,"NOT FOUND",0,1))</f>
        <v>45707</v>
      </c>
      <c r="J2062" s="185">
        <v>-12</v>
      </c>
      <c r="K2062" s="186">
        <f t="shared" si="119"/>
        <v>0</v>
      </c>
      <c r="L2062" s="288">
        <f t="shared" si="121"/>
        <v>-12</v>
      </c>
      <c r="M2062" s="24"/>
      <c r="N2062" s="112" t="str">
        <f>IF(ISBLANK(E2062),"",_xlfn.XLOOKUP(E2062,cannabis_log!C:C,cannabis_log!T:T,"Not Found",0,))</f>
        <v>net</v>
      </c>
      <c r="O2062" s="180">
        <f>IF(N2062="net",_xlfn.XLOOKUP(E2062,cannabis_log!C:C,cannabis_log!N:N,"NOT FOUND",0,1),IF(N2062="gross",0,""))</f>
        <v>1</v>
      </c>
    </row>
    <row r="2063" spans="1:15">
      <c r="A2063" s="195" t="str">
        <f t="shared" ref="A2063:A2102" si="122">IF(ISBLANK(J2063),"",IF(J2063+K2063+L2063&lt;0,"outbound","inbound"))</f>
        <v>outbound</v>
      </c>
      <c r="B2063" s="196">
        <v>45835.625</v>
      </c>
      <c r="C2063" s="197" t="s">
        <v>1929</v>
      </c>
      <c r="D2063" s="197" t="s">
        <v>3156</v>
      </c>
      <c r="E2063" s="215" t="s">
        <v>3019</v>
      </c>
      <c r="F2063" s="112" t="str">
        <f>IF(ISBLANK(E2063),"",_xlfn.XLOOKUP(E2063,cannabis_log!C:C,cannabis_log!J:J,"",0,))</f>
        <v>PR2501INF5P3</v>
      </c>
      <c r="G2063" s="112"/>
      <c r="H2063" s="112" t="str">
        <f>IF(ISBLANK(E2063),"",_xlfn.XLOOKUP(E2063,cannabis_log!C:C,cannabis_log!H:H,"",0,1))</f>
        <v>preroll_labelled</v>
      </c>
      <c r="I2063" s="113">
        <f>IF(ISBLANK(E2063),"",_xlfn.XLOOKUP(E2063,cannabis_log!C:C,cannabis_log!K:K,"NOT FOUND",0,1))</f>
        <v>45778</v>
      </c>
      <c r="J2063" s="185">
        <v>-12</v>
      </c>
      <c r="K2063" s="186">
        <f t="shared" si="119"/>
        <v>0</v>
      </c>
      <c r="L2063" s="288">
        <f t="shared" ref="L2063:L2126" si="123">IFERROR(J2063*O2063,"")</f>
        <v>-18</v>
      </c>
      <c r="M2063" s="24"/>
      <c r="N2063" s="112" t="str">
        <f>IF(ISBLANK(E2063),"",_xlfn.XLOOKUP(E2063,cannabis_log!C:C,cannabis_log!T:T,"Not Found",0,))</f>
        <v>net</v>
      </c>
      <c r="O2063" s="180">
        <f>IF(N2063="net",_xlfn.XLOOKUP(E2063,cannabis_log!C:C,cannabis_log!N:N,"NOT FOUND",0,1),IF(N2063="gross",0,""))</f>
        <v>1.5</v>
      </c>
    </row>
    <row r="2064" spans="1:15">
      <c r="A2064" s="195" t="str">
        <f t="shared" si="122"/>
        <v>outbound</v>
      </c>
      <c r="B2064" s="196">
        <v>45838</v>
      </c>
      <c r="C2064" s="197" t="s">
        <v>1921</v>
      </c>
      <c r="D2064" s="197" t="s">
        <v>1970</v>
      </c>
      <c r="E2064" s="215" t="s">
        <v>3161</v>
      </c>
      <c r="F2064" s="112">
        <f>IF(ISBLANK(E2064),"",_xlfn.XLOOKUP(E2064,cannabis_log!C:C,cannabis_log!J:J,"",0,))</f>
        <v>2022051601</v>
      </c>
      <c r="G2064" s="112"/>
      <c r="H2064" s="112" t="str">
        <f>IF(ISBLANK(E2064),"",_xlfn.XLOOKUP(E2064,cannabis_log!C:C,cannabis_log!H:H,"",0,1))</f>
        <v>driedflower_bulk</v>
      </c>
      <c r="I2064" s="113">
        <f>IF(ISBLANK(E2064),"",_xlfn.XLOOKUP(E2064,cannabis_log!C:C,cannabis_log!K:K,"NOT FOUND",0,1))</f>
        <v>44830</v>
      </c>
      <c r="J2064" s="185">
        <v>-1</v>
      </c>
      <c r="K2064" s="186">
        <v>-1044</v>
      </c>
      <c r="L2064" s="288">
        <f t="shared" si="123"/>
        <v>0</v>
      </c>
      <c r="M2064" s="24"/>
      <c r="N2064" s="112" t="str">
        <f>IF(ISBLANK(E2064),"",_xlfn.XLOOKUP(E2064,cannabis_log!C:C,cannabis_log!T:T,"Not Found",0,))</f>
        <v>gross</v>
      </c>
      <c r="O2064" s="180">
        <f>IF(N2064="net",_xlfn.XLOOKUP(E2064,cannabis_log!C:C,cannabis_log!N:N,"NOT FOUND",0,1),IF(N2064="gross",0,""))</f>
        <v>0</v>
      </c>
    </row>
    <row r="2065" spans="1:15">
      <c r="A2065" s="195" t="str">
        <f t="shared" si="122"/>
        <v>outbound</v>
      </c>
      <c r="B2065" s="196">
        <v>45838</v>
      </c>
      <c r="C2065" s="197" t="s">
        <v>1929</v>
      </c>
      <c r="D2065" s="197"/>
      <c r="E2065" s="215" t="s">
        <v>3079</v>
      </c>
      <c r="F2065" s="112" t="str">
        <f>IF(ISBLANK(E2065),"",_xlfn.XLOOKUP(E2065,cannabis_log!C:C,cannabis_log!J:J,"",0,))</f>
        <v>2024121801G7</v>
      </c>
      <c r="G2065" s="112"/>
      <c r="H2065" s="112" t="str">
        <f>IF(ISBLANK(E2065),"",_xlfn.XLOOKUP(E2065,cannabis_log!C:C,cannabis_log!H:H,"",0,1))</f>
        <v>driedflower_labelled</v>
      </c>
      <c r="I2065" s="113">
        <f>IF(ISBLANK(E2065),"",_xlfn.XLOOKUP(E2065,cannabis_log!C:C,cannabis_log!K:K,"NOT FOUND",0,1))</f>
        <v>45763</v>
      </c>
      <c r="J2065" s="185">
        <v>-10</v>
      </c>
      <c r="K2065" s="186">
        <f>IF(N2065="net",0,"")</f>
        <v>0</v>
      </c>
      <c r="L2065" s="288">
        <f t="shared" si="123"/>
        <v>-70</v>
      </c>
      <c r="M2065" s="24"/>
      <c r="N2065" s="112" t="str">
        <f>IF(ISBLANK(E2065),"",_xlfn.XLOOKUP(E2065,cannabis_log!C:C,cannabis_log!T:T,"Not Found",0,))</f>
        <v>net</v>
      </c>
      <c r="O2065" s="180">
        <f>IF(N2065="net",_xlfn.XLOOKUP(E2065,cannabis_log!C:C,cannabis_log!N:N,"NOT FOUND",0,1),IF(N2065="gross",0,""))</f>
        <v>7</v>
      </c>
    </row>
    <row r="2066" spans="1:15">
      <c r="A2066" s="195" t="str">
        <f t="shared" si="122"/>
        <v>outbound</v>
      </c>
      <c r="B2066" s="196">
        <v>45838</v>
      </c>
      <c r="C2066" s="197" t="s">
        <v>1921</v>
      </c>
      <c r="D2066" s="197" t="s">
        <v>1970</v>
      </c>
      <c r="E2066" s="215" t="s">
        <v>3162</v>
      </c>
      <c r="F2066" s="112">
        <f>IF(ISBLANK(E2066),"",_xlfn.XLOOKUP(E2066,cannabis_log!C:C,cannabis_log!J:J,"",0,))</f>
        <v>2024121801</v>
      </c>
      <c r="G2066" s="112"/>
      <c r="H2066" s="112" t="str">
        <f>IF(ISBLANK(E2066),"",_xlfn.XLOOKUP(E2066,cannabis_log!C:C,cannabis_log!H:H,"",0,1))</f>
        <v>driedflower_bulk_small</v>
      </c>
      <c r="I2066" s="113" t="str">
        <f>IF(ISBLANK(E2066),"",_xlfn.XLOOKUP(E2066,cannabis_log!C:C,cannabis_log!K:K,"NOT FOUND",0,1))</f>
        <v>NA</v>
      </c>
      <c r="J2066" s="185">
        <v>-1</v>
      </c>
      <c r="K2066" s="186">
        <v>-5426</v>
      </c>
      <c r="L2066" s="288">
        <f t="shared" si="123"/>
        <v>0</v>
      </c>
      <c r="M2066" s="24"/>
      <c r="N2066" s="112" t="str">
        <f>IF(ISBLANK(E2066),"",_xlfn.XLOOKUP(E2066,cannabis_log!C:C,cannabis_log!T:T,"Not Found",0,))</f>
        <v>gross</v>
      </c>
      <c r="O2066" s="180">
        <f>IF(N2066="net",_xlfn.XLOOKUP(E2066,cannabis_log!C:C,cannabis_log!N:N,"NOT FOUND",0,1),IF(N2066="gross",0,""))</f>
        <v>0</v>
      </c>
    </row>
    <row r="2067" spans="1:15">
      <c r="A2067" s="195" t="str">
        <f t="shared" si="122"/>
        <v>outbound</v>
      </c>
      <c r="B2067" s="196">
        <v>45838</v>
      </c>
      <c r="C2067" s="197" t="s">
        <v>1929</v>
      </c>
      <c r="D2067" s="22" t="s">
        <v>3163</v>
      </c>
      <c r="E2067" s="215" t="s">
        <v>3054</v>
      </c>
      <c r="F2067" s="112" t="str">
        <f>IF(ISBLANK(E2067),"",_xlfn.XLOOKUP(E2067,cannabis_log!C:C,cannabis_log!J:J,"",0,))</f>
        <v>ROGEX001G1</v>
      </c>
      <c r="G2067" s="112"/>
      <c r="H2067" s="112" t="str">
        <f>IF(ISBLANK(E2067),"",_xlfn.XLOOKUP(E2067,cannabis_log!C:C,cannabis_log!H:H,"",0,1))</f>
        <v>extract_inhaled_labelled_Rohan</v>
      </c>
      <c r="I2067" s="113">
        <f>IF(ISBLANK(E2067),"",_xlfn.XLOOKUP(E2067,cannabis_log!C:C,cannabis_log!K:K,"NOT FOUND",0,1))</f>
        <v>45772</v>
      </c>
      <c r="J2067" s="185">
        <v>-36</v>
      </c>
      <c r="K2067" s="186">
        <f t="shared" ref="K2067:K2084" si="124">IF(N2067="net",0,"")</f>
        <v>0</v>
      </c>
      <c r="L2067" s="288">
        <f t="shared" si="123"/>
        <v>-36</v>
      </c>
      <c r="M2067" s="24"/>
      <c r="N2067" s="112" t="str">
        <f>IF(ISBLANK(E2067),"",_xlfn.XLOOKUP(E2067,cannabis_log!C:C,cannabis_log!T:T,"Not Found",0,))</f>
        <v>net</v>
      </c>
      <c r="O2067" s="180">
        <f>IF(N2067="net",_xlfn.XLOOKUP(E2067,cannabis_log!C:C,cannabis_log!N:N,"NOT FOUND",0,1),IF(N2067="gross",0,""))</f>
        <v>1</v>
      </c>
    </row>
    <row r="2068" spans="1:15">
      <c r="A2068" s="195" t="str">
        <f t="shared" si="122"/>
        <v>outbound</v>
      </c>
      <c r="B2068" s="196">
        <v>45838</v>
      </c>
      <c r="C2068" s="197" t="s">
        <v>1929</v>
      </c>
      <c r="D2068" s="22" t="s">
        <v>3163</v>
      </c>
      <c r="E2068" s="215" t="s">
        <v>3019</v>
      </c>
      <c r="F2068" s="112" t="str">
        <f>IF(ISBLANK(E2068),"",_xlfn.XLOOKUP(E2068,cannabis_log!C:C,cannabis_log!J:J,"",0,))</f>
        <v>PR2501INF5P3</v>
      </c>
      <c r="G2068" s="112"/>
      <c r="H2068" s="112" t="str">
        <f>IF(ISBLANK(E2068),"",_xlfn.XLOOKUP(E2068,cannabis_log!C:C,cannabis_log!H:H,"",0,1))</f>
        <v>preroll_labelled</v>
      </c>
      <c r="I2068" s="113">
        <f>IF(ISBLANK(E2068),"",_xlfn.XLOOKUP(E2068,cannabis_log!C:C,cannabis_log!K:K,"NOT FOUND",0,1))</f>
        <v>45778</v>
      </c>
      <c r="J2068" s="185">
        <v>-24</v>
      </c>
      <c r="K2068" s="186">
        <f t="shared" si="124"/>
        <v>0</v>
      </c>
      <c r="L2068" s="288">
        <f t="shared" si="123"/>
        <v>-36</v>
      </c>
      <c r="M2068" s="24"/>
      <c r="N2068" s="112" t="str">
        <f>IF(ISBLANK(E2068),"",_xlfn.XLOOKUP(E2068,cannabis_log!C:C,cannabis_log!T:T,"Not Found",0,))</f>
        <v>net</v>
      </c>
      <c r="O2068" s="180">
        <f>IF(N2068="net",_xlfn.XLOOKUP(E2068,cannabis_log!C:C,cannabis_log!N:N,"NOT FOUND",0,1),IF(N2068="gross",0,""))</f>
        <v>1.5</v>
      </c>
    </row>
    <row r="2069" spans="1:15">
      <c r="A2069" s="195" t="str">
        <f t="shared" si="122"/>
        <v>outbound</v>
      </c>
      <c r="B2069" s="196">
        <v>45838</v>
      </c>
      <c r="C2069" s="197" t="s">
        <v>1929</v>
      </c>
      <c r="D2069" s="22" t="s">
        <v>3163</v>
      </c>
      <c r="E2069" s="215" t="s">
        <v>3012</v>
      </c>
      <c r="F2069" s="112" t="str">
        <f>IF(ISBLANK(E2069),"",_xlfn.XLOOKUP(E2069,cannabis_log!C:C,cannabis_log!J:J,"",0,))</f>
        <v>LR23032101</v>
      </c>
      <c r="G2069" s="112"/>
      <c r="H2069" s="112" t="str">
        <f>IF(ISBLANK(E2069),"",_xlfn.XLOOKUP(E2069,cannabis_log!C:C,cannabis_log!H:H,"",0,1))</f>
        <v>extract_inhaled_labelled</v>
      </c>
      <c r="I2069" s="113">
        <f>IF(ISBLANK(E2069),"",_xlfn.XLOOKUP(E2069,cannabis_log!C:C,cannabis_log!K:K,"NOT FOUND",0,1))</f>
        <v>45793</v>
      </c>
      <c r="J2069" s="185">
        <v>-6</v>
      </c>
      <c r="K2069" s="186">
        <f t="shared" si="124"/>
        <v>0</v>
      </c>
      <c r="L2069" s="288">
        <f t="shared" si="123"/>
        <v>-6</v>
      </c>
      <c r="M2069" s="24"/>
      <c r="N2069" s="112" t="str">
        <f>IF(ISBLANK(E2069),"",_xlfn.XLOOKUP(E2069,cannabis_log!C:C,cannabis_log!T:T,"Not Found",0,))</f>
        <v>net</v>
      </c>
      <c r="O2069" s="180">
        <f>IF(N2069="net",_xlfn.XLOOKUP(E2069,cannabis_log!C:C,cannabis_log!N:N,"NOT FOUND",0,1),IF(N2069="gross",0,""))</f>
        <v>1</v>
      </c>
    </row>
    <row r="2070" spans="1:15">
      <c r="A2070" s="195" t="str">
        <f t="shared" si="122"/>
        <v>outbound</v>
      </c>
      <c r="B2070" s="196">
        <v>45838</v>
      </c>
      <c r="C2070" s="197" t="s">
        <v>1929</v>
      </c>
      <c r="D2070" s="22" t="s">
        <v>3163</v>
      </c>
      <c r="E2070" s="215" t="s">
        <v>3013</v>
      </c>
      <c r="F2070" s="112" t="str">
        <f>IF(ISBLANK(E2070),"",_xlfn.XLOOKUP(E2070,cannabis_log!C:C,cannabis_log!J:J,"",0,))</f>
        <v>PR2303IN02F5P3</v>
      </c>
      <c r="G2070" s="112"/>
      <c r="H2070" s="112" t="str">
        <f>IF(ISBLANK(E2070),"",_xlfn.XLOOKUP(E2070,cannabis_log!C:C,cannabis_log!H:H,"",0,1))</f>
        <v>infusedpreroll_cased_AB_RTV</v>
      </c>
      <c r="I2070" s="113">
        <f>IF(ISBLANK(E2070),"",_xlfn.XLOOKUP(E2070,cannabis_log!C:C,cannabis_log!K:K,"NOT FOUND",0,1))</f>
        <v>45478</v>
      </c>
      <c r="J2070" s="185">
        <v>-12</v>
      </c>
      <c r="K2070" s="186">
        <f t="shared" si="124"/>
        <v>0</v>
      </c>
      <c r="L2070" s="288">
        <f t="shared" si="123"/>
        <v>-108</v>
      </c>
      <c r="M2070" s="24"/>
      <c r="N2070" s="112" t="str">
        <f>IF(ISBLANK(E2070),"",_xlfn.XLOOKUP(E2070,cannabis_log!C:C,cannabis_log!T:T,"Not Found",0,))</f>
        <v>net</v>
      </c>
      <c r="O2070" s="180">
        <f>IF(N2070="net",_xlfn.XLOOKUP(E2070,cannabis_log!C:C,cannabis_log!N:N,"NOT FOUND",0,1),IF(N2070="gross",0,""))</f>
        <v>9</v>
      </c>
    </row>
    <row r="2071" spans="1:15">
      <c r="A2071" s="195" t="str">
        <f t="shared" si="122"/>
        <v>outbound</v>
      </c>
      <c r="B2071" s="196">
        <v>45838</v>
      </c>
      <c r="C2071" s="197" t="s">
        <v>1929</v>
      </c>
      <c r="D2071" s="22" t="s">
        <v>3163</v>
      </c>
      <c r="E2071" s="215" t="s">
        <v>3048</v>
      </c>
      <c r="F2071" s="112" t="str">
        <f>IF(ISBLANK(E2071),"",_xlfn.XLOOKUP(E2071,cannabis_log!C:C,cannabis_log!J:J,"",0,))</f>
        <v>PR241003F5P3</v>
      </c>
      <c r="G2071" s="112"/>
      <c r="H2071" s="112" t="str">
        <f>IF(ISBLANK(E2071),"",_xlfn.XLOOKUP(E2071,cannabis_log!C:C,cannabis_log!H:H,"",0,1))</f>
        <v>preroll_cased_SK_RTV</v>
      </c>
      <c r="I2071" s="113">
        <f>IF(ISBLANK(E2071),"",_xlfn.XLOOKUP(E2071,cannabis_log!C:C,cannabis_log!K:K,"NOT FOUND",0,1))</f>
        <v>45575</v>
      </c>
      <c r="J2071" s="185">
        <v>-12</v>
      </c>
      <c r="K2071" s="186">
        <f t="shared" si="124"/>
        <v>0</v>
      </c>
      <c r="L2071" s="288">
        <f t="shared" si="123"/>
        <v>-18</v>
      </c>
      <c r="M2071" s="24"/>
      <c r="N2071" s="112" t="str">
        <f>IF(ISBLANK(E2071),"",_xlfn.XLOOKUP(E2071,cannabis_log!C:C,cannabis_log!T:T,"Not Found",0,))</f>
        <v>net</v>
      </c>
      <c r="O2071" s="180">
        <f>IF(N2071="net",_xlfn.XLOOKUP(E2071,cannabis_log!C:C,cannabis_log!N:N,"NOT FOUND",0,1),IF(N2071="gross",0,""))</f>
        <v>1.5</v>
      </c>
    </row>
    <row r="2072" spans="1:15">
      <c r="A2072" s="195" t="str">
        <f t="shared" si="122"/>
        <v>outbound</v>
      </c>
      <c r="B2072" s="196">
        <v>45838</v>
      </c>
      <c r="C2072" s="197" t="s">
        <v>1929</v>
      </c>
      <c r="D2072" s="22" t="s">
        <v>3163</v>
      </c>
      <c r="E2072" s="215" t="s">
        <v>2456</v>
      </c>
      <c r="F2072" s="112" t="str">
        <f>IF(ISBLANK(E2072),"",_xlfn.XLOOKUP(E2072,cannabis_log!C:C,cannabis_log!J:J,"",0,))</f>
        <v>EX24101703G05</v>
      </c>
      <c r="G2072" s="112"/>
      <c r="H2072" s="112" t="str">
        <f>IF(ISBLANK(E2072),"",_xlfn.XLOOKUP(E2072,cannabis_log!C:C,cannabis_log!H:H,"",0,1))</f>
        <v>extract_inhaled_labelled</v>
      </c>
      <c r="I2072" s="113">
        <f>IF(ISBLANK(E2072),"",_xlfn.XLOOKUP(E2072,cannabis_log!C:C,cannabis_log!K:K,"NOT FOUND",0,1))</f>
        <v>45603</v>
      </c>
      <c r="J2072" s="185">
        <v>-12</v>
      </c>
      <c r="K2072" s="186">
        <f t="shared" si="124"/>
        <v>0</v>
      </c>
      <c r="L2072" s="288">
        <f t="shared" si="123"/>
        <v>-6</v>
      </c>
      <c r="M2072" s="24"/>
      <c r="N2072" s="112" t="str">
        <f>IF(ISBLANK(E2072),"",_xlfn.XLOOKUP(E2072,cannabis_log!C:C,cannabis_log!T:T,"Not Found",0,))</f>
        <v>net</v>
      </c>
      <c r="O2072" s="180">
        <f>IF(N2072="net",_xlfn.XLOOKUP(E2072,cannabis_log!C:C,cannabis_log!N:N,"NOT FOUND",0,1),IF(N2072="gross",0,""))</f>
        <v>0.5</v>
      </c>
    </row>
    <row r="2073" spans="1:15">
      <c r="A2073" s="195" t="str">
        <f t="shared" si="122"/>
        <v>outbound</v>
      </c>
      <c r="B2073" s="196">
        <v>45838</v>
      </c>
      <c r="C2073" s="197" t="s">
        <v>1929</v>
      </c>
      <c r="D2073" s="22" t="s">
        <v>3163</v>
      </c>
      <c r="E2073" s="215" t="s">
        <v>3159</v>
      </c>
      <c r="F2073" s="112" t="str">
        <f>IF(ISBLANK(E2073),"",_xlfn.XLOOKUP(E2073,cannabis_log!C:C,cannabis_log!J:J,"",0,))</f>
        <v>EX24082904G05</v>
      </c>
      <c r="G2073" s="112"/>
      <c r="H2073" s="112" t="str">
        <f>IF(ISBLANK(E2073),"",_xlfn.XLOOKUP(E2073,cannabis_log!C:C,cannabis_log!H:H,"",0,1))</f>
        <v>extract_inhaled_cased_SK_RTV</v>
      </c>
      <c r="I2073" s="113">
        <f>IF(ISBLANK(E2073),"",_xlfn.XLOOKUP(E2073,cannabis_log!C:C,cannabis_log!K:K,"NOT FOUND",0,1))</f>
        <v>45555</v>
      </c>
      <c r="J2073" s="185">
        <v>-1</v>
      </c>
      <c r="K2073" s="186">
        <f t="shared" si="124"/>
        <v>0</v>
      </c>
      <c r="L2073" s="288">
        <f t="shared" si="123"/>
        <v>-6</v>
      </c>
      <c r="M2073" s="24"/>
      <c r="N2073" s="112" t="str">
        <f>IF(ISBLANK(E2073),"",_xlfn.XLOOKUP(E2073,cannabis_log!C:C,cannabis_log!T:T,"Not Found",0,))</f>
        <v>net</v>
      </c>
      <c r="O2073" s="180">
        <f>IF(N2073="net",_xlfn.XLOOKUP(E2073,cannabis_log!C:C,cannabis_log!N:N,"NOT FOUND",0,1),IF(N2073="gross",0,""))</f>
        <v>6</v>
      </c>
    </row>
    <row r="2074" spans="1:15">
      <c r="A2074" s="195" t="str">
        <f t="shared" si="122"/>
        <v>outbound</v>
      </c>
      <c r="B2074" s="196">
        <v>45838</v>
      </c>
      <c r="C2074" s="197" t="s">
        <v>1929</v>
      </c>
      <c r="D2074" s="22" t="s">
        <v>3164</v>
      </c>
      <c r="E2074" s="215" t="s">
        <v>2203</v>
      </c>
      <c r="F2074" s="112" t="str">
        <f>IF(ISBLANK(E2074),"",_xlfn.XLOOKUP(E2074,cannabis_log!C:C,cannabis_log!J:J,"",0,))</f>
        <v>EX24092601V50</v>
      </c>
      <c r="G2074" s="112"/>
      <c r="H2074" s="112" t="str">
        <f>IF(ISBLANK(E2074),"",_xlfn.XLOOKUP(E2074,cannabis_log!C:C,cannabis_log!H:H,"",0,1))</f>
        <v>extract_ingested_labelled</v>
      </c>
      <c r="I2074" s="113">
        <f>IF(ISBLANK(E2074),"",_xlfn.XLOOKUP(E2074,cannabis_log!C:C,cannabis_log!K:K,"NOT FOUND",0,1))</f>
        <v>45576</v>
      </c>
      <c r="J2074" s="185">
        <v>-12</v>
      </c>
      <c r="K2074" s="186">
        <f t="shared" si="124"/>
        <v>0</v>
      </c>
      <c r="L2074" s="288">
        <f t="shared" si="123"/>
        <v>-600</v>
      </c>
      <c r="M2074" s="24"/>
      <c r="N2074" s="112" t="str">
        <f>IF(ISBLANK(E2074),"",_xlfn.XLOOKUP(E2074,cannabis_log!C:C,cannabis_log!T:T,"Not Found",0,))</f>
        <v>net</v>
      </c>
      <c r="O2074" s="180">
        <f>IF(N2074="net",_xlfn.XLOOKUP(E2074,cannabis_log!C:C,cannabis_log!N:N,"NOT FOUND",0,1),IF(N2074="gross",0,""))</f>
        <v>50</v>
      </c>
    </row>
    <row r="2075" spans="1:15">
      <c r="A2075" s="195" t="str">
        <f t="shared" si="122"/>
        <v>outbound</v>
      </c>
      <c r="B2075" s="196">
        <v>45838</v>
      </c>
      <c r="C2075" s="197" t="s">
        <v>1929</v>
      </c>
      <c r="D2075" s="22" t="s">
        <v>3164</v>
      </c>
      <c r="E2075" s="215" t="s">
        <v>3165</v>
      </c>
      <c r="F2075" s="112" t="str">
        <f>IF(ISBLANK(E2075),"",_xlfn.XLOOKUP(E2075,cannabis_log!C:C,cannabis_log!J:J,"",0,))</f>
        <v>EX25012101V50</v>
      </c>
      <c r="G2075" s="112"/>
      <c r="H2075" s="112" t="str">
        <f>IF(ISBLANK(E2075),"",_xlfn.XLOOKUP(E2075,cannabis_log!C:C,cannabis_log!H:H,"",0,1))</f>
        <v>extract_ingested_labelled</v>
      </c>
      <c r="I2075" s="113">
        <f>IF(ISBLANK(E2075),"",_xlfn.XLOOKUP(E2075,cannabis_log!C:C,cannabis_log!K:K,"NOT FOUND",0,1))</f>
        <v>45700</v>
      </c>
      <c r="J2075" s="185">
        <v>-12</v>
      </c>
      <c r="K2075" s="186">
        <f t="shared" si="124"/>
        <v>0</v>
      </c>
      <c r="L2075" s="288">
        <f t="shared" si="123"/>
        <v>-600</v>
      </c>
      <c r="M2075" s="24"/>
      <c r="N2075" s="112" t="str">
        <f>IF(ISBLANK(E2075),"",_xlfn.XLOOKUP(E2075,cannabis_log!C:C,cannabis_log!T:T,"Not Found",0,))</f>
        <v>net</v>
      </c>
      <c r="O2075" s="180">
        <f>IF(N2075="net",_xlfn.XLOOKUP(E2075,cannabis_log!C:C,cannabis_log!N:N,"NOT FOUND",0,1),IF(N2075="gross",0,""))</f>
        <v>50</v>
      </c>
    </row>
    <row r="2076" spans="1:15">
      <c r="A2076" s="195" t="str">
        <f t="shared" si="122"/>
        <v>outbound</v>
      </c>
      <c r="B2076" s="196">
        <v>45838</v>
      </c>
      <c r="C2076" s="197" t="s">
        <v>1929</v>
      </c>
      <c r="D2076" s="22" t="s">
        <v>3164</v>
      </c>
      <c r="E2076" s="215" t="s">
        <v>2461</v>
      </c>
      <c r="F2076" s="112" t="str">
        <f>IF(ISBLANK(E2076),"",_xlfn.XLOOKUP(E2076,cannabis_log!C:C,cannabis_log!J:J,"",0,))</f>
        <v>TP21121701</v>
      </c>
      <c r="G2076" s="112"/>
      <c r="H2076" s="112" t="str">
        <f>IF(ISBLANK(E2076),"",_xlfn.XLOOKUP(E2076,cannabis_log!C:C,cannabis_log!H:H,"",0,1))</f>
        <v>topical_labelled</v>
      </c>
      <c r="I2076" s="113">
        <f>IF(ISBLANK(E2076),"",_xlfn.XLOOKUP(E2076,cannabis_log!C:C,cannabis_log!K:K,"NOT FOUND",0,1))</f>
        <v>45649</v>
      </c>
      <c r="J2076" s="185">
        <v>-12</v>
      </c>
      <c r="K2076" s="186">
        <f t="shared" si="124"/>
        <v>0</v>
      </c>
      <c r="L2076" s="288">
        <f t="shared" si="123"/>
        <v>-1440</v>
      </c>
      <c r="M2076" s="24"/>
      <c r="N2076" s="112" t="str">
        <f>IF(ISBLANK(E2076),"",_xlfn.XLOOKUP(E2076,cannabis_log!C:C,cannabis_log!T:T,"Not Found",0,))</f>
        <v>net</v>
      </c>
      <c r="O2076" s="180">
        <f>IF(N2076="net",_xlfn.XLOOKUP(E2076,cannabis_log!C:C,cannabis_log!N:N,"NOT FOUND",0,1),IF(N2076="gross",0,""))</f>
        <v>120</v>
      </c>
    </row>
    <row r="2077" spans="1:15">
      <c r="A2077" s="195" t="str">
        <f t="shared" si="122"/>
        <v>outbound</v>
      </c>
      <c r="B2077" s="196">
        <v>45838</v>
      </c>
      <c r="C2077" s="197" t="s">
        <v>1929</v>
      </c>
      <c r="D2077" s="22" t="s">
        <v>3163</v>
      </c>
      <c r="E2077" s="215" t="s">
        <v>3089</v>
      </c>
      <c r="F2077" s="112" t="str">
        <f>IF(ISBLANK(E2077),"",_xlfn.XLOOKUP(E2077,cannabis_log!C:C,cannabis_log!J:J,"",0,))</f>
        <v>EX24111302G05</v>
      </c>
      <c r="G2077" s="112"/>
      <c r="H2077" s="112" t="str">
        <f>IF(ISBLANK(E2077),"",_xlfn.XLOOKUP(E2077,cannabis_log!C:C,cannabis_log!H:H,"",0,1))</f>
        <v>extract_inhaled_labelled</v>
      </c>
      <c r="I2077" s="113">
        <f>IF(ISBLANK(E2077),"",_xlfn.XLOOKUP(E2077,cannabis_log!C:C,cannabis_log!K:K,"NOT FOUND",0,1))</f>
        <v>45707</v>
      </c>
      <c r="J2077" s="185">
        <v>-24</v>
      </c>
      <c r="K2077" s="186">
        <f t="shared" si="124"/>
        <v>0</v>
      </c>
      <c r="L2077" s="288">
        <f t="shared" si="123"/>
        <v>-12</v>
      </c>
      <c r="M2077" s="24"/>
      <c r="N2077" s="112" t="str">
        <f>IF(ISBLANK(E2077),"",_xlfn.XLOOKUP(E2077,cannabis_log!C:C,cannabis_log!T:T,"Not Found",0,))</f>
        <v>net</v>
      </c>
      <c r="O2077" s="180">
        <f>IF(N2077="net",_xlfn.XLOOKUP(E2077,cannabis_log!C:C,cannabis_log!N:N,"NOT FOUND",0,1),IF(N2077="gross",0,""))</f>
        <v>0.5</v>
      </c>
    </row>
    <row r="2078" spans="1:15">
      <c r="A2078" s="195" t="str">
        <f t="shared" si="122"/>
        <v>outbound</v>
      </c>
      <c r="B2078" s="196">
        <v>45838</v>
      </c>
      <c r="C2078" s="197" t="s">
        <v>1929</v>
      </c>
      <c r="D2078" s="22" t="s">
        <v>3163</v>
      </c>
      <c r="E2078" s="215" t="s">
        <v>3062</v>
      </c>
      <c r="F2078" s="112" t="str">
        <f>IF(ISBLANK(E2078),"",_xlfn.XLOOKUP(E2078,cannabis_log!C:C,cannabis_log!J:J,"",0,))</f>
        <v>EX24111306G05</v>
      </c>
      <c r="G2078" s="112"/>
      <c r="H2078" s="112" t="str">
        <f>IF(ISBLANK(E2078),"",_xlfn.XLOOKUP(E2078,cannabis_log!C:C,cannabis_log!H:H,"",0,1))</f>
        <v>extract_inhaled_cased_SK_RTV</v>
      </c>
      <c r="I2078" s="113">
        <f>IF(ISBLANK(E2078),"",_xlfn.XLOOKUP(E2078,cannabis_log!C:C,cannabis_log!K:K,"NOT FOUND",0,1))</f>
        <v>45623</v>
      </c>
      <c r="J2078" s="185">
        <v>-1</v>
      </c>
      <c r="K2078" s="186">
        <f t="shared" si="124"/>
        <v>0</v>
      </c>
      <c r="L2078" s="288">
        <f t="shared" si="123"/>
        <v>-6</v>
      </c>
      <c r="M2078" s="24"/>
      <c r="N2078" s="112" t="str">
        <f>IF(ISBLANK(E2078),"",_xlfn.XLOOKUP(E2078,cannabis_log!C:C,cannabis_log!T:T,"Not Found",0,))</f>
        <v>net</v>
      </c>
      <c r="O2078" s="180">
        <f>IF(N2078="net",_xlfn.XLOOKUP(E2078,cannabis_log!C:C,cannabis_log!N:N,"NOT FOUND",0,1),IF(N2078="gross",0,""))</f>
        <v>6</v>
      </c>
    </row>
    <row r="2079" spans="1:15">
      <c r="A2079" s="195" t="str">
        <f t="shared" si="122"/>
        <v>outbound</v>
      </c>
      <c r="B2079" s="196">
        <v>45838</v>
      </c>
      <c r="C2079" s="197" t="s">
        <v>1929</v>
      </c>
      <c r="D2079" s="22" t="s">
        <v>3163</v>
      </c>
      <c r="E2079" s="215" t="s">
        <v>2605</v>
      </c>
      <c r="F2079" s="112" t="str">
        <f>IF(ISBLANK(E2079),"",_xlfn.XLOOKUP(E2079,cannabis_log!C:C,cannabis_log!J:J,"",0,))</f>
        <v>PR2407F5P3</v>
      </c>
      <c r="G2079" s="112"/>
      <c r="H2079" s="112" t="str">
        <f>IF(ISBLANK(E2079),"",_xlfn.XLOOKUP(E2079,cannabis_log!C:C,cannabis_log!H:H,"",0,1))</f>
        <v>preroll_labelled</v>
      </c>
      <c r="I2079" s="113">
        <f>IF(ISBLANK(E2079),"",_xlfn.XLOOKUP(E2079,cannabis_log!C:C,cannabis_log!K:K,"NOT FOUND",0,1))</f>
        <v>45447</v>
      </c>
      <c r="J2079" s="185">
        <v>-12</v>
      </c>
      <c r="K2079" s="186">
        <f t="shared" si="124"/>
        <v>0</v>
      </c>
      <c r="L2079" s="288">
        <f t="shared" si="123"/>
        <v>-18</v>
      </c>
      <c r="M2079" s="24"/>
      <c r="N2079" s="112" t="str">
        <f>IF(ISBLANK(E2079),"",_xlfn.XLOOKUP(E2079,cannabis_log!C:C,cannabis_log!T:T,"Not Found",0,))</f>
        <v>net</v>
      </c>
      <c r="O2079" s="180">
        <f>IF(N2079="net",_xlfn.XLOOKUP(E2079,cannabis_log!C:C,cannabis_log!N:N,"NOT FOUND",0,1),IF(N2079="gross",0,""))</f>
        <v>1.5</v>
      </c>
    </row>
    <row r="2080" spans="1:15">
      <c r="A2080" s="195" t="str">
        <f t="shared" si="122"/>
        <v>outbound</v>
      </c>
      <c r="B2080" s="196">
        <v>45838</v>
      </c>
      <c r="C2080" s="197" t="s">
        <v>1929</v>
      </c>
      <c r="D2080" s="22" t="s">
        <v>3163</v>
      </c>
      <c r="E2080" s="215" t="s">
        <v>2065</v>
      </c>
      <c r="F2080" s="112" t="str">
        <f>IF(ISBLANK(E2080),"",_xlfn.XLOOKUP(E2080,cannabis_log!C:C,cannabis_log!J:J,"",0,))</f>
        <v>PR2301F5P3</v>
      </c>
      <c r="G2080" s="112"/>
      <c r="H2080" s="112" t="str">
        <f>IF(ISBLANK(E2080),"",_xlfn.XLOOKUP(E2080,cannabis_log!C:C,cannabis_log!H:H,"",0,1))</f>
        <v>preroll_labelled</v>
      </c>
      <c r="I2080" s="113">
        <f>IF(ISBLANK(E2080),"",_xlfn.XLOOKUP(E2080,cannabis_log!C:C,cannabis_log!K:K,"NOT FOUND",0,1))</f>
        <v>45457</v>
      </c>
      <c r="J2080" s="185">
        <v>-20</v>
      </c>
      <c r="K2080" s="186">
        <f t="shared" si="124"/>
        <v>0</v>
      </c>
      <c r="L2080" s="288">
        <f t="shared" si="123"/>
        <v>-30</v>
      </c>
      <c r="M2080" s="24"/>
      <c r="N2080" s="112" t="str">
        <f>IF(ISBLANK(E2080),"",_xlfn.XLOOKUP(E2080,cannabis_log!C:C,cannabis_log!T:T,"Not Found",0,))</f>
        <v>net</v>
      </c>
      <c r="O2080" s="180">
        <f>IF(N2080="net",_xlfn.XLOOKUP(E2080,cannabis_log!C:C,cannabis_log!N:N,"NOT FOUND",0,1),IF(N2080="gross",0,""))</f>
        <v>1.5</v>
      </c>
    </row>
    <row r="2081" spans="1:15">
      <c r="A2081" s="195" t="str">
        <f t="shared" si="122"/>
        <v>outbound</v>
      </c>
      <c r="B2081" s="196">
        <v>45838</v>
      </c>
      <c r="C2081" s="197" t="s">
        <v>1929</v>
      </c>
      <c r="D2081" s="22" t="s">
        <v>3163</v>
      </c>
      <c r="E2081" s="215" t="s">
        <v>2346</v>
      </c>
      <c r="F2081" s="112" t="str">
        <f>IF(ISBLANK(E2081),"",_xlfn.XLOOKUP(E2081,cannabis_log!C:C,cannabis_log!J:J,"",0,))</f>
        <v>PR21071201G5</v>
      </c>
      <c r="G2081" s="112"/>
      <c r="H2081" s="112" t="str">
        <f>IF(ISBLANK(E2081),"",_xlfn.XLOOKUP(E2081,cannabis_log!C:C,cannabis_log!H:H,"",0,1))</f>
        <v>preroll_labelled</v>
      </c>
      <c r="I2081" s="113">
        <f>IF(ISBLANK(E2081),"",_xlfn.XLOOKUP(E2081,cannabis_log!C:C,cannabis_log!K:K,"NOT FOUND",0,1))</f>
        <v>45051</v>
      </c>
      <c r="J2081" s="185">
        <v>-2</v>
      </c>
      <c r="K2081" s="186">
        <f t="shared" si="124"/>
        <v>0</v>
      </c>
      <c r="L2081" s="288">
        <f t="shared" si="123"/>
        <v>-2</v>
      </c>
      <c r="M2081" s="24"/>
      <c r="N2081" s="112" t="str">
        <f>IF(ISBLANK(E2081),"",_xlfn.XLOOKUP(E2081,cannabis_log!C:C,cannabis_log!T:T,"Not Found",0,))</f>
        <v>net</v>
      </c>
      <c r="O2081" s="180">
        <f>IF(N2081="net",_xlfn.XLOOKUP(E2081,cannabis_log!C:C,cannabis_log!N:N,"NOT FOUND",0,1),IF(N2081="gross",0,""))</f>
        <v>1</v>
      </c>
    </row>
    <row r="2082" spans="1:15">
      <c r="A2082" s="195" t="str">
        <f t="shared" si="122"/>
        <v>outbound</v>
      </c>
      <c r="B2082" s="196">
        <v>45838</v>
      </c>
      <c r="C2082" s="197" t="s">
        <v>1929</v>
      </c>
      <c r="D2082" s="22" t="s">
        <v>3163</v>
      </c>
      <c r="E2082" s="215" t="s">
        <v>3086</v>
      </c>
      <c r="F2082" s="112" t="str">
        <f>IF(ISBLANK(E2082),"",_xlfn.XLOOKUP(E2082,cannabis_log!C:C,cannabis_log!J:J,"",0,))</f>
        <v>PR2301F5P3</v>
      </c>
      <c r="G2082" s="112"/>
      <c r="H2082" s="112" t="str">
        <f>IF(ISBLANK(E2082),"",_xlfn.XLOOKUP(E2082,cannabis_log!C:C,cannabis_log!H:H,"",0,1))</f>
        <v>preroll_labelled</v>
      </c>
      <c r="I2082" s="113">
        <f>IF(ISBLANK(E2082),"",_xlfn.XLOOKUP(E2082,cannabis_log!C:C,cannabis_log!K:K,"NOT FOUND",0,1))</f>
        <v>45742</v>
      </c>
      <c r="J2082" s="185">
        <v>-2</v>
      </c>
      <c r="K2082" s="186">
        <f t="shared" si="124"/>
        <v>0</v>
      </c>
      <c r="L2082" s="288">
        <f t="shared" si="123"/>
        <v>-3</v>
      </c>
      <c r="M2082" s="24"/>
      <c r="N2082" s="112" t="str">
        <f>IF(ISBLANK(E2082),"",_xlfn.XLOOKUP(E2082,cannabis_log!C:C,cannabis_log!T:T,"Not Found",0,))</f>
        <v>net</v>
      </c>
      <c r="O2082" s="180">
        <f>IF(N2082="net",_xlfn.XLOOKUP(E2082,cannabis_log!C:C,cannabis_log!N:N,"NOT FOUND",0,1),IF(N2082="gross",0,""))</f>
        <v>1.5</v>
      </c>
    </row>
    <row r="2083" spans="1:15">
      <c r="A2083" s="195" t="str">
        <f t="shared" si="122"/>
        <v>outbound</v>
      </c>
      <c r="B2083" s="196">
        <v>45838</v>
      </c>
      <c r="C2083" s="197" t="s">
        <v>1929</v>
      </c>
      <c r="D2083" s="22" t="s">
        <v>3163</v>
      </c>
      <c r="E2083" s="215" t="s">
        <v>3166</v>
      </c>
      <c r="F2083" s="112" t="str">
        <f>IF(ISBLANK(E2083),"",_xlfn.XLOOKUP(E2083,cannabis_log!C:C,cannabis_log!J:J,"",0,))</f>
        <v>PR2406F5P3</v>
      </c>
      <c r="G2083" s="112"/>
      <c r="H2083" s="112" t="str">
        <f>IF(ISBLANK(E2083),"",_xlfn.XLOOKUP(E2083,cannabis_log!C:C,cannabis_log!H:H,"",0,1))</f>
        <v>preroll_labelled</v>
      </c>
      <c r="I2083" s="113">
        <f>IF(ISBLANK(E2083),"",_xlfn.XLOOKUP(E2083,cannabis_log!C:C,cannabis_log!K:K,"NOT FOUND",0,1))</f>
        <v>45742</v>
      </c>
      <c r="J2083" s="185">
        <v>-24</v>
      </c>
      <c r="K2083" s="186">
        <f t="shared" si="124"/>
        <v>0</v>
      </c>
      <c r="L2083" s="288">
        <f t="shared" si="123"/>
        <v>-36</v>
      </c>
      <c r="M2083" s="24"/>
      <c r="N2083" s="112" t="str">
        <f>IF(ISBLANK(E2083),"",_xlfn.XLOOKUP(E2083,cannabis_log!C:C,cannabis_log!T:T,"Not Found",0,))</f>
        <v>net</v>
      </c>
      <c r="O2083" s="180">
        <f>IF(N2083="net",_xlfn.XLOOKUP(E2083,cannabis_log!C:C,cannabis_log!N:N,"NOT FOUND",0,1),IF(N2083="gross",0,""))</f>
        <v>1.5</v>
      </c>
    </row>
    <row r="2084" spans="1:15">
      <c r="A2084" s="195" t="str">
        <f t="shared" si="122"/>
        <v>outbound</v>
      </c>
      <c r="B2084" s="196">
        <v>45838</v>
      </c>
      <c r="C2084" s="197" t="s">
        <v>1929</v>
      </c>
      <c r="D2084" s="22" t="s">
        <v>3163</v>
      </c>
      <c r="E2084" s="215" t="s">
        <v>3167</v>
      </c>
      <c r="F2084" s="112" t="str">
        <f>IF(ISBLANK(E2084),"",_xlfn.XLOOKUP(E2084,cannabis_log!C:C,cannabis_log!J:J,"",0,))</f>
        <v>PR21071201G1</v>
      </c>
      <c r="G2084" s="112"/>
      <c r="H2084" s="112" t="str">
        <f>IF(ISBLANK(E2084),"",_xlfn.XLOOKUP(E2084,cannabis_log!C:C,cannabis_log!H:H,"",0,1))</f>
        <v>preroll_packaged</v>
      </c>
      <c r="I2084" s="113">
        <f>IF(ISBLANK(E2084),"",_xlfn.XLOOKUP(E2084,cannabis_log!C:C,cannabis_log!K:K,"NOT FOUND",0,1))</f>
        <v>45735</v>
      </c>
      <c r="J2084" s="185">
        <v>-24</v>
      </c>
      <c r="K2084" s="186">
        <f t="shared" si="124"/>
        <v>0</v>
      </c>
      <c r="L2084" s="288">
        <f t="shared" si="123"/>
        <v>-24</v>
      </c>
      <c r="M2084" s="24"/>
      <c r="N2084" s="112" t="str">
        <f>IF(ISBLANK(E2084),"",_xlfn.XLOOKUP(E2084,cannabis_log!C:C,cannabis_log!T:T,"Not Found",0,))</f>
        <v>net</v>
      </c>
      <c r="O2084" s="180">
        <f>IF(N2084="net",_xlfn.XLOOKUP(E2084,cannabis_log!C:C,cannabis_log!N:N,"NOT FOUND",0,1),IF(N2084="gross",0,""))</f>
        <v>1</v>
      </c>
    </row>
    <row r="2085" spans="1:15">
      <c r="A2085" s="195" t="str">
        <f t="shared" si="122"/>
        <v>outbound</v>
      </c>
      <c r="B2085" s="196">
        <v>45840.458333333336</v>
      </c>
      <c r="C2085" s="197" t="s">
        <v>1929</v>
      </c>
      <c r="D2085" s="197" t="s">
        <v>3168</v>
      </c>
      <c r="E2085" s="215" t="s">
        <v>3154</v>
      </c>
      <c r="F2085" s="112" t="str">
        <f>IF(ISBLANK(E2085),"",_xlfn.XLOOKUP(E2085,cannabis_log!C:C,cannabis_log!J:J,"",0,))</f>
        <v>PR251705F5P3</v>
      </c>
      <c r="G2085" s="112"/>
      <c r="H2085" s="112" t="str">
        <f>IF(ISBLANK(E2085),"",_xlfn.XLOOKUP(E2085,cannabis_log!C:C,cannabis_log!H:H,"",0,1))</f>
        <v>preroll_labelled</v>
      </c>
      <c r="I2085" s="113">
        <f>IF(ISBLANK(E2085),"",_xlfn.XLOOKUP(E2085,cannabis_log!C:C,cannabis_log!K:K,"NOT FOUND",0,1))</f>
        <v>45804</v>
      </c>
      <c r="J2085" s="185">
        <v>-12</v>
      </c>
      <c r="K2085" s="186">
        <v>0</v>
      </c>
      <c r="L2085" s="288">
        <f t="shared" si="123"/>
        <v>-18</v>
      </c>
      <c r="M2085" s="24"/>
      <c r="N2085" s="112" t="str">
        <f>IF(ISBLANK(E2085),"",_xlfn.XLOOKUP(E2085,cannabis_log!C:C,cannabis_log!T:T,"Not Found",0,))</f>
        <v>net</v>
      </c>
      <c r="O2085" s="180">
        <f>IF(N2085="net",_xlfn.XLOOKUP(E2085,cannabis_log!C:C,cannabis_log!N:N,"NOT FOUND",0,1),IF(N2085="gross",0,""))</f>
        <v>1.5</v>
      </c>
    </row>
    <row r="2086" spans="1:15">
      <c r="A2086" s="195" t="str">
        <f t="shared" si="122"/>
        <v>outbound</v>
      </c>
      <c r="B2086" s="196">
        <v>45840.609722222223</v>
      </c>
      <c r="C2086" s="197" t="s">
        <v>1921</v>
      </c>
      <c r="D2086" s="22" t="s">
        <v>3169</v>
      </c>
      <c r="E2086" s="215" t="s">
        <v>3170</v>
      </c>
      <c r="F2086" s="112">
        <f>IF(ISBLANK(E2086),"",_xlfn.XLOOKUP(E2086,cannabis_log!C:C,cannabis_log!J:J,"",0,))</f>
        <v>2025062602</v>
      </c>
      <c r="G2086" s="112"/>
      <c r="H2086" s="112" t="str">
        <f>IF(ISBLANK(E2086),"",_xlfn.XLOOKUP(E2086,cannabis_log!C:C,cannabis_log!H:H,"",0,1))</f>
        <v>driedflower_bulk_Rohan</v>
      </c>
      <c r="I2086" s="113" t="str">
        <f>IF(ISBLANK(E2086),"",_xlfn.XLOOKUP(E2086,cannabis_log!C:C,cannabis_log!K:K,"NOT FOUND",0,1))</f>
        <v>NA</v>
      </c>
      <c r="J2086" s="185">
        <v>0</v>
      </c>
      <c r="K2086" s="186">
        <v>-56</v>
      </c>
      <c r="L2086" s="288">
        <f t="shared" si="123"/>
        <v>0</v>
      </c>
      <c r="M2086" s="24"/>
      <c r="N2086" s="112" t="str">
        <f>IF(ISBLANK(E2086),"",_xlfn.XLOOKUP(E2086,cannabis_log!C:C,cannabis_log!T:T,"Not Found",0,))</f>
        <v>gross</v>
      </c>
      <c r="O2086" s="180">
        <f>IF(N2086="net",_xlfn.XLOOKUP(E2086,cannabis_log!C:C,cannabis_log!N:N,"NOT FOUND",0,1),IF(N2086="gross",0,""))</f>
        <v>0</v>
      </c>
    </row>
    <row r="2087" spans="1:15">
      <c r="A2087" s="195" t="str">
        <f t="shared" si="122"/>
        <v>outbound</v>
      </c>
      <c r="B2087" s="196">
        <v>45840.609722222223</v>
      </c>
      <c r="C2087" s="197" t="s">
        <v>1921</v>
      </c>
      <c r="D2087" s="22" t="s">
        <v>3169</v>
      </c>
      <c r="E2087" s="215" t="s">
        <v>3170</v>
      </c>
      <c r="F2087" s="112">
        <f>IF(ISBLANK(E2087),"",_xlfn.XLOOKUP(E2087,cannabis_log!C:C,cannabis_log!J:J,"",0,))</f>
        <v>2025062602</v>
      </c>
      <c r="G2087" s="112"/>
      <c r="H2087" s="112" t="str">
        <f>IF(ISBLANK(E2087),"",_xlfn.XLOOKUP(E2087,cannabis_log!C:C,cannabis_log!H:H,"",0,1))</f>
        <v>driedflower_bulk_Rohan</v>
      </c>
      <c r="I2087" s="113" t="str">
        <f>IF(ISBLANK(E2087),"",_xlfn.XLOOKUP(E2087,cannabis_log!C:C,cannabis_log!K:K,"NOT FOUND",0,1))</f>
        <v>NA</v>
      </c>
      <c r="J2087" s="185">
        <v>-1</v>
      </c>
      <c r="K2087" s="186">
        <v>-972</v>
      </c>
      <c r="L2087" s="288">
        <f t="shared" si="123"/>
        <v>0</v>
      </c>
      <c r="M2087" s="24"/>
      <c r="N2087" s="112" t="str">
        <f>IF(ISBLANK(E2087),"",_xlfn.XLOOKUP(E2087,cannabis_log!C:C,cannabis_log!T:T,"Not Found",0,))</f>
        <v>gross</v>
      </c>
      <c r="O2087" s="180">
        <f>IF(N2087="net",_xlfn.XLOOKUP(E2087,cannabis_log!C:C,cannabis_log!N:N,"NOT FOUND",0,1),IF(N2087="gross",0,""))</f>
        <v>0</v>
      </c>
    </row>
    <row r="2088" spans="1:15">
      <c r="A2088" s="195" t="str">
        <f t="shared" si="122"/>
        <v>outbound</v>
      </c>
      <c r="B2088" s="196">
        <v>45840.609722222223</v>
      </c>
      <c r="C2088" s="197" t="s">
        <v>1921</v>
      </c>
      <c r="D2088" s="22" t="s">
        <v>3169</v>
      </c>
      <c r="E2088" s="215" t="s">
        <v>3171</v>
      </c>
      <c r="F2088" s="112">
        <f>IF(ISBLANK(E2088),"",_xlfn.XLOOKUP(E2088,cannabis_log!C:C,cannabis_log!J:J,"",0,))</f>
        <v>2025062602</v>
      </c>
      <c r="G2088" s="112"/>
      <c r="H2088" s="112" t="str">
        <f>IF(ISBLANK(E2088),"",_xlfn.XLOOKUP(E2088,cannabis_log!C:C,cannabis_log!H:H,"",0,1))</f>
        <v>driedflower_bulk_Rohan</v>
      </c>
      <c r="I2088" s="113" t="str">
        <f>IF(ISBLANK(E2088),"",_xlfn.XLOOKUP(E2088,cannabis_log!C:C,cannabis_log!K:K,"NOT FOUND",0,1))</f>
        <v>NA</v>
      </c>
      <c r="J2088" s="185">
        <v>-1</v>
      </c>
      <c r="K2088" s="186">
        <v>-1030</v>
      </c>
      <c r="L2088" s="288">
        <f t="shared" si="123"/>
        <v>0</v>
      </c>
      <c r="M2088" s="24"/>
      <c r="N2088" s="112" t="str">
        <f>IF(ISBLANK(E2088),"",_xlfn.XLOOKUP(E2088,cannabis_log!C:C,cannabis_log!T:T,"Not Found",0,))</f>
        <v>gross</v>
      </c>
      <c r="O2088" s="180">
        <f>IF(N2088="net",_xlfn.XLOOKUP(E2088,cannabis_log!C:C,cannabis_log!N:N,"NOT FOUND",0,1),IF(N2088="gross",0,""))</f>
        <v>0</v>
      </c>
    </row>
    <row r="2089" spans="1:15">
      <c r="A2089" s="195" t="str">
        <f t="shared" si="122"/>
        <v>outbound</v>
      </c>
      <c r="B2089" s="196">
        <v>45840.609722222223</v>
      </c>
      <c r="C2089" s="197" t="s">
        <v>1921</v>
      </c>
      <c r="D2089" s="22" t="s">
        <v>3169</v>
      </c>
      <c r="E2089" s="215" t="s">
        <v>3172</v>
      </c>
      <c r="F2089" s="112">
        <f>IF(ISBLANK(E2089),"",_xlfn.XLOOKUP(E2089,cannabis_log!C:C,cannabis_log!J:J,"",0,))</f>
        <v>2025062602</v>
      </c>
      <c r="G2089" s="112"/>
      <c r="H2089" s="112" t="str">
        <f>IF(ISBLANK(E2089),"",_xlfn.XLOOKUP(E2089,cannabis_log!C:C,cannabis_log!H:H,"",0,1))</f>
        <v>driedflower_bulk_Rohan</v>
      </c>
      <c r="I2089" s="113" t="str">
        <f>IF(ISBLANK(E2089),"",_xlfn.XLOOKUP(E2089,cannabis_log!C:C,cannabis_log!K:K,"NOT FOUND",0,1))</f>
        <v>NA</v>
      </c>
      <c r="J2089" s="185">
        <v>-1</v>
      </c>
      <c r="K2089" s="186">
        <v>-1028</v>
      </c>
      <c r="L2089" s="288">
        <f t="shared" si="123"/>
        <v>0</v>
      </c>
      <c r="M2089" s="24"/>
      <c r="N2089" s="112" t="str">
        <f>IF(ISBLANK(E2089),"",_xlfn.XLOOKUP(E2089,cannabis_log!C:C,cannabis_log!T:T,"Not Found",0,))</f>
        <v>gross</v>
      </c>
      <c r="O2089" s="180">
        <f>IF(N2089="net",_xlfn.XLOOKUP(E2089,cannabis_log!C:C,cannabis_log!N:N,"NOT FOUND",0,1),IF(N2089="gross",0,""))</f>
        <v>0</v>
      </c>
    </row>
    <row r="2090" spans="1:15">
      <c r="A2090" s="195" t="str">
        <f t="shared" si="122"/>
        <v>outbound</v>
      </c>
      <c r="B2090" s="196">
        <v>45840.609722222223</v>
      </c>
      <c r="C2090" s="197" t="s">
        <v>1921</v>
      </c>
      <c r="D2090" s="22" t="s">
        <v>3169</v>
      </c>
      <c r="E2090" s="215" t="s">
        <v>3173</v>
      </c>
      <c r="F2090" s="112">
        <f>IF(ISBLANK(E2090),"",_xlfn.XLOOKUP(E2090,cannabis_log!C:C,cannabis_log!J:J,"",0,))</f>
        <v>2025062602</v>
      </c>
      <c r="G2090" s="112"/>
      <c r="H2090" s="112" t="str">
        <f>IF(ISBLANK(E2090),"",_xlfn.XLOOKUP(E2090,cannabis_log!C:C,cannabis_log!H:H,"",0,1))</f>
        <v>driedflower_bulk_Rohan</v>
      </c>
      <c r="I2090" s="113" t="str">
        <f>IF(ISBLANK(E2090),"",_xlfn.XLOOKUP(E2090,cannabis_log!C:C,cannabis_log!K:K,"NOT FOUND",0,1))</f>
        <v>NA</v>
      </c>
      <c r="J2090" s="185">
        <v>-1</v>
      </c>
      <c r="K2090" s="186">
        <v>-1028</v>
      </c>
      <c r="L2090" s="288">
        <f t="shared" si="123"/>
        <v>0</v>
      </c>
      <c r="M2090" s="24"/>
      <c r="N2090" s="112" t="str">
        <f>IF(ISBLANK(E2090),"",_xlfn.XLOOKUP(E2090,cannabis_log!C:C,cannabis_log!T:T,"Not Found",0,))</f>
        <v>gross</v>
      </c>
      <c r="O2090" s="180">
        <f>IF(N2090="net",_xlfn.XLOOKUP(E2090,cannabis_log!C:C,cannabis_log!N:N,"NOT FOUND",0,1),IF(N2090="gross",0,""))</f>
        <v>0</v>
      </c>
    </row>
    <row r="2091" spans="1:15">
      <c r="A2091" s="195" t="str">
        <f t="shared" si="122"/>
        <v>outbound</v>
      </c>
      <c r="B2091" s="196">
        <v>45840.609722222223</v>
      </c>
      <c r="C2091" s="197" t="s">
        <v>1921</v>
      </c>
      <c r="D2091" s="22" t="s">
        <v>3169</v>
      </c>
      <c r="E2091" s="215" t="s">
        <v>3174</v>
      </c>
      <c r="F2091" s="112">
        <f>IF(ISBLANK(E2091),"",_xlfn.XLOOKUP(E2091,cannabis_log!C:C,cannabis_log!J:J,"",0,))</f>
        <v>2025050501</v>
      </c>
      <c r="G2091" s="112"/>
      <c r="H2091" s="112" t="str">
        <f>IF(ISBLANK(E2091),"",_xlfn.XLOOKUP(E2091,cannabis_log!C:C,cannabis_log!H:H,"",0,1))</f>
        <v>driedflower_bulk_Rohan</v>
      </c>
      <c r="I2091" s="113" t="str">
        <f>IF(ISBLANK(E2091),"",_xlfn.XLOOKUP(E2091,cannabis_log!C:C,cannabis_log!K:K,"NOT FOUND",0,1))</f>
        <v>NA</v>
      </c>
      <c r="J2091" s="185">
        <v>-1</v>
      </c>
      <c r="K2091" s="186">
        <v>-1028</v>
      </c>
      <c r="L2091" s="288">
        <f t="shared" si="123"/>
        <v>0</v>
      </c>
      <c r="M2091" s="24"/>
      <c r="N2091" s="112" t="str">
        <f>IF(ISBLANK(E2091),"",_xlfn.XLOOKUP(E2091,cannabis_log!C:C,cannabis_log!T:T,"Not Found",0,))</f>
        <v>gross</v>
      </c>
      <c r="O2091" s="180">
        <f>IF(N2091="net",_xlfn.XLOOKUP(E2091,cannabis_log!C:C,cannabis_log!N:N,"NOT FOUND",0,1),IF(N2091="gross",0,""))</f>
        <v>0</v>
      </c>
    </row>
    <row r="2092" spans="1:15">
      <c r="A2092" s="195" t="str">
        <f t="shared" si="122"/>
        <v>outbound</v>
      </c>
      <c r="B2092" s="196">
        <v>45840.609722222223</v>
      </c>
      <c r="C2092" s="197" t="s">
        <v>1921</v>
      </c>
      <c r="D2092" s="22" t="s">
        <v>3169</v>
      </c>
      <c r="E2092" s="215" t="s">
        <v>3175</v>
      </c>
      <c r="F2092" s="112">
        <f>IF(ISBLANK(E2092),"",_xlfn.XLOOKUP(E2092,cannabis_log!C:C,cannabis_log!J:J,"",0,))</f>
        <v>2025062602</v>
      </c>
      <c r="G2092" s="112"/>
      <c r="H2092" s="112" t="str">
        <f>IF(ISBLANK(E2092),"",_xlfn.XLOOKUP(E2092,cannabis_log!C:C,cannabis_log!H:H,"",0,1))</f>
        <v>driedflower_bulk_Rohan</v>
      </c>
      <c r="I2092" s="113" t="str">
        <f>IF(ISBLANK(E2092),"",_xlfn.XLOOKUP(E2092,cannabis_log!C:C,cannabis_log!K:K,"NOT FOUND",0,1))</f>
        <v>NA</v>
      </c>
      <c r="J2092" s="185">
        <v>-1</v>
      </c>
      <c r="K2092" s="186">
        <v>-1032</v>
      </c>
      <c r="L2092" s="288">
        <f t="shared" si="123"/>
        <v>0</v>
      </c>
      <c r="M2092" s="24"/>
      <c r="N2092" s="112" t="str">
        <f>IF(ISBLANK(E2092),"",_xlfn.XLOOKUP(E2092,cannabis_log!C:C,cannabis_log!T:T,"Not Found",0,))</f>
        <v>gross</v>
      </c>
      <c r="O2092" s="180">
        <f>IF(N2092="net",_xlfn.XLOOKUP(E2092,cannabis_log!C:C,cannabis_log!N:N,"NOT FOUND",0,1),IF(N2092="gross",0,""))</f>
        <v>0</v>
      </c>
    </row>
    <row r="2093" spans="1:15">
      <c r="A2093" s="195" t="str">
        <f t="shared" si="122"/>
        <v>outbound</v>
      </c>
      <c r="B2093" s="196">
        <v>45840.609722222223</v>
      </c>
      <c r="C2093" s="197" t="s">
        <v>1921</v>
      </c>
      <c r="D2093" s="22" t="s">
        <v>3169</v>
      </c>
      <c r="E2093" s="215" t="s">
        <v>3176</v>
      </c>
      <c r="F2093" s="112">
        <f>IF(ISBLANK(E2093),"",_xlfn.XLOOKUP(E2093,cannabis_log!C:C,cannabis_log!J:J,"",0,))</f>
        <v>2025062602</v>
      </c>
      <c r="G2093" s="112"/>
      <c r="H2093" s="112" t="str">
        <f>IF(ISBLANK(E2093),"",_xlfn.XLOOKUP(E2093,cannabis_log!C:C,cannabis_log!H:H,"",0,1))</f>
        <v>driedflower_bulk_Rohan</v>
      </c>
      <c r="I2093" s="113" t="str">
        <f>IF(ISBLANK(E2093),"",_xlfn.XLOOKUP(E2093,cannabis_log!C:C,cannabis_log!K:K,"NOT FOUND",0,1))</f>
        <v>NA</v>
      </c>
      <c r="J2093" s="185">
        <v>-1</v>
      </c>
      <c r="K2093" s="186">
        <v>-9060</v>
      </c>
      <c r="L2093" s="288">
        <f t="shared" si="123"/>
        <v>0</v>
      </c>
      <c r="M2093" s="24"/>
      <c r="N2093" s="112" t="str">
        <f>IF(ISBLANK(E2093),"",_xlfn.XLOOKUP(E2093,cannabis_log!C:C,cannabis_log!T:T,"Not Found",0,))</f>
        <v>gross</v>
      </c>
      <c r="O2093" s="180">
        <f>IF(N2093="net",_xlfn.XLOOKUP(E2093,cannabis_log!C:C,cannabis_log!N:N,"NOT FOUND",0,1),IF(N2093="gross",0,""))</f>
        <v>0</v>
      </c>
    </row>
    <row r="2094" spans="1:15">
      <c r="A2094" s="195" t="str">
        <f t="shared" si="122"/>
        <v>outbound</v>
      </c>
      <c r="B2094" s="196">
        <v>45840.609722222223</v>
      </c>
      <c r="C2094" s="197" t="s">
        <v>1921</v>
      </c>
      <c r="D2094" s="22" t="s">
        <v>3169</v>
      </c>
      <c r="E2094" s="215" t="s">
        <v>3177</v>
      </c>
      <c r="F2094" s="112">
        <f>IF(ISBLANK(E2094),"",_xlfn.XLOOKUP(E2094,cannabis_log!C:C,cannabis_log!J:J,"",0,))</f>
        <v>2025050501</v>
      </c>
      <c r="G2094" s="112"/>
      <c r="H2094" s="112" t="str">
        <f>IF(ISBLANK(E2094),"",_xlfn.XLOOKUP(E2094,cannabis_log!C:C,cannabis_log!H:H,"",0,1))</f>
        <v>driedflower_bulk_Rohan</v>
      </c>
      <c r="I2094" s="113" t="str">
        <f>IF(ISBLANK(E2094),"",_xlfn.XLOOKUP(E2094,cannabis_log!C:C,cannabis_log!K:K,"NOT FOUND",0,1))</f>
        <v>NA</v>
      </c>
      <c r="J2094" s="185">
        <v>-1</v>
      </c>
      <c r="K2094" s="186">
        <v>-1032</v>
      </c>
      <c r="L2094" s="288">
        <f t="shared" si="123"/>
        <v>0</v>
      </c>
      <c r="M2094" s="24"/>
      <c r="N2094" s="112" t="str">
        <f>IF(ISBLANK(E2094),"",_xlfn.XLOOKUP(E2094,cannabis_log!C:C,cannabis_log!T:T,"Not Found",0,))</f>
        <v>gross</v>
      </c>
      <c r="O2094" s="180">
        <f>IF(N2094="net",_xlfn.XLOOKUP(E2094,cannabis_log!C:C,cannabis_log!N:N,"NOT FOUND",0,1),IF(N2094="gross",0,""))</f>
        <v>0</v>
      </c>
    </row>
    <row r="2095" spans="1:15">
      <c r="A2095" s="195" t="str">
        <f t="shared" si="122"/>
        <v>outbound</v>
      </c>
      <c r="B2095" s="196">
        <v>45840.609722222223</v>
      </c>
      <c r="C2095" s="197" t="s">
        <v>1921</v>
      </c>
      <c r="D2095" s="22" t="s">
        <v>3169</v>
      </c>
      <c r="E2095" s="215" t="s">
        <v>3178</v>
      </c>
      <c r="F2095" s="112">
        <f>IF(ISBLANK(E2095),"",_xlfn.XLOOKUP(E2095,cannabis_log!C:C,cannabis_log!J:J,"",0,))</f>
        <v>2025050501</v>
      </c>
      <c r="G2095" s="112"/>
      <c r="H2095" s="112" t="str">
        <f>IF(ISBLANK(E2095),"",_xlfn.XLOOKUP(E2095,cannabis_log!C:C,cannabis_log!H:H,"",0,1))</f>
        <v>driedflower_bulk_Rohan</v>
      </c>
      <c r="I2095" s="113" t="str">
        <f>IF(ISBLANK(E2095),"",_xlfn.XLOOKUP(E2095,cannabis_log!C:C,cannabis_log!K:K,"NOT FOUND",0,1))</f>
        <v>NA</v>
      </c>
      <c r="J2095" s="185">
        <v>-1</v>
      </c>
      <c r="K2095" s="186">
        <v>-1032</v>
      </c>
      <c r="L2095" s="288">
        <f t="shared" si="123"/>
        <v>0</v>
      </c>
      <c r="M2095" s="24"/>
      <c r="N2095" s="112" t="str">
        <f>IF(ISBLANK(E2095),"",_xlfn.XLOOKUP(E2095,cannabis_log!C:C,cannabis_log!T:T,"Not Found",0,))</f>
        <v>gross</v>
      </c>
      <c r="O2095" s="180">
        <f>IF(N2095="net",_xlfn.XLOOKUP(E2095,cannabis_log!C:C,cannabis_log!N:N,"NOT FOUND",0,1),IF(N2095="gross",0,""))</f>
        <v>0</v>
      </c>
    </row>
    <row r="2096" spans="1:15">
      <c r="A2096" s="195" t="str">
        <f t="shared" si="122"/>
        <v>outbound</v>
      </c>
      <c r="B2096" s="196">
        <v>45840.609722222223</v>
      </c>
      <c r="C2096" s="197" t="s">
        <v>1921</v>
      </c>
      <c r="D2096" s="22" t="s">
        <v>3169</v>
      </c>
      <c r="E2096" s="215" t="s">
        <v>3179</v>
      </c>
      <c r="F2096" s="112">
        <f>IF(ISBLANK(E2096),"",_xlfn.XLOOKUP(E2096,cannabis_log!C:C,cannabis_log!J:J,"",0,))</f>
        <v>2025050501</v>
      </c>
      <c r="G2096" s="112"/>
      <c r="H2096" s="112" t="str">
        <f>IF(ISBLANK(E2096),"",_xlfn.XLOOKUP(E2096,cannabis_log!C:C,cannabis_log!H:H,"",0,1))</f>
        <v>driedflower_bulk_Rohan</v>
      </c>
      <c r="I2096" s="113" t="str">
        <f>IF(ISBLANK(E2096),"",_xlfn.XLOOKUP(E2096,cannabis_log!C:C,cannabis_log!K:K,"NOT FOUND",0,1))</f>
        <v>NA</v>
      </c>
      <c r="J2096" s="185">
        <v>-1</v>
      </c>
      <c r="K2096" s="186">
        <v>-1032</v>
      </c>
      <c r="L2096" s="288">
        <f t="shared" si="123"/>
        <v>0</v>
      </c>
      <c r="M2096" s="24"/>
      <c r="N2096" s="112" t="str">
        <f>IF(ISBLANK(E2096),"",_xlfn.XLOOKUP(E2096,cannabis_log!C:C,cannabis_log!T:T,"Not Found",0,))</f>
        <v>gross</v>
      </c>
      <c r="O2096" s="180">
        <f>IF(N2096="net",_xlfn.XLOOKUP(E2096,cannabis_log!C:C,cannabis_log!N:N,"NOT FOUND",0,1),IF(N2096="gross",0,""))</f>
        <v>0</v>
      </c>
    </row>
    <row r="2097" spans="1:15">
      <c r="A2097" s="195" t="str">
        <f t="shared" si="122"/>
        <v>outbound</v>
      </c>
      <c r="B2097" s="196">
        <v>45840.609722222223</v>
      </c>
      <c r="C2097" s="197" t="s">
        <v>1921</v>
      </c>
      <c r="D2097" s="22" t="s">
        <v>3169</v>
      </c>
      <c r="E2097" s="215" t="s">
        <v>3180</v>
      </c>
      <c r="F2097" s="112">
        <f>IF(ISBLANK(E2097),"",_xlfn.XLOOKUP(E2097,cannabis_log!C:C,cannabis_log!J:J,"",0,))</f>
        <v>2025050501</v>
      </c>
      <c r="G2097" s="112"/>
      <c r="H2097" s="112" t="str">
        <f>IF(ISBLANK(E2097),"",_xlfn.XLOOKUP(E2097,cannabis_log!C:C,cannabis_log!H:H,"",0,1))</f>
        <v>driedflower_bulk_Rohan</v>
      </c>
      <c r="I2097" s="113" t="str">
        <f>IF(ISBLANK(E2097),"",_xlfn.XLOOKUP(E2097,cannabis_log!C:C,cannabis_log!K:K,"NOT FOUND",0,1))</f>
        <v>NA</v>
      </c>
      <c r="J2097" s="185">
        <v>-1</v>
      </c>
      <c r="K2097" s="186">
        <v>-1032</v>
      </c>
      <c r="L2097" s="288">
        <f t="shared" si="123"/>
        <v>0</v>
      </c>
      <c r="M2097" s="24"/>
      <c r="N2097" s="112" t="str">
        <f>IF(ISBLANK(E2097),"",_xlfn.XLOOKUP(E2097,cannabis_log!C:C,cannabis_log!T:T,"Not Found",0,))</f>
        <v>gross</v>
      </c>
      <c r="O2097" s="180">
        <f>IF(N2097="net",_xlfn.XLOOKUP(E2097,cannabis_log!C:C,cannabis_log!N:N,"NOT FOUND",0,1),IF(N2097="gross",0,""))</f>
        <v>0</v>
      </c>
    </row>
    <row r="2098" spans="1:15">
      <c r="A2098" s="195" t="str">
        <f t="shared" si="122"/>
        <v>outbound</v>
      </c>
      <c r="B2098" s="196">
        <v>45840.609722222223</v>
      </c>
      <c r="C2098" s="197" t="s">
        <v>1921</v>
      </c>
      <c r="D2098" s="22" t="s">
        <v>3169</v>
      </c>
      <c r="E2098" s="215" t="s">
        <v>3181</v>
      </c>
      <c r="F2098" s="112">
        <f>IF(ISBLANK(E2098),"",_xlfn.XLOOKUP(E2098,cannabis_log!C:C,cannabis_log!J:J,"",0,))</f>
        <v>2025050501</v>
      </c>
      <c r="G2098" s="112"/>
      <c r="H2098" s="112" t="str">
        <f>IF(ISBLANK(E2098),"",_xlfn.XLOOKUP(E2098,cannabis_log!C:C,cannabis_log!H:H,"",0,1))</f>
        <v>driedflower_bulk_Rohan</v>
      </c>
      <c r="I2098" s="113" t="str">
        <f>IF(ISBLANK(E2098),"",_xlfn.XLOOKUP(E2098,cannabis_log!C:C,cannabis_log!K:K,"NOT FOUND",0,1))</f>
        <v>NA</v>
      </c>
      <c r="J2098" s="185">
        <v>-1</v>
      </c>
      <c r="K2098" s="186">
        <v>-3074</v>
      </c>
      <c r="L2098" s="288">
        <f t="shared" si="123"/>
        <v>0</v>
      </c>
      <c r="M2098" s="24"/>
      <c r="N2098" s="112" t="str">
        <f>IF(ISBLANK(E2098),"",_xlfn.XLOOKUP(E2098,cannabis_log!C:C,cannabis_log!T:T,"Not Found",0,))</f>
        <v>gross</v>
      </c>
      <c r="O2098" s="180">
        <f>IF(N2098="net",_xlfn.XLOOKUP(E2098,cannabis_log!C:C,cannabis_log!N:N,"NOT FOUND",0,1),IF(N2098="gross",0,""))</f>
        <v>0</v>
      </c>
    </row>
    <row r="2099" spans="1:15">
      <c r="A2099" s="195" t="str">
        <f t="shared" si="122"/>
        <v>outbound</v>
      </c>
      <c r="B2099" s="196">
        <v>45841</v>
      </c>
      <c r="C2099" s="197" t="s">
        <v>1921</v>
      </c>
      <c r="D2099" s="197" t="s">
        <v>3182</v>
      </c>
      <c r="E2099" s="215" t="s">
        <v>3038</v>
      </c>
      <c r="F2099" s="112" t="str">
        <f>IF(ISBLANK(E2099),"",_xlfn.XLOOKUP(E2099,cannabis_log!C:C,cannabis_log!J:J,"",0,))</f>
        <v>EX25050501V50</v>
      </c>
      <c r="G2099" s="112"/>
      <c r="H2099" s="112" t="str">
        <f>IF(ISBLANK(E2099),"",_xlfn.XLOOKUP(E2099,cannabis_log!C:C,cannabis_log!H:H,"",0,1))</f>
        <v>extract_ingested_packaged</v>
      </c>
      <c r="I2099" s="113">
        <f>IF(ISBLANK(E2099),"",_xlfn.XLOOKUP(E2099,cannabis_log!C:C,cannabis_log!K:K,"NOT FOUND",0,1))</f>
        <v>45790</v>
      </c>
      <c r="J2099" s="185">
        <v>-108</v>
      </c>
      <c r="K2099" s="186">
        <f t="shared" ref="K2099:K2105" si="125">IF(N2099="net",0,"")</f>
        <v>0</v>
      </c>
      <c r="L2099" s="288">
        <f t="shared" si="123"/>
        <v>-5400</v>
      </c>
      <c r="M2099" s="24"/>
      <c r="N2099" s="112" t="str">
        <f>IF(ISBLANK(E2099),"",_xlfn.XLOOKUP(E2099,cannabis_log!C:C,cannabis_log!T:T,"Not Found",0,))</f>
        <v>net</v>
      </c>
      <c r="O2099" s="180">
        <f>IF(N2099="net",_xlfn.XLOOKUP(E2099,cannabis_log!C:C,cannabis_log!N:N,"NOT FOUND",0,1),IF(N2099="gross",0,""))</f>
        <v>50</v>
      </c>
    </row>
    <row r="2100" spans="1:15">
      <c r="A2100" s="195" t="str">
        <f t="shared" si="122"/>
        <v>outbound</v>
      </c>
      <c r="B2100" s="196">
        <v>45841</v>
      </c>
      <c r="C2100" s="197" t="s">
        <v>1921</v>
      </c>
      <c r="D2100" s="197" t="s">
        <v>3182</v>
      </c>
      <c r="E2100" s="215" t="s">
        <v>2203</v>
      </c>
      <c r="F2100" s="112" t="str">
        <f>IF(ISBLANK(E2100),"",_xlfn.XLOOKUP(E2100,cannabis_log!C:C,cannabis_log!J:J,"",0,))</f>
        <v>EX24092601V50</v>
      </c>
      <c r="G2100" s="112"/>
      <c r="H2100" s="112" t="str">
        <f>IF(ISBLANK(E2100),"",_xlfn.XLOOKUP(E2100,cannabis_log!C:C,cannabis_log!H:H,"",0,1))</f>
        <v>extract_ingested_labelled</v>
      </c>
      <c r="I2100" s="113">
        <f>IF(ISBLANK(E2100),"",_xlfn.XLOOKUP(E2100,cannabis_log!C:C,cannabis_log!K:K,"NOT FOUND",0,1))</f>
        <v>45576</v>
      </c>
      <c r="J2100" s="185">
        <v>-48</v>
      </c>
      <c r="K2100" s="186">
        <f t="shared" si="125"/>
        <v>0</v>
      </c>
      <c r="L2100" s="288">
        <f t="shared" si="123"/>
        <v>-2400</v>
      </c>
      <c r="M2100" s="24"/>
      <c r="N2100" s="112" t="str">
        <f>IF(ISBLANK(E2100),"",_xlfn.XLOOKUP(E2100,cannabis_log!C:C,cannabis_log!T:T,"Not Found",0,))</f>
        <v>net</v>
      </c>
      <c r="O2100" s="180">
        <f>IF(N2100="net",_xlfn.XLOOKUP(E2100,cannabis_log!C:C,cannabis_log!N:N,"NOT FOUND",0,1),IF(N2100="gross",0,""))</f>
        <v>50</v>
      </c>
    </row>
    <row r="2101" spans="1:15">
      <c r="A2101" s="195" t="str">
        <f t="shared" si="122"/>
        <v>outbound</v>
      </c>
      <c r="B2101" s="196">
        <v>45841</v>
      </c>
      <c r="C2101" s="197" t="s">
        <v>1921</v>
      </c>
      <c r="D2101" s="197" t="s">
        <v>3182</v>
      </c>
      <c r="E2101" s="215" t="s">
        <v>3165</v>
      </c>
      <c r="F2101" s="112" t="str">
        <f>IF(ISBLANK(E2101),"",_xlfn.XLOOKUP(E2101,cannabis_log!C:C,cannabis_log!J:J,"",0,))</f>
        <v>EX25012101V50</v>
      </c>
      <c r="G2101" s="112"/>
      <c r="H2101" s="112" t="str">
        <f>IF(ISBLANK(E2101),"",_xlfn.XLOOKUP(E2101,cannabis_log!C:C,cannabis_log!H:H,"",0,1))</f>
        <v>extract_ingested_labelled</v>
      </c>
      <c r="I2101" s="113">
        <f>IF(ISBLANK(E2101),"",_xlfn.XLOOKUP(E2101,cannabis_log!C:C,cannabis_log!K:K,"NOT FOUND",0,1))</f>
        <v>45700</v>
      </c>
      <c r="J2101" s="185">
        <v>-84</v>
      </c>
      <c r="K2101" s="186">
        <f t="shared" si="125"/>
        <v>0</v>
      </c>
      <c r="L2101" s="288">
        <f t="shared" si="123"/>
        <v>-4200</v>
      </c>
      <c r="M2101" s="24"/>
      <c r="N2101" s="112" t="str">
        <f>IF(ISBLANK(E2101),"",_xlfn.XLOOKUP(E2101,cannabis_log!C:C,cannabis_log!T:T,"Not Found",0,))</f>
        <v>net</v>
      </c>
      <c r="O2101" s="180">
        <f>IF(N2101="net",_xlfn.XLOOKUP(E2101,cannabis_log!C:C,cannabis_log!N:N,"NOT FOUND",0,1),IF(N2101="gross",0,""))</f>
        <v>50</v>
      </c>
    </row>
    <row r="2102" spans="1:15">
      <c r="A2102" s="195" t="str">
        <f t="shared" si="122"/>
        <v>outbound</v>
      </c>
      <c r="B2102" s="196">
        <v>45841</v>
      </c>
      <c r="C2102" s="183" t="s">
        <v>1929</v>
      </c>
      <c r="D2102" s="183" t="s">
        <v>3163</v>
      </c>
      <c r="E2102" s="215" t="s">
        <v>2605</v>
      </c>
      <c r="F2102" s="112" t="str">
        <f>IF(ISBLANK(E2102),"",_xlfn.XLOOKUP(E2102,cannabis_log!C:C,cannabis_log!J:J,"",0,))</f>
        <v>PR2407F5P3</v>
      </c>
      <c r="G2102" s="112"/>
      <c r="H2102" s="112" t="str">
        <f>IF(ISBLANK(E2102),"",_xlfn.XLOOKUP(E2102,cannabis_log!C:C,cannabis_log!H:H,"",0,1))</f>
        <v>preroll_labelled</v>
      </c>
      <c r="I2102" s="113">
        <f>IF(ISBLANK(E2102),"",_xlfn.XLOOKUP(E2102,cannabis_log!C:C,cannabis_log!K:K,"NOT FOUND",0,1))</f>
        <v>45447</v>
      </c>
      <c r="J2102" s="185">
        <v>-12</v>
      </c>
      <c r="K2102" s="186">
        <f t="shared" si="125"/>
        <v>0</v>
      </c>
      <c r="L2102" s="288">
        <f t="shared" si="123"/>
        <v>-18</v>
      </c>
      <c r="M2102" s="24"/>
      <c r="N2102" s="112" t="str">
        <f>IF(ISBLANK(E2102),"",_xlfn.XLOOKUP(E2102,cannabis_log!C:C,cannabis_log!T:T,"Not Found",0,))</f>
        <v>net</v>
      </c>
      <c r="O2102" s="180">
        <f>IF(N2102="net",_xlfn.XLOOKUP(E2102,cannabis_log!C:C,cannabis_log!N:N,"NOT FOUND",0,1),IF(N2102="gross",0,""))</f>
        <v>1.5</v>
      </c>
    </row>
    <row r="2103" spans="1:15">
      <c r="A2103" s="195" t="s">
        <v>3183</v>
      </c>
      <c r="B2103" s="182">
        <v>45841.59375</v>
      </c>
      <c r="C2103" s="183" t="s">
        <v>1929</v>
      </c>
      <c r="D2103" s="183" t="s">
        <v>3184</v>
      </c>
      <c r="E2103" s="215" t="s">
        <v>3013</v>
      </c>
      <c r="F2103" s="112" t="str">
        <f>IF(ISBLANK(E2103),"",_xlfn.XLOOKUP(E2103,cannabis_log!C:C,cannabis_log!J:J,"",0,))</f>
        <v>PR2303IN02F5P3</v>
      </c>
      <c r="G2103" s="112"/>
      <c r="H2103" s="112" t="str">
        <f>IF(ISBLANK(E2103),"",_xlfn.XLOOKUP(E2103,cannabis_log!C:C,cannabis_log!H:H,"",0,1))</f>
        <v>infusedpreroll_cased_AB_RTV</v>
      </c>
      <c r="I2103" s="113">
        <f>IF(ISBLANK(E2103),"",_xlfn.XLOOKUP(E2103,cannabis_log!C:C,cannabis_log!K:K,"NOT FOUND",0,1))</f>
        <v>45478</v>
      </c>
      <c r="J2103" s="185">
        <v>-1</v>
      </c>
      <c r="K2103" s="186">
        <f t="shared" si="125"/>
        <v>0</v>
      </c>
      <c r="L2103" s="288">
        <f t="shared" si="123"/>
        <v>-9</v>
      </c>
      <c r="M2103" s="24"/>
      <c r="N2103" s="112" t="str">
        <f>IF(ISBLANK(E2103),"",_xlfn.XLOOKUP(E2103,cannabis_log!C:C,cannabis_log!T:T,"Not Found",0,))</f>
        <v>net</v>
      </c>
      <c r="O2103" s="180">
        <f>IF(N2103="net",_xlfn.XLOOKUP(E2103,cannabis_log!C:C,cannabis_log!N:N,"NOT FOUND",0,1),IF(N2103="gross",0,""))</f>
        <v>9</v>
      </c>
    </row>
    <row r="2104" spans="1:15">
      <c r="A2104" s="195" t="s">
        <v>3183</v>
      </c>
      <c r="B2104" s="196">
        <v>45841.59375</v>
      </c>
      <c r="C2104" s="197" t="s">
        <v>1929</v>
      </c>
      <c r="D2104" s="183" t="s">
        <v>3184</v>
      </c>
      <c r="E2104" s="215" t="s">
        <v>3012</v>
      </c>
      <c r="F2104" s="112" t="str">
        <f>IF(ISBLANK(E2104),"",_xlfn.XLOOKUP(E2104,cannabis_log!C:C,cannabis_log!J:J,"",0,))</f>
        <v>LR23032101</v>
      </c>
      <c r="G2104" s="112"/>
      <c r="H2104" s="112" t="str">
        <f>IF(ISBLANK(E2104),"",_xlfn.XLOOKUP(E2104,cannabis_log!C:C,cannabis_log!H:H,"",0,1))</f>
        <v>extract_inhaled_labelled</v>
      </c>
      <c r="I2104" s="113">
        <f>IF(ISBLANK(E2104),"",_xlfn.XLOOKUP(E2104,cannabis_log!C:C,cannabis_log!K:K,"NOT FOUND",0,1))</f>
        <v>45793</v>
      </c>
      <c r="J2104" s="185">
        <v>-6</v>
      </c>
      <c r="K2104" s="186">
        <f t="shared" si="125"/>
        <v>0</v>
      </c>
      <c r="L2104" s="288">
        <f t="shared" si="123"/>
        <v>-6</v>
      </c>
      <c r="M2104" s="24"/>
      <c r="N2104" s="112" t="str">
        <f>IF(ISBLANK(E2104),"",_xlfn.XLOOKUP(E2104,cannabis_log!C:C,cannabis_log!T:T,"Not Found",0,))</f>
        <v>net</v>
      </c>
      <c r="O2104" s="180">
        <f>IF(N2104="net",_xlfn.XLOOKUP(E2104,cannabis_log!C:C,cannabis_log!N:N,"NOT FOUND",0,1),IF(N2104="gross",0,""))</f>
        <v>1</v>
      </c>
    </row>
    <row r="2105" spans="1:15">
      <c r="A2105" s="195" t="str">
        <f t="shared" ref="A2105:A2136" si="126">IF(ISBLANK(J2105),"",IF(J2105+K2105+L2105&lt;0,"outbound","inbound"))</f>
        <v>outbound</v>
      </c>
      <c r="B2105" s="196">
        <v>45841.59375</v>
      </c>
      <c r="C2105" s="197" t="s">
        <v>1924</v>
      </c>
      <c r="D2105" s="197"/>
      <c r="E2105" s="215" t="s">
        <v>3185</v>
      </c>
      <c r="F2105" s="112" t="str">
        <f>IF(ISBLANK(E2105),"",_xlfn.XLOOKUP(E2105,cannabis_log!C:C,cannabis_log!J:J,"",0,))</f>
        <v>TP24082901</v>
      </c>
      <c r="G2105" s="112"/>
      <c r="H2105" s="112" t="str">
        <f>IF(ISBLANK(E2105),"",_xlfn.XLOOKUP(E2105,cannabis_log!C:C,cannabis_log!H:H,"",0,1))</f>
        <v>topical_labelled</v>
      </c>
      <c r="I2105" s="113">
        <f>IF(ISBLANK(E2105),"",_xlfn.XLOOKUP(E2105,cannabis_log!C:C,cannabis_log!K:K,"NOT FOUND",0,1))</f>
        <v>45560</v>
      </c>
      <c r="J2105" s="185">
        <v>-1</v>
      </c>
      <c r="K2105" s="186">
        <f t="shared" si="125"/>
        <v>0</v>
      </c>
      <c r="L2105" s="288">
        <f t="shared" si="123"/>
        <v>-88</v>
      </c>
      <c r="M2105" s="24"/>
      <c r="N2105" s="112" t="str">
        <f>IF(ISBLANK(E2105),"",_xlfn.XLOOKUP(E2105,cannabis_log!C:C,cannabis_log!T:T,"Not Found",0,))</f>
        <v>net</v>
      </c>
      <c r="O2105" s="180">
        <f>IF(N2105="net",_xlfn.XLOOKUP(E2105,cannabis_log!C:C,cannabis_log!N:N,"NOT FOUND",0,1),IF(N2105="gross",0,""))</f>
        <v>88</v>
      </c>
    </row>
    <row r="2106" spans="1:15">
      <c r="A2106" s="195" t="str">
        <f t="shared" si="126"/>
        <v>inbound</v>
      </c>
      <c r="B2106" s="196">
        <v>45842.59375</v>
      </c>
      <c r="C2106" s="197" t="s">
        <v>1927</v>
      </c>
      <c r="D2106" s="197"/>
      <c r="E2106" s="215" t="s">
        <v>3124</v>
      </c>
      <c r="F2106" s="112" t="str">
        <f>IF(ISBLANK(E2106),"",_xlfn.XLOOKUP(E2106,cannabis_log!C:C,cannabis_log!J:J,"",0,))</f>
        <v>ROGEX003</v>
      </c>
      <c r="G2106" s="112"/>
      <c r="H2106" s="112" t="str">
        <f>IF(ISBLANK(E2106),"",_xlfn.XLOOKUP(E2106,cannabis_log!C:C,cannabis_log!H:H,"",0,1))</f>
        <v>extract_inhaled_bulk_Rohan</v>
      </c>
      <c r="I2106" s="113" t="str">
        <f>IF(ISBLANK(E2106),"",_xlfn.XLOOKUP(E2106,cannabis_log!C:C,cannabis_log!K:K,"NOT FOUND",0,1))</f>
        <v>NA</v>
      </c>
      <c r="J2106" s="185">
        <v>1</v>
      </c>
      <c r="K2106" s="186">
        <v>2066</v>
      </c>
      <c r="L2106" s="288">
        <f t="shared" si="123"/>
        <v>0</v>
      </c>
      <c r="M2106" s="24"/>
      <c r="N2106" s="112" t="str">
        <f>IF(ISBLANK(E2106),"",_xlfn.XLOOKUP(E2106,cannabis_log!C:C,cannabis_log!T:T,"Not Found",0,))</f>
        <v>gross</v>
      </c>
      <c r="O2106" s="180">
        <f>IF(N2106="net",_xlfn.XLOOKUP(E2106,cannabis_log!C:C,cannabis_log!N:N,"NOT FOUND",0,1),IF(N2106="gross",0,""))</f>
        <v>0</v>
      </c>
    </row>
    <row r="2107" spans="1:15">
      <c r="A2107" s="195" t="str">
        <f t="shared" si="126"/>
        <v>inbound</v>
      </c>
      <c r="B2107" s="196">
        <v>45842.59375</v>
      </c>
      <c r="C2107" s="197" t="s">
        <v>1927</v>
      </c>
      <c r="D2107" s="197"/>
      <c r="E2107" s="215" t="s">
        <v>2562</v>
      </c>
      <c r="F2107" s="112" t="str">
        <f>IF(ISBLANK(E2107),"",_xlfn.XLOOKUP(E2107,cannabis_log!C:C,cannabis_log!J:J,"",0,))</f>
        <v>CPR22102001</v>
      </c>
      <c r="G2107" s="112"/>
      <c r="H2107" s="112" t="str">
        <f>IF(ISBLANK(E2107),"",_xlfn.XLOOKUP(E2107,cannabis_log!C:C,cannabis_log!H:H,"",0,1))</f>
        <v>driedflower_milled_bulk</v>
      </c>
      <c r="I2107" s="113" t="str">
        <f>IF(ISBLANK(E2107),"",_xlfn.XLOOKUP(E2107,cannabis_log!C:C,cannabis_log!K:K,"NOT FOUND",0,1))</f>
        <v>NA</v>
      </c>
      <c r="J2107" s="185">
        <v>1</v>
      </c>
      <c r="K2107" s="186">
        <v>3328</v>
      </c>
      <c r="L2107" s="288">
        <f t="shared" si="123"/>
        <v>0</v>
      </c>
      <c r="M2107" s="24"/>
      <c r="N2107" s="112" t="str">
        <f>IF(ISBLANK(E2107),"",_xlfn.XLOOKUP(E2107,cannabis_log!C:C,cannabis_log!T:T,"Not Found",0,))</f>
        <v>gross</v>
      </c>
      <c r="O2107" s="180">
        <f>IF(N2107="net",_xlfn.XLOOKUP(E2107,cannabis_log!C:C,cannabis_log!N:N,"NOT FOUND",0,1),IF(N2107="gross",0,""))</f>
        <v>0</v>
      </c>
    </row>
    <row r="2108" spans="1:15">
      <c r="A2108" s="195" t="str">
        <f t="shared" si="126"/>
        <v>inbound</v>
      </c>
      <c r="B2108" s="196">
        <v>45842.625</v>
      </c>
      <c r="C2108" s="197" t="s">
        <v>1927</v>
      </c>
      <c r="D2108" s="197"/>
      <c r="E2108" s="215" t="s">
        <v>2016</v>
      </c>
      <c r="F2108" s="112" t="str">
        <f>IF(ISBLANK(E2108),"",_xlfn.XLOOKUP(E2108,cannabis_log!C:C,cannabis_log!J:J,"",0,))</f>
        <v>PR2407F5P3</v>
      </c>
      <c r="G2108" s="112"/>
      <c r="H2108" s="112" t="str">
        <f>IF(ISBLANK(E2108),"",_xlfn.XLOOKUP(E2108,cannabis_log!C:C,cannabis_log!H:H,"",0,1))</f>
        <v>preroll_labelled</v>
      </c>
      <c r="I2108" s="113">
        <f>IF(ISBLANK(E2108),"",_xlfn.XLOOKUP(E2108,cannabis_log!C:C,cannabis_log!K:K,"NOT FOUND",0,1))</f>
        <v>45828</v>
      </c>
      <c r="J2108" s="185">
        <v>98</v>
      </c>
      <c r="K2108" s="186">
        <f>IF(N2108="net",0,"")</f>
        <v>0</v>
      </c>
      <c r="L2108" s="288">
        <f t="shared" si="123"/>
        <v>147</v>
      </c>
      <c r="M2108" s="24"/>
      <c r="N2108" s="112" t="str">
        <f>IF(ISBLANK(E2108),"",_xlfn.XLOOKUP(E2108,cannabis_log!C:C,cannabis_log!T:T,"Not Found",0,))</f>
        <v>net</v>
      </c>
      <c r="O2108" s="180">
        <f>IF(N2108="net",_xlfn.XLOOKUP(E2108,cannabis_log!C:C,cannabis_log!N:N,"NOT FOUND",0,1),IF(N2108="gross",0,""))</f>
        <v>1.5</v>
      </c>
    </row>
    <row r="2109" spans="1:15">
      <c r="A2109" s="195" t="str">
        <f t="shared" si="126"/>
        <v>inbound</v>
      </c>
      <c r="B2109" s="196">
        <v>45842.625</v>
      </c>
      <c r="C2109" s="197" t="s">
        <v>1927</v>
      </c>
      <c r="D2109" s="197"/>
      <c r="E2109" s="215" t="s">
        <v>3126</v>
      </c>
      <c r="F2109" s="112" t="str">
        <f>IF(ISBLANK(E2109),"",_xlfn.XLOOKUP(E2109,cannabis_log!C:C,cannabis_log!J:J,"",0,))</f>
        <v>PR2407F5P3</v>
      </c>
      <c r="G2109" s="112"/>
      <c r="H2109" s="112" t="str">
        <f>IF(ISBLANK(E2109),"",_xlfn.XLOOKUP(E2109,cannabis_log!C:C,cannabis_log!H:H,"",0,1))</f>
        <v>preroll_packaged</v>
      </c>
      <c r="I2109" s="113" t="str">
        <f>IF(ISBLANK(E2109),"",_xlfn.XLOOKUP(E2109,cannabis_log!C:C,cannabis_log!K:K,"NOT FOUND",0,1))</f>
        <v>NA</v>
      </c>
      <c r="J2109" s="185">
        <v>108</v>
      </c>
      <c r="K2109" s="186">
        <f>IF(N2109="net",0,"")</f>
        <v>0</v>
      </c>
      <c r="L2109" s="288">
        <f t="shared" si="123"/>
        <v>162</v>
      </c>
      <c r="M2109" s="24"/>
      <c r="N2109" s="112" t="str">
        <f>IF(ISBLANK(E2109),"",_xlfn.XLOOKUP(E2109,cannabis_log!C:C,cannabis_log!T:T,"Not Found",0,))</f>
        <v>net</v>
      </c>
      <c r="O2109" s="180">
        <f>IF(N2109="net",_xlfn.XLOOKUP(E2109,cannabis_log!C:C,cannabis_log!N:N,"NOT FOUND",0,1),IF(N2109="gross",0,""))</f>
        <v>1.5</v>
      </c>
    </row>
    <row r="2110" spans="1:15">
      <c r="A2110" s="195" t="str">
        <f t="shared" si="126"/>
        <v>inbound</v>
      </c>
      <c r="B2110" s="196">
        <v>45842.625</v>
      </c>
      <c r="C2110" s="197" t="s">
        <v>1927</v>
      </c>
      <c r="D2110" s="197"/>
      <c r="E2110" s="215" t="s">
        <v>2656</v>
      </c>
      <c r="F2110" s="112" t="str">
        <f>IF(ISBLANK(E2110),"",_xlfn.XLOOKUP(E2110,cannabis_log!C:C,cannabis_log!J:J,"",0,))</f>
        <v>PR2507</v>
      </c>
      <c r="G2110" s="112"/>
      <c r="H2110" s="112" t="str">
        <f>IF(ISBLANK(E2110),"",_xlfn.XLOOKUP(E2110,cannabis_log!C:C,cannabis_log!H:H,"",0,1))</f>
        <v>driedflower_milled_bulk</v>
      </c>
      <c r="I2110" s="113" t="str">
        <f>IF(ISBLANK(E2110),"",_xlfn.XLOOKUP(E2110,cannabis_log!C:C,cannabis_log!K:K,"NOT FOUND",0,1))</f>
        <v>NA</v>
      </c>
      <c r="J2110" s="185">
        <v>1</v>
      </c>
      <c r="K2110" s="186">
        <v>166</v>
      </c>
      <c r="L2110" s="288">
        <f t="shared" si="123"/>
        <v>0</v>
      </c>
      <c r="M2110" s="24"/>
      <c r="N2110" s="112" t="str">
        <f>IF(ISBLANK(E2110),"",_xlfn.XLOOKUP(E2110,cannabis_log!C:C,cannabis_log!T:T,"Not Found",0,))</f>
        <v>gross</v>
      </c>
      <c r="O2110" s="180">
        <f>IF(N2110="net",_xlfn.XLOOKUP(E2110,cannabis_log!C:C,cannabis_log!N:N,"NOT FOUND",0,1),IF(N2110="gross",0,""))</f>
        <v>0</v>
      </c>
    </row>
    <row r="2111" spans="1:15">
      <c r="A2111" s="195" t="str">
        <f t="shared" si="126"/>
        <v>inbound</v>
      </c>
      <c r="B2111" s="196">
        <v>45842.625</v>
      </c>
      <c r="C2111" s="197" t="s">
        <v>1927</v>
      </c>
      <c r="D2111" s="197"/>
      <c r="E2111" s="215" t="s">
        <v>3123</v>
      </c>
      <c r="F2111" s="112" t="str">
        <f>IF(ISBLANK(E2111),"",_xlfn.XLOOKUP(E2111,cannabis_log!C:C,cannabis_log!J:J,"",0,))</f>
        <v>PR2512</v>
      </c>
      <c r="G2111" s="112"/>
      <c r="H2111" s="112" t="str">
        <f>IF(ISBLANK(E2111),"",_xlfn.XLOOKUP(E2111,cannabis_log!C:C,cannabis_log!H:H,"",0,1))</f>
        <v>diredflower_milled_bulk_Rohan</v>
      </c>
      <c r="I2111" s="113" t="str">
        <f>IF(ISBLANK(E2111),"",_xlfn.XLOOKUP(E2111,cannabis_log!C:C,cannabis_log!K:K,"NOT FOUND",0,1))</f>
        <v>NA</v>
      </c>
      <c r="J2111" s="185">
        <v>1</v>
      </c>
      <c r="K2111" s="186">
        <v>2104</v>
      </c>
      <c r="L2111" s="288">
        <f t="shared" si="123"/>
        <v>0</v>
      </c>
      <c r="M2111" s="24"/>
      <c r="N2111" s="112" t="str">
        <f>IF(ISBLANK(E2111),"",_xlfn.XLOOKUP(E2111,cannabis_log!C:C,cannabis_log!T:T,"Not Found",0,))</f>
        <v>gross</v>
      </c>
      <c r="O2111" s="180">
        <f>IF(N2111="net",_xlfn.XLOOKUP(E2111,cannabis_log!C:C,cannabis_log!N:N,"NOT FOUND",0,1),IF(N2111="gross",0,""))</f>
        <v>0</v>
      </c>
    </row>
    <row r="2112" spans="1:15">
      <c r="A2112" s="195" t="str">
        <f t="shared" si="126"/>
        <v>inbound</v>
      </c>
      <c r="B2112" s="196">
        <v>45842.625</v>
      </c>
      <c r="C2112" s="197" t="s">
        <v>1927</v>
      </c>
      <c r="D2112" s="197"/>
      <c r="E2112" s="215" t="s">
        <v>3121</v>
      </c>
      <c r="F2112" s="112" t="str">
        <f>IF(ISBLANK(E2112),"",_xlfn.XLOOKUP(E2112,cannabis_log!C:C,cannabis_log!J:J,"",0,))</f>
        <v>PR2502INF5P3</v>
      </c>
      <c r="G2112" s="112"/>
      <c r="H2112" s="112" t="str">
        <f>IF(ISBLANK(E2112),"",_xlfn.XLOOKUP(E2112,cannabis_log!C:C,cannabis_log!H:H,"",0,1))</f>
        <v>preroll_labelled</v>
      </c>
      <c r="I2112" s="113">
        <f>IF(ISBLANK(E2112),"",_xlfn.XLOOKUP(E2112,cannabis_log!C:C,cannabis_log!K:K,"NOT FOUND",0,1))</f>
        <v>45826</v>
      </c>
      <c r="J2112" s="185">
        <v>1072</v>
      </c>
      <c r="K2112" s="186">
        <f t="shared" ref="K2112:K2120" si="127">IF(N2112="net",0,"")</f>
        <v>0</v>
      </c>
      <c r="L2112" s="288">
        <f t="shared" si="123"/>
        <v>1608</v>
      </c>
      <c r="M2112" s="24"/>
      <c r="N2112" s="112" t="str">
        <f>IF(ISBLANK(E2112),"",_xlfn.XLOOKUP(E2112,cannabis_log!C:C,cannabis_log!T:T,"Not Found",0,))</f>
        <v>net</v>
      </c>
      <c r="O2112" s="180">
        <f>IF(N2112="net",_xlfn.XLOOKUP(E2112,cannabis_log!C:C,cannabis_log!N:N,"NOT FOUND",0,1),IF(N2112="gross",0,""))</f>
        <v>1.5</v>
      </c>
    </row>
    <row r="2113" spans="1:15">
      <c r="A2113" s="195" t="str">
        <f t="shared" si="126"/>
        <v>outbound</v>
      </c>
      <c r="B2113" s="196">
        <v>45845.416666666664</v>
      </c>
      <c r="C2113" s="197" t="s">
        <v>1929</v>
      </c>
      <c r="D2113" s="197" t="s">
        <v>3186</v>
      </c>
      <c r="E2113" s="215" t="s">
        <v>3048</v>
      </c>
      <c r="F2113" s="112" t="str">
        <f>IF(ISBLANK(E2113),"",_xlfn.XLOOKUP(E2113,cannabis_log!C:C,cannabis_log!J:J,"",0,))</f>
        <v>PR241003F5P3</v>
      </c>
      <c r="G2113" s="112"/>
      <c r="H2113" s="112" t="str">
        <f>IF(ISBLANK(E2113),"",_xlfn.XLOOKUP(E2113,cannabis_log!C:C,cannabis_log!H:H,"",0,1))</f>
        <v>preroll_cased_SK_RTV</v>
      </c>
      <c r="I2113" s="113">
        <f>IF(ISBLANK(E2113),"",_xlfn.XLOOKUP(E2113,cannabis_log!C:C,cannabis_log!K:K,"NOT FOUND",0,1))</f>
        <v>45575</v>
      </c>
      <c r="J2113" s="185">
        <v>-12</v>
      </c>
      <c r="K2113" s="186">
        <f t="shared" si="127"/>
        <v>0</v>
      </c>
      <c r="L2113" s="288">
        <f t="shared" si="123"/>
        <v>-18</v>
      </c>
      <c r="M2113" s="24"/>
      <c r="N2113" s="112" t="str">
        <f>IF(ISBLANK(E2113),"",_xlfn.XLOOKUP(E2113,cannabis_log!C:C,cannabis_log!T:T,"Not Found",0,))</f>
        <v>net</v>
      </c>
      <c r="O2113" s="180">
        <f>IF(N2113="net",_xlfn.XLOOKUP(E2113,cannabis_log!C:C,cannabis_log!N:N,"NOT FOUND",0,1),IF(N2113="gross",0,""))</f>
        <v>1.5</v>
      </c>
    </row>
    <row r="2114" spans="1:15">
      <c r="A2114" s="195" t="str">
        <f t="shared" si="126"/>
        <v>outbound</v>
      </c>
      <c r="B2114" s="196">
        <v>45845.416666666664</v>
      </c>
      <c r="C2114" s="197" t="s">
        <v>1929</v>
      </c>
      <c r="D2114" s="197" t="s">
        <v>3186</v>
      </c>
      <c r="E2114" s="215" t="s">
        <v>3154</v>
      </c>
      <c r="F2114" s="112" t="str">
        <f>IF(ISBLANK(E2114),"",_xlfn.XLOOKUP(E2114,cannabis_log!C:C,cannabis_log!J:J,"",0,))</f>
        <v>PR251705F5P3</v>
      </c>
      <c r="G2114" s="112"/>
      <c r="H2114" s="112" t="str">
        <f>IF(ISBLANK(E2114),"",_xlfn.XLOOKUP(E2114,cannabis_log!C:C,cannabis_log!H:H,"",0,1))</f>
        <v>preroll_labelled</v>
      </c>
      <c r="I2114" s="113">
        <f>IF(ISBLANK(E2114),"",_xlfn.XLOOKUP(E2114,cannabis_log!C:C,cannabis_log!K:K,"NOT FOUND",0,1))</f>
        <v>45804</v>
      </c>
      <c r="J2114" s="185">
        <v>-12</v>
      </c>
      <c r="K2114" s="186">
        <f t="shared" si="127"/>
        <v>0</v>
      </c>
      <c r="L2114" s="288">
        <f t="shared" si="123"/>
        <v>-18</v>
      </c>
      <c r="M2114" s="24"/>
      <c r="N2114" s="112" t="str">
        <f>IF(ISBLANK(E2114),"",_xlfn.XLOOKUP(E2114,cannabis_log!C:C,cannabis_log!T:T,"Not Found",0,))</f>
        <v>net</v>
      </c>
      <c r="O2114" s="180">
        <f>IF(N2114="net",_xlfn.XLOOKUP(E2114,cannabis_log!C:C,cannabis_log!N:N,"NOT FOUND",0,1),IF(N2114="gross",0,""))</f>
        <v>1.5</v>
      </c>
    </row>
    <row r="2115" spans="1:15">
      <c r="A2115" s="195" t="str">
        <f t="shared" si="126"/>
        <v>outbound</v>
      </c>
      <c r="B2115" s="196">
        <v>45845.416666666664</v>
      </c>
      <c r="C2115" s="197" t="s">
        <v>1929</v>
      </c>
      <c r="D2115" s="197" t="s">
        <v>3186</v>
      </c>
      <c r="E2115" s="215" t="s">
        <v>3097</v>
      </c>
      <c r="F2115" s="112" t="str">
        <f>IF(ISBLANK(E2115),"",_xlfn.XLOOKUP(E2115,cannabis_log!C:C,cannabis_log!J:J,"",0,))</f>
        <v>PR251701F5P3</v>
      </c>
      <c r="G2115" s="112"/>
      <c r="H2115" s="112" t="str">
        <f>IF(ISBLANK(E2115),"",_xlfn.XLOOKUP(E2115,cannabis_log!C:C,cannabis_log!H:H,"",0,1))</f>
        <v>preroll_labelled</v>
      </c>
      <c r="I2115" s="113">
        <f>IF(ISBLANK(E2115),"",_xlfn.XLOOKUP(E2115,cannabis_log!C:C,cannabis_log!K:K,"NOT FOUND",0,1))</f>
        <v>45800</v>
      </c>
      <c r="J2115" s="185">
        <v>-12</v>
      </c>
      <c r="K2115" s="186">
        <f t="shared" si="127"/>
        <v>0</v>
      </c>
      <c r="L2115" s="288">
        <f t="shared" si="123"/>
        <v>-18</v>
      </c>
      <c r="M2115" s="24"/>
      <c r="N2115" s="112" t="str">
        <f>IF(ISBLANK(E2115),"",_xlfn.XLOOKUP(E2115,cannabis_log!C:C,cannabis_log!T:T,"Not Found",0,))</f>
        <v>net</v>
      </c>
      <c r="O2115" s="180">
        <f>IF(N2115="net",_xlfn.XLOOKUP(E2115,cannabis_log!C:C,cannabis_log!N:N,"NOT FOUND",0,1),IF(N2115="gross",0,""))</f>
        <v>1.5</v>
      </c>
    </row>
    <row r="2116" spans="1:15">
      <c r="A2116" s="195" t="str">
        <f t="shared" si="126"/>
        <v>outbound</v>
      </c>
      <c r="B2116" s="196">
        <v>45845.416666666664</v>
      </c>
      <c r="C2116" s="197" t="s">
        <v>1929</v>
      </c>
      <c r="D2116" s="197" t="s">
        <v>3186</v>
      </c>
      <c r="E2116" s="215" t="s">
        <v>2477</v>
      </c>
      <c r="F2116" s="112" t="str">
        <f>IF(ISBLANK(E2116),"",_xlfn.XLOOKUP(E2116,cannabis_log!C:C,cannabis_log!J:J,"",0,))</f>
        <v>PR241102F5P3</v>
      </c>
      <c r="G2116" s="112"/>
      <c r="H2116" s="112" t="str">
        <f>IF(ISBLANK(E2116),"",_xlfn.XLOOKUP(E2116,cannabis_log!C:C,cannabis_log!H:H,"",0,1))</f>
        <v>preroll_labelled</v>
      </c>
      <c r="I2116" s="113">
        <f>IF(ISBLANK(E2116),"",_xlfn.XLOOKUP(E2116,cannabis_log!C:C,cannabis_log!K:K,"NOT FOUND",0,1))</f>
        <v>45660</v>
      </c>
      <c r="J2116" s="185">
        <v>-12</v>
      </c>
      <c r="K2116" s="186">
        <f t="shared" si="127"/>
        <v>0</v>
      </c>
      <c r="L2116" s="288">
        <f t="shared" si="123"/>
        <v>-18</v>
      </c>
      <c r="M2116" s="24"/>
      <c r="N2116" s="112" t="str">
        <f>IF(ISBLANK(E2116),"",_xlfn.XLOOKUP(E2116,cannabis_log!C:C,cannabis_log!T:T,"Not Found",0,))</f>
        <v>net</v>
      </c>
      <c r="O2116" s="180">
        <f>IF(N2116="net",_xlfn.XLOOKUP(E2116,cannabis_log!C:C,cannabis_log!N:N,"NOT FOUND",0,1),IF(N2116="gross",0,""))</f>
        <v>1.5</v>
      </c>
    </row>
    <row r="2117" spans="1:15">
      <c r="A2117" s="195" t="str">
        <f t="shared" si="126"/>
        <v>outbound</v>
      </c>
      <c r="B2117" s="196">
        <v>45845.416666666664</v>
      </c>
      <c r="C2117" s="197" t="s">
        <v>1921</v>
      </c>
      <c r="D2117" s="197"/>
      <c r="E2117" s="215" t="s">
        <v>3187</v>
      </c>
      <c r="F2117" s="112" t="str">
        <f>IF(ISBLANK(E2117),"",_xlfn.XLOOKUP(E2117,cannabis_log!C:C,cannabis_log!J:J,"",0,))</f>
        <v>2021082601R1</v>
      </c>
      <c r="G2117" s="112"/>
      <c r="H2117" s="112" t="str">
        <f>IF(ISBLANK(E2117),"",_xlfn.XLOOKUP(E2117,cannabis_log!C:C,cannabis_log!H:H,"",0,1))</f>
        <v>driedflower_labelled_RTV</v>
      </c>
      <c r="I2117" s="113">
        <f>IF(ISBLANK(E2117),"",_xlfn.XLOOKUP(E2117,cannabis_log!C:C,cannabis_log!K:K,"NOT FOUND",0,1))</f>
        <v>44226</v>
      </c>
      <c r="J2117" s="185">
        <v>-15</v>
      </c>
      <c r="K2117" s="186">
        <f t="shared" si="127"/>
        <v>0</v>
      </c>
      <c r="L2117" s="288">
        <f t="shared" si="123"/>
        <v>-52.5</v>
      </c>
      <c r="M2117" s="24"/>
      <c r="N2117" s="112" t="str">
        <f>IF(ISBLANK(E2117),"",_xlfn.XLOOKUP(E2117,cannabis_log!C:C,cannabis_log!T:T,"Not Found",0,))</f>
        <v>net</v>
      </c>
      <c r="O2117" s="180">
        <f>IF(N2117="net",_xlfn.XLOOKUP(E2117,cannabis_log!C:C,cannabis_log!N:N,"NOT FOUND",0,1),IF(N2117="gross",0,""))</f>
        <v>3.5</v>
      </c>
    </row>
    <row r="2118" spans="1:15">
      <c r="A2118" s="195" t="str">
        <f t="shared" si="126"/>
        <v>outbound</v>
      </c>
      <c r="B2118" s="196">
        <v>45845.416666666664</v>
      </c>
      <c r="C2118" s="197" t="s">
        <v>1921</v>
      </c>
      <c r="D2118" s="197"/>
      <c r="E2118" s="215" t="s">
        <v>2368</v>
      </c>
      <c r="F2118" s="112" t="str">
        <f>IF(ISBLANK(E2118),"",_xlfn.XLOOKUP(E2118,cannabis_log!C:C,cannabis_log!J:J,"",0,))</f>
        <v>2021082601R1</v>
      </c>
      <c r="G2118" s="112"/>
      <c r="H2118" s="112" t="str">
        <f>IF(ISBLANK(E2118),"",_xlfn.XLOOKUP(E2118,cannabis_log!C:C,cannabis_log!H:H,"",0,1))</f>
        <v>driedflower_labelled_RTV</v>
      </c>
      <c r="I2118" s="113">
        <f>IF(ISBLANK(E2118),"",_xlfn.XLOOKUP(E2118,cannabis_log!C:C,cannabis_log!K:K,"NOT FOUND",0,1))</f>
        <v>44646</v>
      </c>
      <c r="J2118" s="185">
        <v>-128</v>
      </c>
      <c r="K2118" s="186">
        <f t="shared" si="127"/>
        <v>0</v>
      </c>
      <c r="L2118" s="288">
        <f t="shared" si="123"/>
        <v>-448</v>
      </c>
      <c r="M2118" s="24"/>
      <c r="N2118" s="112" t="str">
        <f>IF(ISBLANK(E2118),"",_xlfn.XLOOKUP(E2118,cannabis_log!C:C,cannabis_log!T:T,"Not Found",0,))</f>
        <v>net</v>
      </c>
      <c r="O2118" s="180">
        <f>IF(N2118="net",_xlfn.XLOOKUP(E2118,cannabis_log!C:C,cannabis_log!N:N,"NOT FOUND",0,1),IF(N2118="gross",0,""))</f>
        <v>3.5</v>
      </c>
    </row>
    <row r="2119" spans="1:15">
      <c r="A2119" s="195" t="str">
        <f t="shared" si="126"/>
        <v>outbound</v>
      </c>
      <c r="B2119" s="196">
        <v>45845.416666666664</v>
      </c>
      <c r="C2119" s="197" t="s">
        <v>1921</v>
      </c>
      <c r="D2119" s="197"/>
      <c r="E2119" s="215" t="s">
        <v>3188</v>
      </c>
      <c r="F2119" s="112" t="str">
        <f>IF(ISBLANK(E2119),"",_xlfn.XLOOKUP(E2119,cannabis_log!C:C,cannabis_log!J:J,"",0,))</f>
        <v>2021082601R1</v>
      </c>
      <c r="G2119" s="112"/>
      <c r="H2119" s="112" t="str">
        <f>IF(ISBLANK(E2119),"",_xlfn.XLOOKUP(E2119,cannabis_log!C:C,cannabis_log!H:H,"",0,1))</f>
        <v>driedflower_labelled_RTV</v>
      </c>
      <c r="I2119" s="113">
        <f>IF(ISBLANK(E2119),"",_xlfn.XLOOKUP(E2119,cannabis_log!C:C,cannabis_log!K:K,"NOT FOUND",0,1))</f>
        <v>44646</v>
      </c>
      <c r="J2119" s="185">
        <f>-250</f>
        <v>-250</v>
      </c>
      <c r="K2119" s="186">
        <f t="shared" si="127"/>
        <v>0</v>
      </c>
      <c r="L2119" s="288">
        <f t="shared" si="123"/>
        <v>-875</v>
      </c>
      <c r="M2119" s="24"/>
      <c r="N2119" s="112" t="str">
        <f>IF(ISBLANK(E2119),"",_xlfn.XLOOKUP(E2119,cannabis_log!C:C,cannabis_log!T:T,"Not Found",0,))</f>
        <v>net</v>
      </c>
      <c r="O2119" s="180">
        <f>IF(N2119="net",_xlfn.XLOOKUP(E2119,cannabis_log!C:C,cannabis_log!N:N,"NOT FOUND",0,1),IF(N2119="gross",0,""))</f>
        <v>3.5</v>
      </c>
    </row>
    <row r="2120" spans="1:15">
      <c r="A2120" s="195" t="str">
        <f t="shared" si="126"/>
        <v>outbound</v>
      </c>
      <c r="B2120" s="196">
        <v>45845.416666666664</v>
      </c>
      <c r="C2120" s="197" t="s">
        <v>1921</v>
      </c>
      <c r="D2120" s="197"/>
      <c r="E2120" s="215" t="s">
        <v>3189</v>
      </c>
      <c r="F2120" s="112" t="str">
        <f>IF(ISBLANK(E2120),"",_xlfn.XLOOKUP(E2120,cannabis_log!C:C,cannabis_log!J:J,"",0,))</f>
        <v>2021082601R1</v>
      </c>
      <c r="G2120" s="112"/>
      <c r="H2120" s="112" t="str">
        <f>IF(ISBLANK(E2120),"",_xlfn.XLOOKUP(E2120,cannabis_log!C:C,cannabis_log!H:H,"",0,1))</f>
        <v>driedflower_labelled_RTV</v>
      </c>
      <c r="I2120" s="113">
        <f>IF(ISBLANK(E2120),"",_xlfn.XLOOKUP(E2120,cannabis_log!C:C,cannabis_log!K:K,"NOT FOUND",0,1))</f>
        <v>44646</v>
      </c>
      <c r="J2120" s="185">
        <v>-144</v>
      </c>
      <c r="K2120" s="186">
        <f t="shared" si="127"/>
        <v>0</v>
      </c>
      <c r="L2120" s="288">
        <f t="shared" si="123"/>
        <v>-504</v>
      </c>
      <c r="M2120" s="24"/>
      <c r="N2120" s="112" t="str">
        <f>IF(ISBLANK(E2120),"",_xlfn.XLOOKUP(E2120,cannabis_log!C:C,cannabis_log!T:T,"Not Found",0,))</f>
        <v>net</v>
      </c>
      <c r="O2120" s="180">
        <f>IF(N2120="net",_xlfn.XLOOKUP(E2120,cannabis_log!C:C,cannabis_log!N:N,"NOT FOUND",0,1),IF(N2120="gross",0,""))</f>
        <v>3.5</v>
      </c>
    </row>
    <row r="2121" spans="1:15">
      <c r="A2121" s="195" t="str">
        <f t="shared" si="126"/>
        <v>inbound</v>
      </c>
      <c r="B2121" s="196">
        <v>45845.458333333336</v>
      </c>
      <c r="C2121" s="197" t="s">
        <v>1927</v>
      </c>
      <c r="D2121" s="197"/>
      <c r="E2121" s="215" t="s">
        <v>2433</v>
      </c>
      <c r="F2121" s="112">
        <f>IF(ISBLANK(E2121),"",_xlfn.XLOOKUP(E2121,cannabis_log!C:C,cannabis_log!J:J,"",0,))</f>
        <v>2024111803</v>
      </c>
      <c r="G2121" s="112"/>
      <c r="H2121" s="112" t="str">
        <f>IF(ISBLANK(E2121),"",_xlfn.XLOOKUP(E2121,cannabis_log!C:C,cannabis_log!H:H,"",0,1))</f>
        <v>driedflower_bulk</v>
      </c>
      <c r="I2121" s="113" t="str">
        <f>IF(ISBLANK(E2121),"",_xlfn.XLOOKUP(E2121,cannabis_log!C:C,cannabis_log!K:K,"NOT FOUND",0,1))</f>
        <v>NA</v>
      </c>
      <c r="J2121" s="185">
        <v>1</v>
      </c>
      <c r="K2121" s="186">
        <v>1971</v>
      </c>
      <c r="L2121" s="288">
        <f t="shared" si="123"/>
        <v>0</v>
      </c>
      <c r="M2121" s="24"/>
      <c r="N2121" s="112" t="str">
        <f>IF(ISBLANK(E2121),"",_xlfn.XLOOKUP(E2121,cannabis_log!C:C,cannabis_log!T:T,"Not Found",0,))</f>
        <v>gross</v>
      </c>
      <c r="O2121" s="180">
        <f>IF(N2121="net",_xlfn.XLOOKUP(E2121,cannabis_log!C:C,cannabis_log!N:N,"NOT FOUND",0,1),IF(N2121="gross",0,""))</f>
        <v>0</v>
      </c>
    </row>
    <row r="2122" spans="1:15">
      <c r="A2122" s="195" t="str">
        <f t="shared" si="126"/>
        <v>inbound</v>
      </c>
      <c r="B2122" s="196">
        <v>45845.458333333336</v>
      </c>
      <c r="C2122" s="197" t="s">
        <v>1927</v>
      </c>
      <c r="D2122" s="22"/>
      <c r="E2122" s="215" t="s">
        <v>3170</v>
      </c>
      <c r="F2122" s="112">
        <f>IF(ISBLANK(E2122),"",_xlfn.XLOOKUP(E2122,cannabis_log!C:C,cannabis_log!J:J,"",0,))</f>
        <v>2025062602</v>
      </c>
      <c r="G2122" s="112"/>
      <c r="H2122" s="112" t="str">
        <f>IF(ISBLANK(E2122),"",_xlfn.XLOOKUP(E2122,cannabis_log!C:C,cannabis_log!H:H,"",0,1))</f>
        <v>driedflower_bulk_Rohan</v>
      </c>
      <c r="I2122" s="113" t="str">
        <f>IF(ISBLANK(E2122),"",_xlfn.XLOOKUP(E2122,cannabis_log!C:C,cannabis_log!K:K,"NOT FOUND",0,1))</f>
        <v>NA</v>
      </c>
      <c r="J2122" s="185">
        <v>1</v>
      </c>
      <c r="K2122" s="186">
        <v>972</v>
      </c>
      <c r="L2122" s="288">
        <f t="shared" si="123"/>
        <v>0</v>
      </c>
      <c r="M2122" s="24"/>
      <c r="N2122" s="112" t="str">
        <f>IF(ISBLANK(E2122),"",_xlfn.XLOOKUP(E2122,cannabis_log!C:C,cannabis_log!T:T,"Not Found",0,))</f>
        <v>gross</v>
      </c>
      <c r="O2122" s="180">
        <f>IF(N2122="net",_xlfn.XLOOKUP(E2122,cannabis_log!C:C,cannabis_log!N:N,"NOT FOUND",0,1),IF(N2122="gross",0,""))</f>
        <v>0</v>
      </c>
    </row>
    <row r="2123" spans="1:15">
      <c r="A2123" s="195" t="str">
        <f t="shared" si="126"/>
        <v>inbound</v>
      </c>
      <c r="B2123" s="196">
        <v>45845.458333333336</v>
      </c>
      <c r="C2123" s="197" t="s">
        <v>1927</v>
      </c>
      <c r="D2123" s="22"/>
      <c r="E2123" s="215" t="s">
        <v>3171</v>
      </c>
      <c r="F2123" s="112">
        <f>IF(ISBLANK(E2123),"",_xlfn.XLOOKUP(E2123,cannabis_log!C:C,cannabis_log!J:J,"",0,))</f>
        <v>2025062602</v>
      </c>
      <c r="G2123" s="112"/>
      <c r="H2123" s="112" t="str">
        <f>IF(ISBLANK(E2123),"",_xlfn.XLOOKUP(E2123,cannabis_log!C:C,cannabis_log!H:H,"",0,1))</f>
        <v>driedflower_bulk_Rohan</v>
      </c>
      <c r="I2123" s="113" t="str">
        <f>IF(ISBLANK(E2123),"",_xlfn.XLOOKUP(E2123,cannabis_log!C:C,cannabis_log!K:K,"NOT FOUND",0,1))</f>
        <v>NA</v>
      </c>
      <c r="J2123" s="185">
        <v>1</v>
      </c>
      <c r="K2123" s="186">
        <v>1000</v>
      </c>
      <c r="L2123" s="288">
        <f t="shared" si="123"/>
        <v>0</v>
      </c>
      <c r="M2123" s="24"/>
      <c r="N2123" s="112" t="str">
        <f>IF(ISBLANK(E2123),"",_xlfn.XLOOKUP(E2123,cannabis_log!C:C,cannabis_log!T:T,"Not Found",0,))</f>
        <v>gross</v>
      </c>
      <c r="O2123" s="180">
        <f>IF(N2123="net",_xlfn.XLOOKUP(E2123,cannabis_log!C:C,cannabis_log!N:N,"NOT FOUND",0,1),IF(N2123="gross",0,""))</f>
        <v>0</v>
      </c>
    </row>
    <row r="2124" spans="1:15">
      <c r="A2124" s="195" t="str">
        <f t="shared" si="126"/>
        <v>inbound</v>
      </c>
      <c r="B2124" s="196">
        <v>45845.458333333336</v>
      </c>
      <c r="C2124" s="197" t="s">
        <v>1927</v>
      </c>
      <c r="D2124" s="22"/>
      <c r="E2124" s="215" t="s">
        <v>3173</v>
      </c>
      <c r="F2124" s="112">
        <f>IF(ISBLANK(E2124),"",_xlfn.XLOOKUP(E2124,cannabis_log!C:C,cannabis_log!J:J,"",0,))</f>
        <v>2025062602</v>
      </c>
      <c r="G2124" s="112"/>
      <c r="H2124" s="112" t="str">
        <f>IF(ISBLANK(E2124),"",_xlfn.XLOOKUP(E2124,cannabis_log!C:C,cannabis_log!H:H,"",0,1))</f>
        <v>driedflower_bulk_Rohan</v>
      </c>
      <c r="I2124" s="113" t="str">
        <f>IF(ISBLANK(E2124),"",_xlfn.XLOOKUP(E2124,cannabis_log!C:C,cannabis_log!K:K,"NOT FOUND",0,1))</f>
        <v>NA</v>
      </c>
      <c r="J2124" s="185">
        <v>1</v>
      </c>
      <c r="K2124" s="186">
        <v>1000</v>
      </c>
      <c r="L2124" s="288">
        <f t="shared" si="123"/>
        <v>0</v>
      </c>
      <c r="M2124" s="24"/>
      <c r="N2124" s="112" t="str">
        <f>IF(ISBLANK(E2124),"",_xlfn.XLOOKUP(E2124,cannabis_log!C:C,cannabis_log!T:T,"Not Found",0,))</f>
        <v>gross</v>
      </c>
      <c r="O2124" s="180">
        <f>IF(N2124="net",_xlfn.XLOOKUP(E2124,cannabis_log!C:C,cannabis_log!N:N,"NOT FOUND",0,1),IF(N2124="gross",0,""))</f>
        <v>0</v>
      </c>
    </row>
    <row r="2125" spans="1:15">
      <c r="A2125" s="195" t="str">
        <f t="shared" si="126"/>
        <v>inbound</v>
      </c>
      <c r="B2125" s="196">
        <v>45845.458333333336</v>
      </c>
      <c r="C2125" s="197" t="s">
        <v>1927</v>
      </c>
      <c r="D2125" s="22"/>
      <c r="E2125" s="215" t="s">
        <v>3174</v>
      </c>
      <c r="F2125" s="112">
        <f>IF(ISBLANK(E2125),"",_xlfn.XLOOKUP(E2125,cannabis_log!C:C,cannabis_log!J:J,"",0,))</f>
        <v>2025050501</v>
      </c>
      <c r="G2125" s="112"/>
      <c r="H2125" s="112" t="str">
        <f>IF(ISBLANK(E2125),"",_xlfn.XLOOKUP(E2125,cannabis_log!C:C,cannabis_log!H:H,"",0,1))</f>
        <v>driedflower_bulk_Rohan</v>
      </c>
      <c r="I2125" s="113" t="str">
        <f>IF(ISBLANK(E2125),"",_xlfn.XLOOKUP(E2125,cannabis_log!C:C,cannabis_log!K:K,"NOT FOUND",0,1))</f>
        <v>NA</v>
      </c>
      <c r="J2125" s="185">
        <v>1</v>
      </c>
      <c r="K2125" s="186">
        <v>380</v>
      </c>
      <c r="L2125" s="288">
        <f t="shared" si="123"/>
        <v>0</v>
      </c>
      <c r="M2125" s="24"/>
      <c r="N2125" s="112" t="str">
        <f>IF(ISBLANK(E2125),"",_xlfn.XLOOKUP(E2125,cannabis_log!C:C,cannabis_log!T:T,"Not Found",0,))</f>
        <v>gross</v>
      </c>
      <c r="O2125" s="180">
        <f>IF(N2125="net",_xlfn.XLOOKUP(E2125,cannabis_log!C:C,cannabis_log!N:N,"NOT FOUND",0,1),IF(N2125="gross",0,""))</f>
        <v>0</v>
      </c>
    </row>
    <row r="2126" spans="1:15">
      <c r="A2126" s="195" t="str">
        <f t="shared" si="126"/>
        <v>inbound</v>
      </c>
      <c r="B2126" s="196">
        <v>45845.458333333336</v>
      </c>
      <c r="C2126" s="197" t="s">
        <v>1927</v>
      </c>
      <c r="D2126" s="22"/>
      <c r="E2126" s="215" t="s">
        <v>3175</v>
      </c>
      <c r="F2126" s="112">
        <f>IF(ISBLANK(E2126),"",_xlfn.XLOOKUP(E2126,cannabis_log!C:C,cannabis_log!J:J,"",0,))</f>
        <v>2025062602</v>
      </c>
      <c r="G2126" s="112"/>
      <c r="H2126" s="112" t="str">
        <f>IF(ISBLANK(E2126),"",_xlfn.XLOOKUP(E2126,cannabis_log!C:C,cannabis_log!H:H,"",0,1))</f>
        <v>driedflower_bulk_Rohan</v>
      </c>
      <c r="I2126" s="113" t="str">
        <f>IF(ISBLANK(E2126),"",_xlfn.XLOOKUP(E2126,cannabis_log!C:C,cannabis_log!K:K,"NOT FOUND",0,1))</f>
        <v>NA</v>
      </c>
      <c r="J2126" s="185">
        <v>1</v>
      </c>
      <c r="K2126" s="186">
        <v>1000</v>
      </c>
      <c r="L2126" s="288">
        <f t="shared" si="123"/>
        <v>0</v>
      </c>
      <c r="M2126" s="24"/>
      <c r="N2126" s="112" t="str">
        <f>IF(ISBLANK(E2126),"",_xlfn.XLOOKUP(E2126,cannabis_log!C:C,cannabis_log!T:T,"Not Found",0,))</f>
        <v>gross</v>
      </c>
      <c r="O2126" s="180">
        <f>IF(N2126="net",_xlfn.XLOOKUP(E2126,cannabis_log!C:C,cannabis_log!N:N,"NOT FOUND",0,1),IF(N2126="gross",0,""))</f>
        <v>0</v>
      </c>
    </row>
    <row r="2127" spans="1:15">
      <c r="A2127" s="195" t="str">
        <f t="shared" si="126"/>
        <v>inbound</v>
      </c>
      <c r="B2127" s="196">
        <v>45845.458333333336</v>
      </c>
      <c r="C2127" s="197" t="s">
        <v>1927</v>
      </c>
      <c r="D2127" s="22"/>
      <c r="E2127" s="215" t="s">
        <v>3176</v>
      </c>
      <c r="F2127" s="112">
        <f>IF(ISBLANK(E2127),"",_xlfn.XLOOKUP(E2127,cannabis_log!C:C,cannabis_log!J:J,"",0,))</f>
        <v>2025062602</v>
      </c>
      <c r="G2127" s="112"/>
      <c r="H2127" s="112" t="str">
        <f>IF(ISBLANK(E2127),"",_xlfn.XLOOKUP(E2127,cannabis_log!C:C,cannabis_log!H:H,"",0,1))</f>
        <v>driedflower_bulk_Rohan</v>
      </c>
      <c r="I2127" s="113" t="str">
        <f>IF(ISBLANK(E2127),"",_xlfn.XLOOKUP(E2127,cannabis_log!C:C,cannabis_log!K:K,"NOT FOUND",0,1))</f>
        <v>NA</v>
      </c>
      <c r="J2127" s="185">
        <v>1</v>
      </c>
      <c r="K2127" s="186">
        <v>6064</v>
      </c>
      <c r="L2127" s="288">
        <f t="shared" ref="L2127:L2190" si="128">IFERROR(J2127*O2127,"")</f>
        <v>0</v>
      </c>
      <c r="M2127" s="24"/>
      <c r="N2127" s="112" t="str">
        <f>IF(ISBLANK(E2127),"",_xlfn.XLOOKUP(E2127,cannabis_log!C:C,cannabis_log!T:T,"Not Found",0,))</f>
        <v>gross</v>
      </c>
      <c r="O2127" s="180">
        <f>IF(N2127="net",_xlfn.XLOOKUP(E2127,cannabis_log!C:C,cannabis_log!N:N,"NOT FOUND",0,1),IF(N2127="gross",0,""))</f>
        <v>0</v>
      </c>
    </row>
    <row r="2128" spans="1:15">
      <c r="A2128" s="195" t="str">
        <f t="shared" si="126"/>
        <v>outbound</v>
      </c>
      <c r="B2128" s="196">
        <v>45846.416666666664</v>
      </c>
      <c r="C2128" s="197" t="s">
        <v>1921</v>
      </c>
      <c r="D2128" s="197"/>
      <c r="E2128" s="215" t="s">
        <v>3035</v>
      </c>
      <c r="F2128" s="112" t="str">
        <f>IF(ISBLANK(E2128),"",_xlfn.XLOOKUP(E2128,cannabis_log!C:C,cannabis_log!J:J,"",0,))</f>
        <v>PR2507</v>
      </c>
      <c r="G2128" s="112"/>
      <c r="H2128" s="112" t="str">
        <f>IF(ISBLANK(E2128),"",_xlfn.XLOOKUP(E2128,cannabis_log!C:C,cannabis_log!H:H,"",0,1))</f>
        <v>driedflower_milled_bulk</v>
      </c>
      <c r="I2128" s="113" t="str">
        <f>IF(ISBLANK(E2128),"",_xlfn.XLOOKUP(E2128,cannabis_log!C:C,cannabis_log!K:K,"NOT FOUND",0,1))</f>
        <v>NA</v>
      </c>
      <c r="J2128" s="185">
        <v>-1</v>
      </c>
      <c r="K2128" s="186">
        <v>-2433</v>
      </c>
      <c r="L2128" s="288">
        <f t="shared" si="128"/>
        <v>0</v>
      </c>
      <c r="M2128" s="24"/>
      <c r="N2128" s="112" t="str">
        <f>IF(ISBLANK(E2128),"",_xlfn.XLOOKUP(E2128,cannabis_log!C:C,cannabis_log!T:T,"Not Found",0,))</f>
        <v>gross</v>
      </c>
      <c r="O2128" s="180">
        <f>IF(N2128="net",_xlfn.XLOOKUP(E2128,cannabis_log!C:C,cannabis_log!N:N,"NOT FOUND",0,1),IF(N2128="gross",0,""))</f>
        <v>0</v>
      </c>
    </row>
    <row r="2129" spans="1:15">
      <c r="A2129" s="195" t="str">
        <f t="shared" si="126"/>
        <v>outbound</v>
      </c>
      <c r="B2129" s="196">
        <v>45846.541666666664</v>
      </c>
      <c r="C2129" s="197" t="s">
        <v>1921</v>
      </c>
      <c r="D2129" s="197"/>
      <c r="E2129" s="215" t="s">
        <v>2656</v>
      </c>
      <c r="F2129" s="112" t="str">
        <f>IF(ISBLANK(E2129),"",_xlfn.XLOOKUP(E2129,cannabis_log!C:C,cannabis_log!J:J,"",0,))</f>
        <v>PR2507</v>
      </c>
      <c r="G2129" s="112"/>
      <c r="H2129" s="112" t="str">
        <f>IF(ISBLANK(E2129),"",_xlfn.XLOOKUP(E2129,cannabis_log!C:C,cannabis_log!H:H,"",0,1))</f>
        <v>driedflower_milled_bulk</v>
      </c>
      <c r="I2129" s="113" t="str">
        <f>IF(ISBLANK(E2129),"",_xlfn.XLOOKUP(E2129,cannabis_log!C:C,cannabis_log!K:K,"NOT FOUND",0,1))</f>
        <v>NA</v>
      </c>
      <c r="J2129" s="185">
        <v>-1</v>
      </c>
      <c r="K2129" s="186">
        <v>-166</v>
      </c>
      <c r="L2129" s="288">
        <f t="shared" si="128"/>
        <v>0</v>
      </c>
      <c r="M2129" s="24"/>
      <c r="N2129" s="112" t="str">
        <f>IF(ISBLANK(E2129),"",_xlfn.XLOOKUP(E2129,cannabis_log!C:C,cannabis_log!T:T,"Not Found",0,))</f>
        <v>gross</v>
      </c>
      <c r="O2129" s="180">
        <f>IF(N2129="net",_xlfn.XLOOKUP(E2129,cannabis_log!C:C,cannabis_log!N:N,"NOT FOUND",0,1),IF(N2129="gross",0,""))</f>
        <v>0</v>
      </c>
    </row>
    <row r="2130" spans="1:15">
      <c r="A2130" s="195" t="str">
        <f t="shared" si="126"/>
        <v>outbound</v>
      </c>
      <c r="B2130" s="196">
        <v>45846.541666666664</v>
      </c>
      <c r="C2130" s="197" t="s">
        <v>1929</v>
      </c>
      <c r="D2130" s="197" t="s">
        <v>3190</v>
      </c>
      <c r="E2130" s="215" t="s">
        <v>3191</v>
      </c>
      <c r="F2130" s="112" t="str">
        <f>IF(ISBLANK(E2130),"",_xlfn.XLOOKUP(E2130,cannabis_log!C:C,cannabis_log!J:J,"",0,))</f>
        <v>PR2516F1P2</v>
      </c>
      <c r="G2130" s="112"/>
      <c r="H2130" s="112" t="str">
        <f>IF(ISBLANK(E2130),"",_xlfn.XLOOKUP(E2130,cannabis_log!C:C,cannabis_log!H:H,"",0,1))</f>
        <v>preroll_labelled</v>
      </c>
      <c r="I2130" s="113">
        <f>IF(ISBLANK(E2130),"",_xlfn.XLOOKUP(E2130,cannabis_log!C:C,cannabis_log!K:K,"NOT FOUND",0,1))</f>
        <v>45831</v>
      </c>
      <c r="J2130" s="185">
        <v>-24</v>
      </c>
      <c r="K2130" s="186">
        <f t="shared" ref="K2130:K2143" si="129">IF(N2130="net",0,"")</f>
        <v>0</v>
      </c>
      <c r="L2130" s="288">
        <f t="shared" si="128"/>
        <v>-48</v>
      </c>
      <c r="M2130" s="24"/>
      <c r="N2130" s="112" t="str">
        <f>IF(ISBLANK(E2130),"",_xlfn.XLOOKUP(E2130,cannabis_log!C:C,cannabis_log!T:T,"Not Found",0,))</f>
        <v>net</v>
      </c>
      <c r="O2130" s="180">
        <f>IF(N2130="net",_xlfn.XLOOKUP(E2130,cannabis_log!C:C,cannabis_log!N:N,"NOT FOUND",0,1),IF(N2130="gross",0,""))</f>
        <v>2</v>
      </c>
    </row>
    <row r="2131" spans="1:15">
      <c r="A2131" s="181" t="str">
        <f t="shared" si="126"/>
        <v>outbound</v>
      </c>
      <c r="B2131" s="196">
        <v>45846.541666666664</v>
      </c>
      <c r="C2131" s="197" t="s">
        <v>1929</v>
      </c>
      <c r="D2131" s="197" t="s">
        <v>3190</v>
      </c>
      <c r="E2131" s="215" t="s">
        <v>3054</v>
      </c>
      <c r="F2131" s="112" t="str">
        <f>IF(ISBLANK(E2131),"",_xlfn.XLOOKUP(E2131,cannabis_log!C:C,cannabis_log!J:J,"",0,))</f>
        <v>ROGEX001G1</v>
      </c>
      <c r="G2131" s="112"/>
      <c r="H2131" s="112" t="str">
        <f>IF(ISBLANK(E2131),"",_xlfn.XLOOKUP(E2131,cannabis_log!C:C,cannabis_log!H:H,"",0,1))</f>
        <v>extract_inhaled_labelled_Rohan</v>
      </c>
      <c r="I2131" s="113">
        <f>IF(ISBLANK(E2131),"",_xlfn.XLOOKUP(E2131,cannabis_log!C:C,cannabis_log!K:K,"NOT FOUND",0,1))</f>
        <v>45772</v>
      </c>
      <c r="J2131" s="185">
        <v>-12</v>
      </c>
      <c r="K2131" s="186">
        <f t="shared" si="129"/>
        <v>0</v>
      </c>
      <c r="L2131" s="288">
        <f t="shared" si="128"/>
        <v>-12</v>
      </c>
      <c r="M2131" s="24"/>
      <c r="N2131" s="112" t="str">
        <f>IF(ISBLANK(E2131),"",_xlfn.XLOOKUP(E2131,cannabis_log!C:C,cannabis_log!T:T,"Not Found",0,))</f>
        <v>net</v>
      </c>
      <c r="O2131" s="180">
        <f>IF(N2131="net",_xlfn.XLOOKUP(E2131,cannabis_log!C:C,cannabis_log!N:N,"NOT FOUND",0,1),IF(N2131="gross",0,""))</f>
        <v>1</v>
      </c>
    </row>
    <row r="2132" spans="1:15">
      <c r="A2132" s="195" t="str">
        <f t="shared" si="126"/>
        <v>outbound</v>
      </c>
      <c r="B2132" s="196">
        <v>45846.541666666664</v>
      </c>
      <c r="C2132" s="197" t="s">
        <v>1929</v>
      </c>
      <c r="D2132" s="197" t="s">
        <v>3190</v>
      </c>
      <c r="E2132" s="215" t="s">
        <v>3192</v>
      </c>
      <c r="F2132" s="112" t="str">
        <f>IF(ISBLANK(E2132),"",_xlfn.XLOOKUP(E2132,cannabis_log!C:C,cannabis_log!J:J,"",0,))</f>
        <v>EX25012101V50</v>
      </c>
      <c r="G2132" s="112"/>
      <c r="H2132" s="112" t="str">
        <f>IF(ISBLANK(E2132),"",_xlfn.XLOOKUP(E2132,cannabis_log!C:C,cannabis_log!H:H,"",0,1))</f>
        <v>extract_ingested_cased_BC</v>
      </c>
      <c r="I2132" s="113">
        <f>IF(ISBLANK(E2132),"",_xlfn.XLOOKUP(E2132,cannabis_log!C:C,cannabis_log!K:K,"NOT FOUND",0,1))</f>
        <v>45700</v>
      </c>
      <c r="J2132" s="185">
        <v>-1</v>
      </c>
      <c r="K2132" s="186">
        <f t="shared" si="129"/>
        <v>0</v>
      </c>
      <c r="L2132" s="288">
        <f t="shared" si="128"/>
        <v>-50</v>
      </c>
      <c r="M2132" s="24"/>
      <c r="N2132" s="112" t="str">
        <f>IF(ISBLANK(E2132),"",_xlfn.XLOOKUP(E2132,cannabis_log!C:C,cannabis_log!T:T,"Not Found",0,))</f>
        <v>net</v>
      </c>
      <c r="O2132" s="180">
        <f>IF(N2132="net",_xlfn.XLOOKUP(E2132,cannabis_log!C:C,cannabis_log!N:N,"NOT FOUND",0,1),IF(N2132="gross",0,""))</f>
        <v>50</v>
      </c>
    </row>
    <row r="2133" spans="1:15">
      <c r="A2133" s="195" t="str">
        <f t="shared" si="126"/>
        <v>outbound</v>
      </c>
      <c r="B2133" s="196">
        <v>45846.541666666664</v>
      </c>
      <c r="C2133" s="197" t="s">
        <v>1929</v>
      </c>
      <c r="D2133" s="197" t="s">
        <v>3190</v>
      </c>
      <c r="E2133" s="215" t="s">
        <v>3051</v>
      </c>
      <c r="F2133" s="112" t="str">
        <f>IF(ISBLANK(E2133),"",_xlfn.XLOOKUP(E2133,cannabis_log!C:C,cannabis_log!J:J,"",0,))</f>
        <v>EX25041401V30</v>
      </c>
      <c r="G2133" s="112"/>
      <c r="H2133" s="112" t="str">
        <f>IF(ISBLANK(E2133),"",_xlfn.XLOOKUP(E2133,cannabis_log!C:C,cannabis_log!H:H,"",0,1))</f>
        <v>extract_ingested_labelled</v>
      </c>
      <c r="I2133" s="113">
        <f>IF(ISBLANK(E2133),"",_xlfn.XLOOKUP(E2133,cannabis_log!C:C,cannabis_log!K:K,"NOT FOUND",0,1))</f>
        <v>45777</v>
      </c>
      <c r="J2133" s="185">
        <v>-12</v>
      </c>
      <c r="K2133" s="186">
        <f t="shared" si="129"/>
        <v>0</v>
      </c>
      <c r="L2133" s="288">
        <f t="shared" si="128"/>
        <v>-327.60000000000002</v>
      </c>
      <c r="M2133" s="24"/>
      <c r="N2133" s="112" t="str">
        <f>IF(ISBLANK(E2133),"",_xlfn.XLOOKUP(E2133,cannabis_log!C:C,cannabis_log!T:T,"Not Found",0,))</f>
        <v>net</v>
      </c>
      <c r="O2133" s="180">
        <f>IF(N2133="net",_xlfn.XLOOKUP(E2133,cannabis_log!C:C,cannabis_log!N:N,"NOT FOUND",0,1),IF(N2133="gross",0,""))</f>
        <v>27.3</v>
      </c>
    </row>
    <row r="2134" spans="1:15">
      <c r="A2134" s="195" t="str">
        <f t="shared" si="126"/>
        <v>outbound</v>
      </c>
      <c r="B2134" s="196">
        <v>45846.541666666664</v>
      </c>
      <c r="C2134" s="197" t="s">
        <v>1929</v>
      </c>
      <c r="D2134" s="197" t="s">
        <v>1904</v>
      </c>
      <c r="E2134" s="215" t="s">
        <v>3193</v>
      </c>
      <c r="F2134" s="112" t="str">
        <f>IF(ISBLANK(E2134),"",_xlfn.XLOOKUP(E2134,cannabis_log!C:C,cannabis_log!J:J,"",0,))</f>
        <v>PR251708F5P12</v>
      </c>
      <c r="G2134" s="112"/>
      <c r="H2134" s="112" t="str">
        <f>IF(ISBLANK(E2134),"",_xlfn.XLOOKUP(E2134,cannabis_log!C:C,cannabis_log!H:H,"",0,1))</f>
        <v>preroll_labelled</v>
      </c>
      <c r="I2134" s="113">
        <f>IF(ISBLANK(E2134),"",_xlfn.XLOOKUP(E2134,cannabis_log!C:C,cannabis_log!K:K,"NOT FOUND",0,1))</f>
        <v>45825</v>
      </c>
      <c r="J2134" s="185">
        <v>-12</v>
      </c>
      <c r="K2134" s="186">
        <f t="shared" si="129"/>
        <v>0</v>
      </c>
      <c r="L2134" s="288">
        <f t="shared" si="128"/>
        <v>-72</v>
      </c>
      <c r="M2134" s="24"/>
      <c r="N2134" s="112" t="str">
        <f>IF(ISBLANK(E2134),"",_xlfn.XLOOKUP(E2134,cannabis_log!C:C,cannabis_log!T:T,"Not Found",0,))</f>
        <v>net</v>
      </c>
      <c r="O2134" s="180">
        <f>IF(N2134="net",_xlfn.XLOOKUP(E2134,cannabis_log!C:C,cannabis_log!N:N,"NOT FOUND",0,1),IF(N2134="gross",0,""))</f>
        <v>6</v>
      </c>
    </row>
    <row r="2135" spans="1:15">
      <c r="A2135" s="195" t="str">
        <f t="shared" si="126"/>
        <v>outbound</v>
      </c>
      <c r="B2135" s="196">
        <v>45846.541666666664</v>
      </c>
      <c r="C2135" s="197" t="s">
        <v>1929</v>
      </c>
      <c r="D2135" s="197" t="s">
        <v>3194</v>
      </c>
      <c r="E2135" s="215" t="s">
        <v>3193</v>
      </c>
      <c r="F2135" s="112" t="str">
        <f>IF(ISBLANK(E2135),"",_xlfn.XLOOKUP(E2135,cannabis_log!C:C,cannabis_log!J:J,"",0,))</f>
        <v>PR251708F5P12</v>
      </c>
      <c r="G2135" s="112"/>
      <c r="H2135" s="112" t="str">
        <f>IF(ISBLANK(E2135),"",_xlfn.XLOOKUP(E2135,cannabis_log!C:C,cannabis_log!H:H,"",0,1))</f>
        <v>preroll_labelled</v>
      </c>
      <c r="I2135" s="113">
        <f>IF(ISBLANK(E2135),"",_xlfn.XLOOKUP(E2135,cannabis_log!C:C,cannabis_log!K:K,"NOT FOUND",0,1))</f>
        <v>45825</v>
      </c>
      <c r="J2135" s="185">
        <v>-156</v>
      </c>
      <c r="K2135" s="186">
        <f t="shared" si="129"/>
        <v>0</v>
      </c>
      <c r="L2135" s="288">
        <f t="shared" si="128"/>
        <v>-936</v>
      </c>
      <c r="M2135" s="24"/>
      <c r="N2135" s="112" t="str">
        <f>IF(ISBLANK(E2135),"",_xlfn.XLOOKUP(E2135,cannabis_log!C:C,cannabis_log!T:T,"Not Found",0,))</f>
        <v>net</v>
      </c>
      <c r="O2135" s="180">
        <f>IF(N2135="net",_xlfn.XLOOKUP(E2135,cannabis_log!C:C,cannabis_log!N:N,"NOT FOUND",0,1),IF(N2135="gross",0,""))</f>
        <v>6</v>
      </c>
    </row>
    <row r="2136" spans="1:15">
      <c r="A2136" s="195" t="str">
        <f t="shared" si="126"/>
        <v>outbound</v>
      </c>
      <c r="B2136" s="196">
        <v>45847.541666666664</v>
      </c>
      <c r="C2136" s="197" t="s">
        <v>1929</v>
      </c>
      <c r="D2136" s="197" t="s">
        <v>3195</v>
      </c>
      <c r="E2136" s="215" t="s">
        <v>3196</v>
      </c>
      <c r="F2136" s="112" t="str">
        <f>IF(ISBLANK(E2136),"",_xlfn.XLOOKUP(E2136,cannabis_log!C:C,cannabis_log!J:J,"",0,))</f>
        <v>EX24092601V50</v>
      </c>
      <c r="G2136" s="112"/>
      <c r="H2136" s="112" t="str">
        <f>IF(ISBLANK(E2136),"",_xlfn.XLOOKUP(E2136,cannabis_log!C:C,cannabis_log!H:H,"",0,1))</f>
        <v>extract_ingested_cased_BC</v>
      </c>
      <c r="I2136" s="113">
        <f>IF(ISBLANK(E2136),"",_xlfn.XLOOKUP(E2136,cannabis_log!C:C,cannabis_log!K:K,"NOT FOUND",0,1))</f>
        <v>45576</v>
      </c>
      <c r="J2136" s="185">
        <v>-4</v>
      </c>
      <c r="K2136" s="186">
        <f t="shared" si="129"/>
        <v>0</v>
      </c>
      <c r="L2136" s="288">
        <f t="shared" si="128"/>
        <v>-200</v>
      </c>
      <c r="M2136" s="24"/>
      <c r="N2136" s="112" t="str">
        <f>IF(ISBLANK(E2136),"",_xlfn.XLOOKUP(E2136,cannabis_log!C:C,cannabis_log!T:T,"Not Found",0,))</f>
        <v>net</v>
      </c>
      <c r="O2136" s="180">
        <f>IF(N2136="net",_xlfn.XLOOKUP(E2136,cannabis_log!C:C,cannabis_log!N:N,"NOT FOUND",0,1),IF(N2136="gross",0,""))</f>
        <v>50</v>
      </c>
    </row>
    <row r="2137" spans="1:15">
      <c r="A2137" s="195" t="str">
        <f t="shared" ref="A2137:A2163" si="130">IF(ISBLANK(J2137),"",IF(J2137+K2137+L2137&lt;0,"outbound","inbound"))</f>
        <v>outbound</v>
      </c>
      <c r="B2137" s="196">
        <v>45848.375</v>
      </c>
      <c r="C2137" s="197" t="s">
        <v>1929</v>
      </c>
      <c r="D2137" s="197" t="s">
        <v>3194</v>
      </c>
      <c r="E2137" s="215" t="s">
        <v>3121</v>
      </c>
      <c r="F2137" s="112" t="str">
        <f>IF(ISBLANK(E2137),"",_xlfn.XLOOKUP(E2137,cannabis_log!C:C,cannabis_log!J:J,"",0,))</f>
        <v>PR2502INF5P3</v>
      </c>
      <c r="G2137" s="112"/>
      <c r="H2137" s="112" t="str">
        <f>IF(ISBLANK(E2137),"",_xlfn.XLOOKUP(E2137,cannabis_log!C:C,cannabis_log!H:H,"",0,1))</f>
        <v>preroll_labelled</v>
      </c>
      <c r="I2137" s="113">
        <f>IF(ISBLANK(E2137),"",_xlfn.XLOOKUP(E2137,cannabis_log!C:C,cannabis_log!K:K,"NOT FOUND",0,1))</f>
        <v>45826</v>
      </c>
      <c r="J2137" s="185">
        <v>-120</v>
      </c>
      <c r="K2137" s="186">
        <f t="shared" si="129"/>
        <v>0</v>
      </c>
      <c r="L2137" s="288">
        <f t="shared" si="128"/>
        <v>-180</v>
      </c>
      <c r="M2137" s="24"/>
      <c r="N2137" s="112" t="str">
        <f>IF(ISBLANK(E2137),"",_xlfn.XLOOKUP(E2137,cannabis_log!C:C,cannabis_log!T:T,"Not Found",0,))</f>
        <v>net</v>
      </c>
      <c r="O2137" s="180">
        <f>IF(N2137="net",_xlfn.XLOOKUP(E2137,cannabis_log!C:C,cannabis_log!N:N,"NOT FOUND",0,1),IF(N2137="gross",0,""))</f>
        <v>1.5</v>
      </c>
    </row>
    <row r="2138" spans="1:15">
      <c r="A2138" s="195" t="str">
        <f t="shared" si="130"/>
        <v>outbound</v>
      </c>
      <c r="B2138" s="196">
        <v>45848.375</v>
      </c>
      <c r="C2138" s="197" t="s">
        <v>1929</v>
      </c>
      <c r="D2138" s="197" t="s">
        <v>3190</v>
      </c>
      <c r="E2138" s="215" t="s">
        <v>3197</v>
      </c>
      <c r="F2138" s="112" t="str">
        <f>IF(ISBLANK(E2138),"",_xlfn.XLOOKUP(E2138,cannabis_log!C:C,cannabis_log!J:J,"",0,))</f>
        <v>EX24092601V50</v>
      </c>
      <c r="G2138" s="112"/>
      <c r="H2138" s="112" t="str">
        <f>IF(ISBLANK(E2138),"",_xlfn.XLOOKUP(E2138,cannabis_log!C:C,cannabis_log!H:H,"",0,1))</f>
        <v>extract_ingested_cased_BC</v>
      </c>
      <c r="I2138" s="113">
        <f>IF(ISBLANK(E2138),"",_xlfn.XLOOKUP(E2138,cannabis_log!C:C,cannabis_log!K:K,"NOT FOUND",0,1))</f>
        <v>45576</v>
      </c>
      <c r="J2138" s="185">
        <v>-1</v>
      </c>
      <c r="K2138" s="186">
        <f t="shared" si="129"/>
        <v>0</v>
      </c>
      <c r="L2138" s="288">
        <f t="shared" si="128"/>
        <v>-600</v>
      </c>
      <c r="M2138" s="24"/>
      <c r="N2138" s="112" t="str">
        <f>IF(ISBLANK(E2138),"",_xlfn.XLOOKUP(E2138,cannabis_log!C:C,cannabis_log!T:T,"Not Found",0,))</f>
        <v>net</v>
      </c>
      <c r="O2138" s="180">
        <f>IF(N2138="net",_xlfn.XLOOKUP(E2138,cannabis_log!C:C,cannabis_log!N:N,"NOT FOUND",0,1),IF(N2138="gross",0,""))</f>
        <v>600</v>
      </c>
    </row>
    <row r="2139" spans="1:15">
      <c r="A2139" s="195" t="str">
        <f t="shared" si="130"/>
        <v>outbound</v>
      </c>
      <c r="B2139" s="196">
        <v>45848.416666666664</v>
      </c>
      <c r="C2139" s="197" t="s">
        <v>1929</v>
      </c>
      <c r="D2139" s="197" t="s">
        <v>3198</v>
      </c>
      <c r="E2139" s="215" t="s">
        <v>3192</v>
      </c>
      <c r="F2139" s="112" t="str">
        <f>IF(ISBLANK(E2139),"",_xlfn.XLOOKUP(E2139,cannabis_log!C:C,cannabis_log!J:J,"",0,))</f>
        <v>EX25012101V50</v>
      </c>
      <c r="G2139" s="112"/>
      <c r="H2139" s="112" t="str">
        <f>IF(ISBLANK(E2139),"",_xlfn.XLOOKUP(E2139,cannabis_log!C:C,cannabis_log!H:H,"",0,1))</f>
        <v>extract_ingested_cased_BC</v>
      </c>
      <c r="I2139" s="113">
        <f>IF(ISBLANK(E2139),"",_xlfn.XLOOKUP(E2139,cannabis_log!C:C,cannabis_log!K:K,"NOT FOUND",0,1))</f>
        <v>45700</v>
      </c>
      <c r="J2139" s="185">
        <v>-2</v>
      </c>
      <c r="K2139" s="186">
        <f t="shared" si="129"/>
        <v>0</v>
      </c>
      <c r="L2139" s="288">
        <f t="shared" si="128"/>
        <v>-100</v>
      </c>
      <c r="M2139" s="24"/>
      <c r="N2139" s="112" t="str">
        <f>IF(ISBLANK(E2139),"",_xlfn.XLOOKUP(E2139,cannabis_log!C:C,cannabis_log!T:T,"Not Found",0,))</f>
        <v>net</v>
      </c>
      <c r="O2139" s="180">
        <f>IF(N2139="net",_xlfn.XLOOKUP(E2139,cannabis_log!C:C,cannabis_log!N:N,"NOT FOUND",0,1),IF(N2139="gross",0,""))</f>
        <v>50</v>
      </c>
    </row>
    <row r="2140" spans="1:15">
      <c r="A2140" s="195" t="str">
        <f t="shared" si="130"/>
        <v>outbound</v>
      </c>
      <c r="B2140" s="196">
        <v>45848.416666666664</v>
      </c>
      <c r="C2140" s="197" t="s">
        <v>1929</v>
      </c>
      <c r="D2140" s="197" t="s">
        <v>3198</v>
      </c>
      <c r="E2140" s="215" t="s">
        <v>3197</v>
      </c>
      <c r="F2140" s="112" t="str">
        <f>IF(ISBLANK(E2140),"",_xlfn.XLOOKUP(E2140,cannabis_log!C:C,cannabis_log!J:J,"",0,))</f>
        <v>EX24092601V50</v>
      </c>
      <c r="G2140" s="112"/>
      <c r="H2140" s="112" t="str">
        <f>IF(ISBLANK(E2140),"",_xlfn.XLOOKUP(E2140,cannabis_log!C:C,cannabis_log!H:H,"",0,1))</f>
        <v>extract_ingested_cased_BC</v>
      </c>
      <c r="I2140" s="113">
        <f>IF(ISBLANK(E2140),"",_xlfn.XLOOKUP(E2140,cannabis_log!C:C,cannabis_log!K:K,"NOT FOUND",0,1))</f>
        <v>45576</v>
      </c>
      <c r="J2140" s="185">
        <v>-2</v>
      </c>
      <c r="K2140" s="186">
        <f t="shared" si="129"/>
        <v>0</v>
      </c>
      <c r="L2140" s="288">
        <f t="shared" si="128"/>
        <v>-1200</v>
      </c>
      <c r="M2140" s="24"/>
      <c r="N2140" s="112" t="str">
        <f>IF(ISBLANK(E2140),"",_xlfn.XLOOKUP(E2140,cannabis_log!C:C,cannabis_log!T:T,"Not Found",0,))</f>
        <v>net</v>
      </c>
      <c r="O2140" s="180">
        <f>IF(N2140="net",_xlfn.XLOOKUP(E2140,cannabis_log!C:C,cannabis_log!N:N,"NOT FOUND",0,1),IF(N2140="gross",0,""))</f>
        <v>600</v>
      </c>
    </row>
    <row r="2141" spans="1:15">
      <c r="A2141" s="195" t="str">
        <f t="shared" si="130"/>
        <v>outbound</v>
      </c>
      <c r="B2141" s="196">
        <v>45848.416666666664</v>
      </c>
      <c r="C2141" s="197" t="s">
        <v>1929</v>
      </c>
      <c r="D2141" s="197" t="s">
        <v>3198</v>
      </c>
      <c r="E2141" s="215" t="s">
        <v>3199</v>
      </c>
      <c r="F2141" s="112" t="str">
        <f>IF(ISBLANK(E2141),"",_xlfn.XLOOKUP(E2141,cannabis_log!C:C,cannabis_log!J:J,"",0,))</f>
        <v>EX25050501V50</v>
      </c>
      <c r="G2141" s="112"/>
      <c r="H2141" s="112" t="str">
        <f>IF(ISBLANK(E2141),"",_xlfn.XLOOKUP(E2141,cannabis_log!C:C,cannabis_log!H:H,"",0,1))</f>
        <v>extract_ingested_cased_BC</v>
      </c>
      <c r="I2141" s="113">
        <f>IF(ISBLANK(E2141),"",_xlfn.XLOOKUP(E2141,cannabis_log!C:C,cannabis_log!K:K,"NOT FOUND",0,1))</f>
        <v>45790</v>
      </c>
      <c r="J2141" s="185">
        <v>-2</v>
      </c>
      <c r="K2141" s="186">
        <f t="shared" si="129"/>
        <v>0</v>
      </c>
      <c r="L2141" s="288">
        <f t="shared" si="128"/>
        <v>-100</v>
      </c>
      <c r="M2141" s="24"/>
      <c r="N2141" s="112" t="str">
        <f>IF(ISBLANK(E2141),"",_xlfn.XLOOKUP(E2141,cannabis_log!C:C,cannabis_log!T:T,"Not Found",0,))</f>
        <v>net</v>
      </c>
      <c r="O2141" s="180">
        <f>IF(N2141="net",_xlfn.XLOOKUP(E2141,cannabis_log!C:C,cannabis_log!N:N,"NOT FOUND",0,1),IF(N2141="gross",0,""))</f>
        <v>50</v>
      </c>
    </row>
    <row r="2142" spans="1:15">
      <c r="A2142" s="195" t="str">
        <f t="shared" si="130"/>
        <v>outbound</v>
      </c>
      <c r="B2142" s="196">
        <v>45848.416666666664</v>
      </c>
      <c r="C2142" s="197" t="s">
        <v>1929</v>
      </c>
      <c r="D2142" s="197" t="s">
        <v>3198</v>
      </c>
      <c r="E2142" s="215" t="s">
        <v>3121</v>
      </c>
      <c r="F2142" s="112" t="str">
        <f>IF(ISBLANK(E2142),"",_xlfn.XLOOKUP(E2142,cannabis_log!C:C,cannabis_log!J:J,"",0,))</f>
        <v>PR2502INF5P3</v>
      </c>
      <c r="G2142" s="112"/>
      <c r="H2142" s="112" t="str">
        <f>IF(ISBLANK(E2142),"",_xlfn.XLOOKUP(E2142,cannabis_log!C:C,cannabis_log!H:H,"",0,1))</f>
        <v>preroll_labelled</v>
      </c>
      <c r="I2142" s="113">
        <f>IF(ISBLANK(E2142),"",_xlfn.XLOOKUP(E2142,cannabis_log!C:C,cannabis_log!K:K,"NOT FOUND",0,1))</f>
        <v>45826</v>
      </c>
      <c r="J2142" s="185">
        <v>-12</v>
      </c>
      <c r="K2142" s="186">
        <f t="shared" si="129"/>
        <v>0</v>
      </c>
      <c r="L2142" s="288">
        <f t="shared" si="128"/>
        <v>-18</v>
      </c>
      <c r="M2142" s="24"/>
      <c r="N2142" s="112" t="str">
        <f>IF(ISBLANK(E2142),"",_xlfn.XLOOKUP(E2142,cannabis_log!C:C,cannabis_log!T:T,"Not Found",0,))</f>
        <v>net</v>
      </c>
      <c r="O2142" s="180">
        <f>IF(N2142="net",_xlfn.XLOOKUP(E2142,cannabis_log!C:C,cannabis_log!N:N,"NOT FOUND",0,1),IF(N2142="gross",0,""))</f>
        <v>1.5</v>
      </c>
    </row>
    <row r="2143" spans="1:15">
      <c r="A2143" s="195" t="str">
        <f t="shared" si="130"/>
        <v>outbound</v>
      </c>
      <c r="B2143" s="196">
        <v>45848.416666666664</v>
      </c>
      <c r="C2143" s="197" t="s">
        <v>1929</v>
      </c>
      <c r="D2143" s="197" t="s">
        <v>3198</v>
      </c>
      <c r="E2143" s="215" t="s">
        <v>3200</v>
      </c>
      <c r="F2143" s="112" t="str">
        <f>IF(ISBLANK(E2143),"",_xlfn.XLOOKUP(E2143,cannabis_log!C:C,cannabis_log!J:J,"",0,))</f>
        <v>PR2512F5P5</v>
      </c>
      <c r="G2143" s="112"/>
      <c r="H2143" s="112" t="str">
        <f>IF(ISBLANK(E2143),"",_xlfn.XLOOKUP(E2143,cannabis_log!C:C,cannabis_log!H:H,"",0,1))</f>
        <v>preroll_labelled</v>
      </c>
      <c r="I2143" s="113">
        <f>IF(ISBLANK(E2143),"",_xlfn.XLOOKUP(E2143,cannabis_log!C:C,cannabis_log!K:K,"NOT FOUND",0,1))</f>
        <v>45833</v>
      </c>
      <c r="J2143" s="185">
        <v>-12</v>
      </c>
      <c r="K2143" s="186">
        <f t="shared" si="129"/>
        <v>0</v>
      </c>
      <c r="L2143" s="288">
        <f t="shared" si="128"/>
        <v>-30</v>
      </c>
      <c r="M2143" s="24"/>
      <c r="N2143" s="112" t="str">
        <f>IF(ISBLANK(E2143),"",_xlfn.XLOOKUP(E2143,cannabis_log!C:C,cannabis_log!T:T,"Not Found",0,))</f>
        <v>net</v>
      </c>
      <c r="O2143" s="180">
        <f>IF(N2143="net",_xlfn.XLOOKUP(E2143,cannabis_log!C:C,cannabis_log!N:N,"NOT FOUND",0,1),IF(N2143="gross",0,""))</f>
        <v>2.5</v>
      </c>
    </row>
    <row r="2144" spans="1:15">
      <c r="A2144" s="195" t="str">
        <f t="shared" si="130"/>
        <v>outbound</v>
      </c>
      <c r="B2144" s="196">
        <v>45848.458333333336</v>
      </c>
      <c r="C2144" s="197" t="s">
        <v>1921</v>
      </c>
      <c r="D2144" s="197"/>
      <c r="E2144" s="215" t="s">
        <v>3201</v>
      </c>
      <c r="F2144" s="112">
        <f>IF(ISBLANK(E2144),"",_xlfn.XLOOKUP(E2144,cannabis_log!C:C,cannabis_log!J:J,"",0,))</f>
        <v>2024121801</v>
      </c>
      <c r="G2144" s="112"/>
      <c r="H2144" s="112" t="str">
        <f>IF(ISBLANK(E2144),"",_xlfn.XLOOKUP(E2144,cannabis_log!C:C,cannabis_log!H:H,"",0,1))</f>
        <v>driedflower_bulk_big</v>
      </c>
      <c r="I2144" s="113" t="str">
        <f>IF(ISBLANK(E2144),"",_xlfn.XLOOKUP(E2144,cannabis_log!C:C,cannabis_log!K:K,"NOT FOUND",0,1))</f>
        <v>NA</v>
      </c>
      <c r="J2144" s="185">
        <v>-1</v>
      </c>
      <c r="K2144" s="186">
        <v>-10250</v>
      </c>
      <c r="L2144" s="288">
        <f t="shared" si="128"/>
        <v>0</v>
      </c>
      <c r="M2144" s="24"/>
      <c r="N2144" s="112" t="str">
        <f>IF(ISBLANK(E2144),"",_xlfn.XLOOKUP(E2144,cannabis_log!C:C,cannabis_log!T:T,"Not Found",0,))</f>
        <v>gross</v>
      </c>
      <c r="O2144" s="180">
        <f>IF(N2144="net",_xlfn.XLOOKUP(E2144,cannabis_log!C:C,cannabis_log!N:N,"NOT FOUND",0,1),IF(N2144="gross",0,""))</f>
        <v>0</v>
      </c>
    </row>
    <row r="2145" spans="1:15">
      <c r="A2145" s="195" t="str">
        <f t="shared" si="130"/>
        <v>outbound</v>
      </c>
      <c r="B2145" s="196">
        <v>45848.458333333336</v>
      </c>
      <c r="C2145" s="197" t="s">
        <v>1929</v>
      </c>
      <c r="D2145" s="197" t="s">
        <v>3202</v>
      </c>
      <c r="E2145" s="215" t="s">
        <v>3203</v>
      </c>
      <c r="F2145" s="112" t="str">
        <f>IF(ISBLANK(E2145),"",_xlfn.XLOOKUP(E2145,cannabis_log!C:C,cannabis_log!J:J,"",0,))</f>
        <v>TP25051501</v>
      </c>
      <c r="G2145" s="112"/>
      <c r="H2145" s="112" t="str">
        <f>IF(ISBLANK(E2145),"",_xlfn.XLOOKUP(E2145,cannabis_log!C:C,cannabis_log!H:H,"",0,1))</f>
        <v>topical_labelled</v>
      </c>
      <c r="I2145" s="113">
        <f>IF(ISBLANK(E2145),"",_xlfn.XLOOKUP(E2145,cannabis_log!C:C,cannabis_log!K:K,"NOT FOUND",0,1))</f>
        <v>45805</v>
      </c>
      <c r="J2145" s="185">
        <v>-60</v>
      </c>
      <c r="K2145" s="186">
        <f>IF(N2145="net",0,"")</f>
        <v>0</v>
      </c>
      <c r="L2145" s="288">
        <f t="shared" si="128"/>
        <v>-5280</v>
      </c>
      <c r="M2145" s="24"/>
      <c r="N2145" s="112" t="str">
        <f>IF(ISBLANK(E2145),"",_xlfn.XLOOKUP(E2145,cannabis_log!C:C,cannabis_log!T:T,"Not Found",0,))</f>
        <v>net</v>
      </c>
      <c r="O2145" s="180">
        <f>IF(N2145="net",_xlfn.XLOOKUP(E2145,cannabis_log!C:C,cannabis_log!N:N,"NOT FOUND",0,1),IF(N2145="gross",0,""))</f>
        <v>88</v>
      </c>
    </row>
    <row r="2146" spans="1:15">
      <c r="A2146" s="195" t="str">
        <f t="shared" si="130"/>
        <v>outbound</v>
      </c>
      <c r="B2146" s="196">
        <v>45848.625</v>
      </c>
      <c r="C2146" s="197" t="s">
        <v>1929</v>
      </c>
      <c r="D2146" s="197" t="s">
        <v>1906</v>
      </c>
      <c r="E2146" s="215" t="s">
        <v>3204</v>
      </c>
      <c r="F2146" s="112" t="str">
        <f>IF(ISBLANK(E2146),"",_xlfn.XLOOKUP(E2146,cannabis_log!C:C,cannabis_log!J:J,"",0,))</f>
        <v>2024111803G7</v>
      </c>
      <c r="G2146" s="112"/>
      <c r="H2146" s="112" t="str">
        <f>IF(ISBLANK(E2146),"",_xlfn.XLOOKUP(E2146,cannabis_log!C:C,cannabis_log!H:H,"",0,1))</f>
        <v>driedflower_labelled</v>
      </c>
      <c r="I2146" s="113">
        <f>IF(ISBLANK(E2146),"",_xlfn.XLOOKUP(E2146,cannabis_log!C:C,cannabis_log!K:K,"NOT FOUND",0,1))</f>
        <v>45826</v>
      </c>
      <c r="J2146" s="185">
        <v>-120</v>
      </c>
      <c r="K2146" s="186">
        <f>IF(N2146="net",0,"")</f>
        <v>0</v>
      </c>
      <c r="L2146" s="288">
        <f t="shared" si="128"/>
        <v>-840</v>
      </c>
      <c r="M2146" s="24"/>
      <c r="N2146" s="112" t="str">
        <f>IF(ISBLANK(E2146),"",_xlfn.XLOOKUP(E2146,cannabis_log!C:C,cannabis_log!T:T,"Not Found",0,))</f>
        <v>net</v>
      </c>
      <c r="O2146" s="180">
        <f>IF(N2146="net",_xlfn.XLOOKUP(E2146,cannabis_log!C:C,cannabis_log!N:N,"NOT FOUND",0,1),IF(N2146="gross",0,""))</f>
        <v>7</v>
      </c>
    </row>
    <row r="2147" spans="1:15">
      <c r="A2147" s="195" t="str">
        <f t="shared" si="130"/>
        <v>outbound</v>
      </c>
      <c r="B2147" s="196">
        <v>45848.625</v>
      </c>
      <c r="C2147" s="197" t="s">
        <v>1921</v>
      </c>
      <c r="D2147" s="197"/>
      <c r="E2147" s="215" t="s">
        <v>3123</v>
      </c>
      <c r="F2147" s="112" t="str">
        <f>IF(ISBLANK(E2147),"",_xlfn.XLOOKUP(E2147,cannabis_log!C:C,cannabis_log!J:J,"",0,))</f>
        <v>PR2512</v>
      </c>
      <c r="G2147" s="112"/>
      <c r="H2147" s="112" t="str">
        <f>IF(ISBLANK(E2147),"",_xlfn.XLOOKUP(E2147,cannabis_log!C:C,cannabis_log!H:H,"",0,1))</f>
        <v>diredflower_milled_bulk_Rohan</v>
      </c>
      <c r="I2147" s="113" t="str">
        <f>IF(ISBLANK(E2147),"",_xlfn.XLOOKUP(E2147,cannabis_log!C:C,cannabis_log!K:K,"NOT FOUND",0,1))</f>
        <v>NA</v>
      </c>
      <c r="J2147" s="185">
        <v>-1</v>
      </c>
      <c r="K2147" s="186">
        <v>-2104</v>
      </c>
      <c r="L2147" s="288">
        <f t="shared" si="128"/>
        <v>0</v>
      </c>
      <c r="M2147" s="24"/>
      <c r="N2147" s="112" t="str">
        <f>IF(ISBLANK(E2147),"",_xlfn.XLOOKUP(E2147,cannabis_log!C:C,cannabis_log!T:T,"Not Found",0,))</f>
        <v>gross</v>
      </c>
      <c r="O2147" s="180">
        <f>IF(N2147="net",_xlfn.XLOOKUP(E2147,cannabis_log!C:C,cannabis_log!N:N,"NOT FOUND",0,1),IF(N2147="gross",0,""))</f>
        <v>0</v>
      </c>
    </row>
    <row r="2148" spans="1:15">
      <c r="A2148" s="195" t="str">
        <f t="shared" si="130"/>
        <v>outbound</v>
      </c>
      <c r="B2148" s="196">
        <v>45849.416666666664</v>
      </c>
      <c r="C2148" s="197" t="s">
        <v>1929</v>
      </c>
      <c r="D2148" s="197"/>
      <c r="E2148" s="215" t="s">
        <v>2477</v>
      </c>
      <c r="F2148" s="112" t="str">
        <f>IF(ISBLANK(E2148),"",_xlfn.XLOOKUP(E2148,cannabis_log!C:C,cannabis_log!J:J,"",0,))</f>
        <v>PR241102F5P3</v>
      </c>
      <c r="G2148" s="112"/>
      <c r="H2148" s="112" t="str">
        <f>IF(ISBLANK(E2148),"",_xlfn.XLOOKUP(E2148,cannabis_log!C:C,cannabis_log!H:H,"",0,1))</f>
        <v>preroll_labelled</v>
      </c>
      <c r="I2148" s="113">
        <f>IF(ISBLANK(E2148),"",_xlfn.XLOOKUP(E2148,cannabis_log!C:C,cannabis_log!K:K,"NOT FOUND",0,1))</f>
        <v>45660</v>
      </c>
      <c r="J2148" s="185">
        <v>-12</v>
      </c>
      <c r="K2148" s="186">
        <f t="shared" ref="K2148:K2165" si="131">IF(N2148="net",0,"")</f>
        <v>0</v>
      </c>
      <c r="L2148" s="288">
        <f t="shared" si="128"/>
        <v>-18</v>
      </c>
      <c r="M2148" s="24"/>
      <c r="N2148" s="112" t="str">
        <f>IF(ISBLANK(E2148),"",_xlfn.XLOOKUP(E2148,cannabis_log!C:C,cannabis_log!T:T,"Not Found",0,))</f>
        <v>net</v>
      </c>
      <c r="O2148" s="180">
        <f>IF(N2148="net",_xlfn.XLOOKUP(E2148,cannabis_log!C:C,cannabis_log!N:N,"NOT FOUND",0,1),IF(N2148="gross",0,""))</f>
        <v>1.5</v>
      </c>
    </row>
    <row r="2149" spans="1:15">
      <c r="A2149" s="195" t="str">
        <f t="shared" si="130"/>
        <v>outbound</v>
      </c>
      <c r="B2149" s="196">
        <v>45849.416666666664</v>
      </c>
      <c r="C2149" s="197" t="s">
        <v>1929</v>
      </c>
      <c r="D2149" s="197"/>
      <c r="E2149" s="215" t="s">
        <v>3097</v>
      </c>
      <c r="F2149" s="112" t="str">
        <f>IF(ISBLANK(E2149),"",_xlfn.XLOOKUP(E2149,cannabis_log!C:C,cannabis_log!J:J,"",0,))</f>
        <v>PR251701F5P3</v>
      </c>
      <c r="G2149" s="112"/>
      <c r="H2149" s="112" t="str">
        <f>IF(ISBLANK(E2149),"",_xlfn.XLOOKUP(E2149,cannabis_log!C:C,cannabis_log!H:H,"",0,1))</f>
        <v>preroll_labelled</v>
      </c>
      <c r="I2149" s="113">
        <f>IF(ISBLANK(E2149),"",_xlfn.XLOOKUP(E2149,cannabis_log!C:C,cannabis_log!K:K,"NOT FOUND",0,1))</f>
        <v>45800</v>
      </c>
      <c r="J2149" s="185">
        <v>-48</v>
      </c>
      <c r="K2149" s="186">
        <f t="shared" si="131"/>
        <v>0</v>
      </c>
      <c r="L2149" s="288">
        <f t="shared" si="128"/>
        <v>-72</v>
      </c>
      <c r="M2149" s="24"/>
      <c r="N2149" s="112" t="str">
        <f>IF(ISBLANK(E2149),"",_xlfn.XLOOKUP(E2149,cannabis_log!C:C,cannabis_log!T:T,"Not Found",0,))</f>
        <v>net</v>
      </c>
      <c r="O2149" s="180">
        <f>IF(N2149="net",_xlfn.XLOOKUP(E2149,cannabis_log!C:C,cannabis_log!N:N,"NOT FOUND",0,1),IF(N2149="gross",0,""))</f>
        <v>1.5</v>
      </c>
    </row>
    <row r="2150" spans="1:15">
      <c r="A2150" s="195" t="str">
        <f t="shared" si="130"/>
        <v>outbound</v>
      </c>
      <c r="B2150" s="196">
        <v>45849.416666666664</v>
      </c>
      <c r="C2150" s="197" t="s">
        <v>1929</v>
      </c>
      <c r="D2150" s="197"/>
      <c r="E2150" s="215" t="s">
        <v>3160</v>
      </c>
      <c r="F2150" s="112" t="str">
        <f>IF(ISBLANK(E2150),"",_xlfn.XLOOKUP(E2150,cannabis_log!C:C,cannabis_log!J:J,"",0,))</f>
        <v>EX25010907G1</v>
      </c>
      <c r="G2150" s="112"/>
      <c r="H2150" s="112" t="str">
        <f>IF(ISBLANK(E2150),"",_xlfn.XLOOKUP(E2150,cannabis_log!C:C,cannabis_log!H:H,"",0,1))</f>
        <v>extract_inhaled_labelled</v>
      </c>
      <c r="I2150" s="113">
        <f>IF(ISBLANK(E2150),"",_xlfn.XLOOKUP(E2150,cannabis_log!C:C,cannabis_log!K:K,"NOT FOUND",0,1))</f>
        <v>45742</v>
      </c>
      <c r="J2150" s="185">
        <v>-12</v>
      </c>
      <c r="K2150" s="186">
        <f t="shared" si="131"/>
        <v>0</v>
      </c>
      <c r="L2150" s="288">
        <f t="shared" si="128"/>
        <v>-12</v>
      </c>
      <c r="M2150" s="24"/>
      <c r="N2150" s="112" t="str">
        <f>IF(ISBLANK(E2150),"",_xlfn.XLOOKUP(E2150,cannabis_log!C:C,cannabis_log!T:T,"Not Found",0,))</f>
        <v>net</v>
      </c>
      <c r="O2150" s="180">
        <f>IF(N2150="net",_xlfn.XLOOKUP(E2150,cannabis_log!C:C,cannabis_log!N:N,"NOT FOUND",0,1),IF(N2150="gross",0,""))</f>
        <v>1</v>
      </c>
    </row>
    <row r="2151" spans="1:15">
      <c r="A2151" s="195" t="str">
        <f t="shared" si="130"/>
        <v>outbound</v>
      </c>
      <c r="B2151" s="196">
        <v>45849.416666666664</v>
      </c>
      <c r="C2151" s="197" t="s">
        <v>1929</v>
      </c>
      <c r="D2151" s="197"/>
      <c r="E2151" s="215" t="s">
        <v>3154</v>
      </c>
      <c r="F2151" s="112" t="str">
        <f>IF(ISBLANK(E2151),"",_xlfn.XLOOKUP(E2151,cannabis_log!C:C,cannabis_log!J:J,"",0,))</f>
        <v>PR251705F5P3</v>
      </c>
      <c r="G2151" s="112"/>
      <c r="H2151" s="112" t="str">
        <f>IF(ISBLANK(E2151),"",_xlfn.XLOOKUP(E2151,cannabis_log!C:C,cannabis_log!H:H,"",0,1))</f>
        <v>preroll_labelled</v>
      </c>
      <c r="I2151" s="113">
        <f>IF(ISBLANK(E2151),"",_xlfn.XLOOKUP(E2151,cannabis_log!C:C,cannabis_log!K:K,"NOT FOUND",0,1))</f>
        <v>45804</v>
      </c>
      <c r="J2151" s="185">
        <v>-180</v>
      </c>
      <c r="K2151" s="186">
        <f t="shared" si="131"/>
        <v>0</v>
      </c>
      <c r="L2151" s="288">
        <f t="shared" si="128"/>
        <v>-270</v>
      </c>
      <c r="M2151" s="24"/>
      <c r="N2151" s="112" t="str">
        <f>IF(ISBLANK(E2151),"",_xlfn.XLOOKUP(E2151,cannabis_log!C:C,cannabis_log!T:T,"Not Found",0,))</f>
        <v>net</v>
      </c>
      <c r="O2151" s="180">
        <f>IF(N2151="net",_xlfn.XLOOKUP(E2151,cannabis_log!C:C,cannabis_log!N:N,"NOT FOUND",0,1),IF(N2151="gross",0,""))</f>
        <v>1.5</v>
      </c>
    </row>
    <row r="2152" spans="1:15">
      <c r="A2152" s="195" t="str">
        <f t="shared" si="130"/>
        <v>outbound</v>
      </c>
      <c r="B2152" s="196">
        <v>45849.416666666664</v>
      </c>
      <c r="C2152" s="197" t="s">
        <v>1929</v>
      </c>
      <c r="D2152" s="197"/>
      <c r="E2152" s="215" t="s">
        <v>3203</v>
      </c>
      <c r="F2152" s="112" t="str">
        <f>IF(ISBLANK(E2152),"",_xlfn.XLOOKUP(E2152,cannabis_log!C:C,cannabis_log!J:J,"",0,))</f>
        <v>TP25051501</v>
      </c>
      <c r="G2152" s="112"/>
      <c r="H2152" s="112" t="str">
        <f>IF(ISBLANK(E2152),"",_xlfn.XLOOKUP(E2152,cannabis_log!C:C,cannabis_log!H:H,"",0,1))</f>
        <v>topical_labelled</v>
      </c>
      <c r="I2152" s="113">
        <f>IF(ISBLANK(E2152),"",_xlfn.XLOOKUP(E2152,cannabis_log!C:C,cannabis_log!K:K,"NOT FOUND",0,1))</f>
        <v>45805</v>
      </c>
      <c r="J2152" s="185">
        <v>-329</v>
      </c>
      <c r="K2152" s="186">
        <f t="shared" si="131"/>
        <v>0</v>
      </c>
      <c r="L2152" s="288">
        <f t="shared" si="128"/>
        <v>-28952</v>
      </c>
      <c r="M2152" s="24"/>
      <c r="N2152" s="112" t="str">
        <f>IF(ISBLANK(E2152),"",_xlfn.XLOOKUP(E2152,cannabis_log!C:C,cannabis_log!T:T,"Not Found",0,))</f>
        <v>net</v>
      </c>
      <c r="O2152" s="180">
        <f>IF(N2152="net",_xlfn.XLOOKUP(E2152,cannabis_log!C:C,cannabis_log!N:N,"NOT FOUND",0,1),IF(N2152="gross",0,""))</f>
        <v>88</v>
      </c>
    </row>
    <row r="2153" spans="1:15">
      <c r="A2153" s="195" t="str">
        <f t="shared" si="130"/>
        <v>outbound</v>
      </c>
      <c r="B2153" s="196">
        <v>45849.416666666664</v>
      </c>
      <c r="C2153" s="197" t="s">
        <v>1929</v>
      </c>
      <c r="D2153" s="197"/>
      <c r="E2153" s="215" t="s">
        <v>3205</v>
      </c>
      <c r="F2153" s="112" t="str">
        <f>IF(ISBLANK(E2153),"",_xlfn.XLOOKUP(E2153,cannabis_log!C:C,cannabis_log!J:J,"",0,))</f>
        <v>BS23090701G450</v>
      </c>
      <c r="G2153" s="112"/>
      <c r="H2153" s="112" t="str">
        <f>IF(ISBLANK(E2153),"",_xlfn.XLOOKUP(E2153,cannabis_log!C:C,cannabis_log!H:H,"",0,1))</f>
        <v>topical_labelled</v>
      </c>
      <c r="I2153" s="113">
        <f>IF(ISBLANK(E2153),"",_xlfn.XLOOKUP(E2153,cannabis_log!C:C,cannabis_log!K:K,"NOT FOUND",0,1))</f>
        <v>45735</v>
      </c>
      <c r="J2153" s="185">
        <v>-95</v>
      </c>
      <c r="K2153" s="186">
        <f t="shared" si="131"/>
        <v>0</v>
      </c>
      <c r="L2153" s="288">
        <f t="shared" si="128"/>
        <v>-42750</v>
      </c>
      <c r="M2153" s="24"/>
      <c r="N2153" s="112" t="str">
        <f>IF(ISBLANK(E2153),"",_xlfn.XLOOKUP(E2153,cannabis_log!C:C,cannabis_log!T:T,"Not Found",0,))</f>
        <v>net</v>
      </c>
      <c r="O2153" s="180">
        <f>IF(N2153="net",_xlfn.XLOOKUP(E2153,cannabis_log!C:C,cannabis_log!N:N,"NOT FOUND",0,1),IF(N2153="gross",0,""))</f>
        <v>450</v>
      </c>
    </row>
    <row r="2154" spans="1:15">
      <c r="A2154" s="195" t="str">
        <f t="shared" si="130"/>
        <v>outbound</v>
      </c>
      <c r="B2154" s="196">
        <v>45849.416666666664</v>
      </c>
      <c r="C2154" s="197" t="s">
        <v>1929</v>
      </c>
      <c r="D2154" s="197"/>
      <c r="E2154" s="215" t="s">
        <v>3206</v>
      </c>
      <c r="F2154" s="112" t="str">
        <f>IF(ISBLANK(E2154),"",_xlfn.XLOOKUP(E2154,cannabis_log!C:C,cannabis_log!J:J,"",0,))</f>
        <v>BS23101901G450</v>
      </c>
      <c r="G2154" s="112"/>
      <c r="H2154" s="112" t="str">
        <f>IF(ISBLANK(E2154),"",_xlfn.XLOOKUP(E2154,cannabis_log!C:C,cannabis_log!H:H,"",0,1))</f>
        <v>topical_cased_SK_RTV</v>
      </c>
      <c r="I2154" s="113">
        <f>IF(ISBLANK(E2154),"",_xlfn.XLOOKUP(E2154,cannabis_log!C:C,cannabis_log!K:K,"NOT FOUND",0,1))</f>
        <v>45629</v>
      </c>
      <c r="J2154" s="185">
        <v>-2</v>
      </c>
      <c r="K2154" s="186">
        <f t="shared" si="131"/>
        <v>0</v>
      </c>
      <c r="L2154" s="288">
        <f t="shared" si="128"/>
        <v>-5400</v>
      </c>
      <c r="M2154" s="24"/>
      <c r="N2154" s="112" t="str">
        <f>IF(ISBLANK(E2154),"",_xlfn.XLOOKUP(E2154,cannabis_log!C:C,cannabis_log!T:T,"Not Found",0,))</f>
        <v>net</v>
      </c>
      <c r="O2154" s="180">
        <f>IF(N2154="net",_xlfn.XLOOKUP(E2154,cannabis_log!C:C,cannabis_log!N:N,"NOT FOUND",0,1),IF(N2154="gross",0,""))</f>
        <v>2700</v>
      </c>
    </row>
    <row r="2155" spans="1:15">
      <c r="A2155" s="195" t="str">
        <f t="shared" si="130"/>
        <v>outbound</v>
      </c>
      <c r="B2155" s="196">
        <v>45849.416666666664</v>
      </c>
      <c r="C2155" s="197" t="s">
        <v>1929</v>
      </c>
      <c r="D2155" s="197"/>
      <c r="E2155" s="215" t="s">
        <v>3207</v>
      </c>
      <c r="F2155" s="112" t="str">
        <f>IF(ISBLANK(E2155),"",_xlfn.XLOOKUP(E2155,cannabis_log!C:C,cannabis_log!J:J,"",0,))</f>
        <v>BS23090701G450</v>
      </c>
      <c r="G2155" s="112"/>
      <c r="H2155" s="112" t="str">
        <f>IF(ISBLANK(E2155),"",_xlfn.XLOOKUP(E2155,cannabis_log!C:C,cannabis_log!H:H,"",0,1))</f>
        <v>topical_cased_SK_RTV</v>
      </c>
      <c r="I2155" s="113">
        <f>IF(ISBLANK(E2155),"",_xlfn.XLOOKUP(E2155,cannabis_log!C:C,cannabis_log!K:K,"NOT FOUND",0,1))</f>
        <v>45630</v>
      </c>
      <c r="J2155" s="185">
        <v>-32</v>
      </c>
      <c r="K2155" s="186">
        <f t="shared" si="131"/>
        <v>0</v>
      </c>
      <c r="L2155" s="288">
        <f t="shared" si="128"/>
        <v>-86400</v>
      </c>
      <c r="M2155" s="24"/>
      <c r="N2155" s="112" t="str">
        <f>IF(ISBLANK(E2155),"",_xlfn.XLOOKUP(E2155,cannabis_log!C:C,cannabis_log!T:T,"Not Found",0,))</f>
        <v>net</v>
      </c>
      <c r="O2155" s="180">
        <f>IF(N2155="net",_xlfn.XLOOKUP(E2155,cannabis_log!C:C,cannabis_log!N:N,"NOT FOUND",0,1),IF(N2155="gross",0,""))</f>
        <v>2700</v>
      </c>
    </row>
    <row r="2156" spans="1:15">
      <c r="A2156" s="195" t="str">
        <f t="shared" si="130"/>
        <v>outbound</v>
      </c>
      <c r="B2156" s="196">
        <v>45849.416666666664</v>
      </c>
      <c r="C2156" s="197" t="s">
        <v>1929</v>
      </c>
      <c r="D2156" s="197"/>
      <c r="E2156" s="215" t="s">
        <v>3100</v>
      </c>
      <c r="F2156" s="112" t="str">
        <f>IF(ISBLANK(E2156),"",_xlfn.XLOOKUP(E2156,cannabis_log!C:C,cannabis_log!J:J,"",0,))</f>
        <v>EX24111301G05</v>
      </c>
      <c r="G2156" s="112"/>
      <c r="H2156" s="112" t="str">
        <f>IF(ISBLANK(E2156),"",_xlfn.XLOOKUP(E2156,cannabis_log!C:C,cannabis_log!H:H,"",0,1))</f>
        <v>extract_inhaled_labelled</v>
      </c>
      <c r="I2156" s="113">
        <f>IF(ISBLANK(E2156),"",_xlfn.XLOOKUP(E2156,cannabis_log!C:C,cannabis_log!K:K,"NOT FOUND",0,1))</f>
        <v>45756</v>
      </c>
      <c r="J2156" s="185">
        <v>-120</v>
      </c>
      <c r="K2156" s="186">
        <f t="shared" si="131"/>
        <v>0</v>
      </c>
      <c r="L2156" s="288">
        <f t="shared" si="128"/>
        <v>-60</v>
      </c>
      <c r="M2156" s="24"/>
      <c r="N2156" s="112" t="str">
        <f>IF(ISBLANK(E2156),"",_xlfn.XLOOKUP(E2156,cannabis_log!C:C,cannabis_log!T:T,"Not Found",0,))</f>
        <v>net</v>
      </c>
      <c r="O2156" s="180">
        <f>IF(N2156="net",_xlfn.XLOOKUP(E2156,cannabis_log!C:C,cannabis_log!N:N,"NOT FOUND",0,1),IF(N2156="gross",0,""))</f>
        <v>0.5</v>
      </c>
    </row>
    <row r="2157" spans="1:15">
      <c r="A2157" s="195" t="str">
        <f t="shared" si="130"/>
        <v>outbound</v>
      </c>
      <c r="B2157" s="196">
        <v>45849.416666666664</v>
      </c>
      <c r="C2157" s="197" t="s">
        <v>1929</v>
      </c>
      <c r="D2157" s="197"/>
      <c r="E2157" s="215" t="s">
        <v>3089</v>
      </c>
      <c r="F2157" s="112" t="str">
        <f>IF(ISBLANK(E2157),"",_xlfn.XLOOKUP(E2157,cannabis_log!C:C,cannabis_log!J:J,"",0,))</f>
        <v>EX24111302G05</v>
      </c>
      <c r="G2157" s="112"/>
      <c r="H2157" s="112" t="str">
        <f>IF(ISBLANK(E2157),"",_xlfn.XLOOKUP(E2157,cannabis_log!C:C,cannabis_log!H:H,"",0,1))</f>
        <v>extract_inhaled_labelled</v>
      </c>
      <c r="I2157" s="113">
        <f>IF(ISBLANK(E2157),"",_xlfn.XLOOKUP(E2157,cannabis_log!C:C,cannabis_log!K:K,"NOT FOUND",0,1))</f>
        <v>45707</v>
      </c>
      <c r="J2157" s="185">
        <v>-222</v>
      </c>
      <c r="K2157" s="186">
        <f t="shared" si="131"/>
        <v>0</v>
      </c>
      <c r="L2157" s="288">
        <f t="shared" si="128"/>
        <v>-111</v>
      </c>
      <c r="M2157" s="24"/>
      <c r="N2157" s="112" t="str">
        <f>IF(ISBLANK(E2157),"",_xlfn.XLOOKUP(E2157,cannabis_log!C:C,cannabis_log!T:T,"Not Found",0,))</f>
        <v>net</v>
      </c>
      <c r="O2157" s="180">
        <f>IF(N2157="net",_xlfn.XLOOKUP(E2157,cannabis_log!C:C,cannabis_log!N:N,"NOT FOUND",0,1),IF(N2157="gross",0,""))</f>
        <v>0.5</v>
      </c>
    </row>
    <row r="2158" spans="1:15">
      <c r="A2158" s="195" t="str">
        <f t="shared" si="130"/>
        <v>outbound</v>
      </c>
      <c r="B2158" s="196">
        <v>45849.416666666664</v>
      </c>
      <c r="C2158" s="197" t="s">
        <v>1929</v>
      </c>
      <c r="D2158" s="197"/>
      <c r="E2158" s="215" t="s">
        <v>3160</v>
      </c>
      <c r="F2158" s="112" t="str">
        <f>IF(ISBLANK(E2158),"",_xlfn.XLOOKUP(E2158,cannabis_log!C:C,cannabis_log!J:J,"",0,))</f>
        <v>EX25010907G1</v>
      </c>
      <c r="G2158" s="112"/>
      <c r="H2158" s="112" t="str">
        <f>IF(ISBLANK(E2158),"",_xlfn.XLOOKUP(E2158,cannabis_log!C:C,cannabis_log!H:H,"",0,1))</f>
        <v>extract_inhaled_labelled</v>
      </c>
      <c r="I2158" s="113">
        <f>IF(ISBLANK(E2158),"",_xlfn.XLOOKUP(E2158,cannabis_log!C:C,cannabis_log!K:K,"NOT FOUND",0,1))</f>
        <v>45742</v>
      </c>
      <c r="J2158" s="185">
        <v>-156</v>
      </c>
      <c r="K2158" s="186">
        <f t="shared" si="131"/>
        <v>0</v>
      </c>
      <c r="L2158" s="288">
        <f t="shared" si="128"/>
        <v>-156</v>
      </c>
      <c r="M2158" s="24"/>
      <c r="N2158" s="112" t="str">
        <f>IF(ISBLANK(E2158),"",_xlfn.XLOOKUP(E2158,cannabis_log!C:C,cannabis_log!T:T,"Not Found",0,))</f>
        <v>net</v>
      </c>
      <c r="O2158" s="180">
        <f>IF(N2158="net",_xlfn.XLOOKUP(E2158,cannabis_log!C:C,cannabis_log!N:N,"NOT FOUND",0,1),IF(N2158="gross",0,""))</f>
        <v>1</v>
      </c>
    </row>
    <row r="2159" spans="1:15">
      <c r="A2159" s="195" t="str">
        <f t="shared" si="130"/>
        <v>inbound</v>
      </c>
      <c r="B2159" s="196">
        <v>45849.416666666664</v>
      </c>
      <c r="C2159" s="197" t="s">
        <v>1929</v>
      </c>
      <c r="D2159" s="197"/>
      <c r="E2159" s="215" t="s">
        <v>3208</v>
      </c>
      <c r="F2159" s="112" t="str">
        <f>IF(ISBLANK(E2159),"",_xlfn.XLOOKUP(E2159,cannabis_log!C:C,cannabis_log!J:J,"",0,))</f>
        <v>TP24120401G45</v>
      </c>
      <c r="G2159" s="112"/>
      <c r="H2159" s="112" t="str">
        <f>IF(ISBLANK(E2159),"",_xlfn.XLOOKUP(E2159,cannabis_log!C:C,cannabis_log!H:H,"",0,1))</f>
        <v>topical_labelled</v>
      </c>
      <c r="I2159" s="113">
        <f>IF(ISBLANK(E2159),"",_xlfn.XLOOKUP(E2159,cannabis_log!C:C,cannabis_log!K:K,"NOT FOUND",0,1))</f>
        <v>45638</v>
      </c>
      <c r="J2159" s="185">
        <v>0</v>
      </c>
      <c r="K2159" s="186">
        <f t="shared" si="131"/>
        <v>0</v>
      </c>
      <c r="L2159" s="288">
        <f t="shared" si="128"/>
        <v>0</v>
      </c>
      <c r="M2159" s="24" t="s">
        <v>4295</v>
      </c>
      <c r="N2159" s="112" t="str">
        <f>IF(ISBLANK(E2159),"",_xlfn.XLOOKUP(E2159,cannabis_log!C:C,cannabis_log!T:T,"Not Found",0,))</f>
        <v>net</v>
      </c>
      <c r="O2159" s="180">
        <f>IF(N2159="net",_xlfn.XLOOKUP(E2159,cannabis_log!C:C,cannabis_log!N:N,"NOT FOUND",0,1),IF(N2159="gross",0,""))</f>
        <v>45</v>
      </c>
    </row>
    <row r="2160" spans="1:15">
      <c r="A2160" s="195" t="str">
        <f t="shared" si="130"/>
        <v>outbound</v>
      </c>
      <c r="B2160" s="196">
        <v>45852.416666666664</v>
      </c>
      <c r="C2160" s="197" t="s">
        <v>1929</v>
      </c>
      <c r="D2160" s="197"/>
      <c r="E2160" s="215" t="s">
        <v>3004</v>
      </c>
      <c r="F2160" s="112" t="str">
        <f>IF(ISBLANK(E2160),"",_xlfn.XLOOKUP(E2160,cannabis_log!C:C,cannabis_log!J:J,"",0,))</f>
        <v>PR2407F5P3</v>
      </c>
      <c r="G2160" s="112"/>
      <c r="H2160" s="112" t="str">
        <f>IF(ISBLANK(E2160),"",_xlfn.XLOOKUP(E2160,cannabis_log!C:C,cannabis_log!H:H,"",0,1))</f>
        <v>preroll_labelled</v>
      </c>
      <c r="I2160" s="113">
        <f>IF(ISBLANK(E2160),"",_xlfn.XLOOKUP(E2160,cannabis_log!C:C,cannabis_log!K:K,"NOT FOUND",0,1))</f>
        <v>45742</v>
      </c>
      <c r="J2160" s="185">
        <v>-6</v>
      </c>
      <c r="K2160" s="186">
        <f t="shared" si="131"/>
        <v>0</v>
      </c>
      <c r="L2160" s="288">
        <f t="shared" si="128"/>
        <v>-9</v>
      </c>
      <c r="M2160" s="24"/>
      <c r="N2160" s="112" t="str">
        <f>IF(ISBLANK(E2160),"",_xlfn.XLOOKUP(E2160,cannabis_log!C:C,cannabis_log!T:T,"Not Found",0,))</f>
        <v>net</v>
      </c>
      <c r="O2160" s="180">
        <f>IF(N2160="net",_xlfn.XLOOKUP(E2160,cannabis_log!C:C,cannabis_log!N:N,"NOT FOUND",0,1),IF(N2160="gross",0,""))</f>
        <v>1.5</v>
      </c>
    </row>
    <row r="2161" spans="1:15">
      <c r="A2161" s="195" t="str">
        <f t="shared" si="130"/>
        <v>outbound</v>
      </c>
      <c r="B2161" s="196">
        <v>45852.416666666664</v>
      </c>
      <c r="C2161" s="197" t="s">
        <v>1929</v>
      </c>
      <c r="D2161" s="197"/>
      <c r="E2161" s="215" t="s">
        <v>2605</v>
      </c>
      <c r="F2161" s="112" t="str">
        <f>IF(ISBLANK(E2161),"",_xlfn.XLOOKUP(E2161,cannabis_log!C:C,cannabis_log!J:J,"",0,))</f>
        <v>PR2407F5P3</v>
      </c>
      <c r="G2161" s="112"/>
      <c r="H2161" s="112" t="str">
        <f>IF(ISBLANK(E2161),"",_xlfn.XLOOKUP(E2161,cannabis_log!C:C,cannabis_log!H:H,"",0,1))</f>
        <v>preroll_labelled</v>
      </c>
      <c r="I2161" s="113">
        <f>IF(ISBLANK(E2161),"",_xlfn.XLOOKUP(E2161,cannabis_log!C:C,cannabis_log!K:K,"NOT FOUND",0,1))</f>
        <v>45447</v>
      </c>
      <c r="J2161" s="185">
        <v>-6</v>
      </c>
      <c r="K2161" s="186">
        <f t="shared" si="131"/>
        <v>0</v>
      </c>
      <c r="L2161" s="288">
        <f t="shared" si="128"/>
        <v>-9</v>
      </c>
      <c r="M2161" s="24"/>
      <c r="N2161" s="112" t="str">
        <f>IF(ISBLANK(E2161),"",_xlfn.XLOOKUP(E2161,cannabis_log!C:C,cannabis_log!T:T,"Not Found",0,))</f>
        <v>net</v>
      </c>
      <c r="O2161" s="180">
        <f>IF(N2161="net",_xlfn.XLOOKUP(E2161,cannabis_log!C:C,cannabis_log!N:N,"NOT FOUND",0,1),IF(N2161="gross",0,""))</f>
        <v>1.5</v>
      </c>
    </row>
    <row r="2162" spans="1:15">
      <c r="A2162" s="195" t="str">
        <f t="shared" si="130"/>
        <v>outbound</v>
      </c>
      <c r="B2162" s="196">
        <v>45852.416666666664</v>
      </c>
      <c r="C2162" s="197" t="s">
        <v>1929</v>
      </c>
      <c r="D2162" s="197"/>
      <c r="E2162" s="215" t="s">
        <v>2492</v>
      </c>
      <c r="F2162" s="112" t="str">
        <f>IF(ISBLANK(E2162),"",_xlfn.XLOOKUP(E2162,cannabis_log!C:C,cannabis_log!J:J,"",0,))</f>
        <v>PR241104F5P3</v>
      </c>
      <c r="G2162" s="112"/>
      <c r="H2162" s="112" t="str">
        <f>IF(ISBLANK(E2162),"",_xlfn.XLOOKUP(E2162,cannabis_log!C:C,cannabis_log!H:H,"",0,1))</f>
        <v>preroll_labelled</v>
      </c>
      <c r="I2162" s="113">
        <f>IF(ISBLANK(E2162),"",_xlfn.XLOOKUP(E2162,cannabis_log!C:C,cannabis_log!K:K,"NOT FOUND",0,1))</f>
        <v>45630</v>
      </c>
      <c r="J2162" s="185">
        <v>-12</v>
      </c>
      <c r="K2162" s="186">
        <f t="shared" si="131"/>
        <v>0</v>
      </c>
      <c r="L2162" s="288">
        <f t="shared" si="128"/>
        <v>-18</v>
      </c>
      <c r="M2162" s="24"/>
      <c r="N2162" s="112" t="str">
        <f>IF(ISBLANK(E2162),"",_xlfn.XLOOKUP(E2162,cannabis_log!C:C,cannabis_log!T:T,"Not Found",0,))</f>
        <v>net</v>
      </c>
      <c r="O2162" s="180">
        <f>IF(N2162="net",_xlfn.XLOOKUP(E2162,cannabis_log!C:C,cannabis_log!N:N,"NOT FOUND",0,1),IF(N2162="gross",0,""))</f>
        <v>1.5</v>
      </c>
    </row>
    <row r="2163" spans="1:15">
      <c r="A2163" s="195" t="str">
        <f t="shared" si="130"/>
        <v>outbound</v>
      </c>
      <c r="B2163" s="196">
        <v>45852.569444444445</v>
      </c>
      <c r="C2163" s="197" t="s">
        <v>1929</v>
      </c>
      <c r="D2163" s="197" t="s">
        <v>3209</v>
      </c>
      <c r="E2163" s="215" t="s">
        <v>3210</v>
      </c>
      <c r="F2163" s="112" t="str">
        <f>IF(ISBLANK(E2163),"",_xlfn.XLOOKUP(E2163,cannabis_log!C:C,cannabis_log!J:J,"",0,))</f>
        <v>PR2507F1P2</v>
      </c>
      <c r="G2163" s="112"/>
      <c r="H2163" s="112" t="str">
        <f>IF(ISBLANK(E2163),"",_xlfn.XLOOKUP(E2163,cannabis_log!C:C,cannabis_log!H:H,"",0,1))</f>
        <v>preroll_labelled</v>
      </c>
      <c r="I2163" s="113">
        <f>IF(ISBLANK(E2163),"",_xlfn.XLOOKUP(E2163,cannabis_log!C:C,cannabis_log!K:K,"NOT FOUND",0,1))</f>
        <v>45818</v>
      </c>
      <c r="J2163" s="185">
        <v>-24</v>
      </c>
      <c r="K2163" s="186">
        <f t="shared" si="131"/>
        <v>0</v>
      </c>
      <c r="L2163" s="288">
        <f t="shared" si="128"/>
        <v>-48</v>
      </c>
      <c r="M2163" s="24"/>
      <c r="N2163" s="112" t="str">
        <f>IF(ISBLANK(E2163),"",_xlfn.XLOOKUP(E2163,cannabis_log!C:C,cannabis_log!T:T,"Not Found",0,))</f>
        <v>net</v>
      </c>
      <c r="O2163" s="180">
        <f>IF(N2163="net",_xlfn.XLOOKUP(E2163,cannabis_log!C:C,cannabis_log!N:N,"NOT FOUND",0,1),IF(N2163="gross",0,""))</f>
        <v>2</v>
      </c>
    </row>
    <row r="2164" spans="1:15">
      <c r="A2164" s="195" t="s">
        <v>3183</v>
      </c>
      <c r="B2164" s="196">
        <v>45852.569444444445</v>
      </c>
      <c r="C2164" s="197" t="s">
        <v>1929</v>
      </c>
      <c r="D2164" s="197" t="s">
        <v>3209</v>
      </c>
      <c r="E2164" s="215" t="s">
        <v>3191</v>
      </c>
      <c r="F2164" s="112" t="str">
        <f>IF(ISBLANK(E2164),"",_xlfn.XLOOKUP(E2164,cannabis_log!C:C,cannabis_log!J:J,"",0,))</f>
        <v>PR2516F1P2</v>
      </c>
      <c r="G2164" s="112"/>
      <c r="H2164" s="112" t="str">
        <f>IF(ISBLANK(E2164),"",_xlfn.XLOOKUP(E2164,cannabis_log!C:C,cannabis_log!H:H,"",0,1))</f>
        <v>preroll_labelled</v>
      </c>
      <c r="I2164" s="113">
        <f>IF(ISBLANK(E2164),"",_xlfn.XLOOKUP(E2164,cannabis_log!C:C,cannabis_log!K:K,"NOT FOUND",0,1))</f>
        <v>45831</v>
      </c>
      <c r="J2164" s="185">
        <v>-24</v>
      </c>
      <c r="K2164" s="186">
        <f t="shared" si="131"/>
        <v>0</v>
      </c>
      <c r="L2164" s="288">
        <f t="shared" si="128"/>
        <v>-48</v>
      </c>
      <c r="M2164" s="24"/>
      <c r="N2164" s="112" t="str">
        <f>IF(ISBLANK(E2164),"",_xlfn.XLOOKUP(E2164,cannabis_log!C:C,cannabis_log!T:T,"Not Found",0,))</f>
        <v>net</v>
      </c>
      <c r="O2164" s="180">
        <f>IF(N2164="net",_xlfn.XLOOKUP(E2164,cannabis_log!C:C,cannabis_log!N:N,"NOT FOUND",0,1),IF(N2164="gross",0,""))</f>
        <v>2</v>
      </c>
    </row>
    <row r="2165" spans="1:15">
      <c r="A2165" s="195" t="s">
        <v>3183</v>
      </c>
      <c r="B2165" s="196">
        <v>45852.569444444445</v>
      </c>
      <c r="C2165" s="197" t="s">
        <v>1929</v>
      </c>
      <c r="D2165" s="197" t="s">
        <v>3211</v>
      </c>
      <c r="E2165" s="215" t="s">
        <v>3166</v>
      </c>
      <c r="F2165" s="112" t="str">
        <f>IF(ISBLANK(E2165),"",_xlfn.XLOOKUP(E2165,cannabis_log!C:C,cannabis_log!J:J,"",0,))</f>
        <v>PR2406F5P3</v>
      </c>
      <c r="G2165" s="112"/>
      <c r="H2165" s="112" t="str">
        <f>IF(ISBLANK(E2165),"",_xlfn.XLOOKUP(E2165,cannabis_log!C:C,cannabis_log!H:H,"",0,1))</f>
        <v>preroll_labelled</v>
      </c>
      <c r="I2165" s="113">
        <f>IF(ISBLANK(E2165),"",_xlfn.XLOOKUP(E2165,cannabis_log!C:C,cannabis_log!K:K,"NOT FOUND",0,1))</f>
        <v>45742</v>
      </c>
      <c r="J2165" s="185">
        <v>-24</v>
      </c>
      <c r="K2165" s="186">
        <f t="shared" si="131"/>
        <v>0</v>
      </c>
      <c r="L2165" s="288">
        <f t="shared" si="128"/>
        <v>-36</v>
      </c>
      <c r="M2165" s="24"/>
      <c r="N2165" s="112" t="str">
        <f>IF(ISBLANK(E2165),"",_xlfn.XLOOKUP(E2165,cannabis_log!C:C,cannabis_log!T:T,"Not Found",0,))</f>
        <v>net</v>
      </c>
      <c r="O2165" s="180">
        <f>IF(N2165="net",_xlfn.XLOOKUP(E2165,cannabis_log!C:C,cannabis_log!N:N,"NOT FOUND",0,1),IF(N2165="gross",0,""))</f>
        <v>1.5</v>
      </c>
    </row>
    <row r="2166" spans="1:15">
      <c r="A2166" s="195" t="str">
        <f t="shared" ref="A2166:A2197" si="132">IF(ISBLANK(J2166),"",IF(J2166+K2166+L2166&lt;0,"outbound","inbound"))</f>
        <v>inbound</v>
      </c>
      <c r="B2166" s="196">
        <v>45853.652777777781</v>
      </c>
      <c r="C2166" s="197" t="s">
        <v>1927</v>
      </c>
      <c r="D2166" s="197"/>
      <c r="E2166" s="215" t="s">
        <v>3212</v>
      </c>
      <c r="F2166" s="112" t="str">
        <f>IF(ISBLANK(E2166),"",_xlfn.XLOOKUP(E2166,cannabis_log!C:C,cannabis_log!J:J,"",0,))</f>
        <v>LR25071001</v>
      </c>
      <c r="G2166" s="112"/>
      <c r="H2166" s="112" t="str">
        <f>IF(ISBLANK(E2166),"",_xlfn.XLOOKUP(E2166,cannabis_log!C:C,cannabis_log!H:H,"",0,1))</f>
        <v>extract_inhaled_bulk</v>
      </c>
      <c r="I2166" s="113" t="str">
        <f>IF(ISBLANK(E2166),"",_xlfn.XLOOKUP(E2166,cannabis_log!C:C,cannabis_log!K:K,"NOT FOUND",0,1))</f>
        <v>NA</v>
      </c>
      <c r="J2166" s="185">
        <v>1</v>
      </c>
      <c r="K2166" s="186">
        <v>1480</v>
      </c>
      <c r="L2166" s="288">
        <f t="shared" si="128"/>
        <v>0</v>
      </c>
      <c r="M2166" s="24"/>
      <c r="N2166" s="112" t="str">
        <f>IF(ISBLANK(E2166),"",_xlfn.XLOOKUP(E2166,cannabis_log!C:C,cannabis_log!T:T,"Not Found",0,))</f>
        <v>gross</v>
      </c>
      <c r="O2166" s="180">
        <f>IF(N2166="net",_xlfn.XLOOKUP(E2166,cannabis_log!C:C,cannabis_log!N:N,"NOT FOUND",0,1),IF(N2166="gross",0,""))</f>
        <v>0</v>
      </c>
    </row>
    <row r="2167" spans="1:15">
      <c r="A2167" s="195" t="str">
        <f t="shared" si="132"/>
        <v>inbound</v>
      </c>
      <c r="B2167" s="196">
        <v>45853.652777777781</v>
      </c>
      <c r="C2167" s="197" t="s">
        <v>1927</v>
      </c>
      <c r="D2167" s="197"/>
      <c r="E2167" s="215" t="s">
        <v>3123</v>
      </c>
      <c r="F2167" s="112" t="str">
        <f>IF(ISBLANK(E2167),"",_xlfn.XLOOKUP(E2167,cannabis_log!C:C,cannabis_log!J:J,"",0,))</f>
        <v>PR2512</v>
      </c>
      <c r="G2167" s="112"/>
      <c r="H2167" s="112" t="str">
        <f>IF(ISBLANK(E2167),"",_xlfn.XLOOKUP(E2167,cannabis_log!C:C,cannabis_log!H:H,"",0,1))</f>
        <v>diredflower_milled_bulk_Rohan</v>
      </c>
      <c r="I2167" s="113" t="str">
        <f>IF(ISBLANK(E2167),"",_xlfn.XLOOKUP(E2167,cannabis_log!C:C,cannabis_log!K:K,"NOT FOUND",0,1))</f>
        <v>NA</v>
      </c>
      <c r="J2167" s="185">
        <v>1</v>
      </c>
      <c r="K2167" s="186">
        <v>3646</v>
      </c>
      <c r="L2167" s="288">
        <f t="shared" si="128"/>
        <v>0</v>
      </c>
      <c r="M2167" s="24"/>
      <c r="N2167" s="112" t="str">
        <f>IF(ISBLANK(E2167),"",_xlfn.XLOOKUP(E2167,cannabis_log!C:C,cannabis_log!T:T,"Not Found",0,))</f>
        <v>gross</v>
      </c>
      <c r="O2167" s="180">
        <f>IF(N2167="net",_xlfn.XLOOKUP(E2167,cannabis_log!C:C,cannabis_log!N:N,"NOT FOUND",0,1),IF(N2167="gross",0,""))</f>
        <v>0</v>
      </c>
    </row>
    <row r="2168" spans="1:15">
      <c r="A2168" s="195" t="str">
        <f t="shared" si="132"/>
        <v>inbound</v>
      </c>
      <c r="B2168" s="196">
        <v>45853.652777777781</v>
      </c>
      <c r="C2168" s="197" t="s">
        <v>1927</v>
      </c>
      <c r="D2168" s="197"/>
      <c r="E2168" s="215" t="s">
        <v>3089</v>
      </c>
      <c r="F2168" s="112" t="str">
        <f>IF(ISBLANK(E2168),"",_xlfn.XLOOKUP(E2168,cannabis_log!C:C,cannabis_log!J:J,"",0,))</f>
        <v>EX24111302G05</v>
      </c>
      <c r="G2168" s="112"/>
      <c r="H2168" s="112" t="str">
        <f>IF(ISBLANK(E2168),"",_xlfn.XLOOKUP(E2168,cannabis_log!C:C,cannabis_log!H:H,"",0,1))</f>
        <v>extract_inhaled_labelled</v>
      </c>
      <c r="I2168" s="113">
        <f>IF(ISBLANK(E2168),"",_xlfn.XLOOKUP(E2168,cannabis_log!C:C,cannabis_log!K:K,"NOT FOUND",0,1))</f>
        <v>45707</v>
      </c>
      <c r="J2168" s="185">
        <v>103</v>
      </c>
      <c r="K2168" s="186">
        <f>IF(N2168="net",0,"")</f>
        <v>0</v>
      </c>
      <c r="L2168" s="288">
        <f t="shared" si="128"/>
        <v>51.5</v>
      </c>
      <c r="M2168" s="24"/>
      <c r="N2168" s="112" t="str">
        <f>IF(ISBLANK(E2168),"",_xlfn.XLOOKUP(E2168,cannabis_log!C:C,cannabis_log!T:T,"Not Found",0,))</f>
        <v>net</v>
      </c>
      <c r="O2168" s="180">
        <f>IF(N2168="net",_xlfn.XLOOKUP(E2168,cannabis_log!C:C,cannabis_log!N:N,"NOT FOUND",0,1),IF(N2168="gross",0,""))</f>
        <v>0.5</v>
      </c>
    </row>
    <row r="2169" spans="1:15">
      <c r="A2169" s="195" t="str">
        <f t="shared" si="132"/>
        <v>inbound</v>
      </c>
      <c r="B2169" s="196">
        <v>45853.652777777781</v>
      </c>
      <c r="C2169" s="197" t="s">
        <v>1927</v>
      </c>
      <c r="D2169" s="197"/>
      <c r="E2169" s="215" t="s">
        <v>3203</v>
      </c>
      <c r="F2169" s="112" t="str">
        <f>IF(ISBLANK(E2169),"",_xlfn.XLOOKUP(E2169,cannabis_log!C:C,cannabis_log!J:J,"",0,))</f>
        <v>TP25051501</v>
      </c>
      <c r="G2169" s="112"/>
      <c r="H2169" s="112" t="str">
        <f>IF(ISBLANK(E2169),"",_xlfn.XLOOKUP(E2169,cannabis_log!C:C,cannabis_log!H:H,"",0,1))</f>
        <v>topical_labelled</v>
      </c>
      <c r="I2169" s="113">
        <f>IF(ISBLANK(E2169),"",_xlfn.XLOOKUP(E2169,cannabis_log!C:C,cannabis_log!K:K,"NOT FOUND",0,1))</f>
        <v>45805</v>
      </c>
      <c r="J2169" s="185">
        <v>24</v>
      </c>
      <c r="K2169" s="186">
        <f>IF(N2169="net",0,"")</f>
        <v>0</v>
      </c>
      <c r="L2169" s="288">
        <f t="shared" si="128"/>
        <v>2112</v>
      </c>
      <c r="M2169" s="24"/>
      <c r="N2169" s="112" t="str">
        <f>IF(ISBLANK(E2169),"",_xlfn.XLOOKUP(E2169,cannabis_log!C:C,cannabis_log!T:T,"Not Found",0,))</f>
        <v>net</v>
      </c>
      <c r="O2169" s="180">
        <f>IF(N2169="net",_xlfn.XLOOKUP(E2169,cannabis_log!C:C,cannabis_log!N:N,"NOT FOUND",0,1),IF(N2169="gross",0,""))</f>
        <v>88</v>
      </c>
    </row>
    <row r="2170" spans="1:15">
      <c r="A2170" s="195" t="str">
        <f t="shared" si="132"/>
        <v>inbound</v>
      </c>
      <c r="B2170" s="196">
        <v>45853.652777777781</v>
      </c>
      <c r="C2170" s="197" t="s">
        <v>1927</v>
      </c>
      <c r="D2170" s="197"/>
      <c r="E2170" s="215" t="s">
        <v>3100</v>
      </c>
      <c r="F2170" s="112" t="str">
        <f>IF(ISBLANK(E2170),"",_xlfn.XLOOKUP(E2170,cannabis_log!C:C,cannabis_log!J:J,"",0,))</f>
        <v>EX24111301G05</v>
      </c>
      <c r="G2170" s="112"/>
      <c r="H2170" s="112" t="str">
        <f>IF(ISBLANK(E2170),"",_xlfn.XLOOKUP(E2170,cannabis_log!C:C,cannabis_log!H:H,"",0,1))</f>
        <v>extract_inhaled_labelled</v>
      </c>
      <c r="I2170" s="113">
        <f>IF(ISBLANK(E2170),"",_xlfn.XLOOKUP(E2170,cannabis_log!C:C,cannabis_log!K:K,"NOT FOUND",0,1))</f>
        <v>45756</v>
      </c>
      <c r="J2170" s="185">
        <v>62</v>
      </c>
      <c r="K2170" s="186">
        <f>IF(N2170="net",0,"")</f>
        <v>0</v>
      </c>
      <c r="L2170" s="288">
        <f t="shared" si="128"/>
        <v>31</v>
      </c>
      <c r="M2170" s="24"/>
      <c r="N2170" s="112" t="str">
        <f>IF(ISBLANK(E2170),"",_xlfn.XLOOKUP(E2170,cannabis_log!C:C,cannabis_log!T:T,"Not Found",0,))</f>
        <v>net</v>
      </c>
      <c r="O2170" s="180">
        <f>IF(N2170="net",_xlfn.XLOOKUP(E2170,cannabis_log!C:C,cannabis_log!N:N,"NOT FOUND",0,1),IF(N2170="gross",0,""))</f>
        <v>0.5</v>
      </c>
    </row>
    <row r="2171" spans="1:15">
      <c r="A2171" s="195" t="str">
        <f t="shared" si="132"/>
        <v>inbound</v>
      </c>
      <c r="B2171" s="196">
        <v>45853.652777777781</v>
      </c>
      <c r="C2171" s="197" t="s">
        <v>1927</v>
      </c>
      <c r="D2171" s="197"/>
      <c r="E2171" s="215" t="s">
        <v>3205</v>
      </c>
      <c r="F2171" s="112" t="str">
        <f>IF(ISBLANK(E2171),"",_xlfn.XLOOKUP(E2171,cannabis_log!C:C,cannabis_log!J:J,"",0,))</f>
        <v>BS23090701G450</v>
      </c>
      <c r="G2171" s="112"/>
      <c r="H2171" s="112" t="str">
        <f>IF(ISBLANK(E2171),"",_xlfn.XLOOKUP(E2171,cannabis_log!C:C,cannabis_log!H:H,"",0,1))</f>
        <v>topical_labelled</v>
      </c>
      <c r="I2171" s="113">
        <f>IF(ISBLANK(E2171),"",_xlfn.XLOOKUP(E2171,cannabis_log!C:C,cannabis_log!K:K,"NOT FOUND",0,1))</f>
        <v>45735</v>
      </c>
      <c r="J2171" s="185">
        <v>59</v>
      </c>
      <c r="K2171" s="186">
        <f>IF(N2171="net",0,"")</f>
        <v>0</v>
      </c>
      <c r="L2171" s="288">
        <f t="shared" si="128"/>
        <v>26550</v>
      </c>
      <c r="M2171" s="24"/>
      <c r="N2171" s="112" t="str">
        <f>IF(ISBLANK(E2171),"",_xlfn.XLOOKUP(E2171,cannabis_log!C:C,cannabis_log!T:T,"Not Found",0,))</f>
        <v>net</v>
      </c>
      <c r="O2171" s="180">
        <f>IF(N2171="net",_xlfn.XLOOKUP(E2171,cannabis_log!C:C,cannabis_log!N:N,"NOT FOUND",0,1),IF(N2171="gross",0,""))</f>
        <v>450</v>
      </c>
    </row>
    <row r="2172" spans="1:15">
      <c r="A2172" s="195" t="str">
        <f t="shared" si="132"/>
        <v>inbound</v>
      </c>
      <c r="B2172" s="196">
        <v>45853.652777777781</v>
      </c>
      <c r="C2172" s="197" t="s">
        <v>1927</v>
      </c>
      <c r="D2172" s="197"/>
      <c r="E2172" s="215" t="s">
        <v>3201</v>
      </c>
      <c r="F2172" s="112">
        <f>IF(ISBLANK(E2172),"",_xlfn.XLOOKUP(E2172,cannabis_log!C:C,cannabis_log!J:J,"",0,))</f>
        <v>2024121801</v>
      </c>
      <c r="G2172" s="112"/>
      <c r="H2172" s="112" t="str">
        <f>IF(ISBLANK(E2172),"",_xlfn.XLOOKUP(E2172,cannabis_log!C:C,cannabis_log!H:H,"",0,1))</f>
        <v>driedflower_bulk_big</v>
      </c>
      <c r="I2172" s="113" t="str">
        <f>IF(ISBLANK(E2172),"",_xlfn.XLOOKUP(E2172,cannabis_log!C:C,cannabis_log!K:K,"NOT FOUND",0,1))</f>
        <v>NA</v>
      </c>
      <c r="J2172" s="185">
        <v>1</v>
      </c>
      <c r="K2172" s="186">
        <v>8972</v>
      </c>
      <c r="L2172" s="288">
        <f t="shared" si="128"/>
        <v>0</v>
      </c>
      <c r="M2172" s="24"/>
      <c r="N2172" s="112" t="str">
        <f>IF(ISBLANK(E2172),"",_xlfn.XLOOKUP(E2172,cannabis_log!C:C,cannabis_log!T:T,"Not Found",0,))</f>
        <v>gross</v>
      </c>
      <c r="O2172" s="180">
        <f>IF(N2172="net",_xlfn.XLOOKUP(E2172,cannabis_log!C:C,cannabis_log!N:N,"NOT FOUND",0,1),IF(N2172="gross",0,""))</f>
        <v>0</v>
      </c>
    </row>
    <row r="2173" spans="1:15">
      <c r="A2173" s="195" t="str">
        <f t="shared" si="132"/>
        <v>inbound</v>
      </c>
      <c r="B2173" s="196">
        <v>45853.652777777781</v>
      </c>
      <c r="C2173" s="197" t="s">
        <v>1927</v>
      </c>
      <c r="D2173" s="197"/>
      <c r="E2173" s="215" t="s">
        <v>3213</v>
      </c>
      <c r="F2173" s="112" t="str">
        <f>IF(ISBLANK(E2173),"",_xlfn.XLOOKUP(E2173,cannabis_log!C:C,cannabis_log!J:J,"",0,))</f>
        <v>PR2511</v>
      </c>
      <c r="G2173" s="112"/>
      <c r="H2173" s="112" t="str">
        <f>IF(ISBLANK(E2173),"",_xlfn.XLOOKUP(E2173,cannabis_log!C:C,cannabis_log!H:H,"",0,1))</f>
        <v>driedflower_milled_bulk</v>
      </c>
      <c r="I2173" s="113" t="str">
        <f>IF(ISBLANK(E2173),"",_xlfn.XLOOKUP(E2173,cannabis_log!C:C,cannabis_log!K:K,"NOT FOUND",0,1))</f>
        <v>NA</v>
      </c>
      <c r="J2173" s="185">
        <v>165</v>
      </c>
      <c r="K2173" s="186">
        <f t="shared" ref="K2173:K2180" si="133">IF(N2173="net",0,"")</f>
        <v>0</v>
      </c>
      <c r="L2173" s="288">
        <f t="shared" si="128"/>
        <v>263010</v>
      </c>
      <c r="M2173" s="24"/>
      <c r="N2173" s="112" t="str">
        <f>IF(ISBLANK(E2173),"",_xlfn.XLOOKUP(E2173,cannabis_log!C:C,cannabis_log!T:T,"Not Found",0,))</f>
        <v>net</v>
      </c>
      <c r="O2173" s="180">
        <f>IF(N2173="net",_xlfn.XLOOKUP(E2173,cannabis_log!C:C,cannabis_log!N:N,"NOT FOUND",0,1),IF(N2173="gross",0,""))</f>
        <v>1594</v>
      </c>
    </row>
    <row r="2174" spans="1:15">
      <c r="A2174" s="195" t="str">
        <f t="shared" si="132"/>
        <v>outbound</v>
      </c>
      <c r="B2174" s="196">
        <v>45853.694444444445</v>
      </c>
      <c r="C2174" s="197" t="s">
        <v>1929</v>
      </c>
      <c r="D2174" s="197"/>
      <c r="E2174" s="215" t="s">
        <v>3214</v>
      </c>
      <c r="F2174" s="112" t="str">
        <f>IF(ISBLANK(E2174),"",_xlfn.XLOOKUP(E2174,cannabis_log!C:C,cannabis_log!J:J,"",0,))</f>
        <v>2021082601G14</v>
      </c>
      <c r="G2174" s="112"/>
      <c r="H2174" s="112" t="str">
        <f>IF(ISBLANK(E2174),"",_xlfn.XLOOKUP(E2174,cannabis_log!C:C,cannabis_log!H:H,"",0,1))</f>
        <v>driedflower_labelled</v>
      </c>
      <c r="I2174" s="113">
        <f>IF(ISBLANK(E2174),"",_xlfn.XLOOKUP(E2174,cannabis_log!C:C,cannabis_log!K:K,"NOT FOUND",0,1))</f>
        <v>45822</v>
      </c>
      <c r="J2174" s="185">
        <v>-60</v>
      </c>
      <c r="K2174" s="186">
        <f t="shared" si="133"/>
        <v>0</v>
      </c>
      <c r="L2174" s="288">
        <f t="shared" si="128"/>
        <v>-840</v>
      </c>
      <c r="M2174" s="24"/>
      <c r="N2174" s="112" t="str">
        <f>IF(ISBLANK(E2174),"",_xlfn.XLOOKUP(E2174,cannabis_log!C:C,cannabis_log!T:T,"Not Found",0,))</f>
        <v>net</v>
      </c>
      <c r="O2174" s="180">
        <f>IF(N2174="net",_xlfn.XLOOKUP(E2174,cannabis_log!C:C,cannabis_log!N:N,"NOT FOUND",0,1),IF(N2174="gross",0,""))</f>
        <v>14</v>
      </c>
    </row>
    <row r="2175" spans="1:15">
      <c r="A2175" s="195" t="str">
        <f t="shared" si="132"/>
        <v>outbound</v>
      </c>
      <c r="B2175" s="196">
        <v>45854.416666666664</v>
      </c>
      <c r="C2175" s="197" t="s">
        <v>1921</v>
      </c>
      <c r="D2175" s="197"/>
      <c r="E2175" s="215" t="s">
        <v>3215</v>
      </c>
      <c r="F2175" s="112" t="str">
        <f>IF(ISBLANK(E2175),"",_xlfn.XLOOKUP(E2175,cannabis_log!C:C,cannabis_log!J:J,"",0,))</f>
        <v>PR241102F5</v>
      </c>
      <c r="G2175" s="112"/>
      <c r="H2175" s="112" t="str">
        <f>IF(ISBLANK(E2175),"",_xlfn.XLOOKUP(E2175,cannabis_log!C:C,cannabis_log!H:H,"",0,1))</f>
        <v>preroll_bulk</v>
      </c>
      <c r="I2175" s="113" t="str">
        <f>IF(ISBLANK(E2175),"",_xlfn.XLOOKUP(E2175,cannabis_log!C:C,cannabis_log!K:K,"NOT FOUND",0,1))</f>
        <v>NA</v>
      </c>
      <c r="J2175" s="185">
        <v>-573</v>
      </c>
      <c r="K2175" s="186">
        <f t="shared" si="133"/>
        <v>0</v>
      </c>
      <c r="L2175" s="288">
        <f t="shared" si="128"/>
        <v>-286.5</v>
      </c>
      <c r="M2175" s="24"/>
      <c r="N2175" s="112" t="str">
        <f>IF(ISBLANK(E2175),"",_xlfn.XLOOKUP(E2175,cannabis_log!C:C,cannabis_log!T:T,"Not Found",0,))</f>
        <v>net</v>
      </c>
      <c r="O2175" s="180">
        <f>IF(N2175="net",_xlfn.XLOOKUP(E2175,cannabis_log!C:C,cannabis_log!N:N,"NOT FOUND",0,1),IF(N2175="gross",0,""))</f>
        <v>0.5</v>
      </c>
    </row>
    <row r="2176" spans="1:15">
      <c r="A2176" s="195" t="str">
        <f t="shared" si="132"/>
        <v>outbound</v>
      </c>
      <c r="B2176" s="196">
        <v>45854.416666666664</v>
      </c>
      <c r="C2176" s="197" t="s">
        <v>1921</v>
      </c>
      <c r="D2176" s="197"/>
      <c r="E2176" s="215" t="s">
        <v>3216</v>
      </c>
      <c r="F2176" s="112" t="str">
        <f>IF(ISBLANK(E2176),"",_xlfn.XLOOKUP(E2176,cannabis_log!C:C,cannabis_log!J:J,"",0,))</f>
        <v>PR241102F5</v>
      </c>
      <c r="G2176" s="112"/>
      <c r="H2176" s="112" t="str">
        <f>IF(ISBLANK(E2176),"",_xlfn.XLOOKUP(E2176,cannabis_log!C:C,cannabis_log!H:H,"",0,1))</f>
        <v>preroll_bulk</v>
      </c>
      <c r="I2176" s="113" t="str">
        <f>IF(ISBLANK(E2176),"",_xlfn.XLOOKUP(E2176,cannabis_log!C:C,cannabis_log!K:K,"NOT FOUND",0,1))</f>
        <v>NA</v>
      </c>
      <c r="J2176" s="185">
        <v>-602</v>
      </c>
      <c r="K2176" s="186">
        <f t="shared" si="133"/>
        <v>0</v>
      </c>
      <c r="L2176" s="288">
        <f t="shared" si="128"/>
        <v>-301</v>
      </c>
      <c r="M2176" s="24"/>
      <c r="N2176" s="112" t="str">
        <f>IF(ISBLANK(E2176),"",_xlfn.XLOOKUP(E2176,cannabis_log!C:C,cannabis_log!T:T,"Not Found",0,))</f>
        <v>net</v>
      </c>
      <c r="O2176" s="180">
        <f>IF(N2176="net",_xlfn.XLOOKUP(E2176,cannabis_log!C:C,cannabis_log!N:N,"NOT FOUND",0,1),IF(N2176="gross",0,""))</f>
        <v>0.5</v>
      </c>
    </row>
    <row r="2177" spans="1:15">
      <c r="A2177" s="195" t="str">
        <f t="shared" si="132"/>
        <v>outbound</v>
      </c>
      <c r="B2177" s="196">
        <v>45854.416666666664</v>
      </c>
      <c r="C2177" s="197" t="s">
        <v>1921</v>
      </c>
      <c r="D2177" s="197"/>
      <c r="E2177" s="215" t="s">
        <v>2418</v>
      </c>
      <c r="F2177" s="112" t="str">
        <f>IF(ISBLANK(E2177),"",_xlfn.XLOOKUP(E2177,cannabis_log!C:C,cannabis_log!J:J,"",0,))</f>
        <v>PR241102F5</v>
      </c>
      <c r="G2177" s="112"/>
      <c r="H2177" s="112" t="str">
        <f>IF(ISBLANK(E2177),"",_xlfn.XLOOKUP(E2177,cannabis_log!C:C,cannabis_log!H:H,"",0,1))</f>
        <v>preroll_bulk</v>
      </c>
      <c r="I2177" s="113" t="str">
        <f>IF(ISBLANK(E2177),"",_xlfn.XLOOKUP(E2177,cannabis_log!C:C,cannabis_log!K:K,"NOT FOUND",0,1))</f>
        <v>NA</v>
      </c>
      <c r="J2177" s="185">
        <v>-55</v>
      </c>
      <c r="K2177" s="186">
        <f t="shared" si="133"/>
        <v>0</v>
      </c>
      <c r="L2177" s="288">
        <f t="shared" si="128"/>
        <v>-27.5</v>
      </c>
      <c r="M2177" s="24"/>
      <c r="N2177" s="112" t="str">
        <f>IF(ISBLANK(E2177),"",_xlfn.XLOOKUP(E2177,cannabis_log!C:C,cannabis_log!T:T,"Not Found",0,))</f>
        <v>net</v>
      </c>
      <c r="O2177" s="180">
        <f>IF(N2177="net",_xlfn.XLOOKUP(E2177,cannabis_log!C:C,cannabis_log!N:N,"NOT FOUND",0,1),IF(N2177="gross",0,""))</f>
        <v>0.5</v>
      </c>
    </row>
    <row r="2178" spans="1:15">
      <c r="A2178" s="195" t="str">
        <f t="shared" si="132"/>
        <v>outbound</v>
      </c>
      <c r="B2178" s="196">
        <v>45854.416666666664</v>
      </c>
      <c r="C2178" s="197" t="s">
        <v>1921</v>
      </c>
      <c r="D2178" s="197"/>
      <c r="E2178" s="215" t="s">
        <v>3038</v>
      </c>
      <c r="F2178" s="112" t="str">
        <f>IF(ISBLANK(E2178),"",_xlfn.XLOOKUP(E2178,cannabis_log!C:C,cannabis_log!J:J,"",0,))</f>
        <v>EX25050501V50</v>
      </c>
      <c r="G2178" s="112"/>
      <c r="H2178" s="112" t="str">
        <f>IF(ISBLANK(E2178),"",_xlfn.XLOOKUP(E2178,cannabis_log!C:C,cannabis_log!H:H,"",0,1))</f>
        <v>extract_ingested_packaged</v>
      </c>
      <c r="I2178" s="113">
        <f>IF(ISBLANK(E2178),"",_xlfn.XLOOKUP(E2178,cannabis_log!C:C,cannabis_log!K:K,"NOT FOUND",0,1))</f>
        <v>45790</v>
      </c>
      <c r="J2178" s="185">
        <v>-218</v>
      </c>
      <c r="K2178" s="186">
        <f t="shared" si="133"/>
        <v>0</v>
      </c>
      <c r="L2178" s="288">
        <f t="shared" si="128"/>
        <v>-10900</v>
      </c>
      <c r="M2178" s="24"/>
      <c r="N2178" s="112" t="str">
        <f>IF(ISBLANK(E2178),"",_xlfn.XLOOKUP(E2178,cannabis_log!C:C,cannabis_log!T:T,"Not Found",0,))</f>
        <v>net</v>
      </c>
      <c r="O2178" s="180">
        <f>IF(N2178="net",_xlfn.XLOOKUP(E2178,cannabis_log!C:C,cannabis_log!N:N,"NOT FOUND",0,1),IF(N2178="gross",0,""))</f>
        <v>50</v>
      </c>
    </row>
    <row r="2179" spans="1:15">
      <c r="A2179" s="195" t="str">
        <f t="shared" si="132"/>
        <v>outbound</v>
      </c>
      <c r="B2179" s="196">
        <v>45854.416666666664</v>
      </c>
      <c r="C2179" s="197" t="s">
        <v>1921</v>
      </c>
      <c r="D2179" s="197"/>
      <c r="E2179" s="215" t="s">
        <v>2672</v>
      </c>
      <c r="F2179" s="112" t="str">
        <f>IF(ISBLANK(E2179),"",_xlfn.XLOOKUP(E2179,cannabis_log!C:C,cannabis_log!J:J,"",0,))</f>
        <v>EX25012101V50</v>
      </c>
      <c r="G2179" s="112"/>
      <c r="H2179" s="112" t="str">
        <f>IF(ISBLANK(E2179),"",_xlfn.XLOOKUP(E2179,cannabis_log!C:C,cannabis_log!H:H,"",0,1))</f>
        <v>extract_ingested_packaged</v>
      </c>
      <c r="I2179" s="113">
        <f>IF(ISBLANK(E2179),"",_xlfn.XLOOKUP(E2179,cannabis_log!C:C,cannabis_log!K:K,"NOT FOUND",0,1))</f>
        <v>45700</v>
      </c>
      <c r="J2179" s="185">
        <v>-44</v>
      </c>
      <c r="K2179" s="186">
        <f t="shared" si="133"/>
        <v>0</v>
      </c>
      <c r="L2179" s="288">
        <f t="shared" si="128"/>
        <v>-2200</v>
      </c>
      <c r="M2179" s="24"/>
      <c r="N2179" s="112" t="str">
        <f>IF(ISBLANK(E2179),"",_xlfn.XLOOKUP(E2179,cannabis_log!C:C,cannabis_log!T:T,"Not Found",0,))</f>
        <v>net</v>
      </c>
      <c r="O2179" s="180">
        <f>IF(N2179="net",_xlfn.XLOOKUP(E2179,cannabis_log!C:C,cannabis_log!N:N,"NOT FOUND",0,1),IF(N2179="gross",0,""))</f>
        <v>50</v>
      </c>
    </row>
    <row r="2180" spans="1:15">
      <c r="A2180" s="195" t="str">
        <f t="shared" si="132"/>
        <v>outbound</v>
      </c>
      <c r="B2180" s="196">
        <v>45854.416666666664</v>
      </c>
      <c r="C2180" s="197" t="s">
        <v>1921</v>
      </c>
      <c r="D2180" s="197"/>
      <c r="E2180" s="215" t="s">
        <v>3217</v>
      </c>
      <c r="F2180" s="112" t="str">
        <f>IF(ISBLANK(E2180),"",_xlfn.XLOOKUP(E2180,cannabis_log!C:C,cannabis_log!J:J,"",0,))</f>
        <v>EX25012101V50</v>
      </c>
      <c r="G2180" s="112"/>
      <c r="H2180" s="112" t="str">
        <f>IF(ISBLANK(E2180),"",_xlfn.XLOOKUP(E2180,cannabis_log!C:C,cannabis_log!H:H,"",0,1))</f>
        <v>extract_ingested_labelled</v>
      </c>
      <c r="I2180" s="113">
        <f>IF(ISBLANK(E2180),"",_xlfn.XLOOKUP(E2180,cannabis_log!C:C,cannabis_log!K:K,"NOT FOUND",0,1))</f>
        <v>45700</v>
      </c>
      <c r="J2180" s="185">
        <v>-111</v>
      </c>
      <c r="K2180" s="186">
        <f t="shared" si="133"/>
        <v>0</v>
      </c>
      <c r="L2180" s="288">
        <f t="shared" si="128"/>
        <v>-5550</v>
      </c>
      <c r="M2180" s="24"/>
      <c r="N2180" s="112" t="str">
        <f>IF(ISBLANK(E2180),"",_xlfn.XLOOKUP(E2180,cannabis_log!C:C,cannabis_log!T:T,"Not Found",0,))</f>
        <v>net</v>
      </c>
      <c r="O2180" s="180">
        <f>IF(N2180="net",_xlfn.XLOOKUP(E2180,cannabis_log!C:C,cannabis_log!N:N,"NOT FOUND",0,1),IF(N2180="gross",0,""))</f>
        <v>50</v>
      </c>
    </row>
    <row r="2181" spans="1:15">
      <c r="A2181" s="195" t="str">
        <f t="shared" si="132"/>
        <v>outbound</v>
      </c>
      <c r="B2181" s="196">
        <v>45854.541666666664</v>
      </c>
      <c r="C2181" s="197" t="s">
        <v>1921</v>
      </c>
      <c r="D2181" s="197"/>
      <c r="E2181" s="215" t="s">
        <v>3201</v>
      </c>
      <c r="F2181" s="112">
        <f>IF(ISBLANK(E2181),"",_xlfn.XLOOKUP(E2181,cannabis_log!C:C,cannabis_log!J:J,"",0,))</f>
        <v>2024121801</v>
      </c>
      <c r="G2181" s="112"/>
      <c r="H2181" s="112" t="str">
        <f>IF(ISBLANK(E2181),"",_xlfn.XLOOKUP(E2181,cannabis_log!C:C,cannabis_log!H:H,"",0,1))</f>
        <v>driedflower_bulk_big</v>
      </c>
      <c r="I2181" s="113" t="str">
        <f>IF(ISBLANK(E2181),"",_xlfn.XLOOKUP(E2181,cannabis_log!C:C,cannabis_log!K:K,"NOT FOUND",0,1))</f>
        <v>NA</v>
      </c>
      <c r="J2181" s="185">
        <v>-1</v>
      </c>
      <c r="K2181" s="186">
        <v>-8972</v>
      </c>
      <c r="L2181" s="288">
        <f t="shared" si="128"/>
        <v>0</v>
      </c>
      <c r="M2181" s="24"/>
      <c r="N2181" s="112" t="str">
        <f>IF(ISBLANK(E2181),"",_xlfn.XLOOKUP(E2181,cannabis_log!C:C,cannabis_log!T:T,"Not Found",0,))</f>
        <v>gross</v>
      </c>
      <c r="O2181" s="180">
        <f>IF(N2181="net",_xlfn.XLOOKUP(E2181,cannabis_log!C:C,cannabis_log!N:N,"NOT FOUND",0,1),IF(N2181="gross",0,""))</f>
        <v>0</v>
      </c>
    </row>
    <row r="2182" spans="1:15">
      <c r="A2182" s="195" t="str">
        <f t="shared" si="132"/>
        <v>outbound</v>
      </c>
      <c r="B2182" s="196">
        <v>45854.625</v>
      </c>
      <c r="C2182" s="197" t="s">
        <v>1921</v>
      </c>
      <c r="D2182" s="197"/>
      <c r="E2182" s="215" t="s">
        <v>3218</v>
      </c>
      <c r="F2182" s="112" t="str">
        <f>IF(ISBLANK(E2182),"",_xlfn.XLOOKUP(E2182,cannabis_log!C:C,cannabis_log!J:J,"",0,))</f>
        <v>PR2519</v>
      </c>
      <c r="G2182" s="112"/>
      <c r="H2182" s="112" t="str">
        <f>IF(ISBLANK(E2182),"",_xlfn.XLOOKUP(E2182,cannabis_log!C:C,cannabis_log!H:H,"",0,1))</f>
        <v>driedflower_milled_bulk</v>
      </c>
      <c r="I2182" s="113" t="str">
        <f>IF(ISBLANK(E2182),"",_xlfn.XLOOKUP(E2182,cannabis_log!C:C,cannabis_log!K:K,"NOT FOUND",0,1))</f>
        <v>NA</v>
      </c>
      <c r="J2182" s="185">
        <v>-1</v>
      </c>
      <c r="K2182" s="186">
        <v>-4214</v>
      </c>
      <c r="L2182" s="288">
        <f t="shared" si="128"/>
        <v>0</v>
      </c>
      <c r="M2182" s="24"/>
      <c r="N2182" s="112" t="str">
        <f>IF(ISBLANK(E2182),"",_xlfn.XLOOKUP(E2182,cannabis_log!C:C,cannabis_log!T:T,"Not Found",0,))</f>
        <v>gross</v>
      </c>
      <c r="O2182" s="180">
        <f>IF(N2182="net",_xlfn.XLOOKUP(E2182,cannabis_log!C:C,cannabis_log!N:N,"NOT FOUND",0,1),IF(N2182="gross",0,""))</f>
        <v>0</v>
      </c>
    </row>
    <row r="2183" spans="1:15">
      <c r="A2183" s="195" t="str">
        <f t="shared" si="132"/>
        <v>outbound</v>
      </c>
      <c r="B2183" s="196">
        <v>45855.416666666664</v>
      </c>
      <c r="C2183" s="197" t="s">
        <v>1929</v>
      </c>
      <c r="D2183" s="197"/>
      <c r="E2183" s="215" t="s">
        <v>3154</v>
      </c>
      <c r="F2183" s="112" t="str">
        <f>IF(ISBLANK(E2183),"",_xlfn.XLOOKUP(E2183,cannabis_log!C:C,cannabis_log!J:J,"",0,))</f>
        <v>PR251705F5P3</v>
      </c>
      <c r="G2183" s="112"/>
      <c r="H2183" s="112" t="str">
        <f>IF(ISBLANK(E2183),"",_xlfn.XLOOKUP(E2183,cannabis_log!C:C,cannabis_log!H:H,"",0,1))</f>
        <v>preroll_labelled</v>
      </c>
      <c r="I2183" s="113">
        <f>IF(ISBLANK(E2183),"",_xlfn.XLOOKUP(E2183,cannabis_log!C:C,cannabis_log!K:K,"NOT FOUND",0,1))</f>
        <v>45804</v>
      </c>
      <c r="J2183" s="185">
        <v>-120</v>
      </c>
      <c r="K2183" s="186">
        <f>IF(N2183="net",0,"")</f>
        <v>0</v>
      </c>
      <c r="L2183" s="288">
        <f t="shared" si="128"/>
        <v>-180</v>
      </c>
      <c r="M2183" s="24"/>
      <c r="N2183" s="112" t="str">
        <f>IF(ISBLANK(E2183),"",_xlfn.XLOOKUP(E2183,cannabis_log!C:C,cannabis_log!T:T,"Not Found",0,))</f>
        <v>net</v>
      </c>
      <c r="O2183" s="180">
        <f>IF(N2183="net",_xlfn.XLOOKUP(E2183,cannabis_log!C:C,cannabis_log!N:N,"NOT FOUND",0,1),IF(N2183="gross",0,""))</f>
        <v>1.5</v>
      </c>
    </row>
    <row r="2184" spans="1:15">
      <c r="A2184" s="195" t="str">
        <f t="shared" si="132"/>
        <v>outbound</v>
      </c>
      <c r="B2184" s="196">
        <v>45855.416666666664</v>
      </c>
      <c r="C2184" s="197" t="s">
        <v>1929</v>
      </c>
      <c r="D2184" s="197"/>
      <c r="E2184" s="215" t="s">
        <v>3219</v>
      </c>
      <c r="F2184" s="112" t="str">
        <f>IF(ISBLANK(E2184),"",_xlfn.XLOOKUP(E2184,cannabis_log!C:C,cannabis_log!J:J,"",0,))</f>
        <v>PR251905F5P3</v>
      </c>
      <c r="G2184" s="112"/>
      <c r="H2184" s="112" t="str">
        <f>IF(ISBLANK(E2184),"",_xlfn.XLOOKUP(E2184,cannabis_log!C:C,cannabis_log!H:H,"",0,1))</f>
        <v>preroll_labelled</v>
      </c>
      <c r="I2184" s="113">
        <f>IF(ISBLANK(E2184),"",_xlfn.XLOOKUP(E2184,cannabis_log!C:C,cannabis_log!K:K,"NOT FOUND",0,1))</f>
        <v>45846</v>
      </c>
      <c r="J2184" s="185">
        <v>-96</v>
      </c>
      <c r="K2184" s="186">
        <f>IF(N2184="net",0,"")</f>
        <v>0</v>
      </c>
      <c r="L2184" s="288">
        <f t="shared" si="128"/>
        <v>-144</v>
      </c>
      <c r="M2184" s="24"/>
      <c r="N2184" s="112" t="str">
        <f>IF(ISBLANK(E2184),"",_xlfn.XLOOKUP(E2184,cannabis_log!C:C,cannabis_log!T:T,"Not Found",0,))</f>
        <v>net</v>
      </c>
      <c r="O2184" s="180">
        <f>IF(N2184="net",_xlfn.XLOOKUP(E2184,cannabis_log!C:C,cannabis_log!N:N,"NOT FOUND",0,1),IF(N2184="gross",0,""))</f>
        <v>1.5</v>
      </c>
    </row>
    <row r="2185" spans="1:15">
      <c r="A2185" s="195" t="str">
        <f t="shared" si="132"/>
        <v>outbound</v>
      </c>
      <c r="B2185" s="196">
        <v>45855.416666666664</v>
      </c>
      <c r="C2185" s="197" t="s">
        <v>1929</v>
      </c>
      <c r="D2185" s="197"/>
      <c r="E2185" s="215" t="s">
        <v>3220</v>
      </c>
      <c r="F2185" s="112" t="str">
        <f>IF(ISBLANK(E2185),"",_xlfn.XLOOKUP(E2185,cannabis_log!C:C,cannabis_log!J:J,"",0,))</f>
        <v>PR2516F5P10</v>
      </c>
      <c r="G2185" s="112"/>
      <c r="H2185" s="112" t="str">
        <f>IF(ISBLANK(E2185),"",_xlfn.XLOOKUP(E2185,cannabis_log!C:C,cannabis_log!H:H,"",0,1))</f>
        <v>preroll_labelled</v>
      </c>
      <c r="I2185" s="113">
        <f>IF(ISBLANK(E2185),"",_xlfn.XLOOKUP(E2185,cannabis_log!C:C,cannabis_log!K:K,"NOT FOUND",0,1))</f>
        <v>45841</v>
      </c>
      <c r="J2185" s="185">
        <v>-139</v>
      </c>
      <c r="K2185" s="186">
        <f>IF(N2185="net",0,"")</f>
        <v>0</v>
      </c>
      <c r="L2185" s="288">
        <f t="shared" si="128"/>
        <v>-695</v>
      </c>
      <c r="M2185" s="24"/>
      <c r="N2185" s="112" t="str">
        <f>IF(ISBLANK(E2185),"",_xlfn.XLOOKUP(E2185,cannabis_log!C:C,cannabis_log!T:T,"Not Found",0,))</f>
        <v>net</v>
      </c>
      <c r="O2185" s="180">
        <f>IF(N2185="net",_xlfn.XLOOKUP(E2185,cannabis_log!C:C,cannabis_log!N:N,"NOT FOUND",0,1),IF(N2185="gross",0,""))</f>
        <v>5</v>
      </c>
    </row>
    <row r="2186" spans="1:15">
      <c r="A2186" s="195" t="str">
        <f t="shared" si="132"/>
        <v>outbound</v>
      </c>
      <c r="B2186" s="196">
        <v>45855.416666666664</v>
      </c>
      <c r="C2186" s="197" t="s">
        <v>1929</v>
      </c>
      <c r="D2186" s="197"/>
      <c r="E2186" s="215" t="s">
        <v>3221</v>
      </c>
      <c r="F2186" s="112" t="str">
        <f>IF(ISBLANK(E2186),"",_xlfn.XLOOKUP(E2186,cannabis_log!C:C,cannabis_log!J:J,"",0,))</f>
        <v>2025050501G14</v>
      </c>
      <c r="G2186" s="112"/>
      <c r="H2186" s="112" t="str">
        <f>IF(ISBLANK(E2186),"",_xlfn.XLOOKUP(E2186,cannabis_log!C:C,cannabis_log!H:H,"",0,1))</f>
        <v>driedflower_labelled</v>
      </c>
      <c r="I2186" s="113">
        <f>IF(ISBLANK(E2186),"",_xlfn.XLOOKUP(E2186,cannabis_log!C:C,cannabis_log!K:K,"NOT FOUND",0,1))</f>
        <v>45840</v>
      </c>
      <c r="J2186" s="185">
        <v>-55</v>
      </c>
      <c r="K2186" s="186">
        <f>IF(N2186="net",0,"")</f>
        <v>0</v>
      </c>
      <c r="L2186" s="288">
        <f t="shared" si="128"/>
        <v>-770</v>
      </c>
      <c r="M2186" s="24"/>
      <c r="N2186" s="112" t="str">
        <f>IF(ISBLANK(E2186),"",_xlfn.XLOOKUP(E2186,cannabis_log!C:C,cannabis_log!T:T,"Not Found",0,))</f>
        <v>net</v>
      </c>
      <c r="O2186" s="180">
        <f>IF(N2186="net",_xlfn.XLOOKUP(E2186,cannabis_log!C:C,cannabis_log!N:N,"NOT FOUND",0,1),IF(N2186="gross",0,""))</f>
        <v>14</v>
      </c>
    </row>
    <row r="2187" spans="1:15">
      <c r="A2187" s="195" t="str">
        <f t="shared" si="132"/>
        <v>outbound</v>
      </c>
      <c r="B2187" s="196">
        <v>45855.416666666664</v>
      </c>
      <c r="C2187" s="197" t="s">
        <v>1921</v>
      </c>
      <c r="D2187" s="197"/>
      <c r="E2187" s="215" t="s">
        <v>3176</v>
      </c>
      <c r="F2187" s="112">
        <f>IF(ISBLANK(E2187),"",_xlfn.XLOOKUP(E2187,cannabis_log!C:C,cannabis_log!J:J,"",0,))</f>
        <v>2025062602</v>
      </c>
      <c r="G2187" s="112"/>
      <c r="H2187" s="112" t="str">
        <f>IF(ISBLANK(E2187),"",_xlfn.XLOOKUP(E2187,cannabis_log!C:C,cannabis_log!H:H,"",0,1))</f>
        <v>driedflower_bulk_Rohan</v>
      </c>
      <c r="I2187" s="113" t="str">
        <f>IF(ISBLANK(E2187),"",_xlfn.XLOOKUP(E2187,cannabis_log!C:C,cannabis_log!K:K,"NOT FOUND",0,1))</f>
        <v>NA</v>
      </c>
      <c r="J2187" s="185">
        <v>-1</v>
      </c>
      <c r="K2187" s="186">
        <v>-6064</v>
      </c>
      <c r="L2187" s="288">
        <f t="shared" si="128"/>
        <v>0</v>
      </c>
      <c r="M2187" s="24"/>
      <c r="N2187" s="112" t="str">
        <f>IF(ISBLANK(E2187),"",_xlfn.XLOOKUP(E2187,cannabis_log!C:C,cannabis_log!T:T,"Not Found",0,))</f>
        <v>gross</v>
      </c>
      <c r="O2187" s="180">
        <f>IF(N2187="net",_xlfn.XLOOKUP(E2187,cannabis_log!C:C,cannabis_log!N:N,"NOT FOUND",0,1),IF(N2187="gross",0,""))</f>
        <v>0</v>
      </c>
    </row>
    <row r="2188" spans="1:15">
      <c r="A2188" s="195" t="str">
        <f t="shared" si="132"/>
        <v>outbound</v>
      </c>
      <c r="B2188" s="196">
        <v>45855.416666666664</v>
      </c>
      <c r="C2188" s="197" t="s">
        <v>1921</v>
      </c>
      <c r="D2188" s="197"/>
      <c r="E2188" s="215" t="s">
        <v>3170</v>
      </c>
      <c r="F2188" s="112">
        <f>IF(ISBLANK(E2188),"",_xlfn.XLOOKUP(E2188,cannabis_log!C:C,cannabis_log!J:J,"",0,))</f>
        <v>2025062602</v>
      </c>
      <c r="G2188" s="112"/>
      <c r="H2188" s="112" t="str">
        <f>IF(ISBLANK(E2188),"",_xlfn.XLOOKUP(E2188,cannabis_log!C:C,cannabis_log!H:H,"",0,1))</f>
        <v>driedflower_bulk_Rohan</v>
      </c>
      <c r="I2188" s="113" t="str">
        <f>IF(ISBLANK(E2188),"",_xlfn.XLOOKUP(E2188,cannabis_log!C:C,cannabis_log!K:K,"NOT FOUND",0,1))</f>
        <v>NA</v>
      </c>
      <c r="J2188" s="185">
        <v>-1</v>
      </c>
      <c r="K2188" s="186">
        <v>-972</v>
      </c>
      <c r="L2188" s="288">
        <f t="shared" si="128"/>
        <v>0</v>
      </c>
      <c r="M2188" s="24"/>
      <c r="N2188" s="112" t="str">
        <f>IF(ISBLANK(E2188),"",_xlfn.XLOOKUP(E2188,cannabis_log!C:C,cannabis_log!T:T,"Not Found",0,))</f>
        <v>gross</v>
      </c>
      <c r="O2188" s="180">
        <f>IF(N2188="net",_xlfn.XLOOKUP(E2188,cannabis_log!C:C,cannabis_log!N:N,"NOT FOUND",0,1),IF(N2188="gross",0,""))</f>
        <v>0</v>
      </c>
    </row>
    <row r="2189" spans="1:15">
      <c r="A2189" s="195" t="str">
        <f t="shared" si="132"/>
        <v>outbound</v>
      </c>
      <c r="B2189" s="196">
        <v>45855.416666666664</v>
      </c>
      <c r="C2189" s="197" t="s">
        <v>1921</v>
      </c>
      <c r="D2189" s="197"/>
      <c r="E2189" s="215" t="s">
        <v>3171</v>
      </c>
      <c r="F2189" s="112">
        <f>IF(ISBLANK(E2189),"",_xlfn.XLOOKUP(E2189,cannabis_log!C:C,cannabis_log!J:J,"",0,))</f>
        <v>2025062602</v>
      </c>
      <c r="G2189" s="112"/>
      <c r="H2189" s="112" t="str">
        <f>IF(ISBLANK(E2189),"",_xlfn.XLOOKUP(E2189,cannabis_log!C:C,cannabis_log!H:H,"",0,1))</f>
        <v>driedflower_bulk_Rohan</v>
      </c>
      <c r="I2189" s="113" t="str">
        <f>IF(ISBLANK(E2189),"",_xlfn.XLOOKUP(E2189,cannabis_log!C:C,cannabis_log!K:K,"NOT FOUND",0,1))</f>
        <v>NA</v>
      </c>
      <c r="J2189" s="185">
        <v>-1</v>
      </c>
      <c r="K2189" s="186">
        <v>-1000</v>
      </c>
      <c r="L2189" s="288">
        <f t="shared" si="128"/>
        <v>0</v>
      </c>
      <c r="M2189" s="24"/>
      <c r="N2189" s="112" t="str">
        <f>IF(ISBLANK(E2189),"",_xlfn.XLOOKUP(E2189,cannabis_log!C:C,cannabis_log!T:T,"Not Found",0,))</f>
        <v>gross</v>
      </c>
      <c r="O2189" s="180">
        <f>IF(N2189="net",_xlfn.XLOOKUP(E2189,cannabis_log!C:C,cannabis_log!N:N,"NOT FOUND",0,1),IF(N2189="gross",0,""))</f>
        <v>0</v>
      </c>
    </row>
    <row r="2190" spans="1:15">
      <c r="A2190" s="195" t="str">
        <f t="shared" si="132"/>
        <v>outbound</v>
      </c>
      <c r="B2190" s="196">
        <v>45855.416666666664</v>
      </c>
      <c r="C2190" s="197" t="s">
        <v>1921</v>
      </c>
      <c r="D2190" s="197"/>
      <c r="E2190" s="215" t="s">
        <v>3173</v>
      </c>
      <c r="F2190" s="112">
        <f>IF(ISBLANK(E2190),"",_xlfn.XLOOKUP(E2190,cannabis_log!C:C,cannabis_log!J:J,"",0,))</f>
        <v>2025062602</v>
      </c>
      <c r="G2190" s="112"/>
      <c r="H2190" s="112" t="str">
        <f>IF(ISBLANK(E2190),"",_xlfn.XLOOKUP(E2190,cannabis_log!C:C,cannabis_log!H:H,"",0,1))</f>
        <v>driedflower_bulk_Rohan</v>
      </c>
      <c r="I2190" s="113" t="str">
        <f>IF(ISBLANK(E2190),"",_xlfn.XLOOKUP(E2190,cannabis_log!C:C,cannabis_log!K:K,"NOT FOUND",0,1))</f>
        <v>NA</v>
      </c>
      <c r="J2190" s="185">
        <v>-1</v>
      </c>
      <c r="K2190" s="186">
        <v>-1000</v>
      </c>
      <c r="L2190" s="288">
        <f t="shared" si="128"/>
        <v>0</v>
      </c>
      <c r="M2190" s="24"/>
      <c r="N2190" s="112" t="str">
        <f>IF(ISBLANK(E2190),"",_xlfn.XLOOKUP(E2190,cannabis_log!C:C,cannabis_log!T:T,"Not Found",0,))</f>
        <v>gross</v>
      </c>
      <c r="O2190" s="180">
        <f>IF(N2190="net",_xlfn.XLOOKUP(E2190,cannabis_log!C:C,cannabis_log!N:N,"NOT FOUND",0,1),IF(N2190="gross",0,""))</f>
        <v>0</v>
      </c>
    </row>
    <row r="2191" spans="1:15">
      <c r="A2191" s="195" t="str">
        <f t="shared" si="132"/>
        <v>outbound</v>
      </c>
      <c r="B2191" s="196">
        <v>45855.416666666664</v>
      </c>
      <c r="C2191" s="197" t="s">
        <v>1921</v>
      </c>
      <c r="D2191" s="197"/>
      <c r="E2191" s="215" t="s">
        <v>3174</v>
      </c>
      <c r="F2191" s="112">
        <f>IF(ISBLANK(E2191),"",_xlfn.XLOOKUP(E2191,cannabis_log!C:C,cannabis_log!J:J,"",0,))</f>
        <v>2025050501</v>
      </c>
      <c r="G2191" s="112"/>
      <c r="H2191" s="112" t="str">
        <f>IF(ISBLANK(E2191),"",_xlfn.XLOOKUP(E2191,cannabis_log!C:C,cannabis_log!H:H,"",0,1))</f>
        <v>driedflower_bulk_Rohan</v>
      </c>
      <c r="I2191" s="113" t="str">
        <f>IF(ISBLANK(E2191),"",_xlfn.XLOOKUP(E2191,cannabis_log!C:C,cannabis_log!K:K,"NOT FOUND",0,1))</f>
        <v>NA</v>
      </c>
      <c r="J2191" s="185">
        <v>-1</v>
      </c>
      <c r="K2191" s="186">
        <v>-380</v>
      </c>
      <c r="L2191" s="288">
        <f t="shared" ref="L2191:L2251" si="134">IFERROR(J2191*O2191,"")</f>
        <v>0</v>
      </c>
      <c r="M2191" s="24"/>
      <c r="N2191" s="112" t="str">
        <f>IF(ISBLANK(E2191),"",_xlfn.XLOOKUP(E2191,cannabis_log!C:C,cannabis_log!T:T,"Not Found",0,))</f>
        <v>gross</v>
      </c>
      <c r="O2191" s="180">
        <f>IF(N2191="net",_xlfn.XLOOKUP(E2191,cannabis_log!C:C,cannabis_log!N:N,"NOT FOUND",0,1),IF(N2191="gross",0,""))</f>
        <v>0</v>
      </c>
    </row>
    <row r="2192" spans="1:15">
      <c r="A2192" s="195" t="str">
        <f t="shared" si="132"/>
        <v>outbound</v>
      </c>
      <c r="B2192" s="196">
        <v>45855.416666666664</v>
      </c>
      <c r="C2192" s="197" t="s">
        <v>1921</v>
      </c>
      <c r="D2192" s="197"/>
      <c r="E2192" s="215" t="s">
        <v>3175</v>
      </c>
      <c r="F2192" s="112">
        <f>IF(ISBLANK(E2192),"",_xlfn.XLOOKUP(E2192,cannabis_log!C:C,cannabis_log!J:J,"",0,))</f>
        <v>2025062602</v>
      </c>
      <c r="G2192" s="112"/>
      <c r="H2192" s="112" t="str">
        <f>IF(ISBLANK(E2192),"",_xlfn.XLOOKUP(E2192,cannabis_log!C:C,cannabis_log!H:H,"",0,1))</f>
        <v>driedflower_bulk_Rohan</v>
      </c>
      <c r="I2192" s="113" t="str">
        <f>IF(ISBLANK(E2192),"",_xlfn.XLOOKUP(E2192,cannabis_log!C:C,cannabis_log!K:K,"NOT FOUND",0,1))</f>
        <v>NA</v>
      </c>
      <c r="J2192" s="185">
        <v>-1</v>
      </c>
      <c r="K2192" s="186">
        <v>-1000</v>
      </c>
      <c r="L2192" s="288">
        <f t="shared" si="134"/>
        <v>0</v>
      </c>
      <c r="M2192" s="24"/>
      <c r="N2192" s="112" t="str">
        <f>IF(ISBLANK(E2192),"",_xlfn.XLOOKUP(E2192,cannabis_log!C:C,cannabis_log!T:T,"Not Found",0,))</f>
        <v>gross</v>
      </c>
      <c r="O2192" s="180">
        <f>IF(N2192="net",_xlfn.XLOOKUP(E2192,cannabis_log!C:C,cannabis_log!N:N,"NOT FOUND",0,1),IF(N2192="gross",0,""))</f>
        <v>0</v>
      </c>
    </row>
    <row r="2193" spans="1:15">
      <c r="A2193" s="195" t="str">
        <f t="shared" si="132"/>
        <v>outbound</v>
      </c>
      <c r="B2193" s="196">
        <v>45855.416666666664</v>
      </c>
      <c r="C2193" s="197" t="s">
        <v>1929</v>
      </c>
      <c r="D2193" s="197" t="s">
        <v>3222</v>
      </c>
      <c r="E2193" s="215" t="s">
        <v>2597</v>
      </c>
      <c r="F2193" s="112" t="str">
        <f>IF(ISBLANK(E2193),"",_xlfn.XLOOKUP(E2193,cannabis_log!C:C,cannabis_log!J:J,"",0,))</f>
        <v>EX24101705G05</v>
      </c>
      <c r="G2193" s="112"/>
      <c r="H2193" s="112" t="str">
        <f>IF(ISBLANK(E2193),"",_xlfn.XLOOKUP(E2193,cannabis_log!C:C,cannabis_log!H:H,"",0,1))</f>
        <v>extract_inhaled_labelled</v>
      </c>
      <c r="I2193" s="113">
        <f>IF(ISBLANK(E2193),"",_xlfn.XLOOKUP(E2193,cannabis_log!C:C,cannabis_log!K:K,"NOT FOUND",0,1))</f>
        <v>45629</v>
      </c>
      <c r="J2193" s="185">
        <v>-58</v>
      </c>
      <c r="K2193" s="186">
        <f t="shared" ref="K2193:K2201" si="135">IF(N2193="net",0,"")</f>
        <v>0</v>
      </c>
      <c r="L2193" s="288">
        <f t="shared" si="134"/>
        <v>-29</v>
      </c>
      <c r="M2193" s="24"/>
      <c r="N2193" s="112" t="str">
        <f>IF(ISBLANK(E2193),"",_xlfn.XLOOKUP(E2193,cannabis_log!C:C,cannabis_log!T:T,"Not Found",0,))</f>
        <v>net</v>
      </c>
      <c r="O2193" s="180">
        <f>IF(N2193="net",_xlfn.XLOOKUP(E2193,cannabis_log!C:C,cannabis_log!N:N,"NOT FOUND",0,1),IF(N2193="gross",0,""))</f>
        <v>0.5</v>
      </c>
    </row>
    <row r="2194" spans="1:15">
      <c r="A2194" s="195" t="str">
        <f t="shared" si="132"/>
        <v>outbound</v>
      </c>
      <c r="B2194" s="196">
        <v>45855.416666666664</v>
      </c>
      <c r="C2194" s="197" t="s">
        <v>1929</v>
      </c>
      <c r="D2194" s="197" t="s">
        <v>3222</v>
      </c>
      <c r="E2194" s="215" t="s">
        <v>2456</v>
      </c>
      <c r="F2194" s="112" t="str">
        <f>IF(ISBLANK(E2194),"",_xlfn.XLOOKUP(E2194,cannabis_log!C:C,cannabis_log!J:J,"",0,))</f>
        <v>EX24101703G05</v>
      </c>
      <c r="G2194" s="112"/>
      <c r="H2194" s="112" t="str">
        <f>IF(ISBLANK(E2194),"",_xlfn.XLOOKUP(E2194,cannabis_log!C:C,cannabis_log!H:H,"",0,1))</f>
        <v>extract_inhaled_labelled</v>
      </c>
      <c r="I2194" s="113">
        <f>IF(ISBLANK(E2194),"",_xlfn.XLOOKUP(E2194,cannabis_log!C:C,cannabis_log!K:K,"NOT FOUND",0,1))</f>
        <v>45603</v>
      </c>
      <c r="J2194" s="185">
        <v>-451</v>
      </c>
      <c r="K2194" s="186">
        <f t="shared" si="135"/>
        <v>0</v>
      </c>
      <c r="L2194" s="288">
        <f t="shared" si="134"/>
        <v>-225.5</v>
      </c>
      <c r="M2194" s="24"/>
      <c r="N2194" s="112" t="str">
        <f>IF(ISBLANK(E2194),"",_xlfn.XLOOKUP(E2194,cannabis_log!C:C,cannabis_log!T:T,"Not Found",0,))</f>
        <v>net</v>
      </c>
      <c r="O2194" s="180">
        <f>IF(N2194="net",_xlfn.XLOOKUP(E2194,cannabis_log!C:C,cannabis_log!N:N,"NOT FOUND",0,1),IF(N2194="gross",0,""))</f>
        <v>0.5</v>
      </c>
    </row>
    <row r="2195" spans="1:15">
      <c r="A2195" s="195" t="str">
        <f t="shared" si="132"/>
        <v>outbound</v>
      </c>
      <c r="B2195" s="196">
        <v>45855.416666666664</v>
      </c>
      <c r="C2195" s="197" t="s">
        <v>1929</v>
      </c>
      <c r="D2195" s="197" t="s">
        <v>3222</v>
      </c>
      <c r="E2195" s="215" t="s">
        <v>3223</v>
      </c>
      <c r="F2195" s="112" t="str">
        <f>IF(ISBLANK(E2195),"",_xlfn.XLOOKUP(E2195,cannabis_log!C:C,cannabis_log!J:J,"",0,))</f>
        <v>EX24101704G05</v>
      </c>
      <c r="G2195" s="112"/>
      <c r="H2195" s="112" t="str">
        <f>IF(ISBLANK(E2195),"",_xlfn.XLOOKUP(E2195,cannabis_log!C:C,cannabis_log!H:H,"",0,1))</f>
        <v>extract_inhaled_labelled</v>
      </c>
      <c r="I2195" s="113">
        <f>IF(ISBLANK(E2195),"",_xlfn.XLOOKUP(E2195,cannabis_log!C:C,cannabis_log!K:K,"NOT FOUND",0,1))</f>
        <v>45631</v>
      </c>
      <c r="J2195" s="185">
        <v>-518</v>
      </c>
      <c r="K2195" s="186">
        <f t="shared" si="135"/>
        <v>0</v>
      </c>
      <c r="L2195" s="288">
        <f t="shared" si="134"/>
        <v>-259</v>
      </c>
      <c r="M2195" s="24"/>
      <c r="N2195" s="112" t="str">
        <f>IF(ISBLANK(E2195),"",_xlfn.XLOOKUP(E2195,cannabis_log!C:C,cannabis_log!T:T,"Not Found",0,))</f>
        <v>net</v>
      </c>
      <c r="O2195" s="180">
        <f>IF(N2195="net",_xlfn.XLOOKUP(E2195,cannabis_log!C:C,cannabis_log!N:N,"NOT FOUND",0,1),IF(N2195="gross",0,""))</f>
        <v>0.5</v>
      </c>
    </row>
    <row r="2196" spans="1:15">
      <c r="A2196" s="195" t="str">
        <f t="shared" si="132"/>
        <v>outbound</v>
      </c>
      <c r="B2196" s="196">
        <v>45855.416666666664</v>
      </c>
      <c r="C2196" s="197" t="s">
        <v>1929</v>
      </c>
      <c r="D2196" s="197" t="s">
        <v>3222</v>
      </c>
      <c r="E2196" s="215" t="s">
        <v>3089</v>
      </c>
      <c r="F2196" s="112" t="str">
        <f>IF(ISBLANK(E2196),"",_xlfn.XLOOKUP(E2196,cannabis_log!C:C,cannabis_log!J:J,"",0,))</f>
        <v>EX24111302G05</v>
      </c>
      <c r="G2196" s="112"/>
      <c r="H2196" s="112" t="str">
        <f>IF(ISBLANK(E2196),"",_xlfn.XLOOKUP(E2196,cannabis_log!C:C,cannabis_log!H:H,"",0,1))</f>
        <v>extract_inhaled_labelled</v>
      </c>
      <c r="I2196" s="113">
        <f>IF(ISBLANK(E2196),"",_xlfn.XLOOKUP(E2196,cannabis_log!C:C,cannabis_log!K:K,"NOT FOUND",0,1))</f>
        <v>45707</v>
      </c>
      <c r="J2196" s="185">
        <v>-103</v>
      </c>
      <c r="K2196" s="186">
        <f t="shared" si="135"/>
        <v>0</v>
      </c>
      <c r="L2196" s="288">
        <f t="shared" si="134"/>
        <v>-51.5</v>
      </c>
      <c r="M2196" s="24"/>
      <c r="N2196" s="112" t="str">
        <f>IF(ISBLANK(E2196),"",_xlfn.XLOOKUP(E2196,cannabis_log!C:C,cannabis_log!T:T,"Not Found",0,))</f>
        <v>net</v>
      </c>
      <c r="O2196" s="180">
        <f>IF(N2196="net",_xlfn.XLOOKUP(E2196,cannabis_log!C:C,cannabis_log!N:N,"NOT FOUND",0,1),IF(N2196="gross",0,""))</f>
        <v>0.5</v>
      </c>
    </row>
    <row r="2197" spans="1:15">
      <c r="A2197" s="195" t="str">
        <f t="shared" si="132"/>
        <v>outbound</v>
      </c>
      <c r="B2197" s="196">
        <v>45855.416666666664</v>
      </c>
      <c r="C2197" s="197" t="s">
        <v>1929</v>
      </c>
      <c r="D2197" s="197" t="s">
        <v>3222</v>
      </c>
      <c r="E2197" s="215" t="s">
        <v>2492</v>
      </c>
      <c r="F2197" s="112" t="str">
        <f>IF(ISBLANK(E2197),"",_xlfn.XLOOKUP(E2197,cannabis_log!C:C,cannabis_log!J:J,"",0,))</f>
        <v>PR241104F5P3</v>
      </c>
      <c r="G2197" s="112"/>
      <c r="H2197" s="112" t="str">
        <f>IF(ISBLANK(E2197),"",_xlfn.XLOOKUP(E2197,cannabis_log!C:C,cannabis_log!H:H,"",0,1))</f>
        <v>preroll_labelled</v>
      </c>
      <c r="I2197" s="113">
        <f>IF(ISBLANK(E2197),"",_xlfn.XLOOKUP(E2197,cannabis_log!C:C,cannabis_log!K:K,"NOT FOUND",0,1))</f>
        <v>45630</v>
      </c>
      <c r="J2197" s="185">
        <v>-146</v>
      </c>
      <c r="K2197" s="186">
        <f t="shared" si="135"/>
        <v>0</v>
      </c>
      <c r="L2197" s="288">
        <f t="shared" si="134"/>
        <v>-219</v>
      </c>
      <c r="M2197" s="24"/>
      <c r="N2197" s="112" t="str">
        <f>IF(ISBLANK(E2197),"",_xlfn.XLOOKUP(E2197,cannabis_log!C:C,cannabis_log!T:T,"Not Found",0,))</f>
        <v>net</v>
      </c>
      <c r="O2197" s="180">
        <f>IF(N2197="net",_xlfn.XLOOKUP(E2197,cannabis_log!C:C,cannabis_log!N:N,"NOT FOUND",0,1),IF(N2197="gross",0,""))</f>
        <v>1.5</v>
      </c>
    </row>
    <row r="2198" spans="1:15">
      <c r="A2198" s="195" t="str">
        <f t="shared" ref="A2198:A2225" si="136">IF(ISBLANK(J2198),"",IF(J2198+K2198+L2198&lt;0,"outbound","inbound"))</f>
        <v>outbound</v>
      </c>
      <c r="B2198" s="196">
        <v>45855.416666666664</v>
      </c>
      <c r="C2198" s="197" t="s">
        <v>1929</v>
      </c>
      <c r="D2198" s="197" t="s">
        <v>3222</v>
      </c>
      <c r="E2198" s="215" t="s">
        <v>2311</v>
      </c>
      <c r="F2198" s="112" t="str">
        <f>IF(ISBLANK(E2198),"",_xlfn.XLOOKUP(E2198,cannabis_log!C:C,cannabis_log!J:J,"",0,))</f>
        <v>PR241104F5P3</v>
      </c>
      <c r="G2198" s="112"/>
      <c r="H2198" s="112" t="str">
        <f>IF(ISBLANK(E2198),"",_xlfn.XLOOKUP(E2198,cannabis_log!C:C,cannabis_log!H:H,"",0,1))</f>
        <v>preroll_labelled</v>
      </c>
      <c r="I2198" s="113">
        <f>IF(ISBLANK(E2198),"",_xlfn.XLOOKUP(E2198,cannabis_log!C:C,cannabis_log!K:K,"NOT FOUND",0,1))</f>
        <v>45588</v>
      </c>
      <c r="J2198" s="185">
        <v>-8</v>
      </c>
      <c r="K2198" s="186">
        <f t="shared" si="135"/>
        <v>0</v>
      </c>
      <c r="L2198" s="288">
        <f t="shared" si="134"/>
        <v>-12</v>
      </c>
      <c r="M2198" s="24"/>
      <c r="N2198" s="112" t="str">
        <f>IF(ISBLANK(E2198),"",_xlfn.XLOOKUP(E2198,cannabis_log!C:C,cannabis_log!T:T,"Not Found",0,))</f>
        <v>net</v>
      </c>
      <c r="O2198" s="180">
        <f>IF(N2198="net",_xlfn.XLOOKUP(E2198,cannabis_log!C:C,cannabis_log!N:N,"NOT FOUND",0,1),IF(N2198="gross",0,""))</f>
        <v>1.5</v>
      </c>
    </row>
    <row r="2199" spans="1:15">
      <c r="A2199" s="195" t="str">
        <f t="shared" si="136"/>
        <v>inbound</v>
      </c>
      <c r="B2199" s="196">
        <v>45855.416666666664</v>
      </c>
      <c r="C2199" s="197" t="s">
        <v>1927</v>
      </c>
      <c r="D2199" s="197"/>
      <c r="E2199" s="215" t="s">
        <v>3217</v>
      </c>
      <c r="F2199" s="112" t="str">
        <f>IF(ISBLANK(E2199),"",_xlfn.XLOOKUP(E2199,cannabis_log!C:C,cannabis_log!J:J,"",0,))</f>
        <v>EX25012101V50</v>
      </c>
      <c r="G2199" s="112"/>
      <c r="H2199" s="112" t="str">
        <f>IF(ISBLANK(E2199),"",_xlfn.XLOOKUP(E2199,cannabis_log!C:C,cannabis_log!H:H,"",0,1))</f>
        <v>extract_ingested_labelled</v>
      </c>
      <c r="I2199" s="113">
        <f>IF(ISBLANK(E2199),"",_xlfn.XLOOKUP(E2199,cannabis_log!C:C,cannabis_log!K:K,"NOT FOUND",0,1))</f>
        <v>45700</v>
      </c>
      <c r="J2199" s="185">
        <v>75</v>
      </c>
      <c r="K2199" s="186">
        <f t="shared" si="135"/>
        <v>0</v>
      </c>
      <c r="L2199" s="288">
        <f t="shared" si="134"/>
        <v>3750</v>
      </c>
      <c r="M2199" s="24"/>
      <c r="N2199" s="112" t="str">
        <f>IF(ISBLANK(E2199),"",_xlfn.XLOOKUP(E2199,cannabis_log!C:C,cannabis_log!T:T,"Not Found",0,))</f>
        <v>net</v>
      </c>
      <c r="O2199" s="180">
        <f>IF(N2199="net",_xlfn.XLOOKUP(E2199,cannabis_log!C:C,cannabis_log!N:N,"NOT FOUND",0,1),IF(N2199="gross",0,""))</f>
        <v>50</v>
      </c>
    </row>
    <row r="2200" spans="1:15">
      <c r="A2200" s="195" t="str">
        <f t="shared" si="136"/>
        <v>inbound</v>
      </c>
      <c r="B2200" s="196">
        <v>45855.416666666664</v>
      </c>
      <c r="C2200" s="197" t="s">
        <v>1927</v>
      </c>
      <c r="D2200" s="197"/>
      <c r="E2200" s="215" t="s">
        <v>3038</v>
      </c>
      <c r="F2200" s="112" t="str">
        <f>IF(ISBLANK(E2200),"",_xlfn.XLOOKUP(E2200,cannabis_log!C:C,cannabis_log!J:J,"",0,))</f>
        <v>EX25050501V50</v>
      </c>
      <c r="G2200" s="112"/>
      <c r="H2200" s="112" t="str">
        <f>IF(ISBLANK(E2200),"",_xlfn.XLOOKUP(E2200,cannabis_log!C:C,cannabis_log!H:H,"",0,1))</f>
        <v>extract_ingested_packaged</v>
      </c>
      <c r="I2200" s="113">
        <f>IF(ISBLANK(E2200),"",_xlfn.XLOOKUP(E2200,cannabis_log!C:C,cannabis_log!K:K,"NOT FOUND",0,1))</f>
        <v>45790</v>
      </c>
      <c r="J2200" s="185">
        <v>130</v>
      </c>
      <c r="K2200" s="186">
        <f t="shared" si="135"/>
        <v>0</v>
      </c>
      <c r="L2200" s="288">
        <f t="shared" si="134"/>
        <v>6500</v>
      </c>
      <c r="M2200" s="24"/>
      <c r="N2200" s="112" t="str">
        <f>IF(ISBLANK(E2200),"",_xlfn.XLOOKUP(E2200,cannabis_log!C:C,cannabis_log!T:T,"Not Found",0,))</f>
        <v>net</v>
      </c>
      <c r="O2200" s="180">
        <f>IF(N2200="net",_xlfn.XLOOKUP(E2200,cannabis_log!C:C,cannabis_log!N:N,"NOT FOUND",0,1),IF(N2200="gross",0,""))</f>
        <v>50</v>
      </c>
    </row>
    <row r="2201" spans="1:15">
      <c r="A2201" s="195" t="str">
        <f t="shared" si="136"/>
        <v>inbound</v>
      </c>
      <c r="B2201" s="196">
        <v>45855.416666666664</v>
      </c>
      <c r="C2201" s="197" t="s">
        <v>1927</v>
      </c>
      <c r="D2201" s="197"/>
      <c r="E2201" s="215" t="s">
        <v>2672</v>
      </c>
      <c r="F2201" s="112" t="str">
        <f>IF(ISBLANK(E2201),"",_xlfn.XLOOKUP(E2201,cannabis_log!C:C,cannabis_log!J:J,"",0,))</f>
        <v>EX25012101V50</v>
      </c>
      <c r="G2201" s="112"/>
      <c r="H2201" s="112" t="str">
        <f>IF(ISBLANK(E2201),"",_xlfn.XLOOKUP(E2201,cannabis_log!C:C,cannabis_log!H:H,"",0,1))</f>
        <v>extract_ingested_packaged</v>
      </c>
      <c r="I2201" s="113">
        <f>IF(ISBLANK(E2201),"",_xlfn.XLOOKUP(E2201,cannabis_log!C:C,cannabis_log!K:K,"NOT FOUND",0,1))</f>
        <v>45700</v>
      </c>
      <c r="J2201" s="185">
        <v>43</v>
      </c>
      <c r="K2201" s="186">
        <f t="shared" si="135"/>
        <v>0</v>
      </c>
      <c r="L2201" s="288">
        <f t="shared" si="134"/>
        <v>2150</v>
      </c>
      <c r="M2201" s="24"/>
      <c r="N2201" s="112" t="str">
        <f>IF(ISBLANK(E2201),"",_xlfn.XLOOKUP(E2201,cannabis_log!C:C,cannabis_log!T:T,"Not Found",0,))</f>
        <v>net</v>
      </c>
      <c r="O2201" s="180">
        <f>IF(N2201="net",_xlfn.XLOOKUP(E2201,cannabis_log!C:C,cannabis_log!N:N,"NOT FOUND",0,1),IF(N2201="gross",0,""))</f>
        <v>50</v>
      </c>
    </row>
    <row r="2202" spans="1:15">
      <c r="A2202" s="195" t="str">
        <f t="shared" si="136"/>
        <v>outbound</v>
      </c>
      <c r="B2202" s="196">
        <v>45855.583333333336</v>
      </c>
      <c r="C2202" s="197" t="s">
        <v>1921</v>
      </c>
      <c r="D2202" s="197"/>
      <c r="E2202" s="215" t="s">
        <v>3224</v>
      </c>
      <c r="F2202" s="112" t="str">
        <f>IF(ISBLANK(E2202),"",_xlfn.XLOOKUP(E2202,cannabis_log!C:C,cannabis_log!J:J,"",0,))</f>
        <v>PR2516</v>
      </c>
      <c r="G2202" s="112"/>
      <c r="H2202" s="112" t="str">
        <f>IF(ISBLANK(E2202),"",_xlfn.XLOOKUP(E2202,cannabis_log!C:C,cannabis_log!H:H,"",0,1))</f>
        <v>driedflower_milled_bulk</v>
      </c>
      <c r="I2202" s="113" t="str">
        <f>IF(ISBLANK(E2202),"",_xlfn.XLOOKUP(E2202,cannabis_log!C:C,cannabis_log!K:K,"NOT FOUND",0,1))</f>
        <v>NA</v>
      </c>
      <c r="J2202" s="185">
        <v>-1</v>
      </c>
      <c r="K2202" s="186">
        <v>-3238</v>
      </c>
      <c r="L2202" s="288">
        <f t="shared" si="134"/>
        <v>0</v>
      </c>
      <c r="M2202" s="24"/>
      <c r="N2202" s="112" t="str">
        <f>IF(ISBLANK(E2202),"",_xlfn.XLOOKUP(E2202,cannabis_log!C:C,cannabis_log!T:T,"Not Found",0,))</f>
        <v>gross</v>
      </c>
      <c r="O2202" s="180">
        <f>IF(N2202="net",_xlfn.XLOOKUP(E2202,cannabis_log!C:C,cannabis_log!N:N,"NOT FOUND",0,1),IF(N2202="gross",0,""))</f>
        <v>0</v>
      </c>
    </row>
    <row r="2203" spans="1:15">
      <c r="A2203" s="195" t="str">
        <f t="shared" si="136"/>
        <v>outbound</v>
      </c>
      <c r="B2203" s="196">
        <v>45855.583333333336</v>
      </c>
      <c r="C2203" s="197" t="s">
        <v>1929</v>
      </c>
      <c r="D2203" s="197" t="s">
        <v>3222</v>
      </c>
      <c r="E2203" s="215" t="s">
        <v>3098</v>
      </c>
      <c r="F2203" s="112" t="str">
        <f>IF(ISBLANK(E2203),"",_xlfn.XLOOKUP(E2203,cannabis_log!C:C,cannabis_log!J:J,"",0,))</f>
        <v>PR241103F5P3</v>
      </c>
      <c r="G2203" s="112"/>
      <c r="H2203" s="112" t="str">
        <f>IF(ISBLANK(E2203),"",_xlfn.XLOOKUP(E2203,cannabis_log!C:C,cannabis_log!H:H,"",0,1))</f>
        <v>preroll_labelled</v>
      </c>
      <c r="I2203" s="113">
        <f>IF(ISBLANK(E2203),"",_xlfn.XLOOKUP(E2203,cannabis_log!C:C,cannabis_log!K:K,"NOT FOUND",0,1))</f>
        <v>45761</v>
      </c>
      <c r="J2203" s="185">
        <v>-44</v>
      </c>
      <c r="K2203" s="186">
        <f t="shared" ref="K2203:K2210" si="137">IF(N2203="net",0,"")</f>
        <v>0</v>
      </c>
      <c r="L2203" s="288">
        <f t="shared" si="134"/>
        <v>-66</v>
      </c>
      <c r="M2203" s="24"/>
      <c r="N2203" s="112" t="str">
        <f>IF(ISBLANK(E2203),"",_xlfn.XLOOKUP(E2203,cannabis_log!C:C,cannabis_log!T:T,"Not Found",0,))</f>
        <v>net</v>
      </c>
      <c r="O2203" s="180">
        <f>IF(N2203="net",_xlfn.XLOOKUP(E2203,cannabis_log!C:C,cannabis_log!N:N,"NOT FOUND",0,1),IF(N2203="gross",0,""))</f>
        <v>1.5</v>
      </c>
    </row>
    <row r="2204" spans="1:15">
      <c r="A2204" s="195" t="str">
        <f t="shared" si="136"/>
        <v>outbound</v>
      </c>
      <c r="B2204" s="196">
        <v>45855.583333333336</v>
      </c>
      <c r="C2204" s="197" t="s">
        <v>1929</v>
      </c>
      <c r="D2204" s="197" t="s">
        <v>3222</v>
      </c>
      <c r="E2204" s="215" t="s">
        <v>2226</v>
      </c>
      <c r="F2204" s="112" t="str">
        <f>IF(ISBLANK(E2204),"",_xlfn.XLOOKUP(E2204,cannabis_log!C:C,cannabis_log!J:J,"",0,))</f>
        <v>PR241003F5P3</v>
      </c>
      <c r="G2204" s="112"/>
      <c r="H2204" s="112" t="str">
        <f>IF(ISBLANK(E2204),"",_xlfn.XLOOKUP(E2204,cannabis_log!C:C,cannabis_log!H:H,"",0,1))</f>
        <v>preroll_labelled</v>
      </c>
      <c r="I2204" s="113">
        <f>IF(ISBLANK(E2204),"",_xlfn.XLOOKUP(E2204,cannabis_log!C:C,cannabis_log!K:K,"NOT FOUND",0,1))</f>
        <v>45575</v>
      </c>
      <c r="J2204" s="185">
        <v>-2</v>
      </c>
      <c r="K2204" s="186">
        <f t="shared" si="137"/>
        <v>0</v>
      </c>
      <c r="L2204" s="288">
        <f t="shared" si="134"/>
        <v>-3</v>
      </c>
      <c r="M2204" s="24"/>
      <c r="N2204" s="112" t="str">
        <f>IF(ISBLANK(E2204),"",_xlfn.XLOOKUP(E2204,cannabis_log!C:C,cannabis_log!T:T,"Not Found",0,))</f>
        <v>net</v>
      </c>
      <c r="O2204" s="180">
        <f>IF(N2204="net",_xlfn.XLOOKUP(E2204,cannabis_log!C:C,cannabis_log!N:N,"NOT FOUND",0,1),IF(N2204="gross",0,""))</f>
        <v>1.5</v>
      </c>
    </row>
    <row r="2205" spans="1:15">
      <c r="A2205" s="195" t="str">
        <f t="shared" si="136"/>
        <v>outbound</v>
      </c>
      <c r="B2205" s="196">
        <v>45855.583333333336</v>
      </c>
      <c r="C2205" s="197" t="s">
        <v>1929</v>
      </c>
      <c r="D2205" s="197" t="s">
        <v>3222</v>
      </c>
      <c r="E2205" s="215" t="s">
        <v>3225</v>
      </c>
      <c r="F2205" s="112" t="str">
        <f>IF(ISBLANK(E2205),"",_xlfn.XLOOKUP(E2205,cannabis_log!C:C,cannabis_log!J:J,"",0,))</f>
        <v>TP25051501</v>
      </c>
      <c r="G2205" s="112"/>
      <c r="H2205" s="112" t="str">
        <f>IF(ISBLANK(E2205),"",_xlfn.XLOOKUP(E2205,cannabis_log!C:C,cannabis_log!H:H,"",0,1))</f>
        <v>topical_labelled</v>
      </c>
      <c r="I2205" s="113">
        <f>IF(ISBLANK(E2205),"",_xlfn.XLOOKUP(E2205,cannabis_log!C:C,cannabis_log!K:K,"NOT FOUND",0,1))</f>
        <v>45805</v>
      </c>
      <c r="J2205" s="185">
        <v>-451</v>
      </c>
      <c r="K2205" s="186">
        <f t="shared" si="137"/>
        <v>0</v>
      </c>
      <c r="L2205" s="288">
        <f t="shared" si="134"/>
        <v>-39688</v>
      </c>
      <c r="M2205" s="24"/>
      <c r="N2205" s="112" t="str">
        <f>IF(ISBLANK(E2205),"",_xlfn.XLOOKUP(E2205,cannabis_log!C:C,cannabis_log!T:T,"Not Found",0,))</f>
        <v>net</v>
      </c>
      <c r="O2205" s="180">
        <f>IF(N2205="net",_xlfn.XLOOKUP(E2205,cannabis_log!C:C,cannabis_log!N:N,"NOT FOUND",0,1),IF(N2205="gross",0,""))</f>
        <v>88</v>
      </c>
    </row>
    <row r="2206" spans="1:15">
      <c r="A2206" s="195" t="str">
        <f t="shared" si="136"/>
        <v>outbound</v>
      </c>
      <c r="B2206" s="196">
        <v>45860</v>
      </c>
      <c r="C2206" s="197" t="s">
        <v>1929</v>
      </c>
      <c r="D2206" s="343"/>
      <c r="E2206" s="215" t="s">
        <v>3038</v>
      </c>
      <c r="F2206" s="112" t="str">
        <f>IF(ISBLANK(E2206),"",_xlfn.XLOOKUP(E2206,cannabis_log!C:C,cannabis_log!J:J,"",0,))</f>
        <v>EX25050501V50</v>
      </c>
      <c r="G2206" s="112"/>
      <c r="H2206" s="112" t="str">
        <f>IF(ISBLANK(E2206),"",_xlfn.XLOOKUP(E2206,cannabis_log!C:C,cannabis_log!H:H,"",0,1))</f>
        <v>extract_ingested_packaged</v>
      </c>
      <c r="I2206" s="113">
        <f>IF(ISBLANK(E2206),"",_xlfn.XLOOKUP(E2206,cannabis_log!C:C,cannabis_log!K:K,"NOT FOUND",0,1))</f>
        <v>45790</v>
      </c>
      <c r="J2206" s="185">
        <v>-130</v>
      </c>
      <c r="K2206" s="186">
        <f t="shared" si="137"/>
        <v>0</v>
      </c>
      <c r="L2206" s="288">
        <f t="shared" si="134"/>
        <v>-6500</v>
      </c>
      <c r="M2206" s="24"/>
      <c r="N2206" s="112" t="str">
        <f>IF(ISBLANK(E2206),"",_xlfn.XLOOKUP(E2206,cannabis_log!C:C,cannabis_log!T:T,"Not Found",0,))</f>
        <v>net</v>
      </c>
      <c r="O2206" s="180">
        <f>IF(N2206="net",_xlfn.XLOOKUP(E2206,cannabis_log!C:C,cannabis_log!N:N,"NOT FOUND",0,1),IF(N2206="gross",0,""))</f>
        <v>50</v>
      </c>
    </row>
    <row r="2207" spans="1:15">
      <c r="A2207" s="195" t="str">
        <f t="shared" si="136"/>
        <v>outbound</v>
      </c>
      <c r="B2207" s="196">
        <v>45860.416666666664</v>
      </c>
      <c r="C2207" s="197" t="s">
        <v>1929</v>
      </c>
      <c r="D2207" s="339" t="s">
        <v>3226</v>
      </c>
      <c r="E2207" s="215" t="s">
        <v>3210</v>
      </c>
      <c r="F2207" s="112" t="str">
        <f>IF(ISBLANK(E2207),"",_xlfn.XLOOKUP(E2207,cannabis_log!C:C,cannabis_log!J:J,"",0,))</f>
        <v>PR2507F1P2</v>
      </c>
      <c r="G2207" s="112"/>
      <c r="H2207" s="112" t="str">
        <f>IF(ISBLANK(E2207),"",_xlfn.XLOOKUP(E2207,cannabis_log!C:C,cannabis_log!H:H,"",0,1))</f>
        <v>preroll_labelled</v>
      </c>
      <c r="I2207" s="113">
        <f>IF(ISBLANK(E2207),"",_xlfn.XLOOKUP(E2207,cannabis_log!C:C,cannabis_log!K:K,"NOT FOUND",0,1))</f>
        <v>45818</v>
      </c>
      <c r="J2207" s="185">
        <v>-384</v>
      </c>
      <c r="K2207" s="186">
        <f t="shared" si="137"/>
        <v>0</v>
      </c>
      <c r="L2207" s="288">
        <f t="shared" si="134"/>
        <v>-768</v>
      </c>
      <c r="M2207" s="24"/>
      <c r="N2207" s="112" t="str">
        <f>IF(ISBLANK(E2207),"",_xlfn.XLOOKUP(E2207,cannabis_log!C:C,cannabis_log!T:T,"Not Found",0,))</f>
        <v>net</v>
      </c>
      <c r="O2207" s="180">
        <f>IF(N2207="net",_xlfn.XLOOKUP(E2207,cannabis_log!C:C,cannabis_log!N:N,"NOT FOUND",0,1),IF(N2207="gross",0,""))</f>
        <v>2</v>
      </c>
    </row>
    <row r="2208" spans="1:15">
      <c r="A2208" s="195" t="str">
        <f t="shared" si="136"/>
        <v>outbound</v>
      </c>
      <c r="B2208" s="196">
        <v>45860.416666666664</v>
      </c>
      <c r="C2208" s="197" t="s">
        <v>1929</v>
      </c>
      <c r="D2208" s="342" t="s">
        <v>3226</v>
      </c>
      <c r="E2208" s="215" t="s">
        <v>3227</v>
      </c>
      <c r="F2208" s="112" t="str">
        <f>IF(ISBLANK(E2208),"",_xlfn.XLOOKUP(E2208,cannabis_log!C:C,cannabis_log!J:J,"",0,))</f>
        <v>PR2507F1P2</v>
      </c>
      <c r="G2208" s="112"/>
      <c r="H2208" s="112" t="str">
        <f>IF(ISBLANK(E2208),"",_xlfn.XLOOKUP(E2208,cannabis_log!C:C,cannabis_log!H:H,"",0,1))</f>
        <v>preroll_labelled</v>
      </c>
      <c r="I2208" s="113">
        <f>IF(ISBLANK(E2208),"",_xlfn.XLOOKUP(E2208,cannabis_log!C:C,cannabis_log!K:K,"NOT FOUND",0,1))</f>
        <v>45848</v>
      </c>
      <c r="J2208" s="185">
        <v>-502</v>
      </c>
      <c r="K2208" s="186">
        <f t="shared" si="137"/>
        <v>0</v>
      </c>
      <c r="L2208" s="288">
        <f t="shared" si="134"/>
        <v>-1004</v>
      </c>
      <c r="M2208" s="24"/>
      <c r="N2208" s="112" t="str">
        <f>IF(ISBLANK(E2208),"",_xlfn.XLOOKUP(E2208,cannabis_log!C:C,cannabis_log!T:T,"Not Found",0,))</f>
        <v>net</v>
      </c>
      <c r="O2208" s="180">
        <f>IF(N2208="net",_xlfn.XLOOKUP(E2208,cannabis_log!C:C,cannabis_log!N:N,"NOT FOUND",0,1),IF(N2208="gross",0,""))</f>
        <v>2</v>
      </c>
    </row>
    <row r="2209" spans="1:15">
      <c r="A2209" s="195" t="str">
        <f t="shared" si="136"/>
        <v>outbound</v>
      </c>
      <c r="B2209" s="196">
        <v>45860.416666666664</v>
      </c>
      <c r="C2209" s="197" t="s">
        <v>1929</v>
      </c>
      <c r="D2209" s="197"/>
      <c r="E2209" s="215" t="s">
        <v>3203</v>
      </c>
      <c r="F2209" s="112" t="str">
        <f>IF(ISBLANK(E2209),"",_xlfn.XLOOKUP(E2209,cannabis_log!C:C,cannabis_log!J:J,"",0,))</f>
        <v>TP25051501</v>
      </c>
      <c r="G2209" s="112"/>
      <c r="H2209" s="112" t="str">
        <f>IF(ISBLANK(E2209),"",_xlfn.XLOOKUP(E2209,cannabis_log!C:C,cannabis_log!H:H,"",0,1))</f>
        <v>topical_labelled</v>
      </c>
      <c r="I2209" s="113">
        <f>IF(ISBLANK(E2209),"",_xlfn.XLOOKUP(E2209,cannabis_log!C:C,cannabis_log!K:K,"NOT FOUND",0,1))</f>
        <v>45805</v>
      </c>
      <c r="J2209" s="185">
        <v>-24</v>
      </c>
      <c r="K2209" s="186">
        <f t="shared" si="137"/>
        <v>0</v>
      </c>
      <c r="L2209" s="288">
        <f t="shared" si="134"/>
        <v>-2112</v>
      </c>
      <c r="M2209" s="24"/>
      <c r="N2209" s="112" t="str">
        <f>IF(ISBLANK(E2209),"",_xlfn.XLOOKUP(E2209,cannabis_log!C:C,cannabis_log!T:T,"Not Found",0,))</f>
        <v>net</v>
      </c>
      <c r="O2209" s="180">
        <f>IF(N2209="net",_xlfn.XLOOKUP(E2209,cannabis_log!C:C,cannabis_log!N:N,"NOT FOUND",0,1),IF(N2209="gross",0,""))</f>
        <v>88</v>
      </c>
    </row>
    <row r="2210" spans="1:15">
      <c r="A2210" s="195" t="str">
        <f t="shared" si="136"/>
        <v>outbound</v>
      </c>
      <c r="B2210" s="196">
        <v>45860.416666666664</v>
      </c>
      <c r="C2210" s="197" t="s">
        <v>1929</v>
      </c>
      <c r="D2210" s="197"/>
      <c r="E2210" s="215" t="s">
        <v>3228</v>
      </c>
      <c r="F2210" s="112" t="str">
        <f>IF(ISBLANK(E2210),"",_xlfn.XLOOKUP(E2210,cannabis_log!C:C,cannabis_log!J:J,"",0,))</f>
        <v>TP25051501</v>
      </c>
      <c r="G2210" s="112"/>
      <c r="H2210" s="112" t="str">
        <f>IF(ISBLANK(E2210),"",_xlfn.XLOOKUP(E2210,cannabis_log!C:C,cannabis_log!H:H,"",0,1))</f>
        <v>topical_labelled</v>
      </c>
      <c r="I2210" s="113">
        <f>IF(ISBLANK(E2210),"",_xlfn.XLOOKUP(E2210,cannabis_log!C:C,cannabis_log!K:K,"NOT FOUND",0,1))</f>
        <v>45805</v>
      </c>
      <c r="J2210" s="185">
        <v>-122</v>
      </c>
      <c r="K2210" s="186">
        <f t="shared" si="137"/>
        <v>0</v>
      </c>
      <c r="L2210" s="288">
        <f t="shared" si="134"/>
        <v>-10736</v>
      </c>
      <c r="M2210" s="24"/>
      <c r="N2210" s="112" t="str">
        <f>IF(ISBLANK(E2210),"",_xlfn.XLOOKUP(E2210,cannabis_log!C:C,cannabis_log!T:T,"Not Found",0,))</f>
        <v>net</v>
      </c>
      <c r="O2210" s="180">
        <f>IF(N2210="net",_xlfn.XLOOKUP(E2210,cannabis_log!C:C,cannabis_log!N:N,"NOT FOUND",0,1),IF(N2210="gross",0,""))</f>
        <v>88</v>
      </c>
    </row>
    <row r="2211" spans="1:15">
      <c r="A2211" s="195" t="str">
        <f t="shared" si="136"/>
        <v>outbound</v>
      </c>
      <c r="B2211" s="196">
        <v>45860.416666666664</v>
      </c>
      <c r="C2211" s="197" t="s">
        <v>1921</v>
      </c>
      <c r="D2211" s="197"/>
      <c r="E2211" s="215" t="s">
        <v>3229</v>
      </c>
      <c r="F2211" s="112">
        <f>IF(ISBLANK(E2211),"",_xlfn.XLOOKUP(E2211,cannabis_log!C:C,cannabis_log!J:J,"",0,))</f>
        <v>2025072101</v>
      </c>
      <c r="G2211" s="112"/>
      <c r="H2211" s="112" t="str">
        <f>IF(ISBLANK(E2211),"",_xlfn.XLOOKUP(E2211,cannabis_log!C:C,cannabis_log!H:H,"",0,1))</f>
        <v>driedflower_bulk_Rohan</v>
      </c>
      <c r="I2211" s="113" t="str">
        <f>IF(ISBLANK(E2211),"",_xlfn.XLOOKUP(E2211,cannabis_log!C:C,cannabis_log!K:K,"NOT FOUND",0,1))</f>
        <v>NA</v>
      </c>
      <c r="J2211" s="185">
        <v>-1</v>
      </c>
      <c r="K2211" s="186">
        <v>-5202</v>
      </c>
      <c r="L2211" s="288">
        <f t="shared" si="134"/>
        <v>0</v>
      </c>
      <c r="M2211" s="24"/>
      <c r="N2211" s="112" t="str">
        <f>IF(ISBLANK(E2211),"",_xlfn.XLOOKUP(E2211,cannabis_log!C:C,cannabis_log!T:T,"Not Found",0,))</f>
        <v>gross</v>
      </c>
      <c r="O2211" s="180">
        <f>IF(N2211="net",_xlfn.XLOOKUP(E2211,cannabis_log!C:C,cannabis_log!N:N,"NOT FOUND",0,1),IF(N2211="gross",0,""))</f>
        <v>0</v>
      </c>
    </row>
    <row r="2212" spans="1:15">
      <c r="A2212" s="195" t="str">
        <f t="shared" si="136"/>
        <v>outbound</v>
      </c>
      <c r="B2212" s="196">
        <v>45860.416666666664</v>
      </c>
      <c r="C2212" s="197" t="s">
        <v>1921</v>
      </c>
      <c r="D2212" s="197"/>
      <c r="E2212" s="215" t="s">
        <v>3230</v>
      </c>
      <c r="F2212" s="112">
        <f>IF(ISBLANK(E2212),"",_xlfn.XLOOKUP(E2212,cannabis_log!C:C,cannabis_log!J:J,"",0,))</f>
        <v>2025072101</v>
      </c>
      <c r="G2212" s="112"/>
      <c r="H2212" s="112" t="str">
        <f>IF(ISBLANK(E2212),"",_xlfn.XLOOKUP(E2212,cannabis_log!C:C,cannabis_log!H:H,"",0,1))</f>
        <v>driedflower_bulk_Rohan</v>
      </c>
      <c r="I2212" s="113" t="str">
        <f>IF(ISBLANK(E2212),"",_xlfn.XLOOKUP(E2212,cannabis_log!C:C,cannabis_log!K:K,"NOT FOUND",0,1))</f>
        <v>NA</v>
      </c>
      <c r="J2212" s="185">
        <v>-1</v>
      </c>
      <c r="K2212" s="186">
        <v>-5164</v>
      </c>
      <c r="L2212" s="288">
        <f t="shared" si="134"/>
        <v>0</v>
      </c>
      <c r="M2212" s="24"/>
      <c r="N2212" s="112" t="str">
        <f>IF(ISBLANK(E2212),"",_xlfn.XLOOKUP(E2212,cannabis_log!C:C,cannabis_log!T:T,"Not Found",0,))</f>
        <v>gross</v>
      </c>
      <c r="O2212" s="180">
        <f>IF(N2212="net",_xlfn.XLOOKUP(E2212,cannabis_log!C:C,cannabis_log!N:N,"NOT FOUND",0,1),IF(N2212="gross",0,""))</f>
        <v>0</v>
      </c>
    </row>
    <row r="2213" spans="1:15">
      <c r="A2213" s="195" t="str">
        <f t="shared" si="136"/>
        <v>outbound</v>
      </c>
      <c r="B2213" s="196">
        <v>45860.416666666664</v>
      </c>
      <c r="C2213" s="197" t="s">
        <v>1921</v>
      </c>
      <c r="D2213" s="197"/>
      <c r="E2213" s="215" t="s">
        <v>3231</v>
      </c>
      <c r="F2213" s="112" t="str">
        <f>IF(ISBLANK(E2213),"",_xlfn.XLOOKUP(E2213,cannabis_log!C:C,cannabis_log!J:J,"",0,))</f>
        <v>TP25051501</v>
      </c>
      <c r="G2213" s="112"/>
      <c r="H2213" s="112" t="str">
        <f>IF(ISBLANK(E2213),"",_xlfn.XLOOKUP(E2213,cannabis_log!C:C,cannabis_log!H:H,"",0,1))</f>
        <v>topical_labelled</v>
      </c>
      <c r="I2213" s="113">
        <f>IF(ISBLANK(E2213),"",_xlfn.XLOOKUP(E2213,cannabis_log!C:C,cannabis_log!K:K,"NOT FOUND",0,1))</f>
        <v>45805</v>
      </c>
      <c r="J2213" s="185">
        <v>-3</v>
      </c>
      <c r="K2213" s="186">
        <f t="shared" ref="K2213:K2219" si="138">IF(N2213="net",0,"")</f>
        <v>0</v>
      </c>
      <c r="L2213" s="288">
        <f t="shared" si="134"/>
        <v>-264</v>
      </c>
      <c r="M2213" s="24"/>
      <c r="N2213" s="112" t="str">
        <f>IF(ISBLANK(E2213),"",_xlfn.XLOOKUP(E2213,cannabis_log!C:C,cannabis_log!T:T,"Not Found",0,))</f>
        <v>net</v>
      </c>
      <c r="O2213" s="180">
        <f>IF(N2213="net",_xlfn.XLOOKUP(E2213,cannabis_log!C:C,cannabis_log!N:N,"NOT FOUND",0,1),IF(N2213="gross",0,""))</f>
        <v>88</v>
      </c>
    </row>
    <row r="2214" spans="1:15">
      <c r="A2214" s="195" t="str">
        <f t="shared" si="136"/>
        <v>outbound</v>
      </c>
      <c r="B2214" s="196">
        <v>45860.541666666664</v>
      </c>
      <c r="C2214" s="197" t="s">
        <v>1929</v>
      </c>
      <c r="D2214" s="22" t="s">
        <v>3232</v>
      </c>
      <c r="E2214" s="215" t="s">
        <v>3233</v>
      </c>
      <c r="F2214" s="112" t="str">
        <f>IF(ISBLANK(E2214),"",_xlfn.XLOOKUP(E2214,cannabis_log!C:C,cannabis_log!J:J,"",0,))</f>
        <v>PR251908F5P12</v>
      </c>
      <c r="G2214" s="112"/>
      <c r="H2214" s="112" t="str">
        <f>IF(ISBLANK(E2214),"",_xlfn.XLOOKUP(E2214,cannabis_log!C:C,cannabis_log!H:H,"",0,1))</f>
        <v>preroll_labelled</v>
      </c>
      <c r="I2214" s="113">
        <f>IF(ISBLANK(E2214),"",_xlfn.XLOOKUP(E2214,cannabis_log!C:C,cannabis_log!K:K,"NOT FOUND",0,1))</f>
        <v>45846</v>
      </c>
      <c r="J2214" s="185">
        <v>-14</v>
      </c>
      <c r="K2214" s="186">
        <f t="shared" si="138"/>
        <v>0</v>
      </c>
      <c r="L2214" s="288">
        <f t="shared" si="134"/>
        <v>-84</v>
      </c>
      <c r="M2214" s="24"/>
      <c r="N2214" s="112" t="str">
        <f>IF(ISBLANK(E2214),"",_xlfn.XLOOKUP(E2214,cannabis_log!C:C,cannabis_log!T:T,"Not Found",0,))</f>
        <v>net</v>
      </c>
      <c r="O2214" s="180">
        <f>IF(N2214="net",_xlfn.XLOOKUP(E2214,cannabis_log!C:C,cannabis_log!N:N,"NOT FOUND",0,1),IF(N2214="gross",0,""))</f>
        <v>6</v>
      </c>
    </row>
    <row r="2215" spans="1:15">
      <c r="A2215" s="195" t="str">
        <f t="shared" si="136"/>
        <v>outbound</v>
      </c>
      <c r="B2215" s="196">
        <v>45860.541666666664</v>
      </c>
      <c r="C2215" s="197" t="s">
        <v>1929</v>
      </c>
      <c r="D2215" s="197"/>
      <c r="E2215" s="215" t="s">
        <v>2528</v>
      </c>
      <c r="F2215" s="112" t="str">
        <f>IF(ISBLANK(E2215),"",_xlfn.XLOOKUP(E2215,cannabis_log!C:C,cannabis_log!J:J,"",0,))</f>
        <v>EX24101704G05</v>
      </c>
      <c r="G2215" s="112"/>
      <c r="H2215" s="112" t="str">
        <f>IF(ISBLANK(E2215),"",_xlfn.XLOOKUP(E2215,cannabis_log!C:C,cannabis_log!H:H,"",0,1))</f>
        <v>extract_inhaled_labelled</v>
      </c>
      <c r="I2215" s="113">
        <f>IF(ISBLANK(E2215),"",_xlfn.XLOOKUP(E2215,cannabis_log!C:C,cannabis_log!K:K,"NOT FOUND",0,1))</f>
        <v>45625</v>
      </c>
      <c r="J2215" s="185">
        <v>-12</v>
      </c>
      <c r="K2215" s="186">
        <f t="shared" si="138"/>
        <v>0</v>
      </c>
      <c r="L2215" s="288">
        <f t="shared" si="134"/>
        <v>-6</v>
      </c>
      <c r="M2215" s="24"/>
      <c r="N2215" s="112" t="str">
        <f>IF(ISBLANK(E2215),"",_xlfn.XLOOKUP(E2215,cannabis_log!C:C,cannabis_log!T:T,"Not Found",0,))</f>
        <v>net</v>
      </c>
      <c r="O2215" s="180">
        <f>IF(N2215="net",_xlfn.XLOOKUP(E2215,cannabis_log!C:C,cannabis_log!N:N,"NOT FOUND",0,1),IF(N2215="gross",0,""))</f>
        <v>0.5</v>
      </c>
    </row>
    <row r="2216" spans="1:15">
      <c r="A2216" s="195" t="str">
        <f t="shared" si="136"/>
        <v>outbound</v>
      </c>
      <c r="B2216" s="196">
        <v>45860.541666666664</v>
      </c>
      <c r="C2216" s="197" t="s">
        <v>1929</v>
      </c>
      <c r="D2216" s="197"/>
      <c r="E2216" s="215" t="s">
        <v>3019</v>
      </c>
      <c r="F2216" s="112" t="str">
        <f>IF(ISBLANK(E2216),"",_xlfn.XLOOKUP(E2216,cannabis_log!C:C,cannabis_log!J:J,"",0,))</f>
        <v>PR2501INF5P3</v>
      </c>
      <c r="G2216" s="112"/>
      <c r="H2216" s="112" t="str">
        <f>IF(ISBLANK(E2216),"",_xlfn.XLOOKUP(E2216,cannabis_log!C:C,cannabis_log!H:H,"",0,1))</f>
        <v>preroll_labelled</v>
      </c>
      <c r="I2216" s="113">
        <f>IF(ISBLANK(E2216),"",_xlfn.XLOOKUP(E2216,cannabis_log!C:C,cannabis_log!K:K,"NOT FOUND",0,1))</f>
        <v>45778</v>
      </c>
      <c r="J2216" s="185">
        <v>-12</v>
      </c>
      <c r="K2216" s="186">
        <f t="shared" si="138"/>
        <v>0</v>
      </c>
      <c r="L2216" s="288">
        <f t="shared" si="134"/>
        <v>-18</v>
      </c>
      <c r="M2216" s="24"/>
      <c r="N2216" s="112" t="str">
        <f>IF(ISBLANK(E2216),"",_xlfn.XLOOKUP(E2216,cannabis_log!C:C,cannabis_log!T:T,"Not Found",0,))</f>
        <v>net</v>
      </c>
      <c r="O2216" s="180">
        <f>IF(N2216="net",_xlfn.XLOOKUP(E2216,cannabis_log!C:C,cannabis_log!N:N,"NOT FOUND",0,1),IF(N2216="gross",0,""))</f>
        <v>1.5</v>
      </c>
    </row>
    <row r="2217" spans="1:15">
      <c r="A2217" s="195" t="str">
        <f t="shared" si="136"/>
        <v>outbound</v>
      </c>
      <c r="B2217" s="196">
        <v>45860.541666666664</v>
      </c>
      <c r="C2217" s="197" t="s">
        <v>1929</v>
      </c>
      <c r="D2217" s="197"/>
      <c r="E2217" s="215" t="s">
        <v>3097</v>
      </c>
      <c r="F2217" s="112" t="str">
        <f>IF(ISBLANK(E2217),"",_xlfn.XLOOKUP(E2217,cannabis_log!C:C,cannabis_log!J:J,"",0,))</f>
        <v>PR251701F5P3</v>
      </c>
      <c r="G2217" s="112"/>
      <c r="H2217" s="112" t="str">
        <f>IF(ISBLANK(E2217),"",_xlfn.XLOOKUP(E2217,cannabis_log!C:C,cannabis_log!H:H,"",0,1))</f>
        <v>preroll_labelled</v>
      </c>
      <c r="I2217" s="113">
        <f>IF(ISBLANK(E2217),"",_xlfn.XLOOKUP(E2217,cannabis_log!C:C,cannabis_log!K:K,"NOT FOUND",0,1))</f>
        <v>45800</v>
      </c>
      <c r="J2217" s="185">
        <v>-12</v>
      </c>
      <c r="K2217" s="186">
        <f t="shared" si="138"/>
        <v>0</v>
      </c>
      <c r="L2217" s="288">
        <f t="shared" si="134"/>
        <v>-18</v>
      </c>
      <c r="M2217" s="24"/>
      <c r="N2217" s="112" t="str">
        <f>IF(ISBLANK(E2217),"",_xlfn.XLOOKUP(E2217,cannabis_log!C:C,cannabis_log!T:T,"Not Found",0,))</f>
        <v>net</v>
      </c>
      <c r="O2217" s="180">
        <f>IF(N2217="net",_xlfn.XLOOKUP(E2217,cannabis_log!C:C,cannabis_log!N:N,"NOT FOUND",0,1),IF(N2217="gross",0,""))</f>
        <v>1.5</v>
      </c>
    </row>
    <row r="2218" spans="1:15">
      <c r="A2218" s="195" t="str">
        <f t="shared" si="136"/>
        <v>outbound</v>
      </c>
      <c r="B2218" s="196">
        <v>45860.541666666664</v>
      </c>
      <c r="C2218" s="197" t="s">
        <v>1929</v>
      </c>
      <c r="D2218" s="197"/>
      <c r="E2218" s="215" t="s">
        <v>3191</v>
      </c>
      <c r="F2218" s="112" t="str">
        <f>IF(ISBLANK(E2218),"",_xlfn.XLOOKUP(E2218,cannabis_log!C:C,cannabis_log!J:J,"",0,))</f>
        <v>PR2516F1P2</v>
      </c>
      <c r="G2218" s="112"/>
      <c r="H2218" s="112" t="str">
        <f>IF(ISBLANK(E2218),"",_xlfn.XLOOKUP(E2218,cannabis_log!C:C,cannabis_log!H:H,"",0,1))</f>
        <v>preroll_labelled</v>
      </c>
      <c r="I2218" s="113">
        <f>IF(ISBLANK(E2218),"",_xlfn.XLOOKUP(E2218,cannabis_log!C:C,cannabis_log!K:K,"NOT FOUND",0,1))</f>
        <v>45831</v>
      </c>
      <c r="J2218" s="185">
        <v>-12</v>
      </c>
      <c r="K2218" s="186">
        <f t="shared" si="138"/>
        <v>0</v>
      </c>
      <c r="L2218" s="288">
        <f t="shared" si="134"/>
        <v>-24</v>
      </c>
      <c r="M2218" s="24"/>
      <c r="N2218" s="112" t="str">
        <f>IF(ISBLANK(E2218),"",_xlfn.XLOOKUP(E2218,cannabis_log!C:C,cannabis_log!T:T,"Not Found",0,))</f>
        <v>net</v>
      </c>
      <c r="O2218" s="180">
        <f>IF(N2218="net",_xlfn.XLOOKUP(E2218,cannabis_log!C:C,cannabis_log!N:N,"NOT FOUND",0,1),IF(N2218="gross",0,""))</f>
        <v>2</v>
      </c>
    </row>
    <row r="2219" spans="1:15">
      <c r="A2219" s="195" t="str">
        <f t="shared" si="136"/>
        <v>outbound</v>
      </c>
      <c r="B2219" s="196">
        <v>45860.541666666664</v>
      </c>
      <c r="C2219" s="197" t="s">
        <v>1929</v>
      </c>
      <c r="D2219" s="197"/>
      <c r="E2219" s="215" t="s">
        <v>3051</v>
      </c>
      <c r="F2219" s="112" t="str">
        <f>IF(ISBLANK(E2219),"",_xlfn.XLOOKUP(E2219,cannabis_log!C:C,cannabis_log!J:J,"",0,))</f>
        <v>EX25041401V30</v>
      </c>
      <c r="G2219" s="112"/>
      <c r="H2219" s="112" t="str">
        <f>IF(ISBLANK(E2219),"",_xlfn.XLOOKUP(E2219,cannabis_log!C:C,cannabis_log!H:H,"",0,1))</f>
        <v>extract_ingested_labelled</v>
      </c>
      <c r="I2219" s="113">
        <f>IF(ISBLANK(E2219),"",_xlfn.XLOOKUP(E2219,cannabis_log!C:C,cannabis_log!K:K,"NOT FOUND",0,1))</f>
        <v>45777</v>
      </c>
      <c r="J2219" s="185">
        <v>-12</v>
      </c>
      <c r="K2219" s="186">
        <f t="shared" si="138"/>
        <v>0</v>
      </c>
      <c r="L2219" s="288">
        <f t="shared" si="134"/>
        <v>-327.60000000000002</v>
      </c>
      <c r="M2219" s="24"/>
      <c r="N2219" s="112" t="str">
        <f>IF(ISBLANK(E2219),"",_xlfn.XLOOKUP(E2219,cannabis_log!C:C,cannabis_log!T:T,"Not Found",0,))</f>
        <v>net</v>
      </c>
      <c r="O2219" s="180">
        <f>IF(N2219="net",_xlfn.XLOOKUP(E2219,cannabis_log!C:C,cannabis_log!N:N,"NOT FOUND",0,1),IF(N2219="gross",0,""))</f>
        <v>27.3</v>
      </c>
    </row>
    <row r="2220" spans="1:15">
      <c r="A2220" s="195" t="str">
        <f t="shared" si="136"/>
        <v>outbound</v>
      </c>
      <c r="B2220" s="196">
        <v>45861.541666666664</v>
      </c>
      <c r="C2220" s="197" t="s">
        <v>1921</v>
      </c>
      <c r="D2220" s="197"/>
      <c r="E2220" s="215" t="s">
        <v>3122</v>
      </c>
      <c r="F2220" s="112">
        <f>IF(ISBLANK(E2220),"",_xlfn.XLOOKUP(E2220,cannabis_log!C:C,cannabis_log!J:J,"",0,))</f>
        <v>2025030702</v>
      </c>
      <c r="G2220" s="112"/>
      <c r="H2220" s="112" t="str">
        <f>IF(ISBLANK(E2220),"",_xlfn.XLOOKUP(E2220,cannabis_log!C:C,cannabis_log!H:H,"",0,1))</f>
        <v>driedflower_bulk_Rohan</v>
      </c>
      <c r="I2220" s="113" t="str">
        <f>IF(ISBLANK(E2220),"",_xlfn.XLOOKUP(E2220,cannabis_log!C:C,cannabis_log!K:K,"NOT FOUND",0,1))</f>
        <v>NA</v>
      </c>
      <c r="J2220" s="185">
        <v>-1</v>
      </c>
      <c r="K2220" s="186">
        <v>-6602</v>
      </c>
      <c r="L2220" s="288">
        <f t="shared" si="134"/>
        <v>0</v>
      </c>
      <c r="M2220" s="24"/>
      <c r="N2220" s="112" t="str">
        <f>IF(ISBLANK(E2220),"",_xlfn.XLOOKUP(E2220,cannabis_log!C:C,cannabis_log!T:T,"Not Found",0,))</f>
        <v>gross</v>
      </c>
      <c r="O2220" s="180">
        <f>IF(N2220="net",_xlfn.XLOOKUP(E2220,cannabis_log!C:C,cannabis_log!N:N,"NOT FOUND",0,1),IF(N2220="gross",0,""))</f>
        <v>0</v>
      </c>
    </row>
    <row r="2221" spans="1:15">
      <c r="A2221" s="195" t="str">
        <f t="shared" si="136"/>
        <v>outbound</v>
      </c>
      <c r="B2221" s="196">
        <v>45861.541666666664</v>
      </c>
      <c r="C2221" s="197" t="s">
        <v>1929</v>
      </c>
      <c r="D2221" s="197"/>
      <c r="E2221" s="215" t="s">
        <v>3204</v>
      </c>
      <c r="F2221" s="112" t="str">
        <f>IF(ISBLANK(E2221),"",_xlfn.XLOOKUP(E2221,cannabis_log!C:C,cannabis_log!J:J,"",0,))</f>
        <v>2024111803G7</v>
      </c>
      <c r="G2221" s="112"/>
      <c r="H2221" s="112" t="str">
        <f>IF(ISBLANK(E2221),"",_xlfn.XLOOKUP(E2221,cannabis_log!C:C,cannabis_log!H:H,"",0,1))</f>
        <v>driedflower_labelled</v>
      </c>
      <c r="I2221" s="113">
        <f>IF(ISBLANK(E2221),"",_xlfn.XLOOKUP(E2221,cannabis_log!C:C,cannabis_log!K:K,"NOT FOUND",0,1))</f>
        <v>45826</v>
      </c>
      <c r="J2221" s="185">
        <v>-12</v>
      </c>
      <c r="K2221" s="186">
        <f>IF(N2221="net",0,"")</f>
        <v>0</v>
      </c>
      <c r="L2221" s="288">
        <f t="shared" si="134"/>
        <v>-84</v>
      </c>
      <c r="M2221" s="24"/>
      <c r="N2221" s="112" t="str">
        <f>IF(ISBLANK(E2221),"",_xlfn.XLOOKUP(E2221,cannabis_log!C:C,cannabis_log!T:T,"Not Found",0,))</f>
        <v>net</v>
      </c>
      <c r="O2221" s="180">
        <f>IF(N2221="net",_xlfn.XLOOKUP(E2221,cannabis_log!C:C,cannabis_log!N:N,"NOT FOUND",0,1),IF(N2221="gross",0,""))</f>
        <v>7</v>
      </c>
    </row>
    <row r="2222" spans="1:15">
      <c r="A2222" s="195" t="str">
        <f t="shared" si="136"/>
        <v>outbound</v>
      </c>
      <c r="B2222" s="196">
        <v>45862.541666608799</v>
      </c>
      <c r="C2222" s="197" t="s">
        <v>1924</v>
      </c>
      <c r="D2222" s="197"/>
      <c r="E2222" s="215" t="s">
        <v>3074</v>
      </c>
      <c r="F2222" s="112" t="str">
        <f>IF(ISBLANK(E2222),"",_xlfn.XLOOKUP(E2222,cannabis_log!C:C,cannabis_log!J:J,"",0,))</f>
        <v>EX25020601G05</v>
      </c>
      <c r="G2222" s="112"/>
      <c r="H2222" s="112" t="str">
        <f>IF(ISBLANK(E2222),"",_xlfn.XLOOKUP(E2222,cannabis_log!C:C,cannabis_log!H:H,"",0,1))</f>
        <v>extract_inhaled_labelled</v>
      </c>
      <c r="I2222" s="113">
        <f>IF(ISBLANK(E2222),"",_xlfn.XLOOKUP(E2222,cannabis_log!C:C,cannabis_log!K:K,"NOT FOUND",0,1))</f>
        <v>45702</v>
      </c>
      <c r="J2222" s="185">
        <v>-2</v>
      </c>
      <c r="K2222" s="186">
        <f>IF(N2222="net",0,"")</f>
        <v>0</v>
      </c>
      <c r="L2222" s="288">
        <f t="shared" si="134"/>
        <v>-1</v>
      </c>
      <c r="M2222" s="24"/>
      <c r="N2222" s="112" t="str">
        <f>IF(ISBLANK(E2222),"",_xlfn.XLOOKUP(E2222,cannabis_log!C:C,cannabis_log!T:T,"Not Found",0,))</f>
        <v>net</v>
      </c>
      <c r="O2222" s="180">
        <f>IF(N2222="net",_xlfn.XLOOKUP(E2222,cannabis_log!C:C,cannabis_log!N:N,"NOT FOUND",0,1),IF(N2222="gross",0,""))</f>
        <v>0.5</v>
      </c>
    </row>
    <row r="2223" spans="1:15">
      <c r="A2223" s="195" t="str">
        <f t="shared" si="136"/>
        <v>outbound</v>
      </c>
      <c r="B2223" s="196">
        <v>45862.541666608799</v>
      </c>
      <c r="C2223" s="197" t="s">
        <v>1924</v>
      </c>
      <c r="D2223" s="197"/>
      <c r="E2223" s="215" t="s">
        <v>3087</v>
      </c>
      <c r="F2223" s="112" t="str">
        <f>IF(ISBLANK(E2223),"",_xlfn.XLOOKUP(E2223,cannabis_log!C:C,cannabis_log!J:J,"",0,))</f>
        <v>PR2516F5P10</v>
      </c>
      <c r="G2223" s="112"/>
      <c r="H2223" s="112" t="str">
        <f>IF(ISBLANK(E2223),"",_xlfn.XLOOKUP(E2223,cannabis_log!C:C,cannabis_log!H:H,"",0,1))</f>
        <v>preroll_labelled</v>
      </c>
      <c r="I2223" s="113">
        <f>IF(ISBLANK(E2223),"",_xlfn.XLOOKUP(E2223,cannabis_log!C:C,cannabis_log!K:K,"NOT FOUND",0,1))</f>
        <v>45783</v>
      </c>
      <c r="J2223" s="185">
        <v>-3</v>
      </c>
      <c r="K2223" s="186">
        <f>IF(N2223="net",0,"")</f>
        <v>0</v>
      </c>
      <c r="L2223" s="288">
        <f t="shared" si="134"/>
        <v>-15</v>
      </c>
      <c r="M2223" s="24"/>
      <c r="N2223" s="112" t="str">
        <f>IF(ISBLANK(E2223),"",_xlfn.XLOOKUP(E2223,cannabis_log!C:C,cannabis_log!T:T,"Not Found",0,))</f>
        <v>net</v>
      </c>
      <c r="O2223" s="180">
        <f>IF(N2223="net",_xlfn.XLOOKUP(E2223,cannabis_log!C:C,cannabis_log!N:N,"NOT FOUND",0,1),IF(N2223="gross",0,""))</f>
        <v>5</v>
      </c>
    </row>
    <row r="2224" spans="1:15">
      <c r="A2224" s="195" t="str">
        <f t="shared" si="136"/>
        <v>outbound</v>
      </c>
      <c r="B2224" s="196">
        <v>45863.548692592594</v>
      </c>
      <c r="C2224" s="197" t="s">
        <v>1921</v>
      </c>
      <c r="D2224" s="197"/>
      <c r="E2224" s="215" t="s">
        <v>3234</v>
      </c>
      <c r="F2224" s="112" t="str">
        <f>IF(ISBLANK(E2224),"",_xlfn.XLOOKUP(E2224,cannabis_log!C:C,cannabis_log!J:J,"",0,))</f>
        <v>CPR22112801G14</v>
      </c>
      <c r="G2224" s="112"/>
      <c r="H2224" s="112" t="str">
        <f>IF(ISBLANK(E2224),"",_xlfn.XLOOKUP(E2224,cannabis_log!C:C,cannabis_log!H:H,"",0,1))</f>
        <v>driedflower_milled_labelled</v>
      </c>
      <c r="I2224" s="113">
        <f>IF(ISBLANK(E2224),"",_xlfn.XLOOKUP(E2224,cannabis_log!C:C,cannabis_log!K:K,"NOT FOUND",0,1))</f>
        <v>44941</v>
      </c>
      <c r="J2224" s="185">
        <v>-404</v>
      </c>
      <c r="K2224" s="186">
        <f>IF(N2224="net",0,"")</f>
        <v>0</v>
      </c>
      <c r="L2224" s="288">
        <f t="shared" si="134"/>
        <v>-5656</v>
      </c>
      <c r="M2224" s="24"/>
      <c r="N2224" s="112" t="str">
        <f>IF(ISBLANK(E2224),"",_xlfn.XLOOKUP(E2224,cannabis_log!C:C,cannabis_log!T:T,"Not Found",0,))</f>
        <v>net</v>
      </c>
      <c r="O2224" s="180">
        <f>IF(N2224="net",_xlfn.XLOOKUP(E2224,cannabis_log!C:C,cannabis_log!N:N,"NOT FOUND",0,1),IF(N2224="gross",0,""))</f>
        <v>14</v>
      </c>
    </row>
    <row r="2225" spans="1:15">
      <c r="A2225" s="195" t="str">
        <f t="shared" si="136"/>
        <v>outbound</v>
      </c>
      <c r="B2225" s="196">
        <v>45863.549347337961</v>
      </c>
      <c r="C2225" s="197" t="s">
        <v>1921</v>
      </c>
      <c r="D2225" s="197"/>
      <c r="E2225" s="215" t="s">
        <v>2042</v>
      </c>
      <c r="F2225" s="112" t="str">
        <f>IF(ISBLANK(E2225),"",_xlfn.XLOOKUP(E2225,cannabis_log!C:C,cannabis_log!J:J,"",0,))</f>
        <v>CPR22112801G7</v>
      </c>
      <c r="G2225" s="112"/>
      <c r="H2225" s="112" t="str">
        <f>IF(ISBLANK(E2225),"",_xlfn.XLOOKUP(E2225,cannabis_log!C:C,cannabis_log!H:H,"",0,1))</f>
        <v>driedflower_milled_labelled</v>
      </c>
      <c r="I2225" s="113">
        <f>IF(ISBLANK(E2225),"",_xlfn.XLOOKUP(E2225,cannabis_log!C:C,cannabis_log!K:K,"NOT FOUND",0,1))</f>
        <v>44941</v>
      </c>
      <c r="J2225" s="185">
        <v>-94</v>
      </c>
      <c r="K2225" s="186">
        <f>IF(N2225="net",0,"")</f>
        <v>0</v>
      </c>
      <c r="L2225" s="288">
        <f t="shared" si="134"/>
        <v>-658</v>
      </c>
      <c r="M2225" s="24"/>
      <c r="N2225" s="112" t="str">
        <f>IF(ISBLANK(E2225),"",_xlfn.XLOOKUP(E2225,cannabis_log!C:C,cannabis_log!T:T,"Not Found",0,))</f>
        <v>net</v>
      </c>
      <c r="O2225" s="180">
        <f>IF(N2225="net",_xlfn.XLOOKUP(E2225,cannabis_log!C:C,cannabis_log!N:N,"NOT FOUND",0,1),IF(N2225="gross",0,""))</f>
        <v>7</v>
      </c>
    </row>
    <row r="2226" spans="1:15">
      <c r="A2226" s="195" t="str">
        <f t="shared" ref="A2226:A2233" si="139">IF(ISBLANK(J2226),"",IF(J2226+K2226+L2226&lt;0,"outbound","inbound"))</f>
        <v>inbound</v>
      </c>
      <c r="B2226" s="196">
        <v>45863.611435185187</v>
      </c>
      <c r="C2226" s="197" t="s">
        <v>1927</v>
      </c>
      <c r="D2226" s="197"/>
      <c r="E2226" s="215" t="s">
        <v>3224</v>
      </c>
      <c r="F2226" s="112" t="str">
        <f>IF(ISBLANK(E2226),"",_xlfn.XLOOKUP(E2226,cannabis_log!C:C,cannabis_log!J:J,"",0,))</f>
        <v>PR2516</v>
      </c>
      <c r="G2226" s="112"/>
      <c r="H2226" s="112" t="str">
        <f>IF(ISBLANK(E2226),"",_xlfn.XLOOKUP(E2226,cannabis_log!C:C,cannabis_log!H:H,"",0,1))</f>
        <v>driedflower_milled_bulk</v>
      </c>
      <c r="I2226" s="113" t="str">
        <f>IF(ISBLANK(E2226),"",_xlfn.XLOOKUP(E2226,cannabis_log!C:C,cannabis_log!K:K,"NOT FOUND",0,1))</f>
        <v>NA</v>
      </c>
      <c r="J2226" s="185">
        <v>1</v>
      </c>
      <c r="K2226" s="186">
        <v>1986</v>
      </c>
      <c r="L2226" s="288">
        <f t="shared" si="134"/>
        <v>0</v>
      </c>
      <c r="M2226" s="24"/>
      <c r="N2226" s="112" t="str">
        <f>IF(ISBLANK(E2226),"",_xlfn.XLOOKUP(E2226,cannabis_log!C:C,cannabis_log!T:T,"Not Found",0,))</f>
        <v>gross</v>
      </c>
      <c r="O2226" s="180">
        <f>IF(N2226="net",_xlfn.XLOOKUP(E2226,cannabis_log!C:C,cannabis_log!N:N,"NOT FOUND",0,1),IF(N2226="gross",0,""))</f>
        <v>0</v>
      </c>
    </row>
    <row r="2227" spans="1:15">
      <c r="A2227" s="195" t="str">
        <f t="shared" si="139"/>
        <v>inbound</v>
      </c>
      <c r="B2227" s="196">
        <v>45863.624121643516</v>
      </c>
      <c r="C2227" s="197" t="s">
        <v>1927</v>
      </c>
      <c r="D2227" s="197"/>
      <c r="E2227" s="215" t="s">
        <v>3174</v>
      </c>
      <c r="F2227" s="112">
        <f>IF(ISBLANK(E2227),"",_xlfn.XLOOKUP(E2227,cannabis_log!C:C,cannabis_log!J:J,"",0,))</f>
        <v>2025050501</v>
      </c>
      <c r="G2227" s="112"/>
      <c r="H2227" s="112" t="str">
        <f>IF(ISBLANK(E2227),"",_xlfn.XLOOKUP(E2227,cannabis_log!C:C,cannabis_log!H:H,"",0,1))</f>
        <v>driedflower_bulk_Rohan</v>
      </c>
      <c r="I2227" s="113" t="str">
        <f>IF(ISBLANK(E2227),"",_xlfn.XLOOKUP(E2227,cannabis_log!C:C,cannabis_log!K:K,"NOT FOUND",0,1))</f>
        <v>NA</v>
      </c>
      <c r="J2227" s="185">
        <v>1</v>
      </c>
      <c r="K2227" s="186">
        <v>278</v>
      </c>
      <c r="L2227" s="288">
        <f t="shared" si="134"/>
        <v>0</v>
      </c>
      <c r="M2227" s="24"/>
      <c r="N2227" s="112" t="str">
        <f>IF(ISBLANK(E2227),"",_xlfn.XLOOKUP(E2227,cannabis_log!C:C,cannabis_log!T:T,"Not Found",0,))</f>
        <v>gross</v>
      </c>
      <c r="O2227" s="180">
        <f>IF(N2227="net",_xlfn.XLOOKUP(E2227,cannabis_log!C:C,cannabis_log!N:N,"NOT FOUND",0,1),IF(N2227="gross",0,""))</f>
        <v>0</v>
      </c>
    </row>
    <row r="2228" spans="1:15">
      <c r="A2228" s="195" t="str">
        <f t="shared" si="139"/>
        <v>inbound</v>
      </c>
      <c r="B2228" s="196">
        <v>45863.630623726851</v>
      </c>
      <c r="C2228" s="197" t="s">
        <v>1927</v>
      </c>
      <c r="D2228" s="197"/>
      <c r="E2228" s="215" t="s">
        <v>3229</v>
      </c>
      <c r="F2228" s="112">
        <f>IF(ISBLANK(E2228),"",_xlfn.XLOOKUP(E2228,cannabis_log!C:C,cannabis_log!J:J,"",0,))</f>
        <v>2025072101</v>
      </c>
      <c r="G2228" s="112"/>
      <c r="H2228" s="112" t="str">
        <f>IF(ISBLANK(E2228),"",_xlfn.XLOOKUP(E2228,cannabis_log!C:C,cannabis_log!H:H,"",0,1))</f>
        <v>driedflower_bulk_Rohan</v>
      </c>
      <c r="I2228" s="113" t="str">
        <f>IF(ISBLANK(E2228),"",_xlfn.XLOOKUP(E2228,cannabis_log!C:C,cannabis_log!K:K,"NOT FOUND",0,1))</f>
        <v>NA</v>
      </c>
      <c r="J2228" s="185">
        <v>1</v>
      </c>
      <c r="K2228" s="186">
        <v>2968</v>
      </c>
      <c r="L2228" s="288">
        <f t="shared" si="134"/>
        <v>0</v>
      </c>
      <c r="M2228" s="24"/>
      <c r="N2228" s="112" t="str">
        <f>IF(ISBLANK(E2228),"",_xlfn.XLOOKUP(E2228,cannabis_log!C:C,cannabis_log!T:T,"Not Found",0,))</f>
        <v>gross</v>
      </c>
      <c r="O2228" s="180">
        <f>IF(N2228="net",_xlfn.XLOOKUP(E2228,cannabis_log!C:C,cannabis_log!N:N,"NOT FOUND",0,1),IF(N2228="gross",0,""))</f>
        <v>0</v>
      </c>
    </row>
    <row r="2229" spans="1:15">
      <c r="A2229" s="195" t="str">
        <f t="shared" si="139"/>
        <v>inbound</v>
      </c>
      <c r="B2229" s="196">
        <v>45863.633774652779</v>
      </c>
      <c r="C2229" s="197" t="s">
        <v>1927</v>
      </c>
      <c r="D2229" s="197"/>
      <c r="E2229" s="215" t="s">
        <v>3230</v>
      </c>
      <c r="F2229" s="112">
        <f>IF(ISBLANK(E2229),"",_xlfn.XLOOKUP(E2229,cannabis_log!C:C,cannabis_log!J:J,"",0,))</f>
        <v>2025072101</v>
      </c>
      <c r="G2229" s="112"/>
      <c r="H2229" s="112" t="str">
        <f>IF(ISBLANK(E2229),"",_xlfn.XLOOKUP(E2229,cannabis_log!C:C,cannabis_log!H:H,"",0,1))</f>
        <v>driedflower_bulk_Rohan</v>
      </c>
      <c r="I2229" s="113" t="str">
        <f>IF(ISBLANK(E2229),"",_xlfn.XLOOKUP(E2229,cannabis_log!C:C,cannabis_log!K:K,"NOT FOUND",0,1))</f>
        <v>NA</v>
      </c>
      <c r="J2229" s="185">
        <v>1</v>
      </c>
      <c r="K2229" s="186">
        <v>4264</v>
      </c>
      <c r="L2229" s="288">
        <f t="shared" si="134"/>
        <v>0</v>
      </c>
      <c r="M2229" s="24"/>
      <c r="N2229" s="112" t="str">
        <f>IF(ISBLANK(E2229),"",_xlfn.XLOOKUP(E2229,cannabis_log!C:C,cannabis_log!T:T,"Not Found",0,))</f>
        <v>gross</v>
      </c>
      <c r="O2229" s="180">
        <f>IF(N2229="net",_xlfn.XLOOKUP(E2229,cannabis_log!C:C,cannabis_log!N:N,"NOT FOUND",0,1),IF(N2229="gross",0,""))</f>
        <v>0</v>
      </c>
    </row>
    <row r="2230" spans="1:15">
      <c r="A2230" s="195" t="str">
        <f t="shared" si="139"/>
        <v>inbound</v>
      </c>
      <c r="B2230" s="196">
        <v>45863.633774652779</v>
      </c>
      <c r="C2230" s="197" t="s">
        <v>1927</v>
      </c>
      <c r="D2230" s="197"/>
      <c r="E2230" s="215" t="s">
        <v>3038</v>
      </c>
      <c r="F2230" s="112" t="str">
        <f>IF(ISBLANK(E2230),"",_xlfn.XLOOKUP(E2230,cannabis_log!C:C,cannabis_log!J:J,"",0,))</f>
        <v>EX25050501V50</v>
      </c>
      <c r="G2230" s="112"/>
      <c r="H2230" s="112" t="str">
        <f>IF(ISBLANK(E2230),"",_xlfn.XLOOKUP(E2230,cannabis_log!C:C,cannabis_log!H:H,"",0,1))</f>
        <v>extract_ingested_packaged</v>
      </c>
      <c r="I2230" s="113">
        <f>IF(ISBLANK(E2230),"",_xlfn.XLOOKUP(E2230,cannabis_log!C:C,cannabis_log!K:K,"NOT FOUND",0,1))</f>
        <v>45790</v>
      </c>
      <c r="J2230" s="185">
        <v>34</v>
      </c>
      <c r="K2230" s="186">
        <f>IF(N2230="net",0,"")</f>
        <v>0</v>
      </c>
      <c r="L2230" s="288">
        <f t="shared" si="134"/>
        <v>1700</v>
      </c>
      <c r="M2230" s="24"/>
      <c r="N2230" s="112" t="str">
        <f>IF(ISBLANK(E2230),"",_xlfn.XLOOKUP(E2230,cannabis_log!C:C,cannabis_log!T:T,"Not Found",0,))</f>
        <v>net</v>
      </c>
      <c r="O2230" s="180">
        <f>IF(N2230="net",_xlfn.XLOOKUP(E2230,cannabis_log!C:C,cannabis_log!N:N,"NOT FOUND",0,1),IF(N2230="gross",0,""))</f>
        <v>50</v>
      </c>
    </row>
    <row r="2231" spans="1:15">
      <c r="A2231" s="195" t="str">
        <f t="shared" si="139"/>
        <v>outbound</v>
      </c>
      <c r="B2231" s="196">
        <v>45863.644377314813</v>
      </c>
      <c r="C2231" s="197" t="s">
        <v>1927</v>
      </c>
      <c r="D2231" s="197"/>
      <c r="E2231" s="215" t="s">
        <v>3227</v>
      </c>
      <c r="F2231" s="112" t="str">
        <f>IF(ISBLANK(E2231),"",_xlfn.XLOOKUP(E2231,cannabis_log!C:C,cannabis_log!J:J,"",0,))</f>
        <v>PR2507F1P2</v>
      </c>
      <c r="G2231" s="112"/>
      <c r="H2231" s="112" t="str">
        <f>IF(ISBLANK(E2231),"",_xlfn.XLOOKUP(E2231,cannabis_log!C:C,cannabis_log!H:H,"",0,1))</f>
        <v>preroll_labelled</v>
      </c>
      <c r="I2231" s="113">
        <f>IF(ISBLANK(E2231),"",_xlfn.XLOOKUP(E2231,cannabis_log!C:C,cannabis_log!K:K,"NOT FOUND",0,1))</f>
        <v>45848</v>
      </c>
      <c r="J2231" s="185">
        <v>-12</v>
      </c>
      <c r="K2231" s="186">
        <f>IF(N2231="net",0,"")</f>
        <v>0</v>
      </c>
      <c r="L2231" s="288">
        <f t="shared" si="134"/>
        <v>-24</v>
      </c>
      <c r="M2231" s="24"/>
      <c r="N2231" s="112" t="str">
        <f>IF(ISBLANK(E2231),"",_xlfn.XLOOKUP(E2231,cannabis_log!C:C,cannabis_log!T:T,"Not Found",0,))</f>
        <v>net</v>
      </c>
      <c r="O2231" s="180">
        <f>IF(N2231="net",_xlfn.XLOOKUP(E2231,cannabis_log!C:C,cannabis_log!N:N,"NOT FOUND",0,1),IF(N2231="gross",0,""))</f>
        <v>2</v>
      </c>
    </row>
    <row r="2232" spans="1:15">
      <c r="A2232" s="195" t="str">
        <f t="shared" si="139"/>
        <v>inbound</v>
      </c>
      <c r="B2232" s="196">
        <v>45863.654907291668</v>
      </c>
      <c r="C2232" s="197" t="s">
        <v>1927</v>
      </c>
      <c r="D2232" s="197"/>
      <c r="E2232" s="215" t="s">
        <v>3201</v>
      </c>
      <c r="F2232" s="112">
        <f>IF(ISBLANK(E2232),"",_xlfn.XLOOKUP(E2232,cannabis_log!C:C,cannabis_log!J:J,"",0,))</f>
        <v>2024121801</v>
      </c>
      <c r="G2232" s="112"/>
      <c r="H2232" s="112" t="str">
        <f>IF(ISBLANK(E2232),"",_xlfn.XLOOKUP(E2232,cannabis_log!C:C,cannabis_log!H:H,"",0,1))</f>
        <v>driedflower_bulk_big</v>
      </c>
      <c r="I2232" s="113" t="str">
        <f>IF(ISBLANK(E2232),"",_xlfn.XLOOKUP(E2232,cannabis_log!C:C,cannabis_log!K:K,"NOT FOUND",0,1))</f>
        <v>NA</v>
      </c>
      <c r="J2232" s="185">
        <v>1</v>
      </c>
      <c r="K2232" s="186">
        <v>6950</v>
      </c>
      <c r="L2232" s="288">
        <f t="shared" si="134"/>
        <v>0</v>
      </c>
      <c r="M2232" s="24"/>
      <c r="N2232" s="112" t="str">
        <f>IF(ISBLANK(E2232),"",_xlfn.XLOOKUP(E2232,cannabis_log!C:C,cannabis_log!T:T,"Not Found",0,))</f>
        <v>gross</v>
      </c>
      <c r="O2232" s="180">
        <f>IF(N2232="net",_xlfn.XLOOKUP(E2232,cannabis_log!C:C,cannabis_log!N:N,"NOT FOUND",0,1),IF(N2232="gross",0,""))</f>
        <v>0</v>
      </c>
    </row>
    <row r="2233" spans="1:15">
      <c r="A2233" s="195" t="str">
        <f t="shared" si="139"/>
        <v>inbound</v>
      </c>
      <c r="B2233" s="196">
        <v>45863.677562037039</v>
      </c>
      <c r="C2233" s="197" t="s">
        <v>1927</v>
      </c>
      <c r="D2233" s="197"/>
      <c r="E2233" s="215" t="s">
        <v>2597</v>
      </c>
      <c r="F2233" s="112" t="str">
        <f>IF(ISBLANK(E2233),"",_xlfn.XLOOKUP(E2233,cannabis_log!C:C,cannabis_log!J:J,"",0,))</f>
        <v>EX24101705G05</v>
      </c>
      <c r="G2233" s="112"/>
      <c r="H2233" s="112" t="str">
        <f>IF(ISBLANK(E2233),"",_xlfn.XLOOKUP(E2233,cannabis_log!C:C,cannabis_log!H:H,"",0,1))</f>
        <v>extract_inhaled_labelled</v>
      </c>
      <c r="I2233" s="113">
        <f>IF(ISBLANK(E2233),"",_xlfn.XLOOKUP(E2233,cannabis_log!C:C,cannabis_log!K:K,"NOT FOUND",0,1))</f>
        <v>45629</v>
      </c>
      <c r="J2233" s="185">
        <v>12</v>
      </c>
      <c r="K2233" s="186">
        <f t="shared" ref="K2233:K2261" si="140">IF(N2233="net",0,"")</f>
        <v>0</v>
      </c>
      <c r="L2233" s="288">
        <f t="shared" si="134"/>
        <v>6</v>
      </c>
      <c r="M2233" s="24"/>
      <c r="N2233" s="112" t="str">
        <f>IF(ISBLANK(E2233),"",_xlfn.XLOOKUP(E2233,cannabis_log!C:C,cannabis_log!T:T,"Not Found",0,))</f>
        <v>net</v>
      </c>
      <c r="O2233" s="180">
        <f>IF(N2233="net",_xlfn.XLOOKUP(E2233,cannabis_log!C:C,cannabis_log!N:N,"NOT FOUND",0,1),IF(N2233="gross",0,""))</f>
        <v>0.5</v>
      </c>
    </row>
    <row r="2234" spans="1:15">
      <c r="A2234" s="195" t="str">
        <f t="shared" ref="A2234:A2262" si="141">IF(ISBLANK(J2234),"",IF(J2234+K2234+L2234&lt;0,"outbound","inbound"))</f>
        <v>outbound</v>
      </c>
      <c r="B2234" s="196">
        <v>45866.432778472219</v>
      </c>
      <c r="C2234" s="197" t="s">
        <v>1929</v>
      </c>
      <c r="D2234" s="197"/>
      <c r="E2234" s="215" t="s">
        <v>3235</v>
      </c>
      <c r="F2234" s="112" t="str">
        <f>IF(ISBLANK(E2234),"",_xlfn.XLOOKUP(E2234,cannabis_log!C:C,cannabis_log!J:J,"",0,))</f>
        <v>LR22060701</v>
      </c>
      <c r="G2234" s="112"/>
      <c r="H2234" s="112" t="str">
        <f>IF(ISBLANK(E2234),"",_xlfn.XLOOKUP(E2234,cannabis_log!C:C,cannabis_log!H:H,"",0,1))</f>
        <v>extract_inhaled_labelled</v>
      </c>
      <c r="I2234" s="113">
        <f>IF(ISBLANK(E2234),"",_xlfn.XLOOKUP(E2234,cannabis_log!C:C,cannabis_log!K:K,"NOT FOUND",0,1))</f>
        <v>45170</v>
      </c>
      <c r="J2234" s="185">
        <v>-170</v>
      </c>
      <c r="K2234" s="186">
        <f t="shared" si="140"/>
        <v>0</v>
      </c>
      <c r="L2234" s="288">
        <f t="shared" si="134"/>
        <v>-170</v>
      </c>
      <c r="M2234" s="24"/>
      <c r="N2234" s="112" t="str">
        <f>IF(ISBLANK(E2234),"",_xlfn.XLOOKUP(E2234,cannabis_log!C:C,cannabis_log!T:T,"Not Found",0,))</f>
        <v>net</v>
      </c>
      <c r="O2234" s="180">
        <f>IF(N2234="net",_xlfn.XLOOKUP(E2234,cannabis_log!C:C,cannabis_log!N:N,"NOT FOUND",0,1),IF(N2234="gross",0,""))</f>
        <v>1</v>
      </c>
    </row>
    <row r="2235" spans="1:15">
      <c r="A2235" s="195" t="str">
        <f t="shared" si="141"/>
        <v>outbound</v>
      </c>
      <c r="B2235" s="196">
        <v>45866.432778472219</v>
      </c>
      <c r="C2235" s="197" t="s">
        <v>1929</v>
      </c>
      <c r="D2235" s="197"/>
      <c r="E2235" s="215" t="s">
        <v>3236</v>
      </c>
      <c r="F2235" s="112" t="str">
        <f>IF(ISBLANK(E2235),"",_xlfn.XLOOKUP(E2235,cannabis_log!C:C,cannabis_log!J:J,"",0,))</f>
        <v>PR241102F5P3</v>
      </c>
      <c r="G2235" s="112"/>
      <c r="H2235" s="112" t="str">
        <f>IF(ISBLANK(E2235),"",_xlfn.XLOOKUP(E2235,cannabis_log!C:C,cannabis_log!H:H,"",0,1))</f>
        <v>preroll_labelled</v>
      </c>
      <c r="I2235" s="113">
        <f>IF(ISBLANK(E2235),"",_xlfn.XLOOKUP(E2235,cannabis_log!C:C,cannabis_log!K:K,"NOT FOUND",0,1))</f>
        <v>45854</v>
      </c>
      <c r="J2235" s="185">
        <v>-48</v>
      </c>
      <c r="K2235" s="186">
        <f t="shared" si="140"/>
        <v>0</v>
      </c>
      <c r="L2235" s="288">
        <f t="shared" si="134"/>
        <v>-72</v>
      </c>
      <c r="M2235" s="24"/>
      <c r="N2235" s="112" t="str">
        <f>IF(ISBLANK(E2235),"",_xlfn.XLOOKUP(E2235,cannabis_log!C:C,cannabis_log!T:T,"Not Found",0,))</f>
        <v>net</v>
      </c>
      <c r="O2235" s="180">
        <f>IF(N2235="net",_xlfn.XLOOKUP(E2235,cannabis_log!C:C,cannabis_log!N:N,"NOT FOUND",0,1),IF(N2235="gross",0,""))</f>
        <v>1.5</v>
      </c>
    </row>
    <row r="2236" spans="1:15">
      <c r="A2236" s="195" t="str">
        <f t="shared" si="141"/>
        <v>outbound</v>
      </c>
      <c r="B2236" s="196">
        <v>45866.432778472219</v>
      </c>
      <c r="C2236" s="197" t="s">
        <v>1929</v>
      </c>
      <c r="D2236" s="197"/>
      <c r="E2236" s="215" t="s">
        <v>3200</v>
      </c>
      <c r="F2236" s="112" t="str">
        <f>IF(ISBLANK(E2236),"",_xlfn.XLOOKUP(E2236,cannabis_log!C:C,cannabis_log!J:J,"",0,))</f>
        <v>PR2512F5P5</v>
      </c>
      <c r="G2236" s="112"/>
      <c r="H2236" s="112" t="str">
        <f>IF(ISBLANK(E2236),"",_xlfn.XLOOKUP(E2236,cannabis_log!C:C,cannabis_log!H:H,"",0,1))</f>
        <v>preroll_labelled</v>
      </c>
      <c r="I2236" s="113">
        <f>IF(ISBLANK(E2236),"",_xlfn.XLOOKUP(E2236,cannabis_log!C:C,cannabis_log!K:K,"NOT FOUND",0,1))</f>
        <v>45833</v>
      </c>
      <c r="J2236" s="185">
        <v>-12</v>
      </c>
      <c r="K2236" s="186">
        <f t="shared" si="140"/>
        <v>0</v>
      </c>
      <c r="L2236" s="288">
        <f t="shared" si="134"/>
        <v>-30</v>
      </c>
      <c r="M2236" s="24"/>
      <c r="N2236" s="112" t="str">
        <f>IF(ISBLANK(E2236),"",_xlfn.XLOOKUP(E2236,cannabis_log!C:C,cannabis_log!T:T,"Not Found",0,))</f>
        <v>net</v>
      </c>
      <c r="O2236" s="180">
        <f>IF(N2236="net",_xlfn.XLOOKUP(E2236,cannabis_log!C:C,cannabis_log!N:N,"NOT FOUND",0,1),IF(N2236="gross",0,""))</f>
        <v>2.5</v>
      </c>
    </row>
    <row r="2237" spans="1:15">
      <c r="A2237" s="195" t="str">
        <f t="shared" si="141"/>
        <v>outbound</v>
      </c>
      <c r="B2237" s="196">
        <v>45866.432778472219</v>
      </c>
      <c r="C2237" s="197" t="s">
        <v>1929</v>
      </c>
      <c r="D2237" s="197"/>
      <c r="E2237" s="215" t="s">
        <v>3097</v>
      </c>
      <c r="F2237" s="112" t="str">
        <f>IF(ISBLANK(E2237),"",_xlfn.XLOOKUP(E2237,cannabis_log!C:C,cannabis_log!J:J,"",0,))</f>
        <v>PR251701F5P3</v>
      </c>
      <c r="G2237" s="112"/>
      <c r="H2237" s="112" t="str">
        <f>IF(ISBLANK(E2237),"",_xlfn.XLOOKUP(E2237,cannabis_log!C:C,cannabis_log!H:H,"",0,1))</f>
        <v>preroll_labelled</v>
      </c>
      <c r="I2237" s="113">
        <f>IF(ISBLANK(E2237),"",_xlfn.XLOOKUP(E2237,cannabis_log!C:C,cannabis_log!K:K,"NOT FOUND",0,1))</f>
        <v>45800</v>
      </c>
      <c r="J2237" s="185">
        <f>-55-36</f>
        <v>-91</v>
      </c>
      <c r="K2237" s="186">
        <f t="shared" si="140"/>
        <v>0</v>
      </c>
      <c r="L2237" s="288">
        <f t="shared" si="134"/>
        <v>-136.5</v>
      </c>
      <c r="M2237" s="24"/>
      <c r="N2237" s="112" t="str">
        <f>IF(ISBLANK(E2237),"",_xlfn.XLOOKUP(E2237,cannabis_log!C:C,cannabis_log!T:T,"Not Found",0,))</f>
        <v>net</v>
      </c>
      <c r="O2237" s="180">
        <f>IF(N2237="net",_xlfn.XLOOKUP(E2237,cannabis_log!C:C,cannabis_log!N:N,"NOT FOUND",0,1),IF(N2237="gross",0,""))</f>
        <v>1.5</v>
      </c>
    </row>
    <row r="2238" spans="1:15">
      <c r="A2238" s="195" t="str">
        <f t="shared" si="141"/>
        <v>outbound</v>
      </c>
      <c r="B2238" s="196">
        <v>45866.432778472219</v>
      </c>
      <c r="C2238" s="197" t="s">
        <v>1929</v>
      </c>
      <c r="D2238" s="197"/>
      <c r="E2238" s="215" t="s">
        <v>3047</v>
      </c>
      <c r="F2238" s="112" t="str">
        <f>IF(ISBLANK(E2238),"",_xlfn.XLOOKUP(E2238,cannabis_log!C:C,cannabis_log!J:J,"",0,))</f>
        <v>PR241105F5P3</v>
      </c>
      <c r="G2238" s="112"/>
      <c r="H2238" s="112" t="str">
        <f>IF(ISBLANK(E2238),"",_xlfn.XLOOKUP(E2238,cannabis_log!C:C,cannabis_log!H:H,"",0,1))</f>
        <v>preroll_cased_SK_RTV</v>
      </c>
      <c r="I2238" s="113">
        <f>IF(ISBLANK(E2238),"",_xlfn.XLOOKUP(E2238,cannabis_log!C:C,cannabis_log!K:K,"NOT FOUND",0,1))</f>
        <v>45581</v>
      </c>
      <c r="J2238" s="185">
        <v>-5</v>
      </c>
      <c r="K2238" s="186">
        <f t="shared" si="140"/>
        <v>0</v>
      </c>
      <c r="L2238" s="288">
        <f t="shared" si="134"/>
        <v>-7.5</v>
      </c>
      <c r="M2238" s="24"/>
      <c r="N2238" s="112" t="str">
        <f>IF(ISBLANK(E2238),"",_xlfn.XLOOKUP(E2238,cannabis_log!C:C,cannabis_log!T:T,"Not Found",0,))</f>
        <v>net</v>
      </c>
      <c r="O2238" s="180">
        <f>IF(N2238="net",_xlfn.XLOOKUP(E2238,cannabis_log!C:C,cannabis_log!N:N,"NOT FOUND",0,1),IF(N2238="gross",0,""))</f>
        <v>1.5</v>
      </c>
    </row>
    <row r="2239" spans="1:15">
      <c r="A2239" s="195" t="str">
        <f t="shared" si="141"/>
        <v>outbound</v>
      </c>
      <c r="B2239" s="196">
        <v>45866.432778472219</v>
      </c>
      <c r="C2239" s="197" t="s">
        <v>1929</v>
      </c>
      <c r="D2239" s="197"/>
      <c r="E2239" s="215" t="s">
        <v>3237</v>
      </c>
      <c r="F2239" s="112" t="str">
        <f>IF(ISBLANK(E2239),"",_xlfn.XLOOKUP(E2239,cannabis_log!C:C,cannabis_log!J:J,"",0,))</f>
        <v>PR2512F1P1</v>
      </c>
      <c r="G2239" s="112"/>
      <c r="H2239" s="112" t="str">
        <f>IF(ISBLANK(E2239),"",_xlfn.XLOOKUP(E2239,cannabis_log!C:C,cannabis_log!H:H,"",0,1))</f>
        <v>preroll_labelled</v>
      </c>
      <c r="I2239" s="113">
        <f>IF(ISBLANK(E2239),"",_xlfn.XLOOKUP(E2239,cannabis_log!C:C,cannabis_log!K:K,"NOT FOUND",0,1))</f>
        <v>45861</v>
      </c>
      <c r="J2239" s="185">
        <v>-12</v>
      </c>
      <c r="K2239" s="186">
        <f t="shared" si="140"/>
        <v>0</v>
      </c>
      <c r="L2239" s="288">
        <f t="shared" si="134"/>
        <v>-12</v>
      </c>
      <c r="M2239" s="24"/>
      <c r="N2239" s="112" t="str">
        <f>IF(ISBLANK(E2239),"",_xlfn.XLOOKUP(E2239,cannabis_log!C:C,cannabis_log!T:T,"Not Found",0,))</f>
        <v>net</v>
      </c>
      <c r="O2239" s="180">
        <f>IF(N2239="net",_xlfn.XLOOKUP(E2239,cannabis_log!C:C,cannabis_log!N:N,"NOT FOUND",0,1),IF(N2239="gross",0,""))</f>
        <v>1</v>
      </c>
    </row>
    <row r="2240" spans="1:15">
      <c r="A2240" s="195" t="str">
        <f t="shared" si="141"/>
        <v>outbound</v>
      </c>
      <c r="B2240" s="196">
        <v>45866.432778472219</v>
      </c>
      <c r="C2240" s="197" t="s">
        <v>1929</v>
      </c>
      <c r="D2240" s="197"/>
      <c r="E2240" s="215" t="s">
        <v>3057</v>
      </c>
      <c r="F2240" s="112" t="str">
        <f>IF(ISBLANK(E2240),"",_xlfn.XLOOKUP(E2240,cannabis_log!C:C,cannabis_log!J:J,"",0,))</f>
        <v>PR2406F5P3</v>
      </c>
      <c r="G2240" s="112"/>
      <c r="H2240" s="112" t="str">
        <f>IF(ISBLANK(E2240),"",_xlfn.XLOOKUP(E2240,cannabis_log!C:C,cannabis_log!H:H,"",0,1))</f>
        <v>preroll_labelled</v>
      </c>
      <c r="I2240" s="113">
        <f>IF(ISBLANK(E2240),"",_xlfn.XLOOKUP(E2240,cannabis_log!C:C,cannabis_log!K:K,"NOT FOUND",0,1))</f>
        <v>45728</v>
      </c>
      <c r="J2240" s="185">
        <v>-12</v>
      </c>
      <c r="K2240" s="186">
        <f t="shared" si="140"/>
        <v>0</v>
      </c>
      <c r="L2240" s="288">
        <f t="shared" si="134"/>
        <v>-18</v>
      </c>
      <c r="M2240" s="24"/>
      <c r="N2240" s="112" t="str">
        <f>IF(ISBLANK(E2240),"",_xlfn.XLOOKUP(E2240,cannabis_log!C:C,cannabis_log!T:T,"Not Found",0,))</f>
        <v>net</v>
      </c>
      <c r="O2240" s="180">
        <f>IF(N2240="net",_xlfn.XLOOKUP(E2240,cannabis_log!C:C,cannabis_log!N:N,"NOT FOUND",0,1),IF(N2240="gross",0,""))</f>
        <v>1.5</v>
      </c>
    </row>
    <row r="2241" spans="1:15">
      <c r="A2241" s="195" t="str">
        <f t="shared" si="141"/>
        <v>outbound</v>
      </c>
      <c r="B2241" s="196">
        <v>45866.432778472219</v>
      </c>
      <c r="C2241" s="197" t="s">
        <v>1929</v>
      </c>
      <c r="D2241" s="197"/>
      <c r="E2241" s="215" t="s">
        <v>2402</v>
      </c>
      <c r="F2241" s="112" t="str">
        <f>IF(ISBLANK(E2241),"",_xlfn.XLOOKUP(E2241,cannabis_log!C:C,cannabis_log!J:J,"",0,))</f>
        <v>TP24082901</v>
      </c>
      <c r="G2241" s="112"/>
      <c r="H2241" s="112" t="str">
        <f>IF(ISBLANK(E2241),"",_xlfn.XLOOKUP(E2241,cannabis_log!C:C,cannabis_log!H:H,"",0,1))</f>
        <v>topical_labelled</v>
      </c>
      <c r="I2241" s="113">
        <f>IF(ISBLANK(E2241),"",_xlfn.XLOOKUP(E2241,cannabis_log!C:C,cannabis_log!K:K,"NOT FOUND",0,1))</f>
        <v>45569</v>
      </c>
      <c r="J2241" s="185">
        <v>-46</v>
      </c>
      <c r="K2241" s="186">
        <f t="shared" si="140"/>
        <v>0</v>
      </c>
      <c r="L2241" s="288">
        <f t="shared" si="134"/>
        <v>-4048</v>
      </c>
      <c r="M2241" s="24"/>
      <c r="N2241" s="112" t="str">
        <f>IF(ISBLANK(E2241),"",_xlfn.XLOOKUP(E2241,cannabis_log!C:C,cannabis_log!T:T,"Not Found",0,))</f>
        <v>net</v>
      </c>
      <c r="O2241" s="180">
        <f>IF(N2241="net",_xlfn.XLOOKUP(E2241,cannabis_log!C:C,cannabis_log!N:N,"NOT FOUND",0,1),IF(N2241="gross",0,""))</f>
        <v>88</v>
      </c>
    </row>
    <row r="2242" spans="1:15">
      <c r="A2242" s="195" t="str">
        <f t="shared" si="141"/>
        <v>outbound</v>
      </c>
      <c r="B2242" s="196">
        <v>45866.432778472219</v>
      </c>
      <c r="C2242" s="197" t="s">
        <v>1929</v>
      </c>
      <c r="D2242" s="197"/>
      <c r="E2242" s="215" t="s">
        <v>3185</v>
      </c>
      <c r="F2242" s="112" t="str">
        <f>IF(ISBLANK(E2242),"",_xlfn.XLOOKUP(E2242,cannabis_log!C:C,cannabis_log!J:J,"",0,))</f>
        <v>TP24082901</v>
      </c>
      <c r="G2242" s="112"/>
      <c r="H2242" s="112" t="str">
        <f>IF(ISBLANK(E2242),"",_xlfn.XLOOKUP(E2242,cannabis_log!C:C,cannabis_log!H:H,"",0,1))</f>
        <v>topical_labelled</v>
      </c>
      <c r="I2242" s="113">
        <f>IF(ISBLANK(E2242),"",_xlfn.XLOOKUP(E2242,cannabis_log!C:C,cannabis_log!K:K,"NOT FOUND",0,1))</f>
        <v>45560</v>
      </c>
      <c r="J2242" s="185">
        <v>-3</v>
      </c>
      <c r="K2242" s="186">
        <f t="shared" si="140"/>
        <v>0</v>
      </c>
      <c r="L2242" s="288">
        <f t="shared" si="134"/>
        <v>-264</v>
      </c>
      <c r="M2242" s="24"/>
      <c r="N2242" s="112" t="str">
        <f>IF(ISBLANK(E2242),"",_xlfn.XLOOKUP(E2242,cannabis_log!C:C,cannabis_log!T:T,"Not Found",0,))</f>
        <v>net</v>
      </c>
      <c r="O2242" s="180">
        <f>IF(N2242="net",_xlfn.XLOOKUP(E2242,cannabis_log!C:C,cannabis_log!N:N,"NOT FOUND",0,1),IF(N2242="gross",0,""))</f>
        <v>88</v>
      </c>
    </row>
    <row r="2243" spans="1:15">
      <c r="A2243" s="195" t="str">
        <f t="shared" si="141"/>
        <v>outbound</v>
      </c>
      <c r="B2243" s="196">
        <v>45866.432778472219</v>
      </c>
      <c r="C2243" s="197" t="s">
        <v>1929</v>
      </c>
      <c r="D2243" s="197"/>
      <c r="E2243" s="215" t="s">
        <v>3227</v>
      </c>
      <c r="F2243" s="112" t="str">
        <f>IF(ISBLANK(E2243),"",_xlfn.XLOOKUP(E2243,cannabis_log!C:C,cannabis_log!J:J,"",0,))</f>
        <v>PR2507F1P2</v>
      </c>
      <c r="G2243" s="112"/>
      <c r="H2243" s="112" t="str">
        <f>IF(ISBLANK(E2243),"",_xlfn.XLOOKUP(E2243,cannabis_log!C:C,cannabis_log!H:H,"",0,1))</f>
        <v>preroll_labelled</v>
      </c>
      <c r="I2243" s="113">
        <f>IF(ISBLANK(E2243),"",_xlfn.XLOOKUP(E2243,cannabis_log!C:C,cannabis_log!K:K,"NOT FOUND",0,1))</f>
        <v>45848</v>
      </c>
      <c r="J2243" s="185">
        <v>-12</v>
      </c>
      <c r="K2243" s="186">
        <f t="shared" si="140"/>
        <v>0</v>
      </c>
      <c r="L2243" s="288">
        <f t="shared" si="134"/>
        <v>-24</v>
      </c>
      <c r="M2243" s="24"/>
      <c r="N2243" s="112" t="str">
        <f>IF(ISBLANK(E2243),"",_xlfn.XLOOKUP(E2243,cannabis_log!C:C,cannabis_log!T:T,"Not Found",0,))</f>
        <v>net</v>
      </c>
      <c r="O2243" s="180">
        <f>IF(N2243="net",_xlfn.XLOOKUP(E2243,cannabis_log!C:C,cannabis_log!N:N,"NOT FOUND",0,1),IF(N2243="gross",0,""))</f>
        <v>2</v>
      </c>
    </row>
    <row r="2244" spans="1:15">
      <c r="A2244" s="195" t="str">
        <f t="shared" si="141"/>
        <v>outbound</v>
      </c>
      <c r="B2244" s="196">
        <v>45866.432778472219</v>
      </c>
      <c r="C2244" s="197" t="s">
        <v>1929</v>
      </c>
      <c r="D2244" s="197"/>
      <c r="E2244" s="215" t="s">
        <v>3200</v>
      </c>
      <c r="F2244" s="112" t="str">
        <f>IF(ISBLANK(E2244),"",_xlfn.XLOOKUP(E2244,cannabis_log!C:C,cannabis_log!J:J,"",0,))</f>
        <v>PR2512F5P5</v>
      </c>
      <c r="G2244" s="112"/>
      <c r="H2244" s="112" t="str">
        <f>IF(ISBLANK(E2244),"",_xlfn.XLOOKUP(E2244,cannabis_log!C:C,cannabis_log!H:H,"",0,1))</f>
        <v>preroll_labelled</v>
      </c>
      <c r="I2244" s="113">
        <f>IF(ISBLANK(E2244),"",_xlfn.XLOOKUP(E2244,cannabis_log!C:C,cannabis_log!K:K,"NOT FOUND",0,1))</f>
        <v>45833</v>
      </c>
      <c r="J2244" s="185">
        <v>-174</v>
      </c>
      <c r="K2244" s="186">
        <f t="shared" si="140"/>
        <v>0</v>
      </c>
      <c r="L2244" s="288">
        <f t="shared" si="134"/>
        <v>-435</v>
      </c>
      <c r="M2244" s="24"/>
      <c r="N2244" s="112" t="str">
        <f>IF(ISBLANK(E2244),"",_xlfn.XLOOKUP(E2244,cannabis_log!C:C,cannabis_log!T:T,"Not Found",0,))</f>
        <v>net</v>
      </c>
      <c r="O2244" s="180">
        <f>IF(N2244="net",_xlfn.XLOOKUP(E2244,cannabis_log!C:C,cannabis_log!N:N,"NOT FOUND",0,1),IF(N2244="gross",0,""))</f>
        <v>2.5</v>
      </c>
    </row>
    <row r="2245" spans="1:15">
      <c r="A2245" s="195" t="str">
        <f t="shared" si="141"/>
        <v>outbound</v>
      </c>
      <c r="B2245" s="196">
        <v>45866.432778472219</v>
      </c>
      <c r="C2245" s="197" t="s">
        <v>1929</v>
      </c>
      <c r="D2245" s="197"/>
      <c r="E2245" s="215" t="s">
        <v>3191</v>
      </c>
      <c r="F2245" s="112" t="str">
        <f>IF(ISBLANK(E2245),"",_xlfn.XLOOKUP(E2245,cannabis_log!C:C,cannabis_log!J:J,"",0,))</f>
        <v>PR2516F1P2</v>
      </c>
      <c r="G2245" s="112"/>
      <c r="H2245" s="112" t="str">
        <f>IF(ISBLANK(E2245),"",_xlfn.XLOOKUP(E2245,cannabis_log!C:C,cannabis_log!H:H,"",0,1))</f>
        <v>preroll_labelled</v>
      </c>
      <c r="I2245" s="113">
        <f>IF(ISBLANK(E2245),"",_xlfn.XLOOKUP(E2245,cannabis_log!C:C,cannabis_log!K:K,"NOT FOUND",0,1))</f>
        <v>45831</v>
      </c>
      <c r="J2245" s="185">
        <v>-24</v>
      </c>
      <c r="K2245" s="186">
        <f t="shared" si="140"/>
        <v>0</v>
      </c>
      <c r="L2245" s="288">
        <f t="shared" si="134"/>
        <v>-48</v>
      </c>
      <c r="M2245" s="24"/>
      <c r="N2245" s="112" t="str">
        <f>IF(ISBLANK(E2245),"",_xlfn.XLOOKUP(E2245,cannabis_log!C:C,cannabis_log!T:T,"Not Found",0,))</f>
        <v>net</v>
      </c>
      <c r="O2245" s="180">
        <f>IF(N2245="net",_xlfn.XLOOKUP(E2245,cannabis_log!C:C,cannabis_log!N:N,"NOT FOUND",0,1),IF(N2245="gross",0,""))</f>
        <v>2</v>
      </c>
    </row>
    <row r="2246" spans="1:15">
      <c r="A2246" s="195" t="str">
        <f t="shared" si="141"/>
        <v>outbound</v>
      </c>
      <c r="B2246" s="196">
        <v>45866.432778472219</v>
      </c>
      <c r="C2246" s="197" t="s">
        <v>1929</v>
      </c>
      <c r="D2246" s="197"/>
      <c r="E2246" s="215" t="s">
        <v>3121</v>
      </c>
      <c r="F2246" s="112" t="str">
        <f>IF(ISBLANK(E2246),"",_xlfn.XLOOKUP(E2246,cannabis_log!C:C,cannabis_log!J:J,"",0,))</f>
        <v>PR2502INF5P3</v>
      </c>
      <c r="G2246" s="112"/>
      <c r="H2246" s="112" t="str">
        <f>IF(ISBLANK(E2246),"",_xlfn.XLOOKUP(E2246,cannabis_log!C:C,cannabis_log!H:H,"",0,1))</f>
        <v>preroll_labelled</v>
      </c>
      <c r="I2246" s="113">
        <f>IF(ISBLANK(E2246),"",_xlfn.XLOOKUP(E2246,cannabis_log!C:C,cannabis_log!K:K,"NOT FOUND",0,1))</f>
        <v>45826</v>
      </c>
      <c r="J2246" s="185">
        <v>-940</v>
      </c>
      <c r="K2246" s="186">
        <f t="shared" si="140"/>
        <v>0</v>
      </c>
      <c r="L2246" s="288">
        <f t="shared" si="134"/>
        <v>-1410</v>
      </c>
      <c r="M2246" s="24"/>
      <c r="N2246" s="112" t="str">
        <f>IF(ISBLANK(E2246),"",_xlfn.XLOOKUP(E2246,cannabis_log!C:C,cannabis_log!T:T,"Not Found",0,))</f>
        <v>net</v>
      </c>
      <c r="O2246" s="180">
        <f>IF(N2246="net",_xlfn.XLOOKUP(E2246,cannabis_log!C:C,cannabis_log!N:N,"NOT FOUND",0,1),IF(N2246="gross",0,""))</f>
        <v>1.5</v>
      </c>
    </row>
    <row r="2247" spans="1:15">
      <c r="A2247" s="195" t="str">
        <f t="shared" si="141"/>
        <v>outbound</v>
      </c>
      <c r="B2247" s="196">
        <v>45866.432778472219</v>
      </c>
      <c r="C2247" s="197" t="s">
        <v>1929</v>
      </c>
      <c r="D2247" s="197"/>
      <c r="E2247" s="215" t="s">
        <v>3012</v>
      </c>
      <c r="F2247" s="112" t="str">
        <f>IF(ISBLANK(E2247),"",_xlfn.XLOOKUP(E2247,cannabis_log!C:C,cannabis_log!J:J,"",0,))</f>
        <v>LR23032101</v>
      </c>
      <c r="G2247" s="112"/>
      <c r="H2247" s="112" t="str">
        <f>IF(ISBLANK(E2247),"",_xlfn.XLOOKUP(E2247,cannabis_log!C:C,cannabis_log!H:H,"",0,1))</f>
        <v>extract_inhaled_labelled</v>
      </c>
      <c r="I2247" s="113">
        <f>IF(ISBLANK(E2247),"",_xlfn.XLOOKUP(E2247,cannabis_log!C:C,cannabis_log!K:K,"NOT FOUND",0,1))</f>
        <v>45793</v>
      </c>
      <c r="J2247" s="185">
        <v>-48</v>
      </c>
      <c r="K2247" s="186">
        <f t="shared" si="140"/>
        <v>0</v>
      </c>
      <c r="L2247" s="288">
        <f t="shared" si="134"/>
        <v>-48</v>
      </c>
      <c r="M2247" s="24"/>
      <c r="N2247" s="112" t="str">
        <f>IF(ISBLANK(E2247),"",_xlfn.XLOOKUP(E2247,cannabis_log!C:C,cannabis_log!T:T,"Not Found",0,))</f>
        <v>net</v>
      </c>
      <c r="O2247" s="180">
        <f>IF(N2247="net",_xlfn.XLOOKUP(E2247,cannabis_log!C:C,cannabis_log!N:N,"NOT FOUND",0,1),IF(N2247="gross",0,""))</f>
        <v>1</v>
      </c>
    </row>
    <row r="2248" spans="1:15">
      <c r="A2248" s="195" t="str">
        <f t="shared" si="141"/>
        <v>outbound</v>
      </c>
      <c r="B2248" s="196">
        <v>45866.432778472219</v>
      </c>
      <c r="C2248" s="197" t="s">
        <v>1921</v>
      </c>
      <c r="D2248" s="197"/>
      <c r="E2248" s="215" t="s">
        <v>3238</v>
      </c>
      <c r="F2248" s="112">
        <f>IF(ISBLANK(E2248),"",_xlfn.XLOOKUP(E2248,cannabis_log!C:C,cannabis_log!J:J,"",0,))</f>
        <v>2022051601</v>
      </c>
      <c r="G2248" s="112"/>
      <c r="H2248" s="112" t="str">
        <f>IF(ISBLANK(E2248),"",_xlfn.XLOOKUP(E2248,cannabis_log!C:C,cannabis_log!H:H,"",0,1))</f>
        <v>driedflower_bulk</v>
      </c>
      <c r="I2248" s="113">
        <f>IF(ISBLANK(E2248),"",_xlfn.XLOOKUP(E2248,cannabis_log!C:C,cannabis_log!K:K,"NOT FOUND",0,1))</f>
        <v>44830</v>
      </c>
      <c r="J2248" s="185">
        <v>-1</v>
      </c>
      <c r="K2248" s="186">
        <v>-1046</v>
      </c>
      <c r="L2248" s="288">
        <f t="shared" si="134"/>
        <v>0</v>
      </c>
      <c r="M2248" s="24"/>
      <c r="N2248" s="112" t="str">
        <f>IF(ISBLANK(E2248),"",_xlfn.XLOOKUP(E2248,cannabis_log!C:C,cannabis_log!T:T,"Not Found",0,))</f>
        <v>gross</v>
      </c>
      <c r="O2248" s="180">
        <f>IF(N2248="net",_xlfn.XLOOKUP(E2248,cannabis_log!C:C,cannabis_log!N:N,"NOT FOUND",0,1),IF(N2248="gross",0,""))</f>
        <v>0</v>
      </c>
    </row>
    <row r="2249" spans="1:15">
      <c r="A2249" s="195" t="str">
        <f t="shared" si="141"/>
        <v>outbound</v>
      </c>
      <c r="B2249" s="196">
        <v>45866.432778472219</v>
      </c>
      <c r="C2249" s="197" t="s">
        <v>1921</v>
      </c>
      <c r="D2249" s="197"/>
      <c r="E2249" s="215" t="s">
        <v>3239</v>
      </c>
      <c r="F2249" s="112">
        <f>IF(ISBLANK(E2249),"",_xlfn.XLOOKUP(E2249,cannabis_log!C:C,cannabis_log!J:J,"",0,))</f>
        <v>2022051601</v>
      </c>
      <c r="G2249" s="112"/>
      <c r="H2249" s="112" t="str">
        <f>IF(ISBLANK(E2249),"",_xlfn.XLOOKUP(E2249,cannabis_log!C:C,cannabis_log!H:H,"",0,1))</f>
        <v>driedflower_bulk</v>
      </c>
      <c r="I2249" s="113">
        <f>IF(ISBLANK(E2249),"",_xlfn.XLOOKUP(E2249,cannabis_log!C:C,cannabis_log!K:K,"NOT FOUND",0,1))</f>
        <v>44830</v>
      </c>
      <c r="J2249" s="185">
        <v>-1</v>
      </c>
      <c r="K2249" s="186">
        <v>-1045</v>
      </c>
      <c r="L2249" s="288">
        <f t="shared" si="134"/>
        <v>0</v>
      </c>
      <c r="M2249" s="24"/>
      <c r="N2249" s="112" t="str">
        <f>IF(ISBLANK(E2249),"",_xlfn.XLOOKUP(E2249,cannabis_log!C:C,cannabis_log!T:T,"Not Found",0,))</f>
        <v>gross</v>
      </c>
      <c r="O2249" s="180">
        <f>IF(N2249="net",_xlfn.XLOOKUP(E2249,cannabis_log!C:C,cannabis_log!N:N,"NOT FOUND",0,1),IF(N2249="gross",0,""))</f>
        <v>0</v>
      </c>
    </row>
    <row r="2250" spans="1:15">
      <c r="A2250" s="195" t="str">
        <f t="shared" si="141"/>
        <v>outbound</v>
      </c>
      <c r="B2250" s="196">
        <v>45866.432778472219</v>
      </c>
      <c r="C2250" s="197" t="s">
        <v>1921</v>
      </c>
      <c r="D2250" s="197"/>
      <c r="E2250" s="215" t="s">
        <v>3240</v>
      </c>
      <c r="F2250" s="112">
        <f>IF(ISBLANK(E2250),"",_xlfn.XLOOKUP(E2250,cannabis_log!C:C,cannabis_log!J:J,"",0,))</f>
        <v>2022051601</v>
      </c>
      <c r="G2250" s="112"/>
      <c r="H2250" s="112" t="str">
        <f>IF(ISBLANK(E2250),"",_xlfn.XLOOKUP(E2250,cannabis_log!C:C,cannabis_log!H:H,"",0,1))</f>
        <v>driedflower_bulk</v>
      </c>
      <c r="I2250" s="113">
        <f>IF(ISBLANK(E2250),"",_xlfn.XLOOKUP(E2250,cannabis_log!C:C,cannabis_log!K:K,"NOT FOUND",0,1))</f>
        <v>44830</v>
      </c>
      <c r="J2250" s="185">
        <v>-1</v>
      </c>
      <c r="K2250" s="186">
        <v>-1048</v>
      </c>
      <c r="L2250" s="288">
        <f t="shared" si="134"/>
        <v>0</v>
      </c>
      <c r="M2250" s="24"/>
      <c r="N2250" s="112" t="str">
        <f>IF(ISBLANK(E2250),"",_xlfn.XLOOKUP(E2250,cannabis_log!C:C,cannabis_log!T:T,"Not Found",0,))</f>
        <v>gross</v>
      </c>
      <c r="O2250" s="180">
        <f>IF(N2250="net",_xlfn.XLOOKUP(E2250,cannabis_log!C:C,cannabis_log!N:N,"NOT FOUND",0,1),IF(N2250="gross",0,""))</f>
        <v>0</v>
      </c>
    </row>
    <row r="2251" spans="1:15">
      <c r="A2251" s="195" t="str">
        <f t="shared" si="141"/>
        <v>outbound</v>
      </c>
      <c r="B2251" s="196">
        <v>45866.432778472219</v>
      </c>
      <c r="C2251" s="197" t="s">
        <v>1921</v>
      </c>
      <c r="D2251" s="197"/>
      <c r="E2251" s="215" t="s">
        <v>3241</v>
      </c>
      <c r="F2251" s="112">
        <f>IF(ISBLANK(E2251),"",_xlfn.XLOOKUP(E2251,cannabis_log!C:C,cannabis_log!J:J,"",0,))</f>
        <v>2022051601</v>
      </c>
      <c r="G2251" s="112"/>
      <c r="H2251" s="112" t="str">
        <f>IF(ISBLANK(E2251),"",_xlfn.XLOOKUP(E2251,cannabis_log!C:C,cannabis_log!H:H,"",0,1))</f>
        <v>driedflower_bulk</v>
      </c>
      <c r="I2251" s="113">
        <f>IF(ISBLANK(E2251),"",_xlfn.XLOOKUP(E2251,cannabis_log!C:C,cannabis_log!K:K,"NOT FOUND",0,1))</f>
        <v>44830</v>
      </c>
      <c r="J2251" s="185">
        <v>-1</v>
      </c>
      <c r="K2251" s="186">
        <v>-1047.0999999999999</v>
      </c>
      <c r="L2251" s="288">
        <f t="shared" si="134"/>
        <v>0</v>
      </c>
      <c r="M2251" s="24"/>
      <c r="N2251" s="112" t="str">
        <f>IF(ISBLANK(E2251),"",_xlfn.XLOOKUP(E2251,cannabis_log!C:C,cannabis_log!T:T,"Not Found",0,))</f>
        <v>gross</v>
      </c>
      <c r="O2251" s="180">
        <f>IF(N2251="net",_xlfn.XLOOKUP(E2251,cannabis_log!C:C,cannabis_log!N:N,"NOT FOUND",0,1),IF(N2251="gross",0,""))</f>
        <v>0</v>
      </c>
    </row>
    <row r="2252" spans="1:15">
      <c r="A2252" s="195" t="str">
        <f t="shared" si="141"/>
        <v>outbound</v>
      </c>
      <c r="B2252" s="196">
        <v>45866.432778472219</v>
      </c>
      <c r="C2252" s="197" t="s">
        <v>1921</v>
      </c>
      <c r="D2252" s="197"/>
      <c r="E2252" s="215" t="s">
        <v>3242</v>
      </c>
      <c r="F2252" s="112">
        <f>IF(ISBLANK(E2252),"",_xlfn.XLOOKUP(E2252,cannabis_log!C:C,cannabis_log!J:J,"",0,))</f>
        <v>2022051601</v>
      </c>
      <c r="G2252" s="112"/>
      <c r="H2252" s="112" t="str">
        <f>IF(ISBLANK(E2252),"",_xlfn.XLOOKUP(E2252,cannabis_log!C:C,cannabis_log!H:H,"",0,1))</f>
        <v>driedflower_bulk</v>
      </c>
      <c r="I2252" s="113">
        <f>IF(ISBLANK(E2252),"",_xlfn.XLOOKUP(E2252,cannabis_log!C:C,cannabis_log!K:K,"NOT FOUND",0,1))</f>
        <v>44830</v>
      </c>
      <c r="J2252" s="185">
        <v>-1</v>
      </c>
      <c r="K2252" s="186">
        <v>-1043</v>
      </c>
      <c r="L2252" s="288">
        <f t="shared" ref="L2252:L2275" si="142">IFERROR(J2252*O2252,"")</f>
        <v>0</v>
      </c>
      <c r="M2252" s="24"/>
      <c r="N2252" s="112" t="str">
        <f>IF(ISBLANK(E2252),"",_xlfn.XLOOKUP(E2252,cannabis_log!C:C,cannabis_log!T:T,"Not Found",0,))</f>
        <v>gross</v>
      </c>
      <c r="O2252" s="180">
        <f>IF(N2252="net",_xlfn.XLOOKUP(E2252,cannabis_log!C:C,cannabis_log!N:N,"NOT FOUND",0,1),IF(N2252="gross",0,""))</f>
        <v>0</v>
      </c>
    </row>
    <row r="2253" spans="1:15">
      <c r="A2253" s="195" t="str">
        <f t="shared" si="141"/>
        <v>outbound</v>
      </c>
      <c r="B2253" s="196">
        <v>45866.432778472219</v>
      </c>
      <c r="C2253" s="197" t="s">
        <v>1921</v>
      </c>
      <c r="D2253" s="197"/>
      <c r="E2253" s="215" t="s">
        <v>3243</v>
      </c>
      <c r="F2253" s="112">
        <f>IF(ISBLANK(E2253),"",_xlfn.XLOOKUP(E2253,cannabis_log!C:C,cannabis_log!J:J,"",0,))</f>
        <v>2022051601</v>
      </c>
      <c r="G2253" s="112"/>
      <c r="H2253" s="112" t="str">
        <f>IF(ISBLANK(E2253),"",_xlfn.XLOOKUP(E2253,cannabis_log!C:C,cannabis_log!H:H,"",0,1))</f>
        <v>driedflower_bulk</v>
      </c>
      <c r="I2253" s="113">
        <f>IF(ISBLANK(E2253),"",_xlfn.XLOOKUP(E2253,cannabis_log!C:C,cannabis_log!K:K,"NOT FOUND",0,1))</f>
        <v>44830</v>
      </c>
      <c r="J2253" s="185">
        <v>-1</v>
      </c>
      <c r="K2253" s="186">
        <v>-1046.4000000000001</v>
      </c>
      <c r="L2253" s="288">
        <f t="shared" si="142"/>
        <v>0</v>
      </c>
      <c r="M2253" s="24"/>
      <c r="N2253" s="112" t="str">
        <f>IF(ISBLANK(E2253),"",_xlfn.XLOOKUP(E2253,cannabis_log!C:C,cannabis_log!T:T,"Not Found",0,))</f>
        <v>gross</v>
      </c>
      <c r="O2253" s="180">
        <f>IF(N2253="net",_xlfn.XLOOKUP(E2253,cannabis_log!C:C,cannabis_log!N:N,"NOT FOUND",0,1),IF(N2253="gross",0,""))</f>
        <v>0</v>
      </c>
    </row>
    <row r="2254" spans="1:15">
      <c r="A2254" s="195" t="str">
        <f t="shared" si="141"/>
        <v>outbound</v>
      </c>
      <c r="B2254" s="196">
        <v>45866.432778472219</v>
      </c>
      <c r="C2254" s="197" t="s">
        <v>1929</v>
      </c>
      <c r="D2254" s="197"/>
      <c r="E2254" s="215" t="s">
        <v>3231</v>
      </c>
      <c r="F2254" s="112" t="str">
        <f>IF(ISBLANK(E2254),"",_xlfn.XLOOKUP(E2254,cannabis_log!C:C,cannabis_log!J:J,"",0,))</f>
        <v>TP25051501</v>
      </c>
      <c r="G2254" s="112"/>
      <c r="H2254" s="112" t="str">
        <f>IF(ISBLANK(E2254),"",_xlfn.XLOOKUP(E2254,cannabis_log!C:C,cannabis_log!H:H,"",0,1))</f>
        <v>topical_labelled</v>
      </c>
      <c r="I2254" s="113">
        <f>IF(ISBLANK(E2254),"",_xlfn.XLOOKUP(E2254,cannabis_log!C:C,cannabis_log!K:K,"NOT FOUND",0,1))</f>
        <v>45805</v>
      </c>
      <c r="J2254" s="185">
        <v>-279</v>
      </c>
      <c r="K2254" s="186">
        <f t="shared" si="140"/>
        <v>0</v>
      </c>
      <c r="L2254" s="288">
        <f t="shared" si="142"/>
        <v>-24552</v>
      </c>
      <c r="M2254" s="24"/>
      <c r="N2254" s="112" t="str">
        <f>IF(ISBLANK(E2254),"",_xlfn.XLOOKUP(E2254,cannabis_log!C:C,cannabis_log!T:T,"Not Found",0,))</f>
        <v>net</v>
      </c>
      <c r="O2254" s="180">
        <f>IF(N2254="net",_xlfn.XLOOKUP(E2254,cannabis_log!C:C,cannabis_log!N:N,"NOT FOUND",0,1),IF(N2254="gross",0,""))</f>
        <v>88</v>
      </c>
    </row>
    <row r="2255" spans="1:15">
      <c r="A2255" s="195" t="str">
        <f t="shared" si="141"/>
        <v>outbound</v>
      </c>
      <c r="B2255" s="196">
        <v>45866.432778472219</v>
      </c>
      <c r="C2255" s="197" t="s">
        <v>1929</v>
      </c>
      <c r="D2255" s="197"/>
      <c r="E2255" s="215" t="s">
        <v>3244</v>
      </c>
      <c r="F2255" s="112" t="str">
        <f>IF(ISBLANK(E2255),"",_xlfn.XLOOKUP(E2255,cannabis_log!C:C,cannabis_log!J:J,"",0,))</f>
        <v>ROGEX003G1</v>
      </c>
      <c r="G2255" s="112"/>
      <c r="H2255" s="112" t="str">
        <f>IF(ISBLANK(E2255),"",_xlfn.XLOOKUP(E2255,cannabis_log!C:C,cannabis_log!H:H,"",0,1))</f>
        <v>extract_inhaled_bulk_Rohan</v>
      </c>
      <c r="I2255" s="113">
        <f>IF(ISBLANK(E2255),"",_xlfn.XLOOKUP(E2255,cannabis_log!C:C,cannabis_log!K:K,"NOT FOUND",0,1))</f>
        <v>45828</v>
      </c>
      <c r="J2255" s="185">
        <v>-48</v>
      </c>
      <c r="K2255" s="186">
        <f t="shared" si="140"/>
        <v>0</v>
      </c>
      <c r="L2255" s="288">
        <f t="shared" si="142"/>
        <v>-48</v>
      </c>
      <c r="M2255" s="24"/>
      <c r="N2255" s="112" t="str">
        <f>IF(ISBLANK(E2255),"",_xlfn.XLOOKUP(E2255,cannabis_log!C:C,cannabis_log!T:T,"Not Found",0,))</f>
        <v>net</v>
      </c>
      <c r="O2255" s="180">
        <f>IF(N2255="net",_xlfn.XLOOKUP(E2255,cannabis_log!C:C,cannabis_log!N:N,"NOT FOUND",0,1),IF(N2255="gross",0,""))</f>
        <v>1</v>
      </c>
    </row>
    <row r="2256" spans="1:15">
      <c r="A2256" s="195" t="str">
        <f t="shared" si="141"/>
        <v>outbound</v>
      </c>
      <c r="B2256" s="196">
        <v>45866.432778472219</v>
      </c>
      <c r="C2256" s="197" t="s">
        <v>1929</v>
      </c>
      <c r="D2256" s="197"/>
      <c r="E2256" s="215" t="s">
        <v>3245</v>
      </c>
      <c r="F2256" s="112" t="str">
        <f>IF(ISBLANK(E2256),"",_xlfn.XLOOKUP(E2256,cannabis_log!C:C,cannabis_log!J:J,"",0,))</f>
        <v>PR251908F5P12</v>
      </c>
      <c r="G2256" s="112"/>
      <c r="H2256" s="112" t="str">
        <f>IF(ISBLANK(E2256),"",_xlfn.XLOOKUP(E2256,cannabis_log!C:C,cannabis_log!H:H,"",0,1))</f>
        <v>preroll_labelled</v>
      </c>
      <c r="I2256" s="113">
        <f>IF(ISBLANK(E2256),"",_xlfn.XLOOKUP(E2256,cannabis_log!C:C,cannabis_log!K:K,"NOT FOUND",0,1))</f>
        <v>45854</v>
      </c>
      <c r="J2256" s="185">
        <v>-36</v>
      </c>
      <c r="K2256" s="186">
        <f t="shared" si="140"/>
        <v>0</v>
      </c>
      <c r="L2256" s="288">
        <f t="shared" si="142"/>
        <v>-216</v>
      </c>
      <c r="M2256" s="24"/>
      <c r="N2256" s="112" t="str">
        <f>IF(ISBLANK(E2256),"",_xlfn.XLOOKUP(E2256,cannabis_log!C:C,cannabis_log!T:T,"Not Found",0,))</f>
        <v>net</v>
      </c>
      <c r="O2256" s="180">
        <f>IF(N2256="net",_xlfn.XLOOKUP(E2256,cannabis_log!C:C,cannabis_log!N:N,"NOT FOUND",0,1),IF(N2256="gross",0,""))</f>
        <v>6</v>
      </c>
    </row>
    <row r="2257" spans="1:15">
      <c r="A2257" s="195" t="str">
        <f t="shared" si="141"/>
        <v>outbound</v>
      </c>
      <c r="B2257" s="196">
        <v>45866.432778472219</v>
      </c>
      <c r="C2257" s="197" t="s">
        <v>1929</v>
      </c>
      <c r="D2257" s="197"/>
      <c r="E2257" s="215" t="s">
        <v>3160</v>
      </c>
      <c r="F2257" s="112" t="str">
        <f>IF(ISBLANK(E2257),"",_xlfn.XLOOKUP(E2257,cannabis_log!C:C,cannabis_log!J:J,"",0,))</f>
        <v>EX25010907G1</v>
      </c>
      <c r="G2257" s="112"/>
      <c r="H2257" s="112" t="str">
        <f>IF(ISBLANK(E2257),"",_xlfn.XLOOKUP(E2257,cannabis_log!C:C,cannabis_log!H:H,"",0,1))</f>
        <v>extract_inhaled_labelled</v>
      </c>
      <c r="I2257" s="113">
        <f>IF(ISBLANK(E2257),"",_xlfn.XLOOKUP(E2257,cannabis_log!C:C,cannabis_log!K:K,"NOT FOUND",0,1))</f>
        <v>45742</v>
      </c>
      <c r="J2257" s="185">
        <v>-36</v>
      </c>
      <c r="K2257" s="186">
        <f t="shared" si="140"/>
        <v>0</v>
      </c>
      <c r="L2257" s="288">
        <f t="shared" si="142"/>
        <v>-36</v>
      </c>
      <c r="M2257" s="24"/>
      <c r="N2257" s="112" t="str">
        <f>IF(ISBLANK(E2257),"",_xlfn.XLOOKUP(E2257,cannabis_log!C:C,cannabis_log!T:T,"Not Found",0,))</f>
        <v>net</v>
      </c>
      <c r="O2257" s="180">
        <f>IF(N2257="net",_xlfn.XLOOKUP(E2257,cannabis_log!C:C,cannabis_log!N:N,"NOT FOUND",0,1),IF(N2257="gross",0,""))</f>
        <v>1</v>
      </c>
    </row>
    <row r="2258" spans="1:15">
      <c r="A2258" s="195" t="str">
        <f t="shared" si="141"/>
        <v>outbound</v>
      </c>
      <c r="B2258" s="196">
        <v>45866.432778472219</v>
      </c>
      <c r="C2258" s="197" t="s">
        <v>1929</v>
      </c>
      <c r="D2258" s="197"/>
      <c r="E2258" s="215" t="s">
        <v>3246</v>
      </c>
      <c r="F2258" s="112" t="str">
        <f>IF(ISBLANK(E2258),"",_xlfn.XLOOKUP(E2258,cannabis_log!C:C,cannabis_log!J:J,"",0,))</f>
        <v>PR2516F5P10</v>
      </c>
      <c r="G2258" s="112"/>
      <c r="H2258" s="112" t="str">
        <f>IF(ISBLANK(E2258),"",_xlfn.XLOOKUP(E2258,cannabis_log!C:C,cannabis_log!H:H,"",0,1))</f>
        <v>preroll_labelled</v>
      </c>
      <c r="I2258" s="113">
        <f>IF(ISBLANK(E2258),"",_xlfn.XLOOKUP(E2258,cannabis_log!C:C,cannabis_log!K:K,"NOT FOUND",0,1))</f>
        <v>45859</v>
      </c>
      <c r="J2258" s="185">
        <v>-24</v>
      </c>
      <c r="K2258" s="186">
        <f t="shared" si="140"/>
        <v>0</v>
      </c>
      <c r="L2258" s="288">
        <f t="shared" si="142"/>
        <v>-120</v>
      </c>
      <c r="M2258" s="24"/>
      <c r="N2258" s="112" t="str">
        <f>IF(ISBLANK(E2258),"",_xlfn.XLOOKUP(E2258,cannabis_log!C:C,cannabis_log!T:T,"Not Found",0,))</f>
        <v>net</v>
      </c>
      <c r="O2258" s="180">
        <f>IF(N2258="net",_xlfn.XLOOKUP(E2258,cannabis_log!C:C,cannabis_log!N:N,"NOT FOUND",0,1),IF(N2258="gross",0,""))</f>
        <v>5</v>
      </c>
    </row>
    <row r="2259" spans="1:15">
      <c r="A2259" s="195" t="str">
        <f t="shared" si="141"/>
        <v>outbound</v>
      </c>
      <c r="B2259" s="196">
        <v>45866.432778472219</v>
      </c>
      <c r="C2259" s="197" t="s">
        <v>1929</v>
      </c>
      <c r="D2259" s="197"/>
      <c r="E2259" s="215" t="s">
        <v>3048</v>
      </c>
      <c r="F2259" s="112" t="str">
        <f>IF(ISBLANK(E2259),"",_xlfn.XLOOKUP(E2259,cannabis_log!C:C,cannabis_log!J:J,"",0,))</f>
        <v>PR241003F5P3</v>
      </c>
      <c r="G2259" s="112"/>
      <c r="H2259" s="112" t="str">
        <f>IF(ISBLANK(E2259),"",_xlfn.XLOOKUP(E2259,cannabis_log!C:C,cannabis_log!H:H,"",0,1))</f>
        <v>preroll_cased_SK_RTV</v>
      </c>
      <c r="I2259" s="113">
        <f>IF(ISBLANK(E2259),"",_xlfn.XLOOKUP(E2259,cannabis_log!C:C,cannabis_log!K:K,"NOT FOUND",0,1))</f>
        <v>45575</v>
      </c>
      <c r="J2259" s="185">
        <v>-4</v>
      </c>
      <c r="K2259" s="186">
        <f t="shared" si="140"/>
        <v>0</v>
      </c>
      <c r="L2259" s="288">
        <f t="shared" si="142"/>
        <v>-6</v>
      </c>
      <c r="M2259" s="24"/>
      <c r="N2259" s="112" t="str">
        <f>IF(ISBLANK(E2259),"",_xlfn.XLOOKUP(E2259,cannabis_log!C:C,cannabis_log!T:T,"Not Found",0,))</f>
        <v>net</v>
      </c>
      <c r="O2259" s="180">
        <f>IF(N2259="net",_xlfn.XLOOKUP(E2259,cannabis_log!C:C,cannabis_log!N:N,"NOT FOUND",0,1),IF(N2259="gross",0,""))</f>
        <v>1.5</v>
      </c>
    </row>
    <row r="2260" spans="1:15">
      <c r="A2260" s="195" t="str">
        <f t="shared" si="141"/>
        <v>outbound</v>
      </c>
      <c r="B2260" s="196">
        <v>45866.432778472219</v>
      </c>
      <c r="C2260" s="197" t="s">
        <v>1929</v>
      </c>
      <c r="D2260" s="197"/>
      <c r="E2260" s="215" t="s">
        <v>3245</v>
      </c>
      <c r="F2260" s="112" t="str">
        <f>IF(ISBLANK(E2260),"",_xlfn.XLOOKUP(E2260,cannabis_log!C:C,cannabis_log!J:J,"",0,))</f>
        <v>PR251908F5P12</v>
      </c>
      <c r="G2260" s="112"/>
      <c r="H2260" s="112" t="str">
        <f>IF(ISBLANK(E2260),"",_xlfn.XLOOKUP(E2260,cannabis_log!C:C,cannabis_log!H:H,"",0,1))</f>
        <v>preroll_labelled</v>
      </c>
      <c r="I2260" s="113">
        <f>IF(ISBLANK(E2260),"",_xlfn.XLOOKUP(E2260,cannabis_log!C:C,cannabis_log!K:K,"NOT FOUND",0,1))</f>
        <v>45854</v>
      </c>
      <c r="J2260" s="185">
        <v>-96</v>
      </c>
      <c r="K2260" s="186">
        <f t="shared" si="140"/>
        <v>0</v>
      </c>
      <c r="L2260" s="288">
        <f t="shared" si="142"/>
        <v>-576</v>
      </c>
      <c r="M2260" s="24"/>
      <c r="N2260" s="112" t="str">
        <f>IF(ISBLANK(E2260),"",_xlfn.XLOOKUP(E2260,cannabis_log!C:C,cannabis_log!T:T,"Not Found",0,))</f>
        <v>net</v>
      </c>
      <c r="O2260" s="180">
        <f>IF(N2260="net",_xlfn.XLOOKUP(E2260,cannabis_log!C:C,cannabis_log!N:N,"NOT FOUND",0,1),IF(N2260="gross",0,""))</f>
        <v>6</v>
      </c>
    </row>
    <row r="2261" spans="1:15">
      <c r="A2261" s="195" t="str">
        <f t="shared" si="141"/>
        <v>outbound</v>
      </c>
      <c r="B2261" s="196">
        <v>45866.432778472219</v>
      </c>
      <c r="C2261" s="197" t="s">
        <v>1929</v>
      </c>
      <c r="D2261" s="197"/>
      <c r="E2261" s="215" t="s">
        <v>3023</v>
      </c>
      <c r="F2261" s="112" t="str">
        <f>IF(ISBLANK(E2261),"",_xlfn.XLOOKUP(E2261,cannabis_log!C:C,cannabis_log!J:J,"",0,))</f>
        <v>EX24101701G05</v>
      </c>
      <c r="G2261" s="112"/>
      <c r="H2261" s="112" t="str">
        <f>IF(ISBLANK(E2261),"",_xlfn.XLOOKUP(E2261,cannabis_log!C:C,cannabis_log!H:H,"",0,1))</f>
        <v>extract_inhaled_cased_SK_RTV</v>
      </c>
      <c r="I2261" s="113">
        <f>IF(ISBLANK(E2261),"",_xlfn.XLOOKUP(E2261,cannabis_log!C:C,cannabis_log!K:K,"NOT FOUND",0,1))</f>
        <v>45594</v>
      </c>
      <c r="J2261" s="185">
        <v>-1</v>
      </c>
      <c r="K2261" s="186">
        <f t="shared" si="140"/>
        <v>0</v>
      </c>
      <c r="L2261" s="288">
        <f t="shared" si="142"/>
        <v>-6</v>
      </c>
      <c r="M2261" s="24"/>
      <c r="N2261" s="112" t="str">
        <f>IF(ISBLANK(E2261),"",_xlfn.XLOOKUP(E2261,cannabis_log!C:C,cannabis_log!T:T,"Not Found",0,))</f>
        <v>net</v>
      </c>
      <c r="O2261" s="180">
        <f>IF(N2261="net",_xlfn.XLOOKUP(E2261,cannabis_log!C:C,cannabis_log!N:N,"NOT FOUND",0,1),IF(N2261="gross",0,""))</f>
        <v>6</v>
      </c>
    </row>
    <row r="2262" spans="1:15">
      <c r="A2262" s="195" t="str">
        <f t="shared" si="141"/>
        <v>outbound</v>
      </c>
      <c r="B2262" s="196">
        <v>45867.432778414353</v>
      </c>
      <c r="C2262" s="197" t="s">
        <v>1929</v>
      </c>
      <c r="D2262" s="197"/>
      <c r="E2262" s="215" t="s">
        <v>3200</v>
      </c>
      <c r="F2262" s="112" t="str">
        <f>IF(ISBLANK(E2262),"",_xlfn.XLOOKUP(E2262,cannabis_log!C:C,cannabis_log!J:J,"",0,))</f>
        <v>PR2512F5P5</v>
      </c>
      <c r="G2262" s="112"/>
      <c r="H2262" s="112" t="str">
        <f>IF(ISBLANK(E2262),"",_xlfn.XLOOKUP(E2262,cannabis_log!C:C,cannabis_log!H:H,"",0,1))</f>
        <v>preroll_labelled</v>
      </c>
      <c r="I2262" s="113">
        <f>IF(ISBLANK(E2262),"",_xlfn.XLOOKUP(E2262,cannabis_log!C:C,cannabis_log!K:K,"NOT FOUND",0,1))</f>
        <v>45833</v>
      </c>
      <c r="J2262" s="185">
        <v>-174</v>
      </c>
      <c r="K2262" s="186">
        <f t="shared" ref="K2262:K2273" si="143">IF(N2262="net",0,"")</f>
        <v>0</v>
      </c>
      <c r="L2262" s="288">
        <f t="shared" si="142"/>
        <v>-435</v>
      </c>
      <c r="M2262" s="24"/>
      <c r="N2262" s="112" t="str">
        <f>IF(ISBLANK(E2262),"",_xlfn.XLOOKUP(E2262,cannabis_log!C:C,cannabis_log!T:T,"Not Found",0,))</f>
        <v>net</v>
      </c>
      <c r="O2262" s="180">
        <f>IF(N2262="net",_xlfn.XLOOKUP(E2262,cannabis_log!C:C,cannabis_log!N:N,"NOT FOUND",0,1),IF(N2262="gross",0,""))</f>
        <v>2.5</v>
      </c>
    </row>
    <row r="2263" spans="1:15">
      <c r="A2263" s="195" t="str">
        <f t="shared" ref="A2263:A2272" si="144">IF(ISBLANK(J2263),"",IF(J2263+K2263+L2263&lt;0,"outbound","inbound"))</f>
        <v>outbound</v>
      </c>
      <c r="B2263" s="196">
        <v>45867.432778414353</v>
      </c>
      <c r="C2263" s="197" t="s">
        <v>1921</v>
      </c>
      <c r="D2263" s="197"/>
      <c r="E2263" s="215" t="s">
        <v>3204</v>
      </c>
      <c r="F2263" s="112" t="str">
        <f>IF(ISBLANK(E2263),"",_xlfn.XLOOKUP(E2263,cannabis_log!C:C,cannabis_log!J:J,"",0,))</f>
        <v>2024111803G7</v>
      </c>
      <c r="G2263" s="112"/>
      <c r="H2263" s="112" t="str">
        <f>IF(ISBLANK(E2263),"",_xlfn.XLOOKUP(E2263,cannabis_log!C:C,cannabis_log!H:H,"",0,1))</f>
        <v>driedflower_labelled</v>
      </c>
      <c r="I2263" s="113">
        <f>IF(ISBLANK(E2263),"",_xlfn.XLOOKUP(E2263,cannabis_log!C:C,cannabis_log!K:K,"NOT FOUND",0,1))</f>
        <v>45826</v>
      </c>
      <c r="J2263" s="185">
        <v>-12</v>
      </c>
      <c r="K2263" s="186">
        <f t="shared" si="143"/>
        <v>0</v>
      </c>
      <c r="L2263" s="288">
        <f t="shared" si="142"/>
        <v>-84</v>
      </c>
      <c r="M2263" s="24"/>
      <c r="N2263" s="112" t="str">
        <f>IF(ISBLANK(E2263),"",_xlfn.XLOOKUP(E2263,cannabis_log!C:C,cannabis_log!T:T,"Not Found",0,))</f>
        <v>net</v>
      </c>
      <c r="O2263" s="180">
        <f>IF(N2263="net",_xlfn.XLOOKUP(E2263,cannabis_log!C:C,cannabis_log!N:N,"NOT FOUND",0,1),IF(N2263="gross",0,""))</f>
        <v>7</v>
      </c>
    </row>
    <row r="2264" spans="1:15">
      <c r="A2264" s="195" t="str">
        <f t="shared" si="144"/>
        <v>outbound</v>
      </c>
      <c r="B2264" s="196">
        <v>45867.432778414353</v>
      </c>
      <c r="C2264" s="197" t="s">
        <v>1921</v>
      </c>
      <c r="D2264" s="197"/>
      <c r="E2264" s="215" t="s">
        <v>3247</v>
      </c>
      <c r="F2264" s="112">
        <f>IF(ISBLANK(E2264),"",_xlfn.XLOOKUP(E2264,cannabis_log!C:C,cannabis_log!J:J,"",0,))</f>
        <v>2021042701</v>
      </c>
      <c r="G2264" s="112"/>
      <c r="H2264" s="112" t="str">
        <f>IF(ISBLANK(E2264),"",_xlfn.XLOOKUP(E2264,cannabis_log!C:C,cannabis_log!H:H,"",0,1))</f>
        <v>preroll_labelled</v>
      </c>
      <c r="I2264" s="113">
        <f>IF(ISBLANK(E2264),"",_xlfn.XLOOKUP(E2264,cannabis_log!C:C,cannabis_log!K:K,"NOT FOUND",0,1))</f>
        <v>44314</v>
      </c>
      <c r="J2264" s="185">
        <v>-24</v>
      </c>
      <c r="K2264" s="186">
        <f t="shared" si="143"/>
        <v>0</v>
      </c>
      <c r="L2264" s="288">
        <f t="shared" si="142"/>
        <v>-24</v>
      </c>
      <c r="M2264" s="24"/>
      <c r="N2264" s="112" t="str">
        <f>IF(ISBLANK(E2264),"",_xlfn.XLOOKUP(E2264,cannabis_log!C:C,cannabis_log!T:T,"Not Found",0,))</f>
        <v>net</v>
      </c>
      <c r="O2264" s="180">
        <f>IF(N2264="net",_xlfn.XLOOKUP(E2264,cannabis_log!C:C,cannabis_log!N:N,"NOT FOUND",0,1),IF(N2264="gross",0,""))</f>
        <v>1</v>
      </c>
    </row>
    <row r="2265" spans="1:15">
      <c r="A2265" s="195" t="str">
        <f t="shared" si="144"/>
        <v>outbound</v>
      </c>
      <c r="B2265" s="196">
        <v>45867.432778414353</v>
      </c>
      <c r="C2265" s="197" t="s">
        <v>1921</v>
      </c>
      <c r="D2265" s="197"/>
      <c r="E2265" s="215" t="s">
        <v>3248</v>
      </c>
      <c r="F2265" s="112" t="str">
        <f>IF(ISBLANK(E2265),"",_xlfn.XLOOKUP(E2265,cannabis_log!C:C,cannabis_log!J:J,"",0,))</f>
        <v>2024121801G7</v>
      </c>
      <c r="G2265" s="112"/>
      <c r="H2265" s="112" t="str">
        <f>IF(ISBLANK(E2265),"",_xlfn.XLOOKUP(E2265,cannabis_log!C:C,cannabis_log!H:H,"",0,1))</f>
        <v>driedflower_labelled</v>
      </c>
      <c r="I2265" s="113">
        <f>IF(ISBLANK(E2265),"",_xlfn.XLOOKUP(E2265,cannabis_log!C:C,cannabis_log!K:K,"NOT FOUND",0,1))</f>
        <v>45849</v>
      </c>
      <c r="J2265" s="185">
        <v>-24</v>
      </c>
      <c r="K2265" s="186">
        <f t="shared" si="143"/>
        <v>0</v>
      </c>
      <c r="L2265" s="288">
        <f t="shared" si="142"/>
        <v>-168</v>
      </c>
      <c r="M2265" s="24"/>
      <c r="N2265" s="112" t="str">
        <f>IF(ISBLANK(E2265),"",_xlfn.XLOOKUP(E2265,cannabis_log!C:C,cannabis_log!T:T,"Not Found",0,))</f>
        <v>net</v>
      </c>
      <c r="O2265" s="180">
        <f>IF(N2265="net",_xlfn.XLOOKUP(E2265,cannabis_log!C:C,cannabis_log!N:N,"NOT FOUND",0,1),IF(N2265="gross",0,""))</f>
        <v>7</v>
      </c>
    </row>
    <row r="2266" spans="1:15">
      <c r="A2266" s="195" t="str">
        <f t="shared" si="144"/>
        <v>outbound</v>
      </c>
      <c r="B2266" s="196">
        <v>45867.432778414353</v>
      </c>
      <c r="C2266" s="197" t="s">
        <v>1921</v>
      </c>
      <c r="D2266" s="197"/>
      <c r="E2266" s="215" t="s">
        <v>3054</v>
      </c>
      <c r="F2266" s="112" t="str">
        <f>IF(ISBLANK(E2266),"",_xlfn.XLOOKUP(E2266,cannabis_log!C:C,cannabis_log!J:J,"",0,))</f>
        <v>ROGEX001G1</v>
      </c>
      <c r="G2266" s="112"/>
      <c r="H2266" s="112" t="str">
        <f>IF(ISBLANK(E2266),"",_xlfn.XLOOKUP(E2266,cannabis_log!C:C,cannabis_log!H:H,"",0,1))</f>
        <v>extract_inhaled_labelled_Rohan</v>
      </c>
      <c r="I2266" s="113">
        <f>IF(ISBLANK(E2266),"",_xlfn.XLOOKUP(E2266,cannabis_log!C:C,cannabis_log!K:K,"NOT FOUND",0,1))</f>
        <v>45772</v>
      </c>
      <c r="J2266" s="185">
        <v>-12</v>
      </c>
      <c r="K2266" s="186">
        <f t="shared" si="143"/>
        <v>0</v>
      </c>
      <c r="L2266" s="288">
        <f t="shared" si="142"/>
        <v>-12</v>
      </c>
      <c r="M2266" s="24"/>
      <c r="N2266" s="112" t="str">
        <f>IF(ISBLANK(E2266),"",_xlfn.XLOOKUP(E2266,cannabis_log!C:C,cannabis_log!T:T,"Not Found",0,))</f>
        <v>net</v>
      </c>
      <c r="O2266" s="180">
        <f>IF(N2266="net",_xlfn.XLOOKUP(E2266,cannabis_log!C:C,cannabis_log!N:N,"NOT FOUND",0,1),IF(N2266="gross",0,""))</f>
        <v>1</v>
      </c>
    </row>
    <row r="2267" spans="1:15">
      <c r="A2267" s="195" t="str">
        <f t="shared" si="144"/>
        <v>inbound</v>
      </c>
      <c r="B2267" s="196">
        <v>45868.555435648152</v>
      </c>
      <c r="C2267" s="197" t="s">
        <v>1927</v>
      </c>
      <c r="D2267" s="197"/>
      <c r="E2267" s="215" t="s">
        <v>3002</v>
      </c>
      <c r="F2267" s="112">
        <f>IF(ISBLANK(E2267),"",_xlfn.XLOOKUP(E2267,cannabis_log!C:C,cannabis_log!J:J,"",0,))</f>
        <v>2025050101</v>
      </c>
      <c r="G2267" s="112"/>
      <c r="H2267" s="112" t="str">
        <f>IF(ISBLANK(E2267),"",_xlfn.XLOOKUP(E2267,cannabis_log!C:C,cannabis_log!H:H,"",0,1))</f>
        <v>extract_distillate_bulk</v>
      </c>
      <c r="I2267" s="113" t="str">
        <f>IF(ISBLANK(E2267),"",_xlfn.XLOOKUP(E2267,cannabis_log!C:C,cannabis_log!K:K,"NOT FOUND",0,1))</f>
        <v>NA</v>
      </c>
      <c r="J2267" s="185">
        <v>1</v>
      </c>
      <c r="K2267" s="186">
        <v>3625</v>
      </c>
      <c r="L2267" s="288">
        <f t="shared" si="142"/>
        <v>0</v>
      </c>
      <c r="M2267" s="24"/>
      <c r="N2267" s="112" t="str">
        <f>IF(ISBLANK(E2267),"",_xlfn.XLOOKUP(E2267,cannabis_log!C:C,cannabis_log!T:T,"Not Found",0,))</f>
        <v>gross</v>
      </c>
      <c r="O2267" s="180">
        <f>IF(N2267="net",_xlfn.XLOOKUP(E2267,cannabis_log!C:C,cannabis_log!N:N,"NOT FOUND",0,1),IF(N2267="gross",0,""))</f>
        <v>0</v>
      </c>
    </row>
    <row r="2268" spans="1:15">
      <c r="A2268" s="195" t="str">
        <f t="shared" si="144"/>
        <v>inbound</v>
      </c>
      <c r="B2268" s="196">
        <v>45868.56117951389</v>
      </c>
      <c r="C2268" s="197" t="s">
        <v>1927</v>
      </c>
      <c r="D2268" s="197"/>
      <c r="E2268" s="215" t="s">
        <v>3200</v>
      </c>
      <c r="F2268" s="112" t="str">
        <f>IF(ISBLANK(E2268),"",_xlfn.XLOOKUP(E2268,cannabis_log!C:C,cannabis_log!J:J,"",0,))</f>
        <v>PR2512F5P5</v>
      </c>
      <c r="G2268" s="112"/>
      <c r="H2268" s="112" t="str">
        <f>IF(ISBLANK(E2268),"",_xlfn.XLOOKUP(E2268,cannabis_log!C:C,cannabis_log!H:H,"",0,1))</f>
        <v>preroll_labelled</v>
      </c>
      <c r="I2268" s="113">
        <f>IF(ISBLANK(E2268),"",_xlfn.XLOOKUP(E2268,cannabis_log!C:C,cannabis_log!K:K,"NOT FOUND",0,1))</f>
        <v>45833</v>
      </c>
      <c r="J2268" s="185">
        <v>41</v>
      </c>
      <c r="K2268" s="186">
        <f t="shared" si="143"/>
        <v>0</v>
      </c>
      <c r="L2268" s="288">
        <f t="shared" si="142"/>
        <v>102.5</v>
      </c>
      <c r="M2268" s="24"/>
      <c r="N2268" s="112" t="str">
        <f>IF(ISBLANK(E2268),"",_xlfn.XLOOKUP(E2268,cannabis_log!C:C,cannabis_log!T:T,"Not Found",0,))</f>
        <v>net</v>
      </c>
      <c r="O2268" s="180">
        <f>IF(N2268="net",_xlfn.XLOOKUP(E2268,cannabis_log!C:C,cannabis_log!N:N,"NOT FOUND",0,1),IF(N2268="gross",0,""))</f>
        <v>2.5</v>
      </c>
    </row>
    <row r="2269" spans="1:15">
      <c r="A2269" s="195" t="str">
        <f t="shared" si="144"/>
        <v>outbound</v>
      </c>
      <c r="B2269" s="196">
        <v>45868.588911458333</v>
      </c>
      <c r="C2269" s="197" t="s">
        <v>1921</v>
      </c>
      <c r="D2269" s="197"/>
      <c r="E2269" s="215" t="s">
        <v>3212</v>
      </c>
      <c r="F2269" s="112" t="str">
        <f>IF(ISBLANK(E2269),"",_xlfn.XLOOKUP(E2269,cannabis_log!C:C,cannabis_log!J:J,"",0,))</f>
        <v>LR25071001</v>
      </c>
      <c r="G2269" s="112"/>
      <c r="H2269" s="112" t="str">
        <f>IF(ISBLANK(E2269),"",_xlfn.XLOOKUP(E2269,cannabis_log!C:C,cannabis_log!H:H,"",0,1))</f>
        <v>extract_inhaled_bulk</v>
      </c>
      <c r="I2269" s="113" t="str">
        <f>IF(ISBLANK(E2269),"",_xlfn.XLOOKUP(E2269,cannabis_log!C:C,cannabis_log!K:K,"NOT FOUND",0,1))</f>
        <v>NA</v>
      </c>
      <c r="J2269" s="185">
        <v>-1</v>
      </c>
      <c r="K2269" s="186">
        <v>-1428</v>
      </c>
      <c r="L2269" s="288">
        <f t="shared" si="142"/>
        <v>0</v>
      </c>
      <c r="M2269" s="24"/>
      <c r="N2269" s="112" t="str">
        <f>IF(ISBLANK(E2269),"",_xlfn.XLOOKUP(E2269,cannabis_log!C:C,cannabis_log!T:T,"Not Found",0,))</f>
        <v>gross</v>
      </c>
      <c r="O2269" s="180">
        <f>IF(N2269="net",_xlfn.XLOOKUP(E2269,cannabis_log!C:C,cannabis_log!N:N,"NOT FOUND",0,1),IF(N2269="gross",0,""))</f>
        <v>0</v>
      </c>
    </row>
    <row r="2270" spans="1:15">
      <c r="A2270" s="195" t="str">
        <f t="shared" si="144"/>
        <v>outbound</v>
      </c>
      <c r="B2270" s="196">
        <v>45868.708977199072</v>
      </c>
      <c r="C2270" s="197" t="s">
        <v>1929</v>
      </c>
      <c r="D2270" s="197"/>
      <c r="E2270" s="215" t="s">
        <v>3191</v>
      </c>
      <c r="F2270" s="112" t="str">
        <f>IF(ISBLANK(E2270),"",_xlfn.XLOOKUP(E2270,cannabis_log!C:C,cannabis_log!J:J,"",0,))</f>
        <v>PR2516F1P2</v>
      </c>
      <c r="G2270" s="112"/>
      <c r="H2270" s="112" t="str">
        <f>IF(ISBLANK(E2270),"",_xlfn.XLOOKUP(E2270,cannabis_log!C:C,cannabis_log!H:H,"",0,1))</f>
        <v>preroll_labelled</v>
      </c>
      <c r="I2270" s="113">
        <f>IF(ISBLANK(E2270),"",_xlfn.XLOOKUP(E2270,cannabis_log!C:C,cannabis_log!K:K,"NOT FOUND",0,1))</f>
        <v>45831</v>
      </c>
      <c r="J2270" s="185">
        <v>-12</v>
      </c>
      <c r="K2270" s="186">
        <f t="shared" si="143"/>
        <v>0</v>
      </c>
      <c r="L2270" s="288">
        <f t="shared" si="142"/>
        <v>-24</v>
      </c>
      <c r="M2270" s="24"/>
      <c r="N2270" s="112" t="str">
        <f>IF(ISBLANK(E2270),"",_xlfn.XLOOKUP(E2270,cannabis_log!C:C,cannabis_log!T:T,"Not Found",0,))</f>
        <v>net</v>
      </c>
      <c r="O2270" s="180">
        <f>IF(N2270="net",_xlfn.XLOOKUP(E2270,cannabis_log!C:C,cannabis_log!N:N,"NOT FOUND",0,1),IF(N2270="gross",0,""))</f>
        <v>2</v>
      </c>
    </row>
    <row r="2271" spans="1:15">
      <c r="A2271" s="195" t="str">
        <f t="shared" si="144"/>
        <v>outbound</v>
      </c>
      <c r="B2271" s="196">
        <v>45868.708977199072</v>
      </c>
      <c r="C2271" s="197" t="s">
        <v>1929</v>
      </c>
      <c r="D2271" s="197"/>
      <c r="E2271" s="215" t="s">
        <v>3248</v>
      </c>
      <c r="F2271" s="112" t="str">
        <f>IF(ISBLANK(E2271),"",_xlfn.XLOOKUP(E2271,cannabis_log!C:C,cannabis_log!J:J,"",0,))</f>
        <v>2024121801G7</v>
      </c>
      <c r="G2271" s="112"/>
      <c r="H2271" s="112" t="str">
        <f>IF(ISBLANK(E2271),"",_xlfn.XLOOKUP(E2271,cannabis_log!C:C,cannabis_log!H:H,"",0,1))</f>
        <v>driedflower_labelled</v>
      </c>
      <c r="I2271" s="113">
        <f>IF(ISBLANK(E2271),"",_xlfn.XLOOKUP(E2271,cannabis_log!C:C,cannabis_log!K:K,"NOT FOUND",0,1))</f>
        <v>45849</v>
      </c>
      <c r="J2271" s="185">
        <v>-12</v>
      </c>
      <c r="K2271" s="186">
        <f t="shared" si="143"/>
        <v>0</v>
      </c>
      <c r="L2271" s="288">
        <f t="shared" si="142"/>
        <v>-84</v>
      </c>
      <c r="M2271" s="24"/>
      <c r="N2271" s="112" t="str">
        <f>IF(ISBLANK(E2271),"",_xlfn.XLOOKUP(E2271,cannabis_log!C:C,cannabis_log!T:T,"Not Found",0,))</f>
        <v>net</v>
      </c>
      <c r="O2271" s="180">
        <f>IF(N2271="net",_xlfn.XLOOKUP(E2271,cannabis_log!C:C,cannabis_log!N:N,"NOT FOUND",0,1),IF(N2271="gross",0,""))</f>
        <v>7</v>
      </c>
    </row>
    <row r="2272" spans="1:15">
      <c r="A2272" s="195" t="str">
        <f t="shared" si="144"/>
        <v>outbound</v>
      </c>
      <c r="B2272" s="196">
        <v>45868.708977199072</v>
      </c>
      <c r="C2272" s="197" t="s">
        <v>1929</v>
      </c>
      <c r="D2272" s="197"/>
      <c r="E2272" s="215" t="s">
        <v>3227</v>
      </c>
      <c r="F2272" s="112" t="str">
        <f>IF(ISBLANK(E2272),"",_xlfn.XLOOKUP(E2272,cannabis_log!C:C,cannabis_log!J:J,"",0,))</f>
        <v>PR2507F1P2</v>
      </c>
      <c r="G2272" s="112"/>
      <c r="H2272" s="112" t="str">
        <f>IF(ISBLANK(E2272),"",_xlfn.XLOOKUP(E2272,cannabis_log!C:C,cannabis_log!H:H,"",0,1))</f>
        <v>preroll_labelled</v>
      </c>
      <c r="I2272" s="113">
        <f>IF(ISBLANK(E2272),"",_xlfn.XLOOKUP(E2272,cannabis_log!C:C,cannabis_log!K:K,"NOT FOUND",0,1))</f>
        <v>45848</v>
      </c>
      <c r="J2272" s="185">
        <v>-12</v>
      </c>
      <c r="K2272" s="186">
        <f t="shared" si="143"/>
        <v>0</v>
      </c>
      <c r="L2272" s="288">
        <f t="shared" si="142"/>
        <v>-24</v>
      </c>
      <c r="M2272" s="24"/>
      <c r="N2272" s="112" t="str">
        <f>IF(ISBLANK(E2272),"",_xlfn.XLOOKUP(E2272,cannabis_log!C:C,cannabis_log!T:T,"Not Found",0,))</f>
        <v>net</v>
      </c>
      <c r="O2272" s="180">
        <f>IF(N2272="net",_xlfn.XLOOKUP(E2272,cannabis_log!C:C,cannabis_log!N:N,"NOT FOUND",0,1),IF(N2272="gross",0,""))</f>
        <v>2</v>
      </c>
    </row>
    <row r="2273" spans="1:15">
      <c r="A2273" s="195" t="s">
        <v>3183</v>
      </c>
      <c r="B2273" s="196">
        <v>45852.416666666664</v>
      </c>
      <c r="C2273" s="197" t="s">
        <v>1929</v>
      </c>
      <c r="D2273" s="197"/>
      <c r="E2273" s="217" t="s">
        <v>3208</v>
      </c>
      <c r="F2273" s="112" t="str">
        <f>IF(ISBLANK(E2273),"",_xlfn.XLOOKUP(E2273,cannabis_log!C:C,cannabis_log!J:J,"",0,))</f>
        <v>TP24120401G45</v>
      </c>
      <c r="G2273" s="112"/>
      <c r="H2273" s="301" t="str">
        <f>IF(ISBLANK(E2273),"",_xlfn.XLOOKUP(E2273,cannabis_log!C:C,cannabis_log!H:H,"",0,1))</f>
        <v>topical_labelled</v>
      </c>
      <c r="I2273" s="113">
        <f>IF(ISBLANK(E2273),"",_xlfn.XLOOKUP(E2273,cannabis_log!C:C,cannabis_log!K:K,"NOT FOUND",0,1))</f>
        <v>45638</v>
      </c>
      <c r="J2273" s="303">
        <v>-135</v>
      </c>
      <c r="K2273" s="186">
        <f t="shared" si="143"/>
        <v>0</v>
      </c>
      <c r="L2273" s="288">
        <f t="shared" si="142"/>
        <v>-6075</v>
      </c>
      <c r="M2273" s="305" t="s">
        <v>4296</v>
      </c>
      <c r="N2273" s="112" t="str">
        <f>IF(ISBLANK(E2273),"",_xlfn.XLOOKUP(E2273,cannabis_log!C:C,cannabis_log!T:T,"Not Found",0,))</f>
        <v>net</v>
      </c>
      <c r="O2273" s="180">
        <f>IF(N2273="net",_xlfn.XLOOKUP(E2273,cannabis_log!C:C,cannabis_log!N:N,"NOT FOUND",0,1),IF(N2273="gross",0,""))</f>
        <v>45</v>
      </c>
    </row>
    <row r="2274" spans="1:15">
      <c r="A2274" s="195" t="s">
        <v>3183</v>
      </c>
      <c r="B2274" s="196">
        <v>45869.555237499997</v>
      </c>
      <c r="C2274" s="197" t="s">
        <v>1929</v>
      </c>
      <c r="D2274" s="197" t="s">
        <v>3249</v>
      </c>
      <c r="E2274" s="217" t="s">
        <v>3208</v>
      </c>
      <c r="F2274" s="301" t="str">
        <f>IF(ISBLANK(E2274),"",_xlfn.XLOOKUP(E2274,cannabis_log!C:C,cannabis_log!J:J,"",0,))</f>
        <v>TP24120401G45</v>
      </c>
      <c r="G2274" s="301"/>
      <c r="H2274" s="301" t="str">
        <f>IF(ISBLANK(E2274),"",_xlfn.XLOOKUP(E2274,cannabis_log!C:C,cannabis_log!H:H,"",0,1))</f>
        <v>topical_labelled</v>
      </c>
      <c r="I2274" s="302">
        <f>IF(ISBLANK(E2274),"",_xlfn.XLOOKUP(E2274,cannabis_log!C:C,cannabis_log!K:K,"NOT FOUND",0,1))</f>
        <v>45638</v>
      </c>
      <c r="J2274" s="303">
        <v>-12</v>
      </c>
      <c r="K2274" s="304">
        <f t="shared" ref="K2274:K2275" si="145">IF(N2274="net",0,"")</f>
        <v>0</v>
      </c>
      <c r="L2274" s="354">
        <f t="shared" ref="L2274" si="146">IFERROR(J2274*O2274,"")</f>
        <v>-540</v>
      </c>
      <c r="M2274" s="305"/>
      <c r="N2274" s="301" t="str">
        <f>IF(ISBLANK(E2274),"",_xlfn.XLOOKUP(E2274,cannabis_log!C:C,cannabis_log!T:T,"Not Found",0,))</f>
        <v>net</v>
      </c>
      <c r="O2274" s="344">
        <f>IF(N2274="net",_xlfn.XLOOKUP(E2274,cannabis_log!C:C,cannabis_log!N:N,"NOT FOUND",0,1),IF(N2274="gross",0,""))</f>
        <v>45</v>
      </c>
    </row>
    <row r="2275" spans="1:15">
      <c r="A2275" s="195" t="str">
        <f t="shared" ref="A2275" si="147">IF(ISBLANK(J2275),"",IF(J2275+K2275+L2275&lt;0,"outbound","inbound"))</f>
        <v>outbound</v>
      </c>
      <c r="B2275" s="196">
        <v>45869.563796180555</v>
      </c>
      <c r="C2275" s="197" t="s">
        <v>1929</v>
      </c>
      <c r="D2275" s="197" t="s">
        <v>3249</v>
      </c>
      <c r="E2275" s="217" t="s">
        <v>3250</v>
      </c>
      <c r="F2275" s="112" t="str">
        <f>IF(ISBLANK(E2275),"",_xlfn.XLOOKUP(E2275,cannabis_log!C:C,cannabis_log!J:J,"",0,))</f>
        <v>TP25051501</v>
      </c>
      <c r="G2275" s="112"/>
      <c r="H2275" s="301" t="str">
        <f>IF(ISBLANK(E2275),"",_xlfn.XLOOKUP(E2275,cannabis_log!C:C,cannabis_log!H:H,"",0,1))</f>
        <v>topical_labelled</v>
      </c>
      <c r="I2275" s="113">
        <f>IF(ISBLANK(E2275),"",_xlfn.XLOOKUP(E2275,cannabis_log!C:C,cannabis_log!K:K,"NOT FOUND",0,1))</f>
        <v>45805</v>
      </c>
      <c r="J2275" s="303">
        <v>-24</v>
      </c>
      <c r="K2275" s="186">
        <f t="shared" si="145"/>
        <v>0</v>
      </c>
      <c r="L2275" s="288">
        <f t="shared" si="142"/>
        <v>-2112</v>
      </c>
      <c r="M2275" s="305"/>
      <c r="N2275" s="112" t="str">
        <f>IF(ISBLANK(E2275),"",_xlfn.XLOOKUP(E2275,cannabis_log!C:C,cannabis_log!T:T,"Not Found",0,))</f>
        <v>net</v>
      </c>
      <c r="O2275" s="180">
        <f>IF(N2275="net",_xlfn.XLOOKUP(E2275,cannabis_log!C:C,cannabis_log!N:N,"NOT FOUND",0,1),IF(N2275="gross",0,""))</f>
        <v>88</v>
      </c>
    </row>
    <row r="2276" spans="1:15">
      <c r="A2276" s="195" t="str">
        <f t="shared" ref="A2276:A2307" si="148">IF(ISBLANK(J2276),"",IF(J2276+K2276+L2276&lt;0,"outbound","inbound"))</f>
        <v>inbound</v>
      </c>
      <c r="B2276" s="196">
        <v>45869</v>
      </c>
      <c r="C2276" s="197" t="s">
        <v>1927</v>
      </c>
      <c r="D2276" s="197"/>
      <c r="E2276" s="217" t="s">
        <v>3251</v>
      </c>
      <c r="F2276" s="112" t="str">
        <f>IF(ISBLANK(E2276),"",_xlfn.XLOOKUP(E2276,cannabis_log!C:C,cannabis_log!J:J,"",0,))</f>
        <v>EX23060701V30</v>
      </c>
      <c r="G2276" s="112"/>
      <c r="H2276" s="301" t="str">
        <f>IF(ISBLANK(E2276),"",_xlfn.XLOOKUP(E2276,cannabis_log!C:C,cannabis_log!H:H,"",0,1))</f>
        <v>extract_ingested_cased_MB_RTV</v>
      </c>
      <c r="I2276" s="113">
        <f>IF(ISBLANK(E2276),"",_xlfn.XLOOKUP(E2276,cannabis_log!C:C,cannabis_log!K:K,"NOT FOUND",0,1))</f>
        <v>45596</v>
      </c>
      <c r="J2276" s="303">
        <v>5</v>
      </c>
      <c r="K2276" s="186">
        <f t="shared" ref="K2276:K2290" si="149">IF(N2276="net",0,"")</f>
        <v>0</v>
      </c>
      <c r="L2276" s="288">
        <f t="shared" ref="L2276:L2307" si="150">IFERROR(J2276*O2276,"")</f>
        <v>1638</v>
      </c>
      <c r="M2276" s="305"/>
      <c r="N2276" s="112" t="str">
        <f>IF(ISBLANK(E2276),"",_xlfn.XLOOKUP(E2276,cannabis_log!C:C,cannabis_log!T:T,"Not Found",0,))</f>
        <v>net</v>
      </c>
      <c r="O2276" s="180">
        <f>IF(N2276="net",_xlfn.XLOOKUP(E2276,cannabis_log!C:C,cannabis_log!N:N,"NOT FOUND",0,1),IF(N2276="gross",0,""))</f>
        <v>327.60000000000002</v>
      </c>
    </row>
    <row r="2277" spans="1:15">
      <c r="A2277" s="195" t="str">
        <f t="shared" si="148"/>
        <v>inbound</v>
      </c>
      <c r="B2277" s="196">
        <v>45869</v>
      </c>
      <c r="C2277" s="197" t="s">
        <v>1927</v>
      </c>
      <c r="D2277" s="197"/>
      <c r="E2277" s="217" t="s">
        <v>3252</v>
      </c>
      <c r="F2277" s="112" t="str">
        <f>IF(ISBLANK(E2277),"",_xlfn.XLOOKUP(E2277,cannabis_log!C:C,cannabis_log!J:J,"",0,))</f>
        <v>EX24111302G05</v>
      </c>
      <c r="G2277" s="112"/>
      <c r="H2277" s="301" t="str">
        <f>IF(ISBLANK(E2277),"",_xlfn.XLOOKUP(E2277,cannabis_log!C:C,cannabis_log!H:H,"",0,1))</f>
        <v>extract_inhaled_cased_MB_RTV</v>
      </c>
      <c r="I2277" s="113">
        <f>IF(ISBLANK(E2277),"",_xlfn.XLOOKUP(E2277,cannabis_log!C:C,cannabis_log!K:K,"NOT FOUND",0,1))</f>
        <v>45623</v>
      </c>
      <c r="J2277" s="303">
        <v>4</v>
      </c>
      <c r="K2277" s="186">
        <f t="shared" si="149"/>
        <v>0</v>
      </c>
      <c r="L2277" s="288">
        <f t="shared" si="150"/>
        <v>24</v>
      </c>
      <c r="M2277" s="305"/>
      <c r="N2277" s="112" t="str">
        <f>IF(ISBLANK(E2277),"",_xlfn.XLOOKUP(E2277,cannabis_log!C:C,cannabis_log!T:T,"Not Found",0,))</f>
        <v>net</v>
      </c>
      <c r="O2277" s="180">
        <f>IF(N2277="net",_xlfn.XLOOKUP(E2277,cannabis_log!C:C,cannabis_log!N:N,"NOT FOUND",0,1),IF(N2277="gross",0,""))</f>
        <v>6</v>
      </c>
    </row>
    <row r="2278" spans="1:15">
      <c r="A2278" s="195" t="str">
        <f t="shared" si="148"/>
        <v>inbound</v>
      </c>
      <c r="B2278" s="196">
        <v>45869</v>
      </c>
      <c r="C2278" s="197" t="s">
        <v>1927</v>
      </c>
      <c r="D2278" s="197"/>
      <c r="E2278" s="217" t="s">
        <v>3253</v>
      </c>
      <c r="F2278" s="112" t="str">
        <f>IF(ISBLANK(E2278),"",_xlfn.XLOOKUP(E2278,cannabis_log!C:C,cannabis_log!J:J,"",0,))</f>
        <v>PR21071201G1</v>
      </c>
      <c r="G2278" s="112"/>
      <c r="H2278" s="301" t="str">
        <f>IF(ISBLANK(E2278),"",_xlfn.XLOOKUP(E2278,cannabis_log!C:C,cannabis_log!H:H,"",0,1))</f>
        <v>preroll_cased_MB</v>
      </c>
      <c r="I2278" s="113">
        <f>IF(ISBLANK(E2278),"",_xlfn.XLOOKUP(E2278,cannabis_log!C:C,cannabis_log!K:K,"NOT FOUND",0,1))</f>
        <v>45593</v>
      </c>
      <c r="J2278" s="303">
        <v>5</v>
      </c>
      <c r="K2278" s="186">
        <f t="shared" si="149"/>
        <v>0</v>
      </c>
      <c r="L2278" s="288">
        <f t="shared" si="150"/>
        <v>120</v>
      </c>
      <c r="M2278" s="305"/>
      <c r="N2278" s="112" t="str">
        <f>IF(ISBLANK(E2278),"",_xlfn.XLOOKUP(E2278,cannabis_log!C:C,cannabis_log!T:T,"Not Found",0,))</f>
        <v>net</v>
      </c>
      <c r="O2278" s="180">
        <f>IF(N2278="net",_xlfn.XLOOKUP(E2278,cannabis_log!C:C,cannabis_log!N:N,"NOT FOUND",0,1),IF(N2278="gross",0,""))</f>
        <v>24</v>
      </c>
    </row>
    <row r="2279" spans="1:15">
      <c r="A2279" s="195" t="str">
        <f t="shared" si="148"/>
        <v>inbound</v>
      </c>
      <c r="B2279" s="196">
        <v>45869</v>
      </c>
      <c r="C2279" s="197" t="s">
        <v>1927</v>
      </c>
      <c r="D2279" s="197"/>
      <c r="E2279" s="217" t="s">
        <v>3254</v>
      </c>
      <c r="F2279" s="112" t="str">
        <f>IF(ISBLANK(E2279),"",_xlfn.XLOOKUP(E2279,cannabis_log!C:C,cannabis_log!J:J,"",0,))</f>
        <v>PR241102F5P3</v>
      </c>
      <c r="G2279" s="112"/>
      <c r="H2279" s="301" t="str">
        <f>IF(ISBLANK(E2279),"",_xlfn.XLOOKUP(E2279,cannabis_log!C:C,cannabis_log!H:H,"",0,1))</f>
        <v>preroll_cased_MB</v>
      </c>
      <c r="I2279" s="113">
        <f>IF(ISBLANK(E2279),"",_xlfn.XLOOKUP(E2279,cannabis_log!C:C,cannabis_log!K:K,"NOT FOUND",0,1))</f>
        <v>45604</v>
      </c>
      <c r="J2279" s="303">
        <v>2</v>
      </c>
      <c r="K2279" s="186">
        <f t="shared" si="149"/>
        <v>0</v>
      </c>
      <c r="L2279" s="288">
        <f t="shared" si="150"/>
        <v>36</v>
      </c>
      <c r="M2279" s="305"/>
      <c r="N2279" s="112" t="str">
        <f>IF(ISBLANK(E2279),"",_xlfn.XLOOKUP(E2279,cannabis_log!C:C,cannabis_log!T:T,"Not Found",0,))</f>
        <v>net</v>
      </c>
      <c r="O2279" s="180">
        <f>IF(N2279="net",_xlfn.XLOOKUP(E2279,cannabis_log!C:C,cannabis_log!N:N,"NOT FOUND",0,1),IF(N2279="gross",0,""))</f>
        <v>18</v>
      </c>
    </row>
    <row r="2280" spans="1:15">
      <c r="A2280" s="195" t="str">
        <f t="shared" si="148"/>
        <v>inbound</v>
      </c>
      <c r="B2280" s="196">
        <v>45869</v>
      </c>
      <c r="C2280" s="197" t="s">
        <v>1927</v>
      </c>
      <c r="D2280" s="197"/>
      <c r="E2280" s="217" t="s">
        <v>3255</v>
      </c>
      <c r="F2280" s="112" t="str">
        <f>IF(ISBLANK(E2280),"",_xlfn.XLOOKUP(E2280,cannabis_log!C:C,cannabis_log!J:J,"",0,))</f>
        <v>PR241102F5P3</v>
      </c>
      <c r="G2280" s="112"/>
      <c r="H2280" s="301" t="str">
        <f>IF(ISBLANK(E2280),"",_xlfn.XLOOKUP(E2280,cannabis_log!C:C,cannabis_log!H:H,"",0,1))</f>
        <v>preroll_cased_MB</v>
      </c>
      <c r="I2280" s="113">
        <f>IF(ISBLANK(E2280),"",_xlfn.XLOOKUP(E2280,cannabis_log!C:C,cannabis_log!K:K,"NOT FOUND",0,1))</f>
        <v>45575</v>
      </c>
      <c r="J2280" s="303">
        <v>2</v>
      </c>
      <c r="K2280" s="186">
        <f t="shared" si="149"/>
        <v>0</v>
      </c>
      <c r="L2280" s="288">
        <f t="shared" si="150"/>
        <v>36</v>
      </c>
      <c r="M2280" s="305"/>
      <c r="N2280" s="112" t="str">
        <f>IF(ISBLANK(E2280),"",_xlfn.XLOOKUP(E2280,cannabis_log!C:C,cannabis_log!T:T,"Not Found",0,))</f>
        <v>net</v>
      </c>
      <c r="O2280" s="180">
        <f>IF(N2280="net",_xlfn.XLOOKUP(E2280,cannabis_log!C:C,cannabis_log!N:N,"NOT FOUND",0,1),IF(N2280="gross",0,""))</f>
        <v>18</v>
      </c>
    </row>
    <row r="2281" spans="1:15">
      <c r="A2281" s="195" t="str">
        <f t="shared" si="148"/>
        <v>inbound</v>
      </c>
      <c r="B2281" s="196">
        <v>45869</v>
      </c>
      <c r="C2281" s="197" t="s">
        <v>1927</v>
      </c>
      <c r="D2281" s="197"/>
      <c r="E2281" s="217" t="s">
        <v>3256</v>
      </c>
      <c r="F2281" s="112" t="str">
        <f>IF(ISBLANK(E2281),"",_xlfn.XLOOKUP(E2281,cannabis_log!C:C,cannabis_log!J:J,"",0,))</f>
        <v>PR2407F5P3</v>
      </c>
      <c r="G2281" s="112"/>
      <c r="H2281" s="301" t="str">
        <f>IF(ISBLANK(E2281),"",_xlfn.XLOOKUP(E2281,cannabis_log!C:C,cannabis_log!H:H,"",0,1))</f>
        <v>preroll_cased_MB</v>
      </c>
      <c r="I2281" s="113">
        <f>IF(ISBLANK(E2281),"",_xlfn.XLOOKUP(E2281,cannabis_log!C:C,cannabis_log!K:K,"NOT FOUND",0,1))</f>
        <v>45447</v>
      </c>
      <c r="J2281" s="303">
        <v>8</v>
      </c>
      <c r="K2281" s="186">
        <f t="shared" si="149"/>
        <v>0</v>
      </c>
      <c r="L2281" s="288">
        <f t="shared" si="150"/>
        <v>144</v>
      </c>
      <c r="M2281" s="305"/>
      <c r="N2281" s="112" t="str">
        <f>IF(ISBLANK(E2281),"",_xlfn.XLOOKUP(E2281,cannabis_log!C:C,cannabis_log!T:T,"Not Found",0,))</f>
        <v>net</v>
      </c>
      <c r="O2281" s="180">
        <f>IF(N2281="net",_xlfn.XLOOKUP(E2281,cannabis_log!C:C,cannabis_log!N:N,"NOT FOUND",0,1),IF(N2281="gross",0,""))</f>
        <v>18</v>
      </c>
    </row>
    <row r="2282" spans="1:15">
      <c r="A2282" s="195" t="str">
        <f t="shared" si="148"/>
        <v>inbound</v>
      </c>
      <c r="B2282" s="196">
        <v>45869</v>
      </c>
      <c r="C2282" s="197" t="s">
        <v>1927</v>
      </c>
      <c r="D2282" s="197"/>
      <c r="E2282" s="217" t="s">
        <v>3257</v>
      </c>
      <c r="F2282" s="112" t="str">
        <f>IF(ISBLANK(E2282),"",_xlfn.XLOOKUP(E2282,cannabis_log!C:C,cannabis_log!J:J,"",0,))</f>
        <v>PR2407F5P2</v>
      </c>
      <c r="G2282" s="112"/>
      <c r="H2282" s="301" t="str">
        <f>IF(ISBLANK(E2282),"",_xlfn.XLOOKUP(E2282,cannabis_log!C:C,cannabis_log!H:H,"",0,1))</f>
        <v>preroll_cased_MB</v>
      </c>
      <c r="I2282" s="113">
        <f>IF(ISBLANK(E2282),"",_xlfn.XLOOKUP(E2282,cannabis_log!C:C,cannabis_log!K:K,"NOT FOUND",0,1))</f>
        <v>45588</v>
      </c>
      <c r="J2282" s="303">
        <v>10</v>
      </c>
      <c r="K2282" s="186">
        <f t="shared" si="149"/>
        <v>0</v>
      </c>
      <c r="L2282" s="288">
        <f t="shared" si="150"/>
        <v>120</v>
      </c>
      <c r="M2282" s="305"/>
      <c r="N2282" s="112" t="str">
        <f>IF(ISBLANK(E2282),"",_xlfn.XLOOKUP(E2282,cannabis_log!C:C,cannabis_log!T:T,"Not Found",0,))</f>
        <v>net</v>
      </c>
      <c r="O2282" s="180">
        <f>IF(N2282="net",_xlfn.XLOOKUP(E2282,cannabis_log!C:C,cannabis_log!N:N,"NOT FOUND",0,1),IF(N2282="gross",0,""))</f>
        <v>12</v>
      </c>
    </row>
    <row r="2283" spans="1:15">
      <c r="A2283" s="195" t="str">
        <f t="shared" si="148"/>
        <v>inbound</v>
      </c>
      <c r="B2283" s="196">
        <v>45869</v>
      </c>
      <c r="C2283" s="197" t="s">
        <v>1927</v>
      </c>
      <c r="D2283" s="197"/>
      <c r="E2283" s="217" t="s">
        <v>3258</v>
      </c>
      <c r="F2283" s="112" t="str">
        <f>IF(ISBLANK(E2283),"",_xlfn.XLOOKUP(E2283,cannabis_log!C:C,cannabis_log!J:J,"",0,))</f>
        <v>PR2407F5P2</v>
      </c>
      <c r="G2283" s="112"/>
      <c r="H2283" s="301" t="str">
        <f>IF(ISBLANK(E2283),"",_xlfn.XLOOKUP(E2283,cannabis_log!C:C,cannabis_log!H:H,"",0,1))</f>
        <v>preroll_cased_MB</v>
      </c>
      <c r="I2283" s="113">
        <f>IF(ISBLANK(E2283),"",_xlfn.XLOOKUP(E2283,cannabis_log!C:C,cannabis_log!K:K,"NOT FOUND",0,1))</f>
        <v>45532</v>
      </c>
      <c r="J2283" s="303">
        <v>6</v>
      </c>
      <c r="K2283" s="186">
        <f t="shared" si="149"/>
        <v>0</v>
      </c>
      <c r="L2283" s="288">
        <f t="shared" si="150"/>
        <v>72</v>
      </c>
      <c r="M2283" s="305"/>
      <c r="N2283" s="112" t="str">
        <f>IF(ISBLANK(E2283),"",_xlfn.XLOOKUP(E2283,cannabis_log!C:C,cannabis_log!T:T,"Not Found",0,))</f>
        <v>net</v>
      </c>
      <c r="O2283" s="180">
        <f>IF(N2283="net",_xlfn.XLOOKUP(E2283,cannabis_log!C:C,cannabis_log!N:N,"NOT FOUND",0,1),IF(N2283="gross",0,""))</f>
        <v>12</v>
      </c>
    </row>
    <row r="2284" spans="1:15">
      <c r="A2284" s="195" t="str">
        <f t="shared" si="148"/>
        <v>inbound</v>
      </c>
      <c r="B2284" s="196">
        <v>45869</v>
      </c>
      <c r="C2284" s="197" t="s">
        <v>1927</v>
      </c>
      <c r="D2284" s="197"/>
      <c r="E2284" s="217" t="s">
        <v>3259</v>
      </c>
      <c r="F2284" s="112" t="str">
        <f>IF(ISBLANK(E2284),"",_xlfn.XLOOKUP(E2284,cannabis_log!C:C,cannabis_log!J:J,"",0,))</f>
        <v>PR241005F5P3</v>
      </c>
      <c r="G2284" s="112"/>
      <c r="H2284" s="301" t="str">
        <f>IF(ISBLANK(E2284),"",_xlfn.XLOOKUP(E2284,cannabis_log!C:C,cannabis_log!H:H,"",0,1))</f>
        <v>preroll_cased_MB</v>
      </c>
      <c r="I2284" s="113">
        <f>IF(ISBLANK(E2284),"",_xlfn.XLOOKUP(E2284,cannabis_log!C:C,cannabis_log!K:K,"NOT FOUND",0,1))</f>
        <v>45575</v>
      </c>
      <c r="J2284" s="303">
        <v>5</v>
      </c>
      <c r="K2284" s="186">
        <f t="shared" si="149"/>
        <v>0</v>
      </c>
      <c r="L2284" s="288">
        <f t="shared" si="150"/>
        <v>90</v>
      </c>
      <c r="M2284" s="305"/>
      <c r="N2284" s="112" t="str">
        <f>IF(ISBLANK(E2284),"",_xlfn.XLOOKUP(E2284,cannabis_log!C:C,cannabis_log!T:T,"Not Found",0,))</f>
        <v>net</v>
      </c>
      <c r="O2284" s="180">
        <f>IF(N2284="net",_xlfn.XLOOKUP(E2284,cannabis_log!C:C,cannabis_log!N:N,"NOT FOUND",0,1),IF(N2284="gross",0,""))</f>
        <v>18</v>
      </c>
    </row>
    <row r="2285" spans="1:15">
      <c r="A2285" s="195" t="str">
        <f t="shared" si="148"/>
        <v>inbound</v>
      </c>
      <c r="B2285" s="196">
        <v>45869</v>
      </c>
      <c r="C2285" s="197" t="s">
        <v>1927</v>
      </c>
      <c r="D2285" s="197"/>
      <c r="E2285" s="217" t="s">
        <v>3260</v>
      </c>
      <c r="F2285" s="112" t="str">
        <f>IF(ISBLANK(E2285),"",_xlfn.XLOOKUP(E2285,cannabis_log!C:C,cannabis_log!J:J,"",0,))</f>
        <v>PR241005F5P3</v>
      </c>
      <c r="G2285" s="112"/>
      <c r="H2285" s="301" t="str">
        <f>IF(ISBLANK(E2285),"",_xlfn.XLOOKUP(E2285,cannabis_log!C:C,cannabis_log!H:H,"",0,1))</f>
        <v>preroll_cased_MB</v>
      </c>
      <c r="I2285" s="113">
        <f>IF(ISBLANK(E2285),"",_xlfn.XLOOKUP(E2285,cannabis_log!C:C,cannabis_log!K:K,"NOT FOUND",0,1))</f>
        <v>45541</v>
      </c>
      <c r="J2285" s="303">
        <v>3</v>
      </c>
      <c r="K2285" s="186">
        <f t="shared" si="149"/>
        <v>0</v>
      </c>
      <c r="L2285" s="288">
        <f t="shared" si="150"/>
        <v>54</v>
      </c>
      <c r="M2285" s="305"/>
      <c r="N2285" s="112" t="str">
        <f>IF(ISBLANK(E2285),"",_xlfn.XLOOKUP(E2285,cannabis_log!C:C,cannabis_log!T:T,"Not Found",0,))</f>
        <v>net</v>
      </c>
      <c r="O2285" s="180">
        <f>IF(N2285="net",_xlfn.XLOOKUP(E2285,cannabis_log!C:C,cannabis_log!N:N,"NOT FOUND",0,1),IF(N2285="gross",0,""))</f>
        <v>18</v>
      </c>
    </row>
    <row r="2286" spans="1:15">
      <c r="A2286" s="195" t="str">
        <f t="shared" si="148"/>
        <v>inbound</v>
      </c>
      <c r="B2286" s="196">
        <v>45869</v>
      </c>
      <c r="C2286" s="197" t="s">
        <v>1927</v>
      </c>
      <c r="D2286" s="197"/>
      <c r="E2286" s="217" t="s">
        <v>3261</v>
      </c>
      <c r="F2286" s="112" t="str">
        <f>IF(ISBLANK(E2286),"",_xlfn.XLOOKUP(E2286,cannabis_log!C:C,cannabis_log!J:J,"",0,))</f>
        <v>PR241101F5P3</v>
      </c>
      <c r="G2286" s="112"/>
      <c r="H2286" s="301" t="str">
        <f>IF(ISBLANK(E2286),"",_xlfn.XLOOKUP(E2286,cannabis_log!C:C,cannabis_log!H:H,"",0,1))</f>
        <v>preroll_cased_MB</v>
      </c>
      <c r="I2286" s="113">
        <f>IF(ISBLANK(E2286),"",_xlfn.XLOOKUP(E2286,cannabis_log!C:C,cannabis_log!K:K,"NOT FOUND",0,1))</f>
        <v>45574</v>
      </c>
      <c r="J2286" s="303">
        <v>1</v>
      </c>
      <c r="K2286" s="186">
        <f t="shared" si="149"/>
        <v>0</v>
      </c>
      <c r="L2286" s="288">
        <f t="shared" si="150"/>
        <v>18</v>
      </c>
      <c r="M2286" s="305"/>
      <c r="N2286" s="112" t="str">
        <f>IF(ISBLANK(E2286),"",_xlfn.XLOOKUP(E2286,cannabis_log!C:C,cannabis_log!T:T,"Not Found",0,))</f>
        <v>net</v>
      </c>
      <c r="O2286" s="180">
        <f>IF(N2286="net",_xlfn.XLOOKUP(E2286,cannabis_log!C:C,cannabis_log!N:N,"NOT FOUND",0,1),IF(N2286="gross",0,""))</f>
        <v>18</v>
      </c>
    </row>
    <row r="2287" spans="1:15">
      <c r="A2287" s="195" t="str">
        <f t="shared" si="148"/>
        <v>inbound</v>
      </c>
      <c r="B2287" s="196">
        <v>45869</v>
      </c>
      <c r="C2287" s="197" t="s">
        <v>1927</v>
      </c>
      <c r="D2287" s="197"/>
      <c r="E2287" s="217" t="s">
        <v>3262</v>
      </c>
      <c r="F2287" s="112" t="str">
        <f>IF(ISBLANK(E2287),"",_xlfn.XLOOKUP(E2287,cannabis_log!C:C,cannabis_log!J:J,"",0,))</f>
        <v>EX24082901G05</v>
      </c>
      <c r="G2287" s="112"/>
      <c r="H2287" s="301" t="str">
        <f>IF(ISBLANK(E2287),"",_xlfn.XLOOKUP(E2287,cannabis_log!C:C,cannabis_log!H:H,"",0,1))</f>
        <v>extract_inhaled_cased_SK_RTV</v>
      </c>
      <c r="I2287" s="113">
        <f>IF(ISBLANK(E2287),"",_xlfn.XLOOKUP(E2287,cannabis_log!C:C,cannabis_log!K:K,"NOT FOUND",0,1))</f>
        <v>45560</v>
      </c>
      <c r="J2287" s="303">
        <v>2</v>
      </c>
      <c r="K2287" s="186">
        <f t="shared" si="149"/>
        <v>0</v>
      </c>
      <c r="L2287" s="288">
        <f t="shared" si="150"/>
        <v>12</v>
      </c>
      <c r="M2287" s="305"/>
      <c r="N2287" s="112" t="str">
        <f>IF(ISBLANK(E2287),"",_xlfn.XLOOKUP(E2287,cannabis_log!C:C,cannabis_log!T:T,"Not Found",0,))</f>
        <v>net</v>
      </c>
      <c r="O2287" s="180">
        <f>IF(N2287="net",_xlfn.XLOOKUP(E2287,cannabis_log!C:C,cannabis_log!N:N,"NOT FOUND",0,1),IF(N2287="gross",0,""))</f>
        <v>6</v>
      </c>
    </row>
    <row r="2288" spans="1:15">
      <c r="A2288" s="195" t="str">
        <f t="shared" si="148"/>
        <v>inbound</v>
      </c>
      <c r="B2288" s="196">
        <v>45869</v>
      </c>
      <c r="C2288" s="197" t="s">
        <v>1927</v>
      </c>
      <c r="D2288" s="197"/>
      <c r="E2288" s="217" t="s">
        <v>3263</v>
      </c>
      <c r="F2288" s="112" t="str">
        <f>IF(ISBLANK(E2288),"",_xlfn.XLOOKUP(E2288,cannabis_log!C:C,cannabis_log!J:J,"",0,))</f>
        <v>EX2411302G05</v>
      </c>
      <c r="G2288" s="112"/>
      <c r="H2288" s="301" t="str">
        <f>IF(ISBLANK(E2288),"",_xlfn.XLOOKUP(E2288,cannabis_log!C:C,cannabis_log!H:H,"",0,1))</f>
        <v>extract_inhaled_cased_SK_RTV</v>
      </c>
      <c r="I2288" s="113">
        <f>IF(ISBLANK(E2288),"",_xlfn.XLOOKUP(E2288,cannabis_log!C:C,cannabis_log!K:K,"NOT FOUND",0,1))</f>
        <v>45623</v>
      </c>
      <c r="J2288" s="303">
        <v>10</v>
      </c>
      <c r="K2288" s="186">
        <f t="shared" si="149"/>
        <v>0</v>
      </c>
      <c r="L2288" s="288">
        <f t="shared" si="150"/>
        <v>60</v>
      </c>
      <c r="M2288" s="305"/>
      <c r="N2288" s="112" t="str">
        <f>IF(ISBLANK(E2288),"",_xlfn.XLOOKUP(E2288,cannabis_log!C:C,cannabis_log!T:T,"Not Found",0,))</f>
        <v>net</v>
      </c>
      <c r="O2288" s="180">
        <f>IF(N2288="net",_xlfn.XLOOKUP(E2288,cannabis_log!C:C,cannabis_log!N:N,"NOT FOUND",0,1),IF(N2288="gross",0,""))</f>
        <v>6</v>
      </c>
    </row>
    <row r="2289" spans="1:15">
      <c r="A2289" s="195" t="str">
        <f t="shared" si="148"/>
        <v>inbound</v>
      </c>
      <c r="B2289" s="196">
        <v>45869</v>
      </c>
      <c r="C2289" s="197" t="s">
        <v>1927</v>
      </c>
      <c r="D2289" s="197"/>
      <c r="E2289" s="217" t="s">
        <v>3264</v>
      </c>
      <c r="F2289" s="112" t="str">
        <f>IF(ISBLANK(E2289),"",_xlfn.XLOOKUP(E2289,cannabis_log!C:C,cannabis_log!J:J,"",0,))</f>
        <v>EX24101701G05</v>
      </c>
      <c r="G2289" s="112"/>
      <c r="H2289" s="301" t="str">
        <f>IF(ISBLANK(E2289),"",_xlfn.XLOOKUP(E2289,cannabis_log!C:C,cannabis_log!H:H,"",0,1))</f>
        <v>extract_inhaled_cased_SK_RTV</v>
      </c>
      <c r="I2289" s="113">
        <f>IF(ISBLANK(E2289),"",_xlfn.XLOOKUP(E2289,cannabis_log!C:C,cannabis_log!K:K,"NOT FOUND",0,1))</f>
        <v>45618</v>
      </c>
      <c r="J2289" s="303">
        <v>15</v>
      </c>
      <c r="K2289" s="186">
        <f t="shared" si="149"/>
        <v>0</v>
      </c>
      <c r="L2289" s="288">
        <f t="shared" si="150"/>
        <v>90</v>
      </c>
      <c r="M2289" s="305"/>
      <c r="N2289" s="112" t="str">
        <f>IF(ISBLANK(E2289),"",_xlfn.XLOOKUP(E2289,cannabis_log!C:C,cannabis_log!T:T,"Not Found",0,))</f>
        <v>net</v>
      </c>
      <c r="O2289" s="180">
        <f>IF(N2289="net",_xlfn.XLOOKUP(E2289,cannabis_log!C:C,cannabis_log!N:N,"NOT FOUND",0,1),IF(N2289="gross",0,""))</f>
        <v>6</v>
      </c>
    </row>
    <row r="2290" spans="1:15">
      <c r="A2290" s="195" t="str">
        <f t="shared" si="148"/>
        <v>outbound</v>
      </c>
      <c r="B2290" s="196">
        <v>45870.484505324072</v>
      </c>
      <c r="C2290" s="197" t="s">
        <v>1929</v>
      </c>
      <c r="D2290" s="197" t="s">
        <v>3265</v>
      </c>
      <c r="E2290" s="217" t="s">
        <v>3191</v>
      </c>
      <c r="F2290" s="112" t="str">
        <f>IF(ISBLANK(E2290),"",_xlfn.XLOOKUP(E2290,cannabis_log!C:C,cannabis_log!J:J,"",0,))</f>
        <v>PR2516F1P2</v>
      </c>
      <c r="G2290" s="112"/>
      <c r="H2290" s="301" t="str">
        <f>IF(ISBLANK(E2290),"",_xlfn.XLOOKUP(E2290,cannabis_log!C:C,cannabis_log!H:H,"",0,1))</f>
        <v>preroll_labelled</v>
      </c>
      <c r="I2290" s="113">
        <f>IF(ISBLANK(E2290),"",_xlfn.XLOOKUP(E2290,cannabis_log!C:C,cannabis_log!K:K,"NOT FOUND",0,1))</f>
        <v>45831</v>
      </c>
      <c r="J2290" s="303">
        <v>-12</v>
      </c>
      <c r="K2290" s="186">
        <f t="shared" si="149"/>
        <v>0</v>
      </c>
      <c r="L2290" s="288">
        <f t="shared" si="150"/>
        <v>-24</v>
      </c>
      <c r="M2290" s="305"/>
      <c r="N2290" s="112" t="str">
        <f>IF(ISBLANK(E2290),"",_xlfn.XLOOKUP(E2290,cannabis_log!C:C,cannabis_log!T:T,"Not Found",0,))</f>
        <v>net</v>
      </c>
      <c r="O2290" s="180">
        <f>IF(N2290="net",_xlfn.XLOOKUP(E2290,cannabis_log!C:C,cannabis_log!N:N,"NOT FOUND",0,1),IF(N2290="gross",0,""))</f>
        <v>2</v>
      </c>
    </row>
    <row r="2291" spans="1:15">
      <c r="A2291" s="195" t="str">
        <f t="shared" si="148"/>
        <v>outbound</v>
      </c>
      <c r="B2291" s="196">
        <v>45870.487286805554</v>
      </c>
      <c r="C2291" s="197" t="s">
        <v>1921</v>
      </c>
      <c r="D2291" s="197"/>
      <c r="E2291" s="217" t="s">
        <v>3224</v>
      </c>
      <c r="F2291" s="112" t="str">
        <f>IF(ISBLANK(E2291),"",_xlfn.XLOOKUP(E2291,cannabis_log!C:C,cannabis_log!J:J,"",0,))</f>
        <v>PR2516</v>
      </c>
      <c r="G2291" s="112"/>
      <c r="H2291" s="301" t="str">
        <f>IF(ISBLANK(E2291),"",_xlfn.XLOOKUP(E2291,cannabis_log!C:C,cannabis_log!H:H,"",0,1))</f>
        <v>driedflower_milled_bulk</v>
      </c>
      <c r="I2291" s="113" t="str">
        <f>IF(ISBLANK(E2291),"",_xlfn.XLOOKUP(E2291,cannabis_log!C:C,cannabis_log!K:K,"NOT FOUND",0,1))</f>
        <v>NA</v>
      </c>
      <c r="J2291" s="303">
        <v>-1</v>
      </c>
      <c r="K2291" s="186">
        <v>-1986</v>
      </c>
      <c r="L2291" s="288">
        <f t="shared" si="150"/>
        <v>0</v>
      </c>
      <c r="M2291" s="305"/>
      <c r="N2291" s="112" t="str">
        <f>IF(ISBLANK(E2291),"",_xlfn.XLOOKUP(E2291,cannabis_log!C:C,cannabis_log!T:T,"Not Found",0,))</f>
        <v>gross</v>
      </c>
      <c r="O2291" s="180">
        <f>IF(N2291="net",_xlfn.XLOOKUP(E2291,cannabis_log!C:C,cannabis_log!N:N,"NOT FOUND",0,1),IF(N2291="gross",0,""))</f>
        <v>0</v>
      </c>
    </row>
    <row r="2292" spans="1:15">
      <c r="A2292" s="195" t="str">
        <f t="shared" si="148"/>
        <v>outbound</v>
      </c>
      <c r="B2292" s="196">
        <v>45870.487286805554</v>
      </c>
      <c r="C2292" s="197" t="s">
        <v>1921</v>
      </c>
      <c r="D2292" s="197"/>
      <c r="E2292" s="217" t="s">
        <v>3266</v>
      </c>
      <c r="F2292" s="112" t="str">
        <f>IF(ISBLANK(E2292),"",_xlfn.XLOOKUP(E2292,cannabis_log!C:C,cannabis_log!J:J,"",0,))</f>
        <v>PR2516</v>
      </c>
      <c r="G2292" s="112"/>
      <c r="H2292" s="301" t="str">
        <f>IF(ISBLANK(E2292),"",_xlfn.XLOOKUP(E2292,cannabis_log!C:C,cannabis_log!H:H,"",0,1))</f>
        <v>driedflower_milled_bulk</v>
      </c>
      <c r="I2292" s="113" t="str">
        <f>IF(ISBLANK(E2292),"",_xlfn.XLOOKUP(E2292,cannabis_log!C:C,cannabis_log!K:K,"NOT FOUND",0,1))</f>
        <v>NA</v>
      </c>
      <c r="J2292" s="303">
        <v>-1</v>
      </c>
      <c r="K2292" s="186">
        <v>-3710</v>
      </c>
      <c r="L2292" s="288">
        <f t="shared" si="150"/>
        <v>0</v>
      </c>
      <c r="M2292" s="305"/>
      <c r="N2292" s="112" t="str">
        <f>IF(ISBLANK(E2292),"",_xlfn.XLOOKUP(E2292,cannabis_log!C:C,cannabis_log!T:T,"Not Found",0,))</f>
        <v>gross</v>
      </c>
      <c r="O2292" s="180">
        <f>IF(N2292="net",_xlfn.XLOOKUP(E2292,cannabis_log!C:C,cannabis_log!N:N,"NOT FOUND",0,1),IF(N2292="gross",0,""))</f>
        <v>0</v>
      </c>
    </row>
    <row r="2293" spans="1:15">
      <c r="A2293" s="195" t="str">
        <f t="shared" si="148"/>
        <v>outbound</v>
      </c>
      <c r="B2293" s="196">
        <v>45870.493733333336</v>
      </c>
      <c r="C2293" s="197" t="s">
        <v>1929</v>
      </c>
      <c r="D2293" s="197" t="s">
        <v>3265</v>
      </c>
      <c r="E2293" s="217" t="s">
        <v>3236</v>
      </c>
      <c r="F2293" s="112" t="str">
        <f>IF(ISBLANK(E2293),"",_xlfn.XLOOKUP(E2293,cannabis_log!C:C,cannabis_log!J:J,"",0,))</f>
        <v>PR241102F5P3</v>
      </c>
      <c r="G2293" s="112"/>
      <c r="H2293" s="301" t="str">
        <f>IF(ISBLANK(E2293),"",_xlfn.XLOOKUP(E2293,cannabis_log!C:C,cannabis_log!H:H,"",0,1))</f>
        <v>preroll_labelled</v>
      </c>
      <c r="I2293" s="113">
        <f>IF(ISBLANK(E2293),"",_xlfn.XLOOKUP(E2293,cannabis_log!C:C,cannabis_log!K:K,"NOT FOUND",0,1))</f>
        <v>45854</v>
      </c>
      <c r="J2293" s="303">
        <v>-12</v>
      </c>
      <c r="K2293" s="186">
        <f t="shared" ref="K2293:K2306" si="151">IF(N2293="net",0,"")</f>
        <v>0</v>
      </c>
      <c r="L2293" s="288">
        <f t="shared" si="150"/>
        <v>-18</v>
      </c>
      <c r="M2293" s="305"/>
      <c r="N2293" s="112" t="str">
        <f>IF(ISBLANK(E2293),"",_xlfn.XLOOKUP(E2293,cannabis_log!C:C,cannabis_log!T:T,"Not Found",0,))</f>
        <v>net</v>
      </c>
      <c r="O2293" s="180">
        <f>IF(N2293="net",_xlfn.XLOOKUP(E2293,cannabis_log!C:C,cannabis_log!N:N,"NOT FOUND",0,1),IF(N2293="gross",0,""))</f>
        <v>1.5</v>
      </c>
    </row>
    <row r="2294" spans="1:15">
      <c r="A2294" s="195" t="str">
        <f t="shared" si="148"/>
        <v>outbound</v>
      </c>
      <c r="B2294" s="196">
        <v>45870.505428009259</v>
      </c>
      <c r="C2294" s="197" t="s">
        <v>1929</v>
      </c>
      <c r="D2294" s="197" t="s">
        <v>3265</v>
      </c>
      <c r="E2294" s="217" t="s">
        <v>3227</v>
      </c>
      <c r="F2294" s="112" t="str">
        <f>IF(ISBLANK(E2294),"",_xlfn.XLOOKUP(E2294,cannabis_log!C:C,cannabis_log!J:J,"",0,))</f>
        <v>PR2507F1P2</v>
      </c>
      <c r="G2294" s="112"/>
      <c r="H2294" s="301" t="str">
        <f>IF(ISBLANK(E2294),"",_xlfn.XLOOKUP(E2294,cannabis_log!C:C,cannabis_log!H:H,"",0,1))</f>
        <v>preroll_labelled</v>
      </c>
      <c r="I2294" s="113">
        <f>IF(ISBLANK(E2294),"",_xlfn.XLOOKUP(E2294,cannabis_log!C:C,cannabis_log!K:K,"NOT FOUND",0,1))</f>
        <v>45848</v>
      </c>
      <c r="J2294" s="303">
        <v>-12</v>
      </c>
      <c r="K2294" s="186">
        <f t="shared" si="151"/>
        <v>0</v>
      </c>
      <c r="L2294" s="288">
        <f t="shared" si="150"/>
        <v>-24</v>
      </c>
      <c r="M2294" s="305"/>
      <c r="N2294" s="112" t="str">
        <f>IF(ISBLANK(E2294),"",_xlfn.XLOOKUP(E2294,cannabis_log!C:C,cannabis_log!T:T,"Not Found",0,))</f>
        <v>net</v>
      </c>
      <c r="O2294" s="180">
        <f>IF(N2294="net",_xlfn.XLOOKUP(E2294,cannabis_log!C:C,cannabis_log!N:N,"NOT FOUND",0,1),IF(N2294="gross",0,""))</f>
        <v>2</v>
      </c>
    </row>
    <row r="2295" spans="1:15">
      <c r="A2295" s="195" t="str">
        <f t="shared" si="148"/>
        <v>outbound</v>
      </c>
      <c r="B2295" s="196">
        <v>45870.54245763889</v>
      </c>
      <c r="C2295" s="197" t="s">
        <v>1929</v>
      </c>
      <c r="D2295" s="197" t="s">
        <v>3265</v>
      </c>
      <c r="E2295" s="217" t="s">
        <v>3248</v>
      </c>
      <c r="F2295" s="112" t="str">
        <f>IF(ISBLANK(E2295),"",_xlfn.XLOOKUP(E2295,cannabis_log!C:C,cannabis_log!J:J,"",0,))</f>
        <v>2024121801G7</v>
      </c>
      <c r="G2295" s="112"/>
      <c r="H2295" s="301" t="str">
        <f>IF(ISBLANK(E2295),"",_xlfn.XLOOKUP(E2295,cannabis_log!C:C,cannabis_log!H:H,"",0,1))</f>
        <v>driedflower_labelled</v>
      </c>
      <c r="I2295" s="113">
        <f>IF(ISBLANK(E2295),"",_xlfn.XLOOKUP(E2295,cannabis_log!C:C,cannabis_log!K:K,"NOT FOUND",0,1))</f>
        <v>45849</v>
      </c>
      <c r="J2295" s="303">
        <v>-12</v>
      </c>
      <c r="K2295" s="186">
        <f t="shared" si="151"/>
        <v>0</v>
      </c>
      <c r="L2295" s="288">
        <f t="shared" si="150"/>
        <v>-84</v>
      </c>
      <c r="M2295" s="305"/>
      <c r="N2295" s="112" t="str">
        <f>IF(ISBLANK(E2295),"",_xlfn.XLOOKUP(E2295,cannabis_log!C:C,cannabis_log!T:T,"Not Found",0,))</f>
        <v>net</v>
      </c>
      <c r="O2295" s="180">
        <f>IF(N2295="net",_xlfn.XLOOKUP(E2295,cannabis_log!C:C,cannabis_log!N:N,"NOT FOUND",0,1),IF(N2295="gross",0,""))</f>
        <v>7</v>
      </c>
    </row>
    <row r="2296" spans="1:15">
      <c r="A2296" s="195" t="str">
        <f t="shared" si="148"/>
        <v>outbound</v>
      </c>
      <c r="B2296" s="196">
        <v>45870.546185300926</v>
      </c>
      <c r="C2296" s="197" t="s">
        <v>1929</v>
      </c>
      <c r="D2296" s="197" t="s">
        <v>3267</v>
      </c>
      <c r="E2296" s="217" t="s">
        <v>3199</v>
      </c>
      <c r="F2296" s="112" t="str">
        <f>IF(ISBLANK(E2296),"",_xlfn.XLOOKUP(E2296,cannabis_log!C:C,cannabis_log!J:J,"",0,))</f>
        <v>EX25050501V50</v>
      </c>
      <c r="G2296" s="112"/>
      <c r="H2296" s="301" t="str">
        <f>IF(ISBLANK(E2296),"",_xlfn.XLOOKUP(E2296,cannabis_log!C:C,cannabis_log!H:H,"",0,1))</f>
        <v>extract_ingested_cased_BC</v>
      </c>
      <c r="I2296" s="113">
        <f>IF(ISBLANK(E2296),"",_xlfn.XLOOKUP(E2296,cannabis_log!C:C,cannabis_log!K:K,"NOT FOUND",0,1))</f>
        <v>45790</v>
      </c>
      <c r="J2296" s="303">
        <v>-1</v>
      </c>
      <c r="K2296" s="186">
        <f t="shared" si="151"/>
        <v>0</v>
      </c>
      <c r="L2296" s="288">
        <f t="shared" si="150"/>
        <v>-50</v>
      </c>
      <c r="M2296" s="305"/>
      <c r="N2296" s="112" t="str">
        <f>IF(ISBLANK(E2296),"",_xlfn.XLOOKUP(E2296,cannabis_log!C:C,cannabis_log!T:T,"Not Found",0,))</f>
        <v>net</v>
      </c>
      <c r="O2296" s="180">
        <f>IF(N2296="net",_xlfn.XLOOKUP(E2296,cannabis_log!C:C,cannabis_log!N:N,"NOT FOUND",0,1),IF(N2296="gross",0,""))</f>
        <v>50</v>
      </c>
    </row>
    <row r="2297" spans="1:15">
      <c r="A2297" s="195" t="str">
        <f t="shared" si="148"/>
        <v>outbound</v>
      </c>
      <c r="B2297" s="196">
        <v>45870.546275810186</v>
      </c>
      <c r="C2297" s="197" t="s">
        <v>1929</v>
      </c>
      <c r="D2297" s="197" t="s">
        <v>3267</v>
      </c>
      <c r="E2297" s="217" t="s">
        <v>3192</v>
      </c>
      <c r="F2297" s="112" t="str">
        <f>IF(ISBLANK(E2297),"",_xlfn.XLOOKUP(E2297,cannabis_log!C:C,cannabis_log!J:J,"",0,))</f>
        <v>EX25012101V50</v>
      </c>
      <c r="G2297" s="112"/>
      <c r="H2297" s="301" t="str">
        <f>IF(ISBLANK(E2297),"",_xlfn.XLOOKUP(E2297,cannabis_log!C:C,cannabis_log!H:H,"",0,1))</f>
        <v>extract_ingested_cased_BC</v>
      </c>
      <c r="I2297" s="113">
        <f>IF(ISBLANK(E2297),"",_xlfn.XLOOKUP(E2297,cannabis_log!C:C,cannabis_log!K:K,"NOT FOUND",0,1))</f>
        <v>45700</v>
      </c>
      <c r="J2297" s="303">
        <v>-1</v>
      </c>
      <c r="K2297" s="186">
        <f t="shared" si="151"/>
        <v>0</v>
      </c>
      <c r="L2297" s="288">
        <f t="shared" si="150"/>
        <v>-50</v>
      </c>
      <c r="M2297" s="305"/>
      <c r="N2297" s="112" t="str">
        <f>IF(ISBLANK(E2297),"",_xlfn.XLOOKUP(E2297,cannabis_log!C:C,cannabis_log!T:T,"Not Found",0,))</f>
        <v>net</v>
      </c>
      <c r="O2297" s="180">
        <f>IF(N2297="net",_xlfn.XLOOKUP(E2297,cannabis_log!C:C,cannabis_log!N:N,"NOT FOUND",0,1),IF(N2297="gross",0,""))</f>
        <v>50</v>
      </c>
    </row>
    <row r="2298" spans="1:15">
      <c r="A2298" s="195" t="str">
        <f t="shared" si="148"/>
        <v>outbound</v>
      </c>
      <c r="B2298" s="196">
        <v>45870.550708449075</v>
      </c>
      <c r="C2298" s="197" t="s">
        <v>1929</v>
      </c>
      <c r="D2298" s="197" t="s">
        <v>3267</v>
      </c>
      <c r="E2298" s="217" t="s">
        <v>3197</v>
      </c>
      <c r="F2298" s="112" t="str">
        <f>IF(ISBLANK(E2298),"",_xlfn.XLOOKUP(E2298,cannabis_log!C:C,cannabis_log!J:J,"",0,))</f>
        <v>EX24092601V50</v>
      </c>
      <c r="G2298" s="112"/>
      <c r="H2298" s="301" t="str">
        <f>IF(ISBLANK(E2298),"",_xlfn.XLOOKUP(E2298,cannabis_log!C:C,cannabis_log!H:H,"",0,1))</f>
        <v>extract_ingested_cased_BC</v>
      </c>
      <c r="I2298" s="113">
        <f>IF(ISBLANK(E2298),"",_xlfn.XLOOKUP(E2298,cannabis_log!C:C,cannabis_log!K:K,"NOT FOUND",0,1))</f>
        <v>45576</v>
      </c>
      <c r="J2298" s="303">
        <v>-1</v>
      </c>
      <c r="K2298" s="186">
        <f t="shared" si="151"/>
        <v>0</v>
      </c>
      <c r="L2298" s="288">
        <f t="shared" si="150"/>
        <v>-600</v>
      </c>
      <c r="M2298" s="305"/>
      <c r="N2298" s="112" t="str">
        <f>IF(ISBLANK(E2298),"",_xlfn.XLOOKUP(E2298,cannabis_log!C:C,cannabis_log!T:T,"Not Found",0,))</f>
        <v>net</v>
      </c>
      <c r="O2298" s="180">
        <f>IF(N2298="net",_xlfn.XLOOKUP(E2298,cannabis_log!C:C,cannabis_log!N:N,"NOT FOUND",0,1),IF(N2298="gross",0,""))</f>
        <v>600</v>
      </c>
    </row>
    <row r="2299" spans="1:15">
      <c r="A2299" s="195" t="str">
        <f t="shared" si="148"/>
        <v>outbound</v>
      </c>
      <c r="B2299" s="196">
        <v>45870.553675694442</v>
      </c>
      <c r="C2299" s="197" t="s">
        <v>1929</v>
      </c>
      <c r="D2299" s="197" t="s">
        <v>3267</v>
      </c>
      <c r="E2299" s="217" t="s">
        <v>3200</v>
      </c>
      <c r="F2299" s="112" t="str">
        <f>IF(ISBLANK(E2299),"",_xlfn.XLOOKUP(E2299,cannabis_log!C:C,cannabis_log!J:J,"",0,))</f>
        <v>PR2512F5P5</v>
      </c>
      <c r="G2299" s="112"/>
      <c r="H2299" s="301" t="str">
        <f>IF(ISBLANK(E2299),"",_xlfn.XLOOKUP(E2299,cannabis_log!C:C,cannabis_log!H:H,"",0,1))</f>
        <v>preroll_labelled</v>
      </c>
      <c r="I2299" s="113">
        <f>IF(ISBLANK(E2299),"",_xlfn.XLOOKUP(E2299,cannabis_log!C:C,cannabis_log!K:K,"NOT FOUND",0,1))</f>
        <v>45833</v>
      </c>
      <c r="J2299" s="303">
        <v>-12</v>
      </c>
      <c r="K2299" s="186">
        <f t="shared" si="151"/>
        <v>0</v>
      </c>
      <c r="L2299" s="288">
        <f t="shared" si="150"/>
        <v>-30</v>
      </c>
      <c r="M2299" s="305"/>
      <c r="N2299" s="112" t="str">
        <f>IF(ISBLANK(E2299),"",_xlfn.XLOOKUP(E2299,cannabis_log!C:C,cannabis_log!T:T,"Not Found",0,))</f>
        <v>net</v>
      </c>
      <c r="O2299" s="180">
        <f>IF(N2299="net",_xlfn.XLOOKUP(E2299,cannabis_log!C:C,cannabis_log!N:N,"NOT FOUND",0,1),IF(N2299="gross",0,""))</f>
        <v>2.5</v>
      </c>
    </row>
    <row r="2300" spans="1:15">
      <c r="A2300" s="195" t="str">
        <f t="shared" si="148"/>
        <v>outbound</v>
      </c>
      <c r="B2300" s="196">
        <v>45870.553675694442</v>
      </c>
      <c r="C2300" s="197" t="s">
        <v>1929</v>
      </c>
      <c r="D2300" s="197" t="s">
        <v>3267</v>
      </c>
      <c r="E2300" s="217" t="s">
        <v>3012</v>
      </c>
      <c r="F2300" s="112" t="str">
        <f>IF(ISBLANK(E2300),"",_xlfn.XLOOKUP(E2300,cannabis_log!C:C,cannabis_log!J:J,"",0,))</f>
        <v>LR23032101</v>
      </c>
      <c r="G2300" s="112"/>
      <c r="H2300" s="301" t="str">
        <f>IF(ISBLANK(E2300),"",_xlfn.XLOOKUP(E2300,cannabis_log!C:C,cannabis_log!H:H,"",0,1))</f>
        <v>extract_inhaled_labelled</v>
      </c>
      <c r="I2300" s="113">
        <f>IF(ISBLANK(E2300),"",_xlfn.XLOOKUP(E2300,cannabis_log!C:C,cannabis_log!K:K,"NOT FOUND",0,1))</f>
        <v>45793</v>
      </c>
      <c r="J2300" s="303">
        <v>-6</v>
      </c>
      <c r="K2300" s="186">
        <f t="shared" si="151"/>
        <v>0</v>
      </c>
      <c r="L2300" s="288">
        <f t="shared" si="150"/>
        <v>-6</v>
      </c>
      <c r="M2300" s="305"/>
      <c r="N2300" s="112" t="str">
        <f>IF(ISBLANK(E2300),"",_xlfn.XLOOKUP(E2300,cannabis_log!C:C,cannabis_log!T:T,"Not Found",0,))</f>
        <v>net</v>
      </c>
      <c r="O2300" s="180">
        <f>IF(N2300="net",_xlfn.XLOOKUP(E2300,cannabis_log!C:C,cannabis_log!N:N,"NOT FOUND",0,1),IF(N2300="gross",0,""))</f>
        <v>1</v>
      </c>
    </row>
    <row r="2301" spans="1:15">
      <c r="A2301" s="195" t="str">
        <f t="shared" si="148"/>
        <v>outbound</v>
      </c>
      <c r="B2301" s="196">
        <v>45870.553675694442</v>
      </c>
      <c r="C2301" s="197" t="s">
        <v>1929</v>
      </c>
      <c r="D2301" s="197" t="s">
        <v>3265</v>
      </c>
      <c r="E2301" s="217" t="s">
        <v>3012</v>
      </c>
      <c r="F2301" s="112" t="str">
        <f>IF(ISBLANK(E2301),"",_xlfn.XLOOKUP(E2301,cannabis_log!C:C,cannabis_log!J:J,"",0,))</f>
        <v>LR23032101</v>
      </c>
      <c r="G2301" s="112"/>
      <c r="H2301" s="301" t="str">
        <f>IF(ISBLANK(E2301),"",_xlfn.XLOOKUP(E2301,cannabis_log!C:C,cannabis_log!H:H,"",0,1))</f>
        <v>extract_inhaled_labelled</v>
      </c>
      <c r="I2301" s="113">
        <f>IF(ISBLANK(E2301),"",_xlfn.XLOOKUP(E2301,cannabis_log!C:C,cannabis_log!K:K,"NOT FOUND",0,1))</f>
        <v>45793</v>
      </c>
      <c r="J2301" s="303">
        <v>-6</v>
      </c>
      <c r="K2301" s="186">
        <f t="shared" si="151"/>
        <v>0</v>
      </c>
      <c r="L2301" s="288">
        <f t="shared" si="150"/>
        <v>-6</v>
      </c>
      <c r="M2301" s="305"/>
      <c r="N2301" s="112" t="str">
        <f>IF(ISBLANK(E2301),"",_xlfn.XLOOKUP(E2301,cannabis_log!C:C,cannabis_log!T:T,"Not Found",0,))</f>
        <v>net</v>
      </c>
      <c r="O2301" s="180">
        <f>IF(N2301="net",_xlfn.XLOOKUP(E2301,cannabis_log!C:C,cannabis_log!N:N,"NOT FOUND",0,1),IF(N2301="gross",0,""))</f>
        <v>1</v>
      </c>
    </row>
    <row r="2302" spans="1:15">
      <c r="A2302" s="195" t="str">
        <f t="shared" si="148"/>
        <v>outbound</v>
      </c>
      <c r="B2302" s="196">
        <v>45870.619688078703</v>
      </c>
      <c r="C2302" s="197" t="s">
        <v>1929</v>
      </c>
      <c r="D2302" s="197" t="s">
        <v>3265</v>
      </c>
      <c r="E2302" s="217" t="s">
        <v>3013</v>
      </c>
      <c r="F2302" s="112" t="str">
        <f>IF(ISBLANK(E2302),"",_xlfn.XLOOKUP(E2302,cannabis_log!C:C,cannabis_log!J:J,"",0,))</f>
        <v>PR2303IN02F5P3</v>
      </c>
      <c r="G2302" s="112"/>
      <c r="H2302" s="301" t="str">
        <f>IF(ISBLANK(E2302),"",_xlfn.XLOOKUP(E2302,cannabis_log!C:C,cannabis_log!H:H,"",0,1))</f>
        <v>infusedpreroll_cased_AB_RTV</v>
      </c>
      <c r="I2302" s="113">
        <f>IF(ISBLANK(E2302),"",_xlfn.XLOOKUP(E2302,cannabis_log!C:C,cannabis_log!K:K,"NOT FOUND",0,1))</f>
        <v>45478</v>
      </c>
      <c r="J2302" s="303">
        <v>-1</v>
      </c>
      <c r="K2302" s="186">
        <f t="shared" si="151"/>
        <v>0</v>
      </c>
      <c r="L2302" s="288">
        <f t="shared" si="150"/>
        <v>-9</v>
      </c>
      <c r="M2302" s="305"/>
      <c r="N2302" s="112" t="str">
        <f>IF(ISBLANK(E2302),"",_xlfn.XLOOKUP(E2302,cannabis_log!C:C,cannabis_log!T:T,"Not Found",0,))</f>
        <v>net</v>
      </c>
      <c r="O2302" s="180">
        <f>IF(N2302="net",_xlfn.XLOOKUP(E2302,cannabis_log!C:C,cannabis_log!N:N,"NOT FOUND",0,1),IF(N2302="gross",0,""))</f>
        <v>9</v>
      </c>
    </row>
    <row r="2303" spans="1:15">
      <c r="A2303" s="195" t="str">
        <f t="shared" si="148"/>
        <v>outbound</v>
      </c>
      <c r="B2303" s="196">
        <v>45874.493442361112</v>
      </c>
      <c r="C2303" s="197" t="s">
        <v>1929</v>
      </c>
      <c r="D2303" s="197" t="s">
        <v>3268</v>
      </c>
      <c r="E2303" s="217" t="s">
        <v>3251</v>
      </c>
      <c r="F2303" s="112" t="str">
        <f>IF(ISBLANK(E2303),"",_xlfn.XLOOKUP(E2303,cannabis_log!C:C,cannabis_log!J:J,"",0,))</f>
        <v>EX23060701V30</v>
      </c>
      <c r="G2303" s="112"/>
      <c r="H2303" s="301" t="str">
        <f>IF(ISBLANK(E2303),"",_xlfn.XLOOKUP(E2303,cannabis_log!C:C,cannabis_log!H:H,"",0,1))</f>
        <v>extract_ingested_cased_MB_RTV</v>
      </c>
      <c r="I2303" s="113">
        <f>IF(ISBLANK(E2303),"",_xlfn.XLOOKUP(E2303,cannabis_log!C:C,cannabis_log!K:K,"NOT FOUND",0,1))</f>
        <v>45596</v>
      </c>
      <c r="J2303" s="303">
        <v>-12</v>
      </c>
      <c r="K2303" s="186">
        <f t="shared" si="151"/>
        <v>0</v>
      </c>
      <c r="L2303" s="288">
        <f t="shared" si="150"/>
        <v>-3931.2000000000003</v>
      </c>
      <c r="M2303" s="305"/>
      <c r="N2303" s="112" t="str">
        <f>IF(ISBLANK(E2303),"",_xlfn.XLOOKUP(E2303,cannabis_log!C:C,cannabis_log!T:T,"Not Found",0,))</f>
        <v>net</v>
      </c>
      <c r="O2303" s="180">
        <f>IF(N2303="net",_xlfn.XLOOKUP(E2303,cannabis_log!C:C,cannabis_log!N:N,"NOT FOUND",0,1),IF(N2303="gross",0,""))</f>
        <v>327.60000000000002</v>
      </c>
    </row>
    <row r="2304" spans="1:15">
      <c r="A2304" s="195" t="str">
        <f t="shared" si="148"/>
        <v>inbound</v>
      </c>
      <c r="B2304" s="196">
        <v>45874.527929861113</v>
      </c>
      <c r="C2304" s="197" t="s">
        <v>1927</v>
      </c>
      <c r="D2304" s="197"/>
      <c r="E2304" s="217" t="s">
        <v>2456</v>
      </c>
      <c r="F2304" s="112" t="str">
        <f>IF(ISBLANK(E2304),"",_xlfn.XLOOKUP(E2304,cannabis_log!C:C,cannabis_log!J:J,"",0,))</f>
        <v>EX24101703G05</v>
      </c>
      <c r="G2304" s="112"/>
      <c r="H2304" s="301" t="str">
        <f>IF(ISBLANK(E2304),"",_xlfn.XLOOKUP(E2304,cannabis_log!C:C,cannabis_log!H:H,"",0,1))</f>
        <v>extract_inhaled_labelled</v>
      </c>
      <c r="I2304" s="113">
        <f>IF(ISBLANK(E2304),"",_xlfn.XLOOKUP(E2304,cannabis_log!C:C,cannabis_log!K:K,"NOT FOUND",0,1))</f>
        <v>45603</v>
      </c>
      <c r="J2304" s="303">
        <v>361</v>
      </c>
      <c r="K2304" s="186">
        <f t="shared" si="151"/>
        <v>0</v>
      </c>
      <c r="L2304" s="288">
        <f t="shared" si="150"/>
        <v>180.5</v>
      </c>
      <c r="M2304" s="305"/>
      <c r="N2304" s="112" t="str">
        <f>IF(ISBLANK(E2304),"",_xlfn.XLOOKUP(E2304,cannabis_log!C:C,cannabis_log!T:T,"Not Found",0,))</f>
        <v>net</v>
      </c>
      <c r="O2304" s="180">
        <f>IF(N2304="net",_xlfn.XLOOKUP(E2304,cannabis_log!C:C,cannabis_log!N:N,"NOT FOUND",0,1),IF(N2304="gross",0,""))</f>
        <v>0.5</v>
      </c>
    </row>
    <row r="2305" spans="1:15">
      <c r="A2305" s="195" t="str">
        <f t="shared" si="148"/>
        <v>inbound</v>
      </c>
      <c r="B2305" s="196">
        <v>45874.52942835648</v>
      </c>
      <c r="C2305" s="197" t="s">
        <v>1927</v>
      </c>
      <c r="D2305" s="197"/>
      <c r="E2305" s="217" t="s">
        <v>3223</v>
      </c>
      <c r="F2305" s="112" t="str">
        <f>IF(ISBLANK(E2305),"",_xlfn.XLOOKUP(E2305,cannabis_log!C:C,cannabis_log!J:J,"",0,))</f>
        <v>EX24101704G05</v>
      </c>
      <c r="G2305" s="112"/>
      <c r="H2305" s="301" t="str">
        <f>IF(ISBLANK(E2305),"",_xlfn.XLOOKUP(E2305,cannabis_log!C:C,cannabis_log!H:H,"",0,1))</f>
        <v>extract_inhaled_labelled</v>
      </c>
      <c r="I2305" s="113">
        <f>IF(ISBLANK(E2305),"",_xlfn.XLOOKUP(E2305,cannabis_log!C:C,cannabis_log!K:K,"NOT FOUND",0,1))</f>
        <v>45631</v>
      </c>
      <c r="J2305" s="303">
        <v>422</v>
      </c>
      <c r="K2305" s="186">
        <f t="shared" si="151"/>
        <v>0</v>
      </c>
      <c r="L2305" s="288">
        <f t="shared" si="150"/>
        <v>211</v>
      </c>
      <c r="M2305" s="305"/>
      <c r="N2305" s="112" t="str">
        <f>IF(ISBLANK(E2305),"",_xlfn.XLOOKUP(E2305,cannabis_log!C:C,cannabis_log!T:T,"Not Found",0,))</f>
        <v>net</v>
      </c>
      <c r="O2305" s="180">
        <f>IF(N2305="net",_xlfn.XLOOKUP(E2305,cannabis_log!C:C,cannabis_log!N:N,"NOT FOUND",0,1),IF(N2305="gross",0,""))</f>
        <v>0.5</v>
      </c>
    </row>
    <row r="2306" spans="1:15">
      <c r="A2306" s="195" t="str">
        <f t="shared" si="148"/>
        <v>inbound</v>
      </c>
      <c r="B2306" s="196">
        <v>45874.52942835648</v>
      </c>
      <c r="C2306" s="197" t="s">
        <v>1927</v>
      </c>
      <c r="D2306" s="197"/>
      <c r="E2306" s="217" t="s">
        <v>3089</v>
      </c>
      <c r="F2306" s="112" t="str">
        <f>IF(ISBLANK(E2306),"",_xlfn.XLOOKUP(E2306,cannabis_log!C:C,cannabis_log!J:J,"",0,))</f>
        <v>EX24111302G05</v>
      </c>
      <c r="G2306" s="112"/>
      <c r="H2306" s="301" t="str">
        <f>IF(ISBLANK(E2306),"",_xlfn.XLOOKUP(E2306,cannabis_log!C:C,cannabis_log!H:H,"",0,1))</f>
        <v>extract_inhaled_labelled</v>
      </c>
      <c r="I2306" s="113">
        <f>IF(ISBLANK(E2306),"",_xlfn.XLOOKUP(E2306,cannabis_log!C:C,cannabis_log!K:K,"NOT FOUND",0,1))</f>
        <v>45707</v>
      </c>
      <c r="J2306" s="303">
        <v>91</v>
      </c>
      <c r="K2306" s="186">
        <f t="shared" si="151"/>
        <v>0</v>
      </c>
      <c r="L2306" s="288">
        <f t="shared" si="150"/>
        <v>45.5</v>
      </c>
      <c r="M2306" s="305"/>
      <c r="N2306" s="112" t="str">
        <f>IF(ISBLANK(E2306),"",_xlfn.XLOOKUP(E2306,cannabis_log!C:C,cannabis_log!T:T,"Not Found",0,))</f>
        <v>net</v>
      </c>
      <c r="O2306" s="180">
        <f>IF(N2306="net",_xlfn.XLOOKUP(E2306,cannabis_log!C:C,cannabis_log!N:N,"NOT FOUND",0,1),IF(N2306="gross",0,""))</f>
        <v>0.5</v>
      </c>
    </row>
    <row r="2307" spans="1:15">
      <c r="A2307" s="195" t="str">
        <f t="shared" si="148"/>
        <v>outbound</v>
      </c>
      <c r="B2307" s="196">
        <v>45874.564238541665</v>
      </c>
      <c r="C2307" s="197" t="s">
        <v>1921</v>
      </c>
      <c r="D2307" s="197"/>
      <c r="E2307" s="217" t="s">
        <v>3174</v>
      </c>
      <c r="F2307" s="112">
        <f>IF(ISBLANK(E2307),"",_xlfn.XLOOKUP(E2307,cannabis_log!C:C,cannabis_log!J:J,"",0,))</f>
        <v>2025050501</v>
      </c>
      <c r="G2307" s="112"/>
      <c r="H2307" s="301" t="str">
        <f>IF(ISBLANK(E2307),"",_xlfn.XLOOKUP(E2307,cannabis_log!C:C,cannabis_log!H:H,"",0,1))</f>
        <v>driedflower_bulk_Rohan</v>
      </c>
      <c r="I2307" s="113" t="str">
        <f>IF(ISBLANK(E2307),"",_xlfn.XLOOKUP(E2307,cannabis_log!C:C,cannabis_log!K:K,"NOT FOUND",0,1))</f>
        <v>NA</v>
      </c>
      <c r="J2307" s="303">
        <v>-1</v>
      </c>
      <c r="K2307" s="186">
        <v>-304</v>
      </c>
      <c r="L2307" s="288">
        <f t="shared" si="150"/>
        <v>0</v>
      </c>
      <c r="M2307" s="305"/>
      <c r="N2307" s="112" t="str">
        <f>IF(ISBLANK(E2307),"",_xlfn.XLOOKUP(E2307,cannabis_log!C:C,cannabis_log!T:T,"Not Found",0,))</f>
        <v>gross</v>
      </c>
      <c r="O2307" s="180">
        <f>IF(N2307="net",_xlfn.XLOOKUP(E2307,cannabis_log!C:C,cannabis_log!N:N,"NOT FOUND",0,1),IF(N2307="gross",0,""))</f>
        <v>0</v>
      </c>
    </row>
    <row r="2308" spans="1:15">
      <c r="A2308" s="195" t="str">
        <f t="shared" ref="A2308:A2339" si="152">IF(ISBLANK(J2308),"",IF(J2308+K2308+L2308&lt;0,"outbound","inbound"))</f>
        <v>outbound</v>
      </c>
      <c r="B2308" s="196">
        <v>45874.564238541665</v>
      </c>
      <c r="C2308" s="197" t="s">
        <v>1921</v>
      </c>
      <c r="D2308" s="197"/>
      <c r="E2308" s="217" t="s">
        <v>3269</v>
      </c>
      <c r="F2308" s="112">
        <f>IF(ISBLANK(E2308),"",_xlfn.XLOOKUP(E2308,cannabis_log!C:C,cannabis_log!J:J,"",0,))</f>
        <v>2025050501</v>
      </c>
      <c r="G2308" s="112"/>
      <c r="H2308" s="301" t="str">
        <f>IF(ISBLANK(E2308),"",_xlfn.XLOOKUP(E2308,cannabis_log!C:C,cannabis_log!H:H,"",0,1))</f>
        <v>driedflower_bulk_Rohan</v>
      </c>
      <c r="I2308" s="113" t="str">
        <f>IF(ISBLANK(E2308),"",_xlfn.XLOOKUP(E2308,cannabis_log!C:C,cannabis_log!K:K,"NOT FOUND",0,1))</f>
        <v>NA</v>
      </c>
      <c r="J2308" s="303">
        <v>-1</v>
      </c>
      <c r="K2308" s="186">
        <v>-8532</v>
      </c>
      <c r="L2308" s="288">
        <f t="shared" ref="L2308:L2339" si="153">IFERROR(J2308*O2308,"")</f>
        <v>0</v>
      </c>
      <c r="M2308" s="305"/>
      <c r="N2308" s="112" t="str">
        <f>IF(ISBLANK(E2308),"",_xlfn.XLOOKUP(E2308,cannabis_log!C:C,cannabis_log!T:T,"Not Found",0,))</f>
        <v>gross</v>
      </c>
      <c r="O2308" s="180">
        <f>IF(N2308="net",_xlfn.XLOOKUP(E2308,cannabis_log!C:C,cannabis_log!N:N,"NOT FOUND",0,1),IF(N2308="gross",0,""))</f>
        <v>0</v>
      </c>
    </row>
    <row r="2309" spans="1:15">
      <c r="A2309" s="195" t="str">
        <f t="shared" si="152"/>
        <v>inbound</v>
      </c>
      <c r="B2309" s="196">
        <v>45874.586829513886</v>
      </c>
      <c r="C2309" s="197" t="s">
        <v>1927</v>
      </c>
      <c r="D2309" s="197"/>
      <c r="E2309" s="217" t="s">
        <v>3266</v>
      </c>
      <c r="F2309" s="112" t="str">
        <f>IF(ISBLANK(E2309),"",_xlfn.XLOOKUP(E2309,cannabis_log!C:C,cannabis_log!J:J,"",0,))</f>
        <v>PR2516</v>
      </c>
      <c r="G2309" s="112"/>
      <c r="H2309" s="301" t="str">
        <f>IF(ISBLANK(E2309),"",_xlfn.XLOOKUP(E2309,cannabis_log!C:C,cannabis_log!H:H,"",0,1))</f>
        <v>driedflower_milled_bulk</v>
      </c>
      <c r="I2309" s="113" t="str">
        <f>IF(ISBLANK(E2309),"",_xlfn.XLOOKUP(E2309,cannabis_log!C:C,cannabis_log!K:K,"NOT FOUND",0,1))</f>
        <v>NA</v>
      </c>
      <c r="J2309" s="303">
        <v>1</v>
      </c>
      <c r="K2309" s="186">
        <v>2968</v>
      </c>
      <c r="L2309" s="288">
        <f t="shared" si="153"/>
        <v>0</v>
      </c>
      <c r="M2309" s="305"/>
      <c r="N2309" s="112" t="str">
        <f>IF(ISBLANK(E2309),"",_xlfn.XLOOKUP(E2309,cannabis_log!C:C,cannabis_log!T:T,"Not Found",0,))</f>
        <v>gross</v>
      </c>
      <c r="O2309" s="180">
        <f>IF(N2309="net",_xlfn.XLOOKUP(E2309,cannabis_log!C:C,cannabis_log!N:N,"NOT FOUND",0,1),IF(N2309="gross",0,""))</f>
        <v>0</v>
      </c>
    </row>
    <row r="2310" spans="1:15">
      <c r="A2310" s="195" t="str">
        <f t="shared" si="152"/>
        <v>inbound</v>
      </c>
      <c r="B2310" s="196">
        <v>45874.593102777777</v>
      </c>
      <c r="C2310" s="197" t="s">
        <v>1927</v>
      </c>
      <c r="D2310" s="197"/>
      <c r="E2310" s="217" t="s">
        <v>3235</v>
      </c>
      <c r="F2310" s="112" t="str">
        <f>IF(ISBLANK(E2310),"",_xlfn.XLOOKUP(E2310,cannabis_log!C:C,cannabis_log!J:J,"",0,))</f>
        <v>LR22060701</v>
      </c>
      <c r="G2310" s="112"/>
      <c r="H2310" s="301" t="str">
        <f>IF(ISBLANK(E2310),"",_xlfn.XLOOKUP(E2310,cannabis_log!C:C,cannabis_log!H:H,"",0,1))</f>
        <v>extract_inhaled_labelled</v>
      </c>
      <c r="I2310" s="113">
        <f>IF(ISBLANK(E2310),"",_xlfn.XLOOKUP(E2310,cannabis_log!C:C,cannabis_log!K:K,"NOT FOUND",0,1))</f>
        <v>45170</v>
      </c>
      <c r="J2310" s="303">
        <v>1</v>
      </c>
      <c r="K2310" s="186">
        <v>170</v>
      </c>
      <c r="L2310" s="288">
        <f t="shared" si="153"/>
        <v>1</v>
      </c>
      <c r="M2310" s="305"/>
      <c r="N2310" s="112" t="str">
        <f>IF(ISBLANK(E2310),"",_xlfn.XLOOKUP(E2310,cannabis_log!C:C,cannabis_log!T:T,"Not Found",0,))</f>
        <v>net</v>
      </c>
      <c r="O2310" s="180">
        <f>IF(N2310="net",_xlfn.XLOOKUP(E2310,cannabis_log!C:C,cannabis_log!N:N,"NOT FOUND",0,1),IF(N2310="gross",0,""))</f>
        <v>1</v>
      </c>
    </row>
    <row r="2311" spans="1:15">
      <c r="A2311" s="195" t="str">
        <f t="shared" si="152"/>
        <v>outbound</v>
      </c>
      <c r="B2311" s="196">
        <v>45874.593102777777</v>
      </c>
      <c r="C2311" s="197" t="s">
        <v>1929</v>
      </c>
      <c r="D2311" s="197"/>
      <c r="E2311" s="217" t="s">
        <v>3248</v>
      </c>
      <c r="F2311" s="112" t="str">
        <f>IF(ISBLANK(E2311),"",_xlfn.XLOOKUP(E2311,cannabis_log!C:C,cannabis_log!J:J,"",0,))</f>
        <v>2024121801G7</v>
      </c>
      <c r="G2311" s="112"/>
      <c r="H2311" s="301" t="str">
        <f>IF(ISBLANK(E2311),"",_xlfn.XLOOKUP(E2311,cannabis_log!C:C,cannabis_log!H:H,"",0,1))</f>
        <v>driedflower_labelled</v>
      </c>
      <c r="I2311" s="113">
        <f>IF(ISBLANK(E2311),"",_xlfn.XLOOKUP(E2311,cannabis_log!C:C,cannabis_log!K:K,"NOT FOUND",0,1))</f>
        <v>45849</v>
      </c>
      <c r="J2311" s="303">
        <v>-12</v>
      </c>
      <c r="K2311" s="186">
        <f>IF(N2311="net",0,"")</f>
        <v>0</v>
      </c>
      <c r="L2311" s="288">
        <f t="shared" si="153"/>
        <v>-84</v>
      </c>
      <c r="M2311" s="305"/>
      <c r="N2311" s="112" t="str">
        <f>IF(ISBLANK(E2311),"",_xlfn.XLOOKUP(E2311,cannabis_log!C:C,cannabis_log!T:T,"Not Found",0,))</f>
        <v>net</v>
      </c>
      <c r="O2311" s="180">
        <f>IF(N2311="net",_xlfn.XLOOKUP(E2311,cannabis_log!C:C,cannabis_log!N:N,"NOT FOUND",0,1),IF(N2311="gross",0,""))</f>
        <v>7</v>
      </c>
    </row>
    <row r="2312" spans="1:15">
      <c r="A2312" s="195" t="str">
        <f t="shared" si="152"/>
        <v>outbound</v>
      </c>
      <c r="B2312" s="196">
        <v>45874.593102777777</v>
      </c>
      <c r="C2312" s="197" t="s">
        <v>1929</v>
      </c>
      <c r="D2312" s="197"/>
      <c r="E2312" s="217" t="s">
        <v>3246</v>
      </c>
      <c r="F2312" s="112" t="str">
        <f>IF(ISBLANK(E2312),"",_xlfn.XLOOKUP(E2312,cannabis_log!C:C,cannabis_log!J:J,"",0,))</f>
        <v>PR2516F5P10</v>
      </c>
      <c r="G2312" s="112"/>
      <c r="H2312" s="301" t="str">
        <f>IF(ISBLANK(E2312),"",_xlfn.XLOOKUP(E2312,cannabis_log!C:C,cannabis_log!H:H,"",0,1))</f>
        <v>preroll_labelled</v>
      </c>
      <c r="I2312" s="113">
        <f>IF(ISBLANK(E2312),"",_xlfn.XLOOKUP(E2312,cannabis_log!C:C,cannabis_log!K:K,"NOT FOUND",0,1))</f>
        <v>45859</v>
      </c>
      <c r="J2312" s="303">
        <v>-211</v>
      </c>
      <c r="K2312" s="186">
        <f>IF(N2312="net",0,"")</f>
        <v>0</v>
      </c>
      <c r="L2312" s="288">
        <f t="shared" si="153"/>
        <v>-1055</v>
      </c>
      <c r="M2312" s="305"/>
      <c r="N2312" s="112" t="str">
        <f>IF(ISBLANK(E2312),"",_xlfn.XLOOKUP(E2312,cannabis_log!C:C,cannabis_log!T:T,"Not Found",0,))</f>
        <v>net</v>
      </c>
      <c r="O2312" s="180">
        <f>IF(N2312="net",_xlfn.XLOOKUP(E2312,cannabis_log!C:C,cannabis_log!N:N,"NOT FOUND",0,1),IF(N2312="gross",0,""))</f>
        <v>5</v>
      </c>
    </row>
    <row r="2313" spans="1:15">
      <c r="A2313" s="195" t="str">
        <f t="shared" si="152"/>
        <v>outbound</v>
      </c>
      <c r="B2313" s="196">
        <v>45874.593102777777</v>
      </c>
      <c r="C2313" s="197" t="s">
        <v>1929</v>
      </c>
      <c r="D2313" s="197"/>
      <c r="E2313" s="217" t="s">
        <v>3259</v>
      </c>
      <c r="F2313" s="112" t="str">
        <f>IF(ISBLANK(E2313),"",_xlfn.XLOOKUP(E2313,cannabis_log!C:C,cannabis_log!J:J,"",0,))</f>
        <v>PR241005F5P3</v>
      </c>
      <c r="G2313" s="112"/>
      <c r="H2313" s="301" t="str">
        <f>IF(ISBLANK(E2313),"",_xlfn.XLOOKUP(E2313,cannabis_log!C:C,cannabis_log!H:H,"",0,1))</f>
        <v>preroll_cased_MB</v>
      </c>
      <c r="I2313" s="113">
        <f>IF(ISBLANK(E2313),"",_xlfn.XLOOKUP(E2313,cannabis_log!C:C,cannabis_log!K:K,"NOT FOUND",0,1))</f>
        <v>45575</v>
      </c>
      <c r="J2313" s="303">
        <v>-5</v>
      </c>
      <c r="K2313" s="186">
        <f>IF(N2313="net",0,"")</f>
        <v>0</v>
      </c>
      <c r="L2313" s="288">
        <f t="shared" si="153"/>
        <v>-90</v>
      </c>
      <c r="M2313" s="305"/>
      <c r="N2313" s="112" t="str">
        <f>IF(ISBLANK(E2313),"",_xlfn.XLOOKUP(E2313,cannabis_log!C:C,cannabis_log!T:T,"Not Found",0,))</f>
        <v>net</v>
      </c>
      <c r="O2313" s="180">
        <f>IF(N2313="net",_xlfn.XLOOKUP(E2313,cannabis_log!C:C,cannabis_log!N:N,"NOT FOUND",0,1),IF(N2313="gross",0,""))</f>
        <v>18</v>
      </c>
    </row>
    <row r="2314" spans="1:15">
      <c r="A2314" s="195" t="str">
        <f t="shared" si="152"/>
        <v>outbound</v>
      </c>
      <c r="B2314" s="196">
        <v>45874.593102777777</v>
      </c>
      <c r="C2314" s="197" t="s">
        <v>1929</v>
      </c>
      <c r="D2314" s="197"/>
      <c r="E2314" s="217" t="s">
        <v>3260</v>
      </c>
      <c r="F2314" s="112" t="str">
        <f>IF(ISBLANK(E2314),"",_xlfn.XLOOKUP(E2314,cannabis_log!C:C,cannabis_log!J:J,"",0,))</f>
        <v>PR241005F5P3</v>
      </c>
      <c r="G2314" s="112"/>
      <c r="H2314" s="301" t="str">
        <f>IF(ISBLANK(E2314),"",_xlfn.XLOOKUP(E2314,cannabis_log!C:C,cannabis_log!H:H,"",0,1))</f>
        <v>preroll_cased_MB</v>
      </c>
      <c r="I2314" s="113">
        <f>IF(ISBLANK(E2314),"",_xlfn.XLOOKUP(E2314,cannabis_log!C:C,cannabis_log!K:K,"NOT FOUND",0,1))</f>
        <v>45541</v>
      </c>
      <c r="J2314" s="303">
        <v>-3</v>
      </c>
      <c r="K2314" s="186">
        <f>IF(N2314="net",0,"")</f>
        <v>0</v>
      </c>
      <c r="L2314" s="288">
        <f t="shared" si="153"/>
        <v>-54</v>
      </c>
      <c r="M2314" s="305"/>
      <c r="N2314" s="112" t="str">
        <f>IF(ISBLANK(E2314),"",_xlfn.XLOOKUP(E2314,cannabis_log!C:C,cannabis_log!T:T,"Not Found",0,))</f>
        <v>net</v>
      </c>
      <c r="O2314" s="180">
        <f>IF(N2314="net",_xlfn.XLOOKUP(E2314,cannabis_log!C:C,cannabis_log!N:N,"NOT FOUND",0,1),IF(N2314="gross",0,""))</f>
        <v>18</v>
      </c>
    </row>
    <row r="2315" spans="1:15">
      <c r="A2315" s="195" t="str">
        <f t="shared" si="152"/>
        <v>outbound</v>
      </c>
      <c r="B2315" s="196">
        <v>45874.593102777777</v>
      </c>
      <c r="C2315" s="197" t="s">
        <v>1921</v>
      </c>
      <c r="D2315" s="197"/>
      <c r="E2315" s="217" t="s">
        <v>3201</v>
      </c>
      <c r="F2315" s="112">
        <f>IF(ISBLANK(E2315),"",_xlfn.XLOOKUP(E2315,cannabis_log!C:C,cannabis_log!J:J,"",0,))</f>
        <v>2024121801</v>
      </c>
      <c r="G2315" s="112"/>
      <c r="H2315" s="301" t="str">
        <f>IF(ISBLANK(E2315),"",_xlfn.XLOOKUP(E2315,cannabis_log!C:C,cannabis_log!H:H,"",0,1))</f>
        <v>driedflower_bulk_big</v>
      </c>
      <c r="I2315" s="113" t="str">
        <f>IF(ISBLANK(E2315),"",_xlfn.XLOOKUP(E2315,cannabis_log!C:C,cannabis_log!K:K,"NOT FOUND",0,1))</f>
        <v>NA</v>
      </c>
      <c r="J2315" s="303">
        <v>-1</v>
      </c>
      <c r="K2315" s="186">
        <v>-6950</v>
      </c>
      <c r="L2315" s="288">
        <f t="shared" si="153"/>
        <v>0</v>
      </c>
      <c r="M2315" s="305"/>
      <c r="N2315" s="112" t="str">
        <f>IF(ISBLANK(E2315),"",_xlfn.XLOOKUP(E2315,cannabis_log!C:C,cannabis_log!T:T,"Not Found",0,))</f>
        <v>gross</v>
      </c>
      <c r="O2315" s="180">
        <f>IF(N2315="net",_xlfn.XLOOKUP(E2315,cannabis_log!C:C,cannabis_log!N:N,"NOT FOUND",0,1),IF(N2315="gross",0,""))</f>
        <v>0</v>
      </c>
    </row>
    <row r="2316" spans="1:15">
      <c r="A2316" s="195" t="str">
        <f t="shared" si="152"/>
        <v>inbound</v>
      </c>
      <c r="B2316" s="196">
        <v>45874.669754629627</v>
      </c>
      <c r="C2316" s="197" t="s">
        <v>1929</v>
      </c>
      <c r="D2316" s="197"/>
      <c r="E2316" s="217" t="s">
        <v>2311</v>
      </c>
      <c r="F2316" s="112" t="str">
        <f>IF(ISBLANK(E2316),"",_xlfn.XLOOKUP(E2316,cannabis_log!C:C,cannabis_log!J:J,"",0,))</f>
        <v>PR241104F5P3</v>
      </c>
      <c r="G2316" s="112"/>
      <c r="H2316" s="301" t="str">
        <f>IF(ISBLANK(E2316),"",_xlfn.XLOOKUP(E2316,cannabis_log!C:C,cannabis_log!H:H,"",0,1))</f>
        <v>preroll_labelled</v>
      </c>
      <c r="I2316" s="113">
        <f>IF(ISBLANK(E2316),"",_xlfn.XLOOKUP(E2316,cannabis_log!C:C,cannabis_log!K:K,"NOT FOUND",0,1))</f>
        <v>45588</v>
      </c>
      <c r="J2316" s="303">
        <v>3</v>
      </c>
      <c r="K2316" s="186">
        <f>IF(N2316="net",0,"")</f>
        <v>0</v>
      </c>
      <c r="L2316" s="288">
        <f t="shared" si="153"/>
        <v>4.5</v>
      </c>
      <c r="M2316" s="305"/>
      <c r="N2316" s="112" t="str">
        <f>IF(ISBLANK(E2316),"",_xlfn.XLOOKUP(E2316,cannabis_log!C:C,cannabis_log!T:T,"Not Found",0,))</f>
        <v>net</v>
      </c>
      <c r="O2316" s="180">
        <f>IF(N2316="net",_xlfn.XLOOKUP(E2316,cannabis_log!C:C,cannabis_log!N:N,"NOT FOUND",0,1),IF(N2316="gross",0,""))</f>
        <v>1.5</v>
      </c>
    </row>
    <row r="2317" spans="1:15">
      <c r="A2317" s="195" t="str">
        <f t="shared" si="152"/>
        <v>inbound</v>
      </c>
      <c r="B2317" s="196">
        <v>45874.669754629627</v>
      </c>
      <c r="C2317" s="197" t="s">
        <v>1929</v>
      </c>
      <c r="D2317" s="197"/>
      <c r="E2317" s="217" t="s">
        <v>3098</v>
      </c>
      <c r="F2317" s="112" t="str">
        <f>IF(ISBLANK(E2317),"",_xlfn.XLOOKUP(E2317,cannabis_log!C:C,cannabis_log!J:J,"",0,))</f>
        <v>PR241103F5P3</v>
      </c>
      <c r="G2317" s="112"/>
      <c r="H2317" s="301" t="str">
        <f>IF(ISBLANK(E2317),"",_xlfn.XLOOKUP(E2317,cannabis_log!C:C,cannabis_log!H:H,"",0,1))</f>
        <v>preroll_labelled</v>
      </c>
      <c r="I2317" s="113">
        <f>IF(ISBLANK(E2317),"",_xlfn.XLOOKUP(E2317,cannabis_log!C:C,cannabis_log!K:K,"NOT FOUND",0,1))</f>
        <v>45761</v>
      </c>
      <c r="J2317" s="303">
        <v>10</v>
      </c>
      <c r="K2317" s="186">
        <f>IF(N2317="net",0,"")</f>
        <v>0</v>
      </c>
      <c r="L2317" s="288">
        <f t="shared" si="153"/>
        <v>15</v>
      </c>
      <c r="M2317" s="305"/>
      <c r="N2317" s="112" t="str">
        <f>IF(ISBLANK(E2317),"",_xlfn.XLOOKUP(E2317,cannabis_log!C:C,cannabis_log!T:T,"Not Found",0,))</f>
        <v>net</v>
      </c>
      <c r="O2317" s="180">
        <f>IF(N2317="net",_xlfn.XLOOKUP(E2317,cannabis_log!C:C,cannabis_log!N:N,"NOT FOUND",0,1),IF(N2317="gross",0,""))</f>
        <v>1.5</v>
      </c>
    </row>
    <row r="2318" spans="1:15">
      <c r="A2318" s="195" t="str">
        <f t="shared" si="152"/>
        <v>outbound</v>
      </c>
      <c r="B2318" s="196">
        <v>45874.669754629627</v>
      </c>
      <c r="C2318" s="197" t="s">
        <v>1929</v>
      </c>
      <c r="D2318" s="197" t="s">
        <v>3270</v>
      </c>
      <c r="E2318" s="217" t="s">
        <v>3200</v>
      </c>
      <c r="F2318" s="112" t="str">
        <f>IF(ISBLANK(E2318),"",_xlfn.XLOOKUP(E2318,cannabis_log!C:C,cannabis_log!J:J,"",0,))</f>
        <v>PR2512F5P5</v>
      </c>
      <c r="G2318" s="112"/>
      <c r="H2318" s="301" t="str">
        <f>IF(ISBLANK(E2318),"",_xlfn.XLOOKUP(E2318,cannabis_log!C:C,cannabis_log!H:H,"",0,1))</f>
        <v>preroll_labelled</v>
      </c>
      <c r="I2318" s="113">
        <f>IF(ISBLANK(E2318),"",_xlfn.XLOOKUP(E2318,cannabis_log!C:C,cannabis_log!K:K,"NOT FOUND",0,1))</f>
        <v>45833</v>
      </c>
      <c r="J2318" s="303">
        <v>-29</v>
      </c>
      <c r="K2318" s="186">
        <f>IF(N2318="net",0,"")</f>
        <v>0</v>
      </c>
      <c r="L2318" s="288">
        <f t="shared" si="153"/>
        <v>-72.5</v>
      </c>
      <c r="M2318" s="305"/>
      <c r="N2318" s="112" t="str">
        <f>IF(ISBLANK(E2318),"",_xlfn.XLOOKUP(E2318,cannabis_log!C:C,cannabis_log!T:T,"Not Found",0,))</f>
        <v>net</v>
      </c>
      <c r="O2318" s="180">
        <f>IF(N2318="net",_xlfn.XLOOKUP(E2318,cannabis_log!C:C,cannabis_log!N:N,"NOT FOUND",0,1),IF(N2318="gross",0,""))</f>
        <v>2.5</v>
      </c>
    </row>
    <row r="2319" spans="1:15">
      <c r="A2319" s="195" t="str">
        <f t="shared" si="152"/>
        <v>outbound</v>
      </c>
      <c r="B2319" s="196">
        <v>45874.669754629627</v>
      </c>
      <c r="C2319" s="197" t="s">
        <v>1929</v>
      </c>
      <c r="D2319" s="197" t="s">
        <v>3270</v>
      </c>
      <c r="E2319" s="217" t="s">
        <v>3271</v>
      </c>
      <c r="F2319" s="112" t="str">
        <f>IF(ISBLANK(E2319),"",_xlfn.XLOOKUP(E2319,cannabis_log!C:C,cannabis_log!J:J,"",0,))</f>
        <v>EX25041401V30</v>
      </c>
      <c r="G2319" s="112"/>
      <c r="H2319" s="301" t="str">
        <f>IF(ISBLANK(E2319),"",_xlfn.XLOOKUP(E2319,cannabis_log!C:C,cannabis_log!H:H,"",0,1))</f>
        <v>extract_ingested_labelled</v>
      </c>
      <c r="I2319" s="113">
        <f>IF(ISBLANK(E2319),"",_xlfn.XLOOKUP(E2319,cannabis_log!C:C,cannabis_log!K:K,"NOT FOUND",0,1))</f>
        <v>45777</v>
      </c>
      <c r="J2319" s="303">
        <v>-48</v>
      </c>
      <c r="K2319" s="186">
        <f>IF(N2319="net",0,"")</f>
        <v>0</v>
      </c>
      <c r="L2319" s="288">
        <f t="shared" si="153"/>
        <v>-1310.4000000000001</v>
      </c>
      <c r="M2319" s="305"/>
      <c r="N2319" s="112" t="str">
        <f>IF(ISBLANK(E2319),"",_xlfn.XLOOKUP(E2319,cannabis_log!C:C,cannabis_log!T:T,"Not Found",0,))</f>
        <v>net</v>
      </c>
      <c r="O2319" s="180">
        <f>IF(N2319="net",_xlfn.XLOOKUP(E2319,cannabis_log!C:C,cannabis_log!N:N,"NOT FOUND",0,1),IF(N2319="gross",0,""))</f>
        <v>27.3</v>
      </c>
    </row>
    <row r="2320" spans="1:15">
      <c r="A2320" s="195" t="str">
        <f t="shared" si="152"/>
        <v>outbound</v>
      </c>
      <c r="B2320" s="196">
        <v>45875.374793750001</v>
      </c>
      <c r="C2320" s="197" t="s">
        <v>1921</v>
      </c>
      <c r="D2320" s="197"/>
      <c r="E2320" s="217" t="s">
        <v>3272</v>
      </c>
      <c r="F2320" s="112" t="str">
        <f>IF(ISBLANK(E2320),"",_xlfn.XLOOKUP(E2320,cannabis_log!C:C,cannabis_log!J:J,"",0,))</f>
        <v>PR2512</v>
      </c>
      <c r="G2320" s="112"/>
      <c r="H2320" s="301" t="str">
        <f>IF(ISBLANK(E2320),"",_xlfn.XLOOKUP(E2320,cannabis_log!C:C,cannabis_log!H:H,"",0,1))</f>
        <v>diredflower_milled_bulk_Rohan</v>
      </c>
      <c r="I2320" s="113" t="str">
        <f>IF(ISBLANK(E2320),"",_xlfn.XLOOKUP(E2320,cannabis_log!C:C,cannabis_log!K:K,"NOT FOUND",0,1))</f>
        <v>NA</v>
      </c>
      <c r="J2320" s="303">
        <v>-1</v>
      </c>
      <c r="K2320" s="186">
        <v>-4772</v>
      </c>
      <c r="L2320" s="288">
        <f t="shared" si="153"/>
        <v>0</v>
      </c>
      <c r="M2320" s="305"/>
      <c r="N2320" s="112" t="str">
        <f>IF(ISBLANK(E2320),"",_xlfn.XLOOKUP(E2320,cannabis_log!C:C,cannabis_log!T:T,"Not Found",0,))</f>
        <v>gross</v>
      </c>
      <c r="O2320" s="180">
        <f>IF(N2320="net",_xlfn.XLOOKUP(E2320,cannabis_log!C:C,cannabis_log!N:N,"NOT FOUND",0,1),IF(N2320="gross",0,""))</f>
        <v>0</v>
      </c>
    </row>
    <row r="2321" spans="1:15">
      <c r="A2321" s="195" t="str">
        <f t="shared" si="152"/>
        <v>outbound</v>
      </c>
      <c r="B2321" s="196">
        <v>45875.430192824075</v>
      </c>
      <c r="C2321" s="197" t="s">
        <v>1921</v>
      </c>
      <c r="D2321" s="197"/>
      <c r="E2321" s="217" t="s">
        <v>3273</v>
      </c>
      <c r="F2321" s="112">
        <f>IF(ISBLANK(E2321),"",_xlfn.XLOOKUP(E2321,cannabis_log!C:C,cannabis_log!J:J,"",0,))</f>
        <v>2025060401</v>
      </c>
      <c r="G2321" s="112"/>
      <c r="H2321" s="301" t="str">
        <f>IF(ISBLANK(E2321),"",_xlfn.XLOOKUP(E2321,cannabis_log!C:C,cannabis_log!H:H,"",0,1))</f>
        <v>driedflower_bulk</v>
      </c>
      <c r="I2321" s="113" t="str">
        <f>IF(ISBLANK(E2321),"",_xlfn.XLOOKUP(E2321,cannabis_log!C:C,cannabis_log!K:K,"NOT FOUND",0,1))</f>
        <v>NA</v>
      </c>
      <c r="J2321" s="303">
        <v>-1</v>
      </c>
      <c r="K2321" s="186">
        <v>-7800</v>
      </c>
      <c r="L2321" s="288">
        <f t="shared" si="153"/>
        <v>0</v>
      </c>
      <c r="M2321" s="305"/>
      <c r="N2321" s="112" t="str">
        <f>IF(ISBLANK(E2321),"",_xlfn.XLOOKUP(E2321,cannabis_log!C:C,cannabis_log!T:T,"Not Found",0,))</f>
        <v>gross</v>
      </c>
      <c r="O2321" s="180">
        <f>IF(N2321="net",_xlfn.XLOOKUP(E2321,cannabis_log!C:C,cannabis_log!N:N,"NOT FOUND",0,1),IF(N2321="gross",0,""))</f>
        <v>0</v>
      </c>
    </row>
    <row r="2322" spans="1:15">
      <c r="A2322" s="195" t="str">
        <f t="shared" si="152"/>
        <v>outbound</v>
      </c>
      <c r="B2322" s="196">
        <v>45875.548625347219</v>
      </c>
      <c r="C2322" s="197" t="s">
        <v>1929</v>
      </c>
      <c r="D2322" s="197" t="s">
        <v>3274</v>
      </c>
      <c r="E2322" s="217" t="s">
        <v>3013</v>
      </c>
      <c r="F2322" s="112" t="str">
        <f>IF(ISBLANK(E2322),"",_xlfn.XLOOKUP(E2322,cannabis_log!C:C,cannabis_log!J:J,"",0,))</f>
        <v>PR2303IN02F5P3</v>
      </c>
      <c r="G2322" s="112"/>
      <c r="H2322" s="301" t="str">
        <f>IF(ISBLANK(E2322),"",_xlfn.XLOOKUP(E2322,cannabis_log!C:C,cannabis_log!H:H,"",0,1))</f>
        <v>infusedpreroll_cased_AB_RTV</v>
      </c>
      <c r="I2322" s="113">
        <f>IF(ISBLANK(E2322),"",_xlfn.XLOOKUP(E2322,cannabis_log!C:C,cannabis_log!K:K,"NOT FOUND",0,1))</f>
        <v>45478</v>
      </c>
      <c r="J2322" s="303">
        <v>-24</v>
      </c>
      <c r="K2322" s="186">
        <f>IF(N2322="net",0,"")</f>
        <v>0</v>
      </c>
      <c r="L2322" s="288">
        <f t="shared" si="153"/>
        <v>-216</v>
      </c>
      <c r="M2322" s="305"/>
      <c r="N2322" s="112" t="str">
        <f>IF(ISBLANK(E2322),"",_xlfn.XLOOKUP(E2322,cannabis_log!C:C,cannabis_log!T:T,"Not Found",0,))</f>
        <v>net</v>
      </c>
      <c r="O2322" s="180">
        <f>IF(N2322="net",_xlfn.XLOOKUP(E2322,cannabis_log!C:C,cannabis_log!N:N,"NOT FOUND",0,1),IF(N2322="gross",0,""))</f>
        <v>9</v>
      </c>
    </row>
    <row r="2323" spans="1:15">
      <c r="A2323" s="195" t="str">
        <f t="shared" si="152"/>
        <v>outbound</v>
      </c>
      <c r="B2323" s="196">
        <v>45875.548625347219</v>
      </c>
      <c r="C2323" s="197" t="s">
        <v>1929</v>
      </c>
      <c r="D2323" s="197" t="s">
        <v>3274</v>
      </c>
      <c r="E2323" s="217" t="s">
        <v>3245</v>
      </c>
      <c r="F2323" s="112" t="str">
        <f>IF(ISBLANK(E2323),"",_xlfn.XLOOKUP(E2323,cannabis_log!C:C,cannabis_log!J:J,"",0,))</f>
        <v>PR251908F5P12</v>
      </c>
      <c r="G2323" s="112"/>
      <c r="H2323" s="301" t="str">
        <f>IF(ISBLANK(E2323),"",_xlfn.XLOOKUP(E2323,cannabis_log!C:C,cannabis_log!H:H,"",0,1))</f>
        <v>preroll_labelled</v>
      </c>
      <c r="I2323" s="113">
        <f>IF(ISBLANK(E2323),"",_xlfn.XLOOKUP(E2323,cannabis_log!C:C,cannabis_log!K:K,"NOT FOUND",0,1))</f>
        <v>45854</v>
      </c>
      <c r="J2323" s="303">
        <v>-12</v>
      </c>
      <c r="K2323" s="186">
        <f>IF(N2323="net",0,"")</f>
        <v>0</v>
      </c>
      <c r="L2323" s="288">
        <f t="shared" si="153"/>
        <v>-72</v>
      </c>
      <c r="M2323" s="305"/>
      <c r="N2323" s="112" t="str">
        <f>IF(ISBLANK(E2323),"",_xlfn.XLOOKUP(E2323,cannabis_log!C:C,cannabis_log!T:T,"Not Found",0,))</f>
        <v>net</v>
      </c>
      <c r="O2323" s="180">
        <f>IF(N2323="net",_xlfn.XLOOKUP(E2323,cannabis_log!C:C,cannabis_log!N:N,"NOT FOUND",0,1),IF(N2323="gross",0,""))</f>
        <v>6</v>
      </c>
    </row>
    <row r="2324" spans="1:15">
      <c r="A2324" s="195" t="str">
        <f t="shared" si="152"/>
        <v>inbound</v>
      </c>
      <c r="B2324" s="196">
        <v>45875.67871226852</v>
      </c>
      <c r="C2324" s="197" t="s">
        <v>1927</v>
      </c>
      <c r="D2324" s="197"/>
      <c r="E2324" s="217" t="s">
        <v>3272</v>
      </c>
      <c r="F2324" s="112" t="str">
        <f>IF(ISBLANK(E2324),"",_xlfn.XLOOKUP(E2324,cannabis_log!C:C,cannabis_log!J:J,"",0,))</f>
        <v>PR2512</v>
      </c>
      <c r="G2324" s="112"/>
      <c r="H2324" s="301" t="str">
        <f>IF(ISBLANK(E2324),"",_xlfn.XLOOKUP(E2324,cannabis_log!C:C,cannabis_log!H:H,"",0,1))</f>
        <v>diredflower_milled_bulk_Rohan</v>
      </c>
      <c r="I2324" s="113" t="str">
        <f>IF(ISBLANK(E2324),"",_xlfn.XLOOKUP(E2324,cannabis_log!C:C,cannabis_log!K:K,"NOT FOUND",0,1))</f>
        <v>NA</v>
      </c>
      <c r="J2324" s="303">
        <v>1</v>
      </c>
      <c r="K2324" s="186">
        <v>4416</v>
      </c>
      <c r="L2324" s="288">
        <f t="shared" si="153"/>
        <v>0</v>
      </c>
      <c r="M2324" s="305"/>
      <c r="N2324" s="112" t="str">
        <f>IF(ISBLANK(E2324),"",_xlfn.XLOOKUP(E2324,cannabis_log!C:C,cannabis_log!T:T,"Not Found",0,))</f>
        <v>gross</v>
      </c>
      <c r="O2324" s="180">
        <f>IF(N2324="net",_xlfn.XLOOKUP(E2324,cannabis_log!C:C,cannabis_log!N:N,"NOT FOUND",0,1),IF(N2324="gross",0,""))</f>
        <v>0</v>
      </c>
    </row>
    <row r="2325" spans="1:15">
      <c r="A2325" s="195" t="str">
        <f t="shared" si="152"/>
        <v>outbound</v>
      </c>
      <c r="B2325" s="196">
        <v>45875.705123726853</v>
      </c>
      <c r="C2325" s="197" t="s">
        <v>1929</v>
      </c>
      <c r="D2325" s="197" t="s">
        <v>3274</v>
      </c>
      <c r="E2325" s="217" t="s">
        <v>3275</v>
      </c>
      <c r="F2325" s="112" t="str">
        <f>IF(ISBLANK(E2325),"",_xlfn.XLOOKUP(E2325,cannabis_log!C:C,cannabis_log!J:J,"",0,))</f>
        <v>PR251905F5P3</v>
      </c>
      <c r="G2325" s="112"/>
      <c r="H2325" s="301" t="str">
        <f>IF(ISBLANK(E2325),"",_xlfn.XLOOKUP(E2325,cannabis_log!C:C,cannabis_log!H:H,"",0,1))</f>
        <v>preroll_labelled</v>
      </c>
      <c r="I2325" s="113">
        <f>IF(ISBLANK(E2325),"",_xlfn.XLOOKUP(E2325,cannabis_log!C:C,cannabis_log!K:K,"NOT FOUND",0,1))</f>
        <v>45859</v>
      </c>
      <c r="J2325" s="303">
        <v>-24</v>
      </c>
      <c r="K2325" s="186">
        <f>IF(N2325="net",0,"")</f>
        <v>0</v>
      </c>
      <c r="L2325" s="288">
        <f t="shared" si="153"/>
        <v>-36</v>
      </c>
      <c r="M2325" s="305"/>
      <c r="N2325" s="112" t="str">
        <f>IF(ISBLANK(E2325),"",_xlfn.XLOOKUP(E2325,cannabis_log!C:C,cannabis_log!T:T,"Not Found",0,))</f>
        <v>net</v>
      </c>
      <c r="O2325" s="180">
        <f>IF(N2325="net",_xlfn.XLOOKUP(E2325,cannabis_log!C:C,cannabis_log!N:N,"NOT FOUND",0,1),IF(N2325="gross",0,""))</f>
        <v>1.5</v>
      </c>
    </row>
    <row r="2326" spans="1:15">
      <c r="A2326" s="195" t="str">
        <f t="shared" si="152"/>
        <v>outbound</v>
      </c>
      <c r="B2326" s="196">
        <v>45875.706774305552</v>
      </c>
      <c r="C2326" s="197" t="s">
        <v>1929</v>
      </c>
      <c r="D2326" s="197" t="s">
        <v>3274</v>
      </c>
      <c r="E2326" s="217" t="s">
        <v>3236</v>
      </c>
      <c r="F2326" s="112" t="str">
        <f>IF(ISBLANK(E2326),"",_xlfn.XLOOKUP(E2326,cannabis_log!C:C,cannabis_log!J:J,"",0,))</f>
        <v>PR241102F5P3</v>
      </c>
      <c r="G2326" s="112"/>
      <c r="H2326" s="301" t="str">
        <f>IF(ISBLANK(E2326),"",_xlfn.XLOOKUP(E2326,cannabis_log!C:C,cannabis_log!H:H,"",0,1))</f>
        <v>preroll_labelled</v>
      </c>
      <c r="I2326" s="113">
        <f>IF(ISBLANK(E2326),"",_xlfn.XLOOKUP(E2326,cannabis_log!C:C,cannabis_log!K:K,"NOT FOUND",0,1))</f>
        <v>45854</v>
      </c>
      <c r="J2326" s="303">
        <v>-24</v>
      </c>
      <c r="K2326" s="186">
        <f>IF(N2326="net",0,"")</f>
        <v>0</v>
      </c>
      <c r="L2326" s="288">
        <f t="shared" si="153"/>
        <v>-36</v>
      </c>
      <c r="M2326" s="305"/>
      <c r="N2326" s="112" t="str">
        <f>IF(ISBLANK(E2326),"",_xlfn.XLOOKUP(E2326,cannabis_log!C:C,cannabis_log!T:T,"Not Found",0,))</f>
        <v>net</v>
      </c>
      <c r="O2326" s="180">
        <f>IF(N2326="net",_xlfn.XLOOKUP(E2326,cannabis_log!C:C,cannabis_log!N:N,"NOT FOUND",0,1),IF(N2326="gross",0,""))</f>
        <v>1.5</v>
      </c>
    </row>
    <row r="2327" spans="1:15">
      <c r="A2327" s="195" t="str">
        <f t="shared" si="152"/>
        <v>outbound</v>
      </c>
      <c r="B2327" s="196">
        <v>45875.706774305552</v>
      </c>
      <c r="C2327" s="197" t="s">
        <v>1929</v>
      </c>
      <c r="D2327" s="197" t="s">
        <v>3274</v>
      </c>
      <c r="E2327" s="217" t="s">
        <v>3012</v>
      </c>
      <c r="F2327" s="112" t="str">
        <f>IF(ISBLANK(E2327),"",_xlfn.XLOOKUP(E2327,cannabis_log!C:C,cannabis_log!J:J,"",0,))</f>
        <v>LR23032101</v>
      </c>
      <c r="G2327" s="112"/>
      <c r="H2327" s="301" t="str">
        <f>IF(ISBLANK(E2327),"",_xlfn.XLOOKUP(E2327,cannabis_log!C:C,cannabis_log!H:H,"",0,1))</f>
        <v>extract_inhaled_labelled</v>
      </c>
      <c r="I2327" s="113">
        <f>IF(ISBLANK(E2327),"",_xlfn.XLOOKUP(E2327,cannabis_log!C:C,cannabis_log!K:K,"NOT FOUND",0,1))</f>
        <v>45793</v>
      </c>
      <c r="J2327" s="303">
        <v>-6</v>
      </c>
      <c r="K2327" s="186">
        <f>IF(N2327="net",0,"")</f>
        <v>0</v>
      </c>
      <c r="L2327" s="288">
        <f t="shared" si="153"/>
        <v>-6</v>
      </c>
      <c r="M2327" s="305"/>
      <c r="N2327" s="112" t="str">
        <f>IF(ISBLANK(E2327),"",_xlfn.XLOOKUP(E2327,cannabis_log!C:C,cannabis_log!T:T,"Not Found",0,))</f>
        <v>net</v>
      </c>
      <c r="O2327" s="180">
        <f>IF(N2327="net",_xlfn.XLOOKUP(E2327,cannabis_log!C:C,cannabis_log!N:N,"NOT FOUND",0,1),IF(N2327="gross",0,""))</f>
        <v>1</v>
      </c>
    </row>
    <row r="2328" spans="1:15">
      <c r="A2328" s="195" t="str">
        <f t="shared" si="152"/>
        <v>outbound</v>
      </c>
      <c r="B2328" s="196">
        <v>45876.400266203702</v>
      </c>
      <c r="C2328" s="197" t="s">
        <v>1921</v>
      </c>
      <c r="D2328" s="197"/>
      <c r="E2328" s="217" t="s">
        <v>3276</v>
      </c>
      <c r="F2328" s="112">
        <f>IF(ISBLANK(E2328),"",_xlfn.XLOOKUP(E2328,cannabis_log!C:C,cannabis_log!J:J,"",0,))</f>
        <v>2025060401</v>
      </c>
      <c r="G2328" s="112"/>
      <c r="H2328" s="301" t="str">
        <f>IF(ISBLANK(E2328),"",_xlfn.XLOOKUP(E2328,cannabis_log!C:C,cannabis_log!H:H,"",0,1))</f>
        <v>driedflower_bulk</v>
      </c>
      <c r="I2328" s="113" t="str">
        <f>IF(ISBLANK(E2328),"",_xlfn.XLOOKUP(E2328,cannabis_log!C:C,cannabis_log!K:K,"NOT FOUND",0,1))</f>
        <v>NA</v>
      </c>
      <c r="J2328" s="303">
        <v>-1</v>
      </c>
      <c r="K2328" s="186">
        <v>-5560</v>
      </c>
      <c r="L2328" s="288">
        <f t="shared" si="153"/>
        <v>0</v>
      </c>
      <c r="M2328" s="305"/>
      <c r="N2328" s="112" t="str">
        <f>IF(ISBLANK(E2328),"",_xlfn.XLOOKUP(E2328,cannabis_log!C:C,cannabis_log!T:T,"Not Found",0,))</f>
        <v>gross</v>
      </c>
      <c r="O2328" s="180">
        <f>IF(N2328="net",_xlfn.XLOOKUP(E2328,cannabis_log!C:C,cannabis_log!N:N,"NOT FOUND",0,1),IF(N2328="gross",0,""))</f>
        <v>0</v>
      </c>
    </row>
    <row r="2329" spans="1:15">
      <c r="A2329" s="195" t="str">
        <f t="shared" si="152"/>
        <v>outbound</v>
      </c>
      <c r="B2329" s="196">
        <v>45876.481537731481</v>
      </c>
      <c r="C2329" s="197" t="s">
        <v>1929</v>
      </c>
      <c r="D2329" s="197" t="s">
        <v>3277</v>
      </c>
      <c r="E2329" s="217" t="s">
        <v>3208</v>
      </c>
      <c r="F2329" s="112" t="str">
        <f>IF(ISBLANK(E2329),"",_xlfn.XLOOKUP(E2329,cannabis_log!C:C,cannabis_log!J:J,"",0,))</f>
        <v>TP24120401G45</v>
      </c>
      <c r="G2329" s="112"/>
      <c r="H2329" s="301" t="str">
        <f>IF(ISBLANK(E2329),"",_xlfn.XLOOKUP(E2329,cannabis_log!C:C,cannabis_log!H:H,"",0,1))</f>
        <v>topical_labelled</v>
      </c>
      <c r="I2329" s="113">
        <f>IF(ISBLANK(E2329),"",_xlfn.XLOOKUP(E2329,cannabis_log!C:C,cannabis_log!K:K,"NOT FOUND",0,1))</f>
        <v>45638</v>
      </c>
      <c r="J2329" s="303">
        <v>-12</v>
      </c>
      <c r="K2329" s="186">
        <f t="shared" ref="K2329:K2337" si="154">IF(N2329="net",0,"")</f>
        <v>0</v>
      </c>
      <c r="L2329" s="288">
        <f t="shared" si="153"/>
        <v>-540</v>
      </c>
      <c r="M2329" s="305"/>
      <c r="N2329" s="112" t="str">
        <f>IF(ISBLANK(E2329),"",_xlfn.XLOOKUP(E2329,cannabis_log!C:C,cannabis_log!T:T,"Not Found",0,))</f>
        <v>net</v>
      </c>
      <c r="O2329" s="180">
        <f>IF(N2329="net",_xlfn.XLOOKUP(E2329,cannabis_log!C:C,cannabis_log!N:N,"NOT FOUND",0,1),IF(N2329="gross",0,""))</f>
        <v>45</v>
      </c>
    </row>
    <row r="2330" spans="1:15">
      <c r="A2330" s="195" t="str">
        <f t="shared" si="152"/>
        <v>outbound</v>
      </c>
      <c r="B2330" s="196">
        <v>45876.60818275463</v>
      </c>
      <c r="C2330" s="197" t="s">
        <v>1929</v>
      </c>
      <c r="D2330" s="197" t="s">
        <v>3278</v>
      </c>
      <c r="E2330" s="217" t="s">
        <v>3199</v>
      </c>
      <c r="F2330" s="112" t="str">
        <f>IF(ISBLANK(E2330),"",_xlfn.XLOOKUP(E2330,cannabis_log!C:C,cannabis_log!J:J,"",0,))</f>
        <v>EX25050501V50</v>
      </c>
      <c r="G2330" s="112"/>
      <c r="H2330" s="301" t="str">
        <f>IF(ISBLANK(E2330),"",_xlfn.XLOOKUP(E2330,cannabis_log!C:C,cannabis_log!H:H,"",0,1))</f>
        <v>extract_ingested_cased_BC</v>
      </c>
      <c r="I2330" s="113">
        <f>IF(ISBLANK(E2330),"",_xlfn.XLOOKUP(E2330,cannabis_log!C:C,cannabis_log!K:K,"NOT FOUND",0,1))</f>
        <v>45790</v>
      </c>
      <c r="J2330" s="303">
        <v>-2</v>
      </c>
      <c r="K2330" s="186">
        <f t="shared" si="154"/>
        <v>0</v>
      </c>
      <c r="L2330" s="288">
        <f t="shared" si="153"/>
        <v>-100</v>
      </c>
      <c r="M2330" s="305"/>
      <c r="N2330" s="112" t="str">
        <f>IF(ISBLANK(E2330),"",_xlfn.XLOOKUP(E2330,cannabis_log!C:C,cannabis_log!T:T,"Not Found",0,))</f>
        <v>net</v>
      </c>
      <c r="O2330" s="180">
        <f>IF(N2330="net",_xlfn.XLOOKUP(E2330,cannabis_log!C:C,cannabis_log!N:N,"NOT FOUND",0,1),IF(N2330="gross",0,""))</f>
        <v>50</v>
      </c>
    </row>
    <row r="2331" spans="1:15">
      <c r="A2331" s="195" t="str">
        <f t="shared" si="152"/>
        <v>outbound</v>
      </c>
      <c r="B2331" s="196">
        <v>45876.60818275463</v>
      </c>
      <c r="C2331" s="197" t="s">
        <v>1929</v>
      </c>
      <c r="D2331" s="197" t="s">
        <v>3278</v>
      </c>
      <c r="E2331" s="217" t="s">
        <v>3197</v>
      </c>
      <c r="F2331" s="112" t="str">
        <f>IF(ISBLANK(E2331),"",_xlfn.XLOOKUP(E2331,cannabis_log!C:C,cannabis_log!J:J,"",0,))</f>
        <v>EX24092601V50</v>
      </c>
      <c r="G2331" s="112"/>
      <c r="H2331" s="301" t="str">
        <f>IF(ISBLANK(E2331),"",_xlfn.XLOOKUP(E2331,cannabis_log!C:C,cannabis_log!H:H,"",0,1))</f>
        <v>extract_ingested_cased_BC</v>
      </c>
      <c r="I2331" s="113">
        <f>IF(ISBLANK(E2331),"",_xlfn.XLOOKUP(E2331,cannabis_log!C:C,cannabis_log!K:K,"NOT FOUND",0,1))</f>
        <v>45576</v>
      </c>
      <c r="J2331" s="303">
        <v>-2</v>
      </c>
      <c r="K2331" s="186">
        <f t="shared" si="154"/>
        <v>0</v>
      </c>
      <c r="L2331" s="288">
        <f t="shared" si="153"/>
        <v>-1200</v>
      </c>
      <c r="M2331" s="305"/>
      <c r="N2331" s="112" t="str">
        <f>IF(ISBLANK(E2331),"",_xlfn.XLOOKUP(E2331,cannabis_log!C:C,cannabis_log!T:T,"Not Found",0,))</f>
        <v>net</v>
      </c>
      <c r="O2331" s="180">
        <f>IF(N2331="net",_xlfn.XLOOKUP(E2331,cannabis_log!C:C,cannabis_log!N:N,"NOT FOUND",0,1),IF(N2331="gross",0,""))</f>
        <v>600</v>
      </c>
    </row>
    <row r="2332" spans="1:15">
      <c r="A2332" s="195" t="str">
        <f t="shared" si="152"/>
        <v>outbound</v>
      </c>
      <c r="B2332" s="196">
        <v>45875.430192824075</v>
      </c>
      <c r="C2332" s="197" t="s">
        <v>1921</v>
      </c>
      <c r="D2332" s="197"/>
      <c r="E2332" s="217" t="s">
        <v>3038</v>
      </c>
      <c r="F2332" s="112" t="str">
        <f>IF(ISBLANK(E2332),"",_xlfn.XLOOKUP(E2332,cannabis_log!C:C,cannabis_log!J:J,"",0,))</f>
        <v>EX25050501V50</v>
      </c>
      <c r="G2332" s="112"/>
      <c r="H2332" s="301" t="str">
        <f>IF(ISBLANK(E2332),"",_xlfn.XLOOKUP(E2332,cannabis_log!C:C,cannabis_log!H:H,"",0,1))</f>
        <v>extract_ingested_packaged</v>
      </c>
      <c r="I2332" s="113">
        <f>IF(ISBLANK(E2332),"",_xlfn.XLOOKUP(E2332,cannabis_log!C:C,cannabis_log!K:K,"NOT FOUND",0,1))</f>
        <v>45790</v>
      </c>
      <c r="J2332" s="303">
        <v>-34</v>
      </c>
      <c r="K2332" s="186">
        <f t="shared" si="154"/>
        <v>0</v>
      </c>
      <c r="L2332" s="288">
        <f t="shared" si="153"/>
        <v>-1700</v>
      </c>
      <c r="M2332" s="305"/>
      <c r="N2332" s="112" t="str">
        <f>IF(ISBLANK(E2332),"",_xlfn.XLOOKUP(E2332,cannabis_log!C:C,cannabis_log!T:T,"Not Found",0,))</f>
        <v>net</v>
      </c>
      <c r="O2332" s="180">
        <f>IF(N2332="net",_xlfn.XLOOKUP(E2332,cannabis_log!C:C,cannabis_log!N:N,"NOT FOUND",0,1),IF(N2332="gross",0,""))</f>
        <v>50</v>
      </c>
    </row>
    <row r="2333" spans="1:15">
      <c r="A2333" s="195" t="str">
        <f t="shared" si="152"/>
        <v>outbound</v>
      </c>
      <c r="B2333" s="196">
        <v>45876.60818275463</v>
      </c>
      <c r="C2333" s="197" t="s">
        <v>1929</v>
      </c>
      <c r="D2333" s="197" t="s">
        <v>3278</v>
      </c>
      <c r="E2333" s="217" t="s">
        <v>3263</v>
      </c>
      <c r="F2333" s="112" t="str">
        <f>IF(ISBLANK(E2333),"",_xlfn.XLOOKUP(E2333,cannabis_log!C:C,cannabis_log!J:J,"",0,))</f>
        <v>EX2411302G05</v>
      </c>
      <c r="G2333" s="112"/>
      <c r="H2333" s="301" t="str">
        <f>IF(ISBLANK(E2333),"",_xlfn.XLOOKUP(E2333,cannabis_log!C:C,cannabis_log!H:H,"",0,1))</f>
        <v>extract_inhaled_cased_SK_RTV</v>
      </c>
      <c r="I2333" s="113">
        <f>IF(ISBLANK(E2333),"",_xlfn.XLOOKUP(E2333,cannabis_log!C:C,cannabis_log!K:K,"NOT FOUND",0,1))</f>
        <v>45623</v>
      </c>
      <c r="J2333" s="303">
        <v>-1</v>
      </c>
      <c r="K2333" s="186">
        <f t="shared" si="154"/>
        <v>0</v>
      </c>
      <c r="L2333" s="288">
        <f t="shared" si="153"/>
        <v>-6</v>
      </c>
      <c r="M2333" s="305"/>
      <c r="N2333" s="112" t="str">
        <f>IF(ISBLANK(E2333),"",_xlfn.XLOOKUP(E2333,cannabis_log!C:C,cannabis_log!T:T,"Not Found",0,))</f>
        <v>net</v>
      </c>
      <c r="O2333" s="180">
        <f>IF(N2333="net",_xlfn.XLOOKUP(E2333,cannabis_log!C:C,cannabis_log!N:N,"NOT FOUND",0,1),IF(N2333="gross",0,""))</f>
        <v>6</v>
      </c>
    </row>
    <row r="2334" spans="1:15">
      <c r="A2334" s="195" t="str">
        <f t="shared" si="152"/>
        <v>outbound</v>
      </c>
      <c r="B2334" s="196">
        <v>45876.60818275463</v>
      </c>
      <c r="C2334" s="197" t="s">
        <v>1929</v>
      </c>
      <c r="D2334" s="197" t="s">
        <v>3278</v>
      </c>
      <c r="E2334" s="217" t="s">
        <v>3191</v>
      </c>
      <c r="F2334" s="112" t="str">
        <f>IF(ISBLANK(E2334),"",_xlfn.XLOOKUP(E2334,cannabis_log!C:C,cannabis_log!J:J,"",0,))</f>
        <v>PR2516F1P2</v>
      </c>
      <c r="G2334" s="112"/>
      <c r="H2334" s="301" t="str">
        <f>IF(ISBLANK(E2334),"",_xlfn.XLOOKUP(E2334,cannabis_log!C:C,cannabis_log!H:H,"",0,1))</f>
        <v>preroll_labelled</v>
      </c>
      <c r="I2334" s="113">
        <f>IF(ISBLANK(E2334),"",_xlfn.XLOOKUP(E2334,cannabis_log!C:C,cannabis_log!K:K,"NOT FOUND",0,1))</f>
        <v>45831</v>
      </c>
      <c r="J2334" s="303">
        <v>-24</v>
      </c>
      <c r="K2334" s="186">
        <f t="shared" si="154"/>
        <v>0</v>
      </c>
      <c r="L2334" s="288">
        <f t="shared" si="153"/>
        <v>-48</v>
      </c>
      <c r="M2334" s="305"/>
      <c r="N2334" s="112" t="str">
        <f>IF(ISBLANK(E2334),"",_xlfn.XLOOKUP(E2334,cannabis_log!C:C,cannabis_log!T:T,"Not Found",0,))</f>
        <v>net</v>
      </c>
      <c r="O2334" s="180">
        <f>IF(N2334="net",_xlfn.XLOOKUP(E2334,cannabis_log!C:C,cannabis_log!N:N,"NOT FOUND",0,1),IF(N2334="gross",0,""))</f>
        <v>2</v>
      </c>
    </row>
    <row r="2335" spans="1:15">
      <c r="A2335" s="195" t="str">
        <f t="shared" si="152"/>
        <v>outbound</v>
      </c>
      <c r="B2335" s="196">
        <v>45876.60818275463</v>
      </c>
      <c r="C2335" s="197" t="s">
        <v>1929</v>
      </c>
      <c r="D2335" s="197" t="s">
        <v>3278</v>
      </c>
      <c r="E2335" s="217" t="s">
        <v>3279</v>
      </c>
      <c r="F2335" s="112" t="str">
        <f>IF(ISBLANK(E2335),"",_xlfn.XLOOKUP(E2335,cannabis_log!C:C,cannabis_log!J:J,"",0,))</f>
        <v>EX25012101V50</v>
      </c>
      <c r="G2335" s="112"/>
      <c r="H2335" s="301" t="str">
        <f>IF(ISBLANK(E2335),"",_xlfn.XLOOKUP(E2335,cannabis_log!C:C,cannabis_log!H:H,"",0,1))</f>
        <v>extract_ingested_cased_BC</v>
      </c>
      <c r="I2335" s="113">
        <f>IF(ISBLANK(E2335),"",_xlfn.XLOOKUP(E2335,cannabis_log!C:C,cannabis_log!K:K,"NOT FOUND",0,1))</f>
        <v>45700</v>
      </c>
      <c r="J2335" s="303">
        <v>-2</v>
      </c>
      <c r="K2335" s="186">
        <f t="shared" si="154"/>
        <v>0</v>
      </c>
      <c r="L2335" s="288">
        <f t="shared" si="153"/>
        <v>-1200</v>
      </c>
      <c r="M2335" s="305"/>
      <c r="N2335" s="112" t="str">
        <f>IF(ISBLANK(E2335),"",_xlfn.XLOOKUP(E2335,cannabis_log!C:C,cannabis_log!T:T,"Not Found",0,))</f>
        <v>net</v>
      </c>
      <c r="O2335" s="180">
        <f>IF(N2335="net",_xlfn.XLOOKUP(E2335,cannabis_log!C:C,cannabis_log!N:N,"NOT FOUND",0,1),IF(N2335="gross",0,""))</f>
        <v>600</v>
      </c>
    </row>
    <row r="2336" spans="1:15">
      <c r="A2336" s="195" t="str">
        <f t="shared" si="152"/>
        <v>outbound</v>
      </c>
      <c r="B2336" s="196">
        <v>45876.60818275463</v>
      </c>
      <c r="C2336" s="197" t="s">
        <v>1929</v>
      </c>
      <c r="D2336" s="197" t="s">
        <v>3278</v>
      </c>
      <c r="E2336" s="217" t="s">
        <v>3019</v>
      </c>
      <c r="F2336" s="112" t="str">
        <f>IF(ISBLANK(E2336),"",_xlfn.XLOOKUP(E2336,cannabis_log!C:C,cannabis_log!J:J,"",0,))</f>
        <v>PR2501INF5P3</v>
      </c>
      <c r="G2336" s="112"/>
      <c r="H2336" s="301" t="str">
        <f>IF(ISBLANK(E2336),"",_xlfn.XLOOKUP(E2336,cannabis_log!C:C,cannabis_log!H:H,"",0,1))</f>
        <v>preroll_labelled</v>
      </c>
      <c r="I2336" s="113">
        <f>IF(ISBLANK(E2336),"",_xlfn.XLOOKUP(E2336,cannabis_log!C:C,cannabis_log!K:K,"NOT FOUND",0,1))</f>
        <v>45778</v>
      </c>
      <c r="J2336" s="303">
        <v>-24</v>
      </c>
      <c r="K2336" s="186">
        <f t="shared" si="154"/>
        <v>0</v>
      </c>
      <c r="L2336" s="288">
        <f t="shared" si="153"/>
        <v>-36</v>
      </c>
      <c r="M2336" s="305"/>
      <c r="N2336" s="112" t="str">
        <f>IF(ISBLANK(E2336),"",_xlfn.XLOOKUP(E2336,cannabis_log!C:C,cannabis_log!T:T,"Not Found",0,))</f>
        <v>net</v>
      </c>
      <c r="O2336" s="180">
        <f>IF(N2336="net",_xlfn.XLOOKUP(E2336,cannabis_log!C:C,cannabis_log!N:N,"NOT FOUND",0,1),IF(N2336="gross",0,""))</f>
        <v>1.5</v>
      </c>
    </row>
    <row r="2337" spans="1:15">
      <c r="A2337" s="195" t="str">
        <f t="shared" si="152"/>
        <v>inbound</v>
      </c>
      <c r="B2337" s="196">
        <v>45876.65083460648</v>
      </c>
      <c r="C2337" s="197" t="s">
        <v>1927</v>
      </c>
      <c r="D2337" s="197"/>
      <c r="E2337" s="217" t="s">
        <v>3246</v>
      </c>
      <c r="F2337" s="112" t="str">
        <f>IF(ISBLANK(E2337),"",_xlfn.XLOOKUP(E2337,cannabis_log!C:C,cannabis_log!J:J,"",0,))</f>
        <v>PR2516F5P10</v>
      </c>
      <c r="G2337" s="112"/>
      <c r="H2337" s="301" t="str">
        <f>IF(ISBLANK(E2337),"",_xlfn.XLOOKUP(E2337,cannabis_log!C:C,cannabis_log!H:H,"",0,1))</f>
        <v>preroll_labelled</v>
      </c>
      <c r="I2337" s="113">
        <f>IF(ISBLANK(E2337),"",_xlfn.XLOOKUP(E2337,cannabis_log!C:C,cannabis_log!K:K,"NOT FOUND",0,1))</f>
        <v>45859</v>
      </c>
      <c r="J2337" s="303">
        <v>7</v>
      </c>
      <c r="K2337" s="186">
        <f t="shared" si="154"/>
        <v>0</v>
      </c>
      <c r="L2337" s="288">
        <f t="shared" si="153"/>
        <v>35</v>
      </c>
      <c r="M2337" s="305"/>
      <c r="N2337" s="112" t="str">
        <f>IF(ISBLANK(E2337),"",_xlfn.XLOOKUP(E2337,cannabis_log!C:C,cannabis_log!T:T,"Not Found",0,))</f>
        <v>net</v>
      </c>
      <c r="O2337" s="180">
        <f>IF(N2337="net",_xlfn.XLOOKUP(E2337,cannabis_log!C:C,cannabis_log!N:N,"NOT FOUND",0,1),IF(N2337="gross",0,""))</f>
        <v>5</v>
      </c>
    </row>
    <row r="2338" spans="1:15">
      <c r="A2338" s="195" t="str">
        <f t="shared" si="152"/>
        <v>outbound</v>
      </c>
      <c r="B2338" s="196">
        <v>45876.673169560185</v>
      </c>
      <c r="C2338" s="197" t="s">
        <v>1921</v>
      </c>
      <c r="D2338" s="197"/>
      <c r="E2338" s="217" t="s">
        <v>3266</v>
      </c>
      <c r="F2338" s="112" t="str">
        <f>IF(ISBLANK(E2338),"",_xlfn.XLOOKUP(E2338,cannabis_log!C:C,cannabis_log!J:J,"",0,))</f>
        <v>PR2516</v>
      </c>
      <c r="G2338" s="112"/>
      <c r="H2338" s="301" t="str">
        <f>IF(ISBLANK(E2338),"",_xlfn.XLOOKUP(E2338,cannabis_log!C:C,cannabis_log!H:H,"",0,1))</f>
        <v>driedflower_milled_bulk</v>
      </c>
      <c r="I2338" s="113" t="str">
        <f>IF(ISBLANK(E2338),"",_xlfn.XLOOKUP(E2338,cannabis_log!C:C,cannabis_log!K:K,"NOT FOUND",0,1))</f>
        <v>NA</v>
      </c>
      <c r="J2338" s="303">
        <v>-1</v>
      </c>
      <c r="K2338" s="186">
        <v>-2968</v>
      </c>
      <c r="L2338" s="288">
        <f t="shared" si="153"/>
        <v>0</v>
      </c>
      <c r="M2338" s="305"/>
      <c r="N2338" s="112" t="str">
        <f>IF(ISBLANK(E2338),"",_xlfn.XLOOKUP(E2338,cannabis_log!C:C,cannabis_log!T:T,"Not Found",0,))</f>
        <v>gross</v>
      </c>
      <c r="O2338" s="180">
        <f>IF(N2338="net",_xlfn.XLOOKUP(E2338,cannabis_log!C:C,cannabis_log!N:N,"NOT FOUND",0,1),IF(N2338="gross",0,""))</f>
        <v>0</v>
      </c>
    </row>
    <row r="2339" spans="1:15">
      <c r="A2339" s="195" t="str">
        <f t="shared" si="152"/>
        <v>inbound</v>
      </c>
      <c r="B2339" s="196">
        <v>45876.700949074075</v>
      </c>
      <c r="C2339" s="197" t="s">
        <v>1927</v>
      </c>
      <c r="D2339" s="197"/>
      <c r="E2339" s="217" t="s">
        <v>3231</v>
      </c>
      <c r="F2339" s="112" t="str">
        <f>IF(ISBLANK(E2339),"",_xlfn.XLOOKUP(E2339,cannabis_log!C:C,cannabis_log!J:J,"",0,))</f>
        <v>TP25051501</v>
      </c>
      <c r="G2339" s="112"/>
      <c r="H2339" s="301" t="str">
        <f>IF(ISBLANK(E2339),"",_xlfn.XLOOKUP(E2339,cannabis_log!C:C,cannabis_log!H:H,"",0,1))</f>
        <v>topical_labelled</v>
      </c>
      <c r="I2339" s="113">
        <f>IF(ISBLANK(E2339),"",_xlfn.XLOOKUP(E2339,cannabis_log!C:C,cannabis_log!K:K,"NOT FOUND",0,1))</f>
        <v>45805</v>
      </c>
      <c r="J2339" s="303">
        <v>27</v>
      </c>
      <c r="K2339" s="186">
        <f>IF(N2339="net",0,"")</f>
        <v>0</v>
      </c>
      <c r="L2339" s="288">
        <f t="shared" si="153"/>
        <v>2376</v>
      </c>
      <c r="M2339" s="305"/>
      <c r="N2339" s="112" t="str">
        <f>IF(ISBLANK(E2339),"",_xlfn.XLOOKUP(E2339,cannabis_log!C:C,cannabis_log!T:T,"Not Found",0,))</f>
        <v>net</v>
      </c>
      <c r="O2339" s="180">
        <f>IF(N2339="net",_xlfn.XLOOKUP(E2339,cannabis_log!C:C,cannabis_log!N:N,"NOT FOUND",0,1),IF(N2339="gross",0,""))</f>
        <v>88</v>
      </c>
    </row>
    <row r="2340" spans="1:15">
      <c r="A2340" s="195" t="str">
        <f t="shared" ref="A2340:A2351" si="155">IF(ISBLANK(J2340),"",IF(J2340+K2340+L2340&lt;0,"outbound","inbound"))</f>
        <v>inbound</v>
      </c>
      <c r="B2340" s="196">
        <v>45876.700949074075</v>
      </c>
      <c r="C2340" s="197" t="s">
        <v>1927</v>
      </c>
      <c r="D2340" s="197"/>
      <c r="E2340" s="217" t="s">
        <v>3269</v>
      </c>
      <c r="F2340" s="112">
        <f>IF(ISBLANK(E2340),"",_xlfn.XLOOKUP(E2340,cannabis_log!C:C,cannabis_log!J:J,"",0,))</f>
        <v>2025050501</v>
      </c>
      <c r="G2340" s="112"/>
      <c r="H2340" s="301" t="str">
        <f>IF(ISBLANK(E2340),"",_xlfn.XLOOKUP(E2340,cannabis_log!C:C,cannabis_log!H:H,"",0,1))</f>
        <v>driedflower_bulk_Rohan</v>
      </c>
      <c r="I2340" s="113" t="str">
        <f>IF(ISBLANK(E2340),"",_xlfn.XLOOKUP(E2340,cannabis_log!C:C,cannabis_log!K:K,"NOT FOUND",0,1))</f>
        <v>NA</v>
      </c>
      <c r="J2340" s="303">
        <v>1</v>
      </c>
      <c r="K2340" s="186">
        <v>5780</v>
      </c>
      <c r="L2340" s="288">
        <f t="shared" ref="L2340:L2352" si="156">IFERROR(J2340*O2340,"")</f>
        <v>0</v>
      </c>
      <c r="M2340" s="305"/>
      <c r="N2340" s="112" t="str">
        <f>IF(ISBLANK(E2340),"",_xlfn.XLOOKUP(E2340,cannabis_log!C:C,cannabis_log!T:T,"Not Found",0,))</f>
        <v>gross</v>
      </c>
      <c r="O2340" s="180">
        <f>IF(N2340="net",_xlfn.XLOOKUP(E2340,cannabis_log!C:C,cannabis_log!N:N,"NOT FOUND",0,1),IF(N2340="gross",0,""))</f>
        <v>0</v>
      </c>
    </row>
    <row r="2341" spans="1:15">
      <c r="A2341" s="195" t="str">
        <f t="shared" si="155"/>
        <v>inbound</v>
      </c>
      <c r="B2341" s="196">
        <v>45876.700949074075</v>
      </c>
      <c r="C2341" s="197" t="s">
        <v>1927</v>
      </c>
      <c r="D2341" s="197"/>
      <c r="E2341" s="217" t="s">
        <v>3273</v>
      </c>
      <c r="F2341" s="112">
        <f>IF(ISBLANK(E2341),"",_xlfn.XLOOKUP(E2341,cannabis_log!C:C,cannabis_log!J:J,"",0,))</f>
        <v>2025060401</v>
      </c>
      <c r="G2341" s="112"/>
      <c r="H2341" s="301" t="str">
        <f>IF(ISBLANK(E2341),"",_xlfn.XLOOKUP(E2341,cannabis_log!C:C,cannabis_log!H:H,"",0,1))</f>
        <v>driedflower_bulk</v>
      </c>
      <c r="I2341" s="113" t="str">
        <f>IF(ISBLANK(E2341),"",_xlfn.XLOOKUP(E2341,cannabis_log!C:C,cannabis_log!K:K,"NOT FOUND",0,1))</f>
        <v>NA</v>
      </c>
      <c r="J2341" s="303">
        <v>1</v>
      </c>
      <c r="K2341" s="186">
        <v>7750</v>
      </c>
      <c r="L2341" s="288">
        <f t="shared" si="156"/>
        <v>0</v>
      </c>
      <c r="M2341" s="305"/>
      <c r="N2341" s="112" t="str">
        <f>IF(ISBLANK(E2341),"",_xlfn.XLOOKUP(E2341,cannabis_log!C:C,cannabis_log!T:T,"Not Found",0,))</f>
        <v>gross</v>
      </c>
      <c r="O2341" s="180">
        <f>IF(N2341="net",_xlfn.XLOOKUP(E2341,cannabis_log!C:C,cannabis_log!N:N,"NOT FOUND",0,1),IF(N2341="gross",0,""))</f>
        <v>0</v>
      </c>
    </row>
    <row r="2342" spans="1:15">
      <c r="A2342" s="195" t="str">
        <f t="shared" si="155"/>
        <v>inbound</v>
      </c>
      <c r="B2342" s="196">
        <v>45877.373076157404</v>
      </c>
      <c r="C2342" s="197" t="s">
        <v>1927</v>
      </c>
      <c r="D2342" s="197"/>
      <c r="E2342" s="217" t="s">
        <v>3121</v>
      </c>
      <c r="F2342" s="112" t="str">
        <f>IF(ISBLANK(E2342),"",_xlfn.XLOOKUP(E2342,cannabis_log!C:C,cannabis_log!J:J,"",0,))</f>
        <v>PR2502INF5P3</v>
      </c>
      <c r="G2342" s="112"/>
      <c r="H2342" s="301" t="str">
        <f>IF(ISBLANK(E2342),"",_xlfn.XLOOKUP(E2342,cannabis_log!C:C,cannabis_log!H:H,"",0,1))</f>
        <v>preroll_labelled</v>
      </c>
      <c r="I2342" s="113">
        <f>IF(ISBLANK(E2342),"",_xlfn.XLOOKUP(E2342,cannabis_log!C:C,cannabis_log!K:K,"NOT FOUND",0,1))</f>
        <v>45826</v>
      </c>
      <c r="J2342" s="303">
        <v>700</v>
      </c>
      <c r="K2342" s="186">
        <f t="shared" ref="K2342:K2351" si="157">IF(N2342="net",0,"")</f>
        <v>0</v>
      </c>
      <c r="L2342" s="288">
        <f t="shared" si="156"/>
        <v>1050</v>
      </c>
      <c r="M2342" s="305"/>
      <c r="N2342" s="112" t="str">
        <f>IF(ISBLANK(E2342),"",_xlfn.XLOOKUP(E2342,cannabis_log!C:C,cannabis_log!T:T,"Not Found",0,))</f>
        <v>net</v>
      </c>
      <c r="O2342" s="180">
        <f>IF(N2342="net",_xlfn.XLOOKUP(E2342,cannabis_log!C:C,cannabis_log!N:N,"NOT FOUND",0,1),IF(N2342="gross",0,""))</f>
        <v>1.5</v>
      </c>
    </row>
    <row r="2343" spans="1:15">
      <c r="A2343" s="195" t="str">
        <f t="shared" si="155"/>
        <v>outbound</v>
      </c>
      <c r="B2343" s="196">
        <v>45877.405746643519</v>
      </c>
      <c r="C2343" s="197" t="s">
        <v>1924</v>
      </c>
      <c r="D2343" s="197"/>
      <c r="E2343" s="217" t="s">
        <v>3280</v>
      </c>
      <c r="F2343" s="112" t="str">
        <f>IF(ISBLANK(E2343),"",_xlfn.XLOOKUP(E2343,cannabis_log!C:C,cannabis_log!J:J,"",0,))</f>
        <v>ROGEX003G1</v>
      </c>
      <c r="G2343" s="112"/>
      <c r="H2343" s="301" t="str">
        <f>IF(ISBLANK(E2343),"",_xlfn.XLOOKUP(E2343,cannabis_log!C:C,cannabis_log!H:H,"",0,1))</f>
        <v>extract_inhaled_labelled_Rohan</v>
      </c>
      <c r="I2343" s="113">
        <f>IF(ISBLANK(E2343),"",_xlfn.XLOOKUP(E2343,cannabis_log!C:C,cannabis_log!K:K,"NOT FOUND",0,1))</f>
        <v>45828</v>
      </c>
      <c r="J2343" s="303">
        <v>-11</v>
      </c>
      <c r="K2343" s="186">
        <f t="shared" si="157"/>
        <v>0</v>
      </c>
      <c r="L2343" s="288">
        <f t="shared" si="156"/>
        <v>-11</v>
      </c>
      <c r="M2343" s="305"/>
      <c r="N2343" s="112" t="str">
        <f>IF(ISBLANK(E2343),"",_xlfn.XLOOKUP(E2343,cannabis_log!C:C,cannabis_log!T:T,"Not Found",0,))</f>
        <v>net</v>
      </c>
      <c r="O2343" s="180">
        <f>IF(N2343="net",_xlfn.XLOOKUP(E2343,cannabis_log!C:C,cannabis_log!N:N,"NOT FOUND",0,1),IF(N2343="gross",0,""))</f>
        <v>1</v>
      </c>
    </row>
    <row r="2344" spans="1:15">
      <c r="A2344" s="195" t="str">
        <f t="shared" si="155"/>
        <v>outbound</v>
      </c>
      <c r="B2344" s="196">
        <v>45877.405746643519</v>
      </c>
      <c r="C2344" s="197" t="s">
        <v>1924</v>
      </c>
      <c r="D2344" s="197"/>
      <c r="E2344" s="217" t="s">
        <v>3054</v>
      </c>
      <c r="F2344" s="112" t="str">
        <f>IF(ISBLANK(E2344),"",_xlfn.XLOOKUP(E2344,cannabis_log!C:C,cannabis_log!J:J,"",0,))</f>
        <v>ROGEX001G1</v>
      </c>
      <c r="G2344" s="112"/>
      <c r="H2344" s="301" t="str">
        <f>IF(ISBLANK(E2344),"",_xlfn.XLOOKUP(E2344,cannabis_log!C:C,cannabis_log!H:H,"",0,1))</f>
        <v>extract_inhaled_labelled_Rohan</v>
      </c>
      <c r="I2344" s="113">
        <f>IF(ISBLANK(E2344),"",_xlfn.XLOOKUP(E2344,cannabis_log!C:C,cannabis_log!K:K,"NOT FOUND",0,1))</f>
        <v>45772</v>
      </c>
      <c r="J2344" s="303">
        <v>-6</v>
      </c>
      <c r="K2344" s="186">
        <f t="shared" si="157"/>
        <v>0</v>
      </c>
      <c r="L2344" s="288">
        <f t="shared" si="156"/>
        <v>-6</v>
      </c>
      <c r="M2344" s="305"/>
      <c r="N2344" s="112" t="str">
        <f>IF(ISBLANK(E2344),"",_xlfn.XLOOKUP(E2344,cannabis_log!C:C,cannabis_log!T:T,"Not Found",0,))</f>
        <v>net</v>
      </c>
      <c r="O2344" s="180">
        <f>IF(N2344="net",_xlfn.XLOOKUP(E2344,cannabis_log!C:C,cannabis_log!N:N,"NOT FOUND",0,1),IF(N2344="gross",0,""))</f>
        <v>1</v>
      </c>
    </row>
    <row r="2345" spans="1:15">
      <c r="A2345" s="195" t="str">
        <f t="shared" si="155"/>
        <v>outbound</v>
      </c>
      <c r="B2345" s="196">
        <v>45877.405746643519</v>
      </c>
      <c r="C2345" s="197" t="s">
        <v>1924</v>
      </c>
      <c r="D2345" s="197"/>
      <c r="E2345" s="217" t="s">
        <v>3074</v>
      </c>
      <c r="F2345" s="112" t="str">
        <f>IF(ISBLANK(E2345),"",_xlfn.XLOOKUP(E2345,cannabis_log!C:C,cannabis_log!J:J,"",0,))</f>
        <v>EX25020601G05</v>
      </c>
      <c r="G2345" s="112"/>
      <c r="H2345" s="301" t="str">
        <f>IF(ISBLANK(E2345),"",_xlfn.XLOOKUP(E2345,cannabis_log!C:C,cannabis_log!H:H,"",0,1))</f>
        <v>extract_inhaled_labelled</v>
      </c>
      <c r="I2345" s="113">
        <f>IF(ISBLANK(E2345),"",_xlfn.XLOOKUP(E2345,cannabis_log!C:C,cannabis_log!K:K,"NOT FOUND",0,1))</f>
        <v>45702</v>
      </c>
      <c r="J2345" s="303">
        <v>-2</v>
      </c>
      <c r="K2345" s="186">
        <f t="shared" si="157"/>
        <v>0</v>
      </c>
      <c r="L2345" s="288">
        <f t="shared" si="156"/>
        <v>-1</v>
      </c>
      <c r="M2345" s="305"/>
      <c r="N2345" s="112" t="str">
        <f>IF(ISBLANK(E2345),"",_xlfn.XLOOKUP(E2345,cannabis_log!C:C,cannabis_log!T:T,"Not Found",0,))</f>
        <v>net</v>
      </c>
      <c r="O2345" s="180">
        <f>IF(N2345="net",_xlfn.XLOOKUP(E2345,cannabis_log!C:C,cannabis_log!N:N,"NOT FOUND",0,1),IF(N2345="gross",0,""))</f>
        <v>0.5</v>
      </c>
    </row>
    <row r="2346" spans="1:15">
      <c r="A2346" s="195" t="str">
        <f t="shared" si="155"/>
        <v>outbound</v>
      </c>
      <c r="B2346" s="196">
        <v>45877.405746643519</v>
      </c>
      <c r="C2346" s="197" t="s">
        <v>1924</v>
      </c>
      <c r="D2346" s="197"/>
      <c r="E2346" s="217" t="s">
        <v>2597</v>
      </c>
      <c r="F2346" s="112" t="str">
        <f>IF(ISBLANK(E2346),"",_xlfn.XLOOKUP(E2346,cannabis_log!C:C,cannabis_log!J:J,"",0,))</f>
        <v>EX24101705G05</v>
      </c>
      <c r="G2346" s="112"/>
      <c r="H2346" s="301" t="str">
        <f>IF(ISBLANK(E2346),"",_xlfn.XLOOKUP(E2346,cannabis_log!C:C,cannabis_log!H:H,"",0,1))</f>
        <v>extract_inhaled_labelled</v>
      </c>
      <c r="I2346" s="113">
        <f>IF(ISBLANK(E2346),"",_xlfn.XLOOKUP(E2346,cannabis_log!C:C,cannabis_log!K:K,"NOT FOUND",0,1))</f>
        <v>45629</v>
      </c>
      <c r="J2346" s="303">
        <v>-2</v>
      </c>
      <c r="K2346" s="186">
        <f t="shared" si="157"/>
        <v>0</v>
      </c>
      <c r="L2346" s="288">
        <f t="shared" si="156"/>
        <v>-1</v>
      </c>
      <c r="M2346" s="305"/>
      <c r="N2346" s="112" t="str">
        <f>IF(ISBLANK(E2346),"",_xlfn.XLOOKUP(E2346,cannabis_log!C:C,cannabis_log!T:T,"Not Found",0,))</f>
        <v>net</v>
      </c>
      <c r="O2346" s="180">
        <f>IF(N2346="net",_xlfn.XLOOKUP(E2346,cannabis_log!C:C,cannabis_log!N:N,"NOT FOUND",0,1),IF(N2346="gross",0,""))</f>
        <v>0.5</v>
      </c>
    </row>
    <row r="2347" spans="1:15">
      <c r="A2347" s="195" t="str">
        <f t="shared" si="155"/>
        <v>outbound</v>
      </c>
      <c r="B2347" s="196">
        <v>45877.405746643519</v>
      </c>
      <c r="C2347" s="197" t="s">
        <v>1924</v>
      </c>
      <c r="D2347" s="197"/>
      <c r="E2347" s="217" t="s">
        <v>3099</v>
      </c>
      <c r="F2347" s="112" t="str">
        <f>IF(ISBLANK(E2347),"",_xlfn.XLOOKUP(E2347,cannabis_log!C:C,cannabis_log!J:J,"",0,))</f>
        <v>EX24111301G05</v>
      </c>
      <c r="G2347" s="112"/>
      <c r="H2347" s="301" t="str">
        <f>IF(ISBLANK(E2347),"",_xlfn.XLOOKUP(E2347,cannabis_log!C:C,cannabis_log!H:H,"",0,1))</f>
        <v>extract_inhaled_labelled</v>
      </c>
      <c r="I2347" s="113">
        <f>IF(ISBLANK(E2347),"",_xlfn.XLOOKUP(E2347,cannabis_log!C:C,cannabis_log!K:K,"NOT FOUND",0,1))</f>
        <v>45763</v>
      </c>
      <c r="J2347" s="303">
        <v>-2</v>
      </c>
      <c r="K2347" s="186">
        <f t="shared" si="157"/>
        <v>0</v>
      </c>
      <c r="L2347" s="288">
        <f t="shared" si="156"/>
        <v>-1</v>
      </c>
      <c r="M2347" s="305"/>
      <c r="N2347" s="112" t="str">
        <f>IF(ISBLANK(E2347),"",_xlfn.XLOOKUP(E2347,cannabis_log!C:C,cannabis_log!T:T,"Not Found",0,))</f>
        <v>net</v>
      </c>
      <c r="O2347" s="180">
        <f>IF(N2347="net",_xlfn.XLOOKUP(E2347,cannabis_log!C:C,cannabis_log!N:N,"NOT FOUND",0,1),IF(N2347="gross",0,""))</f>
        <v>0.5</v>
      </c>
    </row>
    <row r="2348" spans="1:15">
      <c r="A2348" s="195" t="str">
        <f t="shared" si="155"/>
        <v>outbound</v>
      </c>
      <c r="B2348" s="196">
        <v>45877.627014930556</v>
      </c>
      <c r="C2348" s="197" t="s">
        <v>1929</v>
      </c>
      <c r="D2348" s="197" t="s">
        <v>3281</v>
      </c>
      <c r="E2348" s="217" t="s">
        <v>3121</v>
      </c>
      <c r="F2348" s="112" t="str">
        <f>IF(ISBLANK(E2348),"",_xlfn.XLOOKUP(E2348,cannabis_log!C:C,cannabis_log!J:J,"",0,))</f>
        <v>PR2502INF5P3</v>
      </c>
      <c r="G2348" s="112"/>
      <c r="H2348" s="301" t="str">
        <f>IF(ISBLANK(E2348),"",_xlfn.XLOOKUP(E2348,cannabis_log!C:C,cannabis_log!H:H,"",0,1))</f>
        <v>preroll_labelled</v>
      </c>
      <c r="I2348" s="113">
        <f>IF(ISBLANK(E2348),"",_xlfn.XLOOKUP(E2348,cannabis_log!C:C,cannabis_log!K:K,"NOT FOUND",0,1))</f>
        <v>45826</v>
      </c>
      <c r="J2348" s="303">
        <v>-180</v>
      </c>
      <c r="K2348" s="186">
        <f t="shared" si="157"/>
        <v>0</v>
      </c>
      <c r="L2348" s="288">
        <f t="shared" si="156"/>
        <v>-270</v>
      </c>
      <c r="M2348" s="305"/>
      <c r="N2348" s="112" t="str">
        <f>IF(ISBLANK(E2348),"",_xlfn.XLOOKUP(E2348,cannabis_log!C:C,cannabis_log!T:T,"Not Found",0,))</f>
        <v>net</v>
      </c>
      <c r="O2348" s="180">
        <f>IF(N2348="net",_xlfn.XLOOKUP(E2348,cannabis_log!C:C,cannabis_log!N:N,"NOT FOUND",0,1),IF(N2348="gross",0,""))</f>
        <v>1.5</v>
      </c>
    </row>
    <row r="2349" spans="1:15">
      <c r="A2349" s="195" t="str">
        <f t="shared" si="155"/>
        <v>outbound</v>
      </c>
      <c r="B2349" s="196">
        <v>45877.627014930556</v>
      </c>
      <c r="C2349" s="197" t="s">
        <v>1929</v>
      </c>
      <c r="D2349" s="197" t="s">
        <v>3281</v>
      </c>
      <c r="E2349" s="217" t="s">
        <v>3012</v>
      </c>
      <c r="F2349" s="112" t="str">
        <f>IF(ISBLANK(E2349),"",_xlfn.XLOOKUP(E2349,cannabis_log!C:C,cannabis_log!J:J,"",0,))</f>
        <v>LR23032101</v>
      </c>
      <c r="G2349" s="112"/>
      <c r="H2349" s="301" t="str">
        <f>IF(ISBLANK(E2349),"",_xlfn.XLOOKUP(E2349,cannabis_log!C:C,cannabis_log!H:H,"",0,1))</f>
        <v>extract_inhaled_labelled</v>
      </c>
      <c r="I2349" s="113">
        <f>IF(ISBLANK(E2349),"",_xlfn.XLOOKUP(E2349,cannabis_log!C:C,cannabis_log!K:K,"NOT FOUND",0,1))</f>
        <v>45793</v>
      </c>
      <c r="J2349" s="303">
        <v>-60</v>
      </c>
      <c r="K2349" s="186">
        <f t="shared" si="157"/>
        <v>0</v>
      </c>
      <c r="L2349" s="288">
        <f t="shared" si="156"/>
        <v>-60</v>
      </c>
      <c r="M2349" s="305"/>
      <c r="N2349" s="112" t="str">
        <f>IF(ISBLANK(E2349),"",_xlfn.XLOOKUP(E2349,cannabis_log!C:C,cannabis_log!T:T,"Not Found",0,))</f>
        <v>net</v>
      </c>
      <c r="O2349" s="180">
        <f>IF(N2349="net",_xlfn.XLOOKUP(E2349,cannabis_log!C:C,cannabis_log!N:N,"NOT FOUND",0,1),IF(N2349="gross",0,""))</f>
        <v>1</v>
      </c>
    </row>
    <row r="2350" spans="1:15">
      <c r="A2350" s="195" t="str">
        <f t="shared" si="155"/>
        <v>outbound</v>
      </c>
      <c r="B2350" s="196">
        <v>45877.627014930556</v>
      </c>
      <c r="C2350" s="197" t="s">
        <v>1929</v>
      </c>
      <c r="D2350" s="197" t="s">
        <v>3281</v>
      </c>
      <c r="E2350" s="217" t="s">
        <v>3244</v>
      </c>
      <c r="F2350" s="112" t="str">
        <f>IF(ISBLANK(E2350),"",_xlfn.XLOOKUP(E2350,cannabis_log!C:C,cannabis_log!J:J,"",0,))</f>
        <v>ROGEX003G1</v>
      </c>
      <c r="G2350" s="112"/>
      <c r="H2350" s="301" t="str">
        <f>IF(ISBLANK(E2350),"",_xlfn.XLOOKUP(E2350,cannabis_log!C:C,cannabis_log!H:H,"",0,1))</f>
        <v>extract_inhaled_bulk_Rohan</v>
      </c>
      <c r="I2350" s="113">
        <f>IF(ISBLANK(E2350),"",_xlfn.XLOOKUP(E2350,cannabis_log!C:C,cannabis_log!K:K,"NOT FOUND",0,1))</f>
        <v>45828</v>
      </c>
      <c r="J2350" s="303">
        <v>-60</v>
      </c>
      <c r="K2350" s="186">
        <f t="shared" si="157"/>
        <v>0</v>
      </c>
      <c r="L2350" s="288">
        <f t="shared" si="156"/>
        <v>-60</v>
      </c>
      <c r="M2350" s="305"/>
      <c r="N2350" s="112" t="str">
        <f>IF(ISBLANK(E2350),"",_xlfn.XLOOKUP(E2350,cannabis_log!C:C,cannabis_log!T:T,"Not Found",0,))</f>
        <v>net</v>
      </c>
      <c r="O2350" s="180">
        <f>IF(N2350="net",_xlfn.XLOOKUP(E2350,cannabis_log!C:C,cannabis_log!N:N,"NOT FOUND",0,1),IF(N2350="gross",0,""))</f>
        <v>1</v>
      </c>
    </row>
    <row r="2351" spans="1:15">
      <c r="A2351" s="195" t="str">
        <f t="shared" si="155"/>
        <v>outbound</v>
      </c>
      <c r="B2351" s="196">
        <v>45877.627014930556</v>
      </c>
      <c r="C2351" s="197" t="s">
        <v>1929</v>
      </c>
      <c r="D2351" s="197" t="s">
        <v>3281</v>
      </c>
      <c r="E2351" s="217" t="s">
        <v>3250</v>
      </c>
      <c r="F2351" s="112" t="str">
        <f>IF(ISBLANK(E2351),"",_xlfn.XLOOKUP(E2351,cannabis_log!C:C,cannabis_log!J:J,"",0,))</f>
        <v>TP25051501</v>
      </c>
      <c r="G2351" s="112"/>
      <c r="H2351" s="301" t="str">
        <f>IF(ISBLANK(E2351),"",_xlfn.XLOOKUP(E2351,cannabis_log!C:C,cannabis_log!H:H,"",0,1))</f>
        <v>topical_labelled</v>
      </c>
      <c r="I2351" s="113">
        <f>IF(ISBLANK(E2351),"",_xlfn.XLOOKUP(E2351,cannabis_log!C:C,cannabis_log!K:K,"NOT FOUND",0,1))</f>
        <v>45805</v>
      </c>
      <c r="J2351" s="303">
        <v>-300</v>
      </c>
      <c r="K2351" s="186">
        <f t="shared" si="157"/>
        <v>0</v>
      </c>
      <c r="L2351" s="288">
        <f t="shared" si="156"/>
        <v>-26400</v>
      </c>
      <c r="M2351" s="305"/>
      <c r="N2351" s="112" t="str">
        <f>IF(ISBLANK(E2351),"",_xlfn.XLOOKUP(E2351,cannabis_log!C:C,cannabis_log!T:T,"Not Found",0,))</f>
        <v>net</v>
      </c>
      <c r="O2351" s="180">
        <f>IF(N2351="net",_xlfn.XLOOKUP(E2351,cannabis_log!C:C,cannabis_log!N:N,"NOT FOUND",0,1),IF(N2351="gross",0,""))</f>
        <v>88</v>
      </c>
    </row>
    <row r="2352" spans="1:15">
      <c r="A2352" s="195" t="str">
        <f>IF(ISBLANK(J2352),"",IF(J2352+K2352+L2352&lt;0,"outbound","inbound"))</f>
        <v>outbound</v>
      </c>
      <c r="B2352" s="196">
        <v>45880.54548252315</v>
      </c>
      <c r="C2352" s="197" t="s">
        <v>1921</v>
      </c>
      <c r="D2352" s="197"/>
      <c r="E2352" s="217" t="s">
        <v>2433</v>
      </c>
      <c r="F2352" s="112">
        <f>IF(ISBLANK(E2352),"",_xlfn.XLOOKUP(E2352,cannabis_log!C:C,cannabis_log!J:J,"",0,))</f>
        <v>2024111803</v>
      </c>
      <c r="G2352" s="112"/>
      <c r="H2352" s="301" t="str">
        <f>IF(ISBLANK(E2352),"",_xlfn.XLOOKUP(E2352,cannabis_log!C:C,cannabis_log!H:H,"",0,1))</f>
        <v>driedflower_bulk</v>
      </c>
      <c r="I2352" s="113" t="str">
        <f>IF(ISBLANK(E2352),"",_xlfn.XLOOKUP(E2352,cannabis_log!C:C,cannabis_log!K:K,"NOT FOUND",0,1))</f>
        <v>NA</v>
      </c>
      <c r="J2352" s="303">
        <v>-1</v>
      </c>
      <c r="K2352" s="304">
        <v>-2056</v>
      </c>
      <c r="L2352" s="288">
        <f t="shared" si="156"/>
        <v>0</v>
      </c>
      <c r="M2352" s="305"/>
      <c r="N2352" s="112" t="str">
        <f>IF(ISBLANK(E2352),"",_xlfn.XLOOKUP(E2352,cannabis_log!C:C,cannabis_log!T:T,"Not Found",0,))</f>
        <v>gross</v>
      </c>
      <c r="O2352" s="180">
        <f>IF(N2352="net",_xlfn.XLOOKUP(E2352,cannabis_log!C:C,cannabis_log!N:N,"NOT FOUND",0,1),IF(N2352="gross",0,""))</f>
        <v>0</v>
      </c>
    </row>
    <row r="2353" spans="1:15">
      <c r="A2353" s="195" t="str">
        <f>IF(ISBLANK(J2353),"",IF(J2353+K2353+L2353&lt;0,"outbound","inbound"))</f>
        <v>outbound</v>
      </c>
      <c r="B2353" s="196">
        <v>45880.595369560186</v>
      </c>
      <c r="C2353" s="197" t="s">
        <v>1929</v>
      </c>
      <c r="D2353" s="197" t="s">
        <v>3766</v>
      </c>
      <c r="E2353" s="217" t="s">
        <v>2654</v>
      </c>
      <c r="F2353" s="112" t="str">
        <f>IF(ISBLANK(E2353),"",_xlfn.XLOOKUP(E2353,cannabis_log!C:C,cannabis_log!J:J,"",0,))</f>
        <v>EX25010907G1</v>
      </c>
      <c r="G2353" s="112"/>
      <c r="H2353" s="301" t="str">
        <f>IF(ISBLANK(E2353),"",_xlfn.XLOOKUP(E2353,cannabis_log!C:C,cannabis_log!H:H,"",0,1))</f>
        <v>extract_inhaled_labelled</v>
      </c>
      <c r="I2353" s="113">
        <f>IF(ISBLANK(E2353),"",_xlfn.XLOOKUP(E2353,cannabis_log!C:C,cannabis_log!K:K,"NOT FOUND",0,1))</f>
        <v>45714</v>
      </c>
      <c r="J2353" s="303">
        <v>-12</v>
      </c>
      <c r="K2353" s="304">
        <f>IF(N2353="net",0,"")</f>
        <v>0</v>
      </c>
      <c r="L2353" s="354">
        <f>IFERROR(J2353*O2353,"")</f>
        <v>-12</v>
      </c>
      <c r="M2353" s="305"/>
      <c r="N2353" s="112" t="str">
        <f>IF(ISBLANK(E2353),"",_xlfn.XLOOKUP(E2353,cannabis_log!C:C,cannabis_log!T:T,"Not Found",0,))</f>
        <v>net</v>
      </c>
      <c r="O2353" s="180">
        <f>IF(N2353="net",_xlfn.XLOOKUP(E2353,cannabis_log!C:C,cannabis_log!N:N,"NOT FOUND",0,1),IF(N2353="gross",0,""))</f>
        <v>1</v>
      </c>
    </row>
    <row r="2354" spans="1:15">
      <c r="A2354" s="195" t="str">
        <f>IF(ISBLANK(J2354),"",IF(J2354+K2354+L2354&lt;0,"outbound","inbound"))</f>
        <v>outbound</v>
      </c>
      <c r="B2354" s="196">
        <v>45880.596987384262</v>
      </c>
      <c r="C2354" s="197" t="s">
        <v>1929</v>
      </c>
      <c r="D2354" s="197" t="s">
        <v>3766</v>
      </c>
      <c r="E2354" s="217" t="s">
        <v>3121</v>
      </c>
      <c r="F2354" s="112" t="str">
        <f>IF(ISBLANK(E2354),"",_xlfn.XLOOKUP(E2354,cannabis_log!C:C,cannabis_log!J:J,"",0,))</f>
        <v>PR2502INF5P3</v>
      </c>
      <c r="G2354" s="112"/>
      <c r="H2354" s="301" t="str">
        <f>IF(ISBLANK(E2354),"",_xlfn.XLOOKUP(E2354,cannabis_log!C:C,cannabis_log!H:H,"",0,1))</f>
        <v>preroll_labelled</v>
      </c>
      <c r="I2354" s="113">
        <f>IF(ISBLANK(E2354),"",_xlfn.XLOOKUP(E2354,cannabis_log!C:C,cannabis_log!K:K,"NOT FOUND",0,1))</f>
        <v>45826</v>
      </c>
      <c r="J2354" s="303">
        <v>-12</v>
      </c>
      <c r="K2354" s="304">
        <f>IF(N2354="net",0,"")</f>
        <v>0</v>
      </c>
      <c r="L2354" s="354">
        <f>IFERROR(J2354*O2354,"")</f>
        <v>-18</v>
      </c>
      <c r="M2354" s="305"/>
      <c r="N2354" s="112" t="str">
        <f>IF(ISBLANK(E2354),"",_xlfn.XLOOKUP(E2354,cannabis_log!C:C,cannabis_log!T:T,"Not Found",0,))</f>
        <v>net</v>
      </c>
      <c r="O2354" s="180">
        <f>IF(N2354="net",_xlfn.XLOOKUP(E2354,cannabis_log!C:C,cannabis_log!N:N,"NOT FOUND",0,1),IF(N2354="gross",0,""))</f>
        <v>1.5</v>
      </c>
    </row>
    <row r="2355" spans="1:15">
      <c r="A2355" s="195" t="str">
        <f>IF(ISBLANK(J2355),"",IF(J2355+K2355+L2355&lt;0,"outbound","inbound"))</f>
        <v>outbound</v>
      </c>
      <c r="B2355" s="196">
        <v>45880.601816435184</v>
      </c>
      <c r="C2355" s="197" t="s">
        <v>1929</v>
      </c>
      <c r="D2355" s="197" t="s">
        <v>3766</v>
      </c>
      <c r="E2355" s="217" t="s">
        <v>3245</v>
      </c>
      <c r="F2355" s="112" t="str">
        <f>IF(ISBLANK(E2355),"",_xlfn.XLOOKUP(E2355,cannabis_log!C:C,cannabis_log!J:J,"",0,))</f>
        <v>PR251908F5P12</v>
      </c>
      <c r="G2355" s="112"/>
      <c r="H2355" s="301" t="str">
        <f>IF(ISBLANK(E2355),"",_xlfn.XLOOKUP(E2355,cannabis_log!C:C,cannabis_log!H:H,"",0,1))</f>
        <v>preroll_labelled</v>
      </c>
      <c r="I2355" s="113">
        <f>IF(ISBLANK(E2355),"",_xlfn.XLOOKUP(E2355,cannabis_log!C:C,cannabis_log!K:K,"NOT FOUND",0,1))</f>
        <v>45854</v>
      </c>
      <c r="J2355" s="303">
        <v>-12</v>
      </c>
      <c r="K2355" s="304">
        <f>IF(N2355="net",0,"")</f>
        <v>0</v>
      </c>
      <c r="L2355" s="354">
        <f>IFERROR(J2355*O2355,"")</f>
        <v>-72</v>
      </c>
      <c r="M2355" s="305"/>
      <c r="N2355" s="112" t="str">
        <f>IF(ISBLANK(E2355),"",_xlfn.XLOOKUP(E2355,cannabis_log!C:C,cannabis_log!T:T,"Not Found",0,))</f>
        <v>net</v>
      </c>
      <c r="O2355" s="180">
        <f>IF(N2355="net",_xlfn.XLOOKUP(E2355,cannabis_log!C:C,cannabis_log!N:N,"NOT FOUND",0,1),IF(N2355="gross",0,""))</f>
        <v>6</v>
      </c>
    </row>
    <row r="2356" spans="1:15">
      <c r="A2356" s="195" t="str">
        <f>IF(ISBLANK(J2356),"",IF(J2356+K2356+L2356&lt;0,"outbound","inbound"))</f>
        <v>outbound</v>
      </c>
      <c r="B2356" s="196">
        <v>45880.608687268519</v>
      </c>
      <c r="C2356" s="197" t="s">
        <v>1929</v>
      </c>
      <c r="D2356" s="197" t="s">
        <v>3766</v>
      </c>
      <c r="E2356" s="217" t="s">
        <v>2043</v>
      </c>
      <c r="F2356" s="112" t="str">
        <f>IF(ISBLANK(E2356),"",_xlfn.XLOOKUP(E2356,cannabis_log!C:C,cannabis_log!J:J,"",0,))</f>
        <v>2022012401R1G7</v>
      </c>
      <c r="G2356" s="112"/>
      <c r="H2356" s="301" t="str">
        <f>IF(ISBLANK(E2356),"",_xlfn.XLOOKUP(E2356,cannabis_log!C:C,cannabis_log!H:H,"",0,1))</f>
        <v>driedflower_labelled</v>
      </c>
      <c r="I2356" s="113">
        <f>IF(ISBLANK(E2356),"",_xlfn.XLOOKUP(E2356,cannabis_log!C:C,cannabis_log!K:K,"NOT FOUND",0,1))</f>
        <v>45531</v>
      </c>
      <c r="J2356" s="303">
        <v>-12</v>
      </c>
      <c r="K2356" s="304">
        <f>IF(N2356="net",0,"")</f>
        <v>0</v>
      </c>
      <c r="L2356" s="354">
        <f>IFERROR(J2356*O2356,"")</f>
        <v>-84</v>
      </c>
      <c r="M2356" s="305"/>
      <c r="N2356" s="112" t="str">
        <f>IF(ISBLANK(E2356),"",_xlfn.XLOOKUP(E2356,cannabis_log!C:C,cannabis_log!T:T,"Not Found",0,))</f>
        <v>net</v>
      </c>
      <c r="O2356" s="180">
        <f>IF(N2356="net",_xlfn.XLOOKUP(E2356,cannabis_log!C:C,cannabis_log!N:N,"NOT FOUND",0,1),IF(N2356="gross",0,""))</f>
        <v>7</v>
      </c>
    </row>
    <row r="2357" spans="1:15">
      <c r="A2357" s="195" t="str">
        <f t="shared" ref="A2357:A2371" si="158">IF(ISBLANK(J2357),"",IF(J2357+K2357+L2357&lt;0,"outbound","inbound"))</f>
        <v>outbound</v>
      </c>
      <c r="B2357" s="182">
        <v>45880.612210648149</v>
      </c>
      <c r="C2357" s="197" t="s">
        <v>1929</v>
      </c>
      <c r="D2357" s="197" t="s">
        <v>3766</v>
      </c>
      <c r="E2357" s="217" t="s">
        <v>3236</v>
      </c>
      <c r="F2357" s="112" t="str">
        <f>IF(ISBLANK(E2357),"",_xlfn.XLOOKUP(E2357,cannabis_log!C:C,cannabis_log!J:J,"",0,))</f>
        <v>PR241102F5P3</v>
      </c>
      <c r="G2357" s="112"/>
      <c r="H2357" s="301" t="str">
        <f>IF(ISBLANK(E2357),"",_xlfn.XLOOKUP(E2357,cannabis_log!C:C,cannabis_log!H:H,"",0,1))</f>
        <v>preroll_labelled</v>
      </c>
      <c r="I2357" s="113">
        <f>IF(ISBLANK(E2357),"",_xlfn.XLOOKUP(E2357,cannabis_log!C:C,cannabis_log!K:K,"NOT FOUND",0,1))</f>
        <v>45854</v>
      </c>
      <c r="J2357" s="185">
        <v>-12</v>
      </c>
      <c r="K2357" s="186">
        <f t="shared" ref="K2357:K2372" si="159">IF(N2357="net",0,"")</f>
        <v>0</v>
      </c>
      <c r="L2357" s="288">
        <f t="shared" ref="L2357:L2371" si="160">IFERROR(J2357*O2357,"")</f>
        <v>-18</v>
      </c>
      <c r="M2357" s="24"/>
      <c r="N2357" s="112" t="str">
        <f>IF(ISBLANK(E2357),"",_xlfn.XLOOKUP(E2357,cannabis_log!C:C,cannabis_log!T:T,"Not Found",0,))</f>
        <v>net</v>
      </c>
      <c r="O2357" s="180">
        <f>IF(N2357="net",_xlfn.XLOOKUP(E2357,cannabis_log!C:C,cannabis_log!N:N,"NOT FOUND",0,1),IF(N2357="gross",0,""))</f>
        <v>1.5</v>
      </c>
    </row>
    <row r="2358" spans="1:15">
      <c r="A2358" s="370" t="str">
        <f t="shared" si="158"/>
        <v>outbound</v>
      </c>
      <c r="B2358" s="182">
        <v>45880.659427314815</v>
      </c>
      <c r="C2358" s="183" t="s">
        <v>1921</v>
      </c>
      <c r="D2358" s="183"/>
      <c r="E2358" s="217" t="s">
        <v>4239</v>
      </c>
      <c r="F2358" s="112" t="str">
        <f>IF(ISBLANK(E2358),"",_xlfn.XLOOKUP(E2358,cannabis_log!C:C,cannabis_log!J:J,"",0,))</f>
        <v>2021082601R1</v>
      </c>
      <c r="G2358" s="112"/>
      <c r="H2358" s="372" t="str">
        <f>IF(ISBLANK(E2358),"",_xlfn.XLOOKUP(E2358,cannabis_log!C:C,cannabis_log!H:H,"",0,1))</f>
        <v>driedflower_bulk</v>
      </c>
      <c r="I2358" s="113" t="str">
        <f>IF(ISBLANK(E2358),"",_xlfn.XLOOKUP(E2358,cannabis_log!C:C,cannabis_log!K:K,"NOT FOUND",0,1))</f>
        <v>NA</v>
      </c>
      <c r="J2358" s="185">
        <v>-1</v>
      </c>
      <c r="K2358" s="186">
        <v>-3472</v>
      </c>
      <c r="L2358" s="288">
        <f t="shared" si="160"/>
        <v>0</v>
      </c>
      <c r="M2358" s="24"/>
      <c r="N2358" s="112" t="str">
        <f>IF(ISBLANK(E2358),"",_xlfn.XLOOKUP(E2358,cannabis_log!C:C,cannabis_log!T:T,"Not Found",0,))</f>
        <v>gross</v>
      </c>
      <c r="O2358" s="180">
        <f>IF(N2358="net",_xlfn.XLOOKUP(E2358,cannabis_log!C:C,cannabis_log!N:N,"NOT FOUND",0,1),IF(N2358="gross",0,""))</f>
        <v>0</v>
      </c>
    </row>
    <row r="2359" spans="1:15">
      <c r="A2359" s="370" t="str">
        <f t="shared" si="158"/>
        <v>inbound</v>
      </c>
      <c r="B2359" s="182">
        <v>45880.709813310183</v>
      </c>
      <c r="C2359" s="183" t="s">
        <v>1927</v>
      </c>
      <c r="D2359" s="183"/>
      <c r="E2359" s="217" t="s">
        <v>4239</v>
      </c>
      <c r="F2359" s="112" t="str">
        <f>IF(ISBLANK(E2359),"",_xlfn.XLOOKUP(E2359,cannabis_log!C:C,cannabis_log!J:J,"",0,))</f>
        <v>2021082601R1</v>
      </c>
      <c r="G2359" s="112"/>
      <c r="H2359" s="372" t="str">
        <f>IF(ISBLANK(E2359),"",_xlfn.XLOOKUP(E2359,cannabis_log!C:C,cannabis_log!H:H,"",0,1))</f>
        <v>driedflower_bulk</v>
      </c>
      <c r="I2359" s="113" t="str">
        <f>IF(ISBLANK(E2359),"",_xlfn.XLOOKUP(E2359,cannabis_log!C:C,cannabis_log!K:K,"NOT FOUND",0,1))</f>
        <v>NA</v>
      </c>
      <c r="J2359" s="185">
        <v>1</v>
      </c>
      <c r="K2359" s="186">
        <v>3536</v>
      </c>
      <c r="L2359" s="288">
        <f t="shared" ref="L2359" si="161">IFERROR(J2359*O2359,"")</f>
        <v>0</v>
      </c>
      <c r="M2359" s="24"/>
      <c r="N2359" s="112" t="str">
        <f>IF(ISBLANK(E2359),"",_xlfn.XLOOKUP(E2359,cannabis_log!C:C,cannabis_log!T:T,"Not Found",0,))</f>
        <v>gross</v>
      </c>
      <c r="O2359" s="180">
        <f>IF(N2359="net",_xlfn.XLOOKUP(E2359,cannabis_log!C:C,cannabis_log!N:N,"NOT FOUND",0,1),IF(N2359="gross",0,""))</f>
        <v>0</v>
      </c>
    </row>
    <row r="2360" spans="1:15">
      <c r="A2360" s="370" t="str">
        <f t="shared" si="158"/>
        <v>outbound</v>
      </c>
      <c r="B2360" s="182">
        <v>45881.406578935188</v>
      </c>
      <c r="C2360" s="197" t="s">
        <v>1929</v>
      </c>
      <c r="D2360" s="183" t="s">
        <v>4232</v>
      </c>
      <c r="E2360" s="217" t="s">
        <v>3197</v>
      </c>
      <c r="F2360" s="112" t="str">
        <f>IF(ISBLANK(E2360),"",_xlfn.XLOOKUP(E2360,cannabis_log!C:C,cannabis_log!J:J,"",0,))</f>
        <v>EX24092601V50</v>
      </c>
      <c r="G2360" s="112"/>
      <c r="H2360" s="372" t="str">
        <f>IF(ISBLANK(E2360),"",_xlfn.XLOOKUP(E2360,cannabis_log!C:C,cannabis_log!H:H,"",0,1))</f>
        <v>extract_ingested_cased_BC</v>
      </c>
      <c r="I2360" s="113">
        <f>IF(ISBLANK(E2360),"",_xlfn.XLOOKUP(E2360,cannabis_log!C:C,cannabis_log!K:K,"NOT FOUND",0,1))</f>
        <v>45576</v>
      </c>
      <c r="J2360" s="185">
        <v>-24</v>
      </c>
      <c r="K2360" s="186">
        <f t="shared" si="159"/>
        <v>0</v>
      </c>
      <c r="L2360" s="288">
        <f t="shared" si="160"/>
        <v>-14400</v>
      </c>
      <c r="M2360" s="24"/>
      <c r="N2360" s="112" t="str">
        <f>IF(ISBLANK(E2360),"",_xlfn.XLOOKUP(E2360,cannabis_log!C:C,cannabis_log!T:T,"Not Found",0,))</f>
        <v>net</v>
      </c>
      <c r="O2360" s="180">
        <f>IF(N2360="net",_xlfn.XLOOKUP(E2360,cannabis_log!C:C,cannabis_log!N:N,"NOT FOUND",0,1),IF(N2360="gross",0,""))</f>
        <v>600</v>
      </c>
    </row>
    <row r="2361" spans="1:15">
      <c r="A2361" s="370" t="str">
        <f t="shared" si="158"/>
        <v>outbound</v>
      </c>
      <c r="B2361" s="182">
        <v>45881.407091898145</v>
      </c>
      <c r="C2361" s="183" t="s">
        <v>1921</v>
      </c>
      <c r="D2361" s="183"/>
      <c r="E2361" s="217" t="s">
        <v>3064</v>
      </c>
      <c r="F2361" s="112" t="str">
        <f>IF(ISBLANK(E2361),"",_xlfn.XLOOKUP(E2361,cannabis_log!C:C,cannabis_log!J:J,"",0,))</f>
        <v>PR2505</v>
      </c>
      <c r="G2361" s="112"/>
      <c r="H2361" s="372" t="str">
        <f>IF(ISBLANK(E2361),"",_xlfn.XLOOKUP(E2361,cannabis_log!C:C,cannabis_log!H:H,"",0,1))</f>
        <v>driedflower_milled_bulk_BURB</v>
      </c>
      <c r="I2361" s="113" t="str">
        <f>IF(ISBLANK(E2361),"",_xlfn.XLOOKUP(E2361,cannabis_log!C:C,cannabis_log!K:K,"NOT FOUND",0,1))</f>
        <v>NA</v>
      </c>
      <c r="J2361" s="185">
        <v>-1</v>
      </c>
      <c r="K2361" s="186">
        <v>-3648</v>
      </c>
      <c r="L2361" s="288">
        <f t="shared" si="160"/>
        <v>0</v>
      </c>
      <c r="M2361" s="24"/>
      <c r="N2361" s="112" t="str">
        <f>IF(ISBLANK(E2361),"",_xlfn.XLOOKUP(E2361,cannabis_log!C:C,cannabis_log!T:T,"Not Found",0,))</f>
        <v>gross</v>
      </c>
      <c r="O2361" s="180">
        <f>IF(N2361="net",_xlfn.XLOOKUP(E2361,cannabis_log!C:C,cannabis_log!N:N,"NOT FOUND",0,1),IF(N2361="gross",0,""))</f>
        <v>0</v>
      </c>
    </row>
    <row r="2362" spans="1:15">
      <c r="A2362" s="370" t="str">
        <f t="shared" si="158"/>
        <v>outbound</v>
      </c>
      <c r="B2362" s="182">
        <v>45881.408200347221</v>
      </c>
      <c r="C2362" s="183" t="s">
        <v>1921</v>
      </c>
      <c r="D2362" s="183"/>
      <c r="E2362" s="217" t="s">
        <v>4258</v>
      </c>
      <c r="F2362" s="112">
        <f>IF(ISBLANK(E2362),"",_xlfn.XLOOKUP(E2362,cannabis_log!C:C,cannabis_log!J:J,"",0,))</f>
        <v>2024110601</v>
      </c>
      <c r="G2362" s="112"/>
      <c r="H2362" s="372" t="str">
        <f>IF(ISBLANK(E2362),"",_xlfn.XLOOKUP(E2362,cannabis_log!C:C,cannabis_log!H:H,"",0,1))</f>
        <v>driedflower_bulk_BURB</v>
      </c>
      <c r="I2362" s="113" t="str">
        <f>IF(ISBLANK(E2362),"",_xlfn.XLOOKUP(E2362,cannabis_log!C:C,cannabis_log!K:K,"NOT FOUND",0,1))</f>
        <v>NA</v>
      </c>
      <c r="J2362" s="185">
        <v>-1</v>
      </c>
      <c r="K2362" s="186">
        <v>-3090</v>
      </c>
      <c r="L2362" s="288">
        <f t="shared" si="160"/>
        <v>0</v>
      </c>
      <c r="M2362" s="24"/>
      <c r="N2362" s="112" t="str">
        <f>IF(ISBLANK(E2362),"",_xlfn.XLOOKUP(E2362,cannabis_log!C:C,cannabis_log!T:T,"Not Found",0,))</f>
        <v>gross</v>
      </c>
      <c r="O2362" s="180">
        <f>IF(N2362="net",_xlfn.XLOOKUP(E2362,cannabis_log!C:C,cannabis_log!N:N,"NOT FOUND",0,1),IF(N2362="gross",0,""))</f>
        <v>0</v>
      </c>
    </row>
    <row r="2363" spans="1:15">
      <c r="A2363" s="370" t="str">
        <f t="shared" si="158"/>
        <v>outbound</v>
      </c>
      <c r="B2363" s="182">
        <v>45881.40862465278</v>
      </c>
      <c r="C2363" s="183" t="s">
        <v>1921</v>
      </c>
      <c r="D2363" s="183"/>
      <c r="E2363" s="217" t="s">
        <v>4259</v>
      </c>
      <c r="F2363" s="112">
        <f>IF(ISBLANK(E2363),"",_xlfn.XLOOKUP(E2363,cannabis_log!C:C,cannabis_log!J:J,"",0,))</f>
        <v>2024110601</v>
      </c>
      <c r="G2363" s="112"/>
      <c r="H2363" s="372" t="str">
        <f>IF(ISBLANK(E2363),"",_xlfn.XLOOKUP(E2363,cannabis_log!C:C,cannabis_log!H:H,"",0,1))</f>
        <v>driedflower_bulk_BURB</v>
      </c>
      <c r="I2363" s="113" t="str">
        <f>IF(ISBLANK(E2363),"",_xlfn.XLOOKUP(E2363,cannabis_log!C:C,cannabis_log!K:K,"NOT FOUND",0,1))</f>
        <v>NA</v>
      </c>
      <c r="J2363" s="185">
        <v>-1</v>
      </c>
      <c r="K2363" s="186">
        <v>-734</v>
      </c>
      <c r="L2363" s="288">
        <f t="shared" si="160"/>
        <v>0</v>
      </c>
      <c r="M2363" s="24"/>
      <c r="N2363" s="112" t="str">
        <f>IF(ISBLANK(E2363),"",_xlfn.XLOOKUP(E2363,cannabis_log!C:C,cannabis_log!T:T,"Not Found",0,))</f>
        <v>gross</v>
      </c>
      <c r="O2363" s="180">
        <f>IF(N2363="net",_xlfn.XLOOKUP(E2363,cannabis_log!C:C,cannabis_log!N:N,"NOT FOUND",0,1),IF(N2363="gross",0,""))</f>
        <v>0</v>
      </c>
    </row>
    <row r="2364" spans="1:15">
      <c r="A2364" s="370" t="str">
        <f t="shared" si="158"/>
        <v>outbound</v>
      </c>
      <c r="B2364" s="182">
        <v>45881.410993634257</v>
      </c>
      <c r="C2364" s="183" t="s">
        <v>1921</v>
      </c>
      <c r="D2364" s="183"/>
      <c r="E2364" s="217" t="s">
        <v>2543</v>
      </c>
      <c r="F2364" s="112">
        <f>IF(ISBLANK(E2364),"",_xlfn.XLOOKUP(E2364,cannabis_log!C:C,cannabis_log!J:J,"",0,))</f>
        <v>2024110601</v>
      </c>
      <c r="G2364" s="112"/>
      <c r="H2364" s="372" t="str">
        <f>IF(ISBLANK(E2364),"",_xlfn.XLOOKUP(E2364,cannabis_log!C:C,cannabis_log!H:H,"",0,1))</f>
        <v>driedflower_bulk_BURB</v>
      </c>
      <c r="I2364" s="113" t="str">
        <f>IF(ISBLANK(E2364),"",_xlfn.XLOOKUP(E2364,cannabis_log!C:C,cannabis_log!K:K,"NOT FOUND",0,1))</f>
        <v>NA</v>
      </c>
      <c r="J2364" s="185">
        <v>-1</v>
      </c>
      <c r="K2364" s="186">
        <v>-1514</v>
      </c>
      <c r="L2364" s="288">
        <f t="shared" si="160"/>
        <v>0</v>
      </c>
      <c r="M2364" s="24"/>
      <c r="N2364" s="112" t="str">
        <f>IF(ISBLANK(E2364),"",_xlfn.XLOOKUP(E2364,cannabis_log!C:C,cannabis_log!T:T,"Not Found",0,))</f>
        <v>gross</v>
      </c>
      <c r="O2364" s="180">
        <f>IF(N2364="net",_xlfn.XLOOKUP(E2364,cannabis_log!C:C,cannabis_log!N:N,"NOT FOUND",0,1),IF(N2364="gross",0,""))</f>
        <v>0</v>
      </c>
    </row>
    <row r="2365" spans="1:15">
      <c r="A2365" s="370" t="str">
        <f t="shared" si="158"/>
        <v>outbound</v>
      </c>
      <c r="B2365" s="182">
        <v>45881.416470254633</v>
      </c>
      <c r="C2365" s="183" t="s">
        <v>1929</v>
      </c>
      <c r="D2365" s="183" t="s">
        <v>4232</v>
      </c>
      <c r="E2365" s="217" t="s">
        <v>3271</v>
      </c>
      <c r="F2365" s="112" t="str">
        <f>IF(ISBLANK(E2365),"",_xlfn.XLOOKUP(E2365,cannabis_log!C:C,cannabis_log!J:J,"",0,))</f>
        <v>EX25041401V30</v>
      </c>
      <c r="G2365" s="112"/>
      <c r="H2365" s="372" t="str">
        <f>IF(ISBLANK(E2365),"",_xlfn.XLOOKUP(E2365,cannabis_log!C:C,cannabis_log!H:H,"",0,1))</f>
        <v>extract_ingested_labelled</v>
      </c>
      <c r="I2365" s="113">
        <f>IF(ISBLANK(E2365),"",_xlfn.XLOOKUP(E2365,cannabis_log!C:C,cannabis_log!K:K,"NOT FOUND",0,1))</f>
        <v>45777</v>
      </c>
      <c r="J2365" s="185">
        <v>-24</v>
      </c>
      <c r="K2365" s="186">
        <f t="shared" si="159"/>
        <v>0</v>
      </c>
      <c r="L2365" s="288">
        <f t="shared" si="160"/>
        <v>-655.20000000000005</v>
      </c>
      <c r="M2365" s="24"/>
      <c r="N2365" s="112" t="str">
        <f>IF(ISBLANK(E2365),"",_xlfn.XLOOKUP(E2365,cannabis_log!C:C,cannabis_log!T:T,"Not Found",0,))</f>
        <v>net</v>
      </c>
      <c r="O2365" s="180">
        <f>IF(N2365="net",_xlfn.XLOOKUP(E2365,cannabis_log!C:C,cannabis_log!N:N,"NOT FOUND",0,1),IF(N2365="gross",0,""))</f>
        <v>27.3</v>
      </c>
    </row>
    <row r="2366" spans="1:15">
      <c r="A2366" s="370" t="str">
        <f t="shared" si="158"/>
        <v>outbound</v>
      </c>
      <c r="B2366" s="182">
        <v>45881.417693055555</v>
      </c>
      <c r="C2366" s="183" t="s">
        <v>1929</v>
      </c>
      <c r="D2366" s="183" t="s">
        <v>4232</v>
      </c>
      <c r="E2366" s="217" t="s">
        <v>3165</v>
      </c>
      <c r="F2366" s="112" t="str">
        <f>IF(ISBLANK(E2366),"",_xlfn.XLOOKUP(E2366,cannabis_log!C:C,cannabis_log!J:J,"",0,))</f>
        <v>EX25012101V50</v>
      </c>
      <c r="G2366" s="112"/>
      <c r="H2366" s="372" t="str">
        <f>IF(ISBLANK(E2366),"",_xlfn.XLOOKUP(E2366,cannabis_log!C:C,cannabis_log!H:H,"",0,1))</f>
        <v>extract_ingested_labelled</v>
      </c>
      <c r="I2366" s="113">
        <f>IF(ISBLANK(E2366),"",_xlfn.XLOOKUP(E2366,cannabis_log!C:C,cannabis_log!K:K,"NOT FOUND",0,1))</f>
        <v>45700</v>
      </c>
      <c r="J2366" s="185">
        <v>-24</v>
      </c>
      <c r="K2366" s="186">
        <f t="shared" si="159"/>
        <v>0</v>
      </c>
      <c r="L2366" s="288">
        <f t="shared" si="160"/>
        <v>-1200</v>
      </c>
      <c r="M2366" s="24"/>
      <c r="N2366" s="112" t="str">
        <f>IF(ISBLANK(E2366),"",_xlfn.XLOOKUP(E2366,cannabis_log!C:C,cannabis_log!T:T,"Not Found",0,))</f>
        <v>net</v>
      </c>
      <c r="O2366" s="180">
        <f>IF(N2366="net",_xlfn.XLOOKUP(E2366,cannabis_log!C:C,cannabis_log!N:N,"NOT FOUND",0,1),IF(N2366="gross",0,""))</f>
        <v>50</v>
      </c>
    </row>
    <row r="2367" spans="1:15">
      <c r="A2367" s="370" t="str">
        <f t="shared" si="158"/>
        <v>outbound</v>
      </c>
      <c r="B2367" s="182">
        <v>45881.419724652776</v>
      </c>
      <c r="C2367" s="183" t="s">
        <v>1929</v>
      </c>
      <c r="D2367" s="183" t="s">
        <v>4232</v>
      </c>
      <c r="E2367" s="217" t="s">
        <v>4260</v>
      </c>
      <c r="F2367" s="112" t="str">
        <f>IF(ISBLANK(E2367),"",_xlfn.XLOOKUP(E2367,cannabis_log!C:C,cannabis_log!J:J,"",0,))</f>
        <v>PR2512F5P5</v>
      </c>
      <c r="G2367" s="112"/>
      <c r="H2367" s="372" t="str">
        <f>IF(ISBLANK(E2367),"",_xlfn.XLOOKUP(E2367,cannabis_log!C:C,cannabis_log!H:H,"",0,1))</f>
        <v>preroll_labelled</v>
      </c>
      <c r="I2367" s="113">
        <f>IF(ISBLANK(E2367),"",_xlfn.XLOOKUP(E2367,cannabis_log!C:C,cannabis_log!K:K,"NOT FOUND",0,1))</f>
        <v>45875</v>
      </c>
      <c r="J2367" s="185">
        <v>-24</v>
      </c>
      <c r="K2367" s="186">
        <f t="shared" si="159"/>
        <v>0</v>
      </c>
      <c r="L2367" s="288">
        <f t="shared" si="160"/>
        <v>-60</v>
      </c>
      <c r="M2367" s="24"/>
      <c r="N2367" s="112" t="str">
        <f>IF(ISBLANK(E2367),"",_xlfn.XLOOKUP(E2367,cannabis_log!C:C,cannabis_log!T:T,"Not Found",0,))</f>
        <v>net</v>
      </c>
      <c r="O2367" s="180">
        <f>IF(N2367="net",_xlfn.XLOOKUP(E2367,cannabis_log!C:C,cannabis_log!N:N,"NOT FOUND",0,1),IF(N2367="gross",0,""))</f>
        <v>2.5</v>
      </c>
    </row>
    <row r="2368" spans="1:15">
      <c r="A2368" s="370" t="str">
        <f t="shared" si="158"/>
        <v>outbound</v>
      </c>
      <c r="B2368" s="182">
        <v>45881.419724652776</v>
      </c>
      <c r="C2368" s="183" t="s">
        <v>1929</v>
      </c>
      <c r="D2368" s="183" t="s">
        <v>4232</v>
      </c>
      <c r="E2368" s="217" t="s">
        <v>3191</v>
      </c>
      <c r="F2368" s="112" t="str">
        <f>IF(ISBLANK(E2368),"",_xlfn.XLOOKUP(E2368,cannabis_log!C:C,cannabis_log!J:J,"",0,))</f>
        <v>PR2516F1P2</v>
      </c>
      <c r="G2368" s="112"/>
      <c r="H2368" s="372" t="str">
        <f>IF(ISBLANK(E2368),"",_xlfn.XLOOKUP(E2368,cannabis_log!C:C,cannabis_log!H:H,"",0,1))</f>
        <v>preroll_labelled</v>
      </c>
      <c r="I2368" s="113">
        <f>IF(ISBLANK(E2368),"",_xlfn.XLOOKUP(E2368,cannabis_log!C:C,cannabis_log!K:K,"NOT FOUND",0,1))</f>
        <v>45831</v>
      </c>
      <c r="J2368" s="185">
        <v>-24</v>
      </c>
      <c r="K2368" s="186">
        <f t="shared" si="159"/>
        <v>0</v>
      </c>
      <c r="L2368" s="288">
        <f t="shared" si="160"/>
        <v>-48</v>
      </c>
      <c r="M2368" s="24"/>
      <c r="N2368" s="112" t="str">
        <f>IF(ISBLANK(E2368),"",_xlfn.XLOOKUP(E2368,cannabis_log!C:C,cannabis_log!T:T,"Not Found",0,))</f>
        <v>net</v>
      </c>
      <c r="O2368" s="180">
        <f>IF(N2368="net",_xlfn.XLOOKUP(E2368,cannabis_log!C:C,cannabis_log!N:N,"NOT FOUND",0,1),IF(N2368="gross",0,""))</f>
        <v>2</v>
      </c>
    </row>
    <row r="2369" spans="1:15">
      <c r="A2369" s="370" t="str">
        <f t="shared" si="158"/>
        <v>outbound</v>
      </c>
      <c r="B2369" s="182">
        <v>45881.419724652776</v>
      </c>
      <c r="C2369" s="183" t="s">
        <v>1929</v>
      </c>
      <c r="D2369" s="183" t="s">
        <v>4232</v>
      </c>
      <c r="E2369" s="217" t="s">
        <v>3227</v>
      </c>
      <c r="F2369" s="112" t="str">
        <f>IF(ISBLANK(E2369),"",_xlfn.XLOOKUP(E2369,cannabis_log!C:C,cannabis_log!J:J,"",0,))</f>
        <v>PR2507F1P2</v>
      </c>
      <c r="G2369" s="112"/>
      <c r="H2369" s="372" t="str">
        <f>IF(ISBLANK(E2369),"",_xlfn.XLOOKUP(E2369,cannabis_log!C:C,cannabis_log!H:H,"",0,1))</f>
        <v>preroll_labelled</v>
      </c>
      <c r="I2369" s="113">
        <f>IF(ISBLANK(E2369),"",_xlfn.XLOOKUP(E2369,cannabis_log!C:C,cannabis_log!K:K,"NOT FOUND",0,1))</f>
        <v>45848</v>
      </c>
      <c r="J2369" s="185">
        <v>-72</v>
      </c>
      <c r="K2369" s="186">
        <f t="shared" si="159"/>
        <v>0</v>
      </c>
      <c r="L2369" s="288">
        <f t="shared" si="160"/>
        <v>-144</v>
      </c>
      <c r="M2369" s="24"/>
      <c r="N2369" s="112" t="str">
        <f>IF(ISBLANK(E2369),"",_xlfn.XLOOKUP(E2369,cannabis_log!C:C,cannabis_log!T:T,"Not Found",0,))</f>
        <v>net</v>
      </c>
      <c r="O2369" s="180">
        <f>IF(N2369="net",_xlfn.XLOOKUP(E2369,cannabis_log!C:C,cannabis_log!N:N,"NOT FOUND",0,1),IF(N2369="gross",0,""))</f>
        <v>2</v>
      </c>
    </row>
    <row r="2370" spans="1:15">
      <c r="A2370" s="370" t="str">
        <f t="shared" si="158"/>
        <v>outbound</v>
      </c>
      <c r="B2370" s="182">
        <v>45881.466902546294</v>
      </c>
      <c r="C2370" s="183" t="s">
        <v>1929</v>
      </c>
      <c r="D2370" s="183" t="s">
        <v>3281</v>
      </c>
      <c r="E2370" s="217" t="s">
        <v>3236</v>
      </c>
      <c r="F2370" s="112" t="str">
        <f>IF(ISBLANK(E2370),"",_xlfn.XLOOKUP(E2370,cannabis_log!C:C,cannabis_log!J:J,"",0,))</f>
        <v>PR241102F5P3</v>
      </c>
      <c r="G2370" s="112"/>
      <c r="H2370" s="372" t="str">
        <f>IF(ISBLANK(E2370),"",_xlfn.XLOOKUP(E2370,cannabis_log!C:C,cannabis_log!H:H,"",0,1))</f>
        <v>preroll_labelled</v>
      </c>
      <c r="I2370" s="113">
        <f>IF(ISBLANK(E2370),"",_xlfn.XLOOKUP(E2370,cannabis_log!C:C,cannabis_log!K:K,"NOT FOUND",0,1))</f>
        <v>45854</v>
      </c>
      <c r="J2370" s="185">
        <v>-168</v>
      </c>
      <c r="K2370" s="186">
        <f t="shared" si="159"/>
        <v>0</v>
      </c>
      <c r="L2370" s="288">
        <f t="shared" si="160"/>
        <v>-252</v>
      </c>
      <c r="M2370" s="24"/>
      <c r="N2370" s="112" t="str">
        <f>IF(ISBLANK(E2370),"",_xlfn.XLOOKUP(E2370,cannabis_log!C:C,cannabis_log!T:T,"Not Found",0,))</f>
        <v>net</v>
      </c>
      <c r="O2370" s="180">
        <f>IF(N2370="net",_xlfn.XLOOKUP(E2370,cannabis_log!C:C,cannabis_log!N:N,"NOT FOUND",0,1),IF(N2370="gross",0,""))</f>
        <v>1.5</v>
      </c>
    </row>
    <row r="2371" spans="1:15">
      <c r="A2371" s="371" t="str">
        <f t="shared" si="158"/>
        <v>outbound</v>
      </c>
      <c r="B2371" s="182">
        <v>45881.466902546294</v>
      </c>
      <c r="C2371" s="183" t="s">
        <v>1929</v>
      </c>
      <c r="D2371" s="183" t="s">
        <v>3281</v>
      </c>
      <c r="E2371" s="217" t="s">
        <v>4262</v>
      </c>
      <c r="F2371" s="112" t="str">
        <f>IF(ISBLANK(E2371),"",_xlfn.XLOOKUP(E2371,cannabis_log!C:C,cannabis_log!J:J,"",0,))</f>
        <v>PR251902F5P3</v>
      </c>
      <c r="G2371" s="112"/>
      <c r="H2371" s="201" t="str">
        <f>IF(ISBLANK(E2371),"",_xlfn.XLOOKUP(E2371,cannabis_log!C:C,cannabis_log!H:H,"",0,1))</f>
        <v>preroll_labelled</v>
      </c>
      <c r="I2371" s="113">
        <f>IF(ISBLANK(E2371),"",_xlfn.XLOOKUP(E2371,cannabis_log!C:C,cannabis_log!K:K,"NOT FOUND",0,1))</f>
        <v>45877</v>
      </c>
      <c r="J2371" s="185">
        <v>-12</v>
      </c>
      <c r="K2371" s="186">
        <f t="shared" si="159"/>
        <v>0</v>
      </c>
      <c r="L2371" s="288">
        <f t="shared" si="160"/>
        <v>-18</v>
      </c>
      <c r="M2371" s="24"/>
      <c r="N2371" s="112" t="str">
        <f>IF(ISBLANK(E2371),"",_xlfn.XLOOKUP(E2371,cannabis_log!C:C,cannabis_log!T:T,"Not Found",0,))</f>
        <v>net</v>
      </c>
      <c r="O2371" s="180">
        <f>IF(N2371="net",_xlfn.XLOOKUP(E2371,cannabis_log!C:C,cannabis_log!N:N,"NOT FOUND",0,1),IF(N2371="gross",0,""))</f>
        <v>1.5</v>
      </c>
    </row>
    <row r="2372" spans="1:15">
      <c r="A2372" s="195" t="str">
        <f>IF(ISBLANK(J2372),"",IF(J2372+K2372+L2372&lt;0,"outbound","inbound"))</f>
        <v>outbound</v>
      </c>
      <c r="B2372" s="196">
        <v>45881.561354745369</v>
      </c>
      <c r="C2372" s="183" t="s">
        <v>1929</v>
      </c>
      <c r="D2372" s="183" t="s">
        <v>3281</v>
      </c>
      <c r="E2372" s="217" t="s">
        <v>4263</v>
      </c>
      <c r="F2372" s="112" t="str">
        <f>IF(ISBLANK(E2372),"",_xlfn.XLOOKUP(E2372,cannabis_log!C:C,cannabis_log!J:J,"",0,))</f>
        <v>PR2516F1P2</v>
      </c>
      <c r="G2372" s="112"/>
      <c r="H2372" s="301" t="str">
        <f>IF(ISBLANK(E2372),"",_xlfn.XLOOKUP(E2372,cannabis_log!C:C,cannabis_log!H:H,"",0,1))</f>
        <v>preroll_labelled</v>
      </c>
      <c r="I2372" s="113">
        <f>IF(ISBLANK(E2372),"",_xlfn.XLOOKUP(E2372,cannabis_log!C:C,cannabis_log!K:K,"NOT FOUND",0,1))</f>
        <v>45880</v>
      </c>
      <c r="J2372" s="303">
        <v>-300</v>
      </c>
      <c r="K2372" s="186">
        <f t="shared" si="159"/>
        <v>0</v>
      </c>
      <c r="L2372" s="354">
        <f>IFERROR(J2372*O2372,"")</f>
        <v>-450</v>
      </c>
      <c r="M2372" s="305"/>
      <c r="N2372" s="112" t="str">
        <f>IF(ISBLANK(E2372),"",_xlfn.XLOOKUP(E2372,cannabis_log!C:C,cannabis_log!T:T,"Not Found",0,))</f>
        <v>net</v>
      </c>
      <c r="O2372" s="180">
        <f>IF(N2372="net",_xlfn.XLOOKUP(E2372,cannabis_log!C:C,cannabis_log!N:N,"NOT FOUND",0,1),IF(N2372="gross",0,""))</f>
        <v>1.5</v>
      </c>
    </row>
    <row r="2373" spans="1:15">
      <c r="A2373" s="195" t="str">
        <f t="shared" ref="A2373:A2435" si="162">IF(ISBLANK(J2373),"",IF(J2373+K2373+L2373&lt;0,"outbound","inbound"))</f>
        <v>outbound</v>
      </c>
      <c r="B2373" s="196">
        <v>45881.561354745369</v>
      </c>
      <c r="C2373" s="183" t="s">
        <v>1929</v>
      </c>
      <c r="D2373" s="183" t="s">
        <v>3281</v>
      </c>
      <c r="E2373" s="217" t="s">
        <v>4264</v>
      </c>
      <c r="F2373" s="112" t="str">
        <f>IF(ISBLANK(E2373),"",_xlfn.XLOOKUP(E2373,cannabis_log!C:C,cannabis_log!J:J,"",0,))</f>
        <v>2024121801G7</v>
      </c>
      <c r="G2373" s="112"/>
      <c r="H2373" s="301" t="str">
        <f>IF(ISBLANK(E2373),"",_xlfn.XLOOKUP(E2373,cannabis_log!C:C,cannabis_log!H:H,"",0,1))</f>
        <v>driedflower_labelled</v>
      </c>
      <c r="I2373" s="113">
        <f>IF(ISBLANK(E2373),"",_xlfn.XLOOKUP(E2373,cannabis_log!C:C,cannabis_log!K:K,"NOT FOUND",0,1))</f>
        <v>45875</v>
      </c>
      <c r="J2373" s="303">
        <v>-168</v>
      </c>
      <c r="K2373" s="186">
        <f t="shared" ref="K2373:K2434" si="163">IF(N2373="net",0,"")</f>
        <v>0</v>
      </c>
      <c r="L2373" s="354">
        <f t="shared" ref="L2373:L2435" si="164">IFERROR(J2373*O2373,"")</f>
        <v>-1176</v>
      </c>
      <c r="M2373" s="305"/>
      <c r="N2373" s="112" t="str">
        <f>IF(ISBLANK(E2373),"",_xlfn.XLOOKUP(E2373,cannabis_log!C:C,cannabis_log!T:T,"Not Found",0,))</f>
        <v>net</v>
      </c>
      <c r="O2373" s="180">
        <f>IF(N2373="net",_xlfn.XLOOKUP(E2373,cannabis_log!C:C,cannabis_log!N:N,"NOT FOUND",0,1),IF(N2373="gross",0,""))</f>
        <v>7</v>
      </c>
    </row>
    <row r="2374" spans="1:15">
      <c r="A2374" s="195" t="str">
        <f t="shared" ref="A2374" si="165">IF(ISBLANK(J2374),"",IF(J2374+K2374+L2374&lt;0,"outbound","inbound"))</f>
        <v>outbound</v>
      </c>
      <c r="B2374" s="196">
        <v>45881.561354745369</v>
      </c>
      <c r="C2374" s="183" t="s">
        <v>1929</v>
      </c>
      <c r="D2374" s="183" t="s">
        <v>3281</v>
      </c>
      <c r="E2374" s="217" t="s">
        <v>4265</v>
      </c>
      <c r="F2374" s="112" t="str">
        <f>IF(ISBLANK(E2374),"",_xlfn.XLOOKUP(E2374,cannabis_log!C:C,cannabis_log!J:J,"",0,))</f>
        <v>PR2516F5P10</v>
      </c>
      <c r="G2374" s="112"/>
      <c r="H2374" s="301" t="str">
        <f>IF(ISBLANK(E2374),"",_xlfn.XLOOKUP(E2374,cannabis_log!C:C,cannabis_log!H:H,"",0,1))</f>
        <v>preroll_labelled</v>
      </c>
      <c r="I2374" s="113">
        <f>IF(ISBLANK(E2374),"",_xlfn.XLOOKUP(E2374,cannabis_log!C:C,cannabis_log!K:K,"NOT FOUND",0,1))</f>
        <v>45877</v>
      </c>
      <c r="J2374" s="303">
        <v>-180</v>
      </c>
      <c r="K2374" s="186">
        <f t="shared" ref="K2374" si="166">IF(N2374="net",0,"")</f>
        <v>0</v>
      </c>
      <c r="L2374" s="354">
        <f t="shared" ref="L2374" si="167">IFERROR(J2374*O2374,"")</f>
        <v>-900</v>
      </c>
      <c r="M2374" s="305"/>
      <c r="N2374" s="112" t="str">
        <f>IF(ISBLANK(E2374),"",_xlfn.XLOOKUP(E2374,cannabis_log!C:C,cannabis_log!T:T,"Not Found",0,))</f>
        <v>net</v>
      </c>
      <c r="O2374" s="180">
        <f>IF(N2374="net",_xlfn.XLOOKUP(E2374,cannabis_log!C:C,cannabis_log!N:N,"NOT FOUND",0,1),IF(N2374="gross",0,""))</f>
        <v>5</v>
      </c>
    </row>
    <row r="2375" spans="1:15">
      <c r="A2375" s="195" t="str">
        <f t="shared" si="162"/>
        <v>outbound</v>
      </c>
      <c r="B2375" s="196">
        <v>45882.42256284722</v>
      </c>
      <c r="C2375" s="183" t="s">
        <v>1929</v>
      </c>
      <c r="D2375" s="183" t="s">
        <v>4266</v>
      </c>
      <c r="E2375" s="217" t="s">
        <v>3013</v>
      </c>
      <c r="F2375" s="112" t="str">
        <f>IF(ISBLANK(E2375),"",_xlfn.XLOOKUP(E2375,cannabis_log!C:C,cannabis_log!J:J,"",0,))</f>
        <v>PR2303IN02F5P3</v>
      </c>
      <c r="G2375" s="112"/>
      <c r="H2375" s="301" t="str">
        <f>IF(ISBLANK(E2375),"",_xlfn.XLOOKUP(E2375,cannabis_log!C:C,cannabis_log!H:H,"",0,1))</f>
        <v>infusedpreroll_cased_AB_RTV</v>
      </c>
      <c r="I2375" s="113">
        <f>IF(ISBLANK(E2375),"",_xlfn.XLOOKUP(E2375,cannabis_log!C:C,cannabis_log!K:K,"NOT FOUND",0,1))</f>
        <v>45478</v>
      </c>
      <c r="J2375" s="303">
        <v>-1</v>
      </c>
      <c r="K2375" s="186">
        <f t="shared" si="163"/>
        <v>0</v>
      </c>
      <c r="L2375" s="354">
        <f t="shared" si="164"/>
        <v>-9</v>
      </c>
      <c r="M2375" s="305"/>
      <c r="N2375" s="112" t="str">
        <f>IF(ISBLANK(E2375),"",_xlfn.XLOOKUP(E2375,cannabis_log!C:C,cannabis_log!T:T,"Not Found",0,))</f>
        <v>net</v>
      </c>
      <c r="O2375" s="180">
        <f>IF(N2375="net",_xlfn.XLOOKUP(E2375,cannabis_log!C:C,cannabis_log!N:N,"NOT FOUND",0,1),IF(N2375="gross",0,""))</f>
        <v>9</v>
      </c>
    </row>
    <row r="2376" spans="1:15">
      <c r="A2376" s="195" t="str">
        <f t="shared" si="162"/>
        <v>outbound</v>
      </c>
      <c r="B2376" s="196">
        <v>45882.42256284722</v>
      </c>
      <c r="C2376" s="183" t="s">
        <v>1929</v>
      </c>
      <c r="D2376" s="183" t="s">
        <v>4266</v>
      </c>
      <c r="E2376" s="217" t="s">
        <v>3121</v>
      </c>
      <c r="F2376" s="112" t="str">
        <f>IF(ISBLANK(E2376),"",_xlfn.XLOOKUP(E2376,cannabis_log!C:C,cannabis_log!J:J,"",0,))</f>
        <v>PR2502INF5P3</v>
      </c>
      <c r="G2376" s="112"/>
      <c r="H2376" s="301" t="str">
        <f>IF(ISBLANK(E2376),"",_xlfn.XLOOKUP(E2376,cannabis_log!C:C,cannabis_log!H:H,"",0,1))</f>
        <v>preroll_labelled</v>
      </c>
      <c r="I2376" s="113">
        <f>IF(ISBLANK(E2376),"",_xlfn.XLOOKUP(E2376,cannabis_log!C:C,cannabis_log!K:K,"NOT FOUND",0,1))</f>
        <v>45826</v>
      </c>
      <c r="J2376" s="303">
        <v>-12</v>
      </c>
      <c r="K2376" s="186">
        <f t="shared" si="163"/>
        <v>0</v>
      </c>
      <c r="L2376" s="354">
        <f t="shared" si="164"/>
        <v>-18</v>
      </c>
      <c r="M2376" s="305"/>
      <c r="N2376" s="112" t="str">
        <f>IF(ISBLANK(E2376),"",_xlfn.XLOOKUP(E2376,cannabis_log!C:C,cannabis_log!T:T,"Not Found",0,))</f>
        <v>net</v>
      </c>
      <c r="O2376" s="180">
        <f>IF(N2376="net",_xlfn.XLOOKUP(E2376,cannabis_log!C:C,cannabis_log!N:N,"NOT FOUND",0,1),IF(N2376="gross",0,""))</f>
        <v>1.5</v>
      </c>
    </row>
    <row r="2377" spans="1:15">
      <c r="A2377" s="195" t="str">
        <f t="shared" si="162"/>
        <v>outbound</v>
      </c>
      <c r="B2377" s="196">
        <v>45882.42256284722</v>
      </c>
      <c r="C2377" s="183" t="s">
        <v>1929</v>
      </c>
      <c r="D2377" s="183" t="s">
        <v>4266</v>
      </c>
      <c r="E2377" s="217" t="s">
        <v>4263</v>
      </c>
      <c r="F2377" s="112" t="str">
        <f>IF(ISBLANK(E2377),"",_xlfn.XLOOKUP(E2377,cannabis_log!C:C,cannabis_log!J:J,"",0,))</f>
        <v>PR2516F1P2</v>
      </c>
      <c r="G2377" s="112"/>
      <c r="H2377" s="301" t="str">
        <f>IF(ISBLANK(E2377),"",_xlfn.XLOOKUP(E2377,cannabis_log!C:C,cannabis_log!H:H,"",0,1))</f>
        <v>preroll_labelled</v>
      </c>
      <c r="I2377" s="113">
        <f>IF(ISBLANK(E2377),"",_xlfn.XLOOKUP(E2377,cannabis_log!C:C,cannabis_log!K:K,"NOT FOUND",0,1))</f>
        <v>45880</v>
      </c>
      <c r="J2377" s="303">
        <v>-12</v>
      </c>
      <c r="K2377" s="186">
        <f t="shared" si="163"/>
        <v>0</v>
      </c>
      <c r="L2377" s="354">
        <f t="shared" si="164"/>
        <v>-18</v>
      </c>
      <c r="M2377" s="305"/>
      <c r="N2377" s="112" t="str">
        <f>IF(ISBLANK(E2377),"",_xlfn.XLOOKUP(E2377,cannabis_log!C:C,cannabis_log!T:T,"Not Found",0,))</f>
        <v>net</v>
      </c>
      <c r="O2377" s="180">
        <f>IF(N2377="net",_xlfn.XLOOKUP(E2377,cannabis_log!C:C,cannabis_log!N:N,"NOT FOUND",0,1),IF(N2377="gross",0,""))</f>
        <v>1.5</v>
      </c>
    </row>
    <row r="2378" spans="1:15">
      <c r="A2378" s="195" t="str">
        <f t="shared" si="162"/>
        <v>outbound</v>
      </c>
      <c r="B2378" s="196">
        <v>45882.42256284722</v>
      </c>
      <c r="C2378" s="183" t="s">
        <v>1929</v>
      </c>
      <c r="D2378" s="183" t="s">
        <v>4266</v>
      </c>
      <c r="E2378" s="217" t="s">
        <v>3227</v>
      </c>
      <c r="F2378" s="112" t="str">
        <f>IF(ISBLANK(E2378),"",_xlfn.XLOOKUP(E2378,cannabis_log!C:C,cannabis_log!J:J,"",0,))</f>
        <v>PR2507F1P2</v>
      </c>
      <c r="G2378" s="112"/>
      <c r="H2378" s="301" t="str">
        <f>IF(ISBLANK(E2378),"",_xlfn.XLOOKUP(E2378,cannabis_log!C:C,cannabis_log!H:H,"",0,1))</f>
        <v>preroll_labelled</v>
      </c>
      <c r="I2378" s="113">
        <f>IF(ISBLANK(E2378),"",_xlfn.XLOOKUP(E2378,cannabis_log!C:C,cannabis_log!K:K,"NOT FOUND",0,1))</f>
        <v>45848</v>
      </c>
      <c r="J2378" s="303">
        <v>-12</v>
      </c>
      <c r="K2378" s="186">
        <f t="shared" si="163"/>
        <v>0</v>
      </c>
      <c r="L2378" s="354">
        <f t="shared" si="164"/>
        <v>-24</v>
      </c>
      <c r="M2378" s="305"/>
      <c r="N2378" s="112" t="str">
        <f>IF(ISBLANK(E2378),"",_xlfn.XLOOKUP(E2378,cannabis_log!C:C,cannabis_log!T:T,"Not Found",0,))</f>
        <v>net</v>
      </c>
      <c r="O2378" s="180">
        <f>IF(N2378="net",_xlfn.XLOOKUP(E2378,cannabis_log!C:C,cannabis_log!N:N,"NOT FOUND",0,1),IF(N2378="gross",0,""))</f>
        <v>2</v>
      </c>
    </row>
    <row r="2379" spans="1:15">
      <c r="A2379" s="195" t="str">
        <f t="shared" si="162"/>
        <v>outbound</v>
      </c>
      <c r="B2379" s="196">
        <v>45882.68032777778</v>
      </c>
      <c r="C2379" s="183" t="s">
        <v>1921</v>
      </c>
      <c r="D2379" s="183"/>
      <c r="E2379" s="217" t="s">
        <v>2615</v>
      </c>
      <c r="F2379" s="112" t="str">
        <f>IF(ISBLANK(E2379),"",_xlfn.XLOOKUP(E2379,cannabis_log!C:C,cannabis_log!J:J,"",0,))</f>
        <v>CPR22102001</v>
      </c>
      <c r="G2379" s="112"/>
      <c r="H2379" s="301" t="str">
        <f>IF(ISBLANK(E2379),"",_xlfn.XLOOKUP(E2379,cannabis_log!C:C,cannabis_log!H:H,"",0,1))</f>
        <v>driedflower_milled_bulk</v>
      </c>
      <c r="I2379" s="113" t="str">
        <f>IF(ISBLANK(E2379),"",_xlfn.XLOOKUP(E2379,cannabis_log!C:C,cannabis_log!K:K,"NOT FOUND",0,1))</f>
        <v>NA</v>
      </c>
      <c r="J2379" s="303">
        <v>-1</v>
      </c>
      <c r="K2379" s="186">
        <v>-3430</v>
      </c>
      <c r="L2379" s="354">
        <f t="shared" si="164"/>
        <v>0</v>
      </c>
      <c r="M2379" s="305"/>
      <c r="N2379" s="112" t="str">
        <f>IF(ISBLANK(E2379),"",_xlfn.XLOOKUP(E2379,cannabis_log!C:C,cannabis_log!T:T,"Not Found",0,))</f>
        <v>gross</v>
      </c>
      <c r="O2379" s="180">
        <f>IF(N2379="net",_xlfn.XLOOKUP(E2379,cannabis_log!C:C,cannabis_log!N:N,"NOT FOUND",0,1),IF(N2379="gross",0,""))</f>
        <v>0</v>
      </c>
    </row>
    <row r="2380" spans="1:15">
      <c r="A2380" s="195" t="str">
        <f t="shared" si="162"/>
        <v>outbound</v>
      </c>
      <c r="B2380" s="196">
        <v>45882.68032777778</v>
      </c>
      <c r="C2380" s="183" t="s">
        <v>1921</v>
      </c>
      <c r="D2380" s="183"/>
      <c r="E2380" s="217" t="s">
        <v>2562</v>
      </c>
      <c r="F2380" s="112" t="str">
        <f>IF(ISBLANK(E2380),"",_xlfn.XLOOKUP(E2380,cannabis_log!C:C,cannabis_log!J:J,"",0,))</f>
        <v>CPR22102001</v>
      </c>
      <c r="G2380" s="112"/>
      <c r="H2380" s="301" t="str">
        <f>IF(ISBLANK(E2380),"",_xlfn.XLOOKUP(E2380,cannabis_log!C:C,cannabis_log!H:H,"",0,1))</f>
        <v>driedflower_milled_bulk</v>
      </c>
      <c r="I2380" s="113" t="str">
        <f>IF(ISBLANK(E2380),"",_xlfn.XLOOKUP(E2380,cannabis_log!C:C,cannabis_log!K:K,"NOT FOUND",0,1))</f>
        <v>NA</v>
      </c>
      <c r="J2380" s="303">
        <v>-1</v>
      </c>
      <c r="K2380" s="186">
        <v>-3328</v>
      </c>
      <c r="L2380" s="354">
        <f t="shared" si="164"/>
        <v>0</v>
      </c>
      <c r="M2380" s="305"/>
      <c r="N2380" s="112" t="str">
        <f>IF(ISBLANK(E2380),"",_xlfn.XLOOKUP(E2380,cannabis_log!C:C,cannabis_log!T:T,"Not Found",0,))</f>
        <v>gross</v>
      </c>
      <c r="O2380" s="180">
        <f>IF(N2380="net",_xlfn.XLOOKUP(E2380,cannabis_log!C:C,cannabis_log!N:N,"NOT FOUND",0,1),IF(N2380="gross",0,""))</f>
        <v>0</v>
      </c>
    </row>
    <row r="2381" spans="1:15">
      <c r="A2381" s="195" t="str">
        <f t="shared" si="162"/>
        <v>outbound</v>
      </c>
      <c r="B2381" s="196">
        <v>45882.771106250002</v>
      </c>
      <c r="C2381" s="183" t="s">
        <v>1929</v>
      </c>
      <c r="D2381" s="183" t="s">
        <v>4270</v>
      </c>
      <c r="E2381" s="217" t="s">
        <v>4279</v>
      </c>
      <c r="F2381" s="112" t="str">
        <f>IF(ISBLANK(E2381),"",_xlfn.XLOOKUP(E2381,cannabis_log!C:C,cannabis_log!J:J,"",0,))</f>
        <v>PR251905F5P3</v>
      </c>
      <c r="G2381" s="112"/>
      <c r="H2381" s="301" t="str">
        <f>IF(ISBLANK(E2381),"",_xlfn.XLOOKUP(E2381,cannabis_log!C:C,cannabis_log!H:H,"",0,1))</f>
        <v>preroll_labelled</v>
      </c>
      <c r="I2381" s="113">
        <f>IF(ISBLANK(E2381),"",_xlfn.XLOOKUP(E2381,cannabis_log!C:C,cannabis_log!K:K,"NOT FOUND",0,1))</f>
        <v>45859</v>
      </c>
      <c r="J2381" s="303">
        <v>-199</v>
      </c>
      <c r="K2381" s="186">
        <f t="shared" si="163"/>
        <v>0</v>
      </c>
      <c r="L2381" s="354">
        <f t="shared" si="164"/>
        <v>-298.5</v>
      </c>
      <c r="M2381" s="305"/>
      <c r="N2381" s="112" t="str">
        <f>IF(ISBLANK(E2381),"",_xlfn.XLOOKUP(E2381,cannabis_log!C:C,cannabis_log!T:T,"Not Found",0,))</f>
        <v>net</v>
      </c>
      <c r="O2381" s="180">
        <f>IF(N2381="net",_xlfn.XLOOKUP(E2381,cannabis_log!C:C,cannabis_log!N:N,"NOT FOUND",0,1),IF(N2381="gross",0,""))</f>
        <v>1.5</v>
      </c>
    </row>
    <row r="2382" spans="1:15">
      <c r="A2382" s="195" t="str">
        <f t="shared" ref="A2382" si="168">IF(ISBLANK(J2382),"",IF(J2382+K2382+L2382&lt;0,"outbound","inbound"))</f>
        <v>outbound</v>
      </c>
      <c r="B2382" s="196">
        <v>45882.771106250002</v>
      </c>
      <c r="C2382" s="183" t="s">
        <v>1929</v>
      </c>
      <c r="D2382" s="183" t="s">
        <v>4270</v>
      </c>
      <c r="E2382" s="217" t="s">
        <v>3275</v>
      </c>
      <c r="F2382" s="112" t="str">
        <f>IF(ISBLANK(E2382),"",_xlfn.XLOOKUP(E2382,cannabis_log!C:C,cannabis_log!J:J,"",0,))</f>
        <v>PR251905F5P3</v>
      </c>
      <c r="G2382" s="112"/>
      <c r="H2382" s="301" t="str">
        <f>IF(ISBLANK(E2382),"",_xlfn.XLOOKUP(E2382,cannabis_log!C:C,cannabis_log!H:H,"",0,1))</f>
        <v>preroll_labelled</v>
      </c>
      <c r="I2382" s="113">
        <f>IF(ISBLANK(E2382),"",_xlfn.XLOOKUP(E2382,cannabis_log!C:C,cannabis_log!K:K,"NOT FOUND",0,1))</f>
        <v>45859</v>
      </c>
      <c r="J2382" s="303">
        <v>-101</v>
      </c>
      <c r="K2382" s="186">
        <f t="shared" si="163"/>
        <v>0</v>
      </c>
      <c r="L2382" s="354">
        <f t="shared" si="164"/>
        <v>-151.5</v>
      </c>
      <c r="M2382" s="305"/>
      <c r="N2382" s="112" t="str">
        <f>IF(ISBLANK(E2382),"",_xlfn.XLOOKUP(E2382,cannabis_log!C:C,cannabis_log!T:T,"Not Found",0,))</f>
        <v>net</v>
      </c>
      <c r="O2382" s="180">
        <f>IF(N2382="net",_xlfn.XLOOKUP(E2382,cannabis_log!C:C,cannabis_log!N:N,"NOT FOUND",0,1),IF(N2382="gross",0,""))</f>
        <v>1.5</v>
      </c>
    </row>
    <row r="2383" spans="1:15">
      <c r="A2383" s="195" t="str">
        <f t="shared" ref="A2383" si="169">IF(ISBLANK(J2383),"",IF(J2383+K2383+L2383&lt;0,"outbound","inbound"))</f>
        <v>outbound</v>
      </c>
      <c r="B2383" s="196">
        <v>45882.771106250002</v>
      </c>
      <c r="C2383" s="183" t="s">
        <v>1929</v>
      </c>
      <c r="D2383" s="183" t="s">
        <v>4270</v>
      </c>
      <c r="E2383" s="217" t="s">
        <v>4280</v>
      </c>
      <c r="F2383" s="112" t="str">
        <f>IF(ISBLANK(E2383),"",_xlfn.XLOOKUP(E2383,cannabis_log!C:C,cannabis_log!J:J,"",0,))</f>
        <v>2024111803G7</v>
      </c>
      <c r="G2383" s="112"/>
      <c r="H2383" s="301" t="str">
        <f>IF(ISBLANK(E2383),"",_xlfn.XLOOKUP(E2383,cannabis_log!C:C,cannabis_log!H:H,"",0,1))</f>
        <v>driedflower_labelled</v>
      </c>
      <c r="I2383" s="113">
        <f>IF(ISBLANK(E2383),"",_xlfn.XLOOKUP(E2383,cannabis_log!C:C,cannabis_log!K:K,"NOT FOUND",0,1))</f>
        <v>45881</v>
      </c>
      <c r="J2383" s="303">
        <v>-60</v>
      </c>
      <c r="K2383" s="186">
        <f t="shared" si="163"/>
        <v>0</v>
      </c>
      <c r="L2383" s="354">
        <f t="shared" si="164"/>
        <v>-420</v>
      </c>
      <c r="M2383" s="305"/>
      <c r="N2383" s="112" t="str">
        <f>IF(ISBLANK(E2383),"",_xlfn.XLOOKUP(E2383,cannabis_log!C:C,cannabis_log!T:T,"Not Found",0,))</f>
        <v>net</v>
      </c>
      <c r="O2383" s="180">
        <f>IF(N2383="net",_xlfn.XLOOKUP(E2383,cannabis_log!C:C,cannabis_log!N:N,"NOT FOUND",0,1),IF(N2383="gross",0,""))</f>
        <v>7</v>
      </c>
    </row>
    <row r="2384" spans="1:15">
      <c r="A2384" s="195" t="str">
        <f t="shared" si="162"/>
        <v>outbound</v>
      </c>
      <c r="B2384" s="196">
        <v>45883.466338888888</v>
      </c>
      <c r="C2384" s="183" t="s">
        <v>1929</v>
      </c>
      <c r="D2384" s="183" t="s">
        <v>4269</v>
      </c>
      <c r="E2384" s="217" t="s">
        <v>3197</v>
      </c>
      <c r="F2384" s="112" t="str">
        <f>IF(ISBLANK(E2384),"",_xlfn.XLOOKUP(E2384,cannabis_log!C:C,cannabis_log!J:J,"",0,))</f>
        <v>EX24092601V50</v>
      </c>
      <c r="G2384" s="112"/>
      <c r="H2384" s="301" t="str">
        <f>IF(ISBLANK(E2384),"",_xlfn.XLOOKUP(E2384,cannabis_log!C:C,cannabis_log!H:H,"",0,1))</f>
        <v>extract_ingested_cased_BC</v>
      </c>
      <c r="I2384" s="113">
        <f>IF(ISBLANK(E2384),"",_xlfn.XLOOKUP(E2384,cannabis_log!C:C,cannabis_log!K:K,"NOT FOUND",0,1))</f>
        <v>45576</v>
      </c>
      <c r="J2384" s="303">
        <v>-1</v>
      </c>
      <c r="K2384" s="186">
        <f t="shared" si="163"/>
        <v>0</v>
      </c>
      <c r="L2384" s="354">
        <f t="shared" si="164"/>
        <v>-600</v>
      </c>
      <c r="M2384" s="305"/>
      <c r="N2384" s="112" t="str">
        <f>IF(ISBLANK(E2384),"",_xlfn.XLOOKUP(E2384,cannabis_log!C:C,cannabis_log!T:T,"Not Found",0,))</f>
        <v>net</v>
      </c>
      <c r="O2384" s="180">
        <f>IF(N2384="net",_xlfn.XLOOKUP(E2384,cannabis_log!C:C,cannabis_log!N:N,"NOT FOUND",0,1),IF(N2384="gross",0,""))</f>
        <v>600</v>
      </c>
    </row>
    <row r="2385" spans="1:15">
      <c r="A2385" s="195" t="str">
        <f t="shared" si="162"/>
        <v>outbound</v>
      </c>
      <c r="B2385" s="196">
        <v>45883.466338888888</v>
      </c>
      <c r="C2385" s="183" t="s">
        <v>1929</v>
      </c>
      <c r="D2385" s="183" t="s">
        <v>4269</v>
      </c>
      <c r="E2385" s="217" t="s">
        <v>3199</v>
      </c>
      <c r="F2385" s="112" t="str">
        <f>IF(ISBLANK(E2385),"",_xlfn.XLOOKUP(E2385,cannabis_log!C:C,cannabis_log!J:J,"",0,))</f>
        <v>EX25050501V50</v>
      </c>
      <c r="G2385" s="112"/>
      <c r="H2385" s="301" t="str">
        <f>IF(ISBLANK(E2385),"",_xlfn.XLOOKUP(E2385,cannabis_log!C:C,cannabis_log!H:H,"",0,1))</f>
        <v>extract_ingested_cased_BC</v>
      </c>
      <c r="I2385" s="113">
        <f>IF(ISBLANK(E2385),"",_xlfn.XLOOKUP(E2385,cannabis_log!C:C,cannabis_log!K:K,"NOT FOUND",0,1))</f>
        <v>45790</v>
      </c>
      <c r="J2385" s="303">
        <v>-4</v>
      </c>
      <c r="K2385" s="186">
        <f t="shared" si="163"/>
        <v>0</v>
      </c>
      <c r="L2385" s="354">
        <f t="shared" si="164"/>
        <v>-200</v>
      </c>
      <c r="M2385" s="305"/>
      <c r="N2385" s="112" t="str">
        <f>IF(ISBLANK(E2385),"",_xlfn.XLOOKUP(E2385,cannabis_log!C:C,cannabis_log!T:T,"Not Found",0,))</f>
        <v>net</v>
      </c>
      <c r="O2385" s="180">
        <f>IF(N2385="net",_xlfn.XLOOKUP(E2385,cannabis_log!C:C,cannabis_log!N:N,"NOT FOUND",0,1),IF(N2385="gross",0,""))</f>
        <v>50</v>
      </c>
    </row>
    <row r="2386" spans="1:15">
      <c r="A2386" s="195" t="str">
        <f t="shared" si="162"/>
        <v>outbound</v>
      </c>
      <c r="B2386" s="196">
        <v>45883.466338888888</v>
      </c>
      <c r="C2386" s="183" t="s">
        <v>1929</v>
      </c>
      <c r="D2386" s="183" t="s">
        <v>4269</v>
      </c>
      <c r="E2386" s="217" t="s">
        <v>3192</v>
      </c>
      <c r="F2386" s="112" t="str">
        <f>IF(ISBLANK(E2386),"",_xlfn.XLOOKUP(E2386,cannabis_log!C:C,cannabis_log!J:J,"",0,))</f>
        <v>EX25012101V50</v>
      </c>
      <c r="G2386" s="112"/>
      <c r="H2386" s="301" t="str">
        <f>IF(ISBLANK(E2386),"",_xlfn.XLOOKUP(E2386,cannabis_log!C:C,cannabis_log!H:H,"",0,1))</f>
        <v>extract_ingested_cased_BC</v>
      </c>
      <c r="I2386" s="113">
        <f>IF(ISBLANK(E2386),"",_xlfn.XLOOKUP(E2386,cannabis_log!C:C,cannabis_log!K:K,"NOT FOUND",0,1))</f>
        <v>45700</v>
      </c>
      <c r="J2386" s="303">
        <v>-3</v>
      </c>
      <c r="K2386" s="186">
        <f t="shared" si="163"/>
        <v>0</v>
      </c>
      <c r="L2386" s="354">
        <f t="shared" si="164"/>
        <v>-150</v>
      </c>
      <c r="M2386" s="305"/>
      <c r="N2386" s="112" t="str">
        <f>IF(ISBLANK(E2386),"",_xlfn.XLOOKUP(E2386,cannabis_log!C:C,cannabis_log!T:T,"Not Found",0,))</f>
        <v>net</v>
      </c>
      <c r="O2386" s="180">
        <f>IF(N2386="net",_xlfn.XLOOKUP(E2386,cannabis_log!C:C,cannabis_log!N:N,"NOT FOUND",0,1),IF(N2386="gross",0,""))</f>
        <v>50</v>
      </c>
    </row>
    <row r="2387" spans="1:15">
      <c r="A2387" s="195" t="str">
        <f t="shared" si="162"/>
        <v>outbound</v>
      </c>
      <c r="B2387" s="196">
        <v>45884.390593518518</v>
      </c>
      <c r="C2387" s="183" t="s">
        <v>1921</v>
      </c>
      <c r="D2387" s="183"/>
      <c r="E2387" s="217" t="s">
        <v>3036</v>
      </c>
      <c r="F2387" s="112">
        <f>IF(ISBLANK(E2387),"",_xlfn.XLOOKUP(E2387,cannabis_log!C:C,cannabis_log!J:J,"",0,))</f>
        <v>2025051501</v>
      </c>
      <c r="G2387" s="112"/>
      <c r="H2387" s="301" t="str">
        <f>IF(ISBLANK(E2387),"",_xlfn.XLOOKUP(E2387,cannabis_log!C:C,cannabis_log!H:H,"",0,1))</f>
        <v>extract_distillate_bulk</v>
      </c>
      <c r="I2387" s="113" t="str">
        <f>IF(ISBLANK(E2387),"",_xlfn.XLOOKUP(E2387,cannabis_log!C:C,cannabis_log!K:K,"NOT FOUND",0,1))</f>
        <v>NA</v>
      </c>
      <c r="J2387" s="303">
        <v>-1</v>
      </c>
      <c r="K2387" s="186">
        <v>-1724.2</v>
      </c>
      <c r="L2387" s="354">
        <f t="shared" si="164"/>
        <v>0</v>
      </c>
      <c r="M2387" s="305"/>
      <c r="N2387" s="112" t="str">
        <f>IF(ISBLANK(E2387),"",_xlfn.XLOOKUP(E2387,cannabis_log!C:C,cannabis_log!T:T,"Not Found",0,))</f>
        <v>gross</v>
      </c>
      <c r="O2387" s="180">
        <f>IF(N2387="net",_xlfn.XLOOKUP(E2387,cannabis_log!C:C,cannabis_log!N:N,"NOT FOUND",0,1),IF(N2387="gross",0,""))</f>
        <v>0</v>
      </c>
    </row>
    <row r="2388" spans="1:15">
      <c r="A2388" s="195" t="str">
        <f t="shared" ref="A2388" si="170">IF(ISBLANK(J2388),"",IF(J2388+K2388+L2388&lt;0,"outbound","inbound"))</f>
        <v>inbound</v>
      </c>
      <c r="B2388" s="196">
        <v>45884.434715625001</v>
      </c>
      <c r="C2388" s="183" t="s">
        <v>1927</v>
      </c>
      <c r="D2388" s="183"/>
      <c r="E2388" s="217" t="s">
        <v>3036</v>
      </c>
      <c r="F2388" s="112">
        <f>IF(ISBLANK(E2388),"",_xlfn.XLOOKUP(E2388,cannabis_log!C:C,cannabis_log!J:J,"",0,))</f>
        <v>2025051501</v>
      </c>
      <c r="G2388" s="112"/>
      <c r="H2388" s="301" t="str">
        <f>IF(ISBLANK(E2388),"",_xlfn.XLOOKUP(E2388,cannabis_log!C:C,cannabis_log!H:H,"",0,1))</f>
        <v>extract_distillate_bulk</v>
      </c>
      <c r="I2388" s="113" t="str">
        <f>IF(ISBLANK(E2388),"",_xlfn.XLOOKUP(E2388,cannabis_log!C:C,cannabis_log!K:K,"NOT FOUND",0,1))</f>
        <v>NA</v>
      </c>
      <c r="J2388" s="303">
        <v>1</v>
      </c>
      <c r="K2388" s="186">
        <v>1724.2</v>
      </c>
      <c r="L2388" s="354">
        <f t="shared" si="164"/>
        <v>0</v>
      </c>
      <c r="M2388" s="305"/>
      <c r="N2388" s="112" t="str">
        <f>IF(ISBLANK(E2388),"",_xlfn.XLOOKUP(E2388,cannabis_log!C:C,cannabis_log!T:T,"Not Found",0,))</f>
        <v>gross</v>
      </c>
      <c r="O2388" s="180">
        <f>IF(N2388="net",_xlfn.XLOOKUP(E2388,cannabis_log!C:C,cannabis_log!N:N,"NOT FOUND",0,1),IF(N2388="gross",0,""))</f>
        <v>0</v>
      </c>
    </row>
    <row r="2389" spans="1:15">
      <c r="A2389" s="195" t="str">
        <f t="shared" si="162"/>
        <v>inbound</v>
      </c>
      <c r="B2389" s="196">
        <v>45884.448441203705</v>
      </c>
      <c r="C2389" s="183" t="s">
        <v>1927</v>
      </c>
      <c r="D2389" s="183"/>
      <c r="E2389" s="217" t="s">
        <v>4259</v>
      </c>
      <c r="F2389" s="112">
        <f>IF(ISBLANK(E2389),"",_xlfn.XLOOKUP(E2389,cannabis_log!C:C,cannabis_log!J:J,"",0,))</f>
        <v>2024110601</v>
      </c>
      <c r="G2389" s="112"/>
      <c r="H2389" s="301" t="str">
        <f>IF(ISBLANK(E2389),"",_xlfn.XLOOKUP(E2389,cannabis_log!C:C,cannabis_log!H:H,"",0,1))</f>
        <v>driedflower_bulk_BURB</v>
      </c>
      <c r="I2389" s="113" t="str">
        <f>IF(ISBLANK(E2389),"",_xlfn.XLOOKUP(E2389,cannabis_log!C:C,cannabis_log!K:K,"NOT FOUND",0,1))</f>
        <v>NA</v>
      </c>
      <c r="J2389" s="303">
        <v>1</v>
      </c>
      <c r="K2389" s="186">
        <v>352</v>
      </c>
      <c r="L2389" s="354">
        <f t="shared" si="164"/>
        <v>0</v>
      </c>
      <c r="M2389" s="305"/>
      <c r="N2389" s="112" t="str">
        <f>IF(ISBLANK(E2389),"",_xlfn.XLOOKUP(E2389,cannabis_log!C:C,cannabis_log!T:T,"Not Found",0,))</f>
        <v>gross</v>
      </c>
      <c r="O2389" s="180">
        <f>IF(N2389="net",_xlfn.XLOOKUP(E2389,cannabis_log!C:C,cannabis_log!N:N,"NOT FOUND",0,1),IF(N2389="gross",0,""))</f>
        <v>0</v>
      </c>
    </row>
    <row r="2390" spans="1:15">
      <c r="A2390" s="195" t="str">
        <f t="shared" si="162"/>
        <v>inbound</v>
      </c>
      <c r="B2390" s="196">
        <v>45884.448441203705</v>
      </c>
      <c r="C2390" s="183" t="s">
        <v>1927</v>
      </c>
      <c r="D2390" s="183"/>
      <c r="E2390" s="217" t="s">
        <v>2433</v>
      </c>
      <c r="F2390" s="112">
        <f>IF(ISBLANK(E2390),"",_xlfn.XLOOKUP(E2390,cannabis_log!C:C,cannabis_log!J:J,"",0,))</f>
        <v>2024111803</v>
      </c>
      <c r="G2390" s="112"/>
      <c r="H2390" s="301" t="str">
        <f>IF(ISBLANK(E2390),"",_xlfn.XLOOKUP(E2390,cannabis_log!C:C,cannabis_log!H:H,"",0,1))</f>
        <v>driedflower_bulk</v>
      </c>
      <c r="I2390" s="113" t="str">
        <f>IF(ISBLANK(E2390),"",_xlfn.XLOOKUP(E2390,cannabis_log!C:C,cannabis_log!K:K,"NOT FOUND",0,1))</f>
        <v>NA</v>
      </c>
      <c r="J2390" s="303">
        <v>1</v>
      </c>
      <c r="K2390" s="186">
        <v>434</v>
      </c>
      <c r="L2390" s="354">
        <f t="shared" si="164"/>
        <v>0</v>
      </c>
      <c r="M2390" s="305"/>
      <c r="N2390" s="112" t="str">
        <f>IF(ISBLANK(E2390),"",_xlfn.XLOOKUP(E2390,cannabis_log!C:C,cannabis_log!T:T,"Not Found",0,))</f>
        <v>gross</v>
      </c>
      <c r="O2390" s="180">
        <f>IF(N2390="net",_xlfn.XLOOKUP(E2390,cannabis_log!C:C,cannabis_log!N:N,"NOT FOUND",0,1),IF(N2390="gross",0,""))</f>
        <v>0</v>
      </c>
    </row>
    <row r="2391" spans="1:15">
      <c r="A2391" s="195" t="str">
        <f t="shared" si="162"/>
        <v>inbound</v>
      </c>
      <c r="B2391" s="196">
        <v>45884.448441203705</v>
      </c>
      <c r="C2391" s="183" t="s">
        <v>1927</v>
      </c>
      <c r="D2391" s="183"/>
      <c r="E2391" s="217" t="s">
        <v>3064</v>
      </c>
      <c r="F2391" s="112" t="str">
        <f>IF(ISBLANK(E2391),"",_xlfn.XLOOKUP(E2391,cannabis_log!C:C,cannabis_log!J:J,"",0,))</f>
        <v>PR2505</v>
      </c>
      <c r="G2391" s="112"/>
      <c r="H2391" s="301" t="str">
        <f>IF(ISBLANK(E2391),"",_xlfn.XLOOKUP(E2391,cannabis_log!C:C,cannabis_log!H:H,"",0,1))</f>
        <v>driedflower_milled_bulk_BURB</v>
      </c>
      <c r="I2391" s="113" t="str">
        <f>IF(ISBLANK(E2391),"",_xlfn.XLOOKUP(E2391,cannabis_log!C:C,cannabis_log!K:K,"NOT FOUND",0,1))</f>
        <v>NA</v>
      </c>
      <c r="J2391" s="303">
        <v>1</v>
      </c>
      <c r="K2391" s="186">
        <v>2596</v>
      </c>
      <c r="L2391" s="354">
        <f t="shared" si="164"/>
        <v>0</v>
      </c>
      <c r="M2391" s="305"/>
      <c r="N2391" s="112" t="str">
        <f>IF(ISBLANK(E2391),"",_xlfn.XLOOKUP(E2391,cannabis_log!C:C,cannabis_log!T:T,"Not Found",0,))</f>
        <v>gross</v>
      </c>
      <c r="O2391" s="180">
        <f>IF(N2391="net",_xlfn.XLOOKUP(E2391,cannabis_log!C:C,cannabis_log!N:N,"NOT FOUND",0,1),IF(N2391="gross",0,""))</f>
        <v>0</v>
      </c>
    </row>
    <row r="2392" spans="1:15">
      <c r="A2392" s="195" t="str">
        <f t="shared" si="162"/>
        <v>outbound</v>
      </c>
      <c r="B2392" s="196">
        <v>45884.474052893522</v>
      </c>
      <c r="C2392" s="183" t="s">
        <v>1929</v>
      </c>
      <c r="D2392" s="183" t="s">
        <v>4270</v>
      </c>
      <c r="E2392" s="217" t="s">
        <v>4286</v>
      </c>
      <c r="F2392" s="112" t="str">
        <f>IF(ISBLANK(E2392),"",_xlfn.XLOOKUP(E2392,cannabis_log!C:C,cannabis_log!J:J,"",0,))</f>
        <v>PR251908F5P12</v>
      </c>
      <c r="G2392" s="112"/>
      <c r="H2392" s="301" t="str">
        <f>IF(ISBLANK(E2392),"",_xlfn.XLOOKUP(E2392,cannabis_log!C:C,cannabis_log!H:H,"",0,1))</f>
        <v>preroll_labelled</v>
      </c>
      <c r="I2392" s="113">
        <f>IF(ISBLANK(E2392),"",_xlfn.XLOOKUP(E2392,cannabis_log!C:C,cannabis_log!K:K,"NOT FOUND",0,1))</f>
        <v>45877</v>
      </c>
      <c r="J2392" s="303">
        <v>-267</v>
      </c>
      <c r="K2392" s="186">
        <f t="shared" si="163"/>
        <v>0</v>
      </c>
      <c r="L2392" s="354">
        <f t="shared" si="164"/>
        <v>-1602</v>
      </c>
      <c r="M2392" s="305"/>
      <c r="N2392" s="112" t="str">
        <f>IF(ISBLANK(E2392),"",_xlfn.XLOOKUP(E2392,cannabis_log!C:C,cannabis_log!T:T,"Not Found",0,))</f>
        <v>net</v>
      </c>
      <c r="O2392" s="180">
        <f>IF(N2392="net",_xlfn.XLOOKUP(E2392,cannabis_log!C:C,cannabis_log!N:N,"NOT FOUND",0,1),IF(N2392="gross",0,""))</f>
        <v>6</v>
      </c>
    </row>
    <row r="2393" spans="1:15">
      <c r="A2393" s="195" t="str">
        <f t="shared" si="162"/>
        <v>outbound</v>
      </c>
      <c r="B2393" s="196">
        <v>45884.577933217595</v>
      </c>
      <c r="C2393" s="183" t="s">
        <v>1929</v>
      </c>
      <c r="D2393" s="183" t="s">
        <v>4288</v>
      </c>
      <c r="E2393" s="217" t="s">
        <v>3012</v>
      </c>
      <c r="F2393" s="112" t="str">
        <f>IF(ISBLANK(E2393),"",_xlfn.XLOOKUP(E2393,cannabis_log!C:C,cannabis_log!J:J,"",0,))</f>
        <v>LR23032101</v>
      </c>
      <c r="G2393" s="112"/>
      <c r="H2393" s="301" t="str">
        <f>IF(ISBLANK(E2393),"",_xlfn.XLOOKUP(E2393,cannabis_log!C:C,cannabis_log!H:H,"",0,1))</f>
        <v>extract_inhaled_labelled</v>
      </c>
      <c r="I2393" s="113">
        <f>IF(ISBLANK(E2393),"",_xlfn.XLOOKUP(E2393,cannabis_log!C:C,cannabis_log!K:K,"NOT FOUND",0,1))</f>
        <v>45793</v>
      </c>
      <c r="J2393" s="303">
        <v>-6</v>
      </c>
      <c r="K2393" s="186">
        <f t="shared" si="163"/>
        <v>0</v>
      </c>
      <c r="L2393" s="354">
        <f t="shared" si="164"/>
        <v>-6</v>
      </c>
      <c r="M2393" s="305"/>
      <c r="N2393" s="112" t="str">
        <f>IF(ISBLANK(E2393),"",_xlfn.XLOOKUP(E2393,cannabis_log!C:C,cannabis_log!T:T,"Not Found",0,))</f>
        <v>net</v>
      </c>
      <c r="O2393" s="180">
        <f>IF(N2393="net",_xlfn.XLOOKUP(E2393,cannabis_log!C:C,cannabis_log!N:N,"NOT FOUND",0,1),IF(N2393="gross",0,""))</f>
        <v>1</v>
      </c>
    </row>
    <row r="2394" spans="1:15">
      <c r="A2394" s="195" t="str">
        <f t="shared" si="162"/>
        <v>outbound</v>
      </c>
      <c r="B2394" s="196">
        <v>45884.577933217595</v>
      </c>
      <c r="C2394" s="183" t="s">
        <v>1929</v>
      </c>
      <c r="D2394" s="183" t="s">
        <v>4288</v>
      </c>
      <c r="E2394" s="217" t="s">
        <v>4287</v>
      </c>
      <c r="F2394" s="112" t="str">
        <f>IF(ISBLANK(E2394),"",_xlfn.XLOOKUP(E2394,cannabis_log!C:C,cannabis_log!J:J,"",0,))</f>
        <v>PR251904F5P3</v>
      </c>
      <c r="G2394" s="112"/>
      <c r="H2394" s="301" t="str">
        <f>IF(ISBLANK(E2394),"",_xlfn.XLOOKUP(E2394,cannabis_log!C:C,cannabis_log!H:H,"",0,1))</f>
        <v>preroll_labelled</v>
      </c>
      <c r="I2394" s="113">
        <f>IF(ISBLANK(E2394),"",_xlfn.XLOOKUP(E2394,cannabis_log!C:C,cannabis_log!K:K,"NOT FOUND",0,1))</f>
        <v>45870</v>
      </c>
      <c r="J2394" s="303">
        <v>-12</v>
      </c>
      <c r="K2394" s="186">
        <f t="shared" si="163"/>
        <v>0</v>
      </c>
      <c r="L2394" s="354">
        <f t="shared" si="164"/>
        <v>-18</v>
      </c>
      <c r="M2394" s="305"/>
      <c r="N2394" s="112" t="str">
        <f>IF(ISBLANK(E2394),"",_xlfn.XLOOKUP(E2394,cannabis_log!C:C,cannabis_log!T:T,"Not Found",0,))</f>
        <v>net</v>
      </c>
      <c r="O2394" s="180">
        <f>IF(N2394="net",_xlfn.XLOOKUP(E2394,cannabis_log!C:C,cannabis_log!N:N,"NOT FOUND",0,1),IF(N2394="gross",0,""))</f>
        <v>1.5</v>
      </c>
    </row>
    <row r="2395" spans="1:15">
      <c r="A2395" s="195" t="str">
        <f t="shared" si="162"/>
        <v>outbound</v>
      </c>
      <c r="B2395" s="196">
        <v>45884.577933217595</v>
      </c>
      <c r="C2395" s="183" t="s">
        <v>1929</v>
      </c>
      <c r="D2395" s="183" t="s">
        <v>4288</v>
      </c>
      <c r="E2395" s="217" t="s">
        <v>4286</v>
      </c>
      <c r="F2395" s="112" t="str">
        <f>IF(ISBLANK(E2395),"",_xlfn.XLOOKUP(E2395,cannabis_log!C:C,cannabis_log!J:J,"",0,))</f>
        <v>PR251908F5P12</v>
      </c>
      <c r="G2395" s="112"/>
      <c r="H2395" s="301" t="str">
        <f>IF(ISBLANK(E2395),"",_xlfn.XLOOKUP(E2395,cannabis_log!C:C,cannabis_log!H:H,"",0,1))</f>
        <v>preroll_labelled</v>
      </c>
      <c r="I2395" s="113">
        <f>IF(ISBLANK(E2395),"",_xlfn.XLOOKUP(E2395,cannabis_log!C:C,cannabis_log!K:K,"NOT FOUND",0,1))</f>
        <v>45877</v>
      </c>
      <c r="J2395" s="303">
        <v>-12</v>
      </c>
      <c r="K2395" s="186">
        <f t="shared" si="163"/>
        <v>0</v>
      </c>
      <c r="L2395" s="354">
        <f t="shared" si="164"/>
        <v>-72</v>
      </c>
      <c r="M2395" s="305"/>
      <c r="N2395" s="112" t="str">
        <f>IF(ISBLANK(E2395),"",_xlfn.XLOOKUP(E2395,cannabis_log!C:C,cannabis_log!T:T,"Not Found",0,))</f>
        <v>net</v>
      </c>
      <c r="O2395" s="180">
        <f>IF(N2395="net",_xlfn.XLOOKUP(E2395,cannabis_log!C:C,cannabis_log!N:N,"NOT FOUND",0,1),IF(N2395="gross",0,""))</f>
        <v>6</v>
      </c>
    </row>
    <row r="2396" spans="1:15">
      <c r="A2396" s="195" t="str">
        <f t="shared" si="162"/>
        <v>outbound</v>
      </c>
      <c r="B2396" s="196">
        <v>45884.577933217595</v>
      </c>
      <c r="C2396" s="183" t="s">
        <v>1929</v>
      </c>
      <c r="D2396" s="183" t="s">
        <v>4288</v>
      </c>
      <c r="E2396" s="217" t="s">
        <v>3246</v>
      </c>
      <c r="F2396" s="112" t="str">
        <f>IF(ISBLANK(E2396),"",_xlfn.XLOOKUP(E2396,cannabis_log!C:C,cannabis_log!J:J,"",0,))</f>
        <v>PR2516F5P10</v>
      </c>
      <c r="G2396" s="112"/>
      <c r="H2396" s="301" t="str">
        <f>IF(ISBLANK(E2396),"",_xlfn.XLOOKUP(E2396,cannabis_log!C:C,cannabis_log!H:H,"",0,1))</f>
        <v>preroll_labelled</v>
      </c>
      <c r="I2396" s="113">
        <f>IF(ISBLANK(E2396),"",_xlfn.XLOOKUP(E2396,cannabis_log!C:C,cannabis_log!K:K,"NOT FOUND",0,1))</f>
        <v>45859</v>
      </c>
      <c r="J2396" s="303">
        <v>-6</v>
      </c>
      <c r="K2396" s="186">
        <f t="shared" si="163"/>
        <v>0</v>
      </c>
      <c r="L2396" s="354">
        <f t="shared" si="164"/>
        <v>-30</v>
      </c>
      <c r="M2396" s="305"/>
      <c r="N2396" s="112" t="str">
        <f>IF(ISBLANK(E2396),"",_xlfn.XLOOKUP(E2396,cannabis_log!C:C,cannabis_log!T:T,"Not Found",0,))</f>
        <v>net</v>
      </c>
      <c r="O2396" s="180">
        <f>IF(N2396="net",_xlfn.XLOOKUP(E2396,cannabis_log!C:C,cannabis_log!N:N,"NOT FOUND",0,1),IF(N2396="gross",0,""))</f>
        <v>5</v>
      </c>
    </row>
    <row r="2397" spans="1:15">
      <c r="A2397" s="195" t="str">
        <f t="shared" si="162"/>
        <v>outbound</v>
      </c>
      <c r="B2397" s="196">
        <v>45884.577933217595</v>
      </c>
      <c r="C2397" s="183" t="s">
        <v>1929</v>
      </c>
      <c r="D2397" s="183" t="s">
        <v>4288</v>
      </c>
      <c r="E2397" s="217" t="s">
        <v>4265</v>
      </c>
      <c r="F2397" s="112" t="str">
        <f>IF(ISBLANK(E2397),"",_xlfn.XLOOKUP(E2397,cannabis_log!C:C,cannabis_log!J:J,"",0,))</f>
        <v>PR2516F5P10</v>
      </c>
      <c r="G2397" s="112"/>
      <c r="H2397" s="301" t="str">
        <f>IF(ISBLANK(E2397),"",_xlfn.XLOOKUP(E2397,cannabis_log!C:C,cannabis_log!H:H,"",0,1))</f>
        <v>preroll_labelled</v>
      </c>
      <c r="I2397" s="113">
        <f>IF(ISBLANK(E2397),"",_xlfn.XLOOKUP(E2397,cannabis_log!C:C,cannabis_log!K:K,"NOT FOUND",0,1))</f>
        <v>45877</v>
      </c>
      <c r="J2397" s="303">
        <v>-6</v>
      </c>
      <c r="K2397" s="186">
        <f t="shared" si="163"/>
        <v>0</v>
      </c>
      <c r="L2397" s="354">
        <f t="shared" si="164"/>
        <v>-30</v>
      </c>
      <c r="M2397" s="305"/>
      <c r="N2397" s="112" t="str">
        <f>IF(ISBLANK(E2397),"",_xlfn.XLOOKUP(E2397,cannabis_log!C:C,cannabis_log!T:T,"Not Found",0,))</f>
        <v>net</v>
      </c>
      <c r="O2397" s="180">
        <f>IF(N2397="net",_xlfn.XLOOKUP(E2397,cannabis_log!C:C,cannabis_log!N:N,"NOT FOUND",0,1),IF(N2397="gross",0,""))</f>
        <v>5</v>
      </c>
    </row>
    <row r="2398" spans="1:15">
      <c r="A2398" s="195" t="str">
        <f t="shared" si="162"/>
        <v>outbound</v>
      </c>
      <c r="B2398" s="196">
        <v>45884.577933217595</v>
      </c>
      <c r="C2398" s="183" t="s">
        <v>1929</v>
      </c>
      <c r="D2398" s="183" t="s">
        <v>4288</v>
      </c>
      <c r="E2398" s="217" t="s">
        <v>3227</v>
      </c>
      <c r="F2398" s="112" t="str">
        <f>IF(ISBLANK(E2398),"",_xlfn.XLOOKUP(E2398,cannabis_log!C:C,cannabis_log!J:J,"",0,))</f>
        <v>PR2507F1P2</v>
      </c>
      <c r="G2398" s="112"/>
      <c r="H2398" s="301" t="str">
        <f>IF(ISBLANK(E2398),"",_xlfn.XLOOKUP(E2398,cannabis_log!C:C,cannabis_log!H:H,"",0,1))</f>
        <v>preroll_labelled</v>
      </c>
      <c r="I2398" s="113">
        <f>IF(ISBLANK(E2398),"",_xlfn.XLOOKUP(E2398,cannabis_log!C:C,cannabis_log!K:K,"NOT FOUND",0,1))</f>
        <v>45848</v>
      </c>
      <c r="J2398" s="303">
        <v>-12</v>
      </c>
      <c r="K2398" s="186">
        <f t="shared" si="163"/>
        <v>0</v>
      </c>
      <c r="L2398" s="354">
        <f t="shared" si="164"/>
        <v>-24</v>
      </c>
      <c r="M2398" s="305"/>
      <c r="N2398" s="112" t="str">
        <f>IF(ISBLANK(E2398),"",_xlfn.XLOOKUP(E2398,cannabis_log!C:C,cannabis_log!T:T,"Not Found",0,))</f>
        <v>net</v>
      </c>
      <c r="O2398" s="180">
        <f>IF(N2398="net",_xlfn.XLOOKUP(E2398,cannabis_log!C:C,cannabis_log!N:N,"NOT FOUND",0,1),IF(N2398="gross",0,""))</f>
        <v>2</v>
      </c>
    </row>
    <row r="2399" spans="1:15">
      <c r="A2399" s="195" t="str">
        <f t="shared" si="162"/>
        <v>outbound</v>
      </c>
      <c r="B2399" s="196">
        <v>45884.577933217595</v>
      </c>
      <c r="C2399" s="183" t="s">
        <v>1929</v>
      </c>
      <c r="D2399" s="183" t="s">
        <v>4288</v>
      </c>
      <c r="E2399" s="217" t="s">
        <v>3100</v>
      </c>
      <c r="F2399" s="112" t="str">
        <f>IF(ISBLANK(E2399),"",_xlfn.XLOOKUP(E2399,cannabis_log!C:C,cannabis_log!J:J,"",0,))</f>
        <v>EX24111301G05</v>
      </c>
      <c r="G2399" s="112"/>
      <c r="H2399" s="301" t="str">
        <f>IF(ISBLANK(E2399),"",_xlfn.XLOOKUP(E2399,cannabis_log!C:C,cannabis_log!H:H,"",0,1))</f>
        <v>extract_inhaled_labelled</v>
      </c>
      <c r="I2399" s="113">
        <f>IF(ISBLANK(E2399),"",_xlfn.XLOOKUP(E2399,cannabis_log!C:C,cannabis_log!K:K,"NOT FOUND",0,1))</f>
        <v>45756</v>
      </c>
      <c r="J2399" s="303">
        <v>-12</v>
      </c>
      <c r="K2399" s="186">
        <f t="shared" si="163"/>
        <v>0</v>
      </c>
      <c r="L2399" s="354">
        <f t="shared" si="164"/>
        <v>-6</v>
      </c>
      <c r="M2399" s="305"/>
      <c r="N2399" s="112" t="str">
        <f>IF(ISBLANK(E2399),"",_xlfn.XLOOKUP(E2399,cannabis_log!C:C,cannabis_log!T:T,"Not Found",0,))</f>
        <v>net</v>
      </c>
      <c r="O2399" s="180">
        <f>IF(N2399="net",_xlfn.XLOOKUP(E2399,cannabis_log!C:C,cannabis_log!N:N,"NOT FOUND",0,1),IF(N2399="gross",0,""))</f>
        <v>0.5</v>
      </c>
    </row>
    <row r="2400" spans="1:15">
      <c r="A2400" s="195" t="str">
        <f t="shared" si="162"/>
        <v>outbound</v>
      </c>
      <c r="B2400" s="196">
        <v>45884.577933217595</v>
      </c>
      <c r="C2400" s="183" t="s">
        <v>1929</v>
      </c>
      <c r="D2400" s="183" t="s">
        <v>4288</v>
      </c>
      <c r="E2400" s="217" t="s">
        <v>2528</v>
      </c>
      <c r="F2400" s="112" t="str">
        <f>IF(ISBLANK(E2400),"",_xlfn.XLOOKUP(E2400,cannabis_log!C:C,cannabis_log!J:J,"",0,))</f>
        <v>EX24101704G05</v>
      </c>
      <c r="G2400" s="112"/>
      <c r="H2400" s="301" t="str">
        <f>IF(ISBLANK(E2400),"",_xlfn.XLOOKUP(E2400,cannabis_log!C:C,cannabis_log!H:H,"",0,1))</f>
        <v>extract_inhaled_labelled</v>
      </c>
      <c r="I2400" s="113">
        <f>IF(ISBLANK(E2400),"",_xlfn.XLOOKUP(E2400,cannabis_log!C:C,cannabis_log!K:K,"NOT FOUND",0,1))</f>
        <v>45625</v>
      </c>
      <c r="J2400" s="303">
        <v>-12</v>
      </c>
      <c r="K2400" s="186">
        <f t="shared" si="163"/>
        <v>0</v>
      </c>
      <c r="L2400" s="354">
        <f t="shared" si="164"/>
        <v>-6</v>
      </c>
      <c r="M2400" s="305"/>
      <c r="N2400" s="112" t="str">
        <f>IF(ISBLANK(E2400),"",_xlfn.XLOOKUP(E2400,cannabis_log!C:C,cannabis_log!T:T,"Not Found",0,))</f>
        <v>net</v>
      </c>
      <c r="O2400" s="180">
        <f>IF(N2400="net",_xlfn.XLOOKUP(E2400,cannabis_log!C:C,cannabis_log!N:N,"NOT FOUND",0,1),IF(N2400="gross",0,""))</f>
        <v>0.5</v>
      </c>
    </row>
    <row r="2401" spans="1:15">
      <c r="A2401" s="195" t="str">
        <f t="shared" si="162"/>
        <v>outbound</v>
      </c>
      <c r="B2401" s="196">
        <v>45884.577933217595</v>
      </c>
      <c r="C2401" s="183" t="s">
        <v>1929</v>
      </c>
      <c r="D2401" s="183" t="s">
        <v>4288</v>
      </c>
      <c r="E2401" s="217" t="s">
        <v>3054</v>
      </c>
      <c r="F2401" s="112" t="str">
        <f>IF(ISBLANK(E2401),"",_xlfn.XLOOKUP(E2401,cannabis_log!C:C,cannabis_log!J:J,"",0,))</f>
        <v>ROGEX001G1</v>
      </c>
      <c r="G2401" s="112"/>
      <c r="H2401" s="301" t="str">
        <f>IF(ISBLANK(E2401),"",_xlfn.XLOOKUP(E2401,cannabis_log!C:C,cannabis_log!H:H,"",0,1))</f>
        <v>extract_inhaled_labelled_Rohan</v>
      </c>
      <c r="I2401" s="113">
        <f>IF(ISBLANK(E2401),"",_xlfn.XLOOKUP(E2401,cannabis_log!C:C,cannabis_log!K:K,"NOT FOUND",0,1))</f>
        <v>45772</v>
      </c>
      <c r="J2401" s="303">
        <v>-12</v>
      </c>
      <c r="K2401" s="186">
        <f t="shared" si="163"/>
        <v>0</v>
      </c>
      <c r="L2401" s="354">
        <f t="shared" si="164"/>
        <v>-12</v>
      </c>
      <c r="M2401" s="305"/>
      <c r="N2401" s="112" t="str">
        <f>IF(ISBLANK(E2401),"",_xlfn.XLOOKUP(E2401,cannabis_log!C:C,cannabis_log!T:T,"Not Found",0,))</f>
        <v>net</v>
      </c>
      <c r="O2401" s="180">
        <f>IF(N2401="net",_xlfn.XLOOKUP(E2401,cannabis_log!C:C,cannabis_log!N:N,"NOT FOUND",0,1),IF(N2401="gross",0,""))</f>
        <v>1</v>
      </c>
    </row>
    <row r="2402" spans="1:15">
      <c r="A2402" s="195" t="str">
        <f t="shared" si="162"/>
        <v>outbound</v>
      </c>
      <c r="B2402" s="196">
        <v>45884.577933217595</v>
      </c>
      <c r="C2402" s="183" t="s">
        <v>1929</v>
      </c>
      <c r="D2402" s="183" t="s">
        <v>4288</v>
      </c>
      <c r="E2402" s="217" t="s">
        <v>3062</v>
      </c>
      <c r="F2402" s="112" t="str">
        <f>IF(ISBLANK(E2402),"",_xlfn.XLOOKUP(E2402,cannabis_log!C:C,cannabis_log!J:J,"",0,))</f>
        <v>EX24111306G05</v>
      </c>
      <c r="G2402" s="112"/>
      <c r="H2402" s="301" t="str">
        <f>IF(ISBLANK(E2402),"",_xlfn.XLOOKUP(E2402,cannabis_log!C:C,cannabis_log!H:H,"",0,1))</f>
        <v>extract_inhaled_cased_SK_RTV</v>
      </c>
      <c r="I2402" s="113">
        <f>IF(ISBLANK(E2402),"",_xlfn.XLOOKUP(E2402,cannabis_log!C:C,cannabis_log!K:K,"NOT FOUND",0,1))</f>
        <v>45623</v>
      </c>
      <c r="J2402" s="303">
        <v>-1</v>
      </c>
      <c r="K2402" s="186">
        <f t="shared" si="163"/>
        <v>0</v>
      </c>
      <c r="L2402" s="354">
        <f t="shared" si="164"/>
        <v>-6</v>
      </c>
      <c r="M2402" s="305"/>
      <c r="N2402" s="112" t="str">
        <f>IF(ISBLANK(E2402),"",_xlfn.XLOOKUP(E2402,cannabis_log!C:C,cannabis_log!T:T,"Not Found",0,))</f>
        <v>net</v>
      </c>
      <c r="O2402" s="180">
        <f>IF(N2402="net",_xlfn.XLOOKUP(E2402,cannabis_log!C:C,cannabis_log!N:N,"NOT FOUND",0,1),IF(N2402="gross",0,""))</f>
        <v>6</v>
      </c>
    </row>
    <row r="2403" spans="1:15">
      <c r="A2403" s="195" t="str">
        <f t="shared" si="162"/>
        <v>outbound</v>
      </c>
      <c r="B2403" s="196">
        <v>45884.688065046299</v>
      </c>
      <c r="C2403" s="183" t="s">
        <v>1929</v>
      </c>
      <c r="D2403" s="183" t="s">
        <v>3765</v>
      </c>
      <c r="E2403" s="217" t="s">
        <v>3250</v>
      </c>
      <c r="F2403" s="112" t="str">
        <f>IF(ISBLANK(E2403),"",_xlfn.XLOOKUP(E2403,cannabis_log!C:C,cannabis_log!J:J,"",0,))</f>
        <v>TP25051501</v>
      </c>
      <c r="G2403" s="112"/>
      <c r="H2403" s="301" t="str">
        <f>IF(ISBLANK(E2403),"",_xlfn.XLOOKUP(E2403,cannabis_log!C:C,cannabis_log!H:H,"",0,1))</f>
        <v>topical_labelled</v>
      </c>
      <c r="I2403" s="113">
        <f>IF(ISBLANK(E2403),"",_xlfn.XLOOKUP(E2403,cannabis_log!C:C,cannabis_log!K:K,"NOT FOUND",0,1))</f>
        <v>45805</v>
      </c>
      <c r="J2403" s="303">
        <v>-12</v>
      </c>
      <c r="K2403" s="186">
        <f t="shared" si="163"/>
        <v>0</v>
      </c>
      <c r="L2403" s="354">
        <f t="shared" si="164"/>
        <v>-1056</v>
      </c>
      <c r="M2403" s="305"/>
      <c r="N2403" s="112" t="str">
        <f>IF(ISBLANK(E2403),"",_xlfn.XLOOKUP(E2403,cannabis_log!C:C,cannabis_log!T:T,"Not Found",0,))</f>
        <v>net</v>
      </c>
      <c r="O2403" s="180">
        <f>IF(N2403="net",_xlfn.XLOOKUP(E2403,cannabis_log!C:C,cannabis_log!N:N,"NOT FOUND",0,1),IF(N2403="gross",0,""))</f>
        <v>88</v>
      </c>
    </row>
    <row r="2404" spans="1:15">
      <c r="A2404" s="195" t="str">
        <f t="shared" ref="A2404" si="171">IF(ISBLANK(J2404),"",IF(J2404+K2404+L2404&lt;0,"outbound","inbound"))</f>
        <v>outbound</v>
      </c>
      <c r="B2404" s="196">
        <v>45884.688065046299</v>
      </c>
      <c r="C2404" s="183" t="s">
        <v>1929</v>
      </c>
      <c r="D2404" s="183" t="s">
        <v>4283</v>
      </c>
      <c r="E2404" s="217" t="s">
        <v>3250</v>
      </c>
      <c r="F2404" s="112" t="str">
        <f>IF(ISBLANK(E2404),"",_xlfn.XLOOKUP(E2404,cannabis_log!C:C,cannabis_log!J:J,"",0,))</f>
        <v>TP25051501</v>
      </c>
      <c r="G2404" s="112"/>
      <c r="H2404" s="301" t="str">
        <f>IF(ISBLANK(E2404),"",_xlfn.XLOOKUP(E2404,cannabis_log!C:C,cannabis_log!H:H,"",0,1))</f>
        <v>topical_labelled</v>
      </c>
      <c r="I2404" s="113">
        <f>IF(ISBLANK(E2404),"",_xlfn.XLOOKUP(E2404,cannabis_log!C:C,cannabis_log!K:K,"NOT FOUND",0,1))</f>
        <v>45805</v>
      </c>
      <c r="J2404" s="303">
        <v>-36</v>
      </c>
      <c r="K2404" s="186">
        <f t="shared" ref="K2404" si="172">IF(N2404="net",0,"")</f>
        <v>0</v>
      </c>
      <c r="L2404" s="354">
        <f t="shared" ref="L2404" si="173">IFERROR(J2404*O2404,"")</f>
        <v>-3168</v>
      </c>
      <c r="M2404" s="305"/>
      <c r="N2404" s="112" t="str">
        <f>IF(ISBLANK(E2404),"",_xlfn.XLOOKUP(E2404,cannabis_log!C:C,cannabis_log!T:T,"Not Found",0,))</f>
        <v>net</v>
      </c>
      <c r="O2404" s="180">
        <f>IF(N2404="net",_xlfn.XLOOKUP(E2404,cannabis_log!C:C,cannabis_log!N:N,"NOT FOUND",0,1),IF(N2404="gross",0,""))</f>
        <v>88</v>
      </c>
    </row>
    <row r="2405" spans="1:15">
      <c r="A2405" s="195" t="str">
        <f t="shared" si="162"/>
        <v>outbound</v>
      </c>
      <c r="B2405" s="196">
        <v>45884.688065046299</v>
      </c>
      <c r="C2405" s="183" t="s">
        <v>1929</v>
      </c>
      <c r="D2405" s="183" t="s">
        <v>3765</v>
      </c>
      <c r="E2405" s="217" t="s">
        <v>3208</v>
      </c>
      <c r="F2405" s="112" t="str">
        <f>IF(ISBLANK(E2405),"",_xlfn.XLOOKUP(E2405,cannabis_log!C:C,cannabis_log!J:J,"",0,))</f>
        <v>TP24120401G45</v>
      </c>
      <c r="G2405" s="112"/>
      <c r="H2405" s="301" t="str">
        <f>IF(ISBLANK(E2405),"",_xlfn.XLOOKUP(E2405,cannabis_log!C:C,cannabis_log!H:H,"",0,1))</f>
        <v>topical_labelled</v>
      </c>
      <c r="I2405" s="113">
        <f>IF(ISBLANK(E2405),"",_xlfn.XLOOKUP(E2405,cannabis_log!C:C,cannabis_log!K:K,"NOT FOUND",0,1))</f>
        <v>45638</v>
      </c>
      <c r="J2405" s="303">
        <v>-12</v>
      </c>
      <c r="K2405" s="186">
        <f t="shared" si="163"/>
        <v>0</v>
      </c>
      <c r="L2405" s="354">
        <f t="shared" si="164"/>
        <v>-540</v>
      </c>
      <c r="M2405" s="305"/>
      <c r="N2405" s="112" t="str">
        <f>IF(ISBLANK(E2405),"",_xlfn.XLOOKUP(E2405,cannabis_log!C:C,cannabis_log!T:T,"Not Found",0,))</f>
        <v>net</v>
      </c>
      <c r="O2405" s="180">
        <f>IF(N2405="net",_xlfn.XLOOKUP(E2405,cannabis_log!C:C,cannabis_log!N:N,"NOT FOUND",0,1),IF(N2405="gross",0,""))</f>
        <v>45</v>
      </c>
    </row>
    <row r="2406" spans="1:15">
      <c r="A2406" s="195" t="str">
        <f t="shared" si="162"/>
        <v>outbound</v>
      </c>
      <c r="B2406" s="196">
        <v>45884.688065046299</v>
      </c>
      <c r="C2406" s="183" t="s">
        <v>1929</v>
      </c>
      <c r="D2406" s="183" t="s">
        <v>3281</v>
      </c>
      <c r="E2406" s="217" t="s">
        <v>4287</v>
      </c>
      <c r="F2406" s="112" t="str">
        <f>IF(ISBLANK(E2406),"",_xlfn.XLOOKUP(E2406,cannabis_log!C:C,cannabis_log!J:J,"",0,))</f>
        <v>PR251904F5P3</v>
      </c>
      <c r="G2406" s="112"/>
      <c r="H2406" s="301" t="str">
        <f>IF(ISBLANK(E2406),"",_xlfn.XLOOKUP(E2406,cannabis_log!C:C,cannabis_log!H:H,"",0,1))</f>
        <v>preroll_labelled</v>
      </c>
      <c r="I2406" s="113">
        <f>IF(ISBLANK(E2406),"",_xlfn.XLOOKUP(E2406,cannabis_log!C:C,cannabis_log!K:K,"NOT FOUND",0,1))</f>
        <v>45870</v>
      </c>
      <c r="J2406" s="303">
        <v>-120</v>
      </c>
      <c r="K2406" s="186">
        <f t="shared" si="163"/>
        <v>0</v>
      </c>
      <c r="L2406" s="354">
        <f t="shared" si="164"/>
        <v>-180</v>
      </c>
      <c r="M2406" s="305"/>
      <c r="N2406" s="112" t="str">
        <f>IF(ISBLANK(E2406),"",_xlfn.XLOOKUP(E2406,cannabis_log!C:C,cannabis_log!T:T,"Not Found",0,))</f>
        <v>net</v>
      </c>
      <c r="O2406" s="180">
        <f>IF(N2406="net",_xlfn.XLOOKUP(E2406,cannabis_log!C:C,cannabis_log!N:N,"NOT FOUND",0,1),IF(N2406="gross",0,""))</f>
        <v>1.5</v>
      </c>
    </row>
    <row r="2407" spans="1:15">
      <c r="A2407" s="195" t="str">
        <f t="shared" si="162"/>
        <v>outbound</v>
      </c>
      <c r="B2407" s="196">
        <v>45887.414236226854</v>
      </c>
      <c r="C2407" s="183" t="s">
        <v>1929</v>
      </c>
      <c r="D2407" s="183" t="s">
        <v>3281</v>
      </c>
      <c r="E2407" s="217" t="s">
        <v>4280</v>
      </c>
      <c r="F2407" s="112" t="str">
        <f>IF(ISBLANK(E2407),"",_xlfn.XLOOKUP(E2407,cannabis_log!C:C,cannabis_log!J:J,"",0,))</f>
        <v>2024111803G7</v>
      </c>
      <c r="G2407" s="112"/>
      <c r="H2407" s="301" t="str">
        <f>IF(ISBLANK(E2407),"",_xlfn.XLOOKUP(E2407,cannabis_log!C:C,cannabis_log!H:H,"",0,1))</f>
        <v>driedflower_labelled</v>
      </c>
      <c r="I2407" s="113">
        <f>IF(ISBLANK(E2407),"",_xlfn.XLOOKUP(E2407,cannabis_log!C:C,cannabis_log!K:K,"NOT FOUND",0,1))</f>
        <v>45881</v>
      </c>
      <c r="J2407" s="303">
        <v>-36</v>
      </c>
      <c r="K2407" s="186">
        <f t="shared" si="163"/>
        <v>0</v>
      </c>
      <c r="L2407" s="354">
        <f t="shared" si="164"/>
        <v>-252</v>
      </c>
      <c r="M2407" s="305"/>
      <c r="N2407" s="112" t="str">
        <f>IF(ISBLANK(E2407),"",_xlfn.XLOOKUP(E2407,cannabis_log!C:C,cannabis_log!T:T,"Not Found",0,))</f>
        <v>net</v>
      </c>
      <c r="O2407" s="180">
        <f>IF(N2407="net",_xlfn.XLOOKUP(E2407,cannabis_log!C:C,cannabis_log!N:N,"NOT FOUND",0,1),IF(N2407="gross",0,""))</f>
        <v>7</v>
      </c>
    </row>
    <row r="2408" spans="1:15">
      <c r="A2408" s="195" t="str">
        <f t="shared" si="162"/>
        <v>outbound</v>
      </c>
      <c r="B2408" s="196">
        <v>45887.414236226854</v>
      </c>
      <c r="C2408" s="183" t="s">
        <v>1921</v>
      </c>
      <c r="D2408" s="183"/>
      <c r="E2408" s="217" t="s">
        <v>4292</v>
      </c>
      <c r="F2408" s="112" t="str">
        <f>IF(ISBLANK(E2408),"",_xlfn.XLOOKUP(E2408,cannabis_log!C:C,cannabis_log!J:J,"",0,))</f>
        <v>PR2521</v>
      </c>
      <c r="G2408" s="112"/>
      <c r="H2408" s="301" t="str">
        <f>IF(ISBLANK(E2408),"",_xlfn.XLOOKUP(E2408,cannabis_log!C:C,cannabis_log!H:H,"",0,1))</f>
        <v>driedflower_milled_bulk</v>
      </c>
      <c r="I2408" s="113" t="str">
        <f>IF(ISBLANK(E2408),"",_xlfn.XLOOKUP(E2408,cannabis_log!C:C,cannabis_log!K:K,"NOT FOUND",0,1))</f>
        <v>NA</v>
      </c>
      <c r="J2408" s="303">
        <v>-1</v>
      </c>
      <c r="K2408" s="186">
        <v>-3248</v>
      </c>
      <c r="L2408" s="354">
        <f t="shared" si="164"/>
        <v>0</v>
      </c>
      <c r="M2408" s="305"/>
      <c r="N2408" s="112" t="str">
        <f>IF(ISBLANK(E2408),"",_xlfn.XLOOKUP(E2408,cannabis_log!C:C,cannabis_log!T:T,"Not Found",0,))</f>
        <v>gross</v>
      </c>
      <c r="O2408" s="180">
        <f>IF(N2408="net",_xlfn.XLOOKUP(E2408,cannabis_log!C:C,cannabis_log!N:N,"NOT FOUND",0,1),IF(N2408="gross",0,""))</f>
        <v>0</v>
      </c>
    </row>
    <row r="2409" spans="1:15">
      <c r="A2409" s="195" t="str">
        <f t="shared" si="162"/>
        <v>outbound</v>
      </c>
      <c r="B2409" s="196">
        <v>45887.471580555553</v>
      </c>
      <c r="C2409" s="183" t="s">
        <v>1929</v>
      </c>
      <c r="D2409" s="183" t="s">
        <v>4290</v>
      </c>
      <c r="E2409" s="217" t="s">
        <v>3208</v>
      </c>
      <c r="F2409" s="112" t="str">
        <f>IF(ISBLANK(E2409),"",_xlfn.XLOOKUP(E2409,cannabis_log!C:C,cannabis_log!J:J,"",0,))</f>
        <v>TP24120401G45</v>
      </c>
      <c r="G2409" s="112"/>
      <c r="H2409" s="301" t="str">
        <f>IF(ISBLANK(E2409),"",_xlfn.XLOOKUP(E2409,cannabis_log!C:C,cannabis_log!H:H,"",0,1))</f>
        <v>topical_labelled</v>
      </c>
      <c r="I2409" s="113">
        <f>IF(ISBLANK(E2409),"",_xlfn.XLOOKUP(E2409,cannabis_log!C:C,cannabis_log!K:K,"NOT FOUND",0,1))</f>
        <v>45638</v>
      </c>
      <c r="J2409" s="303">
        <v>-12</v>
      </c>
      <c r="K2409" s="186">
        <f t="shared" si="163"/>
        <v>0</v>
      </c>
      <c r="L2409" s="354">
        <f t="shared" si="164"/>
        <v>-540</v>
      </c>
      <c r="M2409" s="305"/>
      <c r="N2409" s="112" t="str">
        <f>IF(ISBLANK(E2409),"",_xlfn.XLOOKUP(E2409,cannabis_log!C:C,cannabis_log!T:T,"Not Found",0,))</f>
        <v>net</v>
      </c>
      <c r="O2409" s="180">
        <f>IF(N2409="net",_xlfn.XLOOKUP(E2409,cannabis_log!C:C,cannabis_log!N:N,"NOT FOUND",0,1),IF(N2409="gross",0,""))</f>
        <v>45</v>
      </c>
    </row>
    <row r="2410" spans="1:15">
      <c r="A2410" s="195" t="str">
        <f t="shared" si="162"/>
        <v>outbound</v>
      </c>
      <c r="B2410" s="196">
        <v>45887.471580555553</v>
      </c>
      <c r="C2410" s="183" t="s">
        <v>1929</v>
      </c>
      <c r="D2410" s="183" t="s">
        <v>4291</v>
      </c>
      <c r="E2410" s="217" t="s">
        <v>3208</v>
      </c>
      <c r="F2410" s="112" t="str">
        <f>IF(ISBLANK(E2410),"",_xlfn.XLOOKUP(E2410,cannabis_log!C:C,cannabis_log!J:J,"",0,))</f>
        <v>TP24120401G45</v>
      </c>
      <c r="G2410" s="112"/>
      <c r="H2410" s="301" t="str">
        <f>IF(ISBLANK(E2410),"",_xlfn.XLOOKUP(E2410,cannabis_log!C:C,cannabis_log!H:H,"",0,1))</f>
        <v>topical_labelled</v>
      </c>
      <c r="I2410" s="113">
        <f>IF(ISBLANK(E2410),"",_xlfn.XLOOKUP(E2410,cannabis_log!C:C,cannabis_log!K:K,"NOT FOUND",0,1))</f>
        <v>45638</v>
      </c>
      <c r="J2410" s="303">
        <v>-12</v>
      </c>
      <c r="K2410" s="186">
        <f t="shared" si="163"/>
        <v>0</v>
      </c>
      <c r="L2410" s="354">
        <f t="shared" si="164"/>
        <v>-540</v>
      </c>
      <c r="M2410" s="305"/>
      <c r="N2410" s="112" t="str">
        <f>IF(ISBLANK(E2410),"",_xlfn.XLOOKUP(E2410,cannabis_log!C:C,cannabis_log!T:T,"Not Found",0,))</f>
        <v>net</v>
      </c>
      <c r="O2410" s="180">
        <f>IF(N2410="net",_xlfn.XLOOKUP(E2410,cannabis_log!C:C,cannabis_log!N:N,"NOT FOUND",0,1),IF(N2410="gross",0,""))</f>
        <v>45</v>
      </c>
    </row>
    <row r="2411" spans="1:15">
      <c r="A2411" s="195" t="str">
        <f t="shared" si="162"/>
        <v>outbound</v>
      </c>
      <c r="B2411" s="196">
        <v>45887.471580555553</v>
      </c>
      <c r="C2411" s="183" t="s">
        <v>1929</v>
      </c>
      <c r="D2411" s="183" t="s">
        <v>4290</v>
      </c>
      <c r="E2411" s="217" t="s">
        <v>4260</v>
      </c>
      <c r="F2411" s="112" t="str">
        <f>IF(ISBLANK(E2411),"",_xlfn.XLOOKUP(E2411,cannabis_log!C:C,cannabis_log!J:J,"",0,))</f>
        <v>PR2512F5P5</v>
      </c>
      <c r="G2411" s="112"/>
      <c r="H2411" s="301" t="str">
        <f>IF(ISBLANK(E2411),"",_xlfn.XLOOKUP(E2411,cannabis_log!C:C,cannabis_log!H:H,"",0,1))</f>
        <v>preroll_labelled</v>
      </c>
      <c r="I2411" s="113">
        <f>IF(ISBLANK(E2411),"",_xlfn.XLOOKUP(E2411,cannabis_log!C:C,cannabis_log!K:K,"NOT FOUND",0,1))</f>
        <v>45875</v>
      </c>
      <c r="J2411" s="303">
        <v>-24</v>
      </c>
      <c r="K2411" s="186">
        <f t="shared" si="163"/>
        <v>0</v>
      </c>
      <c r="L2411" s="354">
        <f t="shared" si="164"/>
        <v>-60</v>
      </c>
      <c r="M2411" s="305"/>
      <c r="N2411" s="112" t="str">
        <f>IF(ISBLANK(E2411),"",_xlfn.XLOOKUP(E2411,cannabis_log!C:C,cannabis_log!T:T,"Not Found",0,))</f>
        <v>net</v>
      </c>
      <c r="O2411" s="180">
        <f>IF(N2411="net",_xlfn.XLOOKUP(E2411,cannabis_log!C:C,cannabis_log!N:N,"NOT FOUND",0,1),IF(N2411="gross",0,""))</f>
        <v>2.5</v>
      </c>
    </row>
    <row r="2412" spans="1:15">
      <c r="A2412" s="195" t="str">
        <f t="shared" si="162"/>
        <v>outbound</v>
      </c>
      <c r="B2412" s="196">
        <v>45887.471580555553</v>
      </c>
      <c r="C2412" s="183" t="s">
        <v>1929</v>
      </c>
      <c r="D2412" s="183" t="s">
        <v>4291</v>
      </c>
      <c r="E2412" s="217" t="s">
        <v>4260</v>
      </c>
      <c r="F2412" s="112" t="str">
        <f>IF(ISBLANK(E2412),"",_xlfn.XLOOKUP(E2412,cannabis_log!C:C,cannabis_log!J:J,"",0,))</f>
        <v>PR2512F5P5</v>
      </c>
      <c r="G2412" s="112"/>
      <c r="H2412" s="301" t="str">
        <f>IF(ISBLANK(E2412),"",_xlfn.XLOOKUP(E2412,cannabis_log!C:C,cannabis_log!H:H,"",0,1))</f>
        <v>preroll_labelled</v>
      </c>
      <c r="I2412" s="113">
        <f>IF(ISBLANK(E2412),"",_xlfn.XLOOKUP(E2412,cannabis_log!C:C,cannabis_log!K:K,"NOT FOUND",0,1))</f>
        <v>45875</v>
      </c>
      <c r="J2412" s="303">
        <v>-24</v>
      </c>
      <c r="K2412" s="186">
        <f t="shared" si="163"/>
        <v>0</v>
      </c>
      <c r="L2412" s="354">
        <f t="shared" si="164"/>
        <v>-60</v>
      </c>
      <c r="M2412" s="305"/>
      <c r="N2412" s="112" t="str">
        <f>IF(ISBLANK(E2412),"",_xlfn.XLOOKUP(E2412,cannabis_log!C:C,cannabis_log!T:T,"Not Found",0,))</f>
        <v>net</v>
      </c>
      <c r="O2412" s="180">
        <f>IF(N2412="net",_xlfn.XLOOKUP(E2412,cannabis_log!C:C,cannabis_log!N:N,"NOT FOUND",0,1),IF(N2412="gross",0,""))</f>
        <v>2.5</v>
      </c>
    </row>
    <row r="2413" spans="1:15">
      <c r="A2413" s="195" t="str">
        <f t="shared" si="162"/>
        <v>outbound</v>
      </c>
      <c r="B2413" s="196">
        <v>45887.471580555553</v>
      </c>
      <c r="C2413" s="183" t="s">
        <v>1929</v>
      </c>
      <c r="D2413" s="183" t="s">
        <v>4290</v>
      </c>
      <c r="E2413" s="217" t="s">
        <v>3062</v>
      </c>
      <c r="F2413" s="112" t="str">
        <f>IF(ISBLANK(E2413),"",_xlfn.XLOOKUP(E2413,cannabis_log!C:C,cannabis_log!J:J,"",0,))</f>
        <v>EX24111306G05</v>
      </c>
      <c r="G2413" s="112"/>
      <c r="H2413" s="301" t="str">
        <f>IF(ISBLANK(E2413),"",_xlfn.XLOOKUP(E2413,cannabis_log!C:C,cannabis_log!H:H,"",0,1))</f>
        <v>extract_inhaled_cased_SK_RTV</v>
      </c>
      <c r="I2413" s="113">
        <f>IF(ISBLANK(E2413),"",_xlfn.XLOOKUP(E2413,cannabis_log!C:C,cannabis_log!K:K,"NOT FOUND",0,1))</f>
        <v>45623</v>
      </c>
      <c r="J2413" s="303">
        <v>-1</v>
      </c>
      <c r="K2413" s="186">
        <f t="shared" si="163"/>
        <v>0</v>
      </c>
      <c r="L2413" s="354">
        <f t="shared" si="164"/>
        <v>-6</v>
      </c>
      <c r="M2413" s="305"/>
      <c r="N2413" s="112" t="str">
        <f>IF(ISBLANK(E2413),"",_xlfn.XLOOKUP(E2413,cannabis_log!C:C,cannabis_log!T:T,"Not Found",0,))</f>
        <v>net</v>
      </c>
      <c r="O2413" s="180">
        <f>IF(N2413="net",_xlfn.XLOOKUP(E2413,cannabis_log!C:C,cannabis_log!N:N,"NOT FOUND",0,1),IF(N2413="gross",0,""))</f>
        <v>6</v>
      </c>
    </row>
    <row r="2414" spans="1:15">
      <c r="A2414" s="195" t="str">
        <f t="shared" si="162"/>
        <v>outbound</v>
      </c>
      <c r="B2414" s="196">
        <v>45887.471580555553</v>
      </c>
      <c r="C2414" s="183" t="s">
        <v>1929</v>
      </c>
      <c r="D2414" s="183" t="s">
        <v>4290</v>
      </c>
      <c r="E2414" s="217" t="s">
        <v>3191</v>
      </c>
      <c r="F2414" s="112" t="str">
        <f>IF(ISBLANK(E2414),"",_xlfn.XLOOKUP(E2414,cannabis_log!C:C,cannabis_log!J:J,"",0,))</f>
        <v>PR2516F1P2</v>
      </c>
      <c r="G2414" s="112"/>
      <c r="H2414" s="301" t="str">
        <f>IF(ISBLANK(E2414),"",_xlfn.XLOOKUP(E2414,cannabis_log!C:C,cannabis_log!H:H,"",0,1))</f>
        <v>preroll_labelled</v>
      </c>
      <c r="I2414" s="113">
        <f>IF(ISBLANK(E2414),"",_xlfn.XLOOKUP(E2414,cannabis_log!C:C,cannabis_log!K:K,"NOT FOUND",0,1))</f>
        <v>45831</v>
      </c>
      <c r="J2414" s="303">
        <v>-24</v>
      </c>
      <c r="K2414" s="186">
        <f t="shared" si="163"/>
        <v>0</v>
      </c>
      <c r="L2414" s="354">
        <f t="shared" si="164"/>
        <v>-48</v>
      </c>
      <c r="M2414" s="305"/>
      <c r="N2414" s="112" t="str">
        <f>IF(ISBLANK(E2414),"",_xlfn.XLOOKUP(E2414,cannabis_log!C:C,cannabis_log!T:T,"Not Found",0,))</f>
        <v>net</v>
      </c>
      <c r="O2414" s="180">
        <f>IF(N2414="net",_xlfn.XLOOKUP(E2414,cannabis_log!C:C,cannabis_log!N:N,"NOT FOUND",0,1),IF(N2414="gross",0,""))</f>
        <v>2</v>
      </c>
    </row>
    <row r="2415" spans="1:15">
      <c r="A2415" s="195" t="str">
        <f t="shared" si="162"/>
        <v>outbound</v>
      </c>
      <c r="B2415" s="196">
        <v>45887.471580555553</v>
      </c>
      <c r="C2415" s="183" t="s">
        <v>1929</v>
      </c>
      <c r="D2415" s="183" t="s">
        <v>4290</v>
      </c>
      <c r="E2415" s="217" t="s">
        <v>4280</v>
      </c>
      <c r="F2415" s="112" t="str">
        <f>IF(ISBLANK(E2415),"",_xlfn.XLOOKUP(E2415,cannabis_log!C:C,cannabis_log!J:J,"",0,))</f>
        <v>2024111803G7</v>
      </c>
      <c r="G2415" s="112"/>
      <c r="H2415" s="301" t="str">
        <f>IF(ISBLANK(E2415),"",_xlfn.XLOOKUP(E2415,cannabis_log!C:C,cannabis_log!H:H,"",0,1))</f>
        <v>driedflower_labelled</v>
      </c>
      <c r="I2415" s="113">
        <f>IF(ISBLANK(E2415),"",_xlfn.XLOOKUP(E2415,cannabis_log!C:C,cannabis_log!K:K,"NOT FOUND",0,1))</f>
        <v>45881</v>
      </c>
      <c r="J2415" s="303">
        <v>-12</v>
      </c>
      <c r="K2415" s="186">
        <f t="shared" si="163"/>
        <v>0</v>
      </c>
      <c r="L2415" s="354">
        <f t="shared" si="164"/>
        <v>-84</v>
      </c>
      <c r="M2415" s="305"/>
      <c r="N2415" s="112" t="str">
        <f>IF(ISBLANK(E2415),"",_xlfn.XLOOKUP(E2415,cannabis_log!C:C,cannabis_log!T:T,"Not Found",0,))</f>
        <v>net</v>
      </c>
      <c r="O2415" s="180">
        <f>IF(N2415="net",_xlfn.XLOOKUP(E2415,cannabis_log!C:C,cannabis_log!N:N,"NOT FOUND",0,1),IF(N2415="gross",0,""))</f>
        <v>7</v>
      </c>
    </row>
    <row r="2416" spans="1:15">
      <c r="A2416" s="195" t="str">
        <f t="shared" si="162"/>
        <v>outbound</v>
      </c>
      <c r="B2416" s="196">
        <v>45887.681285300925</v>
      </c>
      <c r="C2416" s="183" t="s">
        <v>1929</v>
      </c>
      <c r="D2416" s="183" t="s">
        <v>4293</v>
      </c>
      <c r="E2416" s="217" t="s">
        <v>4262</v>
      </c>
      <c r="F2416" s="112" t="str">
        <f>IF(ISBLANK(E2416),"",_xlfn.XLOOKUP(E2416,cannabis_log!C:C,cannabis_log!J:J,"",0,))</f>
        <v>PR251902F5P3</v>
      </c>
      <c r="G2416" s="112"/>
      <c r="H2416" s="301" t="str">
        <f>IF(ISBLANK(E2416),"",_xlfn.XLOOKUP(E2416,cannabis_log!C:C,cannabis_log!H:H,"",0,1))</f>
        <v>preroll_labelled</v>
      </c>
      <c r="I2416" s="113">
        <f>IF(ISBLANK(E2416),"",_xlfn.XLOOKUP(E2416,cannabis_log!C:C,cannabis_log!K:K,"NOT FOUND",0,1))</f>
        <v>45877</v>
      </c>
      <c r="J2416" s="303">
        <v>-24</v>
      </c>
      <c r="K2416" s="186">
        <f t="shared" si="163"/>
        <v>0</v>
      </c>
      <c r="L2416" s="354">
        <f t="shared" si="164"/>
        <v>-36</v>
      </c>
      <c r="M2416" s="305"/>
      <c r="N2416" s="112" t="str">
        <f>IF(ISBLANK(E2416),"",_xlfn.XLOOKUP(E2416,cannabis_log!C:C,cannabis_log!T:T,"Not Found",0,))</f>
        <v>net</v>
      </c>
      <c r="O2416" s="180">
        <f>IF(N2416="net",_xlfn.XLOOKUP(E2416,cannabis_log!C:C,cannabis_log!N:N,"NOT FOUND",0,1),IF(N2416="gross",0,""))</f>
        <v>1.5</v>
      </c>
    </row>
    <row r="2417" spans="1:15">
      <c r="A2417" s="195" t="str">
        <f t="shared" si="162"/>
        <v>outbound</v>
      </c>
      <c r="B2417" s="196">
        <v>45888.374725347225</v>
      </c>
      <c r="C2417" s="183" t="s">
        <v>1929</v>
      </c>
      <c r="D2417" s="183" t="s">
        <v>4293</v>
      </c>
      <c r="E2417" s="217" t="s">
        <v>2016</v>
      </c>
      <c r="F2417" s="112" t="str">
        <f>IF(ISBLANK(E2417),"",_xlfn.XLOOKUP(E2417,cannabis_log!C:C,cannabis_log!J:J,"",0,))</f>
        <v>PR2407F5P3</v>
      </c>
      <c r="G2417" s="112"/>
      <c r="H2417" s="301" t="str">
        <f>IF(ISBLANK(E2417),"",_xlfn.XLOOKUP(E2417,cannabis_log!C:C,cannabis_log!H:H,"",0,1))</f>
        <v>preroll_labelled</v>
      </c>
      <c r="I2417" s="113">
        <f>IF(ISBLANK(E2417),"",_xlfn.XLOOKUP(E2417,cannabis_log!C:C,cannabis_log!K:K,"NOT FOUND",0,1))</f>
        <v>45828</v>
      </c>
      <c r="J2417" s="303">
        <v>-36</v>
      </c>
      <c r="K2417" s="186">
        <f t="shared" si="163"/>
        <v>0</v>
      </c>
      <c r="L2417" s="354">
        <f t="shared" si="164"/>
        <v>-54</v>
      </c>
      <c r="M2417" s="305"/>
      <c r="N2417" s="112" t="str">
        <f>IF(ISBLANK(E2417),"",_xlfn.XLOOKUP(E2417,cannabis_log!C:C,cannabis_log!T:T,"Not Found",0,))</f>
        <v>net</v>
      </c>
      <c r="O2417" s="180">
        <f>IF(N2417="net",_xlfn.XLOOKUP(E2417,cannabis_log!C:C,cannabis_log!N:N,"NOT FOUND",0,1),IF(N2417="gross",0,""))</f>
        <v>1.5</v>
      </c>
    </row>
    <row r="2418" spans="1:15">
      <c r="A2418" s="195" t="str">
        <f t="shared" si="162"/>
        <v>outbound</v>
      </c>
      <c r="B2418" s="196">
        <v>45888.374725347225</v>
      </c>
      <c r="C2418" s="183" t="s">
        <v>1929</v>
      </c>
      <c r="D2418" s="183" t="s">
        <v>4293</v>
      </c>
      <c r="E2418" s="217" t="s">
        <v>3227</v>
      </c>
      <c r="F2418" s="112" t="str">
        <f>IF(ISBLANK(E2418),"",_xlfn.XLOOKUP(E2418,cannabis_log!C:C,cannabis_log!J:J,"",0,))</f>
        <v>PR2507F1P2</v>
      </c>
      <c r="G2418" s="112"/>
      <c r="H2418" s="301" t="str">
        <f>IF(ISBLANK(E2418),"",_xlfn.XLOOKUP(E2418,cannabis_log!C:C,cannabis_log!H:H,"",0,1))</f>
        <v>preroll_labelled</v>
      </c>
      <c r="I2418" s="113">
        <f>IF(ISBLANK(E2418),"",_xlfn.XLOOKUP(E2418,cannabis_log!C:C,cannabis_log!K:K,"NOT FOUND",0,1))</f>
        <v>45848</v>
      </c>
      <c r="J2418" s="303">
        <v>-36</v>
      </c>
      <c r="K2418" s="186">
        <f t="shared" si="163"/>
        <v>0</v>
      </c>
      <c r="L2418" s="354">
        <f t="shared" si="164"/>
        <v>-72</v>
      </c>
      <c r="M2418" s="305"/>
      <c r="N2418" s="112" t="str">
        <f>IF(ISBLANK(E2418),"",_xlfn.XLOOKUP(E2418,cannabis_log!C:C,cannabis_log!T:T,"Not Found",0,))</f>
        <v>net</v>
      </c>
      <c r="O2418" s="180">
        <f>IF(N2418="net",_xlfn.XLOOKUP(E2418,cannabis_log!C:C,cannabis_log!N:N,"NOT FOUND",0,1),IF(N2418="gross",0,""))</f>
        <v>2</v>
      </c>
    </row>
    <row r="2419" spans="1:15">
      <c r="A2419" s="195" t="str">
        <f t="shared" si="162"/>
        <v>outbound</v>
      </c>
      <c r="B2419" s="196">
        <v>45888.374725347225</v>
      </c>
      <c r="C2419" s="183" t="s">
        <v>1929</v>
      </c>
      <c r="D2419" s="183" t="s">
        <v>4293</v>
      </c>
      <c r="E2419" s="217" t="s">
        <v>4298</v>
      </c>
      <c r="F2419" s="112" t="str">
        <f>IF(ISBLANK(E2419),"",_xlfn.XLOOKUP(E2419,cannabis_log!C:C,cannabis_log!J:J,"",0,))</f>
        <v>PR2406F1P1</v>
      </c>
      <c r="G2419" s="112"/>
      <c r="H2419" s="301" t="str">
        <f>IF(ISBLANK(E2419),"",_xlfn.XLOOKUP(E2419,cannabis_log!C:C,cannabis_log!H:H,"",0,1))</f>
        <v>preroll_labelled</v>
      </c>
      <c r="I2419" s="113">
        <f>IF(ISBLANK(E2419),"",_xlfn.XLOOKUP(E2419,cannabis_log!C:C,cannabis_log!K:K,"NOT FOUND",0,1))</f>
        <v>45742</v>
      </c>
      <c r="J2419" s="303">
        <v>-24</v>
      </c>
      <c r="K2419" s="186">
        <f t="shared" si="163"/>
        <v>0</v>
      </c>
      <c r="L2419" s="354">
        <f t="shared" si="164"/>
        <v>-24</v>
      </c>
      <c r="M2419" s="305"/>
      <c r="N2419" s="112" t="str">
        <f>IF(ISBLANK(E2419),"",_xlfn.XLOOKUP(E2419,cannabis_log!C:C,cannabis_log!T:T,"Not Found",0,))</f>
        <v>net</v>
      </c>
      <c r="O2419" s="180">
        <f>IF(N2419="net",_xlfn.XLOOKUP(E2419,cannabis_log!C:C,cannabis_log!N:N,"NOT FOUND",0,1),IF(N2419="gross",0,""))</f>
        <v>1</v>
      </c>
    </row>
    <row r="2420" spans="1:15">
      <c r="A2420" s="195" t="str">
        <f t="shared" si="162"/>
        <v>outbound</v>
      </c>
      <c r="B2420" s="196">
        <v>45888.374725347225</v>
      </c>
      <c r="C2420" s="183" t="s">
        <v>1929</v>
      </c>
      <c r="D2420" s="183" t="s">
        <v>4293</v>
      </c>
      <c r="E2420" s="217" t="s">
        <v>3251</v>
      </c>
      <c r="F2420" s="112" t="str">
        <f>IF(ISBLANK(E2420),"",_xlfn.XLOOKUP(E2420,cannabis_log!C:C,cannabis_log!J:J,"",0,))</f>
        <v>EX23060701V30</v>
      </c>
      <c r="G2420" s="112"/>
      <c r="H2420" s="301" t="str">
        <f>IF(ISBLANK(E2420),"",_xlfn.XLOOKUP(E2420,cannabis_log!C:C,cannabis_log!H:H,"",0,1))</f>
        <v>extract_ingested_cased_MB_RTV</v>
      </c>
      <c r="I2420" s="113">
        <f>IF(ISBLANK(E2420),"",_xlfn.XLOOKUP(E2420,cannabis_log!C:C,cannabis_log!K:K,"NOT FOUND",0,1))</f>
        <v>45596</v>
      </c>
      <c r="J2420" s="303">
        <v>-2</v>
      </c>
      <c r="K2420" s="186">
        <f t="shared" si="163"/>
        <v>0</v>
      </c>
      <c r="L2420" s="354">
        <f t="shared" si="164"/>
        <v>-655.20000000000005</v>
      </c>
      <c r="M2420" s="305"/>
      <c r="N2420" s="112" t="str">
        <f>IF(ISBLANK(E2420),"",_xlfn.XLOOKUP(E2420,cannabis_log!C:C,cannabis_log!T:T,"Not Found",0,))</f>
        <v>net</v>
      </c>
      <c r="O2420" s="180">
        <f>IF(N2420="net",_xlfn.XLOOKUP(E2420,cannabis_log!C:C,cannabis_log!N:N,"NOT FOUND",0,1),IF(N2420="gross",0,""))</f>
        <v>327.60000000000002</v>
      </c>
    </row>
    <row r="2421" spans="1:15">
      <c r="A2421" s="195" t="str">
        <f t="shared" si="162"/>
        <v>outbound</v>
      </c>
      <c r="B2421" s="196">
        <v>45888.374725347225</v>
      </c>
      <c r="C2421" s="183" t="s">
        <v>1921</v>
      </c>
      <c r="D2421" s="183"/>
      <c r="E2421" s="217" t="s">
        <v>3002</v>
      </c>
      <c r="F2421" s="112">
        <f>IF(ISBLANK(E2421),"",_xlfn.XLOOKUP(E2421,cannabis_log!C:C,cannabis_log!J:J,"",0,))</f>
        <v>2025050101</v>
      </c>
      <c r="G2421" s="112"/>
      <c r="H2421" s="301" t="str">
        <f>IF(ISBLANK(E2421),"",_xlfn.XLOOKUP(E2421,cannabis_log!C:C,cannabis_log!H:H,"",0,1))</f>
        <v>extract_distillate_bulk</v>
      </c>
      <c r="I2421" s="113" t="str">
        <f>IF(ISBLANK(E2421),"",_xlfn.XLOOKUP(E2421,cannabis_log!C:C,cannabis_log!K:K,"NOT FOUND",0,1))</f>
        <v>NA</v>
      </c>
      <c r="J2421" s="303">
        <v>-1</v>
      </c>
      <c r="K2421" s="186">
        <v>-3625</v>
      </c>
      <c r="L2421" s="354">
        <f t="shared" si="164"/>
        <v>0</v>
      </c>
      <c r="M2421" s="305"/>
      <c r="N2421" s="112" t="str">
        <f>IF(ISBLANK(E2421),"",_xlfn.XLOOKUP(E2421,cannabis_log!C:C,cannabis_log!T:T,"Not Found",0,))</f>
        <v>gross</v>
      </c>
      <c r="O2421" s="180">
        <f>IF(N2421="net",_xlfn.XLOOKUP(E2421,cannabis_log!C:C,cannabis_log!N:N,"NOT FOUND",0,1),IF(N2421="gross",0,""))</f>
        <v>0</v>
      </c>
    </row>
    <row r="2422" spans="1:15">
      <c r="A2422" s="195" t="str">
        <f t="shared" si="162"/>
        <v>outbound</v>
      </c>
      <c r="B2422" s="196">
        <v>45888.374725347225</v>
      </c>
      <c r="C2422" s="183" t="s">
        <v>1921</v>
      </c>
      <c r="D2422" s="183"/>
      <c r="E2422" s="217" t="s">
        <v>4301</v>
      </c>
      <c r="F2422" s="112">
        <f>IF(ISBLANK(E2422),"",_xlfn.XLOOKUP(E2422,cannabis_log!C:C,cannabis_log!J:J,"",0,))</f>
        <v>2025080701</v>
      </c>
      <c r="G2422" s="112"/>
      <c r="H2422" s="301" t="str">
        <f>IF(ISBLANK(E2422),"",_xlfn.XLOOKUP(E2422,cannabis_log!C:C,cannabis_log!H:H,"",0,1))</f>
        <v>extract_distillate_bulk</v>
      </c>
      <c r="I2422" s="113">
        <f>IF(ISBLANK(E2422),"",_xlfn.XLOOKUP(E2422,cannabis_log!C:C,cannabis_log!K:K,"NOT FOUND",0,1))</f>
        <v>45875</v>
      </c>
      <c r="J2422" s="303">
        <v>-1</v>
      </c>
      <c r="K2422" s="186">
        <v>-6089</v>
      </c>
      <c r="L2422" s="354">
        <f t="shared" si="164"/>
        <v>0</v>
      </c>
      <c r="M2422" s="305"/>
      <c r="N2422" s="112" t="str">
        <f>IF(ISBLANK(E2422),"",_xlfn.XLOOKUP(E2422,cannabis_log!C:C,cannabis_log!T:T,"Not Found",0,))</f>
        <v>gross</v>
      </c>
      <c r="O2422" s="180">
        <f>IF(N2422="net",_xlfn.XLOOKUP(E2422,cannabis_log!C:C,cannabis_log!N:N,"NOT FOUND",0,1),IF(N2422="gross",0,""))</f>
        <v>0</v>
      </c>
    </row>
    <row r="2423" spans="1:15">
      <c r="A2423" s="195" t="str">
        <f t="shared" si="162"/>
        <v>outbound</v>
      </c>
      <c r="B2423" s="196">
        <v>45888.521847800926</v>
      </c>
      <c r="C2423" s="183" t="s">
        <v>1929</v>
      </c>
      <c r="D2423" s="183" t="s">
        <v>4302</v>
      </c>
      <c r="E2423" s="217" t="s">
        <v>4299</v>
      </c>
      <c r="F2423" s="112" t="str">
        <f>IF(ISBLANK(E2423),"",_xlfn.XLOOKUP(E2423,cannabis_log!C:C,cannabis_log!J:J,"",0,))</f>
        <v>PR251105F5P3</v>
      </c>
      <c r="G2423" s="112"/>
      <c r="H2423" s="301" t="str">
        <f>IF(ISBLANK(E2423),"",_xlfn.XLOOKUP(E2423,cannabis_log!C:C,cannabis_log!H:H,"",0,1))</f>
        <v>preroll_labelled</v>
      </c>
      <c r="I2423" s="113">
        <f>IF(ISBLANK(E2423),"",_xlfn.XLOOKUP(E2423,cannabis_log!C:C,cannabis_log!K:K,"NOT FOUND",0,1))</f>
        <v>45770</v>
      </c>
      <c r="J2423" s="303">
        <v>-12</v>
      </c>
      <c r="K2423" s="186">
        <f t="shared" si="163"/>
        <v>0</v>
      </c>
      <c r="L2423" s="354">
        <f t="shared" si="164"/>
        <v>-18</v>
      </c>
      <c r="M2423" s="305"/>
      <c r="N2423" s="112" t="str">
        <f>IF(ISBLANK(E2423),"",_xlfn.XLOOKUP(E2423,cannabis_log!C:C,cannabis_log!T:T,"Not Found",0,))</f>
        <v>net</v>
      </c>
      <c r="O2423" s="180">
        <f>IF(N2423="net",_xlfn.XLOOKUP(E2423,cannabis_log!C:C,cannabis_log!N:N,"NOT FOUND",0,1),IF(N2423="gross",0,""))</f>
        <v>1.5</v>
      </c>
    </row>
    <row r="2424" spans="1:15">
      <c r="A2424" s="195" t="str">
        <f t="shared" si="162"/>
        <v>outbound</v>
      </c>
      <c r="B2424" s="196">
        <v>45888.521847800926</v>
      </c>
      <c r="C2424" s="183" t="s">
        <v>1929</v>
      </c>
      <c r="D2424" s="183" t="s">
        <v>4302</v>
      </c>
      <c r="E2424" s="217" t="s">
        <v>4287</v>
      </c>
      <c r="F2424" s="112" t="str">
        <f>IF(ISBLANK(E2424),"",_xlfn.XLOOKUP(E2424,cannabis_log!C:C,cannabis_log!J:J,"",0,))</f>
        <v>PR251904F5P3</v>
      </c>
      <c r="G2424" s="112"/>
      <c r="H2424" s="301" t="str">
        <f>IF(ISBLANK(E2424),"",_xlfn.XLOOKUP(E2424,cannabis_log!C:C,cannabis_log!H:H,"",0,1))</f>
        <v>preroll_labelled</v>
      </c>
      <c r="I2424" s="113">
        <f>IF(ISBLANK(E2424),"",_xlfn.XLOOKUP(E2424,cannabis_log!C:C,cannabis_log!K:K,"NOT FOUND",0,1))</f>
        <v>45870</v>
      </c>
      <c r="J2424" s="303">
        <v>-12</v>
      </c>
      <c r="K2424" s="186">
        <f t="shared" si="163"/>
        <v>0</v>
      </c>
      <c r="L2424" s="354">
        <f t="shared" si="164"/>
        <v>-18</v>
      </c>
      <c r="M2424" s="305"/>
      <c r="N2424" s="112" t="str">
        <f>IF(ISBLANK(E2424),"",_xlfn.XLOOKUP(E2424,cannabis_log!C:C,cannabis_log!T:T,"Not Found",0,))</f>
        <v>net</v>
      </c>
      <c r="O2424" s="180">
        <f>IF(N2424="net",_xlfn.XLOOKUP(E2424,cannabis_log!C:C,cannabis_log!N:N,"NOT FOUND",0,1),IF(N2424="gross",0,""))</f>
        <v>1.5</v>
      </c>
    </row>
    <row r="2425" spans="1:15">
      <c r="A2425" s="195" t="str">
        <f t="shared" si="162"/>
        <v>outbound</v>
      </c>
      <c r="B2425" s="196">
        <v>45888.646851851852</v>
      </c>
      <c r="C2425" s="183" t="s">
        <v>1924</v>
      </c>
      <c r="D2425" s="183" t="s">
        <v>4309</v>
      </c>
      <c r="E2425" s="217" t="s">
        <v>2660</v>
      </c>
      <c r="F2425" s="112">
        <f>IF(ISBLANK(E2425),"",_xlfn.XLOOKUP(E2425,cannabis_log!C:C,cannabis_log!J:J,"",0,))</f>
        <v>2025021301</v>
      </c>
      <c r="G2425" s="112"/>
      <c r="H2425" s="301" t="str">
        <f>IF(ISBLANK(E2425),"",_xlfn.XLOOKUP(E2425,cannabis_log!C:C,cannabis_log!H:H,"",0,1))</f>
        <v>driedflower_bulk</v>
      </c>
      <c r="I2425" s="113" t="str">
        <f>IF(ISBLANK(E2425),"",_xlfn.XLOOKUP(E2425,cannabis_log!C:C,cannabis_log!K:K,"NOT FOUND",0,1))</f>
        <v>NA</v>
      </c>
      <c r="J2425" s="303">
        <v>-1</v>
      </c>
      <c r="K2425" s="186">
        <v>-495</v>
      </c>
      <c r="L2425" s="354">
        <f t="shared" si="164"/>
        <v>0</v>
      </c>
      <c r="M2425" s="305"/>
      <c r="N2425" s="112" t="str">
        <f>IF(ISBLANK(E2425),"",_xlfn.XLOOKUP(E2425,cannabis_log!C:C,cannabis_log!T:T,"Not Found",0,))</f>
        <v>gross</v>
      </c>
      <c r="O2425" s="180">
        <f>IF(N2425="net",_xlfn.XLOOKUP(E2425,cannabis_log!C:C,cannabis_log!N:N,"NOT FOUND",0,1),IF(N2425="gross",0,""))</f>
        <v>0</v>
      </c>
    </row>
    <row r="2426" spans="1:15">
      <c r="A2426" s="195" t="str">
        <f t="shared" si="162"/>
        <v>outbound</v>
      </c>
      <c r="B2426" s="196">
        <v>45888.646851851852</v>
      </c>
      <c r="C2426" s="183" t="s">
        <v>1924</v>
      </c>
      <c r="D2426" s="183" t="s">
        <v>4309</v>
      </c>
      <c r="E2426" s="217" t="s">
        <v>4306</v>
      </c>
      <c r="F2426" s="112">
        <f>IF(ISBLANK(E2426),"",_xlfn.XLOOKUP(E2426,cannabis_log!C:C,cannabis_log!J:J,"",0,))</f>
        <v>2025021302</v>
      </c>
      <c r="G2426" s="112"/>
      <c r="H2426" s="301" t="str">
        <f>IF(ISBLANK(E2426),"",_xlfn.XLOOKUP(E2426,cannabis_log!C:C,cannabis_log!H:H,"",0,1))</f>
        <v>driedflower_bulk</v>
      </c>
      <c r="I2426" s="113" t="str">
        <f>IF(ISBLANK(E2426),"",_xlfn.XLOOKUP(E2426,cannabis_log!C:C,cannabis_log!K:K,"NOT FOUND",0,1))</f>
        <v>NA</v>
      </c>
      <c r="J2426" s="303">
        <v>-1</v>
      </c>
      <c r="K2426" s="186">
        <v>-2730</v>
      </c>
      <c r="L2426" s="354">
        <f t="shared" si="164"/>
        <v>0</v>
      </c>
      <c r="M2426" s="305"/>
      <c r="N2426" s="112" t="str">
        <f>IF(ISBLANK(E2426),"",_xlfn.XLOOKUP(E2426,cannabis_log!C:C,cannabis_log!T:T,"Not Found",0,))</f>
        <v>gross</v>
      </c>
      <c r="O2426" s="180">
        <f>IF(N2426="net",_xlfn.XLOOKUP(E2426,cannabis_log!C:C,cannabis_log!N:N,"NOT FOUND",0,1),IF(N2426="gross",0,""))</f>
        <v>0</v>
      </c>
    </row>
    <row r="2427" spans="1:15">
      <c r="A2427" s="195" t="str">
        <f t="shared" si="162"/>
        <v>outbound</v>
      </c>
      <c r="B2427" s="196">
        <v>45889.428533796294</v>
      </c>
      <c r="C2427" s="183" t="s">
        <v>1924</v>
      </c>
      <c r="D2427" s="183" t="s">
        <v>4309</v>
      </c>
      <c r="E2427" s="217" t="s">
        <v>4307</v>
      </c>
      <c r="F2427" s="112">
        <f>IF(ISBLANK(E2427),"",_xlfn.XLOOKUP(E2427,cannabis_log!C:C,cannabis_log!J:J,"",0,))</f>
        <v>2025060401</v>
      </c>
      <c r="G2427" s="112"/>
      <c r="H2427" s="301" t="str">
        <f>IF(ISBLANK(E2427),"",_xlfn.XLOOKUP(E2427,cannabis_log!C:C,cannabis_log!H:H,"",0,1))</f>
        <v>driedflower_bulk</v>
      </c>
      <c r="I2427" s="113" t="str">
        <f>IF(ISBLANK(E2427),"",_xlfn.XLOOKUP(E2427,cannabis_log!C:C,cannabis_log!K:K,"NOT FOUND",0,1))</f>
        <v>NA</v>
      </c>
      <c r="J2427" s="303">
        <v>0</v>
      </c>
      <c r="K2427" s="186">
        <v>-20</v>
      </c>
      <c r="L2427" s="354">
        <f t="shared" si="164"/>
        <v>0</v>
      </c>
      <c r="M2427" s="305"/>
      <c r="N2427" s="112" t="str">
        <f>IF(ISBLANK(E2427),"",_xlfn.XLOOKUP(E2427,cannabis_log!C:C,cannabis_log!T:T,"Not Found",0,))</f>
        <v>gross</v>
      </c>
      <c r="O2427" s="180">
        <f>IF(N2427="net",_xlfn.XLOOKUP(E2427,cannabis_log!C:C,cannabis_log!N:N,"NOT FOUND",0,1),IF(N2427="gross",0,""))</f>
        <v>0</v>
      </c>
    </row>
    <row r="2428" spans="1:15">
      <c r="A2428" s="195" t="str">
        <f t="shared" si="162"/>
        <v>outbound</v>
      </c>
      <c r="B2428" s="196">
        <v>45889.428533796294</v>
      </c>
      <c r="C2428" s="183" t="s">
        <v>1924</v>
      </c>
      <c r="D2428" s="183" t="s">
        <v>4309</v>
      </c>
      <c r="E2428" s="217" t="s">
        <v>3246</v>
      </c>
      <c r="F2428" s="112" t="str">
        <f>IF(ISBLANK(E2428),"",_xlfn.XLOOKUP(E2428,cannabis_log!C:C,cannabis_log!J:J,"",0,))</f>
        <v>PR2516F5P10</v>
      </c>
      <c r="G2428" s="112"/>
      <c r="H2428" s="301" t="str">
        <f>IF(ISBLANK(E2428),"",_xlfn.XLOOKUP(E2428,cannabis_log!C:C,cannabis_log!H:H,"",0,1))</f>
        <v>preroll_labelled</v>
      </c>
      <c r="I2428" s="113">
        <f>IF(ISBLANK(E2428),"",_xlfn.XLOOKUP(E2428,cannabis_log!C:C,cannabis_log!K:K,"NOT FOUND",0,1))</f>
        <v>45859</v>
      </c>
      <c r="J2428" s="303">
        <v>-5</v>
      </c>
      <c r="K2428" s="186">
        <f t="shared" si="163"/>
        <v>0</v>
      </c>
      <c r="L2428" s="354">
        <f t="shared" si="164"/>
        <v>-25</v>
      </c>
      <c r="M2428" s="305"/>
      <c r="N2428" s="112" t="str">
        <f>IF(ISBLANK(E2428),"",_xlfn.XLOOKUP(E2428,cannabis_log!C:C,cannabis_log!T:T,"Not Found",0,))</f>
        <v>net</v>
      </c>
      <c r="O2428" s="180">
        <f>IF(N2428="net",_xlfn.XLOOKUP(E2428,cannabis_log!C:C,cannabis_log!N:N,"NOT FOUND",0,1),IF(N2428="gross",0,""))</f>
        <v>5</v>
      </c>
    </row>
    <row r="2429" spans="1:15">
      <c r="A2429" s="195" t="str">
        <f t="shared" si="162"/>
        <v>outbound</v>
      </c>
      <c r="B2429" s="196">
        <v>45889.428533796294</v>
      </c>
      <c r="C2429" s="183" t="s">
        <v>1924</v>
      </c>
      <c r="D2429" s="183" t="s">
        <v>4309</v>
      </c>
      <c r="E2429" s="217" t="s">
        <v>4300</v>
      </c>
      <c r="F2429" s="112" t="str">
        <f>IF(ISBLANK(E2429),"",_xlfn.XLOOKUP(E2429,cannabis_log!C:C,cannabis_log!J:J,"",0,))</f>
        <v>PR241005F5P3</v>
      </c>
      <c r="G2429" s="112"/>
      <c r="H2429" s="301" t="str">
        <f>IF(ISBLANK(E2429),"",_xlfn.XLOOKUP(E2429,cannabis_log!C:C,cannabis_log!H:H,"",0,1))</f>
        <v>preroll_labelled</v>
      </c>
      <c r="I2429" s="113">
        <f>IF(ISBLANK(E2429),"",_xlfn.XLOOKUP(E2429,cannabis_log!C:C,cannabis_log!K:K,"NOT FOUND",0,1))</f>
        <v>45875</v>
      </c>
      <c r="J2429" s="303">
        <v>-1</v>
      </c>
      <c r="K2429" s="186">
        <f t="shared" si="163"/>
        <v>0</v>
      </c>
      <c r="L2429" s="354">
        <f t="shared" si="164"/>
        <v>-1.5</v>
      </c>
      <c r="M2429" s="305"/>
      <c r="N2429" s="112" t="str">
        <f>IF(ISBLANK(E2429),"",_xlfn.XLOOKUP(E2429,cannabis_log!C:C,cannabis_log!T:T,"Not Found",0,))</f>
        <v>net</v>
      </c>
      <c r="O2429" s="180">
        <f>IF(N2429="net",_xlfn.XLOOKUP(E2429,cannabis_log!C:C,cannabis_log!N:N,"NOT FOUND",0,1),IF(N2429="gross",0,""))</f>
        <v>1.5</v>
      </c>
    </row>
    <row r="2430" spans="1:15">
      <c r="A2430" s="195" t="str">
        <f t="shared" si="162"/>
        <v>outbound</v>
      </c>
      <c r="B2430" s="196">
        <v>45889.428533796294</v>
      </c>
      <c r="C2430" s="183" t="s">
        <v>1924</v>
      </c>
      <c r="D2430" s="183" t="s">
        <v>4309</v>
      </c>
      <c r="E2430" s="217" t="s">
        <v>3227</v>
      </c>
      <c r="F2430" s="112" t="str">
        <f>IF(ISBLANK(E2430),"",_xlfn.XLOOKUP(E2430,cannabis_log!C:C,cannabis_log!J:J,"",0,))</f>
        <v>PR2507F1P2</v>
      </c>
      <c r="G2430" s="112"/>
      <c r="H2430" s="301" t="str">
        <f>IF(ISBLANK(E2430),"",_xlfn.XLOOKUP(E2430,cannabis_log!C:C,cannabis_log!H:H,"",0,1))</f>
        <v>preroll_labelled</v>
      </c>
      <c r="I2430" s="113">
        <f>IF(ISBLANK(E2430),"",_xlfn.XLOOKUP(E2430,cannabis_log!C:C,cannabis_log!K:K,"NOT FOUND",0,1))</f>
        <v>45848</v>
      </c>
      <c r="J2430" s="303">
        <v>-1</v>
      </c>
      <c r="K2430" s="186">
        <f t="shared" si="163"/>
        <v>0</v>
      </c>
      <c r="L2430" s="354">
        <f t="shared" si="164"/>
        <v>-2</v>
      </c>
      <c r="M2430" s="305"/>
      <c r="N2430" s="112" t="str">
        <f>IF(ISBLANK(E2430),"",_xlfn.XLOOKUP(E2430,cannabis_log!C:C,cannabis_log!T:T,"Not Found",0,))</f>
        <v>net</v>
      </c>
      <c r="O2430" s="180">
        <f>IF(N2430="net",_xlfn.XLOOKUP(E2430,cannabis_log!C:C,cannabis_log!N:N,"NOT FOUND",0,1),IF(N2430="gross",0,""))</f>
        <v>2</v>
      </c>
    </row>
    <row r="2431" spans="1:15">
      <c r="A2431" s="195" t="str">
        <f t="shared" si="162"/>
        <v>outbound</v>
      </c>
      <c r="B2431" s="196">
        <v>45889.428533796294</v>
      </c>
      <c r="C2431" s="183" t="s">
        <v>1924</v>
      </c>
      <c r="D2431" s="183" t="s">
        <v>4309</v>
      </c>
      <c r="E2431" s="217" t="s">
        <v>3121</v>
      </c>
      <c r="F2431" s="112" t="str">
        <f>IF(ISBLANK(E2431),"",_xlfn.XLOOKUP(E2431,cannabis_log!C:C,cannabis_log!J:J,"",0,))</f>
        <v>PR2502INF5P3</v>
      </c>
      <c r="G2431" s="112"/>
      <c r="H2431" s="301" t="str">
        <f>IF(ISBLANK(E2431),"",_xlfn.XLOOKUP(E2431,cannabis_log!C:C,cannabis_log!H:H,"",0,1))</f>
        <v>preroll_labelled</v>
      </c>
      <c r="I2431" s="113">
        <f>IF(ISBLANK(E2431),"",_xlfn.XLOOKUP(E2431,cannabis_log!C:C,cannabis_log!K:K,"NOT FOUND",0,1))</f>
        <v>45826</v>
      </c>
      <c r="J2431" s="303">
        <v>-1</v>
      </c>
      <c r="K2431" s="186">
        <f t="shared" si="163"/>
        <v>0</v>
      </c>
      <c r="L2431" s="354">
        <f t="shared" si="164"/>
        <v>-1.5</v>
      </c>
      <c r="M2431" s="305"/>
      <c r="N2431" s="112" t="str">
        <f>IF(ISBLANK(E2431),"",_xlfn.XLOOKUP(E2431,cannabis_log!C:C,cannabis_log!T:T,"Not Found",0,))</f>
        <v>net</v>
      </c>
      <c r="O2431" s="180">
        <f>IF(N2431="net",_xlfn.XLOOKUP(E2431,cannabis_log!C:C,cannabis_log!N:N,"NOT FOUND",0,1),IF(N2431="gross",0,""))</f>
        <v>1.5</v>
      </c>
    </row>
    <row r="2432" spans="1:15">
      <c r="A2432" s="195" t="str">
        <f t="shared" si="162"/>
        <v>outbound</v>
      </c>
      <c r="B2432" s="196">
        <v>45889.428533796294</v>
      </c>
      <c r="C2432" s="183" t="s">
        <v>1924</v>
      </c>
      <c r="D2432" s="183" t="s">
        <v>4309</v>
      </c>
      <c r="E2432" s="217" t="s">
        <v>3089</v>
      </c>
      <c r="F2432" s="112" t="str">
        <f>IF(ISBLANK(E2432),"",_xlfn.XLOOKUP(E2432,cannabis_log!C:C,cannabis_log!J:J,"",0,))</f>
        <v>EX24111302G05</v>
      </c>
      <c r="G2432" s="112"/>
      <c r="H2432" s="301" t="str">
        <f>IF(ISBLANK(E2432),"",_xlfn.XLOOKUP(E2432,cannabis_log!C:C,cannabis_log!H:H,"",0,1))</f>
        <v>extract_inhaled_labelled</v>
      </c>
      <c r="I2432" s="113">
        <f>IF(ISBLANK(E2432),"",_xlfn.XLOOKUP(E2432,cannabis_log!C:C,cannabis_log!K:K,"NOT FOUND",0,1))</f>
        <v>45707</v>
      </c>
      <c r="J2432" s="303">
        <v>-1</v>
      </c>
      <c r="K2432" s="186">
        <f t="shared" si="163"/>
        <v>0</v>
      </c>
      <c r="L2432" s="354">
        <f t="shared" si="164"/>
        <v>-0.5</v>
      </c>
      <c r="M2432" s="305"/>
      <c r="N2432" s="112" t="str">
        <f>IF(ISBLANK(E2432),"",_xlfn.XLOOKUP(E2432,cannabis_log!C:C,cannabis_log!T:T,"Not Found",0,))</f>
        <v>net</v>
      </c>
      <c r="O2432" s="180">
        <f>IF(N2432="net",_xlfn.XLOOKUP(E2432,cannabis_log!C:C,cannabis_log!N:N,"NOT FOUND",0,1),IF(N2432="gross",0,""))</f>
        <v>0.5</v>
      </c>
    </row>
    <row r="2433" spans="1:15">
      <c r="A2433" s="195" t="str">
        <f t="shared" si="162"/>
        <v>outbound</v>
      </c>
      <c r="B2433" s="196">
        <v>45889.428533796294</v>
      </c>
      <c r="C2433" s="183" t="s">
        <v>1924</v>
      </c>
      <c r="D2433" s="183" t="s">
        <v>4309</v>
      </c>
      <c r="E2433" s="217" t="s">
        <v>3208</v>
      </c>
      <c r="F2433" s="112" t="str">
        <f>IF(ISBLANK(E2433),"",_xlfn.XLOOKUP(E2433,cannabis_log!C:C,cannabis_log!J:J,"",0,))</f>
        <v>TP24120401G45</v>
      </c>
      <c r="G2433" s="112"/>
      <c r="H2433" s="301" t="str">
        <f>IF(ISBLANK(E2433),"",_xlfn.XLOOKUP(E2433,cannabis_log!C:C,cannabis_log!H:H,"",0,1))</f>
        <v>topical_labelled</v>
      </c>
      <c r="I2433" s="113">
        <f>IF(ISBLANK(E2433),"",_xlfn.XLOOKUP(E2433,cannabis_log!C:C,cannabis_log!K:K,"NOT FOUND",0,1))</f>
        <v>45638</v>
      </c>
      <c r="J2433" s="303">
        <v>-1</v>
      </c>
      <c r="K2433" s="186">
        <f t="shared" si="163"/>
        <v>0</v>
      </c>
      <c r="L2433" s="354">
        <f t="shared" si="164"/>
        <v>-45</v>
      </c>
      <c r="M2433" s="305"/>
      <c r="N2433" s="112" t="str">
        <f>IF(ISBLANK(E2433),"",_xlfn.XLOOKUP(E2433,cannabis_log!C:C,cannabis_log!T:T,"Not Found",0,))</f>
        <v>net</v>
      </c>
      <c r="O2433" s="180">
        <f>IF(N2433="net",_xlfn.XLOOKUP(E2433,cannabis_log!C:C,cannabis_log!N:N,"NOT FOUND",0,1),IF(N2433="gross",0,""))</f>
        <v>45</v>
      </c>
    </row>
    <row r="2434" spans="1:15">
      <c r="A2434" s="195" t="str">
        <f t="shared" si="162"/>
        <v>outbound</v>
      </c>
      <c r="B2434" s="196">
        <v>45889.428533796294</v>
      </c>
      <c r="C2434" s="183" t="s">
        <v>1924</v>
      </c>
      <c r="D2434" s="183" t="s">
        <v>4309</v>
      </c>
      <c r="E2434" s="217" t="s">
        <v>3040</v>
      </c>
      <c r="F2434" s="112" t="str">
        <f>IF(ISBLANK(E2434),"",_xlfn.XLOOKUP(E2434,cannabis_log!C:C,cannabis_log!J:J,"",0,))</f>
        <v>TP25021901</v>
      </c>
      <c r="G2434" s="112"/>
      <c r="H2434" s="301" t="str">
        <f>IF(ISBLANK(E2434),"",_xlfn.XLOOKUP(E2434,cannabis_log!C:C,cannabis_log!H:H,"",0,1))</f>
        <v>topical_labelled</v>
      </c>
      <c r="I2434" s="113">
        <f>IF(ISBLANK(E2434),"",_xlfn.XLOOKUP(E2434,cannabis_log!C:C,cannabis_log!K:K,"NOT FOUND",0,1))</f>
        <v>45714</v>
      </c>
      <c r="J2434" s="303">
        <v>-1</v>
      </c>
      <c r="K2434" s="186">
        <f t="shared" si="163"/>
        <v>0</v>
      </c>
      <c r="L2434" s="354">
        <f t="shared" si="164"/>
        <v>-88</v>
      </c>
      <c r="M2434" s="305"/>
      <c r="N2434" s="112" t="str">
        <f>IF(ISBLANK(E2434),"",_xlfn.XLOOKUP(E2434,cannabis_log!C:C,cannabis_log!T:T,"Not Found",0,))</f>
        <v>net</v>
      </c>
      <c r="O2434" s="180">
        <f>IF(N2434="net",_xlfn.XLOOKUP(E2434,cannabis_log!C:C,cannabis_log!N:N,"NOT FOUND",0,1),IF(N2434="gross",0,""))</f>
        <v>88</v>
      </c>
    </row>
    <row r="2435" spans="1:15">
      <c r="A2435" s="195" t="str">
        <f t="shared" si="162"/>
        <v>outbound</v>
      </c>
      <c r="B2435" s="196">
        <v>45889.469191666663</v>
      </c>
      <c r="C2435" s="183" t="s">
        <v>1921</v>
      </c>
      <c r="D2435" s="183"/>
      <c r="E2435" s="217" t="s">
        <v>3036</v>
      </c>
      <c r="F2435" s="112">
        <f>IF(ISBLANK(E2435),"",_xlfn.XLOOKUP(E2435,cannabis_log!C:C,cannabis_log!J:J,"",0,))</f>
        <v>2025051501</v>
      </c>
      <c r="G2435" s="112"/>
      <c r="H2435" s="301" t="str">
        <f>IF(ISBLANK(E2435),"",_xlfn.XLOOKUP(E2435,cannabis_log!C:C,cannabis_log!H:H,"",0,1))</f>
        <v>extract_distillate_bulk</v>
      </c>
      <c r="I2435" s="113" t="str">
        <f>IF(ISBLANK(E2435),"",_xlfn.XLOOKUP(E2435,cannabis_log!C:C,cannabis_log!K:K,"NOT FOUND",0,1))</f>
        <v>NA</v>
      </c>
      <c r="J2435" s="303">
        <v>-1</v>
      </c>
      <c r="K2435" s="186">
        <v>-1724.2</v>
      </c>
      <c r="L2435" s="354">
        <f t="shared" si="164"/>
        <v>0</v>
      </c>
      <c r="M2435" s="305"/>
      <c r="N2435" s="112" t="str">
        <f>IF(ISBLANK(E2435),"",_xlfn.XLOOKUP(E2435,cannabis_log!C:C,cannabis_log!T:T,"Not Found",0,))</f>
        <v>gross</v>
      </c>
      <c r="O2435" s="180">
        <f>IF(N2435="net",_xlfn.XLOOKUP(E2435,cannabis_log!C:C,cannabis_log!N:N,"NOT FOUND",0,1),IF(N2435="gross",0,""))</f>
        <v>0</v>
      </c>
    </row>
    <row r="2436" spans="1:15">
      <c r="A2436" s="195" t="str">
        <f t="shared" ref="A2436:A2493" si="174">IF(ISBLANK(J2436),"",IF(J2436+K2436+L2436&lt;0,"outbound","inbound"))</f>
        <v>inbound</v>
      </c>
      <c r="B2436" s="196">
        <v>45889.538342824075</v>
      </c>
      <c r="C2436" s="183" t="s">
        <v>1927</v>
      </c>
      <c r="D2436" s="183"/>
      <c r="E2436" s="217" t="s">
        <v>4292</v>
      </c>
      <c r="F2436" s="112" t="str">
        <f>IF(ISBLANK(E2436),"",_xlfn.XLOOKUP(E2436,cannabis_log!C:C,cannabis_log!J:J,"",0,))</f>
        <v>PR2521</v>
      </c>
      <c r="G2436" s="112"/>
      <c r="H2436" s="301" t="str">
        <f>IF(ISBLANK(E2436),"",_xlfn.XLOOKUP(E2436,cannabis_log!C:C,cannabis_log!H:H,"",0,1))</f>
        <v>driedflower_milled_bulk</v>
      </c>
      <c r="I2436" s="113" t="str">
        <f>IF(ISBLANK(E2436),"",_xlfn.XLOOKUP(E2436,cannabis_log!C:C,cannabis_log!K:K,"NOT FOUND",0,1))</f>
        <v>NA</v>
      </c>
      <c r="J2436" s="303">
        <v>1</v>
      </c>
      <c r="K2436" s="186">
        <v>2554</v>
      </c>
      <c r="L2436" s="354">
        <f t="shared" ref="L2436:L2493" si="175">IFERROR(J2436*O2436,"")</f>
        <v>0</v>
      </c>
      <c r="M2436" s="305"/>
      <c r="N2436" s="112" t="str">
        <f>IF(ISBLANK(E2436),"",_xlfn.XLOOKUP(E2436,cannabis_log!C:C,cannabis_log!T:T,"Not Found",0,))</f>
        <v>gross</v>
      </c>
      <c r="O2436" s="180">
        <f>IF(N2436="net",_xlfn.XLOOKUP(E2436,cannabis_log!C:C,cannabis_log!N:N,"NOT FOUND",0,1),IF(N2436="gross",0,""))</f>
        <v>0</v>
      </c>
    </row>
    <row r="2437" spans="1:15">
      <c r="A2437" s="195" t="str">
        <f t="shared" si="174"/>
        <v>inbound</v>
      </c>
      <c r="B2437" s="196">
        <v>45889.538342824075</v>
      </c>
      <c r="C2437" s="183" t="s">
        <v>1927</v>
      </c>
      <c r="D2437" s="183"/>
      <c r="E2437" s="217" t="s">
        <v>2660</v>
      </c>
      <c r="F2437" s="112">
        <f>IF(ISBLANK(E2437),"",_xlfn.XLOOKUP(E2437,cannabis_log!C:C,cannabis_log!J:J,"",0,))</f>
        <v>2025021301</v>
      </c>
      <c r="G2437" s="112"/>
      <c r="H2437" s="301" t="str">
        <f>IF(ISBLANK(E2437),"",_xlfn.XLOOKUP(E2437,cannabis_log!C:C,cannabis_log!H:H,"",0,1))</f>
        <v>driedflower_bulk</v>
      </c>
      <c r="I2437" s="113" t="str">
        <f>IF(ISBLANK(E2437),"",_xlfn.XLOOKUP(E2437,cannabis_log!C:C,cannabis_log!K:K,"NOT FOUND",0,1))</f>
        <v>NA</v>
      </c>
      <c r="J2437" s="303">
        <v>1</v>
      </c>
      <c r="K2437" s="186">
        <v>480</v>
      </c>
      <c r="L2437" s="354">
        <f t="shared" si="175"/>
        <v>0</v>
      </c>
      <c r="M2437" s="305"/>
      <c r="N2437" s="112" t="str">
        <f>IF(ISBLANK(E2437),"",_xlfn.XLOOKUP(E2437,cannabis_log!C:C,cannabis_log!T:T,"Not Found",0,))</f>
        <v>gross</v>
      </c>
      <c r="O2437" s="180">
        <f>IF(N2437="net",_xlfn.XLOOKUP(E2437,cannabis_log!C:C,cannabis_log!N:N,"NOT FOUND",0,1),IF(N2437="gross",0,""))</f>
        <v>0</v>
      </c>
    </row>
    <row r="2438" spans="1:15">
      <c r="A2438" s="195" t="str">
        <f t="shared" si="174"/>
        <v>inbound</v>
      </c>
      <c r="B2438" s="196">
        <v>45889.538342824075</v>
      </c>
      <c r="C2438" s="183" t="s">
        <v>1927</v>
      </c>
      <c r="D2438" s="183"/>
      <c r="E2438" s="217" t="s">
        <v>4306</v>
      </c>
      <c r="F2438" s="112">
        <f>IF(ISBLANK(E2438),"",_xlfn.XLOOKUP(E2438,cannabis_log!C:C,cannabis_log!J:J,"",0,))</f>
        <v>2025021302</v>
      </c>
      <c r="G2438" s="112"/>
      <c r="H2438" s="301" t="str">
        <f>IF(ISBLANK(E2438),"",_xlfn.XLOOKUP(E2438,cannabis_log!C:C,cannabis_log!H:H,"",0,1))</f>
        <v>driedflower_bulk</v>
      </c>
      <c r="I2438" s="113" t="str">
        <f>IF(ISBLANK(E2438),"",_xlfn.XLOOKUP(E2438,cannabis_log!C:C,cannabis_log!K:K,"NOT FOUND",0,1))</f>
        <v>NA</v>
      </c>
      <c r="J2438" s="303">
        <v>1</v>
      </c>
      <c r="K2438" s="186">
        <v>2720</v>
      </c>
      <c r="L2438" s="354">
        <f t="shared" si="175"/>
        <v>0</v>
      </c>
      <c r="M2438" s="305"/>
      <c r="N2438" s="112" t="str">
        <f>IF(ISBLANK(E2438),"",_xlfn.XLOOKUP(E2438,cannabis_log!C:C,cannabis_log!T:T,"Not Found",0,))</f>
        <v>gross</v>
      </c>
      <c r="O2438" s="180">
        <f>IF(N2438="net",_xlfn.XLOOKUP(E2438,cannabis_log!C:C,cannabis_log!N:N,"NOT FOUND",0,1),IF(N2438="gross",0,""))</f>
        <v>0</v>
      </c>
    </row>
    <row r="2439" spans="1:15">
      <c r="A2439" s="195" t="str">
        <f t="shared" si="174"/>
        <v>outbound</v>
      </c>
      <c r="B2439" s="196">
        <v>45889.563965393521</v>
      </c>
      <c r="C2439" s="183" t="s">
        <v>1929</v>
      </c>
      <c r="D2439" s="183" t="s">
        <v>4308</v>
      </c>
      <c r="E2439" s="217" t="s">
        <v>2016</v>
      </c>
      <c r="F2439" s="112" t="str">
        <f>IF(ISBLANK(E2439),"",_xlfn.XLOOKUP(E2439,cannabis_log!C:C,cannabis_log!J:J,"",0,))</f>
        <v>PR2407F5P3</v>
      </c>
      <c r="G2439" s="112"/>
      <c r="H2439" s="301" t="str">
        <f>IF(ISBLANK(E2439),"",_xlfn.XLOOKUP(E2439,cannabis_log!C:C,cannabis_log!H:H,"",0,1))</f>
        <v>preroll_labelled</v>
      </c>
      <c r="I2439" s="113">
        <f>IF(ISBLANK(E2439),"",_xlfn.XLOOKUP(E2439,cannabis_log!C:C,cannabis_log!K:K,"NOT FOUND",0,1))</f>
        <v>45828</v>
      </c>
      <c r="J2439" s="303">
        <v>-12</v>
      </c>
      <c r="K2439" s="186">
        <f t="shared" ref="K2439:K2493" si="176">IF(N2439="net",0,"")</f>
        <v>0</v>
      </c>
      <c r="L2439" s="354">
        <f t="shared" si="175"/>
        <v>-18</v>
      </c>
      <c r="M2439" s="305"/>
      <c r="N2439" s="112" t="str">
        <f>IF(ISBLANK(E2439),"",_xlfn.XLOOKUP(E2439,cannabis_log!C:C,cannabis_log!T:T,"Not Found",0,))</f>
        <v>net</v>
      </c>
      <c r="O2439" s="180">
        <f>IF(N2439="net",_xlfn.XLOOKUP(E2439,cannabis_log!C:C,cannabis_log!N:N,"NOT FOUND",0,1),IF(N2439="gross",0,""))</f>
        <v>1.5</v>
      </c>
    </row>
    <row r="2440" spans="1:15">
      <c r="A2440" s="195" t="str">
        <f t="shared" si="174"/>
        <v>outbound</v>
      </c>
      <c r="B2440" s="196">
        <v>45889.563965393521</v>
      </c>
      <c r="C2440" s="183" t="s">
        <v>1929</v>
      </c>
      <c r="D2440" s="183" t="s">
        <v>4308</v>
      </c>
      <c r="E2440" s="217" t="s">
        <v>2066</v>
      </c>
      <c r="F2440" s="112" t="str">
        <f>IF(ISBLANK(E2440),"",_xlfn.XLOOKUP(E2440,cannabis_log!C:C,cannabis_log!J:J,"",0,))</f>
        <v>PR2406F5P3</v>
      </c>
      <c r="G2440" s="112"/>
      <c r="H2440" s="301" t="str">
        <f>IF(ISBLANK(E2440),"",_xlfn.XLOOKUP(E2440,cannabis_log!C:C,cannabis_log!H:H,"",0,1))</f>
        <v>preroll_labelled</v>
      </c>
      <c r="I2440" s="113">
        <f>IF(ISBLANK(E2440),"",_xlfn.XLOOKUP(E2440,cannabis_log!C:C,cannabis_log!K:K,"NOT FOUND",0,1))</f>
        <v>45457</v>
      </c>
      <c r="J2440" s="303">
        <v>-12</v>
      </c>
      <c r="K2440" s="186">
        <f t="shared" si="176"/>
        <v>0</v>
      </c>
      <c r="L2440" s="354">
        <f t="shared" si="175"/>
        <v>-18</v>
      </c>
      <c r="M2440" s="305"/>
      <c r="N2440" s="112" t="str">
        <f>IF(ISBLANK(E2440),"",_xlfn.XLOOKUP(E2440,cannabis_log!C:C,cannabis_log!T:T,"Not Found",0,))</f>
        <v>net</v>
      </c>
      <c r="O2440" s="180">
        <f>IF(N2440="net",_xlfn.XLOOKUP(E2440,cannabis_log!C:C,cannabis_log!N:N,"NOT FOUND",0,1),IF(N2440="gross",0,""))</f>
        <v>1.5</v>
      </c>
    </row>
    <row r="2441" spans="1:15">
      <c r="A2441" s="195" t="str">
        <f t="shared" si="174"/>
        <v>outbound</v>
      </c>
      <c r="B2441" s="196">
        <v>45889.563965393521</v>
      </c>
      <c r="C2441" s="183" t="s">
        <v>1929</v>
      </c>
      <c r="D2441" s="183" t="s">
        <v>4308</v>
      </c>
      <c r="E2441" s="217" t="s">
        <v>3227</v>
      </c>
      <c r="F2441" s="112" t="str">
        <f>IF(ISBLANK(E2441),"",_xlfn.XLOOKUP(E2441,cannabis_log!C:C,cannabis_log!J:J,"",0,))</f>
        <v>PR2507F1P2</v>
      </c>
      <c r="G2441" s="112"/>
      <c r="H2441" s="301" t="str">
        <f>IF(ISBLANK(E2441),"",_xlfn.XLOOKUP(E2441,cannabis_log!C:C,cannabis_log!H:H,"",0,1))</f>
        <v>preroll_labelled</v>
      </c>
      <c r="I2441" s="113">
        <f>IF(ISBLANK(E2441),"",_xlfn.XLOOKUP(E2441,cannabis_log!C:C,cannabis_log!K:K,"NOT FOUND",0,1))</f>
        <v>45848</v>
      </c>
      <c r="J2441" s="303">
        <v>-12</v>
      </c>
      <c r="K2441" s="186">
        <f t="shared" si="176"/>
        <v>0</v>
      </c>
      <c r="L2441" s="354">
        <f t="shared" si="175"/>
        <v>-24</v>
      </c>
      <c r="M2441" s="305"/>
      <c r="N2441" s="112" t="str">
        <f>IF(ISBLANK(E2441),"",_xlfn.XLOOKUP(E2441,cannabis_log!C:C,cannabis_log!T:T,"Not Found",0,))</f>
        <v>net</v>
      </c>
      <c r="O2441" s="180">
        <f>IF(N2441="net",_xlfn.XLOOKUP(E2441,cannabis_log!C:C,cannabis_log!N:N,"NOT FOUND",0,1),IF(N2441="gross",0,""))</f>
        <v>2</v>
      </c>
    </row>
    <row r="2442" spans="1:15">
      <c r="A2442" s="195" t="str">
        <f t="shared" si="174"/>
        <v>outbound</v>
      </c>
      <c r="B2442" s="196">
        <v>45889.563965393521</v>
      </c>
      <c r="C2442" s="183" t="s">
        <v>1929</v>
      </c>
      <c r="D2442" s="183" t="s">
        <v>4308</v>
      </c>
      <c r="E2442" s="217" t="s">
        <v>4263</v>
      </c>
      <c r="F2442" s="112" t="str">
        <f>IF(ISBLANK(E2442),"",_xlfn.XLOOKUP(E2442,cannabis_log!C:C,cannabis_log!J:J,"",0,))</f>
        <v>PR2516F1P2</v>
      </c>
      <c r="G2442" s="112"/>
      <c r="H2442" s="301" t="str">
        <f>IF(ISBLANK(E2442),"",_xlfn.XLOOKUP(E2442,cannabis_log!C:C,cannabis_log!H:H,"",0,1))</f>
        <v>preroll_labelled</v>
      </c>
      <c r="I2442" s="113">
        <f>IF(ISBLANK(E2442),"",_xlfn.XLOOKUP(E2442,cannabis_log!C:C,cannabis_log!K:K,"NOT FOUND",0,1))</f>
        <v>45880</v>
      </c>
      <c r="J2442" s="303">
        <v>-12</v>
      </c>
      <c r="K2442" s="186">
        <f t="shared" si="176"/>
        <v>0</v>
      </c>
      <c r="L2442" s="354">
        <f t="shared" si="175"/>
        <v>-18</v>
      </c>
      <c r="M2442" s="305"/>
      <c r="N2442" s="112" t="str">
        <f>IF(ISBLANK(E2442),"",_xlfn.XLOOKUP(E2442,cannabis_log!C:C,cannabis_log!T:T,"Not Found",0,))</f>
        <v>net</v>
      </c>
      <c r="O2442" s="180">
        <f>IF(N2442="net",_xlfn.XLOOKUP(E2442,cannabis_log!C:C,cannabis_log!N:N,"NOT FOUND",0,1),IF(N2442="gross",0,""))</f>
        <v>1.5</v>
      </c>
    </row>
    <row r="2443" spans="1:15">
      <c r="A2443" s="195" t="str">
        <f t="shared" si="174"/>
        <v>outbound</v>
      </c>
      <c r="B2443" s="196">
        <v>45889.428533796294</v>
      </c>
      <c r="C2443" s="183" t="s">
        <v>1924</v>
      </c>
      <c r="D2443" s="183" t="s">
        <v>4309</v>
      </c>
      <c r="E2443" s="217" t="s">
        <v>4263</v>
      </c>
      <c r="F2443" s="112" t="str">
        <f>IF(ISBLANK(E2443),"",_xlfn.XLOOKUP(E2443,cannabis_log!C:C,cannabis_log!J:J,"",0,))</f>
        <v>PR2516F1P2</v>
      </c>
      <c r="G2443" s="112"/>
      <c r="H2443" s="301" t="str">
        <f>IF(ISBLANK(E2443),"",_xlfn.XLOOKUP(E2443,cannabis_log!C:C,cannabis_log!H:H,"",0,1))</f>
        <v>preroll_labelled</v>
      </c>
      <c r="I2443" s="113">
        <f>IF(ISBLANK(E2443),"",_xlfn.XLOOKUP(E2443,cannabis_log!C:C,cannabis_log!K:K,"NOT FOUND",0,1))</f>
        <v>45880</v>
      </c>
      <c r="J2443" s="303">
        <v>-1</v>
      </c>
      <c r="K2443" s="186">
        <f t="shared" si="176"/>
        <v>0</v>
      </c>
      <c r="L2443" s="354">
        <f t="shared" si="175"/>
        <v>-1.5</v>
      </c>
      <c r="M2443" s="305"/>
      <c r="N2443" s="112" t="str">
        <f>IF(ISBLANK(E2443),"",_xlfn.XLOOKUP(E2443,cannabis_log!C:C,cannabis_log!T:T,"Not Found",0,))</f>
        <v>net</v>
      </c>
      <c r="O2443" s="180">
        <f>IF(N2443="net",_xlfn.XLOOKUP(E2443,cannabis_log!C:C,cannabis_log!N:N,"NOT FOUND",0,1),IF(N2443="gross",0,""))</f>
        <v>1.5</v>
      </c>
    </row>
    <row r="2444" spans="1:15">
      <c r="A2444" s="195" t="str">
        <f t="shared" si="174"/>
        <v>outbound</v>
      </c>
      <c r="B2444" s="196">
        <v>45889.563965393521</v>
      </c>
      <c r="C2444" s="183" t="s">
        <v>1929</v>
      </c>
      <c r="D2444" s="183" t="s">
        <v>4308</v>
      </c>
      <c r="E2444" s="217" t="s">
        <v>4280</v>
      </c>
      <c r="F2444" s="112" t="str">
        <f>IF(ISBLANK(E2444),"",_xlfn.XLOOKUP(E2444,cannabis_log!C:C,cannabis_log!J:J,"",0,))</f>
        <v>2024111803G7</v>
      </c>
      <c r="G2444" s="112"/>
      <c r="H2444" s="301" t="str">
        <f>IF(ISBLANK(E2444),"",_xlfn.XLOOKUP(E2444,cannabis_log!C:C,cannabis_log!H:H,"",0,1))</f>
        <v>driedflower_labelled</v>
      </c>
      <c r="I2444" s="113">
        <f>IF(ISBLANK(E2444),"",_xlfn.XLOOKUP(E2444,cannabis_log!C:C,cannabis_log!K:K,"NOT FOUND",0,1))</f>
        <v>45881</v>
      </c>
      <c r="J2444" s="303">
        <v>-12</v>
      </c>
      <c r="K2444" s="186">
        <f t="shared" si="176"/>
        <v>0</v>
      </c>
      <c r="L2444" s="354">
        <f t="shared" si="175"/>
        <v>-84</v>
      </c>
      <c r="M2444" s="305"/>
      <c r="N2444" s="112" t="str">
        <f>IF(ISBLANK(E2444),"",_xlfn.XLOOKUP(E2444,cannabis_log!C:C,cannabis_log!T:T,"Not Found",0,))</f>
        <v>net</v>
      </c>
      <c r="O2444" s="180">
        <f>IF(N2444="net",_xlfn.XLOOKUP(E2444,cannabis_log!C:C,cannabis_log!N:N,"NOT FOUND",0,1),IF(N2444="gross",0,""))</f>
        <v>7</v>
      </c>
    </row>
    <row r="2445" spans="1:15">
      <c r="A2445" s="195" t="str">
        <f t="shared" si="174"/>
        <v>outbound</v>
      </c>
      <c r="B2445" s="196">
        <v>45891.563969907409</v>
      </c>
      <c r="C2445" s="183" t="s">
        <v>1924</v>
      </c>
      <c r="D2445" s="183" t="s">
        <v>4316</v>
      </c>
      <c r="E2445" s="217" t="s">
        <v>3269</v>
      </c>
      <c r="F2445" s="112">
        <f>IF(ISBLANK(E2445),"",_xlfn.XLOOKUP(E2445,cannabis_log!C:C,cannabis_log!J:J,"",0,))</f>
        <v>2025050501</v>
      </c>
      <c r="G2445" s="112"/>
      <c r="H2445" s="301" t="str">
        <f>IF(ISBLANK(E2445),"",_xlfn.XLOOKUP(E2445,cannabis_log!C:C,cannabis_log!H:H,"",0,1))</f>
        <v>driedflower_bulk_Rohan</v>
      </c>
      <c r="I2445" s="113" t="str">
        <f>IF(ISBLANK(E2445),"",_xlfn.XLOOKUP(E2445,cannabis_log!C:C,cannabis_log!K:K,"NOT FOUND",0,1))</f>
        <v>NA</v>
      </c>
      <c r="J2445" s="303">
        <v>0</v>
      </c>
      <c r="K2445" s="186">
        <v>-140</v>
      </c>
      <c r="L2445" s="354">
        <f t="shared" si="175"/>
        <v>0</v>
      </c>
      <c r="M2445" s="305"/>
      <c r="N2445" s="112" t="str">
        <f>IF(ISBLANK(E2445),"",_xlfn.XLOOKUP(E2445,cannabis_log!C:C,cannabis_log!T:T,"Not Found",0,))</f>
        <v>gross</v>
      </c>
      <c r="O2445" s="180">
        <f>IF(N2445="net",_xlfn.XLOOKUP(E2445,cannabis_log!C:C,cannabis_log!N:N,"NOT FOUND",0,1),IF(N2445="gross",0,""))</f>
        <v>0</v>
      </c>
    </row>
    <row r="2446" spans="1:15">
      <c r="A2446" s="195" t="str">
        <f t="shared" si="174"/>
        <v>outbound</v>
      </c>
      <c r="B2446" s="196">
        <v>45891.673161574072</v>
      </c>
      <c r="C2446" s="183"/>
      <c r="D2446" s="183"/>
      <c r="E2446" s="217" t="s">
        <v>2373</v>
      </c>
      <c r="F2446" s="112">
        <f>IF(ISBLANK(E2446),"",_xlfn.XLOOKUP(E2446,cannabis_log!C:C,cannabis_log!J:J,"",0,))</f>
        <v>2024111901</v>
      </c>
      <c r="G2446" s="112"/>
      <c r="H2446" s="301" t="str">
        <f>IF(ISBLANK(E2446),"",_xlfn.XLOOKUP(E2446,cannabis_log!C:C,cannabis_log!H:H,"",0,1))</f>
        <v>extract_inhaled_bulk</v>
      </c>
      <c r="I2446" s="113" t="str">
        <f>IF(ISBLANK(E2446),"",_xlfn.XLOOKUP(E2446,cannabis_log!C:C,cannabis_log!K:K,"NOT FOUND",0,1))</f>
        <v>NA</v>
      </c>
      <c r="J2446" s="303">
        <v>-1</v>
      </c>
      <c r="K2446" s="186">
        <v>-1590</v>
      </c>
      <c r="L2446" s="354">
        <f t="shared" si="175"/>
        <v>0</v>
      </c>
      <c r="M2446" s="305"/>
      <c r="N2446" s="112" t="str">
        <f>IF(ISBLANK(E2446),"",_xlfn.XLOOKUP(E2446,cannabis_log!C:C,cannabis_log!T:T,"Not Found",0,))</f>
        <v>gross</v>
      </c>
      <c r="O2446" s="180">
        <f>IF(N2446="net",_xlfn.XLOOKUP(E2446,cannabis_log!C:C,cannabis_log!N:N,"NOT FOUND",0,1),IF(N2446="gross",0,""))</f>
        <v>0</v>
      </c>
    </row>
    <row r="2447" spans="1:15">
      <c r="A2447" s="195" t="str">
        <f t="shared" si="174"/>
        <v>outbound</v>
      </c>
      <c r="B2447" s="196">
        <v>45894.423159722224</v>
      </c>
      <c r="C2447" s="183" t="s">
        <v>1921</v>
      </c>
      <c r="D2447" s="183"/>
      <c r="E2447" s="217" t="s">
        <v>4317</v>
      </c>
      <c r="F2447" s="112" t="str">
        <f>IF(ISBLANK(E2447),"",_xlfn.XLOOKUP(E2447,cannabis_log!C:C,cannabis_log!J:J,"",0,))</f>
        <v>PR2520</v>
      </c>
      <c r="G2447" s="112"/>
      <c r="H2447" s="301" t="str">
        <f>IF(ISBLANK(E2447),"",_xlfn.XLOOKUP(E2447,cannabis_log!C:C,cannabis_log!H:H,"",0,1))</f>
        <v>driedflower_milled_bulk</v>
      </c>
      <c r="I2447" s="113" t="str">
        <f>IF(ISBLANK(E2447),"",_xlfn.XLOOKUP(E2447,cannabis_log!C:C,cannabis_log!K:K,"NOT FOUND",0,1))</f>
        <v>NA</v>
      </c>
      <c r="J2447" s="303">
        <v>-1</v>
      </c>
      <c r="K2447" s="186">
        <v>-3956</v>
      </c>
      <c r="L2447" s="354">
        <f t="shared" si="175"/>
        <v>0</v>
      </c>
      <c r="M2447" s="305"/>
      <c r="N2447" s="112" t="str">
        <f>IF(ISBLANK(E2447),"",_xlfn.XLOOKUP(E2447,cannabis_log!C:C,cannabis_log!T:T,"Not Found",0,))</f>
        <v>gross</v>
      </c>
      <c r="O2447" s="180">
        <f>IF(N2447="net",_xlfn.XLOOKUP(E2447,cannabis_log!C:C,cannabis_log!N:N,"NOT FOUND",0,1),IF(N2447="gross",0,""))</f>
        <v>0</v>
      </c>
    </row>
    <row r="2448" spans="1:15">
      <c r="A2448" s="195" t="str">
        <f t="shared" si="174"/>
        <v>outbound</v>
      </c>
      <c r="B2448" s="196">
        <v>45894.663437499999</v>
      </c>
      <c r="C2448" s="183" t="s">
        <v>1921</v>
      </c>
      <c r="D2448" s="183"/>
      <c r="E2448" s="217" t="s">
        <v>4318</v>
      </c>
      <c r="F2448" s="112">
        <f>IF(ISBLANK(E2448),"",_xlfn.XLOOKUP(E2448,cannabis_log!C:C,cannabis_log!J:J,"",0,))</f>
        <v>2023110201</v>
      </c>
      <c r="G2448" s="112"/>
      <c r="H2448" s="301" t="str">
        <f>IF(ISBLANK(E2448),"",_xlfn.XLOOKUP(E2448,cannabis_log!C:C,cannabis_log!H:H,"",0,1))</f>
        <v>extract_distillate_bulk</v>
      </c>
      <c r="I2448" s="113" t="str">
        <f>IF(ISBLANK(E2448),"",_xlfn.XLOOKUP(E2448,cannabis_log!C:C,cannabis_log!K:K,"NOT FOUND",0,1))</f>
        <v>NA</v>
      </c>
      <c r="J2448" s="303">
        <v>-1</v>
      </c>
      <c r="K2448" s="186">
        <v>-366</v>
      </c>
      <c r="L2448" s="354">
        <f t="shared" si="175"/>
        <v>0</v>
      </c>
      <c r="M2448" s="305"/>
      <c r="N2448" s="112" t="str">
        <f>IF(ISBLANK(E2448),"",_xlfn.XLOOKUP(E2448,cannabis_log!C:C,cannabis_log!T:T,"Not Found",0,))</f>
        <v>gross</v>
      </c>
      <c r="O2448" s="180">
        <f>IF(N2448="net",_xlfn.XLOOKUP(E2448,cannabis_log!C:C,cannabis_log!N:N,"NOT FOUND",0,1),IF(N2448="gross",0,""))</f>
        <v>0</v>
      </c>
    </row>
    <row r="2449" spans="1:15">
      <c r="A2449" s="195" t="str">
        <f t="shared" si="174"/>
        <v>outbound</v>
      </c>
      <c r="B2449" s="196">
        <v>45894.663437499999</v>
      </c>
      <c r="C2449" s="183" t="s">
        <v>1921</v>
      </c>
      <c r="D2449" s="183"/>
      <c r="E2449" s="217" t="s">
        <v>3067</v>
      </c>
      <c r="F2449" s="112">
        <f>IF(ISBLANK(E2449),"",_xlfn.XLOOKUP(E2449,cannabis_log!C:C,cannabis_log!J:J,"",0,))</f>
        <v>2025052701</v>
      </c>
      <c r="G2449" s="112"/>
      <c r="H2449" s="301" t="str">
        <f>IF(ISBLANK(E2449),"",_xlfn.XLOOKUP(E2449,cannabis_log!C:C,cannabis_log!H:H,"",0,1))</f>
        <v>extract_distillate_bulk</v>
      </c>
      <c r="I2449" s="113" t="str">
        <f>IF(ISBLANK(E2449),"",_xlfn.XLOOKUP(E2449,cannabis_log!C:C,cannabis_log!K:K,"NOT FOUND",0,1))</f>
        <v>NA</v>
      </c>
      <c r="J2449" s="303">
        <v>-1</v>
      </c>
      <c r="K2449" s="186">
        <v>-1285</v>
      </c>
      <c r="L2449" s="354">
        <f t="shared" si="175"/>
        <v>0</v>
      </c>
      <c r="M2449" s="305"/>
      <c r="N2449" s="112" t="str">
        <f>IF(ISBLANK(E2449),"",_xlfn.XLOOKUP(E2449,cannabis_log!C:C,cannabis_log!T:T,"Not Found",0,))</f>
        <v>gross</v>
      </c>
      <c r="O2449" s="180">
        <f>IF(N2449="net",_xlfn.XLOOKUP(E2449,cannabis_log!C:C,cannabis_log!N:N,"NOT FOUND",0,1),IF(N2449="gross",0,""))</f>
        <v>0</v>
      </c>
    </row>
    <row r="2450" spans="1:15">
      <c r="A2450" s="195" t="str">
        <f t="shared" si="174"/>
        <v>outbound</v>
      </c>
      <c r="B2450" s="196">
        <v>45897.492361111108</v>
      </c>
      <c r="C2450" s="183" t="s">
        <v>1929</v>
      </c>
      <c r="D2450" s="183" t="s">
        <v>4319</v>
      </c>
      <c r="E2450" s="217" t="s">
        <v>3054</v>
      </c>
      <c r="F2450" s="112" t="str">
        <f>IF(ISBLANK(E2450),"",_xlfn.XLOOKUP(E2450,cannabis_log!C:C,cannabis_log!J:J,"",0,))</f>
        <v>ROGEX001G1</v>
      </c>
      <c r="G2450" s="112"/>
      <c r="H2450" s="301" t="str">
        <f>IF(ISBLANK(E2450),"",_xlfn.XLOOKUP(E2450,cannabis_log!C:C,cannabis_log!H:H,"",0,1))</f>
        <v>extract_inhaled_labelled_Rohan</v>
      </c>
      <c r="I2450" s="113">
        <f>IF(ISBLANK(E2450),"",_xlfn.XLOOKUP(E2450,cannabis_log!C:C,cannabis_log!K:K,"NOT FOUND",0,1))</f>
        <v>45772</v>
      </c>
      <c r="J2450" s="303">
        <v>-12</v>
      </c>
      <c r="K2450" s="186">
        <f t="shared" si="176"/>
        <v>0</v>
      </c>
      <c r="L2450" s="354">
        <f t="shared" si="175"/>
        <v>-12</v>
      </c>
      <c r="M2450" s="305"/>
      <c r="N2450" s="112" t="str">
        <f>IF(ISBLANK(E2450),"",_xlfn.XLOOKUP(E2450,cannabis_log!C:C,cannabis_log!T:T,"Not Found",0,))</f>
        <v>net</v>
      </c>
      <c r="O2450" s="180">
        <f>IF(N2450="net",_xlfn.XLOOKUP(E2450,cannabis_log!C:C,cannabis_log!N:N,"NOT FOUND",0,1),IF(N2450="gross",0,""))</f>
        <v>1</v>
      </c>
    </row>
    <row r="2451" spans="1:15">
      <c r="A2451" s="195" t="str">
        <f t="shared" si="174"/>
        <v>outbound</v>
      </c>
      <c r="B2451" s="196">
        <v>45897.572916666664</v>
      </c>
      <c r="C2451" s="183" t="s">
        <v>1929</v>
      </c>
      <c r="D2451" s="183" t="s">
        <v>4320</v>
      </c>
      <c r="E2451" s="217" t="s">
        <v>3227</v>
      </c>
      <c r="F2451" s="112" t="str">
        <f>IF(ISBLANK(E2451),"",_xlfn.XLOOKUP(E2451,cannabis_log!C:C,cannabis_log!J:J,"",0,))</f>
        <v>PR2507F1P2</v>
      </c>
      <c r="G2451" s="112"/>
      <c r="H2451" s="301" t="str">
        <f>IF(ISBLANK(E2451),"",_xlfn.XLOOKUP(E2451,cannabis_log!C:C,cannabis_log!H:H,"",0,1))</f>
        <v>preroll_labelled</v>
      </c>
      <c r="I2451" s="113">
        <f>IF(ISBLANK(E2451),"",_xlfn.XLOOKUP(E2451,cannabis_log!C:C,cannabis_log!K:K,"NOT FOUND",0,1))</f>
        <v>45848</v>
      </c>
      <c r="J2451" s="303">
        <v>-81</v>
      </c>
      <c r="K2451" s="186">
        <f t="shared" si="176"/>
        <v>0</v>
      </c>
      <c r="L2451" s="354">
        <f t="shared" si="175"/>
        <v>-162</v>
      </c>
      <c r="M2451" s="305"/>
      <c r="N2451" s="112" t="str">
        <f>IF(ISBLANK(E2451),"",_xlfn.XLOOKUP(E2451,cannabis_log!C:C,cannabis_log!T:T,"Not Found",0,))</f>
        <v>net</v>
      </c>
      <c r="O2451" s="180">
        <f>IF(N2451="net",_xlfn.XLOOKUP(E2451,cannabis_log!C:C,cannabis_log!N:N,"NOT FOUND",0,1),IF(N2451="gross",0,""))</f>
        <v>2</v>
      </c>
    </row>
    <row r="2452" spans="1:15">
      <c r="A2452" s="195" t="str">
        <f t="shared" si="174"/>
        <v>outbound</v>
      </c>
      <c r="B2452" s="196">
        <v>45897.57708333333</v>
      </c>
      <c r="C2452" s="183" t="s">
        <v>1929</v>
      </c>
      <c r="D2452" s="183" t="s">
        <v>4320</v>
      </c>
      <c r="E2452" s="217" t="s">
        <v>4263</v>
      </c>
      <c r="F2452" s="112" t="str">
        <f>IF(ISBLANK(E2452),"",_xlfn.XLOOKUP(E2452,cannabis_log!C:C,cannabis_log!J:J,"",0,))</f>
        <v>PR2516F1P2</v>
      </c>
      <c r="G2452" s="112"/>
      <c r="H2452" s="301" t="str">
        <f>IF(ISBLANK(E2452),"",_xlfn.XLOOKUP(E2452,cannabis_log!C:C,cannabis_log!H:H,"",0,1))</f>
        <v>preroll_labelled</v>
      </c>
      <c r="I2452" s="113">
        <f>IF(ISBLANK(E2452),"",_xlfn.XLOOKUP(E2452,cannabis_log!C:C,cannabis_log!K:K,"NOT FOUND",0,1))</f>
        <v>45880</v>
      </c>
      <c r="J2452" s="303">
        <v>-24</v>
      </c>
      <c r="K2452" s="186">
        <f t="shared" si="176"/>
        <v>0</v>
      </c>
      <c r="L2452" s="354">
        <f t="shared" si="175"/>
        <v>-36</v>
      </c>
      <c r="M2452" s="305"/>
      <c r="N2452" s="112" t="str">
        <f>IF(ISBLANK(E2452),"",_xlfn.XLOOKUP(E2452,cannabis_log!C:C,cannabis_log!T:T,"Not Found",0,))</f>
        <v>net</v>
      </c>
      <c r="O2452" s="180">
        <f>IF(N2452="net",_xlfn.XLOOKUP(E2452,cannabis_log!C:C,cannabis_log!N:N,"NOT FOUND",0,1),IF(N2452="gross",0,""))</f>
        <v>1.5</v>
      </c>
    </row>
    <row r="2453" spans="1:15">
      <c r="A2453" s="195" t="str">
        <f t="shared" si="174"/>
        <v>outbound</v>
      </c>
      <c r="B2453" s="196">
        <v>45896.583333333336</v>
      </c>
      <c r="C2453" s="183" t="s">
        <v>1929</v>
      </c>
      <c r="D2453" s="183" t="s">
        <v>4325</v>
      </c>
      <c r="E2453" s="217" t="s">
        <v>3245</v>
      </c>
      <c r="F2453" s="112" t="str">
        <f>IF(ISBLANK(E2453),"",_xlfn.XLOOKUP(E2453,cannabis_log!C:C,cannabis_log!J:J,"",0,))</f>
        <v>PR251908F5P12</v>
      </c>
      <c r="G2453" s="112"/>
      <c r="H2453" s="301" t="str">
        <f>IF(ISBLANK(E2453),"",_xlfn.XLOOKUP(E2453,cannabis_log!C:C,cannabis_log!H:H,"",0,1))</f>
        <v>preroll_labelled</v>
      </c>
      <c r="I2453" s="113">
        <f>IF(ISBLANK(E2453),"",_xlfn.XLOOKUP(E2453,cannabis_log!C:C,cannabis_log!K:K,"NOT FOUND",0,1))</f>
        <v>45854</v>
      </c>
      <c r="J2453" s="414">
        <v>-3</v>
      </c>
      <c r="K2453" s="186">
        <f t="shared" si="176"/>
        <v>0</v>
      </c>
      <c r="L2453" s="354">
        <f t="shared" si="175"/>
        <v>-18</v>
      </c>
      <c r="M2453" s="305"/>
      <c r="N2453" s="112" t="str">
        <f>IF(ISBLANK(E2453),"",_xlfn.XLOOKUP(E2453,cannabis_log!C:C,cannabis_log!T:T,"Not Found",0,))</f>
        <v>net</v>
      </c>
      <c r="O2453" s="180">
        <f>IF(N2453="net",_xlfn.XLOOKUP(E2453,cannabis_log!C:C,cannabis_log!N:N,"NOT FOUND",0,1),IF(N2453="gross",0,""))</f>
        <v>6</v>
      </c>
    </row>
    <row r="2454" spans="1:15">
      <c r="A2454" s="195" t="str">
        <f t="shared" si="174"/>
        <v>outbound</v>
      </c>
      <c r="B2454" s="196">
        <v>45896.583333333336</v>
      </c>
      <c r="C2454" s="183" t="s">
        <v>1929</v>
      </c>
      <c r="D2454" s="183" t="s">
        <v>4325</v>
      </c>
      <c r="E2454" s="217" t="s">
        <v>3012</v>
      </c>
      <c r="F2454" s="112" t="str">
        <f>IF(ISBLANK(E2454),"",_xlfn.XLOOKUP(E2454,cannabis_log!C:C,cannabis_log!J:J,"",0,))</f>
        <v>LR23032101</v>
      </c>
      <c r="G2454" s="112"/>
      <c r="H2454" s="301" t="str">
        <f>IF(ISBLANK(E2454),"",_xlfn.XLOOKUP(E2454,cannabis_log!C:C,cannabis_log!H:H,"",0,1))</f>
        <v>extract_inhaled_labelled</v>
      </c>
      <c r="I2454" s="113">
        <f>IF(ISBLANK(E2454),"",_xlfn.XLOOKUP(E2454,cannabis_log!C:C,cannabis_log!K:K,"NOT FOUND",0,1))</f>
        <v>45793</v>
      </c>
      <c r="J2454" s="303">
        <v>-6</v>
      </c>
      <c r="K2454" s="186">
        <f t="shared" si="176"/>
        <v>0</v>
      </c>
      <c r="L2454" s="354">
        <f t="shared" si="175"/>
        <v>-6</v>
      </c>
      <c r="M2454" s="305"/>
      <c r="N2454" s="112" t="str">
        <f>IF(ISBLANK(E2454),"",_xlfn.XLOOKUP(E2454,cannabis_log!C:C,cannabis_log!T:T,"Not Found",0,))</f>
        <v>net</v>
      </c>
      <c r="O2454" s="180">
        <f>IF(N2454="net",_xlfn.XLOOKUP(E2454,cannabis_log!C:C,cannabis_log!N:N,"NOT FOUND",0,1),IF(N2454="gross",0,""))</f>
        <v>1</v>
      </c>
    </row>
    <row r="2455" spans="1:15">
      <c r="A2455" s="195" t="str">
        <f t="shared" si="174"/>
        <v>outbound</v>
      </c>
      <c r="B2455" s="196">
        <v>45896.583333333336</v>
      </c>
      <c r="C2455" s="183" t="s">
        <v>1929</v>
      </c>
      <c r="D2455" s="183" t="s">
        <v>4325</v>
      </c>
      <c r="E2455" s="217" t="s">
        <v>3013</v>
      </c>
      <c r="F2455" s="112" t="str">
        <f>IF(ISBLANK(E2455),"",_xlfn.XLOOKUP(E2455,cannabis_log!C:C,cannabis_log!J:J,"",0,))</f>
        <v>PR2303IN02F5P3</v>
      </c>
      <c r="G2455" s="112"/>
      <c r="H2455" s="301" t="str">
        <f>IF(ISBLANK(E2455),"",_xlfn.XLOOKUP(E2455,cannabis_log!C:C,cannabis_log!H:H,"",0,1))</f>
        <v>infusedpreroll_cased_AB_RTV</v>
      </c>
      <c r="I2455" s="113">
        <f>IF(ISBLANK(E2455),"",_xlfn.XLOOKUP(E2455,cannabis_log!C:C,cannabis_log!K:K,"NOT FOUND",0,1))</f>
        <v>45478</v>
      </c>
      <c r="J2455" s="303">
        <v>-6</v>
      </c>
      <c r="K2455" s="186">
        <f t="shared" si="176"/>
        <v>0</v>
      </c>
      <c r="L2455" s="354">
        <f t="shared" si="175"/>
        <v>-54</v>
      </c>
      <c r="M2455" s="305"/>
      <c r="N2455" s="112" t="str">
        <f>IF(ISBLANK(E2455),"",_xlfn.XLOOKUP(E2455,cannabis_log!C:C,cannabis_log!T:T,"Not Found",0,))</f>
        <v>net</v>
      </c>
      <c r="O2455" s="180">
        <f>IF(N2455="net",_xlfn.XLOOKUP(E2455,cannabis_log!C:C,cannabis_log!N:N,"NOT FOUND",0,1),IF(N2455="gross",0,""))</f>
        <v>9</v>
      </c>
    </row>
    <row r="2456" spans="1:15">
      <c r="A2456" s="195" t="str">
        <f t="shared" si="174"/>
        <v>outbound</v>
      </c>
      <c r="B2456" s="196">
        <v>45896.583333333336</v>
      </c>
      <c r="C2456" s="183" t="s">
        <v>1929</v>
      </c>
      <c r="D2456" s="183" t="s">
        <v>4325</v>
      </c>
      <c r="E2456" s="217" t="s">
        <v>3271</v>
      </c>
      <c r="F2456" s="112" t="str">
        <f>IF(ISBLANK(E2456),"",_xlfn.XLOOKUP(E2456,cannabis_log!C:C,cannabis_log!J:J,"",0,))</f>
        <v>EX25041401V30</v>
      </c>
      <c r="G2456" s="112"/>
      <c r="H2456" s="301" t="str">
        <f>IF(ISBLANK(E2456),"",_xlfn.XLOOKUP(E2456,cannabis_log!C:C,cannabis_log!H:H,"",0,1))</f>
        <v>extract_ingested_labelled</v>
      </c>
      <c r="I2456" s="113">
        <f>IF(ISBLANK(E2456),"",_xlfn.XLOOKUP(E2456,cannabis_log!C:C,cannabis_log!K:K,"NOT FOUND",0,1))</f>
        <v>45777</v>
      </c>
      <c r="J2456" s="303">
        <v>-12</v>
      </c>
      <c r="K2456" s="186">
        <f t="shared" si="176"/>
        <v>0</v>
      </c>
      <c r="L2456" s="354">
        <f t="shared" si="175"/>
        <v>-327.60000000000002</v>
      </c>
      <c r="M2456" s="305"/>
      <c r="N2456" s="112" t="str">
        <f>IF(ISBLANK(E2456),"",_xlfn.XLOOKUP(E2456,cannabis_log!C:C,cannabis_log!T:T,"Not Found",0,))</f>
        <v>net</v>
      </c>
      <c r="O2456" s="180">
        <f>IF(N2456="net",_xlfn.XLOOKUP(E2456,cannabis_log!C:C,cannabis_log!N:N,"NOT FOUND",0,1),IF(N2456="gross",0,""))</f>
        <v>27.3</v>
      </c>
    </row>
    <row r="2457" spans="1:15">
      <c r="A2457" s="195" t="str">
        <f t="shared" si="174"/>
        <v>outbound</v>
      </c>
      <c r="B2457" s="196">
        <v>45896.583333333336</v>
      </c>
      <c r="C2457" s="183" t="s">
        <v>1929</v>
      </c>
      <c r="D2457" s="183" t="s">
        <v>4325</v>
      </c>
      <c r="E2457" s="217" t="s">
        <v>3227</v>
      </c>
      <c r="F2457" s="112" t="str">
        <f>IF(ISBLANK(E2457),"",_xlfn.XLOOKUP(E2457,cannabis_log!C:C,cannabis_log!J:J,"",0,))</f>
        <v>PR2507F1P2</v>
      </c>
      <c r="G2457" s="112"/>
      <c r="H2457" s="301" t="str">
        <f>IF(ISBLANK(E2457),"",_xlfn.XLOOKUP(E2457,cannabis_log!C:C,cannabis_log!H:H,"",0,1))</f>
        <v>preroll_labelled</v>
      </c>
      <c r="I2457" s="113">
        <f>IF(ISBLANK(E2457),"",_xlfn.XLOOKUP(E2457,cannabis_log!C:C,cannabis_log!K:K,"NOT FOUND",0,1))</f>
        <v>45848</v>
      </c>
      <c r="J2457" s="303">
        <v>-12</v>
      </c>
      <c r="K2457" s="186">
        <f t="shared" si="176"/>
        <v>0</v>
      </c>
      <c r="L2457" s="354">
        <f t="shared" si="175"/>
        <v>-24</v>
      </c>
      <c r="M2457" s="305"/>
      <c r="N2457" s="112" t="str">
        <f>IF(ISBLANK(E2457),"",_xlfn.XLOOKUP(E2457,cannabis_log!C:C,cannabis_log!T:T,"Not Found",0,))</f>
        <v>net</v>
      </c>
      <c r="O2457" s="180">
        <f>IF(N2457="net",_xlfn.XLOOKUP(E2457,cannabis_log!C:C,cannabis_log!N:N,"NOT FOUND",0,1),IF(N2457="gross",0,""))</f>
        <v>2</v>
      </c>
    </row>
    <row r="2458" spans="1:15">
      <c r="A2458" s="195" t="str">
        <f t="shared" si="174"/>
        <v>outbound</v>
      </c>
      <c r="B2458" s="196">
        <v>45896.625</v>
      </c>
      <c r="C2458" s="183" t="s">
        <v>1929</v>
      </c>
      <c r="D2458" s="183">
        <v>550437</v>
      </c>
      <c r="E2458" s="217" t="s">
        <v>3275</v>
      </c>
      <c r="F2458" s="112" t="str">
        <f>IF(ISBLANK(E2458),"",_xlfn.XLOOKUP(E2458,cannabis_log!C:C,cannabis_log!J:J,"",0,))</f>
        <v>PR251905F5P3</v>
      </c>
      <c r="G2458" s="112"/>
      <c r="H2458" s="301" t="str">
        <f>IF(ISBLANK(E2458),"",_xlfn.XLOOKUP(E2458,cannabis_log!C:C,cannabis_log!H:H,"",0,1))</f>
        <v>preroll_labelled</v>
      </c>
      <c r="I2458" s="113">
        <f>IF(ISBLANK(E2458),"",_xlfn.XLOOKUP(E2458,cannabis_log!C:C,cannabis_log!K:K,"NOT FOUND",0,1))</f>
        <v>45859</v>
      </c>
      <c r="J2458" s="303">
        <v>-12</v>
      </c>
      <c r="K2458" s="186">
        <f t="shared" si="176"/>
        <v>0</v>
      </c>
      <c r="L2458" s="354">
        <f t="shared" si="175"/>
        <v>-18</v>
      </c>
      <c r="M2458" s="305"/>
      <c r="N2458" s="112" t="str">
        <f>IF(ISBLANK(E2458),"",_xlfn.XLOOKUP(E2458,cannabis_log!C:C,cannabis_log!T:T,"Not Found",0,))</f>
        <v>net</v>
      </c>
      <c r="O2458" s="180">
        <f>IF(N2458="net",_xlfn.XLOOKUP(E2458,cannabis_log!C:C,cannabis_log!N:N,"NOT FOUND",0,1),IF(N2458="gross",0,""))</f>
        <v>1.5</v>
      </c>
    </row>
    <row r="2459" spans="1:15">
      <c r="A2459" s="195" t="str">
        <f t="shared" si="174"/>
        <v>outbound</v>
      </c>
      <c r="B2459" s="196">
        <v>45896.625</v>
      </c>
      <c r="C2459" s="183" t="s">
        <v>1929</v>
      </c>
      <c r="D2459" s="183">
        <v>550437</v>
      </c>
      <c r="E2459" s="217" t="s">
        <v>4287</v>
      </c>
      <c r="F2459" s="112" t="str">
        <f>IF(ISBLANK(E2459),"",_xlfn.XLOOKUP(E2459,cannabis_log!C:C,cannabis_log!J:J,"",0,))</f>
        <v>PR251904F5P3</v>
      </c>
      <c r="G2459" s="112"/>
      <c r="H2459" s="301" t="str">
        <f>IF(ISBLANK(E2459),"",_xlfn.XLOOKUP(E2459,cannabis_log!C:C,cannabis_log!H:H,"",0,1))</f>
        <v>preroll_labelled</v>
      </c>
      <c r="I2459" s="113">
        <f>IF(ISBLANK(E2459),"",_xlfn.XLOOKUP(E2459,cannabis_log!C:C,cannabis_log!K:K,"NOT FOUND",0,1))</f>
        <v>45870</v>
      </c>
      <c r="J2459" s="303">
        <v>-12</v>
      </c>
      <c r="K2459" s="186">
        <f t="shared" si="176"/>
        <v>0</v>
      </c>
      <c r="L2459" s="354">
        <f t="shared" si="175"/>
        <v>-18</v>
      </c>
      <c r="M2459" s="305"/>
      <c r="N2459" s="112" t="str">
        <f>IF(ISBLANK(E2459),"",_xlfn.XLOOKUP(E2459,cannabis_log!C:C,cannabis_log!T:T,"Not Found",0,))</f>
        <v>net</v>
      </c>
      <c r="O2459" s="180">
        <f>IF(N2459="net",_xlfn.XLOOKUP(E2459,cannabis_log!C:C,cannabis_log!N:N,"NOT FOUND",0,1),IF(N2459="gross",0,""))</f>
        <v>1.5</v>
      </c>
    </row>
    <row r="2460" spans="1:15">
      <c r="A2460" s="195" t="str">
        <f t="shared" si="174"/>
        <v>outbound</v>
      </c>
      <c r="B2460" s="196">
        <v>45896.625</v>
      </c>
      <c r="C2460" s="183" t="s">
        <v>1929</v>
      </c>
      <c r="D2460" s="183">
        <v>550437</v>
      </c>
      <c r="E2460" s="217" t="s">
        <v>4326</v>
      </c>
      <c r="F2460" s="112" t="str">
        <f>IF(ISBLANK(E2460),"",_xlfn.XLOOKUP(E2460,cannabis_log!C:C,cannabis_log!J:J,"",0,))</f>
        <v>PR251901F5P3</v>
      </c>
      <c r="G2460" s="112"/>
      <c r="H2460" s="301" t="str">
        <f>IF(ISBLANK(E2460),"",_xlfn.XLOOKUP(E2460,cannabis_log!C:C,cannabis_log!H:H,"",0,1))</f>
        <v>preroll_labelled</v>
      </c>
      <c r="I2460" s="113">
        <f>IF(ISBLANK(E2460),"",_xlfn.XLOOKUP(E2460,cannabis_log!C:C,cannabis_log!K:K,"NOT FOUND",0,1))</f>
        <v>45870</v>
      </c>
      <c r="J2460" s="303">
        <v>-12</v>
      </c>
      <c r="K2460" s="186">
        <f t="shared" si="176"/>
        <v>0</v>
      </c>
      <c r="L2460" s="354">
        <f t="shared" si="175"/>
        <v>-18</v>
      </c>
      <c r="M2460" s="305"/>
      <c r="N2460" s="112" t="str">
        <f>IF(ISBLANK(E2460),"",_xlfn.XLOOKUP(E2460,cannabis_log!C:C,cannabis_log!T:T,"Not Found",0,))</f>
        <v>net</v>
      </c>
      <c r="O2460" s="180">
        <f>IF(N2460="net",_xlfn.XLOOKUP(E2460,cannabis_log!C:C,cannabis_log!N:N,"NOT FOUND",0,1),IF(N2460="gross",0,""))</f>
        <v>1.5</v>
      </c>
    </row>
    <row r="2461" spans="1:15">
      <c r="A2461" s="195" t="str">
        <f t="shared" si="174"/>
        <v>outbound</v>
      </c>
      <c r="B2461" s="196">
        <v>45896.625</v>
      </c>
      <c r="C2461" s="183" t="s">
        <v>1929</v>
      </c>
      <c r="D2461" s="183">
        <v>547253</v>
      </c>
      <c r="E2461" s="217" t="s">
        <v>4280</v>
      </c>
      <c r="F2461" s="112" t="str">
        <f>IF(ISBLANK(E2461),"",_xlfn.XLOOKUP(E2461,cannabis_log!C:C,cannabis_log!J:J,"",0,))</f>
        <v>2024111803G7</v>
      </c>
      <c r="G2461" s="112"/>
      <c r="H2461" s="301" t="str">
        <f>IF(ISBLANK(E2461),"",_xlfn.XLOOKUP(E2461,cannabis_log!C:C,cannabis_log!H:H,"",0,1))</f>
        <v>driedflower_labelled</v>
      </c>
      <c r="I2461" s="113">
        <f>IF(ISBLANK(E2461),"",_xlfn.XLOOKUP(E2461,cannabis_log!C:C,cannabis_log!K:K,"NOT FOUND",0,1))</f>
        <v>45881</v>
      </c>
      <c r="J2461" s="303">
        <v>-12</v>
      </c>
      <c r="K2461" s="186">
        <f t="shared" si="176"/>
        <v>0</v>
      </c>
      <c r="L2461" s="354">
        <f t="shared" si="175"/>
        <v>-84</v>
      </c>
      <c r="M2461" s="305"/>
      <c r="N2461" s="112" t="str">
        <f>IF(ISBLANK(E2461),"",_xlfn.XLOOKUP(E2461,cannabis_log!C:C,cannabis_log!T:T,"Not Found",0,))</f>
        <v>net</v>
      </c>
      <c r="O2461" s="180">
        <f>IF(N2461="net",_xlfn.XLOOKUP(E2461,cannabis_log!C:C,cannabis_log!N:N,"NOT FOUND",0,1),IF(N2461="gross",0,""))</f>
        <v>7</v>
      </c>
    </row>
    <row r="2462" spans="1:15">
      <c r="A2462" s="195" t="str">
        <f t="shared" si="174"/>
        <v>outbound</v>
      </c>
      <c r="B2462" s="196">
        <v>45897.645833333336</v>
      </c>
      <c r="C2462" s="183" t="s">
        <v>1921</v>
      </c>
      <c r="D2462" s="183"/>
      <c r="E2462" s="217" t="s">
        <v>4307</v>
      </c>
      <c r="F2462" s="112">
        <f>IF(ISBLANK(E2462),"",_xlfn.XLOOKUP(E2462,cannabis_log!C:C,cannabis_log!J:J,"",0,))</f>
        <v>2025060401</v>
      </c>
      <c r="G2462" s="112"/>
      <c r="H2462" s="301" t="str">
        <f>IF(ISBLANK(E2462),"",_xlfn.XLOOKUP(E2462,cannabis_log!C:C,cannabis_log!H:H,"",0,1))</f>
        <v>driedflower_bulk</v>
      </c>
      <c r="I2462" s="113" t="str">
        <f>IF(ISBLANK(E2462),"",_xlfn.XLOOKUP(E2462,cannabis_log!C:C,cannabis_log!K:K,"NOT FOUND",0,1))</f>
        <v>NA</v>
      </c>
      <c r="J2462" s="303">
        <v>-1</v>
      </c>
      <c r="K2462" s="186">
        <v>-5864</v>
      </c>
      <c r="L2462" s="354">
        <f t="shared" si="175"/>
        <v>0</v>
      </c>
      <c r="M2462" s="305"/>
      <c r="N2462" s="112" t="str">
        <f>IF(ISBLANK(E2462),"",_xlfn.XLOOKUP(E2462,cannabis_log!C:C,cannabis_log!T:T,"Not Found",0,))</f>
        <v>gross</v>
      </c>
      <c r="O2462" s="180">
        <f>IF(N2462="net",_xlfn.XLOOKUP(E2462,cannabis_log!C:C,cannabis_log!N:N,"NOT FOUND",0,1),IF(N2462="gross",0,""))</f>
        <v>0</v>
      </c>
    </row>
    <row r="2463" spans="1:15">
      <c r="A2463" s="195" t="str">
        <f t="shared" si="174"/>
        <v>inbound</v>
      </c>
      <c r="B2463" s="196">
        <v>45897</v>
      </c>
      <c r="C2463" s="183" t="s">
        <v>1927</v>
      </c>
      <c r="D2463" s="183"/>
      <c r="E2463" s="217" t="s">
        <v>4327</v>
      </c>
      <c r="F2463" s="112" t="str">
        <f>IF(ISBLANK(E2463),"",_xlfn.XLOOKUP(E2463,cannabis_log!C:C,cannabis_log!J:J,"",0,))</f>
        <v>2024111803G7</v>
      </c>
      <c r="G2463" s="112"/>
      <c r="H2463" s="301" t="str">
        <f>IF(ISBLANK(E2463),"",_xlfn.XLOOKUP(E2463,cannabis_log!C:C,cannabis_log!H:H,"",0,1))</f>
        <v>driedflower_labelled</v>
      </c>
      <c r="I2463" s="113">
        <f>IF(ISBLANK(E2463),"",_xlfn.XLOOKUP(E2463,cannabis_log!C:C,cannabis_log!K:K,"NOT FOUND",0,1))</f>
        <v>45880</v>
      </c>
      <c r="J2463" s="303">
        <v>60</v>
      </c>
      <c r="K2463" s="186">
        <f t="shared" si="176"/>
        <v>0</v>
      </c>
      <c r="L2463" s="354">
        <f t="shared" si="175"/>
        <v>420</v>
      </c>
      <c r="M2463" s="305"/>
      <c r="N2463" s="112" t="str">
        <f>IF(ISBLANK(E2463),"",_xlfn.XLOOKUP(E2463,cannabis_log!C:C,cannabis_log!T:T,"Not Found",0,))</f>
        <v>net</v>
      </c>
      <c r="O2463" s="180">
        <f>IF(N2463="net",_xlfn.XLOOKUP(E2463,cannabis_log!C:C,cannabis_log!N:N,"NOT FOUND",0,1),IF(N2463="gross",0,""))</f>
        <v>7</v>
      </c>
    </row>
    <row r="2464" spans="1:15">
      <c r="A2464" s="195" t="str">
        <f t="shared" si="174"/>
        <v/>
      </c>
      <c r="B2464" s="196"/>
      <c r="C2464" s="183"/>
      <c r="D2464" s="183"/>
      <c r="E2464" s="217"/>
      <c r="F2464" s="112" t="str">
        <f>IF(ISBLANK(E2464),"",_xlfn.XLOOKUP(E2464,cannabis_log!C:C,cannabis_log!J:J,"",0,))</f>
        <v/>
      </c>
      <c r="G2464" s="112"/>
      <c r="H2464" s="301" t="str">
        <f>IF(ISBLANK(E2464),"",_xlfn.XLOOKUP(E2464,cannabis_log!C:C,cannabis_log!H:H,"",0,1))</f>
        <v/>
      </c>
      <c r="I2464" s="113" t="str">
        <f>IF(ISBLANK(E2464),"",_xlfn.XLOOKUP(E2464,cannabis_log!C:C,cannabis_log!K:K,"NOT FOUND",0,1))</f>
        <v/>
      </c>
      <c r="J2464" s="303"/>
      <c r="K2464" s="186" t="str">
        <f t="shared" si="176"/>
        <v/>
      </c>
      <c r="L2464" s="354" t="str">
        <f t="shared" si="175"/>
        <v/>
      </c>
      <c r="M2464" s="305"/>
      <c r="N2464" s="112" t="str">
        <f>IF(ISBLANK(E2464),"",_xlfn.XLOOKUP(E2464,cannabis_log!C:C,cannabis_log!T:T,"Not Found",0,))</f>
        <v/>
      </c>
      <c r="O2464" s="180" t="str">
        <f>IF(N2464="net",_xlfn.XLOOKUP(E2464,cannabis_log!C:C,cannabis_log!N:N,"NOT FOUND",0,1),IF(N2464="gross",0,""))</f>
        <v/>
      </c>
    </row>
    <row r="2465" spans="1:15">
      <c r="A2465" s="195" t="str">
        <f t="shared" si="174"/>
        <v/>
      </c>
      <c r="B2465" s="196"/>
      <c r="C2465" s="183"/>
      <c r="D2465" s="183"/>
      <c r="E2465" s="217"/>
      <c r="F2465" s="112" t="str">
        <f>IF(ISBLANK(E2465),"",_xlfn.XLOOKUP(E2465,cannabis_log!C:C,cannabis_log!J:J,"",0,))</f>
        <v/>
      </c>
      <c r="G2465" s="112"/>
      <c r="H2465" s="301" t="str">
        <f>IF(ISBLANK(E2465),"",_xlfn.XLOOKUP(E2465,cannabis_log!C:C,cannabis_log!H:H,"",0,1))</f>
        <v/>
      </c>
      <c r="I2465" s="113" t="str">
        <f>IF(ISBLANK(E2465),"",_xlfn.XLOOKUP(E2465,cannabis_log!C:C,cannabis_log!K:K,"NOT FOUND",0,1))</f>
        <v/>
      </c>
      <c r="J2465" s="303"/>
      <c r="K2465" s="186" t="str">
        <f t="shared" si="176"/>
        <v/>
      </c>
      <c r="L2465" s="354" t="str">
        <f t="shared" si="175"/>
        <v/>
      </c>
      <c r="M2465" s="305"/>
      <c r="N2465" s="112" t="str">
        <f>IF(ISBLANK(E2465),"",_xlfn.XLOOKUP(E2465,cannabis_log!C:C,cannabis_log!T:T,"Not Found",0,))</f>
        <v/>
      </c>
      <c r="O2465" s="180" t="str">
        <f>IF(N2465="net",_xlfn.XLOOKUP(E2465,cannabis_log!C:C,cannabis_log!N:N,"NOT FOUND",0,1),IF(N2465="gross",0,""))</f>
        <v/>
      </c>
    </row>
    <row r="2466" spans="1:15">
      <c r="A2466" s="195" t="str">
        <f t="shared" si="174"/>
        <v/>
      </c>
      <c r="B2466" s="196"/>
      <c r="C2466" s="183"/>
      <c r="D2466" s="183"/>
      <c r="E2466" s="217"/>
      <c r="F2466" s="112" t="str">
        <f>IF(ISBLANK(E2466),"",_xlfn.XLOOKUP(E2466,cannabis_log!C:C,cannabis_log!J:J,"",0,))</f>
        <v/>
      </c>
      <c r="G2466" s="112"/>
      <c r="H2466" s="301" t="str">
        <f>IF(ISBLANK(E2466),"",_xlfn.XLOOKUP(E2466,cannabis_log!C:C,cannabis_log!H:H,"",0,1))</f>
        <v/>
      </c>
      <c r="I2466" s="113" t="str">
        <f>IF(ISBLANK(E2466),"",_xlfn.XLOOKUP(E2466,cannabis_log!C:C,cannabis_log!K:K,"NOT FOUND",0,1))</f>
        <v/>
      </c>
      <c r="J2466" s="303"/>
      <c r="K2466" s="186" t="str">
        <f t="shared" si="176"/>
        <v/>
      </c>
      <c r="L2466" s="354" t="str">
        <f t="shared" si="175"/>
        <v/>
      </c>
      <c r="M2466" s="305"/>
      <c r="N2466" s="112" t="str">
        <f>IF(ISBLANK(E2466),"",_xlfn.XLOOKUP(E2466,cannabis_log!C:C,cannabis_log!T:T,"Not Found",0,))</f>
        <v/>
      </c>
      <c r="O2466" s="180" t="str">
        <f>IF(N2466="net",_xlfn.XLOOKUP(E2466,cannabis_log!C:C,cannabis_log!N:N,"NOT FOUND",0,1),IF(N2466="gross",0,""))</f>
        <v/>
      </c>
    </row>
    <row r="2467" spans="1:15">
      <c r="A2467" s="195" t="str">
        <f t="shared" si="174"/>
        <v/>
      </c>
      <c r="B2467" s="196"/>
      <c r="C2467" s="183"/>
      <c r="D2467" s="183"/>
      <c r="E2467" s="217"/>
      <c r="F2467" s="112" t="str">
        <f>IF(ISBLANK(E2467),"",_xlfn.XLOOKUP(E2467,cannabis_log!C:C,cannabis_log!J:J,"",0,))</f>
        <v/>
      </c>
      <c r="G2467" s="112"/>
      <c r="H2467" s="301" t="str">
        <f>IF(ISBLANK(E2467),"",_xlfn.XLOOKUP(E2467,cannabis_log!C:C,cannabis_log!H:H,"",0,1))</f>
        <v/>
      </c>
      <c r="I2467" s="113" t="str">
        <f>IF(ISBLANK(E2467),"",_xlfn.XLOOKUP(E2467,cannabis_log!C:C,cannabis_log!K:K,"NOT FOUND",0,1))</f>
        <v/>
      </c>
      <c r="J2467" s="303"/>
      <c r="K2467" s="186" t="str">
        <f t="shared" si="176"/>
        <v/>
      </c>
      <c r="L2467" s="354" t="str">
        <f t="shared" si="175"/>
        <v/>
      </c>
      <c r="M2467" s="305"/>
      <c r="N2467" s="112" t="str">
        <f>IF(ISBLANK(E2467),"",_xlfn.XLOOKUP(E2467,cannabis_log!C:C,cannabis_log!T:T,"Not Found",0,))</f>
        <v/>
      </c>
      <c r="O2467" s="180" t="str">
        <f>IF(N2467="net",_xlfn.XLOOKUP(E2467,cannabis_log!C:C,cannabis_log!N:N,"NOT FOUND",0,1),IF(N2467="gross",0,""))</f>
        <v/>
      </c>
    </row>
    <row r="2468" spans="1:15">
      <c r="A2468" s="195" t="str">
        <f t="shared" si="174"/>
        <v/>
      </c>
      <c r="B2468" s="196"/>
      <c r="C2468" s="183"/>
      <c r="D2468" s="183"/>
      <c r="E2468" s="217"/>
      <c r="F2468" s="112" t="str">
        <f>IF(ISBLANK(E2468),"",_xlfn.XLOOKUP(E2468,cannabis_log!C:C,cannabis_log!J:J,"",0,))</f>
        <v/>
      </c>
      <c r="G2468" s="112"/>
      <c r="H2468" s="301" t="str">
        <f>IF(ISBLANK(E2468),"",_xlfn.XLOOKUP(E2468,cannabis_log!C:C,cannabis_log!H:H,"",0,1))</f>
        <v/>
      </c>
      <c r="I2468" s="113" t="str">
        <f>IF(ISBLANK(E2468),"",_xlfn.XLOOKUP(E2468,cannabis_log!C:C,cannabis_log!K:K,"NOT FOUND",0,1))</f>
        <v/>
      </c>
      <c r="J2468" s="303"/>
      <c r="K2468" s="186" t="str">
        <f t="shared" si="176"/>
        <v/>
      </c>
      <c r="L2468" s="354" t="str">
        <f t="shared" si="175"/>
        <v/>
      </c>
      <c r="M2468" s="305"/>
      <c r="N2468" s="112" t="str">
        <f>IF(ISBLANK(E2468),"",_xlfn.XLOOKUP(E2468,cannabis_log!C:C,cannabis_log!T:T,"Not Found",0,))</f>
        <v/>
      </c>
      <c r="O2468" s="180" t="str">
        <f>IF(N2468="net",_xlfn.XLOOKUP(E2468,cannabis_log!C:C,cannabis_log!N:N,"NOT FOUND",0,1),IF(N2468="gross",0,""))</f>
        <v/>
      </c>
    </row>
    <row r="2469" spans="1:15">
      <c r="A2469" s="195" t="str">
        <f t="shared" si="174"/>
        <v/>
      </c>
      <c r="B2469" s="196"/>
      <c r="C2469" s="183"/>
      <c r="D2469" s="183"/>
      <c r="E2469" s="217"/>
      <c r="F2469" s="112" t="str">
        <f>IF(ISBLANK(E2469),"",_xlfn.XLOOKUP(E2469,cannabis_log!C:C,cannabis_log!J:J,"",0,))</f>
        <v/>
      </c>
      <c r="G2469" s="112"/>
      <c r="H2469" s="301" t="str">
        <f>IF(ISBLANK(E2469),"",_xlfn.XLOOKUP(E2469,cannabis_log!C:C,cannabis_log!H:H,"",0,1))</f>
        <v/>
      </c>
      <c r="I2469" s="113" t="str">
        <f>IF(ISBLANK(E2469),"",_xlfn.XLOOKUP(E2469,cannabis_log!C:C,cannabis_log!K:K,"NOT FOUND",0,1))</f>
        <v/>
      </c>
      <c r="J2469" s="303"/>
      <c r="K2469" s="186" t="str">
        <f t="shared" si="176"/>
        <v/>
      </c>
      <c r="L2469" s="354" t="str">
        <f t="shared" si="175"/>
        <v/>
      </c>
      <c r="M2469" s="305"/>
      <c r="N2469" s="112" t="str">
        <f>IF(ISBLANK(E2469),"",_xlfn.XLOOKUP(E2469,cannabis_log!C:C,cannabis_log!T:T,"Not Found",0,))</f>
        <v/>
      </c>
      <c r="O2469" s="180" t="str">
        <f>IF(N2469="net",_xlfn.XLOOKUP(E2469,cannabis_log!C:C,cannabis_log!N:N,"NOT FOUND",0,1),IF(N2469="gross",0,""))</f>
        <v/>
      </c>
    </row>
    <row r="2470" spans="1:15">
      <c r="A2470" s="195" t="str">
        <f t="shared" si="174"/>
        <v/>
      </c>
      <c r="B2470" s="196"/>
      <c r="C2470" s="183"/>
      <c r="D2470" s="183"/>
      <c r="E2470" s="217"/>
      <c r="F2470" s="112" t="str">
        <f>IF(ISBLANK(E2470),"",_xlfn.XLOOKUP(E2470,cannabis_log!C:C,cannabis_log!J:J,"",0,))</f>
        <v/>
      </c>
      <c r="G2470" s="112"/>
      <c r="H2470" s="301" t="str">
        <f>IF(ISBLANK(E2470),"",_xlfn.XLOOKUP(E2470,cannabis_log!C:C,cannabis_log!H:H,"",0,1))</f>
        <v/>
      </c>
      <c r="I2470" s="113" t="str">
        <f>IF(ISBLANK(E2470),"",_xlfn.XLOOKUP(E2470,cannabis_log!C:C,cannabis_log!K:K,"NOT FOUND",0,1))</f>
        <v/>
      </c>
      <c r="J2470" s="303"/>
      <c r="K2470" s="186" t="str">
        <f t="shared" si="176"/>
        <v/>
      </c>
      <c r="L2470" s="354" t="str">
        <f t="shared" si="175"/>
        <v/>
      </c>
      <c r="M2470" s="305"/>
      <c r="N2470" s="112" t="str">
        <f>IF(ISBLANK(E2470),"",_xlfn.XLOOKUP(E2470,cannabis_log!C:C,cannabis_log!T:T,"Not Found",0,))</f>
        <v/>
      </c>
      <c r="O2470" s="180" t="str">
        <f>IF(N2470="net",_xlfn.XLOOKUP(E2470,cannabis_log!C:C,cannabis_log!N:N,"NOT FOUND",0,1),IF(N2470="gross",0,""))</f>
        <v/>
      </c>
    </row>
    <row r="2471" spans="1:15">
      <c r="A2471" s="195" t="str">
        <f t="shared" si="174"/>
        <v/>
      </c>
      <c r="B2471" s="196"/>
      <c r="C2471" s="183"/>
      <c r="D2471" s="183"/>
      <c r="E2471" s="217"/>
      <c r="F2471" s="112" t="str">
        <f>IF(ISBLANK(E2471),"",_xlfn.XLOOKUP(E2471,cannabis_log!C:C,cannabis_log!J:J,"",0,))</f>
        <v/>
      </c>
      <c r="G2471" s="112"/>
      <c r="H2471" s="301" t="str">
        <f>IF(ISBLANK(E2471),"",_xlfn.XLOOKUP(E2471,cannabis_log!C:C,cannabis_log!H:H,"",0,1))</f>
        <v/>
      </c>
      <c r="I2471" s="113" t="str">
        <f>IF(ISBLANK(E2471),"",_xlfn.XLOOKUP(E2471,cannabis_log!C:C,cannabis_log!K:K,"NOT FOUND",0,1))</f>
        <v/>
      </c>
      <c r="J2471" s="303"/>
      <c r="K2471" s="186" t="str">
        <f t="shared" si="176"/>
        <v/>
      </c>
      <c r="L2471" s="354" t="str">
        <f t="shared" si="175"/>
        <v/>
      </c>
      <c r="M2471" s="305"/>
      <c r="N2471" s="112" t="str">
        <f>IF(ISBLANK(E2471),"",_xlfn.XLOOKUP(E2471,cannabis_log!C:C,cannabis_log!T:T,"Not Found",0,))</f>
        <v/>
      </c>
      <c r="O2471" s="180" t="str">
        <f>IF(N2471="net",_xlfn.XLOOKUP(E2471,cannabis_log!C:C,cannabis_log!N:N,"NOT FOUND",0,1),IF(N2471="gross",0,""))</f>
        <v/>
      </c>
    </row>
    <row r="2472" spans="1:15">
      <c r="A2472" s="195" t="str">
        <f t="shared" si="174"/>
        <v/>
      </c>
      <c r="B2472" s="196"/>
      <c r="C2472" s="183"/>
      <c r="D2472" s="183"/>
      <c r="E2472" s="217"/>
      <c r="F2472" s="112" t="str">
        <f>IF(ISBLANK(E2472),"",_xlfn.XLOOKUP(E2472,cannabis_log!C:C,cannabis_log!J:J,"",0,))</f>
        <v/>
      </c>
      <c r="G2472" s="112"/>
      <c r="H2472" s="301" t="str">
        <f>IF(ISBLANK(E2472),"",_xlfn.XLOOKUP(E2472,cannabis_log!C:C,cannabis_log!H:H,"",0,1))</f>
        <v/>
      </c>
      <c r="I2472" s="113" t="str">
        <f>IF(ISBLANK(E2472),"",_xlfn.XLOOKUP(E2472,cannabis_log!C:C,cannabis_log!K:K,"NOT FOUND",0,1))</f>
        <v/>
      </c>
      <c r="J2472" s="303"/>
      <c r="K2472" s="186" t="str">
        <f t="shared" si="176"/>
        <v/>
      </c>
      <c r="L2472" s="354" t="str">
        <f t="shared" si="175"/>
        <v/>
      </c>
      <c r="M2472" s="305"/>
      <c r="N2472" s="112" t="str">
        <f>IF(ISBLANK(E2472),"",_xlfn.XLOOKUP(E2472,cannabis_log!C:C,cannabis_log!T:T,"Not Found",0,))</f>
        <v/>
      </c>
      <c r="O2472" s="180" t="str">
        <f>IF(N2472="net",_xlfn.XLOOKUP(E2472,cannabis_log!C:C,cannabis_log!N:N,"NOT FOUND",0,1),IF(N2472="gross",0,""))</f>
        <v/>
      </c>
    </row>
    <row r="2473" spans="1:15">
      <c r="A2473" s="195" t="str">
        <f t="shared" si="174"/>
        <v/>
      </c>
      <c r="B2473" s="196"/>
      <c r="C2473" s="183"/>
      <c r="D2473" s="183"/>
      <c r="E2473" s="217"/>
      <c r="F2473" s="112" t="str">
        <f>IF(ISBLANK(E2473),"",_xlfn.XLOOKUP(E2473,cannabis_log!C:C,cannabis_log!J:J,"",0,))</f>
        <v/>
      </c>
      <c r="G2473" s="112"/>
      <c r="H2473" s="301" t="str">
        <f>IF(ISBLANK(E2473),"",_xlfn.XLOOKUP(E2473,cannabis_log!C:C,cannabis_log!H:H,"",0,1))</f>
        <v/>
      </c>
      <c r="I2473" s="113" t="str">
        <f>IF(ISBLANK(E2473),"",_xlfn.XLOOKUP(E2473,cannabis_log!C:C,cannabis_log!K:K,"NOT FOUND",0,1))</f>
        <v/>
      </c>
      <c r="J2473" s="303"/>
      <c r="K2473" s="186" t="str">
        <f t="shared" si="176"/>
        <v/>
      </c>
      <c r="L2473" s="354" t="str">
        <f t="shared" si="175"/>
        <v/>
      </c>
      <c r="M2473" s="305"/>
      <c r="N2473" s="112" t="str">
        <f>IF(ISBLANK(E2473),"",_xlfn.XLOOKUP(E2473,cannabis_log!C:C,cannabis_log!T:T,"Not Found",0,))</f>
        <v/>
      </c>
      <c r="O2473" s="180" t="str">
        <f>IF(N2473="net",_xlfn.XLOOKUP(E2473,cannabis_log!C:C,cannabis_log!N:N,"NOT FOUND",0,1),IF(N2473="gross",0,""))</f>
        <v/>
      </c>
    </row>
    <row r="2474" spans="1:15">
      <c r="A2474" s="195" t="str">
        <f t="shared" si="174"/>
        <v/>
      </c>
      <c r="B2474" s="196"/>
      <c r="C2474" s="183"/>
      <c r="D2474" s="183"/>
      <c r="E2474" s="217"/>
      <c r="F2474" s="112" t="str">
        <f>IF(ISBLANK(E2474),"",_xlfn.XLOOKUP(E2474,cannabis_log!C:C,cannabis_log!J:J,"",0,))</f>
        <v/>
      </c>
      <c r="G2474" s="112"/>
      <c r="H2474" s="301" t="str">
        <f>IF(ISBLANK(E2474),"",_xlfn.XLOOKUP(E2474,cannabis_log!C:C,cannabis_log!H:H,"",0,1))</f>
        <v/>
      </c>
      <c r="I2474" s="113" t="str">
        <f>IF(ISBLANK(E2474),"",_xlfn.XLOOKUP(E2474,cannabis_log!C:C,cannabis_log!K:K,"NOT FOUND",0,1))</f>
        <v/>
      </c>
      <c r="J2474" s="303"/>
      <c r="K2474" s="186" t="str">
        <f t="shared" si="176"/>
        <v/>
      </c>
      <c r="L2474" s="354" t="str">
        <f t="shared" si="175"/>
        <v/>
      </c>
      <c r="M2474" s="305"/>
      <c r="N2474" s="112" t="str">
        <f>IF(ISBLANK(E2474),"",_xlfn.XLOOKUP(E2474,cannabis_log!C:C,cannabis_log!T:T,"Not Found",0,))</f>
        <v/>
      </c>
      <c r="O2474" s="180" t="str">
        <f>IF(N2474="net",_xlfn.XLOOKUP(E2474,cannabis_log!C:C,cannabis_log!N:N,"NOT FOUND",0,1),IF(N2474="gross",0,""))</f>
        <v/>
      </c>
    </row>
    <row r="2475" spans="1:15">
      <c r="A2475" s="195" t="str">
        <f t="shared" si="174"/>
        <v/>
      </c>
      <c r="B2475" s="196"/>
      <c r="C2475" s="183"/>
      <c r="D2475" s="183"/>
      <c r="E2475" s="217"/>
      <c r="F2475" s="112" t="str">
        <f>IF(ISBLANK(E2475),"",_xlfn.XLOOKUP(E2475,cannabis_log!C:C,cannabis_log!J:J,"",0,))</f>
        <v/>
      </c>
      <c r="G2475" s="112"/>
      <c r="H2475" s="301" t="str">
        <f>IF(ISBLANK(E2475),"",_xlfn.XLOOKUP(E2475,cannabis_log!C:C,cannabis_log!H:H,"",0,1))</f>
        <v/>
      </c>
      <c r="I2475" s="113" t="str">
        <f>IF(ISBLANK(E2475),"",_xlfn.XLOOKUP(E2475,cannabis_log!C:C,cannabis_log!K:K,"NOT FOUND",0,1))</f>
        <v/>
      </c>
      <c r="J2475" s="303"/>
      <c r="K2475" s="186" t="str">
        <f t="shared" si="176"/>
        <v/>
      </c>
      <c r="L2475" s="354" t="str">
        <f t="shared" si="175"/>
        <v/>
      </c>
      <c r="M2475" s="305"/>
      <c r="N2475" s="112" t="str">
        <f>IF(ISBLANK(E2475),"",_xlfn.XLOOKUP(E2475,cannabis_log!C:C,cannabis_log!T:T,"Not Found",0,))</f>
        <v/>
      </c>
      <c r="O2475" s="180" t="str">
        <f>IF(N2475="net",_xlfn.XLOOKUP(E2475,cannabis_log!C:C,cannabis_log!N:N,"NOT FOUND",0,1),IF(N2475="gross",0,""))</f>
        <v/>
      </c>
    </row>
    <row r="2476" spans="1:15">
      <c r="A2476" s="195" t="str">
        <f t="shared" si="174"/>
        <v/>
      </c>
      <c r="B2476" s="196"/>
      <c r="C2476" s="183"/>
      <c r="D2476" s="183"/>
      <c r="E2476" s="217"/>
      <c r="F2476" s="112" t="str">
        <f>IF(ISBLANK(E2476),"",_xlfn.XLOOKUP(E2476,cannabis_log!C:C,cannabis_log!J:J,"",0,))</f>
        <v/>
      </c>
      <c r="G2476" s="112"/>
      <c r="H2476" s="301" t="str">
        <f>IF(ISBLANK(E2476),"",_xlfn.XLOOKUP(E2476,cannabis_log!C:C,cannabis_log!H:H,"",0,1))</f>
        <v/>
      </c>
      <c r="I2476" s="113" t="str">
        <f>IF(ISBLANK(E2476),"",_xlfn.XLOOKUP(E2476,cannabis_log!C:C,cannabis_log!K:K,"NOT FOUND",0,1))</f>
        <v/>
      </c>
      <c r="J2476" s="303"/>
      <c r="K2476" s="186" t="str">
        <f t="shared" si="176"/>
        <v/>
      </c>
      <c r="L2476" s="354" t="str">
        <f t="shared" si="175"/>
        <v/>
      </c>
      <c r="M2476" s="305"/>
      <c r="N2476" s="112" t="str">
        <f>IF(ISBLANK(E2476),"",_xlfn.XLOOKUP(E2476,cannabis_log!C:C,cannabis_log!T:T,"Not Found",0,))</f>
        <v/>
      </c>
      <c r="O2476" s="180" t="str">
        <f>IF(N2476="net",_xlfn.XLOOKUP(E2476,cannabis_log!C:C,cannabis_log!N:N,"NOT FOUND",0,1),IF(N2476="gross",0,""))</f>
        <v/>
      </c>
    </row>
    <row r="2477" spans="1:15">
      <c r="A2477" s="195" t="str">
        <f t="shared" si="174"/>
        <v/>
      </c>
      <c r="B2477" s="196"/>
      <c r="C2477" s="183"/>
      <c r="D2477" s="183"/>
      <c r="E2477" s="217"/>
      <c r="F2477" s="112" t="str">
        <f>IF(ISBLANK(E2477),"",_xlfn.XLOOKUP(E2477,cannabis_log!C:C,cannabis_log!J:J,"",0,))</f>
        <v/>
      </c>
      <c r="G2477" s="112"/>
      <c r="H2477" s="301" t="str">
        <f>IF(ISBLANK(E2477),"",_xlfn.XLOOKUP(E2477,cannabis_log!C:C,cannabis_log!H:H,"",0,1))</f>
        <v/>
      </c>
      <c r="I2477" s="113" t="str">
        <f>IF(ISBLANK(E2477),"",_xlfn.XLOOKUP(E2477,cannabis_log!C:C,cannabis_log!K:K,"NOT FOUND",0,1))</f>
        <v/>
      </c>
      <c r="J2477" s="303"/>
      <c r="K2477" s="186" t="str">
        <f t="shared" si="176"/>
        <v/>
      </c>
      <c r="L2477" s="354" t="str">
        <f t="shared" si="175"/>
        <v/>
      </c>
      <c r="M2477" s="305"/>
      <c r="N2477" s="112" t="str">
        <f>IF(ISBLANK(E2477),"",_xlfn.XLOOKUP(E2477,cannabis_log!C:C,cannabis_log!T:T,"Not Found",0,))</f>
        <v/>
      </c>
      <c r="O2477" s="180" t="str">
        <f>IF(N2477="net",_xlfn.XLOOKUP(E2477,cannabis_log!C:C,cannabis_log!N:N,"NOT FOUND",0,1),IF(N2477="gross",0,""))</f>
        <v/>
      </c>
    </row>
    <row r="2478" spans="1:15">
      <c r="A2478" s="195" t="str">
        <f t="shared" si="174"/>
        <v/>
      </c>
      <c r="B2478" s="196"/>
      <c r="C2478" s="183"/>
      <c r="D2478" s="183"/>
      <c r="E2478" s="217"/>
      <c r="F2478" s="112" t="str">
        <f>IF(ISBLANK(E2478),"",_xlfn.XLOOKUP(E2478,cannabis_log!C:C,cannabis_log!J:J,"",0,))</f>
        <v/>
      </c>
      <c r="G2478" s="112"/>
      <c r="H2478" s="301" t="str">
        <f>IF(ISBLANK(E2478),"",_xlfn.XLOOKUP(E2478,cannabis_log!C:C,cannabis_log!H:H,"",0,1))</f>
        <v/>
      </c>
      <c r="I2478" s="113" t="str">
        <f>IF(ISBLANK(E2478),"",_xlfn.XLOOKUP(E2478,cannabis_log!C:C,cannabis_log!K:K,"NOT FOUND",0,1))</f>
        <v/>
      </c>
      <c r="J2478" s="303"/>
      <c r="K2478" s="186" t="str">
        <f t="shared" si="176"/>
        <v/>
      </c>
      <c r="L2478" s="354" t="str">
        <f t="shared" si="175"/>
        <v/>
      </c>
      <c r="M2478" s="305"/>
      <c r="N2478" s="112" t="str">
        <f>IF(ISBLANK(E2478),"",_xlfn.XLOOKUP(E2478,cannabis_log!C:C,cannabis_log!T:T,"Not Found",0,))</f>
        <v/>
      </c>
      <c r="O2478" s="180" t="str">
        <f>IF(N2478="net",_xlfn.XLOOKUP(E2478,cannabis_log!C:C,cannabis_log!N:N,"NOT FOUND",0,1),IF(N2478="gross",0,""))</f>
        <v/>
      </c>
    </row>
    <row r="2479" spans="1:15">
      <c r="A2479" s="195" t="str">
        <f t="shared" si="174"/>
        <v/>
      </c>
      <c r="B2479" s="196"/>
      <c r="C2479" s="183"/>
      <c r="D2479" s="183"/>
      <c r="E2479" s="217"/>
      <c r="F2479" s="112" t="str">
        <f>IF(ISBLANK(E2479),"",_xlfn.XLOOKUP(E2479,cannabis_log!C:C,cannabis_log!J:J,"",0,))</f>
        <v/>
      </c>
      <c r="G2479" s="112"/>
      <c r="H2479" s="301" t="str">
        <f>IF(ISBLANK(E2479),"",_xlfn.XLOOKUP(E2479,cannabis_log!C:C,cannabis_log!H:H,"",0,1))</f>
        <v/>
      </c>
      <c r="I2479" s="113" t="str">
        <f>IF(ISBLANK(E2479),"",_xlfn.XLOOKUP(E2479,cannabis_log!C:C,cannabis_log!K:K,"NOT FOUND",0,1))</f>
        <v/>
      </c>
      <c r="J2479" s="303"/>
      <c r="K2479" s="186" t="str">
        <f t="shared" si="176"/>
        <v/>
      </c>
      <c r="L2479" s="354" t="str">
        <f t="shared" si="175"/>
        <v/>
      </c>
      <c r="M2479" s="305"/>
      <c r="N2479" s="112" t="str">
        <f>IF(ISBLANK(E2479),"",_xlfn.XLOOKUP(E2479,cannabis_log!C:C,cannabis_log!T:T,"Not Found",0,))</f>
        <v/>
      </c>
      <c r="O2479" s="180" t="str">
        <f>IF(N2479="net",_xlfn.XLOOKUP(E2479,cannabis_log!C:C,cannabis_log!N:N,"NOT FOUND",0,1),IF(N2479="gross",0,""))</f>
        <v/>
      </c>
    </row>
    <row r="2480" spans="1:15">
      <c r="A2480" s="195" t="str">
        <f t="shared" si="174"/>
        <v/>
      </c>
      <c r="B2480" s="196"/>
      <c r="C2480" s="183"/>
      <c r="D2480" s="183"/>
      <c r="E2480" s="217"/>
      <c r="F2480" s="112" t="str">
        <f>IF(ISBLANK(E2480),"",_xlfn.XLOOKUP(E2480,cannabis_log!C:C,cannabis_log!J:J,"",0,))</f>
        <v/>
      </c>
      <c r="G2480" s="112"/>
      <c r="H2480" s="301" t="str">
        <f>IF(ISBLANK(E2480),"",_xlfn.XLOOKUP(E2480,cannabis_log!C:C,cannabis_log!H:H,"",0,1))</f>
        <v/>
      </c>
      <c r="I2480" s="113" t="str">
        <f>IF(ISBLANK(E2480),"",_xlfn.XLOOKUP(E2480,cannabis_log!C:C,cannabis_log!K:K,"NOT FOUND",0,1))</f>
        <v/>
      </c>
      <c r="J2480" s="303"/>
      <c r="K2480" s="186" t="str">
        <f t="shared" si="176"/>
        <v/>
      </c>
      <c r="L2480" s="354" t="str">
        <f t="shared" si="175"/>
        <v/>
      </c>
      <c r="M2480" s="305"/>
      <c r="N2480" s="112" t="str">
        <f>IF(ISBLANK(E2480),"",_xlfn.XLOOKUP(E2480,cannabis_log!C:C,cannabis_log!T:T,"Not Found",0,))</f>
        <v/>
      </c>
      <c r="O2480" s="180" t="str">
        <f>IF(N2480="net",_xlfn.XLOOKUP(E2480,cannabis_log!C:C,cannabis_log!N:N,"NOT FOUND",0,1),IF(N2480="gross",0,""))</f>
        <v/>
      </c>
    </row>
    <row r="2481" spans="1:15">
      <c r="A2481" s="195" t="str">
        <f t="shared" si="174"/>
        <v/>
      </c>
      <c r="B2481" s="196"/>
      <c r="C2481" s="183"/>
      <c r="D2481" s="183"/>
      <c r="E2481" s="217"/>
      <c r="F2481" s="112" t="str">
        <f>IF(ISBLANK(E2481),"",_xlfn.XLOOKUP(E2481,cannabis_log!C:C,cannabis_log!J:J,"",0,))</f>
        <v/>
      </c>
      <c r="G2481" s="112"/>
      <c r="H2481" s="301" t="str">
        <f>IF(ISBLANK(E2481),"",_xlfn.XLOOKUP(E2481,cannabis_log!C:C,cannabis_log!H:H,"",0,1))</f>
        <v/>
      </c>
      <c r="I2481" s="113" t="str">
        <f>IF(ISBLANK(E2481),"",_xlfn.XLOOKUP(E2481,cannabis_log!C:C,cannabis_log!K:K,"NOT FOUND",0,1))</f>
        <v/>
      </c>
      <c r="J2481" s="303"/>
      <c r="K2481" s="186" t="str">
        <f t="shared" si="176"/>
        <v/>
      </c>
      <c r="L2481" s="354" t="str">
        <f t="shared" si="175"/>
        <v/>
      </c>
      <c r="M2481" s="305"/>
      <c r="N2481" s="112" t="str">
        <f>IF(ISBLANK(E2481),"",_xlfn.XLOOKUP(E2481,cannabis_log!C:C,cannabis_log!T:T,"Not Found",0,))</f>
        <v/>
      </c>
      <c r="O2481" s="180" t="str">
        <f>IF(N2481="net",_xlfn.XLOOKUP(E2481,cannabis_log!C:C,cannabis_log!N:N,"NOT FOUND",0,1),IF(N2481="gross",0,""))</f>
        <v/>
      </c>
    </row>
    <row r="2482" spans="1:15">
      <c r="A2482" s="195" t="str">
        <f t="shared" si="174"/>
        <v/>
      </c>
      <c r="B2482" s="196"/>
      <c r="C2482" s="183"/>
      <c r="D2482" s="183"/>
      <c r="E2482" s="217"/>
      <c r="F2482" s="112" t="str">
        <f>IF(ISBLANK(E2482),"",_xlfn.XLOOKUP(E2482,cannabis_log!C:C,cannabis_log!J:J,"",0,))</f>
        <v/>
      </c>
      <c r="G2482" s="112"/>
      <c r="H2482" s="301" t="str">
        <f>IF(ISBLANK(E2482),"",_xlfn.XLOOKUP(E2482,cannabis_log!C:C,cannabis_log!H:H,"",0,1))</f>
        <v/>
      </c>
      <c r="I2482" s="113" t="str">
        <f>IF(ISBLANK(E2482),"",_xlfn.XLOOKUP(E2482,cannabis_log!C:C,cannabis_log!K:K,"NOT FOUND",0,1))</f>
        <v/>
      </c>
      <c r="J2482" s="303"/>
      <c r="K2482" s="186" t="str">
        <f t="shared" si="176"/>
        <v/>
      </c>
      <c r="L2482" s="354" t="str">
        <f t="shared" si="175"/>
        <v/>
      </c>
      <c r="M2482" s="305"/>
      <c r="N2482" s="112" t="str">
        <f>IF(ISBLANK(E2482),"",_xlfn.XLOOKUP(E2482,cannabis_log!C:C,cannabis_log!T:T,"Not Found",0,))</f>
        <v/>
      </c>
      <c r="O2482" s="180" t="str">
        <f>IF(N2482="net",_xlfn.XLOOKUP(E2482,cannabis_log!C:C,cannabis_log!N:N,"NOT FOUND",0,1),IF(N2482="gross",0,""))</f>
        <v/>
      </c>
    </row>
    <row r="2483" spans="1:15">
      <c r="A2483" s="195" t="str">
        <f t="shared" si="174"/>
        <v/>
      </c>
      <c r="B2483" s="196"/>
      <c r="C2483" s="183"/>
      <c r="D2483" s="183"/>
      <c r="E2483" s="217"/>
      <c r="F2483" s="112" t="str">
        <f>IF(ISBLANK(E2483),"",_xlfn.XLOOKUP(E2483,cannabis_log!C:C,cannabis_log!J:J,"",0,))</f>
        <v/>
      </c>
      <c r="G2483" s="112"/>
      <c r="H2483" s="301" t="str">
        <f>IF(ISBLANK(E2483),"",_xlfn.XLOOKUP(E2483,cannabis_log!C:C,cannabis_log!H:H,"",0,1))</f>
        <v/>
      </c>
      <c r="I2483" s="113" t="str">
        <f>IF(ISBLANK(E2483),"",_xlfn.XLOOKUP(E2483,cannabis_log!C:C,cannabis_log!K:K,"NOT FOUND",0,1))</f>
        <v/>
      </c>
      <c r="J2483" s="303"/>
      <c r="K2483" s="186" t="str">
        <f t="shared" si="176"/>
        <v/>
      </c>
      <c r="L2483" s="354" t="str">
        <f t="shared" si="175"/>
        <v/>
      </c>
      <c r="M2483" s="305"/>
      <c r="N2483" s="112" t="str">
        <f>IF(ISBLANK(E2483),"",_xlfn.XLOOKUP(E2483,cannabis_log!C:C,cannabis_log!T:T,"Not Found",0,))</f>
        <v/>
      </c>
      <c r="O2483" s="180" t="str">
        <f>IF(N2483="net",_xlfn.XLOOKUP(E2483,cannabis_log!C:C,cannabis_log!N:N,"NOT FOUND",0,1),IF(N2483="gross",0,""))</f>
        <v/>
      </c>
    </row>
    <row r="2484" spans="1:15">
      <c r="A2484" s="195" t="str">
        <f t="shared" si="174"/>
        <v/>
      </c>
      <c r="B2484" s="196"/>
      <c r="C2484" s="183"/>
      <c r="D2484" s="183"/>
      <c r="E2484" s="217"/>
      <c r="F2484" s="112" t="str">
        <f>IF(ISBLANK(E2484),"",_xlfn.XLOOKUP(E2484,cannabis_log!C:C,cannabis_log!J:J,"",0,))</f>
        <v/>
      </c>
      <c r="G2484" s="112"/>
      <c r="H2484" s="301" t="str">
        <f>IF(ISBLANK(E2484),"",_xlfn.XLOOKUP(E2484,cannabis_log!C:C,cannabis_log!H:H,"",0,1))</f>
        <v/>
      </c>
      <c r="I2484" s="113" t="str">
        <f>IF(ISBLANK(E2484),"",_xlfn.XLOOKUP(E2484,cannabis_log!C:C,cannabis_log!K:K,"NOT FOUND",0,1))</f>
        <v/>
      </c>
      <c r="J2484" s="303"/>
      <c r="K2484" s="186" t="str">
        <f t="shared" si="176"/>
        <v/>
      </c>
      <c r="L2484" s="354" t="str">
        <f t="shared" si="175"/>
        <v/>
      </c>
      <c r="M2484" s="305"/>
      <c r="N2484" s="112" t="str">
        <f>IF(ISBLANK(E2484),"",_xlfn.XLOOKUP(E2484,cannabis_log!C:C,cannabis_log!T:T,"Not Found",0,))</f>
        <v/>
      </c>
      <c r="O2484" s="180" t="str">
        <f>IF(N2484="net",_xlfn.XLOOKUP(E2484,cannabis_log!C:C,cannabis_log!N:N,"NOT FOUND",0,1),IF(N2484="gross",0,""))</f>
        <v/>
      </c>
    </row>
    <row r="2485" spans="1:15">
      <c r="A2485" s="195" t="str">
        <f t="shared" si="174"/>
        <v/>
      </c>
      <c r="B2485" s="196"/>
      <c r="C2485" s="183"/>
      <c r="D2485" s="183"/>
      <c r="E2485" s="217"/>
      <c r="F2485" s="112" t="str">
        <f>IF(ISBLANK(E2485),"",_xlfn.XLOOKUP(E2485,cannabis_log!C:C,cannabis_log!J:J,"",0,))</f>
        <v/>
      </c>
      <c r="G2485" s="112"/>
      <c r="H2485" s="301" t="str">
        <f>IF(ISBLANK(E2485),"",_xlfn.XLOOKUP(E2485,cannabis_log!C:C,cannabis_log!H:H,"",0,1))</f>
        <v/>
      </c>
      <c r="I2485" s="113" t="str">
        <f>IF(ISBLANK(E2485),"",_xlfn.XLOOKUP(E2485,cannabis_log!C:C,cannabis_log!K:K,"NOT FOUND",0,1))</f>
        <v/>
      </c>
      <c r="J2485" s="303"/>
      <c r="K2485" s="186" t="str">
        <f t="shared" si="176"/>
        <v/>
      </c>
      <c r="L2485" s="354" t="str">
        <f t="shared" si="175"/>
        <v/>
      </c>
      <c r="M2485" s="305"/>
      <c r="N2485" s="112" t="str">
        <f>IF(ISBLANK(E2485),"",_xlfn.XLOOKUP(E2485,cannabis_log!C:C,cannabis_log!T:T,"Not Found",0,))</f>
        <v/>
      </c>
      <c r="O2485" s="180" t="str">
        <f>IF(N2485="net",_xlfn.XLOOKUP(E2485,cannabis_log!C:C,cannabis_log!N:N,"NOT FOUND",0,1),IF(N2485="gross",0,""))</f>
        <v/>
      </c>
    </row>
    <row r="2486" spans="1:15">
      <c r="A2486" s="195" t="str">
        <f t="shared" si="174"/>
        <v/>
      </c>
      <c r="B2486" s="196"/>
      <c r="C2486" s="183"/>
      <c r="D2486" s="183"/>
      <c r="E2486" s="217"/>
      <c r="F2486" s="112" t="str">
        <f>IF(ISBLANK(E2486),"",_xlfn.XLOOKUP(E2486,cannabis_log!C:C,cannabis_log!J:J,"",0,))</f>
        <v/>
      </c>
      <c r="G2486" s="112"/>
      <c r="H2486" s="301" t="str">
        <f>IF(ISBLANK(E2486),"",_xlfn.XLOOKUP(E2486,cannabis_log!C:C,cannabis_log!H:H,"",0,1))</f>
        <v/>
      </c>
      <c r="I2486" s="113" t="str">
        <f>IF(ISBLANK(E2486),"",_xlfn.XLOOKUP(E2486,cannabis_log!C:C,cannabis_log!K:K,"NOT FOUND",0,1))</f>
        <v/>
      </c>
      <c r="J2486" s="303"/>
      <c r="K2486" s="186" t="str">
        <f t="shared" si="176"/>
        <v/>
      </c>
      <c r="L2486" s="354" t="str">
        <f t="shared" si="175"/>
        <v/>
      </c>
      <c r="M2486" s="305"/>
      <c r="N2486" s="112" t="str">
        <f>IF(ISBLANK(E2486),"",_xlfn.XLOOKUP(E2486,cannabis_log!C:C,cannabis_log!T:T,"Not Found",0,))</f>
        <v/>
      </c>
      <c r="O2486" s="180" t="str">
        <f>IF(N2486="net",_xlfn.XLOOKUP(E2486,cannabis_log!C:C,cannabis_log!N:N,"NOT FOUND",0,1),IF(N2486="gross",0,""))</f>
        <v/>
      </c>
    </row>
    <row r="2487" spans="1:15">
      <c r="A2487" s="195" t="str">
        <f t="shared" si="174"/>
        <v/>
      </c>
      <c r="B2487" s="196"/>
      <c r="C2487" s="183"/>
      <c r="D2487" s="183"/>
      <c r="E2487" s="217"/>
      <c r="F2487" s="112" t="str">
        <f>IF(ISBLANK(E2487),"",_xlfn.XLOOKUP(E2487,cannabis_log!C:C,cannabis_log!J:J,"",0,))</f>
        <v/>
      </c>
      <c r="G2487" s="112"/>
      <c r="H2487" s="301" t="str">
        <f>IF(ISBLANK(E2487),"",_xlfn.XLOOKUP(E2487,cannabis_log!C:C,cannabis_log!H:H,"",0,1))</f>
        <v/>
      </c>
      <c r="I2487" s="113" t="str">
        <f>IF(ISBLANK(E2487),"",_xlfn.XLOOKUP(E2487,cannabis_log!C:C,cannabis_log!K:K,"NOT FOUND",0,1))</f>
        <v/>
      </c>
      <c r="J2487" s="303"/>
      <c r="K2487" s="186" t="str">
        <f t="shared" si="176"/>
        <v/>
      </c>
      <c r="L2487" s="354" t="str">
        <f t="shared" si="175"/>
        <v/>
      </c>
      <c r="M2487" s="305"/>
      <c r="N2487" s="112" t="str">
        <f>IF(ISBLANK(E2487),"",_xlfn.XLOOKUP(E2487,cannabis_log!C:C,cannabis_log!T:T,"Not Found",0,))</f>
        <v/>
      </c>
      <c r="O2487" s="180" t="str">
        <f>IF(N2487="net",_xlfn.XLOOKUP(E2487,cannabis_log!C:C,cannabis_log!N:N,"NOT FOUND",0,1),IF(N2487="gross",0,""))</f>
        <v/>
      </c>
    </row>
    <row r="2488" spans="1:15">
      <c r="A2488" s="195" t="str">
        <f t="shared" si="174"/>
        <v/>
      </c>
      <c r="B2488" s="196"/>
      <c r="C2488" s="183"/>
      <c r="D2488" s="183"/>
      <c r="E2488" s="217"/>
      <c r="F2488" s="112" t="str">
        <f>IF(ISBLANK(E2488),"",_xlfn.XLOOKUP(E2488,cannabis_log!C:C,cannabis_log!J:J,"",0,))</f>
        <v/>
      </c>
      <c r="G2488" s="112"/>
      <c r="H2488" s="301" t="str">
        <f>IF(ISBLANK(E2488),"",_xlfn.XLOOKUP(E2488,cannabis_log!C:C,cannabis_log!H:H,"",0,1))</f>
        <v/>
      </c>
      <c r="I2488" s="113" t="str">
        <f>IF(ISBLANK(E2488),"",_xlfn.XLOOKUP(E2488,cannabis_log!C:C,cannabis_log!K:K,"NOT FOUND",0,1))</f>
        <v/>
      </c>
      <c r="J2488" s="303"/>
      <c r="K2488" s="186" t="str">
        <f t="shared" si="176"/>
        <v/>
      </c>
      <c r="L2488" s="354" t="str">
        <f t="shared" si="175"/>
        <v/>
      </c>
      <c r="M2488" s="305"/>
      <c r="N2488" s="112" t="str">
        <f>IF(ISBLANK(E2488),"",_xlfn.XLOOKUP(E2488,cannabis_log!C:C,cannabis_log!T:T,"Not Found",0,))</f>
        <v/>
      </c>
      <c r="O2488" s="180" t="str">
        <f>IF(N2488="net",_xlfn.XLOOKUP(E2488,cannabis_log!C:C,cannabis_log!N:N,"NOT FOUND",0,1),IF(N2488="gross",0,""))</f>
        <v/>
      </c>
    </row>
    <row r="2489" spans="1:15">
      <c r="A2489" s="195" t="str">
        <f t="shared" si="174"/>
        <v/>
      </c>
      <c r="B2489" s="196"/>
      <c r="C2489" s="183"/>
      <c r="D2489" s="183"/>
      <c r="E2489" s="217"/>
      <c r="F2489" s="112" t="str">
        <f>IF(ISBLANK(E2489),"",_xlfn.XLOOKUP(E2489,cannabis_log!C:C,cannabis_log!J:J,"",0,))</f>
        <v/>
      </c>
      <c r="G2489" s="112"/>
      <c r="H2489" s="301" t="str">
        <f>IF(ISBLANK(E2489),"",_xlfn.XLOOKUP(E2489,cannabis_log!C:C,cannabis_log!H:H,"",0,1))</f>
        <v/>
      </c>
      <c r="I2489" s="113" t="str">
        <f>IF(ISBLANK(E2489),"",_xlfn.XLOOKUP(E2489,cannabis_log!C:C,cannabis_log!K:K,"NOT FOUND",0,1))</f>
        <v/>
      </c>
      <c r="J2489" s="303"/>
      <c r="K2489" s="186" t="str">
        <f t="shared" si="176"/>
        <v/>
      </c>
      <c r="L2489" s="354" t="str">
        <f t="shared" si="175"/>
        <v/>
      </c>
      <c r="M2489" s="305"/>
      <c r="N2489" s="112" t="str">
        <f>IF(ISBLANK(E2489),"",_xlfn.XLOOKUP(E2489,cannabis_log!C:C,cannabis_log!T:T,"Not Found",0,))</f>
        <v/>
      </c>
      <c r="O2489" s="180" t="str">
        <f>IF(N2489="net",_xlfn.XLOOKUP(E2489,cannabis_log!C:C,cannabis_log!N:N,"NOT FOUND",0,1),IF(N2489="gross",0,""))</f>
        <v/>
      </c>
    </row>
    <row r="2490" spans="1:15">
      <c r="A2490" s="195" t="str">
        <f t="shared" si="174"/>
        <v/>
      </c>
      <c r="B2490" s="196"/>
      <c r="C2490" s="183"/>
      <c r="D2490" s="183"/>
      <c r="E2490" s="217"/>
      <c r="F2490" s="112" t="str">
        <f>IF(ISBLANK(E2490),"",_xlfn.XLOOKUP(E2490,cannabis_log!C:C,cannabis_log!J:J,"",0,))</f>
        <v/>
      </c>
      <c r="G2490" s="112"/>
      <c r="H2490" s="301" t="str">
        <f>IF(ISBLANK(E2490),"",_xlfn.XLOOKUP(E2490,cannabis_log!C:C,cannabis_log!H:H,"",0,1))</f>
        <v/>
      </c>
      <c r="I2490" s="113" t="str">
        <f>IF(ISBLANK(E2490),"",_xlfn.XLOOKUP(E2490,cannabis_log!C:C,cannabis_log!K:K,"NOT FOUND",0,1))</f>
        <v/>
      </c>
      <c r="J2490" s="303"/>
      <c r="K2490" s="186" t="str">
        <f t="shared" si="176"/>
        <v/>
      </c>
      <c r="L2490" s="354" t="str">
        <f t="shared" si="175"/>
        <v/>
      </c>
      <c r="M2490" s="305"/>
      <c r="N2490" s="112" t="str">
        <f>IF(ISBLANK(E2490),"",_xlfn.XLOOKUP(E2490,cannabis_log!C:C,cannabis_log!T:T,"Not Found",0,))</f>
        <v/>
      </c>
      <c r="O2490" s="180" t="str">
        <f>IF(N2490="net",_xlfn.XLOOKUP(E2490,cannabis_log!C:C,cannabis_log!N:N,"NOT FOUND",0,1),IF(N2490="gross",0,""))</f>
        <v/>
      </c>
    </row>
    <row r="2491" spans="1:15">
      <c r="A2491" s="195" t="str">
        <f t="shared" si="174"/>
        <v/>
      </c>
      <c r="B2491" s="196"/>
      <c r="C2491" s="183"/>
      <c r="D2491" s="183"/>
      <c r="E2491" s="217"/>
      <c r="F2491" s="112" t="str">
        <f>IF(ISBLANK(E2491),"",_xlfn.XLOOKUP(E2491,cannabis_log!C:C,cannabis_log!J:J,"",0,))</f>
        <v/>
      </c>
      <c r="G2491" s="112"/>
      <c r="H2491" s="301" t="str">
        <f>IF(ISBLANK(E2491),"",_xlfn.XLOOKUP(E2491,cannabis_log!C:C,cannabis_log!H:H,"",0,1))</f>
        <v/>
      </c>
      <c r="I2491" s="113" t="str">
        <f>IF(ISBLANK(E2491),"",_xlfn.XLOOKUP(E2491,cannabis_log!C:C,cannabis_log!K:K,"NOT FOUND",0,1))</f>
        <v/>
      </c>
      <c r="J2491" s="303"/>
      <c r="K2491" s="186" t="str">
        <f t="shared" si="176"/>
        <v/>
      </c>
      <c r="L2491" s="354" t="str">
        <f t="shared" si="175"/>
        <v/>
      </c>
      <c r="M2491" s="305"/>
      <c r="N2491" s="112" t="str">
        <f>IF(ISBLANK(E2491),"",_xlfn.XLOOKUP(E2491,cannabis_log!C:C,cannabis_log!T:T,"Not Found",0,))</f>
        <v/>
      </c>
      <c r="O2491" s="180" t="str">
        <f>IF(N2491="net",_xlfn.XLOOKUP(E2491,cannabis_log!C:C,cannabis_log!N:N,"NOT FOUND",0,1),IF(N2491="gross",0,""))</f>
        <v/>
      </c>
    </row>
    <row r="2492" spans="1:15">
      <c r="A2492" s="195" t="str">
        <f t="shared" si="174"/>
        <v/>
      </c>
      <c r="B2492" s="196"/>
      <c r="C2492" s="183"/>
      <c r="D2492" s="183"/>
      <c r="E2492" s="217"/>
      <c r="F2492" s="112" t="str">
        <f>IF(ISBLANK(E2492),"",_xlfn.XLOOKUP(E2492,cannabis_log!C:C,cannabis_log!J:J,"",0,))</f>
        <v/>
      </c>
      <c r="G2492" s="112"/>
      <c r="H2492" s="301" t="str">
        <f>IF(ISBLANK(E2492),"",_xlfn.XLOOKUP(E2492,cannabis_log!C:C,cannabis_log!H:H,"",0,1))</f>
        <v/>
      </c>
      <c r="I2492" s="113" t="str">
        <f>IF(ISBLANK(E2492),"",_xlfn.XLOOKUP(E2492,cannabis_log!C:C,cannabis_log!K:K,"NOT FOUND",0,1))</f>
        <v/>
      </c>
      <c r="J2492" s="303"/>
      <c r="K2492" s="186" t="str">
        <f t="shared" si="176"/>
        <v/>
      </c>
      <c r="L2492" s="354" t="str">
        <f t="shared" si="175"/>
        <v/>
      </c>
      <c r="M2492" s="305"/>
      <c r="N2492" s="112" t="str">
        <f>IF(ISBLANK(E2492),"",_xlfn.XLOOKUP(E2492,cannabis_log!C:C,cannabis_log!T:T,"Not Found",0,))</f>
        <v/>
      </c>
      <c r="O2492" s="180" t="str">
        <f>IF(N2492="net",_xlfn.XLOOKUP(E2492,cannabis_log!C:C,cannabis_log!N:N,"NOT FOUND",0,1),IF(N2492="gross",0,""))</f>
        <v/>
      </c>
    </row>
    <row r="2493" spans="1:15">
      <c r="A2493" s="195" t="str">
        <f t="shared" si="174"/>
        <v/>
      </c>
      <c r="B2493" s="196"/>
      <c r="C2493" s="183"/>
      <c r="D2493" s="183"/>
      <c r="E2493" s="217"/>
      <c r="F2493" s="112" t="str">
        <f>IF(ISBLANK(E2493),"",_xlfn.XLOOKUP(E2493,cannabis_log!C:C,cannabis_log!J:J,"",0,))</f>
        <v/>
      </c>
      <c r="G2493" s="112"/>
      <c r="H2493" s="301" t="str">
        <f>IF(ISBLANK(E2493),"",_xlfn.XLOOKUP(E2493,cannabis_log!C:C,cannabis_log!H:H,"",0,1))</f>
        <v/>
      </c>
      <c r="I2493" s="113" t="str">
        <f>IF(ISBLANK(E2493),"",_xlfn.XLOOKUP(E2493,cannabis_log!C:C,cannabis_log!K:K,"NOT FOUND",0,1))</f>
        <v/>
      </c>
      <c r="J2493" s="303"/>
      <c r="K2493" s="186" t="str">
        <f t="shared" si="176"/>
        <v/>
      </c>
      <c r="L2493" s="354" t="str">
        <f t="shared" si="175"/>
        <v/>
      </c>
      <c r="M2493" s="305"/>
      <c r="N2493" s="112" t="str">
        <f>IF(ISBLANK(E2493),"",_xlfn.XLOOKUP(E2493,cannabis_log!C:C,cannabis_log!T:T,"Not Found",0,))</f>
        <v/>
      </c>
      <c r="O2493" s="180" t="str">
        <f>IF(N2493="net",_xlfn.XLOOKUP(E2493,cannabis_log!C:C,cannabis_log!N:N,"NOT FOUND",0,1),IF(N2493="gross",0,""))</f>
        <v/>
      </c>
    </row>
  </sheetData>
  <phoneticPr fontId="19" type="noConversion"/>
  <conditionalFormatting sqref="A1:A2493">
    <cfRule type="containsText" dxfId="153" priority="5" operator="containsText" text="inbound">
      <formula>NOT(ISERROR(SEARCH("inbound",A1)))</formula>
    </cfRule>
    <cfRule type="containsText" dxfId="152" priority="6" operator="containsText" text="outbound">
      <formula>NOT(ISERROR(SEARCH("outbound",A1)))</formula>
    </cfRule>
  </conditionalFormatting>
  <conditionalFormatting sqref="D379">
    <cfRule type="expression" dxfId="151" priority="30">
      <formula>AC:AC="THIS PO HAS BEEN SHIPPED BEFORE, PLEASE CHECK BEFORE PROCEEDING"</formula>
    </cfRule>
  </conditionalFormatting>
  <conditionalFormatting sqref="D1157">
    <cfRule type="duplicateValues" dxfId="150" priority="29"/>
  </conditionalFormatting>
  <conditionalFormatting sqref="D1180">
    <cfRule type="duplicateValues" dxfId="149" priority="28"/>
  </conditionalFormatting>
  <conditionalFormatting sqref="D1233">
    <cfRule type="duplicateValues" dxfId="148" priority="27"/>
  </conditionalFormatting>
  <conditionalFormatting sqref="D1235">
    <cfRule type="duplicateValues" dxfId="147" priority="26"/>
  </conditionalFormatting>
  <conditionalFormatting sqref="D1266:D1276">
    <cfRule type="duplicateValues" dxfId="146" priority="24"/>
  </conditionalFormatting>
  <conditionalFormatting sqref="D1291">
    <cfRule type="duplicateValues" dxfId="145" priority="23"/>
  </conditionalFormatting>
  <conditionalFormatting sqref="D1296">
    <cfRule type="duplicateValues" dxfId="144" priority="22"/>
  </conditionalFormatting>
  <conditionalFormatting sqref="D1303">
    <cfRule type="duplicateValues" dxfId="143" priority="21"/>
  </conditionalFormatting>
  <conditionalFormatting sqref="D1306:D1307">
    <cfRule type="duplicateValues" dxfId="142" priority="20"/>
  </conditionalFormatting>
  <conditionalFormatting sqref="D1323">
    <cfRule type="duplicateValues" dxfId="141" priority="19"/>
  </conditionalFormatting>
  <conditionalFormatting sqref="D1324">
    <cfRule type="duplicateValues" dxfId="140" priority="18"/>
  </conditionalFormatting>
  <conditionalFormatting sqref="D1393:D1395">
    <cfRule type="duplicateValues" dxfId="139" priority="17"/>
  </conditionalFormatting>
  <conditionalFormatting sqref="D1425">
    <cfRule type="duplicateValues" dxfId="138" priority="16"/>
  </conditionalFormatting>
  <conditionalFormatting sqref="D1426">
    <cfRule type="duplicateValues" dxfId="137" priority="15"/>
  </conditionalFormatting>
  <conditionalFormatting sqref="D1453:D1459">
    <cfRule type="duplicateValues" dxfId="136" priority="14"/>
  </conditionalFormatting>
  <conditionalFormatting sqref="D1481:D1482">
    <cfRule type="duplicateValues" dxfId="135" priority="13"/>
  </conditionalFormatting>
  <conditionalFormatting sqref="D1483">
    <cfRule type="duplicateValues" dxfId="134" priority="12"/>
  </conditionalFormatting>
  <conditionalFormatting sqref="D1498:D1499">
    <cfRule type="duplicateValues" dxfId="133" priority="11"/>
  </conditionalFormatting>
  <conditionalFormatting sqref="D1541:D1543">
    <cfRule type="duplicateValues" dxfId="132" priority="10"/>
  </conditionalFormatting>
  <conditionalFormatting sqref="D1577:D1578">
    <cfRule type="duplicateValues" dxfId="131" priority="9"/>
  </conditionalFormatting>
  <conditionalFormatting sqref="K1:K15 K17:K19 K22:K27 K31 K36:K2272 K2275:K2351">
    <cfRule type="expression" dxfId="130" priority="32">
      <formula>AND(K1=0,N1="gross")</formula>
    </cfRule>
  </conditionalFormatting>
  <conditionalFormatting sqref="K1:K2493">
    <cfRule type="expression" dxfId="129" priority="3">
      <formula>K1*J1&lt;0</formula>
    </cfRule>
  </conditionalFormatting>
  <conditionalFormatting sqref="K16 K20:K21 K28:K30 K32:K35">
    <cfRule type="expression" dxfId="128" priority="35">
      <formula>AND(K16=0,N16="net")</formula>
    </cfRule>
  </conditionalFormatting>
  <conditionalFormatting sqref="K2273:K2274">
    <cfRule type="expression" dxfId="127" priority="2">
      <formula>AND(K2273=0,N2273="gross")</formula>
    </cfRule>
  </conditionalFormatting>
  <conditionalFormatting sqref="L1:L2493">
    <cfRule type="expression" dxfId="126" priority="7">
      <formula>L1*J1&lt;0</formula>
    </cfRule>
    <cfRule type="expression" dxfId="125" priority="8">
      <formula>AND(L1=0,N1="net")</formula>
    </cfRule>
  </conditionalFormatting>
  <dataValidations count="1">
    <dataValidation type="list" allowBlank="1" showInputMessage="1" showErrorMessage="1" sqref="C280:C2274 C1:C277" xr:uid="{9864672F-BE43-45AC-9862-68C7A0128C3C}">
      <formula1>"shipment, sampling, production, receive, storage, reconciliation"</formula1>
    </dataValidation>
  </dataValidations>
  <pageMargins left="0.70866141732283472" right="0.70866141732283472" top="0.74803149606299213" bottom="0.74803149606299213" header="0.31496062992125984" footer="0.31496062992125984"/>
  <pageSetup scale="11" fitToHeight="0" orientation="landscape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0420-0B2D-453C-BB1F-3C9B3AB8F162}">
  <sheetPr published="0">
    <pageSetUpPr fitToPage="1"/>
  </sheetPr>
  <dimension ref="A1:AL2604"/>
  <sheetViews>
    <sheetView zoomScale="70" zoomScaleNormal="100" workbookViewId="0">
      <pane xSplit="1" topLeftCell="B1" activePane="topRight" state="frozen"/>
      <selection activeCell="A2339" sqref="A2339"/>
      <selection pane="topRight" activeCell="D2" sqref="D2"/>
    </sheetView>
  </sheetViews>
  <sheetFormatPr defaultColWidth="8.44140625" defaultRowHeight="18" customHeight="1"/>
  <cols>
    <col min="1" max="1" width="5.77734375" style="22" customWidth="1"/>
    <col min="2" max="2" width="18.5546875" style="22" customWidth="1"/>
    <col min="3" max="3" width="18.44140625" style="20" customWidth="1"/>
    <col min="4" max="4" width="14.88671875" style="20" bestFit="1" customWidth="1"/>
    <col min="5" max="5" width="9.88671875" style="25" customWidth="1"/>
    <col min="6" max="6" width="30.44140625" style="41" customWidth="1"/>
    <col min="7" max="7" width="14.109375" style="22" customWidth="1"/>
    <col min="8" max="8" width="16.77734375" style="22" bestFit="1" customWidth="1"/>
    <col min="9" max="9" width="21.21875" style="22" customWidth="1"/>
    <col min="10" max="10" width="21.77734375" style="19" bestFit="1" customWidth="1"/>
    <col min="11" max="11" width="21.44140625" style="31" customWidth="1"/>
    <col min="12" max="12" width="16.21875" style="22" customWidth="1"/>
    <col min="13" max="13" width="20.21875" style="15" customWidth="1"/>
    <col min="14" max="14" width="20.21875" style="15" hidden="1" customWidth="1"/>
    <col min="15" max="15" width="10.5546875" style="29" bestFit="1" customWidth="1"/>
    <col min="16" max="16" width="74.21875" style="22" bestFit="1" customWidth="1"/>
    <col min="17" max="17" width="16.44140625" style="22" customWidth="1"/>
    <col min="18" max="18" width="8.109375" style="22" customWidth="1"/>
    <col min="19" max="19" width="11.5546875" style="20" customWidth="1"/>
    <col min="20" max="20" width="22.21875" style="21" bestFit="1" customWidth="1"/>
    <col min="21" max="21" width="6.77734375" style="22" customWidth="1"/>
    <col min="22" max="22" width="9.44140625" style="22" bestFit="1" customWidth="1"/>
    <col min="23" max="23" width="9.21875" style="22" customWidth="1"/>
    <col min="24" max="24" width="10.44140625" style="25" customWidth="1"/>
    <col min="25" max="25" width="19.44140625" style="273" bestFit="1" customWidth="1"/>
    <col min="26" max="26" width="26.109375" style="22" bestFit="1" customWidth="1"/>
    <col min="27" max="27" width="7.5546875" style="22" customWidth="1"/>
    <col min="28" max="28" width="12" style="23" customWidth="1"/>
    <col min="29" max="29" width="23.88671875" style="22" customWidth="1"/>
    <col min="30" max="30" width="18.109375" style="22" customWidth="1"/>
    <col min="31" max="31" width="14.5546875" style="22" customWidth="1"/>
    <col min="32" max="32" width="9.77734375" style="22" customWidth="1"/>
    <col min="33" max="33" width="12.21875" style="22" customWidth="1"/>
    <col min="34" max="34" width="10.44140625" style="226" customWidth="1"/>
    <col min="35" max="35" width="24.77734375" style="226" bestFit="1" customWidth="1"/>
    <col min="36" max="36" width="14.77734375" style="226" bestFit="1" customWidth="1"/>
    <col min="37" max="37" width="12.88671875" style="227" customWidth="1"/>
    <col min="38" max="16384" width="8.44140625" style="22"/>
  </cols>
  <sheetData>
    <row r="1" spans="1:37" s="16" customFormat="1" ht="24.6" customHeight="1">
      <c r="A1" s="16" t="s">
        <v>4289</v>
      </c>
      <c r="B1" s="16" t="s">
        <v>3345</v>
      </c>
      <c r="C1" s="16" t="s">
        <v>196</v>
      </c>
      <c r="D1" s="16" t="s">
        <v>509</v>
      </c>
      <c r="E1" s="16" t="s">
        <v>510</v>
      </c>
      <c r="F1" s="16" t="s">
        <v>511</v>
      </c>
      <c r="G1" s="16" t="s">
        <v>4337</v>
      </c>
      <c r="H1" s="16" t="s">
        <v>512</v>
      </c>
      <c r="I1" s="16" t="s">
        <v>513</v>
      </c>
      <c r="J1" s="16" t="s">
        <v>474</v>
      </c>
      <c r="K1" s="16" t="s">
        <v>475</v>
      </c>
      <c r="L1" s="16" t="s">
        <v>198</v>
      </c>
      <c r="M1" s="16" t="s">
        <v>4336</v>
      </c>
      <c r="N1" s="16" t="s">
        <v>4234</v>
      </c>
      <c r="O1" s="16" t="s">
        <v>3346</v>
      </c>
      <c r="P1" s="16" t="s">
        <v>4338</v>
      </c>
      <c r="Q1" s="16" t="s">
        <v>493</v>
      </c>
      <c r="R1" s="16" t="s">
        <v>494</v>
      </c>
      <c r="S1" s="16" t="s">
        <v>495</v>
      </c>
      <c r="T1" s="16" t="s">
        <v>496</v>
      </c>
      <c r="U1" s="16" t="s">
        <v>514</v>
      </c>
      <c r="V1" s="16" t="s">
        <v>515</v>
      </c>
      <c r="W1" s="16" t="s">
        <v>516</v>
      </c>
      <c r="X1" s="16" t="s">
        <v>3287</v>
      </c>
      <c r="Y1" s="16" t="s">
        <v>3347</v>
      </c>
      <c r="Z1" s="16" t="s">
        <v>3348</v>
      </c>
      <c r="AA1" s="16" t="s">
        <v>3349</v>
      </c>
      <c r="AB1" s="16" t="s">
        <v>3350</v>
      </c>
      <c r="AC1" s="16" t="s">
        <v>3351</v>
      </c>
      <c r="AD1" s="16" t="s">
        <v>3352</v>
      </c>
      <c r="AE1" s="16" t="s">
        <v>3353</v>
      </c>
      <c r="AF1" s="16" t="s">
        <v>3354</v>
      </c>
      <c r="AG1" s="16" t="s">
        <v>3355</v>
      </c>
      <c r="AH1" s="222" t="s">
        <v>3356</v>
      </c>
      <c r="AI1" s="222" t="s">
        <v>479</v>
      </c>
      <c r="AJ1" s="222" t="s">
        <v>480</v>
      </c>
      <c r="AK1" s="223" t="s">
        <v>481</v>
      </c>
    </row>
    <row r="2" spans="1:37" s="43" customFormat="1" ht="18" customHeight="1">
      <c r="A2" s="383">
        <v>2248</v>
      </c>
      <c r="B2" s="42" t="s">
        <v>3520</v>
      </c>
      <c r="C2" s="43" t="s">
        <v>203</v>
      </c>
      <c r="D2" s="44"/>
      <c r="E2" s="45">
        <v>45481</v>
      </c>
      <c r="F2" s="43">
        <v>47693</v>
      </c>
      <c r="G2" s="46"/>
      <c r="H2" s="53" t="s">
        <v>3803</v>
      </c>
      <c r="I2" s="47" t="s">
        <v>3862</v>
      </c>
      <c r="J2" s="47" t="s">
        <v>603</v>
      </c>
      <c r="K2" s="106">
        <v>45474</v>
      </c>
      <c r="L2" s="49" t="s">
        <v>490</v>
      </c>
      <c r="M2" s="47"/>
      <c r="N2" s="89" t="str">
        <f>Table26[[#This Row],[po_number]]&amp;"-"&amp;Table26[[#This Row],[po_line]]</f>
        <v>-1</v>
      </c>
      <c r="O2" s="89">
        <v>1</v>
      </c>
      <c r="P2" s="50"/>
      <c r="Q2" s="47"/>
      <c r="R2" s="47" t="s">
        <v>3794</v>
      </c>
      <c r="T2" s="51"/>
      <c r="U2" s="52">
        <v>12</v>
      </c>
      <c r="V2" s="47">
        <v>12</v>
      </c>
      <c r="W2" s="116">
        <f t="shared" ref="W2:W65" si="0">IFERROR(U2/V2, "")</f>
        <v>1</v>
      </c>
      <c r="X2" s="53" t="str">
        <f t="shared" ref="X2:X65" si="1">IFERROR($AA2*$U2, "")</f>
        <v/>
      </c>
      <c r="Y2" s="47"/>
      <c r="Z2" s="60"/>
      <c r="AA2" s="18" t="str" cm="1">
        <f t="array" ref="AA2">IF(P2="", "", _xlfn.XLOOKUP(P2,#REF!,#REF!,NA,0,-1))</f>
        <v/>
      </c>
      <c r="AB2" s="47"/>
      <c r="AC2" s="55" t="s">
        <v>3867</v>
      </c>
      <c r="AD2" s="56" t="str">
        <f>IF($AC2="","",_xlfn.XLOOKUP($AC2,'[2]Client Info'!$C$2:$C$2535,'[2]Client Info'!$D$2:$D$2535))</f>
        <v>55 Quarterman Road</v>
      </c>
      <c r="AE2" s="47" t="str">
        <f>IF($AC2="","",_xlfn.XLOOKUP($AC2,'[2]Client Info'!$C$2:$C$2715,'[2]Client Info'!$E$2:$E$2715))</f>
        <v>Guelph</v>
      </c>
      <c r="AF2" s="47" t="str">
        <f>IF($AC2="","",_xlfn.XLOOKUP($AC2,'[2]Client Info'!$C$2:$C$2715,'[2]Client Info'!$F$2:$F$2715))</f>
        <v>ON</v>
      </c>
      <c r="AG2" s="47" t="s">
        <v>37</v>
      </c>
      <c r="AH2" s="57"/>
      <c r="AI2" s="43" t="str">
        <f>_xlfn.XLOOKUP(Table26[[#This Row],[customerSKU]],customerSKU!G:G,customerSKU!O:O,"not found",0,1)</f>
        <v>not found</v>
      </c>
      <c r="AJ2" s="53">
        <f>Table26[[#This Row],[unitprice]]*Table26[[#This Row],[quantity_unit]]</f>
        <v>0</v>
      </c>
      <c r="AK2" s="53" t="e" cm="1">
        <f t="array" ref="AK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" spans="1:37" s="43" customFormat="1" ht="18" customHeight="1">
      <c r="A3" s="42">
        <v>2247</v>
      </c>
      <c r="B3" s="42" t="s">
        <v>3837</v>
      </c>
      <c r="C3" s="43" t="s">
        <v>203</v>
      </c>
      <c r="D3" s="44"/>
      <c r="E3" s="45"/>
      <c r="F3" s="53"/>
      <c r="G3" s="46"/>
      <c r="I3" s="47" t="s">
        <v>3862</v>
      </c>
      <c r="J3" s="47" t="s">
        <v>3838</v>
      </c>
      <c r="K3" s="106">
        <v>45475</v>
      </c>
      <c r="L3" s="49" t="s">
        <v>490</v>
      </c>
      <c r="M3" s="47"/>
      <c r="N3" s="89" t="str">
        <f>Table26[[#This Row],[po_number]]&amp;"-"&amp;Table26[[#This Row],[po_line]]</f>
        <v>-1</v>
      </c>
      <c r="O3" s="89">
        <v>1</v>
      </c>
      <c r="P3" s="50"/>
      <c r="Q3" s="47" t="s">
        <v>3931</v>
      </c>
      <c r="R3" s="47" t="s">
        <v>3428</v>
      </c>
      <c r="S3" s="43" t="s">
        <v>18</v>
      </c>
      <c r="T3" s="20">
        <v>45460</v>
      </c>
      <c r="U3" s="52">
        <f>75*12</f>
        <v>900</v>
      </c>
      <c r="V3" s="47">
        <v>12</v>
      </c>
      <c r="W3" s="116">
        <f t="shared" si="0"/>
        <v>75</v>
      </c>
      <c r="X3" s="53" t="str">
        <f t="shared" si="1"/>
        <v/>
      </c>
      <c r="Y3" s="47" t="s">
        <v>3932</v>
      </c>
      <c r="Z3" s="60">
        <v>4809951</v>
      </c>
      <c r="AA3" s="18" t="str" cm="1">
        <f t="array" ref="AA3">IF(P3="", "", _xlfn.XLOOKUP(P3,#REF!,#REF!,NA,0,-1))</f>
        <v/>
      </c>
      <c r="AB3" s="47"/>
      <c r="AC3" s="55" t="s">
        <v>3933</v>
      </c>
      <c r="AD3" s="56" t="str">
        <f>IF($AC3="","",_xlfn.XLOOKUP($AC3,'[2]Client Info'!$C$2:$C$2535,'[2]Client Info'!$D$2:$D$2535))</f>
        <v>12622-184 Street NW</v>
      </c>
      <c r="AE3" s="47" t="str">
        <f>IF($AC3="","",_xlfn.XLOOKUP($AC3,'[2]Client Info'!$C$2:$C$2715,'[2]Client Info'!$E$2:$E$2715))</f>
        <v>Edmonton</v>
      </c>
      <c r="AF3" s="47" t="str">
        <f>IF($AC3="","",_xlfn.XLOOKUP($AC3,'[2]Client Info'!$C$2:$C$2715,'[2]Client Info'!$F$2:$F$2715))</f>
        <v>AB</v>
      </c>
      <c r="AG3" s="47" t="s">
        <v>9</v>
      </c>
      <c r="AH3" s="57">
        <f>140.28/12</f>
        <v>11.69</v>
      </c>
      <c r="AI3" s="43" t="str">
        <f>_xlfn.XLOOKUP(Table26[[#This Row],[customerSKU]],customerSKU!G:G,customerSKU!O:O,"not found",0,1)</f>
        <v>not found</v>
      </c>
      <c r="AJ3" s="53">
        <f>Table26[[#This Row],[unitprice]]*Table26[[#This Row],[quantity_unit]]</f>
        <v>10521</v>
      </c>
      <c r="AK3" s="53" t="e" cm="1">
        <f t="array" ref="AK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" spans="1:37" s="43" customFormat="1" ht="18" customHeight="1">
      <c r="A4" s="42">
        <v>2246</v>
      </c>
      <c r="B4" s="42" t="s">
        <v>3520</v>
      </c>
      <c r="C4" s="43" t="s">
        <v>203</v>
      </c>
      <c r="D4" s="44"/>
      <c r="E4" s="45">
        <v>45488</v>
      </c>
      <c r="F4" s="43">
        <v>47694</v>
      </c>
      <c r="G4" s="46"/>
      <c r="I4" s="47" t="s">
        <v>3862</v>
      </c>
      <c r="J4" s="47" t="s">
        <v>603</v>
      </c>
      <c r="K4" s="48">
        <v>45476</v>
      </c>
      <c r="L4" s="49" t="s">
        <v>490</v>
      </c>
      <c r="M4" s="47"/>
      <c r="N4" s="89" t="str">
        <f>Table26[[#This Row],[po_number]]&amp;"-"&amp;Table26[[#This Row],[po_line]]</f>
        <v>-1</v>
      </c>
      <c r="O4" s="89">
        <v>1</v>
      </c>
      <c r="P4" s="50"/>
      <c r="Q4" s="47" t="s">
        <v>971</v>
      </c>
      <c r="R4" s="47" t="s">
        <v>3794</v>
      </c>
      <c r="S4" s="39" t="s">
        <v>3757</v>
      </c>
      <c r="T4" s="51">
        <v>45467</v>
      </c>
      <c r="U4" s="52">
        <v>48</v>
      </c>
      <c r="V4" s="47">
        <v>12</v>
      </c>
      <c r="W4" s="116">
        <f t="shared" si="0"/>
        <v>4</v>
      </c>
      <c r="X4" s="53" t="str">
        <f t="shared" si="1"/>
        <v/>
      </c>
      <c r="Y4" s="47" t="s">
        <v>237</v>
      </c>
      <c r="Z4" s="60">
        <v>110184</v>
      </c>
      <c r="AA4" s="18" t="str" cm="1">
        <f t="array" ref="AA4">IF(P4="", "", _xlfn.XLOOKUP(P4,#REF!,#REF!,NA,0,-1))</f>
        <v/>
      </c>
      <c r="AB4" s="47"/>
      <c r="AC4" s="55" t="s">
        <v>3867</v>
      </c>
      <c r="AD4" s="56" t="str">
        <f>IF($AC4="","",_xlfn.XLOOKUP($AC4,'[2]Client Info'!$C$2:$C$2535,'[2]Client Info'!$D$2:$D$2535))</f>
        <v>55 Quarterman Road</v>
      </c>
      <c r="AE4" s="47" t="str">
        <f>IF($AC4="","",_xlfn.XLOOKUP($AC4,'[2]Client Info'!$C$2:$C$2715,'[2]Client Info'!$E$2:$E$2715))</f>
        <v>Guelph</v>
      </c>
      <c r="AF4" s="47" t="str">
        <f>IF($AC4="","",_xlfn.XLOOKUP($AC4,'[2]Client Info'!$C$2:$C$2715,'[2]Client Info'!$F$2:$F$2715))</f>
        <v>ON</v>
      </c>
      <c r="AG4" s="47" t="s">
        <v>37</v>
      </c>
      <c r="AH4" s="57">
        <v>19.149999999999999</v>
      </c>
      <c r="AI4" s="43" t="str">
        <f>_xlfn.XLOOKUP(Table26[[#This Row],[customerSKU]],customerSKU!G:G,customerSKU!O:O,"not found",0,1)</f>
        <v>not found</v>
      </c>
      <c r="AJ4" s="59">
        <f>Table26[[#This Row],[unitprice]]*Table26[[#This Row],[quantity_unit]]</f>
        <v>919.19999999999993</v>
      </c>
      <c r="AK4" s="59" t="e" cm="1">
        <f t="array" ref="AK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" spans="1:37" s="43" customFormat="1" ht="18" customHeight="1">
      <c r="A5" s="42">
        <v>2245</v>
      </c>
      <c r="B5" s="42" t="s">
        <v>3520</v>
      </c>
      <c r="C5" s="43" t="s">
        <v>203</v>
      </c>
      <c r="D5" s="45"/>
      <c r="E5" s="45">
        <v>45498</v>
      </c>
      <c r="F5" s="53"/>
      <c r="G5" s="46"/>
      <c r="I5" s="47" t="s">
        <v>3862</v>
      </c>
      <c r="J5" s="47" t="s">
        <v>25</v>
      </c>
      <c r="K5" s="48">
        <v>45477</v>
      </c>
      <c r="L5" s="49" t="s">
        <v>490</v>
      </c>
      <c r="M5" s="47"/>
      <c r="N5" s="89" t="str">
        <f>Table26[[#This Row],[po_number]]&amp;"-"&amp;Table26[[#This Row],[po_line]]</f>
        <v>-1</v>
      </c>
      <c r="O5" s="89">
        <v>1</v>
      </c>
      <c r="P5" s="50"/>
      <c r="Q5" s="47" t="s">
        <v>885</v>
      </c>
      <c r="R5" s="47" t="s">
        <v>3428</v>
      </c>
      <c r="S5" s="43" t="s">
        <v>17</v>
      </c>
      <c r="T5" s="20">
        <v>45423</v>
      </c>
      <c r="U5" s="52">
        <f>15*12</f>
        <v>180</v>
      </c>
      <c r="V5" s="47">
        <v>12</v>
      </c>
      <c r="W5" s="116">
        <f t="shared" si="0"/>
        <v>15</v>
      </c>
      <c r="X5" s="53" t="str">
        <f t="shared" si="1"/>
        <v/>
      </c>
      <c r="Y5" s="63" t="s">
        <v>4024</v>
      </c>
      <c r="Z5" s="60"/>
      <c r="AA5" s="18" t="str" cm="1">
        <f t="array" ref="AA5">IF(P5="", "", _xlfn.XLOOKUP(P5,#REF!,#REF!,NA,0,-1))</f>
        <v/>
      </c>
      <c r="AB5" s="47"/>
      <c r="AC5" s="55" t="s">
        <v>4025</v>
      </c>
      <c r="AD5" s="56" t="str">
        <f>IF($AC5="","",_xlfn.XLOOKUP($AC5,'[2]Client Info'!$C$2:$C$2535,'[2]Client Info'!$D$2:$D$2535))</f>
        <v>80 Guilford Ave</v>
      </c>
      <c r="AE5" s="47" t="str">
        <f>IF($AC5="","",_xlfn.XLOOKUP($AC5,'[2]Client Info'!$C$2:$C$2715,'[2]Client Info'!$E$2:$E$2715))</f>
        <v>Dartmouth</v>
      </c>
      <c r="AF5" s="47" t="str">
        <f>IF($AC5="","",_xlfn.XLOOKUP($AC5,'[2]Client Info'!$C$2:$C$2715,'[2]Client Info'!$F$2:$F$2715))</f>
        <v>NS</v>
      </c>
      <c r="AG5" s="47" t="s">
        <v>25</v>
      </c>
      <c r="AH5" s="57">
        <f>198/12</f>
        <v>16.5</v>
      </c>
      <c r="AI5" s="43" t="str">
        <f>_xlfn.XLOOKUP(Table26[[#This Row],[customerSKU]],customerSKU!G:G,customerSKU!O:O,"not found",0,1)</f>
        <v>not found</v>
      </c>
      <c r="AJ5" s="53">
        <f>Table26[[#This Row],[unitprice]]*Table26[[#This Row],[quantity_unit]]</f>
        <v>2970</v>
      </c>
      <c r="AK5" s="53" t="e" cm="1">
        <f t="array" ref="AK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" spans="1:37" s="43" customFormat="1" ht="18" customHeight="1">
      <c r="A6" s="42">
        <v>2241</v>
      </c>
      <c r="B6" s="42" t="s">
        <v>3520</v>
      </c>
      <c r="C6" s="53" t="s">
        <v>3539</v>
      </c>
      <c r="D6" s="45">
        <v>45491</v>
      </c>
      <c r="E6" s="65"/>
      <c r="F6" s="45" t="s">
        <v>3760</v>
      </c>
      <c r="G6" s="46"/>
      <c r="I6" s="47" t="s">
        <v>3862</v>
      </c>
      <c r="J6" s="47" t="s">
        <v>603</v>
      </c>
      <c r="K6" s="48">
        <v>45481</v>
      </c>
      <c r="L6" s="49" t="s">
        <v>490</v>
      </c>
      <c r="M6" s="47"/>
      <c r="N6" s="89" t="str">
        <f>Table26[[#This Row],[po_number]]&amp;"-"&amp;Table26[[#This Row],[po_line]]</f>
        <v>-1</v>
      </c>
      <c r="O6" s="89">
        <v>1</v>
      </c>
      <c r="P6" s="50"/>
      <c r="Q6" s="47" t="s">
        <v>971</v>
      </c>
      <c r="R6" s="47" t="s">
        <v>3794</v>
      </c>
      <c r="T6" s="51">
        <v>45467</v>
      </c>
      <c r="U6" s="52">
        <v>12</v>
      </c>
      <c r="V6" s="47">
        <v>12</v>
      </c>
      <c r="W6" s="116">
        <f t="shared" si="0"/>
        <v>1</v>
      </c>
      <c r="X6" s="53" t="str">
        <f t="shared" si="1"/>
        <v/>
      </c>
      <c r="Y6" s="68" t="s">
        <v>3907</v>
      </c>
      <c r="Z6" s="60">
        <v>110184</v>
      </c>
      <c r="AA6" s="18" t="str" cm="1">
        <f t="array" ref="AA6">IF(P6="", "", _xlfn.XLOOKUP(P6,#REF!,#REF!,NA,0,-1))</f>
        <v/>
      </c>
      <c r="AB6" s="47"/>
      <c r="AC6" s="55" t="s">
        <v>3867</v>
      </c>
      <c r="AD6" s="259" t="str">
        <f>IF($AC6="","",_xlfn.XLOOKUP($AC6,'Client Info'!$C$2:$C$2497,'Client Info'!$D$2:$D$2497,"",0,1))</f>
        <v/>
      </c>
      <c r="AE6" s="259" t="str">
        <f>IF($AC6="","",_xlfn.XLOOKUP($AC6,'Client Info'!$C$2:$C$2677,'Client Info'!$E$2:$E$2677,"",))</f>
        <v/>
      </c>
      <c r="AF6" s="259" t="str">
        <f>IF($AC6="","",_xlfn.XLOOKUP($AC6,'Client Info'!$C$2:$C$2677,'Client Info'!$F$2:$F$2677,"",0,1))</f>
        <v/>
      </c>
      <c r="AG6" s="47" t="s">
        <v>37</v>
      </c>
      <c r="AH6" s="57">
        <v>19.149999999999999</v>
      </c>
      <c r="AI6" s="43" t="str">
        <f>_xlfn.XLOOKUP(Table26[[#This Row],[customerSKU]],customerSKU!G:G,customerSKU!O:O,"not found",0,1)</f>
        <v>not found</v>
      </c>
      <c r="AJ6" s="59">
        <f>Table26[[#This Row],[unitprice]]*Table26[[#This Row],[quantity_unit]]</f>
        <v>229.79999999999998</v>
      </c>
      <c r="AK6" s="59" t="e" cm="1">
        <f t="array" ref="AK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" spans="1:37" s="43" customFormat="1" ht="18" customHeight="1">
      <c r="A7" s="42">
        <v>2242</v>
      </c>
      <c r="B7" s="42" t="s">
        <v>3520</v>
      </c>
      <c r="C7" s="43" t="s">
        <v>203</v>
      </c>
      <c r="D7" s="45">
        <v>45503</v>
      </c>
      <c r="E7" s="45">
        <v>45503</v>
      </c>
      <c r="F7" s="79">
        <v>48881</v>
      </c>
      <c r="G7" s="46"/>
      <c r="I7" s="47" t="s">
        <v>3862</v>
      </c>
      <c r="J7" s="47" t="s">
        <v>603</v>
      </c>
      <c r="K7" s="48">
        <v>45481</v>
      </c>
      <c r="L7" s="49" t="s">
        <v>490</v>
      </c>
      <c r="M7" s="47"/>
      <c r="N7" s="89" t="str">
        <f>Table26[[#This Row],[po_number]]&amp;"-"&amp;Table26[[#This Row],[po_line]]</f>
        <v>-1</v>
      </c>
      <c r="O7" s="89">
        <v>1</v>
      </c>
      <c r="P7" s="50"/>
      <c r="Q7" s="47" t="s">
        <v>971</v>
      </c>
      <c r="R7" s="47" t="s">
        <v>3794</v>
      </c>
      <c r="T7" s="51">
        <v>45467</v>
      </c>
      <c r="U7" s="52">
        <v>24</v>
      </c>
      <c r="V7" s="47">
        <v>12</v>
      </c>
      <c r="W7" s="116">
        <f t="shared" si="0"/>
        <v>2</v>
      </c>
      <c r="X7" s="53" t="str">
        <f t="shared" si="1"/>
        <v/>
      </c>
      <c r="Y7" s="68" t="s">
        <v>237</v>
      </c>
      <c r="Z7" s="60">
        <v>110184</v>
      </c>
      <c r="AA7" s="18" t="str" cm="1">
        <f t="array" ref="AA7">IF(P7="", "", _xlfn.XLOOKUP(P7,#REF!,#REF!,NA,0,-1))</f>
        <v/>
      </c>
      <c r="AB7" s="47"/>
      <c r="AC7" s="55" t="s">
        <v>3867</v>
      </c>
      <c r="AD7" s="56" t="str">
        <f>IF($AC7="","",_xlfn.XLOOKUP($AC7,'[2]Client Info'!$C$2:$C$2535,'[2]Client Info'!$D$2:$D$2535))</f>
        <v>55 Quarterman Road</v>
      </c>
      <c r="AE7" s="47" t="str">
        <f>IF($AC7="","",_xlfn.XLOOKUP($AC7,'[2]Client Info'!$C$2:$C$2715,'[2]Client Info'!$E$2:$E$2715))</f>
        <v>Guelph</v>
      </c>
      <c r="AF7" s="47" t="str">
        <f>IF($AC7="","",_xlfn.XLOOKUP($AC7,'[2]Client Info'!$C$2:$C$2715,'[2]Client Info'!$F$2:$F$2715))</f>
        <v>ON</v>
      </c>
      <c r="AG7" s="47" t="s">
        <v>37</v>
      </c>
      <c r="AH7" s="57">
        <v>19.149999999999999</v>
      </c>
      <c r="AI7" s="43" t="str">
        <f>_xlfn.XLOOKUP(Table26[[#This Row],[customerSKU]],customerSKU!G:G,customerSKU!O:O,"not found",0,1)</f>
        <v>not found</v>
      </c>
      <c r="AJ7" s="59">
        <f>Table26[[#This Row],[unitprice]]*Table26[[#This Row],[quantity_unit]]</f>
        <v>459.59999999999997</v>
      </c>
      <c r="AK7" s="59" t="e" cm="1">
        <f t="array" ref="AK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" spans="1:37" s="47" customFormat="1" ht="18" customHeight="1">
      <c r="A8" s="42">
        <v>2243</v>
      </c>
      <c r="B8" s="228" t="s">
        <v>3837</v>
      </c>
      <c r="C8" s="229" t="s">
        <v>203</v>
      </c>
      <c r="D8" s="230">
        <v>45481</v>
      </c>
      <c r="E8" s="230">
        <v>45481</v>
      </c>
      <c r="F8" s="90"/>
      <c r="G8" s="119"/>
      <c r="H8" s="229"/>
      <c r="I8" s="231" t="s">
        <v>3862</v>
      </c>
      <c r="J8" s="231" t="s">
        <v>503</v>
      </c>
      <c r="K8" s="232">
        <v>45481</v>
      </c>
      <c r="L8" s="233" t="s">
        <v>504</v>
      </c>
      <c r="M8" s="231"/>
      <c r="N8" s="252" t="str">
        <f>Table26[[#This Row],[po_number]]&amp;"-"&amp;Table26[[#This Row],[po_line]]</f>
        <v>-1</v>
      </c>
      <c r="O8" s="252">
        <v>1</v>
      </c>
      <c r="P8" s="234"/>
      <c r="Q8" s="231" t="s">
        <v>3870</v>
      </c>
      <c r="R8" s="231" t="s">
        <v>3428</v>
      </c>
      <c r="S8" s="229" t="s">
        <v>13</v>
      </c>
      <c r="T8" s="20">
        <v>45448</v>
      </c>
      <c r="U8" s="236">
        <v>24</v>
      </c>
      <c r="V8" s="231">
        <v>12</v>
      </c>
      <c r="W8" s="237">
        <f t="shared" si="0"/>
        <v>2</v>
      </c>
      <c r="X8" s="90" t="str">
        <f t="shared" si="1"/>
        <v/>
      </c>
      <c r="Y8" s="231"/>
      <c r="Z8" s="60"/>
      <c r="AA8" s="18" t="str" cm="1">
        <f t="array" ref="AA8">IF(P8="", "", _xlfn.XLOOKUP(P8,#REF!,#REF!,NA,0,-1))</f>
        <v/>
      </c>
      <c r="AB8" s="231"/>
      <c r="AC8" s="55" t="s">
        <v>3984</v>
      </c>
      <c r="AD8" s="121" t="str">
        <f>IF($AC8="","",_xlfn.XLOOKUP($AC8,'[2]Client Info'!$C$2:$C$2535,'[2]Client Info'!$D$2:$D$2535))</f>
        <v>16A-215 Port Augusta St</v>
      </c>
      <c r="AE8" s="231" t="str">
        <f>IF($AC8="","",_xlfn.XLOOKUP($AC8,'[2]Client Info'!$C$2:$C$2715,'[2]Client Info'!$E$2:$E$2715))</f>
        <v>Comox</v>
      </c>
      <c r="AF8" s="231" t="str">
        <f>IF($AC8="","",_xlfn.XLOOKUP($AC8,'[2]Client Info'!$C$2:$C$2715,'[2]Client Info'!$F$2:$F$2715))</f>
        <v xml:space="preserve">BC </v>
      </c>
      <c r="AG8" s="231" t="s">
        <v>3983</v>
      </c>
      <c r="AH8" s="238">
        <f>101.04/12</f>
        <v>8.42</v>
      </c>
      <c r="AI8" s="43" t="str">
        <f>_xlfn.XLOOKUP(Table26[[#This Row],[customerSKU]],customerSKU!G:G,customerSKU!O:O,"not found",0,1)</f>
        <v>not found</v>
      </c>
      <c r="AJ8" s="53">
        <f>Table26[[#This Row],[unitprice]]*Table26[[#This Row],[quantity_unit]]</f>
        <v>202.07999999999998</v>
      </c>
      <c r="AK8" s="53" cm="1">
        <f t="array" ref="AK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212.184</v>
      </c>
    </row>
    <row r="9" spans="1:37" s="47" customFormat="1" ht="18" customHeight="1">
      <c r="A9" s="42">
        <v>2244</v>
      </c>
      <c r="B9" s="228" t="s">
        <v>3837</v>
      </c>
      <c r="C9" s="229" t="s">
        <v>203</v>
      </c>
      <c r="D9" s="230">
        <v>45481</v>
      </c>
      <c r="E9" s="230">
        <v>45481</v>
      </c>
      <c r="F9" s="90"/>
      <c r="G9" s="119"/>
      <c r="H9" s="229"/>
      <c r="I9" s="231" t="s">
        <v>3862</v>
      </c>
      <c r="J9" s="231" t="s">
        <v>503</v>
      </c>
      <c r="K9" s="232">
        <v>45481</v>
      </c>
      <c r="L9" s="233" t="s">
        <v>504</v>
      </c>
      <c r="M9" s="231"/>
      <c r="N9" s="252" t="str">
        <f>Table26[[#This Row],[po_number]]&amp;"-"&amp;Table26[[#This Row],[po_line]]</f>
        <v>-2</v>
      </c>
      <c r="O9" s="252">
        <v>2</v>
      </c>
      <c r="P9" s="234"/>
      <c r="Q9" s="231" t="s">
        <v>869</v>
      </c>
      <c r="R9" s="231" t="s">
        <v>3428</v>
      </c>
      <c r="S9" s="229" t="s">
        <v>13</v>
      </c>
      <c r="T9" s="20">
        <v>45447</v>
      </c>
      <c r="U9" s="236">
        <v>24</v>
      </c>
      <c r="V9" s="231">
        <v>12</v>
      </c>
      <c r="W9" s="237">
        <f t="shared" si="0"/>
        <v>2</v>
      </c>
      <c r="X9" s="90" t="str">
        <f t="shared" si="1"/>
        <v/>
      </c>
      <c r="Y9" s="231"/>
      <c r="Z9" s="60"/>
      <c r="AA9" s="18" t="str" cm="1">
        <f t="array" ref="AA9">IF(P9="", "", _xlfn.XLOOKUP(P9,#REF!,#REF!,NA,0,-1))</f>
        <v/>
      </c>
      <c r="AB9" s="231"/>
      <c r="AC9" s="55" t="s">
        <v>3984</v>
      </c>
      <c r="AD9" s="121" t="str">
        <f>IF($AC9="","",_xlfn.XLOOKUP($AC9,'[2]Client Info'!$C$2:$C$2535,'[2]Client Info'!$D$2:$D$2535))</f>
        <v>16A-215 Port Augusta St</v>
      </c>
      <c r="AE9" s="231" t="str">
        <f>IF($AC9="","",_xlfn.XLOOKUP($AC9,'[2]Client Info'!$C$2:$C$2715,'[2]Client Info'!$E$2:$E$2715))</f>
        <v>Comox</v>
      </c>
      <c r="AF9" s="231" t="str">
        <f>IF($AC9="","",_xlfn.XLOOKUP($AC9,'[2]Client Info'!$C$2:$C$2715,'[2]Client Info'!$F$2:$F$2715))</f>
        <v xml:space="preserve">BC </v>
      </c>
      <c r="AG9" s="231" t="s">
        <v>3983</v>
      </c>
      <c r="AH9" s="238">
        <f>100.08/12</f>
        <v>8.34</v>
      </c>
      <c r="AI9" s="43" t="str">
        <f>_xlfn.XLOOKUP(Table26[[#This Row],[customerSKU]],customerSKU!G:G,customerSKU!O:O,"not found",0,1)</f>
        <v>not found</v>
      </c>
      <c r="AJ9" s="53">
        <f>Table26[[#This Row],[unitprice]]*Table26[[#This Row],[quantity_unit]]</f>
        <v>200.16</v>
      </c>
      <c r="AK9" s="53" cm="1">
        <f t="array" ref="AK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210.16800000000001</v>
      </c>
    </row>
    <row r="10" spans="1:37" s="47" customFormat="1" ht="18" customHeight="1">
      <c r="A10" s="42">
        <v>2238</v>
      </c>
      <c r="B10" s="42" t="s">
        <v>3520</v>
      </c>
      <c r="C10" s="43" t="s">
        <v>203</v>
      </c>
      <c r="D10" s="45">
        <v>45495</v>
      </c>
      <c r="E10" s="45">
        <v>45495</v>
      </c>
      <c r="F10" s="53"/>
      <c r="G10" s="46"/>
      <c r="H10" s="43" t="s">
        <v>3803</v>
      </c>
      <c r="I10" s="47" t="s">
        <v>3862</v>
      </c>
      <c r="J10" s="47" t="s">
        <v>22</v>
      </c>
      <c r="K10" s="48">
        <v>45482</v>
      </c>
      <c r="L10" s="49" t="s">
        <v>490</v>
      </c>
      <c r="N10" s="89" t="str">
        <f>Table26[[#This Row],[po_number]]&amp;"-"&amp;Table26[[#This Row],[po_line]]</f>
        <v>-1</v>
      </c>
      <c r="O10" s="89">
        <v>1</v>
      </c>
      <c r="P10" s="50"/>
      <c r="Q10" s="47" t="s">
        <v>543</v>
      </c>
      <c r="R10" s="47" t="s">
        <v>3428</v>
      </c>
      <c r="S10" s="43" t="s">
        <v>18</v>
      </c>
      <c r="T10" s="20">
        <v>45478</v>
      </c>
      <c r="U10" s="52">
        <v>120</v>
      </c>
      <c r="V10" s="47">
        <v>6</v>
      </c>
      <c r="W10" s="116">
        <f t="shared" si="0"/>
        <v>20</v>
      </c>
      <c r="X10" s="53" t="str">
        <f t="shared" si="1"/>
        <v/>
      </c>
      <c r="Y10" s="68" t="s">
        <v>219</v>
      </c>
      <c r="Z10" s="90" t="s">
        <v>4051</v>
      </c>
      <c r="AA10" s="18" t="str" cm="1">
        <f t="array" ref="AA10">IF(P10="", "", _xlfn.XLOOKUP(P10,#REF!,#REF!,NA,0,-1))</f>
        <v/>
      </c>
      <c r="AC10" s="55" t="s">
        <v>3933</v>
      </c>
      <c r="AD10" s="56" t="str">
        <f>IF($AC10="","",_xlfn.XLOOKUP($AC10,'[2]Client Info'!$C$2:$C$2535,'[2]Client Info'!$D$2:$D$2535))</f>
        <v>12622-184 Street NW</v>
      </c>
      <c r="AE10" s="47" t="str">
        <f>IF($AC10="","",_xlfn.XLOOKUP($AC10,'[2]Client Info'!$C$2:$C$2715,'[2]Client Info'!$E$2:$E$2715))</f>
        <v>Edmonton</v>
      </c>
      <c r="AF10" s="47" t="str">
        <f>IF($AC10="","",_xlfn.XLOOKUP($AC10,'[2]Client Info'!$C$2:$C$2715,'[2]Client Info'!$F$2:$F$2715))</f>
        <v>AB</v>
      </c>
      <c r="AG10" s="53" t="s">
        <v>22</v>
      </c>
      <c r="AH10" s="62">
        <v>21.99</v>
      </c>
      <c r="AI10" s="43" t="str">
        <f>_xlfn.XLOOKUP(Table26[[#This Row],[customerSKU]],customerSKU!G:G,customerSKU!O:O,"not found",0,1)</f>
        <v>not found</v>
      </c>
      <c r="AJ10" s="53">
        <f>Table26[[#This Row],[unitprice]]*Table26[[#This Row],[quantity_unit]]</f>
        <v>2638.7999999999997</v>
      </c>
      <c r="AK10" s="53" t="e" cm="1">
        <f t="array" ref="AK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" spans="1:37" s="47" customFormat="1" ht="18" customHeight="1">
      <c r="A11" s="42">
        <v>2239</v>
      </c>
      <c r="B11" s="42" t="s">
        <v>3520</v>
      </c>
      <c r="C11" s="43" t="s">
        <v>203</v>
      </c>
      <c r="D11" s="45">
        <v>45495</v>
      </c>
      <c r="E11" s="45">
        <v>45495</v>
      </c>
      <c r="F11" s="53"/>
      <c r="G11" s="46"/>
      <c r="H11" s="43" t="s">
        <v>3803</v>
      </c>
      <c r="I11" s="47" t="s">
        <v>3862</v>
      </c>
      <c r="J11" s="47" t="s">
        <v>22</v>
      </c>
      <c r="K11" s="48">
        <v>45482</v>
      </c>
      <c r="L11" s="49" t="s">
        <v>490</v>
      </c>
      <c r="N11" s="89" t="str">
        <f>Table26[[#This Row],[po_number]]&amp;"-"&amp;Table26[[#This Row],[po_line]]</f>
        <v>-2</v>
      </c>
      <c r="O11" s="89">
        <v>2</v>
      </c>
      <c r="P11" s="50"/>
      <c r="Q11" s="47" t="s">
        <v>4052</v>
      </c>
      <c r="R11" s="47" t="s">
        <v>3428</v>
      </c>
      <c r="S11" s="43" t="s">
        <v>18</v>
      </c>
      <c r="T11" s="20">
        <v>45478</v>
      </c>
      <c r="U11" s="52">
        <v>600</v>
      </c>
      <c r="V11" s="47">
        <v>6</v>
      </c>
      <c r="W11" s="116">
        <f t="shared" si="0"/>
        <v>100</v>
      </c>
      <c r="X11" s="53" t="str">
        <f t="shared" si="1"/>
        <v/>
      </c>
      <c r="Y11" s="68" t="s">
        <v>255</v>
      </c>
      <c r="Z11" s="90" t="s">
        <v>4053</v>
      </c>
      <c r="AA11" s="18" t="str" cm="1">
        <f t="array" ref="AA11">IF(P11="", "", _xlfn.XLOOKUP(P11,#REF!,#REF!,NA,0,-1))</f>
        <v/>
      </c>
      <c r="AC11" s="55" t="s">
        <v>3933</v>
      </c>
      <c r="AD11" s="56" t="str">
        <f>IF($AC11="","",_xlfn.XLOOKUP($AC11,'[2]Client Info'!$C$2:$C$2535,'[2]Client Info'!$D$2:$D$2535))</f>
        <v>12622-184 Street NW</v>
      </c>
      <c r="AE11" s="47" t="str">
        <f>IF($AC11="","",_xlfn.XLOOKUP($AC11,'[2]Client Info'!$C$2:$C$2715,'[2]Client Info'!$E$2:$E$2715))</f>
        <v>Edmonton</v>
      </c>
      <c r="AF11" s="47" t="str">
        <f>IF($AC11="","",_xlfn.XLOOKUP($AC11,'[2]Client Info'!$C$2:$C$2715,'[2]Client Info'!$F$2:$F$2715))</f>
        <v>AB</v>
      </c>
      <c r="AG11" s="53" t="s">
        <v>22</v>
      </c>
      <c r="AH11" s="62">
        <v>21.99</v>
      </c>
      <c r="AI11" s="43" t="str">
        <f>_xlfn.XLOOKUP(Table26[[#This Row],[customerSKU]],customerSKU!G:G,customerSKU!O:O,"not found",0,1)</f>
        <v>not found</v>
      </c>
      <c r="AJ11" s="53">
        <f>Table26[[#This Row],[unitprice]]*Table26[[#This Row],[quantity_unit]]</f>
        <v>13193.999999999998</v>
      </c>
      <c r="AK11" s="53" t="e" cm="1">
        <f t="array" ref="AK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" spans="1:37" s="47" customFormat="1" ht="18" customHeight="1">
      <c r="A12" s="42">
        <v>2240</v>
      </c>
      <c r="B12" s="42" t="s">
        <v>3520</v>
      </c>
      <c r="C12" s="43" t="s">
        <v>203</v>
      </c>
      <c r="D12" s="45">
        <v>45495</v>
      </c>
      <c r="E12" s="45">
        <v>45495</v>
      </c>
      <c r="F12" s="53"/>
      <c r="G12" s="46"/>
      <c r="H12" s="43" t="s">
        <v>3803</v>
      </c>
      <c r="I12" s="47" t="s">
        <v>3862</v>
      </c>
      <c r="J12" s="47" t="s">
        <v>22</v>
      </c>
      <c r="K12" s="48">
        <v>45482</v>
      </c>
      <c r="L12" s="49" t="s">
        <v>490</v>
      </c>
      <c r="N12" s="89" t="str">
        <f>Table26[[#This Row],[po_number]]&amp;"-"&amp;Table26[[#This Row],[po_line]]</f>
        <v>-3</v>
      </c>
      <c r="O12" s="89">
        <v>3</v>
      </c>
      <c r="P12" s="50"/>
      <c r="Q12" s="47" t="s">
        <v>531</v>
      </c>
      <c r="R12" s="47" t="s">
        <v>3428</v>
      </c>
      <c r="S12" s="43" t="s">
        <v>18</v>
      </c>
      <c r="T12" s="20">
        <v>45478</v>
      </c>
      <c r="U12" s="52">
        <v>600</v>
      </c>
      <c r="V12" s="47">
        <v>6</v>
      </c>
      <c r="W12" s="116">
        <f t="shared" si="0"/>
        <v>100</v>
      </c>
      <c r="X12" s="53" t="str">
        <f t="shared" si="1"/>
        <v/>
      </c>
      <c r="Y12" s="68" t="s">
        <v>257</v>
      </c>
      <c r="Z12" s="90" t="s">
        <v>4054</v>
      </c>
      <c r="AA12" s="18" t="str" cm="1">
        <f t="array" ref="AA12">IF(P12="", "", _xlfn.XLOOKUP(P12,#REF!,#REF!,NA,0,-1))</f>
        <v/>
      </c>
      <c r="AC12" s="55" t="s">
        <v>3933</v>
      </c>
      <c r="AD12" s="56" t="str">
        <f>IF($AC12="","",_xlfn.XLOOKUP($AC12,'[2]Client Info'!$C$2:$C$2535,'[2]Client Info'!$D$2:$D$2535))</f>
        <v>12622-184 Street NW</v>
      </c>
      <c r="AE12" s="47" t="str">
        <f>IF($AC12="","",_xlfn.XLOOKUP($AC12,'[2]Client Info'!$C$2:$C$2715,'[2]Client Info'!$E$2:$E$2715))</f>
        <v>Edmonton</v>
      </c>
      <c r="AF12" s="47" t="str">
        <f>IF($AC12="","",_xlfn.XLOOKUP($AC12,'[2]Client Info'!$C$2:$C$2715,'[2]Client Info'!$F$2:$F$2715))</f>
        <v>AB</v>
      </c>
      <c r="AG12" s="53" t="s">
        <v>22</v>
      </c>
      <c r="AH12" s="62">
        <v>20.99</v>
      </c>
      <c r="AI12" s="43" t="str">
        <f>_xlfn.XLOOKUP(Table26[[#This Row],[customerSKU]],customerSKU!G:G,customerSKU!O:O,"not found",0,1)</f>
        <v>not found</v>
      </c>
      <c r="AJ12" s="53">
        <f>Table26[[#This Row],[unitprice]]*Table26[[#This Row],[quantity_unit]]</f>
        <v>12593.999999999998</v>
      </c>
      <c r="AK12" s="53" t="e" cm="1">
        <f t="array" ref="AK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" spans="1:37" s="47" customFormat="1" ht="18" customHeight="1">
      <c r="A13" s="42">
        <v>2236</v>
      </c>
      <c r="B13" s="228" t="s">
        <v>3837</v>
      </c>
      <c r="C13" s="229" t="s">
        <v>203</v>
      </c>
      <c r="D13" s="230">
        <v>45485</v>
      </c>
      <c r="E13" s="230"/>
      <c r="F13" s="90"/>
      <c r="G13" s="119"/>
      <c r="H13" s="229"/>
      <c r="I13" s="231" t="s">
        <v>3862</v>
      </c>
      <c r="J13" s="231" t="s">
        <v>503</v>
      </c>
      <c r="K13" s="232">
        <v>45485</v>
      </c>
      <c r="L13" s="233" t="s">
        <v>504</v>
      </c>
      <c r="M13" s="231"/>
      <c r="N13" s="252" t="str">
        <f>Table26[[#This Row],[po_number]]&amp;"-"&amp;Table26[[#This Row],[po_line]]</f>
        <v>-1</v>
      </c>
      <c r="O13" s="252">
        <v>1</v>
      </c>
      <c r="P13" s="234"/>
      <c r="Q13" s="231" t="s">
        <v>3870</v>
      </c>
      <c r="R13" s="231" t="s">
        <v>3428</v>
      </c>
      <c r="S13" s="229" t="s">
        <v>13</v>
      </c>
      <c r="T13" s="20">
        <v>45448</v>
      </c>
      <c r="U13" s="236">
        <v>12</v>
      </c>
      <c r="V13" s="231">
        <v>12</v>
      </c>
      <c r="W13" s="237">
        <f t="shared" si="0"/>
        <v>1</v>
      </c>
      <c r="X13" s="90" t="str">
        <f t="shared" si="1"/>
        <v/>
      </c>
      <c r="Y13" s="239" t="s">
        <v>231</v>
      </c>
      <c r="Z13" s="60"/>
      <c r="AA13" s="18" t="str" cm="1">
        <f t="array" ref="AA13">IF(P13="", "", _xlfn.XLOOKUP(P13,#REF!,#REF!,NA,0,-1))</f>
        <v/>
      </c>
      <c r="AB13" s="231"/>
      <c r="AC13" s="55" t="s">
        <v>4063</v>
      </c>
      <c r="AD13" s="121" t="e">
        <f>IF($AC13="","",_xlfn.XLOOKUP($AC13,'[2]Client Info'!$C$2:$C$2535,'[2]Client Info'!$D$2:$D$2535))</f>
        <v>#N/A</v>
      </c>
      <c r="AE13" s="231" t="e">
        <f>IF($AC13="","",_xlfn.XLOOKUP($AC13,'[2]Client Info'!$C$2:$C$2715,'[2]Client Info'!$E$2:$E$2715))</f>
        <v>#N/A</v>
      </c>
      <c r="AF13" s="231" t="e">
        <f>IF($AC13="","",_xlfn.XLOOKUP($AC13,'[2]Client Info'!$C$2:$C$2715,'[2]Client Info'!$F$2:$F$2715))</f>
        <v>#N/A</v>
      </c>
      <c r="AG13" s="231" t="s">
        <v>4064</v>
      </c>
      <c r="AH13" s="238"/>
      <c r="AI13" s="43" t="str">
        <f>_xlfn.XLOOKUP(Table26[[#This Row],[customerSKU]],customerSKU!G:G,customerSKU!O:O,"not found",0,1)</f>
        <v>not found</v>
      </c>
      <c r="AJ13" s="53">
        <f>Table26[[#This Row],[unitprice]]*Table26[[#This Row],[quantity_unit]]</f>
        <v>0</v>
      </c>
      <c r="AK13" s="53" cm="1">
        <f t="array" ref="AK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14" spans="1:37" s="47" customFormat="1" ht="18" customHeight="1">
      <c r="A14" s="42">
        <v>2237</v>
      </c>
      <c r="B14" s="228" t="s">
        <v>3837</v>
      </c>
      <c r="C14" s="229" t="s">
        <v>203</v>
      </c>
      <c r="D14" s="230">
        <v>45485</v>
      </c>
      <c r="E14" s="230"/>
      <c r="F14" s="90"/>
      <c r="G14" s="119"/>
      <c r="H14" s="229"/>
      <c r="I14" s="231" t="s">
        <v>3862</v>
      </c>
      <c r="J14" s="231" t="s">
        <v>503</v>
      </c>
      <c r="K14" s="232">
        <v>45485</v>
      </c>
      <c r="L14" s="233" t="s">
        <v>504</v>
      </c>
      <c r="M14" s="231"/>
      <c r="N14" s="252" t="str">
        <f>Table26[[#This Row],[po_number]]&amp;"-"&amp;Table26[[#This Row],[po_line]]</f>
        <v>-2</v>
      </c>
      <c r="O14" s="252">
        <v>2</v>
      </c>
      <c r="P14" s="234"/>
      <c r="Q14" s="231" t="s">
        <v>869</v>
      </c>
      <c r="R14" s="231" t="s">
        <v>3428</v>
      </c>
      <c r="S14" s="229" t="s">
        <v>13</v>
      </c>
      <c r="T14" s="20">
        <v>45447</v>
      </c>
      <c r="U14" s="236">
        <v>24</v>
      </c>
      <c r="V14" s="231">
        <v>12</v>
      </c>
      <c r="W14" s="237">
        <f t="shared" si="0"/>
        <v>2</v>
      </c>
      <c r="X14" s="90" t="str">
        <f t="shared" si="1"/>
        <v/>
      </c>
      <c r="Y14" s="239" t="s">
        <v>227</v>
      </c>
      <c r="Z14" s="60"/>
      <c r="AA14" s="18" t="str" cm="1">
        <f t="array" ref="AA14">IF(P14="", "", _xlfn.XLOOKUP(P14,#REF!,#REF!,NA,0,-1))</f>
        <v/>
      </c>
      <c r="AB14" s="231"/>
      <c r="AC14" s="55" t="s">
        <v>4063</v>
      </c>
      <c r="AD14" s="121" t="e">
        <f>IF($AC14="","",_xlfn.XLOOKUP($AC14,'[2]Client Info'!$C$2:$C$2535,'[2]Client Info'!$D$2:$D$2535))</f>
        <v>#N/A</v>
      </c>
      <c r="AE14" s="231" t="e">
        <f>IF($AC14="","",_xlfn.XLOOKUP($AC14,'[2]Client Info'!$C$2:$C$2715,'[2]Client Info'!$E$2:$E$2715))</f>
        <v>#N/A</v>
      </c>
      <c r="AF14" s="231" t="e">
        <f>IF($AC14="","",_xlfn.XLOOKUP($AC14,'[2]Client Info'!$C$2:$C$2715,'[2]Client Info'!$F$2:$F$2715))</f>
        <v>#N/A</v>
      </c>
      <c r="AG14" s="231" t="s">
        <v>4064</v>
      </c>
      <c r="AH14" s="238"/>
      <c r="AI14" s="43" t="str">
        <f>_xlfn.XLOOKUP(Table26[[#This Row],[customerSKU]],customerSKU!G:G,customerSKU!O:O,"not found",0,1)</f>
        <v>not found</v>
      </c>
      <c r="AJ14" s="53">
        <f>Table26[[#This Row],[unitprice]]*Table26[[#This Row],[quantity_unit]]</f>
        <v>0</v>
      </c>
      <c r="AK14" s="53" cm="1">
        <f t="array" ref="AK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15" spans="1:37" s="47" customFormat="1" ht="18" customHeight="1">
      <c r="A15" s="42">
        <v>2234</v>
      </c>
      <c r="B15" s="42" t="s">
        <v>3520</v>
      </c>
      <c r="C15" s="43" t="s">
        <v>203</v>
      </c>
      <c r="D15" s="45"/>
      <c r="E15" s="45"/>
      <c r="F15" s="53"/>
      <c r="G15" s="46"/>
      <c r="H15" s="43"/>
      <c r="I15" s="47" t="s">
        <v>3862</v>
      </c>
      <c r="J15" s="47" t="s">
        <v>3979</v>
      </c>
      <c r="K15" s="48">
        <v>45488</v>
      </c>
      <c r="L15" s="49" t="s">
        <v>201</v>
      </c>
      <c r="N15" s="89" t="str">
        <f>Table26[[#This Row],[po_number]]&amp;"-"&amp;Table26[[#This Row],[po_line]]</f>
        <v>-1</v>
      </c>
      <c r="O15" s="89">
        <v>1</v>
      </c>
      <c r="P15" s="50"/>
      <c r="Q15" s="47" t="s">
        <v>3980</v>
      </c>
      <c r="R15" s="47" t="s">
        <v>3794</v>
      </c>
      <c r="S15" s="43"/>
      <c r="T15" s="20">
        <v>45179</v>
      </c>
      <c r="U15" s="52">
        <v>108</v>
      </c>
      <c r="V15" s="47">
        <v>108</v>
      </c>
      <c r="W15" s="116">
        <f t="shared" si="0"/>
        <v>1</v>
      </c>
      <c r="X15" s="53" t="str">
        <f t="shared" si="1"/>
        <v/>
      </c>
      <c r="Z15" s="60"/>
      <c r="AA15" s="18" t="str" cm="1">
        <f t="array" ref="AA15">IF(P15="", "", _xlfn.XLOOKUP(P15,#REF!,#REF!,NA,0,-1))</f>
        <v/>
      </c>
      <c r="AC15" s="55" t="s">
        <v>3509</v>
      </c>
      <c r="AD15" s="56" t="str">
        <f>IF($AC15="","",_xlfn.XLOOKUP($AC15,'[2]Client Info'!$C$2:$C$2535,'[2]Client Info'!$D$2:$D$2535))</f>
        <v>#201 – 1420 Alpha Lake Road</v>
      </c>
      <c r="AE15" s="47" t="str">
        <f>IF($AC15="","",_xlfn.XLOOKUP($AC15,'[2]Client Info'!$C$2:$C$2715,'[2]Client Info'!$E$2:$E$2715))</f>
        <v>Whistler</v>
      </c>
      <c r="AF15" s="47" t="str">
        <f>IF($AC15="","",_xlfn.XLOOKUP($AC15,'[2]Client Info'!$C$2:$C$2715,'[2]Client Info'!$F$2:$F$2715))</f>
        <v>BC</v>
      </c>
      <c r="AG15" s="47" t="s">
        <v>16</v>
      </c>
      <c r="AH15" s="57">
        <v>0</v>
      </c>
      <c r="AI15" s="43" t="str">
        <f>_xlfn.XLOOKUP(Table26[[#This Row],[customerSKU]],customerSKU!G:G,customerSKU!O:O,"not found",0,1)</f>
        <v>not found</v>
      </c>
      <c r="AJ15" s="53">
        <f>Table26[[#This Row],[unitprice]]*Table26[[#This Row],[quantity_unit]]</f>
        <v>0</v>
      </c>
      <c r="AK15" s="53" t="e" cm="1">
        <f t="array" ref="AK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6" spans="1:37" s="47" customFormat="1" ht="18" customHeight="1">
      <c r="A16" s="42">
        <v>2235</v>
      </c>
      <c r="B16" s="42" t="s">
        <v>3520</v>
      </c>
      <c r="C16" s="43" t="s">
        <v>203</v>
      </c>
      <c r="D16" s="45"/>
      <c r="E16" s="45"/>
      <c r="F16" s="53"/>
      <c r="G16" s="46"/>
      <c r="H16" s="43"/>
      <c r="I16" s="47" t="s">
        <v>3862</v>
      </c>
      <c r="J16" s="47" t="s">
        <v>3979</v>
      </c>
      <c r="K16" s="48">
        <v>45488</v>
      </c>
      <c r="L16" s="49" t="s">
        <v>201</v>
      </c>
      <c r="N16" s="89" t="str">
        <f>Table26[[#This Row],[po_number]]&amp;"-"&amp;Table26[[#This Row],[po_line]]</f>
        <v>-2</v>
      </c>
      <c r="O16" s="89">
        <v>2</v>
      </c>
      <c r="P16" s="50"/>
      <c r="Q16" s="47" t="s">
        <v>3981</v>
      </c>
      <c r="R16" s="47" t="s">
        <v>3794</v>
      </c>
      <c r="S16" s="43"/>
      <c r="T16" s="20">
        <v>45388</v>
      </c>
      <c r="U16" s="52">
        <v>100</v>
      </c>
      <c r="V16" s="47">
        <v>100</v>
      </c>
      <c r="W16" s="116">
        <f t="shared" si="0"/>
        <v>1</v>
      </c>
      <c r="X16" s="53" t="str">
        <f t="shared" si="1"/>
        <v/>
      </c>
      <c r="Z16" s="60"/>
      <c r="AA16" s="18" t="str" cm="1">
        <f t="array" ref="AA16">IF(P16="", "", _xlfn.XLOOKUP(P16,#REF!,#REF!,NA,0,-1))</f>
        <v/>
      </c>
      <c r="AC16" s="55" t="s">
        <v>3509</v>
      </c>
      <c r="AD16" s="56" t="str">
        <f>IF($AC16="","",_xlfn.XLOOKUP($AC16,'[2]Client Info'!$C$2:$C$2535,'[2]Client Info'!$D$2:$D$2535))</f>
        <v>#201 – 1420 Alpha Lake Road</v>
      </c>
      <c r="AE16" s="47" t="str">
        <f>IF($AC16="","",_xlfn.XLOOKUP($AC16,'[2]Client Info'!$C$2:$C$2715,'[2]Client Info'!$E$2:$E$2715))</f>
        <v>Whistler</v>
      </c>
      <c r="AF16" s="47" t="str">
        <f>IF($AC16="","",_xlfn.XLOOKUP($AC16,'[2]Client Info'!$C$2:$C$2715,'[2]Client Info'!$F$2:$F$2715))</f>
        <v>BC</v>
      </c>
      <c r="AG16" s="47" t="s">
        <v>16</v>
      </c>
      <c r="AH16" s="57">
        <v>0</v>
      </c>
      <c r="AI16" s="43" t="str">
        <f>_xlfn.XLOOKUP(Table26[[#This Row],[customerSKU]],customerSKU!G:G,customerSKU!O:O,"not found",0,1)</f>
        <v>not found</v>
      </c>
      <c r="AJ16" s="53">
        <f>Table26[[#This Row],[unitprice]]*Table26[[#This Row],[quantity_unit]]</f>
        <v>0</v>
      </c>
      <c r="AK16" s="53" t="e" cm="1">
        <f t="array" ref="AK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" spans="1:37" s="53" customFormat="1" ht="18" customHeight="1">
      <c r="A17" s="42">
        <v>2211</v>
      </c>
      <c r="B17" s="42" t="s">
        <v>3837</v>
      </c>
      <c r="C17" s="43" t="s">
        <v>203</v>
      </c>
      <c r="D17" s="45"/>
      <c r="E17" s="45"/>
      <c r="G17" s="46"/>
      <c r="H17" s="43"/>
      <c r="I17" s="47" t="s">
        <v>3862</v>
      </c>
      <c r="J17" s="47" t="s">
        <v>3838</v>
      </c>
      <c r="K17" s="48">
        <v>45492</v>
      </c>
      <c r="L17" s="49" t="s">
        <v>490</v>
      </c>
      <c r="M17" s="47"/>
      <c r="N17" s="89" t="str">
        <f>Table26[[#This Row],[po_number]]&amp;"-"&amp;Table26[[#This Row],[po_line]]</f>
        <v>-1</v>
      </c>
      <c r="O17" s="89">
        <v>1</v>
      </c>
      <c r="P17" s="50"/>
      <c r="Q17" s="47" t="s">
        <v>3934</v>
      </c>
      <c r="R17" s="47" t="s">
        <v>3428</v>
      </c>
      <c r="S17" s="43" t="s">
        <v>20</v>
      </c>
      <c r="T17" s="20">
        <v>45443</v>
      </c>
      <c r="U17" s="52">
        <f>12*60</f>
        <v>720</v>
      </c>
      <c r="V17" s="47">
        <v>12</v>
      </c>
      <c r="W17" s="116">
        <f t="shared" si="0"/>
        <v>60</v>
      </c>
      <c r="X17" s="53" t="str">
        <f t="shared" si="1"/>
        <v/>
      </c>
      <c r="Y17" s="47"/>
      <c r="Z17" s="60"/>
      <c r="AA17" s="18" t="str" cm="1">
        <f t="array" ref="AA17">IF(P17="", "", _xlfn.XLOOKUP(P17,#REF!,#REF!,NA,0,-1))</f>
        <v/>
      </c>
      <c r="AB17" s="47"/>
      <c r="AC17" s="55" t="s">
        <v>3935</v>
      </c>
      <c r="AD17" s="56" t="str">
        <f>IF($AC17="","",_xlfn.XLOOKUP($AC17,'[2]Client Info'!$C$2:$C$2535,'[2]Client Info'!$D$2:$D$2535))</f>
        <v>18, Canso rd</v>
      </c>
      <c r="AE17" s="47" t="str">
        <f>IF($AC17="","",_xlfn.XLOOKUP($AC17,'[2]Client Info'!$C$2:$C$2715,'[2]Client Info'!$E$2:$E$2715))</f>
        <v>Etobicoke</v>
      </c>
      <c r="AF17" s="47" t="str">
        <f>IF($AC17="","",_xlfn.XLOOKUP($AC17,'[2]Client Info'!$C$2:$C$2715,'[2]Client Info'!$F$2:$F$2715))</f>
        <v>ON</v>
      </c>
      <c r="AG17" s="105" t="s">
        <v>9</v>
      </c>
      <c r="AH17" s="57"/>
      <c r="AI17" s="43" t="str">
        <f>_xlfn.XLOOKUP(Table26[[#This Row],[customerSKU]],customerSKU!G:G,customerSKU!O:O,"not found",0,1)</f>
        <v>not found</v>
      </c>
      <c r="AJ17" s="53">
        <f>Table26[[#This Row],[unitprice]]*Table26[[#This Row],[quantity_unit]]</f>
        <v>0</v>
      </c>
      <c r="AK17" s="53" t="e" cm="1">
        <f t="array" ref="AK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" spans="1:37" s="53" customFormat="1" ht="18" customHeight="1">
      <c r="A18" s="42">
        <v>2212</v>
      </c>
      <c r="B18" s="42" t="s">
        <v>3837</v>
      </c>
      <c r="C18" s="43" t="s">
        <v>203</v>
      </c>
      <c r="D18" s="45"/>
      <c r="E18" s="45"/>
      <c r="G18" s="46"/>
      <c r="H18" s="43"/>
      <c r="I18" s="47" t="s">
        <v>3862</v>
      </c>
      <c r="J18" s="47" t="s">
        <v>3838</v>
      </c>
      <c r="K18" s="48">
        <v>45492</v>
      </c>
      <c r="L18" s="49" t="s">
        <v>490</v>
      </c>
      <c r="M18" s="47"/>
      <c r="N18" s="89" t="str">
        <f>Table26[[#This Row],[po_number]]&amp;"-"&amp;Table26[[#This Row],[po_line]]</f>
        <v>-1</v>
      </c>
      <c r="O18" s="89">
        <v>1</v>
      </c>
      <c r="P18" s="50"/>
      <c r="Q18" s="47" t="s">
        <v>3936</v>
      </c>
      <c r="R18" s="47" t="s">
        <v>3428</v>
      </c>
      <c r="S18" s="43" t="s">
        <v>20</v>
      </c>
      <c r="T18" s="20">
        <v>45473</v>
      </c>
      <c r="U18" s="52">
        <f>272*12</f>
        <v>3264</v>
      </c>
      <c r="V18" s="47">
        <v>12</v>
      </c>
      <c r="W18" s="116">
        <f t="shared" si="0"/>
        <v>272</v>
      </c>
      <c r="X18" s="53" t="str">
        <f t="shared" si="1"/>
        <v/>
      </c>
      <c r="Y18" s="47"/>
      <c r="Z18" s="60"/>
      <c r="AA18" s="18" t="str" cm="1">
        <f t="array" ref="AA18">IF(P18="", "", _xlfn.XLOOKUP(P18,#REF!,#REF!,NA,0,-1))</f>
        <v/>
      </c>
      <c r="AB18" s="47"/>
      <c r="AC18" s="55" t="s">
        <v>3935</v>
      </c>
      <c r="AD18" s="56" t="str">
        <f>IF($AC18="","",_xlfn.XLOOKUP($AC18,'[2]Client Info'!$C$2:$C$2535,'[2]Client Info'!$D$2:$D$2535))</f>
        <v>18, Canso rd</v>
      </c>
      <c r="AE18" s="47" t="str">
        <f>IF($AC18="","",_xlfn.XLOOKUP($AC18,'[2]Client Info'!$C$2:$C$2715,'[2]Client Info'!$E$2:$E$2715))</f>
        <v>Etobicoke</v>
      </c>
      <c r="AF18" s="47" t="str">
        <f>IF($AC18="","",_xlfn.XLOOKUP($AC18,'[2]Client Info'!$C$2:$C$2715,'[2]Client Info'!$F$2:$F$2715))</f>
        <v>ON</v>
      </c>
      <c r="AG18" s="105" t="s">
        <v>9</v>
      </c>
      <c r="AH18" s="57"/>
      <c r="AI18" s="43" t="str">
        <f>_xlfn.XLOOKUP(Table26[[#This Row],[customerSKU]],customerSKU!G:G,customerSKU!O:O,"not found",0,1)</f>
        <v>not found</v>
      </c>
      <c r="AJ18" s="53">
        <f>Table26[[#This Row],[unitprice]]*Table26[[#This Row],[quantity_unit]]</f>
        <v>0</v>
      </c>
      <c r="AK18" s="53" t="e" cm="1">
        <f t="array" ref="AK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9" spans="1:37" s="53" customFormat="1" ht="18" customHeight="1">
      <c r="A19" s="42">
        <v>2213</v>
      </c>
      <c r="B19" s="42" t="s">
        <v>3837</v>
      </c>
      <c r="C19" s="43" t="s">
        <v>203</v>
      </c>
      <c r="D19" s="45"/>
      <c r="E19" s="45"/>
      <c r="G19" s="46"/>
      <c r="H19" s="43"/>
      <c r="I19" s="47" t="s">
        <v>3862</v>
      </c>
      <c r="J19" s="47" t="s">
        <v>3838</v>
      </c>
      <c r="K19" s="48">
        <v>45492</v>
      </c>
      <c r="L19" s="49" t="s">
        <v>490</v>
      </c>
      <c r="M19" s="47"/>
      <c r="N19" s="89" t="str">
        <f>Table26[[#This Row],[po_number]]&amp;"-"&amp;Table26[[#This Row],[po_line]]</f>
        <v>-2</v>
      </c>
      <c r="O19" s="89">
        <v>2</v>
      </c>
      <c r="P19" s="50"/>
      <c r="Q19" s="47" t="s">
        <v>3937</v>
      </c>
      <c r="R19" s="47" t="s">
        <v>3428</v>
      </c>
      <c r="S19" s="43" t="s">
        <v>20</v>
      </c>
      <c r="T19" s="20">
        <v>45478</v>
      </c>
      <c r="U19" s="52">
        <f>183*12</f>
        <v>2196</v>
      </c>
      <c r="V19" s="47">
        <v>12</v>
      </c>
      <c r="W19" s="116">
        <f t="shared" si="0"/>
        <v>183</v>
      </c>
      <c r="X19" s="53" t="str">
        <f t="shared" si="1"/>
        <v/>
      </c>
      <c r="Y19" s="47"/>
      <c r="Z19" s="60"/>
      <c r="AA19" s="18" t="str" cm="1">
        <f t="array" ref="AA19">IF(P19="", "", _xlfn.XLOOKUP(P19,#REF!,#REF!,NA,0,-1))</f>
        <v/>
      </c>
      <c r="AB19" s="47"/>
      <c r="AC19" s="55" t="s">
        <v>3935</v>
      </c>
      <c r="AD19" s="56" t="str">
        <f>IF($AC19="","",_xlfn.XLOOKUP($AC19,'[2]Client Info'!$C$2:$C$2535,'[2]Client Info'!$D$2:$D$2535))</f>
        <v>18, Canso rd</v>
      </c>
      <c r="AE19" s="47" t="str">
        <f>IF($AC19="","",_xlfn.XLOOKUP($AC19,'[2]Client Info'!$C$2:$C$2715,'[2]Client Info'!$E$2:$E$2715))</f>
        <v>Etobicoke</v>
      </c>
      <c r="AF19" s="47" t="str">
        <f>IF($AC19="","",_xlfn.XLOOKUP($AC19,'[2]Client Info'!$C$2:$C$2715,'[2]Client Info'!$F$2:$F$2715))</f>
        <v>ON</v>
      </c>
      <c r="AG19" s="105" t="s">
        <v>9</v>
      </c>
      <c r="AH19" s="57"/>
      <c r="AI19" s="43" t="str">
        <f>_xlfn.XLOOKUP(Table26[[#This Row],[customerSKU]],customerSKU!G:G,customerSKU!O:O,"not found",0,1)</f>
        <v>not found</v>
      </c>
      <c r="AJ19" s="53">
        <f>Table26[[#This Row],[unitprice]]*Table26[[#This Row],[quantity_unit]]</f>
        <v>0</v>
      </c>
      <c r="AK19" s="53" t="e" cm="1">
        <f t="array" ref="AK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0" spans="1:37" s="53" customFormat="1" ht="18" customHeight="1">
      <c r="A20" s="42">
        <v>2214</v>
      </c>
      <c r="B20" s="42" t="s">
        <v>3837</v>
      </c>
      <c r="C20" s="43" t="s">
        <v>203</v>
      </c>
      <c r="D20" s="45"/>
      <c r="E20" s="45"/>
      <c r="G20" s="46"/>
      <c r="H20" s="43"/>
      <c r="I20" s="47" t="s">
        <v>3862</v>
      </c>
      <c r="J20" s="47" t="s">
        <v>3838</v>
      </c>
      <c r="K20" s="48">
        <v>45492</v>
      </c>
      <c r="L20" s="49" t="s">
        <v>490</v>
      </c>
      <c r="M20" s="47"/>
      <c r="N20" s="89" t="str">
        <f>Table26[[#This Row],[po_number]]&amp;"-"&amp;Table26[[#This Row],[po_line]]</f>
        <v>-1</v>
      </c>
      <c r="O20" s="89">
        <v>1</v>
      </c>
      <c r="P20" s="50"/>
      <c r="Q20" s="47" t="s">
        <v>3931</v>
      </c>
      <c r="R20" s="47" t="s">
        <v>3428</v>
      </c>
      <c r="S20" s="43" t="s">
        <v>34</v>
      </c>
      <c r="T20" s="20">
        <v>45464</v>
      </c>
      <c r="U20" s="52">
        <v>12</v>
      </c>
      <c r="V20" s="47">
        <v>12</v>
      </c>
      <c r="W20" s="116">
        <f t="shared" si="0"/>
        <v>1</v>
      </c>
      <c r="X20" s="53" t="str">
        <f t="shared" si="1"/>
        <v/>
      </c>
      <c r="Y20" s="47"/>
      <c r="Z20" s="60"/>
      <c r="AA20" s="18" t="str" cm="1">
        <f t="array" ref="AA20">IF(P20="", "", _xlfn.XLOOKUP(P20,#REF!,#REF!,NA,0,-1))</f>
        <v/>
      </c>
      <c r="AB20" s="47"/>
      <c r="AC20" s="55" t="s">
        <v>3400</v>
      </c>
      <c r="AD20" s="56" t="str">
        <f>IF($AC20="","",_xlfn.XLOOKUP($AC20,'[2]Client Info'!$C$2:$C$2535,'[2]Client Info'!$D$2:$D$2535))</f>
        <v>9031 Quartz Road</v>
      </c>
      <c r="AE20" s="47" t="str">
        <f>IF($AC20="","",_xlfn.XLOOKUP($AC20,'[2]Client Info'!$C$2:$C$2715,'[2]Client Info'!$E$2:$E$2715))</f>
        <v>White Horse</v>
      </c>
      <c r="AF20" s="47" t="str">
        <f>IF($AC20="","",_xlfn.XLOOKUP($AC20,'[2]Client Info'!$C$2:$C$2715,'[2]Client Info'!$F$2:$F$2715))</f>
        <v>YT</v>
      </c>
      <c r="AG20" s="105" t="s">
        <v>9</v>
      </c>
      <c r="AH20" s="57"/>
      <c r="AI20" s="43" t="str">
        <f>_xlfn.XLOOKUP(Table26[[#This Row],[customerSKU]],customerSKU!G:G,customerSKU!O:O,"not found",0,1)</f>
        <v>not found</v>
      </c>
      <c r="AJ20" s="53">
        <f>Table26[[#This Row],[unitprice]]*Table26[[#This Row],[quantity_unit]]</f>
        <v>0</v>
      </c>
      <c r="AK20" s="53" t="e" cm="1">
        <f t="array" ref="AK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" spans="1:37" s="53" customFormat="1" ht="18" customHeight="1">
      <c r="A21" s="42">
        <v>2215</v>
      </c>
      <c r="B21" s="42" t="s">
        <v>3837</v>
      </c>
      <c r="C21" s="43" t="s">
        <v>203</v>
      </c>
      <c r="D21" s="45">
        <v>45483</v>
      </c>
      <c r="E21" s="45"/>
      <c r="G21" s="46"/>
      <c r="H21" s="43"/>
      <c r="I21" s="47" t="s">
        <v>3862</v>
      </c>
      <c r="J21" s="47" t="s">
        <v>3838</v>
      </c>
      <c r="K21" s="48">
        <v>45492</v>
      </c>
      <c r="L21" s="49" t="s">
        <v>490</v>
      </c>
      <c r="M21" s="47"/>
      <c r="N21" s="89" t="str">
        <f>Table26[[#This Row],[po_number]]&amp;"-"&amp;Table26[[#This Row],[po_line]]</f>
        <v>-1</v>
      </c>
      <c r="O21" s="89">
        <v>1</v>
      </c>
      <c r="P21" s="50"/>
      <c r="Q21" s="47" t="s">
        <v>885</v>
      </c>
      <c r="R21" s="47" t="s">
        <v>3428</v>
      </c>
      <c r="S21" s="43" t="s">
        <v>34</v>
      </c>
      <c r="T21" s="20">
        <v>45423</v>
      </c>
      <c r="U21" s="52">
        <v>12</v>
      </c>
      <c r="V21" s="47">
        <v>12</v>
      </c>
      <c r="W21" s="116">
        <f t="shared" si="0"/>
        <v>1</v>
      </c>
      <c r="X21" s="53" t="str">
        <f t="shared" si="1"/>
        <v/>
      </c>
      <c r="Y21" s="68" t="s">
        <v>235</v>
      </c>
      <c r="Z21" s="60"/>
      <c r="AA21" s="18" t="str" cm="1">
        <f t="array" ref="AA21">IF(P21="", "", _xlfn.XLOOKUP(P21,#REF!,#REF!,NA,0,-1))</f>
        <v/>
      </c>
      <c r="AB21" s="47"/>
      <c r="AC21" s="55" t="s">
        <v>3400</v>
      </c>
      <c r="AD21" s="56" t="str">
        <f>IF($AC21="","",_xlfn.XLOOKUP($AC21,'[2]Client Info'!$C$2:$C$2535,'[2]Client Info'!$D$2:$D$2535))</f>
        <v>9031 Quartz Road</v>
      </c>
      <c r="AE21" s="47" t="str">
        <f>IF($AC21="","",_xlfn.XLOOKUP($AC21,'[2]Client Info'!$C$2:$C$2715,'[2]Client Info'!$E$2:$E$2715))</f>
        <v>White Horse</v>
      </c>
      <c r="AF21" s="47" t="str">
        <f>IF($AC21="","",_xlfn.XLOOKUP($AC21,'[2]Client Info'!$C$2:$C$2715,'[2]Client Info'!$F$2:$F$2715))</f>
        <v>YT</v>
      </c>
      <c r="AG21" s="105" t="s">
        <v>9</v>
      </c>
      <c r="AH21" s="57">
        <f>228/12</f>
        <v>19</v>
      </c>
      <c r="AI21" s="43" t="str">
        <f>_xlfn.XLOOKUP(Table26[[#This Row],[customerSKU]],customerSKU!G:G,customerSKU!O:O,"not found",0,1)</f>
        <v>not found</v>
      </c>
      <c r="AJ21" s="53">
        <f>Table26[[#This Row],[unitprice]]*Table26[[#This Row],[quantity_unit]]</f>
        <v>228</v>
      </c>
      <c r="AK21" s="53" t="e" cm="1">
        <f t="array" ref="AK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2" spans="1:37" s="53" customFormat="1" ht="18" customHeight="1">
      <c r="A22" s="42">
        <v>2216</v>
      </c>
      <c r="B22" s="42" t="s">
        <v>3837</v>
      </c>
      <c r="C22" s="43" t="s">
        <v>203</v>
      </c>
      <c r="D22" s="45"/>
      <c r="E22" s="45"/>
      <c r="G22" s="46"/>
      <c r="H22" s="43"/>
      <c r="I22" s="47" t="s">
        <v>3862</v>
      </c>
      <c r="J22" s="47" t="s">
        <v>3838</v>
      </c>
      <c r="K22" s="48">
        <v>45492</v>
      </c>
      <c r="L22" s="49" t="s">
        <v>490</v>
      </c>
      <c r="M22" s="47"/>
      <c r="N22" s="89" t="str">
        <f>Table26[[#This Row],[po_number]]&amp;"-"&amp;Table26[[#This Row],[po_line]]</f>
        <v>-1</v>
      </c>
      <c r="O22" s="89">
        <v>1</v>
      </c>
      <c r="P22" s="50"/>
      <c r="Q22" s="47" t="s">
        <v>3938</v>
      </c>
      <c r="R22" s="47" t="s">
        <v>3428</v>
      </c>
      <c r="S22" s="43" t="s">
        <v>21</v>
      </c>
      <c r="T22" s="20">
        <v>45483</v>
      </c>
      <c r="U22" s="52">
        <f>15*12</f>
        <v>180</v>
      </c>
      <c r="V22" s="47">
        <v>12</v>
      </c>
      <c r="W22" s="116">
        <f t="shared" si="0"/>
        <v>15</v>
      </c>
      <c r="X22" s="53" t="str">
        <f t="shared" si="1"/>
        <v/>
      </c>
      <c r="Y22" s="47"/>
      <c r="Z22" s="60"/>
      <c r="AA22" s="18" t="str" cm="1">
        <f t="array" ref="AA22">IF(P22="", "", _xlfn.XLOOKUP(P22,#REF!,#REF!,NA,0,-1))</f>
        <v/>
      </c>
      <c r="AB22" s="47"/>
      <c r="AC22" s="55" t="s">
        <v>3935</v>
      </c>
      <c r="AD22" s="56" t="str">
        <f>IF($AC22="","",_xlfn.XLOOKUP($AC22,'[2]Client Info'!$C$2:$C$2535,'[2]Client Info'!$D$2:$D$2535))</f>
        <v>18, Canso rd</v>
      </c>
      <c r="AE22" s="47" t="str">
        <f>IF($AC22="","",_xlfn.XLOOKUP($AC22,'[2]Client Info'!$C$2:$C$2715,'[2]Client Info'!$E$2:$E$2715))</f>
        <v>Etobicoke</v>
      </c>
      <c r="AF22" s="47" t="str">
        <f>IF($AC22="","",_xlfn.XLOOKUP($AC22,'[2]Client Info'!$C$2:$C$2715,'[2]Client Info'!$F$2:$F$2715))</f>
        <v>ON</v>
      </c>
      <c r="AG22" s="105" t="s">
        <v>9</v>
      </c>
      <c r="AH22" s="57"/>
      <c r="AI22" s="43" t="str">
        <f>_xlfn.XLOOKUP(Table26[[#This Row],[customerSKU]],customerSKU!G:G,customerSKU!O:O,"not found",0,1)</f>
        <v>not found</v>
      </c>
      <c r="AJ22" s="53">
        <f>Table26[[#This Row],[unitprice]]*Table26[[#This Row],[quantity_unit]]</f>
        <v>0</v>
      </c>
      <c r="AK22" s="53" t="e" cm="1">
        <f t="array" ref="AK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3" spans="1:37" s="53" customFormat="1" ht="18" customHeight="1">
      <c r="A23" s="42">
        <v>2217</v>
      </c>
      <c r="B23" s="42" t="s">
        <v>3837</v>
      </c>
      <c r="C23" s="43" t="s">
        <v>203</v>
      </c>
      <c r="D23" s="45"/>
      <c r="E23" s="45"/>
      <c r="G23" s="46"/>
      <c r="H23" s="43"/>
      <c r="I23" s="47" t="s">
        <v>3862</v>
      </c>
      <c r="J23" s="47" t="s">
        <v>3838</v>
      </c>
      <c r="K23" s="48">
        <v>45492</v>
      </c>
      <c r="L23" s="49" t="s">
        <v>490</v>
      </c>
      <c r="M23" s="47"/>
      <c r="N23" s="89" t="str">
        <f>Table26[[#This Row],[po_number]]&amp;"-"&amp;Table26[[#This Row],[po_line]]</f>
        <v>-2</v>
      </c>
      <c r="O23" s="89">
        <v>2</v>
      </c>
      <c r="P23" s="50"/>
      <c r="Q23" s="47" t="s">
        <v>3938</v>
      </c>
      <c r="R23" s="47" t="s">
        <v>3428</v>
      </c>
      <c r="S23" s="43" t="s">
        <v>14</v>
      </c>
      <c r="T23" s="20">
        <v>45483</v>
      </c>
      <c r="U23" s="52">
        <f>15*12</f>
        <v>180</v>
      </c>
      <c r="V23" s="47">
        <v>12</v>
      </c>
      <c r="W23" s="116">
        <f t="shared" si="0"/>
        <v>15</v>
      </c>
      <c r="X23" s="53" t="str">
        <f t="shared" si="1"/>
        <v/>
      </c>
      <c r="Y23" s="47"/>
      <c r="Z23" s="60"/>
      <c r="AA23" s="18" t="str" cm="1">
        <f t="array" ref="AA23">IF(P23="", "", _xlfn.XLOOKUP(P23,#REF!,#REF!,NA,0,-1))</f>
        <v/>
      </c>
      <c r="AB23" s="47"/>
      <c r="AC23" s="55" t="s">
        <v>3935</v>
      </c>
      <c r="AD23" s="56" t="str">
        <f>IF($AC23="","",_xlfn.XLOOKUP($AC23,'[2]Client Info'!$C$2:$C$2535,'[2]Client Info'!$D$2:$D$2535))</f>
        <v>18, Canso rd</v>
      </c>
      <c r="AE23" s="47" t="str">
        <f>IF($AC23="","",_xlfn.XLOOKUP($AC23,'[2]Client Info'!$C$2:$C$2715,'[2]Client Info'!$E$2:$E$2715))</f>
        <v>Etobicoke</v>
      </c>
      <c r="AF23" s="47" t="str">
        <f>IF($AC23="","",_xlfn.XLOOKUP($AC23,'[2]Client Info'!$C$2:$C$2715,'[2]Client Info'!$F$2:$F$2715))</f>
        <v>ON</v>
      </c>
      <c r="AG23" s="105" t="s">
        <v>9</v>
      </c>
      <c r="AH23" s="57"/>
      <c r="AI23" s="43" t="str">
        <f>_xlfn.XLOOKUP(Table26[[#This Row],[customerSKU]],customerSKU!G:G,customerSKU!O:O,"not found",0,1)</f>
        <v>not found</v>
      </c>
      <c r="AJ23" s="53">
        <f>Table26[[#This Row],[unitprice]]*Table26[[#This Row],[quantity_unit]]</f>
        <v>0</v>
      </c>
      <c r="AK23" s="53" t="e" cm="1">
        <f t="array" ref="AK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4" spans="1:37" s="53" customFormat="1" ht="18" customHeight="1">
      <c r="A24" s="42">
        <v>2218</v>
      </c>
      <c r="B24" s="42" t="s">
        <v>3520</v>
      </c>
      <c r="C24" s="43" t="s">
        <v>203</v>
      </c>
      <c r="D24" s="45"/>
      <c r="E24" s="45"/>
      <c r="G24" s="46"/>
      <c r="H24" s="43"/>
      <c r="I24" s="47" t="s">
        <v>3862</v>
      </c>
      <c r="J24" s="47" t="s">
        <v>27</v>
      </c>
      <c r="K24" s="48">
        <v>45492</v>
      </c>
      <c r="L24" s="49" t="s">
        <v>490</v>
      </c>
      <c r="M24" s="47"/>
      <c r="N24" s="89" t="str">
        <f>Table26[[#This Row],[po_number]]&amp;"-"&amp;Table26[[#This Row],[po_line]]</f>
        <v>-1</v>
      </c>
      <c r="O24" s="89">
        <v>1</v>
      </c>
      <c r="P24" s="50"/>
      <c r="Q24" s="47" t="s">
        <v>1386</v>
      </c>
      <c r="R24" s="47" t="s">
        <v>3428</v>
      </c>
      <c r="S24" s="43" t="s">
        <v>21</v>
      </c>
      <c r="T24" s="20">
        <v>45492</v>
      </c>
      <c r="U24" s="52">
        <v>12</v>
      </c>
      <c r="V24" s="47">
        <v>12</v>
      </c>
      <c r="W24" s="116">
        <f t="shared" si="0"/>
        <v>1</v>
      </c>
      <c r="X24" s="53" t="str">
        <f t="shared" si="1"/>
        <v/>
      </c>
      <c r="Y24" s="68" t="s">
        <v>292</v>
      </c>
      <c r="Z24" s="60"/>
      <c r="AA24" s="18" t="str" cm="1">
        <f t="array" ref="AA24">IF(P24="", "", _xlfn.XLOOKUP(P24,#REF!,#REF!,NA,0,-1))</f>
        <v/>
      </c>
      <c r="AB24" s="47"/>
      <c r="AC24" s="55" t="s">
        <v>3991</v>
      </c>
      <c r="AD24" s="61" t="str">
        <f>IF($AC24="","",_xlfn.XLOOKUP($AC24,'[2]Client Info'!$C$2:$C$2535,'[2]Client Info'!$D$2:$D$2535))</f>
        <v>543 Broadway Ave</v>
      </c>
      <c r="AE24" s="47" t="str">
        <f>IF($AC24="","",_xlfn.XLOOKUP($AC24,'[2]Client Info'!$C$2:$C$2715,'[2]Client Info'!$E$2:$E$2715))</f>
        <v xml:space="preserve">Killarney </v>
      </c>
      <c r="AF24" s="47" t="str">
        <f>IF($AC24="","",_xlfn.XLOOKUP($AC24,'[2]Client Info'!$C$2:$C$2715,'[2]Client Info'!$F$2:$F$2715))</f>
        <v>MB</v>
      </c>
      <c r="AG24" s="105" t="s">
        <v>3992</v>
      </c>
      <c r="AH24" s="57">
        <f>77.88/12</f>
        <v>6.4899999999999993</v>
      </c>
      <c r="AI24" s="43" t="str">
        <f>_xlfn.XLOOKUP(Table26[[#This Row],[customerSKU]],customerSKU!G:G,customerSKU!O:O,"not found",0,1)</f>
        <v>not found</v>
      </c>
      <c r="AJ24" s="53">
        <f>Table26[[#This Row],[unitprice]]*Table26[[#This Row],[quantity_unit]]</f>
        <v>77.88</v>
      </c>
      <c r="AK24" s="53" cm="1">
        <f t="array" ref="AK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81.774000000000001</v>
      </c>
    </row>
    <row r="25" spans="1:37" s="53" customFormat="1" ht="18" customHeight="1">
      <c r="A25" s="42">
        <v>2219</v>
      </c>
      <c r="B25" s="42" t="s">
        <v>3520</v>
      </c>
      <c r="C25" s="43" t="s">
        <v>203</v>
      </c>
      <c r="D25" s="45"/>
      <c r="E25" s="45"/>
      <c r="G25" s="46"/>
      <c r="H25" s="43"/>
      <c r="I25" s="47" t="s">
        <v>3862</v>
      </c>
      <c r="J25" s="47" t="s">
        <v>27</v>
      </c>
      <c r="K25" s="48">
        <v>45492</v>
      </c>
      <c r="L25" s="49" t="s">
        <v>490</v>
      </c>
      <c r="M25" s="47"/>
      <c r="N25" s="89" t="str">
        <f>Table26[[#This Row],[po_number]]&amp;"-"&amp;Table26[[#This Row],[po_line]]</f>
        <v>-2</v>
      </c>
      <c r="O25" s="89">
        <v>2</v>
      </c>
      <c r="P25" s="50"/>
      <c r="Q25" s="47" t="s">
        <v>846</v>
      </c>
      <c r="R25" s="47" t="s">
        <v>3428</v>
      </c>
      <c r="S25" s="43" t="s">
        <v>21</v>
      </c>
      <c r="T25" s="20">
        <v>45492</v>
      </c>
      <c r="U25" s="52">
        <v>12</v>
      </c>
      <c r="V25" s="47">
        <v>12</v>
      </c>
      <c r="W25" s="116">
        <f t="shared" si="0"/>
        <v>1</v>
      </c>
      <c r="X25" s="53" t="str">
        <f t="shared" si="1"/>
        <v/>
      </c>
      <c r="Y25" s="68" t="s">
        <v>293</v>
      </c>
      <c r="Z25" s="60"/>
      <c r="AA25" s="18" t="str" cm="1">
        <f t="array" ref="AA25">IF(P25="", "", _xlfn.XLOOKUP(P25,#REF!,#REF!,NA,0,-1))</f>
        <v/>
      </c>
      <c r="AB25" s="47"/>
      <c r="AC25" s="55" t="s">
        <v>3991</v>
      </c>
      <c r="AD25" s="61" t="str">
        <f>IF($AC25="","",_xlfn.XLOOKUP($AC25,'[2]Client Info'!$C$2:$C$2535,'[2]Client Info'!$D$2:$D$2535))</f>
        <v>543 Broadway Ave</v>
      </c>
      <c r="AE25" s="47" t="str">
        <f>IF($AC25="","",_xlfn.XLOOKUP($AC25,'[2]Client Info'!$C$2:$C$2715,'[2]Client Info'!$E$2:$E$2715))</f>
        <v xml:space="preserve">Killarney </v>
      </c>
      <c r="AF25" s="47" t="str">
        <f>IF($AC25="","",_xlfn.XLOOKUP($AC25,'[2]Client Info'!$C$2:$C$2715,'[2]Client Info'!$F$2:$F$2715))</f>
        <v>MB</v>
      </c>
      <c r="AG25" s="105" t="s">
        <v>3992</v>
      </c>
      <c r="AH25" s="57">
        <f>77.4/12</f>
        <v>6.45</v>
      </c>
      <c r="AI25" s="43" t="str">
        <f>_xlfn.XLOOKUP(Table26[[#This Row],[customerSKU]],customerSKU!G:G,customerSKU!O:O,"not found",0,1)</f>
        <v>not found</v>
      </c>
      <c r="AJ25" s="53">
        <f>Table26[[#This Row],[unitprice]]*Table26[[#This Row],[quantity_unit]]</f>
        <v>77.400000000000006</v>
      </c>
      <c r="AK25" s="53" cm="1">
        <f t="array" ref="AK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81.27000000000001</v>
      </c>
    </row>
    <row r="26" spans="1:37" s="53" customFormat="1" ht="18" customHeight="1">
      <c r="A26" s="42">
        <v>2220</v>
      </c>
      <c r="B26" s="42" t="s">
        <v>3520</v>
      </c>
      <c r="C26" s="43" t="s">
        <v>203</v>
      </c>
      <c r="D26" s="45"/>
      <c r="E26" s="45"/>
      <c r="G26" s="46"/>
      <c r="H26" s="43"/>
      <c r="I26" s="47" t="s">
        <v>3862</v>
      </c>
      <c r="J26" s="47" t="s">
        <v>27</v>
      </c>
      <c r="K26" s="48">
        <v>45492</v>
      </c>
      <c r="L26" s="49" t="s">
        <v>490</v>
      </c>
      <c r="M26" s="47"/>
      <c r="N26" s="89" t="str">
        <f>Table26[[#This Row],[po_number]]&amp;"-"&amp;Table26[[#This Row],[po_line]]</f>
        <v>-3</v>
      </c>
      <c r="O26" s="89">
        <v>3</v>
      </c>
      <c r="P26" s="50"/>
      <c r="Q26" s="47" t="s">
        <v>824</v>
      </c>
      <c r="R26" s="47" t="s">
        <v>3428</v>
      </c>
      <c r="S26" s="43" t="s">
        <v>21</v>
      </c>
      <c r="T26" s="20">
        <v>45492</v>
      </c>
      <c r="U26" s="52">
        <v>12</v>
      </c>
      <c r="V26" s="47">
        <v>12</v>
      </c>
      <c r="W26" s="116">
        <f t="shared" si="0"/>
        <v>1</v>
      </c>
      <c r="X26" s="53" t="str">
        <f t="shared" si="1"/>
        <v/>
      </c>
      <c r="Y26" s="68" t="s">
        <v>229</v>
      </c>
      <c r="Z26" s="60"/>
      <c r="AA26" s="18" t="str" cm="1">
        <f t="array" ref="AA26">IF(P26="", "", _xlfn.XLOOKUP(P26,#REF!,#REF!,NA,0,-1))</f>
        <v/>
      </c>
      <c r="AB26" s="47"/>
      <c r="AC26" s="55" t="s">
        <v>3991</v>
      </c>
      <c r="AD26" s="61" t="str">
        <f>IF($AC26="","",_xlfn.XLOOKUP($AC26,'[2]Client Info'!$C$2:$C$2535,'[2]Client Info'!$D$2:$D$2535))</f>
        <v>543 Broadway Ave</v>
      </c>
      <c r="AE26" s="47" t="str">
        <f>IF($AC26="","",_xlfn.XLOOKUP($AC26,'[2]Client Info'!$C$2:$C$2715,'[2]Client Info'!$E$2:$E$2715))</f>
        <v xml:space="preserve">Killarney </v>
      </c>
      <c r="AF26" s="47" t="str">
        <f>IF($AC26="","",_xlfn.XLOOKUP($AC26,'[2]Client Info'!$C$2:$C$2715,'[2]Client Info'!$F$2:$F$2715))</f>
        <v>MB</v>
      </c>
      <c r="AG26" s="105" t="s">
        <v>3992</v>
      </c>
      <c r="AH26" s="57">
        <f>74.28/12</f>
        <v>6.19</v>
      </c>
      <c r="AI26" s="43" t="str">
        <f>_xlfn.XLOOKUP(Table26[[#This Row],[customerSKU]],customerSKU!G:G,customerSKU!O:O,"not found",0,1)</f>
        <v>not found</v>
      </c>
      <c r="AJ26" s="53">
        <f>Table26[[#This Row],[unitprice]]*Table26[[#This Row],[quantity_unit]]</f>
        <v>74.28</v>
      </c>
      <c r="AK26" s="53" cm="1">
        <f t="array" ref="AK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77.994</v>
      </c>
    </row>
    <row r="27" spans="1:37" s="53" customFormat="1" ht="18" customHeight="1">
      <c r="A27" s="42">
        <v>2221</v>
      </c>
      <c r="B27" s="228" t="s">
        <v>3837</v>
      </c>
      <c r="C27" s="229" t="s">
        <v>203</v>
      </c>
      <c r="D27" s="230"/>
      <c r="E27" s="230" t="e">
        <f>IF(#REF!&gt;0,#REF!,"")</f>
        <v>#REF!</v>
      </c>
      <c r="F27" s="90"/>
      <c r="G27" s="119"/>
      <c r="H27" s="229"/>
      <c r="I27" s="231" t="s">
        <v>3862</v>
      </c>
      <c r="J27" s="231" t="s">
        <v>503</v>
      </c>
      <c r="K27" s="232">
        <v>45492</v>
      </c>
      <c r="L27" s="233" t="s">
        <v>504</v>
      </c>
      <c r="M27" s="231"/>
      <c r="N27" s="252" t="str">
        <f>Table26[[#This Row],[po_number]]&amp;"-"&amp;Table26[[#This Row],[po_line]]</f>
        <v>-1</v>
      </c>
      <c r="O27" s="252">
        <v>1</v>
      </c>
      <c r="P27" s="234"/>
      <c r="Q27" s="231" t="s">
        <v>862</v>
      </c>
      <c r="R27" s="231" t="s">
        <v>3794</v>
      </c>
      <c r="S27" s="229"/>
      <c r="T27" s="20">
        <v>45488</v>
      </c>
      <c r="U27" s="236">
        <v>24</v>
      </c>
      <c r="V27" s="231">
        <v>12</v>
      </c>
      <c r="W27" s="237">
        <f t="shared" si="0"/>
        <v>2</v>
      </c>
      <c r="X27" s="90" t="str">
        <f t="shared" si="1"/>
        <v/>
      </c>
      <c r="Y27" s="231"/>
      <c r="Z27" s="60"/>
      <c r="AA27" s="18" t="str" cm="1">
        <f t="array" ref="AA27">IF(P27="", "", _xlfn.XLOOKUP(P27,#REF!,#REF!,NA,0,-1))</f>
        <v/>
      </c>
      <c r="AB27" s="231"/>
      <c r="AC27" s="55" t="s">
        <v>4065</v>
      </c>
      <c r="AD27" s="121" t="str">
        <f>IF($AC27="","",_xlfn.XLOOKUP($AC27,'[2]Client Info'!$C$2:$C$2535,'[2]Client Info'!$D$2:$D$2535))</f>
        <v>1306 COLUMBIA AVE</v>
      </c>
      <c r="AE27" s="231" t="str">
        <f>IF($AC27="","",_xlfn.XLOOKUP($AC27,'[2]Client Info'!$C$2:$C$2715,'[2]Client Info'!$E$2:$E$2715))</f>
        <v>CASTLEGAR</v>
      </c>
      <c r="AF27" s="231" t="str">
        <f>IF($AC27="","",_xlfn.XLOOKUP($AC27,'[2]Client Info'!$C$2:$C$2715,'[2]Client Info'!$F$2:$F$2715))</f>
        <v xml:space="preserve">BC </v>
      </c>
      <c r="AG27" s="252" t="s">
        <v>42</v>
      </c>
      <c r="AH27" s="238"/>
      <c r="AI27" s="43" t="str">
        <f>_xlfn.XLOOKUP(Table26[[#This Row],[customerSKU]],customerSKU!G:G,customerSKU!O:O,"not found",0,1)</f>
        <v>not found</v>
      </c>
      <c r="AJ27" s="53">
        <f>Table26[[#This Row],[unitprice]]*Table26[[#This Row],[quantity_unit]]</f>
        <v>0</v>
      </c>
      <c r="AK27" s="53" cm="1">
        <f t="array" ref="AK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8" spans="1:37" s="53" customFormat="1" ht="18" customHeight="1">
      <c r="A28" s="42">
        <v>2222</v>
      </c>
      <c r="B28" s="228" t="s">
        <v>3837</v>
      </c>
      <c r="C28" s="229" t="s">
        <v>203</v>
      </c>
      <c r="D28" s="240"/>
      <c r="E28" s="240" t="e">
        <f>IF(#REF!&gt;0,#REF!,"")</f>
        <v>#REF!</v>
      </c>
      <c r="F28" s="90"/>
      <c r="G28" s="119"/>
      <c r="H28" s="241"/>
      <c r="I28" s="231" t="s">
        <v>3862</v>
      </c>
      <c r="J28" s="231" t="s">
        <v>503</v>
      </c>
      <c r="K28" s="232">
        <v>45492</v>
      </c>
      <c r="L28" s="233" t="s">
        <v>504</v>
      </c>
      <c r="M28" s="231"/>
      <c r="N28" s="252" t="str">
        <f>Table26[[#This Row],[po_number]]&amp;"-"&amp;Table26[[#This Row],[po_line]]</f>
        <v>-2</v>
      </c>
      <c r="O28" s="252">
        <v>2</v>
      </c>
      <c r="P28" s="234"/>
      <c r="Q28" s="231" t="s">
        <v>3870</v>
      </c>
      <c r="R28" s="231" t="s">
        <v>3428</v>
      </c>
      <c r="S28" s="229" t="s">
        <v>13</v>
      </c>
      <c r="T28" s="20">
        <v>45448</v>
      </c>
      <c r="U28" s="236">
        <v>12</v>
      </c>
      <c r="V28" s="231">
        <v>12</v>
      </c>
      <c r="W28" s="237">
        <f t="shared" si="0"/>
        <v>1</v>
      </c>
      <c r="X28" s="90" t="str">
        <f t="shared" si="1"/>
        <v/>
      </c>
      <c r="Y28" s="231"/>
      <c r="Z28" s="60"/>
      <c r="AA28" s="18" t="str" cm="1">
        <f t="array" ref="AA28">IF(P28="", "", _xlfn.XLOOKUP(P28,#REF!,#REF!,NA,0,-1))</f>
        <v/>
      </c>
      <c r="AB28" s="231"/>
      <c r="AC28" s="55" t="s">
        <v>4065</v>
      </c>
      <c r="AD28" s="121" t="str">
        <f>IF($AC28="","",_xlfn.XLOOKUP($AC28,'[2]Client Info'!$C$2:$C$2535,'[2]Client Info'!$D$2:$D$2535))</f>
        <v>1306 COLUMBIA AVE</v>
      </c>
      <c r="AE28" s="231" t="str">
        <f>IF($AC28="","",_xlfn.XLOOKUP($AC28,'[2]Client Info'!$C$2:$C$2715,'[2]Client Info'!$E$2:$E$2715))</f>
        <v>CASTLEGAR</v>
      </c>
      <c r="AF28" s="231" t="str">
        <f>IF($AC28="","",_xlfn.XLOOKUP($AC28,'[2]Client Info'!$C$2:$C$2715,'[2]Client Info'!$F$2:$F$2715))</f>
        <v xml:space="preserve">BC </v>
      </c>
      <c r="AG28" s="252" t="s">
        <v>42</v>
      </c>
      <c r="AH28" s="238"/>
      <c r="AI28" s="43" t="str">
        <f>_xlfn.XLOOKUP(Table26[[#This Row],[customerSKU]],customerSKU!G:G,customerSKU!O:O,"not found",0,1)</f>
        <v>not found</v>
      </c>
      <c r="AJ28" s="53">
        <f>Table26[[#This Row],[unitprice]]*Table26[[#This Row],[quantity_unit]]</f>
        <v>0</v>
      </c>
      <c r="AK28" s="53" cm="1">
        <f t="array" ref="AK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" spans="1:37" s="53" customFormat="1" ht="24.6" customHeight="1">
      <c r="A29" s="42">
        <v>2223</v>
      </c>
      <c r="B29" s="228" t="s">
        <v>3837</v>
      </c>
      <c r="C29" s="229" t="s">
        <v>203</v>
      </c>
      <c r="D29" s="230"/>
      <c r="E29" s="230" t="e">
        <f>IF(#REF!&gt;0,#REF!,"")</f>
        <v>#REF!</v>
      </c>
      <c r="F29" s="90"/>
      <c r="G29" s="119"/>
      <c r="H29" s="229"/>
      <c r="I29" s="231" t="s">
        <v>3862</v>
      </c>
      <c r="J29" s="231" t="s">
        <v>503</v>
      </c>
      <c r="K29" s="232">
        <v>45492</v>
      </c>
      <c r="L29" s="233" t="s">
        <v>504</v>
      </c>
      <c r="M29" s="231"/>
      <c r="N29" s="252" t="str">
        <f>Table26[[#This Row],[po_number]]&amp;"-"&amp;Table26[[#This Row],[po_line]]</f>
        <v>-3</v>
      </c>
      <c r="O29" s="252">
        <v>3</v>
      </c>
      <c r="P29" s="234"/>
      <c r="Q29" s="231" t="s">
        <v>869</v>
      </c>
      <c r="R29" s="231" t="s">
        <v>3428</v>
      </c>
      <c r="S29" s="229" t="s">
        <v>13</v>
      </c>
      <c r="T29" s="20">
        <v>45447</v>
      </c>
      <c r="U29" s="236">
        <v>12</v>
      </c>
      <c r="V29" s="231">
        <v>12</v>
      </c>
      <c r="W29" s="237">
        <f t="shared" si="0"/>
        <v>1</v>
      </c>
      <c r="X29" s="90" t="str">
        <f t="shared" si="1"/>
        <v/>
      </c>
      <c r="Y29" s="231"/>
      <c r="Z29" s="60"/>
      <c r="AA29" s="18" t="str" cm="1">
        <f t="array" ref="AA29">IF(P29="", "", _xlfn.XLOOKUP(P29,#REF!,#REF!,NA,0,-1))</f>
        <v/>
      </c>
      <c r="AB29" s="231"/>
      <c r="AC29" s="55" t="s">
        <v>4065</v>
      </c>
      <c r="AD29" s="121" t="str">
        <f>IF($AC29="","",_xlfn.XLOOKUP($AC29,'[2]Client Info'!$C$2:$C$2535,'[2]Client Info'!$D$2:$D$2535))</f>
        <v>1306 COLUMBIA AVE</v>
      </c>
      <c r="AE29" s="231" t="str">
        <f>IF($AC29="","",_xlfn.XLOOKUP($AC29,'[2]Client Info'!$C$2:$C$2715,'[2]Client Info'!$E$2:$E$2715))</f>
        <v>CASTLEGAR</v>
      </c>
      <c r="AF29" s="231" t="str">
        <f>IF($AC29="","",_xlfn.XLOOKUP($AC29,'[2]Client Info'!$C$2:$C$2715,'[2]Client Info'!$F$2:$F$2715))</f>
        <v xml:space="preserve">BC </v>
      </c>
      <c r="AG29" s="252" t="s">
        <v>42</v>
      </c>
      <c r="AH29" s="238"/>
      <c r="AI29" s="43" t="str">
        <f>_xlfn.XLOOKUP(Table26[[#This Row],[customerSKU]],customerSKU!G:G,customerSKU!O:O,"not found",0,1)</f>
        <v>not found</v>
      </c>
      <c r="AJ29" s="53">
        <f>Table26[[#This Row],[unitprice]]*Table26[[#This Row],[quantity_unit]]</f>
        <v>0</v>
      </c>
      <c r="AK29" s="53" cm="1">
        <f t="array" ref="AK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0" spans="1:37" s="53" customFormat="1" ht="24.6" customHeight="1">
      <c r="A30" s="42">
        <v>2224</v>
      </c>
      <c r="B30" s="228" t="s">
        <v>3837</v>
      </c>
      <c r="C30" s="229" t="s">
        <v>203</v>
      </c>
      <c r="D30" s="240"/>
      <c r="E30" s="240" t="e">
        <f>IF(#REF!&gt;0,#REF!,"")</f>
        <v>#REF!</v>
      </c>
      <c r="F30" s="90"/>
      <c r="G30" s="119"/>
      <c r="H30" s="241"/>
      <c r="I30" s="231" t="s">
        <v>3862</v>
      </c>
      <c r="J30" s="231" t="s">
        <v>503</v>
      </c>
      <c r="K30" s="232">
        <v>45492</v>
      </c>
      <c r="L30" s="233" t="s">
        <v>504</v>
      </c>
      <c r="M30" s="231"/>
      <c r="N30" s="252" t="str">
        <f>Table26[[#This Row],[po_number]]&amp;"-"&amp;Table26[[#This Row],[po_line]]</f>
        <v>-4</v>
      </c>
      <c r="O30" s="252">
        <v>4</v>
      </c>
      <c r="P30" s="234"/>
      <c r="Q30" s="231" t="s">
        <v>1316</v>
      </c>
      <c r="R30" s="231" t="s">
        <v>3428</v>
      </c>
      <c r="S30" s="229" t="s">
        <v>13</v>
      </c>
      <c r="T30" s="20">
        <v>45491</v>
      </c>
      <c r="U30" s="236">
        <v>24</v>
      </c>
      <c r="V30" s="231">
        <v>12</v>
      </c>
      <c r="W30" s="237">
        <f t="shared" si="0"/>
        <v>2</v>
      </c>
      <c r="X30" s="90" t="str">
        <f t="shared" si="1"/>
        <v/>
      </c>
      <c r="Y30" s="242"/>
      <c r="Z30" s="60"/>
      <c r="AA30" s="18" t="str" cm="1">
        <f t="array" ref="AA30">IF(P30="", "", _xlfn.XLOOKUP(P30,#REF!,#REF!,NA,0,-1))</f>
        <v/>
      </c>
      <c r="AB30" s="231"/>
      <c r="AC30" s="55" t="s">
        <v>4065</v>
      </c>
      <c r="AD30" s="121" t="str">
        <f>IF($AC30="","",_xlfn.XLOOKUP($AC30,'[2]Client Info'!$C$2:$C$2535,'[2]Client Info'!$D$2:$D$2535))</f>
        <v>1306 COLUMBIA AVE</v>
      </c>
      <c r="AE30" s="231" t="str">
        <f>IF($AC30="","",_xlfn.XLOOKUP($AC30,'[2]Client Info'!$C$2:$C$2715,'[2]Client Info'!$E$2:$E$2715))</f>
        <v>CASTLEGAR</v>
      </c>
      <c r="AF30" s="231" t="str">
        <f>IF($AC30="","",_xlfn.XLOOKUP($AC30,'[2]Client Info'!$C$2:$C$2715,'[2]Client Info'!$F$2:$F$2715))</f>
        <v xml:space="preserve">BC </v>
      </c>
      <c r="AG30" s="252" t="s">
        <v>42</v>
      </c>
      <c r="AH30" s="238"/>
      <c r="AI30" s="43" t="str">
        <f>_xlfn.XLOOKUP(Table26[[#This Row],[customerSKU]],customerSKU!G:G,customerSKU!O:O,"not found",0,1)</f>
        <v>not found</v>
      </c>
      <c r="AJ30" s="53">
        <f>Table26[[#This Row],[unitprice]]*Table26[[#This Row],[quantity_unit]]</f>
        <v>0</v>
      </c>
      <c r="AK30" s="53" cm="1">
        <f t="array" ref="AK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1" spans="1:37" s="53" customFormat="1" ht="24.6" customHeight="1">
      <c r="A31" s="42">
        <v>2225</v>
      </c>
      <c r="B31" s="228" t="s">
        <v>3837</v>
      </c>
      <c r="C31" s="229" t="s">
        <v>203</v>
      </c>
      <c r="D31" s="230"/>
      <c r="E31" s="230"/>
      <c r="F31" s="90"/>
      <c r="G31" s="119"/>
      <c r="H31" s="229"/>
      <c r="I31" s="231" t="s">
        <v>3862</v>
      </c>
      <c r="J31" s="231" t="s">
        <v>503</v>
      </c>
      <c r="K31" s="232">
        <v>45492</v>
      </c>
      <c r="L31" s="233" t="s">
        <v>504</v>
      </c>
      <c r="M31" s="231"/>
      <c r="N31" s="252" t="str">
        <f>Table26[[#This Row],[po_number]]&amp;"-"&amp;Table26[[#This Row],[po_line]]</f>
        <v>-1</v>
      </c>
      <c r="O31" s="252">
        <v>1</v>
      </c>
      <c r="P31" s="234"/>
      <c r="Q31" s="231" t="s">
        <v>971</v>
      </c>
      <c r="R31" s="231" t="s">
        <v>3794</v>
      </c>
      <c r="S31" s="229" t="s">
        <v>13</v>
      </c>
      <c r="T31" s="20">
        <v>45467</v>
      </c>
      <c r="U31" s="236">
        <v>12</v>
      </c>
      <c r="V31" s="231">
        <v>12</v>
      </c>
      <c r="W31" s="237">
        <f t="shared" si="0"/>
        <v>1</v>
      </c>
      <c r="X31" s="90" t="str">
        <f t="shared" si="1"/>
        <v/>
      </c>
      <c r="Y31" s="231"/>
      <c r="Z31" s="60"/>
      <c r="AA31" s="18" t="str" cm="1">
        <f t="array" ref="AA31">IF(P31="", "", _xlfn.XLOOKUP(P31,#REF!,#REF!,NA,0,-1))</f>
        <v/>
      </c>
      <c r="AB31" s="231"/>
      <c r="AC31" s="55" t="s">
        <v>3446</v>
      </c>
      <c r="AD31" s="121" t="str">
        <f>IF($AC31="","",_xlfn.XLOOKUP($AC31,'[2]Client Info'!$C$2:$C$2535,'[2]Client Info'!$D$2:$D$2535))</f>
        <v>#102-935 Brunette Ave</v>
      </c>
      <c r="AE31" s="231" t="str">
        <f>IF($AC31="","",_xlfn.XLOOKUP($AC31,'[2]Client Info'!$C$2:$C$2715,'[2]Client Info'!$E$2:$E$2715))</f>
        <v>Coquitlam</v>
      </c>
      <c r="AF31" s="231" t="str">
        <f>IF($AC31="","",_xlfn.XLOOKUP($AC31,'[2]Client Info'!$C$2:$C$2715,'[2]Client Info'!$F$2:$F$2715))</f>
        <v>BC</v>
      </c>
      <c r="AG31" s="252" t="s">
        <v>68</v>
      </c>
      <c r="AH31" s="238">
        <f>227.76/12</f>
        <v>18.98</v>
      </c>
      <c r="AI31" s="43" t="str">
        <f>_xlfn.XLOOKUP(Table26[[#This Row],[customerSKU]],customerSKU!G:G,customerSKU!O:O,"not found",0,1)</f>
        <v>not found</v>
      </c>
      <c r="AJ31" s="53">
        <f>Table26[[#This Row],[unitprice]]*Table26[[#This Row],[quantity_unit]]</f>
        <v>227.76</v>
      </c>
      <c r="AK31" s="53" cm="1">
        <f t="array" ref="AK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239.148</v>
      </c>
    </row>
    <row r="32" spans="1:37" s="53" customFormat="1" ht="18" customHeight="1">
      <c r="A32" s="42">
        <v>2226</v>
      </c>
      <c r="B32" s="228" t="s">
        <v>3837</v>
      </c>
      <c r="C32" s="229" t="s">
        <v>203</v>
      </c>
      <c r="D32" s="230"/>
      <c r="E32" s="230" t="e">
        <f>IF(#REF!&gt;0,#REF!,"")</f>
        <v>#REF!</v>
      </c>
      <c r="F32" s="90"/>
      <c r="G32" s="119"/>
      <c r="H32" s="229"/>
      <c r="I32" s="231" t="s">
        <v>3862</v>
      </c>
      <c r="J32" s="231" t="s">
        <v>503</v>
      </c>
      <c r="K32" s="232">
        <v>45492</v>
      </c>
      <c r="L32" s="233" t="s">
        <v>504</v>
      </c>
      <c r="M32" s="231"/>
      <c r="N32" s="252" t="str">
        <f>Table26[[#This Row],[po_number]]&amp;"-"&amp;Table26[[#This Row],[po_line]]</f>
        <v>-2</v>
      </c>
      <c r="O32" s="252">
        <v>2</v>
      </c>
      <c r="P32" s="234"/>
      <c r="Q32" s="231" t="s">
        <v>862</v>
      </c>
      <c r="R32" s="231" t="s">
        <v>3794</v>
      </c>
      <c r="S32" s="229"/>
      <c r="T32" s="20">
        <v>45488</v>
      </c>
      <c r="U32" s="236">
        <v>12</v>
      </c>
      <c r="V32" s="231">
        <v>12</v>
      </c>
      <c r="W32" s="237">
        <f t="shared" si="0"/>
        <v>1</v>
      </c>
      <c r="X32" s="90" t="str">
        <f t="shared" si="1"/>
        <v/>
      </c>
      <c r="Y32" s="231"/>
      <c r="Z32" s="60"/>
      <c r="AA32" s="18" t="str" cm="1">
        <f t="array" ref="AA32">IF(P32="", "", _xlfn.XLOOKUP(P32,#REF!,#REF!,NA,0,-1))</f>
        <v/>
      </c>
      <c r="AB32" s="231"/>
      <c r="AC32" s="110" t="s">
        <v>3446</v>
      </c>
      <c r="AD32" s="121" t="str">
        <f>IF($AC32="","",_xlfn.XLOOKUP($AC32,'[2]Client Info'!$C$2:$C$2535,'[2]Client Info'!$D$2:$D$2535))</f>
        <v>#102-935 Brunette Ave</v>
      </c>
      <c r="AE32" s="231" t="str">
        <f>IF($AC32="","",_xlfn.XLOOKUP($AC32,'[2]Client Info'!$C$2:$C$2715,'[2]Client Info'!$E$2:$E$2715))</f>
        <v>Coquitlam</v>
      </c>
      <c r="AF32" s="231" t="str">
        <f>IF($AC32="","",_xlfn.XLOOKUP($AC32,'[2]Client Info'!$C$2:$C$2715,'[2]Client Info'!$F$2:$F$2715))</f>
        <v>BC</v>
      </c>
      <c r="AG32" s="413" t="s">
        <v>68</v>
      </c>
      <c r="AH32" s="238">
        <f>158.76/12</f>
        <v>13.229999999999999</v>
      </c>
      <c r="AI32" s="43" t="str">
        <f>_xlfn.XLOOKUP(Table26[[#This Row],[customerSKU]],customerSKU!G:G,customerSKU!O:O,"not found",0,1)</f>
        <v>not found</v>
      </c>
      <c r="AJ32" s="53">
        <f>Table26[[#This Row],[unitprice]]*Table26[[#This Row],[quantity_unit]]</f>
        <v>158.76</v>
      </c>
      <c r="AK32" s="53" cm="1">
        <f t="array" ref="AK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166.69800000000001</v>
      </c>
    </row>
    <row r="33" spans="1:37" s="53" customFormat="1" ht="18" customHeight="1">
      <c r="A33" s="42">
        <v>2227</v>
      </c>
      <c r="B33" s="228" t="s">
        <v>3837</v>
      </c>
      <c r="C33" s="229" t="s">
        <v>203</v>
      </c>
      <c r="D33" s="230"/>
      <c r="E33" s="230"/>
      <c r="F33" s="90"/>
      <c r="G33" s="119"/>
      <c r="H33" s="229"/>
      <c r="I33" s="231" t="s">
        <v>3862</v>
      </c>
      <c r="J33" s="231" t="s">
        <v>503</v>
      </c>
      <c r="K33" s="232">
        <v>45492</v>
      </c>
      <c r="L33" s="233" t="s">
        <v>504</v>
      </c>
      <c r="M33" s="231"/>
      <c r="N33" s="252" t="str">
        <f>Table26[[#This Row],[po_number]]&amp;"-"&amp;Table26[[#This Row],[po_line]]</f>
        <v>-3</v>
      </c>
      <c r="O33" s="252">
        <v>3</v>
      </c>
      <c r="P33" s="234"/>
      <c r="Q33" s="231" t="s">
        <v>885</v>
      </c>
      <c r="R33" s="231" t="s">
        <v>3428</v>
      </c>
      <c r="S33" s="229" t="s">
        <v>13</v>
      </c>
      <c r="T33" s="20">
        <v>45423</v>
      </c>
      <c r="U33" s="236">
        <v>12</v>
      </c>
      <c r="V33" s="231">
        <v>12</v>
      </c>
      <c r="W33" s="237">
        <f t="shared" si="0"/>
        <v>1</v>
      </c>
      <c r="X33" s="90" t="str">
        <f t="shared" si="1"/>
        <v/>
      </c>
      <c r="Y33" s="231"/>
      <c r="Z33" s="60"/>
      <c r="AA33" s="18" t="str" cm="1">
        <f t="array" ref="AA33">IF(P33="", "", _xlfn.XLOOKUP(P33,#REF!,#REF!,NA,0,-1))</f>
        <v/>
      </c>
      <c r="AB33" s="231"/>
      <c r="AC33" s="110" t="s">
        <v>3446</v>
      </c>
      <c r="AD33" s="121" t="str">
        <f>IF($AC33="","",_xlfn.XLOOKUP($AC33,'[2]Client Info'!$C$2:$C$2535,'[2]Client Info'!$D$2:$D$2535))</f>
        <v>#102-935 Brunette Ave</v>
      </c>
      <c r="AE33" s="231" t="str">
        <f>IF($AC33="","",_xlfn.XLOOKUP($AC33,'[2]Client Info'!$C$2:$C$2715,'[2]Client Info'!$E$2:$E$2715))</f>
        <v>Coquitlam</v>
      </c>
      <c r="AF33" s="231" t="str">
        <f>IF($AC33="","",_xlfn.XLOOKUP($AC33,'[2]Client Info'!$C$2:$C$2715,'[2]Client Info'!$F$2:$F$2715))</f>
        <v>BC</v>
      </c>
      <c r="AG33" s="413" t="s">
        <v>68</v>
      </c>
      <c r="AH33" s="238">
        <f>239.88/12</f>
        <v>19.989999999999998</v>
      </c>
      <c r="AI33" s="43" t="str">
        <f>_xlfn.XLOOKUP(Table26[[#This Row],[customerSKU]],customerSKU!G:G,customerSKU!O:O,"not found",0,1)</f>
        <v>not found</v>
      </c>
      <c r="AJ33" s="53">
        <f>Table26[[#This Row],[unitprice]]*Table26[[#This Row],[quantity_unit]]</f>
        <v>239.88</v>
      </c>
      <c r="AK33" s="53" cm="1">
        <f t="array" ref="AK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251.874</v>
      </c>
    </row>
    <row r="34" spans="1:37" s="53" customFormat="1" ht="18" customHeight="1">
      <c r="A34" s="42">
        <v>2228</v>
      </c>
      <c r="B34" s="228" t="s">
        <v>3837</v>
      </c>
      <c r="C34" s="229" t="s">
        <v>203</v>
      </c>
      <c r="D34" s="230"/>
      <c r="E34" s="230" t="e">
        <f>IF(#REF!&gt;0,#REF!,"")</f>
        <v>#REF!</v>
      </c>
      <c r="F34" s="90"/>
      <c r="G34" s="119"/>
      <c r="H34" s="229"/>
      <c r="I34" s="231" t="s">
        <v>3862</v>
      </c>
      <c r="J34" s="231" t="s">
        <v>503</v>
      </c>
      <c r="K34" s="232">
        <v>45492</v>
      </c>
      <c r="L34" s="233" t="s">
        <v>504</v>
      </c>
      <c r="M34" s="231"/>
      <c r="N34" s="252" t="str">
        <f>Table26[[#This Row],[po_number]]&amp;"-"&amp;Table26[[#This Row],[po_line]]</f>
        <v>-4</v>
      </c>
      <c r="O34" s="252">
        <v>4</v>
      </c>
      <c r="P34" s="234"/>
      <c r="Q34" s="243" t="s">
        <v>3870</v>
      </c>
      <c r="R34" s="231" t="s">
        <v>3428</v>
      </c>
      <c r="S34" s="229" t="s">
        <v>13</v>
      </c>
      <c r="T34" s="20">
        <v>45448</v>
      </c>
      <c r="U34" s="236">
        <v>24</v>
      </c>
      <c r="V34" s="231">
        <v>12</v>
      </c>
      <c r="W34" s="237">
        <f t="shared" si="0"/>
        <v>2</v>
      </c>
      <c r="X34" s="90" t="str">
        <f t="shared" si="1"/>
        <v/>
      </c>
      <c r="Y34" s="231"/>
      <c r="Z34" s="60"/>
      <c r="AA34" s="18" t="str" cm="1">
        <f t="array" ref="AA34">IF(P34="", "", _xlfn.XLOOKUP(P34,#REF!,#REF!,NA,0,-1))</f>
        <v/>
      </c>
      <c r="AB34" s="231"/>
      <c r="AC34" s="110" t="s">
        <v>3446</v>
      </c>
      <c r="AD34" s="121" t="str">
        <f>IF($AC34="","",_xlfn.XLOOKUP($AC34,'[2]Client Info'!$C$2:$C$2535,'[2]Client Info'!$D$2:$D$2535))</f>
        <v>#102-935 Brunette Ave</v>
      </c>
      <c r="AE34" s="231" t="str">
        <f>IF($AC34="","",_xlfn.XLOOKUP($AC34,'[2]Client Info'!$C$2:$C$2715,'[2]Client Info'!$E$2:$E$2715))</f>
        <v>Coquitlam</v>
      </c>
      <c r="AF34" s="231" t="str">
        <f>IF($AC34="","",_xlfn.XLOOKUP($AC34,'[2]Client Info'!$C$2:$C$2715,'[2]Client Info'!$F$2:$F$2715))</f>
        <v>BC</v>
      </c>
      <c r="AG34" s="413" t="s">
        <v>68</v>
      </c>
      <c r="AH34" s="238">
        <f>202.08/12</f>
        <v>16.84</v>
      </c>
      <c r="AI34" s="43" t="str">
        <f>_xlfn.XLOOKUP(Table26[[#This Row],[customerSKU]],customerSKU!G:G,customerSKU!O:O,"not found",0,1)</f>
        <v>not found</v>
      </c>
      <c r="AJ34" s="53">
        <f>Table26[[#This Row],[unitprice]]*Table26[[#This Row],[quantity_unit]]</f>
        <v>404.15999999999997</v>
      </c>
      <c r="AK34" s="53" cm="1">
        <f t="array" ref="AK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424.36799999999999</v>
      </c>
    </row>
    <row r="35" spans="1:37" s="53" customFormat="1" ht="18" customHeight="1">
      <c r="A35" s="42">
        <v>2229</v>
      </c>
      <c r="B35" s="228" t="s">
        <v>3837</v>
      </c>
      <c r="C35" s="229" t="s">
        <v>203</v>
      </c>
      <c r="D35" s="230"/>
      <c r="E35" s="230" t="e">
        <f>IF(#REF!&gt;0,#REF!,"")</f>
        <v>#REF!</v>
      </c>
      <c r="F35" s="90"/>
      <c r="G35" s="119"/>
      <c r="H35" s="229"/>
      <c r="I35" s="231" t="s">
        <v>3862</v>
      </c>
      <c r="J35" s="231" t="s">
        <v>503</v>
      </c>
      <c r="K35" s="232">
        <v>45492</v>
      </c>
      <c r="L35" s="233" t="s">
        <v>504</v>
      </c>
      <c r="M35" s="231"/>
      <c r="N35" s="252" t="str">
        <f>Table26[[#This Row],[po_number]]&amp;"-"&amp;Table26[[#This Row],[po_line]]</f>
        <v>-5</v>
      </c>
      <c r="O35" s="252">
        <v>5</v>
      </c>
      <c r="P35" s="234"/>
      <c r="Q35" s="243" t="s">
        <v>1575</v>
      </c>
      <c r="R35" s="231" t="s">
        <v>3428</v>
      </c>
      <c r="S35" s="229" t="s">
        <v>13</v>
      </c>
      <c r="T35" s="20">
        <v>45457</v>
      </c>
      <c r="U35" s="236">
        <v>24</v>
      </c>
      <c r="V35" s="231">
        <v>12</v>
      </c>
      <c r="W35" s="237">
        <f t="shared" si="0"/>
        <v>2</v>
      </c>
      <c r="X35" s="90" t="str">
        <f t="shared" si="1"/>
        <v/>
      </c>
      <c r="Y35" s="231"/>
      <c r="Z35" s="60"/>
      <c r="AA35" s="18" t="str" cm="1">
        <f t="array" ref="AA35">IF(P35="", "", _xlfn.XLOOKUP(P35,#REF!,#REF!,NA,0,-1))</f>
        <v/>
      </c>
      <c r="AB35" s="231"/>
      <c r="AC35" s="110" t="s">
        <v>3446</v>
      </c>
      <c r="AD35" s="121" t="str">
        <f>IF($AC35="","",_xlfn.XLOOKUP($AC35,'[2]Client Info'!$C$2:$C$2535,'[2]Client Info'!$D$2:$D$2535))</f>
        <v>#102-935 Brunette Ave</v>
      </c>
      <c r="AE35" s="231" t="str">
        <f>IF($AC35="","",_xlfn.XLOOKUP($AC35,'[2]Client Info'!$C$2:$C$2715,'[2]Client Info'!$E$2:$E$2715))</f>
        <v>Coquitlam</v>
      </c>
      <c r="AF35" s="231" t="str">
        <f>IF($AC35="","",_xlfn.XLOOKUP($AC35,'[2]Client Info'!$C$2:$C$2715,'[2]Client Info'!$F$2:$F$2715))</f>
        <v>BC</v>
      </c>
      <c r="AG35" s="413" t="s">
        <v>68</v>
      </c>
      <c r="AH35" s="238">
        <f>264.96/12</f>
        <v>22.08</v>
      </c>
      <c r="AI35" s="43" t="str">
        <f>_xlfn.XLOOKUP(Table26[[#This Row],[customerSKU]],customerSKU!G:G,customerSKU!O:O,"not found",0,1)</f>
        <v>not found</v>
      </c>
      <c r="AJ35" s="53">
        <f>Table26[[#This Row],[unitprice]]*Table26[[#This Row],[quantity_unit]]</f>
        <v>529.91999999999996</v>
      </c>
      <c r="AK35" s="53" cm="1">
        <f t="array" ref="AK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556.41599999999994</v>
      </c>
    </row>
    <row r="36" spans="1:37" s="53" customFormat="1" ht="18" customHeight="1">
      <c r="A36" s="42">
        <v>2230</v>
      </c>
      <c r="B36" s="228" t="s">
        <v>3837</v>
      </c>
      <c r="C36" s="229" t="s">
        <v>203</v>
      </c>
      <c r="D36" s="230"/>
      <c r="E36" s="230" t="e">
        <f>IF(#REF!&gt;0,#REF!,"")</f>
        <v>#REF!</v>
      </c>
      <c r="F36" s="90"/>
      <c r="G36" s="119"/>
      <c r="H36" s="229"/>
      <c r="I36" s="231" t="s">
        <v>3862</v>
      </c>
      <c r="J36" s="231" t="s">
        <v>503</v>
      </c>
      <c r="K36" s="232">
        <v>45492</v>
      </c>
      <c r="L36" s="233" t="s">
        <v>504</v>
      </c>
      <c r="M36" s="231"/>
      <c r="N36" s="252" t="str">
        <f>Table26[[#This Row],[po_number]]&amp;"-"&amp;Table26[[#This Row],[po_line]]</f>
        <v>-6</v>
      </c>
      <c r="O36" s="252">
        <v>6</v>
      </c>
      <c r="P36" s="234"/>
      <c r="Q36" s="231" t="s">
        <v>828</v>
      </c>
      <c r="R36" s="231" t="s">
        <v>3428</v>
      </c>
      <c r="S36" s="229" t="s">
        <v>13</v>
      </c>
      <c r="T36" s="20">
        <v>45447</v>
      </c>
      <c r="U36" s="236">
        <v>24</v>
      </c>
      <c r="V36" s="231">
        <v>12</v>
      </c>
      <c r="W36" s="237">
        <f t="shared" si="0"/>
        <v>2</v>
      </c>
      <c r="X36" s="90" t="str">
        <f t="shared" si="1"/>
        <v/>
      </c>
      <c r="Y36" s="231"/>
      <c r="Z36" s="60"/>
      <c r="AA36" s="18" t="str" cm="1">
        <f t="array" ref="AA36">IF(P36="", "", _xlfn.XLOOKUP(P36,#REF!,#REF!,NA,0,-1))</f>
        <v/>
      </c>
      <c r="AB36" s="231"/>
      <c r="AC36" s="110" t="s">
        <v>3446</v>
      </c>
      <c r="AD36" s="121" t="str">
        <f>IF($AC36="","",_xlfn.XLOOKUP($AC36,'[2]Client Info'!$C$2:$C$2535,'[2]Client Info'!$D$2:$D$2535))</f>
        <v>#102-935 Brunette Ave</v>
      </c>
      <c r="AE36" s="231" t="str">
        <f>IF($AC36="","",_xlfn.XLOOKUP($AC36,'[2]Client Info'!$C$2:$C$2715,'[2]Client Info'!$E$2:$E$2715))</f>
        <v>Coquitlam</v>
      </c>
      <c r="AF36" s="231" t="str">
        <f>IF($AC36="","",_xlfn.XLOOKUP($AC36,'[2]Client Info'!$C$2:$C$2715,'[2]Client Info'!$F$2:$F$2715))</f>
        <v>BC</v>
      </c>
      <c r="AG36" s="413" t="s">
        <v>68</v>
      </c>
      <c r="AH36" s="238">
        <f>134.16/12</f>
        <v>11.18</v>
      </c>
      <c r="AI36" s="43" t="str">
        <f>_xlfn.XLOOKUP(Table26[[#This Row],[customerSKU]],customerSKU!G:G,customerSKU!O:O,"not found",0,1)</f>
        <v>not found</v>
      </c>
      <c r="AJ36" s="53">
        <f>Table26[[#This Row],[unitprice]]*Table26[[#This Row],[quantity_unit]]</f>
        <v>268.32</v>
      </c>
      <c r="AK36" s="53" cm="1">
        <f t="array" ref="AK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281.73599999999999</v>
      </c>
    </row>
    <row r="37" spans="1:37" s="53" customFormat="1" ht="18" customHeight="1">
      <c r="A37" s="42">
        <v>2231</v>
      </c>
      <c r="B37" s="228" t="s">
        <v>3837</v>
      </c>
      <c r="C37" s="229" t="s">
        <v>203</v>
      </c>
      <c r="D37" s="230"/>
      <c r="E37" s="230" t="e">
        <f>IF(#REF!&gt;0,#REF!,"")</f>
        <v>#REF!</v>
      </c>
      <c r="F37" s="90"/>
      <c r="G37" s="119"/>
      <c r="H37" s="229"/>
      <c r="I37" s="231" t="s">
        <v>3862</v>
      </c>
      <c r="J37" s="231" t="s">
        <v>503</v>
      </c>
      <c r="K37" s="232">
        <v>45492</v>
      </c>
      <c r="L37" s="233" t="s">
        <v>504</v>
      </c>
      <c r="M37" s="231"/>
      <c r="N37" s="252" t="str">
        <f>Table26[[#This Row],[po_number]]&amp;"-"&amp;Table26[[#This Row],[po_line]]</f>
        <v>-7</v>
      </c>
      <c r="O37" s="252">
        <v>7</v>
      </c>
      <c r="P37" s="234"/>
      <c r="Q37" s="231" t="s">
        <v>587</v>
      </c>
      <c r="R37" s="231" t="s">
        <v>3428</v>
      </c>
      <c r="S37" s="229" t="s">
        <v>13</v>
      </c>
      <c r="T37" s="20">
        <v>45457</v>
      </c>
      <c r="U37" s="236">
        <v>24</v>
      </c>
      <c r="V37" s="231">
        <v>12</v>
      </c>
      <c r="W37" s="237">
        <f t="shared" si="0"/>
        <v>2</v>
      </c>
      <c r="X37" s="90" t="str">
        <f t="shared" si="1"/>
        <v/>
      </c>
      <c r="Y37" s="231"/>
      <c r="Z37" s="60"/>
      <c r="AA37" s="18" t="str" cm="1">
        <f t="array" ref="AA37">IF(P37="", "", _xlfn.XLOOKUP(P37,#REF!,#REF!,NA,0,-1))</f>
        <v/>
      </c>
      <c r="AB37" s="231"/>
      <c r="AC37" s="55" t="s">
        <v>3446</v>
      </c>
      <c r="AD37" s="121" t="str">
        <f>IF($AC37="","",_xlfn.XLOOKUP($AC37,'[2]Client Info'!$C$2:$C$2535,'[2]Client Info'!$D$2:$D$2535))</f>
        <v>#102-935 Brunette Ave</v>
      </c>
      <c r="AE37" s="231" t="str">
        <f>IF($AC37="","",_xlfn.XLOOKUP($AC37,'[2]Client Info'!$C$2:$C$2715,'[2]Client Info'!$E$2:$E$2715))</f>
        <v>Coquitlam</v>
      </c>
      <c r="AF37" s="231" t="str">
        <f>IF($AC37="","",_xlfn.XLOOKUP($AC37,'[2]Client Info'!$C$2:$C$2715,'[2]Client Info'!$F$2:$F$2715))</f>
        <v>BC</v>
      </c>
      <c r="AG37" s="252" t="s">
        <v>68</v>
      </c>
      <c r="AH37" s="238">
        <f>178.8/12</f>
        <v>14.9</v>
      </c>
      <c r="AI37" s="43" t="str">
        <f>_xlfn.XLOOKUP(Table26[[#This Row],[customerSKU]],customerSKU!G:G,customerSKU!O:O,"not found",0,1)</f>
        <v>not found</v>
      </c>
      <c r="AJ37" s="53">
        <f>Table26[[#This Row],[unitprice]]*Table26[[#This Row],[quantity_unit]]</f>
        <v>357.6</v>
      </c>
      <c r="AK37" s="53" cm="1">
        <f t="array" ref="AK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375.48</v>
      </c>
    </row>
    <row r="38" spans="1:37" s="53" customFormat="1" ht="18" customHeight="1">
      <c r="A38" s="42">
        <v>2232</v>
      </c>
      <c r="B38" s="228" t="s">
        <v>3837</v>
      </c>
      <c r="C38" s="229" t="s">
        <v>203</v>
      </c>
      <c r="D38" s="230"/>
      <c r="E38" s="402" t="e">
        <f>IF(#REF!&gt;0,#REF!,"")</f>
        <v>#REF!</v>
      </c>
      <c r="F38" s="90"/>
      <c r="G38" s="119"/>
      <c r="H38" s="229"/>
      <c r="I38" s="231" t="s">
        <v>3862</v>
      </c>
      <c r="J38" s="231" t="s">
        <v>503</v>
      </c>
      <c r="K38" s="232">
        <v>45492</v>
      </c>
      <c r="L38" s="233" t="s">
        <v>504</v>
      </c>
      <c r="M38" s="231"/>
      <c r="N38" s="252" t="str">
        <f>Table26[[#This Row],[po_number]]&amp;"-"&amp;Table26[[#This Row],[po_line]]</f>
        <v>-8</v>
      </c>
      <c r="O38" s="252">
        <v>8</v>
      </c>
      <c r="P38" s="234"/>
      <c r="Q38" s="231" t="s">
        <v>869</v>
      </c>
      <c r="R38" s="231" t="s">
        <v>3428</v>
      </c>
      <c r="S38" s="229" t="s">
        <v>13</v>
      </c>
      <c r="T38" s="20">
        <v>45447</v>
      </c>
      <c r="U38" s="236">
        <v>24</v>
      </c>
      <c r="V38" s="231">
        <v>12</v>
      </c>
      <c r="W38" s="237">
        <f t="shared" si="0"/>
        <v>2</v>
      </c>
      <c r="X38" s="90" t="str">
        <f t="shared" si="1"/>
        <v/>
      </c>
      <c r="Y38" s="231"/>
      <c r="Z38" s="60"/>
      <c r="AA38" s="18" t="str" cm="1">
        <f t="array" ref="AA38">IF(P38="", "", _xlfn.XLOOKUP(P38,#REF!,#REF!,NA,0,-1))</f>
        <v/>
      </c>
      <c r="AB38" s="231"/>
      <c r="AC38" s="55" t="s">
        <v>3446</v>
      </c>
      <c r="AD38" s="121" t="str">
        <f>IF($AC38="","",_xlfn.XLOOKUP($AC38,'[2]Client Info'!$C$2:$C$2535,'[2]Client Info'!$D$2:$D$2535))</f>
        <v>#102-935 Brunette Ave</v>
      </c>
      <c r="AE38" s="231" t="str">
        <f>IF($AC38="","",_xlfn.XLOOKUP($AC38,'[2]Client Info'!$C$2:$C$2715,'[2]Client Info'!$E$2:$E$2715))</f>
        <v>Coquitlam</v>
      </c>
      <c r="AF38" s="231" t="str">
        <f>IF($AC38="","",_xlfn.XLOOKUP($AC38,'[2]Client Info'!$C$2:$C$2715,'[2]Client Info'!$F$2:$F$2715))</f>
        <v>BC</v>
      </c>
      <c r="AG38" s="252" t="s">
        <v>68</v>
      </c>
      <c r="AH38" s="238">
        <f>200.16/12</f>
        <v>16.68</v>
      </c>
      <c r="AI38" s="43" t="str">
        <f>_xlfn.XLOOKUP(Table26[[#This Row],[customerSKU]],customerSKU!G:G,customerSKU!O:O,"not found",0,1)</f>
        <v>not found</v>
      </c>
      <c r="AJ38" s="53">
        <f>Table26[[#This Row],[unitprice]]*Table26[[#This Row],[quantity_unit]]</f>
        <v>400.32</v>
      </c>
      <c r="AK38" s="53" cm="1">
        <f t="array" ref="AK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420.33600000000001</v>
      </c>
    </row>
    <row r="39" spans="1:37" s="53" customFormat="1" ht="18" customHeight="1">
      <c r="A39" s="42">
        <v>2233</v>
      </c>
      <c r="B39" s="228" t="s">
        <v>3837</v>
      </c>
      <c r="C39" s="229" t="s">
        <v>203</v>
      </c>
      <c r="D39" s="230"/>
      <c r="E39" s="230"/>
      <c r="F39" s="90"/>
      <c r="G39" s="119"/>
      <c r="H39" s="229"/>
      <c r="I39" s="231" t="s">
        <v>3862</v>
      </c>
      <c r="J39" s="231" t="s">
        <v>503</v>
      </c>
      <c r="K39" s="232">
        <v>45492</v>
      </c>
      <c r="L39" s="233" t="s">
        <v>504</v>
      </c>
      <c r="M39" s="231"/>
      <c r="N39" s="252" t="str">
        <f>Table26[[#This Row],[po_number]]&amp;"-"&amp;Table26[[#This Row],[po_line]]</f>
        <v>-9</v>
      </c>
      <c r="O39" s="252">
        <v>9</v>
      </c>
      <c r="P39" s="234"/>
      <c r="Q39" s="231" t="s">
        <v>775</v>
      </c>
      <c r="R39" s="231" t="s">
        <v>3428</v>
      </c>
      <c r="S39" s="229"/>
      <c r="T39" s="20">
        <v>45467</v>
      </c>
      <c r="U39" s="236">
        <v>6</v>
      </c>
      <c r="V39" s="231">
        <v>6</v>
      </c>
      <c r="W39" s="237">
        <f t="shared" si="0"/>
        <v>1</v>
      </c>
      <c r="X39" s="90" t="str">
        <f t="shared" si="1"/>
        <v/>
      </c>
      <c r="Y39" s="231"/>
      <c r="Z39" s="60"/>
      <c r="AA39" s="18" t="str" cm="1">
        <f t="array" ref="AA39">IF(P39="", "", _xlfn.XLOOKUP(P39,#REF!,#REF!,NA,0,-1))</f>
        <v/>
      </c>
      <c r="AB39" s="231"/>
      <c r="AC39" s="110" t="s">
        <v>3446</v>
      </c>
      <c r="AD39" s="121" t="str">
        <f>IF($AC39="","",_xlfn.XLOOKUP($AC39,'[2]Client Info'!$C$2:$C$2535,'[2]Client Info'!$D$2:$D$2535))</f>
        <v>#102-935 Brunette Ave</v>
      </c>
      <c r="AE39" s="231" t="str">
        <f>IF($AC39="","",_xlfn.XLOOKUP($AC39,'[2]Client Info'!$C$2:$C$2715,'[2]Client Info'!$E$2:$E$2715))</f>
        <v>Coquitlam</v>
      </c>
      <c r="AF39" s="231" t="str">
        <f>IF($AC39="","",_xlfn.XLOOKUP($AC39,'[2]Client Info'!$C$2:$C$2715,'[2]Client Info'!$F$2:$F$2715))</f>
        <v>BC</v>
      </c>
      <c r="AG39" s="413" t="s">
        <v>68</v>
      </c>
      <c r="AH39" s="238">
        <f>74.76/6</f>
        <v>12.46</v>
      </c>
      <c r="AI39" s="43" t="str">
        <f>_xlfn.XLOOKUP(Table26[[#This Row],[customerSKU]],customerSKU!G:G,customerSKU!O:O,"not found",0,1)</f>
        <v>not found</v>
      </c>
      <c r="AJ39" s="53">
        <f>Table26[[#This Row],[unitprice]]*Table26[[#This Row],[quantity_unit]]</f>
        <v>74.760000000000005</v>
      </c>
      <c r="AK39" s="53" cm="1">
        <f t="array" ref="AK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78.498000000000005</v>
      </c>
    </row>
    <row r="40" spans="1:37" s="53" customFormat="1" ht="18" customHeight="1">
      <c r="A40" s="42">
        <v>2201</v>
      </c>
      <c r="B40" s="42" t="s">
        <v>3520</v>
      </c>
      <c r="C40" s="43" t="s">
        <v>203</v>
      </c>
      <c r="D40" s="45">
        <v>45485</v>
      </c>
      <c r="E40" s="45"/>
      <c r="F40" s="43"/>
      <c r="G40" s="69"/>
      <c r="H40" s="43" t="s">
        <v>3803</v>
      </c>
      <c r="I40" s="47" t="s">
        <v>3862</v>
      </c>
      <c r="J40" s="47" t="s">
        <v>499</v>
      </c>
      <c r="K40" s="48">
        <v>45495</v>
      </c>
      <c r="L40" s="49" t="s">
        <v>490</v>
      </c>
      <c r="M40" s="47"/>
      <c r="N40" s="89" t="str">
        <f>Table26[[#This Row],[po_number]]&amp;"-"&amp;Table26[[#This Row],[po_line]]</f>
        <v>-1</v>
      </c>
      <c r="O40" s="89">
        <v>1</v>
      </c>
      <c r="P40" s="50"/>
      <c r="Q40" s="47" t="s">
        <v>971</v>
      </c>
      <c r="R40" s="47" t="s">
        <v>3794</v>
      </c>
      <c r="S40" s="43" t="s">
        <v>34</v>
      </c>
      <c r="T40" s="51">
        <v>45467</v>
      </c>
      <c r="U40" s="52">
        <v>24</v>
      </c>
      <c r="V40" s="47">
        <v>12</v>
      </c>
      <c r="W40" s="116">
        <f t="shared" si="0"/>
        <v>2</v>
      </c>
      <c r="X40" s="53" t="str">
        <f t="shared" si="1"/>
        <v/>
      </c>
      <c r="Y40" s="68" t="s">
        <v>3868</v>
      </c>
      <c r="Z40" s="54">
        <v>991969</v>
      </c>
      <c r="AA40" s="18" t="str" cm="1">
        <f t="array" ref="AA40">IF(P40="", "", _xlfn.XLOOKUP(P40,#REF!,#REF!,NA,0,-1))</f>
        <v/>
      </c>
      <c r="AB40" s="47"/>
      <c r="AC40" s="110" t="s">
        <v>3400</v>
      </c>
      <c r="AD40" s="61" t="str">
        <f>IF($AC40="","",_xlfn.XLOOKUP($AC40,'[2]Client Info'!$C$2:$C$2535,'[2]Client Info'!$D$2:$D$2535))</f>
        <v>9031 Quartz Road</v>
      </c>
      <c r="AE40" s="47" t="str">
        <f>IF($AC40="","",_xlfn.XLOOKUP($AC40,'[2]Client Info'!$C$2:$C$2715,'[2]Client Info'!$E$2:$E$2715))</f>
        <v>White Horse</v>
      </c>
      <c r="AF40" s="47" t="str">
        <f>IF($AC40="","",_xlfn.XLOOKUP($AC40,'[2]Client Info'!$C$2:$C$2715,'[2]Client Info'!$F$2:$F$2715))</f>
        <v>YT</v>
      </c>
      <c r="AG40" s="105" t="s">
        <v>33</v>
      </c>
      <c r="AH40" s="57"/>
      <c r="AI40" s="43" t="str">
        <f>_xlfn.XLOOKUP(Table26[[#This Row],[customerSKU]],customerSKU!G:G,customerSKU!O:O,"not found",0,1)</f>
        <v>not found</v>
      </c>
      <c r="AJ40" s="43">
        <f>Table26[[#This Row],[unitprice]]*Table26[[#This Row],[quantity_unit]]</f>
        <v>0</v>
      </c>
      <c r="AK40" s="43" t="e" cm="1">
        <f t="array" ref="AK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1" spans="1:37" s="53" customFormat="1" ht="18" customHeight="1">
      <c r="A41" s="42">
        <v>2202</v>
      </c>
      <c r="B41" s="42" t="s">
        <v>3520</v>
      </c>
      <c r="C41" s="43" t="s">
        <v>203</v>
      </c>
      <c r="D41" s="45">
        <v>45485</v>
      </c>
      <c r="E41" s="45"/>
      <c r="F41" s="43"/>
      <c r="G41" s="69"/>
      <c r="H41" s="43" t="s">
        <v>3803</v>
      </c>
      <c r="I41" s="47" t="s">
        <v>3862</v>
      </c>
      <c r="J41" s="47" t="s">
        <v>499</v>
      </c>
      <c r="K41" s="48">
        <v>45495</v>
      </c>
      <c r="L41" s="49" t="s">
        <v>490</v>
      </c>
      <c r="M41" s="47"/>
      <c r="N41" s="89" t="str">
        <f>Table26[[#This Row],[po_number]]&amp;"-"&amp;Table26[[#This Row],[po_line]]</f>
        <v>-2</v>
      </c>
      <c r="O41" s="89">
        <v>2</v>
      </c>
      <c r="P41" s="50"/>
      <c r="Q41" s="47" t="s">
        <v>862</v>
      </c>
      <c r="R41" s="47" t="s">
        <v>3794</v>
      </c>
      <c r="S41" s="43" t="s">
        <v>34</v>
      </c>
      <c r="T41" s="51">
        <v>45488</v>
      </c>
      <c r="U41" s="52">
        <f>6*3</f>
        <v>18</v>
      </c>
      <c r="V41" s="47">
        <v>6</v>
      </c>
      <c r="W41" s="116">
        <f t="shared" si="0"/>
        <v>3</v>
      </c>
      <c r="X41" s="53" t="str">
        <f t="shared" si="1"/>
        <v/>
      </c>
      <c r="Y41" s="68" t="s">
        <v>3869</v>
      </c>
      <c r="Z41" s="54">
        <v>990835</v>
      </c>
      <c r="AA41" s="18" t="str" cm="1">
        <f t="array" ref="AA41">IF(P41="", "", _xlfn.XLOOKUP(P41,#REF!,#REF!,NA,0,-1))</f>
        <v/>
      </c>
      <c r="AB41" s="47"/>
      <c r="AC41" s="110" t="s">
        <v>3400</v>
      </c>
      <c r="AD41" s="61" t="str">
        <f>IF($AC41="","",_xlfn.XLOOKUP($AC41,'[2]Client Info'!$C$2:$C$2535,'[2]Client Info'!$D$2:$D$2535))</f>
        <v>9031 Quartz Road</v>
      </c>
      <c r="AE41" s="47" t="str">
        <f>IF($AC41="","",_xlfn.XLOOKUP($AC41,'[2]Client Info'!$C$2:$C$2715,'[2]Client Info'!$E$2:$E$2715))</f>
        <v>White Horse</v>
      </c>
      <c r="AF41" s="47" t="str">
        <f>IF($AC41="","",_xlfn.XLOOKUP($AC41,'[2]Client Info'!$C$2:$C$2715,'[2]Client Info'!$F$2:$F$2715))</f>
        <v>YT</v>
      </c>
      <c r="AG41" s="105" t="s">
        <v>33</v>
      </c>
      <c r="AH41" s="57"/>
      <c r="AI41" s="43" t="str">
        <f>_xlfn.XLOOKUP(Table26[[#This Row],[customerSKU]],customerSKU!G:G,customerSKU!O:O,"not found",0,1)</f>
        <v>not found</v>
      </c>
      <c r="AJ41" s="43">
        <f>Table26[[#This Row],[unitprice]]*Table26[[#This Row],[quantity_unit]]</f>
        <v>0</v>
      </c>
      <c r="AK41" s="43" t="e" cm="1">
        <f t="array" ref="AK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2" spans="1:37" s="53" customFormat="1" ht="18" customHeight="1">
      <c r="A42" s="42">
        <v>2203</v>
      </c>
      <c r="B42" s="42" t="s">
        <v>3520</v>
      </c>
      <c r="C42" s="43" t="s">
        <v>203</v>
      </c>
      <c r="D42" s="45">
        <v>45485</v>
      </c>
      <c r="E42" s="45"/>
      <c r="F42" s="43"/>
      <c r="G42" s="69"/>
      <c r="H42" s="43" t="s">
        <v>3803</v>
      </c>
      <c r="I42" s="47" t="s">
        <v>3862</v>
      </c>
      <c r="J42" s="47" t="s">
        <v>499</v>
      </c>
      <c r="K42" s="48">
        <v>45495</v>
      </c>
      <c r="L42" s="49" t="s">
        <v>490</v>
      </c>
      <c r="M42" s="47"/>
      <c r="N42" s="89" t="str">
        <f>Table26[[#This Row],[po_number]]&amp;"-"&amp;Table26[[#This Row],[po_line]]</f>
        <v>-3</v>
      </c>
      <c r="O42" s="89">
        <v>3</v>
      </c>
      <c r="P42" s="50"/>
      <c r="Q42" s="47" t="s">
        <v>3870</v>
      </c>
      <c r="R42" s="47" t="s">
        <v>3428</v>
      </c>
      <c r="S42" s="43" t="s">
        <v>34</v>
      </c>
      <c r="T42" s="51">
        <v>45448</v>
      </c>
      <c r="U42" s="52">
        <f>12*6</f>
        <v>72</v>
      </c>
      <c r="V42" s="47">
        <v>12</v>
      </c>
      <c r="W42" s="116">
        <f t="shared" si="0"/>
        <v>6</v>
      </c>
      <c r="X42" s="53" t="str">
        <f t="shared" si="1"/>
        <v/>
      </c>
      <c r="Y42" s="68" t="s">
        <v>3871</v>
      </c>
      <c r="Z42" s="54">
        <v>991650</v>
      </c>
      <c r="AA42" s="18" t="str" cm="1">
        <f t="array" ref="AA42">IF(P42="", "", _xlfn.XLOOKUP(P42,#REF!,#REF!,NA,0,-1))</f>
        <v/>
      </c>
      <c r="AB42" s="47"/>
      <c r="AC42" s="55" t="s">
        <v>3400</v>
      </c>
      <c r="AD42" s="61" t="str">
        <f>IF($AC42="","",_xlfn.XLOOKUP($AC42,'[2]Client Info'!$C$2:$C$2535,'[2]Client Info'!$D$2:$D$2535))</f>
        <v>9031 Quartz Road</v>
      </c>
      <c r="AE42" s="47" t="str">
        <f>IF($AC42="","",_xlfn.XLOOKUP($AC42,'[2]Client Info'!$C$2:$C$2715,'[2]Client Info'!$E$2:$E$2715))</f>
        <v>White Horse</v>
      </c>
      <c r="AF42" s="47" t="str">
        <f>IF($AC42="","",_xlfn.XLOOKUP($AC42,'[2]Client Info'!$C$2:$C$2715,'[2]Client Info'!$F$2:$F$2715))</f>
        <v>YT</v>
      </c>
      <c r="AG42" s="89" t="s">
        <v>33</v>
      </c>
      <c r="AH42" s="57"/>
      <c r="AI42" s="43" t="str">
        <f>_xlfn.XLOOKUP(Table26[[#This Row],[customerSKU]],customerSKU!G:G,customerSKU!O:O,"not found",0,1)</f>
        <v>not found</v>
      </c>
      <c r="AJ42" s="43">
        <f>Table26[[#This Row],[unitprice]]*Table26[[#This Row],[quantity_unit]]</f>
        <v>0</v>
      </c>
      <c r="AK42" s="43" t="e" cm="1">
        <f t="array" ref="AK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" spans="1:37" s="53" customFormat="1" ht="18" customHeight="1">
      <c r="A43" s="42">
        <v>2204</v>
      </c>
      <c r="B43" s="42" t="s">
        <v>3520</v>
      </c>
      <c r="C43" s="43" t="s">
        <v>203</v>
      </c>
      <c r="D43" s="45">
        <v>45485</v>
      </c>
      <c r="E43" s="45"/>
      <c r="F43" s="43"/>
      <c r="G43" s="69"/>
      <c r="H43" s="43" t="s">
        <v>3803</v>
      </c>
      <c r="I43" s="47" t="s">
        <v>3862</v>
      </c>
      <c r="J43" s="47" t="s">
        <v>499</v>
      </c>
      <c r="K43" s="48">
        <v>45495</v>
      </c>
      <c r="L43" s="49" t="s">
        <v>490</v>
      </c>
      <c r="M43" s="47"/>
      <c r="N43" s="89" t="str">
        <f>Table26[[#This Row],[po_number]]&amp;"-"&amp;Table26[[#This Row],[po_line]]</f>
        <v>-4</v>
      </c>
      <c r="O43" s="89">
        <v>4</v>
      </c>
      <c r="P43" s="50"/>
      <c r="Q43" s="47" t="s">
        <v>846</v>
      </c>
      <c r="R43" s="47" t="s">
        <v>3428</v>
      </c>
      <c r="S43" s="43" t="s">
        <v>34</v>
      </c>
      <c r="T43" s="51">
        <v>45492</v>
      </c>
      <c r="U43" s="52">
        <f>12*6</f>
        <v>72</v>
      </c>
      <c r="V43" s="47">
        <v>12</v>
      </c>
      <c r="W43" s="116">
        <f t="shared" si="0"/>
        <v>6</v>
      </c>
      <c r="X43" s="53" t="str">
        <f t="shared" si="1"/>
        <v/>
      </c>
      <c r="Y43" s="68" t="s">
        <v>3872</v>
      </c>
      <c r="Z43" s="54">
        <v>991651</v>
      </c>
      <c r="AA43" s="18" t="str" cm="1">
        <f t="array" ref="AA43">IF(P43="", "", _xlfn.XLOOKUP(P43,#REF!,#REF!,NA,0,-1))</f>
        <v/>
      </c>
      <c r="AB43" s="47"/>
      <c r="AC43" s="55" t="s">
        <v>3400</v>
      </c>
      <c r="AD43" s="61" t="str">
        <f>IF($AC43="","",_xlfn.XLOOKUP($AC43,'[2]Client Info'!$C$2:$C$2535,'[2]Client Info'!$D$2:$D$2535))</f>
        <v>9031 Quartz Road</v>
      </c>
      <c r="AE43" s="47" t="str">
        <f>IF($AC43="","",_xlfn.XLOOKUP($AC43,'[2]Client Info'!$C$2:$C$2715,'[2]Client Info'!$E$2:$E$2715))</f>
        <v>White Horse</v>
      </c>
      <c r="AF43" s="47" t="str">
        <f>IF($AC43="","",_xlfn.XLOOKUP($AC43,'[2]Client Info'!$C$2:$C$2715,'[2]Client Info'!$F$2:$F$2715))</f>
        <v>YT</v>
      </c>
      <c r="AG43" s="89" t="s">
        <v>33</v>
      </c>
      <c r="AH43" s="57"/>
      <c r="AI43" s="43" t="str">
        <f>_xlfn.XLOOKUP(Table26[[#This Row],[customerSKU]],customerSKU!G:G,customerSKU!O:O,"not found",0,1)</f>
        <v>not found</v>
      </c>
      <c r="AJ43" s="43">
        <f>Table26[[#This Row],[unitprice]]*Table26[[#This Row],[quantity_unit]]</f>
        <v>0</v>
      </c>
      <c r="AK43" s="43" t="e" cm="1">
        <f t="array" ref="AK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" spans="1:37" s="53" customFormat="1" ht="18" customHeight="1">
      <c r="A44" s="42">
        <v>2205</v>
      </c>
      <c r="B44" s="42" t="s">
        <v>3520</v>
      </c>
      <c r="C44" s="43" t="s">
        <v>203</v>
      </c>
      <c r="D44" s="45">
        <v>45485</v>
      </c>
      <c r="E44" s="45"/>
      <c r="F44" s="43"/>
      <c r="G44" s="69"/>
      <c r="H44" s="43" t="s">
        <v>3803</v>
      </c>
      <c r="I44" s="47" t="s">
        <v>3862</v>
      </c>
      <c r="J44" s="47" t="s">
        <v>499</v>
      </c>
      <c r="K44" s="48">
        <v>45495</v>
      </c>
      <c r="L44" s="49" t="s">
        <v>490</v>
      </c>
      <c r="M44" s="47"/>
      <c r="N44" s="89" t="str">
        <f>Table26[[#This Row],[po_number]]&amp;"-"&amp;Table26[[#This Row],[po_line]]</f>
        <v>-5</v>
      </c>
      <c r="O44" s="89">
        <v>5</v>
      </c>
      <c r="P44" s="50"/>
      <c r="Q44" s="47" t="s">
        <v>824</v>
      </c>
      <c r="R44" s="47" t="s">
        <v>3428</v>
      </c>
      <c r="S44" s="43" t="s">
        <v>34</v>
      </c>
      <c r="T44" s="51">
        <v>45492</v>
      </c>
      <c r="U44" s="52">
        <f>12*6</f>
        <v>72</v>
      </c>
      <c r="V44" s="47">
        <v>12</v>
      </c>
      <c r="W44" s="116">
        <f t="shared" si="0"/>
        <v>6</v>
      </c>
      <c r="X44" s="53" t="str">
        <f t="shared" si="1"/>
        <v/>
      </c>
      <c r="Y44" s="68" t="s">
        <v>3873</v>
      </c>
      <c r="Z44" s="25" t="s">
        <v>3571</v>
      </c>
      <c r="AA44" s="18" t="str" cm="1">
        <f t="array" ref="AA44">IF(P44="", "", _xlfn.XLOOKUP(P44,#REF!,#REF!,NA,0,-1))</f>
        <v/>
      </c>
      <c r="AB44" s="47"/>
      <c r="AC44" s="110" t="s">
        <v>3400</v>
      </c>
      <c r="AD44" s="61" t="str">
        <f>IF($AC44="","",_xlfn.XLOOKUP($AC44,'[2]Client Info'!$C$2:$C$2535,'[2]Client Info'!$D$2:$D$2535))</f>
        <v>9031 Quartz Road</v>
      </c>
      <c r="AE44" s="47" t="str">
        <f>IF($AC44="","",_xlfn.XLOOKUP($AC44,'[2]Client Info'!$C$2:$C$2715,'[2]Client Info'!$E$2:$E$2715))</f>
        <v>White Horse</v>
      </c>
      <c r="AF44" s="47" t="str">
        <f>IF($AC44="","",_xlfn.XLOOKUP($AC44,'[2]Client Info'!$C$2:$C$2715,'[2]Client Info'!$F$2:$F$2715))</f>
        <v>YT</v>
      </c>
      <c r="AG44" s="105" t="s">
        <v>33</v>
      </c>
      <c r="AH44" s="57"/>
      <c r="AI44" s="43" t="str">
        <f>_xlfn.XLOOKUP(Table26[[#This Row],[customerSKU]],customerSKU!G:G,customerSKU!O:O,"not found",0,1)</f>
        <v>not found</v>
      </c>
      <c r="AJ44" s="43">
        <f>Table26[[#This Row],[unitprice]]*Table26[[#This Row],[quantity_unit]]</f>
        <v>0</v>
      </c>
      <c r="AK44" s="43" t="e" cm="1">
        <f t="array" ref="AK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5" spans="1:37" s="53" customFormat="1" ht="18" customHeight="1">
      <c r="A45" s="42">
        <v>2206</v>
      </c>
      <c r="B45" s="42" t="s">
        <v>3520</v>
      </c>
      <c r="C45" s="43" t="s">
        <v>203</v>
      </c>
      <c r="D45" s="45">
        <v>45485</v>
      </c>
      <c r="E45" s="45"/>
      <c r="F45" s="43"/>
      <c r="G45" s="69"/>
      <c r="H45" s="43" t="s">
        <v>3803</v>
      </c>
      <c r="I45" s="47" t="s">
        <v>3862</v>
      </c>
      <c r="J45" s="47" t="s">
        <v>499</v>
      </c>
      <c r="K45" s="48">
        <v>45495</v>
      </c>
      <c r="L45" s="49" t="s">
        <v>490</v>
      </c>
      <c r="M45" s="47"/>
      <c r="N45" s="89" t="str">
        <f>Table26[[#This Row],[po_number]]&amp;"-"&amp;Table26[[#This Row],[po_line]]</f>
        <v>-6</v>
      </c>
      <c r="O45" s="89">
        <v>6</v>
      </c>
      <c r="P45" s="50"/>
      <c r="Q45" s="47" t="s">
        <v>797</v>
      </c>
      <c r="R45" s="47" t="s">
        <v>3428</v>
      </c>
      <c r="S45" s="43" t="s">
        <v>34</v>
      </c>
      <c r="T45" s="51">
        <v>45448</v>
      </c>
      <c r="U45" s="52">
        <v>24</v>
      </c>
      <c r="V45" s="47">
        <v>12</v>
      </c>
      <c r="W45" s="116">
        <f t="shared" si="0"/>
        <v>2</v>
      </c>
      <c r="X45" s="53" t="str">
        <f t="shared" si="1"/>
        <v/>
      </c>
      <c r="Y45" s="68" t="s">
        <v>3874</v>
      </c>
      <c r="Z45" s="54">
        <v>994665</v>
      </c>
      <c r="AA45" s="18" t="str" cm="1">
        <f t="array" ref="AA45">IF(P45="", "", _xlfn.XLOOKUP(P45,#REF!,#REF!,NA,0,-1))</f>
        <v/>
      </c>
      <c r="AB45" s="47"/>
      <c r="AC45" s="110" t="s">
        <v>3400</v>
      </c>
      <c r="AD45" s="61" t="str">
        <f>IF($AC45="","",_xlfn.XLOOKUP($AC45,'[2]Client Info'!$C$2:$C$2535,'[2]Client Info'!$D$2:$D$2535))</f>
        <v>9031 Quartz Road</v>
      </c>
      <c r="AE45" s="47" t="str">
        <f>IF($AC45="","",_xlfn.XLOOKUP($AC45,'[2]Client Info'!$C$2:$C$2715,'[2]Client Info'!$E$2:$E$2715))</f>
        <v>White Horse</v>
      </c>
      <c r="AF45" s="47" t="str">
        <f>IF($AC45="","",_xlfn.XLOOKUP($AC45,'[2]Client Info'!$C$2:$C$2715,'[2]Client Info'!$F$2:$F$2715))</f>
        <v>YT</v>
      </c>
      <c r="AG45" s="105" t="s">
        <v>33</v>
      </c>
      <c r="AH45" s="57"/>
      <c r="AI45" s="43" t="str">
        <f>_xlfn.XLOOKUP(Table26[[#This Row],[customerSKU]],customerSKU!G:G,customerSKU!O:O,"not found",0,1)</f>
        <v>not found</v>
      </c>
      <c r="AJ45" s="43">
        <f>Table26[[#This Row],[unitprice]]*Table26[[#This Row],[quantity_unit]]</f>
        <v>0</v>
      </c>
      <c r="AK45" s="43" t="e" cm="1">
        <f t="array" ref="AK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" spans="1:37" s="53" customFormat="1" ht="18" customHeight="1">
      <c r="A46" s="42">
        <v>2207</v>
      </c>
      <c r="B46" s="42" t="s">
        <v>3520</v>
      </c>
      <c r="C46" s="43" t="s">
        <v>203</v>
      </c>
      <c r="D46" s="45">
        <v>45485</v>
      </c>
      <c r="E46" s="45"/>
      <c r="F46" s="43"/>
      <c r="G46" s="69"/>
      <c r="H46" s="43" t="s">
        <v>3803</v>
      </c>
      <c r="I46" s="47" t="s">
        <v>3862</v>
      </c>
      <c r="J46" s="47" t="s">
        <v>499</v>
      </c>
      <c r="K46" s="48">
        <v>45495</v>
      </c>
      <c r="L46" s="49" t="s">
        <v>490</v>
      </c>
      <c r="M46" s="47"/>
      <c r="N46" s="89" t="str">
        <f>Table26[[#This Row],[po_number]]&amp;"-"&amp;Table26[[#This Row],[po_line]]</f>
        <v>-7</v>
      </c>
      <c r="O46" s="89">
        <v>7</v>
      </c>
      <c r="P46" s="50"/>
      <c r="Q46" s="47" t="s">
        <v>1316</v>
      </c>
      <c r="R46" s="47" t="s">
        <v>3428</v>
      </c>
      <c r="S46" s="43" t="s">
        <v>34</v>
      </c>
      <c r="T46" s="51">
        <v>45491</v>
      </c>
      <c r="U46" s="52">
        <v>12</v>
      </c>
      <c r="V46" s="47">
        <v>12</v>
      </c>
      <c r="W46" s="116">
        <f t="shared" si="0"/>
        <v>1</v>
      </c>
      <c r="X46" s="53" t="str">
        <f t="shared" si="1"/>
        <v/>
      </c>
      <c r="Y46" s="68" t="s">
        <v>3875</v>
      </c>
      <c r="Z46" s="54">
        <v>994667</v>
      </c>
      <c r="AA46" s="18" t="str" cm="1">
        <f t="array" ref="AA46">IF(P46="", "", _xlfn.XLOOKUP(P46,#REF!,#REF!,NA,0,-1))</f>
        <v/>
      </c>
      <c r="AB46" s="47"/>
      <c r="AC46" s="55" t="s">
        <v>3400</v>
      </c>
      <c r="AD46" s="61" t="str">
        <f>IF($AC46="","",_xlfn.XLOOKUP($AC46,'[2]Client Info'!$C$2:$C$2535,'[2]Client Info'!$D$2:$D$2535))</f>
        <v>9031 Quartz Road</v>
      </c>
      <c r="AE46" s="47" t="str">
        <f>IF($AC46="","",_xlfn.XLOOKUP($AC46,'[2]Client Info'!$C$2:$C$2715,'[2]Client Info'!$E$2:$E$2715))</f>
        <v>White Horse</v>
      </c>
      <c r="AF46" s="47" t="str">
        <f>IF($AC46="","",_xlfn.XLOOKUP($AC46,'[2]Client Info'!$C$2:$C$2715,'[2]Client Info'!$F$2:$F$2715))</f>
        <v>YT</v>
      </c>
      <c r="AG46" s="89" t="s">
        <v>33</v>
      </c>
      <c r="AH46" s="57"/>
      <c r="AI46" s="43" t="str">
        <f>_xlfn.XLOOKUP(Table26[[#This Row],[customerSKU]],customerSKU!G:G,customerSKU!O:O,"not found",0,1)</f>
        <v>not found</v>
      </c>
      <c r="AJ46" s="47">
        <f>Table26[[#This Row],[unitprice]]*Table26[[#This Row],[quantity_unit]]</f>
        <v>0</v>
      </c>
      <c r="AK46" s="47" t="e" cm="1">
        <f t="array" ref="AK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" spans="1:37" s="53" customFormat="1" ht="18" customHeight="1">
      <c r="A47" s="42">
        <v>2208</v>
      </c>
      <c r="B47" s="42" t="s">
        <v>3520</v>
      </c>
      <c r="C47" s="43" t="s">
        <v>203</v>
      </c>
      <c r="D47" s="45">
        <v>45485</v>
      </c>
      <c r="E47" s="45"/>
      <c r="F47" s="43"/>
      <c r="G47" s="69"/>
      <c r="H47" s="43" t="s">
        <v>3803</v>
      </c>
      <c r="I47" s="47" t="s">
        <v>3862</v>
      </c>
      <c r="J47" s="47" t="s">
        <v>499</v>
      </c>
      <c r="K47" s="48">
        <v>45495</v>
      </c>
      <c r="L47" s="49" t="s">
        <v>490</v>
      </c>
      <c r="M47" s="47"/>
      <c r="N47" s="89" t="str">
        <f>Table26[[#This Row],[po_number]]&amp;"-"&amp;Table26[[#This Row],[po_line]]</f>
        <v>-8</v>
      </c>
      <c r="O47" s="89">
        <v>8</v>
      </c>
      <c r="P47" s="50"/>
      <c r="Q47" s="74" t="s">
        <v>3876</v>
      </c>
      <c r="R47" s="47" t="s">
        <v>3428</v>
      </c>
      <c r="S47" s="43" t="s">
        <v>34</v>
      </c>
      <c r="T47" s="51">
        <v>45491</v>
      </c>
      <c r="U47" s="52">
        <v>12</v>
      </c>
      <c r="V47" s="47">
        <v>12</v>
      </c>
      <c r="W47" s="116">
        <f t="shared" si="0"/>
        <v>1</v>
      </c>
      <c r="X47" s="53" t="str">
        <f t="shared" si="1"/>
        <v/>
      </c>
      <c r="Y47" s="68" t="s">
        <v>3877</v>
      </c>
      <c r="Z47" s="54">
        <v>994668</v>
      </c>
      <c r="AA47" s="18" t="str" cm="1">
        <f t="array" ref="AA47">IF(P47="", "", _xlfn.XLOOKUP(P47,#REF!,#REF!,NA,0,-1))</f>
        <v/>
      </c>
      <c r="AB47" s="47"/>
      <c r="AC47" s="55" t="s">
        <v>3400</v>
      </c>
      <c r="AD47" s="61" t="str">
        <f>IF($AC47="","",_xlfn.XLOOKUP($AC47,'[2]Client Info'!$C$2:$C$2535,'[2]Client Info'!$D$2:$D$2535))</f>
        <v>9031 Quartz Road</v>
      </c>
      <c r="AE47" s="47" t="str">
        <f>IF($AC47="","",_xlfn.XLOOKUP($AC47,'[2]Client Info'!$C$2:$C$2715,'[2]Client Info'!$E$2:$E$2715))</f>
        <v>White Horse</v>
      </c>
      <c r="AF47" s="47" t="str">
        <f>IF($AC47="","",_xlfn.XLOOKUP($AC47,'[2]Client Info'!$C$2:$C$2715,'[2]Client Info'!$F$2:$F$2715))</f>
        <v>YT</v>
      </c>
      <c r="AG47" s="89" t="s">
        <v>33</v>
      </c>
      <c r="AH47" s="57"/>
      <c r="AI47" s="43" t="str">
        <f>_xlfn.XLOOKUP(Table26[[#This Row],[customerSKU]],customerSKU!G:G,customerSKU!O:O,"not found",0,1)</f>
        <v>not found</v>
      </c>
      <c r="AJ47" s="47">
        <f>Table26[[#This Row],[unitprice]]*Table26[[#This Row],[quantity_unit]]</f>
        <v>0</v>
      </c>
      <c r="AK47" s="47" t="e" cm="1">
        <f t="array" ref="AK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8" spans="1:37" s="53" customFormat="1" ht="18" customHeight="1">
      <c r="A48" s="42">
        <v>2209</v>
      </c>
      <c r="B48" s="42" t="s">
        <v>3520</v>
      </c>
      <c r="C48" s="43" t="s">
        <v>203</v>
      </c>
      <c r="D48" s="45">
        <v>45485</v>
      </c>
      <c r="E48" s="45"/>
      <c r="F48" s="43"/>
      <c r="G48" s="69"/>
      <c r="H48" s="43" t="s">
        <v>3803</v>
      </c>
      <c r="I48" s="47" t="s">
        <v>3862</v>
      </c>
      <c r="J48" s="47" t="s">
        <v>499</v>
      </c>
      <c r="K48" s="48">
        <v>45495</v>
      </c>
      <c r="L48" s="49" t="s">
        <v>490</v>
      </c>
      <c r="M48" s="47"/>
      <c r="N48" s="89" t="str">
        <f>Table26[[#This Row],[po_number]]&amp;"-"&amp;Table26[[#This Row],[po_line]]</f>
        <v>-9</v>
      </c>
      <c r="O48" s="89">
        <v>9</v>
      </c>
      <c r="P48" s="50"/>
      <c r="Q48" s="47" t="s">
        <v>964</v>
      </c>
      <c r="R48" s="47" t="s">
        <v>3428</v>
      </c>
      <c r="S48" s="43" t="s">
        <v>34</v>
      </c>
      <c r="T48" s="51">
        <v>45491</v>
      </c>
      <c r="U48" s="52">
        <v>12</v>
      </c>
      <c r="V48" s="47">
        <v>12</v>
      </c>
      <c r="W48" s="116">
        <f t="shared" si="0"/>
        <v>1</v>
      </c>
      <c r="X48" s="53" t="str">
        <f t="shared" si="1"/>
        <v/>
      </c>
      <c r="Y48" s="68" t="s">
        <v>3878</v>
      </c>
      <c r="Z48" s="54">
        <v>994666</v>
      </c>
      <c r="AA48" s="18" t="str" cm="1">
        <f t="array" ref="AA48">IF(P48="", "", _xlfn.XLOOKUP(P48,#REF!,#REF!,NA,0,-1))</f>
        <v/>
      </c>
      <c r="AB48" s="47"/>
      <c r="AC48" s="55" t="s">
        <v>3400</v>
      </c>
      <c r="AD48" s="61" t="str">
        <f>IF($AC48="","",_xlfn.XLOOKUP($AC48,'[2]Client Info'!$C$2:$C$2535,'[2]Client Info'!$D$2:$D$2535))</f>
        <v>9031 Quartz Road</v>
      </c>
      <c r="AE48" s="47" t="str">
        <f>IF($AC48="","",_xlfn.XLOOKUP($AC48,'[2]Client Info'!$C$2:$C$2715,'[2]Client Info'!$E$2:$E$2715))</f>
        <v>White Horse</v>
      </c>
      <c r="AF48" s="47" t="str">
        <f>IF($AC48="","",_xlfn.XLOOKUP($AC48,'[2]Client Info'!$C$2:$C$2715,'[2]Client Info'!$F$2:$F$2715))</f>
        <v>YT</v>
      </c>
      <c r="AG48" s="89" t="s">
        <v>33</v>
      </c>
      <c r="AH48" s="57"/>
      <c r="AI48" s="43" t="str">
        <f>_xlfn.XLOOKUP(Table26[[#This Row],[customerSKU]],customerSKU!G:G,customerSKU!O:O,"not found",0,1)</f>
        <v>not found</v>
      </c>
      <c r="AJ48" s="47">
        <f>Table26[[#This Row],[unitprice]]*Table26[[#This Row],[quantity_unit]]</f>
        <v>0</v>
      </c>
      <c r="AK48" s="47" t="e" cm="1">
        <f t="array" ref="AK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9" spans="1:37" s="53" customFormat="1" ht="18" customHeight="1">
      <c r="A49" s="42">
        <v>2210</v>
      </c>
      <c r="B49" s="42" t="s">
        <v>3520</v>
      </c>
      <c r="C49" s="43" t="s">
        <v>203</v>
      </c>
      <c r="D49" s="45">
        <v>45485</v>
      </c>
      <c r="E49" s="45"/>
      <c r="F49" s="43"/>
      <c r="G49" s="69"/>
      <c r="H49" s="43" t="s">
        <v>3803</v>
      </c>
      <c r="I49" s="47" t="s">
        <v>3862</v>
      </c>
      <c r="J49" s="47" t="s">
        <v>3879</v>
      </c>
      <c r="K49" s="48">
        <v>45495</v>
      </c>
      <c r="L49" s="49" t="s">
        <v>490</v>
      </c>
      <c r="M49" s="47"/>
      <c r="N49" s="89" t="str">
        <f>Table26[[#This Row],[po_number]]&amp;"-"&amp;Table26[[#This Row],[po_line]]</f>
        <v>-10</v>
      </c>
      <c r="O49" s="89">
        <v>10</v>
      </c>
      <c r="P49" s="50"/>
      <c r="Q49" s="47" t="s">
        <v>901</v>
      </c>
      <c r="R49" s="47" t="s">
        <v>3428</v>
      </c>
      <c r="S49" s="43" t="s">
        <v>34</v>
      </c>
      <c r="T49" s="51">
        <v>45491</v>
      </c>
      <c r="U49" s="52">
        <v>12</v>
      </c>
      <c r="V49" s="47">
        <v>12</v>
      </c>
      <c r="W49" s="116">
        <f t="shared" si="0"/>
        <v>1</v>
      </c>
      <c r="X49" s="53" t="str">
        <f t="shared" si="1"/>
        <v/>
      </c>
      <c r="Y49" s="68" t="s">
        <v>3880</v>
      </c>
      <c r="Z49" s="25" t="s">
        <v>3485</v>
      </c>
      <c r="AA49" s="18" t="str" cm="1">
        <f t="array" ref="AA49">IF(P49="", "", _xlfn.XLOOKUP(P49,#REF!,#REF!,NA,0,-1))</f>
        <v/>
      </c>
      <c r="AB49" s="47"/>
      <c r="AC49" s="55" t="s">
        <v>3400</v>
      </c>
      <c r="AD49" s="61" t="str">
        <f>IF($AC49="","",_xlfn.XLOOKUP($AC49,'[2]Client Info'!$C$2:$C$2535,'[2]Client Info'!$D$2:$D$2535))</f>
        <v>9031 Quartz Road</v>
      </c>
      <c r="AE49" s="47" t="str">
        <f>IF($AC49="","",_xlfn.XLOOKUP($AC49,'[2]Client Info'!$C$2:$C$2715,'[2]Client Info'!$E$2:$E$2715))</f>
        <v>White Horse</v>
      </c>
      <c r="AF49" s="47" t="str">
        <f>IF($AC49="","",_xlfn.XLOOKUP($AC49,'[2]Client Info'!$C$2:$C$2715,'[2]Client Info'!$F$2:$F$2715))</f>
        <v>YT</v>
      </c>
      <c r="AG49" s="89" t="s">
        <v>33</v>
      </c>
      <c r="AH49" s="57"/>
      <c r="AI49" s="43" t="str">
        <f>_xlfn.XLOOKUP(Table26[[#This Row],[customerSKU]],customerSKU!G:G,customerSKU!O:O,"not found",0,1)</f>
        <v>not found</v>
      </c>
      <c r="AJ49" s="47">
        <f>Table26[[#This Row],[unitprice]]*Table26[[#This Row],[quantity_unit]]</f>
        <v>0</v>
      </c>
      <c r="AK49" s="47" t="e" cm="1">
        <f t="array" ref="AK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" spans="1:37" s="53" customFormat="1" ht="18" customHeight="1">
      <c r="A50" s="42">
        <v>2199</v>
      </c>
      <c r="B50" s="228" t="s">
        <v>3837</v>
      </c>
      <c r="C50" s="229" t="s">
        <v>203</v>
      </c>
      <c r="D50" s="240"/>
      <c r="E50" s="240" t="e">
        <f>IF(#REF!&gt;0,#REF!,"")</f>
        <v>#REF!</v>
      </c>
      <c r="F50" s="90"/>
      <c r="G50" s="119"/>
      <c r="H50" s="241"/>
      <c r="I50" s="231" t="s">
        <v>3862</v>
      </c>
      <c r="J50" s="231" t="s">
        <v>503</v>
      </c>
      <c r="K50" s="232">
        <v>45497</v>
      </c>
      <c r="L50" s="233" t="s">
        <v>504</v>
      </c>
      <c r="M50" s="231"/>
      <c r="N50" s="252" t="str">
        <f>Table26[[#This Row],[po_number]]&amp;"-"&amp;Table26[[#This Row],[po_line]]</f>
        <v>-1</v>
      </c>
      <c r="O50" s="252">
        <v>1</v>
      </c>
      <c r="P50" s="234"/>
      <c r="Q50" s="231" t="s">
        <v>869</v>
      </c>
      <c r="R50" s="231" t="s">
        <v>3428</v>
      </c>
      <c r="S50" s="229" t="s">
        <v>13</v>
      </c>
      <c r="T50" s="20">
        <v>45447</v>
      </c>
      <c r="U50" s="236">
        <v>24</v>
      </c>
      <c r="V50" s="231">
        <v>12</v>
      </c>
      <c r="W50" s="237">
        <f t="shared" si="0"/>
        <v>2</v>
      </c>
      <c r="X50" s="90" t="str">
        <f t="shared" si="1"/>
        <v/>
      </c>
      <c r="Y50" s="90"/>
      <c r="Z50" s="60"/>
      <c r="AA50" s="18" t="str" cm="1">
        <f t="array" ref="AA50">IF(P50="", "", _xlfn.XLOOKUP(P50,#REF!,#REF!,NA,0,-1))</f>
        <v/>
      </c>
      <c r="AB50" s="231"/>
      <c r="AC50" s="55" t="s">
        <v>4066</v>
      </c>
      <c r="AD50" s="120" t="str">
        <f>IF($AC50="","",_xlfn.XLOOKUP($AC50,'[2]Client Info'!$C$2:$C$2535,'[2]Client Info'!$D$2:$D$2535))</f>
        <v>4055 Cambie St</v>
      </c>
      <c r="AE50" s="231" t="str">
        <f>IF($AC50="","",_xlfn.XLOOKUP($AC50,'[2]Client Info'!$C$2:$C$2715,'[2]Client Info'!$E$2:$E$2715))</f>
        <v>Vancouver</v>
      </c>
      <c r="AF50" s="231" t="str">
        <f>IF($AC50="","",_xlfn.XLOOKUP($AC50,'[2]Client Info'!$C$2:$C$2715,'[2]Client Info'!$F$2:$F$2715))</f>
        <v>BC</v>
      </c>
      <c r="AG50" s="252" t="s">
        <v>67</v>
      </c>
      <c r="AH50" s="238"/>
      <c r="AI50" s="43" t="str">
        <f>_xlfn.XLOOKUP(Table26[[#This Row],[customerSKU]],customerSKU!G:G,customerSKU!O:O,"not found",0,1)</f>
        <v>not found</v>
      </c>
      <c r="AJ50" s="53">
        <f>Table26[[#This Row],[unitprice]]*Table26[[#This Row],[quantity_unit]]</f>
        <v>0</v>
      </c>
      <c r="AK50" s="53" cm="1">
        <f t="array" ref="AK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1" spans="1:37" s="53" customFormat="1" ht="18" customHeight="1">
      <c r="A51" s="42">
        <v>2200</v>
      </c>
      <c r="B51" s="228" t="s">
        <v>3837</v>
      </c>
      <c r="C51" s="229" t="s">
        <v>203</v>
      </c>
      <c r="D51" s="240"/>
      <c r="E51" s="240"/>
      <c r="F51" s="90"/>
      <c r="G51" s="119"/>
      <c r="H51" s="241"/>
      <c r="I51" s="231" t="s">
        <v>3862</v>
      </c>
      <c r="J51" s="231" t="s">
        <v>503</v>
      </c>
      <c r="K51" s="232">
        <v>45497</v>
      </c>
      <c r="L51" s="233" t="s">
        <v>504</v>
      </c>
      <c r="M51" s="231"/>
      <c r="N51" s="252" t="str">
        <f>Table26[[#This Row],[po_number]]&amp;"-"&amp;Table26[[#This Row],[po_line]]</f>
        <v>-2</v>
      </c>
      <c r="O51" s="252">
        <v>2</v>
      </c>
      <c r="P51" s="234"/>
      <c r="Q51" s="231" t="s">
        <v>901</v>
      </c>
      <c r="R51" s="231" t="s">
        <v>3428</v>
      </c>
      <c r="S51" s="229" t="s">
        <v>13</v>
      </c>
      <c r="T51" s="20">
        <v>45432</v>
      </c>
      <c r="U51" s="236">
        <v>12</v>
      </c>
      <c r="V51" s="231">
        <v>12</v>
      </c>
      <c r="W51" s="237">
        <f t="shared" si="0"/>
        <v>1</v>
      </c>
      <c r="X51" s="90" t="str">
        <f t="shared" si="1"/>
        <v/>
      </c>
      <c r="Y51" s="231"/>
      <c r="Z51" s="60"/>
      <c r="AA51" s="18" t="str" cm="1">
        <f t="array" ref="AA51">IF(P51="", "", _xlfn.XLOOKUP(P51,#REF!,#REF!,NA,0,-1))</f>
        <v/>
      </c>
      <c r="AB51" s="231"/>
      <c r="AC51" s="55" t="s">
        <v>4066</v>
      </c>
      <c r="AD51" s="120" t="str">
        <f>IF($AC51="","",_xlfn.XLOOKUP($AC51,'[2]Client Info'!$C$2:$C$2535,'[2]Client Info'!$D$2:$D$2535))</f>
        <v>4055 Cambie St</v>
      </c>
      <c r="AE51" s="231" t="str">
        <f>IF($AC51="","",_xlfn.XLOOKUP($AC51,'[2]Client Info'!$C$2:$C$2715,'[2]Client Info'!$E$2:$E$2715))</f>
        <v>Vancouver</v>
      </c>
      <c r="AF51" s="231" t="str">
        <f>IF($AC51="","",_xlfn.XLOOKUP($AC51,'[2]Client Info'!$C$2:$C$2715,'[2]Client Info'!$F$2:$F$2715))</f>
        <v>BC</v>
      </c>
      <c r="AG51" s="252" t="s">
        <v>67</v>
      </c>
      <c r="AH51" s="238"/>
      <c r="AI51" s="43" t="str">
        <f>_xlfn.XLOOKUP(Table26[[#This Row],[customerSKU]],customerSKU!G:G,customerSKU!O:O,"not found",0,1)</f>
        <v>not found</v>
      </c>
      <c r="AJ51" s="53">
        <f>Table26[[#This Row],[unitprice]]*Table26[[#This Row],[quantity_unit]]</f>
        <v>0</v>
      </c>
      <c r="AK51" s="53" cm="1">
        <f t="array" ref="AK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2" spans="1:37" s="53" customFormat="1" ht="18" customHeight="1">
      <c r="A52" s="42">
        <v>2185</v>
      </c>
      <c r="B52" s="42" t="s">
        <v>3520</v>
      </c>
      <c r="C52" s="43" t="s">
        <v>203</v>
      </c>
      <c r="D52" s="71"/>
      <c r="E52" s="71" t="e">
        <f>IF(#REF!&gt;0,#REF!,"")</f>
        <v>#REF!</v>
      </c>
      <c r="F52" s="72"/>
      <c r="G52" s="69"/>
      <c r="H52" s="72"/>
      <c r="I52" s="53" t="s">
        <v>3775</v>
      </c>
      <c r="J52" s="53" t="s">
        <v>3800</v>
      </c>
      <c r="K52" s="48">
        <v>45499</v>
      </c>
      <c r="L52" s="49" t="s">
        <v>3801</v>
      </c>
      <c r="M52" s="47"/>
      <c r="N52" s="89" t="str">
        <f>Table26[[#This Row],[po_number]]&amp;"-"&amp;Table26[[#This Row],[po_line]]</f>
        <v>-1</v>
      </c>
      <c r="O52" s="89">
        <v>1</v>
      </c>
      <c r="P52" s="50"/>
      <c r="Q52" s="47" t="s">
        <v>971</v>
      </c>
      <c r="R52" s="47" t="s">
        <v>3794</v>
      </c>
      <c r="S52" s="43"/>
      <c r="T52" s="51">
        <v>45467</v>
      </c>
      <c r="U52" s="52">
        <v>4</v>
      </c>
      <c r="V52" s="47">
        <v>4</v>
      </c>
      <c r="W52" s="116">
        <f t="shared" si="0"/>
        <v>1</v>
      </c>
      <c r="X52" s="53" t="str">
        <f t="shared" si="1"/>
        <v/>
      </c>
      <c r="Y52" s="54"/>
      <c r="Z52" s="60"/>
      <c r="AA52" s="18" t="str" cm="1">
        <f t="array" ref="AA52">IF(P52="", "", _xlfn.XLOOKUP(P52,#REF!,#REF!,NA,0,-1))</f>
        <v/>
      </c>
      <c r="AB52" s="47"/>
      <c r="AC52" s="55" t="s">
        <v>3802</v>
      </c>
      <c r="AD52" s="61" t="str">
        <f>IF($AC52="","",_xlfn.XLOOKUP($AC52,'[2]Client Info'!$C$2:$C$2535,'[2]Client Info'!$D$2:$D$2535))</f>
        <v xml:space="preserve">2 Dromore Cres </v>
      </c>
      <c r="AE52" s="47" t="str">
        <f>IF($AC52="","",_xlfn.XLOOKUP($AC52,'[2]Client Info'!$C$2:$C$2715,'[2]Client Info'!$E$2:$E$2715))</f>
        <v>North York</v>
      </c>
      <c r="AF52" s="47" t="str">
        <f>IF($AC52="","",_xlfn.XLOOKUP($AC52,'[2]Client Info'!$C$2:$C$2715,'[2]Client Info'!$F$2:$F$2715))</f>
        <v>ON</v>
      </c>
      <c r="AG52" s="89" t="s">
        <v>65</v>
      </c>
      <c r="AH52" s="57"/>
      <c r="AI52" s="43" t="str">
        <f>_xlfn.XLOOKUP(Table26[[#This Row],[customerSKU]],customerSKU!G:G,customerSKU!O:O,"not found",0,1)</f>
        <v>not found</v>
      </c>
      <c r="AJ52" s="53">
        <f>Table26[[#This Row],[unitprice]]*Table26[[#This Row],[quantity_unit]]</f>
        <v>0</v>
      </c>
      <c r="AK52" s="53" t="e" cm="1">
        <f t="array" ref="AK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3" spans="1:37" s="53" customFormat="1" ht="18" customHeight="1">
      <c r="A53" s="42">
        <v>2186</v>
      </c>
      <c r="B53" s="42" t="s">
        <v>3520</v>
      </c>
      <c r="C53" s="43" t="s">
        <v>203</v>
      </c>
      <c r="D53" s="71"/>
      <c r="E53" s="71" t="e">
        <f>IF(#REF!&gt;0,#REF!,"")</f>
        <v>#REF!</v>
      </c>
      <c r="F53" s="72"/>
      <c r="G53" s="69"/>
      <c r="H53" s="72"/>
      <c r="I53" s="53" t="s">
        <v>3775</v>
      </c>
      <c r="J53" s="53" t="s">
        <v>3800</v>
      </c>
      <c r="K53" s="48">
        <v>45499</v>
      </c>
      <c r="L53" s="49" t="s">
        <v>3801</v>
      </c>
      <c r="M53" s="47"/>
      <c r="N53" s="89" t="str">
        <f>Table26[[#This Row],[po_number]]&amp;"-"&amp;Table26[[#This Row],[po_line]]</f>
        <v>-2</v>
      </c>
      <c r="O53" s="89">
        <v>2</v>
      </c>
      <c r="P53" s="50"/>
      <c r="Q53" s="47" t="s">
        <v>797</v>
      </c>
      <c r="R53" s="47" t="s">
        <v>3794</v>
      </c>
      <c r="S53" s="43"/>
      <c r="T53" s="51">
        <v>45448</v>
      </c>
      <c r="U53" s="52">
        <v>4</v>
      </c>
      <c r="V53" s="47">
        <v>4</v>
      </c>
      <c r="W53" s="116">
        <f t="shared" si="0"/>
        <v>1</v>
      </c>
      <c r="X53" s="53" t="str">
        <f t="shared" si="1"/>
        <v/>
      </c>
      <c r="Y53" s="54"/>
      <c r="Z53" s="60"/>
      <c r="AA53" s="18" t="str" cm="1">
        <f t="array" ref="AA53">IF(P53="", "", _xlfn.XLOOKUP(P53,#REF!,#REF!,NA,0,-1))</f>
        <v/>
      </c>
      <c r="AB53" s="47"/>
      <c r="AC53" s="55" t="s">
        <v>3802</v>
      </c>
      <c r="AD53" s="61" t="str">
        <f>IF($AC53="","",_xlfn.XLOOKUP($AC53,'[2]Client Info'!$C$2:$C$2535,'[2]Client Info'!$D$2:$D$2535))</f>
        <v xml:space="preserve">2 Dromore Cres </v>
      </c>
      <c r="AE53" s="47" t="str">
        <f>IF($AC53="","",_xlfn.XLOOKUP($AC53,'[2]Client Info'!$C$2:$C$2715,'[2]Client Info'!$E$2:$E$2715))</f>
        <v>North York</v>
      </c>
      <c r="AF53" s="47" t="str">
        <f>IF($AC53="","",_xlfn.XLOOKUP($AC53,'[2]Client Info'!$C$2:$C$2715,'[2]Client Info'!$F$2:$F$2715))</f>
        <v>ON</v>
      </c>
      <c r="AG53" s="89" t="s">
        <v>65</v>
      </c>
      <c r="AH53" s="57"/>
      <c r="AI53" s="43" t="str">
        <f>_xlfn.XLOOKUP(Table26[[#This Row],[customerSKU]],customerSKU!G:G,customerSKU!O:O,"not found",0,1)</f>
        <v>not found</v>
      </c>
      <c r="AJ53" s="59">
        <f>Table26[[#This Row],[unitprice]]*Table26[[#This Row],[quantity_unit]]</f>
        <v>0</v>
      </c>
      <c r="AK53" s="59" t="e" cm="1">
        <f t="array" ref="AK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4" spans="1:37" s="53" customFormat="1" ht="18" customHeight="1">
      <c r="A54" s="42">
        <v>2187</v>
      </c>
      <c r="B54" s="42" t="s">
        <v>3520</v>
      </c>
      <c r="C54" s="43" t="s">
        <v>203</v>
      </c>
      <c r="D54" s="71"/>
      <c r="E54" s="71" t="e">
        <f>IF(#REF!&gt;0,#REF!,"")</f>
        <v>#REF!</v>
      </c>
      <c r="F54" s="72"/>
      <c r="G54" s="69"/>
      <c r="H54" s="72"/>
      <c r="I54" s="53" t="s">
        <v>3775</v>
      </c>
      <c r="J54" s="53" t="s">
        <v>3800</v>
      </c>
      <c r="K54" s="48">
        <v>45499</v>
      </c>
      <c r="L54" s="49" t="s">
        <v>3801</v>
      </c>
      <c r="M54" s="47"/>
      <c r="N54" s="89" t="str">
        <f>Table26[[#This Row],[po_number]]&amp;"-"&amp;Table26[[#This Row],[po_line]]</f>
        <v>-3</v>
      </c>
      <c r="O54" s="89">
        <v>3</v>
      </c>
      <c r="P54" s="50"/>
      <c r="Q54" s="47" t="s">
        <v>1324</v>
      </c>
      <c r="R54" s="47" t="s">
        <v>3794</v>
      </c>
      <c r="S54" s="43"/>
      <c r="T54" s="51">
        <v>45467</v>
      </c>
      <c r="U54" s="52">
        <v>4</v>
      </c>
      <c r="V54" s="47">
        <v>4</v>
      </c>
      <c r="W54" s="116">
        <f t="shared" si="0"/>
        <v>1</v>
      </c>
      <c r="X54" s="53" t="str">
        <f t="shared" si="1"/>
        <v/>
      </c>
      <c r="Y54" s="54"/>
      <c r="Z54" s="60"/>
      <c r="AA54" s="18" t="str" cm="1">
        <f t="array" ref="AA54">IF(P54="", "", _xlfn.XLOOKUP(P54,#REF!,#REF!,NA,0,-1))</f>
        <v/>
      </c>
      <c r="AB54" s="47"/>
      <c r="AC54" s="55" t="s">
        <v>3802</v>
      </c>
      <c r="AD54" s="61" t="str">
        <f>IF($AC54="","",_xlfn.XLOOKUP($AC54,'[2]Client Info'!$C$2:$C$2535,'[2]Client Info'!$D$2:$D$2535))</f>
        <v xml:space="preserve">2 Dromore Cres </v>
      </c>
      <c r="AE54" s="47" t="str">
        <f>IF($AC54="","",_xlfn.XLOOKUP($AC54,'[2]Client Info'!$C$2:$C$2715,'[2]Client Info'!$E$2:$E$2715))</f>
        <v>North York</v>
      </c>
      <c r="AF54" s="47" t="str">
        <f>IF($AC54="","",_xlfn.XLOOKUP($AC54,'[2]Client Info'!$C$2:$C$2715,'[2]Client Info'!$F$2:$F$2715))</f>
        <v>ON</v>
      </c>
      <c r="AG54" s="89" t="s">
        <v>65</v>
      </c>
      <c r="AH54" s="57"/>
      <c r="AI54" s="43" t="str">
        <f>_xlfn.XLOOKUP(Table26[[#This Row],[customerSKU]],customerSKU!G:G,customerSKU!O:O,"not found",0,1)</f>
        <v>not found</v>
      </c>
      <c r="AJ54" s="59">
        <f>Table26[[#This Row],[unitprice]]*Table26[[#This Row],[quantity_unit]]</f>
        <v>0</v>
      </c>
      <c r="AK54" s="59" t="e" cm="1">
        <f t="array" ref="AK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" spans="1:37" s="53" customFormat="1" ht="18" customHeight="1">
      <c r="A55" s="42">
        <v>2188</v>
      </c>
      <c r="B55" s="228" t="s">
        <v>3837</v>
      </c>
      <c r="C55" s="229" t="s">
        <v>203</v>
      </c>
      <c r="D55" s="240"/>
      <c r="E55" s="240" t="e">
        <f>IF(#REF!&gt;0,#REF!,"")</f>
        <v>#REF!</v>
      </c>
      <c r="F55" s="90"/>
      <c r="G55" s="119"/>
      <c r="H55" s="241"/>
      <c r="I55" s="231" t="s">
        <v>3862</v>
      </c>
      <c r="J55" s="231" t="s">
        <v>503</v>
      </c>
      <c r="K55" s="232">
        <v>45499</v>
      </c>
      <c r="L55" s="233" t="s">
        <v>504</v>
      </c>
      <c r="M55" s="231"/>
      <c r="N55" s="252" t="str">
        <f>Table26[[#This Row],[po_number]]&amp;"-"&amp;Table26[[#This Row],[po_line]]</f>
        <v>-1</v>
      </c>
      <c r="O55" s="252">
        <v>1</v>
      </c>
      <c r="P55" s="234"/>
      <c r="Q55" s="231" t="s">
        <v>971</v>
      </c>
      <c r="R55" s="231"/>
      <c r="S55" s="229"/>
      <c r="T55" s="20">
        <v>45467</v>
      </c>
      <c r="U55" s="236">
        <v>12</v>
      </c>
      <c r="V55" s="231">
        <v>12</v>
      </c>
      <c r="W55" s="237">
        <f t="shared" si="0"/>
        <v>1</v>
      </c>
      <c r="X55" s="90" t="str">
        <f t="shared" si="1"/>
        <v/>
      </c>
      <c r="Y55" s="231"/>
      <c r="Z55" s="60"/>
      <c r="AA55" s="18" t="str" cm="1">
        <f t="array" ref="AA55">IF(P55="", "", _xlfn.XLOOKUP(P55,#REF!,#REF!,NA,0,-1))</f>
        <v/>
      </c>
      <c r="AB55" s="231"/>
      <c r="AC55" s="55" t="s">
        <v>3985</v>
      </c>
      <c r="AD55" s="120" t="str">
        <f>IF($AC55="","",_xlfn.XLOOKUP($AC55,'[2]Client Info'!$C$2:$C$2535,'[2]Client Info'!$D$2:$D$2535))</f>
        <v>223 1st St W</v>
      </c>
      <c r="AE55" s="231" t="str">
        <f>IF($AC55="","",_xlfn.XLOOKUP($AC55,'[2]Client Info'!$C$2:$C$2715,'[2]Client Info'!$E$2:$E$2715))</f>
        <v>North Vancouver</v>
      </c>
      <c r="AF55" s="231" t="str">
        <f>IF($AC55="","",_xlfn.XLOOKUP($AC55,'[2]Client Info'!$C$2:$C$2715,'[2]Client Info'!$F$2:$F$2715))</f>
        <v xml:space="preserve">BC </v>
      </c>
      <c r="AG55" s="252" t="s">
        <v>103</v>
      </c>
      <c r="AH55" s="238"/>
      <c r="AI55" s="43" t="str">
        <f>_xlfn.XLOOKUP(Table26[[#This Row],[customerSKU]],customerSKU!G:G,customerSKU!O:O,"not found",0,1)</f>
        <v>not found</v>
      </c>
      <c r="AJ55" s="53">
        <f>Table26[[#This Row],[unitprice]]*Table26[[#This Row],[quantity_unit]]</f>
        <v>0</v>
      </c>
      <c r="AK55" s="53" cm="1">
        <f t="array" ref="AK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6" spans="1:37" s="53" customFormat="1" ht="18" customHeight="1">
      <c r="A56" s="42">
        <v>2189</v>
      </c>
      <c r="B56" s="228" t="s">
        <v>3837</v>
      </c>
      <c r="C56" s="229" t="s">
        <v>203</v>
      </c>
      <c r="D56" s="240"/>
      <c r="E56" s="240"/>
      <c r="F56" s="90"/>
      <c r="G56" s="119"/>
      <c r="H56" s="241"/>
      <c r="I56" s="231" t="s">
        <v>3862</v>
      </c>
      <c r="J56" s="231" t="s">
        <v>503</v>
      </c>
      <c r="K56" s="232">
        <v>45499</v>
      </c>
      <c r="L56" s="233" t="s">
        <v>504</v>
      </c>
      <c r="M56" s="231"/>
      <c r="N56" s="252" t="str">
        <f>Table26[[#This Row],[po_number]]&amp;"-"&amp;Table26[[#This Row],[po_line]]</f>
        <v>-2</v>
      </c>
      <c r="O56" s="252">
        <v>2</v>
      </c>
      <c r="P56" s="234"/>
      <c r="Q56" s="231" t="s">
        <v>862</v>
      </c>
      <c r="R56" s="231"/>
      <c r="S56" s="229"/>
      <c r="T56" s="20">
        <v>45488</v>
      </c>
      <c r="U56" s="236">
        <v>12</v>
      </c>
      <c r="V56" s="231">
        <v>12</v>
      </c>
      <c r="W56" s="237">
        <f t="shared" si="0"/>
        <v>1</v>
      </c>
      <c r="X56" s="90" t="str">
        <f t="shared" si="1"/>
        <v/>
      </c>
      <c r="Y56" s="231"/>
      <c r="Z56" s="60"/>
      <c r="AA56" s="18" t="str" cm="1">
        <f t="array" ref="AA56">IF(P56="", "", _xlfn.XLOOKUP(P56,#REF!,#REF!,NA,0,-1))</f>
        <v/>
      </c>
      <c r="AB56" s="231"/>
      <c r="AC56" s="55" t="s">
        <v>3985</v>
      </c>
      <c r="AD56" s="120" t="str">
        <f>IF($AC56="","",_xlfn.XLOOKUP($AC56,'[2]Client Info'!$C$2:$C$2535,'[2]Client Info'!$D$2:$D$2535))</f>
        <v>223 1st St W</v>
      </c>
      <c r="AE56" s="231" t="str">
        <f>IF($AC56="","",_xlfn.XLOOKUP($AC56,'[2]Client Info'!$C$2:$C$2715,'[2]Client Info'!$E$2:$E$2715))</f>
        <v>North Vancouver</v>
      </c>
      <c r="AF56" s="231" t="str">
        <f>IF($AC56="","",_xlfn.XLOOKUP($AC56,'[2]Client Info'!$C$2:$C$2715,'[2]Client Info'!$F$2:$F$2715))</f>
        <v xml:space="preserve">BC </v>
      </c>
      <c r="AG56" s="252" t="s">
        <v>103</v>
      </c>
      <c r="AH56" s="238"/>
      <c r="AI56" s="43" t="str">
        <f>_xlfn.XLOOKUP(Table26[[#This Row],[customerSKU]],customerSKU!G:G,customerSKU!O:O,"not found",0,1)</f>
        <v>not found</v>
      </c>
      <c r="AJ56" s="53">
        <f>Table26[[#This Row],[unitprice]]*Table26[[#This Row],[quantity_unit]]</f>
        <v>0</v>
      </c>
      <c r="AK56" s="53" cm="1">
        <f t="array" ref="AK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7" spans="1:37" s="53" customFormat="1" ht="18" customHeight="1">
      <c r="A57" s="42">
        <v>2190</v>
      </c>
      <c r="B57" s="228" t="s">
        <v>3837</v>
      </c>
      <c r="C57" s="229" t="s">
        <v>203</v>
      </c>
      <c r="D57" s="240"/>
      <c r="E57" s="240" t="e">
        <f>IF(#REF!&gt;0,#REF!,"")</f>
        <v>#REF!</v>
      </c>
      <c r="F57" s="90"/>
      <c r="G57" s="119"/>
      <c r="H57" s="241"/>
      <c r="I57" s="231" t="s">
        <v>3862</v>
      </c>
      <c r="J57" s="231" t="s">
        <v>503</v>
      </c>
      <c r="K57" s="232">
        <v>45499</v>
      </c>
      <c r="L57" s="233" t="s">
        <v>504</v>
      </c>
      <c r="M57" s="231"/>
      <c r="N57" s="252" t="str">
        <f>Table26[[#This Row],[po_number]]&amp;"-"&amp;Table26[[#This Row],[po_line]]</f>
        <v>-3</v>
      </c>
      <c r="O57" s="252">
        <v>3</v>
      </c>
      <c r="P57" s="234"/>
      <c r="Q57" s="231" t="s">
        <v>885</v>
      </c>
      <c r="R57" s="231" t="s">
        <v>3428</v>
      </c>
      <c r="S57" s="229" t="s">
        <v>13</v>
      </c>
      <c r="T57" s="20">
        <v>45423</v>
      </c>
      <c r="U57" s="236">
        <v>12</v>
      </c>
      <c r="V57" s="231">
        <v>12</v>
      </c>
      <c r="W57" s="237">
        <f t="shared" si="0"/>
        <v>1</v>
      </c>
      <c r="X57" s="90" t="str">
        <f t="shared" si="1"/>
        <v/>
      </c>
      <c r="Y57" s="231"/>
      <c r="Z57" s="60"/>
      <c r="AA57" s="18" t="str" cm="1">
        <f t="array" ref="AA57">IF(P57="", "", _xlfn.XLOOKUP(P57,#REF!,#REF!,NA,0,-1))</f>
        <v/>
      </c>
      <c r="AB57" s="231"/>
      <c r="AC57" s="55" t="s">
        <v>3985</v>
      </c>
      <c r="AD57" s="120" t="str">
        <f>IF($AC57="","",_xlfn.XLOOKUP($AC57,'[2]Client Info'!$C$2:$C$2535,'[2]Client Info'!$D$2:$D$2535))</f>
        <v>223 1st St W</v>
      </c>
      <c r="AE57" s="231" t="str">
        <f>IF($AC57="","",_xlfn.XLOOKUP($AC57,'[2]Client Info'!$C$2:$C$2715,'[2]Client Info'!$E$2:$E$2715))</f>
        <v>North Vancouver</v>
      </c>
      <c r="AF57" s="231" t="str">
        <f>IF($AC57="","",_xlfn.XLOOKUP($AC57,'[2]Client Info'!$C$2:$C$2715,'[2]Client Info'!$F$2:$F$2715))</f>
        <v xml:space="preserve">BC </v>
      </c>
      <c r="AG57" s="252" t="s">
        <v>103</v>
      </c>
      <c r="AH57" s="238"/>
      <c r="AI57" s="43" t="str">
        <f>_xlfn.XLOOKUP(Table26[[#This Row],[customerSKU]],customerSKU!G:G,customerSKU!O:O,"not found",0,1)</f>
        <v>not found</v>
      </c>
      <c r="AJ57" s="53">
        <f>Table26[[#This Row],[unitprice]]*Table26[[#This Row],[quantity_unit]]</f>
        <v>0</v>
      </c>
      <c r="AK57" s="53" cm="1">
        <f t="array" ref="AK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8" spans="1:37" s="53" customFormat="1" ht="18" customHeight="1">
      <c r="A58" s="42">
        <v>2191</v>
      </c>
      <c r="B58" s="228" t="s">
        <v>3837</v>
      </c>
      <c r="C58" s="229" t="s">
        <v>203</v>
      </c>
      <c r="D58" s="240"/>
      <c r="E58" s="240" t="e">
        <f>IF(#REF!&gt;0,#REF!,"")</f>
        <v>#REF!</v>
      </c>
      <c r="F58" s="90"/>
      <c r="G58" s="119"/>
      <c r="H58" s="241"/>
      <c r="I58" s="231" t="s">
        <v>3862</v>
      </c>
      <c r="J58" s="231" t="s">
        <v>503</v>
      </c>
      <c r="K58" s="232">
        <v>45499</v>
      </c>
      <c r="L58" s="233" t="s">
        <v>504</v>
      </c>
      <c r="M58" s="231"/>
      <c r="N58" s="252" t="str">
        <f>Table26[[#This Row],[po_number]]&amp;"-"&amp;Table26[[#This Row],[po_line]]</f>
        <v>-4</v>
      </c>
      <c r="O58" s="252">
        <v>4</v>
      </c>
      <c r="P58" s="234"/>
      <c r="Q58" s="231" t="s">
        <v>3870</v>
      </c>
      <c r="R58" s="231" t="s">
        <v>3428</v>
      </c>
      <c r="S58" s="229" t="s">
        <v>13</v>
      </c>
      <c r="T58" s="20">
        <v>45448</v>
      </c>
      <c r="U58" s="236">
        <v>12</v>
      </c>
      <c r="V58" s="231">
        <v>12</v>
      </c>
      <c r="W58" s="237">
        <f t="shared" si="0"/>
        <v>1</v>
      </c>
      <c r="X58" s="90" t="str">
        <f t="shared" si="1"/>
        <v/>
      </c>
      <c r="Y58" s="231"/>
      <c r="Z58" s="60"/>
      <c r="AA58" s="18" t="str" cm="1">
        <f t="array" ref="AA58">IF(P58="", "", _xlfn.XLOOKUP(P58,#REF!,#REF!,NA,0,-1))</f>
        <v/>
      </c>
      <c r="AB58" s="231"/>
      <c r="AC58" s="55" t="s">
        <v>3985</v>
      </c>
      <c r="AD58" s="120" t="str">
        <f>IF($AC58="","",_xlfn.XLOOKUP($AC58,'[2]Client Info'!$C$2:$C$2535,'[2]Client Info'!$D$2:$D$2535))</f>
        <v>223 1st St W</v>
      </c>
      <c r="AE58" s="231" t="str">
        <f>IF($AC58="","",_xlfn.XLOOKUP($AC58,'[2]Client Info'!$C$2:$C$2715,'[2]Client Info'!$E$2:$E$2715))</f>
        <v>North Vancouver</v>
      </c>
      <c r="AF58" s="231" t="str">
        <f>IF($AC58="","",_xlfn.XLOOKUP($AC58,'[2]Client Info'!$C$2:$C$2715,'[2]Client Info'!$F$2:$F$2715))</f>
        <v xml:space="preserve">BC </v>
      </c>
      <c r="AG58" s="252" t="s">
        <v>103</v>
      </c>
      <c r="AH58" s="238"/>
      <c r="AI58" s="43" t="str">
        <f>_xlfn.XLOOKUP(Table26[[#This Row],[customerSKU]],customerSKU!G:G,customerSKU!O:O,"not found",0,1)</f>
        <v>not found</v>
      </c>
      <c r="AJ58" s="53">
        <f>Table26[[#This Row],[unitprice]]*Table26[[#This Row],[quantity_unit]]</f>
        <v>0</v>
      </c>
      <c r="AK58" s="53" cm="1">
        <f t="array" ref="AK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59" spans="1:37" s="53" customFormat="1" ht="18" customHeight="1">
      <c r="A59" s="42">
        <v>2192</v>
      </c>
      <c r="B59" s="228" t="s">
        <v>3837</v>
      </c>
      <c r="C59" s="229" t="s">
        <v>203</v>
      </c>
      <c r="D59" s="240"/>
      <c r="E59" s="240" t="e">
        <f>IF(#REF!&gt;0,#REF!,"")</f>
        <v>#REF!</v>
      </c>
      <c r="F59" s="90"/>
      <c r="G59" s="119"/>
      <c r="H59" s="241"/>
      <c r="I59" s="231" t="s">
        <v>3862</v>
      </c>
      <c r="J59" s="231" t="s">
        <v>503</v>
      </c>
      <c r="K59" s="232">
        <v>45499</v>
      </c>
      <c r="L59" s="233" t="s">
        <v>504</v>
      </c>
      <c r="M59" s="231"/>
      <c r="N59" s="252" t="str">
        <f>Table26[[#This Row],[po_number]]&amp;"-"&amp;Table26[[#This Row],[po_line]]</f>
        <v>-5</v>
      </c>
      <c r="O59" s="252">
        <v>5</v>
      </c>
      <c r="P59" s="234"/>
      <c r="Q59" s="231" t="s">
        <v>4067</v>
      </c>
      <c r="R59" s="231" t="s">
        <v>3428</v>
      </c>
      <c r="S59" s="229" t="s">
        <v>13</v>
      </c>
      <c r="T59" s="20">
        <v>45457</v>
      </c>
      <c r="U59" s="236">
        <v>12</v>
      </c>
      <c r="V59" s="231">
        <v>12</v>
      </c>
      <c r="W59" s="237">
        <f t="shared" si="0"/>
        <v>1</v>
      </c>
      <c r="X59" s="90" t="str">
        <f t="shared" si="1"/>
        <v/>
      </c>
      <c r="Y59" s="231"/>
      <c r="Z59" s="60"/>
      <c r="AA59" s="18" t="str" cm="1">
        <f t="array" ref="AA59">IF(P59="", "", _xlfn.XLOOKUP(P59,#REF!,#REF!,NA,0,-1))</f>
        <v/>
      </c>
      <c r="AB59" s="231"/>
      <c r="AC59" s="55" t="s">
        <v>3985</v>
      </c>
      <c r="AD59" s="120" t="str">
        <f>IF($AC59="","",_xlfn.XLOOKUP($AC59,'[2]Client Info'!$C$2:$C$2535,'[2]Client Info'!$D$2:$D$2535))</f>
        <v>223 1st St W</v>
      </c>
      <c r="AE59" s="231" t="str">
        <f>IF($AC59="","",_xlfn.XLOOKUP($AC59,'[2]Client Info'!$C$2:$C$2715,'[2]Client Info'!$E$2:$E$2715))</f>
        <v>North Vancouver</v>
      </c>
      <c r="AF59" s="231" t="str">
        <f>IF($AC59="","",_xlfn.XLOOKUP($AC59,'[2]Client Info'!$C$2:$C$2715,'[2]Client Info'!$F$2:$F$2715))</f>
        <v xml:space="preserve">BC </v>
      </c>
      <c r="AG59" s="252" t="s">
        <v>103</v>
      </c>
      <c r="AH59" s="238"/>
      <c r="AI59" s="43" t="str">
        <f>_xlfn.XLOOKUP(Table26[[#This Row],[customerSKU]],customerSKU!G:G,customerSKU!O:O,"not found",0,1)</f>
        <v>not found</v>
      </c>
      <c r="AJ59" s="53">
        <f>Table26[[#This Row],[unitprice]]*Table26[[#This Row],[quantity_unit]]</f>
        <v>0</v>
      </c>
      <c r="AK59" s="53" cm="1">
        <f t="array" ref="AK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0" spans="1:37" s="53" customFormat="1" ht="18" customHeight="1">
      <c r="A60" s="42">
        <v>2193</v>
      </c>
      <c r="B60" s="228" t="s">
        <v>3837</v>
      </c>
      <c r="C60" s="229" t="s">
        <v>203</v>
      </c>
      <c r="D60" s="240"/>
      <c r="E60" s="240" t="e">
        <f>IF(#REF!&gt;0,#REF!,"")</f>
        <v>#REF!</v>
      </c>
      <c r="F60" s="90"/>
      <c r="G60" s="119"/>
      <c r="H60" s="241"/>
      <c r="I60" s="231" t="s">
        <v>3862</v>
      </c>
      <c r="J60" s="231" t="s">
        <v>503</v>
      </c>
      <c r="K60" s="232">
        <v>45499</v>
      </c>
      <c r="L60" s="233" t="s">
        <v>504</v>
      </c>
      <c r="M60" s="231"/>
      <c r="N60" s="252" t="str">
        <f>Table26[[#This Row],[po_number]]&amp;"-"&amp;Table26[[#This Row],[po_line]]</f>
        <v>-6</v>
      </c>
      <c r="O60" s="252">
        <v>6</v>
      </c>
      <c r="P60" s="234"/>
      <c r="Q60" s="231" t="s">
        <v>828</v>
      </c>
      <c r="R60" s="231" t="s">
        <v>3428</v>
      </c>
      <c r="S60" s="229" t="s">
        <v>13</v>
      </c>
      <c r="T60" s="20">
        <v>45447</v>
      </c>
      <c r="U60" s="236">
        <v>12</v>
      </c>
      <c r="V60" s="231">
        <v>12</v>
      </c>
      <c r="W60" s="237">
        <f t="shared" si="0"/>
        <v>1</v>
      </c>
      <c r="X60" s="90" t="str">
        <f t="shared" si="1"/>
        <v/>
      </c>
      <c r="Y60" s="231"/>
      <c r="Z60" s="60"/>
      <c r="AA60" s="18" t="str" cm="1">
        <f t="array" ref="AA60">IF(P60="", "", _xlfn.XLOOKUP(P60,#REF!,#REF!,NA,0,-1))</f>
        <v/>
      </c>
      <c r="AB60" s="231"/>
      <c r="AC60" s="55" t="s">
        <v>3985</v>
      </c>
      <c r="AD60" s="120" t="str">
        <f>IF($AC60="","",_xlfn.XLOOKUP($AC60,'[2]Client Info'!$C$2:$C$2535,'[2]Client Info'!$D$2:$D$2535))</f>
        <v>223 1st St W</v>
      </c>
      <c r="AE60" s="231" t="str">
        <f>IF($AC60="","",_xlfn.XLOOKUP($AC60,'[2]Client Info'!$C$2:$C$2715,'[2]Client Info'!$E$2:$E$2715))</f>
        <v>North Vancouver</v>
      </c>
      <c r="AF60" s="231" t="str">
        <f>IF($AC60="","",_xlfn.XLOOKUP($AC60,'[2]Client Info'!$C$2:$C$2715,'[2]Client Info'!$F$2:$F$2715))</f>
        <v xml:space="preserve">BC </v>
      </c>
      <c r="AG60" s="252" t="s">
        <v>103</v>
      </c>
      <c r="AH60" s="238"/>
      <c r="AI60" s="43" t="str">
        <f>_xlfn.XLOOKUP(Table26[[#This Row],[customerSKU]],customerSKU!G:G,customerSKU!O:O,"not found",0,1)</f>
        <v>not found</v>
      </c>
      <c r="AJ60" s="53">
        <f>Table26[[#This Row],[unitprice]]*Table26[[#This Row],[quantity_unit]]</f>
        <v>0</v>
      </c>
      <c r="AK60" s="53" cm="1">
        <f t="array" ref="AK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1" spans="1:37" s="53" customFormat="1" ht="18" customHeight="1">
      <c r="A61" s="42">
        <v>2194</v>
      </c>
      <c r="B61" s="228" t="s">
        <v>3837</v>
      </c>
      <c r="C61" s="229" t="s">
        <v>203</v>
      </c>
      <c r="D61" s="240"/>
      <c r="E61" s="240" t="e">
        <f>IF(#REF!&gt;0,#REF!,"")</f>
        <v>#REF!</v>
      </c>
      <c r="F61" s="90"/>
      <c r="G61" s="119"/>
      <c r="H61" s="241"/>
      <c r="I61" s="231" t="s">
        <v>3862</v>
      </c>
      <c r="J61" s="231" t="s">
        <v>503</v>
      </c>
      <c r="K61" s="232">
        <v>45499</v>
      </c>
      <c r="L61" s="233" t="s">
        <v>504</v>
      </c>
      <c r="M61" s="231"/>
      <c r="N61" s="252" t="str">
        <f>Table26[[#This Row],[po_number]]&amp;"-"&amp;Table26[[#This Row],[po_line]]</f>
        <v>-7</v>
      </c>
      <c r="O61" s="252">
        <v>7</v>
      </c>
      <c r="P61" s="234"/>
      <c r="Q61" s="231" t="s">
        <v>551</v>
      </c>
      <c r="R61" s="231" t="s">
        <v>3428</v>
      </c>
      <c r="S61" s="229" t="s">
        <v>13</v>
      </c>
      <c r="T61" s="20">
        <v>45498</v>
      </c>
      <c r="U61" s="236">
        <v>12</v>
      </c>
      <c r="V61" s="231">
        <v>12</v>
      </c>
      <c r="W61" s="237">
        <f t="shared" si="0"/>
        <v>1</v>
      </c>
      <c r="X61" s="90" t="str">
        <f t="shared" si="1"/>
        <v/>
      </c>
      <c r="Y61" s="231"/>
      <c r="Z61" s="60"/>
      <c r="AA61" s="18" t="str" cm="1">
        <f t="array" ref="AA61">IF(P61="", "", _xlfn.XLOOKUP(P61,#REF!,#REF!,NA,0,-1))</f>
        <v/>
      </c>
      <c r="AB61" s="231"/>
      <c r="AC61" s="55" t="s">
        <v>3985</v>
      </c>
      <c r="AD61" s="120" t="str">
        <f>IF($AC61="","",_xlfn.XLOOKUP($AC61,'[2]Client Info'!$C$2:$C$2535,'[2]Client Info'!$D$2:$D$2535))</f>
        <v>223 1st St W</v>
      </c>
      <c r="AE61" s="231" t="str">
        <f>IF($AC61="","",_xlfn.XLOOKUP($AC61,'[2]Client Info'!$C$2:$C$2715,'[2]Client Info'!$E$2:$E$2715))</f>
        <v>North Vancouver</v>
      </c>
      <c r="AF61" s="231" t="str">
        <f>IF($AC61="","",_xlfn.XLOOKUP($AC61,'[2]Client Info'!$C$2:$C$2715,'[2]Client Info'!$F$2:$F$2715))</f>
        <v xml:space="preserve">BC </v>
      </c>
      <c r="AG61" s="252" t="s">
        <v>103</v>
      </c>
      <c r="AH61" s="238"/>
      <c r="AI61" s="43" t="str">
        <f>_xlfn.XLOOKUP(Table26[[#This Row],[customerSKU]],customerSKU!G:G,customerSKU!O:O,"not found",0,1)</f>
        <v>not found</v>
      </c>
      <c r="AJ61" s="53">
        <f>Table26[[#This Row],[unitprice]]*Table26[[#This Row],[quantity_unit]]</f>
        <v>0</v>
      </c>
      <c r="AK61" s="53" cm="1">
        <f t="array" ref="AK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2" spans="1:37" s="53" customFormat="1" ht="18" customHeight="1">
      <c r="A62" s="42">
        <v>2195</v>
      </c>
      <c r="B62" s="228" t="s">
        <v>3837</v>
      </c>
      <c r="C62" s="229" t="s">
        <v>203</v>
      </c>
      <c r="D62" s="240"/>
      <c r="E62" s="240" t="e">
        <f>IF(#REF!&gt;0,#REF!,"")</f>
        <v>#REF!</v>
      </c>
      <c r="F62" s="90"/>
      <c r="G62" s="119"/>
      <c r="H62" s="241"/>
      <c r="I62" s="231" t="s">
        <v>3862</v>
      </c>
      <c r="J62" s="231" t="s">
        <v>503</v>
      </c>
      <c r="K62" s="232">
        <v>45499</v>
      </c>
      <c r="L62" s="233" t="s">
        <v>504</v>
      </c>
      <c r="M62" s="231"/>
      <c r="N62" s="252" t="str">
        <f>Table26[[#This Row],[po_number]]&amp;"-"&amp;Table26[[#This Row],[po_line]]</f>
        <v>-8</v>
      </c>
      <c r="O62" s="252">
        <v>8</v>
      </c>
      <c r="P62" s="234"/>
      <c r="Q62" s="231" t="s">
        <v>869</v>
      </c>
      <c r="R62" s="231" t="s">
        <v>3428</v>
      </c>
      <c r="S62" s="229" t="s">
        <v>13</v>
      </c>
      <c r="T62" s="20">
        <v>45498</v>
      </c>
      <c r="U62" s="236">
        <v>12</v>
      </c>
      <c r="V62" s="231">
        <v>12</v>
      </c>
      <c r="W62" s="237">
        <f t="shared" si="0"/>
        <v>1</v>
      </c>
      <c r="X62" s="90" t="str">
        <f t="shared" si="1"/>
        <v/>
      </c>
      <c r="Y62" s="231"/>
      <c r="Z62" s="60"/>
      <c r="AA62" s="18" t="str" cm="1">
        <f t="array" ref="AA62">IF(P62="", "", _xlfn.XLOOKUP(P62,#REF!,#REF!,NA,0,-1))</f>
        <v/>
      </c>
      <c r="AB62" s="231"/>
      <c r="AC62" s="55" t="s">
        <v>3985</v>
      </c>
      <c r="AD62" s="120" t="str">
        <f>IF($AC62="","",_xlfn.XLOOKUP($AC62,'[2]Client Info'!$C$2:$C$2535,'[2]Client Info'!$D$2:$D$2535))</f>
        <v>223 1st St W</v>
      </c>
      <c r="AE62" s="231" t="str">
        <f>IF($AC62="","",_xlfn.XLOOKUP($AC62,'[2]Client Info'!$C$2:$C$2715,'[2]Client Info'!$E$2:$E$2715))</f>
        <v>North Vancouver</v>
      </c>
      <c r="AF62" s="231" t="str">
        <f>IF($AC62="","",_xlfn.XLOOKUP($AC62,'[2]Client Info'!$C$2:$C$2715,'[2]Client Info'!$F$2:$F$2715))</f>
        <v xml:space="preserve">BC </v>
      </c>
      <c r="AG62" s="252" t="s">
        <v>103</v>
      </c>
      <c r="AH62" s="238"/>
      <c r="AI62" s="43" t="str">
        <f>_xlfn.XLOOKUP(Table26[[#This Row],[customerSKU]],customerSKU!G:G,customerSKU!O:O,"not found",0,1)</f>
        <v>not found</v>
      </c>
      <c r="AJ62" s="53">
        <f>Table26[[#This Row],[unitprice]]*Table26[[#This Row],[quantity_unit]]</f>
        <v>0</v>
      </c>
      <c r="AK62" s="53" cm="1">
        <f t="array" ref="AK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3" spans="1:37" s="53" customFormat="1" ht="18" customHeight="1">
      <c r="A63" s="42">
        <v>2196</v>
      </c>
      <c r="B63" s="228" t="s">
        <v>3837</v>
      </c>
      <c r="C63" s="229" t="s">
        <v>203</v>
      </c>
      <c r="D63" s="240"/>
      <c r="E63" s="240" t="e">
        <f>IF(#REF!&gt;0,#REF!,"")</f>
        <v>#REF!</v>
      </c>
      <c r="F63" s="90"/>
      <c r="G63" s="119"/>
      <c r="H63" s="241"/>
      <c r="I63" s="231" t="s">
        <v>3862</v>
      </c>
      <c r="J63" s="231" t="s">
        <v>503</v>
      </c>
      <c r="K63" s="232">
        <v>45499</v>
      </c>
      <c r="L63" s="233" t="s">
        <v>504</v>
      </c>
      <c r="M63" s="231"/>
      <c r="N63" s="252" t="str">
        <f>Table26[[#This Row],[po_number]]&amp;"-"&amp;Table26[[#This Row],[po_line]]</f>
        <v>-9</v>
      </c>
      <c r="O63" s="252">
        <v>9</v>
      </c>
      <c r="P63" s="234"/>
      <c r="Q63" s="231" t="s">
        <v>901</v>
      </c>
      <c r="R63" s="231" t="s">
        <v>3428</v>
      </c>
      <c r="S63" s="229" t="s">
        <v>13</v>
      </c>
      <c r="T63" s="20">
        <v>45491</v>
      </c>
      <c r="U63" s="236">
        <v>12</v>
      </c>
      <c r="V63" s="231">
        <v>12</v>
      </c>
      <c r="W63" s="237">
        <f t="shared" si="0"/>
        <v>1</v>
      </c>
      <c r="X63" s="90" t="str">
        <f t="shared" si="1"/>
        <v/>
      </c>
      <c r="Y63" s="231"/>
      <c r="Z63" s="60"/>
      <c r="AA63" s="18" t="str" cm="1">
        <f t="array" ref="AA63">IF(P63="", "", _xlfn.XLOOKUP(P63,#REF!,#REF!,NA,0,-1))</f>
        <v/>
      </c>
      <c r="AB63" s="231"/>
      <c r="AC63" s="55" t="s">
        <v>3985</v>
      </c>
      <c r="AD63" s="120" t="str">
        <f>IF($AC63="","",_xlfn.XLOOKUP($AC63,'[2]Client Info'!$C$2:$C$2535,'[2]Client Info'!$D$2:$D$2535))</f>
        <v>223 1st St W</v>
      </c>
      <c r="AE63" s="231" t="str">
        <f>IF($AC63="","",_xlfn.XLOOKUP($AC63,'[2]Client Info'!$C$2:$C$2715,'[2]Client Info'!$E$2:$E$2715))</f>
        <v>North Vancouver</v>
      </c>
      <c r="AF63" s="231" t="str">
        <f>IF($AC63="","",_xlfn.XLOOKUP($AC63,'[2]Client Info'!$C$2:$C$2715,'[2]Client Info'!$F$2:$F$2715))</f>
        <v xml:space="preserve">BC </v>
      </c>
      <c r="AG63" s="252" t="s">
        <v>103</v>
      </c>
      <c r="AH63" s="238"/>
      <c r="AI63" s="43" t="str">
        <f>_xlfn.XLOOKUP(Table26[[#This Row],[customerSKU]],customerSKU!G:G,customerSKU!O:O,"not found",0,1)</f>
        <v>not found</v>
      </c>
      <c r="AJ63" s="53">
        <f>Table26[[#This Row],[unitprice]]*Table26[[#This Row],[quantity_unit]]</f>
        <v>0</v>
      </c>
      <c r="AK63" s="53" cm="1">
        <f t="array" ref="AK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4" spans="1:37" s="53" customFormat="1" ht="18" customHeight="1">
      <c r="A64" s="42">
        <v>2197</v>
      </c>
      <c r="B64" s="228" t="s">
        <v>3837</v>
      </c>
      <c r="C64" s="229" t="s">
        <v>203</v>
      </c>
      <c r="D64" s="240"/>
      <c r="E64" s="240" t="e">
        <f>IF(#REF!&gt;0,#REF!,"")</f>
        <v>#REF!</v>
      </c>
      <c r="F64" s="90"/>
      <c r="G64" s="119"/>
      <c r="H64" s="241"/>
      <c r="I64" s="231" t="s">
        <v>3862</v>
      </c>
      <c r="J64" s="231" t="s">
        <v>503</v>
      </c>
      <c r="K64" s="232">
        <v>45499</v>
      </c>
      <c r="L64" s="233" t="s">
        <v>504</v>
      </c>
      <c r="M64" s="231"/>
      <c r="N64" s="252" t="str">
        <f>Table26[[#This Row],[po_number]]&amp;"-"&amp;Table26[[#This Row],[po_line]]</f>
        <v>-10</v>
      </c>
      <c r="O64" s="252">
        <v>10</v>
      </c>
      <c r="P64" s="234"/>
      <c r="Q64" s="231" t="s">
        <v>1324</v>
      </c>
      <c r="R64" s="231" t="s">
        <v>3428</v>
      </c>
      <c r="S64" s="229" t="s">
        <v>13</v>
      </c>
      <c r="T64" s="20">
        <v>45467</v>
      </c>
      <c r="U64" s="236">
        <v>12</v>
      </c>
      <c r="V64" s="231">
        <v>12</v>
      </c>
      <c r="W64" s="237">
        <f t="shared" si="0"/>
        <v>1</v>
      </c>
      <c r="X64" s="90" t="str">
        <f t="shared" si="1"/>
        <v/>
      </c>
      <c r="Y64" s="231"/>
      <c r="Z64" s="60"/>
      <c r="AA64" s="18" t="str" cm="1">
        <f t="array" ref="AA64">IF(P64="", "", _xlfn.XLOOKUP(P64,#REF!,#REF!,NA,0,-1))</f>
        <v/>
      </c>
      <c r="AB64" s="231"/>
      <c r="AC64" s="55" t="s">
        <v>3985</v>
      </c>
      <c r="AD64" s="120" t="str">
        <f>IF($AC64="","",_xlfn.XLOOKUP($AC64,'[2]Client Info'!$C$2:$C$2535,'[2]Client Info'!$D$2:$D$2535))</f>
        <v>223 1st St W</v>
      </c>
      <c r="AE64" s="231" t="str">
        <f>IF($AC64="","",_xlfn.XLOOKUP($AC64,'[2]Client Info'!$C$2:$C$2715,'[2]Client Info'!$E$2:$E$2715))</f>
        <v>North Vancouver</v>
      </c>
      <c r="AF64" s="231" t="str">
        <f>IF($AC64="","",_xlfn.XLOOKUP($AC64,'[2]Client Info'!$C$2:$C$2715,'[2]Client Info'!$F$2:$F$2715))</f>
        <v xml:space="preserve">BC </v>
      </c>
      <c r="AG64" s="252" t="s">
        <v>103</v>
      </c>
      <c r="AH64" s="238"/>
      <c r="AI64" s="43" t="str">
        <f>_xlfn.XLOOKUP(Table26[[#This Row],[customerSKU]],customerSKU!G:G,customerSKU!O:O,"not found",0,1)</f>
        <v>not found</v>
      </c>
      <c r="AJ64" s="53">
        <f>Table26[[#This Row],[unitprice]]*Table26[[#This Row],[quantity_unit]]</f>
        <v>0</v>
      </c>
      <c r="AK64" s="53" cm="1">
        <f t="array" ref="AK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5" spans="1:37" s="53" customFormat="1" ht="18" customHeight="1">
      <c r="A65" s="42">
        <v>2198</v>
      </c>
      <c r="B65" s="228" t="s">
        <v>3837</v>
      </c>
      <c r="C65" s="229" t="s">
        <v>203</v>
      </c>
      <c r="D65" s="400"/>
      <c r="E65" s="400" t="e">
        <f>IF(#REF!&gt;0,#REF!,"")</f>
        <v>#REF!</v>
      </c>
      <c r="F65" s="90"/>
      <c r="G65" s="119"/>
      <c r="H65" s="267"/>
      <c r="I65" s="252" t="s">
        <v>3862</v>
      </c>
      <c r="J65" s="231" t="s">
        <v>503</v>
      </c>
      <c r="K65" s="232">
        <v>45499</v>
      </c>
      <c r="L65" s="233" t="s">
        <v>504</v>
      </c>
      <c r="M65" s="231"/>
      <c r="N65" s="252" t="str">
        <f>Table26[[#This Row],[po_number]]&amp;"-"&amp;Table26[[#This Row],[po_line]]</f>
        <v>-11</v>
      </c>
      <c r="O65" s="252">
        <v>11</v>
      </c>
      <c r="P65" s="234"/>
      <c r="Q65" s="252" t="s">
        <v>775</v>
      </c>
      <c r="R65" s="231" t="s">
        <v>3428</v>
      </c>
      <c r="S65" s="229" t="s">
        <v>13</v>
      </c>
      <c r="T65" s="297">
        <v>45467</v>
      </c>
      <c r="U65" s="408">
        <v>6</v>
      </c>
      <c r="V65" s="252">
        <v>6</v>
      </c>
      <c r="W65" s="409">
        <f t="shared" si="0"/>
        <v>1</v>
      </c>
      <c r="X65" s="55" t="str">
        <f t="shared" si="1"/>
        <v/>
      </c>
      <c r="Y65" s="252"/>
      <c r="Z65" s="60"/>
      <c r="AA65" s="18" t="str" cm="1">
        <f t="array" ref="AA65">IF(P65="", "", _xlfn.XLOOKUP(P65,#REF!,#REF!,NA,0,-1))</f>
        <v/>
      </c>
      <c r="AB65" s="231"/>
      <c r="AC65" s="55" t="s">
        <v>3985</v>
      </c>
      <c r="AD65" s="120" t="str">
        <f>IF($AC65="","",_xlfn.XLOOKUP($AC65,'[2]Client Info'!$C$2:$C$2535,'[2]Client Info'!$D$2:$D$2535))</f>
        <v>223 1st St W</v>
      </c>
      <c r="AE65" s="231" t="str">
        <f>IF($AC65="","",_xlfn.XLOOKUP($AC65,'[2]Client Info'!$C$2:$C$2715,'[2]Client Info'!$E$2:$E$2715))</f>
        <v>North Vancouver</v>
      </c>
      <c r="AF65" s="231" t="str">
        <f>IF($AC65="","",_xlfn.XLOOKUP($AC65,'[2]Client Info'!$C$2:$C$2715,'[2]Client Info'!$F$2:$F$2715))</f>
        <v xml:space="preserve">BC </v>
      </c>
      <c r="AG65" s="252" t="s">
        <v>103</v>
      </c>
      <c r="AH65" s="238"/>
      <c r="AI65" s="43" t="str">
        <f>_xlfn.XLOOKUP(Table26[[#This Row],[customerSKU]],customerSKU!G:G,customerSKU!O:O,"not found",0,1)</f>
        <v>not found</v>
      </c>
      <c r="AJ65" s="53">
        <f>Table26[[#This Row],[unitprice]]*Table26[[#This Row],[quantity_unit]]</f>
        <v>0</v>
      </c>
      <c r="AK65" s="53" cm="1">
        <f t="array" ref="AK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66" spans="1:37" s="53" customFormat="1" ht="18" customHeight="1">
      <c r="A66" s="42">
        <v>2177</v>
      </c>
      <c r="B66" s="42" t="s">
        <v>3837</v>
      </c>
      <c r="C66" s="398" t="s">
        <v>203</v>
      </c>
      <c r="D66" s="399">
        <v>45492</v>
      </c>
      <c r="E66" s="399"/>
      <c r="G66" s="46"/>
      <c r="H66" s="398"/>
      <c r="I66" s="89" t="s">
        <v>3862</v>
      </c>
      <c r="J66" s="47" t="s">
        <v>3838</v>
      </c>
      <c r="K66" s="106">
        <v>45503</v>
      </c>
      <c r="L66" s="49" t="s">
        <v>490</v>
      </c>
      <c r="M66" s="89"/>
      <c r="N66" s="89" t="str">
        <f>Table26[[#This Row],[po_number]]&amp;"-"&amp;Table26[[#This Row],[po_line]]</f>
        <v>-1</v>
      </c>
      <c r="O66" s="89">
        <v>1</v>
      </c>
      <c r="P66" s="50"/>
      <c r="Q66" s="74" t="s">
        <v>3939</v>
      </c>
      <c r="R66" s="89" t="s">
        <v>3428</v>
      </c>
      <c r="S66" s="398" t="s">
        <v>20</v>
      </c>
      <c r="T66" s="20">
        <v>45499</v>
      </c>
      <c r="U66" s="104">
        <f>20*48</f>
        <v>960</v>
      </c>
      <c r="V66" s="47">
        <v>48</v>
      </c>
      <c r="W66" s="116">
        <f t="shared" ref="W66:W129" si="2">IFERROR(U66/V66, "")</f>
        <v>20</v>
      </c>
      <c r="X66" s="53" t="str">
        <f t="shared" ref="X66:X129" si="3">IFERROR($AA66*$U66, "")</f>
        <v/>
      </c>
      <c r="Y66" s="47"/>
      <c r="Z66" s="60"/>
      <c r="AA66" s="18" t="str" cm="1">
        <f t="array" ref="AA66">IF(P66="", "", _xlfn.XLOOKUP(P66,#REF!,#REF!,NA,0,-1))</f>
        <v/>
      </c>
      <c r="AB66" s="47"/>
      <c r="AC66" s="55" t="s">
        <v>3935</v>
      </c>
      <c r="AD66" s="61" t="str">
        <f>IF($AC66="","",_xlfn.XLOOKUP($AC66,'[2]Client Info'!$C$2:$C$2535,'[2]Client Info'!$D$2:$D$2535))</f>
        <v>18, Canso rd</v>
      </c>
      <c r="AE66" s="47" t="str">
        <f>IF($AC66="","",_xlfn.XLOOKUP($AC66,'[2]Client Info'!$C$2:$C$2715,'[2]Client Info'!$E$2:$E$2715))</f>
        <v>Etobicoke</v>
      </c>
      <c r="AF66" s="47" t="str">
        <f>IF($AC66="","",_xlfn.XLOOKUP($AC66,'[2]Client Info'!$C$2:$C$2715,'[2]Client Info'!$F$2:$F$2715))</f>
        <v>ON</v>
      </c>
      <c r="AG66" s="89" t="s">
        <v>9</v>
      </c>
      <c r="AH66" s="57">
        <f>482/48</f>
        <v>10.041666666666666</v>
      </c>
      <c r="AI66" s="43" t="str">
        <f>_xlfn.XLOOKUP(Table26[[#This Row],[customerSKU]],customerSKU!G:G,customerSKU!O:O,"not found",0,1)</f>
        <v>not found</v>
      </c>
      <c r="AJ66" s="53">
        <f>Table26[[#This Row],[unitprice]]*Table26[[#This Row],[quantity_unit]]</f>
        <v>9640</v>
      </c>
      <c r="AK66" s="53" t="e" cm="1">
        <f t="array" ref="AK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" spans="1:37" s="53" customFormat="1" ht="18" customHeight="1">
      <c r="A67" s="42">
        <v>2178</v>
      </c>
      <c r="B67" s="42" t="s">
        <v>3837</v>
      </c>
      <c r="C67" s="398" t="s">
        <v>203</v>
      </c>
      <c r="D67" s="399">
        <v>45492</v>
      </c>
      <c r="E67" s="399"/>
      <c r="G67" s="46"/>
      <c r="H67" s="398"/>
      <c r="I67" s="89" t="s">
        <v>3862</v>
      </c>
      <c r="J67" s="47" t="s">
        <v>3838</v>
      </c>
      <c r="K67" s="106">
        <v>45503</v>
      </c>
      <c r="L67" s="49" t="s">
        <v>490</v>
      </c>
      <c r="M67" s="89"/>
      <c r="N67" s="89" t="str">
        <f>Table26[[#This Row],[po_number]]&amp;"-"&amp;Table26[[#This Row],[po_line]]</f>
        <v>-1</v>
      </c>
      <c r="O67" s="89">
        <v>1</v>
      </c>
      <c r="P67" s="50"/>
      <c r="Q67" s="89" t="s">
        <v>3940</v>
      </c>
      <c r="R67" s="89" t="s">
        <v>3794</v>
      </c>
      <c r="S67" s="398"/>
      <c r="T67" s="297">
        <v>45499</v>
      </c>
      <c r="U67" s="104">
        <f>30*12</f>
        <v>360</v>
      </c>
      <c r="V67" s="47">
        <v>12</v>
      </c>
      <c r="W67" s="116">
        <f t="shared" si="2"/>
        <v>30</v>
      </c>
      <c r="X67" s="53" t="str">
        <f t="shared" si="3"/>
        <v/>
      </c>
      <c r="Y67" s="47"/>
      <c r="Z67" s="60"/>
      <c r="AA67" s="18" t="str" cm="1">
        <f t="array" ref="AA67">IF(P67="", "", _xlfn.XLOOKUP(P67,#REF!,#REF!,NA,0,-1))</f>
        <v/>
      </c>
      <c r="AB67" s="47"/>
      <c r="AC67" s="55" t="s">
        <v>3935</v>
      </c>
      <c r="AD67" s="61" t="str">
        <f>IF($AC67="","",_xlfn.XLOOKUP($AC67,'[2]Client Info'!$C$2:$C$2535,'[2]Client Info'!$D$2:$D$2535))</f>
        <v>18, Canso rd</v>
      </c>
      <c r="AE67" s="47" t="str">
        <f>IF($AC67="","",_xlfn.XLOOKUP($AC67,'[2]Client Info'!$C$2:$C$2715,'[2]Client Info'!$E$2:$E$2715))</f>
        <v>Etobicoke</v>
      </c>
      <c r="AF67" s="47" t="str">
        <f>IF($AC67="","",_xlfn.XLOOKUP($AC67,'[2]Client Info'!$C$2:$C$2715,'[2]Client Info'!$F$2:$F$2715))</f>
        <v>ON</v>
      </c>
      <c r="AG67" s="89" t="s">
        <v>9</v>
      </c>
      <c r="AH67" s="57"/>
      <c r="AI67" s="43" t="str">
        <f>_xlfn.XLOOKUP(Table26[[#This Row],[customerSKU]],customerSKU!G:G,customerSKU!O:O,"not found",0,1)</f>
        <v>not found</v>
      </c>
      <c r="AJ67" s="53">
        <f>Table26[[#This Row],[unitprice]]*Table26[[#This Row],[quantity_unit]]</f>
        <v>0</v>
      </c>
      <c r="AK67" s="53" t="e" cm="1">
        <f t="array" ref="AK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" spans="1:37" s="53" customFormat="1" ht="18" customHeight="1">
      <c r="A68" s="42">
        <v>2179</v>
      </c>
      <c r="B68" s="42" t="s">
        <v>3837</v>
      </c>
      <c r="C68" s="398" t="s">
        <v>203</v>
      </c>
      <c r="D68" s="71"/>
      <c r="E68" s="401" t="e">
        <f>IF(#REF!&gt;0,#REF!,"")</f>
        <v>#REF!</v>
      </c>
      <c r="G68" s="46"/>
      <c r="H68" s="72"/>
      <c r="I68" s="47" t="s">
        <v>3862</v>
      </c>
      <c r="J68" s="47" t="s">
        <v>3838</v>
      </c>
      <c r="K68" s="106">
        <v>45503</v>
      </c>
      <c r="L68" s="49" t="s">
        <v>201</v>
      </c>
      <c r="M68" s="72"/>
      <c r="N68" s="352" t="str">
        <f>Table26[[#This Row],[po_number]]&amp;"-"&amp;Table26[[#This Row],[po_line]]</f>
        <v>-1</v>
      </c>
      <c r="O68" s="352">
        <v>1</v>
      </c>
      <c r="P68" s="50"/>
      <c r="Q68" s="72" t="s">
        <v>3942</v>
      </c>
      <c r="R68" s="352" t="s">
        <v>3428</v>
      </c>
      <c r="S68" s="72" t="s">
        <v>21</v>
      </c>
      <c r="T68" s="20">
        <v>45226</v>
      </c>
      <c r="U68" s="52">
        <v>240</v>
      </c>
      <c r="V68" s="72">
        <v>12</v>
      </c>
      <c r="W68" s="116">
        <f t="shared" si="2"/>
        <v>20</v>
      </c>
      <c r="X68" s="53" t="str">
        <f t="shared" si="3"/>
        <v/>
      </c>
      <c r="Y68" s="72"/>
      <c r="Z68" s="60"/>
      <c r="AA68" s="18" t="str" cm="1">
        <f t="array" ref="AA68">IF(P68="", "", _xlfn.XLOOKUP(P68,#REF!,#REF!,NA,0,-1))</f>
        <v/>
      </c>
      <c r="AB68" s="47"/>
      <c r="AC68" s="55" t="s">
        <v>3935</v>
      </c>
      <c r="AD68" s="61" t="str">
        <f>IF($AC68="","",_xlfn.XLOOKUP($AC68,'[2]Client Info'!$C$2:$C$2535,'[2]Client Info'!$D$2:$D$2535))</f>
        <v>18, Canso rd</v>
      </c>
      <c r="AE68" s="47" t="str">
        <f>IF($AC68="","",_xlfn.XLOOKUP($AC68,'[2]Client Info'!$C$2:$C$2715,'[2]Client Info'!$E$2:$E$2715))</f>
        <v>Etobicoke</v>
      </c>
      <c r="AF68" s="47" t="str">
        <f>IF($AC68="","",_xlfn.XLOOKUP($AC68,'[2]Client Info'!$C$2:$C$2715,'[2]Client Info'!$F$2:$F$2715))</f>
        <v>ON</v>
      </c>
      <c r="AG68" s="89" t="s">
        <v>9</v>
      </c>
      <c r="AH68" s="62"/>
      <c r="AI68" s="43" t="str">
        <f>_xlfn.XLOOKUP(Table26[[#This Row],[customerSKU]],customerSKU!G:G,customerSKU!O:O,"not found",0,1)</f>
        <v>not found</v>
      </c>
      <c r="AJ68" s="53">
        <f>Table26[[#This Row],[unitprice]]*Table26[[#This Row],[quantity_unit]]</f>
        <v>0</v>
      </c>
      <c r="AK68" s="53" t="e" cm="1">
        <f t="array" ref="AK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9" spans="1:37" s="53" customFormat="1" ht="18" customHeight="1">
      <c r="A69" s="42">
        <v>2180</v>
      </c>
      <c r="B69" s="42" t="s">
        <v>3837</v>
      </c>
      <c r="C69" s="43" t="s">
        <v>203</v>
      </c>
      <c r="D69" s="71"/>
      <c r="E69" s="71"/>
      <c r="G69" s="46"/>
      <c r="H69" s="72"/>
      <c r="I69" s="47" t="s">
        <v>3862</v>
      </c>
      <c r="J69" s="47" t="s">
        <v>3838</v>
      </c>
      <c r="K69" s="48">
        <v>45503</v>
      </c>
      <c r="L69" s="49" t="s">
        <v>201</v>
      </c>
      <c r="M69" s="72"/>
      <c r="N69" s="352" t="str">
        <f>Table26[[#This Row],[po_number]]&amp;"-"&amp;Table26[[#This Row],[po_line]]</f>
        <v>-1</v>
      </c>
      <c r="O69" s="352">
        <v>1</v>
      </c>
      <c r="P69" s="50"/>
      <c r="Q69" s="72" t="s">
        <v>3940</v>
      </c>
      <c r="R69" s="72" t="s">
        <v>3428</v>
      </c>
      <c r="S69" s="72" t="s">
        <v>21</v>
      </c>
      <c r="T69" s="20">
        <v>45499</v>
      </c>
      <c r="U69" s="52">
        <v>60</v>
      </c>
      <c r="V69" s="47">
        <v>12</v>
      </c>
      <c r="W69" s="116">
        <f t="shared" si="2"/>
        <v>5</v>
      </c>
      <c r="X69" s="53" t="str">
        <f t="shared" si="3"/>
        <v/>
      </c>
      <c r="Y69" s="72"/>
      <c r="Z69" s="60"/>
      <c r="AA69" s="18" t="str" cm="1">
        <f t="array" ref="AA69">IF(P69="", "", _xlfn.XLOOKUP(P69,#REF!,#REF!,NA,0,-1))</f>
        <v/>
      </c>
      <c r="AB69" s="47"/>
      <c r="AC69" s="55" t="s">
        <v>3935</v>
      </c>
      <c r="AD69" s="61" t="str">
        <f>IF($AC69="","",_xlfn.XLOOKUP($AC69,'[2]Client Info'!$C$2:$C$2535,'[2]Client Info'!$D$2:$D$2535))</f>
        <v>18, Canso rd</v>
      </c>
      <c r="AE69" s="47" t="str">
        <f>IF($AC69="","",_xlfn.XLOOKUP($AC69,'[2]Client Info'!$C$2:$C$2715,'[2]Client Info'!$E$2:$E$2715))</f>
        <v>Etobicoke</v>
      </c>
      <c r="AF69" s="47" t="str">
        <f>IF($AC69="","",_xlfn.XLOOKUP($AC69,'[2]Client Info'!$C$2:$C$2715,'[2]Client Info'!$F$2:$F$2715))</f>
        <v>ON</v>
      </c>
      <c r="AG69" s="89" t="s">
        <v>9</v>
      </c>
      <c r="AH69" s="62"/>
      <c r="AI69" s="43" t="str">
        <f>_xlfn.XLOOKUP(Table26[[#This Row],[customerSKU]],customerSKU!G:G,customerSKU!O:O,"not found",0,1)</f>
        <v>not found</v>
      </c>
      <c r="AJ69" s="53">
        <f>Table26[[#This Row],[unitprice]]*Table26[[#This Row],[quantity_unit]]</f>
        <v>0</v>
      </c>
      <c r="AK69" s="53" t="e" cm="1">
        <f t="array" ref="AK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" spans="1:37" s="53" customFormat="1" ht="18" customHeight="1">
      <c r="A70" s="42">
        <v>2181</v>
      </c>
      <c r="B70" s="42" t="s">
        <v>3837</v>
      </c>
      <c r="C70" s="43" t="s">
        <v>203</v>
      </c>
      <c r="D70" s="71"/>
      <c r="E70" s="71" t="e">
        <f>IF(#REF!&gt;0,#REF!,"")</f>
        <v>#REF!</v>
      </c>
      <c r="F70" s="53" t="s">
        <v>3943</v>
      </c>
      <c r="G70" s="46"/>
      <c r="H70" s="72"/>
      <c r="I70" s="47" t="s">
        <v>3862</v>
      </c>
      <c r="J70" s="47" t="s">
        <v>3838</v>
      </c>
      <c r="K70" s="48">
        <v>45503</v>
      </c>
      <c r="L70" s="49" t="s">
        <v>201</v>
      </c>
      <c r="M70" s="72"/>
      <c r="N70" s="352" t="str">
        <f>Table26[[#This Row],[po_number]]&amp;"-"&amp;Table26[[#This Row],[po_line]]</f>
        <v>-2</v>
      </c>
      <c r="O70" s="352">
        <v>2</v>
      </c>
      <c r="P70" s="50"/>
      <c r="Q70" s="72" t="s">
        <v>3944</v>
      </c>
      <c r="R70" s="72" t="s">
        <v>3428</v>
      </c>
      <c r="S70" s="72" t="s">
        <v>21</v>
      </c>
      <c r="T70" s="20">
        <v>45464</v>
      </c>
      <c r="U70" s="52">
        <v>60</v>
      </c>
      <c r="V70" s="47">
        <v>12</v>
      </c>
      <c r="W70" s="116">
        <f t="shared" si="2"/>
        <v>5</v>
      </c>
      <c r="X70" s="53" t="str">
        <f t="shared" si="3"/>
        <v/>
      </c>
      <c r="Y70" s="72"/>
      <c r="Z70" s="60"/>
      <c r="AA70" s="18" t="str" cm="1">
        <f t="array" ref="AA70">IF(P70="", "", _xlfn.XLOOKUP(P70,#REF!,#REF!,NA,0,-1))</f>
        <v/>
      </c>
      <c r="AB70" s="47"/>
      <c r="AC70" s="55" t="s">
        <v>3935</v>
      </c>
      <c r="AD70" s="61" t="str">
        <f>IF($AC70="","",_xlfn.XLOOKUP($AC70,'[2]Client Info'!$C$2:$C$2535,'[2]Client Info'!$D$2:$D$2535))</f>
        <v>18, Canso rd</v>
      </c>
      <c r="AE70" s="47" t="str">
        <f>IF($AC70="","",_xlfn.XLOOKUP($AC70,'[2]Client Info'!$C$2:$C$2715,'[2]Client Info'!$E$2:$E$2715))</f>
        <v>Etobicoke</v>
      </c>
      <c r="AF70" s="47" t="str">
        <f>IF($AC70="","",_xlfn.XLOOKUP($AC70,'[2]Client Info'!$C$2:$C$2715,'[2]Client Info'!$F$2:$F$2715))</f>
        <v>ON</v>
      </c>
      <c r="AG70" s="89" t="s">
        <v>9</v>
      </c>
      <c r="AH70" s="62"/>
      <c r="AI70" s="43" t="str">
        <f>_xlfn.XLOOKUP(Table26[[#This Row],[customerSKU]],customerSKU!G:G,customerSKU!O:O,"not found",0,1)</f>
        <v>not found</v>
      </c>
      <c r="AJ70" s="53">
        <f>Table26[[#This Row],[unitprice]]*Table26[[#This Row],[quantity_unit]]</f>
        <v>0</v>
      </c>
      <c r="AK70" s="53" t="e" cm="1">
        <f t="array" ref="AK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" spans="1:37" s="53" customFormat="1" ht="18" customHeight="1">
      <c r="A71" s="42">
        <v>2182</v>
      </c>
      <c r="B71" s="42" t="s">
        <v>3837</v>
      </c>
      <c r="C71" s="43" t="s">
        <v>203</v>
      </c>
      <c r="D71" s="71"/>
      <c r="E71" s="71" t="e">
        <f>IF(#REF!&gt;0,#REF!,"")</f>
        <v>#REF!</v>
      </c>
      <c r="G71" s="46"/>
      <c r="H71" s="72"/>
      <c r="I71" s="47" t="s">
        <v>3862</v>
      </c>
      <c r="J71" s="47" t="s">
        <v>3838</v>
      </c>
      <c r="K71" s="48">
        <v>45503</v>
      </c>
      <c r="L71" s="49" t="s">
        <v>201</v>
      </c>
      <c r="M71" s="72"/>
      <c r="N71" s="352" t="str">
        <f>Table26[[#This Row],[po_number]]&amp;"-"&amp;Table26[[#This Row],[po_line]]</f>
        <v>-3</v>
      </c>
      <c r="O71" s="352">
        <v>3</v>
      </c>
      <c r="P71" s="50"/>
      <c r="Q71" s="72" t="s">
        <v>3944</v>
      </c>
      <c r="R71" s="72" t="s">
        <v>3428</v>
      </c>
      <c r="S71" s="72" t="s">
        <v>14</v>
      </c>
      <c r="T71" s="20">
        <v>45464</v>
      </c>
      <c r="U71" s="52">
        <f>12*10</f>
        <v>120</v>
      </c>
      <c r="V71" s="72">
        <v>12</v>
      </c>
      <c r="W71" s="116">
        <f t="shared" si="2"/>
        <v>10</v>
      </c>
      <c r="X71" s="53" t="str">
        <f t="shared" si="3"/>
        <v/>
      </c>
      <c r="Y71" s="72"/>
      <c r="Z71" s="60"/>
      <c r="AA71" s="18" t="str" cm="1">
        <f t="array" ref="AA71">IF(P71="", "", _xlfn.XLOOKUP(P71,#REF!,#REF!,NA,0,-1))</f>
        <v/>
      </c>
      <c r="AB71" s="47"/>
      <c r="AC71" s="55" t="s">
        <v>3935</v>
      </c>
      <c r="AD71" s="61" t="str">
        <f>IF($AC71="","",_xlfn.XLOOKUP($AC71,'[2]Client Info'!$C$2:$C$2535,'[2]Client Info'!$D$2:$D$2535))</f>
        <v>18, Canso rd</v>
      </c>
      <c r="AE71" s="47" t="str">
        <f>IF($AC71="","",_xlfn.XLOOKUP($AC71,'[2]Client Info'!$C$2:$C$2715,'[2]Client Info'!$E$2:$E$2715))</f>
        <v>Etobicoke</v>
      </c>
      <c r="AF71" s="47" t="str">
        <f>IF($AC71="","",_xlfn.XLOOKUP($AC71,'[2]Client Info'!$C$2:$C$2715,'[2]Client Info'!$F$2:$F$2715))</f>
        <v>ON</v>
      </c>
      <c r="AG71" s="89" t="s">
        <v>9</v>
      </c>
      <c r="AH71" s="62"/>
      <c r="AI71" s="43" t="str">
        <f>_xlfn.XLOOKUP(Table26[[#This Row],[customerSKU]],customerSKU!G:G,customerSKU!O:O,"not found",0,1)</f>
        <v>not found</v>
      </c>
      <c r="AJ71" s="53">
        <f>Table26[[#This Row],[unitprice]]*Table26[[#This Row],[quantity_unit]]</f>
        <v>0</v>
      </c>
      <c r="AK71" s="53" t="e" cm="1">
        <f t="array" ref="AK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" spans="1:37" s="53" customFormat="1" ht="18" customHeight="1">
      <c r="A72" s="42">
        <v>2183</v>
      </c>
      <c r="B72" s="244" t="s">
        <v>3837</v>
      </c>
      <c r="C72" s="229" t="s">
        <v>203</v>
      </c>
      <c r="D72" s="240"/>
      <c r="E72" s="240" t="e">
        <f>IF(#REF!&gt;0,#REF!,"")</f>
        <v>#REF!</v>
      </c>
      <c r="F72" s="90"/>
      <c r="G72" s="119"/>
      <c r="H72" s="241"/>
      <c r="I72" s="231" t="s">
        <v>3862</v>
      </c>
      <c r="J72" s="231" t="s">
        <v>503</v>
      </c>
      <c r="K72" s="232">
        <v>45503</v>
      </c>
      <c r="L72" s="233" t="s">
        <v>504</v>
      </c>
      <c r="M72" s="241"/>
      <c r="N72" s="267" t="str">
        <f>Table26[[#This Row],[po_number]]&amp;"-"&amp;Table26[[#This Row],[po_line]]</f>
        <v>-1</v>
      </c>
      <c r="O72" s="267">
        <v>1</v>
      </c>
      <c r="P72" s="234"/>
      <c r="Q72" s="241" t="s">
        <v>1609</v>
      </c>
      <c r="R72" s="241" t="s">
        <v>3428</v>
      </c>
      <c r="S72" s="241" t="s">
        <v>56</v>
      </c>
      <c r="T72" s="20">
        <v>45462</v>
      </c>
      <c r="U72" s="236">
        <v>36</v>
      </c>
      <c r="V72" s="241">
        <v>12</v>
      </c>
      <c r="W72" s="237">
        <f t="shared" si="2"/>
        <v>3</v>
      </c>
      <c r="X72" s="90" t="str">
        <f t="shared" si="3"/>
        <v/>
      </c>
      <c r="Y72" s="241"/>
      <c r="Z72" s="60"/>
      <c r="AA72" s="18" t="str" cm="1">
        <f t="array" ref="AA72">IF(P72="", "", _xlfn.XLOOKUP(P72,#REF!,#REF!,NA,0,-1))</f>
        <v/>
      </c>
      <c r="AB72" s="231"/>
      <c r="AC72" s="55" t="s">
        <v>4069</v>
      </c>
      <c r="AD72" s="121" t="str">
        <f>IF($AC72="","",_xlfn.XLOOKUP($AC72,'[2]Client Info'!$C$2:$C$2535,'[2]Client Info'!$D$2:$D$2535))</f>
        <v>6416 Main St.</v>
      </c>
      <c r="AE72" s="231" t="str">
        <f>IF($AC72="","",_xlfn.XLOOKUP($AC72,'[2]Client Info'!$C$2:$C$2715,'[2]Client Info'!$E$2:$E$2715))</f>
        <v>Vancouver</v>
      </c>
      <c r="AF72" s="231" t="str">
        <f>IF($AC72="","",_xlfn.XLOOKUP($AC72,'[2]Client Info'!$C$2:$C$2715,'[2]Client Info'!$F$2:$F$2715))</f>
        <v xml:space="preserve">BC </v>
      </c>
      <c r="AG72" s="413" t="s">
        <v>36</v>
      </c>
      <c r="AH72" s="245"/>
      <c r="AI72" s="43" t="str">
        <f>_xlfn.XLOOKUP(Table26[[#This Row],[customerSKU]],customerSKU!G:G,customerSKU!O:O,"not found",0,1)</f>
        <v>not found</v>
      </c>
      <c r="AJ72" s="53">
        <f>Table26[[#This Row],[unitprice]]*Table26[[#This Row],[quantity_unit]]</f>
        <v>0</v>
      </c>
      <c r="AK72" s="53" cm="1">
        <f t="array" ref="AK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73" spans="1:37" s="53" customFormat="1" ht="18" customHeight="1">
      <c r="A73" s="42">
        <v>2184</v>
      </c>
      <c r="B73" s="244" t="s">
        <v>3837</v>
      </c>
      <c r="C73" s="229" t="s">
        <v>203</v>
      </c>
      <c r="D73" s="240"/>
      <c r="E73" s="240" t="e">
        <f>IF(#REF!&gt;0,#REF!,"")</f>
        <v>#REF!</v>
      </c>
      <c r="F73" s="90"/>
      <c r="G73" s="119"/>
      <c r="H73" s="241"/>
      <c r="I73" s="231" t="s">
        <v>3862</v>
      </c>
      <c r="J73" s="231" t="s">
        <v>503</v>
      </c>
      <c r="K73" s="232">
        <v>45503</v>
      </c>
      <c r="L73" s="233" t="s">
        <v>504</v>
      </c>
      <c r="M73" s="241"/>
      <c r="N73" s="267" t="str">
        <f>Table26[[#This Row],[po_number]]&amp;"-"&amp;Table26[[#This Row],[po_line]]</f>
        <v>-2</v>
      </c>
      <c r="O73" s="267">
        <v>2</v>
      </c>
      <c r="P73" s="234"/>
      <c r="Q73" s="241" t="s">
        <v>828</v>
      </c>
      <c r="R73" s="241" t="s">
        <v>3428</v>
      </c>
      <c r="S73" s="241" t="s">
        <v>56</v>
      </c>
      <c r="T73" s="20">
        <v>45447</v>
      </c>
      <c r="U73" s="236">
        <v>36</v>
      </c>
      <c r="V73" s="241">
        <v>12</v>
      </c>
      <c r="W73" s="237">
        <f t="shared" si="2"/>
        <v>3</v>
      </c>
      <c r="X73" s="90" t="str">
        <f t="shared" si="3"/>
        <v/>
      </c>
      <c r="Y73" s="241"/>
      <c r="Z73" s="60"/>
      <c r="AA73" s="18" t="str" cm="1">
        <f t="array" ref="AA73">IF(P73="", "", _xlfn.XLOOKUP(P73,#REF!,#REF!,NA,0,-1))</f>
        <v/>
      </c>
      <c r="AB73" s="231"/>
      <c r="AC73" s="55" t="s">
        <v>4069</v>
      </c>
      <c r="AD73" s="121" t="str">
        <f>IF($AC73="","",_xlfn.XLOOKUP($AC73,'[2]Client Info'!$C$2:$C$2535,'[2]Client Info'!$D$2:$D$2535))</f>
        <v>6416 Main St.</v>
      </c>
      <c r="AE73" s="231" t="str">
        <f>IF($AC73="","",_xlfn.XLOOKUP($AC73,'[2]Client Info'!$C$2:$C$2715,'[2]Client Info'!$E$2:$E$2715))</f>
        <v>Vancouver</v>
      </c>
      <c r="AF73" s="231" t="str">
        <f>IF($AC73="","",_xlfn.XLOOKUP($AC73,'[2]Client Info'!$C$2:$C$2715,'[2]Client Info'!$F$2:$F$2715))</f>
        <v xml:space="preserve">BC </v>
      </c>
      <c r="AG73" s="252" t="s">
        <v>36</v>
      </c>
      <c r="AH73" s="245"/>
      <c r="AI73" s="43" t="str">
        <f>_xlfn.XLOOKUP(Table26[[#This Row],[customerSKU]],customerSKU!G:G,customerSKU!O:O,"not found",0,1)</f>
        <v>not found</v>
      </c>
      <c r="AJ73" s="53">
        <f>Table26[[#This Row],[unitprice]]*Table26[[#This Row],[quantity_unit]]</f>
        <v>0</v>
      </c>
      <c r="AK73" s="53" cm="1">
        <f t="array" ref="AK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74" spans="1:37" s="53" customFormat="1" ht="24.6" customHeight="1">
      <c r="A74" s="42">
        <v>2162</v>
      </c>
      <c r="B74" s="42" t="s">
        <v>3837</v>
      </c>
      <c r="C74" s="43" t="s">
        <v>203</v>
      </c>
      <c r="D74" s="71"/>
      <c r="E74" s="71" t="e">
        <f>IF(#REF!&gt;0,#REF!,"")</f>
        <v>#REF!</v>
      </c>
      <c r="G74" s="46"/>
      <c r="H74" s="72"/>
      <c r="I74" s="47" t="s">
        <v>3862</v>
      </c>
      <c r="J74" s="47" t="s">
        <v>3838</v>
      </c>
      <c r="K74" s="48">
        <v>45504</v>
      </c>
      <c r="L74" s="49" t="s">
        <v>201</v>
      </c>
      <c r="M74" s="406"/>
      <c r="N74" s="406" t="str">
        <f>Table26[[#This Row],[po_number]]&amp;"-"&amp;Table26[[#This Row],[po_line]]</f>
        <v>-1</v>
      </c>
      <c r="O74" s="406">
        <v>1</v>
      </c>
      <c r="P74" s="50"/>
      <c r="Q74" s="72" t="s">
        <v>3941</v>
      </c>
      <c r="R74" s="72" t="s">
        <v>3428</v>
      </c>
      <c r="S74" s="72" t="s">
        <v>18</v>
      </c>
      <c r="T74" s="20">
        <v>45499</v>
      </c>
      <c r="U74" s="52">
        <v>1200</v>
      </c>
      <c r="V74" s="72">
        <v>12</v>
      </c>
      <c r="W74" s="116">
        <f t="shared" si="2"/>
        <v>100</v>
      </c>
      <c r="X74" s="53" t="str">
        <f t="shared" si="3"/>
        <v/>
      </c>
      <c r="Y74" s="72"/>
      <c r="Z74" s="60"/>
      <c r="AA74" s="18" t="str" cm="1">
        <f t="array" ref="AA74">IF(P74="", "", _xlfn.XLOOKUP(P74,#REF!,#REF!,NA,0,-1))</f>
        <v/>
      </c>
      <c r="AB74" s="47"/>
      <c r="AC74" s="55" t="s">
        <v>3935</v>
      </c>
      <c r="AD74" s="55" t="str">
        <f>IF($AC74="","",_xlfn.XLOOKUP($AC74,'[2]Client Info'!$C$2:$C$2535,'[2]Client Info'!$D$2:$D$2535))</f>
        <v>18, Canso rd</v>
      </c>
      <c r="AE74" s="55" t="str">
        <f>IF($AC74="","",_xlfn.XLOOKUP($AC74,'[2]Client Info'!$C$2:$C$2715,'[2]Client Info'!$E$2:$E$2715))</f>
        <v>Etobicoke</v>
      </c>
      <c r="AF74" s="55" t="str">
        <f>IF($AC74="","",_xlfn.XLOOKUP($AC74,'[2]Client Info'!$C$2:$C$2715,'[2]Client Info'!$F$2:$F$2715))</f>
        <v>ON</v>
      </c>
      <c r="AG74" s="55" t="s">
        <v>9</v>
      </c>
      <c r="AH74" s="62"/>
      <c r="AI74" s="43" t="str">
        <f>_xlfn.XLOOKUP(Table26[[#This Row],[customerSKU]],customerSKU!G:G,customerSKU!O:O,"not found",0,1)</f>
        <v>not found</v>
      </c>
      <c r="AJ74" s="53">
        <f>Table26[[#This Row],[unitprice]]*Table26[[#This Row],[quantity_unit]]</f>
        <v>0</v>
      </c>
      <c r="AK74" s="53" t="e" cm="1">
        <f t="array" ref="AK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" spans="1:37" s="53" customFormat="1" ht="24.6" customHeight="1">
      <c r="A75" s="42">
        <v>2163</v>
      </c>
      <c r="B75" s="42" t="s">
        <v>3837</v>
      </c>
      <c r="C75" s="43" t="s">
        <v>203</v>
      </c>
      <c r="D75" s="71"/>
      <c r="E75" s="71" t="e">
        <f>IF(#REF!&gt;0,#REF!,"")</f>
        <v>#REF!</v>
      </c>
      <c r="G75" s="46"/>
      <c r="H75" s="72"/>
      <c r="I75" s="47" t="s">
        <v>3862</v>
      </c>
      <c r="J75" s="47" t="s">
        <v>3838</v>
      </c>
      <c r="K75" s="48">
        <v>45504</v>
      </c>
      <c r="L75" s="49" t="s">
        <v>201</v>
      </c>
      <c r="M75" s="72"/>
      <c r="N75" s="352" t="str">
        <f>Table26[[#This Row],[po_number]]&amp;"-"&amp;Table26[[#This Row],[po_line]]</f>
        <v>-1</v>
      </c>
      <c r="O75" s="352">
        <v>1</v>
      </c>
      <c r="P75" s="50"/>
      <c r="Q75" s="72" t="s">
        <v>885</v>
      </c>
      <c r="R75" s="72" t="s">
        <v>3428</v>
      </c>
      <c r="S75" s="72" t="s">
        <v>21</v>
      </c>
      <c r="T75" s="20">
        <v>45423</v>
      </c>
      <c r="U75" s="52">
        <v>120</v>
      </c>
      <c r="V75" s="72">
        <v>12</v>
      </c>
      <c r="W75" s="116">
        <f t="shared" si="2"/>
        <v>10</v>
      </c>
      <c r="X75" s="53" t="str">
        <f t="shared" si="3"/>
        <v/>
      </c>
      <c r="Y75" s="76" t="s">
        <v>235</v>
      </c>
      <c r="Z75" s="60"/>
      <c r="AA75" s="18" t="str" cm="1">
        <f t="array" ref="AA75">IF(P75="", "", _xlfn.XLOOKUP(P75,#REF!,#REF!,NA,0,-1))</f>
        <v/>
      </c>
      <c r="AB75" s="47"/>
      <c r="AC75" s="55" t="s">
        <v>3935</v>
      </c>
      <c r="AD75" s="55" t="str">
        <f>IF($AC75="","",_xlfn.XLOOKUP($AC75,'[2]Client Info'!$C$2:$C$2535,'[2]Client Info'!$D$2:$D$2535))</f>
        <v>18, Canso rd</v>
      </c>
      <c r="AE75" s="55" t="str">
        <f>IF($AC75="","",_xlfn.XLOOKUP($AC75,'[2]Client Info'!$C$2:$C$2715,'[2]Client Info'!$E$2:$E$2715))</f>
        <v>Etobicoke</v>
      </c>
      <c r="AF75" s="55" t="str">
        <f>IF($AC75="","",_xlfn.XLOOKUP($AC75,'[2]Client Info'!$C$2:$C$2715,'[2]Client Info'!$F$2:$F$2715))</f>
        <v>ON</v>
      </c>
      <c r="AG75" s="55" t="s">
        <v>9</v>
      </c>
      <c r="AH75" s="62">
        <f>220.68/12</f>
        <v>18.39</v>
      </c>
      <c r="AI75" s="43" t="str">
        <f>_xlfn.XLOOKUP(Table26[[#This Row],[customerSKU]],customerSKU!G:G,customerSKU!O:O,"not found",0,1)</f>
        <v>not found</v>
      </c>
      <c r="AJ75" s="53">
        <f>Table26[[#This Row],[unitprice]]*Table26[[#This Row],[quantity_unit]]</f>
        <v>2206.8000000000002</v>
      </c>
      <c r="AK75" s="53" t="e" cm="1">
        <f t="array" ref="AK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" spans="1:37" s="53" customFormat="1" ht="24.6" customHeight="1">
      <c r="A76" s="42">
        <v>2164</v>
      </c>
      <c r="B76" s="42" t="s">
        <v>3837</v>
      </c>
      <c r="C76" s="43" t="s">
        <v>203</v>
      </c>
      <c r="D76" s="71"/>
      <c r="E76" s="71" t="e">
        <f>IF(#REF!&gt;0,#REF!,"")</f>
        <v>#REF!</v>
      </c>
      <c r="G76" s="46"/>
      <c r="H76" s="72"/>
      <c r="I76" s="47" t="s">
        <v>3862</v>
      </c>
      <c r="J76" s="47" t="s">
        <v>3838</v>
      </c>
      <c r="K76" s="48">
        <v>45504</v>
      </c>
      <c r="L76" s="49" t="s">
        <v>201</v>
      </c>
      <c r="M76" s="72"/>
      <c r="N76" s="352" t="str">
        <f>Table26[[#This Row],[po_number]]&amp;"-"&amp;Table26[[#This Row],[po_line]]</f>
        <v>-2</v>
      </c>
      <c r="O76" s="352">
        <v>2</v>
      </c>
      <c r="P76" s="50"/>
      <c r="Q76" s="72" t="s">
        <v>885</v>
      </c>
      <c r="R76" s="72" t="s">
        <v>3428</v>
      </c>
      <c r="S76" s="72" t="s">
        <v>12</v>
      </c>
      <c r="T76" s="20">
        <v>45423</v>
      </c>
      <c r="U76" s="52">
        <v>60</v>
      </c>
      <c r="V76" s="72">
        <v>12</v>
      </c>
      <c r="W76" s="116">
        <f t="shared" si="2"/>
        <v>5</v>
      </c>
      <c r="X76" s="53" t="str">
        <f t="shared" si="3"/>
        <v/>
      </c>
      <c r="Y76" s="76" t="s">
        <v>235</v>
      </c>
      <c r="Z76" s="60"/>
      <c r="AA76" s="18" t="str" cm="1">
        <f t="array" ref="AA76">IF(P76="", "", _xlfn.XLOOKUP(P76,#REF!,#REF!,NA,0,-1))</f>
        <v/>
      </c>
      <c r="AB76" s="47"/>
      <c r="AC76" s="55" t="s">
        <v>3935</v>
      </c>
      <c r="AD76" s="55" t="str">
        <f>IF($AC76="","",_xlfn.XLOOKUP($AC76,'[2]Client Info'!$C$2:$C$2535,'[2]Client Info'!$D$2:$D$2535))</f>
        <v>18, Canso rd</v>
      </c>
      <c r="AE76" s="55" t="str">
        <f>IF($AC76="","",_xlfn.XLOOKUP($AC76,'[2]Client Info'!$C$2:$C$2715,'[2]Client Info'!$E$2:$E$2715))</f>
        <v>Etobicoke</v>
      </c>
      <c r="AF76" s="55" t="str">
        <f>IF($AC76="","",_xlfn.XLOOKUP($AC76,'[2]Client Info'!$C$2:$C$2715,'[2]Client Info'!$F$2:$F$2715))</f>
        <v>ON</v>
      </c>
      <c r="AG76" s="55" t="s">
        <v>9</v>
      </c>
      <c r="AH76" s="62">
        <f>223.8/12</f>
        <v>18.650000000000002</v>
      </c>
      <c r="AI76" s="43" t="str">
        <f>_xlfn.XLOOKUP(Table26[[#This Row],[customerSKU]],customerSKU!G:G,customerSKU!O:O,"not found",0,1)</f>
        <v>not found</v>
      </c>
      <c r="AJ76" s="53">
        <f>Table26[[#This Row],[unitprice]]*Table26[[#This Row],[quantity_unit]]</f>
        <v>1119.0000000000002</v>
      </c>
      <c r="AK76" s="53" t="e" cm="1">
        <f t="array" ref="AK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" spans="1:37" s="53" customFormat="1" ht="24.6" customHeight="1">
      <c r="A77" s="42">
        <v>2165</v>
      </c>
      <c r="B77" s="42" t="s">
        <v>3837</v>
      </c>
      <c r="C77" s="43" t="s">
        <v>203</v>
      </c>
      <c r="D77" s="71"/>
      <c r="E77" s="71" t="e">
        <f>IF(#REF!&gt;0,#REF!,"")</f>
        <v>#REF!</v>
      </c>
      <c r="G77" s="46"/>
      <c r="H77" s="72"/>
      <c r="I77" s="47" t="s">
        <v>3862</v>
      </c>
      <c r="J77" s="47" t="s">
        <v>3838</v>
      </c>
      <c r="K77" s="48">
        <v>45504</v>
      </c>
      <c r="L77" s="49" t="s">
        <v>201</v>
      </c>
      <c r="M77" s="72"/>
      <c r="N77" s="352" t="str">
        <f>Table26[[#This Row],[po_number]]&amp;"-"&amp;Table26[[#This Row],[po_line]]</f>
        <v>-3</v>
      </c>
      <c r="O77" s="352">
        <v>3</v>
      </c>
      <c r="P77" s="50"/>
      <c r="Q77" s="72" t="s">
        <v>885</v>
      </c>
      <c r="R77" s="72" t="s">
        <v>3428</v>
      </c>
      <c r="S77" s="72" t="s">
        <v>14</v>
      </c>
      <c r="T77" s="20">
        <v>45423</v>
      </c>
      <c r="U77" s="52">
        <v>60</v>
      </c>
      <c r="V77" s="72">
        <v>12</v>
      </c>
      <c r="W77" s="116">
        <f t="shared" si="2"/>
        <v>5</v>
      </c>
      <c r="X77" s="53" t="str">
        <f t="shared" si="3"/>
        <v/>
      </c>
      <c r="Y77" s="76" t="s">
        <v>235</v>
      </c>
      <c r="Z77" s="60"/>
      <c r="AA77" s="18" t="str" cm="1">
        <f t="array" ref="AA77">IF(P77="", "", _xlfn.XLOOKUP(P77,#REF!,#REF!,NA,0,-1))</f>
        <v/>
      </c>
      <c r="AB77" s="47"/>
      <c r="AC77" s="55" t="s">
        <v>3935</v>
      </c>
      <c r="AD77" s="55" t="str">
        <f>IF($AC77="","",_xlfn.XLOOKUP($AC77,'[2]Client Info'!$C$2:$C$2535,'[2]Client Info'!$D$2:$D$2535))</f>
        <v>18, Canso rd</v>
      </c>
      <c r="AE77" s="55" t="str">
        <f>IF($AC77="","",_xlfn.XLOOKUP($AC77,'[2]Client Info'!$C$2:$C$2715,'[2]Client Info'!$E$2:$E$2715))</f>
        <v>Etobicoke</v>
      </c>
      <c r="AF77" s="55" t="str">
        <f>IF($AC77="","",_xlfn.XLOOKUP($AC77,'[2]Client Info'!$C$2:$C$2715,'[2]Client Info'!$F$2:$F$2715))</f>
        <v>ON</v>
      </c>
      <c r="AG77" s="55" t="s">
        <v>9</v>
      </c>
      <c r="AH77" s="62">
        <f>234.72/12</f>
        <v>19.559999999999999</v>
      </c>
      <c r="AI77" s="43" t="str">
        <f>_xlfn.XLOOKUP(Table26[[#This Row],[customerSKU]],customerSKU!G:G,customerSKU!O:O,"not found",0,1)</f>
        <v>not found</v>
      </c>
      <c r="AJ77" s="53">
        <f>Table26[[#This Row],[unitprice]]*Table26[[#This Row],[quantity_unit]]</f>
        <v>1173.5999999999999</v>
      </c>
      <c r="AK77" s="53" t="e" cm="1">
        <f t="array" ref="AK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" spans="1:37" s="53" customFormat="1" ht="24.6" customHeight="1">
      <c r="A78" s="42">
        <v>2166</v>
      </c>
      <c r="B78" s="228" t="s">
        <v>3520</v>
      </c>
      <c r="C78" s="229" t="s">
        <v>203</v>
      </c>
      <c r="D78" s="240"/>
      <c r="E78" s="240">
        <v>45505</v>
      </c>
      <c r="F78" s="90"/>
      <c r="G78" s="119"/>
      <c r="H78" s="241" t="s">
        <v>3803</v>
      </c>
      <c r="I78" s="231" t="s">
        <v>3862</v>
      </c>
      <c r="J78" s="90" t="s">
        <v>24</v>
      </c>
      <c r="K78" s="232">
        <v>45504</v>
      </c>
      <c r="L78" s="233" t="s">
        <v>490</v>
      </c>
      <c r="M78" s="231"/>
      <c r="N78" s="252" t="str">
        <f>Table26[[#This Row],[po_number]]&amp;"-"&amp;Table26[[#This Row],[po_line]]</f>
        <v>-1</v>
      </c>
      <c r="O78" s="252">
        <v>1</v>
      </c>
      <c r="P78" s="234"/>
      <c r="Q78" s="269" t="s">
        <v>1311</v>
      </c>
      <c r="R78" s="231" t="s">
        <v>3428</v>
      </c>
      <c r="S78" s="229" t="s">
        <v>13</v>
      </c>
      <c r="T78" s="20">
        <v>45497</v>
      </c>
      <c r="U78" s="236">
        <v>2400</v>
      </c>
      <c r="V78" s="231">
        <v>12</v>
      </c>
      <c r="W78" s="237">
        <f t="shared" si="2"/>
        <v>200</v>
      </c>
      <c r="X78" s="90" t="str">
        <f t="shared" si="3"/>
        <v/>
      </c>
      <c r="Y78" s="246" t="s">
        <v>260</v>
      </c>
      <c r="Z78" s="60">
        <v>1066344</v>
      </c>
      <c r="AA78" s="18" t="str" cm="1">
        <f t="array" ref="AA78">IF(P78="", "", _xlfn.XLOOKUP(P78,#REF!,#REF!,NA,0,-1))</f>
        <v/>
      </c>
      <c r="AB78" s="231"/>
      <c r="AC78" s="55" t="s">
        <v>4028</v>
      </c>
      <c r="AD78" s="55" t="str">
        <f>IF($AC78="","",_xlfn.XLOOKUP($AC78,'[2]Client Info'!$C$2:$C$2535,'[2]Client Info'!$D$2:$D$2535))</f>
        <v>3389 No. 6 Road</v>
      </c>
      <c r="AE78" s="55" t="str">
        <f>IF($AC78="","",_xlfn.XLOOKUP($AC78,'[2]Client Info'!$C$2:$C$2715,'[2]Client Info'!$E$2:$E$2715))</f>
        <v>Richmond</v>
      </c>
      <c r="AF78" s="55" t="str">
        <f>IF($AC78="","",_xlfn.XLOOKUP($AC78,'[2]Client Info'!$C$2:$C$2715,'[2]Client Info'!$F$2:$F$2715))</f>
        <v>BC</v>
      </c>
      <c r="AG78" s="55" t="s">
        <v>24</v>
      </c>
      <c r="AH78" s="238">
        <v>6.3</v>
      </c>
      <c r="AI78" s="43" t="str">
        <f>_xlfn.XLOOKUP(Table26[[#This Row],[customerSKU]],customerSKU!G:G,customerSKU!O:O,"not found",0,1)</f>
        <v>not found</v>
      </c>
      <c r="AJ78" s="53">
        <f>Table26[[#This Row],[unitprice]]*Table26[[#This Row],[quantity_unit]]</f>
        <v>15120</v>
      </c>
      <c r="AK78" s="53" t="e" cm="1">
        <f t="array" ref="AK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" spans="1:37" s="53" customFormat="1" ht="24.6" customHeight="1">
      <c r="A79" s="42">
        <v>2167</v>
      </c>
      <c r="B79" s="228" t="s">
        <v>3520</v>
      </c>
      <c r="C79" s="229" t="s">
        <v>203</v>
      </c>
      <c r="D79" s="240"/>
      <c r="E79" s="240" t="e">
        <f>IF(#REF!&gt;0,#REF!,"")</f>
        <v>#REF!</v>
      </c>
      <c r="F79" s="90"/>
      <c r="G79" s="119"/>
      <c r="H79" s="241"/>
      <c r="I79" s="231" t="s">
        <v>3862</v>
      </c>
      <c r="J79" s="231" t="s">
        <v>503</v>
      </c>
      <c r="K79" s="232">
        <v>45504</v>
      </c>
      <c r="L79" s="233" t="s">
        <v>504</v>
      </c>
      <c r="M79" s="231"/>
      <c r="N79" s="252" t="str">
        <f>Table26[[#This Row],[po_number]]&amp;"-"&amp;Table26[[#This Row],[po_line]]</f>
        <v>-1</v>
      </c>
      <c r="O79" s="252">
        <v>1</v>
      </c>
      <c r="P79" s="234"/>
      <c r="Q79" s="231" t="s">
        <v>1609</v>
      </c>
      <c r="R79" s="231" t="s">
        <v>3428</v>
      </c>
      <c r="S79" s="229" t="s">
        <v>13</v>
      </c>
      <c r="T79" s="20">
        <v>45462</v>
      </c>
      <c r="U79" s="236">
        <v>12</v>
      </c>
      <c r="V79" s="231">
        <v>12</v>
      </c>
      <c r="W79" s="237">
        <f t="shared" si="2"/>
        <v>1</v>
      </c>
      <c r="X79" s="90" t="str">
        <f t="shared" si="3"/>
        <v/>
      </c>
      <c r="Y79" s="231"/>
      <c r="Z79" s="60"/>
      <c r="AA79" s="18" t="str" cm="1">
        <f t="array" ref="AA79">IF(P79="", "", _xlfn.XLOOKUP(P79,#REF!,#REF!,NA,0,-1))</f>
        <v/>
      </c>
      <c r="AB79" s="231"/>
      <c r="AC79" s="55" t="s">
        <v>4068</v>
      </c>
      <c r="AD79" s="55" t="str">
        <f>IF($AC79="","",_xlfn.XLOOKUP($AC79,'[2]Client Info'!$C$2:$C$2535,'[2]Client Info'!$D$2:$D$2535))</f>
        <v>2943 Kingsway</v>
      </c>
      <c r="AE79" s="55" t="str">
        <f>IF($AC79="","",_xlfn.XLOOKUP($AC79,'[2]Client Info'!$C$2:$C$2715,'[2]Client Info'!$E$2:$E$2715))</f>
        <v>Vancouver</v>
      </c>
      <c r="AF79" s="55" t="str">
        <f>IF($AC79="","",_xlfn.XLOOKUP($AC79,'[2]Client Info'!$C$2:$C$2715,'[2]Client Info'!$F$2:$F$2715))</f>
        <v>BC</v>
      </c>
      <c r="AG79" s="55" t="s">
        <v>113</v>
      </c>
      <c r="AH79" s="238"/>
      <c r="AI79" s="43" t="str">
        <f>_xlfn.XLOOKUP(Table26[[#This Row],[customerSKU]],customerSKU!G:G,customerSKU!O:O,"not found",0,1)</f>
        <v>not found</v>
      </c>
      <c r="AJ79" s="53">
        <f>Table26[[#This Row],[unitprice]]*Table26[[#This Row],[quantity_unit]]</f>
        <v>0</v>
      </c>
      <c r="AK79" s="53" cm="1">
        <f t="array" ref="AK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0" spans="1:37" s="53" customFormat="1" ht="18" customHeight="1">
      <c r="A80" s="42">
        <v>2168</v>
      </c>
      <c r="B80" s="228" t="s">
        <v>3520</v>
      </c>
      <c r="C80" s="229" t="s">
        <v>203</v>
      </c>
      <c r="D80" s="240"/>
      <c r="E80" s="240" t="e">
        <f>IF(#REF!&gt;0,#REF!,"")</f>
        <v>#REF!</v>
      </c>
      <c r="F80" s="90"/>
      <c r="G80" s="119"/>
      <c r="H80" s="241"/>
      <c r="I80" s="231" t="s">
        <v>3862</v>
      </c>
      <c r="J80" s="231" t="s">
        <v>503</v>
      </c>
      <c r="K80" s="232">
        <v>45504</v>
      </c>
      <c r="L80" s="233" t="s">
        <v>504</v>
      </c>
      <c r="M80" s="231"/>
      <c r="N80" s="252" t="str">
        <f>Table26[[#This Row],[po_number]]&amp;"-"&amp;Table26[[#This Row],[po_line]]</f>
        <v>-2</v>
      </c>
      <c r="O80" s="252">
        <v>2</v>
      </c>
      <c r="P80" s="234"/>
      <c r="Q80" s="231" t="s">
        <v>1575</v>
      </c>
      <c r="R80" s="231" t="s">
        <v>3428</v>
      </c>
      <c r="S80" s="229" t="s">
        <v>13</v>
      </c>
      <c r="T80" s="20">
        <v>45457</v>
      </c>
      <c r="U80" s="236">
        <v>12</v>
      </c>
      <c r="V80" s="231">
        <v>12</v>
      </c>
      <c r="W80" s="237">
        <f t="shared" si="2"/>
        <v>1</v>
      </c>
      <c r="X80" s="90" t="str">
        <f t="shared" si="3"/>
        <v/>
      </c>
      <c r="Y80" s="231"/>
      <c r="Z80" s="60"/>
      <c r="AA80" s="18" t="str" cm="1">
        <f t="array" ref="AA80">IF(P80="", "", _xlfn.XLOOKUP(P80,#REF!,#REF!,NA,0,-1))</f>
        <v/>
      </c>
      <c r="AB80" s="231"/>
      <c r="AC80" s="55" t="s">
        <v>4068</v>
      </c>
      <c r="AD80" s="55" t="str">
        <f>IF($AC80="","",_xlfn.XLOOKUP($AC80,'[2]Client Info'!$C$2:$C$2535,'[2]Client Info'!$D$2:$D$2535))</f>
        <v>2943 Kingsway</v>
      </c>
      <c r="AE80" s="55" t="str">
        <f>IF($AC80="","",_xlfn.XLOOKUP($AC80,'[2]Client Info'!$C$2:$C$2715,'[2]Client Info'!$E$2:$E$2715))</f>
        <v>Vancouver</v>
      </c>
      <c r="AF80" s="55" t="str">
        <f>IF($AC80="","",_xlfn.XLOOKUP($AC80,'[2]Client Info'!$C$2:$C$2715,'[2]Client Info'!$F$2:$F$2715))</f>
        <v>BC</v>
      </c>
      <c r="AG80" s="55" t="s">
        <v>113</v>
      </c>
      <c r="AH80" s="238"/>
      <c r="AI80" s="43" t="str">
        <f>_xlfn.XLOOKUP(Table26[[#This Row],[customerSKU]],customerSKU!G:G,customerSKU!O:O,"not found",0,1)</f>
        <v>not found</v>
      </c>
      <c r="AJ80" s="53">
        <f>Table26[[#This Row],[unitprice]]*Table26[[#This Row],[quantity_unit]]</f>
        <v>0</v>
      </c>
      <c r="AK80" s="53" cm="1">
        <f t="array" ref="AK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1" spans="1:37" s="53" customFormat="1" ht="18" customHeight="1">
      <c r="A81" s="42">
        <v>2169</v>
      </c>
      <c r="B81" s="228" t="s">
        <v>3520</v>
      </c>
      <c r="C81" s="229" t="s">
        <v>203</v>
      </c>
      <c r="D81" s="240"/>
      <c r="E81" s="240" t="e">
        <f>IF(#REF!&gt;0,#REF!,"")</f>
        <v>#REF!</v>
      </c>
      <c r="F81" s="90"/>
      <c r="G81" s="119"/>
      <c r="H81" s="241"/>
      <c r="I81" s="231" t="s">
        <v>3862</v>
      </c>
      <c r="J81" s="231" t="s">
        <v>503</v>
      </c>
      <c r="K81" s="232">
        <v>45504</v>
      </c>
      <c r="L81" s="233" t="s">
        <v>504</v>
      </c>
      <c r="M81" s="231"/>
      <c r="N81" s="252" t="str">
        <f>Table26[[#This Row],[po_number]]&amp;"-"&amp;Table26[[#This Row],[po_line]]</f>
        <v>-3</v>
      </c>
      <c r="O81" s="252">
        <v>3</v>
      </c>
      <c r="P81" s="234"/>
      <c r="Q81" s="231" t="s">
        <v>828</v>
      </c>
      <c r="R81" s="231" t="s">
        <v>3428</v>
      </c>
      <c r="S81" s="229" t="s">
        <v>13</v>
      </c>
      <c r="T81" s="20">
        <v>45447</v>
      </c>
      <c r="U81" s="236">
        <v>12</v>
      </c>
      <c r="V81" s="231">
        <v>12</v>
      </c>
      <c r="W81" s="237">
        <f t="shared" si="2"/>
        <v>1</v>
      </c>
      <c r="X81" s="90" t="str">
        <f t="shared" si="3"/>
        <v/>
      </c>
      <c r="Y81" s="231"/>
      <c r="Z81" s="60"/>
      <c r="AA81" s="18" t="str" cm="1">
        <f t="array" ref="AA81">IF(P81="", "", _xlfn.XLOOKUP(P81,#REF!,#REF!,NA,0,-1))</f>
        <v/>
      </c>
      <c r="AB81" s="231"/>
      <c r="AC81" s="55" t="s">
        <v>4068</v>
      </c>
      <c r="AD81" s="55" t="str">
        <f>IF($AC81="","",_xlfn.XLOOKUP($AC81,'[2]Client Info'!$C$2:$C$2535,'[2]Client Info'!$D$2:$D$2535))</f>
        <v>2943 Kingsway</v>
      </c>
      <c r="AE81" s="55" t="str">
        <f>IF($AC81="","",_xlfn.XLOOKUP($AC81,'[2]Client Info'!$C$2:$C$2715,'[2]Client Info'!$E$2:$E$2715))</f>
        <v>Vancouver</v>
      </c>
      <c r="AF81" s="55" t="str">
        <f>IF($AC81="","",_xlfn.XLOOKUP($AC81,'[2]Client Info'!$C$2:$C$2715,'[2]Client Info'!$F$2:$F$2715))</f>
        <v>BC</v>
      </c>
      <c r="AG81" s="55" t="s">
        <v>113</v>
      </c>
      <c r="AH81" s="238"/>
      <c r="AI81" s="43" t="str">
        <f>_xlfn.XLOOKUP(Table26[[#This Row],[customerSKU]],customerSKU!G:G,customerSKU!O:O,"not found",0,1)</f>
        <v>not found</v>
      </c>
      <c r="AJ81" s="53">
        <f>Table26[[#This Row],[unitprice]]*Table26[[#This Row],[quantity_unit]]</f>
        <v>0</v>
      </c>
      <c r="AK81" s="53" cm="1">
        <f t="array" ref="AK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2" spans="1:37" s="53" customFormat="1" ht="18" customHeight="1">
      <c r="A82" s="42">
        <v>2170</v>
      </c>
      <c r="B82" s="228" t="s">
        <v>3520</v>
      </c>
      <c r="C82" s="229" t="s">
        <v>203</v>
      </c>
      <c r="D82" s="240"/>
      <c r="E82" s="240" t="e">
        <f>IF(#REF!&gt;0,#REF!,"")</f>
        <v>#REF!</v>
      </c>
      <c r="F82" s="90"/>
      <c r="G82" s="119"/>
      <c r="H82" s="241"/>
      <c r="I82" s="231" t="s">
        <v>3862</v>
      </c>
      <c r="J82" s="231" t="s">
        <v>503</v>
      </c>
      <c r="K82" s="232">
        <v>45504</v>
      </c>
      <c r="L82" s="233" t="s">
        <v>504</v>
      </c>
      <c r="M82" s="231"/>
      <c r="N82" s="252" t="str">
        <f>Table26[[#This Row],[po_number]]&amp;"-"&amp;Table26[[#This Row],[po_line]]</f>
        <v>-4</v>
      </c>
      <c r="O82" s="252">
        <v>4</v>
      </c>
      <c r="P82" s="234"/>
      <c r="Q82" s="231" t="s">
        <v>587</v>
      </c>
      <c r="R82" s="231" t="s">
        <v>3428</v>
      </c>
      <c r="S82" s="229" t="s">
        <v>13</v>
      </c>
      <c r="T82" s="20">
        <v>45457</v>
      </c>
      <c r="U82" s="236">
        <v>12</v>
      </c>
      <c r="V82" s="231">
        <v>12</v>
      </c>
      <c r="W82" s="237">
        <f t="shared" si="2"/>
        <v>1</v>
      </c>
      <c r="X82" s="90" t="str">
        <f t="shared" si="3"/>
        <v/>
      </c>
      <c r="Y82" s="231"/>
      <c r="Z82" s="60"/>
      <c r="AA82" s="18" t="str" cm="1">
        <f t="array" ref="AA82">IF(P82="", "", _xlfn.XLOOKUP(P82,#REF!,#REF!,NA,0,-1))</f>
        <v/>
      </c>
      <c r="AB82" s="231"/>
      <c r="AC82" s="55" t="s">
        <v>4068</v>
      </c>
      <c r="AD82" s="55" t="str">
        <f>IF($AC82="","",_xlfn.XLOOKUP($AC82,'[2]Client Info'!$C$2:$C$2535,'[2]Client Info'!$D$2:$D$2535))</f>
        <v>2943 Kingsway</v>
      </c>
      <c r="AE82" s="55" t="str">
        <f>IF($AC82="","",_xlfn.XLOOKUP($AC82,'[2]Client Info'!$C$2:$C$2715,'[2]Client Info'!$E$2:$E$2715))</f>
        <v>Vancouver</v>
      </c>
      <c r="AF82" s="55" t="str">
        <f>IF($AC82="","",_xlfn.XLOOKUP($AC82,'[2]Client Info'!$C$2:$C$2715,'[2]Client Info'!$F$2:$F$2715))</f>
        <v>BC</v>
      </c>
      <c r="AG82" s="55" t="s">
        <v>113</v>
      </c>
      <c r="AH82" s="238"/>
      <c r="AI82" s="43" t="str">
        <f>_xlfn.XLOOKUP(Table26[[#This Row],[customerSKU]],customerSKU!G:G,customerSKU!O:O,"not found",0,1)</f>
        <v>not found</v>
      </c>
      <c r="AJ82" s="53">
        <f>Table26[[#This Row],[unitprice]]*Table26[[#This Row],[quantity_unit]]</f>
        <v>0</v>
      </c>
      <c r="AK82" s="53" cm="1">
        <f t="array" ref="AK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3" spans="1:37" s="53" customFormat="1" ht="18" customHeight="1">
      <c r="A83" s="42">
        <v>2171</v>
      </c>
      <c r="B83" s="228" t="s">
        <v>3520</v>
      </c>
      <c r="C83" s="229" t="s">
        <v>203</v>
      </c>
      <c r="D83" s="240"/>
      <c r="E83" s="240" t="e">
        <f>IF(#REF!&gt;0,#REF!,"")</f>
        <v>#REF!</v>
      </c>
      <c r="F83" s="90"/>
      <c r="G83" s="119"/>
      <c r="H83" s="241"/>
      <c r="I83" s="231" t="s">
        <v>3862</v>
      </c>
      <c r="J83" s="231" t="s">
        <v>503</v>
      </c>
      <c r="K83" s="232">
        <v>45504</v>
      </c>
      <c r="L83" s="233" t="s">
        <v>504</v>
      </c>
      <c r="M83" s="231"/>
      <c r="N83" s="252" t="str">
        <f>Table26[[#This Row],[po_number]]&amp;"-"&amp;Table26[[#This Row],[po_line]]</f>
        <v>-5</v>
      </c>
      <c r="O83" s="252">
        <v>5</v>
      </c>
      <c r="P83" s="234"/>
      <c r="Q83" s="231" t="s">
        <v>869</v>
      </c>
      <c r="R83" s="231" t="s">
        <v>3428</v>
      </c>
      <c r="S83" s="229" t="s">
        <v>13</v>
      </c>
      <c r="T83" s="20">
        <v>45447</v>
      </c>
      <c r="U83" s="236">
        <v>12</v>
      </c>
      <c r="V83" s="231">
        <v>12</v>
      </c>
      <c r="W83" s="237">
        <f t="shared" si="2"/>
        <v>1</v>
      </c>
      <c r="X83" s="90" t="str">
        <f t="shared" si="3"/>
        <v/>
      </c>
      <c r="Y83" s="90"/>
      <c r="Z83" s="60"/>
      <c r="AA83" s="18" t="str" cm="1">
        <f t="array" ref="AA83">IF(P83="", "", _xlfn.XLOOKUP(P83,#REF!,#REF!,NA,0,-1))</f>
        <v/>
      </c>
      <c r="AB83" s="231"/>
      <c r="AC83" s="55" t="s">
        <v>4068</v>
      </c>
      <c r="AD83" s="55" t="str">
        <f>IF($AC83="","",_xlfn.XLOOKUP($AC83,'[2]Client Info'!$C$2:$C$2535,'[2]Client Info'!$D$2:$D$2535))</f>
        <v>2943 Kingsway</v>
      </c>
      <c r="AE83" s="55" t="str">
        <f>IF($AC83="","",_xlfn.XLOOKUP($AC83,'[2]Client Info'!$C$2:$C$2715,'[2]Client Info'!$E$2:$E$2715))</f>
        <v>Vancouver</v>
      </c>
      <c r="AF83" s="55" t="str">
        <f>IF($AC83="","",_xlfn.XLOOKUP($AC83,'[2]Client Info'!$C$2:$C$2715,'[2]Client Info'!$F$2:$F$2715))</f>
        <v>BC</v>
      </c>
      <c r="AG83" s="55" t="s">
        <v>113</v>
      </c>
      <c r="AH83" s="238"/>
      <c r="AI83" s="43" t="str">
        <f>_xlfn.XLOOKUP(Table26[[#This Row],[customerSKU]],customerSKU!G:G,customerSKU!O:O,"not found",0,1)</f>
        <v>not found</v>
      </c>
      <c r="AJ83" s="53">
        <f>Table26[[#This Row],[unitprice]]*Table26[[#This Row],[quantity_unit]]</f>
        <v>0</v>
      </c>
      <c r="AK83" s="53" cm="1">
        <f t="array" ref="AK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4" spans="1:37" s="53" customFormat="1" ht="18" customHeight="1">
      <c r="A84" s="42">
        <v>2172</v>
      </c>
      <c r="B84" s="228" t="s">
        <v>3520</v>
      </c>
      <c r="C84" s="229" t="s">
        <v>203</v>
      </c>
      <c r="D84" s="240"/>
      <c r="E84" s="240" t="e">
        <f>IF(#REF!&gt;0,#REF!,"")</f>
        <v>#REF!</v>
      </c>
      <c r="F84" s="90"/>
      <c r="G84" s="119"/>
      <c r="H84" s="241"/>
      <c r="I84" s="231" t="s">
        <v>3862</v>
      </c>
      <c r="J84" s="231" t="s">
        <v>503</v>
      </c>
      <c r="K84" s="232">
        <v>45504</v>
      </c>
      <c r="L84" s="233" t="s">
        <v>504</v>
      </c>
      <c r="M84" s="231"/>
      <c r="N84" s="252" t="str">
        <f>Table26[[#This Row],[po_number]]&amp;"-"&amp;Table26[[#This Row],[po_line]]</f>
        <v>-6</v>
      </c>
      <c r="O84" s="252">
        <v>6</v>
      </c>
      <c r="P84" s="234"/>
      <c r="Q84" s="231" t="s">
        <v>1313</v>
      </c>
      <c r="R84" s="231" t="s">
        <v>3428</v>
      </c>
      <c r="S84" s="229" t="s">
        <v>13</v>
      </c>
      <c r="T84" s="20">
        <v>45497</v>
      </c>
      <c r="U84" s="236">
        <v>12</v>
      </c>
      <c r="V84" s="231">
        <v>12</v>
      </c>
      <c r="W84" s="237">
        <f t="shared" si="2"/>
        <v>1</v>
      </c>
      <c r="X84" s="90" t="str">
        <f t="shared" si="3"/>
        <v/>
      </c>
      <c r="Y84" s="231"/>
      <c r="Z84" s="60"/>
      <c r="AA84" s="18" t="str" cm="1">
        <f t="array" ref="AA84">IF(P84="", "", _xlfn.XLOOKUP(P84,#REF!,#REF!,NA,0,-1))</f>
        <v/>
      </c>
      <c r="AB84" s="231"/>
      <c r="AC84" s="55" t="s">
        <v>4068</v>
      </c>
      <c r="AD84" s="55" t="str">
        <f>IF($AC84="","",_xlfn.XLOOKUP($AC84,'[2]Client Info'!$C$2:$C$2535,'[2]Client Info'!$D$2:$D$2535))</f>
        <v>2943 Kingsway</v>
      </c>
      <c r="AE84" s="55" t="str">
        <f>IF($AC84="","",_xlfn.XLOOKUP($AC84,'[2]Client Info'!$C$2:$C$2715,'[2]Client Info'!$E$2:$E$2715))</f>
        <v>Vancouver</v>
      </c>
      <c r="AF84" s="55" t="str">
        <f>IF($AC84="","",_xlfn.XLOOKUP($AC84,'[2]Client Info'!$C$2:$C$2715,'[2]Client Info'!$F$2:$F$2715))</f>
        <v>BC</v>
      </c>
      <c r="AG84" s="55" t="s">
        <v>113</v>
      </c>
      <c r="AH84" s="238"/>
      <c r="AI84" s="43" t="str">
        <f>_xlfn.XLOOKUP(Table26[[#This Row],[customerSKU]],customerSKU!G:G,customerSKU!O:O,"not found",0,1)</f>
        <v>not found</v>
      </c>
      <c r="AJ84" s="53">
        <f>Table26[[#This Row],[unitprice]]*Table26[[#This Row],[quantity_unit]]</f>
        <v>0</v>
      </c>
      <c r="AK84" s="53" cm="1">
        <f t="array" ref="AK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5" spans="1:37" s="53" customFormat="1" ht="18" customHeight="1">
      <c r="A85" s="42">
        <v>2173</v>
      </c>
      <c r="B85" s="228" t="s">
        <v>3520</v>
      </c>
      <c r="C85" s="229" t="s">
        <v>203</v>
      </c>
      <c r="D85" s="240"/>
      <c r="E85" s="240" t="e">
        <f>IF(#REF!&gt;0,#REF!,"")</f>
        <v>#REF!</v>
      </c>
      <c r="F85" s="90"/>
      <c r="G85" s="119"/>
      <c r="H85" s="241"/>
      <c r="I85" s="231" t="s">
        <v>3862</v>
      </c>
      <c r="J85" s="231" t="s">
        <v>503</v>
      </c>
      <c r="K85" s="232">
        <v>45504</v>
      </c>
      <c r="L85" s="233" t="s">
        <v>504</v>
      </c>
      <c r="M85" s="231"/>
      <c r="N85" s="252" t="str">
        <f>Table26[[#This Row],[po_number]]&amp;"-"&amp;Table26[[#This Row],[po_line]]</f>
        <v>-7</v>
      </c>
      <c r="O85" s="252">
        <v>7</v>
      </c>
      <c r="P85" s="234"/>
      <c r="Q85" s="231" t="s">
        <v>3876</v>
      </c>
      <c r="R85" s="231" t="s">
        <v>3428</v>
      </c>
      <c r="S85" s="229" t="s">
        <v>13</v>
      </c>
      <c r="T85" s="20">
        <v>45491</v>
      </c>
      <c r="U85" s="236">
        <v>12</v>
      </c>
      <c r="V85" s="231">
        <v>12</v>
      </c>
      <c r="W85" s="237">
        <f t="shared" si="2"/>
        <v>1</v>
      </c>
      <c r="X85" s="90" t="str">
        <f t="shared" si="3"/>
        <v/>
      </c>
      <c r="Y85" s="231"/>
      <c r="Z85" s="60"/>
      <c r="AA85" s="18" t="str" cm="1">
        <f t="array" ref="AA85">IF(P85="", "", _xlfn.XLOOKUP(P85,#REF!,#REF!,NA,0,-1))</f>
        <v/>
      </c>
      <c r="AB85" s="231"/>
      <c r="AC85" s="55" t="s">
        <v>4068</v>
      </c>
      <c r="AD85" s="55" t="str">
        <f>IF($AC85="","",_xlfn.XLOOKUP($AC85,'[2]Client Info'!$C$2:$C$2535,'[2]Client Info'!$D$2:$D$2535))</f>
        <v>2943 Kingsway</v>
      </c>
      <c r="AE85" s="55" t="str">
        <f>IF($AC85="","",_xlfn.XLOOKUP($AC85,'[2]Client Info'!$C$2:$C$2715,'[2]Client Info'!$E$2:$E$2715))</f>
        <v>Vancouver</v>
      </c>
      <c r="AF85" s="55" t="str">
        <f>IF($AC85="","",_xlfn.XLOOKUP($AC85,'[2]Client Info'!$C$2:$C$2715,'[2]Client Info'!$F$2:$F$2715))</f>
        <v>BC</v>
      </c>
      <c r="AG85" s="55" t="s">
        <v>113</v>
      </c>
      <c r="AH85" s="238"/>
      <c r="AI85" s="43" t="str">
        <f>_xlfn.XLOOKUP(Table26[[#This Row],[customerSKU]],customerSKU!G:G,customerSKU!O:O,"not found",0,1)</f>
        <v>not found</v>
      </c>
      <c r="AJ85" s="53">
        <f>Table26[[#This Row],[unitprice]]*Table26[[#This Row],[quantity_unit]]</f>
        <v>0</v>
      </c>
      <c r="AK85" s="53" cm="1">
        <f t="array" ref="AK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6" spans="1:37" s="53" customFormat="1" ht="18" customHeight="1">
      <c r="A86" s="42">
        <v>2174</v>
      </c>
      <c r="B86" s="228" t="s">
        <v>3520</v>
      </c>
      <c r="C86" s="229" t="s">
        <v>203</v>
      </c>
      <c r="D86" s="240"/>
      <c r="E86" s="240" t="e">
        <f>IF(#REF!&gt;0,#REF!,"")</f>
        <v>#REF!</v>
      </c>
      <c r="F86" s="90"/>
      <c r="G86" s="119"/>
      <c r="H86" s="241"/>
      <c r="I86" s="231" t="s">
        <v>3862</v>
      </c>
      <c r="J86" s="231" t="s">
        <v>503</v>
      </c>
      <c r="K86" s="232">
        <v>45504</v>
      </c>
      <c r="L86" s="233" t="s">
        <v>504</v>
      </c>
      <c r="M86" s="231"/>
      <c r="N86" s="252" t="str">
        <f>Table26[[#This Row],[po_number]]&amp;"-"&amp;Table26[[#This Row],[po_line]]</f>
        <v>-8</v>
      </c>
      <c r="O86" s="252">
        <v>8</v>
      </c>
      <c r="P86" s="234"/>
      <c r="Q86" s="231" t="s">
        <v>866</v>
      </c>
      <c r="R86" s="231" t="s">
        <v>3428</v>
      </c>
      <c r="S86" s="229" t="s">
        <v>13</v>
      </c>
      <c r="T86" s="20">
        <v>45497</v>
      </c>
      <c r="U86" s="236">
        <v>12</v>
      </c>
      <c r="V86" s="231">
        <v>12</v>
      </c>
      <c r="W86" s="237">
        <f t="shared" si="2"/>
        <v>1</v>
      </c>
      <c r="X86" s="90" t="str">
        <f t="shared" si="3"/>
        <v/>
      </c>
      <c r="Y86" s="231"/>
      <c r="Z86" s="60"/>
      <c r="AA86" s="18" t="str" cm="1">
        <f t="array" ref="AA86">IF(P86="", "", _xlfn.XLOOKUP(P86,#REF!,#REF!,NA,0,-1))</f>
        <v/>
      </c>
      <c r="AB86" s="231"/>
      <c r="AC86" s="55" t="s">
        <v>4068</v>
      </c>
      <c r="AD86" s="55" t="str">
        <f>IF($AC86="","",_xlfn.XLOOKUP($AC86,'[2]Client Info'!$C$2:$C$2535,'[2]Client Info'!$D$2:$D$2535))</f>
        <v>2943 Kingsway</v>
      </c>
      <c r="AE86" s="55" t="str">
        <f>IF($AC86="","",_xlfn.XLOOKUP($AC86,'[2]Client Info'!$C$2:$C$2715,'[2]Client Info'!$E$2:$E$2715))</f>
        <v>Vancouver</v>
      </c>
      <c r="AF86" s="55" t="str">
        <f>IF($AC86="","",_xlfn.XLOOKUP($AC86,'[2]Client Info'!$C$2:$C$2715,'[2]Client Info'!$F$2:$F$2715))</f>
        <v>BC</v>
      </c>
      <c r="AG86" s="55" t="s">
        <v>113</v>
      </c>
      <c r="AH86" s="238"/>
      <c r="AI86" s="43" t="str">
        <f>_xlfn.XLOOKUP(Table26[[#This Row],[customerSKU]],customerSKU!G:G,customerSKU!O:O,"not found",0,1)</f>
        <v>not found</v>
      </c>
      <c r="AJ86" s="53">
        <f>Table26[[#This Row],[unitprice]]*Table26[[#This Row],[quantity_unit]]</f>
        <v>0</v>
      </c>
      <c r="AK86" s="53" cm="1">
        <f t="array" ref="AK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7" spans="1:37" s="53" customFormat="1" ht="18" customHeight="1">
      <c r="A87" s="42">
        <v>2175</v>
      </c>
      <c r="B87" s="228" t="s">
        <v>3520</v>
      </c>
      <c r="C87" s="229" t="s">
        <v>203</v>
      </c>
      <c r="D87" s="240"/>
      <c r="E87" s="240" t="e">
        <f>IF(#REF!&gt;0,#REF!,"")</f>
        <v>#REF!</v>
      </c>
      <c r="F87" s="90"/>
      <c r="G87" s="119"/>
      <c r="H87" s="241"/>
      <c r="I87" s="231" t="s">
        <v>3862</v>
      </c>
      <c r="J87" s="231" t="s">
        <v>503</v>
      </c>
      <c r="K87" s="232">
        <v>45504</v>
      </c>
      <c r="L87" s="233" t="s">
        <v>504</v>
      </c>
      <c r="M87" s="231"/>
      <c r="N87" s="252" t="str">
        <f>Table26[[#This Row],[po_number]]&amp;"-"&amp;Table26[[#This Row],[po_line]]</f>
        <v>-9</v>
      </c>
      <c r="O87" s="252">
        <v>9</v>
      </c>
      <c r="P87" s="234"/>
      <c r="Q87" s="231" t="s">
        <v>905</v>
      </c>
      <c r="R87" s="231" t="s">
        <v>3428</v>
      </c>
      <c r="S87" s="229" t="s">
        <v>13</v>
      </c>
      <c r="T87" s="20">
        <v>45497</v>
      </c>
      <c r="U87" s="236">
        <v>12</v>
      </c>
      <c r="V87" s="231">
        <v>12</v>
      </c>
      <c r="W87" s="237">
        <f t="shared" si="2"/>
        <v>1</v>
      </c>
      <c r="X87" s="90" t="str">
        <f t="shared" si="3"/>
        <v/>
      </c>
      <c r="Y87" s="231"/>
      <c r="Z87" s="60"/>
      <c r="AA87" s="18" t="str" cm="1">
        <f t="array" ref="AA87">IF(P87="", "", _xlfn.XLOOKUP(P87,#REF!,#REF!,NA,0,-1))</f>
        <v/>
      </c>
      <c r="AB87" s="231"/>
      <c r="AC87" s="55" t="s">
        <v>4068</v>
      </c>
      <c r="AD87" s="55" t="str">
        <f>IF($AC87="","",_xlfn.XLOOKUP($AC87,'[2]Client Info'!$C$2:$C$2535,'[2]Client Info'!$D$2:$D$2535))</f>
        <v>2943 Kingsway</v>
      </c>
      <c r="AE87" s="55" t="str">
        <f>IF($AC87="","",_xlfn.XLOOKUP($AC87,'[2]Client Info'!$C$2:$C$2715,'[2]Client Info'!$E$2:$E$2715))</f>
        <v>Vancouver</v>
      </c>
      <c r="AF87" s="55" t="str">
        <f>IF($AC87="","",_xlfn.XLOOKUP($AC87,'[2]Client Info'!$C$2:$C$2715,'[2]Client Info'!$F$2:$F$2715))</f>
        <v>BC</v>
      </c>
      <c r="AG87" s="55" t="s">
        <v>113</v>
      </c>
      <c r="AH87" s="238"/>
      <c r="AI87" s="43" t="str">
        <f>_xlfn.XLOOKUP(Table26[[#This Row],[customerSKU]],customerSKU!G:G,customerSKU!O:O,"not found",0,1)</f>
        <v>not found</v>
      </c>
      <c r="AJ87" s="53">
        <f>Table26[[#This Row],[unitprice]]*Table26[[#This Row],[quantity_unit]]</f>
        <v>0</v>
      </c>
      <c r="AK87" s="53" cm="1">
        <f t="array" ref="AK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8" spans="1:37" s="53" customFormat="1" ht="18" customHeight="1">
      <c r="A88" s="42">
        <v>2176</v>
      </c>
      <c r="B88" s="228" t="s">
        <v>3520</v>
      </c>
      <c r="C88" s="229" t="s">
        <v>203</v>
      </c>
      <c r="D88" s="240"/>
      <c r="E88" s="240" t="e">
        <f>IF(#REF!&gt;0,#REF!,"")</f>
        <v>#REF!</v>
      </c>
      <c r="F88" s="90"/>
      <c r="G88" s="119"/>
      <c r="H88" s="241"/>
      <c r="I88" s="231" t="s">
        <v>3862</v>
      </c>
      <c r="J88" s="231" t="s">
        <v>503</v>
      </c>
      <c r="K88" s="232">
        <v>45504</v>
      </c>
      <c r="L88" s="233" t="s">
        <v>504</v>
      </c>
      <c r="M88" s="231"/>
      <c r="N88" s="252" t="str">
        <f>Table26[[#This Row],[po_number]]&amp;"-"&amp;Table26[[#This Row],[po_line]]</f>
        <v>-10</v>
      </c>
      <c r="O88" s="252">
        <v>10</v>
      </c>
      <c r="P88" s="234"/>
      <c r="Q88" s="231" t="s">
        <v>3865</v>
      </c>
      <c r="R88" s="231" t="s">
        <v>3428</v>
      </c>
      <c r="S88" s="229" t="s">
        <v>13</v>
      </c>
      <c r="T88" s="20">
        <v>45497</v>
      </c>
      <c r="U88" s="236">
        <v>12</v>
      </c>
      <c r="V88" s="231">
        <v>12</v>
      </c>
      <c r="W88" s="237">
        <f t="shared" si="2"/>
        <v>1</v>
      </c>
      <c r="X88" s="90" t="str">
        <f t="shared" si="3"/>
        <v/>
      </c>
      <c r="Y88" s="231"/>
      <c r="Z88" s="60"/>
      <c r="AA88" s="18" t="str" cm="1">
        <f t="array" ref="AA88">IF(P88="", "", _xlfn.XLOOKUP(P88,#REF!,#REF!,NA,0,-1))</f>
        <v/>
      </c>
      <c r="AB88" s="231"/>
      <c r="AC88" s="55" t="s">
        <v>4068</v>
      </c>
      <c r="AD88" s="55" t="str">
        <f>IF($AC88="","",_xlfn.XLOOKUP($AC88,'[2]Client Info'!$C$2:$C$2535,'[2]Client Info'!$D$2:$D$2535))</f>
        <v>2943 Kingsway</v>
      </c>
      <c r="AE88" s="55" t="str">
        <f>IF($AC88="","",_xlfn.XLOOKUP($AC88,'[2]Client Info'!$C$2:$C$2715,'[2]Client Info'!$E$2:$E$2715))</f>
        <v>Vancouver</v>
      </c>
      <c r="AF88" s="55" t="str">
        <f>IF($AC88="","",_xlfn.XLOOKUP($AC88,'[2]Client Info'!$C$2:$C$2715,'[2]Client Info'!$F$2:$F$2715))</f>
        <v>BC</v>
      </c>
      <c r="AG88" s="55" t="s">
        <v>113</v>
      </c>
      <c r="AH88" s="238"/>
      <c r="AI88" s="43" t="str">
        <f>_xlfn.XLOOKUP(Table26[[#This Row],[customerSKU]],customerSKU!G:G,customerSKU!O:O,"not found",0,1)</f>
        <v>not found</v>
      </c>
      <c r="AJ88" s="53">
        <f>Table26[[#This Row],[unitprice]]*Table26[[#This Row],[quantity_unit]]</f>
        <v>0</v>
      </c>
      <c r="AK88" s="53" cm="1">
        <f t="array" ref="AK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89" spans="1:37" s="53" customFormat="1" ht="18" customHeight="1">
      <c r="A89" s="42">
        <v>2149</v>
      </c>
      <c r="B89" s="42" t="s">
        <v>3520</v>
      </c>
      <c r="C89" s="43" t="s">
        <v>203</v>
      </c>
      <c r="D89" s="80"/>
      <c r="E89" s="45">
        <v>45516</v>
      </c>
      <c r="F89" s="78">
        <v>49314</v>
      </c>
      <c r="G89" s="46"/>
      <c r="H89" s="43" t="s">
        <v>3826</v>
      </c>
      <c r="I89" s="47" t="s">
        <v>3862</v>
      </c>
      <c r="J89" s="47" t="s">
        <v>603</v>
      </c>
      <c r="K89" s="48">
        <v>45506</v>
      </c>
      <c r="L89" s="49" t="s">
        <v>490</v>
      </c>
      <c r="M89" s="47"/>
      <c r="N89" s="89" t="str">
        <f>Table26[[#This Row],[po_number]]&amp;"-"&amp;Table26[[#This Row],[po_line]]</f>
        <v>-1</v>
      </c>
      <c r="O89" s="89">
        <v>1</v>
      </c>
      <c r="P89" s="50"/>
      <c r="Q89" s="47" t="s">
        <v>971</v>
      </c>
      <c r="R89" s="47" t="s">
        <v>3794</v>
      </c>
      <c r="S89" s="43"/>
      <c r="T89" s="51">
        <v>45467</v>
      </c>
      <c r="U89" s="52">
        <v>204</v>
      </c>
      <c r="V89" s="47">
        <v>12</v>
      </c>
      <c r="W89" s="116">
        <f t="shared" si="2"/>
        <v>17</v>
      </c>
      <c r="X89" s="53" t="str">
        <f t="shared" si="3"/>
        <v/>
      </c>
      <c r="Y89" s="68" t="s">
        <v>237</v>
      </c>
      <c r="Z89" s="60">
        <v>110184</v>
      </c>
      <c r="AA89" s="18" t="str" cm="1">
        <f t="array" ref="AA89">IF(P89="", "", _xlfn.XLOOKUP(P89,#REF!,#REF!,NA,0,-1))</f>
        <v/>
      </c>
      <c r="AB89" s="47"/>
      <c r="AC89" s="55" t="s">
        <v>3867</v>
      </c>
      <c r="AD89" s="55" t="str">
        <f>IF($AC89="","",_xlfn.XLOOKUP($AC89,'[2]Client Info'!$C$2:$C$2535,'[2]Client Info'!$D$2:$D$2535))</f>
        <v>55 Quarterman Road</v>
      </c>
      <c r="AE89" s="55" t="str">
        <f>IF($AC89="","",_xlfn.XLOOKUP($AC89,'[2]Client Info'!$C$2:$C$2715,'[2]Client Info'!$E$2:$E$2715))</f>
        <v>Guelph</v>
      </c>
      <c r="AF89" s="55" t="str">
        <f>IF($AC89="","",_xlfn.XLOOKUP($AC89,'[2]Client Info'!$C$2:$C$2715,'[2]Client Info'!$F$2:$F$2715))</f>
        <v>ON</v>
      </c>
      <c r="AG89" s="55" t="s">
        <v>37</v>
      </c>
      <c r="AH89" s="57">
        <v>19.149999999999999</v>
      </c>
      <c r="AI89" s="43" t="str">
        <f>_xlfn.XLOOKUP(Table26[[#This Row],[customerSKU]],customerSKU!G:G,customerSKU!O:O,"not found",0,1)</f>
        <v>not found</v>
      </c>
      <c r="AJ89" s="59">
        <f>Table26[[#This Row],[unitprice]]*Table26[[#This Row],[quantity_unit]]</f>
        <v>3906.6</v>
      </c>
      <c r="AK89" s="59" t="e" cm="1">
        <f t="array" ref="AK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" spans="1:37" s="53" customFormat="1" ht="18" customHeight="1">
      <c r="A90" s="42">
        <v>2150</v>
      </c>
      <c r="B90" s="42" t="s">
        <v>3520</v>
      </c>
      <c r="C90" s="43" t="s">
        <v>203</v>
      </c>
      <c r="D90" s="80"/>
      <c r="E90" s="45">
        <v>45516</v>
      </c>
      <c r="F90" s="78">
        <v>49314</v>
      </c>
      <c r="G90" s="46"/>
      <c r="H90" s="43" t="s">
        <v>3826</v>
      </c>
      <c r="I90" s="47" t="s">
        <v>3862</v>
      </c>
      <c r="J90" s="47" t="s">
        <v>603</v>
      </c>
      <c r="K90" s="48">
        <v>45506</v>
      </c>
      <c r="L90" s="49" t="s">
        <v>490</v>
      </c>
      <c r="M90" s="47"/>
      <c r="N90" s="89" t="str">
        <f>Table26[[#This Row],[po_number]]&amp;"-"&amp;Table26[[#This Row],[po_line]]</f>
        <v>-2</v>
      </c>
      <c r="O90" s="89">
        <v>2</v>
      </c>
      <c r="P90" s="50"/>
      <c r="Q90" s="47" t="s">
        <v>797</v>
      </c>
      <c r="R90" s="47" t="s">
        <v>3428</v>
      </c>
      <c r="S90" s="43" t="s">
        <v>12</v>
      </c>
      <c r="T90" s="51">
        <v>45448</v>
      </c>
      <c r="U90" s="52">
        <v>48</v>
      </c>
      <c r="V90" s="47">
        <v>12</v>
      </c>
      <c r="W90" s="116">
        <f t="shared" si="2"/>
        <v>4</v>
      </c>
      <c r="X90" s="53" t="str">
        <f t="shared" si="3"/>
        <v/>
      </c>
      <c r="Y90" s="68" t="s">
        <v>248</v>
      </c>
      <c r="Z90" s="25" t="s">
        <v>3409</v>
      </c>
      <c r="AA90" s="18" t="str" cm="1">
        <f t="array" ref="AA90">IF(P90="", "", _xlfn.XLOOKUP(P90,#REF!,#REF!,NA,0,-1))</f>
        <v/>
      </c>
      <c r="AB90" s="47"/>
      <c r="AC90" s="55" t="s">
        <v>3867</v>
      </c>
      <c r="AD90" s="55" t="str">
        <f>IF($AC90="","",_xlfn.XLOOKUP($AC90,'[2]Client Info'!$C$2:$C$2535,'[2]Client Info'!$D$2:$D$2535))</f>
        <v>55 Quarterman Road</v>
      </c>
      <c r="AE90" s="55" t="str">
        <f>IF($AC90="","",_xlfn.XLOOKUP($AC90,'[2]Client Info'!$C$2:$C$2715,'[2]Client Info'!$E$2:$E$2715))</f>
        <v>Guelph</v>
      </c>
      <c r="AF90" s="55" t="str">
        <f>IF($AC90="","",_xlfn.XLOOKUP($AC90,'[2]Client Info'!$C$2:$C$2715,'[2]Client Info'!$F$2:$F$2715))</f>
        <v>ON</v>
      </c>
      <c r="AG90" s="55" t="s">
        <v>37</v>
      </c>
      <c r="AH90" s="57">
        <v>23</v>
      </c>
      <c r="AI90" s="43" t="str">
        <f>_xlfn.XLOOKUP(Table26[[#This Row],[customerSKU]],customerSKU!G:G,customerSKU!O:O,"not found",0,1)</f>
        <v>not found</v>
      </c>
      <c r="AJ90" s="59">
        <f>Table26[[#This Row],[unitprice]]*Table26[[#This Row],[quantity_unit]]</f>
        <v>1104</v>
      </c>
      <c r="AK90" s="59" t="e" cm="1">
        <f t="array" ref="AK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" spans="1:37" s="53" customFormat="1" ht="18" customHeight="1">
      <c r="A91" s="42">
        <v>2151</v>
      </c>
      <c r="B91" s="42" t="s">
        <v>3520</v>
      </c>
      <c r="C91" s="43" t="s">
        <v>203</v>
      </c>
      <c r="D91" s="80"/>
      <c r="E91" s="45">
        <v>45516</v>
      </c>
      <c r="F91" s="78">
        <v>49314</v>
      </c>
      <c r="G91" s="46"/>
      <c r="H91" s="43" t="s">
        <v>3826</v>
      </c>
      <c r="I91" s="47" t="s">
        <v>3862</v>
      </c>
      <c r="J91" s="47" t="s">
        <v>603</v>
      </c>
      <c r="K91" s="48">
        <v>45506</v>
      </c>
      <c r="L91" s="49" t="s">
        <v>490</v>
      </c>
      <c r="M91" s="47"/>
      <c r="N91" s="89" t="str">
        <f>Table26[[#This Row],[po_number]]&amp;"-"&amp;Table26[[#This Row],[po_line]]</f>
        <v>-3</v>
      </c>
      <c r="O91" s="89">
        <v>3</v>
      </c>
      <c r="P91" s="50"/>
      <c r="Q91" s="47" t="s">
        <v>2029</v>
      </c>
      <c r="R91" s="47" t="s">
        <v>3428</v>
      </c>
      <c r="S91" s="43" t="s">
        <v>12</v>
      </c>
      <c r="T91" s="51">
        <v>45503</v>
      </c>
      <c r="U91" s="52">
        <v>60</v>
      </c>
      <c r="V91" s="47">
        <v>12</v>
      </c>
      <c r="W91" s="116">
        <f t="shared" si="2"/>
        <v>5</v>
      </c>
      <c r="X91" s="53" t="str">
        <f t="shared" si="3"/>
        <v/>
      </c>
      <c r="Y91" s="68" t="s">
        <v>246</v>
      </c>
      <c r="Z91" s="25" t="s">
        <v>3363</v>
      </c>
      <c r="AA91" s="18" t="str" cm="1">
        <f t="array" ref="AA91">IF(P91="", "", _xlfn.XLOOKUP(P91,#REF!,#REF!,NA,0,-1))</f>
        <v/>
      </c>
      <c r="AB91" s="47"/>
      <c r="AC91" s="55" t="s">
        <v>3867</v>
      </c>
      <c r="AD91" s="55" t="str">
        <f>IF($AC91="","",_xlfn.XLOOKUP($AC91,'[2]Client Info'!$C$2:$C$2535,'[2]Client Info'!$D$2:$D$2535))</f>
        <v>55 Quarterman Road</v>
      </c>
      <c r="AE91" s="55" t="str">
        <f>IF($AC91="","",_xlfn.XLOOKUP($AC91,'[2]Client Info'!$C$2:$C$2715,'[2]Client Info'!$E$2:$E$2715))</f>
        <v>Guelph</v>
      </c>
      <c r="AF91" s="55" t="str">
        <f>IF($AC91="","",_xlfn.XLOOKUP($AC91,'[2]Client Info'!$C$2:$C$2715,'[2]Client Info'!$F$2:$F$2715))</f>
        <v>ON</v>
      </c>
      <c r="AG91" s="55" t="s">
        <v>37</v>
      </c>
      <c r="AH91" s="57">
        <v>10.17</v>
      </c>
      <c r="AI91" s="43" t="str">
        <f>_xlfn.XLOOKUP(Table26[[#This Row],[customerSKU]],customerSKU!G:G,customerSKU!O:O,"not found",0,1)</f>
        <v>not found</v>
      </c>
      <c r="AJ91" s="59">
        <f>Table26[[#This Row],[unitprice]]*Table26[[#This Row],[quantity_unit]]</f>
        <v>610.20000000000005</v>
      </c>
      <c r="AK91" s="59" t="e" cm="1">
        <f t="array" ref="AK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" spans="1:37" s="53" customFormat="1" ht="18" customHeight="1">
      <c r="A92" s="42">
        <v>2152</v>
      </c>
      <c r="B92" s="42" t="s">
        <v>3520</v>
      </c>
      <c r="C92" s="43" t="s">
        <v>203</v>
      </c>
      <c r="D92" s="71"/>
      <c r="E92" s="71" t="s">
        <v>3908</v>
      </c>
      <c r="F92" s="79">
        <v>49647</v>
      </c>
      <c r="G92" s="46"/>
      <c r="H92" s="43" t="s">
        <v>3826</v>
      </c>
      <c r="I92" s="47" t="s">
        <v>3862</v>
      </c>
      <c r="J92" s="53" t="s">
        <v>603</v>
      </c>
      <c r="K92" s="48">
        <v>45506</v>
      </c>
      <c r="L92" s="49" t="s">
        <v>490</v>
      </c>
      <c r="M92" s="47"/>
      <c r="N92" s="89" t="str">
        <f>Table26[[#This Row],[po_number]]&amp;"-"&amp;Table26[[#This Row],[po_line]]</f>
        <v>-1</v>
      </c>
      <c r="O92" s="89">
        <v>1</v>
      </c>
      <c r="P92" s="50"/>
      <c r="Q92" s="47" t="s">
        <v>797</v>
      </c>
      <c r="R92" s="47" t="s">
        <v>3428</v>
      </c>
      <c r="S92" s="43" t="s">
        <v>12</v>
      </c>
      <c r="T92" s="51">
        <v>45448</v>
      </c>
      <c r="U92" s="52">
        <v>60</v>
      </c>
      <c r="V92" s="47">
        <v>12</v>
      </c>
      <c r="W92" s="116">
        <f t="shared" si="2"/>
        <v>5</v>
      </c>
      <c r="X92" s="53" t="str">
        <f t="shared" si="3"/>
        <v/>
      </c>
      <c r="Y92" s="68" t="s">
        <v>248</v>
      </c>
      <c r="Z92" s="25" t="s">
        <v>3409</v>
      </c>
      <c r="AA92" s="18" t="str" cm="1">
        <f t="array" ref="AA92">IF(P92="", "", _xlfn.XLOOKUP(P92,#REF!,#REF!,NA,0,-1))</f>
        <v/>
      </c>
      <c r="AB92" s="47"/>
      <c r="AC92" s="55" t="s">
        <v>3867</v>
      </c>
      <c r="AD92" s="55" t="str">
        <f>IF($AC92="","",_xlfn.XLOOKUP($AC92,'[2]Client Info'!$C$2:$C$2535,'[2]Client Info'!$D$2:$D$2535))</f>
        <v>55 Quarterman Road</v>
      </c>
      <c r="AE92" s="55" t="str">
        <f>IF($AC92="","",_xlfn.XLOOKUP($AC92,'[2]Client Info'!$C$2:$C$2715,'[2]Client Info'!$E$2:$E$2715))</f>
        <v>Guelph</v>
      </c>
      <c r="AF92" s="55" t="str">
        <f>IF($AC92="","",_xlfn.XLOOKUP($AC92,'[2]Client Info'!$C$2:$C$2715,'[2]Client Info'!$F$2:$F$2715))</f>
        <v>ON</v>
      </c>
      <c r="AG92" s="55" t="s">
        <v>37</v>
      </c>
      <c r="AH92" s="57">
        <v>23</v>
      </c>
      <c r="AI92" s="43" t="str">
        <f>_xlfn.XLOOKUP(Table26[[#This Row],[customerSKU]],customerSKU!G:G,customerSKU!O:O,"not found",0,1)</f>
        <v>not found</v>
      </c>
      <c r="AJ92" s="59">
        <f>Table26[[#This Row],[unitprice]]*Table26[[#This Row],[quantity_unit]]</f>
        <v>1380</v>
      </c>
      <c r="AK92" s="59" t="e" cm="1">
        <f t="array" ref="AK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" spans="1:37" s="53" customFormat="1" ht="24.6" customHeight="1">
      <c r="A93" s="42">
        <v>2153</v>
      </c>
      <c r="B93" s="42" t="s">
        <v>3520</v>
      </c>
      <c r="C93" s="43" t="s">
        <v>203</v>
      </c>
      <c r="D93" s="71"/>
      <c r="E93" s="71" t="s">
        <v>3908</v>
      </c>
      <c r="F93" s="79">
        <v>49647</v>
      </c>
      <c r="G93" s="46"/>
      <c r="H93" s="43" t="s">
        <v>3826</v>
      </c>
      <c r="I93" s="47" t="s">
        <v>3862</v>
      </c>
      <c r="J93" s="53" t="s">
        <v>603</v>
      </c>
      <c r="K93" s="48">
        <v>45506</v>
      </c>
      <c r="L93" s="49" t="s">
        <v>490</v>
      </c>
      <c r="M93" s="47"/>
      <c r="N93" s="89" t="str">
        <f>Table26[[#This Row],[po_number]]&amp;"-"&amp;Table26[[#This Row],[po_line]]</f>
        <v>-2</v>
      </c>
      <c r="O93" s="89">
        <v>2</v>
      </c>
      <c r="P93" s="50"/>
      <c r="Q93" s="47" t="s">
        <v>2029</v>
      </c>
      <c r="R93" s="47" t="s">
        <v>3428</v>
      </c>
      <c r="S93" s="43" t="s">
        <v>12</v>
      </c>
      <c r="T93" s="51">
        <v>45503</v>
      </c>
      <c r="U93" s="52">
        <v>348</v>
      </c>
      <c r="V93" s="47">
        <v>12</v>
      </c>
      <c r="W93" s="116">
        <f t="shared" si="2"/>
        <v>29</v>
      </c>
      <c r="X93" s="53" t="str">
        <f t="shared" si="3"/>
        <v/>
      </c>
      <c r="Y93" s="68" t="s">
        <v>246</v>
      </c>
      <c r="Z93" s="25" t="s">
        <v>3363</v>
      </c>
      <c r="AA93" s="18" t="str" cm="1">
        <f t="array" ref="AA93">IF(P93="", "", _xlfn.XLOOKUP(P93,#REF!,#REF!,NA,0,-1))</f>
        <v/>
      </c>
      <c r="AB93" s="47"/>
      <c r="AC93" s="55" t="s">
        <v>3867</v>
      </c>
      <c r="AD93" s="55" t="str">
        <f>IF($AC93="","",_xlfn.XLOOKUP($AC93,'[2]Client Info'!$C$2:$C$2535,'[2]Client Info'!$D$2:$D$2535))</f>
        <v>55 Quarterman Road</v>
      </c>
      <c r="AE93" s="55" t="str">
        <f>IF($AC93="","",_xlfn.XLOOKUP($AC93,'[2]Client Info'!$C$2:$C$2715,'[2]Client Info'!$E$2:$E$2715))</f>
        <v>Guelph</v>
      </c>
      <c r="AF93" s="55" t="str">
        <f>IF($AC93="","",_xlfn.XLOOKUP($AC93,'[2]Client Info'!$C$2:$C$2715,'[2]Client Info'!$F$2:$F$2715))</f>
        <v>ON</v>
      </c>
      <c r="AG93" s="55" t="s">
        <v>37</v>
      </c>
      <c r="AH93" s="57">
        <v>10.17</v>
      </c>
      <c r="AI93" s="43" t="str">
        <f>_xlfn.XLOOKUP(Table26[[#This Row],[customerSKU]],customerSKU!G:G,customerSKU!O:O,"not found",0,1)</f>
        <v>not found</v>
      </c>
      <c r="AJ93" s="59">
        <f>Table26[[#This Row],[unitprice]]*Table26[[#This Row],[quantity_unit]]</f>
        <v>3539.16</v>
      </c>
      <c r="AK93" s="59" t="e" cm="1">
        <f t="array" ref="AK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" spans="1:37" s="53" customFormat="1" ht="24.6" customHeight="1">
      <c r="A94" s="42">
        <v>2154</v>
      </c>
      <c r="B94" s="42" t="s">
        <v>3520</v>
      </c>
      <c r="C94" s="43" t="s">
        <v>203</v>
      </c>
      <c r="D94" s="71"/>
      <c r="E94" s="71" t="s">
        <v>3909</v>
      </c>
      <c r="F94" s="84">
        <v>49914</v>
      </c>
      <c r="G94" s="46"/>
      <c r="H94" s="43" t="s">
        <v>3826</v>
      </c>
      <c r="I94" s="47" t="s">
        <v>3862</v>
      </c>
      <c r="J94" s="53" t="s">
        <v>603</v>
      </c>
      <c r="K94" s="48">
        <v>45506</v>
      </c>
      <c r="L94" s="49" t="s">
        <v>490</v>
      </c>
      <c r="M94" s="47"/>
      <c r="N94" s="89" t="str">
        <f>Table26[[#This Row],[po_number]]&amp;"-"&amp;Table26[[#This Row],[po_line]]</f>
        <v>-1</v>
      </c>
      <c r="O94" s="89">
        <v>1</v>
      </c>
      <c r="P94" s="50"/>
      <c r="Q94" s="47" t="s">
        <v>797</v>
      </c>
      <c r="R94" s="47" t="s">
        <v>3428</v>
      </c>
      <c r="S94" s="43" t="s">
        <v>12</v>
      </c>
      <c r="T94" s="51" t="s">
        <v>3910</v>
      </c>
      <c r="U94" s="52">
        <v>48</v>
      </c>
      <c r="V94" s="47">
        <v>12</v>
      </c>
      <c r="W94" s="116">
        <f t="shared" si="2"/>
        <v>4</v>
      </c>
      <c r="X94" s="53" t="str">
        <f t="shared" si="3"/>
        <v/>
      </c>
      <c r="Y94" s="68" t="s">
        <v>248</v>
      </c>
      <c r="Z94" s="25" t="s">
        <v>3409</v>
      </c>
      <c r="AA94" s="18" t="str" cm="1">
        <f t="array" ref="AA94">IF(P94="", "", _xlfn.XLOOKUP(P94,#REF!,#REF!,NA,0,-1))</f>
        <v/>
      </c>
      <c r="AB94" s="47"/>
      <c r="AC94" s="55" t="s">
        <v>3867</v>
      </c>
      <c r="AD94" s="55" t="str">
        <f>IF($AC94="","",_xlfn.XLOOKUP($AC94,'[2]Client Info'!$C$2:$C$2535,'[2]Client Info'!$D$2:$D$2535))</f>
        <v>55 Quarterman Road</v>
      </c>
      <c r="AE94" s="55" t="str">
        <f>IF($AC94="","",_xlfn.XLOOKUP($AC94,'[2]Client Info'!$C$2:$C$2715,'[2]Client Info'!$E$2:$E$2715))</f>
        <v>Guelph</v>
      </c>
      <c r="AF94" s="55" t="str">
        <f>IF($AC94="","",_xlfn.XLOOKUP($AC94,'[2]Client Info'!$C$2:$C$2715,'[2]Client Info'!$F$2:$F$2715))</f>
        <v>ON</v>
      </c>
      <c r="AG94" s="55" t="s">
        <v>37</v>
      </c>
      <c r="AH94" s="57">
        <v>23</v>
      </c>
      <c r="AI94" s="43" t="str">
        <f>_xlfn.XLOOKUP(Table26[[#This Row],[customerSKU]],customerSKU!G:G,customerSKU!O:O,"not found",0,1)</f>
        <v>not found</v>
      </c>
      <c r="AJ94" s="59">
        <f>Table26[[#This Row],[unitprice]]*Table26[[#This Row],[quantity_unit]]</f>
        <v>1104</v>
      </c>
      <c r="AK94" s="59" t="e" cm="1">
        <f t="array" ref="AK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" spans="1:37" s="53" customFormat="1" ht="24.6" customHeight="1">
      <c r="A95" s="42">
        <v>2155</v>
      </c>
      <c r="B95" s="42" t="s">
        <v>3520</v>
      </c>
      <c r="C95" s="43" t="s">
        <v>203</v>
      </c>
      <c r="D95" s="71"/>
      <c r="E95" s="71" t="s">
        <v>3909</v>
      </c>
      <c r="F95" s="84">
        <v>49914</v>
      </c>
      <c r="G95" s="46"/>
      <c r="H95" s="43" t="s">
        <v>3826</v>
      </c>
      <c r="I95" s="47" t="s">
        <v>3862</v>
      </c>
      <c r="J95" s="53" t="s">
        <v>603</v>
      </c>
      <c r="K95" s="48">
        <v>45506</v>
      </c>
      <c r="L95" s="49" t="s">
        <v>490</v>
      </c>
      <c r="M95" s="47"/>
      <c r="N95" s="89" t="str">
        <f>Table26[[#This Row],[po_number]]&amp;"-"&amp;Table26[[#This Row],[po_line]]</f>
        <v>-2</v>
      </c>
      <c r="O95" s="89">
        <v>2</v>
      </c>
      <c r="P95" s="50"/>
      <c r="Q95" s="47" t="s">
        <v>2029</v>
      </c>
      <c r="R95" s="47" t="s">
        <v>3428</v>
      </c>
      <c r="S95" s="43" t="s">
        <v>12</v>
      </c>
      <c r="T95" s="51">
        <v>45503</v>
      </c>
      <c r="U95" s="52">
        <v>60</v>
      </c>
      <c r="V95" s="47">
        <v>12</v>
      </c>
      <c r="W95" s="116">
        <f t="shared" si="2"/>
        <v>5</v>
      </c>
      <c r="X95" s="53" t="str">
        <f t="shared" si="3"/>
        <v/>
      </c>
      <c r="Y95" s="68" t="s">
        <v>246</v>
      </c>
      <c r="Z95" s="25" t="s">
        <v>3363</v>
      </c>
      <c r="AA95" s="18" t="str" cm="1">
        <f t="array" ref="AA95">IF(P95="", "", _xlfn.XLOOKUP(P95,#REF!,#REF!,NA,0,-1))</f>
        <v/>
      </c>
      <c r="AB95" s="47"/>
      <c r="AC95" s="55" t="s">
        <v>3867</v>
      </c>
      <c r="AD95" s="55" t="str">
        <f>IF($AC95="","",_xlfn.XLOOKUP($AC95,'[2]Client Info'!$C$2:$C$2535,'[2]Client Info'!$D$2:$D$2535))</f>
        <v>55 Quarterman Road</v>
      </c>
      <c r="AE95" s="55" t="str">
        <f>IF($AC95="","",_xlfn.XLOOKUP($AC95,'[2]Client Info'!$C$2:$C$2715,'[2]Client Info'!$E$2:$E$2715))</f>
        <v>Guelph</v>
      </c>
      <c r="AF95" s="55" t="str">
        <f>IF($AC95="","",_xlfn.XLOOKUP($AC95,'[2]Client Info'!$C$2:$C$2715,'[2]Client Info'!$F$2:$F$2715))</f>
        <v>ON</v>
      </c>
      <c r="AG95" s="55" t="s">
        <v>37</v>
      </c>
      <c r="AH95" s="57">
        <v>10.17</v>
      </c>
      <c r="AI95" s="43" t="str">
        <f>_xlfn.XLOOKUP(Table26[[#This Row],[customerSKU]],customerSKU!G:G,customerSKU!O:O,"not found",0,1)</f>
        <v>not found</v>
      </c>
      <c r="AJ95" s="59">
        <f>Table26[[#This Row],[unitprice]]*Table26[[#This Row],[quantity_unit]]</f>
        <v>610.20000000000005</v>
      </c>
      <c r="AK95" s="59" t="e" cm="1">
        <f t="array" ref="AK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" spans="1:37" s="53" customFormat="1" ht="24.6" customHeight="1">
      <c r="A96" s="42">
        <v>2156</v>
      </c>
      <c r="B96" s="64" t="s">
        <v>3520</v>
      </c>
      <c r="C96" s="43" t="s">
        <v>203</v>
      </c>
      <c r="D96" s="71"/>
      <c r="E96" s="85" t="s">
        <v>3911</v>
      </c>
      <c r="F96" s="59">
        <v>50337</v>
      </c>
      <c r="G96" s="46"/>
      <c r="H96" s="43" t="s">
        <v>3826</v>
      </c>
      <c r="I96" s="47" t="s">
        <v>3862</v>
      </c>
      <c r="J96" s="53" t="s">
        <v>603</v>
      </c>
      <c r="K96" s="48">
        <v>45506</v>
      </c>
      <c r="L96" s="49" t="s">
        <v>490</v>
      </c>
      <c r="M96" s="47"/>
      <c r="N96" s="89" t="str">
        <f>Table26[[#This Row],[po_number]]&amp;"-"&amp;Table26[[#This Row],[po_line]]</f>
        <v>-1</v>
      </c>
      <c r="O96" s="89">
        <v>1</v>
      </c>
      <c r="P96" s="50"/>
      <c r="Q96" s="47" t="s">
        <v>797</v>
      </c>
      <c r="R96" s="47" t="s">
        <v>3428</v>
      </c>
      <c r="S96" s="43" t="s">
        <v>12</v>
      </c>
      <c r="T96" s="51">
        <v>45448</v>
      </c>
      <c r="U96" s="52">
        <v>120</v>
      </c>
      <c r="V96" s="47">
        <v>12</v>
      </c>
      <c r="W96" s="116">
        <f t="shared" si="2"/>
        <v>10</v>
      </c>
      <c r="X96" s="53" t="str">
        <f t="shared" si="3"/>
        <v/>
      </c>
      <c r="Y96" s="68" t="s">
        <v>248</v>
      </c>
      <c r="Z96" s="25" t="s">
        <v>3409</v>
      </c>
      <c r="AA96" s="18" t="str" cm="1">
        <f t="array" ref="AA96">IF(P96="", "", _xlfn.XLOOKUP(P96,#REF!,#REF!,NA,0,-1))</f>
        <v/>
      </c>
      <c r="AB96" s="47"/>
      <c r="AC96" s="55" t="s">
        <v>3867</v>
      </c>
      <c r="AD96" s="55" t="str">
        <f>IF($AC96="","",_xlfn.XLOOKUP($AC96,'[2]Client Info'!$C$2:$C$2535,'[2]Client Info'!$D$2:$D$2535))</f>
        <v>55 Quarterman Road</v>
      </c>
      <c r="AE96" s="55" t="str">
        <f>IF($AC96="","",_xlfn.XLOOKUP($AC96,'[2]Client Info'!$C$2:$C$2715,'[2]Client Info'!$E$2:$E$2715))</f>
        <v>Guelph</v>
      </c>
      <c r="AF96" s="55" t="str">
        <f>IF($AC96="","",_xlfn.XLOOKUP($AC96,'[2]Client Info'!$C$2:$C$2715,'[2]Client Info'!$F$2:$F$2715))</f>
        <v>ON</v>
      </c>
      <c r="AG96" s="55" t="s">
        <v>37</v>
      </c>
      <c r="AH96" s="57">
        <v>23</v>
      </c>
      <c r="AI96" s="43" t="str">
        <f>_xlfn.XLOOKUP(Table26[[#This Row],[customerSKU]],customerSKU!G:G,customerSKU!O:O,"not found",0,1)</f>
        <v>not found</v>
      </c>
      <c r="AJ96" s="59">
        <f>Table26[[#This Row],[unitprice]]*Table26[[#This Row],[quantity_unit]]</f>
        <v>2760</v>
      </c>
      <c r="AK96" s="59" t="e" cm="1">
        <f t="array" ref="AK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" spans="1:37" s="53" customFormat="1" ht="24.6" customHeight="1">
      <c r="A97" s="42">
        <v>2157</v>
      </c>
      <c r="B97" s="64" t="s">
        <v>3520</v>
      </c>
      <c r="C97" s="43" t="s">
        <v>203</v>
      </c>
      <c r="D97" s="71"/>
      <c r="E97" s="85" t="s">
        <v>3911</v>
      </c>
      <c r="F97" s="86">
        <v>50337</v>
      </c>
      <c r="G97" s="46"/>
      <c r="H97" s="43" t="s">
        <v>3826</v>
      </c>
      <c r="I97" s="47" t="s">
        <v>3862</v>
      </c>
      <c r="J97" s="53" t="s">
        <v>603</v>
      </c>
      <c r="K97" s="48">
        <v>45506</v>
      </c>
      <c r="L97" s="49" t="s">
        <v>490</v>
      </c>
      <c r="M97" s="47"/>
      <c r="N97" s="89" t="str">
        <f>Table26[[#This Row],[po_number]]&amp;"-"&amp;Table26[[#This Row],[po_line]]</f>
        <v>-2</v>
      </c>
      <c r="O97" s="89">
        <v>2</v>
      </c>
      <c r="P97" s="50"/>
      <c r="Q97" s="47" t="s">
        <v>2029</v>
      </c>
      <c r="R97" s="47" t="s">
        <v>3428</v>
      </c>
      <c r="S97" s="43" t="s">
        <v>12</v>
      </c>
      <c r="T97" s="51">
        <v>45503</v>
      </c>
      <c r="U97" s="52">
        <v>84</v>
      </c>
      <c r="V97" s="47">
        <v>12</v>
      </c>
      <c r="W97" s="116">
        <f t="shared" si="2"/>
        <v>7</v>
      </c>
      <c r="X97" s="53" t="str">
        <f t="shared" si="3"/>
        <v/>
      </c>
      <c r="Y97" s="68" t="s">
        <v>246</v>
      </c>
      <c r="Z97" s="25" t="s">
        <v>3363</v>
      </c>
      <c r="AA97" s="18" t="str" cm="1">
        <f t="array" ref="AA97">IF(P97="", "", _xlfn.XLOOKUP(P97,#REF!,#REF!,NA,0,-1))</f>
        <v/>
      </c>
      <c r="AB97" s="47"/>
      <c r="AC97" s="55" t="s">
        <v>3867</v>
      </c>
      <c r="AD97" s="55" t="str">
        <f>IF($AC97="","",_xlfn.XLOOKUP($AC97,'[2]Client Info'!$C$2:$C$2535,'[2]Client Info'!$D$2:$D$2535))</f>
        <v>55 Quarterman Road</v>
      </c>
      <c r="AE97" s="55" t="str">
        <f>IF($AC97="","",_xlfn.XLOOKUP($AC97,'[2]Client Info'!$C$2:$C$2715,'[2]Client Info'!$E$2:$E$2715))</f>
        <v>Guelph</v>
      </c>
      <c r="AF97" s="55" t="str">
        <f>IF($AC97="","",_xlfn.XLOOKUP($AC97,'[2]Client Info'!$C$2:$C$2715,'[2]Client Info'!$F$2:$F$2715))</f>
        <v>ON</v>
      </c>
      <c r="AG97" s="55" t="s">
        <v>37</v>
      </c>
      <c r="AH97" s="57">
        <v>10.17</v>
      </c>
      <c r="AI97" s="43" t="str">
        <f>_xlfn.XLOOKUP(Table26[[#This Row],[customerSKU]],customerSKU!G:G,customerSKU!O:O,"not found",0,1)</f>
        <v>not found</v>
      </c>
      <c r="AJ97" s="59">
        <f>Table26[[#This Row],[unitprice]]*Table26[[#This Row],[quantity_unit]]</f>
        <v>854.28</v>
      </c>
      <c r="AK97" s="59" t="e" cm="1">
        <f t="array" ref="AK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" spans="1:37" s="53" customFormat="1" ht="24.6" customHeight="1">
      <c r="A98" s="42">
        <v>2158</v>
      </c>
      <c r="B98" s="244" t="s">
        <v>3837</v>
      </c>
      <c r="C98" s="229" t="s">
        <v>203</v>
      </c>
      <c r="D98" s="240"/>
      <c r="E98" s="240" t="e">
        <f>IF(#REF!&gt;0,#REF!,"")</f>
        <v>#REF!</v>
      </c>
      <c r="F98" s="90"/>
      <c r="G98" s="119"/>
      <c r="H98" s="241"/>
      <c r="I98" s="231" t="s">
        <v>3862</v>
      </c>
      <c r="J98" s="90" t="s">
        <v>503</v>
      </c>
      <c r="K98" s="232">
        <v>45506</v>
      </c>
      <c r="L98" s="233" t="s">
        <v>504</v>
      </c>
      <c r="M98" s="241"/>
      <c r="N98" s="267" t="str">
        <f>Table26[[#This Row],[po_number]]&amp;"-"&amp;Table26[[#This Row],[po_line]]</f>
        <v>-1</v>
      </c>
      <c r="O98" s="267">
        <v>1</v>
      </c>
      <c r="P98" s="234"/>
      <c r="Q98" s="241" t="s">
        <v>885</v>
      </c>
      <c r="R98" s="241" t="s">
        <v>3428</v>
      </c>
      <c r="S98" s="241" t="s">
        <v>13</v>
      </c>
      <c r="T98" s="20">
        <v>45423</v>
      </c>
      <c r="U98" s="236">
        <v>48</v>
      </c>
      <c r="V98" s="241">
        <v>12</v>
      </c>
      <c r="W98" s="237">
        <f t="shared" si="2"/>
        <v>4</v>
      </c>
      <c r="X98" s="90" t="str">
        <f t="shared" si="3"/>
        <v/>
      </c>
      <c r="Y98" s="241"/>
      <c r="Z98" s="60"/>
      <c r="AA98" s="18" t="str" cm="1">
        <f t="array" ref="AA98">IF(P98="", "", _xlfn.XLOOKUP(P98,#REF!,#REF!,NA,0,-1))</f>
        <v/>
      </c>
      <c r="AB98" s="231"/>
      <c r="AC98" s="55" t="s">
        <v>4070</v>
      </c>
      <c r="AD98" s="55" t="str">
        <f>IF($AC98="","",_xlfn.XLOOKUP($AC98,'[2]Client Info'!$C$2:$C$2535,'[2]Client Info'!$D$2:$D$2535))</f>
        <v>1502 BROADWAY ST #3120</v>
      </c>
      <c r="AE98" s="55" t="str">
        <f>IF($AC98="","",_xlfn.XLOOKUP($AC98,'[2]Client Info'!$C$2:$C$2715,'[2]Client Info'!$E$2:$E$2715))</f>
        <v>PORT COQUITLAM</v>
      </c>
      <c r="AF98" s="55" t="str">
        <f>IF($AC98="","",_xlfn.XLOOKUP($AC98,'[2]Client Info'!$C$2:$C$2715,'[2]Client Info'!$F$2:$F$2715))</f>
        <v xml:space="preserve">BC </v>
      </c>
      <c r="AG98" s="55" t="s">
        <v>39</v>
      </c>
      <c r="AH98" s="245">
        <f>239.88/12</f>
        <v>19.989999999999998</v>
      </c>
      <c r="AI98" s="43" t="str">
        <f>_xlfn.XLOOKUP(Table26[[#This Row],[customerSKU]],customerSKU!G:G,customerSKU!O:O,"not found",0,1)</f>
        <v>not found</v>
      </c>
      <c r="AJ98" s="53">
        <f>Table26[[#This Row],[unitprice]]*Table26[[#This Row],[quantity_unit]]</f>
        <v>959.52</v>
      </c>
      <c r="AK98" s="53" cm="1">
        <f t="array" ref="AK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1007.496</v>
      </c>
    </row>
    <row r="99" spans="1:37" s="53" customFormat="1" ht="24.6" customHeight="1">
      <c r="A99" s="42">
        <v>2159</v>
      </c>
      <c r="B99" s="244" t="s">
        <v>3837</v>
      </c>
      <c r="C99" s="229" t="s">
        <v>203</v>
      </c>
      <c r="D99" s="240"/>
      <c r="E99" s="240" t="e">
        <f>IF(#REF!&gt;0,#REF!,"")</f>
        <v>#REF!</v>
      </c>
      <c r="F99" s="90"/>
      <c r="G99" s="119"/>
      <c r="H99" s="241"/>
      <c r="I99" s="231" t="s">
        <v>3862</v>
      </c>
      <c r="J99" s="90" t="s">
        <v>503</v>
      </c>
      <c r="K99" s="232">
        <v>45506</v>
      </c>
      <c r="L99" s="233" t="s">
        <v>504</v>
      </c>
      <c r="M99" s="241"/>
      <c r="N99" s="267" t="str">
        <f>Table26[[#This Row],[po_number]]&amp;"-"&amp;Table26[[#This Row],[po_line]]</f>
        <v>-2</v>
      </c>
      <c r="O99" s="267">
        <v>2</v>
      </c>
      <c r="P99" s="234"/>
      <c r="Q99" s="241" t="s">
        <v>3876</v>
      </c>
      <c r="R99" s="241" t="s">
        <v>3428</v>
      </c>
      <c r="S99" s="241" t="s">
        <v>13</v>
      </c>
      <c r="T99" s="20">
        <v>45491</v>
      </c>
      <c r="U99" s="236">
        <v>96</v>
      </c>
      <c r="V99" s="241">
        <v>12</v>
      </c>
      <c r="W99" s="237">
        <f t="shared" si="2"/>
        <v>8</v>
      </c>
      <c r="X99" s="90" t="str">
        <f t="shared" si="3"/>
        <v/>
      </c>
      <c r="Y99" s="241"/>
      <c r="Z99" s="60"/>
      <c r="AA99" s="18" t="str" cm="1">
        <f t="array" ref="AA99">IF(P99="", "", _xlfn.XLOOKUP(P99,#REF!,#REF!,NA,0,-1))</f>
        <v/>
      </c>
      <c r="AB99" s="231"/>
      <c r="AC99" s="55" t="s">
        <v>4070</v>
      </c>
      <c r="AD99" s="55" t="str">
        <f>IF($AC99="","",_xlfn.XLOOKUP($AC99,'[2]Client Info'!$C$2:$C$2535,'[2]Client Info'!$D$2:$D$2535))</f>
        <v>1502 BROADWAY ST #3120</v>
      </c>
      <c r="AE99" s="55" t="str">
        <f>IF($AC99="","",_xlfn.XLOOKUP($AC99,'[2]Client Info'!$C$2:$C$2715,'[2]Client Info'!$E$2:$E$2715))</f>
        <v>PORT COQUITLAM</v>
      </c>
      <c r="AF99" s="55" t="str">
        <f>IF($AC99="","",_xlfn.XLOOKUP($AC99,'[2]Client Info'!$C$2:$C$2715,'[2]Client Info'!$F$2:$F$2715))</f>
        <v xml:space="preserve">BC </v>
      </c>
      <c r="AG99" s="55" t="s">
        <v>39</v>
      </c>
      <c r="AH99" s="245">
        <f>151.68/12</f>
        <v>12.64</v>
      </c>
      <c r="AI99" s="43" t="str">
        <f>_xlfn.XLOOKUP(Table26[[#This Row],[customerSKU]],customerSKU!G:G,customerSKU!O:O,"not found",0,1)</f>
        <v>not found</v>
      </c>
      <c r="AJ99" s="53">
        <f>Table26[[#This Row],[unitprice]]*Table26[[#This Row],[quantity_unit]]</f>
        <v>1213.44</v>
      </c>
      <c r="AK99" s="53" cm="1">
        <f t="array" ref="AK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1274.1120000000001</v>
      </c>
    </row>
    <row r="100" spans="1:37" s="53" customFormat="1" ht="18" customHeight="1">
      <c r="A100" s="42">
        <v>2160</v>
      </c>
      <c r="B100" s="244" t="s">
        <v>3837</v>
      </c>
      <c r="C100" s="229" t="s">
        <v>203</v>
      </c>
      <c r="D100" s="240"/>
      <c r="E100" s="240" t="e">
        <f>IF(#REF!&gt;0,#REF!,"")</f>
        <v>#REF!</v>
      </c>
      <c r="F100" s="90"/>
      <c r="G100" s="119"/>
      <c r="H100" s="241"/>
      <c r="I100" s="231" t="s">
        <v>3862</v>
      </c>
      <c r="J100" s="90" t="s">
        <v>503</v>
      </c>
      <c r="K100" s="232">
        <v>45506</v>
      </c>
      <c r="L100" s="233" t="s">
        <v>504</v>
      </c>
      <c r="M100" s="241"/>
      <c r="N100" s="267" t="str">
        <f>Table26[[#This Row],[po_number]]&amp;"-"&amp;Table26[[#This Row],[po_line]]</f>
        <v>-3</v>
      </c>
      <c r="O100" s="267">
        <v>3</v>
      </c>
      <c r="P100" s="234"/>
      <c r="Q100" s="241" t="s">
        <v>4071</v>
      </c>
      <c r="R100" s="241" t="s">
        <v>3428</v>
      </c>
      <c r="S100" s="241" t="s">
        <v>13</v>
      </c>
      <c r="T100" s="20">
        <v>45497</v>
      </c>
      <c r="U100" s="236">
        <v>96</v>
      </c>
      <c r="V100" s="241">
        <v>12</v>
      </c>
      <c r="W100" s="237">
        <f t="shared" si="2"/>
        <v>8</v>
      </c>
      <c r="X100" s="90" t="str">
        <f t="shared" si="3"/>
        <v/>
      </c>
      <c r="Y100" s="241"/>
      <c r="Z100" s="60"/>
      <c r="AA100" s="18" t="str" cm="1">
        <f t="array" ref="AA100">IF(P100="", "", _xlfn.XLOOKUP(P100,#REF!,#REF!,NA,0,-1))</f>
        <v/>
      </c>
      <c r="AB100" s="231"/>
      <c r="AC100" s="55" t="s">
        <v>4070</v>
      </c>
      <c r="AD100" s="55" t="str">
        <f>IF($AC100="","",_xlfn.XLOOKUP($AC100,'[2]Client Info'!$C$2:$C$2535,'[2]Client Info'!$D$2:$D$2535))</f>
        <v>1502 BROADWAY ST #3120</v>
      </c>
      <c r="AE100" s="55" t="str">
        <f>IF($AC100="","",_xlfn.XLOOKUP($AC100,'[2]Client Info'!$C$2:$C$2715,'[2]Client Info'!$E$2:$E$2715))</f>
        <v>PORT COQUITLAM</v>
      </c>
      <c r="AF100" s="55" t="str">
        <f>IF($AC100="","",_xlfn.XLOOKUP($AC100,'[2]Client Info'!$C$2:$C$2715,'[2]Client Info'!$F$2:$F$2715))</f>
        <v xml:space="preserve">BC </v>
      </c>
      <c r="AG100" s="55" t="s">
        <v>39</v>
      </c>
      <c r="AH100" s="245">
        <f>130.92/12</f>
        <v>10.909999999999998</v>
      </c>
      <c r="AI100" s="43" t="str">
        <f>_xlfn.XLOOKUP(Table26[[#This Row],[customerSKU]],customerSKU!G:G,customerSKU!O:O,"not found",0,1)</f>
        <v>not found</v>
      </c>
      <c r="AJ100" s="53">
        <f>Table26[[#This Row],[unitprice]]*Table26[[#This Row],[quantity_unit]]</f>
        <v>1047.3599999999999</v>
      </c>
      <c r="AK100" s="53" cm="1">
        <f t="array" ref="AK1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1099.7279999999998</v>
      </c>
    </row>
    <row r="101" spans="1:37" s="53" customFormat="1" ht="18" customHeight="1">
      <c r="A101" s="42">
        <v>2161</v>
      </c>
      <c r="B101" s="244" t="s">
        <v>3837</v>
      </c>
      <c r="C101" s="229" t="s">
        <v>203</v>
      </c>
      <c r="D101" s="240"/>
      <c r="E101" s="240" t="e">
        <f>IF(#REF!&gt;0,#REF!,"")</f>
        <v>#REF!</v>
      </c>
      <c r="F101" s="90"/>
      <c r="G101" s="119"/>
      <c r="H101" s="241"/>
      <c r="I101" s="231" t="s">
        <v>3862</v>
      </c>
      <c r="J101" s="90" t="s">
        <v>503</v>
      </c>
      <c r="K101" s="232">
        <v>45506</v>
      </c>
      <c r="L101" s="233" t="s">
        <v>504</v>
      </c>
      <c r="M101" s="241"/>
      <c r="N101" s="267" t="str">
        <f>Table26[[#This Row],[po_number]]&amp;"-"&amp;Table26[[#This Row],[po_line]]</f>
        <v>-4</v>
      </c>
      <c r="O101" s="267">
        <v>4</v>
      </c>
      <c r="P101" s="234"/>
      <c r="Q101" s="241" t="s">
        <v>3865</v>
      </c>
      <c r="R101" s="241" t="s">
        <v>3428</v>
      </c>
      <c r="S101" s="241" t="s">
        <v>13</v>
      </c>
      <c r="T101" s="20">
        <v>45497</v>
      </c>
      <c r="U101" s="236">
        <v>96</v>
      </c>
      <c r="V101" s="241">
        <v>12</v>
      </c>
      <c r="W101" s="237">
        <f t="shared" si="2"/>
        <v>8</v>
      </c>
      <c r="X101" s="90" t="str">
        <f t="shared" si="3"/>
        <v/>
      </c>
      <c r="Y101" s="241"/>
      <c r="Z101" s="60"/>
      <c r="AA101" s="18" t="str" cm="1">
        <f t="array" ref="AA101">IF(P101="", "", _xlfn.XLOOKUP(P101,#REF!,#REF!,NA,0,-1))</f>
        <v/>
      </c>
      <c r="AB101" s="231"/>
      <c r="AC101" s="55" t="s">
        <v>4070</v>
      </c>
      <c r="AD101" s="55" t="str">
        <f>IF($AC101="","",_xlfn.XLOOKUP($AC101,'[2]Client Info'!$C$2:$C$2535,'[2]Client Info'!$D$2:$D$2535))</f>
        <v>1502 BROADWAY ST #3120</v>
      </c>
      <c r="AE101" s="55" t="str">
        <f>IF($AC101="","",_xlfn.XLOOKUP($AC101,'[2]Client Info'!$C$2:$C$2715,'[2]Client Info'!$E$2:$E$2715))</f>
        <v>PORT COQUITLAM</v>
      </c>
      <c r="AF101" s="55" t="str">
        <f>IF($AC101="","",_xlfn.XLOOKUP($AC101,'[2]Client Info'!$C$2:$C$2715,'[2]Client Info'!$F$2:$F$2715))</f>
        <v xml:space="preserve">BC </v>
      </c>
      <c r="AG101" s="55" t="s">
        <v>39</v>
      </c>
      <c r="AH101" s="245">
        <f>151.68/12</f>
        <v>12.64</v>
      </c>
      <c r="AI101" s="43" t="str">
        <f>_xlfn.XLOOKUP(Table26[[#This Row],[customerSKU]],customerSKU!G:G,customerSKU!O:O,"not found",0,1)</f>
        <v>not found</v>
      </c>
      <c r="AJ101" s="53">
        <f>Table26[[#This Row],[unitprice]]*Table26[[#This Row],[quantity_unit]]</f>
        <v>1213.44</v>
      </c>
      <c r="AK101" s="53" cm="1">
        <f t="array" ref="AK1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1274.1120000000001</v>
      </c>
    </row>
    <row r="102" spans="1:37" s="53" customFormat="1" ht="18" customHeight="1">
      <c r="A102" s="42">
        <v>2146</v>
      </c>
      <c r="B102" s="64" t="s">
        <v>3520</v>
      </c>
      <c r="C102" s="72" t="s">
        <v>203</v>
      </c>
      <c r="D102" s="71"/>
      <c r="E102" s="71" t="e">
        <f>IF(#REF!&gt;0,#REF!,"")</f>
        <v>#REF!</v>
      </c>
      <c r="G102" s="46"/>
      <c r="H102" s="59"/>
      <c r="I102" s="53" t="s">
        <v>3862</v>
      </c>
      <c r="J102" s="53" t="s">
        <v>3979</v>
      </c>
      <c r="K102" s="48">
        <v>45510</v>
      </c>
      <c r="L102" s="49" t="s">
        <v>201</v>
      </c>
      <c r="M102" s="72"/>
      <c r="N102" s="352" t="str">
        <f>Table26[[#This Row],[po_number]]&amp;"-"&amp;Table26[[#This Row],[po_line]]</f>
        <v>-1</v>
      </c>
      <c r="O102" s="352">
        <v>1</v>
      </c>
      <c r="P102" s="50"/>
      <c r="Q102" s="59" t="s">
        <v>3981</v>
      </c>
      <c r="R102" s="72" t="s">
        <v>3794</v>
      </c>
      <c r="S102" s="59"/>
      <c r="T102" s="20"/>
      <c r="U102" s="52">
        <v>273</v>
      </c>
      <c r="W102" s="116" t="str">
        <f t="shared" si="2"/>
        <v/>
      </c>
      <c r="X102" s="53" t="str">
        <f t="shared" si="3"/>
        <v/>
      </c>
      <c r="Y102" s="59"/>
      <c r="Z102" s="60"/>
      <c r="AA102" s="18" t="str" cm="1">
        <f t="array" ref="AA102">IF(P102="", "", _xlfn.XLOOKUP(P102,#REF!,#REF!,NA,0,-1))</f>
        <v/>
      </c>
      <c r="AB102" s="47"/>
      <c r="AC102" s="55" t="s">
        <v>3509</v>
      </c>
      <c r="AD102" s="55" t="str">
        <f>IF($AC102="","",_xlfn.XLOOKUP($AC102,'[2]Client Info'!$C$2:$C$2535,'[2]Client Info'!$D$2:$D$2535))</f>
        <v>#201 – 1420 Alpha Lake Road</v>
      </c>
      <c r="AE102" s="55" t="str">
        <f>IF($AC102="","",_xlfn.XLOOKUP($AC102,'[2]Client Info'!$C$2:$C$2715,'[2]Client Info'!$E$2:$E$2715))</f>
        <v>Whistler</v>
      </c>
      <c r="AF102" s="55" t="str">
        <f>IF($AC102="","",_xlfn.XLOOKUP($AC102,'[2]Client Info'!$C$2:$C$2715,'[2]Client Info'!$F$2:$F$2715))</f>
        <v>BC</v>
      </c>
      <c r="AG102" s="55" t="s">
        <v>16</v>
      </c>
      <c r="AH102" s="62">
        <v>0</v>
      </c>
      <c r="AI102" s="43" t="str">
        <f>_xlfn.XLOOKUP(Table26[[#This Row],[customerSKU]],customerSKU!G:G,customerSKU!O:O,"not found",0,1)</f>
        <v>not found</v>
      </c>
      <c r="AJ102" s="53">
        <f>Table26[[#This Row],[unitprice]]*Table26[[#This Row],[quantity_unit]]</f>
        <v>0</v>
      </c>
      <c r="AK102" s="53" t="e" cm="1">
        <f t="array" ref="AK1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" spans="1:37" s="53" customFormat="1" ht="18" customHeight="1">
      <c r="A103" s="42">
        <v>2147</v>
      </c>
      <c r="B103" s="64" t="s">
        <v>3520</v>
      </c>
      <c r="C103" s="72" t="s">
        <v>203</v>
      </c>
      <c r="D103" s="71"/>
      <c r="E103" s="71" t="e">
        <f>IF(#REF!&gt;0,#REF!,"")</f>
        <v>#REF!</v>
      </c>
      <c r="G103" s="46"/>
      <c r="H103" s="72"/>
      <c r="I103" s="53" t="s">
        <v>3862</v>
      </c>
      <c r="J103" s="53" t="s">
        <v>3979</v>
      </c>
      <c r="K103" s="48">
        <v>45510</v>
      </c>
      <c r="L103" s="49" t="s">
        <v>201</v>
      </c>
      <c r="M103" s="72"/>
      <c r="N103" s="352" t="str">
        <f>Table26[[#This Row],[po_number]]&amp;"-"&amp;Table26[[#This Row],[po_line]]</f>
        <v>-2</v>
      </c>
      <c r="O103" s="352">
        <v>2</v>
      </c>
      <c r="P103" s="50"/>
      <c r="Q103" s="72" t="s">
        <v>3515</v>
      </c>
      <c r="R103" s="72" t="s">
        <v>3794</v>
      </c>
      <c r="S103" s="72"/>
      <c r="T103" s="20"/>
      <c r="U103" s="52">
        <v>565</v>
      </c>
      <c r="V103" s="72"/>
      <c r="W103" s="116" t="str">
        <f t="shared" si="2"/>
        <v/>
      </c>
      <c r="X103" s="53" t="str">
        <f t="shared" si="3"/>
        <v/>
      </c>
      <c r="Y103" s="72"/>
      <c r="Z103" s="60"/>
      <c r="AA103" s="18" t="str" cm="1">
        <f t="array" ref="AA103">IF(P103="", "", _xlfn.XLOOKUP(P103,#REF!,#REF!,NA,0,-1))</f>
        <v/>
      </c>
      <c r="AB103" s="47"/>
      <c r="AC103" s="55" t="s">
        <v>3509</v>
      </c>
      <c r="AD103" s="55" t="str">
        <f>IF($AC103="","",_xlfn.XLOOKUP($AC103,'[2]Client Info'!$C$2:$C$2535,'[2]Client Info'!$D$2:$D$2535))</f>
        <v>#201 – 1420 Alpha Lake Road</v>
      </c>
      <c r="AE103" s="55" t="str">
        <f>IF($AC103="","",_xlfn.XLOOKUP($AC103,'[2]Client Info'!$C$2:$C$2715,'[2]Client Info'!$E$2:$E$2715))</f>
        <v>Whistler</v>
      </c>
      <c r="AF103" s="55" t="str">
        <f>IF($AC103="","",_xlfn.XLOOKUP($AC103,'[2]Client Info'!$C$2:$C$2715,'[2]Client Info'!$F$2:$F$2715))</f>
        <v>BC</v>
      </c>
      <c r="AG103" s="55" t="s">
        <v>16</v>
      </c>
      <c r="AH103" s="62">
        <v>0</v>
      </c>
      <c r="AI103" s="43" t="str">
        <f>_xlfn.XLOOKUP(Table26[[#This Row],[customerSKU]],customerSKU!G:G,customerSKU!O:O,"not found",0,1)</f>
        <v>not found</v>
      </c>
      <c r="AJ103" s="53">
        <f>Table26[[#This Row],[unitprice]]*Table26[[#This Row],[quantity_unit]]</f>
        <v>0</v>
      </c>
      <c r="AK103" s="53" t="e" cm="1">
        <f t="array" ref="AK1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" spans="1:37" s="53" customFormat="1" ht="18" customHeight="1">
      <c r="A104" s="42">
        <v>2148</v>
      </c>
      <c r="B104" s="64" t="s">
        <v>3520</v>
      </c>
      <c r="C104" s="72" t="s">
        <v>203</v>
      </c>
      <c r="D104" s="71"/>
      <c r="E104" s="71" t="e">
        <f>IF(#REF!&gt;0,#REF!,"")</f>
        <v>#REF!</v>
      </c>
      <c r="G104" s="46"/>
      <c r="H104" s="59"/>
      <c r="I104" s="53" t="s">
        <v>3862</v>
      </c>
      <c r="J104" s="53" t="s">
        <v>3979</v>
      </c>
      <c r="K104" s="48">
        <v>45510</v>
      </c>
      <c r="L104" s="49" t="s">
        <v>201</v>
      </c>
      <c r="M104" s="72"/>
      <c r="N104" s="352" t="str">
        <f>Table26[[#This Row],[po_number]]&amp;"-"&amp;Table26[[#This Row],[po_line]]</f>
        <v>-3</v>
      </c>
      <c r="O104" s="352">
        <v>3</v>
      </c>
      <c r="P104" s="50"/>
      <c r="Q104" s="59" t="s">
        <v>3982</v>
      </c>
      <c r="R104" s="72" t="s">
        <v>3794</v>
      </c>
      <c r="S104" s="59"/>
      <c r="T104" s="20">
        <v>45318</v>
      </c>
      <c r="U104" s="52">
        <v>141</v>
      </c>
      <c r="W104" s="116" t="str">
        <f t="shared" si="2"/>
        <v/>
      </c>
      <c r="X104" s="53" t="str">
        <f t="shared" si="3"/>
        <v/>
      </c>
      <c r="Y104" s="59"/>
      <c r="Z104" s="60"/>
      <c r="AA104" s="18" t="str" cm="1">
        <f t="array" ref="AA104">IF(P104="", "", _xlfn.XLOOKUP(P104,#REF!,#REF!,NA,0,-1))</f>
        <v/>
      </c>
      <c r="AB104" s="47"/>
      <c r="AC104" s="55" t="s">
        <v>3509</v>
      </c>
      <c r="AD104" s="55" t="str">
        <f>IF($AC104="","",_xlfn.XLOOKUP($AC104,'[2]Client Info'!$C$2:$C$2535,'[2]Client Info'!$D$2:$D$2535))</f>
        <v>#201 – 1420 Alpha Lake Road</v>
      </c>
      <c r="AE104" s="55" t="str">
        <f>IF($AC104="","",_xlfn.XLOOKUP($AC104,'[2]Client Info'!$C$2:$C$2715,'[2]Client Info'!$E$2:$E$2715))</f>
        <v>Whistler</v>
      </c>
      <c r="AF104" s="55" t="str">
        <f>IF($AC104="","",_xlfn.XLOOKUP($AC104,'[2]Client Info'!$C$2:$C$2715,'[2]Client Info'!$F$2:$F$2715))</f>
        <v>BC</v>
      </c>
      <c r="AG104" s="55" t="s">
        <v>16</v>
      </c>
      <c r="AH104" s="62">
        <v>0</v>
      </c>
      <c r="AI104" s="43" t="str">
        <f>_xlfn.XLOOKUP(Table26[[#This Row],[customerSKU]],customerSKU!G:G,customerSKU!O:O,"not found",0,1)</f>
        <v>not found</v>
      </c>
      <c r="AJ104" s="53">
        <f>Table26[[#This Row],[unitprice]]*Table26[[#This Row],[quantity_unit]]</f>
        <v>0</v>
      </c>
      <c r="AK104" s="53" t="e" cm="1">
        <f t="array" ref="AK1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" spans="1:37" s="53" customFormat="1" ht="18" customHeight="1">
      <c r="A105" s="42">
        <v>2130</v>
      </c>
      <c r="B105" s="58" t="s">
        <v>3520</v>
      </c>
      <c r="C105" s="53" t="s">
        <v>203</v>
      </c>
      <c r="D105" s="51"/>
      <c r="E105" s="51"/>
      <c r="G105" s="46"/>
      <c r="I105" s="53" t="s">
        <v>3775</v>
      </c>
      <c r="J105" s="53" t="s">
        <v>3776</v>
      </c>
      <c r="K105" s="48">
        <v>45511</v>
      </c>
      <c r="L105" s="49" t="s">
        <v>201</v>
      </c>
      <c r="N105" s="77" t="str">
        <f>Table26[[#This Row],[po_number]]&amp;"-"&amp;Table26[[#This Row],[po_line]]</f>
        <v>-1</v>
      </c>
      <c r="O105" s="77">
        <v>1</v>
      </c>
      <c r="P105" s="50"/>
      <c r="Q105" s="53" t="s">
        <v>3777</v>
      </c>
      <c r="T105" s="51"/>
      <c r="U105" s="52">
        <v>290</v>
      </c>
      <c r="W105" s="116" t="str">
        <f t="shared" si="2"/>
        <v/>
      </c>
      <c r="X105" s="53" t="str">
        <f t="shared" si="3"/>
        <v/>
      </c>
      <c r="Z105" s="60"/>
      <c r="AA105" s="18" t="str" cm="1">
        <f t="array" ref="AA105">IF(P105="", "", _xlfn.XLOOKUP(P105,#REF!,#REF!,NA,0,-1))</f>
        <v/>
      </c>
      <c r="AB105" s="47"/>
      <c r="AC105" s="55" t="s">
        <v>3509</v>
      </c>
      <c r="AD105" s="55" t="str">
        <f>IF($AC105="","",_xlfn.XLOOKUP($AC105,'[2]Client Info'!$C$2:$C$2535,'[2]Client Info'!$D$2:$D$2535))</f>
        <v>#201 – 1420 Alpha Lake Road</v>
      </c>
      <c r="AE105" s="55" t="str">
        <f>IF($AC105="","",_xlfn.XLOOKUP($AC105,'[2]Client Info'!$C$2:$C$2715,'[2]Client Info'!$E$2:$E$2715))</f>
        <v>Whistler</v>
      </c>
      <c r="AF105" s="55" t="str">
        <f>IF($AC105="","",_xlfn.XLOOKUP($AC105,'[2]Client Info'!$C$2:$C$2715,'[2]Client Info'!$F$2:$F$2715))</f>
        <v>BC</v>
      </c>
      <c r="AG105" s="55" t="s">
        <v>3509</v>
      </c>
      <c r="AH105" s="62">
        <v>0</v>
      </c>
      <c r="AI105" s="43" t="str">
        <f>_xlfn.XLOOKUP(Table26[[#This Row],[customerSKU]],customerSKU!G:G,customerSKU!O:O,"not found",0,1)</f>
        <v>not found</v>
      </c>
      <c r="AJ105" s="53">
        <f>Table26[[#This Row],[unitprice]]*Table26[[#This Row],[quantity_unit]]</f>
        <v>0</v>
      </c>
      <c r="AK105" s="53" t="e" cm="1">
        <f t="array" ref="AK1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" spans="1:37" s="53" customFormat="1" ht="18" customHeight="1">
      <c r="A106" s="42">
        <v>2131</v>
      </c>
      <c r="B106" s="58" t="s">
        <v>3520</v>
      </c>
      <c r="C106" s="53" t="s">
        <v>203</v>
      </c>
      <c r="D106" s="51"/>
      <c r="E106" s="51"/>
      <c r="G106" s="46"/>
      <c r="I106" s="53" t="s">
        <v>3775</v>
      </c>
      <c r="J106" s="53" t="s">
        <v>3776</v>
      </c>
      <c r="K106" s="48">
        <v>45511</v>
      </c>
      <c r="L106" s="49" t="s">
        <v>201</v>
      </c>
      <c r="N106" s="77" t="str">
        <f>Table26[[#This Row],[po_number]]&amp;"-"&amp;Table26[[#This Row],[po_line]]</f>
        <v>-2</v>
      </c>
      <c r="O106" s="77">
        <v>2</v>
      </c>
      <c r="P106" s="50"/>
      <c r="Q106" s="53" t="s">
        <v>3778</v>
      </c>
      <c r="T106" s="51"/>
      <c r="U106" s="52">
        <v>86</v>
      </c>
      <c r="W106" s="116" t="str">
        <f t="shared" si="2"/>
        <v/>
      </c>
      <c r="X106" s="53" t="str">
        <f t="shared" si="3"/>
        <v/>
      </c>
      <c r="Z106" s="60"/>
      <c r="AA106" s="18" t="str" cm="1">
        <f t="array" ref="AA106">IF(P106="", "", _xlfn.XLOOKUP(P106,#REF!,#REF!,NA,0,-1))</f>
        <v/>
      </c>
      <c r="AB106" s="47"/>
      <c r="AC106" s="55" t="s">
        <v>3509</v>
      </c>
      <c r="AD106" s="55" t="str">
        <f>IF($AC106="","",_xlfn.XLOOKUP($AC106,'[2]Client Info'!$C$2:$C$2535,'[2]Client Info'!$D$2:$D$2535))</f>
        <v>#201 – 1420 Alpha Lake Road</v>
      </c>
      <c r="AE106" s="55" t="str">
        <f>IF($AC106="","",_xlfn.XLOOKUP($AC106,'[2]Client Info'!$C$2:$C$2715,'[2]Client Info'!$E$2:$E$2715))</f>
        <v>Whistler</v>
      </c>
      <c r="AF106" s="55" t="str">
        <f>IF($AC106="","",_xlfn.XLOOKUP($AC106,'[2]Client Info'!$C$2:$C$2715,'[2]Client Info'!$F$2:$F$2715))</f>
        <v>BC</v>
      </c>
      <c r="AG106" s="55" t="s">
        <v>3509</v>
      </c>
      <c r="AH106" s="62">
        <v>0</v>
      </c>
      <c r="AI106" s="43" t="str">
        <f>_xlfn.XLOOKUP(Table26[[#This Row],[customerSKU]],customerSKU!G:G,customerSKU!O:O,"not found",0,1)</f>
        <v>not found</v>
      </c>
      <c r="AJ106" s="53">
        <f>Table26[[#This Row],[unitprice]]*Table26[[#This Row],[quantity_unit]]</f>
        <v>0</v>
      </c>
      <c r="AK106" s="53" t="e" cm="1">
        <f t="array" ref="AK1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" spans="1:37" s="53" customFormat="1" ht="18" customHeight="1">
      <c r="A107" s="42">
        <v>2132</v>
      </c>
      <c r="B107" s="58" t="s">
        <v>3520</v>
      </c>
      <c r="C107" s="53" t="s">
        <v>203</v>
      </c>
      <c r="D107" s="51"/>
      <c r="E107" s="51"/>
      <c r="G107" s="46"/>
      <c r="I107" s="53" t="s">
        <v>3775</v>
      </c>
      <c r="J107" s="53" t="s">
        <v>3776</v>
      </c>
      <c r="K107" s="48">
        <v>45511</v>
      </c>
      <c r="L107" s="49" t="s">
        <v>201</v>
      </c>
      <c r="N107" s="77" t="str">
        <f>Table26[[#This Row],[po_number]]&amp;"-"&amp;Table26[[#This Row],[po_line]]</f>
        <v>-3</v>
      </c>
      <c r="O107" s="77">
        <v>3</v>
      </c>
      <c r="P107" s="50"/>
      <c r="Q107" s="53" t="s">
        <v>3779</v>
      </c>
      <c r="T107" s="51"/>
      <c r="U107" s="52">
        <v>101</v>
      </c>
      <c r="W107" s="116" t="str">
        <f t="shared" si="2"/>
        <v/>
      </c>
      <c r="X107" s="53" t="str">
        <f t="shared" si="3"/>
        <v/>
      </c>
      <c r="Z107" s="60"/>
      <c r="AA107" s="18" t="str" cm="1">
        <f t="array" ref="AA107">IF(P107="", "", _xlfn.XLOOKUP(P107,#REF!,#REF!,NA,0,-1))</f>
        <v/>
      </c>
      <c r="AB107" s="47"/>
      <c r="AC107" s="55" t="s">
        <v>3509</v>
      </c>
      <c r="AD107" s="55" t="str">
        <f>IF($AC107="","",_xlfn.XLOOKUP($AC107,'[2]Client Info'!$C$2:$C$2535,'[2]Client Info'!$D$2:$D$2535))</f>
        <v>#201 – 1420 Alpha Lake Road</v>
      </c>
      <c r="AE107" s="55" t="str">
        <f>IF($AC107="","",_xlfn.XLOOKUP($AC107,'[2]Client Info'!$C$2:$C$2715,'[2]Client Info'!$E$2:$E$2715))</f>
        <v>Whistler</v>
      </c>
      <c r="AF107" s="55" t="str">
        <f>IF($AC107="","",_xlfn.XLOOKUP($AC107,'[2]Client Info'!$C$2:$C$2715,'[2]Client Info'!$F$2:$F$2715))</f>
        <v>BC</v>
      </c>
      <c r="AG107" s="55" t="s">
        <v>3509</v>
      </c>
      <c r="AH107" s="62">
        <v>0</v>
      </c>
      <c r="AI107" s="43" t="str">
        <f>_xlfn.XLOOKUP(Table26[[#This Row],[customerSKU]],customerSKU!G:G,customerSKU!O:O,"not found",0,1)</f>
        <v>not found</v>
      </c>
      <c r="AJ107" s="53">
        <f>Table26[[#This Row],[unitprice]]*Table26[[#This Row],[quantity_unit]]</f>
        <v>0</v>
      </c>
      <c r="AK107" s="53" t="e" cm="1">
        <f t="array" ref="AK1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" spans="1:37" s="53" customFormat="1" ht="18" customHeight="1">
      <c r="A108" s="42">
        <v>2133</v>
      </c>
      <c r="B108" s="58" t="s">
        <v>3520</v>
      </c>
      <c r="C108" s="53" t="s">
        <v>203</v>
      </c>
      <c r="D108" s="51"/>
      <c r="E108" s="51"/>
      <c r="G108" s="46"/>
      <c r="I108" s="53" t="s">
        <v>3775</v>
      </c>
      <c r="J108" s="53" t="s">
        <v>3776</v>
      </c>
      <c r="K108" s="48">
        <v>45511</v>
      </c>
      <c r="L108" s="49" t="s">
        <v>201</v>
      </c>
      <c r="N108" s="77" t="str">
        <f>Table26[[#This Row],[po_number]]&amp;"-"&amp;Table26[[#This Row],[po_line]]</f>
        <v>-4</v>
      </c>
      <c r="O108" s="77">
        <v>4</v>
      </c>
      <c r="P108" s="50"/>
      <c r="Q108" s="53" t="s">
        <v>3780</v>
      </c>
      <c r="T108" s="51"/>
      <c r="U108" s="52">
        <v>47</v>
      </c>
      <c r="W108" s="116" t="str">
        <f t="shared" si="2"/>
        <v/>
      </c>
      <c r="X108" s="53" t="str">
        <f t="shared" si="3"/>
        <v/>
      </c>
      <c r="Z108" s="60"/>
      <c r="AA108" s="18" t="str" cm="1">
        <f t="array" ref="AA108">IF(P108="", "", _xlfn.XLOOKUP(P108,#REF!,#REF!,NA,0,-1))</f>
        <v/>
      </c>
      <c r="AB108" s="47"/>
      <c r="AC108" s="55" t="s">
        <v>3509</v>
      </c>
      <c r="AD108" s="55" t="str">
        <f>IF($AC108="","",_xlfn.XLOOKUP($AC108,'[2]Client Info'!$C$2:$C$2535,'[2]Client Info'!$D$2:$D$2535))</f>
        <v>#201 – 1420 Alpha Lake Road</v>
      </c>
      <c r="AE108" s="55" t="str">
        <f>IF($AC108="","",_xlfn.XLOOKUP($AC108,'[2]Client Info'!$C$2:$C$2715,'[2]Client Info'!$E$2:$E$2715))</f>
        <v>Whistler</v>
      </c>
      <c r="AF108" s="55" t="str">
        <f>IF($AC108="","",_xlfn.XLOOKUP($AC108,'[2]Client Info'!$C$2:$C$2715,'[2]Client Info'!$F$2:$F$2715))</f>
        <v>BC</v>
      </c>
      <c r="AG108" s="55" t="s">
        <v>3509</v>
      </c>
      <c r="AH108" s="62">
        <v>0</v>
      </c>
      <c r="AI108" s="43" t="str">
        <f>_xlfn.XLOOKUP(Table26[[#This Row],[customerSKU]],customerSKU!G:G,customerSKU!O:O,"not found",0,1)</f>
        <v>not found</v>
      </c>
      <c r="AJ108" s="53">
        <f>Table26[[#This Row],[unitprice]]*Table26[[#This Row],[quantity_unit]]</f>
        <v>0</v>
      </c>
      <c r="AK108" s="53" t="e" cm="1">
        <f t="array" ref="AK1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" spans="1:37" s="53" customFormat="1" ht="18" customHeight="1">
      <c r="A109" s="42">
        <v>2134</v>
      </c>
      <c r="B109" s="58" t="s">
        <v>3520</v>
      </c>
      <c r="C109" s="53" t="s">
        <v>203</v>
      </c>
      <c r="D109" s="51"/>
      <c r="E109" s="51"/>
      <c r="G109" s="46"/>
      <c r="I109" s="53" t="s">
        <v>3775</v>
      </c>
      <c r="J109" s="53" t="s">
        <v>3776</v>
      </c>
      <c r="K109" s="48">
        <v>45511</v>
      </c>
      <c r="L109" s="49" t="s">
        <v>201</v>
      </c>
      <c r="N109" s="77" t="str">
        <f>Table26[[#This Row],[po_number]]&amp;"-"&amp;Table26[[#This Row],[po_line]]</f>
        <v>-5</v>
      </c>
      <c r="O109" s="77">
        <v>5</v>
      </c>
      <c r="P109" s="50"/>
      <c r="Q109" s="53" t="s">
        <v>3781</v>
      </c>
      <c r="T109" s="51"/>
      <c r="U109" s="52">
        <v>60</v>
      </c>
      <c r="W109" s="116" t="str">
        <f t="shared" si="2"/>
        <v/>
      </c>
      <c r="X109" s="53" t="str">
        <f t="shared" si="3"/>
        <v/>
      </c>
      <c r="Z109" s="60"/>
      <c r="AA109" s="18" t="str" cm="1">
        <f t="array" ref="AA109">IF(P109="", "", _xlfn.XLOOKUP(P109,#REF!,#REF!,NA,0,-1))</f>
        <v/>
      </c>
      <c r="AB109" s="47"/>
      <c r="AC109" s="55" t="s">
        <v>3509</v>
      </c>
      <c r="AD109" s="55" t="str">
        <f>IF($AC109="","",_xlfn.XLOOKUP($AC109,'[2]Client Info'!$C$2:$C$2535,'[2]Client Info'!$D$2:$D$2535))</f>
        <v>#201 – 1420 Alpha Lake Road</v>
      </c>
      <c r="AE109" s="55" t="str">
        <f>IF($AC109="","",_xlfn.XLOOKUP($AC109,'[2]Client Info'!$C$2:$C$2715,'[2]Client Info'!$E$2:$E$2715))</f>
        <v>Whistler</v>
      </c>
      <c r="AF109" s="55" t="str">
        <f>IF($AC109="","",_xlfn.XLOOKUP($AC109,'[2]Client Info'!$C$2:$C$2715,'[2]Client Info'!$F$2:$F$2715))</f>
        <v>BC</v>
      </c>
      <c r="AG109" s="55" t="s">
        <v>3509</v>
      </c>
      <c r="AH109" s="62">
        <v>0</v>
      </c>
      <c r="AI109" s="43" t="str">
        <f>_xlfn.XLOOKUP(Table26[[#This Row],[customerSKU]],customerSKU!G:G,customerSKU!O:O,"not found",0,1)</f>
        <v>not found</v>
      </c>
      <c r="AJ109" s="53">
        <f>Table26[[#This Row],[unitprice]]*Table26[[#This Row],[quantity_unit]]</f>
        <v>0</v>
      </c>
      <c r="AK109" s="53" t="e" cm="1">
        <f t="array" ref="AK1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" spans="1:37" s="53" customFormat="1" ht="18" customHeight="1">
      <c r="A110" s="42">
        <v>2135</v>
      </c>
      <c r="B110" s="58" t="s">
        <v>3520</v>
      </c>
      <c r="C110" s="53" t="s">
        <v>203</v>
      </c>
      <c r="D110" s="51"/>
      <c r="E110" s="51"/>
      <c r="G110" s="46"/>
      <c r="I110" s="53" t="s">
        <v>3775</v>
      </c>
      <c r="J110" s="53" t="s">
        <v>3776</v>
      </c>
      <c r="K110" s="48">
        <v>45511</v>
      </c>
      <c r="L110" s="49" t="s">
        <v>201</v>
      </c>
      <c r="N110" s="77" t="str">
        <f>Table26[[#This Row],[po_number]]&amp;"-"&amp;Table26[[#This Row],[po_line]]</f>
        <v>-6</v>
      </c>
      <c r="O110" s="77">
        <v>6</v>
      </c>
      <c r="P110" s="50"/>
      <c r="Q110" s="53" t="s">
        <v>3782</v>
      </c>
      <c r="T110" s="51"/>
      <c r="U110" s="52">
        <v>613</v>
      </c>
      <c r="W110" s="116" t="str">
        <f t="shared" si="2"/>
        <v/>
      </c>
      <c r="X110" s="53" t="str">
        <f t="shared" si="3"/>
        <v/>
      </c>
      <c r="Z110" s="60"/>
      <c r="AA110" s="18" t="str" cm="1">
        <f t="array" ref="AA110">IF(P110="", "", _xlfn.XLOOKUP(P110,#REF!,#REF!,NA,0,-1))</f>
        <v/>
      </c>
      <c r="AB110" s="47"/>
      <c r="AC110" s="55" t="s">
        <v>3509</v>
      </c>
      <c r="AD110" s="55" t="str">
        <f>IF($AC110="","",_xlfn.XLOOKUP($AC110,'[2]Client Info'!$C$2:$C$2535,'[2]Client Info'!$D$2:$D$2535))</f>
        <v>#201 – 1420 Alpha Lake Road</v>
      </c>
      <c r="AE110" s="55" t="str">
        <f>IF($AC110="","",_xlfn.XLOOKUP($AC110,'[2]Client Info'!$C$2:$C$2715,'[2]Client Info'!$E$2:$E$2715))</f>
        <v>Whistler</v>
      </c>
      <c r="AF110" s="55" t="str">
        <f>IF($AC110="","",_xlfn.XLOOKUP($AC110,'[2]Client Info'!$C$2:$C$2715,'[2]Client Info'!$F$2:$F$2715))</f>
        <v>BC</v>
      </c>
      <c r="AG110" s="55" t="s">
        <v>3509</v>
      </c>
      <c r="AH110" s="62">
        <v>0</v>
      </c>
      <c r="AI110" s="43" t="str">
        <f>_xlfn.XLOOKUP(Table26[[#This Row],[customerSKU]],customerSKU!G:G,customerSKU!O:O,"not found",0,1)</f>
        <v>not found</v>
      </c>
      <c r="AJ110" s="53">
        <f>Table26[[#This Row],[unitprice]]*Table26[[#This Row],[quantity_unit]]</f>
        <v>0</v>
      </c>
      <c r="AK110" s="53" t="e" cm="1">
        <f t="array" ref="AK1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" spans="1:37" s="53" customFormat="1" ht="18" customHeight="1">
      <c r="A111" s="42">
        <v>2136</v>
      </c>
      <c r="B111" s="58" t="s">
        <v>3520</v>
      </c>
      <c r="C111" s="53" t="s">
        <v>203</v>
      </c>
      <c r="D111" s="51"/>
      <c r="E111" s="51"/>
      <c r="G111" s="46"/>
      <c r="I111" s="53" t="s">
        <v>3775</v>
      </c>
      <c r="J111" s="53" t="s">
        <v>3776</v>
      </c>
      <c r="K111" s="48">
        <v>45511</v>
      </c>
      <c r="L111" s="49" t="s">
        <v>201</v>
      </c>
      <c r="N111" s="77" t="str">
        <f>Table26[[#This Row],[po_number]]&amp;"-"&amp;Table26[[#This Row],[po_line]]</f>
        <v>-7</v>
      </c>
      <c r="O111" s="77">
        <v>7</v>
      </c>
      <c r="P111" s="50"/>
      <c r="Q111" s="53" t="s">
        <v>3783</v>
      </c>
      <c r="T111" s="51"/>
      <c r="U111" s="52">
        <v>58</v>
      </c>
      <c r="W111" s="116" t="str">
        <f t="shared" si="2"/>
        <v/>
      </c>
      <c r="X111" s="53" t="str">
        <f t="shared" si="3"/>
        <v/>
      </c>
      <c r="Z111" s="60"/>
      <c r="AA111" s="18" t="str" cm="1">
        <f t="array" ref="AA111">IF(P111="", "", _xlfn.XLOOKUP(P111,#REF!,#REF!,NA,0,-1))</f>
        <v/>
      </c>
      <c r="AB111" s="47"/>
      <c r="AC111" s="55" t="s">
        <v>3509</v>
      </c>
      <c r="AD111" s="55" t="str">
        <f>IF($AC111="","",_xlfn.XLOOKUP($AC111,'[2]Client Info'!$C$2:$C$2535,'[2]Client Info'!$D$2:$D$2535))</f>
        <v>#201 – 1420 Alpha Lake Road</v>
      </c>
      <c r="AE111" s="55" t="str">
        <f>IF($AC111="","",_xlfn.XLOOKUP($AC111,'[2]Client Info'!$C$2:$C$2715,'[2]Client Info'!$E$2:$E$2715))</f>
        <v>Whistler</v>
      </c>
      <c r="AF111" s="55" t="str">
        <f>IF($AC111="","",_xlfn.XLOOKUP($AC111,'[2]Client Info'!$C$2:$C$2715,'[2]Client Info'!$F$2:$F$2715))</f>
        <v>BC</v>
      </c>
      <c r="AG111" s="55" t="s">
        <v>3509</v>
      </c>
      <c r="AH111" s="62">
        <v>0</v>
      </c>
      <c r="AI111" s="43" t="str">
        <f>_xlfn.XLOOKUP(Table26[[#This Row],[customerSKU]],customerSKU!G:G,customerSKU!O:O,"not found",0,1)</f>
        <v>not found</v>
      </c>
      <c r="AJ111" s="53">
        <f>Table26[[#This Row],[unitprice]]*Table26[[#This Row],[quantity_unit]]</f>
        <v>0</v>
      </c>
      <c r="AK111" s="53" t="e" cm="1">
        <f t="array" ref="AK1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" spans="1:37" s="53" customFormat="1" ht="18" customHeight="1">
      <c r="A112" s="42">
        <v>2137</v>
      </c>
      <c r="B112" s="58" t="s">
        <v>3520</v>
      </c>
      <c r="C112" s="53" t="s">
        <v>203</v>
      </c>
      <c r="D112" s="51"/>
      <c r="E112" s="51"/>
      <c r="G112" s="46"/>
      <c r="I112" s="53" t="s">
        <v>3775</v>
      </c>
      <c r="J112" s="53" t="s">
        <v>3776</v>
      </c>
      <c r="K112" s="48">
        <v>45511</v>
      </c>
      <c r="L112" s="49" t="s">
        <v>201</v>
      </c>
      <c r="N112" s="77" t="str">
        <f>Table26[[#This Row],[po_number]]&amp;"-"&amp;Table26[[#This Row],[po_line]]</f>
        <v>-8</v>
      </c>
      <c r="O112" s="77">
        <v>8</v>
      </c>
      <c r="P112" s="50"/>
      <c r="Q112" s="53" t="s">
        <v>3784</v>
      </c>
      <c r="T112" s="51"/>
      <c r="U112" s="52">
        <v>152</v>
      </c>
      <c r="W112" s="116" t="str">
        <f t="shared" si="2"/>
        <v/>
      </c>
      <c r="X112" s="53" t="str">
        <f t="shared" si="3"/>
        <v/>
      </c>
      <c r="Z112" s="60"/>
      <c r="AA112" s="18" t="str" cm="1">
        <f t="array" ref="AA112">IF(P112="", "", _xlfn.XLOOKUP(P112,#REF!,#REF!,NA,0,-1))</f>
        <v/>
      </c>
      <c r="AB112" s="47"/>
      <c r="AC112" s="55" t="s">
        <v>3509</v>
      </c>
      <c r="AD112" s="55" t="str">
        <f>IF($AC112="","",_xlfn.XLOOKUP($AC112,'[2]Client Info'!$C$2:$C$2535,'[2]Client Info'!$D$2:$D$2535))</f>
        <v>#201 – 1420 Alpha Lake Road</v>
      </c>
      <c r="AE112" s="55" t="str">
        <f>IF($AC112="","",_xlfn.XLOOKUP($AC112,'[2]Client Info'!$C$2:$C$2715,'[2]Client Info'!$E$2:$E$2715))</f>
        <v>Whistler</v>
      </c>
      <c r="AF112" s="55" t="str">
        <f>IF($AC112="","",_xlfn.XLOOKUP($AC112,'[2]Client Info'!$C$2:$C$2715,'[2]Client Info'!$F$2:$F$2715))</f>
        <v>BC</v>
      </c>
      <c r="AG112" s="55" t="s">
        <v>3509</v>
      </c>
      <c r="AH112" s="62">
        <v>0</v>
      </c>
      <c r="AI112" s="43" t="str">
        <f>_xlfn.XLOOKUP(Table26[[#This Row],[customerSKU]],customerSKU!G:G,customerSKU!O:O,"not found",0,1)</f>
        <v>not found</v>
      </c>
      <c r="AJ112" s="53">
        <f>Table26[[#This Row],[unitprice]]*Table26[[#This Row],[quantity_unit]]</f>
        <v>0</v>
      </c>
      <c r="AK112" s="53" t="e" cm="1">
        <f t="array" ref="AK1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" spans="1:37" s="53" customFormat="1" ht="18" customHeight="1">
      <c r="A113" s="42">
        <v>2138</v>
      </c>
      <c r="B113" s="58" t="s">
        <v>3520</v>
      </c>
      <c r="C113" s="53" t="s">
        <v>203</v>
      </c>
      <c r="D113" s="51"/>
      <c r="E113" s="51"/>
      <c r="G113" s="46"/>
      <c r="I113" s="53" t="s">
        <v>3775</v>
      </c>
      <c r="J113" s="53" t="s">
        <v>3776</v>
      </c>
      <c r="K113" s="48">
        <v>45511</v>
      </c>
      <c r="L113" s="49" t="s">
        <v>201</v>
      </c>
      <c r="N113" s="77" t="str">
        <f>Table26[[#This Row],[po_number]]&amp;"-"&amp;Table26[[#This Row],[po_line]]</f>
        <v>-9</v>
      </c>
      <c r="O113" s="77">
        <v>9</v>
      </c>
      <c r="P113" s="50"/>
      <c r="Q113" s="53" t="s">
        <v>3785</v>
      </c>
      <c r="T113" s="51"/>
      <c r="U113" s="52">
        <v>531</v>
      </c>
      <c r="W113" s="116" t="str">
        <f t="shared" si="2"/>
        <v/>
      </c>
      <c r="X113" s="53" t="str">
        <f t="shared" si="3"/>
        <v/>
      </c>
      <c r="Z113" s="60"/>
      <c r="AA113" s="18" t="str" cm="1">
        <f t="array" ref="AA113">IF(P113="", "", _xlfn.XLOOKUP(P113,#REF!,#REF!,NA,0,-1))</f>
        <v/>
      </c>
      <c r="AB113" s="47"/>
      <c r="AC113" s="55" t="s">
        <v>3509</v>
      </c>
      <c r="AD113" s="55" t="str">
        <f>IF($AC113="","",_xlfn.XLOOKUP($AC113,'[2]Client Info'!$C$2:$C$2535,'[2]Client Info'!$D$2:$D$2535))</f>
        <v>#201 – 1420 Alpha Lake Road</v>
      </c>
      <c r="AE113" s="55" t="str">
        <f>IF($AC113="","",_xlfn.XLOOKUP($AC113,'[2]Client Info'!$C$2:$C$2715,'[2]Client Info'!$E$2:$E$2715))</f>
        <v>Whistler</v>
      </c>
      <c r="AF113" s="55" t="str">
        <f>IF($AC113="","",_xlfn.XLOOKUP($AC113,'[2]Client Info'!$C$2:$C$2715,'[2]Client Info'!$F$2:$F$2715))</f>
        <v>BC</v>
      </c>
      <c r="AG113" s="55" t="s">
        <v>3509</v>
      </c>
      <c r="AH113" s="62">
        <v>0</v>
      </c>
      <c r="AI113" s="43" t="str">
        <f>_xlfn.XLOOKUP(Table26[[#This Row],[customerSKU]],customerSKU!G:G,customerSKU!O:O,"not found",0,1)</f>
        <v>not found</v>
      </c>
      <c r="AJ113" s="53">
        <f>Table26[[#This Row],[unitprice]]*Table26[[#This Row],[quantity_unit]]</f>
        <v>0</v>
      </c>
      <c r="AK113" s="53" t="e" cm="1">
        <f t="array" ref="AK1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" spans="1:37" s="53" customFormat="1" ht="18" customHeight="1">
      <c r="A114" s="42">
        <v>2139</v>
      </c>
      <c r="B114" s="58" t="s">
        <v>3520</v>
      </c>
      <c r="C114" s="53" t="s">
        <v>203</v>
      </c>
      <c r="D114" s="51"/>
      <c r="E114" s="51"/>
      <c r="G114" s="46"/>
      <c r="I114" s="53" t="s">
        <v>3775</v>
      </c>
      <c r="J114" s="53" t="s">
        <v>3776</v>
      </c>
      <c r="K114" s="48">
        <v>45511</v>
      </c>
      <c r="L114" s="49" t="s">
        <v>201</v>
      </c>
      <c r="N114" s="77" t="str">
        <f>Table26[[#This Row],[po_number]]&amp;"-"&amp;Table26[[#This Row],[po_line]]</f>
        <v>-10</v>
      </c>
      <c r="O114" s="77">
        <v>10</v>
      </c>
      <c r="P114" s="50"/>
      <c r="Q114" s="53" t="s">
        <v>3786</v>
      </c>
      <c r="T114" s="51"/>
      <c r="U114" s="52">
        <v>236</v>
      </c>
      <c r="W114" s="116" t="str">
        <f t="shared" si="2"/>
        <v/>
      </c>
      <c r="X114" s="53" t="str">
        <f t="shared" si="3"/>
        <v/>
      </c>
      <c r="Z114" s="60"/>
      <c r="AA114" s="18" t="str" cm="1">
        <f t="array" ref="AA114">IF(P114="", "", _xlfn.XLOOKUP(P114,#REF!,#REF!,NA,0,-1))</f>
        <v/>
      </c>
      <c r="AB114" s="47"/>
      <c r="AC114" s="55" t="s">
        <v>3509</v>
      </c>
      <c r="AD114" s="55" t="str">
        <f>IF($AC114="","",_xlfn.XLOOKUP($AC114,'[2]Client Info'!$C$2:$C$2535,'[2]Client Info'!$D$2:$D$2535))</f>
        <v>#201 – 1420 Alpha Lake Road</v>
      </c>
      <c r="AE114" s="55" t="str">
        <f>IF($AC114="","",_xlfn.XLOOKUP($AC114,'[2]Client Info'!$C$2:$C$2715,'[2]Client Info'!$E$2:$E$2715))</f>
        <v>Whistler</v>
      </c>
      <c r="AF114" s="55" t="str">
        <f>IF($AC114="","",_xlfn.XLOOKUP($AC114,'[2]Client Info'!$C$2:$C$2715,'[2]Client Info'!$F$2:$F$2715))</f>
        <v>BC</v>
      </c>
      <c r="AG114" s="55" t="s">
        <v>3509</v>
      </c>
      <c r="AH114" s="62">
        <v>0</v>
      </c>
      <c r="AI114" s="43" t="str">
        <f>_xlfn.XLOOKUP(Table26[[#This Row],[customerSKU]],customerSKU!G:G,customerSKU!O:O,"not found",0,1)</f>
        <v>not found</v>
      </c>
      <c r="AJ114" s="53">
        <f>Table26[[#This Row],[unitprice]]*Table26[[#This Row],[quantity_unit]]</f>
        <v>0</v>
      </c>
      <c r="AK114" s="53" t="e" cm="1">
        <f t="array" ref="AK1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" spans="1:37" s="53" customFormat="1" ht="18" customHeight="1">
      <c r="A115" s="42">
        <v>2140</v>
      </c>
      <c r="B115" s="58" t="s">
        <v>3520</v>
      </c>
      <c r="C115" s="53" t="s">
        <v>203</v>
      </c>
      <c r="D115" s="51"/>
      <c r="E115" s="51"/>
      <c r="G115" s="46"/>
      <c r="I115" s="53" t="s">
        <v>3775</v>
      </c>
      <c r="J115" s="53" t="s">
        <v>3776</v>
      </c>
      <c r="K115" s="48">
        <v>45511</v>
      </c>
      <c r="L115" s="49" t="s">
        <v>201</v>
      </c>
      <c r="N115" s="77" t="str">
        <f>Table26[[#This Row],[po_number]]&amp;"-"&amp;Table26[[#This Row],[po_line]]</f>
        <v>-11</v>
      </c>
      <c r="O115" s="77">
        <v>11</v>
      </c>
      <c r="P115" s="50"/>
      <c r="Q115" s="377" t="s">
        <v>3787</v>
      </c>
      <c r="T115" s="51"/>
      <c r="U115" s="52">
        <v>1546</v>
      </c>
      <c r="W115" s="116" t="str">
        <f t="shared" si="2"/>
        <v/>
      </c>
      <c r="X115" s="53" t="str">
        <f t="shared" si="3"/>
        <v/>
      </c>
      <c r="Z115" s="60"/>
      <c r="AA115" s="18" t="str" cm="1">
        <f t="array" ref="AA115">IF(P115="", "", _xlfn.XLOOKUP(P115,#REF!,#REF!,NA,0,-1))</f>
        <v/>
      </c>
      <c r="AB115" s="47"/>
      <c r="AC115" s="55" t="s">
        <v>3509</v>
      </c>
      <c r="AD115" s="55" t="str">
        <f>IF($AC115="","",_xlfn.XLOOKUP($AC115,'[2]Client Info'!$C$2:$C$2535,'[2]Client Info'!$D$2:$D$2535))</f>
        <v>#201 – 1420 Alpha Lake Road</v>
      </c>
      <c r="AE115" s="55" t="str">
        <f>IF($AC115="","",_xlfn.XLOOKUP($AC115,'[2]Client Info'!$C$2:$C$2715,'[2]Client Info'!$E$2:$E$2715))</f>
        <v>Whistler</v>
      </c>
      <c r="AF115" s="55" t="str">
        <f>IF($AC115="","",_xlfn.XLOOKUP($AC115,'[2]Client Info'!$C$2:$C$2715,'[2]Client Info'!$F$2:$F$2715))</f>
        <v>BC</v>
      </c>
      <c r="AG115" s="55" t="s">
        <v>3509</v>
      </c>
      <c r="AH115" s="62">
        <v>0</v>
      </c>
      <c r="AI115" s="43" t="str">
        <f>_xlfn.XLOOKUP(Table26[[#This Row],[customerSKU]],customerSKU!G:G,customerSKU!O:O,"not found",0,1)</f>
        <v>not found</v>
      </c>
      <c r="AJ115" s="53">
        <f>Table26[[#This Row],[unitprice]]*Table26[[#This Row],[quantity_unit]]</f>
        <v>0</v>
      </c>
      <c r="AK115" s="53" t="e" cm="1">
        <f t="array" ref="AK1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" spans="1:37" s="53" customFormat="1" ht="24.6" customHeight="1">
      <c r="A116" s="42">
        <v>2141</v>
      </c>
      <c r="B116" s="58" t="s">
        <v>3520</v>
      </c>
      <c r="C116" s="53" t="s">
        <v>203</v>
      </c>
      <c r="D116" s="51"/>
      <c r="E116" s="51"/>
      <c r="G116" s="46"/>
      <c r="I116" s="53" t="s">
        <v>3775</v>
      </c>
      <c r="J116" s="53" t="s">
        <v>3776</v>
      </c>
      <c r="K116" s="48">
        <v>45511</v>
      </c>
      <c r="L116" s="49" t="s">
        <v>201</v>
      </c>
      <c r="N116" s="77" t="str">
        <f>Table26[[#This Row],[po_number]]&amp;"-"&amp;Table26[[#This Row],[po_line]]</f>
        <v>-12</v>
      </c>
      <c r="O116" s="77">
        <v>12</v>
      </c>
      <c r="P116" s="50"/>
      <c r="Q116" s="377" t="s">
        <v>3788</v>
      </c>
      <c r="T116" s="51"/>
      <c r="U116" s="52">
        <v>43</v>
      </c>
      <c r="W116" s="116" t="str">
        <f t="shared" si="2"/>
        <v/>
      </c>
      <c r="X116" s="53" t="str">
        <f t="shared" si="3"/>
        <v/>
      </c>
      <c r="Z116" s="60"/>
      <c r="AA116" s="18" t="str" cm="1">
        <f t="array" ref="AA116">IF(P116="", "", _xlfn.XLOOKUP(P116,#REF!,#REF!,NA,0,-1))</f>
        <v/>
      </c>
      <c r="AB116" s="47"/>
      <c r="AC116" s="55" t="s">
        <v>3509</v>
      </c>
      <c r="AD116" s="55" t="str">
        <f>IF($AC116="","",_xlfn.XLOOKUP($AC116,'[2]Client Info'!$C$2:$C$2535,'[2]Client Info'!$D$2:$D$2535))</f>
        <v>#201 – 1420 Alpha Lake Road</v>
      </c>
      <c r="AE116" s="55" t="str">
        <f>IF($AC116="","",_xlfn.XLOOKUP($AC116,'[2]Client Info'!$C$2:$C$2715,'[2]Client Info'!$E$2:$E$2715))</f>
        <v>Whistler</v>
      </c>
      <c r="AF116" s="55" t="str">
        <f>IF($AC116="","",_xlfn.XLOOKUP($AC116,'[2]Client Info'!$C$2:$C$2715,'[2]Client Info'!$F$2:$F$2715))</f>
        <v>BC</v>
      </c>
      <c r="AG116" s="55" t="s">
        <v>3509</v>
      </c>
      <c r="AH116" s="62">
        <v>0</v>
      </c>
      <c r="AI116" s="43" t="str">
        <f>_xlfn.XLOOKUP(Table26[[#This Row],[customerSKU]],customerSKU!G:G,customerSKU!O:O,"not found",0,1)</f>
        <v>not found</v>
      </c>
      <c r="AJ116" s="53">
        <f>Table26[[#This Row],[unitprice]]*Table26[[#This Row],[quantity_unit]]</f>
        <v>0</v>
      </c>
      <c r="AK116" s="53" t="e" cm="1">
        <f t="array" ref="AK1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" spans="1:37" s="53" customFormat="1" ht="24.6" customHeight="1">
      <c r="A117" s="42">
        <v>2142</v>
      </c>
      <c r="B117" s="58" t="s">
        <v>3520</v>
      </c>
      <c r="C117" s="53" t="s">
        <v>203</v>
      </c>
      <c r="D117" s="51"/>
      <c r="E117" s="51"/>
      <c r="G117" s="46"/>
      <c r="I117" s="53" t="s">
        <v>3775</v>
      </c>
      <c r="J117" s="53" t="s">
        <v>3776</v>
      </c>
      <c r="K117" s="48">
        <v>45511</v>
      </c>
      <c r="L117" s="49" t="s">
        <v>201</v>
      </c>
      <c r="N117" s="77" t="str">
        <f>Table26[[#This Row],[po_number]]&amp;"-"&amp;Table26[[#This Row],[po_line]]</f>
        <v>-13</v>
      </c>
      <c r="O117" s="77">
        <v>13</v>
      </c>
      <c r="P117" s="50"/>
      <c r="Q117" s="53" t="s">
        <v>3789</v>
      </c>
      <c r="T117" s="51"/>
      <c r="U117" s="52">
        <v>460</v>
      </c>
      <c r="W117" s="116" t="str">
        <f t="shared" si="2"/>
        <v/>
      </c>
      <c r="X117" s="53" t="str">
        <f t="shared" si="3"/>
        <v/>
      </c>
      <c r="Z117" s="60"/>
      <c r="AA117" s="18" t="str" cm="1">
        <f t="array" ref="AA117">IF(P117="", "", _xlfn.XLOOKUP(P117,#REF!,#REF!,NA,0,-1))</f>
        <v/>
      </c>
      <c r="AB117" s="47"/>
      <c r="AC117" s="55" t="s">
        <v>3509</v>
      </c>
      <c r="AD117" s="55" t="str">
        <f>IF($AC117="","",_xlfn.XLOOKUP($AC117,'[2]Client Info'!$C$2:$C$2535,'[2]Client Info'!$D$2:$D$2535))</f>
        <v>#201 – 1420 Alpha Lake Road</v>
      </c>
      <c r="AE117" s="55" t="str">
        <f>IF($AC117="","",_xlfn.XLOOKUP($AC117,'[2]Client Info'!$C$2:$C$2715,'[2]Client Info'!$E$2:$E$2715))</f>
        <v>Whistler</v>
      </c>
      <c r="AF117" s="55" t="str">
        <f>IF($AC117="","",_xlfn.XLOOKUP($AC117,'[2]Client Info'!$C$2:$C$2715,'[2]Client Info'!$F$2:$F$2715))</f>
        <v>BC</v>
      </c>
      <c r="AG117" s="55" t="s">
        <v>3509</v>
      </c>
      <c r="AH117" s="62">
        <v>0</v>
      </c>
      <c r="AI117" s="43" t="str">
        <f>_xlfn.XLOOKUP(Table26[[#This Row],[customerSKU]],customerSKU!G:G,customerSKU!O:O,"not found",0,1)</f>
        <v>not found</v>
      </c>
      <c r="AJ117" s="53">
        <f>Table26[[#This Row],[unitprice]]*Table26[[#This Row],[quantity_unit]]</f>
        <v>0</v>
      </c>
      <c r="AK117" s="53" t="e" cm="1">
        <f t="array" ref="AK1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" spans="1:37" s="53" customFormat="1" ht="24.6" customHeight="1">
      <c r="A118" s="42">
        <v>2143</v>
      </c>
      <c r="B118" s="58" t="s">
        <v>3520</v>
      </c>
      <c r="C118" s="53" t="s">
        <v>203</v>
      </c>
      <c r="D118" s="51"/>
      <c r="E118" s="51"/>
      <c r="G118" s="46"/>
      <c r="I118" s="53" t="s">
        <v>3775</v>
      </c>
      <c r="J118" s="53" t="s">
        <v>3776</v>
      </c>
      <c r="K118" s="48">
        <v>45511</v>
      </c>
      <c r="L118" s="49" t="s">
        <v>201</v>
      </c>
      <c r="N118" s="77" t="str">
        <f>Table26[[#This Row],[po_number]]&amp;"-"&amp;Table26[[#This Row],[po_line]]</f>
        <v>-14</v>
      </c>
      <c r="O118" s="77">
        <v>14</v>
      </c>
      <c r="P118" s="50"/>
      <c r="Q118" s="377" t="s">
        <v>3790</v>
      </c>
      <c r="T118" s="51"/>
      <c r="U118" s="52">
        <v>472</v>
      </c>
      <c r="W118" s="116" t="str">
        <f t="shared" si="2"/>
        <v/>
      </c>
      <c r="X118" s="53" t="str">
        <f t="shared" si="3"/>
        <v/>
      </c>
      <c r="Z118" s="60"/>
      <c r="AA118" s="18" t="str" cm="1">
        <f t="array" ref="AA118">IF(P118="", "", _xlfn.XLOOKUP(P118,#REF!,#REF!,NA,0,-1))</f>
        <v/>
      </c>
      <c r="AB118" s="47"/>
      <c r="AC118" s="55" t="s">
        <v>3509</v>
      </c>
      <c r="AD118" s="55" t="str">
        <f>IF($AC118="","",_xlfn.XLOOKUP($AC118,'[2]Client Info'!$C$2:$C$2535,'[2]Client Info'!$D$2:$D$2535))</f>
        <v>#201 – 1420 Alpha Lake Road</v>
      </c>
      <c r="AE118" s="55" t="str">
        <f>IF($AC118="","",_xlfn.XLOOKUP($AC118,'[2]Client Info'!$C$2:$C$2715,'[2]Client Info'!$E$2:$E$2715))</f>
        <v>Whistler</v>
      </c>
      <c r="AF118" s="55" t="str">
        <f>IF($AC118="","",_xlfn.XLOOKUP($AC118,'[2]Client Info'!$C$2:$C$2715,'[2]Client Info'!$F$2:$F$2715))</f>
        <v>BC</v>
      </c>
      <c r="AG118" s="55" t="s">
        <v>3509</v>
      </c>
      <c r="AH118" s="62">
        <v>0</v>
      </c>
      <c r="AI118" s="43" t="str">
        <f>_xlfn.XLOOKUP(Table26[[#This Row],[customerSKU]],customerSKU!G:G,customerSKU!O:O,"not found",0,1)</f>
        <v>not found</v>
      </c>
      <c r="AJ118" s="53">
        <f>Table26[[#This Row],[unitprice]]*Table26[[#This Row],[quantity_unit]]</f>
        <v>0</v>
      </c>
      <c r="AK118" s="53" t="e" cm="1">
        <f t="array" ref="AK1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" spans="1:37" s="53" customFormat="1" ht="24.6" customHeight="1">
      <c r="A119" s="42">
        <v>2144</v>
      </c>
      <c r="B119" s="58" t="s">
        <v>3520</v>
      </c>
      <c r="C119" s="53" t="s">
        <v>203</v>
      </c>
      <c r="D119" s="51"/>
      <c r="E119" s="51"/>
      <c r="G119" s="46"/>
      <c r="I119" s="53" t="s">
        <v>3775</v>
      </c>
      <c r="J119" s="53" t="s">
        <v>3776</v>
      </c>
      <c r="K119" s="48">
        <v>45511</v>
      </c>
      <c r="L119" s="49" t="s">
        <v>201</v>
      </c>
      <c r="N119" s="77" t="str">
        <f>Table26[[#This Row],[po_number]]&amp;"-"&amp;Table26[[#This Row],[po_line]]</f>
        <v>-15</v>
      </c>
      <c r="O119" s="77">
        <v>15</v>
      </c>
      <c r="P119" s="50"/>
      <c r="Q119" s="53" t="s">
        <v>3791</v>
      </c>
      <c r="T119" s="51"/>
      <c r="U119" s="52">
        <v>114</v>
      </c>
      <c r="W119" s="116" t="str">
        <f t="shared" si="2"/>
        <v/>
      </c>
      <c r="X119" s="53" t="str">
        <f t="shared" si="3"/>
        <v/>
      </c>
      <c r="Z119" s="60"/>
      <c r="AA119" s="18" t="str" cm="1">
        <f t="array" ref="AA119">IF(P119="", "", _xlfn.XLOOKUP(P119,#REF!,#REF!,NA,0,-1))</f>
        <v/>
      </c>
      <c r="AB119" s="47"/>
      <c r="AC119" s="55" t="s">
        <v>3509</v>
      </c>
      <c r="AD119" s="55" t="str">
        <f>IF($AC119="","",_xlfn.XLOOKUP($AC119,'[2]Client Info'!$C$2:$C$2535,'[2]Client Info'!$D$2:$D$2535))</f>
        <v>#201 – 1420 Alpha Lake Road</v>
      </c>
      <c r="AE119" s="55" t="str">
        <f>IF($AC119="","",_xlfn.XLOOKUP($AC119,'[2]Client Info'!$C$2:$C$2715,'[2]Client Info'!$E$2:$E$2715))</f>
        <v>Whistler</v>
      </c>
      <c r="AF119" s="55" t="str">
        <f>IF($AC119="","",_xlfn.XLOOKUP($AC119,'[2]Client Info'!$C$2:$C$2715,'[2]Client Info'!$F$2:$F$2715))</f>
        <v>BC</v>
      </c>
      <c r="AG119" s="55" t="s">
        <v>3509</v>
      </c>
      <c r="AH119" s="62">
        <v>0</v>
      </c>
      <c r="AI119" s="43" t="str">
        <f>_xlfn.XLOOKUP(Table26[[#This Row],[customerSKU]],customerSKU!G:G,customerSKU!O:O,"not found",0,1)</f>
        <v>not found</v>
      </c>
      <c r="AJ119" s="53">
        <f>Table26[[#This Row],[unitprice]]*Table26[[#This Row],[quantity_unit]]</f>
        <v>0</v>
      </c>
      <c r="AK119" s="53" t="e" cm="1">
        <f t="array" ref="AK1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" spans="1:37" s="53" customFormat="1" ht="24.6" customHeight="1">
      <c r="A120" s="42">
        <v>2145</v>
      </c>
      <c r="B120" s="58" t="s">
        <v>3520</v>
      </c>
      <c r="C120" s="53" t="s">
        <v>203</v>
      </c>
      <c r="D120" s="51"/>
      <c r="E120" s="51"/>
      <c r="G120" s="46"/>
      <c r="I120" s="53" t="s">
        <v>3775</v>
      </c>
      <c r="J120" s="53" t="s">
        <v>3776</v>
      </c>
      <c r="K120" s="48">
        <v>45511</v>
      </c>
      <c r="L120" s="49" t="s">
        <v>201</v>
      </c>
      <c r="N120" s="77" t="str">
        <f>Table26[[#This Row],[po_number]]&amp;"-"&amp;Table26[[#This Row],[po_line]]</f>
        <v>-16</v>
      </c>
      <c r="O120" s="77">
        <v>16</v>
      </c>
      <c r="P120" s="50"/>
      <c r="Q120" s="377" t="s">
        <v>3792</v>
      </c>
      <c r="T120" s="51"/>
      <c r="U120" s="52">
        <v>64</v>
      </c>
      <c r="W120" s="116" t="str">
        <f t="shared" si="2"/>
        <v/>
      </c>
      <c r="X120" s="53" t="str">
        <f t="shared" si="3"/>
        <v/>
      </c>
      <c r="Z120" s="60"/>
      <c r="AA120" s="18" t="str" cm="1">
        <f t="array" ref="AA120">IF(P120="", "", _xlfn.XLOOKUP(P120,#REF!,#REF!,NA,0,-1))</f>
        <v/>
      </c>
      <c r="AB120" s="47"/>
      <c r="AC120" s="55" t="s">
        <v>3509</v>
      </c>
      <c r="AD120" s="55" t="str">
        <f>IF($AC120="","",_xlfn.XLOOKUP($AC120,'[2]Client Info'!$C$2:$C$2535,'[2]Client Info'!$D$2:$D$2535))</f>
        <v>#201 – 1420 Alpha Lake Road</v>
      </c>
      <c r="AE120" s="55" t="str">
        <f>IF($AC120="","",_xlfn.XLOOKUP($AC120,'[2]Client Info'!$C$2:$C$2715,'[2]Client Info'!$E$2:$E$2715))</f>
        <v>Whistler</v>
      </c>
      <c r="AF120" s="55" t="str">
        <f>IF($AC120="","",_xlfn.XLOOKUP($AC120,'[2]Client Info'!$C$2:$C$2715,'[2]Client Info'!$F$2:$F$2715))</f>
        <v>BC</v>
      </c>
      <c r="AG120" s="55" t="s">
        <v>3509</v>
      </c>
      <c r="AH120" s="62">
        <v>0</v>
      </c>
      <c r="AI120" s="43" t="str">
        <f>_xlfn.XLOOKUP(Table26[[#This Row],[customerSKU]],customerSKU!G:G,customerSKU!O:O,"not found",0,1)</f>
        <v>not found</v>
      </c>
      <c r="AJ120" s="53">
        <f>Table26[[#This Row],[unitprice]]*Table26[[#This Row],[quantity_unit]]</f>
        <v>0</v>
      </c>
      <c r="AK120" s="53" t="e" cm="1">
        <f t="array" ref="AK1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" spans="1:37" s="53" customFormat="1" ht="24.6" customHeight="1">
      <c r="A121" s="42">
        <v>2112</v>
      </c>
      <c r="B121" s="58" t="s">
        <v>3520</v>
      </c>
      <c r="C121" s="53" t="s">
        <v>203</v>
      </c>
      <c r="D121" s="51"/>
      <c r="E121" s="51"/>
      <c r="G121" s="69"/>
      <c r="I121" s="53" t="s">
        <v>3775</v>
      </c>
      <c r="J121" s="53" t="s">
        <v>3800</v>
      </c>
      <c r="K121" s="48">
        <v>45513</v>
      </c>
      <c r="L121" s="49" t="s">
        <v>201</v>
      </c>
      <c r="N121" s="77" t="str">
        <f>Table26[[#This Row],[po_number]]&amp;"-"&amp;Table26[[#This Row],[po_line]]</f>
        <v>-1</v>
      </c>
      <c r="O121" s="77">
        <v>1</v>
      </c>
      <c r="P121" s="50"/>
      <c r="Q121" s="53" t="s">
        <v>3815</v>
      </c>
      <c r="T121" s="20"/>
      <c r="U121" s="52">
        <f>4/88*80</f>
        <v>3.6363636363636367</v>
      </c>
      <c r="W121" s="116" t="str">
        <f t="shared" si="2"/>
        <v/>
      </c>
      <c r="X121" s="53" t="str">
        <f t="shared" si="3"/>
        <v/>
      </c>
      <c r="Y121" s="60"/>
      <c r="Z121" s="60"/>
      <c r="AA121" s="18" t="str" cm="1">
        <f t="array" ref="AA121">IF(P121="", "", _xlfn.XLOOKUP(P121,#REF!,#REF!,NA,0,-1))</f>
        <v/>
      </c>
      <c r="AB121" s="47"/>
      <c r="AC121" s="55"/>
      <c r="AD121" s="55" t="str">
        <f>IF($AC121="","",_xlfn.XLOOKUP($AC121,'[2]Client Info'!$C$2:$C$2535,'[2]Client Info'!$D$2:$D$2535))</f>
        <v/>
      </c>
      <c r="AE121" s="55" t="str">
        <f>IF($AC121="","",_xlfn.XLOOKUP($AC121,'[2]Client Info'!$C$2:$C$2715,'[2]Client Info'!$E$2:$E$2715))</f>
        <v/>
      </c>
      <c r="AF121" s="55" t="str">
        <f>IF($AC121="","",_xlfn.XLOOKUP($AC121,'[2]Client Info'!$C$2:$C$2715,'[2]Client Info'!$F$2:$F$2715))</f>
        <v/>
      </c>
      <c r="AG121" s="55"/>
      <c r="AH121" s="62">
        <v>0</v>
      </c>
      <c r="AI121" s="43" t="str">
        <f>_xlfn.XLOOKUP(Table26[[#This Row],[customerSKU]],customerSKU!G:G,customerSKU!O:O,"not found",0,1)</f>
        <v>not found</v>
      </c>
      <c r="AJ121" s="59">
        <f>Table26[[#This Row],[unitprice]]*Table26[[#This Row],[quantity_unit]]</f>
        <v>0</v>
      </c>
      <c r="AK121" s="59" t="e" cm="1">
        <f t="array" ref="AK1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" spans="1:37" s="53" customFormat="1" ht="18" customHeight="1">
      <c r="A122" s="42">
        <v>2113</v>
      </c>
      <c r="B122" s="58" t="s">
        <v>3520</v>
      </c>
      <c r="C122" s="53" t="s">
        <v>203</v>
      </c>
      <c r="D122" s="51"/>
      <c r="E122" s="51"/>
      <c r="G122" s="69"/>
      <c r="I122" s="53" t="s">
        <v>3775</v>
      </c>
      <c r="J122" s="53" t="s">
        <v>3800</v>
      </c>
      <c r="K122" s="48">
        <v>45513</v>
      </c>
      <c r="L122" s="49" t="s">
        <v>201</v>
      </c>
      <c r="N122" s="77" t="str">
        <f>Table26[[#This Row],[po_number]]&amp;"-"&amp;Table26[[#This Row],[po_line]]</f>
        <v>-2</v>
      </c>
      <c r="O122" s="77">
        <v>2</v>
      </c>
      <c r="P122" s="50"/>
      <c r="Q122" s="377" t="s">
        <v>3816</v>
      </c>
      <c r="T122" s="20"/>
      <c r="U122" s="52">
        <f>80/3</f>
        <v>26.666666666666668</v>
      </c>
      <c r="W122" s="116" t="str">
        <f t="shared" si="2"/>
        <v/>
      </c>
      <c r="X122" s="53" t="str">
        <f t="shared" si="3"/>
        <v/>
      </c>
      <c r="Y122" s="60"/>
      <c r="Z122" s="60"/>
      <c r="AA122" s="18" t="str" cm="1">
        <f t="array" ref="AA122">IF(P122="", "", _xlfn.XLOOKUP(P122,#REF!,#REF!,NA,0,-1))</f>
        <v/>
      </c>
      <c r="AB122" s="47"/>
      <c r="AC122" s="55"/>
      <c r="AD122" s="55" t="str">
        <f>IF($AC122="","",_xlfn.XLOOKUP($AC122,'[2]Client Info'!$C$2:$C$2535,'[2]Client Info'!$D$2:$D$2535))</f>
        <v/>
      </c>
      <c r="AE122" s="55" t="str">
        <f>IF($AC122="","",_xlfn.XLOOKUP($AC122,'[2]Client Info'!$C$2:$C$2715,'[2]Client Info'!$E$2:$E$2715))</f>
        <v/>
      </c>
      <c r="AF122" s="55" t="str">
        <f>IF($AC122="","",_xlfn.XLOOKUP($AC122,'[2]Client Info'!$C$2:$C$2715,'[2]Client Info'!$F$2:$F$2715))</f>
        <v/>
      </c>
      <c r="AG122" s="55"/>
      <c r="AH122" s="62">
        <v>0</v>
      </c>
      <c r="AI122" s="43" t="str">
        <f>_xlfn.XLOOKUP(Table26[[#This Row],[customerSKU]],customerSKU!G:G,customerSKU!O:O,"not found",0,1)</f>
        <v>not found</v>
      </c>
      <c r="AJ122" s="59">
        <f>Table26[[#This Row],[unitprice]]*Table26[[#This Row],[quantity_unit]]</f>
        <v>0</v>
      </c>
      <c r="AK122" s="59" t="e" cm="1">
        <f t="array" ref="AK1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" spans="1:37" s="53" customFormat="1" ht="18" customHeight="1">
      <c r="A123" s="42">
        <v>2114</v>
      </c>
      <c r="B123" s="58" t="s">
        <v>3520</v>
      </c>
      <c r="C123" s="53" t="s">
        <v>203</v>
      </c>
      <c r="D123" s="51"/>
      <c r="E123" s="51"/>
      <c r="G123" s="69"/>
      <c r="I123" s="53" t="s">
        <v>3775</v>
      </c>
      <c r="J123" s="53" t="s">
        <v>3800</v>
      </c>
      <c r="K123" s="48">
        <v>45513</v>
      </c>
      <c r="L123" s="49" t="s">
        <v>201</v>
      </c>
      <c r="N123" s="77" t="str">
        <f>Table26[[#This Row],[po_number]]&amp;"-"&amp;Table26[[#This Row],[po_line]]</f>
        <v>-3</v>
      </c>
      <c r="O123" s="77">
        <v>3</v>
      </c>
      <c r="P123" s="50"/>
      <c r="Q123" s="53" t="s">
        <v>3817</v>
      </c>
      <c r="T123" s="20"/>
      <c r="U123" s="52">
        <f>80/3</f>
        <v>26.666666666666668</v>
      </c>
      <c r="W123" s="116" t="str">
        <f t="shared" si="2"/>
        <v/>
      </c>
      <c r="X123" s="53" t="str">
        <f t="shared" si="3"/>
        <v/>
      </c>
      <c r="Y123" s="60"/>
      <c r="Z123" s="60"/>
      <c r="AA123" s="18" t="str" cm="1">
        <f t="array" ref="AA123">IF(P123="", "", _xlfn.XLOOKUP(P123,#REF!,#REF!,NA,0,-1))</f>
        <v/>
      </c>
      <c r="AB123" s="47"/>
      <c r="AC123" s="55"/>
      <c r="AD123" s="55" t="str">
        <f>IF($AC123="","",_xlfn.XLOOKUP($AC123,'[2]Client Info'!$C$2:$C$2535,'[2]Client Info'!$D$2:$D$2535))</f>
        <v/>
      </c>
      <c r="AE123" s="55" t="str">
        <f>IF($AC123="","",_xlfn.XLOOKUP($AC123,'[2]Client Info'!$C$2:$C$2715,'[2]Client Info'!$E$2:$E$2715))</f>
        <v/>
      </c>
      <c r="AF123" s="55" t="str">
        <f>IF($AC123="","",_xlfn.XLOOKUP($AC123,'[2]Client Info'!$C$2:$C$2715,'[2]Client Info'!$F$2:$F$2715))</f>
        <v/>
      </c>
      <c r="AG123" s="55"/>
      <c r="AH123" s="62">
        <v>0</v>
      </c>
      <c r="AI123" s="43" t="str">
        <f>_xlfn.XLOOKUP(Table26[[#This Row],[customerSKU]],customerSKU!G:G,customerSKU!O:O,"not found",0,1)</f>
        <v>not found</v>
      </c>
      <c r="AJ123" s="59">
        <f>Table26[[#This Row],[unitprice]]*Table26[[#This Row],[quantity_unit]]</f>
        <v>0</v>
      </c>
      <c r="AK123" s="59" t="e" cm="1">
        <f t="array" ref="AK1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4" spans="1:37" s="53" customFormat="1" ht="18" customHeight="1">
      <c r="A124" s="42">
        <v>2115</v>
      </c>
      <c r="B124" s="42" t="s">
        <v>3520</v>
      </c>
      <c r="C124" s="43" t="s">
        <v>203</v>
      </c>
      <c r="D124" s="71"/>
      <c r="E124" s="71" t="e">
        <f>IF(#REF!&gt;0,#REF!,"")</f>
        <v>#REF!</v>
      </c>
      <c r="F124" s="72"/>
      <c r="G124" s="69"/>
      <c r="H124" s="72"/>
      <c r="I124" s="47" t="s">
        <v>3862</v>
      </c>
      <c r="J124" s="47" t="s">
        <v>499</v>
      </c>
      <c r="K124" s="48">
        <v>45513</v>
      </c>
      <c r="L124" s="49" t="s">
        <v>490</v>
      </c>
      <c r="M124" s="47"/>
      <c r="N124" s="89" t="str">
        <f>Table26[[#This Row],[po_number]]&amp;"-"&amp;Table26[[#This Row],[po_line]]</f>
        <v>-1</v>
      </c>
      <c r="O124" s="89">
        <v>1</v>
      </c>
      <c r="P124" s="50"/>
      <c r="Q124" s="53" t="s">
        <v>1386</v>
      </c>
      <c r="R124" s="53" t="s">
        <v>532</v>
      </c>
      <c r="S124" s="43" t="s">
        <v>34</v>
      </c>
      <c r="T124" s="51">
        <v>45510</v>
      </c>
      <c r="U124" s="52">
        <v>12</v>
      </c>
      <c r="V124" s="53">
        <v>12</v>
      </c>
      <c r="W124" s="116">
        <f t="shared" si="2"/>
        <v>1</v>
      </c>
      <c r="X124" s="53" t="str">
        <f t="shared" si="3"/>
        <v/>
      </c>
      <c r="Z124" s="60"/>
      <c r="AA124" s="18" t="str" cm="1">
        <f t="array" ref="AA124">IF(P124="", "", _xlfn.XLOOKUP(P124,#REF!,#REF!,NA,0,-1))</f>
        <v/>
      </c>
      <c r="AB124" s="47"/>
      <c r="AC124" s="55" t="s">
        <v>3400</v>
      </c>
      <c r="AD124" s="55" t="str">
        <f>IF($AC124="","",_xlfn.XLOOKUP($AC124,'[2]Client Info'!$C$2:$C$2535,'[2]Client Info'!$D$2:$D$2535))</f>
        <v>9031 Quartz Road</v>
      </c>
      <c r="AE124" s="55" t="str">
        <f>IF($AC124="","",_xlfn.XLOOKUP($AC124,'[2]Client Info'!$C$2:$C$2715,'[2]Client Info'!$E$2:$E$2715))</f>
        <v>White Horse</v>
      </c>
      <c r="AF124" s="55" t="str">
        <f>IF($AC124="","",_xlfn.XLOOKUP($AC124,'[2]Client Info'!$C$2:$C$2715,'[2]Client Info'!$F$2:$F$2715))</f>
        <v>YT</v>
      </c>
      <c r="AG124" s="55" t="s">
        <v>33</v>
      </c>
      <c r="AH124" s="57"/>
      <c r="AI124" s="43" t="str">
        <f>_xlfn.XLOOKUP(Table26[[#This Row],[customerSKU]],customerSKU!G:G,customerSKU!O:O,"not found",0,1)</f>
        <v>not found</v>
      </c>
      <c r="AJ124" s="47">
        <f>Table26[[#This Row],[unitprice]]*Table26[[#This Row],[quantity_unit]]</f>
        <v>0</v>
      </c>
      <c r="AK124" s="47" t="e" cm="1">
        <f t="array" ref="AK1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5" spans="1:37" s="53" customFormat="1" ht="18" customHeight="1">
      <c r="A125" s="42">
        <v>2116</v>
      </c>
      <c r="B125" s="42" t="s">
        <v>3520</v>
      </c>
      <c r="C125" s="43" t="s">
        <v>203</v>
      </c>
      <c r="D125" s="71"/>
      <c r="E125" s="71"/>
      <c r="F125" s="72"/>
      <c r="G125" s="69"/>
      <c r="H125" s="72"/>
      <c r="I125" s="47" t="s">
        <v>3862</v>
      </c>
      <c r="J125" s="47" t="s">
        <v>499</v>
      </c>
      <c r="K125" s="48">
        <v>45513</v>
      </c>
      <c r="L125" s="49" t="s">
        <v>490</v>
      </c>
      <c r="M125" s="47"/>
      <c r="N125" s="89" t="str">
        <f>Table26[[#This Row],[po_number]]&amp;"-"&amp;Table26[[#This Row],[po_line]]</f>
        <v>-2</v>
      </c>
      <c r="O125" s="89">
        <v>2</v>
      </c>
      <c r="P125" s="50"/>
      <c r="Q125" s="47" t="s">
        <v>821</v>
      </c>
      <c r="R125" s="47" t="s">
        <v>3428</v>
      </c>
      <c r="S125" s="43" t="s">
        <v>34</v>
      </c>
      <c r="T125" s="51">
        <v>45510</v>
      </c>
      <c r="U125" s="52">
        <v>12</v>
      </c>
      <c r="V125" s="47">
        <v>12</v>
      </c>
      <c r="W125" s="116">
        <f t="shared" si="2"/>
        <v>1</v>
      </c>
      <c r="X125" s="53" t="str">
        <f t="shared" si="3"/>
        <v/>
      </c>
      <c r="Y125" s="47"/>
      <c r="Z125" s="54"/>
      <c r="AA125" s="18" t="str" cm="1">
        <f t="array" ref="AA125">IF(P125="", "", _xlfn.XLOOKUP(P125,#REF!,#REF!,NA,0,-1))</f>
        <v/>
      </c>
      <c r="AB125" s="47"/>
      <c r="AC125" s="55" t="s">
        <v>3400</v>
      </c>
      <c r="AD125" s="55" t="str">
        <f>IF($AC125="","",_xlfn.XLOOKUP($AC125,'[2]Client Info'!$C$2:$C$2535,'[2]Client Info'!$D$2:$D$2535))</f>
        <v>9031 Quartz Road</v>
      </c>
      <c r="AE125" s="55" t="str">
        <f>IF($AC125="","",_xlfn.XLOOKUP($AC125,'[2]Client Info'!$C$2:$C$2715,'[2]Client Info'!$E$2:$E$2715))</f>
        <v>White Horse</v>
      </c>
      <c r="AF125" s="55" t="str">
        <f>IF($AC125="","",_xlfn.XLOOKUP($AC125,'[2]Client Info'!$C$2:$C$2715,'[2]Client Info'!$F$2:$F$2715))</f>
        <v>YT</v>
      </c>
      <c r="AG125" s="55" t="s">
        <v>33</v>
      </c>
      <c r="AH125" s="57"/>
      <c r="AI125" s="43" t="str">
        <f>_xlfn.XLOOKUP(Table26[[#This Row],[customerSKU]],customerSKU!G:G,customerSKU!O:O,"not found",0,1)</f>
        <v>not found</v>
      </c>
      <c r="AJ125" s="47">
        <f>Table26[[#This Row],[unitprice]]*Table26[[#This Row],[quantity_unit]]</f>
        <v>0</v>
      </c>
      <c r="AK125" s="47" t="e" cm="1">
        <f t="array" ref="AK1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6" spans="1:37" s="53" customFormat="1" ht="18" customHeight="1">
      <c r="A126" s="42">
        <v>2117</v>
      </c>
      <c r="B126" s="42" t="s">
        <v>3520</v>
      </c>
      <c r="C126" s="43" t="s">
        <v>203</v>
      </c>
      <c r="D126" s="71"/>
      <c r="E126" s="71" t="e">
        <f>IF(#REF!&gt;0,#REF!,"")</f>
        <v>#REF!</v>
      </c>
      <c r="F126" s="72"/>
      <c r="G126" s="69"/>
      <c r="H126" s="72"/>
      <c r="I126" s="47" t="s">
        <v>3862</v>
      </c>
      <c r="J126" s="47" t="s">
        <v>499</v>
      </c>
      <c r="K126" s="48">
        <v>45513</v>
      </c>
      <c r="L126" s="49" t="s">
        <v>490</v>
      </c>
      <c r="M126" s="47"/>
      <c r="N126" s="89" t="str">
        <f>Table26[[#This Row],[po_number]]&amp;"-"&amp;Table26[[#This Row],[po_line]]</f>
        <v>-3</v>
      </c>
      <c r="O126" s="89">
        <v>3</v>
      </c>
      <c r="P126" s="50"/>
      <c r="Q126" s="47" t="s">
        <v>3870</v>
      </c>
      <c r="R126" s="47" t="s">
        <v>3428</v>
      </c>
      <c r="S126" s="43" t="s">
        <v>34</v>
      </c>
      <c r="T126" s="51">
        <v>45448</v>
      </c>
      <c r="U126" s="52">
        <v>12</v>
      </c>
      <c r="V126" s="47">
        <v>12</v>
      </c>
      <c r="W126" s="116">
        <f t="shared" si="2"/>
        <v>1</v>
      </c>
      <c r="X126" s="53" t="str">
        <f t="shared" si="3"/>
        <v/>
      </c>
      <c r="Y126" s="47"/>
      <c r="Z126" s="54"/>
      <c r="AA126" s="18" t="str" cm="1">
        <f t="array" ref="AA126">IF(P126="", "", _xlfn.XLOOKUP(P126,#REF!,#REF!,NA,0,-1))</f>
        <v/>
      </c>
      <c r="AB126" s="47"/>
      <c r="AC126" s="55" t="s">
        <v>3400</v>
      </c>
      <c r="AD126" s="55" t="str">
        <f>IF($AC126="","",_xlfn.XLOOKUP($AC126,'[2]Client Info'!$C$2:$C$2535,'[2]Client Info'!$D$2:$D$2535))</f>
        <v>9031 Quartz Road</v>
      </c>
      <c r="AE126" s="55" t="str">
        <f>IF($AC126="","",_xlfn.XLOOKUP($AC126,'[2]Client Info'!$C$2:$C$2715,'[2]Client Info'!$E$2:$E$2715))</f>
        <v>White Horse</v>
      </c>
      <c r="AF126" s="55" t="str">
        <f>IF($AC126="","",_xlfn.XLOOKUP($AC126,'[2]Client Info'!$C$2:$C$2715,'[2]Client Info'!$F$2:$F$2715))</f>
        <v>YT</v>
      </c>
      <c r="AG126" s="55" t="s">
        <v>33</v>
      </c>
      <c r="AH126" s="57"/>
      <c r="AI126" s="43" t="str">
        <f>_xlfn.XLOOKUP(Table26[[#This Row],[customerSKU]],customerSKU!G:G,customerSKU!O:O,"not found",0,1)</f>
        <v>not found</v>
      </c>
      <c r="AJ126" s="47">
        <f>Table26[[#This Row],[unitprice]]*Table26[[#This Row],[quantity_unit]]</f>
        <v>0</v>
      </c>
      <c r="AK126" s="47" t="e" cm="1">
        <f t="array" ref="AK1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7" spans="1:37" s="53" customFormat="1" ht="18" customHeight="1">
      <c r="A127" s="42">
        <v>2118</v>
      </c>
      <c r="B127" s="42" t="s">
        <v>3520</v>
      </c>
      <c r="C127" s="43" t="s">
        <v>203</v>
      </c>
      <c r="D127" s="71"/>
      <c r="E127" s="71" t="e">
        <f>IF(#REF!&gt;0,#REF!,"")</f>
        <v>#REF!</v>
      </c>
      <c r="F127" s="72"/>
      <c r="G127" s="69"/>
      <c r="H127" s="72"/>
      <c r="I127" s="47" t="s">
        <v>3862</v>
      </c>
      <c r="J127" s="47" t="s">
        <v>499</v>
      </c>
      <c r="K127" s="48">
        <v>45513</v>
      </c>
      <c r="L127" s="49" t="s">
        <v>490</v>
      </c>
      <c r="M127" s="47"/>
      <c r="N127" s="89" t="str">
        <f>Table26[[#This Row],[po_number]]&amp;"-"&amp;Table26[[#This Row],[po_line]]</f>
        <v>-4</v>
      </c>
      <c r="O127" s="89">
        <v>4</v>
      </c>
      <c r="P127" s="50"/>
      <c r="Q127" s="47" t="s">
        <v>694</v>
      </c>
      <c r="R127" s="47" t="s">
        <v>3428</v>
      </c>
      <c r="S127" s="43" t="s">
        <v>34</v>
      </c>
      <c r="T127" s="51">
        <v>45510</v>
      </c>
      <c r="U127" s="52">
        <f>12*6</f>
        <v>72</v>
      </c>
      <c r="V127" s="47">
        <v>12</v>
      </c>
      <c r="W127" s="116">
        <f t="shared" si="2"/>
        <v>6</v>
      </c>
      <c r="X127" s="53" t="str">
        <f t="shared" si="3"/>
        <v/>
      </c>
      <c r="Y127" s="47"/>
      <c r="Z127" s="54"/>
      <c r="AA127" s="18" t="str" cm="1">
        <f t="array" ref="AA127">IF(P127="", "", _xlfn.XLOOKUP(P127,#REF!,#REF!,NA,0,-1))</f>
        <v/>
      </c>
      <c r="AB127" s="47"/>
      <c r="AC127" s="55" t="s">
        <v>3400</v>
      </c>
      <c r="AD127" s="55" t="str">
        <f>IF($AC127="","",_xlfn.XLOOKUP($AC127,'[2]Client Info'!$C$2:$C$2535,'[2]Client Info'!$D$2:$D$2535))</f>
        <v>9031 Quartz Road</v>
      </c>
      <c r="AE127" s="55" t="str">
        <f>IF($AC127="","",_xlfn.XLOOKUP($AC127,'[2]Client Info'!$C$2:$C$2715,'[2]Client Info'!$E$2:$E$2715))</f>
        <v>White Horse</v>
      </c>
      <c r="AF127" s="55" t="str">
        <f>IF($AC127="","",_xlfn.XLOOKUP($AC127,'[2]Client Info'!$C$2:$C$2715,'[2]Client Info'!$F$2:$F$2715))</f>
        <v>YT</v>
      </c>
      <c r="AG127" s="55" t="s">
        <v>33</v>
      </c>
      <c r="AH127" s="57"/>
      <c r="AI127" s="43" t="str">
        <f>_xlfn.XLOOKUP(Table26[[#This Row],[customerSKU]],customerSKU!G:G,customerSKU!O:O,"not found",0,1)</f>
        <v>not found</v>
      </c>
      <c r="AJ127" s="47">
        <f>Table26[[#This Row],[unitprice]]*Table26[[#This Row],[quantity_unit]]</f>
        <v>0</v>
      </c>
      <c r="AK127" s="47" t="e" cm="1">
        <f t="array" ref="AK1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8" spans="1:37" s="53" customFormat="1" ht="18" customHeight="1">
      <c r="A128" s="42">
        <v>2119</v>
      </c>
      <c r="B128" s="42" t="s">
        <v>3520</v>
      </c>
      <c r="C128" s="43" t="s">
        <v>203</v>
      </c>
      <c r="D128" s="71"/>
      <c r="E128" s="71" t="e">
        <f>IF(#REF!&gt;0,#REF!,"")</f>
        <v>#REF!</v>
      </c>
      <c r="F128" s="72"/>
      <c r="G128" s="69"/>
      <c r="H128" s="72"/>
      <c r="I128" s="47" t="s">
        <v>3862</v>
      </c>
      <c r="J128" s="47" t="s">
        <v>499</v>
      </c>
      <c r="K128" s="48">
        <v>45513</v>
      </c>
      <c r="L128" s="49" t="s">
        <v>490</v>
      </c>
      <c r="M128" s="47"/>
      <c r="N128" s="89" t="str">
        <f>Table26[[#This Row],[po_number]]&amp;"-"&amp;Table26[[#This Row],[po_line]]</f>
        <v>-5</v>
      </c>
      <c r="O128" s="89">
        <v>5</v>
      </c>
      <c r="P128" s="50"/>
      <c r="Q128" s="407" t="s">
        <v>1849</v>
      </c>
      <c r="R128" s="47" t="s">
        <v>3428</v>
      </c>
      <c r="S128" s="43" t="s">
        <v>34</v>
      </c>
      <c r="T128" s="51">
        <v>45447</v>
      </c>
      <c r="U128" s="52">
        <v>12</v>
      </c>
      <c r="V128" s="47">
        <v>12</v>
      </c>
      <c r="W128" s="116">
        <f t="shared" si="2"/>
        <v>1</v>
      </c>
      <c r="X128" s="53" t="str">
        <f t="shared" si="3"/>
        <v/>
      </c>
      <c r="Y128" s="47"/>
      <c r="Z128" s="54"/>
      <c r="AA128" s="18" t="str" cm="1">
        <f t="array" ref="AA128">IF(P128="", "", _xlfn.XLOOKUP(P128,#REF!,#REF!,NA,0,-1))</f>
        <v/>
      </c>
      <c r="AB128" s="47"/>
      <c r="AC128" s="55" t="s">
        <v>3400</v>
      </c>
      <c r="AD128" s="55" t="str">
        <f>IF($AC128="","",_xlfn.XLOOKUP($AC128,'[2]Client Info'!$C$2:$C$2535,'[2]Client Info'!$D$2:$D$2535))</f>
        <v>9031 Quartz Road</v>
      </c>
      <c r="AE128" s="55" t="str">
        <f>IF($AC128="","",_xlfn.XLOOKUP($AC128,'[2]Client Info'!$C$2:$C$2715,'[2]Client Info'!$E$2:$E$2715))</f>
        <v>White Horse</v>
      </c>
      <c r="AF128" s="55" t="str">
        <f>IF($AC128="","",_xlfn.XLOOKUP($AC128,'[2]Client Info'!$C$2:$C$2715,'[2]Client Info'!$F$2:$F$2715))</f>
        <v>YT</v>
      </c>
      <c r="AG128" s="55" t="s">
        <v>33</v>
      </c>
      <c r="AH128" s="57"/>
      <c r="AI128" s="43" t="str">
        <f>_xlfn.XLOOKUP(Table26[[#This Row],[customerSKU]],customerSKU!G:G,customerSKU!O:O,"not found",0,1)</f>
        <v>not found</v>
      </c>
      <c r="AJ128" s="47">
        <f>Table26[[#This Row],[unitprice]]*Table26[[#This Row],[quantity_unit]]</f>
        <v>0</v>
      </c>
      <c r="AK128" s="47" t="e" cm="1">
        <f t="array" ref="AK1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9" spans="1:37" s="53" customFormat="1" ht="18" customHeight="1">
      <c r="A129" s="42">
        <v>2120</v>
      </c>
      <c r="B129" s="42" t="s">
        <v>3520</v>
      </c>
      <c r="C129" s="43" t="s">
        <v>203</v>
      </c>
      <c r="D129" s="71"/>
      <c r="E129" s="71" t="e">
        <f>IF(#REF!&gt;0,#REF!,"")</f>
        <v>#REF!</v>
      </c>
      <c r="F129" s="72"/>
      <c r="G129" s="69"/>
      <c r="H129" s="72"/>
      <c r="I129" s="47" t="s">
        <v>3862</v>
      </c>
      <c r="J129" s="47" t="s">
        <v>499</v>
      </c>
      <c r="K129" s="48">
        <v>45513</v>
      </c>
      <c r="L129" s="49" t="s">
        <v>490</v>
      </c>
      <c r="M129" s="47"/>
      <c r="N129" s="89" t="str">
        <f>Table26[[#This Row],[po_number]]&amp;"-"&amp;Table26[[#This Row],[po_line]]</f>
        <v>-6</v>
      </c>
      <c r="O129" s="89">
        <v>6</v>
      </c>
      <c r="P129" s="50"/>
      <c r="Q129" s="47" t="s">
        <v>828</v>
      </c>
      <c r="R129" s="47" t="s">
        <v>3428</v>
      </c>
      <c r="S129" s="43" t="s">
        <v>34</v>
      </c>
      <c r="T129" s="51">
        <v>45447</v>
      </c>
      <c r="U129" s="52">
        <v>12</v>
      </c>
      <c r="V129" s="47">
        <v>12</v>
      </c>
      <c r="W129" s="116">
        <f t="shared" si="2"/>
        <v>1</v>
      </c>
      <c r="X129" s="53" t="str">
        <f t="shared" si="3"/>
        <v/>
      </c>
      <c r="Y129" s="47"/>
      <c r="Z129" s="54"/>
      <c r="AA129" s="18" t="str" cm="1">
        <f t="array" ref="AA129">IF(P129="", "", _xlfn.XLOOKUP(P129,#REF!,#REF!,NA,0,-1))</f>
        <v/>
      </c>
      <c r="AB129" s="47"/>
      <c r="AC129" s="55" t="s">
        <v>3400</v>
      </c>
      <c r="AD129" s="55" t="str">
        <f>IF($AC129="","",_xlfn.XLOOKUP($AC129,'[2]Client Info'!$C$2:$C$2535,'[2]Client Info'!$D$2:$D$2535))</f>
        <v>9031 Quartz Road</v>
      </c>
      <c r="AE129" s="55" t="str">
        <f>IF($AC129="","",_xlfn.XLOOKUP($AC129,'[2]Client Info'!$C$2:$C$2715,'[2]Client Info'!$E$2:$E$2715))</f>
        <v>White Horse</v>
      </c>
      <c r="AF129" s="55" t="str">
        <f>IF($AC129="","",_xlfn.XLOOKUP($AC129,'[2]Client Info'!$C$2:$C$2715,'[2]Client Info'!$F$2:$F$2715))</f>
        <v>YT</v>
      </c>
      <c r="AG129" s="55" t="s">
        <v>33</v>
      </c>
      <c r="AH129" s="57"/>
      <c r="AI129" s="43" t="str">
        <f>_xlfn.XLOOKUP(Table26[[#This Row],[customerSKU]],customerSKU!G:G,customerSKU!O:O,"not found",0,1)</f>
        <v>not found</v>
      </c>
      <c r="AJ129" s="47">
        <f>Table26[[#This Row],[unitprice]]*Table26[[#This Row],[quantity_unit]]</f>
        <v>0</v>
      </c>
      <c r="AK129" s="47" t="e" cm="1">
        <f t="array" ref="AK1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0" spans="1:37" s="53" customFormat="1" ht="18" customHeight="1">
      <c r="A130" s="42">
        <v>2121</v>
      </c>
      <c r="B130" s="42" t="s">
        <v>3520</v>
      </c>
      <c r="C130" s="43" t="s">
        <v>203</v>
      </c>
      <c r="D130" s="71"/>
      <c r="E130" s="71" t="e">
        <f>IF(#REF!&gt;0,#REF!,"")</f>
        <v>#REF!</v>
      </c>
      <c r="F130" s="72"/>
      <c r="G130" s="69"/>
      <c r="H130" s="72"/>
      <c r="I130" s="47" t="s">
        <v>3862</v>
      </c>
      <c r="J130" s="47" t="s">
        <v>499</v>
      </c>
      <c r="K130" s="48">
        <v>45513</v>
      </c>
      <c r="L130" s="49" t="s">
        <v>490</v>
      </c>
      <c r="M130" s="47"/>
      <c r="N130" s="89" t="str">
        <f>Table26[[#This Row],[po_number]]&amp;"-"&amp;Table26[[#This Row],[po_line]]</f>
        <v>-7</v>
      </c>
      <c r="O130" s="89">
        <v>7</v>
      </c>
      <c r="P130" s="50"/>
      <c r="Q130" s="407" t="s">
        <v>846</v>
      </c>
      <c r="R130" s="47" t="s">
        <v>3428</v>
      </c>
      <c r="S130" s="43" t="s">
        <v>34</v>
      </c>
      <c r="T130" s="51">
        <v>45492</v>
      </c>
      <c r="U130" s="52">
        <v>12</v>
      </c>
      <c r="V130" s="47">
        <v>12</v>
      </c>
      <c r="W130" s="116">
        <f t="shared" ref="W130:W193" si="4">IFERROR(U130/V130, "")</f>
        <v>1</v>
      </c>
      <c r="X130" s="53" t="str">
        <f t="shared" ref="X130:X193" si="5">IFERROR($AA130*$U130, "")</f>
        <v/>
      </c>
      <c r="Y130" s="47"/>
      <c r="Z130" s="54"/>
      <c r="AA130" s="18" t="str" cm="1">
        <f t="array" ref="AA130">IF(P130="", "", _xlfn.XLOOKUP(P130,#REF!,#REF!,NA,0,-1))</f>
        <v/>
      </c>
      <c r="AB130" s="47"/>
      <c r="AC130" s="55" t="s">
        <v>3400</v>
      </c>
      <c r="AD130" s="55" t="str">
        <f>IF($AC130="","",_xlfn.XLOOKUP($AC130,'[2]Client Info'!$C$2:$C$2535,'[2]Client Info'!$D$2:$D$2535))</f>
        <v>9031 Quartz Road</v>
      </c>
      <c r="AE130" s="55" t="str">
        <f>IF($AC130="","",_xlfn.XLOOKUP($AC130,'[2]Client Info'!$C$2:$C$2715,'[2]Client Info'!$E$2:$E$2715))</f>
        <v>White Horse</v>
      </c>
      <c r="AF130" s="55" t="str">
        <f>IF($AC130="","",_xlfn.XLOOKUP($AC130,'[2]Client Info'!$C$2:$C$2715,'[2]Client Info'!$F$2:$F$2715))</f>
        <v>YT</v>
      </c>
      <c r="AG130" s="55" t="s">
        <v>33</v>
      </c>
      <c r="AH130" s="57"/>
      <c r="AI130" s="43" t="str">
        <f>_xlfn.XLOOKUP(Table26[[#This Row],[customerSKU]],customerSKU!G:G,customerSKU!O:O,"not found",0,1)</f>
        <v>not found</v>
      </c>
      <c r="AJ130" s="47">
        <f>Table26[[#This Row],[unitprice]]*Table26[[#This Row],[quantity_unit]]</f>
        <v>0</v>
      </c>
      <c r="AK130" s="47" t="e" cm="1">
        <f t="array" ref="AK1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1" spans="1:37" s="53" customFormat="1" ht="24.6" customHeight="1">
      <c r="A131" s="42">
        <v>2122</v>
      </c>
      <c r="B131" s="42" t="s">
        <v>3520</v>
      </c>
      <c r="C131" s="43" t="s">
        <v>203</v>
      </c>
      <c r="D131" s="71"/>
      <c r="E131" s="71" t="e">
        <f>IF(#REF!&gt;0,#REF!,"")</f>
        <v>#REF!</v>
      </c>
      <c r="F131" s="72"/>
      <c r="G131" s="69"/>
      <c r="H131" s="72"/>
      <c r="I131" s="47" t="s">
        <v>3862</v>
      </c>
      <c r="J131" s="47" t="s">
        <v>499</v>
      </c>
      <c r="K131" s="48">
        <v>45513</v>
      </c>
      <c r="L131" s="49" t="s">
        <v>490</v>
      </c>
      <c r="M131" s="47"/>
      <c r="N131" s="89" t="str">
        <f>Table26[[#This Row],[po_number]]&amp;"-"&amp;Table26[[#This Row],[po_line]]</f>
        <v>-8</v>
      </c>
      <c r="O131" s="89">
        <v>8</v>
      </c>
      <c r="P131" s="50"/>
      <c r="Q131" s="47" t="s">
        <v>3569</v>
      </c>
      <c r="R131" s="47" t="s">
        <v>3428</v>
      </c>
      <c r="S131" s="43" t="s">
        <v>34</v>
      </c>
      <c r="T131" s="51">
        <v>45510</v>
      </c>
      <c r="U131" s="52">
        <v>12</v>
      </c>
      <c r="V131" s="47">
        <v>12</v>
      </c>
      <c r="W131" s="116">
        <f t="shared" si="4"/>
        <v>1</v>
      </c>
      <c r="X131" s="53" t="str">
        <f t="shared" si="5"/>
        <v/>
      </c>
      <c r="Y131" s="47"/>
      <c r="Z131" s="54"/>
      <c r="AA131" s="18" t="str" cm="1">
        <f t="array" ref="AA131">IF(P131="", "", _xlfn.XLOOKUP(P131,#REF!,#REF!,NA,0,-1))</f>
        <v/>
      </c>
      <c r="AB131" s="47"/>
      <c r="AC131" s="55" t="s">
        <v>3400</v>
      </c>
      <c r="AD131" s="55" t="str">
        <f>IF($AC131="","",_xlfn.XLOOKUP($AC131,'[2]Client Info'!$C$2:$C$2535,'[2]Client Info'!$D$2:$D$2535))</f>
        <v>9031 Quartz Road</v>
      </c>
      <c r="AE131" s="55" t="str">
        <f>IF($AC131="","",_xlfn.XLOOKUP($AC131,'[2]Client Info'!$C$2:$C$2715,'[2]Client Info'!$E$2:$E$2715))</f>
        <v>White Horse</v>
      </c>
      <c r="AF131" s="55" t="str">
        <f>IF($AC131="","",_xlfn.XLOOKUP($AC131,'[2]Client Info'!$C$2:$C$2715,'[2]Client Info'!$F$2:$F$2715))</f>
        <v>YT</v>
      </c>
      <c r="AG131" s="55" t="s">
        <v>33</v>
      </c>
      <c r="AH131" s="57"/>
      <c r="AI131" s="43" t="str">
        <f>_xlfn.XLOOKUP(Table26[[#This Row],[customerSKU]],customerSKU!G:G,customerSKU!O:O,"not found",0,1)</f>
        <v>not found</v>
      </c>
      <c r="AJ131" s="47">
        <f>Table26[[#This Row],[unitprice]]*Table26[[#This Row],[quantity_unit]]</f>
        <v>0</v>
      </c>
      <c r="AK131" s="47" t="e" cm="1">
        <f t="array" ref="AK1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2" spans="1:37" s="53" customFormat="1" ht="24.6" customHeight="1">
      <c r="A132" s="42">
        <v>2123</v>
      </c>
      <c r="B132" s="42" t="s">
        <v>3520</v>
      </c>
      <c r="C132" s="43" t="s">
        <v>203</v>
      </c>
      <c r="D132" s="71"/>
      <c r="E132" s="71" t="e">
        <f>IF(#REF!&gt;0,#REF!,"")</f>
        <v>#REF!</v>
      </c>
      <c r="F132" s="72"/>
      <c r="G132" s="69"/>
      <c r="H132" s="72"/>
      <c r="I132" s="47" t="s">
        <v>3862</v>
      </c>
      <c r="J132" s="47" t="s">
        <v>499</v>
      </c>
      <c r="K132" s="48">
        <v>45513</v>
      </c>
      <c r="L132" s="49" t="s">
        <v>490</v>
      </c>
      <c r="M132" s="47"/>
      <c r="N132" s="89" t="str">
        <f>Table26[[#This Row],[po_number]]&amp;"-"&amp;Table26[[#This Row],[po_line]]</f>
        <v>-9</v>
      </c>
      <c r="O132" s="89">
        <v>9</v>
      </c>
      <c r="P132" s="50"/>
      <c r="Q132" s="47" t="s">
        <v>824</v>
      </c>
      <c r="R132" s="47" t="s">
        <v>3428</v>
      </c>
      <c r="S132" s="43" t="s">
        <v>34</v>
      </c>
      <c r="T132" s="51">
        <v>45510</v>
      </c>
      <c r="U132" s="52">
        <v>12</v>
      </c>
      <c r="V132" s="47">
        <v>12</v>
      </c>
      <c r="W132" s="116">
        <f t="shared" si="4"/>
        <v>1</v>
      </c>
      <c r="X132" s="53" t="str">
        <f t="shared" si="5"/>
        <v/>
      </c>
      <c r="Y132" s="47"/>
      <c r="Z132" s="54"/>
      <c r="AA132" s="18" t="str" cm="1">
        <f t="array" ref="AA132">IF(P132="", "", _xlfn.XLOOKUP(P132,#REF!,#REF!,NA,0,-1))</f>
        <v/>
      </c>
      <c r="AB132" s="47"/>
      <c r="AC132" s="55" t="s">
        <v>3400</v>
      </c>
      <c r="AD132" s="55" t="str">
        <f>IF($AC132="","",_xlfn.XLOOKUP($AC132,'[2]Client Info'!$C$2:$C$2535,'[2]Client Info'!$D$2:$D$2535))</f>
        <v>9031 Quartz Road</v>
      </c>
      <c r="AE132" s="55" t="str">
        <f>IF($AC132="","",_xlfn.XLOOKUP($AC132,'[2]Client Info'!$C$2:$C$2715,'[2]Client Info'!$E$2:$E$2715))</f>
        <v>White Horse</v>
      </c>
      <c r="AF132" s="55" t="str">
        <f>IF($AC132="","",_xlfn.XLOOKUP($AC132,'[2]Client Info'!$C$2:$C$2715,'[2]Client Info'!$F$2:$F$2715))</f>
        <v>YT</v>
      </c>
      <c r="AG132" s="55" t="s">
        <v>33</v>
      </c>
      <c r="AH132" s="57"/>
      <c r="AI132" s="43" t="str">
        <f>_xlfn.XLOOKUP(Table26[[#This Row],[customerSKU]],customerSKU!G:G,customerSKU!O:O,"not found",0,1)</f>
        <v>not found</v>
      </c>
      <c r="AJ132" s="47">
        <f>Table26[[#This Row],[unitprice]]*Table26[[#This Row],[quantity_unit]]</f>
        <v>0</v>
      </c>
      <c r="AK132" s="47" t="e" cm="1">
        <f t="array" ref="AK1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3" spans="1:37" s="53" customFormat="1" ht="24.6" customHeight="1">
      <c r="A133" s="42">
        <v>2124</v>
      </c>
      <c r="B133" s="42" t="s">
        <v>3520</v>
      </c>
      <c r="C133" s="43" t="s">
        <v>203</v>
      </c>
      <c r="D133" s="71"/>
      <c r="E133" s="71" t="e">
        <f>IF(#REF!&gt;0,#REF!,"")</f>
        <v>#REF!</v>
      </c>
      <c r="F133" s="72"/>
      <c r="G133" s="69"/>
      <c r="H133" s="72"/>
      <c r="I133" s="47" t="s">
        <v>3862</v>
      </c>
      <c r="J133" s="47" t="s">
        <v>499</v>
      </c>
      <c r="K133" s="48">
        <v>45513</v>
      </c>
      <c r="L133" s="49" t="s">
        <v>490</v>
      </c>
      <c r="M133" s="47"/>
      <c r="N133" s="89" t="str">
        <f>Table26[[#This Row],[po_number]]&amp;"-"&amp;Table26[[#This Row],[po_line]]</f>
        <v>-10</v>
      </c>
      <c r="O133" s="89">
        <v>10</v>
      </c>
      <c r="P133" s="50"/>
      <c r="Q133" s="47" t="s">
        <v>869</v>
      </c>
      <c r="R133" s="47" t="s">
        <v>3428</v>
      </c>
      <c r="S133" s="43" t="s">
        <v>34</v>
      </c>
      <c r="T133" s="51">
        <v>45498</v>
      </c>
      <c r="U133" s="52">
        <v>12</v>
      </c>
      <c r="V133" s="47">
        <v>12</v>
      </c>
      <c r="W133" s="116">
        <f t="shared" si="4"/>
        <v>1</v>
      </c>
      <c r="X133" s="53" t="str">
        <f t="shared" si="5"/>
        <v/>
      </c>
      <c r="Y133" s="47"/>
      <c r="Z133" s="54"/>
      <c r="AA133" s="18" t="str" cm="1">
        <f t="array" ref="AA133">IF(P133="", "", _xlfn.XLOOKUP(P133,#REF!,#REF!,NA,0,-1))</f>
        <v/>
      </c>
      <c r="AB133" s="47"/>
      <c r="AC133" s="55" t="s">
        <v>3400</v>
      </c>
      <c r="AD133" s="55" t="str">
        <f>IF($AC133="","",_xlfn.XLOOKUP($AC133,'[2]Client Info'!$C$2:$C$2535,'[2]Client Info'!$D$2:$D$2535))</f>
        <v>9031 Quartz Road</v>
      </c>
      <c r="AE133" s="55" t="str">
        <f>IF($AC133="","",_xlfn.XLOOKUP($AC133,'[2]Client Info'!$C$2:$C$2715,'[2]Client Info'!$E$2:$E$2715))</f>
        <v>White Horse</v>
      </c>
      <c r="AF133" s="55" t="str">
        <f>IF($AC133="","",_xlfn.XLOOKUP($AC133,'[2]Client Info'!$C$2:$C$2715,'[2]Client Info'!$F$2:$F$2715))</f>
        <v>YT</v>
      </c>
      <c r="AG133" s="55" t="s">
        <v>33</v>
      </c>
      <c r="AH133" s="57"/>
      <c r="AI133" s="43" t="str">
        <f>_xlfn.XLOOKUP(Table26[[#This Row],[customerSKU]],customerSKU!G:G,customerSKU!O:O,"not found",0,1)</f>
        <v>not found</v>
      </c>
      <c r="AJ133" s="47">
        <f>Table26[[#This Row],[unitprice]]*Table26[[#This Row],[quantity_unit]]</f>
        <v>0</v>
      </c>
      <c r="AK133" s="47" t="e" cm="1">
        <f t="array" ref="AK1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4" spans="1:37" s="53" customFormat="1" ht="24.6" customHeight="1">
      <c r="A134" s="42">
        <v>2125</v>
      </c>
      <c r="B134" s="42" t="s">
        <v>3520</v>
      </c>
      <c r="C134" s="43" t="s">
        <v>203</v>
      </c>
      <c r="D134" s="71"/>
      <c r="E134" s="71" t="e">
        <f>IF(#REF!&gt;0,#REF!,"")</f>
        <v>#REF!</v>
      </c>
      <c r="F134" s="72"/>
      <c r="G134" s="69"/>
      <c r="H134" s="72"/>
      <c r="I134" s="47" t="s">
        <v>3862</v>
      </c>
      <c r="J134" s="47" t="s">
        <v>499</v>
      </c>
      <c r="K134" s="48">
        <v>45513</v>
      </c>
      <c r="L134" s="49" t="s">
        <v>490</v>
      </c>
      <c r="M134" s="47"/>
      <c r="N134" s="89" t="str">
        <f>Table26[[#This Row],[po_number]]&amp;"-"&amp;Table26[[#This Row],[po_line]]</f>
        <v>-11</v>
      </c>
      <c r="O134" s="89">
        <v>11</v>
      </c>
      <c r="P134" s="50"/>
      <c r="Q134" s="47" t="s">
        <v>797</v>
      </c>
      <c r="R134" s="47" t="s">
        <v>3428</v>
      </c>
      <c r="S134" s="43" t="s">
        <v>34</v>
      </c>
      <c r="T134" s="51">
        <v>45448</v>
      </c>
      <c r="U134" s="52">
        <v>12</v>
      </c>
      <c r="V134" s="47">
        <v>12</v>
      </c>
      <c r="W134" s="116">
        <f t="shared" si="4"/>
        <v>1</v>
      </c>
      <c r="X134" s="53" t="str">
        <f t="shared" si="5"/>
        <v/>
      </c>
      <c r="Y134" s="47"/>
      <c r="Z134" s="54"/>
      <c r="AA134" s="18" t="str" cm="1">
        <f t="array" ref="AA134">IF(P134="", "", _xlfn.XLOOKUP(P134,#REF!,#REF!,NA,0,-1))</f>
        <v/>
      </c>
      <c r="AB134" s="47"/>
      <c r="AC134" s="55" t="s">
        <v>3400</v>
      </c>
      <c r="AD134" s="55" t="str">
        <f>IF($AC134="","",_xlfn.XLOOKUP($AC134,'[2]Client Info'!$C$2:$C$2535,'[2]Client Info'!$D$2:$D$2535))</f>
        <v>9031 Quartz Road</v>
      </c>
      <c r="AE134" s="55" t="str">
        <f>IF($AC134="","",_xlfn.XLOOKUP($AC134,'[2]Client Info'!$C$2:$C$2715,'[2]Client Info'!$E$2:$E$2715))</f>
        <v>White Horse</v>
      </c>
      <c r="AF134" s="55" t="str">
        <f>IF($AC134="","",_xlfn.XLOOKUP($AC134,'[2]Client Info'!$C$2:$C$2715,'[2]Client Info'!$F$2:$F$2715))</f>
        <v>YT</v>
      </c>
      <c r="AG134" s="55" t="s">
        <v>33</v>
      </c>
      <c r="AH134" s="57"/>
      <c r="AI134" s="43" t="str">
        <f>_xlfn.XLOOKUP(Table26[[#This Row],[customerSKU]],customerSKU!G:G,customerSKU!O:O,"not found",0,1)</f>
        <v>not found</v>
      </c>
      <c r="AJ134" s="47">
        <f>Table26[[#This Row],[unitprice]]*Table26[[#This Row],[quantity_unit]]</f>
        <v>0</v>
      </c>
      <c r="AK134" s="47" t="e" cm="1">
        <f t="array" ref="AK1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5" spans="1:37" s="53" customFormat="1" ht="24.6" customHeight="1">
      <c r="A135" s="42">
        <v>2126</v>
      </c>
      <c r="B135" s="42" t="s">
        <v>3520</v>
      </c>
      <c r="C135" s="43" t="s">
        <v>203</v>
      </c>
      <c r="D135" s="71"/>
      <c r="E135" s="71" t="e">
        <f>IF(#REF!&gt;0,#REF!,"")</f>
        <v>#REF!</v>
      </c>
      <c r="F135" s="72"/>
      <c r="G135" s="69"/>
      <c r="H135" s="72"/>
      <c r="I135" s="47" t="s">
        <v>3862</v>
      </c>
      <c r="J135" s="47" t="s">
        <v>499</v>
      </c>
      <c r="K135" s="48">
        <v>45513</v>
      </c>
      <c r="L135" s="49" t="s">
        <v>490</v>
      </c>
      <c r="M135" s="47"/>
      <c r="N135" s="89" t="str">
        <f>Table26[[#This Row],[po_number]]&amp;"-"&amp;Table26[[#This Row],[po_line]]</f>
        <v>-12</v>
      </c>
      <c r="O135" s="89">
        <v>12</v>
      </c>
      <c r="P135" s="50"/>
      <c r="Q135" s="47" t="s">
        <v>3881</v>
      </c>
      <c r="R135" s="47" t="s">
        <v>3428</v>
      </c>
      <c r="S135" s="43" t="s">
        <v>34</v>
      </c>
      <c r="T135" s="51">
        <v>45432</v>
      </c>
      <c r="U135" s="52">
        <v>12</v>
      </c>
      <c r="V135" s="47">
        <v>12</v>
      </c>
      <c r="W135" s="116">
        <f t="shared" si="4"/>
        <v>1</v>
      </c>
      <c r="X135" s="53" t="str">
        <f t="shared" si="5"/>
        <v/>
      </c>
      <c r="Y135" s="47"/>
      <c r="Z135" s="54"/>
      <c r="AA135" s="18" t="str" cm="1">
        <f t="array" ref="AA135">IF(P135="", "", _xlfn.XLOOKUP(P135,#REF!,#REF!,NA,0,-1))</f>
        <v/>
      </c>
      <c r="AB135" s="47"/>
      <c r="AC135" s="55" t="s">
        <v>3400</v>
      </c>
      <c r="AD135" s="55" t="str">
        <f>IF($AC135="","",_xlfn.XLOOKUP($AC135,'[2]Client Info'!$C$2:$C$2535,'[2]Client Info'!$D$2:$D$2535))</f>
        <v>9031 Quartz Road</v>
      </c>
      <c r="AE135" s="55" t="str">
        <f>IF($AC135="","",_xlfn.XLOOKUP($AC135,'[2]Client Info'!$C$2:$C$2715,'[2]Client Info'!$E$2:$E$2715))</f>
        <v>White Horse</v>
      </c>
      <c r="AF135" s="55" t="str">
        <f>IF($AC135="","",_xlfn.XLOOKUP($AC135,'[2]Client Info'!$C$2:$C$2715,'[2]Client Info'!$F$2:$F$2715))</f>
        <v>YT</v>
      </c>
      <c r="AG135" s="55" t="s">
        <v>33</v>
      </c>
      <c r="AH135" s="57"/>
      <c r="AI135" s="43" t="str">
        <f>_xlfn.XLOOKUP(Table26[[#This Row],[customerSKU]],customerSKU!G:G,customerSKU!O:O,"not found",0,1)</f>
        <v>not found</v>
      </c>
      <c r="AJ135" s="47">
        <f>Table26[[#This Row],[unitprice]]*Table26[[#This Row],[quantity_unit]]</f>
        <v>0</v>
      </c>
      <c r="AK135" s="47" t="e" cm="1">
        <f t="array" ref="AK1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6" spans="1:37" s="53" customFormat="1" ht="24.6" customHeight="1">
      <c r="A136" s="42">
        <v>2127</v>
      </c>
      <c r="B136" s="42" t="s">
        <v>3520</v>
      </c>
      <c r="C136" s="43" t="s">
        <v>203</v>
      </c>
      <c r="D136" s="71"/>
      <c r="E136" s="71" t="e">
        <f>IF(#REF!&gt;0,#REF!,"")</f>
        <v>#REF!</v>
      </c>
      <c r="F136" s="72"/>
      <c r="G136" s="69"/>
      <c r="H136" s="72"/>
      <c r="I136" s="47" t="s">
        <v>3862</v>
      </c>
      <c r="J136" s="47" t="s">
        <v>499</v>
      </c>
      <c r="K136" s="48">
        <v>45513</v>
      </c>
      <c r="L136" s="49" t="s">
        <v>490</v>
      </c>
      <c r="M136" s="47"/>
      <c r="N136" s="89" t="str">
        <f>Table26[[#This Row],[po_number]]&amp;"-"&amp;Table26[[#This Row],[po_line]]</f>
        <v>-13</v>
      </c>
      <c r="O136" s="89">
        <v>13</v>
      </c>
      <c r="P136" s="50"/>
      <c r="Q136" s="47" t="s">
        <v>3876</v>
      </c>
      <c r="R136" s="47" t="s">
        <v>3428</v>
      </c>
      <c r="S136" s="43" t="s">
        <v>34</v>
      </c>
      <c r="T136" s="51">
        <v>45491</v>
      </c>
      <c r="U136" s="52">
        <v>12</v>
      </c>
      <c r="V136" s="47">
        <v>12</v>
      </c>
      <c r="W136" s="116">
        <f t="shared" si="4"/>
        <v>1</v>
      </c>
      <c r="X136" s="53" t="str">
        <f t="shared" si="5"/>
        <v/>
      </c>
      <c r="Y136" s="47"/>
      <c r="Z136" s="54"/>
      <c r="AA136" s="18" t="str" cm="1">
        <f t="array" ref="AA136">IF(P136="", "", _xlfn.XLOOKUP(P136,#REF!,#REF!,NA,0,-1))</f>
        <v/>
      </c>
      <c r="AB136" s="47"/>
      <c r="AC136" s="55" t="s">
        <v>3400</v>
      </c>
      <c r="AD136" s="55" t="str">
        <f>IF($AC136="","",_xlfn.XLOOKUP($AC136,'[2]Client Info'!$C$2:$C$2535,'[2]Client Info'!$D$2:$D$2535))</f>
        <v>9031 Quartz Road</v>
      </c>
      <c r="AE136" s="55" t="str">
        <f>IF($AC136="","",_xlfn.XLOOKUP($AC136,'[2]Client Info'!$C$2:$C$2715,'[2]Client Info'!$E$2:$E$2715))</f>
        <v>White Horse</v>
      </c>
      <c r="AF136" s="55" t="str">
        <f>IF($AC136="","",_xlfn.XLOOKUP($AC136,'[2]Client Info'!$C$2:$C$2715,'[2]Client Info'!$F$2:$F$2715))</f>
        <v>YT</v>
      </c>
      <c r="AG136" s="55" t="s">
        <v>33</v>
      </c>
      <c r="AH136" s="57"/>
      <c r="AI136" s="43" t="str">
        <f>_xlfn.XLOOKUP(Table26[[#This Row],[customerSKU]],customerSKU!G:G,customerSKU!O:O,"not found",0,1)</f>
        <v>not found</v>
      </c>
      <c r="AJ136" s="47">
        <f>Table26[[#This Row],[unitprice]]*Table26[[#This Row],[quantity_unit]]</f>
        <v>0</v>
      </c>
      <c r="AK136" s="47" t="e" cm="1">
        <f t="array" ref="AK1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7" spans="1:37" s="53" customFormat="1" ht="24.6" customHeight="1">
      <c r="A137" s="42">
        <v>2128</v>
      </c>
      <c r="B137" s="42" t="s">
        <v>3520</v>
      </c>
      <c r="C137" s="43" t="s">
        <v>203</v>
      </c>
      <c r="D137" s="71"/>
      <c r="E137" s="71" t="e">
        <f>IF(#REF!&gt;0,#REF!,"")</f>
        <v>#REF!</v>
      </c>
      <c r="F137" s="72"/>
      <c r="G137" s="69"/>
      <c r="H137" s="72"/>
      <c r="I137" s="47" t="s">
        <v>3862</v>
      </c>
      <c r="J137" s="47" t="s">
        <v>499</v>
      </c>
      <c r="K137" s="48">
        <v>45513</v>
      </c>
      <c r="L137" s="49" t="s">
        <v>490</v>
      </c>
      <c r="M137" s="47"/>
      <c r="N137" s="89" t="str">
        <f>Table26[[#This Row],[po_number]]&amp;"-"&amp;Table26[[#This Row],[po_line]]</f>
        <v>-14</v>
      </c>
      <c r="O137" s="89">
        <v>14</v>
      </c>
      <c r="P137" s="50"/>
      <c r="Q137" s="47" t="s">
        <v>964</v>
      </c>
      <c r="R137" s="47" t="s">
        <v>3428</v>
      </c>
      <c r="S137" s="43" t="s">
        <v>34</v>
      </c>
      <c r="T137" s="51">
        <v>45491</v>
      </c>
      <c r="U137" s="52">
        <v>12</v>
      </c>
      <c r="V137" s="47">
        <v>12</v>
      </c>
      <c r="W137" s="116">
        <f t="shared" si="4"/>
        <v>1</v>
      </c>
      <c r="X137" s="53" t="str">
        <f t="shared" si="5"/>
        <v/>
      </c>
      <c r="Y137" s="47"/>
      <c r="Z137" s="54"/>
      <c r="AA137" s="18" t="str" cm="1">
        <f t="array" ref="AA137">IF(P137="", "", _xlfn.XLOOKUP(P137,#REF!,#REF!,NA,0,-1))</f>
        <v/>
      </c>
      <c r="AB137" s="47"/>
      <c r="AC137" s="55" t="s">
        <v>3400</v>
      </c>
      <c r="AD137" s="55" t="str">
        <f>IF($AC137="","",_xlfn.XLOOKUP($AC137,'[2]Client Info'!$C$2:$C$2535,'[2]Client Info'!$D$2:$D$2535))</f>
        <v>9031 Quartz Road</v>
      </c>
      <c r="AE137" s="55" t="str">
        <f>IF($AC137="","",_xlfn.XLOOKUP($AC137,'[2]Client Info'!$C$2:$C$2715,'[2]Client Info'!$E$2:$E$2715))</f>
        <v>White Horse</v>
      </c>
      <c r="AF137" s="55" t="str">
        <f>IF($AC137="","",_xlfn.XLOOKUP($AC137,'[2]Client Info'!$C$2:$C$2715,'[2]Client Info'!$F$2:$F$2715))</f>
        <v>YT</v>
      </c>
      <c r="AG137" s="55" t="s">
        <v>33</v>
      </c>
      <c r="AH137" s="57"/>
      <c r="AI137" s="43" t="str">
        <f>_xlfn.XLOOKUP(Table26[[#This Row],[customerSKU]],customerSKU!G:G,customerSKU!O:O,"not found",0,1)</f>
        <v>not found</v>
      </c>
      <c r="AJ137" s="47">
        <f>Table26[[#This Row],[unitprice]]*Table26[[#This Row],[quantity_unit]]</f>
        <v>0</v>
      </c>
      <c r="AK137" s="47" t="e" cm="1">
        <f t="array" ref="AK1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8" spans="1:37" s="53" customFormat="1" ht="24.6" customHeight="1">
      <c r="A138" s="42">
        <v>2129</v>
      </c>
      <c r="B138" s="42" t="s">
        <v>3520</v>
      </c>
      <c r="C138" s="43" t="s">
        <v>203</v>
      </c>
      <c r="D138" s="71"/>
      <c r="E138" s="71" t="e">
        <f>IF(#REF!&gt;0,#REF!,"")</f>
        <v>#REF!</v>
      </c>
      <c r="F138" s="72"/>
      <c r="G138" s="69"/>
      <c r="H138" s="72"/>
      <c r="I138" s="47" t="s">
        <v>3862</v>
      </c>
      <c r="J138" s="47" t="s">
        <v>499</v>
      </c>
      <c r="K138" s="48">
        <v>45513</v>
      </c>
      <c r="L138" s="49" t="s">
        <v>490</v>
      </c>
      <c r="M138" s="47"/>
      <c r="N138" s="89" t="str">
        <f>Table26[[#This Row],[po_number]]&amp;"-"&amp;Table26[[#This Row],[po_line]]</f>
        <v>-15</v>
      </c>
      <c r="O138" s="89">
        <v>15</v>
      </c>
      <c r="P138" s="50"/>
      <c r="Q138" s="72" t="s">
        <v>901</v>
      </c>
      <c r="R138" s="47" t="s">
        <v>3428</v>
      </c>
      <c r="S138" s="43" t="s">
        <v>34</v>
      </c>
      <c r="T138" s="51">
        <v>45491</v>
      </c>
      <c r="U138" s="52">
        <v>12</v>
      </c>
      <c r="V138" s="47">
        <v>12</v>
      </c>
      <c r="W138" s="116">
        <f t="shared" si="4"/>
        <v>1</v>
      </c>
      <c r="X138" s="53" t="str">
        <f t="shared" si="5"/>
        <v/>
      </c>
      <c r="Y138" s="72"/>
      <c r="Z138" s="75"/>
      <c r="AA138" s="18" t="str" cm="1">
        <f t="array" ref="AA138">IF(P138="", "", _xlfn.XLOOKUP(P138,#REF!,#REF!,NA,0,-1))</f>
        <v/>
      </c>
      <c r="AB138" s="47"/>
      <c r="AC138" s="55" t="s">
        <v>3400</v>
      </c>
      <c r="AD138" s="55" t="str">
        <f>IF($AC138="","",_xlfn.XLOOKUP($AC138,'[2]Client Info'!$C$2:$C$2535,'[2]Client Info'!$D$2:$D$2535))</f>
        <v>9031 Quartz Road</v>
      </c>
      <c r="AE138" s="55" t="str">
        <f>IF($AC138="","",_xlfn.XLOOKUP($AC138,'[2]Client Info'!$C$2:$C$2715,'[2]Client Info'!$E$2:$E$2715))</f>
        <v>White Horse</v>
      </c>
      <c r="AF138" s="55" t="str">
        <f>IF($AC138="","",_xlfn.XLOOKUP($AC138,'[2]Client Info'!$C$2:$C$2715,'[2]Client Info'!$F$2:$F$2715))</f>
        <v>YT</v>
      </c>
      <c r="AG138" s="55" t="s">
        <v>33</v>
      </c>
      <c r="AH138" s="62"/>
      <c r="AI138" s="43" t="str">
        <f>_xlfn.XLOOKUP(Table26[[#This Row],[customerSKU]],customerSKU!G:G,customerSKU!O:O,"not found",0,1)</f>
        <v>not found</v>
      </c>
      <c r="AJ138" s="47">
        <f>Table26[[#This Row],[unitprice]]*Table26[[#This Row],[quantity_unit]]</f>
        <v>0</v>
      </c>
      <c r="AK138" s="47" t="e" cm="1">
        <f t="array" ref="AK1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39" spans="1:37" s="53" customFormat="1" ht="24.6" customHeight="1">
      <c r="A139" s="42">
        <v>2107</v>
      </c>
      <c r="B139" s="58" t="s">
        <v>3520</v>
      </c>
      <c r="C139" s="53" t="s">
        <v>203</v>
      </c>
      <c r="D139" s="51"/>
      <c r="E139" s="51"/>
      <c r="G139" s="46"/>
      <c r="I139" s="47" t="s">
        <v>3862</v>
      </c>
      <c r="J139" s="53" t="s">
        <v>3838</v>
      </c>
      <c r="K139" s="403">
        <v>45516</v>
      </c>
      <c r="L139" s="49" t="s">
        <v>201</v>
      </c>
      <c r="N139" s="77" t="str">
        <f>Table26[[#This Row],[po_number]]&amp;"-"&amp;Table26[[#This Row],[po_line]]</f>
        <v>-1</v>
      </c>
      <c r="O139" s="77">
        <v>1</v>
      </c>
      <c r="P139" s="50"/>
      <c r="Q139" s="72" t="s">
        <v>885</v>
      </c>
      <c r="R139" s="72" t="s">
        <v>3428</v>
      </c>
      <c r="S139" s="72" t="s">
        <v>21</v>
      </c>
      <c r="T139" s="20">
        <v>45423</v>
      </c>
      <c r="U139" s="52">
        <v>48</v>
      </c>
      <c r="V139" s="53">
        <v>12</v>
      </c>
      <c r="W139" s="116">
        <f t="shared" si="4"/>
        <v>4</v>
      </c>
      <c r="X139" s="53" t="str">
        <f t="shared" si="5"/>
        <v/>
      </c>
      <c r="Z139" s="60"/>
      <c r="AA139" s="18" t="str" cm="1">
        <f t="array" ref="AA139">IF(P139="", "", _xlfn.XLOOKUP(P139,#REF!,#REF!,NA,0,-1))</f>
        <v/>
      </c>
      <c r="AB139" s="47"/>
      <c r="AC139" s="55" t="s">
        <v>3935</v>
      </c>
      <c r="AD139" s="55" t="str">
        <f>IF($AC139="","",_xlfn.XLOOKUP($AC139,'[2]Client Info'!$C$2:$C$2535,'[2]Client Info'!$D$2:$D$2535))</f>
        <v>18, Canso rd</v>
      </c>
      <c r="AE139" s="55" t="str">
        <f>IF($AC139="","",_xlfn.XLOOKUP($AC139,'[2]Client Info'!$C$2:$C$2715,'[2]Client Info'!$E$2:$E$2715))</f>
        <v>Etobicoke</v>
      </c>
      <c r="AF139" s="55" t="str">
        <f>IF($AC139="","",_xlfn.XLOOKUP($AC139,'[2]Client Info'!$C$2:$C$2715,'[2]Client Info'!$F$2:$F$2715))</f>
        <v>ON</v>
      </c>
      <c r="AG139" s="55" t="s">
        <v>9</v>
      </c>
      <c r="AH139" s="62">
        <f>1103.4/60</f>
        <v>18.39</v>
      </c>
      <c r="AI139" s="43" t="str">
        <f>_xlfn.XLOOKUP(Table26[[#This Row],[customerSKU]],customerSKU!G:G,customerSKU!O:O,"not found",0,1)</f>
        <v>not found</v>
      </c>
      <c r="AJ139" s="53">
        <f>Table26[[#This Row],[unitprice]]*Table26[[#This Row],[quantity_unit]]</f>
        <v>882.72</v>
      </c>
      <c r="AK139" s="53" t="e" cm="1">
        <f t="array" ref="AK1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40" spans="1:37" s="53" customFormat="1" ht="24.6" customHeight="1">
      <c r="A140" s="42">
        <v>2108</v>
      </c>
      <c r="B140" s="58" t="s">
        <v>3520</v>
      </c>
      <c r="C140" s="53" t="s">
        <v>203</v>
      </c>
      <c r="D140" s="51"/>
      <c r="E140" s="51"/>
      <c r="G140" s="46"/>
      <c r="I140" s="47" t="s">
        <v>3862</v>
      </c>
      <c r="J140" s="53" t="s">
        <v>3838</v>
      </c>
      <c r="K140" s="403">
        <v>45516</v>
      </c>
      <c r="L140" s="49" t="s">
        <v>201</v>
      </c>
      <c r="N140" s="77" t="str">
        <f>Table26[[#This Row],[po_number]]&amp;"-"&amp;Table26[[#This Row],[po_line]]</f>
        <v>-2</v>
      </c>
      <c r="O140" s="77">
        <v>2</v>
      </c>
      <c r="P140" s="50"/>
      <c r="Q140" s="72" t="s">
        <v>3894</v>
      </c>
      <c r="R140" s="72" t="s">
        <v>3428</v>
      </c>
      <c r="S140" s="72" t="s">
        <v>21</v>
      </c>
      <c r="T140" s="20">
        <v>45213</v>
      </c>
      <c r="U140" s="52">
        <v>12</v>
      </c>
      <c r="V140" s="53">
        <v>12</v>
      </c>
      <c r="W140" s="116">
        <f t="shared" si="4"/>
        <v>1</v>
      </c>
      <c r="X140" s="53" t="str">
        <f t="shared" si="5"/>
        <v/>
      </c>
      <c r="Z140" s="60"/>
      <c r="AA140" s="18" t="str" cm="1">
        <f t="array" ref="AA140">IF(P140="", "", _xlfn.XLOOKUP(P140,#REF!,#REF!,NA,0,-1))</f>
        <v/>
      </c>
      <c r="AB140" s="47"/>
      <c r="AC140" s="55" t="s">
        <v>3935</v>
      </c>
      <c r="AD140" s="55" t="str">
        <f>IF($AC140="","",_xlfn.XLOOKUP($AC140,'[2]Client Info'!$C$2:$C$2535,'[2]Client Info'!$D$2:$D$2535))</f>
        <v>18, Canso rd</v>
      </c>
      <c r="AE140" s="55" t="str">
        <f>IF($AC140="","",_xlfn.XLOOKUP($AC140,'[2]Client Info'!$C$2:$C$2715,'[2]Client Info'!$E$2:$E$2715))</f>
        <v>Etobicoke</v>
      </c>
      <c r="AF140" s="55" t="str">
        <f>IF($AC140="","",_xlfn.XLOOKUP($AC140,'[2]Client Info'!$C$2:$C$2715,'[2]Client Info'!$F$2:$F$2715))</f>
        <v>ON</v>
      </c>
      <c r="AG140" s="55" t="s">
        <v>9</v>
      </c>
      <c r="AH140" s="62">
        <f>1103.4/60</f>
        <v>18.39</v>
      </c>
      <c r="AI140" s="43" t="str">
        <f>_xlfn.XLOOKUP(Table26[[#This Row],[customerSKU]],customerSKU!G:G,customerSKU!O:O,"not found",0,1)</f>
        <v>not found</v>
      </c>
      <c r="AJ140" s="53">
        <f>Table26[[#This Row],[unitprice]]*Table26[[#This Row],[quantity_unit]]</f>
        <v>220.68</v>
      </c>
      <c r="AK140" s="53" t="e" cm="1">
        <f t="array" ref="AK1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41" spans="1:37" s="53" customFormat="1" ht="24.6" customHeight="1">
      <c r="A141" s="42">
        <v>2109</v>
      </c>
      <c r="B141" s="244" t="s">
        <v>3837</v>
      </c>
      <c r="C141" s="242" t="s">
        <v>203</v>
      </c>
      <c r="D141" s="247"/>
      <c r="E141" s="247"/>
      <c r="F141" s="90"/>
      <c r="G141" s="119"/>
      <c r="H141" s="242"/>
      <c r="I141" s="242" t="s">
        <v>3862</v>
      </c>
      <c r="J141" s="242" t="s">
        <v>3844</v>
      </c>
      <c r="K141" s="395">
        <v>45516</v>
      </c>
      <c r="L141" s="233" t="s">
        <v>504</v>
      </c>
      <c r="M141" s="242"/>
      <c r="N141" s="254" t="str">
        <f>Table26[[#This Row],[po_number]]&amp;"-"&amp;Table26[[#This Row],[po_line]]</f>
        <v>-1</v>
      </c>
      <c r="O141" s="254">
        <v>1</v>
      </c>
      <c r="P141" s="234"/>
      <c r="Q141" s="242" t="s">
        <v>1313</v>
      </c>
      <c r="R141" s="241" t="s">
        <v>3428</v>
      </c>
      <c r="S141" s="242" t="s">
        <v>13</v>
      </c>
      <c r="T141" s="20">
        <v>45497</v>
      </c>
      <c r="U141" s="236">
        <v>36</v>
      </c>
      <c r="V141" s="90">
        <v>12</v>
      </c>
      <c r="W141" s="237">
        <f t="shared" si="4"/>
        <v>3</v>
      </c>
      <c r="X141" s="90" t="str">
        <f t="shared" si="5"/>
        <v/>
      </c>
      <c r="Y141" s="242"/>
      <c r="Z141" s="60"/>
      <c r="AA141" s="18" t="str" cm="1">
        <f t="array" ref="AA141">IF(P141="", "", _xlfn.XLOOKUP(P141,#REF!,#REF!,NA,0,-1))</f>
        <v/>
      </c>
      <c r="AB141" s="231"/>
      <c r="AC141" s="55" t="s">
        <v>71</v>
      </c>
      <c r="AD141" s="55" t="str">
        <f>IF($AC141="","",_xlfn.XLOOKUP($AC141,'[2]Client Info'!$C$2:$C$2535,'[2]Client Info'!$D$2:$D$2535))</f>
        <v>2076 Kingsway</v>
      </c>
      <c r="AE141" s="55" t="str">
        <f>IF($AC141="","",_xlfn.XLOOKUP($AC141,'[2]Client Info'!$C$2:$C$2715,'[2]Client Info'!$E$2:$E$2715))</f>
        <v>Vancouver</v>
      </c>
      <c r="AF141" s="55" t="str">
        <f>IF($AC141="","",_xlfn.XLOOKUP($AC141,'[2]Client Info'!$C$2:$C$2715,'[2]Client Info'!$F$2:$F$2715))</f>
        <v>BC</v>
      </c>
      <c r="AG141" s="55" t="s">
        <v>4072</v>
      </c>
      <c r="AH141" s="245">
        <f>455.04/12</f>
        <v>37.92</v>
      </c>
      <c r="AI141" s="43" t="str">
        <f>_xlfn.XLOOKUP(Table26[[#This Row],[customerSKU]],customerSKU!G:G,customerSKU!O:O,"not found",0,1)</f>
        <v>not found</v>
      </c>
      <c r="AJ141" s="53">
        <f>Table26[[#This Row],[unitprice]]*Table26[[#This Row],[quantity_unit]]</f>
        <v>1365.1200000000001</v>
      </c>
      <c r="AK141" s="53" cm="1">
        <f t="array" ref="AK1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1433.3760000000002</v>
      </c>
    </row>
    <row r="142" spans="1:37" s="53" customFormat="1" ht="24.6" customHeight="1">
      <c r="A142" s="42">
        <v>2110</v>
      </c>
      <c r="B142" s="244" t="s">
        <v>3837</v>
      </c>
      <c r="C142" s="242" t="s">
        <v>203</v>
      </c>
      <c r="D142" s="247"/>
      <c r="E142" s="247"/>
      <c r="F142" s="90"/>
      <c r="G142" s="119"/>
      <c r="H142" s="242"/>
      <c r="I142" s="242" t="s">
        <v>3862</v>
      </c>
      <c r="J142" s="242" t="s">
        <v>3844</v>
      </c>
      <c r="K142" s="232">
        <v>45516</v>
      </c>
      <c r="L142" s="233" t="s">
        <v>504</v>
      </c>
      <c r="M142" s="242"/>
      <c r="N142" s="254" t="str">
        <f>Table26[[#This Row],[po_number]]&amp;"-"&amp;Table26[[#This Row],[po_line]]</f>
        <v>-2</v>
      </c>
      <c r="O142" s="254">
        <v>2</v>
      </c>
      <c r="P142" s="234"/>
      <c r="Q142" s="242" t="s">
        <v>3876</v>
      </c>
      <c r="R142" s="241" t="s">
        <v>3428</v>
      </c>
      <c r="S142" s="242" t="s">
        <v>13</v>
      </c>
      <c r="T142" s="20">
        <v>45491</v>
      </c>
      <c r="U142" s="236">
        <v>36</v>
      </c>
      <c r="V142" s="90">
        <v>12</v>
      </c>
      <c r="W142" s="237">
        <f t="shared" si="4"/>
        <v>3</v>
      </c>
      <c r="X142" s="90" t="str">
        <f t="shared" si="5"/>
        <v/>
      </c>
      <c r="Y142" s="242"/>
      <c r="Z142" s="60"/>
      <c r="AA142" s="18" t="str" cm="1">
        <f t="array" ref="AA142">IF(P142="", "", _xlfn.XLOOKUP(P142,#REF!,#REF!,NA,0,-1))</f>
        <v/>
      </c>
      <c r="AB142" s="231"/>
      <c r="AC142" s="55" t="s">
        <v>71</v>
      </c>
      <c r="AD142" s="55" t="str">
        <f>IF($AC142="","",_xlfn.XLOOKUP($AC142,'[2]Client Info'!$C$2:$C$2535,'[2]Client Info'!$D$2:$D$2535))</f>
        <v>2076 Kingsway</v>
      </c>
      <c r="AE142" s="55" t="str">
        <f>IF($AC142="","",_xlfn.XLOOKUP($AC142,'[2]Client Info'!$C$2:$C$2715,'[2]Client Info'!$E$2:$E$2715))</f>
        <v>Vancouver</v>
      </c>
      <c r="AF142" s="55" t="str">
        <f>IF($AC142="","",_xlfn.XLOOKUP($AC142,'[2]Client Info'!$C$2:$C$2715,'[2]Client Info'!$F$2:$F$2715))</f>
        <v>BC</v>
      </c>
      <c r="AG142" s="55" t="s">
        <v>4072</v>
      </c>
      <c r="AH142" s="245">
        <f>455.04/12</f>
        <v>37.92</v>
      </c>
      <c r="AI142" s="43" t="str">
        <f>_xlfn.XLOOKUP(Table26[[#This Row],[customerSKU]],customerSKU!G:G,customerSKU!O:O,"not found",0,1)</f>
        <v>not found</v>
      </c>
      <c r="AJ142" s="53">
        <f>Table26[[#This Row],[unitprice]]*Table26[[#This Row],[quantity_unit]]</f>
        <v>1365.1200000000001</v>
      </c>
      <c r="AK142" s="53" cm="1">
        <f t="array" ref="AK1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1433.3760000000002</v>
      </c>
    </row>
    <row r="143" spans="1:37" s="53" customFormat="1" ht="24.6" customHeight="1">
      <c r="A143" s="42">
        <v>2111</v>
      </c>
      <c r="B143" s="244" t="s">
        <v>3837</v>
      </c>
      <c r="C143" s="242" t="s">
        <v>203</v>
      </c>
      <c r="D143" s="247"/>
      <c r="E143" s="247"/>
      <c r="F143" s="90"/>
      <c r="G143" s="119"/>
      <c r="H143" s="242"/>
      <c r="I143" s="242" t="s">
        <v>3862</v>
      </c>
      <c r="J143" s="242" t="s">
        <v>3844</v>
      </c>
      <c r="K143" s="232">
        <v>45516</v>
      </c>
      <c r="L143" s="233" t="s">
        <v>504</v>
      </c>
      <c r="M143" s="242"/>
      <c r="N143" s="254" t="str">
        <f>Table26[[#This Row],[po_number]]&amp;"-"&amp;Table26[[#This Row],[po_line]]</f>
        <v>-3</v>
      </c>
      <c r="O143" s="254">
        <v>3</v>
      </c>
      <c r="P143" s="234"/>
      <c r="Q143" s="242" t="s">
        <v>3865</v>
      </c>
      <c r="R143" s="241" t="s">
        <v>3428</v>
      </c>
      <c r="S143" s="242" t="s">
        <v>13</v>
      </c>
      <c r="T143" s="20">
        <v>45497</v>
      </c>
      <c r="U143" s="236">
        <v>36</v>
      </c>
      <c r="V143" s="90">
        <v>12</v>
      </c>
      <c r="W143" s="237">
        <f t="shared" si="4"/>
        <v>3</v>
      </c>
      <c r="X143" s="90" t="str">
        <f t="shared" si="5"/>
        <v/>
      </c>
      <c r="Y143" s="242"/>
      <c r="Z143" s="60"/>
      <c r="AA143" s="18" t="str" cm="1">
        <f t="array" ref="AA143">IF(P143="", "", _xlfn.XLOOKUP(P143,#REF!,#REF!,NA,0,-1))</f>
        <v/>
      </c>
      <c r="AB143" s="231"/>
      <c r="AC143" s="55" t="s">
        <v>71</v>
      </c>
      <c r="AD143" s="55" t="str">
        <f>IF($AC143="","",_xlfn.XLOOKUP($AC143,'[2]Client Info'!$C$2:$C$2535,'[2]Client Info'!$D$2:$D$2535))</f>
        <v>2076 Kingsway</v>
      </c>
      <c r="AE143" s="55" t="str">
        <f>IF($AC143="","",_xlfn.XLOOKUP($AC143,'[2]Client Info'!$C$2:$C$2715,'[2]Client Info'!$E$2:$E$2715))</f>
        <v>Vancouver</v>
      </c>
      <c r="AF143" s="55" t="str">
        <f>IF($AC143="","",_xlfn.XLOOKUP($AC143,'[2]Client Info'!$C$2:$C$2715,'[2]Client Info'!$F$2:$F$2715))</f>
        <v>BC</v>
      </c>
      <c r="AG143" s="55" t="s">
        <v>4072</v>
      </c>
      <c r="AH143" s="245">
        <f>455.04/12</f>
        <v>37.92</v>
      </c>
      <c r="AI143" s="43" t="str">
        <f>_xlfn.XLOOKUP(Table26[[#This Row],[customerSKU]],customerSKU!G:G,customerSKU!O:O,"not found",0,1)</f>
        <v>not found</v>
      </c>
      <c r="AJ143" s="53">
        <f>Table26[[#This Row],[unitprice]]*Table26[[#This Row],[quantity_unit]]</f>
        <v>1365.1200000000001</v>
      </c>
      <c r="AK143" s="53" cm="1">
        <f t="array" ref="AK1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1433.3760000000002</v>
      </c>
    </row>
    <row r="144" spans="1:37" s="53" customFormat="1" ht="24.6" customHeight="1">
      <c r="A144" s="42">
        <v>2106</v>
      </c>
      <c r="B144" s="64" t="s">
        <v>3520</v>
      </c>
      <c r="C144" s="59" t="s">
        <v>203</v>
      </c>
      <c r="D144" s="65"/>
      <c r="E144" s="65"/>
      <c r="G144" s="46"/>
      <c r="H144" s="59"/>
      <c r="I144" s="59" t="s">
        <v>3862</v>
      </c>
      <c r="J144" s="59" t="s">
        <v>27</v>
      </c>
      <c r="K144" s="48">
        <v>45520</v>
      </c>
      <c r="L144" s="49" t="s">
        <v>490</v>
      </c>
      <c r="M144" s="59"/>
      <c r="N144" s="109" t="str">
        <f>Table26[[#This Row],[po_number]]&amp;"-"&amp;Table26[[#This Row],[po_line]]</f>
        <v>-1</v>
      </c>
      <c r="O144" s="109">
        <v>1</v>
      </c>
      <c r="P144" s="50"/>
      <c r="Q144" s="81" t="s">
        <v>862</v>
      </c>
      <c r="R144" s="59" t="s">
        <v>3794</v>
      </c>
      <c r="S144" s="82"/>
      <c r="T144" s="20">
        <v>45488</v>
      </c>
      <c r="U144" s="52">
        <v>12</v>
      </c>
      <c r="V144" s="53">
        <v>12</v>
      </c>
      <c r="W144" s="116">
        <f t="shared" si="4"/>
        <v>1</v>
      </c>
      <c r="X144" s="53" t="str">
        <f t="shared" si="5"/>
        <v/>
      </c>
      <c r="Y144" s="59"/>
      <c r="Z144" s="60"/>
      <c r="AA144" s="18" t="str" cm="1">
        <f t="array" ref="AA144">IF(P144="", "", _xlfn.XLOOKUP(P144,#REF!,#REF!,NA,0,-1))</f>
        <v/>
      </c>
      <c r="AB144" s="47"/>
      <c r="AC144" s="55" t="s">
        <v>60</v>
      </c>
      <c r="AD144" s="55" t="str">
        <f>IF($AC144="","",_xlfn.XLOOKUP($AC144,'[2]Client Info'!$C$2:$C$2535,'[2]Client Info'!$D$2:$D$2535))</f>
        <v>6600 ROBLIN BOULEVARD</v>
      </c>
      <c r="AE144" s="55" t="str">
        <f>IF($AC144="","",_xlfn.XLOOKUP($AC144,'[2]Client Info'!$C$2:$C$2715,'[2]Client Info'!$E$2:$E$2715))</f>
        <v>WINNIPEG</v>
      </c>
      <c r="AF144" s="55" t="str">
        <f>IF($AC144="","",_xlfn.XLOOKUP($AC144,'[2]Client Info'!$C$2:$C$2715,'[2]Client Info'!$F$2:$F$2715))</f>
        <v>MB</v>
      </c>
      <c r="AG144" s="55" t="s">
        <v>3992</v>
      </c>
      <c r="AH144" s="62">
        <f>143.4/12</f>
        <v>11.950000000000001</v>
      </c>
      <c r="AI144" s="43" t="str">
        <f>_xlfn.XLOOKUP(Table26[[#This Row],[customerSKU]],customerSKU!G:G,customerSKU!O:O,"not found",0,1)</f>
        <v>not found</v>
      </c>
      <c r="AJ144" s="53">
        <f>Table26[[#This Row],[unitprice]]*Table26[[#This Row],[quantity_unit]]</f>
        <v>143.4</v>
      </c>
      <c r="AK144" s="53" cm="1">
        <f t="array" ref="AK1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150.57000000000002</v>
      </c>
    </row>
    <row r="145" spans="1:37" s="53" customFormat="1" ht="18" customHeight="1">
      <c r="A145" s="42">
        <v>2105</v>
      </c>
      <c r="B145" s="58" t="s">
        <v>3945</v>
      </c>
      <c r="C145" s="53" t="s">
        <v>203</v>
      </c>
      <c r="D145" s="51"/>
      <c r="E145" s="51"/>
      <c r="G145" s="46"/>
      <c r="I145" s="59" t="s">
        <v>3862</v>
      </c>
      <c r="J145" s="53" t="s">
        <v>3838</v>
      </c>
      <c r="K145" s="48">
        <v>45523</v>
      </c>
      <c r="L145" s="49" t="s">
        <v>201</v>
      </c>
      <c r="N145" s="77" t="str">
        <f>Table26[[#This Row],[po_number]]&amp;"-"&amp;Table26[[#This Row],[po_line]]</f>
        <v>-1</v>
      </c>
      <c r="O145" s="77">
        <v>1</v>
      </c>
      <c r="P145" s="50"/>
      <c r="Q145" s="53" t="s">
        <v>3946</v>
      </c>
      <c r="R145" s="53" t="s">
        <v>3947</v>
      </c>
      <c r="S145" s="53" t="s">
        <v>3948</v>
      </c>
      <c r="T145" s="20">
        <v>45520</v>
      </c>
      <c r="U145" s="52">
        <f>189*12</f>
        <v>2268</v>
      </c>
      <c r="V145" s="53">
        <v>12</v>
      </c>
      <c r="W145" s="116">
        <f t="shared" si="4"/>
        <v>189</v>
      </c>
      <c r="X145" s="53" t="str">
        <f t="shared" si="5"/>
        <v/>
      </c>
      <c r="Z145" s="60"/>
      <c r="AA145" s="18" t="str" cm="1">
        <f t="array" ref="AA145">IF(P145="", "", _xlfn.XLOOKUP(P145,#REF!,#REF!,NA,0,-1))</f>
        <v/>
      </c>
      <c r="AB145" s="47"/>
      <c r="AC145" s="55" t="s">
        <v>3935</v>
      </c>
      <c r="AD145" s="55" t="str">
        <f>IF($AC145="","",_xlfn.XLOOKUP($AC145,'[2]Client Info'!$C$2:$C$2535,'[2]Client Info'!$D$2:$D$2535))</f>
        <v>18, Canso rd</v>
      </c>
      <c r="AE145" s="55" t="str">
        <f>IF($AC145="","",_xlfn.XLOOKUP($AC145,'[2]Client Info'!$C$2:$C$2715,'[2]Client Info'!$E$2:$E$2715))</f>
        <v>Etobicoke</v>
      </c>
      <c r="AF145" s="55" t="str">
        <f>IF($AC145="","",_xlfn.XLOOKUP($AC145,'[2]Client Info'!$C$2:$C$2715,'[2]Client Info'!$F$2:$F$2715))</f>
        <v>ON</v>
      </c>
      <c r="AG145" s="55" t="s">
        <v>3935</v>
      </c>
      <c r="AH145" s="62">
        <f>33.12/12</f>
        <v>2.76</v>
      </c>
      <c r="AI145" s="43" t="str">
        <f>_xlfn.XLOOKUP(Table26[[#This Row],[customerSKU]],customerSKU!G:G,customerSKU!O:O,"not found",0,1)</f>
        <v>not found</v>
      </c>
      <c r="AJ145" s="53">
        <f>Table26[[#This Row],[unitprice]]*Table26[[#This Row],[quantity_unit]]</f>
        <v>6259.6799999999994</v>
      </c>
      <c r="AK145" s="53" t="e" cm="1">
        <f t="array" ref="AK1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46" spans="1:37" s="53" customFormat="1" ht="18" customHeight="1">
      <c r="A146" s="42">
        <v>2099</v>
      </c>
      <c r="B146" s="64" t="s">
        <v>3520</v>
      </c>
      <c r="C146" s="59" t="s">
        <v>203</v>
      </c>
      <c r="D146" s="65"/>
      <c r="E146" s="65"/>
      <c r="G146" s="46"/>
      <c r="H146" s="59"/>
      <c r="I146" s="59" t="s">
        <v>3862</v>
      </c>
      <c r="J146" s="59" t="s">
        <v>27</v>
      </c>
      <c r="K146" s="48">
        <v>45524</v>
      </c>
      <c r="L146" s="49" t="s">
        <v>490</v>
      </c>
      <c r="M146" s="59"/>
      <c r="N146" s="109" t="str">
        <f>Table26[[#This Row],[po_number]]&amp;"-"&amp;Table26[[#This Row],[po_line]]</f>
        <v>-1</v>
      </c>
      <c r="O146" s="109">
        <v>1</v>
      </c>
      <c r="P146" s="50"/>
      <c r="Q146" s="83" t="s">
        <v>905</v>
      </c>
      <c r="R146" s="59" t="s">
        <v>532</v>
      </c>
      <c r="S146" s="59" t="s">
        <v>21</v>
      </c>
      <c r="T146" s="20">
        <v>45491</v>
      </c>
      <c r="U146" s="52">
        <v>12</v>
      </c>
      <c r="V146" s="53">
        <v>12</v>
      </c>
      <c r="W146" s="116">
        <f t="shared" si="4"/>
        <v>1</v>
      </c>
      <c r="X146" s="53" t="str">
        <f t="shared" si="5"/>
        <v/>
      </c>
      <c r="Y146" s="59"/>
      <c r="Z146" s="60"/>
      <c r="AA146" s="18" t="str" cm="1">
        <f t="array" ref="AA146">IF(P146="", "", _xlfn.XLOOKUP(P146,#REF!,#REF!,NA,0,-1))</f>
        <v/>
      </c>
      <c r="AB146" s="47"/>
      <c r="AC146" s="55" t="s">
        <v>3993</v>
      </c>
      <c r="AD146" s="55" t="str">
        <f>IF($AC146="","",_xlfn.XLOOKUP($AC146,'[2]Client Info'!$C$2:$C$2535,'[2]Client Info'!$D$2:$D$2535))</f>
        <v>1750 ST. James Street</v>
      </c>
      <c r="AE146" s="55" t="str">
        <f>IF($AC146="","",_xlfn.XLOOKUP($AC146,'[2]Client Info'!$C$2:$C$2715,'[2]Client Info'!$E$2:$E$2715))</f>
        <v>Winnipeg</v>
      </c>
      <c r="AF146" s="55" t="str">
        <f>IF($AC146="","",_xlfn.XLOOKUP($AC146,'[2]Client Info'!$C$2:$C$2715,'[2]Client Info'!$F$2:$F$2715))</f>
        <v>MB</v>
      </c>
      <c r="AG146" s="55" t="s">
        <v>3992</v>
      </c>
      <c r="AH146" s="62">
        <f>713.16/7/12</f>
        <v>8.49</v>
      </c>
      <c r="AI146" s="43" t="str">
        <f>_xlfn.XLOOKUP(Table26[[#This Row],[customerSKU]],customerSKU!G:G,customerSKU!O:O,"not found",0,1)</f>
        <v>not found</v>
      </c>
      <c r="AJ146" s="53">
        <f>Table26[[#This Row],[unitprice]]*Table26[[#This Row],[quantity_unit]]</f>
        <v>101.88</v>
      </c>
      <c r="AK146" s="53" cm="1">
        <f t="array" ref="AK1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106.974</v>
      </c>
    </row>
    <row r="147" spans="1:37" s="53" customFormat="1" ht="18" customHeight="1">
      <c r="A147" s="42">
        <v>2100</v>
      </c>
      <c r="B147" s="64" t="s">
        <v>3520</v>
      </c>
      <c r="C147" s="59" t="s">
        <v>203</v>
      </c>
      <c r="D147" s="65"/>
      <c r="E147" s="65"/>
      <c r="G147" s="46"/>
      <c r="H147" s="59"/>
      <c r="I147" s="59" t="s">
        <v>3862</v>
      </c>
      <c r="J147" s="59" t="s">
        <v>27</v>
      </c>
      <c r="K147" s="48">
        <v>45524</v>
      </c>
      <c r="L147" s="49" t="s">
        <v>490</v>
      </c>
      <c r="M147" s="59"/>
      <c r="N147" s="109" t="str">
        <f>Table26[[#This Row],[po_number]]&amp;"-"&amp;Table26[[#This Row],[po_line]]</f>
        <v>-2</v>
      </c>
      <c r="O147" s="109">
        <v>2</v>
      </c>
      <c r="P147" s="50"/>
      <c r="Q147" s="83" t="s">
        <v>901</v>
      </c>
      <c r="R147" s="59" t="s">
        <v>532</v>
      </c>
      <c r="S147" s="59" t="s">
        <v>21</v>
      </c>
      <c r="T147" s="20">
        <v>45511</v>
      </c>
      <c r="U147" s="52">
        <v>24</v>
      </c>
      <c r="V147" s="53">
        <v>12</v>
      </c>
      <c r="W147" s="116">
        <f t="shared" si="4"/>
        <v>2</v>
      </c>
      <c r="X147" s="53" t="str">
        <f t="shared" si="5"/>
        <v/>
      </c>
      <c r="Y147" s="59"/>
      <c r="Z147" s="60"/>
      <c r="AA147" s="18" t="str" cm="1">
        <f t="array" ref="AA147">IF(P147="", "", _xlfn.XLOOKUP(P147,#REF!,#REF!,NA,0,-1))</f>
        <v/>
      </c>
      <c r="AB147" s="47"/>
      <c r="AC147" s="55" t="s">
        <v>3993</v>
      </c>
      <c r="AD147" s="55" t="str">
        <f>IF($AC147="","",_xlfn.XLOOKUP($AC147,'[2]Client Info'!$C$2:$C$2535,'[2]Client Info'!$D$2:$D$2535))</f>
        <v>1750 ST. James Street</v>
      </c>
      <c r="AE147" s="55" t="str">
        <f>IF($AC147="","",_xlfn.XLOOKUP($AC147,'[2]Client Info'!$C$2:$C$2715,'[2]Client Info'!$E$2:$E$2715))</f>
        <v>Winnipeg</v>
      </c>
      <c r="AF147" s="55" t="str">
        <f>IF($AC147="","",_xlfn.XLOOKUP($AC147,'[2]Client Info'!$C$2:$C$2715,'[2]Client Info'!$F$2:$F$2715))</f>
        <v>MB</v>
      </c>
      <c r="AG147" s="55" t="s">
        <v>3992</v>
      </c>
      <c r="AH147" s="62">
        <f>713.16/7/12</f>
        <v>8.49</v>
      </c>
      <c r="AI147" s="43" t="str">
        <f>_xlfn.XLOOKUP(Table26[[#This Row],[customerSKU]],customerSKU!G:G,customerSKU!O:O,"not found",0,1)</f>
        <v>not found</v>
      </c>
      <c r="AJ147" s="53">
        <f>Table26[[#This Row],[unitprice]]*Table26[[#This Row],[quantity_unit]]</f>
        <v>203.76</v>
      </c>
      <c r="AK147" s="53" cm="1">
        <f t="array" ref="AK1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213.94800000000001</v>
      </c>
    </row>
    <row r="148" spans="1:37" s="53" customFormat="1" ht="18" customHeight="1">
      <c r="A148" s="42">
        <v>2101</v>
      </c>
      <c r="B148" s="64" t="s">
        <v>3520</v>
      </c>
      <c r="C148" s="59" t="s">
        <v>203</v>
      </c>
      <c r="D148" s="65"/>
      <c r="E148" s="65"/>
      <c r="G148" s="46"/>
      <c r="H148" s="59"/>
      <c r="I148" s="59" t="s">
        <v>3862</v>
      </c>
      <c r="J148" s="59" t="s">
        <v>27</v>
      </c>
      <c r="K148" s="48">
        <v>45524</v>
      </c>
      <c r="L148" s="49" t="s">
        <v>490</v>
      </c>
      <c r="M148" s="59"/>
      <c r="N148" s="109" t="str">
        <f>Table26[[#This Row],[po_number]]&amp;"-"&amp;Table26[[#This Row],[po_line]]</f>
        <v>-3</v>
      </c>
      <c r="O148" s="109">
        <v>3</v>
      </c>
      <c r="P148" s="50"/>
      <c r="Q148" s="83" t="s">
        <v>905</v>
      </c>
      <c r="R148" s="59" t="s">
        <v>532</v>
      </c>
      <c r="S148" s="59" t="s">
        <v>21</v>
      </c>
      <c r="T148" s="20">
        <v>45519</v>
      </c>
      <c r="U148" s="52">
        <f>84-36</f>
        <v>48</v>
      </c>
      <c r="V148" s="53">
        <v>12</v>
      </c>
      <c r="W148" s="116">
        <f t="shared" si="4"/>
        <v>4</v>
      </c>
      <c r="X148" s="53" t="str">
        <f t="shared" si="5"/>
        <v/>
      </c>
      <c r="Y148" s="59"/>
      <c r="Z148" s="60"/>
      <c r="AA148" s="18" t="str" cm="1">
        <f t="array" ref="AA148">IF(P148="", "", _xlfn.XLOOKUP(P148,#REF!,#REF!,NA,0,-1))</f>
        <v/>
      </c>
      <c r="AB148" s="47"/>
      <c r="AC148" s="55" t="s">
        <v>3993</v>
      </c>
      <c r="AD148" s="55" t="str">
        <f>IF($AC148="","",_xlfn.XLOOKUP($AC148,'[2]Client Info'!$C$2:$C$2535,'[2]Client Info'!$D$2:$D$2535))</f>
        <v>1750 ST. James Street</v>
      </c>
      <c r="AE148" s="55" t="str">
        <f>IF($AC148="","",_xlfn.XLOOKUP($AC148,'[2]Client Info'!$C$2:$C$2715,'[2]Client Info'!$E$2:$E$2715))</f>
        <v>Winnipeg</v>
      </c>
      <c r="AF148" s="55" t="str">
        <f>IF($AC148="","",_xlfn.XLOOKUP($AC148,'[2]Client Info'!$C$2:$C$2715,'[2]Client Info'!$F$2:$F$2715))</f>
        <v>MB</v>
      </c>
      <c r="AG148" s="55" t="s">
        <v>3992</v>
      </c>
      <c r="AH148" s="62">
        <f>713.16/7/12</f>
        <v>8.49</v>
      </c>
      <c r="AI148" s="43" t="str">
        <f>_xlfn.XLOOKUP(Table26[[#This Row],[customerSKU]],customerSKU!G:G,customerSKU!O:O,"not found",0,1)</f>
        <v>not found</v>
      </c>
      <c r="AJ148" s="53">
        <f>Table26[[#This Row],[unitprice]]*Table26[[#This Row],[quantity_unit]]</f>
        <v>407.52</v>
      </c>
      <c r="AK148" s="53" cm="1">
        <f t="array" ref="AK1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427.89600000000002</v>
      </c>
    </row>
    <row r="149" spans="1:37" s="53" customFormat="1" ht="18" customHeight="1">
      <c r="A149" s="42">
        <v>2102</v>
      </c>
      <c r="B149" s="64" t="s">
        <v>3520</v>
      </c>
      <c r="C149" s="59" t="s">
        <v>203</v>
      </c>
      <c r="D149" s="65"/>
      <c r="E149" s="65"/>
      <c r="G149" s="46"/>
      <c r="H149" s="59"/>
      <c r="I149" s="59" t="s">
        <v>3862</v>
      </c>
      <c r="J149" s="59" t="s">
        <v>27</v>
      </c>
      <c r="K149" s="48">
        <v>45524</v>
      </c>
      <c r="L149" s="49" t="s">
        <v>490</v>
      </c>
      <c r="M149" s="59"/>
      <c r="N149" s="109" t="str">
        <f>Table26[[#This Row],[po_number]]&amp;"-"&amp;Table26[[#This Row],[po_line]]</f>
        <v>-1</v>
      </c>
      <c r="O149" s="109">
        <v>1</v>
      </c>
      <c r="P149" s="50"/>
      <c r="Q149" s="59" t="s">
        <v>869</v>
      </c>
      <c r="R149" s="59" t="s">
        <v>3947</v>
      </c>
      <c r="S149" s="82" t="s">
        <v>57</v>
      </c>
      <c r="T149" s="20">
        <v>45498</v>
      </c>
      <c r="U149" s="52">
        <v>24</v>
      </c>
      <c r="V149" s="53">
        <v>12</v>
      </c>
      <c r="W149" s="116">
        <f t="shared" si="4"/>
        <v>2</v>
      </c>
      <c r="X149" s="53" t="str">
        <f t="shared" si="5"/>
        <v/>
      </c>
      <c r="Y149" s="59"/>
      <c r="Z149" s="60"/>
      <c r="AA149" s="18" t="str" cm="1">
        <f t="array" ref="AA149">IF(P149="", "", _xlfn.XLOOKUP(P149,#REF!,#REF!,NA,0,-1))</f>
        <v/>
      </c>
      <c r="AB149" s="47"/>
      <c r="AC149" s="55" t="s">
        <v>44</v>
      </c>
      <c r="AD149" s="55" t="str">
        <f>IF($AC149="","",_xlfn.XLOOKUP($AC149,'[2]Client Info'!$C$2:$C$2535,'[2]Client Info'!$D$2:$D$2535))</f>
        <v>20 MAIN STREET</v>
      </c>
      <c r="AE149" s="55" t="str">
        <f>IF($AC149="","",_xlfn.XLOOKUP($AC149,'[2]Client Info'!$C$2:$C$2715,'[2]Client Info'!$E$2:$E$2715))</f>
        <v>ASHERN</v>
      </c>
      <c r="AF149" s="55" t="str">
        <f>IF($AC149="","",_xlfn.XLOOKUP($AC149,'[2]Client Info'!$C$2:$C$2715,'[2]Client Info'!$F$2:$F$2715))</f>
        <v>MB</v>
      </c>
      <c r="AG149" s="55" t="s">
        <v>3992</v>
      </c>
      <c r="AH149" s="62">
        <f>74.28/12</f>
        <v>6.19</v>
      </c>
      <c r="AI149" s="43" t="str">
        <f>_xlfn.XLOOKUP(Table26[[#This Row],[customerSKU]],customerSKU!G:G,customerSKU!O:O,"not found",0,1)</f>
        <v>not found</v>
      </c>
      <c r="AJ149" s="53">
        <f>Table26[[#This Row],[unitprice]]*Table26[[#This Row],[quantity_unit]]</f>
        <v>148.56</v>
      </c>
      <c r="AK149" s="53" cm="1">
        <f t="array" ref="AK1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155.988</v>
      </c>
    </row>
    <row r="150" spans="1:37" s="53" customFormat="1" ht="18" customHeight="1">
      <c r="A150" s="42">
        <v>2103</v>
      </c>
      <c r="B150" s="64" t="s">
        <v>3520</v>
      </c>
      <c r="C150" s="59" t="s">
        <v>203</v>
      </c>
      <c r="D150" s="65"/>
      <c r="E150" s="65"/>
      <c r="G150" s="46"/>
      <c r="H150" s="59"/>
      <c r="I150" s="59" t="s">
        <v>3862</v>
      </c>
      <c r="J150" s="59" t="s">
        <v>27</v>
      </c>
      <c r="K150" s="48">
        <v>45524</v>
      </c>
      <c r="L150" s="49" t="s">
        <v>490</v>
      </c>
      <c r="M150" s="59"/>
      <c r="N150" s="109" t="str">
        <f>Table26[[#This Row],[po_number]]&amp;"-"&amp;Table26[[#This Row],[po_line]]</f>
        <v>-1</v>
      </c>
      <c r="O150" s="109">
        <v>1</v>
      </c>
      <c r="P150" s="50"/>
      <c r="Q150" s="59" t="s">
        <v>869</v>
      </c>
      <c r="R150" s="59" t="s">
        <v>3947</v>
      </c>
      <c r="S150" s="82" t="s">
        <v>57</v>
      </c>
      <c r="T150" s="20">
        <v>45498</v>
      </c>
      <c r="U150" s="52">
        <v>12</v>
      </c>
      <c r="V150" s="53">
        <v>12</v>
      </c>
      <c r="W150" s="116">
        <f t="shared" si="4"/>
        <v>1</v>
      </c>
      <c r="X150" s="53" t="str">
        <f t="shared" si="5"/>
        <v/>
      </c>
      <c r="Y150" s="59"/>
      <c r="Z150" s="60"/>
      <c r="AA150" s="18" t="str" cm="1">
        <f t="array" ref="AA150">IF(P150="", "", _xlfn.XLOOKUP(P150,#REF!,#REF!,NA,0,-1))</f>
        <v/>
      </c>
      <c r="AB150" s="47"/>
      <c r="AC150" s="55" t="s">
        <v>40</v>
      </c>
      <c r="AD150" s="55" t="str">
        <f>IF($AC150="","",_xlfn.XLOOKUP($AC150,'[2]Client Info'!$C$2:$C$2535,'[2]Client Info'!$D$2:$D$2535))</f>
        <v>UNIT 12A, 145 SUNSET BLVD</v>
      </c>
      <c r="AE150" s="55" t="str">
        <f>IF($AC150="","",_xlfn.XLOOKUP($AC150,'[2]Client Info'!$C$2:$C$2715,'[2]Client Info'!$E$2:$E$2715))</f>
        <v>ARBORG</v>
      </c>
      <c r="AF150" s="55" t="str">
        <f>IF($AC150="","",_xlfn.XLOOKUP($AC150,'[2]Client Info'!$C$2:$C$2715,'[2]Client Info'!$F$2:$F$2715))</f>
        <v xml:space="preserve">MB </v>
      </c>
      <c r="AG150" s="55" t="s">
        <v>3992</v>
      </c>
      <c r="AH150" s="62">
        <f>74.28/12</f>
        <v>6.19</v>
      </c>
      <c r="AI150" s="43" t="str">
        <f>_xlfn.XLOOKUP(Table26[[#This Row],[customerSKU]],customerSKU!G:G,customerSKU!O:O,"not found",0,1)</f>
        <v>not found</v>
      </c>
      <c r="AJ150" s="53">
        <f>Table26[[#This Row],[unitprice]]*Table26[[#This Row],[quantity_unit]]</f>
        <v>74.28</v>
      </c>
      <c r="AK150" s="53" cm="1">
        <f t="array" ref="AK1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77.994</v>
      </c>
    </row>
    <row r="151" spans="1:37" s="53" customFormat="1" ht="18" customHeight="1">
      <c r="A151" s="42">
        <v>2104</v>
      </c>
      <c r="B151" s="64" t="s">
        <v>3520</v>
      </c>
      <c r="C151" s="59" t="s">
        <v>203</v>
      </c>
      <c r="D151" s="65"/>
      <c r="E151" s="65"/>
      <c r="G151" s="46"/>
      <c r="H151" s="59"/>
      <c r="I151" s="59" t="s">
        <v>3862</v>
      </c>
      <c r="J151" s="59" t="s">
        <v>27</v>
      </c>
      <c r="K151" s="48">
        <v>45524</v>
      </c>
      <c r="L151" s="49" t="s">
        <v>490</v>
      </c>
      <c r="M151" s="59"/>
      <c r="N151" s="109" t="str">
        <f>Table26[[#This Row],[po_number]]&amp;"-"&amp;Table26[[#This Row],[po_line]]</f>
        <v>-2</v>
      </c>
      <c r="O151" s="109">
        <v>2</v>
      </c>
      <c r="P151" s="50"/>
      <c r="Q151" s="59" t="s">
        <v>3876</v>
      </c>
      <c r="R151" s="59" t="s">
        <v>3947</v>
      </c>
      <c r="S151" s="82" t="s">
        <v>57</v>
      </c>
      <c r="T151" s="20">
        <v>45491</v>
      </c>
      <c r="U151" s="52">
        <v>12</v>
      </c>
      <c r="V151" s="53">
        <v>12</v>
      </c>
      <c r="W151" s="116">
        <f t="shared" si="4"/>
        <v>1</v>
      </c>
      <c r="X151" s="53" t="str">
        <f t="shared" si="5"/>
        <v/>
      </c>
      <c r="Y151" s="59"/>
      <c r="Z151" s="60"/>
      <c r="AA151" s="18" t="str" cm="1">
        <f t="array" ref="AA151">IF(P151="", "", _xlfn.XLOOKUP(P151,#REF!,#REF!,NA,0,-1))</f>
        <v/>
      </c>
      <c r="AB151" s="47"/>
      <c r="AC151" s="55" t="s">
        <v>40</v>
      </c>
      <c r="AD151" s="55" t="str">
        <f>IF($AC151="","",_xlfn.XLOOKUP($AC151,'[2]Client Info'!$C$2:$C$2535,'[2]Client Info'!$D$2:$D$2535))</f>
        <v>UNIT 12A, 145 SUNSET BLVD</v>
      </c>
      <c r="AE151" s="55" t="str">
        <f>IF($AC151="","",_xlfn.XLOOKUP($AC151,'[2]Client Info'!$C$2:$C$2715,'[2]Client Info'!$E$2:$E$2715))</f>
        <v>ARBORG</v>
      </c>
      <c r="AF151" s="55" t="str">
        <f>IF($AC151="","",_xlfn.XLOOKUP($AC151,'[2]Client Info'!$C$2:$C$2715,'[2]Client Info'!$F$2:$F$2715))</f>
        <v xml:space="preserve">MB </v>
      </c>
      <c r="AG151" s="55" t="s">
        <v>3992</v>
      </c>
      <c r="AH151" s="62">
        <f>107.88/12</f>
        <v>8.99</v>
      </c>
      <c r="AI151" s="43" t="str">
        <f>_xlfn.XLOOKUP(Table26[[#This Row],[customerSKU]],customerSKU!G:G,customerSKU!O:O,"not found",0,1)</f>
        <v>not found</v>
      </c>
      <c r="AJ151" s="53">
        <f>Table26[[#This Row],[unitprice]]*Table26[[#This Row],[quantity_unit]]</f>
        <v>107.88</v>
      </c>
      <c r="AK151" s="53" cm="1">
        <f t="array" ref="AK1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152" spans="1:37" s="53" customFormat="1" ht="24.6" customHeight="1">
      <c r="A152" s="42">
        <v>2089</v>
      </c>
      <c r="B152" s="244" t="s">
        <v>3837</v>
      </c>
      <c r="C152" s="242" t="s">
        <v>203</v>
      </c>
      <c r="D152" s="247"/>
      <c r="E152" s="247"/>
      <c r="F152" s="90"/>
      <c r="G152" s="119"/>
      <c r="H152" s="242"/>
      <c r="I152" s="242" t="s">
        <v>3862</v>
      </c>
      <c r="J152" s="242" t="s">
        <v>503</v>
      </c>
      <c r="K152" s="232">
        <v>45525</v>
      </c>
      <c r="L152" s="233" t="s">
        <v>4073</v>
      </c>
      <c r="M152" s="242"/>
      <c r="N152" s="254" t="str">
        <f>Table26[[#This Row],[po_number]]&amp;"-"&amp;Table26[[#This Row],[po_line]]</f>
        <v>-1</v>
      </c>
      <c r="O152" s="254">
        <v>1</v>
      </c>
      <c r="P152" s="234"/>
      <c r="Q152" s="242" t="s">
        <v>874</v>
      </c>
      <c r="R152" s="242" t="s">
        <v>3805</v>
      </c>
      <c r="S152" s="248"/>
      <c r="T152" s="20">
        <v>45307</v>
      </c>
      <c r="U152" s="236">
        <v>12</v>
      </c>
      <c r="V152" s="90">
        <v>12</v>
      </c>
      <c r="W152" s="237">
        <f t="shared" si="4"/>
        <v>1</v>
      </c>
      <c r="X152" s="90" t="str">
        <f t="shared" si="5"/>
        <v/>
      </c>
      <c r="Y152" s="242"/>
      <c r="Z152" s="60"/>
      <c r="AA152" s="18" t="str" cm="1">
        <f t="array" ref="AA152">IF(P152="", "", _xlfn.XLOOKUP(P152,#REF!,#REF!,NA,0,-1))</f>
        <v/>
      </c>
      <c r="AB152" s="231"/>
      <c r="AC152" s="55" t="s">
        <v>3496</v>
      </c>
      <c r="AD152" s="55" t="str">
        <f>IF($AC152="","",_xlfn.XLOOKUP($AC152,'[2]Client Info'!$C$2:$C$2535,'[2]Client Info'!$D$2:$D$2535))</f>
        <v>11939 240th Street</v>
      </c>
      <c r="AE152" s="55" t="str">
        <f>IF($AC152="","",_xlfn.XLOOKUP($AC152,'[2]Client Info'!$C$2:$C$2715,'[2]Client Info'!$E$2:$E$2715))</f>
        <v>Maple Ridge</v>
      </c>
      <c r="AF152" s="55" t="str">
        <f>IF($AC152="","",_xlfn.XLOOKUP($AC152,'[2]Client Info'!$C$2:$C$2715,'[2]Client Info'!$F$2:$F$2715))</f>
        <v xml:space="preserve">BC </v>
      </c>
      <c r="AG152" s="55" t="s">
        <v>3496</v>
      </c>
      <c r="AH152" s="245">
        <f>227.76/12</f>
        <v>18.98</v>
      </c>
      <c r="AI152" s="43" t="str">
        <f>_xlfn.XLOOKUP(Table26[[#This Row],[customerSKU]],customerSKU!G:G,customerSKU!O:O,"not found",0,1)</f>
        <v>not found</v>
      </c>
      <c r="AJ152" s="53">
        <f>Table26[[#This Row],[unitprice]]*Table26[[#This Row],[quantity_unit]]</f>
        <v>227.76</v>
      </c>
      <c r="AK152" s="53" cm="1">
        <f t="array" ref="AK1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239.148</v>
      </c>
    </row>
    <row r="153" spans="1:37" s="53" customFormat="1" ht="18" customHeight="1">
      <c r="A153" s="42">
        <v>2090</v>
      </c>
      <c r="B153" s="244" t="s">
        <v>3837</v>
      </c>
      <c r="C153" s="242" t="s">
        <v>203</v>
      </c>
      <c r="D153" s="247"/>
      <c r="E153" s="247"/>
      <c r="F153" s="90"/>
      <c r="G153" s="119"/>
      <c r="H153" s="242"/>
      <c r="I153" s="242" t="s">
        <v>3862</v>
      </c>
      <c r="J153" s="242" t="s">
        <v>503</v>
      </c>
      <c r="K153" s="232">
        <v>45525</v>
      </c>
      <c r="L153" s="233" t="s">
        <v>4073</v>
      </c>
      <c r="M153" s="242"/>
      <c r="N153" s="254" t="str">
        <f>Table26[[#This Row],[po_number]]&amp;"-"&amp;Table26[[#This Row],[po_line]]</f>
        <v>-2</v>
      </c>
      <c r="O153" s="254">
        <v>2</v>
      </c>
      <c r="P153" s="234"/>
      <c r="Q153" s="242" t="s">
        <v>862</v>
      </c>
      <c r="R153" s="242" t="s">
        <v>3805</v>
      </c>
      <c r="S153" s="242"/>
      <c r="T153" s="20">
        <v>45488</v>
      </c>
      <c r="U153" s="236">
        <v>12</v>
      </c>
      <c r="V153" s="90">
        <v>12</v>
      </c>
      <c r="W153" s="237">
        <f t="shared" si="4"/>
        <v>1</v>
      </c>
      <c r="X153" s="90" t="str">
        <f t="shared" si="5"/>
        <v/>
      </c>
      <c r="Y153" s="242"/>
      <c r="Z153" s="60"/>
      <c r="AA153" s="18" t="str" cm="1">
        <f t="array" ref="AA153">IF(P153="", "", _xlfn.XLOOKUP(P153,#REF!,#REF!,NA,0,-1))</f>
        <v/>
      </c>
      <c r="AB153" s="231"/>
      <c r="AC153" s="55" t="s">
        <v>3496</v>
      </c>
      <c r="AD153" s="55" t="str">
        <f>IF($AC153="","",_xlfn.XLOOKUP($AC153,'[2]Client Info'!$C$2:$C$2535,'[2]Client Info'!$D$2:$D$2535))</f>
        <v>11939 240th Street</v>
      </c>
      <c r="AE153" s="55" t="str">
        <f>IF($AC153="","",_xlfn.XLOOKUP($AC153,'[2]Client Info'!$C$2:$C$2715,'[2]Client Info'!$E$2:$E$2715))</f>
        <v>Maple Ridge</v>
      </c>
      <c r="AF153" s="55" t="str">
        <f>IF($AC153="","",_xlfn.XLOOKUP($AC153,'[2]Client Info'!$C$2:$C$2715,'[2]Client Info'!$F$2:$F$2715))</f>
        <v xml:space="preserve">BC </v>
      </c>
      <c r="AG153" s="55" t="s">
        <v>3496</v>
      </c>
      <c r="AH153" s="245">
        <f>158.76/12</f>
        <v>13.229999999999999</v>
      </c>
      <c r="AI153" s="43" t="str">
        <f>_xlfn.XLOOKUP(Table26[[#This Row],[customerSKU]],customerSKU!G:G,customerSKU!O:O,"not found",0,1)</f>
        <v>not found</v>
      </c>
      <c r="AJ153" s="53">
        <f>Table26[[#This Row],[unitprice]]*Table26[[#This Row],[quantity_unit]]</f>
        <v>158.76</v>
      </c>
      <c r="AK153" s="53" cm="1">
        <f t="array" ref="AK1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166.69800000000001</v>
      </c>
    </row>
    <row r="154" spans="1:37" s="53" customFormat="1" ht="18" customHeight="1">
      <c r="A154" s="42">
        <v>2091</v>
      </c>
      <c r="B154" s="244" t="s">
        <v>3837</v>
      </c>
      <c r="C154" s="242" t="s">
        <v>203</v>
      </c>
      <c r="D154" s="247"/>
      <c r="E154" s="247"/>
      <c r="F154" s="90"/>
      <c r="G154" s="119"/>
      <c r="H154" s="242"/>
      <c r="I154" s="242" t="s">
        <v>3862</v>
      </c>
      <c r="J154" s="242" t="s">
        <v>503</v>
      </c>
      <c r="K154" s="232">
        <v>45525</v>
      </c>
      <c r="L154" s="233" t="s">
        <v>4073</v>
      </c>
      <c r="M154" s="242"/>
      <c r="N154" s="254" t="str">
        <f>Table26[[#This Row],[po_number]]&amp;"-"&amp;Table26[[#This Row],[po_line]]</f>
        <v>-3</v>
      </c>
      <c r="O154" s="254">
        <v>3</v>
      </c>
      <c r="P154" s="234"/>
      <c r="Q154" s="242" t="s">
        <v>3810</v>
      </c>
      <c r="R154" s="242" t="s">
        <v>3947</v>
      </c>
      <c r="S154" s="248" t="s">
        <v>56</v>
      </c>
      <c r="T154" s="20">
        <v>45523</v>
      </c>
      <c r="U154" s="236">
        <v>12</v>
      </c>
      <c r="V154" s="90">
        <v>12</v>
      </c>
      <c r="W154" s="237">
        <f t="shared" si="4"/>
        <v>1</v>
      </c>
      <c r="X154" s="90" t="str">
        <f t="shared" si="5"/>
        <v/>
      </c>
      <c r="Y154" s="242"/>
      <c r="Z154" s="60"/>
      <c r="AA154" s="18" t="str" cm="1">
        <f t="array" ref="AA154">IF(P154="", "", _xlfn.XLOOKUP(P154,#REF!,#REF!,NA,0,-1))</f>
        <v/>
      </c>
      <c r="AB154" s="231"/>
      <c r="AC154" s="55" t="s">
        <v>3496</v>
      </c>
      <c r="AD154" s="55" t="str">
        <f>IF($AC154="","",_xlfn.XLOOKUP($AC154,'[2]Client Info'!$C$2:$C$2535,'[2]Client Info'!$D$2:$D$2535))</f>
        <v>11939 240th Street</v>
      </c>
      <c r="AE154" s="55" t="str">
        <f>IF($AC154="","",_xlfn.XLOOKUP($AC154,'[2]Client Info'!$C$2:$C$2715,'[2]Client Info'!$E$2:$E$2715))</f>
        <v>Maple Ridge</v>
      </c>
      <c r="AF154" s="55" t="str">
        <f>IF($AC154="","",_xlfn.XLOOKUP($AC154,'[2]Client Info'!$C$2:$C$2715,'[2]Client Info'!$F$2:$F$2715))</f>
        <v xml:space="preserve">BC </v>
      </c>
      <c r="AG154" s="55" t="s">
        <v>3496</v>
      </c>
      <c r="AH154" s="245">
        <f>239.88/12</f>
        <v>19.989999999999998</v>
      </c>
      <c r="AI154" s="43" t="str">
        <f>_xlfn.XLOOKUP(Table26[[#This Row],[customerSKU]],customerSKU!G:G,customerSKU!O:O,"not found",0,1)</f>
        <v>not found</v>
      </c>
      <c r="AJ154" s="53">
        <f>Table26[[#This Row],[unitprice]]*Table26[[#This Row],[quantity_unit]]</f>
        <v>239.88</v>
      </c>
      <c r="AK154" s="53" cm="1">
        <f t="array" ref="AK1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251.874</v>
      </c>
    </row>
    <row r="155" spans="1:37" s="53" customFormat="1" ht="18" customHeight="1">
      <c r="A155" s="42">
        <v>2092</v>
      </c>
      <c r="B155" s="244" t="s">
        <v>3837</v>
      </c>
      <c r="C155" s="242" t="s">
        <v>203</v>
      </c>
      <c r="D155" s="247"/>
      <c r="E155" s="247"/>
      <c r="F155" s="90"/>
      <c r="G155" s="119"/>
      <c r="H155" s="242"/>
      <c r="I155" s="242" t="s">
        <v>3862</v>
      </c>
      <c r="J155" s="242" t="s">
        <v>503</v>
      </c>
      <c r="K155" s="232">
        <v>45525</v>
      </c>
      <c r="L155" s="233" t="s">
        <v>4073</v>
      </c>
      <c r="M155" s="242"/>
      <c r="N155" s="254" t="str">
        <f>Table26[[#This Row],[po_number]]&amp;"-"&amp;Table26[[#This Row],[po_line]]</f>
        <v>-4</v>
      </c>
      <c r="O155" s="254">
        <v>4</v>
      </c>
      <c r="P155" s="234"/>
      <c r="Q155" s="242" t="s">
        <v>3986</v>
      </c>
      <c r="R155" s="242" t="s">
        <v>3947</v>
      </c>
      <c r="S155" s="248" t="s">
        <v>56</v>
      </c>
      <c r="T155" s="20">
        <v>45523</v>
      </c>
      <c r="U155" s="236">
        <v>12</v>
      </c>
      <c r="V155" s="90">
        <v>12</v>
      </c>
      <c r="W155" s="237">
        <f t="shared" si="4"/>
        <v>1</v>
      </c>
      <c r="X155" s="90" t="str">
        <f t="shared" si="5"/>
        <v/>
      </c>
      <c r="Y155" s="242"/>
      <c r="Z155" s="60"/>
      <c r="AA155" s="18" t="str" cm="1">
        <f t="array" ref="AA155">IF(P155="", "", _xlfn.XLOOKUP(P155,#REF!,#REF!,NA,0,-1))</f>
        <v/>
      </c>
      <c r="AB155" s="231"/>
      <c r="AC155" s="55" t="s">
        <v>3496</v>
      </c>
      <c r="AD155" s="55" t="str">
        <f>IF($AC155="","",_xlfn.XLOOKUP($AC155,'[2]Client Info'!$C$2:$C$2535,'[2]Client Info'!$D$2:$D$2535))</f>
        <v>11939 240th Street</v>
      </c>
      <c r="AE155" s="55" t="str">
        <f>IF($AC155="","",_xlfn.XLOOKUP($AC155,'[2]Client Info'!$C$2:$C$2715,'[2]Client Info'!$E$2:$E$2715))</f>
        <v>Maple Ridge</v>
      </c>
      <c r="AF155" s="55" t="str">
        <f>IF($AC155="","",_xlfn.XLOOKUP($AC155,'[2]Client Info'!$C$2:$C$2715,'[2]Client Info'!$F$2:$F$2715))</f>
        <v xml:space="preserve">BC </v>
      </c>
      <c r="AG155" s="55" t="s">
        <v>3496</v>
      </c>
      <c r="AH155" s="245">
        <f>151.68/12</f>
        <v>12.64</v>
      </c>
      <c r="AI155" s="43" t="str">
        <f>_xlfn.XLOOKUP(Table26[[#This Row],[customerSKU]],customerSKU!G:G,customerSKU!O:O,"not found",0,1)</f>
        <v>not found</v>
      </c>
      <c r="AJ155" s="53">
        <f>Table26[[#This Row],[unitprice]]*Table26[[#This Row],[quantity_unit]]</f>
        <v>151.68</v>
      </c>
      <c r="AK155" s="53" cm="1">
        <f t="array" ref="AK1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156" spans="1:37" s="53" customFormat="1" ht="18" customHeight="1">
      <c r="A156" s="42">
        <v>2093</v>
      </c>
      <c r="B156" s="244" t="s">
        <v>3837</v>
      </c>
      <c r="C156" s="242" t="s">
        <v>203</v>
      </c>
      <c r="D156" s="247"/>
      <c r="E156" s="247"/>
      <c r="F156" s="90"/>
      <c r="G156" s="119"/>
      <c r="H156" s="242"/>
      <c r="I156" s="242" t="s">
        <v>3862</v>
      </c>
      <c r="J156" s="242" t="s">
        <v>503</v>
      </c>
      <c r="K156" s="232">
        <v>45525</v>
      </c>
      <c r="L156" s="233" t="s">
        <v>4073</v>
      </c>
      <c r="M156" s="242"/>
      <c r="N156" s="254" t="str">
        <f>Table26[[#This Row],[po_number]]&amp;"-"&amp;Table26[[#This Row],[po_line]]</f>
        <v>-5</v>
      </c>
      <c r="O156" s="254">
        <v>5</v>
      </c>
      <c r="P156" s="234"/>
      <c r="Q156" s="242" t="s">
        <v>3876</v>
      </c>
      <c r="R156" s="242" t="s">
        <v>3947</v>
      </c>
      <c r="S156" s="248" t="s">
        <v>56</v>
      </c>
      <c r="T156" s="20">
        <v>45491</v>
      </c>
      <c r="U156" s="236">
        <v>12</v>
      </c>
      <c r="V156" s="90">
        <v>12</v>
      </c>
      <c r="W156" s="237">
        <f t="shared" si="4"/>
        <v>1</v>
      </c>
      <c r="X156" s="90" t="str">
        <f t="shared" si="5"/>
        <v/>
      </c>
      <c r="Y156" s="242"/>
      <c r="Z156" s="60"/>
      <c r="AA156" s="18" t="str" cm="1">
        <f t="array" ref="AA156">IF(P156="", "", _xlfn.XLOOKUP(P156,#REF!,#REF!,NA,0,-1))</f>
        <v/>
      </c>
      <c r="AB156" s="231"/>
      <c r="AC156" s="55" t="s">
        <v>3496</v>
      </c>
      <c r="AD156" s="55" t="str">
        <f>IF($AC156="","",_xlfn.XLOOKUP($AC156,'[2]Client Info'!$C$2:$C$2535,'[2]Client Info'!$D$2:$D$2535))</f>
        <v>11939 240th Street</v>
      </c>
      <c r="AE156" s="55" t="str">
        <f>IF($AC156="","",_xlfn.XLOOKUP($AC156,'[2]Client Info'!$C$2:$C$2715,'[2]Client Info'!$E$2:$E$2715))</f>
        <v>Maple Ridge</v>
      </c>
      <c r="AF156" s="55" t="str">
        <f>IF($AC156="","",_xlfn.XLOOKUP($AC156,'[2]Client Info'!$C$2:$C$2715,'[2]Client Info'!$F$2:$F$2715))</f>
        <v xml:space="preserve">BC </v>
      </c>
      <c r="AG156" s="55" t="s">
        <v>3496</v>
      </c>
      <c r="AH156" s="245">
        <f>151.68/12</f>
        <v>12.64</v>
      </c>
      <c r="AI156" s="43" t="str">
        <f>_xlfn.XLOOKUP(Table26[[#This Row],[customerSKU]],customerSKU!G:G,customerSKU!O:O,"not found",0,1)</f>
        <v>not found</v>
      </c>
      <c r="AJ156" s="53">
        <f>Table26[[#This Row],[unitprice]]*Table26[[#This Row],[quantity_unit]]</f>
        <v>151.68</v>
      </c>
      <c r="AK156" s="53" cm="1">
        <f t="array" ref="AK1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157" spans="1:37" s="53" customFormat="1" ht="18" customHeight="1">
      <c r="A157" s="42">
        <v>2094</v>
      </c>
      <c r="B157" s="244" t="s">
        <v>3837</v>
      </c>
      <c r="C157" s="242" t="s">
        <v>203</v>
      </c>
      <c r="D157" s="247"/>
      <c r="E157" s="247"/>
      <c r="F157" s="90"/>
      <c r="G157" s="119"/>
      <c r="H157" s="242"/>
      <c r="I157" s="242" t="s">
        <v>3862</v>
      </c>
      <c r="J157" s="242" t="s">
        <v>503</v>
      </c>
      <c r="K157" s="232">
        <v>45525</v>
      </c>
      <c r="L157" s="233" t="s">
        <v>4073</v>
      </c>
      <c r="M157" s="242"/>
      <c r="N157" s="254" t="str">
        <f>Table26[[#This Row],[po_number]]&amp;"-"&amp;Table26[[#This Row],[po_line]]</f>
        <v>-6</v>
      </c>
      <c r="O157" s="254">
        <v>6</v>
      </c>
      <c r="P157" s="234"/>
      <c r="Q157" s="242" t="s">
        <v>964</v>
      </c>
      <c r="R157" s="242" t="s">
        <v>3947</v>
      </c>
      <c r="S157" s="248" t="s">
        <v>56</v>
      </c>
      <c r="T157" s="20">
        <v>45432</v>
      </c>
      <c r="U157" s="236">
        <v>12</v>
      </c>
      <c r="V157" s="90">
        <v>12</v>
      </c>
      <c r="W157" s="237">
        <f t="shared" si="4"/>
        <v>1</v>
      </c>
      <c r="X157" s="90" t="str">
        <f t="shared" si="5"/>
        <v/>
      </c>
      <c r="Y157" s="242"/>
      <c r="Z157" s="60"/>
      <c r="AA157" s="18" t="str" cm="1">
        <f t="array" ref="AA157">IF(P157="", "", _xlfn.XLOOKUP(P157,#REF!,#REF!,NA,0,-1))</f>
        <v/>
      </c>
      <c r="AB157" s="231"/>
      <c r="AC157" s="55" t="s">
        <v>3496</v>
      </c>
      <c r="AD157" s="55" t="str">
        <f>IF($AC157="","",_xlfn.XLOOKUP($AC157,'[2]Client Info'!$C$2:$C$2535,'[2]Client Info'!$D$2:$D$2535))</f>
        <v>11939 240th Street</v>
      </c>
      <c r="AE157" s="55" t="str">
        <f>IF($AC157="","",_xlfn.XLOOKUP($AC157,'[2]Client Info'!$C$2:$C$2715,'[2]Client Info'!$E$2:$E$2715))</f>
        <v>Maple Ridge</v>
      </c>
      <c r="AF157" s="55" t="str">
        <f>IF($AC157="","",_xlfn.XLOOKUP($AC157,'[2]Client Info'!$C$2:$C$2715,'[2]Client Info'!$F$2:$F$2715))</f>
        <v xml:space="preserve">BC </v>
      </c>
      <c r="AG157" s="55" t="s">
        <v>3496</v>
      </c>
      <c r="AH157" s="245">
        <f>151.68/12</f>
        <v>12.64</v>
      </c>
      <c r="AI157" s="43" t="str">
        <f>_xlfn.XLOOKUP(Table26[[#This Row],[customerSKU]],customerSKU!G:G,customerSKU!O:O,"not found",0,1)</f>
        <v>not found</v>
      </c>
      <c r="AJ157" s="53">
        <f>Table26[[#This Row],[unitprice]]*Table26[[#This Row],[quantity_unit]]</f>
        <v>151.68</v>
      </c>
      <c r="AK157" s="53" cm="1">
        <f t="array" ref="AK1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158" spans="1:37" s="53" customFormat="1" ht="18" customHeight="1">
      <c r="A158" s="42">
        <v>2095</v>
      </c>
      <c r="B158" s="244" t="s">
        <v>3837</v>
      </c>
      <c r="C158" s="242" t="s">
        <v>203</v>
      </c>
      <c r="D158" s="247"/>
      <c r="E158" s="247"/>
      <c r="F158" s="90"/>
      <c r="G158" s="119"/>
      <c r="H158" s="242"/>
      <c r="I158" s="242" t="s">
        <v>3862</v>
      </c>
      <c r="J158" s="242" t="s">
        <v>503</v>
      </c>
      <c r="K158" s="232">
        <v>45525</v>
      </c>
      <c r="L158" s="233" t="s">
        <v>4073</v>
      </c>
      <c r="M158" s="242"/>
      <c r="N158" s="254" t="str">
        <f>Table26[[#This Row],[po_number]]&amp;"-"&amp;Table26[[#This Row],[po_line]]</f>
        <v>-7</v>
      </c>
      <c r="O158" s="254">
        <v>7</v>
      </c>
      <c r="P158" s="234"/>
      <c r="Q158" s="242" t="s">
        <v>3994</v>
      </c>
      <c r="R158" s="242" t="s">
        <v>3947</v>
      </c>
      <c r="S158" s="248" t="s">
        <v>56</v>
      </c>
      <c r="T158" s="20">
        <v>45519</v>
      </c>
      <c r="U158" s="236">
        <v>12</v>
      </c>
      <c r="V158" s="90">
        <v>12</v>
      </c>
      <c r="W158" s="237">
        <f t="shared" si="4"/>
        <v>1</v>
      </c>
      <c r="X158" s="90" t="str">
        <f t="shared" si="5"/>
        <v/>
      </c>
      <c r="Y158" s="242"/>
      <c r="Z158" s="60"/>
      <c r="AA158" s="18" t="str" cm="1">
        <f t="array" ref="AA158">IF(P158="", "", _xlfn.XLOOKUP(P158,#REF!,#REF!,NA,0,-1))</f>
        <v/>
      </c>
      <c r="AB158" s="231"/>
      <c r="AC158" s="55" t="s">
        <v>3496</v>
      </c>
      <c r="AD158" s="55" t="str">
        <f>IF($AC158="","",_xlfn.XLOOKUP($AC158,'[2]Client Info'!$C$2:$C$2535,'[2]Client Info'!$D$2:$D$2535))</f>
        <v>11939 240th Street</v>
      </c>
      <c r="AE158" s="55" t="str">
        <f>IF($AC158="","",_xlfn.XLOOKUP($AC158,'[2]Client Info'!$C$2:$C$2715,'[2]Client Info'!$E$2:$E$2715))</f>
        <v>Maple Ridge</v>
      </c>
      <c r="AF158" s="55" t="str">
        <f>IF($AC158="","",_xlfn.XLOOKUP($AC158,'[2]Client Info'!$C$2:$C$2715,'[2]Client Info'!$F$2:$F$2715))</f>
        <v xml:space="preserve">BC </v>
      </c>
      <c r="AG158" s="55" t="s">
        <v>3496</v>
      </c>
      <c r="AH158" s="245">
        <f>130.92/12</f>
        <v>10.909999999999998</v>
      </c>
      <c r="AI158" s="43" t="str">
        <f>_xlfn.XLOOKUP(Table26[[#This Row],[customerSKU]],customerSKU!G:G,customerSKU!O:O,"not found",0,1)</f>
        <v>not found</v>
      </c>
      <c r="AJ158" s="53">
        <f>Table26[[#This Row],[unitprice]]*Table26[[#This Row],[quantity_unit]]</f>
        <v>130.91999999999999</v>
      </c>
      <c r="AK158" s="53" cm="1">
        <f t="array" ref="AK1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137.46599999999998</v>
      </c>
    </row>
    <row r="159" spans="1:37" s="53" customFormat="1" ht="18" customHeight="1">
      <c r="A159" s="42">
        <v>2096</v>
      </c>
      <c r="B159" s="244" t="s">
        <v>3837</v>
      </c>
      <c r="C159" s="242" t="s">
        <v>203</v>
      </c>
      <c r="D159" s="247"/>
      <c r="E159" s="247"/>
      <c r="F159" s="90"/>
      <c r="G159" s="119"/>
      <c r="H159" s="242"/>
      <c r="I159" s="242" t="s">
        <v>3862</v>
      </c>
      <c r="J159" s="242" t="s">
        <v>503</v>
      </c>
      <c r="K159" s="232">
        <v>45525</v>
      </c>
      <c r="L159" s="233" t="s">
        <v>4073</v>
      </c>
      <c r="M159" s="242"/>
      <c r="N159" s="254" t="str">
        <f>Table26[[#This Row],[po_number]]&amp;"-"&amp;Table26[[#This Row],[po_line]]</f>
        <v>-8</v>
      </c>
      <c r="O159" s="254">
        <v>8</v>
      </c>
      <c r="P159" s="234"/>
      <c r="Q159" s="242" t="s">
        <v>3865</v>
      </c>
      <c r="R159" s="242" t="s">
        <v>3947</v>
      </c>
      <c r="S159" s="248" t="s">
        <v>56</v>
      </c>
      <c r="T159" s="20">
        <v>45497</v>
      </c>
      <c r="U159" s="236">
        <v>12</v>
      </c>
      <c r="V159" s="90">
        <v>12</v>
      </c>
      <c r="W159" s="237">
        <f t="shared" si="4"/>
        <v>1</v>
      </c>
      <c r="X159" s="90" t="str">
        <f t="shared" si="5"/>
        <v/>
      </c>
      <c r="Y159" s="242"/>
      <c r="Z159" s="60"/>
      <c r="AA159" s="18" t="str" cm="1">
        <f t="array" ref="AA159">IF(P159="", "", _xlfn.XLOOKUP(P159,#REF!,#REF!,NA,0,-1))</f>
        <v/>
      </c>
      <c r="AB159" s="231"/>
      <c r="AC159" s="55" t="s">
        <v>3496</v>
      </c>
      <c r="AD159" s="55" t="str">
        <f>IF($AC159="","",_xlfn.XLOOKUP($AC159,'[2]Client Info'!$C$2:$C$2535,'[2]Client Info'!$D$2:$D$2535))</f>
        <v>11939 240th Street</v>
      </c>
      <c r="AE159" s="55" t="str">
        <f>IF($AC159="","",_xlfn.XLOOKUP($AC159,'[2]Client Info'!$C$2:$C$2715,'[2]Client Info'!$E$2:$E$2715))</f>
        <v>Maple Ridge</v>
      </c>
      <c r="AF159" s="55" t="str">
        <f>IF($AC159="","",_xlfn.XLOOKUP($AC159,'[2]Client Info'!$C$2:$C$2715,'[2]Client Info'!$F$2:$F$2715))</f>
        <v xml:space="preserve">BC </v>
      </c>
      <c r="AG159" s="55" t="s">
        <v>3496</v>
      </c>
      <c r="AH159" s="245">
        <f>151.68/12</f>
        <v>12.64</v>
      </c>
      <c r="AI159" s="43" t="str">
        <f>_xlfn.XLOOKUP(Table26[[#This Row],[customerSKU]],customerSKU!G:G,customerSKU!O:O,"not found",0,1)</f>
        <v>not found</v>
      </c>
      <c r="AJ159" s="53">
        <f>Table26[[#This Row],[unitprice]]*Table26[[#This Row],[quantity_unit]]</f>
        <v>151.68</v>
      </c>
      <c r="AK159" s="53" cm="1">
        <f t="array" ref="AK1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160" spans="1:37" s="53" customFormat="1" ht="18" customHeight="1">
      <c r="A160" s="42">
        <v>2097</v>
      </c>
      <c r="B160" s="244" t="s">
        <v>3837</v>
      </c>
      <c r="C160" s="242" t="s">
        <v>203</v>
      </c>
      <c r="D160" s="247"/>
      <c r="E160" s="247"/>
      <c r="F160" s="90"/>
      <c r="G160" s="119"/>
      <c r="H160" s="242"/>
      <c r="I160" s="242" t="s">
        <v>3862</v>
      </c>
      <c r="J160" s="242" t="s">
        <v>503</v>
      </c>
      <c r="K160" s="232">
        <v>45525</v>
      </c>
      <c r="L160" s="233" t="s">
        <v>4073</v>
      </c>
      <c r="M160" s="242"/>
      <c r="N160" s="254" t="str">
        <f>Table26[[#This Row],[po_number]]&amp;"-"&amp;Table26[[#This Row],[po_line]]</f>
        <v>-9</v>
      </c>
      <c r="O160" s="254">
        <v>9</v>
      </c>
      <c r="P160" s="234"/>
      <c r="Q160" s="242" t="s">
        <v>2025</v>
      </c>
      <c r="R160" s="242" t="s">
        <v>3947</v>
      </c>
      <c r="S160" s="248" t="s">
        <v>56</v>
      </c>
      <c r="T160" s="20">
        <v>45433</v>
      </c>
      <c r="U160" s="236">
        <v>12</v>
      </c>
      <c r="V160" s="90">
        <v>12</v>
      </c>
      <c r="W160" s="237">
        <f t="shared" si="4"/>
        <v>1</v>
      </c>
      <c r="X160" s="90" t="str">
        <f t="shared" si="5"/>
        <v/>
      </c>
      <c r="Y160" s="242"/>
      <c r="Z160" s="60"/>
      <c r="AA160" s="18" t="str" cm="1">
        <f t="array" ref="AA160">IF(P160="", "", _xlfn.XLOOKUP(P160,#REF!,#REF!,NA,0,-1))</f>
        <v/>
      </c>
      <c r="AB160" s="231"/>
      <c r="AC160" s="55" t="s">
        <v>3496</v>
      </c>
      <c r="AD160" s="55" t="str">
        <f>IF($AC160="","",_xlfn.XLOOKUP($AC160,'[2]Client Info'!$C$2:$C$2535,'[2]Client Info'!$D$2:$D$2535))</f>
        <v>11939 240th Street</v>
      </c>
      <c r="AE160" s="55" t="str">
        <f>IF($AC160="","",_xlfn.XLOOKUP($AC160,'[2]Client Info'!$C$2:$C$2715,'[2]Client Info'!$E$2:$E$2715))</f>
        <v>Maple Ridge</v>
      </c>
      <c r="AF160" s="55" t="str">
        <f>IF($AC160="","",_xlfn.XLOOKUP($AC160,'[2]Client Info'!$C$2:$C$2715,'[2]Client Info'!$F$2:$F$2715))</f>
        <v xml:space="preserve">BC </v>
      </c>
      <c r="AG160" s="55" t="s">
        <v>3496</v>
      </c>
      <c r="AH160" s="245">
        <f>168/12</f>
        <v>14</v>
      </c>
      <c r="AI160" s="43" t="str">
        <f>_xlfn.XLOOKUP(Table26[[#This Row],[customerSKU]],customerSKU!G:G,customerSKU!O:O,"not found",0,1)</f>
        <v>not found</v>
      </c>
      <c r="AJ160" s="53">
        <f>Table26[[#This Row],[unitprice]]*Table26[[#This Row],[quantity_unit]]</f>
        <v>168</v>
      </c>
      <c r="AK160" s="53" cm="1">
        <f t="array" ref="AK1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176.4</v>
      </c>
    </row>
    <row r="161" spans="1:37" s="53" customFormat="1" ht="18" customHeight="1">
      <c r="A161" s="42">
        <v>2098</v>
      </c>
      <c r="B161" s="244" t="s">
        <v>3837</v>
      </c>
      <c r="C161" s="242" t="s">
        <v>203</v>
      </c>
      <c r="D161" s="247"/>
      <c r="E161" s="247"/>
      <c r="F161" s="90"/>
      <c r="G161" s="119"/>
      <c r="H161" s="242"/>
      <c r="I161" s="242" t="s">
        <v>3862</v>
      </c>
      <c r="J161" s="242" t="s">
        <v>503</v>
      </c>
      <c r="K161" s="232">
        <v>45525</v>
      </c>
      <c r="L161" s="233" t="s">
        <v>4073</v>
      </c>
      <c r="M161" s="242"/>
      <c r="N161" s="254" t="str">
        <f>Table26[[#This Row],[po_number]]&amp;"-"&amp;Table26[[#This Row],[po_line]]</f>
        <v>-10</v>
      </c>
      <c r="O161" s="254">
        <v>10</v>
      </c>
      <c r="P161" s="234"/>
      <c r="Q161" s="266" t="s">
        <v>4074</v>
      </c>
      <c r="R161" s="242" t="s">
        <v>3947</v>
      </c>
      <c r="S161" s="248" t="s">
        <v>56</v>
      </c>
      <c r="T161" s="20">
        <v>45523</v>
      </c>
      <c r="U161" s="236">
        <v>6</v>
      </c>
      <c r="V161" s="90">
        <v>6</v>
      </c>
      <c r="W161" s="237">
        <f t="shared" si="4"/>
        <v>1</v>
      </c>
      <c r="X161" s="90" t="str">
        <f t="shared" si="5"/>
        <v/>
      </c>
      <c r="Y161" s="242"/>
      <c r="Z161" s="60"/>
      <c r="AA161" s="18" t="str" cm="1">
        <f t="array" ref="AA161">IF(P161="", "", _xlfn.XLOOKUP(P161,#REF!,#REF!,NA,0,-1))</f>
        <v/>
      </c>
      <c r="AB161" s="231"/>
      <c r="AC161" s="55" t="s">
        <v>3496</v>
      </c>
      <c r="AD161" s="55" t="str">
        <f>IF($AC161="","",_xlfn.XLOOKUP($AC161,'[2]Client Info'!$C$2:$C$2535,'[2]Client Info'!$D$2:$D$2535))</f>
        <v>11939 240th Street</v>
      </c>
      <c r="AE161" s="55" t="str">
        <f>IF($AC161="","",_xlfn.XLOOKUP($AC161,'[2]Client Info'!$C$2:$C$2715,'[2]Client Info'!$E$2:$E$2715))</f>
        <v>Maple Ridge</v>
      </c>
      <c r="AF161" s="55" t="str">
        <f>IF($AC161="","",_xlfn.XLOOKUP($AC161,'[2]Client Info'!$C$2:$C$2715,'[2]Client Info'!$F$2:$F$2715))</f>
        <v xml:space="preserve">BC </v>
      </c>
      <c r="AG161" s="55" t="s">
        <v>3496</v>
      </c>
      <c r="AH161" s="245">
        <f>74.76/12</f>
        <v>6.23</v>
      </c>
      <c r="AI161" s="43" t="str">
        <f>_xlfn.XLOOKUP(Table26[[#This Row],[customerSKU]],customerSKU!G:G,customerSKU!O:O,"not found",0,1)</f>
        <v>not found</v>
      </c>
      <c r="AJ161" s="53">
        <f>Table26[[#This Row],[unitprice]]*Table26[[#This Row],[quantity_unit]]</f>
        <v>37.380000000000003</v>
      </c>
      <c r="AK161" s="53" cm="1">
        <f t="array" ref="AK1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39.249000000000002</v>
      </c>
    </row>
    <row r="162" spans="1:37" s="53" customFormat="1" ht="18" customHeight="1">
      <c r="A162" s="42">
        <v>2084</v>
      </c>
      <c r="B162" s="64" t="s">
        <v>3520</v>
      </c>
      <c r="C162" s="59" t="s">
        <v>203</v>
      </c>
      <c r="D162" s="65"/>
      <c r="E162" s="65"/>
      <c r="G162" s="46"/>
      <c r="H162" s="59"/>
      <c r="I162" s="59" t="s">
        <v>3862</v>
      </c>
      <c r="J162" s="59" t="s">
        <v>27</v>
      </c>
      <c r="K162" s="48">
        <v>45526</v>
      </c>
      <c r="L162" s="49" t="s">
        <v>490</v>
      </c>
      <c r="M162" s="59"/>
      <c r="N162" s="109" t="str">
        <f>Table26[[#This Row],[po_number]]&amp;"-"&amp;Table26[[#This Row],[po_line]]</f>
        <v>-1</v>
      </c>
      <c r="O162" s="109">
        <v>1</v>
      </c>
      <c r="P162" s="50"/>
      <c r="Q162" s="59" t="s">
        <v>3994</v>
      </c>
      <c r="R162" s="59" t="s">
        <v>3830</v>
      </c>
      <c r="S162" s="59" t="s">
        <v>57</v>
      </c>
      <c r="T162" s="20">
        <v>45519</v>
      </c>
      <c r="U162" s="52">
        <v>12</v>
      </c>
      <c r="V162" s="53">
        <v>12</v>
      </c>
      <c r="W162" s="116">
        <f t="shared" si="4"/>
        <v>1</v>
      </c>
      <c r="X162" s="53" t="str">
        <f t="shared" si="5"/>
        <v/>
      </c>
      <c r="Y162" s="59"/>
      <c r="Z162" s="60"/>
      <c r="AA162" s="18" t="str" cm="1">
        <f t="array" ref="AA162">IF(P162="", "", _xlfn.XLOOKUP(P162,#REF!,#REF!,NA,0,-1))</f>
        <v/>
      </c>
      <c r="AB162" s="47"/>
      <c r="AC162" s="55" t="s">
        <v>54</v>
      </c>
      <c r="AD162" s="55" t="str">
        <f>IF($AC162="","",_xlfn.XLOOKUP($AC162,'[2]Client Info'!$C$2:$C$2535,'[2]Client Info'!$D$2:$D$2535))</f>
        <v>78 MAIN ST, Unit C</v>
      </c>
      <c r="AE162" s="55" t="str">
        <f>IF($AC162="","",_xlfn.XLOOKUP($AC162,'[2]Client Info'!$C$2:$C$2715,'[2]Client Info'!$E$2:$E$2715))</f>
        <v>RIVERTON</v>
      </c>
      <c r="AF162" s="55" t="str">
        <f>IF($AC162="","",_xlfn.XLOOKUP($AC162,'[2]Client Info'!$C$2:$C$2715,'[2]Client Info'!$F$2:$F$2715))</f>
        <v>MB</v>
      </c>
      <c r="AG162" s="55" t="s">
        <v>3992</v>
      </c>
      <c r="AH162" s="62">
        <f>101.88/12</f>
        <v>8.49</v>
      </c>
      <c r="AI162" s="43" t="str">
        <f>_xlfn.XLOOKUP(Table26[[#This Row],[customerSKU]],customerSKU!G:G,customerSKU!O:O,"not found",0,1)</f>
        <v>not found</v>
      </c>
      <c r="AJ162" s="53">
        <f>Table26[[#This Row],[unitprice]]*Table26[[#This Row],[quantity_unit]]</f>
        <v>101.88</v>
      </c>
      <c r="AK162" s="53" cm="1">
        <f t="array" ref="AK1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106.974</v>
      </c>
    </row>
    <row r="163" spans="1:37" s="53" customFormat="1" ht="18" customHeight="1">
      <c r="A163" s="42">
        <v>2085</v>
      </c>
      <c r="B163" s="64" t="s">
        <v>3520</v>
      </c>
      <c r="C163" s="59" t="s">
        <v>203</v>
      </c>
      <c r="D163" s="65"/>
      <c r="E163" s="65"/>
      <c r="G163" s="46"/>
      <c r="H163" s="59"/>
      <c r="I163" s="59" t="s">
        <v>3862</v>
      </c>
      <c r="J163" s="59" t="s">
        <v>27</v>
      </c>
      <c r="K163" s="48">
        <v>45526</v>
      </c>
      <c r="L163" s="49" t="s">
        <v>490</v>
      </c>
      <c r="M163" s="59"/>
      <c r="N163" s="109" t="str">
        <f>Table26[[#This Row],[po_number]]&amp;"-"&amp;Table26[[#This Row],[po_line]]</f>
        <v>-2</v>
      </c>
      <c r="O163" s="109">
        <v>2</v>
      </c>
      <c r="P163" s="50"/>
      <c r="Q163" s="59" t="s">
        <v>3865</v>
      </c>
      <c r="R163" s="59" t="s">
        <v>3830</v>
      </c>
      <c r="S163" s="59" t="s">
        <v>57</v>
      </c>
      <c r="T163" s="20">
        <v>45497</v>
      </c>
      <c r="U163" s="52">
        <v>12</v>
      </c>
      <c r="V163" s="53">
        <v>12</v>
      </c>
      <c r="W163" s="116">
        <f t="shared" si="4"/>
        <v>1</v>
      </c>
      <c r="X163" s="53" t="str">
        <f t="shared" si="5"/>
        <v/>
      </c>
      <c r="Y163" s="59"/>
      <c r="Z163" s="60"/>
      <c r="AA163" s="18" t="str" cm="1">
        <f t="array" ref="AA163">IF(P163="", "", _xlfn.XLOOKUP(P163,#REF!,#REF!,NA,0,-1))</f>
        <v/>
      </c>
      <c r="AB163" s="47"/>
      <c r="AC163" s="55" t="s">
        <v>54</v>
      </c>
      <c r="AD163" s="55" t="str">
        <f>IF($AC163="","",_xlfn.XLOOKUP($AC163,'[2]Client Info'!$C$2:$C$2535,'[2]Client Info'!$D$2:$D$2535))</f>
        <v>78 MAIN ST, Unit C</v>
      </c>
      <c r="AE163" s="55" t="str">
        <f>IF($AC163="","",_xlfn.XLOOKUP($AC163,'[2]Client Info'!$C$2:$C$2715,'[2]Client Info'!$E$2:$E$2715))</f>
        <v>RIVERTON</v>
      </c>
      <c r="AF163" s="55" t="str">
        <f>IF($AC163="","",_xlfn.XLOOKUP($AC163,'[2]Client Info'!$C$2:$C$2715,'[2]Client Info'!$F$2:$F$2715))</f>
        <v>MB</v>
      </c>
      <c r="AG163" s="55" t="s">
        <v>3992</v>
      </c>
      <c r="AH163" s="62">
        <f>107.88/12</f>
        <v>8.99</v>
      </c>
      <c r="AI163" s="43" t="str">
        <f>_xlfn.XLOOKUP(Table26[[#This Row],[customerSKU]],customerSKU!G:G,customerSKU!O:O,"not found",0,1)</f>
        <v>not found</v>
      </c>
      <c r="AJ163" s="53">
        <f>Table26[[#This Row],[unitprice]]*Table26[[#This Row],[quantity_unit]]</f>
        <v>107.88</v>
      </c>
      <c r="AK163" s="53" cm="1">
        <f t="array" ref="AK1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164" spans="1:37" s="53" customFormat="1" ht="18" customHeight="1">
      <c r="A164" s="42">
        <v>2086</v>
      </c>
      <c r="B164" s="64" t="s">
        <v>3520</v>
      </c>
      <c r="C164" s="59" t="s">
        <v>203</v>
      </c>
      <c r="D164" s="65"/>
      <c r="E164" s="65"/>
      <c r="G164" s="46"/>
      <c r="H164" s="59"/>
      <c r="I164" s="59" t="s">
        <v>3862</v>
      </c>
      <c r="J164" s="59" t="s">
        <v>27</v>
      </c>
      <c r="K164" s="48">
        <v>45526</v>
      </c>
      <c r="L164" s="49" t="s">
        <v>490</v>
      </c>
      <c r="M164" s="59"/>
      <c r="N164" s="109" t="str">
        <f>Table26[[#This Row],[po_number]]&amp;"-"&amp;Table26[[#This Row],[po_line]]</f>
        <v>-1</v>
      </c>
      <c r="O164" s="109">
        <v>1</v>
      </c>
      <c r="P164" s="50"/>
      <c r="Q164" s="59" t="s">
        <v>3987</v>
      </c>
      <c r="R164" s="59" t="s">
        <v>3830</v>
      </c>
      <c r="S164" s="59" t="s">
        <v>57</v>
      </c>
      <c r="T164" s="20">
        <v>45523</v>
      </c>
      <c r="U164" s="52">
        <v>12</v>
      </c>
      <c r="V164" s="53">
        <v>12</v>
      </c>
      <c r="W164" s="116">
        <f t="shared" si="4"/>
        <v>1</v>
      </c>
      <c r="X164" s="53" t="str">
        <f t="shared" si="5"/>
        <v/>
      </c>
      <c r="Y164" s="59"/>
      <c r="Z164" s="60"/>
      <c r="AA164" s="18" t="str" cm="1">
        <f t="array" ref="AA164">IF(P164="", "", _xlfn.XLOOKUP(P164,#REF!,#REF!,NA,0,-1))</f>
        <v/>
      </c>
      <c r="AB164" s="47"/>
      <c r="AC164" s="55" t="s">
        <v>3995</v>
      </c>
      <c r="AD164" s="55" t="str">
        <f>IF($AC164="","",_xlfn.XLOOKUP($AC164,'[2]Client Info'!$C$2:$C$2535,'[2]Client Info'!$D$2:$D$2535))</f>
        <v>Unit C-1566 Pembina Hwy</v>
      </c>
      <c r="AE164" s="55" t="str">
        <f>IF($AC164="","",_xlfn.XLOOKUP($AC164,'[2]Client Info'!$C$2:$C$2715,'[2]Client Info'!$E$2:$E$2715))</f>
        <v>WINNIPEG</v>
      </c>
      <c r="AF164" s="55" t="str">
        <f>IF($AC164="","",_xlfn.XLOOKUP($AC164,'[2]Client Info'!$C$2:$C$2715,'[2]Client Info'!$F$2:$F$2715))</f>
        <v>MB</v>
      </c>
      <c r="AG164" s="55" t="s">
        <v>3992</v>
      </c>
      <c r="AH164" s="62">
        <f>107.88/12</f>
        <v>8.99</v>
      </c>
      <c r="AI164" s="43" t="str">
        <f>_xlfn.XLOOKUP(Table26[[#This Row],[customerSKU]],customerSKU!G:G,customerSKU!O:O,"not found",0,1)</f>
        <v>not found</v>
      </c>
      <c r="AJ164" s="53">
        <f>Table26[[#This Row],[unitprice]]*Table26[[#This Row],[quantity_unit]]</f>
        <v>107.88</v>
      </c>
      <c r="AK164" s="53" cm="1">
        <f t="array" ref="AK1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165" spans="1:37" s="53" customFormat="1" ht="18" customHeight="1">
      <c r="A165" s="42">
        <v>2087</v>
      </c>
      <c r="B165" s="64" t="s">
        <v>3520</v>
      </c>
      <c r="C165" s="59" t="s">
        <v>203</v>
      </c>
      <c r="D165" s="65"/>
      <c r="E165" s="65"/>
      <c r="G165" s="46"/>
      <c r="H165" s="59"/>
      <c r="I165" s="59" t="s">
        <v>3862</v>
      </c>
      <c r="J165" s="59" t="s">
        <v>27</v>
      </c>
      <c r="K165" s="48">
        <v>45526</v>
      </c>
      <c r="L165" s="49" t="s">
        <v>490</v>
      </c>
      <c r="M165" s="59"/>
      <c r="N165" s="109" t="str">
        <f>Table26[[#This Row],[po_number]]&amp;"-"&amp;Table26[[#This Row],[po_line]]</f>
        <v>-1</v>
      </c>
      <c r="O165" s="109">
        <v>1</v>
      </c>
      <c r="P165" s="50"/>
      <c r="Q165" s="59" t="s">
        <v>3876</v>
      </c>
      <c r="R165" s="59" t="s">
        <v>3830</v>
      </c>
      <c r="S165" s="59" t="s">
        <v>57</v>
      </c>
      <c r="T165" s="20">
        <v>45491</v>
      </c>
      <c r="U165" s="52">
        <v>12</v>
      </c>
      <c r="V165" s="53">
        <v>12</v>
      </c>
      <c r="W165" s="116">
        <f t="shared" si="4"/>
        <v>1</v>
      </c>
      <c r="X165" s="53" t="str">
        <f t="shared" si="5"/>
        <v/>
      </c>
      <c r="Y165" s="59"/>
      <c r="Z165" s="60"/>
      <c r="AA165" s="18" t="str" cm="1">
        <f t="array" ref="AA165">IF(P165="", "", _xlfn.XLOOKUP(P165,#REF!,#REF!,NA,0,-1))</f>
        <v/>
      </c>
      <c r="AB165" s="47"/>
      <c r="AC165" s="55" t="s">
        <v>3996</v>
      </c>
      <c r="AD165" s="55" t="str">
        <f>IF($AC165="","",_xlfn.XLOOKUP($AC165,'[2]Client Info'!$C$2:$C$2535,'[2]Client Info'!$D$2:$D$2535))</f>
        <v>229 MANITOBA AVE</v>
      </c>
      <c r="AE165" s="55" t="str">
        <f>IF($AC165="","",_xlfn.XLOOKUP($AC165,'[2]Client Info'!$C$2:$C$2715,'[2]Client Info'!$E$2:$E$2715))</f>
        <v>SELKIRK</v>
      </c>
      <c r="AF165" s="55" t="str">
        <f>IF($AC165="","",_xlfn.XLOOKUP($AC165,'[2]Client Info'!$C$2:$C$2715,'[2]Client Info'!$F$2:$F$2715))</f>
        <v xml:space="preserve">MB </v>
      </c>
      <c r="AG165" s="55" t="s">
        <v>3992</v>
      </c>
      <c r="AH165" s="62">
        <v>8.49</v>
      </c>
      <c r="AI165" s="43" t="str">
        <f>_xlfn.XLOOKUP(Table26[[#This Row],[customerSKU]],customerSKU!G:G,customerSKU!O:O,"not found",0,1)</f>
        <v>not found</v>
      </c>
      <c r="AJ165" s="53">
        <f>Table26[[#This Row],[unitprice]]*Table26[[#This Row],[quantity_unit]]</f>
        <v>101.88</v>
      </c>
      <c r="AK165" s="53" cm="1">
        <f t="array" ref="AK1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106.974</v>
      </c>
    </row>
    <row r="166" spans="1:37" s="53" customFormat="1" ht="18" customHeight="1">
      <c r="A166" s="42">
        <v>2088</v>
      </c>
      <c r="B166" s="64" t="s">
        <v>3520</v>
      </c>
      <c r="C166" s="59" t="s">
        <v>203</v>
      </c>
      <c r="D166" s="65"/>
      <c r="E166" s="65"/>
      <c r="G166" s="46"/>
      <c r="H166" s="59"/>
      <c r="I166" s="59" t="s">
        <v>3862</v>
      </c>
      <c r="J166" s="59" t="s">
        <v>27</v>
      </c>
      <c r="K166" s="48">
        <v>45526</v>
      </c>
      <c r="L166" s="49" t="s">
        <v>490</v>
      </c>
      <c r="M166" s="59"/>
      <c r="N166" s="109" t="str">
        <f>Table26[[#This Row],[po_number]]&amp;"-"&amp;Table26[[#This Row],[po_line]]</f>
        <v>-2</v>
      </c>
      <c r="O166" s="109">
        <v>2</v>
      </c>
      <c r="P166" s="50"/>
      <c r="Q166" s="59" t="s">
        <v>3994</v>
      </c>
      <c r="R166" s="59" t="s">
        <v>3830</v>
      </c>
      <c r="S166" s="59" t="s">
        <v>57</v>
      </c>
      <c r="T166" s="20">
        <v>45519</v>
      </c>
      <c r="U166" s="52">
        <v>12</v>
      </c>
      <c r="V166" s="53">
        <v>12</v>
      </c>
      <c r="W166" s="116">
        <f t="shared" si="4"/>
        <v>1</v>
      </c>
      <c r="X166" s="53" t="str">
        <f t="shared" si="5"/>
        <v/>
      </c>
      <c r="Y166" s="59"/>
      <c r="Z166" s="60"/>
      <c r="AA166" s="18" t="str" cm="1">
        <f t="array" ref="AA166">IF(P166="", "", _xlfn.XLOOKUP(P166,#REF!,#REF!,NA,0,-1))</f>
        <v/>
      </c>
      <c r="AB166" s="47"/>
      <c r="AC166" s="55" t="s">
        <v>3996</v>
      </c>
      <c r="AD166" s="55" t="str">
        <f>IF($AC166="","",_xlfn.XLOOKUP($AC166,'[2]Client Info'!$C$2:$C$2535,'[2]Client Info'!$D$2:$D$2535))</f>
        <v>229 MANITOBA AVE</v>
      </c>
      <c r="AE166" s="55" t="str">
        <f>IF($AC166="","",_xlfn.XLOOKUP($AC166,'[2]Client Info'!$C$2:$C$2715,'[2]Client Info'!$E$2:$E$2715))</f>
        <v>SELKIRK</v>
      </c>
      <c r="AF166" s="55" t="str">
        <f>IF($AC166="","",_xlfn.XLOOKUP($AC166,'[2]Client Info'!$C$2:$C$2715,'[2]Client Info'!$F$2:$F$2715))</f>
        <v xml:space="preserve">MB </v>
      </c>
      <c r="AG166" s="55" t="s">
        <v>3992</v>
      </c>
      <c r="AH166" s="62">
        <v>8.49</v>
      </c>
      <c r="AI166" s="43" t="str">
        <f>_xlfn.XLOOKUP(Table26[[#This Row],[customerSKU]],customerSKU!G:G,customerSKU!O:O,"not found",0,1)</f>
        <v>not found</v>
      </c>
      <c r="AJ166" s="53">
        <f>Table26[[#This Row],[unitprice]]*Table26[[#This Row],[quantity_unit]]</f>
        <v>101.88</v>
      </c>
      <c r="AK166" s="53" cm="1">
        <f t="array" ref="AK1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106.974</v>
      </c>
    </row>
    <row r="167" spans="1:37" s="53" customFormat="1" ht="18" customHeight="1">
      <c r="A167" s="42">
        <v>2082</v>
      </c>
      <c r="B167" s="58" t="s">
        <v>3520</v>
      </c>
      <c r="C167" s="43" t="s">
        <v>203</v>
      </c>
      <c r="D167" s="51"/>
      <c r="E167" s="51" t="s">
        <v>3912</v>
      </c>
      <c r="F167" s="53">
        <v>50728</v>
      </c>
      <c r="G167" s="46"/>
      <c r="I167" s="47" t="s">
        <v>3862</v>
      </c>
      <c r="J167" s="53" t="s">
        <v>603</v>
      </c>
      <c r="K167" s="48">
        <v>45530</v>
      </c>
      <c r="L167" s="49" t="s">
        <v>490</v>
      </c>
      <c r="N167" s="77" t="str">
        <f>Table26[[#This Row],[po_number]]&amp;"-"&amp;Table26[[#This Row],[po_line]]</f>
        <v>-1</v>
      </c>
      <c r="O167" s="77">
        <v>1</v>
      </c>
      <c r="P167" s="50"/>
      <c r="Q167" s="53" t="s">
        <v>3913</v>
      </c>
      <c r="R167" s="53" t="s">
        <v>3830</v>
      </c>
      <c r="S167" s="53" t="s">
        <v>70</v>
      </c>
      <c r="T167" s="51">
        <v>45503</v>
      </c>
      <c r="U167" s="52">
        <f>48</f>
        <v>48</v>
      </c>
      <c r="V167" s="53">
        <v>12</v>
      </c>
      <c r="W167" s="116">
        <f t="shared" si="4"/>
        <v>4</v>
      </c>
      <c r="X167" s="53" t="str">
        <f t="shared" si="5"/>
        <v/>
      </c>
      <c r="Y167" s="87" t="s">
        <v>3914</v>
      </c>
      <c r="Z167" s="25" t="s">
        <v>3363</v>
      </c>
      <c r="AA167" s="18" t="str" cm="1">
        <f t="array" ref="AA167">IF(P167="", "", _xlfn.XLOOKUP(P167,#REF!,#REF!,NA,0,-1))</f>
        <v/>
      </c>
      <c r="AB167" s="47"/>
      <c r="AC167" s="55" t="s">
        <v>3867</v>
      </c>
      <c r="AD167" s="55" t="str">
        <f>IF($AC167="","",_xlfn.XLOOKUP($AC167,'[2]Client Info'!$C$2:$C$2535,'[2]Client Info'!$D$2:$D$2535))</f>
        <v>55 Quarterman Road</v>
      </c>
      <c r="AE167" s="55" t="str">
        <f>IF($AC167="","",_xlfn.XLOOKUP($AC167,'[2]Client Info'!$C$2:$C$2715,'[2]Client Info'!$E$2:$E$2715))</f>
        <v>Guelph</v>
      </c>
      <c r="AF167" s="55" t="str">
        <f>IF($AC167="","",_xlfn.XLOOKUP($AC167,'[2]Client Info'!$C$2:$C$2715,'[2]Client Info'!$F$2:$F$2715))</f>
        <v>ON</v>
      </c>
      <c r="AG167" s="55" t="s">
        <v>37</v>
      </c>
      <c r="AH167" s="62">
        <f>12240/120</f>
        <v>102</v>
      </c>
      <c r="AI167" s="43" t="str">
        <f>_xlfn.XLOOKUP(Table26[[#This Row],[customerSKU]],customerSKU!G:G,customerSKU!O:O,"not found",0,1)</f>
        <v>not found</v>
      </c>
      <c r="AJ167" s="59">
        <f>Table26[[#This Row],[unitprice]]*Table26[[#This Row],[quantity_unit]]</f>
        <v>4896</v>
      </c>
      <c r="AK167" s="59" t="e" cm="1">
        <f t="array" ref="AK1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68" spans="1:37" s="53" customFormat="1" ht="18" customHeight="1">
      <c r="A168" s="42">
        <v>2083</v>
      </c>
      <c r="B168" s="58" t="s">
        <v>3520</v>
      </c>
      <c r="C168" s="43" t="s">
        <v>203</v>
      </c>
      <c r="D168" s="51"/>
      <c r="E168" s="51" t="s">
        <v>3912</v>
      </c>
      <c r="F168" s="53">
        <v>50728</v>
      </c>
      <c r="G168" s="46"/>
      <c r="I168" s="47" t="s">
        <v>3862</v>
      </c>
      <c r="J168" s="53" t="s">
        <v>603</v>
      </c>
      <c r="K168" s="48">
        <v>45530</v>
      </c>
      <c r="L168" s="49" t="s">
        <v>490</v>
      </c>
      <c r="N168" s="77" t="str">
        <f>Table26[[#This Row],[po_number]]&amp;"-"&amp;Table26[[#This Row],[po_line]]</f>
        <v>-2</v>
      </c>
      <c r="O168" s="77">
        <v>2</v>
      </c>
      <c r="P168" s="50"/>
      <c r="Q168" s="53" t="s">
        <v>3915</v>
      </c>
      <c r="R168" s="53" t="s">
        <v>3830</v>
      </c>
      <c r="S168" s="53" t="s">
        <v>70</v>
      </c>
      <c r="T168" s="51">
        <v>45523</v>
      </c>
      <c r="U168" s="52">
        <f>6*12</f>
        <v>72</v>
      </c>
      <c r="V168" s="53">
        <v>12</v>
      </c>
      <c r="W168" s="116">
        <f t="shared" si="4"/>
        <v>6</v>
      </c>
      <c r="X168" s="53" t="str">
        <f t="shared" si="5"/>
        <v/>
      </c>
      <c r="Y168" s="87" t="s">
        <v>3914</v>
      </c>
      <c r="Z168" s="25" t="s">
        <v>3363</v>
      </c>
      <c r="AA168" s="18" t="str" cm="1">
        <f t="array" ref="AA168">IF(P168="", "", _xlfn.XLOOKUP(P168,#REF!,#REF!,NA,0,-1))</f>
        <v/>
      </c>
      <c r="AB168" s="47"/>
      <c r="AC168" s="55" t="s">
        <v>3867</v>
      </c>
      <c r="AD168" s="55" t="str">
        <f>IF($AC168="","",_xlfn.XLOOKUP($AC168,'[2]Client Info'!$C$2:$C$2535,'[2]Client Info'!$D$2:$D$2535))</f>
        <v>55 Quarterman Road</v>
      </c>
      <c r="AE168" s="55" t="str">
        <f>IF($AC168="","",_xlfn.XLOOKUP($AC168,'[2]Client Info'!$C$2:$C$2715,'[2]Client Info'!$E$2:$E$2715))</f>
        <v>Guelph</v>
      </c>
      <c r="AF168" s="55" t="str">
        <f>IF($AC168="","",_xlfn.XLOOKUP($AC168,'[2]Client Info'!$C$2:$C$2715,'[2]Client Info'!$F$2:$F$2715))</f>
        <v>ON</v>
      </c>
      <c r="AG168" s="55" t="s">
        <v>37</v>
      </c>
      <c r="AH168" s="62">
        <f>12240/120</f>
        <v>102</v>
      </c>
      <c r="AI168" s="43" t="str">
        <f>_xlfn.XLOOKUP(Table26[[#This Row],[customerSKU]],customerSKU!G:G,customerSKU!O:O,"not found",0,1)</f>
        <v>not found</v>
      </c>
      <c r="AJ168" s="59">
        <f>Table26[[#This Row],[unitprice]]*Table26[[#This Row],[quantity_unit]]</f>
        <v>7344</v>
      </c>
      <c r="AK168" s="59" t="e" cm="1">
        <f t="array" ref="AK1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69" spans="1:37" s="53" customFormat="1" ht="18" customHeight="1">
      <c r="A169" s="42">
        <v>2080</v>
      </c>
      <c r="B169" s="42" t="s">
        <v>3837</v>
      </c>
      <c r="C169" s="59" t="s">
        <v>203</v>
      </c>
      <c r="D169" s="65"/>
      <c r="E169" s="65"/>
      <c r="G169" s="46"/>
      <c r="H169" s="59"/>
      <c r="I169" s="47" t="s">
        <v>3862</v>
      </c>
      <c r="J169" s="59" t="s">
        <v>3838</v>
      </c>
      <c r="K169" s="48">
        <v>45531</v>
      </c>
      <c r="L169" s="49" t="s">
        <v>201</v>
      </c>
      <c r="M169" s="59"/>
      <c r="N169" s="109" t="str">
        <f>Table26[[#This Row],[po_number]]&amp;"-"&amp;Table26[[#This Row],[po_line]]</f>
        <v>-1</v>
      </c>
      <c r="O169" s="109">
        <v>1</v>
      </c>
      <c r="P169" s="50"/>
      <c r="Q169" s="59" t="s">
        <v>3949</v>
      </c>
      <c r="R169" s="59" t="s">
        <v>3428</v>
      </c>
      <c r="S169" s="59" t="s">
        <v>3950</v>
      </c>
      <c r="T169" s="20">
        <v>45531</v>
      </c>
      <c r="U169" s="52">
        <f>56*12</f>
        <v>672</v>
      </c>
      <c r="V169" s="53">
        <v>12</v>
      </c>
      <c r="W169" s="116">
        <f t="shared" si="4"/>
        <v>56</v>
      </c>
      <c r="X169" s="53" t="str">
        <f t="shared" si="5"/>
        <v/>
      </c>
      <c r="Y169" s="59"/>
      <c r="Z169" s="60"/>
      <c r="AA169" s="18" t="str" cm="1">
        <f t="array" ref="AA169">IF(P169="", "", _xlfn.XLOOKUP(P169,#REF!,#REF!,NA,0,-1))</f>
        <v/>
      </c>
      <c r="AB169" s="47"/>
      <c r="AC169" s="55" t="s">
        <v>3935</v>
      </c>
      <c r="AD169" s="55" t="str">
        <f>IF($AC169="","",_xlfn.XLOOKUP($AC169,'[2]Client Info'!$C$2:$C$2535,'[2]Client Info'!$D$2:$D$2535))</f>
        <v>18, Canso rd</v>
      </c>
      <c r="AE169" s="55" t="str">
        <f>IF($AC169="","",_xlfn.XLOOKUP($AC169,'[2]Client Info'!$C$2:$C$2715,'[2]Client Info'!$E$2:$E$2715))</f>
        <v>Etobicoke</v>
      </c>
      <c r="AF169" s="55" t="str">
        <f>IF($AC169="","",_xlfn.XLOOKUP($AC169,'[2]Client Info'!$C$2:$C$2715,'[2]Client Info'!$F$2:$F$2715))</f>
        <v>ON</v>
      </c>
      <c r="AG169" s="55" t="s">
        <v>3935</v>
      </c>
      <c r="AH169" s="62">
        <f>9118.2/12/65</f>
        <v>11.69</v>
      </c>
      <c r="AI169" s="43" t="str">
        <f>_xlfn.XLOOKUP(Table26[[#This Row],[customerSKU]],customerSKU!G:G,customerSKU!O:O,"not found",0,1)</f>
        <v>not found</v>
      </c>
      <c r="AJ169" s="53">
        <f>Table26[[#This Row],[unitprice]]*Table26[[#This Row],[quantity_unit]]</f>
        <v>7855.6799999999994</v>
      </c>
      <c r="AK169" s="53" t="e" cm="1">
        <f t="array" ref="AK1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0" spans="1:37" s="53" customFormat="1" ht="18" customHeight="1">
      <c r="A170" s="42">
        <v>2081</v>
      </c>
      <c r="B170" s="42" t="s">
        <v>3837</v>
      </c>
      <c r="C170" s="59" t="s">
        <v>203</v>
      </c>
      <c r="D170" s="65"/>
      <c r="E170" s="65"/>
      <c r="G170" s="46"/>
      <c r="H170" s="59"/>
      <c r="I170" s="47" t="s">
        <v>3862</v>
      </c>
      <c r="J170" s="59" t="s">
        <v>3838</v>
      </c>
      <c r="K170" s="48">
        <v>45531</v>
      </c>
      <c r="L170" s="49" t="s">
        <v>201</v>
      </c>
      <c r="M170" s="59"/>
      <c r="N170" s="109" t="str">
        <f>Table26[[#This Row],[po_number]]&amp;"-"&amp;Table26[[#This Row],[po_line]]</f>
        <v>-2</v>
      </c>
      <c r="O170" s="109">
        <v>2</v>
      </c>
      <c r="P170" s="50"/>
      <c r="Q170" s="59" t="s">
        <v>3938</v>
      </c>
      <c r="R170" s="59" t="s">
        <v>3428</v>
      </c>
      <c r="S170" s="59" t="s">
        <v>3950</v>
      </c>
      <c r="T170" s="20">
        <v>45460</v>
      </c>
      <c r="U170" s="52">
        <f>9*12</f>
        <v>108</v>
      </c>
      <c r="V170" s="53">
        <v>12</v>
      </c>
      <c r="W170" s="116">
        <f t="shared" si="4"/>
        <v>9</v>
      </c>
      <c r="X170" s="53" t="str">
        <f t="shared" si="5"/>
        <v/>
      </c>
      <c r="Y170" s="59"/>
      <c r="Z170" s="60"/>
      <c r="AA170" s="18" t="str" cm="1">
        <f t="array" ref="AA170">IF(P170="", "", _xlfn.XLOOKUP(P170,#REF!,#REF!,NA,0,-1))</f>
        <v/>
      </c>
      <c r="AB170" s="47"/>
      <c r="AC170" s="55" t="s">
        <v>3935</v>
      </c>
      <c r="AD170" s="55" t="str">
        <f>IF($AC170="","",_xlfn.XLOOKUP($AC170,'[2]Client Info'!$C$2:$C$2535,'[2]Client Info'!$D$2:$D$2535))</f>
        <v>18, Canso rd</v>
      </c>
      <c r="AE170" s="55" t="str">
        <f>IF($AC170="","",_xlfn.XLOOKUP($AC170,'[2]Client Info'!$C$2:$C$2715,'[2]Client Info'!$E$2:$E$2715))</f>
        <v>Etobicoke</v>
      </c>
      <c r="AF170" s="55" t="str">
        <f>IF($AC170="","",_xlfn.XLOOKUP($AC170,'[2]Client Info'!$C$2:$C$2715,'[2]Client Info'!$F$2:$F$2715))</f>
        <v>ON</v>
      </c>
      <c r="AG170" s="55" t="s">
        <v>3935</v>
      </c>
      <c r="AH170" s="62">
        <f>9118.2/12/65</f>
        <v>11.69</v>
      </c>
      <c r="AI170" s="43" t="str">
        <f>_xlfn.XLOOKUP(Table26[[#This Row],[customerSKU]],customerSKU!G:G,customerSKU!O:O,"not found",0,1)</f>
        <v>not found</v>
      </c>
      <c r="AJ170" s="53">
        <f>Table26[[#This Row],[unitprice]]*Table26[[#This Row],[quantity_unit]]</f>
        <v>1262.52</v>
      </c>
      <c r="AK170" s="53" t="e" cm="1">
        <f t="array" ref="AK1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1" spans="1:37" s="53" customFormat="1" ht="18" customHeight="1">
      <c r="A171" s="42">
        <v>2059</v>
      </c>
      <c r="B171" s="64" t="s">
        <v>3520</v>
      </c>
      <c r="C171" s="59" t="s">
        <v>203</v>
      </c>
      <c r="D171" s="65"/>
      <c r="E171" s="65"/>
      <c r="F171" s="65"/>
      <c r="G171" s="46"/>
      <c r="H171" s="59"/>
      <c r="I171" s="59" t="s">
        <v>3862</v>
      </c>
      <c r="J171" s="59" t="s">
        <v>499</v>
      </c>
      <c r="K171" s="48">
        <v>45532</v>
      </c>
      <c r="L171" s="49" t="s">
        <v>3882</v>
      </c>
      <c r="M171" s="59"/>
      <c r="N171" s="109" t="str">
        <f>Table26[[#This Row],[po_number]]&amp;"-"&amp;Table26[[#This Row],[po_line]]</f>
        <v>-1</v>
      </c>
      <c r="O171" s="109">
        <v>1</v>
      </c>
      <c r="P171" s="50"/>
      <c r="Q171" s="59" t="s">
        <v>1609</v>
      </c>
      <c r="R171" s="59" t="s">
        <v>3830</v>
      </c>
      <c r="S171" s="59" t="s">
        <v>3883</v>
      </c>
      <c r="T171" s="51">
        <v>45462</v>
      </c>
      <c r="U171" s="52">
        <v>12</v>
      </c>
      <c r="V171" s="53">
        <v>12</v>
      </c>
      <c r="W171" s="116">
        <f t="shared" si="4"/>
        <v>1</v>
      </c>
      <c r="X171" s="53" t="str">
        <f t="shared" si="5"/>
        <v/>
      </c>
      <c r="Y171" s="59"/>
      <c r="Z171" s="73"/>
      <c r="AA171" s="18" t="str" cm="1">
        <f t="array" ref="AA171">IF(P171="", "", _xlfn.XLOOKUP(P171,#REF!,#REF!,NA,0,-1))</f>
        <v/>
      </c>
      <c r="AB171" s="47"/>
      <c r="AC171" s="55" t="s">
        <v>3400</v>
      </c>
      <c r="AD171" s="55" t="str">
        <f>IF($AC171="","",_xlfn.XLOOKUP($AC171,'[2]Client Info'!$C$2:$C$2535,'[2]Client Info'!$D$2:$D$2535))</f>
        <v>9031 Quartz Road</v>
      </c>
      <c r="AE171" s="55" t="str">
        <f>IF($AC171="","",_xlfn.XLOOKUP($AC171,'[2]Client Info'!$C$2:$C$2715,'[2]Client Info'!$E$2:$E$2715))</f>
        <v>White Horse</v>
      </c>
      <c r="AF171" s="55" t="str">
        <f>IF($AC171="","",_xlfn.XLOOKUP($AC171,'[2]Client Info'!$C$2:$C$2715,'[2]Client Info'!$F$2:$F$2715))</f>
        <v>YT</v>
      </c>
      <c r="AG171" s="55" t="s">
        <v>33</v>
      </c>
      <c r="AH171" s="62">
        <f>77.88/12</f>
        <v>6.4899999999999993</v>
      </c>
      <c r="AI171" s="43" t="str">
        <f>_xlfn.XLOOKUP(Table26[[#This Row],[customerSKU]],customerSKU!G:G,customerSKU!O:O,"not found",0,1)</f>
        <v>not found</v>
      </c>
      <c r="AJ171" s="47">
        <f>Table26[[#This Row],[unitprice]]*Table26[[#This Row],[quantity_unit]]</f>
        <v>77.88</v>
      </c>
      <c r="AK171" s="47" t="e" cm="1">
        <f t="array" ref="AK1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2" spans="1:37" s="53" customFormat="1" ht="18" customHeight="1">
      <c r="A172" s="42">
        <v>2060</v>
      </c>
      <c r="B172" s="64" t="s">
        <v>3520</v>
      </c>
      <c r="C172" s="59" t="s">
        <v>203</v>
      </c>
      <c r="D172" s="65"/>
      <c r="E172" s="65"/>
      <c r="F172" s="65"/>
      <c r="G172" s="46"/>
      <c r="H172" s="59"/>
      <c r="I172" s="59" t="s">
        <v>3862</v>
      </c>
      <c r="J172" s="59" t="s">
        <v>499</v>
      </c>
      <c r="K172" s="48">
        <v>45532</v>
      </c>
      <c r="L172" s="49" t="s">
        <v>3882</v>
      </c>
      <c r="M172" s="59"/>
      <c r="N172" s="109" t="str">
        <f>Table26[[#This Row],[po_number]]&amp;"-"&amp;Table26[[#This Row],[po_line]]</f>
        <v>-2</v>
      </c>
      <c r="O172" s="109">
        <v>2</v>
      </c>
      <c r="P172" s="50"/>
      <c r="Q172" s="59" t="s">
        <v>981</v>
      </c>
      <c r="R172" s="59" t="s">
        <v>3830</v>
      </c>
      <c r="S172" s="59" t="s">
        <v>3883</v>
      </c>
      <c r="T172" s="51">
        <v>45531</v>
      </c>
      <c r="U172" s="52">
        <v>48</v>
      </c>
      <c r="V172" s="53">
        <v>12</v>
      </c>
      <c r="W172" s="116">
        <f t="shared" si="4"/>
        <v>4</v>
      </c>
      <c r="X172" s="53" t="str">
        <f t="shared" si="5"/>
        <v/>
      </c>
      <c r="Y172" s="59"/>
      <c r="Z172" s="73"/>
      <c r="AA172" s="18" t="str" cm="1">
        <f t="array" ref="AA172">IF(P172="", "", _xlfn.XLOOKUP(P172,#REF!,#REF!,NA,0,-1))</f>
        <v/>
      </c>
      <c r="AB172" s="47"/>
      <c r="AC172" s="55" t="s">
        <v>3400</v>
      </c>
      <c r="AD172" s="55" t="str">
        <f>IF($AC172="","",_xlfn.XLOOKUP($AC172,'[2]Client Info'!$C$2:$C$2535,'[2]Client Info'!$D$2:$D$2535))</f>
        <v>9031 Quartz Road</v>
      </c>
      <c r="AE172" s="55" t="str">
        <f>IF($AC172="","",_xlfn.XLOOKUP($AC172,'[2]Client Info'!$C$2:$C$2715,'[2]Client Info'!$E$2:$E$2715))</f>
        <v>White Horse</v>
      </c>
      <c r="AF172" s="55" t="str">
        <f>IF($AC172="","",_xlfn.XLOOKUP($AC172,'[2]Client Info'!$C$2:$C$2715,'[2]Client Info'!$F$2:$F$2715))</f>
        <v>YT</v>
      </c>
      <c r="AG172" s="55" t="s">
        <v>33</v>
      </c>
      <c r="AH172" s="62">
        <f>231/12</f>
        <v>19.25</v>
      </c>
      <c r="AI172" s="43" t="str">
        <f>_xlfn.XLOOKUP(Table26[[#This Row],[customerSKU]],customerSKU!G:G,customerSKU!O:O,"not found",0,1)</f>
        <v>not found</v>
      </c>
      <c r="AJ172" s="47">
        <f>Table26[[#This Row],[unitprice]]*Table26[[#This Row],[quantity_unit]]</f>
        <v>924</v>
      </c>
      <c r="AK172" s="47" t="e" cm="1">
        <f t="array" ref="AK1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3" spans="1:37" s="53" customFormat="1" ht="18" customHeight="1">
      <c r="A173" s="42">
        <v>2061</v>
      </c>
      <c r="B173" s="64" t="s">
        <v>3520</v>
      </c>
      <c r="C173" s="59" t="s">
        <v>203</v>
      </c>
      <c r="D173" s="65"/>
      <c r="E173" s="65"/>
      <c r="F173" s="65"/>
      <c r="G173" s="46"/>
      <c r="H173" s="59"/>
      <c r="I173" s="59" t="s">
        <v>3862</v>
      </c>
      <c r="J173" s="59" t="s">
        <v>499</v>
      </c>
      <c r="K173" s="48">
        <v>45532</v>
      </c>
      <c r="L173" s="49" t="s">
        <v>3882</v>
      </c>
      <c r="M173" s="59"/>
      <c r="N173" s="109" t="str">
        <f>Table26[[#This Row],[po_number]]&amp;"-"&amp;Table26[[#This Row],[po_line]]</f>
        <v>-3</v>
      </c>
      <c r="O173" s="109">
        <v>3</v>
      </c>
      <c r="P173" s="50"/>
      <c r="Q173" s="59" t="s">
        <v>1849</v>
      </c>
      <c r="R173" s="59" t="s">
        <v>3830</v>
      </c>
      <c r="S173" s="59" t="s">
        <v>3883</v>
      </c>
      <c r="T173" s="51">
        <v>45447</v>
      </c>
      <c r="U173" s="52">
        <v>12</v>
      </c>
      <c r="V173" s="53">
        <v>12</v>
      </c>
      <c r="W173" s="116">
        <f t="shared" si="4"/>
        <v>1</v>
      </c>
      <c r="X173" s="53" t="str">
        <f t="shared" si="5"/>
        <v/>
      </c>
      <c r="Y173" s="59"/>
      <c r="Z173" s="73"/>
      <c r="AA173" s="18" t="str" cm="1">
        <f t="array" ref="AA173">IF(P173="", "", _xlfn.XLOOKUP(P173,#REF!,#REF!,NA,0,-1))</f>
        <v/>
      </c>
      <c r="AB173" s="47"/>
      <c r="AC173" s="55" t="s">
        <v>3400</v>
      </c>
      <c r="AD173" s="55" t="str">
        <f>IF($AC173="","",_xlfn.XLOOKUP($AC173,'[2]Client Info'!$C$2:$C$2535,'[2]Client Info'!$D$2:$D$2535))</f>
        <v>9031 Quartz Road</v>
      </c>
      <c r="AE173" s="55" t="str">
        <f>IF($AC173="","",_xlfn.XLOOKUP($AC173,'[2]Client Info'!$C$2:$C$2715,'[2]Client Info'!$E$2:$E$2715))</f>
        <v>White Horse</v>
      </c>
      <c r="AF173" s="55" t="str">
        <f>IF($AC173="","",_xlfn.XLOOKUP($AC173,'[2]Client Info'!$C$2:$C$2715,'[2]Client Info'!$F$2:$F$2715))</f>
        <v>YT</v>
      </c>
      <c r="AG173" s="55" t="s">
        <v>33</v>
      </c>
      <c r="AH173" s="62">
        <f>159/12</f>
        <v>13.25</v>
      </c>
      <c r="AI173" s="43" t="str">
        <f>_xlfn.XLOOKUP(Table26[[#This Row],[customerSKU]],customerSKU!G:G,customerSKU!O:O,"not found",0,1)</f>
        <v>not found</v>
      </c>
      <c r="AJ173" s="47">
        <f>Table26[[#This Row],[unitprice]]*Table26[[#This Row],[quantity_unit]]</f>
        <v>159</v>
      </c>
      <c r="AK173" s="47" t="e" cm="1">
        <f t="array" ref="AK1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4" spans="1:37" s="53" customFormat="1" ht="18" customHeight="1">
      <c r="A174" s="42">
        <v>2062</v>
      </c>
      <c r="B174" s="64" t="s">
        <v>3520</v>
      </c>
      <c r="C174" s="59" t="s">
        <v>203</v>
      </c>
      <c r="D174" s="65"/>
      <c r="E174" s="65"/>
      <c r="F174" s="65"/>
      <c r="G174" s="46"/>
      <c r="H174" s="59"/>
      <c r="I174" s="59" t="s">
        <v>3862</v>
      </c>
      <c r="J174" s="59" t="s">
        <v>499</v>
      </c>
      <c r="K174" s="48">
        <v>45532</v>
      </c>
      <c r="L174" s="49" t="s">
        <v>3882</v>
      </c>
      <c r="M174" s="59"/>
      <c r="N174" s="109" t="str">
        <f>Table26[[#This Row],[po_number]]&amp;"-"&amp;Table26[[#This Row],[po_line]]</f>
        <v>-4</v>
      </c>
      <c r="O174" s="109">
        <v>4</v>
      </c>
      <c r="P174" s="50"/>
      <c r="Q174" s="59" t="s">
        <v>828</v>
      </c>
      <c r="R174" s="59" t="s">
        <v>3830</v>
      </c>
      <c r="S174" s="59" t="s">
        <v>3883</v>
      </c>
      <c r="T174" s="51">
        <v>45531</v>
      </c>
      <c r="U174" s="52">
        <v>24</v>
      </c>
      <c r="V174" s="53">
        <v>12</v>
      </c>
      <c r="W174" s="116">
        <f t="shared" si="4"/>
        <v>2</v>
      </c>
      <c r="X174" s="53" t="str">
        <f t="shared" si="5"/>
        <v/>
      </c>
      <c r="Y174" s="59"/>
      <c r="Z174" s="73"/>
      <c r="AA174" s="18" t="str" cm="1">
        <f t="array" ref="AA174">IF(P174="", "", _xlfn.XLOOKUP(P174,#REF!,#REF!,NA,0,-1))</f>
        <v/>
      </c>
      <c r="AB174" s="47" t="s">
        <v>3830</v>
      </c>
      <c r="AC174" s="55" t="s">
        <v>3400</v>
      </c>
      <c r="AD174" s="55" t="str">
        <f>IF($AC174="","",_xlfn.XLOOKUP($AC174,'[2]Client Info'!$C$2:$C$2535,'[2]Client Info'!$D$2:$D$2535))</f>
        <v>9031 Quartz Road</v>
      </c>
      <c r="AE174" s="55" t="str">
        <f>IF($AC174="","",_xlfn.XLOOKUP($AC174,'[2]Client Info'!$C$2:$C$2715,'[2]Client Info'!$E$2:$E$2715))</f>
        <v>White Horse</v>
      </c>
      <c r="AF174" s="55" t="str">
        <f>IF($AC174="","",_xlfn.XLOOKUP($AC174,'[2]Client Info'!$C$2:$C$2715,'[2]Client Info'!$F$2:$F$2715))</f>
        <v>YT</v>
      </c>
      <c r="AG174" s="55" t="s">
        <v>33</v>
      </c>
      <c r="AH174" s="62">
        <f>65.4/12</f>
        <v>5.45</v>
      </c>
      <c r="AI174" s="43" t="str">
        <f>_xlfn.XLOOKUP(Table26[[#This Row],[customerSKU]],customerSKU!G:G,customerSKU!O:O,"not found",0,1)</f>
        <v>not found</v>
      </c>
      <c r="AJ174" s="70">
        <f>Table26[[#This Row],[unitprice]]*Table26[[#This Row],[quantity_unit]]</f>
        <v>130.80000000000001</v>
      </c>
      <c r="AK174" s="70" t="e" cm="1">
        <f t="array" ref="AK1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5" spans="1:37" s="53" customFormat="1" ht="18" customHeight="1">
      <c r="A175" s="42">
        <v>2063</v>
      </c>
      <c r="B175" s="64" t="s">
        <v>3520</v>
      </c>
      <c r="C175" s="59" t="s">
        <v>203</v>
      </c>
      <c r="D175" s="65"/>
      <c r="E175" s="65"/>
      <c r="F175" s="65"/>
      <c r="G175" s="46"/>
      <c r="H175" s="59"/>
      <c r="I175" s="59" t="s">
        <v>3862</v>
      </c>
      <c r="J175" s="59" t="s">
        <v>499</v>
      </c>
      <c r="K175" s="48">
        <v>45532</v>
      </c>
      <c r="L175" s="49" t="s">
        <v>3882</v>
      </c>
      <c r="M175" s="59"/>
      <c r="N175" s="109" t="str">
        <f>Table26[[#This Row],[po_number]]&amp;"-"&amp;Table26[[#This Row],[po_line]]</f>
        <v>-5</v>
      </c>
      <c r="O175" s="109">
        <v>5</v>
      </c>
      <c r="P175" s="50"/>
      <c r="Q175" s="59" t="s">
        <v>846</v>
      </c>
      <c r="R175" s="59" t="s">
        <v>3830</v>
      </c>
      <c r="S175" s="59" t="s">
        <v>3883</v>
      </c>
      <c r="T175" s="51">
        <v>45492</v>
      </c>
      <c r="U175" s="52">
        <v>12</v>
      </c>
      <c r="V175" s="53">
        <v>12</v>
      </c>
      <c r="W175" s="116">
        <f t="shared" si="4"/>
        <v>1</v>
      </c>
      <c r="X175" s="53" t="str">
        <f t="shared" si="5"/>
        <v/>
      </c>
      <c r="Y175" s="59"/>
      <c r="Z175" s="73"/>
      <c r="AA175" s="18" t="str" cm="1">
        <f t="array" ref="AA175">IF(P175="", "", _xlfn.XLOOKUP(P175,#REF!,#REF!,NA,0,-1))</f>
        <v/>
      </c>
      <c r="AB175" s="47"/>
      <c r="AC175" s="55" t="s">
        <v>3400</v>
      </c>
      <c r="AD175" s="55" t="str">
        <f>IF($AC175="","",_xlfn.XLOOKUP($AC175,'[2]Client Info'!$C$2:$C$2535,'[2]Client Info'!$D$2:$D$2535))</f>
        <v>9031 Quartz Road</v>
      </c>
      <c r="AE175" s="55" t="str">
        <f>IF($AC175="","",_xlfn.XLOOKUP($AC175,'[2]Client Info'!$C$2:$C$2715,'[2]Client Info'!$E$2:$E$2715))</f>
        <v>White Horse</v>
      </c>
      <c r="AF175" s="55" t="str">
        <f>IF($AC175="","",_xlfn.XLOOKUP($AC175,'[2]Client Info'!$C$2:$C$2715,'[2]Client Info'!$F$2:$F$2715))</f>
        <v>YT</v>
      </c>
      <c r="AG175" s="55" t="s">
        <v>33</v>
      </c>
      <c r="AH175" s="62">
        <f>77.88/12</f>
        <v>6.4899999999999993</v>
      </c>
      <c r="AI175" s="43" t="str">
        <f>_xlfn.XLOOKUP(Table26[[#This Row],[customerSKU]],customerSKU!G:G,customerSKU!O:O,"not found",0,1)</f>
        <v>not found</v>
      </c>
      <c r="AJ175" s="47">
        <f>Table26[[#This Row],[unitprice]]*Table26[[#This Row],[quantity_unit]]</f>
        <v>77.88</v>
      </c>
      <c r="AK175" s="47" t="e" cm="1">
        <f t="array" ref="AK1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6" spans="1:37" s="53" customFormat="1" ht="18" customHeight="1">
      <c r="A176" s="42">
        <v>2064</v>
      </c>
      <c r="B176" s="64" t="s">
        <v>3520</v>
      </c>
      <c r="C176" s="59" t="s">
        <v>203</v>
      </c>
      <c r="D176" s="65"/>
      <c r="E176" s="65"/>
      <c r="F176" s="65"/>
      <c r="G176" s="46"/>
      <c r="H176" s="59"/>
      <c r="I176" s="59" t="s">
        <v>3862</v>
      </c>
      <c r="J176" s="59" t="s">
        <v>499</v>
      </c>
      <c r="K176" s="48">
        <v>45532</v>
      </c>
      <c r="L176" s="49" t="s">
        <v>3882</v>
      </c>
      <c r="M176" s="59"/>
      <c r="N176" s="109" t="str">
        <f>Table26[[#This Row],[po_number]]&amp;"-"&amp;Table26[[#This Row],[po_line]]</f>
        <v>-6</v>
      </c>
      <c r="O176" s="109">
        <v>6</v>
      </c>
      <c r="P176" s="50"/>
      <c r="Q176" s="59" t="s">
        <v>824</v>
      </c>
      <c r="R176" s="59" t="s">
        <v>3830</v>
      </c>
      <c r="S176" s="59" t="s">
        <v>3883</v>
      </c>
      <c r="T176" s="51">
        <v>45531</v>
      </c>
      <c r="U176" s="52">
        <v>12</v>
      </c>
      <c r="V176" s="53">
        <v>12</v>
      </c>
      <c r="W176" s="116">
        <f t="shared" si="4"/>
        <v>1</v>
      </c>
      <c r="X176" s="53" t="str">
        <f t="shared" si="5"/>
        <v/>
      </c>
      <c r="Y176" s="59"/>
      <c r="Z176" s="73"/>
      <c r="AA176" s="18" t="str" cm="1">
        <f t="array" ref="AA176">IF(P176="", "", _xlfn.XLOOKUP(P176,#REF!,#REF!,NA,0,-1))</f>
        <v/>
      </c>
      <c r="AB176" s="47"/>
      <c r="AC176" s="55" t="s">
        <v>3400</v>
      </c>
      <c r="AD176" s="55" t="str">
        <f>IF($AC176="","",_xlfn.XLOOKUP($AC176,'[2]Client Info'!$C$2:$C$2535,'[2]Client Info'!$D$2:$D$2535))</f>
        <v>9031 Quartz Road</v>
      </c>
      <c r="AE176" s="55" t="str">
        <f>IF($AC176="","",_xlfn.XLOOKUP($AC176,'[2]Client Info'!$C$2:$C$2715,'[2]Client Info'!$E$2:$E$2715))</f>
        <v>White Horse</v>
      </c>
      <c r="AF176" s="55" t="str">
        <f>IF($AC176="","",_xlfn.XLOOKUP($AC176,'[2]Client Info'!$C$2:$C$2715,'[2]Client Info'!$F$2:$F$2715))</f>
        <v>YT</v>
      </c>
      <c r="AG176" s="55" t="s">
        <v>33</v>
      </c>
      <c r="AH176" s="62">
        <f>77.4/12</f>
        <v>6.45</v>
      </c>
      <c r="AI176" s="43" t="str">
        <f>_xlfn.XLOOKUP(Table26[[#This Row],[customerSKU]],customerSKU!G:G,customerSKU!O:O,"not found",0,1)</f>
        <v>not found</v>
      </c>
      <c r="AJ176" s="47">
        <f>Table26[[#This Row],[unitprice]]*Table26[[#This Row],[quantity_unit]]</f>
        <v>77.400000000000006</v>
      </c>
      <c r="AK176" s="47" t="e" cm="1">
        <f t="array" ref="AK1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7" spans="1:37" s="53" customFormat="1" ht="18" customHeight="1">
      <c r="A177" s="42">
        <v>2065</v>
      </c>
      <c r="B177" s="64" t="s">
        <v>3520</v>
      </c>
      <c r="C177" s="59" t="s">
        <v>203</v>
      </c>
      <c r="D177" s="65"/>
      <c r="E177" s="65"/>
      <c r="F177" s="65"/>
      <c r="G177" s="46"/>
      <c r="H177" s="59"/>
      <c r="I177" s="59" t="s">
        <v>3862</v>
      </c>
      <c r="J177" s="59" t="s">
        <v>499</v>
      </c>
      <c r="K177" s="48">
        <v>45532</v>
      </c>
      <c r="L177" s="49" t="s">
        <v>3882</v>
      </c>
      <c r="M177" s="59"/>
      <c r="N177" s="109" t="str">
        <f>Table26[[#This Row],[po_number]]&amp;"-"&amp;Table26[[#This Row],[po_line]]</f>
        <v>-7</v>
      </c>
      <c r="O177" s="109">
        <v>7</v>
      </c>
      <c r="P177" s="50"/>
      <c r="Q177" s="59" t="s">
        <v>869</v>
      </c>
      <c r="R177" s="59" t="s">
        <v>3830</v>
      </c>
      <c r="S177" s="59" t="s">
        <v>3883</v>
      </c>
      <c r="T177" s="51">
        <v>45498</v>
      </c>
      <c r="U177" s="52">
        <v>12</v>
      </c>
      <c r="V177" s="53">
        <v>12</v>
      </c>
      <c r="W177" s="116">
        <f t="shared" si="4"/>
        <v>1</v>
      </c>
      <c r="X177" s="53" t="str">
        <f t="shared" si="5"/>
        <v/>
      </c>
      <c r="Y177" s="59"/>
      <c r="Z177" s="73"/>
      <c r="AA177" s="18" t="str" cm="1">
        <f t="array" ref="AA177">IF(P177="", "", _xlfn.XLOOKUP(P177,#REF!,#REF!,NA,0,-1))</f>
        <v/>
      </c>
      <c r="AB177" s="47"/>
      <c r="AC177" s="55" t="s">
        <v>3400</v>
      </c>
      <c r="AD177" s="55" t="str">
        <f>IF($AC177="","",_xlfn.XLOOKUP($AC177,'[2]Client Info'!$C$2:$C$2535,'[2]Client Info'!$D$2:$D$2535))</f>
        <v>9031 Quartz Road</v>
      </c>
      <c r="AE177" s="55" t="str">
        <f>IF($AC177="","",_xlfn.XLOOKUP($AC177,'[2]Client Info'!$C$2:$C$2715,'[2]Client Info'!$E$2:$E$2715))</f>
        <v>White Horse</v>
      </c>
      <c r="AF177" s="55" t="str">
        <f>IF($AC177="","",_xlfn.XLOOKUP($AC177,'[2]Client Info'!$C$2:$C$2715,'[2]Client Info'!$F$2:$F$2715))</f>
        <v>YT</v>
      </c>
      <c r="AG177" s="55" t="s">
        <v>33</v>
      </c>
      <c r="AH177" s="62">
        <f>89.88/12</f>
        <v>7.4899999999999993</v>
      </c>
      <c r="AI177" s="43" t="str">
        <f>_xlfn.XLOOKUP(Table26[[#This Row],[customerSKU]],customerSKU!G:G,customerSKU!O:O,"not found",0,1)</f>
        <v>not found</v>
      </c>
      <c r="AJ177" s="47">
        <f>Table26[[#This Row],[unitprice]]*Table26[[#This Row],[quantity_unit]]</f>
        <v>89.88</v>
      </c>
      <c r="AK177" s="47" t="e" cm="1">
        <f t="array" ref="AK1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8" spans="1:37" s="53" customFormat="1" ht="18" customHeight="1">
      <c r="A178" s="42">
        <v>2066</v>
      </c>
      <c r="B178" s="64" t="s">
        <v>3520</v>
      </c>
      <c r="C178" s="59" t="s">
        <v>203</v>
      </c>
      <c r="D178" s="65"/>
      <c r="E178" s="65"/>
      <c r="F178" s="65"/>
      <c r="G178" s="46"/>
      <c r="H178" s="59"/>
      <c r="I178" s="59" t="s">
        <v>3862</v>
      </c>
      <c r="J178" s="59" t="s">
        <v>499</v>
      </c>
      <c r="K178" s="48">
        <v>45532</v>
      </c>
      <c r="L178" s="49" t="s">
        <v>3882</v>
      </c>
      <c r="M178" s="59"/>
      <c r="N178" s="109" t="str">
        <f>Table26[[#This Row],[po_number]]&amp;"-"&amp;Table26[[#This Row],[po_line]]</f>
        <v>-8</v>
      </c>
      <c r="O178" s="109">
        <v>8</v>
      </c>
      <c r="P178" s="50"/>
      <c r="Q178" s="59" t="s">
        <v>701</v>
      </c>
      <c r="R178" s="59" t="s">
        <v>3830</v>
      </c>
      <c r="S178" s="59" t="s">
        <v>3883</v>
      </c>
      <c r="T178" s="51">
        <v>45531</v>
      </c>
      <c r="U178" s="52">
        <v>12</v>
      </c>
      <c r="V178" s="53">
        <v>12</v>
      </c>
      <c r="W178" s="116">
        <f t="shared" si="4"/>
        <v>1</v>
      </c>
      <c r="X178" s="53" t="str">
        <f t="shared" si="5"/>
        <v/>
      </c>
      <c r="Y178" s="59"/>
      <c r="Z178" s="73"/>
      <c r="AA178" s="18" t="str" cm="1">
        <f t="array" ref="AA178">IF(P178="", "", _xlfn.XLOOKUP(P178,#REF!,#REF!,NA,0,-1))</f>
        <v/>
      </c>
      <c r="AB178" s="47"/>
      <c r="AC178" s="55" t="s">
        <v>3400</v>
      </c>
      <c r="AD178" s="55" t="str">
        <f>IF($AC178="","",_xlfn.XLOOKUP($AC178,'[2]Client Info'!$C$2:$C$2535,'[2]Client Info'!$D$2:$D$2535))</f>
        <v>9031 Quartz Road</v>
      </c>
      <c r="AE178" s="55" t="str">
        <f>IF($AC178="","",_xlfn.XLOOKUP($AC178,'[2]Client Info'!$C$2:$C$2715,'[2]Client Info'!$E$2:$E$2715))</f>
        <v>White Horse</v>
      </c>
      <c r="AF178" s="55" t="str">
        <f>IF($AC178="","",_xlfn.XLOOKUP($AC178,'[2]Client Info'!$C$2:$C$2715,'[2]Client Info'!$F$2:$F$2715))</f>
        <v>YT</v>
      </c>
      <c r="AG178" s="55" t="s">
        <v>33</v>
      </c>
      <c r="AH178" s="62">
        <f>300/12</f>
        <v>25</v>
      </c>
      <c r="AI178" s="43" t="str">
        <f>_xlfn.XLOOKUP(Table26[[#This Row],[customerSKU]],customerSKU!G:G,customerSKU!O:O,"not found",0,1)</f>
        <v>not found</v>
      </c>
      <c r="AJ178" s="70">
        <f>Table26[[#This Row],[unitprice]]*Table26[[#This Row],[quantity_unit]]</f>
        <v>300</v>
      </c>
      <c r="AK178" s="70" t="e" cm="1">
        <f t="array" ref="AK1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79" spans="1:37" s="53" customFormat="1" ht="18" customHeight="1">
      <c r="A179" s="42">
        <v>2067</v>
      </c>
      <c r="B179" s="64" t="s">
        <v>3520</v>
      </c>
      <c r="C179" s="59" t="s">
        <v>203</v>
      </c>
      <c r="D179" s="65"/>
      <c r="E179" s="65"/>
      <c r="F179" s="65"/>
      <c r="G179" s="46"/>
      <c r="H179" s="59"/>
      <c r="I179" s="59" t="s">
        <v>3862</v>
      </c>
      <c r="J179" s="59" t="s">
        <v>499</v>
      </c>
      <c r="K179" s="48">
        <v>45532</v>
      </c>
      <c r="L179" s="49" t="s">
        <v>3882</v>
      </c>
      <c r="M179" s="59"/>
      <c r="N179" s="109" t="str">
        <f>Table26[[#This Row],[po_number]]&amp;"-"&amp;Table26[[#This Row],[po_line]]</f>
        <v>-9</v>
      </c>
      <c r="O179" s="109">
        <v>9</v>
      </c>
      <c r="P179" s="50"/>
      <c r="Q179" s="59" t="s">
        <v>1313</v>
      </c>
      <c r="R179" s="59" t="s">
        <v>3830</v>
      </c>
      <c r="S179" s="59" t="s">
        <v>3883</v>
      </c>
      <c r="T179" s="51">
        <v>45523</v>
      </c>
      <c r="U179" s="52">
        <v>12</v>
      </c>
      <c r="V179" s="53">
        <v>12</v>
      </c>
      <c r="W179" s="116">
        <f t="shared" si="4"/>
        <v>1</v>
      </c>
      <c r="X179" s="53" t="str">
        <f t="shared" si="5"/>
        <v/>
      </c>
      <c r="Y179" s="59"/>
      <c r="Z179" s="73"/>
      <c r="AA179" s="18" t="str" cm="1">
        <f t="array" ref="AA179">IF(P179="", "", _xlfn.XLOOKUP(P179,#REF!,#REF!,NA,0,-1))</f>
        <v/>
      </c>
      <c r="AB179" s="47"/>
      <c r="AC179" s="55" t="s">
        <v>3400</v>
      </c>
      <c r="AD179" s="55" t="str">
        <f>IF($AC179="","",_xlfn.XLOOKUP($AC179,'[2]Client Info'!$C$2:$C$2535,'[2]Client Info'!$D$2:$D$2535))</f>
        <v>9031 Quartz Road</v>
      </c>
      <c r="AE179" s="55" t="str">
        <f>IF($AC179="","",_xlfn.XLOOKUP($AC179,'[2]Client Info'!$C$2:$C$2715,'[2]Client Info'!$E$2:$E$2715))</f>
        <v>White Horse</v>
      </c>
      <c r="AF179" s="55" t="str">
        <f>IF($AC179="","",_xlfn.XLOOKUP($AC179,'[2]Client Info'!$C$2:$C$2715,'[2]Client Info'!$F$2:$F$2715))</f>
        <v>YT</v>
      </c>
      <c r="AG179" s="55" t="s">
        <v>33</v>
      </c>
      <c r="AH179" s="62">
        <f>125.88/12</f>
        <v>10.49</v>
      </c>
      <c r="AI179" s="43" t="str">
        <f>_xlfn.XLOOKUP(Table26[[#This Row],[customerSKU]],customerSKU!G:G,customerSKU!O:O,"not found",0,1)</f>
        <v>not found</v>
      </c>
      <c r="AJ179" s="70">
        <f>Table26[[#This Row],[unitprice]]*Table26[[#This Row],[quantity_unit]]</f>
        <v>125.88</v>
      </c>
      <c r="AK179" s="70" t="e" cm="1">
        <f t="array" ref="AK1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0" spans="1:37" ht="18" customHeight="1">
      <c r="A180" s="42">
        <v>2068</v>
      </c>
      <c r="B180" s="64" t="s">
        <v>3520</v>
      </c>
      <c r="C180" s="59" t="s">
        <v>203</v>
      </c>
      <c r="D180" s="65"/>
      <c r="E180" s="65"/>
      <c r="F180" s="65"/>
      <c r="G180" s="46"/>
      <c r="H180" s="59"/>
      <c r="I180" s="59" t="s">
        <v>3862</v>
      </c>
      <c r="J180" s="59" t="s">
        <v>499</v>
      </c>
      <c r="K180" s="48">
        <v>45532</v>
      </c>
      <c r="L180" s="49" t="s">
        <v>3882</v>
      </c>
      <c r="M180" s="59"/>
      <c r="N180" s="109" t="str">
        <f>Table26[[#This Row],[po_number]]&amp;"-"&amp;Table26[[#This Row],[po_line]]</f>
        <v>-10</v>
      </c>
      <c r="O180" s="109">
        <v>10</v>
      </c>
      <c r="P180" s="50"/>
      <c r="Q180" s="59" t="s">
        <v>3876</v>
      </c>
      <c r="R180" s="59" t="s">
        <v>3830</v>
      </c>
      <c r="S180" s="59" t="s">
        <v>3883</v>
      </c>
      <c r="T180" s="51">
        <v>45491</v>
      </c>
      <c r="U180" s="52">
        <v>12</v>
      </c>
      <c r="V180" s="53">
        <v>12</v>
      </c>
      <c r="W180" s="116">
        <f t="shared" si="4"/>
        <v>1</v>
      </c>
      <c r="X180" s="53" t="str">
        <f t="shared" si="5"/>
        <v/>
      </c>
      <c r="Y180" s="59"/>
      <c r="Z180" s="73"/>
      <c r="AA180" s="18" t="str" cm="1">
        <f t="array" ref="AA180">IF(P180="", "", _xlfn.XLOOKUP(P180,#REF!,#REF!,NA,0,-1))</f>
        <v/>
      </c>
      <c r="AB180" s="47"/>
      <c r="AC180" s="55" t="s">
        <v>3400</v>
      </c>
      <c r="AD180" s="55" t="str">
        <f>IF($AC180="","",_xlfn.XLOOKUP($AC180,'[2]Client Info'!$C$2:$C$2535,'[2]Client Info'!$D$2:$D$2535))</f>
        <v>9031 Quartz Road</v>
      </c>
      <c r="AE180" s="55" t="str">
        <f>IF($AC180="","",_xlfn.XLOOKUP($AC180,'[2]Client Info'!$C$2:$C$2715,'[2]Client Info'!$E$2:$E$2715))</f>
        <v>White Horse</v>
      </c>
      <c r="AF180" s="55" t="str">
        <f>IF($AC180="","",_xlfn.XLOOKUP($AC180,'[2]Client Info'!$C$2:$C$2715,'[2]Client Info'!$F$2:$F$2715))</f>
        <v>YT</v>
      </c>
      <c r="AG180" s="55" t="s">
        <v>33</v>
      </c>
      <c r="AH180" s="62">
        <f>125.88/12</f>
        <v>10.49</v>
      </c>
      <c r="AI180" s="43" t="str">
        <f>_xlfn.XLOOKUP(Table26[[#This Row],[customerSKU]],customerSKU!G:G,customerSKU!O:O,"not found",0,1)</f>
        <v>not found</v>
      </c>
      <c r="AJ180" s="70">
        <f>Table26[[#This Row],[unitprice]]*Table26[[#This Row],[quantity_unit]]</f>
        <v>125.88</v>
      </c>
      <c r="AK180" s="70" t="e" cm="1">
        <f t="array" ref="AK1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1" spans="1:37" ht="18" customHeight="1">
      <c r="A181" s="42">
        <v>2069</v>
      </c>
      <c r="B181" s="64" t="s">
        <v>3520</v>
      </c>
      <c r="C181" s="59" t="s">
        <v>203</v>
      </c>
      <c r="D181" s="65"/>
      <c r="E181" s="65"/>
      <c r="F181" s="65"/>
      <c r="G181" s="46"/>
      <c r="H181" s="59"/>
      <c r="I181" s="59" t="s">
        <v>3862</v>
      </c>
      <c r="J181" s="59" t="s">
        <v>499</v>
      </c>
      <c r="K181" s="48">
        <v>45532</v>
      </c>
      <c r="L181" s="49" t="s">
        <v>3882</v>
      </c>
      <c r="M181" s="59"/>
      <c r="N181" s="109" t="str">
        <f>Table26[[#This Row],[po_number]]&amp;"-"&amp;Table26[[#This Row],[po_line]]</f>
        <v>-11</v>
      </c>
      <c r="O181" s="109">
        <v>11</v>
      </c>
      <c r="P181" s="50"/>
      <c r="Q181" s="59" t="s">
        <v>866</v>
      </c>
      <c r="R181" s="59" t="s">
        <v>3830</v>
      </c>
      <c r="S181" s="59" t="s">
        <v>3883</v>
      </c>
      <c r="T181" s="51">
        <v>45523</v>
      </c>
      <c r="U181" s="52">
        <v>12</v>
      </c>
      <c r="V181" s="53">
        <v>12</v>
      </c>
      <c r="W181" s="116">
        <f t="shared" si="4"/>
        <v>1</v>
      </c>
      <c r="X181" s="53" t="str">
        <f t="shared" si="5"/>
        <v/>
      </c>
      <c r="Y181" s="59"/>
      <c r="Z181" s="73"/>
      <c r="AA181" s="18" t="str" cm="1">
        <f t="array" ref="AA181">IF(P181="", "", _xlfn.XLOOKUP(P181,#REF!,#REF!,NA,0,-1))</f>
        <v/>
      </c>
      <c r="AB181" s="47"/>
      <c r="AC181" s="55" t="s">
        <v>3400</v>
      </c>
      <c r="AD181" s="55" t="str">
        <f>IF($AC181="","",_xlfn.XLOOKUP($AC181,'[2]Client Info'!$C$2:$C$2535,'[2]Client Info'!$D$2:$D$2535))</f>
        <v>9031 Quartz Road</v>
      </c>
      <c r="AE181" s="55" t="str">
        <f>IF($AC181="","",_xlfn.XLOOKUP($AC181,'[2]Client Info'!$C$2:$C$2715,'[2]Client Info'!$E$2:$E$2715))</f>
        <v>White Horse</v>
      </c>
      <c r="AF181" s="55" t="str">
        <f>IF($AC181="","",_xlfn.XLOOKUP($AC181,'[2]Client Info'!$C$2:$C$2715,'[2]Client Info'!$F$2:$F$2715))</f>
        <v>YT</v>
      </c>
      <c r="AG181" s="55" t="s">
        <v>33</v>
      </c>
      <c r="AH181" s="62">
        <f>125.88/12</f>
        <v>10.49</v>
      </c>
      <c r="AI181" s="43" t="str">
        <f>_xlfn.XLOOKUP(Table26[[#This Row],[customerSKU]],customerSKU!G:G,customerSKU!O:O,"not found",0,1)</f>
        <v>not found</v>
      </c>
      <c r="AJ181" s="70">
        <f>Table26[[#This Row],[unitprice]]*Table26[[#This Row],[quantity_unit]]</f>
        <v>125.88</v>
      </c>
      <c r="AK181" s="70" t="e" cm="1">
        <f t="array" ref="AK1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2" spans="1:37" ht="18" customHeight="1">
      <c r="A182" s="42">
        <v>2070</v>
      </c>
      <c r="B182" s="64" t="s">
        <v>3520</v>
      </c>
      <c r="C182" s="59" t="s">
        <v>203</v>
      </c>
      <c r="D182" s="65"/>
      <c r="E182" s="65"/>
      <c r="F182" s="65"/>
      <c r="G182" s="46"/>
      <c r="H182" s="59"/>
      <c r="I182" s="59" t="s">
        <v>3862</v>
      </c>
      <c r="J182" s="59" t="s">
        <v>499</v>
      </c>
      <c r="K182" s="48">
        <v>45532</v>
      </c>
      <c r="L182" s="49" t="s">
        <v>3882</v>
      </c>
      <c r="M182" s="59"/>
      <c r="N182" s="109" t="str">
        <f>Table26[[#This Row],[po_number]]&amp;"-"&amp;Table26[[#This Row],[po_line]]</f>
        <v>-12</v>
      </c>
      <c r="O182" s="109">
        <v>12</v>
      </c>
      <c r="P182" s="50"/>
      <c r="Q182" s="59" t="s">
        <v>905</v>
      </c>
      <c r="R182" s="59" t="s">
        <v>3830</v>
      </c>
      <c r="S182" s="59" t="s">
        <v>3883</v>
      </c>
      <c r="T182" s="51">
        <v>45519</v>
      </c>
      <c r="U182" s="52">
        <v>12</v>
      </c>
      <c r="V182" s="53">
        <v>12</v>
      </c>
      <c r="W182" s="116">
        <f t="shared" si="4"/>
        <v>1</v>
      </c>
      <c r="X182" s="53" t="str">
        <f t="shared" si="5"/>
        <v/>
      </c>
      <c r="Y182" s="59"/>
      <c r="Z182" s="73"/>
      <c r="AA182" s="18" t="str" cm="1">
        <f t="array" ref="AA182">IF(P182="", "", _xlfn.XLOOKUP(P182,#REF!,#REF!,NA,0,-1))</f>
        <v/>
      </c>
      <c r="AB182" s="47"/>
      <c r="AC182" s="55" t="s">
        <v>3400</v>
      </c>
      <c r="AD182" s="55" t="str">
        <f>IF($AC182="","",_xlfn.XLOOKUP($AC182,'[2]Client Info'!$C$2:$C$2535,'[2]Client Info'!$D$2:$D$2535))</f>
        <v>9031 Quartz Road</v>
      </c>
      <c r="AE182" s="55" t="str">
        <f>IF($AC182="","",_xlfn.XLOOKUP($AC182,'[2]Client Info'!$C$2:$C$2715,'[2]Client Info'!$E$2:$E$2715))</f>
        <v>White Horse</v>
      </c>
      <c r="AF182" s="55" t="str">
        <f>IF($AC182="","",_xlfn.XLOOKUP($AC182,'[2]Client Info'!$C$2:$C$2715,'[2]Client Info'!$F$2:$F$2715))</f>
        <v>YT</v>
      </c>
      <c r="AG182" s="55" t="s">
        <v>33</v>
      </c>
      <c r="AH182" s="62">
        <f>113.88/12</f>
        <v>9.49</v>
      </c>
      <c r="AI182" s="43" t="str">
        <f>_xlfn.XLOOKUP(Table26[[#This Row],[customerSKU]],customerSKU!G:G,customerSKU!O:O,"not found",0,1)</f>
        <v>not found</v>
      </c>
      <c r="AJ182" s="70">
        <f>Table26[[#This Row],[unitprice]]*Table26[[#This Row],[quantity_unit]]</f>
        <v>113.88</v>
      </c>
      <c r="AK182" s="70" t="e" cm="1">
        <f t="array" ref="AK1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3" spans="1:37" ht="18" customHeight="1">
      <c r="A183" s="42">
        <v>2071</v>
      </c>
      <c r="B183" s="58" t="s">
        <v>3520</v>
      </c>
      <c r="C183" s="53" t="s">
        <v>3360</v>
      </c>
      <c r="D183" s="51"/>
      <c r="E183" s="51">
        <v>45561</v>
      </c>
      <c r="F183" s="53">
        <v>51789</v>
      </c>
      <c r="G183" s="46"/>
      <c r="H183" s="53"/>
      <c r="I183" s="59" t="s">
        <v>3862</v>
      </c>
      <c r="J183" s="53" t="s">
        <v>497</v>
      </c>
      <c r="K183" s="48">
        <v>45532</v>
      </c>
      <c r="L183" s="49" t="s">
        <v>3882</v>
      </c>
      <c r="M183" s="53"/>
      <c r="N183" s="77" t="str">
        <f>Table26[[#This Row],[po_number]]&amp;"-"&amp;Table26[[#This Row],[po_line]]</f>
        <v>-1</v>
      </c>
      <c r="O183" s="77">
        <v>1</v>
      </c>
      <c r="P183" s="50"/>
      <c r="Q183" s="59" t="s">
        <v>3915</v>
      </c>
      <c r="R183" s="59" t="s">
        <v>3830</v>
      </c>
      <c r="S183" s="59" t="s">
        <v>70</v>
      </c>
      <c r="T183" s="51">
        <v>45523</v>
      </c>
      <c r="U183" s="52">
        <v>276</v>
      </c>
      <c r="V183" s="53">
        <v>12</v>
      </c>
      <c r="W183" s="116">
        <f t="shared" si="4"/>
        <v>23</v>
      </c>
      <c r="X183" s="53" t="str">
        <f t="shared" si="5"/>
        <v/>
      </c>
      <c r="Y183" s="53" t="s">
        <v>246</v>
      </c>
      <c r="Z183" s="25" t="s">
        <v>3363</v>
      </c>
      <c r="AA183" s="18" t="str" cm="1">
        <f t="array" ref="AA183">IF(P183="", "", _xlfn.XLOOKUP(P183,#REF!,#REF!,NA,0,-1))</f>
        <v/>
      </c>
      <c r="AB183" s="47"/>
      <c r="AC183" s="55" t="s">
        <v>3867</v>
      </c>
      <c r="AD183" s="55" t="str">
        <f>IF($AC183="","",_xlfn.XLOOKUP($AC183,'[2]Client Info'!$C$2:$C$2535,'[2]Client Info'!$D$2:$D$2535))</f>
        <v>55 Quarterman Road</v>
      </c>
      <c r="AE183" s="55" t="str">
        <f>IF($AC183="","",_xlfn.XLOOKUP($AC183,'[2]Client Info'!$C$2:$C$2715,'[2]Client Info'!$E$2:$E$2715))</f>
        <v>Guelph</v>
      </c>
      <c r="AF183" s="55" t="str">
        <f>IF($AC183="","",_xlfn.XLOOKUP($AC183,'[2]Client Info'!$C$2:$C$2715,'[2]Client Info'!$F$2:$F$2715))</f>
        <v>ON</v>
      </c>
      <c r="AG183" s="55" t="s">
        <v>37</v>
      </c>
      <c r="AH183" s="62">
        <v>11.67</v>
      </c>
      <c r="AI183" s="43" t="str">
        <f>_xlfn.XLOOKUP(Table26[[#This Row],[customerSKU]],customerSKU!G:G,customerSKU!O:O,"not found",0,1)</f>
        <v>not found</v>
      </c>
      <c r="AJ183" s="53">
        <f>Table26[[#This Row],[unitprice]]*Table26[[#This Row],[quantity_unit]]</f>
        <v>3220.92</v>
      </c>
      <c r="AK183" s="53" t="e" cm="1">
        <f t="array" ref="AK1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4" spans="1:37" ht="18" customHeight="1">
      <c r="A184" s="42">
        <v>2072</v>
      </c>
      <c r="B184" s="64" t="s">
        <v>3520</v>
      </c>
      <c r="C184" s="59" t="s">
        <v>203</v>
      </c>
      <c r="D184" s="65"/>
      <c r="E184" s="65"/>
      <c r="F184" s="53"/>
      <c r="G184" s="46"/>
      <c r="H184" s="59"/>
      <c r="I184" s="59" t="s">
        <v>3862</v>
      </c>
      <c r="J184" s="59" t="s">
        <v>27</v>
      </c>
      <c r="K184" s="48">
        <v>45532</v>
      </c>
      <c r="L184" s="49" t="s">
        <v>490</v>
      </c>
      <c r="M184" s="59"/>
      <c r="N184" s="109" t="str">
        <f>Table26[[#This Row],[po_number]]&amp;"-"&amp;Table26[[#This Row],[po_line]]</f>
        <v>-1</v>
      </c>
      <c r="O184" s="109">
        <v>1</v>
      </c>
      <c r="P184" s="50"/>
      <c r="Q184" s="59" t="s">
        <v>1313</v>
      </c>
      <c r="R184" s="59" t="s">
        <v>532</v>
      </c>
      <c r="S184" s="59" t="s">
        <v>21</v>
      </c>
      <c r="T184" s="20">
        <v>45523</v>
      </c>
      <c r="U184" s="52">
        <v>12</v>
      </c>
      <c r="V184" s="53">
        <v>12</v>
      </c>
      <c r="W184" s="116">
        <f t="shared" si="4"/>
        <v>1</v>
      </c>
      <c r="X184" s="53" t="str">
        <f t="shared" si="5"/>
        <v/>
      </c>
      <c r="Y184" s="59"/>
      <c r="Z184" s="60"/>
      <c r="AA184" s="18" t="str" cm="1">
        <f t="array" ref="AA184">IF(P184="", "", _xlfn.XLOOKUP(P184,#REF!,#REF!,NA,0,-1))</f>
        <v/>
      </c>
      <c r="AB184" s="47"/>
      <c r="AC184" s="55" t="s">
        <v>3995</v>
      </c>
      <c r="AD184" s="55" t="str">
        <f>IF($AC184="","",_xlfn.XLOOKUP($AC184,'[2]Client Info'!$C$2:$C$2535,'[2]Client Info'!$D$2:$D$2535))</f>
        <v>Unit C-1566 Pembina Hwy</v>
      </c>
      <c r="AE184" s="55" t="str">
        <f>IF($AC184="","",_xlfn.XLOOKUP($AC184,'[2]Client Info'!$C$2:$C$2715,'[2]Client Info'!$E$2:$E$2715))</f>
        <v>WINNIPEG</v>
      </c>
      <c r="AF184" s="55" t="str">
        <f>IF($AC184="","",_xlfn.XLOOKUP($AC184,'[2]Client Info'!$C$2:$C$2715,'[2]Client Info'!$F$2:$F$2715))</f>
        <v>MB</v>
      </c>
      <c r="AG184" s="55" t="s">
        <v>3992</v>
      </c>
      <c r="AH184" s="62">
        <f>107.88/12</f>
        <v>8.99</v>
      </c>
      <c r="AI184" s="43" t="str">
        <f>_xlfn.XLOOKUP(Table26[[#This Row],[customerSKU]],customerSKU!G:G,customerSKU!O:O,"not found",0,1)</f>
        <v>not found</v>
      </c>
      <c r="AJ184" s="53">
        <f>Table26[[#This Row],[unitprice]]*Table26[[#This Row],[quantity_unit]]</f>
        <v>107.88</v>
      </c>
      <c r="AK184" s="53" cm="1">
        <f t="array" ref="AK1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185" spans="1:37" ht="18" customHeight="1">
      <c r="A185" s="42">
        <v>2073</v>
      </c>
      <c r="B185" s="64" t="s">
        <v>3520</v>
      </c>
      <c r="C185" s="59" t="s">
        <v>203</v>
      </c>
      <c r="D185" s="65"/>
      <c r="E185" s="65"/>
      <c r="F185" s="53"/>
      <c r="G185" s="46"/>
      <c r="H185" s="59"/>
      <c r="I185" s="59" t="s">
        <v>3862</v>
      </c>
      <c r="J185" s="59" t="s">
        <v>27</v>
      </c>
      <c r="K185" s="48">
        <v>45532</v>
      </c>
      <c r="L185" s="49" t="s">
        <v>490</v>
      </c>
      <c r="M185" s="59"/>
      <c r="N185" s="109" t="str">
        <f>Table26[[#This Row],[po_number]]&amp;"-"&amp;Table26[[#This Row],[po_line]]</f>
        <v>-2</v>
      </c>
      <c r="O185" s="109">
        <v>2</v>
      </c>
      <c r="P185" s="50"/>
      <c r="Q185" s="59" t="s">
        <v>3865</v>
      </c>
      <c r="R185" s="59" t="s">
        <v>532</v>
      </c>
      <c r="S185" s="59" t="s">
        <v>21</v>
      </c>
      <c r="T185" s="20">
        <v>45497</v>
      </c>
      <c r="U185" s="52">
        <v>12</v>
      </c>
      <c r="V185" s="53">
        <v>12</v>
      </c>
      <c r="W185" s="116">
        <f t="shared" si="4"/>
        <v>1</v>
      </c>
      <c r="X185" s="53" t="str">
        <f t="shared" si="5"/>
        <v/>
      </c>
      <c r="Y185" s="59"/>
      <c r="Z185" s="60"/>
      <c r="AA185" s="18" t="str" cm="1">
        <f t="array" ref="AA185">IF(P185="", "", _xlfn.XLOOKUP(P185,#REF!,#REF!,NA,0,-1))</f>
        <v/>
      </c>
      <c r="AB185" s="47"/>
      <c r="AC185" s="55" t="s">
        <v>3995</v>
      </c>
      <c r="AD185" s="55" t="str">
        <f>IF($AC185="","",_xlfn.XLOOKUP($AC185,'[2]Client Info'!$C$2:$C$2535,'[2]Client Info'!$D$2:$D$2535))</f>
        <v>Unit C-1566 Pembina Hwy</v>
      </c>
      <c r="AE185" s="55" t="str">
        <f>IF($AC185="","",_xlfn.XLOOKUP($AC185,'[2]Client Info'!$C$2:$C$2715,'[2]Client Info'!$E$2:$E$2715))</f>
        <v>WINNIPEG</v>
      </c>
      <c r="AF185" s="55" t="str">
        <f>IF($AC185="","",_xlfn.XLOOKUP($AC185,'[2]Client Info'!$C$2:$C$2715,'[2]Client Info'!$F$2:$F$2715))</f>
        <v>MB</v>
      </c>
      <c r="AG185" s="55" t="s">
        <v>3992</v>
      </c>
      <c r="AH185" s="62">
        <f>107.88/12</f>
        <v>8.99</v>
      </c>
      <c r="AI185" s="43" t="str">
        <f>_xlfn.XLOOKUP(Table26[[#This Row],[customerSKU]],customerSKU!G:G,customerSKU!O:O,"not found",0,1)</f>
        <v>not found</v>
      </c>
      <c r="AJ185" s="53">
        <f>Table26[[#This Row],[unitprice]]*Table26[[#This Row],[quantity_unit]]</f>
        <v>107.88</v>
      </c>
      <c r="AK185" s="53" cm="1">
        <f t="array" ref="AK1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186" spans="1:37" ht="18" customHeight="1">
      <c r="A186" s="42">
        <v>2074</v>
      </c>
      <c r="B186" s="58" t="s">
        <v>3520</v>
      </c>
      <c r="C186" s="53" t="s">
        <v>203</v>
      </c>
      <c r="D186" s="51"/>
      <c r="E186" s="51"/>
      <c r="F186" s="53"/>
      <c r="G186" s="46"/>
      <c r="H186" s="53"/>
      <c r="I186" s="53" t="s">
        <v>3862</v>
      </c>
      <c r="J186" s="53" t="s">
        <v>22</v>
      </c>
      <c r="K186" s="48">
        <v>45532</v>
      </c>
      <c r="L186" s="49" t="s">
        <v>490</v>
      </c>
      <c r="M186" s="53"/>
      <c r="N186" s="77" t="str">
        <f>Table26[[#This Row],[po_number]]&amp;"-"&amp;Table26[[#This Row],[po_line]]</f>
        <v>-1</v>
      </c>
      <c r="O186" s="77">
        <v>1</v>
      </c>
      <c r="P186" s="50"/>
      <c r="Q186" s="53" t="s">
        <v>543</v>
      </c>
      <c r="R186" s="53" t="s">
        <v>3428</v>
      </c>
      <c r="S186" s="53" t="s">
        <v>18</v>
      </c>
      <c r="T186" s="20">
        <v>45523</v>
      </c>
      <c r="U186" s="52">
        <v>180</v>
      </c>
      <c r="V186" s="53">
        <v>6</v>
      </c>
      <c r="W186" s="116">
        <f t="shared" si="4"/>
        <v>30</v>
      </c>
      <c r="X186" s="53" t="str">
        <f t="shared" si="5"/>
        <v/>
      </c>
      <c r="Y186" s="66" t="s">
        <v>219</v>
      </c>
      <c r="Z186" s="90" t="s">
        <v>4051</v>
      </c>
      <c r="AA186" s="18" t="str" cm="1">
        <f t="array" ref="AA186">IF(P186="", "", _xlfn.XLOOKUP(P186,#REF!,#REF!,NA,0,-1))</f>
        <v/>
      </c>
      <c r="AB186" s="47"/>
      <c r="AC186" s="55" t="s">
        <v>3933</v>
      </c>
      <c r="AD186" s="55" t="str">
        <f>IF($AC186="","",_xlfn.XLOOKUP($AC186,'[2]Client Info'!$C$2:$C$2535,'[2]Client Info'!$D$2:$D$2535))</f>
        <v>12622-184 Street NW</v>
      </c>
      <c r="AE186" s="55" t="str">
        <f>IF($AC186="","",_xlfn.XLOOKUP($AC186,'[2]Client Info'!$C$2:$C$2715,'[2]Client Info'!$E$2:$E$2715))</f>
        <v>Edmonton</v>
      </c>
      <c r="AF186" s="55" t="str">
        <f>IF($AC186="","",_xlfn.XLOOKUP($AC186,'[2]Client Info'!$C$2:$C$2715,'[2]Client Info'!$F$2:$F$2715))</f>
        <v>AB</v>
      </c>
      <c r="AG186" s="55" t="s">
        <v>22</v>
      </c>
      <c r="AH186" s="62">
        <v>21.99</v>
      </c>
      <c r="AI186" s="43" t="str">
        <f>_xlfn.XLOOKUP(Table26[[#This Row],[customerSKU]],customerSKU!G:G,customerSKU!O:O,"not found",0,1)</f>
        <v>not found</v>
      </c>
      <c r="AJ186" s="53">
        <f>Table26[[#This Row],[unitprice]]*Table26[[#This Row],[quantity_unit]]</f>
        <v>3958.2</v>
      </c>
      <c r="AK186" s="53" t="e" cm="1">
        <f t="array" ref="AK1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7" spans="1:37" ht="18" customHeight="1">
      <c r="A187" s="42">
        <v>2075</v>
      </c>
      <c r="B187" s="58" t="s">
        <v>3520</v>
      </c>
      <c r="C187" s="53" t="s">
        <v>203</v>
      </c>
      <c r="D187" s="51"/>
      <c r="E187" s="51"/>
      <c r="F187" s="53"/>
      <c r="G187" s="46"/>
      <c r="H187" s="53"/>
      <c r="I187" s="53" t="s">
        <v>3862</v>
      </c>
      <c r="J187" s="53" t="s">
        <v>22</v>
      </c>
      <c r="K187" s="48">
        <v>45532</v>
      </c>
      <c r="L187" s="49" t="s">
        <v>490</v>
      </c>
      <c r="M187" s="53"/>
      <c r="N187" s="77" t="str">
        <f>Table26[[#This Row],[po_number]]&amp;"-"&amp;Table26[[#This Row],[po_line]]</f>
        <v>-2</v>
      </c>
      <c r="O187" s="77">
        <v>2</v>
      </c>
      <c r="P187" s="50"/>
      <c r="Q187" s="53" t="s">
        <v>1313</v>
      </c>
      <c r="R187" s="53" t="s">
        <v>532</v>
      </c>
      <c r="S187" s="53" t="s">
        <v>18</v>
      </c>
      <c r="T187" s="20">
        <v>45523</v>
      </c>
      <c r="U187" s="52">
        <v>300</v>
      </c>
      <c r="V187" s="53">
        <v>6</v>
      </c>
      <c r="W187" s="116">
        <f t="shared" si="4"/>
        <v>50</v>
      </c>
      <c r="X187" s="53" t="str">
        <f t="shared" si="5"/>
        <v/>
      </c>
      <c r="Y187" s="66" t="s">
        <v>252</v>
      </c>
      <c r="Z187" s="90" t="s">
        <v>3283</v>
      </c>
      <c r="AA187" s="18" t="str" cm="1">
        <f t="array" ref="AA187">IF(P187="", "", _xlfn.XLOOKUP(P187,#REF!,#REF!,NA,0,-1))</f>
        <v/>
      </c>
      <c r="AB187" s="47"/>
      <c r="AC187" s="55" t="s">
        <v>3933</v>
      </c>
      <c r="AD187" s="55" t="str">
        <f>IF($AC187="","",_xlfn.XLOOKUP($AC187,'[2]Client Info'!$C$2:$C$2535,'[2]Client Info'!$D$2:$D$2535))</f>
        <v>12622-184 Street NW</v>
      </c>
      <c r="AE187" s="55" t="str">
        <f>IF($AC187="","",_xlfn.XLOOKUP($AC187,'[2]Client Info'!$C$2:$C$2715,'[2]Client Info'!$E$2:$E$2715))</f>
        <v>Edmonton</v>
      </c>
      <c r="AF187" s="55" t="str">
        <f>IF($AC187="","",_xlfn.XLOOKUP($AC187,'[2]Client Info'!$C$2:$C$2715,'[2]Client Info'!$F$2:$F$2715))</f>
        <v>AB</v>
      </c>
      <c r="AG187" s="55" t="s">
        <v>22</v>
      </c>
      <c r="AH187" s="62">
        <v>11.99</v>
      </c>
      <c r="AI187" s="43" t="str">
        <f>_xlfn.XLOOKUP(Table26[[#This Row],[customerSKU]],customerSKU!G:G,customerSKU!O:O,"not found",0,1)</f>
        <v>not found</v>
      </c>
      <c r="AJ187" s="53">
        <f>Table26[[#This Row],[unitprice]]*Table26[[#This Row],[quantity_unit]]</f>
        <v>3597</v>
      </c>
      <c r="AK187" s="53" t="e" cm="1">
        <f t="array" ref="AK1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8" spans="1:37" ht="18" customHeight="1">
      <c r="A188" s="42">
        <v>2076</v>
      </c>
      <c r="B188" s="58" t="s">
        <v>3520</v>
      </c>
      <c r="C188" s="53" t="s">
        <v>203</v>
      </c>
      <c r="D188" s="51"/>
      <c r="E188" s="51"/>
      <c r="F188" s="53"/>
      <c r="G188" s="46"/>
      <c r="H188" s="53"/>
      <c r="I188" s="53" t="s">
        <v>3862</v>
      </c>
      <c r="J188" s="53" t="s">
        <v>22</v>
      </c>
      <c r="K188" s="48">
        <v>45532</v>
      </c>
      <c r="L188" s="49" t="s">
        <v>490</v>
      </c>
      <c r="M188" s="53"/>
      <c r="N188" s="77" t="str">
        <f>Table26[[#This Row],[po_number]]&amp;"-"&amp;Table26[[#This Row],[po_line]]</f>
        <v>-3</v>
      </c>
      <c r="O188" s="77">
        <v>3</v>
      </c>
      <c r="P188" s="50"/>
      <c r="Q188" s="53" t="s">
        <v>866</v>
      </c>
      <c r="R188" s="53" t="s">
        <v>532</v>
      </c>
      <c r="S188" s="53" t="s">
        <v>18</v>
      </c>
      <c r="T188" s="20">
        <v>45523</v>
      </c>
      <c r="U188" s="52">
        <v>150</v>
      </c>
      <c r="V188" s="53">
        <v>6</v>
      </c>
      <c r="W188" s="116">
        <f t="shared" si="4"/>
        <v>25</v>
      </c>
      <c r="X188" s="53" t="str">
        <f t="shared" si="5"/>
        <v/>
      </c>
      <c r="Y188" s="66" t="s">
        <v>250</v>
      </c>
      <c r="Z188" s="90" t="s">
        <v>4055</v>
      </c>
      <c r="AA188" s="18" t="str" cm="1">
        <f t="array" ref="AA188">IF(P188="", "", _xlfn.XLOOKUP(P188,#REF!,#REF!,NA,0,-1))</f>
        <v/>
      </c>
      <c r="AB188" s="47"/>
      <c r="AC188" s="55" t="s">
        <v>3933</v>
      </c>
      <c r="AD188" s="55" t="str">
        <f>IF($AC188="","",_xlfn.XLOOKUP($AC188,'[2]Client Info'!$C$2:$C$2535,'[2]Client Info'!$D$2:$D$2535))</f>
        <v>12622-184 Street NW</v>
      </c>
      <c r="AE188" s="55" t="str">
        <f>IF($AC188="","",_xlfn.XLOOKUP($AC188,'[2]Client Info'!$C$2:$C$2715,'[2]Client Info'!$E$2:$E$2715))</f>
        <v>Edmonton</v>
      </c>
      <c r="AF188" s="55" t="str">
        <f>IF($AC188="","",_xlfn.XLOOKUP($AC188,'[2]Client Info'!$C$2:$C$2715,'[2]Client Info'!$F$2:$F$2715))</f>
        <v>AB</v>
      </c>
      <c r="AG188" s="55" t="s">
        <v>22</v>
      </c>
      <c r="AH188" s="62">
        <v>11.99</v>
      </c>
      <c r="AI188" s="43" t="str">
        <f>_xlfn.XLOOKUP(Table26[[#This Row],[customerSKU]],customerSKU!G:G,customerSKU!O:O,"not found",0,1)</f>
        <v>not found</v>
      </c>
      <c r="AJ188" s="53">
        <f>Table26[[#This Row],[unitprice]]*Table26[[#This Row],[quantity_unit]]</f>
        <v>1798.5</v>
      </c>
      <c r="AK188" s="53" t="e" cm="1">
        <f t="array" ref="AK1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89" spans="1:37" ht="18" customHeight="1">
      <c r="A189" s="42">
        <v>2077</v>
      </c>
      <c r="B189" s="58" t="s">
        <v>3520</v>
      </c>
      <c r="C189" s="53" t="s">
        <v>203</v>
      </c>
      <c r="D189" s="51"/>
      <c r="E189" s="51"/>
      <c r="F189" s="53"/>
      <c r="G189" s="46"/>
      <c r="H189" s="53"/>
      <c r="I189" s="53" t="s">
        <v>3862</v>
      </c>
      <c r="J189" s="53" t="s">
        <v>22</v>
      </c>
      <c r="K189" s="48">
        <v>45532</v>
      </c>
      <c r="L189" s="49" t="s">
        <v>490</v>
      </c>
      <c r="M189" s="53"/>
      <c r="N189" s="77" t="str">
        <f>Table26[[#This Row],[po_number]]&amp;"-"&amp;Table26[[#This Row],[po_line]]</f>
        <v>-4</v>
      </c>
      <c r="O189" s="77">
        <v>4</v>
      </c>
      <c r="P189" s="50"/>
      <c r="Q189" s="53" t="s">
        <v>905</v>
      </c>
      <c r="R189" s="53" t="s">
        <v>532</v>
      </c>
      <c r="S189" s="53" t="s">
        <v>18</v>
      </c>
      <c r="T189" s="20">
        <v>45519</v>
      </c>
      <c r="U189" s="52">
        <v>120</v>
      </c>
      <c r="V189" s="53">
        <v>6</v>
      </c>
      <c r="W189" s="116">
        <f t="shared" si="4"/>
        <v>20</v>
      </c>
      <c r="X189" s="53" t="str">
        <f t="shared" si="5"/>
        <v/>
      </c>
      <c r="Y189" s="66" t="s">
        <v>254</v>
      </c>
      <c r="Z189" s="90" t="s">
        <v>4056</v>
      </c>
      <c r="AA189" s="18" t="str" cm="1">
        <f t="array" ref="AA189">IF(P189="", "", _xlfn.XLOOKUP(P189,#REF!,#REF!,NA,0,-1))</f>
        <v/>
      </c>
      <c r="AB189" s="47"/>
      <c r="AC189" s="55" t="s">
        <v>3933</v>
      </c>
      <c r="AD189" s="55" t="str">
        <f>IF($AC189="","",_xlfn.XLOOKUP($AC189,'[2]Client Info'!$C$2:$C$2535,'[2]Client Info'!$D$2:$D$2535))</f>
        <v>12622-184 Street NW</v>
      </c>
      <c r="AE189" s="55" t="str">
        <f>IF($AC189="","",_xlfn.XLOOKUP($AC189,'[2]Client Info'!$C$2:$C$2715,'[2]Client Info'!$E$2:$E$2715))</f>
        <v>Edmonton</v>
      </c>
      <c r="AF189" s="55" t="str">
        <f>IF($AC189="","",_xlfn.XLOOKUP($AC189,'[2]Client Info'!$C$2:$C$2715,'[2]Client Info'!$F$2:$F$2715))</f>
        <v>AB</v>
      </c>
      <c r="AG189" s="55" t="s">
        <v>22</v>
      </c>
      <c r="AH189" s="62">
        <v>10.99</v>
      </c>
      <c r="AI189" s="43" t="str">
        <f>_xlfn.XLOOKUP(Table26[[#This Row],[customerSKU]],customerSKU!G:G,customerSKU!O:O,"not found",0,1)</f>
        <v>not found</v>
      </c>
      <c r="AJ189" s="53">
        <f>Table26[[#This Row],[unitprice]]*Table26[[#This Row],[quantity_unit]]</f>
        <v>1318.8</v>
      </c>
      <c r="AK189" s="53" t="e" cm="1">
        <f t="array" ref="AK1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90" spans="1:37" ht="18" customHeight="1">
      <c r="A190" s="42">
        <v>2078</v>
      </c>
      <c r="B190" s="58" t="s">
        <v>3520</v>
      </c>
      <c r="C190" s="53" t="s">
        <v>203</v>
      </c>
      <c r="D190" s="51"/>
      <c r="E190" s="51"/>
      <c r="F190" s="53"/>
      <c r="G190" s="46"/>
      <c r="H190" s="53"/>
      <c r="I190" s="53" t="s">
        <v>3862</v>
      </c>
      <c r="J190" s="53" t="s">
        <v>22</v>
      </c>
      <c r="K190" s="48">
        <v>45532</v>
      </c>
      <c r="L190" s="49" t="s">
        <v>490</v>
      </c>
      <c r="M190" s="53"/>
      <c r="N190" s="77" t="str">
        <f>Table26[[#This Row],[po_number]]&amp;"-"&amp;Table26[[#This Row],[po_line]]</f>
        <v>-5</v>
      </c>
      <c r="O190" s="77">
        <v>5</v>
      </c>
      <c r="P190" s="50"/>
      <c r="Q190" s="53" t="s">
        <v>4057</v>
      </c>
      <c r="R190" s="53" t="s">
        <v>532</v>
      </c>
      <c r="S190" s="53" t="s">
        <v>18</v>
      </c>
      <c r="T190" s="20">
        <v>45526</v>
      </c>
      <c r="U190" s="52">
        <v>90</v>
      </c>
      <c r="V190" s="53">
        <v>6</v>
      </c>
      <c r="W190" s="116">
        <f t="shared" si="4"/>
        <v>15</v>
      </c>
      <c r="X190" s="53" t="str">
        <f t="shared" si="5"/>
        <v/>
      </c>
      <c r="Y190" s="66" t="s">
        <v>244</v>
      </c>
      <c r="Z190" s="90" t="s">
        <v>4058</v>
      </c>
      <c r="AA190" s="18" t="str" cm="1">
        <f t="array" ref="AA190">IF(P190="", "", _xlfn.XLOOKUP(P190,#REF!,#REF!,NA,0,-1))</f>
        <v/>
      </c>
      <c r="AB190" s="47"/>
      <c r="AC190" s="55" t="s">
        <v>3933</v>
      </c>
      <c r="AD190" s="55" t="str">
        <f>IF($AC190="","",_xlfn.XLOOKUP($AC190,'[2]Client Info'!$C$2:$C$2535,'[2]Client Info'!$D$2:$D$2535))</f>
        <v>12622-184 Street NW</v>
      </c>
      <c r="AE190" s="55" t="str">
        <f>IF($AC190="","",_xlfn.XLOOKUP($AC190,'[2]Client Info'!$C$2:$C$2715,'[2]Client Info'!$E$2:$E$2715))</f>
        <v>Edmonton</v>
      </c>
      <c r="AF190" s="55" t="str">
        <f>IF($AC190="","",_xlfn.XLOOKUP($AC190,'[2]Client Info'!$C$2:$C$2715,'[2]Client Info'!$F$2:$F$2715))</f>
        <v>AB</v>
      </c>
      <c r="AG190" s="55" t="s">
        <v>22</v>
      </c>
      <c r="AH190" s="62">
        <v>17.489999999999998</v>
      </c>
      <c r="AI190" s="43" t="str">
        <f>_xlfn.XLOOKUP(Table26[[#This Row],[customerSKU]],customerSKU!G:G,customerSKU!O:O,"not found",0,1)</f>
        <v>not found</v>
      </c>
      <c r="AJ190" s="53">
        <f>Table26[[#This Row],[unitprice]]*Table26[[#This Row],[quantity_unit]]</f>
        <v>1574.1</v>
      </c>
      <c r="AK190" s="53" t="e" cm="1">
        <f t="array" ref="AK1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91" spans="1:37" ht="18" customHeight="1">
      <c r="A191" s="42">
        <v>2079</v>
      </c>
      <c r="B191" s="64" t="s">
        <v>3520</v>
      </c>
      <c r="C191" s="53" t="s">
        <v>3360</v>
      </c>
      <c r="D191" s="65"/>
      <c r="E191" s="65"/>
      <c r="F191" s="59"/>
      <c r="G191" s="46"/>
      <c r="H191" s="59"/>
      <c r="I191" s="59" t="s">
        <v>3862</v>
      </c>
      <c r="J191" s="53" t="s">
        <v>497</v>
      </c>
      <c r="K191" s="48">
        <v>45532</v>
      </c>
      <c r="L191" s="49" t="s">
        <v>201</v>
      </c>
      <c r="M191" s="59"/>
      <c r="N191" s="109" t="str">
        <f>Table26[[#This Row],[po_number]]&amp;"-"&amp;Table26[[#This Row],[po_line]]</f>
        <v>-1</v>
      </c>
      <c r="O191" s="15">
        <v>1</v>
      </c>
      <c r="P191" s="50"/>
      <c r="Q191" s="59" t="s">
        <v>3915</v>
      </c>
      <c r="R191" s="59" t="s">
        <v>3830</v>
      </c>
      <c r="S191" s="59" t="s">
        <v>70</v>
      </c>
      <c r="T191" s="20">
        <v>45523</v>
      </c>
      <c r="U191" s="52">
        <f>31*12</f>
        <v>372</v>
      </c>
      <c r="V191" s="53">
        <v>12</v>
      </c>
      <c r="W191" s="116">
        <f t="shared" si="4"/>
        <v>31</v>
      </c>
      <c r="X191" s="53" t="str">
        <f t="shared" si="5"/>
        <v/>
      </c>
      <c r="Y191" s="66" t="s">
        <v>246</v>
      </c>
      <c r="Z191" s="25" t="s">
        <v>3363</v>
      </c>
      <c r="AA191" s="18" t="str" cm="1">
        <f t="array" ref="AA191">IF(P191="", "", _xlfn.XLOOKUP(P191,#REF!,#REF!,NA,0,-1))</f>
        <v/>
      </c>
      <c r="AB191" s="47"/>
      <c r="AC191" s="55" t="s">
        <v>4079</v>
      </c>
      <c r="AD191" s="55" t="str">
        <f>IF($AC191="","",_xlfn.XLOOKUP($AC191,'[2]Client Info'!$C$2:$C$2535,'[2]Client Info'!$D$2:$D$2535))</f>
        <v>Unit 4-6150 Kennedy Road</v>
      </c>
      <c r="AE191" s="55" t="str">
        <f>IF($AC191="","",_xlfn.XLOOKUP($AC191,'[2]Client Info'!$C$2:$C$2715,'[2]Client Info'!$E$2:$E$2715))</f>
        <v>Missisauga</v>
      </c>
      <c r="AF191" s="55" t="str">
        <f>IF($AC191="","",_xlfn.XLOOKUP($AC191,'[2]Client Info'!$C$2:$C$2715,'[2]Client Info'!$F$2:$F$2715))</f>
        <v>ON</v>
      </c>
      <c r="AG191" s="55" t="s">
        <v>69</v>
      </c>
      <c r="AH191" s="62">
        <v>0</v>
      </c>
      <c r="AI191" s="43" t="str">
        <f>_xlfn.XLOOKUP(Table26[[#This Row],[customerSKU]],customerSKU!G:G,customerSKU!O:O,"not found",0,1)</f>
        <v>not found</v>
      </c>
      <c r="AJ191" s="53">
        <f>Table26[[#This Row],[unitprice]]*Table26[[#This Row],[quantity_unit]]</f>
        <v>0</v>
      </c>
      <c r="AK191" s="53" t="e" cm="1">
        <f t="array" ref="AK1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92" spans="1:37" ht="18" customHeight="1">
      <c r="A192" s="42">
        <v>2055</v>
      </c>
      <c r="B192" s="228" t="s">
        <v>3837</v>
      </c>
      <c r="C192" s="242" t="s">
        <v>203</v>
      </c>
      <c r="D192" s="247"/>
      <c r="E192" s="247"/>
      <c r="F192" s="90"/>
      <c r="G192" s="119"/>
      <c r="H192" s="242"/>
      <c r="I192" s="242" t="s">
        <v>3862</v>
      </c>
      <c r="J192" s="242" t="s">
        <v>503</v>
      </c>
      <c r="K192" s="232">
        <v>45533</v>
      </c>
      <c r="L192" s="233" t="s">
        <v>504</v>
      </c>
      <c r="M192" s="242"/>
      <c r="N192" s="254" t="str">
        <f>Table26[[#This Row],[po_number]]&amp;"-"&amp;Table26[[#This Row],[po_line]]</f>
        <v>-1</v>
      </c>
      <c r="O192" s="254">
        <v>1</v>
      </c>
      <c r="P192" s="234"/>
      <c r="Q192" s="242" t="s">
        <v>1314</v>
      </c>
      <c r="R192" s="242" t="s">
        <v>3947</v>
      </c>
      <c r="S192" s="242" t="s">
        <v>56</v>
      </c>
      <c r="T192" s="20">
        <v>45503</v>
      </c>
      <c r="U192" s="236">
        <v>36</v>
      </c>
      <c r="V192" s="90">
        <v>12</v>
      </c>
      <c r="W192" s="237">
        <f t="shared" si="4"/>
        <v>3</v>
      </c>
      <c r="X192" s="90" t="str">
        <f t="shared" si="5"/>
        <v/>
      </c>
      <c r="Y192" s="242"/>
      <c r="Z192" s="60"/>
      <c r="AA192" s="18" t="str" cm="1">
        <f t="array" ref="AA192">IF(P192="", "", _xlfn.XLOOKUP(P192,#REF!,#REF!,NA,0,-1))</f>
        <v/>
      </c>
      <c r="AB192" s="231"/>
      <c r="AC192" s="55" t="s">
        <v>4076</v>
      </c>
      <c r="AD192" s="55" t="str">
        <f>IF($AC192="","",_xlfn.XLOOKUP($AC192,'[2]Client Info'!$C$2:$C$2535,'[2]Client Info'!$D$2:$D$2535))</f>
        <v>491B Island Hwy E</v>
      </c>
      <c r="AE192" s="55" t="str">
        <f>IF($AC192="","",_xlfn.XLOOKUP($AC192,'[2]Client Info'!$C$2:$C$2715,'[2]Client Info'!$E$2:$E$2715))</f>
        <v>Parksville</v>
      </c>
      <c r="AF192" s="55" t="str">
        <f>IF($AC192="","",_xlfn.XLOOKUP($AC192,'[2]Client Info'!$C$2:$C$2715,'[2]Client Info'!$F$2:$F$2715))</f>
        <v xml:space="preserve">BC </v>
      </c>
      <c r="AG192" s="55" t="s">
        <v>3988</v>
      </c>
      <c r="AH192" s="245">
        <f>168/12</f>
        <v>14</v>
      </c>
      <c r="AI192" s="43" t="str">
        <f>_xlfn.XLOOKUP(Table26[[#This Row],[customerSKU]],customerSKU!G:G,customerSKU!O:O,"not found",0,1)</f>
        <v>not found</v>
      </c>
      <c r="AJ192" s="53">
        <f>Table26[[#This Row],[unitprice]]*Table26[[#This Row],[quantity_unit]]</f>
        <v>504</v>
      </c>
      <c r="AK192" s="53" cm="1">
        <f t="array" ref="AK1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529.20000000000005</v>
      </c>
    </row>
    <row r="193" spans="1:37" ht="18" customHeight="1">
      <c r="A193" s="42">
        <v>2056</v>
      </c>
      <c r="B193" s="228" t="s">
        <v>3837</v>
      </c>
      <c r="C193" s="242" t="s">
        <v>203</v>
      </c>
      <c r="D193" s="247"/>
      <c r="E193" s="247"/>
      <c r="F193" s="90"/>
      <c r="G193" s="119"/>
      <c r="H193" s="242"/>
      <c r="I193" s="242" t="s">
        <v>3862</v>
      </c>
      <c r="J193" s="242" t="s">
        <v>503</v>
      </c>
      <c r="K193" s="232">
        <v>45533</v>
      </c>
      <c r="L193" s="233" t="s">
        <v>504</v>
      </c>
      <c r="M193" s="242"/>
      <c r="N193" s="254" t="str">
        <f>Table26[[#This Row],[po_number]]&amp;"-"&amp;Table26[[#This Row],[po_line]]</f>
        <v>-2</v>
      </c>
      <c r="O193" s="254">
        <v>2</v>
      </c>
      <c r="P193" s="234"/>
      <c r="Q193" s="242" t="s">
        <v>2054</v>
      </c>
      <c r="R193" s="242" t="s">
        <v>3947</v>
      </c>
      <c r="S193" s="242" t="s">
        <v>56</v>
      </c>
      <c r="T193" s="20">
        <v>45457</v>
      </c>
      <c r="U193" s="236">
        <v>36</v>
      </c>
      <c r="V193" s="90">
        <v>12</v>
      </c>
      <c r="W193" s="237">
        <f t="shared" si="4"/>
        <v>3</v>
      </c>
      <c r="X193" s="90" t="str">
        <f t="shared" si="5"/>
        <v/>
      </c>
      <c r="Y193" s="242"/>
      <c r="Z193" s="60"/>
      <c r="AA193" s="18" t="str" cm="1">
        <f t="array" ref="AA193">IF(P193="", "", _xlfn.XLOOKUP(P193,#REF!,#REF!,NA,0,-1))</f>
        <v/>
      </c>
      <c r="AB193" s="231"/>
      <c r="AC193" s="55" t="s">
        <v>4076</v>
      </c>
      <c r="AD193" s="55" t="str">
        <f>IF($AC193="","",_xlfn.XLOOKUP($AC193,'[2]Client Info'!$C$2:$C$2535,'[2]Client Info'!$D$2:$D$2535))</f>
        <v>491B Island Hwy E</v>
      </c>
      <c r="AE193" s="55" t="str">
        <f>IF($AC193="","",_xlfn.XLOOKUP($AC193,'[2]Client Info'!$C$2:$C$2715,'[2]Client Info'!$E$2:$E$2715))</f>
        <v>Parksville</v>
      </c>
      <c r="AF193" s="55" t="str">
        <f>IF($AC193="","",_xlfn.XLOOKUP($AC193,'[2]Client Info'!$C$2:$C$2715,'[2]Client Info'!$F$2:$F$2715))</f>
        <v xml:space="preserve">BC </v>
      </c>
      <c r="AG193" s="55" t="s">
        <v>3988</v>
      </c>
      <c r="AH193" s="245">
        <f>168/12</f>
        <v>14</v>
      </c>
      <c r="AI193" s="43" t="str">
        <f>_xlfn.XLOOKUP(Table26[[#This Row],[customerSKU]],customerSKU!G:G,customerSKU!O:O,"not found",0,1)</f>
        <v>not found</v>
      </c>
      <c r="AJ193" s="53">
        <f>Table26[[#This Row],[unitprice]]*Table26[[#This Row],[quantity_unit]]</f>
        <v>504</v>
      </c>
      <c r="AK193" s="53" cm="1">
        <f t="array" ref="AK1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529.20000000000005</v>
      </c>
    </row>
    <row r="194" spans="1:37" ht="18" customHeight="1">
      <c r="A194" s="42">
        <v>2057</v>
      </c>
      <c r="B194" s="228" t="s">
        <v>3837</v>
      </c>
      <c r="C194" s="242" t="s">
        <v>203</v>
      </c>
      <c r="D194" s="247"/>
      <c r="E194" s="247"/>
      <c r="F194" s="90"/>
      <c r="G194" s="119"/>
      <c r="H194" s="242"/>
      <c r="I194" s="242" t="s">
        <v>3862</v>
      </c>
      <c r="J194" s="242" t="s">
        <v>503</v>
      </c>
      <c r="K194" s="232">
        <v>45533</v>
      </c>
      <c r="L194" s="233" t="s">
        <v>504</v>
      </c>
      <c r="M194" s="242"/>
      <c r="N194" s="254" t="str">
        <f>Table26[[#This Row],[po_number]]&amp;"-"&amp;Table26[[#This Row],[po_line]]</f>
        <v>-1</v>
      </c>
      <c r="O194" s="254">
        <v>1</v>
      </c>
      <c r="P194" s="234"/>
      <c r="Q194" s="242" t="s">
        <v>1314</v>
      </c>
      <c r="R194" s="242" t="s">
        <v>3947</v>
      </c>
      <c r="S194" s="242" t="s">
        <v>56</v>
      </c>
      <c r="T194" s="20">
        <v>45503</v>
      </c>
      <c r="U194" s="236">
        <v>12</v>
      </c>
      <c r="V194" s="90">
        <v>12</v>
      </c>
      <c r="W194" s="237">
        <f t="shared" ref="W194:W257" si="6">IFERROR(U194/V194, "")</f>
        <v>1</v>
      </c>
      <c r="X194" s="90" t="str">
        <f t="shared" ref="X194:X257" si="7">IFERROR($AA194*$U194, "")</f>
        <v/>
      </c>
      <c r="Y194" s="242"/>
      <c r="Z194" s="60"/>
      <c r="AA194" s="18" t="str" cm="1">
        <f t="array" ref="AA194">IF(P194="", "", _xlfn.XLOOKUP(P194,#REF!,#REF!,NA,0,-1))</f>
        <v/>
      </c>
      <c r="AB194" s="231"/>
      <c r="AC194" s="55" t="s">
        <v>3861</v>
      </c>
      <c r="AD194" s="55" t="str">
        <f>IF($AC194="","",_xlfn.XLOOKUP($AC194,'[2]Client Info'!$C$2:$C$2535,'[2]Client Info'!$D$2:$D$2535))</f>
        <v>9750 Chemainus Road</v>
      </c>
      <c r="AE194" s="55" t="str">
        <f>IF($AC194="","",_xlfn.XLOOKUP($AC194,'[2]Client Info'!$C$2:$C$2715,'[2]Client Info'!$E$2:$E$2715))</f>
        <v>Chemainus</v>
      </c>
      <c r="AF194" s="55" t="str">
        <f>IF($AC194="","",_xlfn.XLOOKUP($AC194,'[2]Client Info'!$C$2:$C$2715,'[2]Client Info'!$F$2:$F$2715))</f>
        <v xml:space="preserve">BC </v>
      </c>
      <c r="AG194" s="55" t="s">
        <v>91</v>
      </c>
      <c r="AH194" s="245">
        <f>168/12</f>
        <v>14</v>
      </c>
      <c r="AI194" s="43" t="str">
        <f>_xlfn.XLOOKUP(Table26[[#This Row],[customerSKU]],customerSKU!G:G,customerSKU!O:O,"not found",0,1)</f>
        <v>not found</v>
      </c>
      <c r="AJ194" s="53">
        <f>Table26[[#This Row],[unitprice]]*Table26[[#This Row],[quantity_unit]]</f>
        <v>168</v>
      </c>
      <c r="AK194" s="53" cm="1">
        <f t="array" ref="AK1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176.4</v>
      </c>
    </row>
    <row r="195" spans="1:37" ht="18" customHeight="1">
      <c r="A195" s="42">
        <v>2058</v>
      </c>
      <c r="B195" s="228" t="s">
        <v>3837</v>
      </c>
      <c r="C195" s="242" t="s">
        <v>203</v>
      </c>
      <c r="D195" s="247"/>
      <c r="E195" s="247"/>
      <c r="F195" s="90"/>
      <c r="G195" s="119"/>
      <c r="H195" s="242"/>
      <c r="I195" s="242" t="s">
        <v>3862</v>
      </c>
      <c r="J195" s="242" t="s">
        <v>503</v>
      </c>
      <c r="K195" s="232">
        <v>45533</v>
      </c>
      <c r="L195" s="233" t="s">
        <v>504</v>
      </c>
      <c r="M195" s="242"/>
      <c r="N195" s="254" t="str">
        <f>Table26[[#This Row],[po_number]]&amp;"-"&amp;Table26[[#This Row],[po_line]]</f>
        <v>-2</v>
      </c>
      <c r="O195" s="254">
        <v>2</v>
      </c>
      <c r="P195" s="234"/>
      <c r="Q195" s="242" t="s">
        <v>2054</v>
      </c>
      <c r="R195" s="242" t="s">
        <v>3947</v>
      </c>
      <c r="S195" s="242" t="s">
        <v>56</v>
      </c>
      <c r="T195" s="20">
        <v>45457</v>
      </c>
      <c r="U195" s="236">
        <v>12</v>
      </c>
      <c r="V195" s="90">
        <v>12</v>
      </c>
      <c r="W195" s="237">
        <f t="shared" si="6"/>
        <v>1</v>
      </c>
      <c r="X195" s="90" t="str">
        <f t="shared" si="7"/>
        <v/>
      </c>
      <c r="Y195" s="242"/>
      <c r="Z195" s="60"/>
      <c r="AA195" s="18" t="str" cm="1">
        <f t="array" ref="AA195">IF(P195="", "", _xlfn.XLOOKUP(P195,#REF!,#REF!,NA,0,-1))</f>
        <v/>
      </c>
      <c r="AB195" s="231"/>
      <c r="AC195" s="55" t="s">
        <v>3861</v>
      </c>
      <c r="AD195" s="55" t="str">
        <f>IF($AC195="","",_xlfn.XLOOKUP($AC195,'[2]Client Info'!$C$2:$C$2535,'[2]Client Info'!$D$2:$D$2535))</f>
        <v>9750 Chemainus Road</v>
      </c>
      <c r="AE195" s="55" t="str">
        <f>IF($AC195="","",_xlfn.XLOOKUP($AC195,'[2]Client Info'!$C$2:$C$2715,'[2]Client Info'!$E$2:$E$2715))</f>
        <v>Chemainus</v>
      </c>
      <c r="AF195" s="55" t="str">
        <f>IF($AC195="","",_xlfn.XLOOKUP($AC195,'[2]Client Info'!$C$2:$C$2715,'[2]Client Info'!$F$2:$F$2715))</f>
        <v xml:space="preserve">BC </v>
      </c>
      <c r="AG195" s="55" t="s">
        <v>91</v>
      </c>
      <c r="AH195" s="245">
        <f>168/12</f>
        <v>14</v>
      </c>
      <c r="AI195" s="43" t="str">
        <f>_xlfn.XLOOKUP(Table26[[#This Row],[customerSKU]],customerSKU!G:G,customerSKU!O:O,"not found",0,1)</f>
        <v>not found</v>
      </c>
      <c r="AJ195" s="53">
        <f>Table26[[#This Row],[unitprice]]*Table26[[#This Row],[quantity_unit]]</f>
        <v>168</v>
      </c>
      <c r="AK195" s="53" cm="1">
        <f t="array" ref="AK1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176.4</v>
      </c>
    </row>
    <row r="196" spans="1:37" ht="24.6" customHeight="1">
      <c r="A196" s="42">
        <v>2047</v>
      </c>
      <c r="B196" s="64" t="s">
        <v>3520</v>
      </c>
      <c r="C196" s="242" t="s">
        <v>203</v>
      </c>
      <c r="D196" s="247"/>
      <c r="E196" s="247"/>
      <c r="F196" s="90"/>
      <c r="G196" s="119"/>
      <c r="H196" s="242"/>
      <c r="I196" s="242" t="s">
        <v>3862</v>
      </c>
      <c r="J196" s="242" t="s">
        <v>503</v>
      </c>
      <c r="K196" s="232">
        <v>45534</v>
      </c>
      <c r="L196" s="233" t="s">
        <v>504</v>
      </c>
      <c r="M196" s="242"/>
      <c r="N196" s="254" t="str">
        <f>Table26[[#This Row],[po_number]]&amp;"-"&amp;Table26[[#This Row],[po_line]]</f>
        <v>-1</v>
      </c>
      <c r="O196" s="254">
        <v>1</v>
      </c>
      <c r="P196" s="234"/>
      <c r="Q196" s="242" t="s">
        <v>1609</v>
      </c>
      <c r="R196" s="242" t="s">
        <v>3830</v>
      </c>
      <c r="S196" s="242" t="s">
        <v>56</v>
      </c>
      <c r="T196" s="20">
        <v>45462</v>
      </c>
      <c r="U196" s="236">
        <v>12</v>
      </c>
      <c r="V196" s="90">
        <v>12</v>
      </c>
      <c r="W196" s="237">
        <f t="shared" si="6"/>
        <v>1</v>
      </c>
      <c r="X196" s="90" t="str">
        <f t="shared" si="7"/>
        <v/>
      </c>
      <c r="Y196" s="242"/>
      <c r="Z196" s="60"/>
      <c r="AA196" s="18" t="str" cm="1">
        <f t="array" ref="AA196">IF(P196="", "", _xlfn.XLOOKUP(P196,#REF!,#REF!,NA,0,-1))</f>
        <v/>
      </c>
      <c r="AB196" s="231"/>
      <c r="AC196" s="55" t="s">
        <v>3985</v>
      </c>
      <c r="AD196" s="55" t="str">
        <f>IF($AC196="","",_xlfn.XLOOKUP($AC196,'[2]Client Info'!$C$2:$C$2535,'[2]Client Info'!$D$2:$D$2535))</f>
        <v>223 1st St W</v>
      </c>
      <c r="AE196" s="55" t="str">
        <f>IF($AC196="","",_xlfn.XLOOKUP($AC196,'[2]Client Info'!$C$2:$C$2715,'[2]Client Info'!$E$2:$E$2715))</f>
        <v>North Vancouver</v>
      </c>
      <c r="AF196" s="55" t="str">
        <f>IF($AC196="","",_xlfn.XLOOKUP($AC196,'[2]Client Info'!$C$2:$C$2715,'[2]Client Info'!$F$2:$F$2715))</f>
        <v xml:space="preserve">BC </v>
      </c>
      <c r="AG196" s="55" t="s">
        <v>103</v>
      </c>
      <c r="AH196" s="245">
        <f>101.04/12</f>
        <v>8.42</v>
      </c>
      <c r="AI196" s="43" t="str">
        <f>_xlfn.XLOOKUP(Table26[[#This Row],[customerSKU]],customerSKU!G:G,customerSKU!O:O,"not found",0,1)</f>
        <v>not found</v>
      </c>
      <c r="AJ196" s="53">
        <f>Table26[[#This Row],[unitprice]]*Table26[[#This Row],[quantity_unit]]</f>
        <v>101.03999999999999</v>
      </c>
      <c r="AK196" s="53" cm="1">
        <f t="array" ref="AK1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106.092</v>
      </c>
    </row>
    <row r="197" spans="1:37" ht="24.6" customHeight="1">
      <c r="A197" s="42">
        <v>2048</v>
      </c>
      <c r="B197" s="64" t="s">
        <v>3520</v>
      </c>
      <c r="C197" s="242" t="s">
        <v>203</v>
      </c>
      <c r="D197" s="247"/>
      <c r="E197" s="247"/>
      <c r="F197" s="90"/>
      <c r="G197" s="119"/>
      <c r="H197" s="242"/>
      <c r="I197" s="242" t="s">
        <v>3862</v>
      </c>
      <c r="J197" s="242" t="s">
        <v>503</v>
      </c>
      <c r="K197" s="232">
        <v>45534</v>
      </c>
      <c r="L197" s="233" t="s">
        <v>504</v>
      </c>
      <c r="M197" s="242"/>
      <c r="N197" s="254" t="str">
        <f>Table26[[#This Row],[po_number]]&amp;"-"&amp;Table26[[#This Row],[po_line]]</f>
        <v>-2</v>
      </c>
      <c r="O197" s="254">
        <v>2</v>
      </c>
      <c r="P197" s="234"/>
      <c r="Q197" s="242" t="s">
        <v>1575</v>
      </c>
      <c r="R197" s="242" t="s">
        <v>3830</v>
      </c>
      <c r="S197" s="242" t="s">
        <v>56</v>
      </c>
      <c r="T197" s="20">
        <v>45457</v>
      </c>
      <c r="U197" s="236">
        <v>12</v>
      </c>
      <c r="V197" s="90">
        <v>12</v>
      </c>
      <c r="W197" s="237">
        <f t="shared" si="6"/>
        <v>1</v>
      </c>
      <c r="X197" s="90" t="str">
        <f t="shared" si="7"/>
        <v/>
      </c>
      <c r="Y197" s="242"/>
      <c r="Z197" s="60"/>
      <c r="AA197" s="18" t="str" cm="1">
        <f t="array" ref="AA197">IF(P197="", "", _xlfn.XLOOKUP(P197,#REF!,#REF!,NA,0,-1))</f>
        <v/>
      </c>
      <c r="AB197" s="231"/>
      <c r="AC197" s="55" t="s">
        <v>3985</v>
      </c>
      <c r="AD197" s="55" t="str">
        <f>IF($AC197="","",_xlfn.XLOOKUP($AC197,'[2]Client Info'!$C$2:$C$2535,'[2]Client Info'!$D$2:$D$2535))</f>
        <v>223 1st St W</v>
      </c>
      <c r="AE197" s="55" t="str">
        <f>IF($AC197="","",_xlfn.XLOOKUP($AC197,'[2]Client Info'!$C$2:$C$2715,'[2]Client Info'!$E$2:$E$2715))</f>
        <v>North Vancouver</v>
      </c>
      <c r="AF197" s="55" t="str">
        <f>IF($AC197="","",_xlfn.XLOOKUP($AC197,'[2]Client Info'!$C$2:$C$2715,'[2]Client Info'!$F$2:$F$2715))</f>
        <v xml:space="preserve">BC </v>
      </c>
      <c r="AG197" s="55" t="s">
        <v>103</v>
      </c>
      <c r="AH197" s="245">
        <f>132.48/12</f>
        <v>11.04</v>
      </c>
      <c r="AI197" s="43" t="str">
        <f>_xlfn.XLOOKUP(Table26[[#This Row],[customerSKU]],customerSKU!G:G,customerSKU!O:O,"not found",0,1)</f>
        <v>not found</v>
      </c>
      <c r="AJ197" s="53">
        <f>Table26[[#This Row],[unitprice]]*Table26[[#This Row],[quantity_unit]]</f>
        <v>132.47999999999999</v>
      </c>
      <c r="AK197" s="53" cm="1">
        <f t="array" ref="AK1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139.10399999999998</v>
      </c>
    </row>
    <row r="198" spans="1:37" ht="24.6" customHeight="1">
      <c r="A198" s="42">
        <v>2049</v>
      </c>
      <c r="B198" s="64" t="s">
        <v>3520</v>
      </c>
      <c r="C198" s="242" t="s">
        <v>203</v>
      </c>
      <c r="D198" s="247"/>
      <c r="E198" s="247"/>
      <c r="F198" s="90"/>
      <c r="G198" s="119"/>
      <c r="H198" s="242"/>
      <c r="I198" s="242" t="s">
        <v>3862</v>
      </c>
      <c r="J198" s="242" t="s">
        <v>503</v>
      </c>
      <c r="K198" s="232">
        <v>45534</v>
      </c>
      <c r="L198" s="233" t="s">
        <v>504</v>
      </c>
      <c r="M198" s="242"/>
      <c r="N198" s="254" t="str">
        <f>Table26[[#This Row],[po_number]]&amp;"-"&amp;Table26[[#This Row],[po_line]]</f>
        <v>-3</v>
      </c>
      <c r="O198" s="254">
        <v>3</v>
      </c>
      <c r="P198" s="234"/>
      <c r="Q198" s="242" t="s">
        <v>828</v>
      </c>
      <c r="R198" s="242" t="s">
        <v>3830</v>
      </c>
      <c r="S198" s="242" t="s">
        <v>56</v>
      </c>
      <c r="T198" s="20">
        <v>45531</v>
      </c>
      <c r="U198" s="236">
        <v>12</v>
      </c>
      <c r="V198" s="90">
        <v>12</v>
      </c>
      <c r="W198" s="237">
        <f t="shared" si="6"/>
        <v>1</v>
      </c>
      <c r="X198" s="90" t="str">
        <f t="shared" si="7"/>
        <v/>
      </c>
      <c r="Y198" s="242"/>
      <c r="Z198" s="60"/>
      <c r="AA198" s="18" t="str" cm="1">
        <f t="array" ref="AA198">IF(P198="", "", _xlfn.XLOOKUP(P198,#REF!,#REF!,NA,0,-1))</f>
        <v/>
      </c>
      <c r="AB198" s="231"/>
      <c r="AC198" s="55" t="s">
        <v>3985</v>
      </c>
      <c r="AD198" s="55" t="str">
        <f>IF($AC198="","",_xlfn.XLOOKUP($AC198,'[2]Client Info'!$C$2:$C$2535,'[2]Client Info'!$D$2:$D$2535))</f>
        <v>223 1st St W</v>
      </c>
      <c r="AE198" s="55" t="str">
        <f>IF($AC198="","",_xlfn.XLOOKUP($AC198,'[2]Client Info'!$C$2:$C$2715,'[2]Client Info'!$E$2:$E$2715))</f>
        <v>North Vancouver</v>
      </c>
      <c r="AF198" s="55" t="str">
        <f>IF($AC198="","",_xlfn.XLOOKUP($AC198,'[2]Client Info'!$C$2:$C$2715,'[2]Client Info'!$F$2:$F$2715))</f>
        <v xml:space="preserve">BC </v>
      </c>
      <c r="AG198" s="55" t="s">
        <v>103</v>
      </c>
      <c r="AH198" s="245">
        <f>67.08/12</f>
        <v>5.59</v>
      </c>
      <c r="AI198" s="43" t="str">
        <f>_xlfn.XLOOKUP(Table26[[#This Row],[customerSKU]],customerSKU!G:G,customerSKU!O:O,"not found",0,1)</f>
        <v>not found</v>
      </c>
      <c r="AJ198" s="53">
        <f>Table26[[#This Row],[unitprice]]*Table26[[#This Row],[quantity_unit]]</f>
        <v>67.08</v>
      </c>
      <c r="AK198" s="53" cm="1">
        <f t="array" ref="AK1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70.433999999999997</v>
      </c>
    </row>
    <row r="199" spans="1:37" ht="24.6" customHeight="1">
      <c r="A199" s="42">
        <v>2050</v>
      </c>
      <c r="B199" s="64" t="s">
        <v>3520</v>
      </c>
      <c r="C199" s="242" t="s">
        <v>203</v>
      </c>
      <c r="D199" s="247"/>
      <c r="E199" s="247"/>
      <c r="F199" s="90"/>
      <c r="G199" s="119"/>
      <c r="H199" s="242"/>
      <c r="I199" s="242" t="s">
        <v>3862</v>
      </c>
      <c r="J199" s="242" t="s">
        <v>503</v>
      </c>
      <c r="K199" s="232">
        <v>45534</v>
      </c>
      <c r="L199" s="233" t="s">
        <v>504</v>
      </c>
      <c r="M199" s="242"/>
      <c r="N199" s="254" t="str">
        <f>Table26[[#This Row],[po_number]]&amp;"-"&amp;Table26[[#This Row],[po_line]]</f>
        <v>-4</v>
      </c>
      <c r="O199" s="254">
        <v>4</v>
      </c>
      <c r="P199" s="234"/>
      <c r="Q199" s="242" t="s">
        <v>587</v>
      </c>
      <c r="R199" s="242" t="s">
        <v>3830</v>
      </c>
      <c r="S199" s="242" t="s">
        <v>56</v>
      </c>
      <c r="T199" s="20">
        <v>45457</v>
      </c>
      <c r="U199" s="236">
        <v>12</v>
      </c>
      <c r="V199" s="90">
        <v>12</v>
      </c>
      <c r="W199" s="237">
        <f t="shared" si="6"/>
        <v>1</v>
      </c>
      <c r="X199" s="90" t="str">
        <f t="shared" si="7"/>
        <v/>
      </c>
      <c r="Y199" s="242"/>
      <c r="Z199" s="60"/>
      <c r="AA199" s="18" t="str" cm="1">
        <f t="array" ref="AA199">IF(P199="", "", _xlfn.XLOOKUP(P199,#REF!,#REF!,NA,0,-1))</f>
        <v/>
      </c>
      <c r="AB199" s="231"/>
      <c r="AC199" s="55" t="s">
        <v>3985</v>
      </c>
      <c r="AD199" s="55" t="str">
        <f>IF($AC199="","",_xlfn.XLOOKUP($AC199,'[2]Client Info'!$C$2:$C$2535,'[2]Client Info'!$D$2:$D$2535))</f>
        <v>223 1st St W</v>
      </c>
      <c r="AE199" s="55" t="str">
        <f>IF($AC199="","",_xlfn.XLOOKUP($AC199,'[2]Client Info'!$C$2:$C$2715,'[2]Client Info'!$E$2:$E$2715))</f>
        <v>North Vancouver</v>
      </c>
      <c r="AF199" s="55" t="str">
        <f>IF($AC199="","",_xlfn.XLOOKUP($AC199,'[2]Client Info'!$C$2:$C$2715,'[2]Client Info'!$F$2:$F$2715))</f>
        <v xml:space="preserve">BC </v>
      </c>
      <c r="AG199" s="55" t="s">
        <v>103</v>
      </c>
      <c r="AH199" s="245">
        <f>89.4/12</f>
        <v>7.45</v>
      </c>
      <c r="AI199" s="43" t="str">
        <f>_xlfn.XLOOKUP(Table26[[#This Row],[customerSKU]],customerSKU!G:G,customerSKU!O:O,"not found",0,1)</f>
        <v>not found</v>
      </c>
      <c r="AJ199" s="53">
        <f>Table26[[#This Row],[unitprice]]*Table26[[#This Row],[quantity_unit]]</f>
        <v>89.4</v>
      </c>
      <c r="AK199" s="53" cm="1">
        <f t="array" ref="AK1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93.87</v>
      </c>
    </row>
    <row r="200" spans="1:37" ht="24.6" customHeight="1">
      <c r="A200" s="42">
        <v>2051</v>
      </c>
      <c r="B200" s="64" t="s">
        <v>3520</v>
      </c>
      <c r="C200" s="242" t="s">
        <v>203</v>
      </c>
      <c r="D200" s="247"/>
      <c r="E200" s="247"/>
      <c r="F200" s="90"/>
      <c r="G200" s="119"/>
      <c r="H200" s="242"/>
      <c r="I200" s="242" t="s">
        <v>3862</v>
      </c>
      <c r="J200" s="242" t="s">
        <v>503</v>
      </c>
      <c r="K200" s="232">
        <v>45534</v>
      </c>
      <c r="L200" s="233" t="s">
        <v>504</v>
      </c>
      <c r="M200" s="242"/>
      <c r="N200" s="254" t="str">
        <f>Table26[[#This Row],[po_number]]&amp;"-"&amp;Table26[[#This Row],[po_line]]</f>
        <v>-5</v>
      </c>
      <c r="O200" s="254">
        <v>5</v>
      </c>
      <c r="P200" s="234"/>
      <c r="Q200" s="242" t="s">
        <v>3986</v>
      </c>
      <c r="R200" s="242" t="s">
        <v>3830</v>
      </c>
      <c r="S200" s="242" t="s">
        <v>56</v>
      </c>
      <c r="T200" s="20">
        <v>45523</v>
      </c>
      <c r="U200" s="236">
        <v>12</v>
      </c>
      <c r="V200" s="90">
        <v>12</v>
      </c>
      <c r="W200" s="237">
        <f t="shared" si="6"/>
        <v>1</v>
      </c>
      <c r="X200" s="90" t="str">
        <f t="shared" si="7"/>
        <v/>
      </c>
      <c r="Y200" s="242"/>
      <c r="Z200" s="60"/>
      <c r="AA200" s="18" t="str" cm="1">
        <f t="array" ref="AA200">IF(P200="", "", _xlfn.XLOOKUP(P200,#REF!,#REF!,NA,0,-1))</f>
        <v/>
      </c>
      <c r="AB200" s="231"/>
      <c r="AC200" s="55" t="s">
        <v>3985</v>
      </c>
      <c r="AD200" s="55" t="str">
        <f>IF($AC200="","",_xlfn.XLOOKUP($AC200,'[2]Client Info'!$C$2:$C$2535,'[2]Client Info'!$D$2:$D$2535))</f>
        <v>223 1st St W</v>
      </c>
      <c r="AE200" s="55" t="str">
        <f>IF($AC200="","",_xlfn.XLOOKUP($AC200,'[2]Client Info'!$C$2:$C$2715,'[2]Client Info'!$E$2:$E$2715))</f>
        <v>North Vancouver</v>
      </c>
      <c r="AF200" s="55" t="str">
        <f>IF($AC200="","",_xlfn.XLOOKUP($AC200,'[2]Client Info'!$C$2:$C$2715,'[2]Client Info'!$F$2:$F$2715))</f>
        <v xml:space="preserve">BC </v>
      </c>
      <c r="AG200" s="55" t="s">
        <v>103</v>
      </c>
      <c r="AH200" s="245">
        <f>151.68/12</f>
        <v>12.64</v>
      </c>
      <c r="AI200" s="43" t="str">
        <f>_xlfn.XLOOKUP(Table26[[#This Row],[customerSKU]],customerSKU!G:G,customerSKU!O:O,"not found",0,1)</f>
        <v>not found</v>
      </c>
      <c r="AJ200" s="53">
        <f>Table26[[#This Row],[unitprice]]*Table26[[#This Row],[quantity_unit]]</f>
        <v>151.68</v>
      </c>
      <c r="AK200" s="53" cm="1">
        <f t="array" ref="AK2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01" spans="1:37" ht="18" customHeight="1">
      <c r="A201" s="42">
        <v>2052</v>
      </c>
      <c r="B201" s="64" t="s">
        <v>3520</v>
      </c>
      <c r="C201" s="242" t="s">
        <v>203</v>
      </c>
      <c r="D201" s="247">
        <v>45551</v>
      </c>
      <c r="E201" s="247"/>
      <c r="F201" s="90"/>
      <c r="G201" s="119"/>
      <c r="H201" s="242"/>
      <c r="I201" s="242" t="s">
        <v>3862</v>
      </c>
      <c r="J201" s="242" t="s">
        <v>503</v>
      </c>
      <c r="K201" s="232">
        <v>45534</v>
      </c>
      <c r="L201" s="233" t="s">
        <v>504</v>
      </c>
      <c r="M201" s="242"/>
      <c r="N201" s="254" t="str">
        <f>Table26[[#This Row],[po_number]]&amp;"-"&amp;Table26[[#This Row],[po_line]]</f>
        <v>-6</v>
      </c>
      <c r="O201" s="254">
        <v>6</v>
      </c>
      <c r="P201" s="234"/>
      <c r="Q201" s="242" t="s">
        <v>3876</v>
      </c>
      <c r="R201" s="242" t="s">
        <v>3830</v>
      </c>
      <c r="S201" s="242" t="s">
        <v>56</v>
      </c>
      <c r="T201" s="20">
        <v>45491</v>
      </c>
      <c r="U201" s="236">
        <v>12</v>
      </c>
      <c r="V201" s="90">
        <v>12</v>
      </c>
      <c r="W201" s="237">
        <f t="shared" si="6"/>
        <v>1</v>
      </c>
      <c r="X201" s="90" t="str">
        <f t="shared" si="7"/>
        <v/>
      </c>
      <c r="Y201" s="242"/>
      <c r="Z201" s="60"/>
      <c r="AA201" s="18" t="str" cm="1">
        <f t="array" ref="AA201">IF(P201="", "", _xlfn.XLOOKUP(P201,#REF!,#REF!,NA,0,-1))</f>
        <v/>
      </c>
      <c r="AB201" s="231"/>
      <c r="AC201" s="55" t="s">
        <v>3985</v>
      </c>
      <c r="AD201" s="55" t="str">
        <f>IF($AC201="","",_xlfn.XLOOKUP($AC201,'[2]Client Info'!$C$2:$C$2535,'[2]Client Info'!$D$2:$D$2535))</f>
        <v>223 1st St W</v>
      </c>
      <c r="AE201" s="55" t="str">
        <f>IF($AC201="","",_xlfn.XLOOKUP($AC201,'[2]Client Info'!$C$2:$C$2715,'[2]Client Info'!$E$2:$E$2715))</f>
        <v>North Vancouver</v>
      </c>
      <c r="AF201" s="55" t="str">
        <f>IF($AC201="","",_xlfn.XLOOKUP($AC201,'[2]Client Info'!$C$2:$C$2715,'[2]Client Info'!$F$2:$F$2715))</f>
        <v xml:space="preserve">BC </v>
      </c>
      <c r="AG201" s="55" t="s">
        <v>103</v>
      </c>
      <c r="AH201" s="245">
        <f>151.68/12</f>
        <v>12.64</v>
      </c>
      <c r="AI201" s="43" t="str">
        <f>_xlfn.XLOOKUP(Table26[[#This Row],[customerSKU]],customerSKU!G:G,customerSKU!O:O,"not found",0,1)</f>
        <v>not found</v>
      </c>
      <c r="AJ201" s="53">
        <f>Table26[[#This Row],[unitprice]]*Table26[[#This Row],[quantity_unit]]</f>
        <v>151.68</v>
      </c>
      <c r="AK201" s="53" cm="1">
        <f t="array" ref="AK2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02" spans="1:37" ht="18" customHeight="1">
      <c r="A202" s="42">
        <v>2053</v>
      </c>
      <c r="B202" s="64" t="s">
        <v>3520</v>
      </c>
      <c r="C202" s="242" t="s">
        <v>203</v>
      </c>
      <c r="D202" s="247"/>
      <c r="E202" s="247"/>
      <c r="F202" s="90"/>
      <c r="G202" s="119"/>
      <c r="H202" s="242"/>
      <c r="I202" s="242" t="s">
        <v>3862</v>
      </c>
      <c r="J202" s="242" t="s">
        <v>503</v>
      </c>
      <c r="K202" s="232">
        <v>45534</v>
      </c>
      <c r="L202" s="233" t="s">
        <v>504</v>
      </c>
      <c r="M202" s="242"/>
      <c r="N202" s="254" t="str">
        <f>Table26[[#This Row],[po_number]]&amp;"-"&amp;Table26[[#This Row],[po_line]]</f>
        <v>-7</v>
      </c>
      <c r="O202" s="254">
        <v>7</v>
      </c>
      <c r="P202" s="234"/>
      <c r="Q202" s="242" t="s">
        <v>3987</v>
      </c>
      <c r="R202" s="242" t="s">
        <v>3830</v>
      </c>
      <c r="S202" s="242" t="s">
        <v>56</v>
      </c>
      <c r="T202" s="20">
        <v>45523</v>
      </c>
      <c r="U202" s="236">
        <v>12</v>
      </c>
      <c r="V202" s="90">
        <v>12</v>
      </c>
      <c r="W202" s="237">
        <f t="shared" si="6"/>
        <v>1</v>
      </c>
      <c r="X202" s="90" t="str">
        <f t="shared" si="7"/>
        <v/>
      </c>
      <c r="Y202" s="242"/>
      <c r="Z202" s="60"/>
      <c r="AA202" s="18" t="str" cm="1">
        <f t="array" ref="AA202">IF(P202="", "", _xlfn.XLOOKUP(P202,#REF!,#REF!,NA,0,-1))</f>
        <v/>
      </c>
      <c r="AB202" s="231"/>
      <c r="AC202" s="55" t="s">
        <v>3985</v>
      </c>
      <c r="AD202" s="55" t="str">
        <f>IF($AC202="","",_xlfn.XLOOKUP($AC202,'[2]Client Info'!$C$2:$C$2535,'[2]Client Info'!$D$2:$D$2535))</f>
        <v>223 1st St W</v>
      </c>
      <c r="AE202" s="55" t="str">
        <f>IF($AC202="","",_xlfn.XLOOKUP($AC202,'[2]Client Info'!$C$2:$C$2715,'[2]Client Info'!$E$2:$E$2715))</f>
        <v>North Vancouver</v>
      </c>
      <c r="AF202" s="55" t="str">
        <f>IF($AC202="","",_xlfn.XLOOKUP($AC202,'[2]Client Info'!$C$2:$C$2715,'[2]Client Info'!$F$2:$F$2715))</f>
        <v xml:space="preserve">BC </v>
      </c>
      <c r="AG202" s="55" t="s">
        <v>103</v>
      </c>
      <c r="AH202" s="245">
        <f>151.68/12</f>
        <v>12.64</v>
      </c>
      <c r="AI202" s="43" t="str">
        <f>_xlfn.XLOOKUP(Table26[[#This Row],[customerSKU]],customerSKU!G:G,customerSKU!O:O,"not found",0,1)</f>
        <v>not found</v>
      </c>
      <c r="AJ202" s="53">
        <f>Table26[[#This Row],[unitprice]]*Table26[[#This Row],[quantity_unit]]</f>
        <v>151.68</v>
      </c>
      <c r="AK202" s="53" cm="1">
        <f t="array" ref="AK2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03" spans="1:37" ht="18" customHeight="1">
      <c r="A203" s="42">
        <v>2054</v>
      </c>
      <c r="B203" s="64" t="s">
        <v>3520</v>
      </c>
      <c r="C203" s="242" t="s">
        <v>203</v>
      </c>
      <c r="D203" s="247"/>
      <c r="E203" s="247"/>
      <c r="F203" s="90"/>
      <c r="G203" s="119"/>
      <c r="H203" s="242"/>
      <c r="I203" s="242" t="s">
        <v>3862</v>
      </c>
      <c r="J203" s="242" t="s">
        <v>503</v>
      </c>
      <c r="K203" s="232">
        <v>45534</v>
      </c>
      <c r="L203" s="233" t="s">
        <v>504</v>
      </c>
      <c r="M203" s="242"/>
      <c r="N203" s="254" t="str">
        <f>Table26[[#This Row],[po_number]]&amp;"-"&amp;Table26[[#This Row],[po_line]]</f>
        <v>-8</v>
      </c>
      <c r="O203" s="254">
        <v>8</v>
      </c>
      <c r="P203" s="234"/>
      <c r="Q203" s="242" t="s">
        <v>3865</v>
      </c>
      <c r="R203" s="242" t="s">
        <v>3830</v>
      </c>
      <c r="S203" s="242" t="s">
        <v>56</v>
      </c>
      <c r="T203" s="20">
        <v>45497</v>
      </c>
      <c r="U203" s="236">
        <v>12</v>
      </c>
      <c r="V203" s="90">
        <v>12</v>
      </c>
      <c r="W203" s="237">
        <f t="shared" si="6"/>
        <v>1</v>
      </c>
      <c r="X203" s="90" t="str">
        <f t="shared" si="7"/>
        <v/>
      </c>
      <c r="Y203" s="242"/>
      <c r="Z203" s="60"/>
      <c r="AA203" s="18" t="str" cm="1">
        <f t="array" ref="AA203">IF(P203="", "", _xlfn.XLOOKUP(P203,#REF!,#REF!,NA,0,-1))</f>
        <v/>
      </c>
      <c r="AB203" s="231"/>
      <c r="AC203" s="55" t="s">
        <v>3985</v>
      </c>
      <c r="AD203" s="55" t="str">
        <f>IF($AC203="","",_xlfn.XLOOKUP($AC203,'[2]Client Info'!$C$2:$C$2535,'[2]Client Info'!$D$2:$D$2535))</f>
        <v>223 1st St W</v>
      </c>
      <c r="AE203" s="55" t="str">
        <f>IF($AC203="","",_xlfn.XLOOKUP($AC203,'[2]Client Info'!$C$2:$C$2715,'[2]Client Info'!$E$2:$E$2715))</f>
        <v>North Vancouver</v>
      </c>
      <c r="AF203" s="55" t="str">
        <f>IF($AC203="","",_xlfn.XLOOKUP($AC203,'[2]Client Info'!$C$2:$C$2715,'[2]Client Info'!$F$2:$F$2715))</f>
        <v xml:space="preserve">BC </v>
      </c>
      <c r="AG203" s="55" t="s">
        <v>103</v>
      </c>
      <c r="AH203" s="245">
        <f>151.68/12</f>
        <v>12.64</v>
      </c>
      <c r="AI203" s="43" t="str">
        <f>_xlfn.XLOOKUP(Table26[[#This Row],[customerSKU]],customerSKU!G:G,customerSKU!O:O,"not found",0,1)</f>
        <v>not found</v>
      </c>
      <c r="AJ203" s="53">
        <f>Table26[[#This Row],[unitprice]]*Table26[[#This Row],[quantity_unit]]</f>
        <v>151.68</v>
      </c>
      <c r="AK203" s="53" cm="1">
        <f t="array" ref="AK2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04" spans="1:37" ht="18" customHeight="1">
      <c r="A204" s="42">
        <v>2041</v>
      </c>
      <c r="B204" s="58" t="s">
        <v>3520</v>
      </c>
      <c r="C204" s="53" t="s">
        <v>203</v>
      </c>
      <c r="D204" s="51"/>
      <c r="E204" s="51"/>
      <c r="F204" s="53"/>
      <c r="G204" s="46"/>
      <c r="H204" s="53"/>
      <c r="I204" s="53" t="s">
        <v>3862</v>
      </c>
      <c r="J204" s="53" t="s">
        <v>27</v>
      </c>
      <c r="K204" s="48">
        <v>45539</v>
      </c>
      <c r="L204" s="49" t="s">
        <v>490</v>
      </c>
      <c r="M204" s="53"/>
      <c r="N204" s="77" t="str">
        <f>Table26[[#This Row],[po_number]]&amp;"-"&amp;Table26[[#This Row],[po_line]]</f>
        <v>-1</v>
      </c>
      <c r="O204" s="77">
        <v>1</v>
      </c>
      <c r="P204" s="50"/>
      <c r="Q204" s="88" t="s">
        <v>1314</v>
      </c>
      <c r="R204" s="88" t="s">
        <v>3830</v>
      </c>
      <c r="S204" s="53" t="s">
        <v>21</v>
      </c>
      <c r="T204" s="20">
        <v>45503</v>
      </c>
      <c r="U204" s="52">
        <v>24</v>
      </c>
      <c r="V204" s="53">
        <v>12</v>
      </c>
      <c r="W204" s="116">
        <f t="shared" si="6"/>
        <v>2</v>
      </c>
      <c r="X204" s="53" t="str">
        <f t="shared" si="7"/>
        <v/>
      </c>
      <c r="Y204" s="53"/>
      <c r="Z204" s="60"/>
      <c r="AA204" s="18" t="str" cm="1">
        <f t="array" ref="AA204">IF(P204="", "", _xlfn.XLOOKUP(P204,#REF!,#REF!,NA,0,-1))</f>
        <v/>
      </c>
      <c r="AB204" s="47"/>
      <c r="AC204" s="55" t="s">
        <v>3997</v>
      </c>
      <c r="AD204" s="55" t="str">
        <f>IF($AC204="","",_xlfn.XLOOKUP($AC204,'[2]Client Info'!$C$2:$C$2535,'[2]Client Info'!$D$2:$D$2535))</f>
        <v>Unit E, 1510 ST. MARY'S ROAD</v>
      </c>
      <c r="AE204" s="55" t="str">
        <f>IF($AC204="","",_xlfn.XLOOKUP($AC204,'[2]Client Info'!$C$2:$C$2715,'[2]Client Info'!$E$2:$E$2715))</f>
        <v>Winnipeg</v>
      </c>
      <c r="AF204" s="55" t="str">
        <f>IF($AC204="","",_xlfn.XLOOKUP($AC204,'[2]Client Info'!$C$2:$C$2715,'[2]Client Info'!$F$2:$F$2715))</f>
        <v>MB</v>
      </c>
      <c r="AG204" s="55" t="s">
        <v>3992</v>
      </c>
      <c r="AH204" s="62"/>
      <c r="AI204" s="43" t="str">
        <f>_xlfn.XLOOKUP(Table26[[#This Row],[customerSKU]],customerSKU!G:G,customerSKU!O:O,"not found",0,1)</f>
        <v>not found</v>
      </c>
      <c r="AJ204" s="53">
        <f>Table26[[#This Row],[unitprice]]*Table26[[#This Row],[quantity_unit]]</f>
        <v>0</v>
      </c>
      <c r="AK204" s="53" cm="1">
        <f t="array" ref="AK2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05" spans="1:37" ht="18" customHeight="1">
      <c r="A205" s="42">
        <v>2042</v>
      </c>
      <c r="B205" s="58" t="s">
        <v>3520</v>
      </c>
      <c r="C205" s="53" t="s">
        <v>203</v>
      </c>
      <c r="D205" s="51"/>
      <c r="E205" s="51"/>
      <c r="F205" s="53"/>
      <c r="G205" s="46"/>
      <c r="H205" s="53"/>
      <c r="I205" s="53" t="s">
        <v>3862</v>
      </c>
      <c r="J205" s="53" t="s">
        <v>27</v>
      </c>
      <c r="K205" s="48">
        <v>45539</v>
      </c>
      <c r="L205" s="49" t="s">
        <v>490</v>
      </c>
      <c r="M205" s="53"/>
      <c r="N205" s="77" t="str">
        <f>Table26[[#This Row],[po_number]]&amp;"-"&amp;Table26[[#This Row],[po_line]]</f>
        <v>-2</v>
      </c>
      <c r="O205" s="77">
        <v>2</v>
      </c>
      <c r="P205" s="50"/>
      <c r="Q205" s="88" t="s">
        <v>1019</v>
      </c>
      <c r="R205" s="88" t="s">
        <v>3830</v>
      </c>
      <c r="S205" s="53" t="s">
        <v>21</v>
      </c>
      <c r="T205" s="20">
        <v>45523</v>
      </c>
      <c r="U205" s="52">
        <v>24</v>
      </c>
      <c r="V205" s="53">
        <v>12</v>
      </c>
      <c r="W205" s="116">
        <f t="shared" si="6"/>
        <v>2</v>
      </c>
      <c r="X205" s="53" t="str">
        <f t="shared" si="7"/>
        <v/>
      </c>
      <c r="Y205" s="53"/>
      <c r="Z205" s="60"/>
      <c r="AA205" s="18" t="str" cm="1">
        <f t="array" ref="AA205">IF(P205="", "", _xlfn.XLOOKUP(P205,#REF!,#REF!,NA,0,-1))</f>
        <v/>
      </c>
      <c r="AB205" s="47"/>
      <c r="AC205" s="55" t="s">
        <v>3997</v>
      </c>
      <c r="AD205" s="55" t="str">
        <f>IF($AC205="","",_xlfn.XLOOKUP($AC205,'[2]Client Info'!$C$2:$C$2535,'[2]Client Info'!$D$2:$D$2535))</f>
        <v>Unit E, 1510 ST. MARY'S ROAD</v>
      </c>
      <c r="AE205" s="55" t="str">
        <f>IF($AC205="","",_xlfn.XLOOKUP($AC205,'[2]Client Info'!$C$2:$C$2715,'[2]Client Info'!$E$2:$E$2715))</f>
        <v>Winnipeg</v>
      </c>
      <c r="AF205" s="55" t="str">
        <f>IF($AC205="","",_xlfn.XLOOKUP($AC205,'[2]Client Info'!$C$2:$C$2715,'[2]Client Info'!$F$2:$F$2715))</f>
        <v>MB</v>
      </c>
      <c r="AG205" s="55" t="s">
        <v>3992</v>
      </c>
      <c r="AH205" s="62"/>
      <c r="AI205" s="43" t="str">
        <f>_xlfn.XLOOKUP(Table26[[#This Row],[customerSKU]],customerSKU!G:G,customerSKU!O:O,"not found",0,1)</f>
        <v>not found</v>
      </c>
      <c r="AJ205" s="53">
        <f>Table26[[#This Row],[unitprice]]*Table26[[#This Row],[quantity_unit]]</f>
        <v>0</v>
      </c>
      <c r="AK205" s="53" cm="1">
        <f t="array" ref="AK2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06" spans="1:37" ht="18" customHeight="1">
      <c r="A206" s="42">
        <v>2043</v>
      </c>
      <c r="B206" s="58" t="s">
        <v>3520</v>
      </c>
      <c r="C206" s="53" t="s">
        <v>203</v>
      </c>
      <c r="D206" s="51"/>
      <c r="E206" s="51"/>
      <c r="F206" s="53"/>
      <c r="G206" s="46"/>
      <c r="H206" s="53"/>
      <c r="I206" s="53" t="s">
        <v>3862</v>
      </c>
      <c r="J206" s="53" t="s">
        <v>27</v>
      </c>
      <c r="K206" s="48">
        <v>45539</v>
      </c>
      <c r="L206" s="49" t="s">
        <v>490</v>
      </c>
      <c r="M206" s="53"/>
      <c r="N206" s="77" t="str">
        <f>Table26[[#This Row],[po_number]]&amp;"-"&amp;Table26[[#This Row],[po_line]]</f>
        <v>-1</v>
      </c>
      <c r="O206" s="77">
        <v>1</v>
      </c>
      <c r="P206" s="50"/>
      <c r="Q206" s="88" t="s">
        <v>797</v>
      </c>
      <c r="R206" s="88" t="s">
        <v>3830</v>
      </c>
      <c r="S206" s="53" t="s">
        <v>21</v>
      </c>
      <c r="T206" s="20">
        <v>45531</v>
      </c>
      <c r="U206" s="52">
        <v>24</v>
      </c>
      <c r="V206" s="53">
        <v>12</v>
      </c>
      <c r="W206" s="116">
        <f t="shared" si="6"/>
        <v>2</v>
      </c>
      <c r="X206" s="53" t="str">
        <f t="shared" si="7"/>
        <v/>
      </c>
      <c r="Y206" s="53"/>
      <c r="Z206" s="60"/>
      <c r="AA206" s="18" t="str" cm="1">
        <f t="array" ref="AA206">IF(P206="", "", _xlfn.XLOOKUP(P206,#REF!,#REF!,NA,0,-1))</f>
        <v/>
      </c>
      <c r="AB206" s="47"/>
      <c r="AC206" s="55" t="s">
        <v>73</v>
      </c>
      <c r="AD206" s="55" t="str">
        <f>IF($AC206="","",_xlfn.XLOOKUP($AC206,'[2]Client Info'!$C$2:$C$2535,'[2]Client Info'!$D$2:$D$2535))</f>
        <v>2100 MCPHILLIPS ST</v>
      </c>
      <c r="AE206" s="55" t="str">
        <f>IF($AC206="","",_xlfn.XLOOKUP($AC206,'[2]Client Info'!$C$2:$C$2715,'[2]Client Info'!$E$2:$E$2715))</f>
        <v>WINNIPEG</v>
      </c>
      <c r="AF206" s="55" t="str">
        <f>IF($AC206="","",_xlfn.XLOOKUP($AC206,'[2]Client Info'!$C$2:$C$2715,'[2]Client Info'!$F$2:$F$2715))</f>
        <v>MB</v>
      </c>
      <c r="AG206" s="55" t="s">
        <v>3992</v>
      </c>
      <c r="AH206" s="62"/>
      <c r="AI206" s="43" t="str">
        <f>_xlfn.XLOOKUP(Table26[[#This Row],[customerSKU]],customerSKU!G:G,customerSKU!O:O,"not found",0,1)</f>
        <v>not found</v>
      </c>
      <c r="AJ206" s="53">
        <f>Table26[[#This Row],[unitprice]]*Table26[[#This Row],[quantity_unit]]</f>
        <v>0</v>
      </c>
      <c r="AK206" s="53" cm="1">
        <f t="array" ref="AK2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07" spans="1:37" ht="18" customHeight="1">
      <c r="A207" s="42">
        <v>2044</v>
      </c>
      <c r="B207" s="58" t="s">
        <v>3520</v>
      </c>
      <c r="C207" s="53" t="s">
        <v>203</v>
      </c>
      <c r="D207" s="51"/>
      <c r="E207" s="51"/>
      <c r="F207" s="53"/>
      <c r="G207" s="46"/>
      <c r="H207" s="53"/>
      <c r="I207" s="53" t="s">
        <v>3862</v>
      </c>
      <c r="J207" s="53" t="s">
        <v>27</v>
      </c>
      <c r="K207" s="48">
        <v>45539</v>
      </c>
      <c r="L207" s="49" t="s">
        <v>490</v>
      </c>
      <c r="M207" s="53"/>
      <c r="N207" s="77" t="str">
        <f>Table26[[#This Row],[po_number]]&amp;"-"&amp;Table26[[#This Row],[po_line]]</f>
        <v>-2</v>
      </c>
      <c r="O207" s="77">
        <v>2</v>
      </c>
      <c r="P207" s="50"/>
      <c r="Q207" s="88" t="s">
        <v>1019</v>
      </c>
      <c r="R207" s="88" t="s">
        <v>3830</v>
      </c>
      <c r="S207" s="53" t="s">
        <v>21</v>
      </c>
      <c r="T207" s="20">
        <v>45523</v>
      </c>
      <c r="U207" s="52">
        <v>12</v>
      </c>
      <c r="V207" s="53">
        <v>12</v>
      </c>
      <c r="W207" s="116">
        <f t="shared" si="6"/>
        <v>1</v>
      </c>
      <c r="X207" s="53" t="str">
        <f t="shared" si="7"/>
        <v/>
      </c>
      <c r="Y207" s="53"/>
      <c r="Z207" s="60"/>
      <c r="AA207" s="18" t="str" cm="1">
        <f t="array" ref="AA207">IF(P207="", "", _xlfn.XLOOKUP(P207,#REF!,#REF!,NA,0,-1))</f>
        <v/>
      </c>
      <c r="AB207" s="47"/>
      <c r="AC207" s="55" t="s">
        <v>73</v>
      </c>
      <c r="AD207" s="55" t="str">
        <f>IF($AC207="","",_xlfn.XLOOKUP($AC207,'[2]Client Info'!$C$2:$C$2535,'[2]Client Info'!$D$2:$D$2535))</f>
        <v>2100 MCPHILLIPS ST</v>
      </c>
      <c r="AE207" s="55" t="str">
        <f>IF($AC207="","",_xlfn.XLOOKUP($AC207,'[2]Client Info'!$C$2:$C$2715,'[2]Client Info'!$E$2:$E$2715))</f>
        <v>WINNIPEG</v>
      </c>
      <c r="AF207" s="55" t="str">
        <f>IF($AC207="","",_xlfn.XLOOKUP($AC207,'[2]Client Info'!$C$2:$C$2715,'[2]Client Info'!$F$2:$F$2715))</f>
        <v>MB</v>
      </c>
      <c r="AG207" s="55" t="s">
        <v>3992</v>
      </c>
      <c r="AH207" s="62"/>
      <c r="AI207" s="43" t="str">
        <f>_xlfn.XLOOKUP(Table26[[#This Row],[customerSKU]],customerSKU!G:G,customerSKU!O:O,"not found",0,1)</f>
        <v>not found</v>
      </c>
      <c r="AJ207" s="53">
        <f>Table26[[#This Row],[unitprice]]*Table26[[#This Row],[quantity_unit]]</f>
        <v>0</v>
      </c>
      <c r="AK207" s="53" cm="1">
        <f t="array" ref="AK2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08" spans="1:37" ht="18" customHeight="1">
      <c r="A208" s="42">
        <v>2045</v>
      </c>
      <c r="B208" s="58" t="s">
        <v>3520</v>
      </c>
      <c r="C208" s="53" t="s">
        <v>203</v>
      </c>
      <c r="D208" s="51"/>
      <c r="E208" s="51"/>
      <c r="F208" s="53"/>
      <c r="G208" s="46"/>
      <c r="H208" s="53"/>
      <c r="I208" s="53" t="s">
        <v>3862</v>
      </c>
      <c r="J208" s="53" t="s">
        <v>27</v>
      </c>
      <c r="K208" s="48">
        <v>45539</v>
      </c>
      <c r="L208" s="49" t="s">
        <v>490</v>
      </c>
      <c r="M208" s="53"/>
      <c r="N208" s="77" t="str">
        <f>Table26[[#This Row],[po_number]]&amp;"-"&amp;Table26[[#This Row],[po_line]]</f>
        <v>-1</v>
      </c>
      <c r="O208" s="77">
        <v>1</v>
      </c>
      <c r="P208" s="50"/>
      <c r="Q208" s="53" t="s">
        <v>3994</v>
      </c>
      <c r="R208" s="88" t="s">
        <v>3830</v>
      </c>
      <c r="S208" s="53" t="s">
        <v>21</v>
      </c>
      <c r="T208" s="20">
        <v>45519</v>
      </c>
      <c r="U208" s="52">
        <v>36</v>
      </c>
      <c r="V208" s="53">
        <v>12</v>
      </c>
      <c r="W208" s="116">
        <f t="shared" si="6"/>
        <v>3</v>
      </c>
      <c r="X208" s="53" t="str">
        <f t="shared" si="7"/>
        <v/>
      </c>
      <c r="Y208" s="53"/>
      <c r="Z208" s="60"/>
      <c r="AA208" s="18" t="str" cm="1">
        <f t="array" ref="AA208">IF(P208="", "", _xlfn.XLOOKUP(P208,#REF!,#REF!,NA,0,-1))</f>
        <v/>
      </c>
      <c r="AB208" s="47"/>
      <c r="AC208" s="55" t="s">
        <v>3996</v>
      </c>
      <c r="AD208" s="55" t="str">
        <f>IF($AC208="","",_xlfn.XLOOKUP($AC208,'[2]Client Info'!$C$2:$C$2535,'[2]Client Info'!$D$2:$D$2535))</f>
        <v>229 MANITOBA AVE</v>
      </c>
      <c r="AE208" s="55" t="str">
        <f>IF($AC208="","",_xlfn.XLOOKUP($AC208,'[2]Client Info'!$C$2:$C$2715,'[2]Client Info'!$E$2:$E$2715))</f>
        <v>SELKIRK</v>
      </c>
      <c r="AF208" s="55" t="str">
        <f>IF($AC208="","",_xlfn.XLOOKUP($AC208,'[2]Client Info'!$C$2:$C$2715,'[2]Client Info'!$F$2:$F$2715))</f>
        <v xml:space="preserve">MB </v>
      </c>
      <c r="AG208" s="55" t="s">
        <v>3992</v>
      </c>
      <c r="AH208" s="62"/>
      <c r="AI208" s="43" t="str">
        <f>_xlfn.XLOOKUP(Table26[[#This Row],[customerSKU]],customerSKU!G:G,customerSKU!O:O,"not found",0,1)</f>
        <v>not found</v>
      </c>
      <c r="AJ208" s="53">
        <f>Table26[[#This Row],[unitprice]]*Table26[[#This Row],[quantity_unit]]</f>
        <v>0</v>
      </c>
      <c r="AK208" s="53" cm="1">
        <f t="array" ref="AK2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09" spans="1:37" ht="18" customHeight="1">
      <c r="A209" s="42">
        <v>2046</v>
      </c>
      <c r="B209" s="58" t="s">
        <v>3520</v>
      </c>
      <c r="C209" s="53" t="s">
        <v>203</v>
      </c>
      <c r="D209" s="51"/>
      <c r="E209" s="51"/>
      <c r="F209" s="53"/>
      <c r="G209" s="46"/>
      <c r="H209" s="53"/>
      <c r="I209" s="53" t="s">
        <v>3862</v>
      </c>
      <c r="J209" s="53" t="s">
        <v>27</v>
      </c>
      <c r="K209" s="48">
        <v>45539</v>
      </c>
      <c r="L209" s="49" t="s">
        <v>490</v>
      </c>
      <c r="M209" s="53"/>
      <c r="N209" s="77" t="str">
        <f>Table26[[#This Row],[po_number]]&amp;"-"&amp;Table26[[#This Row],[po_line]]</f>
        <v>-1</v>
      </c>
      <c r="O209" s="77">
        <v>1</v>
      </c>
      <c r="P209" s="50"/>
      <c r="Q209" s="88" t="s">
        <v>1019</v>
      </c>
      <c r="R209" s="88" t="s">
        <v>3830</v>
      </c>
      <c r="S209" s="53" t="s">
        <v>21</v>
      </c>
      <c r="T209" s="20">
        <v>45523</v>
      </c>
      <c r="U209" s="52">
        <v>12</v>
      </c>
      <c r="V209" s="53">
        <v>12</v>
      </c>
      <c r="W209" s="116">
        <f t="shared" si="6"/>
        <v>1</v>
      </c>
      <c r="X209" s="53" t="str">
        <f t="shared" si="7"/>
        <v/>
      </c>
      <c r="Y209" s="53"/>
      <c r="Z209" s="60"/>
      <c r="AA209" s="18" t="str" cm="1">
        <f t="array" ref="AA209">IF(P209="", "", _xlfn.XLOOKUP(P209,#REF!,#REF!,NA,0,-1))</f>
        <v/>
      </c>
      <c r="AB209" s="47"/>
      <c r="AC209" s="55" t="s">
        <v>74</v>
      </c>
      <c r="AD209" s="55" t="str">
        <f>IF($AC209="","",_xlfn.XLOOKUP($AC209,'[2]Client Info'!$C$2:$C$2535,'[2]Client Info'!$D$2:$D$2535))</f>
        <v>UNIT A-150 MAPLE AVE E</v>
      </c>
      <c r="AE209" s="55" t="str">
        <f>IF($AC209="","",_xlfn.XLOOKUP($AC209,'[2]Client Info'!$C$2:$C$2715,'[2]Client Info'!$E$2:$E$2715))</f>
        <v>SOURIS</v>
      </c>
      <c r="AF209" s="55" t="str">
        <f>IF($AC209="","",_xlfn.XLOOKUP($AC209,'[2]Client Info'!$C$2:$C$2715,'[2]Client Info'!$F$2:$F$2715))</f>
        <v>MB</v>
      </c>
      <c r="AG209" s="55" t="s">
        <v>3992</v>
      </c>
      <c r="AH209" s="62"/>
      <c r="AI209" s="43" t="str">
        <f>_xlfn.XLOOKUP(Table26[[#This Row],[customerSKU]],customerSKU!G:G,customerSKU!O:O,"not found",0,1)</f>
        <v>not found</v>
      </c>
      <c r="AJ209" s="53">
        <f>Table26[[#This Row],[unitprice]]*Table26[[#This Row],[quantity_unit]]</f>
        <v>0</v>
      </c>
      <c r="AK209" s="53" cm="1">
        <f t="array" ref="AK2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10" spans="1:37" ht="18" customHeight="1">
      <c r="A210" s="42">
        <v>2035</v>
      </c>
      <c r="B210" s="58" t="s">
        <v>3520</v>
      </c>
      <c r="C210" s="53" t="s">
        <v>203</v>
      </c>
      <c r="D210" s="51"/>
      <c r="E210" s="51"/>
      <c r="F210" s="53"/>
      <c r="G210" s="46"/>
      <c r="H210" s="53" t="s">
        <v>3803</v>
      </c>
      <c r="I210" s="53" t="s">
        <v>3775</v>
      </c>
      <c r="J210" s="53" t="s">
        <v>3800</v>
      </c>
      <c r="K210" s="48">
        <v>45541</v>
      </c>
      <c r="L210" s="49" t="s">
        <v>3417</v>
      </c>
      <c r="M210" s="53"/>
      <c r="N210" s="77" t="str">
        <f>Table26[[#This Row],[po_number]]&amp;"-"&amp;Table26[[#This Row],[po_line]]</f>
        <v>-1</v>
      </c>
      <c r="O210" s="77">
        <v>1</v>
      </c>
      <c r="P210" s="50"/>
      <c r="Q210" s="53" t="s">
        <v>3804</v>
      </c>
      <c r="R210" s="53" t="s">
        <v>3805</v>
      </c>
      <c r="S210" s="53"/>
      <c r="T210" s="51">
        <v>44613</v>
      </c>
      <c r="U210" s="52">
        <v>5</v>
      </c>
      <c r="V210" s="53">
        <v>5</v>
      </c>
      <c r="W210" s="116">
        <f t="shared" si="6"/>
        <v>1</v>
      </c>
      <c r="X210" s="53" t="str">
        <f t="shared" si="7"/>
        <v/>
      </c>
      <c r="Y210" s="60"/>
      <c r="Z210" s="60"/>
      <c r="AA210" s="18" t="str" cm="1">
        <f t="array" ref="AA210">IF(P210="", "", _xlfn.XLOOKUP(P210,#REF!,#REF!,NA,0,-1))</f>
        <v/>
      </c>
      <c r="AB210" s="47"/>
      <c r="AC210" s="55" t="s">
        <v>3806</v>
      </c>
      <c r="AD210" s="55" t="e">
        <f>IF($AC210="","",_xlfn.XLOOKUP($AC210,'[2]Client Info'!$C$2:$C$2535,'[2]Client Info'!$D$2:$D$2535))</f>
        <v>#N/A</v>
      </c>
      <c r="AE210" s="55" t="e">
        <f>IF($AC210="","",_xlfn.XLOOKUP($AC210,'[2]Client Info'!$C$2:$C$2715,'[2]Client Info'!$E$2:$E$2715))</f>
        <v>#N/A</v>
      </c>
      <c r="AF210" s="55" t="e">
        <f>IF($AC210="","",_xlfn.XLOOKUP($AC210,'[2]Client Info'!$C$2:$C$2715,'[2]Client Info'!$F$2:$F$2715))</f>
        <v>#N/A</v>
      </c>
      <c r="AG210" s="55" t="s">
        <v>2</v>
      </c>
      <c r="AH210" s="62"/>
      <c r="AI210" s="43" t="str">
        <f>_xlfn.XLOOKUP(Table26[[#This Row],[customerSKU]],customerSKU!G:G,customerSKU!O:O,"not found",0,1)</f>
        <v>not found</v>
      </c>
      <c r="AJ210" s="53">
        <f>Table26[[#This Row],[unitprice]]*Table26[[#This Row],[quantity_unit]]</f>
        <v>0</v>
      </c>
      <c r="AK210" s="53" t="e" cm="1">
        <f t="array" ref="AK2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1" spans="1:37" ht="18" customHeight="1">
      <c r="A211" s="42">
        <v>2036</v>
      </c>
      <c r="B211" s="58" t="s">
        <v>3520</v>
      </c>
      <c r="C211" s="53" t="s">
        <v>203</v>
      </c>
      <c r="D211" s="51"/>
      <c r="E211" s="51"/>
      <c r="F211" s="53"/>
      <c r="G211" s="46"/>
      <c r="H211" s="53" t="s">
        <v>3803</v>
      </c>
      <c r="I211" s="53" t="s">
        <v>3775</v>
      </c>
      <c r="J211" s="53" t="s">
        <v>3800</v>
      </c>
      <c r="K211" s="48">
        <v>45541</v>
      </c>
      <c r="L211" s="49" t="s">
        <v>3417</v>
      </c>
      <c r="M211" s="53"/>
      <c r="N211" s="77" t="str">
        <f>Table26[[#This Row],[po_number]]&amp;"-"&amp;Table26[[#This Row],[po_line]]</f>
        <v>-2</v>
      </c>
      <c r="O211" s="77">
        <v>2</v>
      </c>
      <c r="P211" s="50"/>
      <c r="Q211" s="53" t="s">
        <v>3807</v>
      </c>
      <c r="R211" s="53" t="s">
        <v>3805</v>
      </c>
      <c r="S211" s="53"/>
      <c r="T211" s="51">
        <v>44610</v>
      </c>
      <c r="U211" s="52">
        <v>1</v>
      </c>
      <c r="V211" s="53">
        <v>1</v>
      </c>
      <c r="W211" s="116">
        <f t="shared" si="6"/>
        <v>1</v>
      </c>
      <c r="X211" s="53" t="str">
        <f t="shared" si="7"/>
        <v/>
      </c>
      <c r="Y211" s="60"/>
      <c r="Z211" s="60"/>
      <c r="AA211" s="18" t="str" cm="1">
        <f t="array" ref="AA211">IF(P211="", "", _xlfn.XLOOKUP(P211,#REF!,#REF!,NA,0,-1))</f>
        <v/>
      </c>
      <c r="AB211" s="47"/>
      <c r="AC211" s="55" t="s">
        <v>3806</v>
      </c>
      <c r="AD211" s="55" t="e">
        <f>IF($AC211="","",_xlfn.XLOOKUP($AC211,'[2]Client Info'!$C$2:$C$2535,'[2]Client Info'!$D$2:$D$2535))</f>
        <v>#N/A</v>
      </c>
      <c r="AE211" s="55" t="e">
        <f>IF($AC211="","",_xlfn.XLOOKUP($AC211,'[2]Client Info'!$C$2:$C$2715,'[2]Client Info'!$E$2:$E$2715))</f>
        <v>#N/A</v>
      </c>
      <c r="AF211" s="55" t="e">
        <f>IF($AC211="","",_xlfn.XLOOKUP($AC211,'[2]Client Info'!$C$2:$C$2715,'[2]Client Info'!$F$2:$F$2715))</f>
        <v>#N/A</v>
      </c>
      <c r="AG211" s="55" t="s">
        <v>2</v>
      </c>
      <c r="AH211" s="62"/>
      <c r="AI211" s="43" t="str">
        <f>_xlfn.XLOOKUP(Table26[[#This Row],[customerSKU]],customerSKU!G:G,customerSKU!O:O,"not found",0,1)</f>
        <v>not found</v>
      </c>
      <c r="AJ211" s="53">
        <f>Table26[[#This Row],[unitprice]]*Table26[[#This Row],[quantity_unit]]</f>
        <v>0</v>
      </c>
      <c r="AK211" s="53" t="e" cm="1">
        <f t="array" ref="AK2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2" spans="1:37" ht="18" customHeight="1">
      <c r="A212" s="42">
        <v>2037</v>
      </c>
      <c r="B212" s="58" t="s">
        <v>3520</v>
      </c>
      <c r="C212" s="53" t="s">
        <v>203</v>
      </c>
      <c r="D212" s="51"/>
      <c r="E212" s="51"/>
      <c r="F212" s="53"/>
      <c r="G212" s="46"/>
      <c r="H212" s="53" t="s">
        <v>3803</v>
      </c>
      <c r="I212" s="53" t="s">
        <v>3775</v>
      </c>
      <c r="J212" s="53" t="s">
        <v>3800</v>
      </c>
      <c r="K212" s="48">
        <v>45541</v>
      </c>
      <c r="L212" s="49" t="s">
        <v>3417</v>
      </c>
      <c r="M212" s="53"/>
      <c r="N212" s="77" t="str">
        <f>Table26[[#This Row],[po_number]]&amp;"-"&amp;Table26[[#This Row],[po_line]]</f>
        <v>-3</v>
      </c>
      <c r="O212" s="77">
        <v>3</v>
      </c>
      <c r="P212" s="50"/>
      <c r="Q212" s="53" t="s">
        <v>3808</v>
      </c>
      <c r="R212" s="53" t="s">
        <v>3805</v>
      </c>
      <c r="S212" s="53"/>
      <c r="T212" s="51">
        <v>44800</v>
      </c>
      <c r="U212" s="52">
        <v>4</v>
      </c>
      <c r="V212" s="53">
        <v>4</v>
      </c>
      <c r="W212" s="116">
        <f t="shared" si="6"/>
        <v>1</v>
      </c>
      <c r="X212" s="53" t="str">
        <f t="shared" si="7"/>
        <v/>
      </c>
      <c r="Y212" s="60"/>
      <c r="Z212" s="60"/>
      <c r="AA212" s="18" t="str" cm="1">
        <f t="array" ref="AA212">IF(P212="", "", _xlfn.XLOOKUP(P212,#REF!,#REF!,NA,0,-1))</f>
        <v/>
      </c>
      <c r="AB212" s="47"/>
      <c r="AC212" s="55" t="s">
        <v>3806</v>
      </c>
      <c r="AD212" s="55" t="e">
        <f>IF($AC212="","",_xlfn.XLOOKUP($AC212,'[2]Client Info'!$C$2:$C$2535,'[2]Client Info'!$D$2:$D$2535))</f>
        <v>#N/A</v>
      </c>
      <c r="AE212" s="55" t="e">
        <f>IF($AC212="","",_xlfn.XLOOKUP($AC212,'[2]Client Info'!$C$2:$C$2715,'[2]Client Info'!$E$2:$E$2715))</f>
        <v>#N/A</v>
      </c>
      <c r="AF212" s="55" t="e">
        <f>IF($AC212="","",_xlfn.XLOOKUP($AC212,'[2]Client Info'!$C$2:$C$2715,'[2]Client Info'!$F$2:$F$2715))</f>
        <v>#N/A</v>
      </c>
      <c r="AG212" s="55" t="s">
        <v>2</v>
      </c>
      <c r="AH212" s="62"/>
      <c r="AI212" s="43" t="str">
        <f>_xlfn.XLOOKUP(Table26[[#This Row],[customerSKU]],customerSKU!G:G,customerSKU!O:O,"not found",0,1)</f>
        <v>not found</v>
      </c>
      <c r="AJ212" s="53">
        <f>Table26[[#This Row],[unitprice]]*Table26[[#This Row],[quantity_unit]]</f>
        <v>0</v>
      </c>
      <c r="AK212" s="53" t="e" cm="1">
        <f t="array" ref="AK2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3" spans="1:37" ht="18" customHeight="1">
      <c r="A213" s="42">
        <v>2038</v>
      </c>
      <c r="B213" s="58" t="s">
        <v>3520</v>
      </c>
      <c r="C213" s="53" t="s">
        <v>203</v>
      </c>
      <c r="D213" s="51"/>
      <c r="E213" s="51"/>
      <c r="F213" s="53"/>
      <c r="G213" s="46"/>
      <c r="H213" s="53" t="s">
        <v>3803</v>
      </c>
      <c r="I213" s="53" t="s">
        <v>3775</v>
      </c>
      <c r="J213" s="53" t="s">
        <v>3800</v>
      </c>
      <c r="K213" s="48">
        <v>45541</v>
      </c>
      <c r="L213" s="49" t="s">
        <v>3417</v>
      </c>
      <c r="M213" s="53"/>
      <c r="N213" s="77" t="str">
        <f>Table26[[#This Row],[po_number]]&amp;"-"&amp;Table26[[#This Row],[po_line]]</f>
        <v>-4</v>
      </c>
      <c r="O213" s="77">
        <v>4</v>
      </c>
      <c r="P213" s="50"/>
      <c r="Q213" s="53" t="s">
        <v>3809</v>
      </c>
      <c r="R213" s="53" t="s">
        <v>3805</v>
      </c>
      <c r="S213" s="53"/>
      <c r="T213" s="51">
        <v>45126</v>
      </c>
      <c r="U213" s="52">
        <v>1</v>
      </c>
      <c r="V213" s="53">
        <v>1</v>
      </c>
      <c r="W213" s="116">
        <f t="shared" si="6"/>
        <v>1</v>
      </c>
      <c r="X213" s="53" t="str">
        <f t="shared" si="7"/>
        <v/>
      </c>
      <c r="Y213" s="60"/>
      <c r="Z213" s="60"/>
      <c r="AA213" s="18" t="str" cm="1">
        <f t="array" ref="AA213">IF(P213="", "", _xlfn.XLOOKUP(P213,#REF!,#REF!,NA,0,-1))</f>
        <v/>
      </c>
      <c r="AB213" s="47"/>
      <c r="AC213" s="55" t="s">
        <v>3806</v>
      </c>
      <c r="AD213" s="55" t="e">
        <f>IF($AC213="","",_xlfn.XLOOKUP($AC213,'[2]Client Info'!$C$2:$C$2535,'[2]Client Info'!$D$2:$D$2535))</f>
        <v>#N/A</v>
      </c>
      <c r="AE213" s="55" t="e">
        <f>IF($AC213="","",_xlfn.XLOOKUP($AC213,'[2]Client Info'!$C$2:$C$2715,'[2]Client Info'!$E$2:$E$2715))</f>
        <v>#N/A</v>
      </c>
      <c r="AF213" s="55" t="e">
        <f>IF($AC213="","",_xlfn.XLOOKUP($AC213,'[2]Client Info'!$C$2:$C$2715,'[2]Client Info'!$F$2:$F$2715))</f>
        <v>#N/A</v>
      </c>
      <c r="AG213" s="55" t="s">
        <v>2</v>
      </c>
      <c r="AH213" s="62"/>
      <c r="AI213" s="43" t="str">
        <f>_xlfn.XLOOKUP(Table26[[#This Row],[customerSKU]],customerSKU!G:G,customerSKU!O:O,"not found",0,1)</f>
        <v>not found</v>
      </c>
      <c r="AJ213" s="59">
        <f>Table26[[#This Row],[unitprice]]*Table26[[#This Row],[quantity_unit]]</f>
        <v>0</v>
      </c>
      <c r="AK213" s="59" t="e" cm="1">
        <f t="array" ref="AK2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4" spans="1:37" ht="18" customHeight="1">
      <c r="A214" s="42">
        <v>2039</v>
      </c>
      <c r="B214" s="58" t="s">
        <v>3520</v>
      </c>
      <c r="C214" s="53" t="s">
        <v>203</v>
      </c>
      <c r="D214" s="51"/>
      <c r="E214" s="51"/>
      <c r="F214" s="53"/>
      <c r="G214" s="46"/>
      <c r="H214" s="53" t="s">
        <v>3803</v>
      </c>
      <c r="I214" s="53" t="s">
        <v>3775</v>
      </c>
      <c r="J214" s="53" t="s">
        <v>3800</v>
      </c>
      <c r="K214" s="48">
        <v>45541</v>
      </c>
      <c r="L214" s="49" t="s">
        <v>3417</v>
      </c>
      <c r="M214" s="53"/>
      <c r="N214" s="77" t="str">
        <f>Table26[[#This Row],[po_number]]&amp;"-"&amp;Table26[[#This Row],[po_line]]</f>
        <v>-5</v>
      </c>
      <c r="O214" s="77">
        <v>5</v>
      </c>
      <c r="P214" s="50"/>
      <c r="Q214" s="53" t="s">
        <v>3810</v>
      </c>
      <c r="R214" s="53" t="s">
        <v>3805</v>
      </c>
      <c r="S214" s="53"/>
      <c r="T214" s="51">
        <v>45213</v>
      </c>
      <c r="U214" s="52">
        <v>6</v>
      </c>
      <c r="V214" s="53">
        <v>6</v>
      </c>
      <c r="W214" s="116">
        <f t="shared" si="6"/>
        <v>1</v>
      </c>
      <c r="X214" s="53" t="str">
        <f t="shared" si="7"/>
        <v/>
      </c>
      <c r="Y214" s="60"/>
      <c r="Z214" s="60"/>
      <c r="AA214" s="18" t="str" cm="1">
        <f t="array" ref="AA214">IF(P214="", "", _xlfn.XLOOKUP(P214,#REF!,#REF!,NA,0,-1))</f>
        <v/>
      </c>
      <c r="AB214" s="47"/>
      <c r="AC214" s="55" t="s">
        <v>3806</v>
      </c>
      <c r="AD214" s="55" t="e">
        <f>IF($AC214="","",_xlfn.XLOOKUP($AC214,'[2]Client Info'!$C$2:$C$2535,'[2]Client Info'!$D$2:$D$2535))</f>
        <v>#N/A</v>
      </c>
      <c r="AE214" s="55" t="e">
        <f>IF($AC214="","",_xlfn.XLOOKUP($AC214,'[2]Client Info'!$C$2:$C$2715,'[2]Client Info'!$E$2:$E$2715))</f>
        <v>#N/A</v>
      </c>
      <c r="AF214" s="55" t="e">
        <f>IF($AC214="","",_xlfn.XLOOKUP($AC214,'[2]Client Info'!$C$2:$C$2715,'[2]Client Info'!$F$2:$F$2715))</f>
        <v>#N/A</v>
      </c>
      <c r="AG214" s="55" t="s">
        <v>2</v>
      </c>
      <c r="AH214" s="62"/>
      <c r="AI214" s="43" t="str">
        <f>_xlfn.XLOOKUP(Table26[[#This Row],[customerSKU]],customerSKU!G:G,customerSKU!O:O,"not found",0,1)</f>
        <v>not found</v>
      </c>
      <c r="AJ214" s="59">
        <f>Table26[[#This Row],[unitprice]]*Table26[[#This Row],[quantity_unit]]</f>
        <v>0</v>
      </c>
      <c r="AK214" s="59" t="e" cm="1">
        <f t="array" ref="AK2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5" spans="1:37" ht="18" customHeight="1">
      <c r="A215" s="42">
        <v>2040</v>
      </c>
      <c r="B215" s="249" t="s">
        <v>3520</v>
      </c>
      <c r="C215" s="90" t="s">
        <v>203</v>
      </c>
      <c r="D215" s="235">
        <v>45551</v>
      </c>
      <c r="E215" s="235"/>
      <c r="F215" s="90"/>
      <c r="G215" s="119"/>
      <c r="H215" s="90"/>
      <c r="I215" s="242" t="s">
        <v>3862</v>
      </c>
      <c r="J215" s="90" t="s">
        <v>24</v>
      </c>
      <c r="K215" s="232">
        <v>45541</v>
      </c>
      <c r="L215" s="233" t="s">
        <v>490</v>
      </c>
      <c r="M215" s="90"/>
      <c r="N215" s="55" t="str">
        <f>Table26[[#This Row],[po_number]]&amp;"-"&amp;Table26[[#This Row],[po_line]]</f>
        <v>-1</v>
      </c>
      <c r="O215" s="55">
        <v>1</v>
      </c>
      <c r="P215" s="234"/>
      <c r="Q215" s="90" t="s">
        <v>1311</v>
      </c>
      <c r="R215" s="90" t="s">
        <v>3830</v>
      </c>
      <c r="S215" s="90" t="s">
        <v>13</v>
      </c>
      <c r="T215" s="20">
        <v>45532</v>
      </c>
      <c r="U215" s="236">
        <f>120*12</f>
        <v>1440</v>
      </c>
      <c r="V215" s="90">
        <v>12</v>
      </c>
      <c r="W215" s="237">
        <f t="shared" si="6"/>
        <v>120</v>
      </c>
      <c r="X215" s="90" t="str">
        <f t="shared" si="7"/>
        <v/>
      </c>
      <c r="Y215" s="250" t="s">
        <v>289</v>
      </c>
      <c r="Z215" s="60" t="s">
        <v>4029</v>
      </c>
      <c r="AA215" s="18" t="str" cm="1">
        <f t="array" ref="AA215">IF(P215="", "", _xlfn.XLOOKUP(P215,#REF!,#REF!,NA,0,-1))</f>
        <v/>
      </c>
      <c r="AB215" s="231"/>
      <c r="AC215" s="55" t="s">
        <v>4028</v>
      </c>
      <c r="AD215" s="55" t="str">
        <f>IF($AC215="","",_xlfn.XLOOKUP($AC215,'[2]Client Info'!$C$2:$C$2535,'[2]Client Info'!$D$2:$D$2535))</f>
        <v>3389 No. 6 Road</v>
      </c>
      <c r="AE215" s="55" t="str">
        <f>IF($AC215="","",_xlfn.XLOOKUP($AC215,'[2]Client Info'!$C$2:$C$2715,'[2]Client Info'!$E$2:$E$2715))</f>
        <v>Richmond</v>
      </c>
      <c r="AF215" s="55" t="str">
        <f>IF($AC215="","",_xlfn.XLOOKUP($AC215,'[2]Client Info'!$C$2:$C$2715,'[2]Client Info'!$F$2:$F$2715))</f>
        <v>BC</v>
      </c>
      <c r="AG215" s="55" t="s">
        <v>24</v>
      </c>
      <c r="AH215" s="245">
        <f>75.6/12</f>
        <v>6.3</v>
      </c>
      <c r="AI215" s="43" t="str">
        <f>_xlfn.XLOOKUP(Table26[[#This Row],[customerSKU]],customerSKU!G:G,customerSKU!O:O,"not found",0,1)</f>
        <v>not found</v>
      </c>
      <c r="AJ215" s="53">
        <f>Table26[[#This Row],[unitprice]]*Table26[[#This Row],[quantity_unit]]</f>
        <v>9072</v>
      </c>
      <c r="AK215" s="53" t="e" cm="1">
        <f t="array" ref="AK2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16" spans="1:37" ht="18" customHeight="1">
      <c r="A216" s="42">
        <v>2022</v>
      </c>
      <c r="B216" s="58" t="s">
        <v>3520</v>
      </c>
      <c r="C216" s="53" t="s">
        <v>203</v>
      </c>
      <c r="D216" s="51"/>
      <c r="E216" s="51"/>
      <c r="F216" s="53"/>
      <c r="G216" s="46"/>
      <c r="H216" s="53"/>
      <c r="I216" s="53" t="s">
        <v>3862</v>
      </c>
      <c r="J216" s="53" t="s">
        <v>27</v>
      </c>
      <c r="K216" s="48">
        <v>45546</v>
      </c>
      <c r="L216" s="49" t="s">
        <v>490</v>
      </c>
      <c r="M216" s="53"/>
      <c r="N216" s="77" t="str">
        <f>Table26[[#This Row],[po_number]]&amp;"-"&amp;Table26[[#This Row],[po_line]]</f>
        <v>-1</v>
      </c>
      <c r="O216" s="77">
        <v>1</v>
      </c>
      <c r="P216" s="50"/>
      <c r="Q216" s="53" t="s">
        <v>828</v>
      </c>
      <c r="R216" s="53" t="s">
        <v>532</v>
      </c>
      <c r="S216" s="53" t="s">
        <v>57</v>
      </c>
      <c r="T216" s="20">
        <v>45541</v>
      </c>
      <c r="U216" s="52">
        <v>24</v>
      </c>
      <c r="V216" s="53">
        <v>24</v>
      </c>
      <c r="W216" s="116">
        <f t="shared" si="6"/>
        <v>1</v>
      </c>
      <c r="X216" s="53" t="str">
        <f t="shared" si="7"/>
        <v/>
      </c>
      <c r="Y216" s="53"/>
      <c r="Z216" s="60"/>
      <c r="AA216" s="18" t="str" cm="1">
        <f t="array" ref="AA216">IF(P216="", "", _xlfn.XLOOKUP(P216,#REF!,#REF!,NA,0,-1))</f>
        <v/>
      </c>
      <c r="AB216" s="47"/>
      <c r="AC216" s="55" t="s">
        <v>3998</v>
      </c>
      <c r="AD216" s="55" t="str">
        <f>IF($AC216="","",_xlfn.XLOOKUP($AC216,'[2]Client Info'!$C$2:$C$2535,'[2]Client Info'!$D$2:$D$2535))</f>
        <v>5B, 2352 SISSONS DR</v>
      </c>
      <c r="AE216" s="55" t="str">
        <f>IF($AC216="","",_xlfn.XLOOKUP($AC216,'[2]Client Info'!$C$2:$C$2715,'[2]Client Info'!$E$2:$E$2715))</f>
        <v>PORTAGE LA PRAIRIE</v>
      </c>
      <c r="AF216" s="55" t="str">
        <f>IF($AC216="","",_xlfn.XLOOKUP($AC216,'[2]Client Info'!$C$2:$C$2715,'[2]Client Info'!$F$2:$F$2715))</f>
        <v>MB</v>
      </c>
      <c r="AG216" s="55" t="s">
        <v>3992</v>
      </c>
      <c r="AH216" s="62"/>
      <c r="AI216" s="43" t="str">
        <f>_xlfn.XLOOKUP(Table26[[#This Row],[customerSKU]],customerSKU!G:G,customerSKU!O:O,"not found",0,1)</f>
        <v>not found</v>
      </c>
      <c r="AJ216" s="53">
        <f>Table26[[#This Row],[unitprice]]*Table26[[#This Row],[quantity_unit]]</f>
        <v>0</v>
      </c>
      <c r="AK216" s="53" cm="1">
        <f t="array" ref="AK2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17" spans="1:37" ht="18" customHeight="1">
      <c r="A217" s="42">
        <v>2023</v>
      </c>
      <c r="B217" s="58" t="s">
        <v>3520</v>
      </c>
      <c r="C217" s="53" t="s">
        <v>203</v>
      </c>
      <c r="D217" s="51"/>
      <c r="E217" s="51"/>
      <c r="F217" s="53"/>
      <c r="G217" s="46"/>
      <c r="H217" s="53"/>
      <c r="I217" s="53" t="s">
        <v>3862</v>
      </c>
      <c r="J217" s="53" t="s">
        <v>27</v>
      </c>
      <c r="K217" s="48">
        <v>45546</v>
      </c>
      <c r="L217" s="49" t="s">
        <v>490</v>
      </c>
      <c r="M217" s="53"/>
      <c r="N217" s="77" t="str">
        <f>Table26[[#This Row],[po_number]]&amp;"-"&amp;Table26[[#This Row],[po_line]]</f>
        <v>-1</v>
      </c>
      <c r="O217" s="77">
        <v>1</v>
      </c>
      <c r="P217" s="50"/>
      <c r="Q217" s="53" t="s">
        <v>1313</v>
      </c>
      <c r="R217" s="53" t="s">
        <v>532</v>
      </c>
      <c r="S217" s="53" t="s">
        <v>57</v>
      </c>
      <c r="T217" s="20">
        <v>45541</v>
      </c>
      <c r="U217" s="52">
        <v>12</v>
      </c>
      <c r="V217" s="53">
        <v>12</v>
      </c>
      <c r="W217" s="116">
        <f t="shared" si="6"/>
        <v>1</v>
      </c>
      <c r="X217" s="53" t="str">
        <f t="shared" si="7"/>
        <v/>
      </c>
      <c r="Y217" s="53"/>
      <c r="Z217" s="60"/>
      <c r="AA217" s="18" t="str" cm="1">
        <f t="array" ref="AA217">IF(P217="", "", _xlfn.XLOOKUP(P217,#REF!,#REF!,NA,0,-1))</f>
        <v/>
      </c>
      <c r="AB217" s="47"/>
      <c r="AC217" s="55" t="s">
        <v>45</v>
      </c>
      <c r="AD217" s="55" t="str">
        <f>IF($AC217="","",_xlfn.XLOOKUP($AC217,'[2]Client Info'!$C$2:$C$2535,'[2]Client Info'!$D$2:$D$2535))</f>
        <v>4-597 MEADOWLARK BLVD</v>
      </c>
      <c r="AE217" s="55" t="str">
        <f>IF($AC217="","",_xlfn.XLOOKUP($AC217,'[2]Client Info'!$C$2:$C$2715,'[2]Client Info'!$E$2:$E$2715))</f>
        <v>ILE DES CHENES</v>
      </c>
      <c r="AF217" s="55" t="str">
        <f>IF($AC217="","",_xlfn.XLOOKUP($AC217,'[2]Client Info'!$C$2:$C$2715,'[2]Client Info'!$F$2:$F$2715))</f>
        <v>MB</v>
      </c>
      <c r="AG217" s="55" t="s">
        <v>3992</v>
      </c>
      <c r="AH217" s="62">
        <f>107.88/12</f>
        <v>8.99</v>
      </c>
      <c r="AI217" s="43" t="str">
        <f>_xlfn.XLOOKUP(Table26[[#This Row],[customerSKU]],customerSKU!G:G,customerSKU!O:O,"not found",0,1)</f>
        <v>not found</v>
      </c>
      <c r="AJ217" s="53">
        <f>Table26[[#This Row],[unitprice]]*Table26[[#This Row],[quantity_unit]]</f>
        <v>107.88</v>
      </c>
      <c r="AK217" s="53" cm="1">
        <f t="array" ref="AK2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18" spans="1:37" ht="18" customHeight="1">
      <c r="A218" s="42">
        <v>2024</v>
      </c>
      <c r="B218" s="58" t="s">
        <v>3520</v>
      </c>
      <c r="C218" s="53" t="s">
        <v>203</v>
      </c>
      <c r="D218" s="51"/>
      <c r="E218" s="51"/>
      <c r="F218" s="53"/>
      <c r="G218" s="46"/>
      <c r="H218" s="53"/>
      <c r="I218" s="53" t="s">
        <v>3862</v>
      </c>
      <c r="J218" s="53" t="s">
        <v>27</v>
      </c>
      <c r="K218" s="48">
        <v>45546</v>
      </c>
      <c r="L218" s="49" t="s">
        <v>490</v>
      </c>
      <c r="M218" s="53"/>
      <c r="N218" s="77" t="str">
        <f>Table26[[#This Row],[po_number]]&amp;"-"&amp;Table26[[#This Row],[po_line]]</f>
        <v>-2</v>
      </c>
      <c r="O218" s="77">
        <v>2</v>
      </c>
      <c r="P218" s="50"/>
      <c r="Q218" s="53" t="s">
        <v>630</v>
      </c>
      <c r="R218" s="53" t="s">
        <v>532</v>
      </c>
      <c r="S218" s="53" t="s">
        <v>57</v>
      </c>
      <c r="T218" s="20">
        <v>45546</v>
      </c>
      <c r="U218" s="52">
        <v>12</v>
      </c>
      <c r="V218" s="53">
        <v>12</v>
      </c>
      <c r="W218" s="116">
        <f t="shared" si="6"/>
        <v>1</v>
      </c>
      <c r="X218" s="53" t="str">
        <f t="shared" si="7"/>
        <v/>
      </c>
      <c r="Y218" s="53"/>
      <c r="Z218" s="60"/>
      <c r="AA218" s="18" t="str" cm="1">
        <f t="array" ref="AA218">IF(P218="", "", _xlfn.XLOOKUP(P218,#REF!,#REF!,NA,0,-1))</f>
        <v/>
      </c>
      <c r="AB218" s="47"/>
      <c r="AC218" s="55" t="s">
        <v>45</v>
      </c>
      <c r="AD218" s="55" t="str">
        <f>IF($AC218="","",_xlfn.XLOOKUP($AC218,'[2]Client Info'!$C$2:$C$2535,'[2]Client Info'!$D$2:$D$2535))</f>
        <v>4-597 MEADOWLARK BLVD</v>
      </c>
      <c r="AE218" s="55" t="str">
        <f>IF($AC218="","",_xlfn.XLOOKUP($AC218,'[2]Client Info'!$C$2:$C$2715,'[2]Client Info'!$E$2:$E$2715))</f>
        <v>ILE DES CHENES</v>
      </c>
      <c r="AF218" s="55" t="str">
        <f>IF($AC218="","",_xlfn.XLOOKUP($AC218,'[2]Client Info'!$C$2:$C$2715,'[2]Client Info'!$F$2:$F$2715))</f>
        <v>MB</v>
      </c>
      <c r="AG218" s="55" t="s">
        <v>3992</v>
      </c>
      <c r="AH218" s="62">
        <f>107.88/12</f>
        <v>8.99</v>
      </c>
      <c r="AI218" s="43" t="str">
        <f>_xlfn.XLOOKUP(Table26[[#This Row],[customerSKU]],customerSKU!G:G,customerSKU!O:O,"not found",0,1)</f>
        <v>not found</v>
      </c>
      <c r="AJ218" s="53">
        <f>Table26[[#This Row],[unitprice]]*Table26[[#This Row],[quantity_unit]]</f>
        <v>107.88</v>
      </c>
      <c r="AK218" s="53" cm="1">
        <f t="array" ref="AK2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19" spans="1:37" ht="18" customHeight="1">
      <c r="A219" s="42">
        <v>2025</v>
      </c>
      <c r="B219" s="58" t="s">
        <v>3520</v>
      </c>
      <c r="C219" s="53" t="s">
        <v>203</v>
      </c>
      <c r="D219" s="51"/>
      <c r="E219" s="51"/>
      <c r="F219" s="53"/>
      <c r="G219" s="46"/>
      <c r="H219" s="53"/>
      <c r="I219" s="53" t="s">
        <v>3862</v>
      </c>
      <c r="J219" s="53" t="s">
        <v>27</v>
      </c>
      <c r="K219" s="48">
        <v>45546</v>
      </c>
      <c r="L219" s="49" t="s">
        <v>490</v>
      </c>
      <c r="M219" s="53"/>
      <c r="N219" s="77" t="str">
        <f>Table26[[#This Row],[po_number]]&amp;"-"&amp;Table26[[#This Row],[po_line]]</f>
        <v>-3</v>
      </c>
      <c r="O219" s="77">
        <v>3</v>
      </c>
      <c r="P219" s="50"/>
      <c r="Q219" s="53" t="s">
        <v>866</v>
      </c>
      <c r="R219" s="53" t="s">
        <v>532</v>
      </c>
      <c r="S219" s="53" t="s">
        <v>57</v>
      </c>
      <c r="T219" s="20">
        <v>45523</v>
      </c>
      <c r="U219" s="52">
        <v>12</v>
      </c>
      <c r="V219" s="53">
        <v>12</v>
      </c>
      <c r="W219" s="116">
        <f t="shared" si="6"/>
        <v>1</v>
      </c>
      <c r="X219" s="53" t="str">
        <f t="shared" si="7"/>
        <v/>
      </c>
      <c r="Y219" s="53"/>
      <c r="Z219" s="60"/>
      <c r="AA219" s="18" t="str" cm="1">
        <f t="array" ref="AA219">IF(P219="", "", _xlfn.XLOOKUP(P219,#REF!,#REF!,NA,0,-1))</f>
        <v/>
      </c>
      <c r="AB219" s="47"/>
      <c r="AC219" s="55" t="s">
        <v>45</v>
      </c>
      <c r="AD219" s="55" t="str">
        <f>IF($AC219="","",_xlfn.XLOOKUP($AC219,'[2]Client Info'!$C$2:$C$2535,'[2]Client Info'!$D$2:$D$2535))</f>
        <v>4-597 MEADOWLARK BLVD</v>
      </c>
      <c r="AE219" s="55" t="str">
        <f>IF($AC219="","",_xlfn.XLOOKUP($AC219,'[2]Client Info'!$C$2:$C$2715,'[2]Client Info'!$E$2:$E$2715))</f>
        <v>ILE DES CHENES</v>
      </c>
      <c r="AF219" s="55" t="str">
        <f>IF($AC219="","",_xlfn.XLOOKUP($AC219,'[2]Client Info'!$C$2:$C$2715,'[2]Client Info'!$F$2:$F$2715))</f>
        <v>MB</v>
      </c>
      <c r="AG219" s="55" t="s">
        <v>3992</v>
      </c>
      <c r="AH219" s="62">
        <f>107.88/12</f>
        <v>8.99</v>
      </c>
      <c r="AI219" s="43" t="str">
        <f>_xlfn.XLOOKUP(Table26[[#This Row],[customerSKU]],customerSKU!G:G,customerSKU!O:O,"not found",0,1)</f>
        <v>not found</v>
      </c>
      <c r="AJ219" s="53">
        <f>Table26[[#This Row],[unitprice]]*Table26[[#This Row],[quantity_unit]]</f>
        <v>107.88</v>
      </c>
      <c r="AK219" s="53" cm="1">
        <f t="array" ref="AK2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20" spans="1:37" ht="18" customHeight="1">
      <c r="A220" s="42">
        <v>2026</v>
      </c>
      <c r="B220" s="58" t="s">
        <v>3520</v>
      </c>
      <c r="C220" s="53" t="s">
        <v>203</v>
      </c>
      <c r="D220" s="51"/>
      <c r="E220" s="51"/>
      <c r="F220" s="53"/>
      <c r="G220" s="46"/>
      <c r="H220" s="53"/>
      <c r="I220" s="53" t="s">
        <v>3862</v>
      </c>
      <c r="J220" s="53" t="s">
        <v>27</v>
      </c>
      <c r="K220" s="48">
        <v>45546</v>
      </c>
      <c r="L220" s="49" t="s">
        <v>490</v>
      </c>
      <c r="M220" s="53"/>
      <c r="N220" s="77" t="str">
        <f>Table26[[#This Row],[po_number]]&amp;"-"&amp;Table26[[#This Row],[po_line]]</f>
        <v>-4</v>
      </c>
      <c r="O220" s="77">
        <v>4</v>
      </c>
      <c r="P220" s="50"/>
      <c r="Q220" s="53" t="s">
        <v>905</v>
      </c>
      <c r="R220" s="53" t="s">
        <v>532</v>
      </c>
      <c r="S220" s="53" t="s">
        <v>57</v>
      </c>
      <c r="T220" s="20">
        <v>45541</v>
      </c>
      <c r="U220" s="52">
        <v>12</v>
      </c>
      <c r="V220" s="53">
        <v>12</v>
      </c>
      <c r="W220" s="116">
        <f t="shared" si="6"/>
        <v>1</v>
      </c>
      <c r="X220" s="53" t="str">
        <f t="shared" si="7"/>
        <v/>
      </c>
      <c r="Y220" s="53"/>
      <c r="Z220" s="60"/>
      <c r="AA220" s="18" t="str" cm="1">
        <f t="array" ref="AA220">IF(P220="", "", _xlfn.XLOOKUP(P220,#REF!,#REF!,NA,0,-1))</f>
        <v/>
      </c>
      <c r="AB220" s="47"/>
      <c r="AC220" s="55" t="s">
        <v>45</v>
      </c>
      <c r="AD220" s="55" t="str">
        <f>IF($AC220="","",_xlfn.XLOOKUP($AC220,'[2]Client Info'!$C$2:$C$2535,'[2]Client Info'!$D$2:$D$2535))</f>
        <v>4-597 MEADOWLARK BLVD</v>
      </c>
      <c r="AE220" s="55" t="str">
        <f>IF($AC220="","",_xlfn.XLOOKUP($AC220,'[2]Client Info'!$C$2:$C$2715,'[2]Client Info'!$E$2:$E$2715))</f>
        <v>ILE DES CHENES</v>
      </c>
      <c r="AF220" s="55" t="str">
        <f>IF($AC220="","",_xlfn.XLOOKUP($AC220,'[2]Client Info'!$C$2:$C$2715,'[2]Client Info'!$F$2:$F$2715))</f>
        <v>MB</v>
      </c>
      <c r="AG220" s="55" t="s">
        <v>3992</v>
      </c>
      <c r="AH220" s="62">
        <f>107.88/12</f>
        <v>8.99</v>
      </c>
      <c r="AI220" s="43" t="str">
        <f>_xlfn.XLOOKUP(Table26[[#This Row],[customerSKU]],customerSKU!G:G,customerSKU!O:O,"not found",0,1)</f>
        <v>not found</v>
      </c>
      <c r="AJ220" s="53">
        <f>Table26[[#This Row],[unitprice]]*Table26[[#This Row],[quantity_unit]]</f>
        <v>107.88</v>
      </c>
      <c r="AK220" s="53" cm="1">
        <f t="array" ref="AK2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21" spans="1:37" ht="18" customHeight="1">
      <c r="A221" s="42">
        <v>2027</v>
      </c>
      <c r="B221" s="58" t="s">
        <v>3520</v>
      </c>
      <c r="C221" s="53" t="s">
        <v>203</v>
      </c>
      <c r="D221" s="51"/>
      <c r="E221" s="51"/>
      <c r="F221" s="53"/>
      <c r="G221" s="46"/>
      <c r="H221" s="53"/>
      <c r="I221" s="53" t="s">
        <v>3862</v>
      </c>
      <c r="J221" s="53" t="s">
        <v>27</v>
      </c>
      <c r="K221" s="48">
        <v>45546</v>
      </c>
      <c r="L221" s="49" t="s">
        <v>490</v>
      </c>
      <c r="M221" s="53"/>
      <c r="N221" s="77" t="str">
        <f>Table26[[#This Row],[po_number]]&amp;"-"&amp;Table26[[#This Row],[po_line]]</f>
        <v>-5</v>
      </c>
      <c r="O221" s="77">
        <v>5</v>
      </c>
      <c r="P221" s="50"/>
      <c r="Q221" s="53" t="s">
        <v>3865</v>
      </c>
      <c r="R221" s="53" t="s">
        <v>532</v>
      </c>
      <c r="S221" s="53" t="s">
        <v>57</v>
      </c>
      <c r="T221" s="20">
        <v>45497</v>
      </c>
      <c r="U221" s="52">
        <v>12</v>
      </c>
      <c r="V221" s="53">
        <v>12</v>
      </c>
      <c r="W221" s="116">
        <f t="shared" si="6"/>
        <v>1</v>
      </c>
      <c r="X221" s="53" t="str">
        <f t="shared" si="7"/>
        <v/>
      </c>
      <c r="Y221" s="53"/>
      <c r="Z221" s="60"/>
      <c r="AA221" s="18" t="str" cm="1">
        <f t="array" ref="AA221">IF(P221="", "", _xlfn.XLOOKUP(P221,#REF!,#REF!,NA,0,-1))</f>
        <v/>
      </c>
      <c r="AB221" s="47"/>
      <c r="AC221" s="55" t="s">
        <v>45</v>
      </c>
      <c r="AD221" s="55" t="str">
        <f>IF($AC221="","",_xlfn.XLOOKUP($AC221,'[2]Client Info'!$C$2:$C$2535,'[2]Client Info'!$D$2:$D$2535))</f>
        <v>4-597 MEADOWLARK BLVD</v>
      </c>
      <c r="AE221" s="55" t="str">
        <f>IF($AC221="","",_xlfn.XLOOKUP($AC221,'[2]Client Info'!$C$2:$C$2715,'[2]Client Info'!$E$2:$E$2715))</f>
        <v>ILE DES CHENES</v>
      </c>
      <c r="AF221" s="55" t="str">
        <f>IF($AC221="","",_xlfn.XLOOKUP($AC221,'[2]Client Info'!$C$2:$C$2715,'[2]Client Info'!$F$2:$F$2715))</f>
        <v>MB</v>
      </c>
      <c r="AG221" s="55" t="s">
        <v>3992</v>
      </c>
      <c r="AH221" s="62">
        <f>107.88/12</f>
        <v>8.99</v>
      </c>
      <c r="AI221" s="43" t="str">
        <f>_xlfn.XLOOKUP(Table26[[#This Row],[customerSKU]],customerSKU!G:G,customerSKU!O:O,"not found",0,1)</f>
        <v>not found</v>
      </c>
      <c r="AJ221" s="53">
        <f>Table26[[#This Row],[unitprice]]*Table26[[#This Row],[quantity_unit]]</f>
        <v>107.88</v>
      </c>
      <c r="AK221" s="53" cm="1">
        <f t="array" ref="AK2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22" spans="1:37" ht="18" customHeight="1">
      <c r="A222" s="42">
        <v>2028</v>
      </c>
      <c r="B222" s="58" t="s">
        <v>3520</v>
      </c>
      <c r="C222" s="53" t="s">
        <v>203</v>
      </c>
      <c r="D222" s="51"/>
      <c r="E222" s="51"/>
      <c r="F222" s="53"/>
      <c r="G222" s="46"/>
      <c r="H222" s="53"/>
      <c r="I222" s="53" t="s">
        <v>3862</v>
      </c>
      <c r="J222" s="53" t="s">
        <v>27</v>
      </c>
      <c r="K222" s="48">
        <v>45546</v>
      </c>
      <c r="L222" s="49" t="s">
        <v>490</v>
      </c>
      <c r="M222" s="53"/>
      <c r="N222" s="77" t="str">
        <f>Table26[[#This Row],[po_number]]&amp;"-"&amp;Table26[[#This Row],[po_line]]</f>
        <v>-1</v>
      </c>
      <c r="O222" s="77">
        <v>1</v>
      </c>
      <c r="P222" s="50"/>
      <c r="Q222" s="53" t="s">
        <v>869</v>
      </c>
      <c r="R222" s="53" t="s">
        <v>532</v>
      </c>
      <c r="S222" s="53" t="s">
        <v>57</v>
      </c>
      <c r="T222" s="20">
        <v>45498</v>
      </c>
      <c r="U222" s="52">
        <v>12</v>
      </c>
      <c r="V222" s="53">
        <v>12</v>
      </c>
      <c r="W222" s="116">
        <f t="shared" si="6"/>
        <v>1</v>
      </c>
      <c r="X222" s="53" t="str">
        <f t="shared" si="7"/>
        <v/>
      </c>
      <c r="Y222" s="53"/>
      <c r="Z222" s="60"/>
      <c r="AA222" s="18" t="str" cm="1">
        <f t="array" ref="AA222">IF(P222="", "", _xlfn.XLOOKUP(P222,#REF!,#REF!,NA,0,-1))</f>
        <v/>
      </c>
      <c r="AB222" s="47"/>
      <c r="AC222" s="55" t="s">
        <v>3995</v>
      </c>
      <c r="AD222" s="55" t="str">
        <f>IF($AC222="","",_xlfn.XLOOKUP($AC222,'[2]Client Info'!$C$2:$C$2535,'[2]Client Info'!$D$2:$D$2535))</f>
        <v>Unit C-1566 Pembina Hwy</v>
      </c>
      <c r="AE222" s="55" t="str">
        <f>IF($AC222="","",_xlfn.XLOOKUP($AC222,'[2]Client Info'!$C$2:$C$2715,'[2]Client Info'!$E$2:$E$2715))</f>
        <v>WINNIPEG</v>
      </c>
      <c r="AF222" s="55" t="str">
        <f>IF($AC222="","",_xlfn.XLOOKUP($AC222,'[2]Client Info'!$C$2:$C$2715,'[2]Client Info'!$F$2:$F$2715))</f>
        <v>MB</v>
      </c>
      <c r="AG222" s="55" t="s">
        <v>3992</v>
      </c>
      <c r="AH222" s="62">
        <f>74.28/12</f>
        <v>6.19</v>
      </c>
      <c r="AI222" s="43" t="str">
        <f>_xlfn.XLOOKUP(Table26[[#This Row],[customerSKU]],customerSKU!G:G,customerSKU!O:O,"not found",0,1)</f>
        <v>not found</v>
      </c>
      <c r="AJ222" s="53">
        <f>Table26[[#This Row],[unitprice]]*Table26[[#This Row],[quantity_unit]]</f>
        <v>74.28</v>
      </c>
      <c r="AK222" s="53" cm="1">
        <f t="array" ref="AK2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77.994</v>
      </c>
    </row>
    <row r="223" spans="1:37" ht="24.6" customHeight="1">
      <c r="A223" s="42">
        <v>2029</v>
      </c>
      <c r="B223" s="58" t="s">
        <v>3520</v>
      </c>
      <c r="C223" s="53" t="s">
        <v>203</v>
      </c>
      <c r="D223" s="51"/>
      <c r="E223" s="51"/>
      <c r="F223" s="53"/>
      <c r="G223" s="46"/>
      <c r="H223" s="53"/>
      <c r="I223" s="53" t="s">
        <v>3862</v>
      </c>
      <c r="J223" s="53" t="s">
        <v>27</v>
      </c>
      <c r="K223" s="48">
        <v>45546</v>
      </c>
      <c r="L223" s="49" t="s">
        <v>490</v>
      </c>
      <c r="M223" s="53"/>
      <c r="N223" s="77" t="str">
        <f>Table26[[#This Row],[po_number]]&amp;"-"&amp;Table26[[#This Row],[po_line]]</f>
        <v>-2</v>
      </c>
      <c r="O223" s="77">
        <v>2</v>
      </c>
      <c r="P223" s="50"/>
      <c r="Q223" s="53" t="s">
        <v>3876</v>
      </c>
      <c r="R223" s="53" t="s">
        <v>532</v>
      </c>
      <c r="S223" s="53" t="s">
        <v>57</v>
      </c>
      <c r="T223" s="20">
        <v>45491</v>
      </c>
      <c r="U223" s="52">
        <v>12</v>
      </c>
      <c r="V223" s="53">
        <v>12</v>
      </c>
      <c r="W223" s="116">
        <f t="shared" si="6"/>
        <v>1</v>
      </c>
      <c r="X223" s="53" t="str">
        <f t="shared" si="7"/>
        <v/>
      </c>
      <c r="Y223" s="53"/>
      <c r="Z223" s="60"/>
      <c r="AA223" s="18" t="str" cm="1">
        <f t="array" ref="AA223">IF(P223="", "", _xlfn.XLOOKUP(P223,#REF!,#REF!,NA,0,-1))</f>
        <v/>
      </c>
      <c r="AB223" s="47"/>
      <c r="AC223" s="55" t="s">
        <v>3995</v>
      </c>
      <c r="AD223" s="55" t="str">
        <f>IF($AC223="","",_xlfn.XLOOKUP($AC223,'[2]Client Info'!$C$2:$C$2535,'[2]Client Info'!$D$2:$D$2535))</f>
        <v>Unit C-1566 Pembina Hwy</v>
      </c>
      <c r="AE223" s="55" t="str">
        <f>IF($AC223="","",_xlfn.XLOOKUP($AC223,'[2]Client Info'!$C$2:$C$2715,'[2]Client Info'!$E$2:$E$2715))</f>
        <v>WINNIPEG</v>
      </c>
      <c r="AF223" s="55" t="str">
        <f>IF($AC223="","",_xlfn.XLOOKUP($AC223,'[2]Client Info'!$C$2:$C$2715,'[2]Client Info'!$F$2:$F$2715))</f>
        <v>MB</v>
      </c>
      <c r="AG223" s="55" t="s">
        <v>3992</v>
      </c>
      <c r="AH223" s="62">
        <f>107.88/12</f>
        <v>8.99</v>
      </c>
      <c r="AI223" s="43" t="str">
        <f>_xlfn.XLOOKUP(Table26[[#This Row],[customerSKU]],customerSKU!G:G,customerSKU!O:O,"not found",0,1)</f>
        <v>not found</v>
      </c>
      <c r="AJ223" s="53">
        <f>Table26[[#This Row],[unitprice]]*Table26[[#This Row],[quantity_unit]]</f>
        <v>107.88</v>
      </c>
      <c r="AK223" s="53" cm="1">
        <f t="array" ref="AK2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24" spans="1:37" ht="24.6" customHeight="1">
      <c r="A224" s="42">
        <v>2030</v>
      </c>
      <c r="B224" s="58" t="s">
        <v>3520</v>
      </c>
      <c r="C224" s="53" t="s">
        <v>203</v>
      </c>
      <c r="D224" s="51"/>
      <c r="E224" s="51"/>
      <c r="F224" s="53"/>
      <c r="G224" s="46"/>
      <c r="H224" s="53"/>
      <c r="I224" s="53" t="s">
        <v>3862</v>
      </c>
      <c r="J224" s="53" t="s">
        <v>27</v>
      </c>
      <c r="K224" s="48">
        <v>45546</v>
      </c>
      <c r="L224" s="49" t="s">
        <v>490</v>
      </c>
      <c r="M224" s="53"/>
      <c r="N224" s="77" t="str">
        <f>Table26[[#This Row],[po_number]]&amp;"-"&amp;Table26[[#This Row],[po_line]]</f>
        <v>-1</v>
      </c>
      <c r="O224" s="77">
        <v>1</v>
      </c>
      <c r="P224" s="50"/>
      <c r="Q224" s="53" t="s">
        <v>797</v>
      </c>
      <c r="R224" s="53" t="s">
        <v>532</v>
      </c>
      <c r="S224" s="53" t="s">
        <v>21</v>
      </c>
      <c r="T224" s="20">
        <v>45531</v>
      </c>
      <c r="U224" s="52">
        <v>12</v>
      </c>
      <c r="V224" s="53">
        <v>12</v>
      </c>
      <c r="W224" s="116">
        <f t="shared" si="6"/>
        <v>1</v>
      </c>
      <c r="X224" s="53" t="str">
        <f t="shared" si="7"/>
        <v/>
      </c>
      <c r="Y224" s="53"/>
      <c r="Z224" s="60"/>
      <c r="AA224" s="18" t="str" cm="1">
        <f t="array" ref="AA224">IF(P224="", "", _xlfn.XLOOKUP(P224,#REF!,#REF!,NA,0,-1))</f>
        <v/>
      </c>
      <c r="AB224" s="47"/>
      <c r="AC224" s="55" t="s">
        <v>75</v>
      </c>
      <c r="AD224" s="55" t="str">
        <f>IF($AC224="","",_xlfn.XLOOKUP($AC224,'[2]Client Info'!$C$2:$C$2535,'[2]Client Info'!$D$2:$D$2535))</f>
        <v>UNIT B - 1026 ST. MARY ROAD</v>
      </c>
      <c r="AE224" s="55" t="str">
        <f>IF($AC224="","",_xlfn.XLOOKUP($AC224,'[2]Client Info'!$C$2:$C$2715,'[2]Client Info'!$E$2:$E$2715))</f>
        <v>Winnipeg</v>
      </c>
      <c r="AF224" s="55" t="str">
        <f>IF($AC224="","",_xlfn.XLOOKUP($AC224,'[2]Client Info'!$C$2:$C$2715,'[2]Client Info'!$F$2:$F$2715))</f>
        <v>MB</v>
      </c>
      <c r="AG224" s="55" t="s">
        <v>3992</v>
      </c>
      <c r="AH224" s="62">
        <f>252/12</f>
        <v>21</v>
      </c>
      <c r="AI224" s="43" t="str">
        <f>_xlfn.XLOOKUP(Table26[[#This Row],[customerSKU]],customerSKU!G:G,customerSKU!O:O,"not found",0,1)</f>
        <v>not found</v>
      </c>
      <c r="AJ224" s="53">
        <f>Table26[[#This Row],[unitprice]]*Table26[[#This Row],[quantity_unit]]</f>
        <v>252</v>
      </c>
      <c r="AK224" s="53" cm="1">
        <f t="array" ref="AK2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264.60000000000002</v>
      </c>
    </row>
    <row r="225" spans="1:37" ht="18" customHeight="1">
      <c r="A225" s="42">
        <v>2031</v>
      </c>
      <c r="B225" s="58" t="s">
        <v>3520</v>
      </c>
      <c r="C225" s="53" t="s">
        <v>203</v>
      </c>
      <c r="D225" s="51"/>
      <c r="E225" s="51"/>
      <c r="F225" s="53"/>
      <c r="G225" s="46"/>
      <c r="H225" s="53"/>
      <c r="I225" s="53" t="s">
        <v>3862</v>
      </c>
      <c r="J225" s="53" t="s">
        <v>27</v>
      </c>
      <c r="K225" s="48">
        <v>45546</v>
      </c>
      <c r="L225" s="49" t="s">
        <v>490</v>
      </c>
      <c r="M225" s="53"/>
      <c r="N225" s="77" t="str">
        <f>Table26[[#This Row],[po_number]]&amp;"-"&amp;Table26[[#This Row],[po_line]]</f>
        <v>-1</v>
      </c>
      <c r="O225" s="77">
        <v>1</v>
      </c>
      <c r="P225" s="50"/>
      <c r="Q225" s="53" t="s">
        <v>797</v>
      </c>
      <c r="R225" s="53" t="s">
        <v>532</v>
      </c>
      <c r="S225" s="53" t="s">
        <v>21</v>
      </c>
      <c r="T225" s="20">
        <v>45531</v>
      </c>
      <c r="U225" s="52">
        <v>12</v>
      </c>
      <c r="V225" s="53">
        <v>12</v>
      </c>
      <c r="W225" s="116">
        <f t="shared" si="6"/>
        <v>1</v>
      </c>
      <c r="X225" s="53" t="str">
        <f t="shared" si="7"/>
        <v/>
      </c>
      <c r="Y225" s="53"/>
      <c r="Z225" s="60"/>
      <c r="AA225" s="18" t="str" cm="1">
        <f t="array" ref="AA225">IF(P225="", "", _xlfn.XLOOKUP(P225,#REF!,#REF!,NA,0,-1))</f>
        <v/>
      </c>
      <c r="AB225" s="47"/>
      <c r="AC225" s="55" t="s">
        <v>3999</v>
      </c>
      <c r="AD225" s="55" t="str">
        <f>IF($AC225="","",_xlfn.XLOOKUP($AC225,'[2]Client Info'!$C$2:$C$2535,'[2]Client Info'!$D$2:$D$2535))</f>
        <v>195 LA VERENDRYE BLVD</v>
      </c>
      <c r="AE225" s="55" t="str">
        <f>IF($AC225="","",_xlfn.XLOOKUP($AC225,'[2]Client Info'!$C$2:$C$2715,'[2]Client Info'!$E$2:$E$2715))</f>
        <v>MORDEN</v>
      </c>
      <c r="AF225" s="55" t="str">
        <f>IF($AC225="","",_xlfn.XLOOKUP($AC225,'[2]Client Info'!$C$2:$C$2715,'[2]Client Info'!$F$2:$F$2715))</f>
        <v>MB</v>
      </c>
      <c r="AG225" s="55" t="s">
        <v>3992</v>
      </c>
      <c r="AH225" s="62">
        <f>252/12</f>
        <v>21</v>
      </c>
      <c r="AI225" s="43" t="str">
        <f>_xlfn.XLOOKUP(Table26[[#This Row],[customerSKU]],customerSKU!G:G,customerSKU!O:O,"not found",0,1)</f>
        <v>not found</v>
      </c>
      <c r="AJ225" s="53">
        <f>Table26[[#This Row],[unitprice]]*Table26[[#This Row],[quantity_unit]]</f>
        <v>252</v>
      </c>
      <c r="AK225" s="53" cm="1">
        <f t="array" ref="AK2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264.60000000000002</v>
      </c>
    </row>
    <row r="226" spans="1:37" ht="18" customHeight="1">
      <c r="A226" s="42">
        <v>2032</v>
      </c>
      <c r="B226" s="58" t="s">
        <v>3520</v>
      </c>
      <c r="C226" s="53" t="s">
        <v>203</v>
      </c>
      <c r="D226" s="51"/>
      <c r="E226" s="51"/>
      <c r="F226" s="53"/>
      <c r="G226" s="46"/>
      <c r="H226" s="53"/>
      <c r="I226" s="53" t="s">
        <v>3862</v>
      </c>
      <c r="J226" s="53" t="s">
        <v>27</v>
      </c>
      <c r="K226" s="48">
        <v>45546</v>
      </c>
      <c r="L226" s="49" t="s">
        <v>490</v>
      </c>
      <c r="M226" s="53"/>
      <c r="N226" s="77" t="str">
        <f>Table26[[#This Row],[po_number]]&amp;"-"&amp;Table26[[#This Row],[po_line]]</f>
        <v>-1</v>
      </c>
      <c r="O226" s="77">
        <v>1</v>
      </c>
      <c r="P226" s="50"/>
      <c r="Q226" s="53" t="s">
        <v>797</v>
      </c>
      <c r="R226" s="53" t="s">
        <v>532</v>
      </c>
      <c r="S226" s="53" t="s">
        <v>21</v>
      </c>
      <c r="T226" s="20">
        <v>45531</v>
      </c>
      <c r="U226" s="52">
        <v>12</v>
      </c>
      <c r="V226" s="53">
        <v>12</v>
      </c>
      <c r="W226" s="116">
        <f t="shared" si="6"/>
        <v>1</v>
      </c>
      <c r="X226" s="53" t="str">
        <f t="shared" si="7"/>
        <v/>
      </c>
      <c r="Y226" s="53"/>
      <c r="Z226" s="60"/>
      <c r="AA226" s="18" t="str" cm="1">
        <f t="array" ref="AA226">IF(P226="", "", _xlfn.XLOOKUP(P226,#REF!,#REF!,NA,0,-1))</f>
        <v/>
      </c>
      <c r="AB226" s="47"/>
      <c r="AC226" s="55" t="s">
        <v>76</v>
      </c>
      <c r="AD226" s="55" t="str">
        <f>IF($AC226="","",_xlfn.XLOOKUP($AC226,'[2]Client Info'!$C$2:$C$2535,'[2]Client Info'!$D$2:$D$2535))</f>
        <v>2-1115 GATEWAY RD</v>
      </c>
      <c r="AE226" s="55" t="str">
        <f>IF($AC226="","",_xlfn.XLOOKUP($AC226,'[2]Client Info'!$C$2:$C$2715,'[2]Client Info'!$E$2:$E$2715))</f>
        <v>Winnipeg</v>
      </c>
      <c r="AF226" s="55" t="str">
        <f>IF($AC226="","",_xlfn.XLOOKUP($AC226,'[2]Client Info'!$C$2:$C$2715,'[2]Client Info'!$F$2:$F$2715))</f>
        <v>MB</v>
      </c>
      <c r="AG226" s="55" t="s">
        <v>3992</v>
      </c>
      <c r="AH226" s="62">
        <f>252/12</f>
        <v>21</v>
      </c>
      <c r="AI226" s="43" t="str">
        <f>_xlfn.XLOOKUP(Table26[[#This Row],[customerSKU]],customerSKU!G:G,customerSKU!O:O,"not found",0,1)</f>
        <v>not found</v>
      </c>
      <c r="AJ226" s="53">
        <f>Table26[[#This Row],[unitprice]]*Table26[[#This Row],[quantity_unit]]</f>
        <v>252</v>
      </c>
      <c r="AK226" s="53" cm="1">
        <f t="array" ref="AK2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264.60000000000002</v>
      </c>
    </row>
    <row r="227" spans="1:37" ht="18" customHeight="1">
      <c r="A227" s="42">
        <v>2033</v>
      </c>
      <c r="B227" s="58" t="s">
        <v>3520</v>
      </c>
      <c r="C227" s="53" t="s">
        <v>203</v>
      </c>
      <c r="D227" s="51"/>
      <c r="E227" s="51"/>
      <c r="F227" s="53"/>
      <c r="G227" s="46"/>
      <c r="H227" s="53"/>
      <c r="I227" s="53" t="s">
        <v>3862</v>
      </c>
      <c r="J227" s="53" t="s">
        <v>27</v>
      </c>
      <c r="K227" s="48">
        <v>45546</v>
      </c>
      <c r="L227" s="49" t="s">
        <v>490</v>
      </c>
      <c r="M227" s="53"/>
      <c r="N227" s="77" t="str">
        <f>Table26[[#This Row],[po_number]]&amp;"-"&amp;Table26[[#This Row],[po_line]]</f>
        <v>-1</v>
      </c>
      <c r="O227" s="77">
        <v>1</v>
      </c>
      <c r="P227" s="50"/>
      <c r="Q227" s="53" t="s">
        <v>797</v>
      </c>
      <c r="R227" s="53" t="s">
        <v>532</v>
      </c>
      <c r="S227" s="53" t="s">
        <v>21</v>
      </c>
      <c r="T227" s="20">
        <v>45531</v>
      </c>
      <c r="U227" s="52">
        <v>12</v>
      </c>
      <c r="V227" s="53">
        <v>12</v>
      </c>
      <c r="W227" s="116">
        <f t="shared" si="6"/>
        <v>1</v>
      </c>
      <c r="X227" s="53" t="str">
        <f t="shared" si="7"/>
        <v/>
      </c>
      <c r="Y227" s="53"/>
      <c r="Z227" s="60"/>
      <c r="AA227" s="18" t="str" cm="1">
        <f t="array" ref="AA227">IF(P227="", "", _xlfn.XLOOKUP(P227,#REF!,#REF!,NA,0,-1))</f>
        <v/>
      </c>
      <c r="AB227" s="53"/>
      <c r="AC227" s="55" t="s">
        <v>60</v>
      </c>
      <c r="AD227" s="55" t="str">
        <f>IF($AC227="","",_xlfn.XLOOKUP($AC227,'[2]Client Info'!$C$2:$C$2535,'[2]Client Info'!$D$2:$D$2535))</f>
        <v>6600 ROBLIN BOULEVARD</v>
      </c>
      <c r="AE227" s="55" t="str">
        <f>IF($AC227="","",_xlfn.XLOOKUP($AC227,'[2]Client Info'!$C$2:$C$2715,'[2]Client Info'!$E$2:$E$2715))</f>
        <v>WINNIPEG</v>
      </c>
      <c r="AF227" s="55" t="str">
        <f>IF($AC227="","",_xlfn.XLOOKUP($AC227,'[2]Client Info'!$C$2:$C$2715,'[2]Client Info'!$F$2:$F$2715))</f>
        <v>MB</v>
      </c>
      <c r="AG227" s="55" t="s">
        <v>3992</v>
      </c>
      <c r="AH227" s="62">
        <f>252/12</f>
        <v>21</v>
      </c>
      <c r="AI227" s="43" t="str">
        <f>_xlfn.XLOOKUP(Table26[[#This Row],[customerSKU]],customerSKU!G:G,customerSKU!O:O,"not found",0,1)</f>
        <v>not found</v>
      </c>
      <c r="AJ227" s="53">
        <f>Table26[[#This Row],[unitprice]]*Table26[[#This Row],[quantity_unit]]</f>
        <v>252</v>
      </c>
      <c r="AK227" s="53" cm="1">
        <f t="array" ref="AK2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264.60000000000002</v>
      </c>
    </row>
    <row r="228" spans="1:37" ht="18" customHeight="1">
      <c r="A228" s="42">
        <v>2034</v>
      </c>
      <c r="B228" s="58" t="s">
        <v>3520</v>
      </c>
      <c r="C228" s="53" t="s">
        <v>203</v>
      </c>
      <c r="D228" s="51"/>
      <c r="E228" s="51"/>
      <c r="F228" s="53"/>
      <c r="G228" s="46"/>
      <c r="H228" s="53"/>
      <c r="I228" s="53" t="s">
        <v>3862</v>
      </c>
      <c r="J228" s="53" t="s">
        <v>27</v>
      </c>
      <c r="K228" s="48">
        <v>45546</v>
      </c>
      <c r="L228" s="49" t="s">
        <v>490</v>
      </c>
      <c r="M228" s="53"/>
      <c r="N228" s="77" t="str">
        <f>Table26[[#This Row],[po_number]]&amp;"-"&amp;Table26[[#This Row],[po_line]]</f>
        <v>-1</v>
      </c>
      <c r="O228" s="77">
        <v>1</v>
      </c>
      <c r="P228" s="50"/>
      <c r="Q228" s="88" t="s">
        <v>3865</v>
      </c>
      <c r="R228" s="53" t="s">
        <v>532</v>
      </c>
      <c r="S228" s="53" t="s">
        <v>57</v>
      </c>
      <c r="T228" s="20">
        <v>45497</v>
      </c>
      <c r="U228" s="52">
        <v>12</v>
      </c>
      <c r="V228" s="53">
        <v>12</v>
      </c>
      <c r="W228" s="116">
        <f t="shared" si="6"/>
        <v>1</v>
      </c>
      <c r="X228" s="53" t="str">
        <f t="shared" si="7"/>
        <v/>
      </c>
      <c r="Y228" s="53"/>
      <c r="Z228" s="60"/>
      <c r="AA228" s="18" t="str" cm="1">
        <f t="array" ref="AA228">IF(P228="", "", _xlfn.XLOOKUP(P228,#REF!,#REF!,NA,0,-1))</f>
        <v/>
      </c>
      <c r="AB228" s="47"/>
      <c r="AC228" s="55" t="s">
        <v>77</v>
      </c>
      <c r="AD228" s="55" t="str">
        <f>IF($AC228="","",_xlfn.XLOOKUP($AC228,'[2]Client Info'!$C$2:$C$2535,'[2]Client Info'!$D$2:$D$2535))</f>
        <v>UNIT 2-481 RIVER AVE</v>
      </c>
      <c r="AE228" s="55" t="str">
        <f>IF($AC228="","",_xlfn.XLOOKUP($AC228,'[2]Client Info'!$C$2:$C$2715,'[2]Client Info'!$E$2:$E$2715))</f>
        <v>Winnipeg</v>
      </c>
      <c r="AF228" s="55" t="str">
        <f>IF($AC228="","",_xlfn.XLOOKUP($AC228,'[2]Client Info'!$C$2:$C$2715,'[2]Client Info'!$F$2:$F$2715))</f>
        <v>MB</v>
      </c>
      <c r="AG228" s="55" t="s">
        <v>3992</v>
      </c>
      <c r="AH228" s="62">
        <f>107.88/12</f>
        <v>8.99</v>
      </c>
      <c r="AI228" s="43" t="str">
        <f>_xlfn.XLOOKUP(Table26[[#This Row],[customerSKU]],customerSKU!G:G,customerSKU!O:O,"not found",0,1)</f>
        <v>not found</v>
      </c>
      <c r="AJ228" s="53">
        <f>Table26[[#This Row],[unitprice]]*Table26[[#This Row],[quantity_unit]]</f>
        <v>107.88</v>
      </c>
      <c r="AK228" s="53" cm="1">
        <f t="array" ref="AK2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229" spans="1:37" ht="18" customHeight="1">
      <c r="A229" s="42">
        <v>2020</v>
      </c>
      <c r="B229" s="58" t="s">
        <v>3520</v>
      </c>
      <c r="C229" s="53" t="s">
        <v>3360</v>
      </c>
      <c r="D229" s="51"/>
      <c r="E229" s="51"/>
      <c r="F229" s="53"/>
      <c r="G229" s="46"/>
      <c r="H229" s="53"/>
      <c r="I229" s="53" t="s">
        <v>3862</v>
      </c>
      <c r="J229" s="53" t="s">
        <v>533</v>
      </c>
      <c r="K229" s="48">
        <v>45547</v>
      </c>
      <c r="L229" s="49" t="s">
        <v>201</v>
      </c>
      <c r="M229" s="53"/>
      <c r="N229" s="77" t="str">
        <f>Table26[[#This Row],[po_number]]&amp;"-"&amp;Table26[[#This Row],[po_line]]</f>
        <v>-1</v>
      </c>
      <c r="O229" s="77">
        <v>1</v>
      </c>
      <c r="P229" s="50"/>
      <c r="Q229" s="81" t="s">
        <v>1314</v>
      </c>
      <c r="R229" s="81" t="s">
        <v>3830</v>
      </c>
      <c r="S229" s="53" t="s">
        <v>57</v>
      </c>
      <c r="T229" s="51">
        <v>45503</v>
      </c>
      <c r="U229" s="52">
        <f>23*12</f>
        <v>276</v>
      </c>
      <c r="V229" s="53">
        <v>12</v>
      </c>
      <c r="W229" s="116">
        <f t="shared" si="6"/>
        <v>23</v>
      </c>
      <c r="X229" s="53" t="str">
        <f t="shared" si="7"/>
        <v/>
      </c>
      <c r="Y229" s="53" t="str">
        <f>IF(Table26[[#This Row],[customerSKU]]="","",_xlfn.XLOOKUP(Table26[[#This Row],[customerSKU]],Table27[customer_SKU],Table27[product_GTIN],"",0,1))</f>
        <v/>
      </c>
      <c r="Z229" s="25" t="s">
        <v>3451</v>
      </c>
      <c r="AA229" s="18" t="str" cm="1">
        <f t="array" ref="AA229">IF(P229="", "", _xlfn.XLOOKUP(P229,#REF!,#REF!,NA,0,-1))</f>
        <v/>
      </c>
      <c r="AB229" s="53"/>
      <c r="AC229" s="55" t="s">
        <v>79</v>
      </c>
      <c r="AD229" s="55" t="str">
        <f>IF($AC229="","",_xlfn.XLOOKUP($AC229,'[2]Client Info'!$C$2:$C$2535,'[2]Client Info'!$D$2:$D$2535))</f>
        <v>4-1832 King Edward St.</v>
      </c>
      <c r="AE229" s="55" t="str">
        <f>IF($AC229="","",_xlfn.XLOOKUP($AC229,'[2]Client Info'!$C$2:$C$2715,'[2]Client Info'!$E$2:$E$2715))</f>
        <v>WINNIPEG</v>
      </c>
      <c r="AF229" s="55" t="str">
        <f>IF($AC229="","",_xlfn.XLOOKUP($AC229,'[2]Client Info'!$C$2:$C$2715,'[2]Client Info'!$F$2:$F$2715))</f>
        <v>MB</v>
      </c>
      <c r="AG229" s="55" t="s">
        <v>3864</v>
      </c>
      <c r="AH229" s="62" t="str">
        <f>_xlfn.XLOOKUP(Table26[[#This Row],[customerSKU]],customerSKU!G:G,customerSKU!K:K,"NA",0,1)</f>
        <v>NA</v>
      </c>
      <c r="AI229" s="43" t="str">
        <f>_xlfn.XLOOKUP(Table26[[#This Row],[customerSKU]],customerSKU!G:G,customerSKU!O:O,"not found",0,1)</f>
        <v>not found</v>
      </c>
      <c r="AJ229" s="53" t="e">
        <f>Table26[[#This Row],[unitprice]]*Table26[[#This Row],[quantity_unit]]</f>
        <v>#VALUE!</v>
      </c>
      <c r="AK229" s="53" t="e" cm="1">
        <f t="array" ref="AK2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0" spans="1:37" ht="18" customHeight="1">
      <c r="A230" s="42">
        <v>2021</v>
      </c>
      <c r="B230" s="58" t="s">
        <v>3520</v>
      </c>
      <c r="C230" s="53" t="s">
        <v>3360</v>
      </c>
      <c r="D230" s="51"/>
      <c r="E230" s="51"/>
      <c r="F230" s="53"/>
      <c r="G230" s="46"/>
      <c r="H230" s="53"/>
      <c r="I230" s="53" t="s">
        <v>3862</v>
      </c>
      <c r="J230" s="53" t="s">
        <v>533</v>
      </c>
      <c r="K230" s="48">
        <v>45547</v>
      </c>
      <c r="L230" s="49" t="s">
        <v>201</v>
      </c>
      <c r="M230" s="53"/>
      <c r="N230" s="77" t="str">
        <f>Table26[[#This Row],[po_number]]&amp;"-"&amp;Table26[[#This Row],[po_line]]</f>
        <v>-2</v>
      </c>
      <c r="O230" s="77">
        <v>2</v>
      </c>
      <c r="P230" s="50"/>
      <c r="Q230" s="81" t="s">
        <v>1019</v>
      </c>
      <c r="R230" s="81" t="s">
        <v>3830</v>
      </c>
      <c r="S230" s="53" t="s">
        <v>57</v>
      </c>
      <c r="T230" s="51">
        <v>45523</v>
      </c>
      <c r="U230" s="52">
        <f>11*12</f>
        <v>132</v>
      </c>
      <c r="V230" s="53">
        <v>12</v>
      </c>
      <c r="W230" s="116">
        <f t="shared" si="6"/>
        <v>11</v>
      </c>
      <c r="X230" s="53" t="str">
        <f t="shared" si="7"/>
        <v/>
      </c>
      <c r="Y230" s="53" t="str">
        <f>IF(Table26[[#This Row],[customerSKU]]="","",_xlfn.XLOOKUP(Table26[[#This Row],[customerSKU]],Table27[customer_SKU],Table27[product_GTIN],"",0,1))</f>
        <v/>
      </c>
      <c r="Z230" s="25" t="s">
        <v>3452</v>
      </c>
      <c r="AA230" s="18" t="str" cm="1">
        <f t="array" ref="AA230">IF(P230="", "", _xlfn.XLOOKUP(P230,#REF!,#REF!,NA,0,-1))</f>
        <v/>
      </c>
      <c r="AB230" s="53"/>
      <c r="AC230" s="55" t="s">
        <v>79</v>
      </c>
      <c r="AD230" s="55" t="str">
        <f>IF($AC230="","",_xlfn.XLOOKUP($AC230,'[2]Client Info'!$C$2:$C$2535,'[2]Client Info'!$D$2:$D$2535))</f>
        <v>4-1832 King Edward St.</v>
      </c>
      <c r="AE230" s="55" t="str">
        <f>IF($AC230="","",_xlfn.XLOOKUP($AC230,'[2]Client Info'!$C$2:$C$2715,'[2]Client Info'!$E$2:$E$2715))</f>
        <v>WINNIPEG</v>
      </c>
      <c r="AF230" s="55" t="str">
        <f>IF($AC230="","",_xlfn.XLOOKUP($AC230,'[2]Client Info'!$C$2:$C$2715,'[2]Client Info'!$F$2:$F$2715))</f>
        <v>MB</v>
      </c>
      <c r="AG230" s="55" t="s">
        <v>3864</v>
      </c>
      <c r="AH230" s="62" t="str">
        <f>_xlfn.XLOOKUP(Table26[[#This Row],[customerSKU]],customerSKU!G:G,customerSKU!K:K,"NA",0,1)</f>
        <v>NA</v>
      </c>
      <c r="AI230" s="43" t="str">
        <f>_xlfn.XLOOKUP(Table26[[#This Row],[customerSKU]],customerSKU!G:G,customerSKU!O:O,"not found",0,1)</f>
        <v>not found</v>
      </c>
      <c r="AJ230" s="53" t="e">
        <f>Table26[[#This Row],[unitprice]]*Table26[[#This Row],[quantity_unit]]</f>
        <v>#VALUE!</v>
      </c>
      <c r="AK230" s="53" t="e" cm="1">
        <f t="array" ref="AK2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1" spans="1:37" ht="18" customHeight="1">
      <c r="A231" s="42">
        <v>2017</v>
      </c>
      <c r="B231" s="249" t="s">
        <v>3520</v>
      </c>
      <c r="C231" s="90" t="s">
        <v>203</v>
      </c>
      <c r="D231" s="235">
        <v>45551</v>
      </c>
      <c r="E231" s="235">
        <v>45548</v>
      </c>
      <c r="F231" s="90"/>
      <c r="G231" s="119"/>
      <c r="H231" s="90"/>
      <c r="I231" s="242" t="s">
        <v>3862</v>
      </c>
      <c r="J231" s="90" t="s">
        <v>24</v>
      </c>
      <c r="K231" s="232">
        <v>45548</v>
      </c>
      <c r="L231" s="233" t="s">
        <v>490</v>
      </c>
      <c r="M231" s="90"/>
      <c r="N231" s="55" t="str">
        <f>Table26[[#This Row],[po_number]]&amp;"-"&amp;Table26[[#This Row],[po_line]]</f>
        <v>-1</v>
      </c>
      <c r="O231" s="55">
        <v>1</v>
      </c>
      <c r="P231" s="234"/>
      <c r="Q231" s="90" t="s">
        <v>554</v>
      </c>
      <c r="R231" s="90" t="s">
        <v>3428</v>
      </c>
      <c r="S231" s="90" t="s">
        <v>13</v>
      </c>
      <c r="T231" s="20">
        <v>45543</v>
      </c>
      <c r="U231" s="236">
        <f>75*6</f>
        <v>450</v>
      </c>
      <c r="V231" s="90">
        <v>6</v>
      </c>
      <c r="W231" s="237">
        <f t="shared" si="6"/>
        <v>75</v>
      </c>
      <c r="X231" s="90" t="str">
        <f t="shared" si="7"/>
        <v/>
      </c>
      <c r="Y231" s="250" t="s">
        <v>263</v>
      </c>
      <c r="Z231" s="60" t="s">
        <v>4030</v>
      </c>
      <c r="AA231" s="18" t="str" cm="1">
        <f t="array" ref="AA231">IF(P231="", "", _xlfn.XLOOKUP(P231,#REF!,#REF!,NA,0,-1))</f>
        <v/>
      </c>
      <c r="AB231" s="231"/>
      <c r="AC231" s="55" t="s">
        <v>4028</v>
      </c>
      <c r="AD231" s="55" t="str">
        <f>IF($AC231="","",_xlfn.XLOOKUP($AC231,'[2]Client Info'!$C$2:$C$2535,'[2]Client Info'!$D$2:$D$2535))</f>
        <v>3389 No. 6 Road</v>
      </c>
      <c r="AE231" s="55" t="str">
        <f>IF($AC231="","",_xlfn.XLOOKUP($AC231,'[2]Client Info'!$C$2:$C$2715,'[2]Client Info'!$E$2:$E$2715))</f>
        <v>Richmond</v>
      </c>
      <c r="AF231" s="55" t="str">
        <f>IF($AC231="","",_xlfn.XLOOKUP($AC231,'[2]Client Info'!$C$2:$C$2715,'[2]Client Info'!$F$2:$F$2715))</f>
        <v>BC</v>
      </c>
      <c r="AG231" s="55" t="s">
        <v>24</v>
      </c>
      <c r="AH231" s="245">
        <f>163.62/12</f>
        <v>13.635</v>
      </c>
      <c r="AI231" s="43" t="str">
        <f>_xlfn.XLOOKUP(Table26[[#This Row],[customerSKU]],customerSKU!G:G,customerSKU!O:O,"not found",0,1)</f>
        <v>not found</v>
      </c>
      <c r="AJ231" s="53">
        <f>Table26[[#This Row],[unitprice]]*Table26[[#This Row],[quantity_unit]]</f>
        <v>6135.75</v>
      </c>
      <c r="AK231" s="53" t="e" cm="1">
        <f t="array" ref="AK2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32" spans="1:37" ht="18" customHeight="1">
      <c r="A232" s="42">
        <v>2018</v>
      </c>
      <c r="B232" s="249" t="s">
        <v>3520</v>
      </c>
      <c r="C232" s="90" t="s">
        <v>203</v>
      </c>
      <c r="D232" s="235">
        <v>45551</v>
      </c>
      <c r="E232" s="235">
        <v>45548</v>
      </c>
      <c r="F232" s="90"/>
      <c r="G232" s="119"/>
      <c r="H232" s="90"/>
      <c r="I232" s="242" t="s">
        <v>3862</v>
      </c>
      <c r="J232" s="90" t="s">
        <v>24</v>
      </c>
      <c r="K232" s="232">
        <v>45548</v>
      </c>
      <c r="L232" s="233" t="s">
        <v>3882</v>
      </c>
      <c r="M232" s="90"/>
      <c r="N232" s="55" t="str">
        <f>Table26[[#This Row],[po_number]]&amp;"-"&amp;Table26[[#This Row],[po_line]]</f>
        <v>-1</v>
      </c>
      <c r="O232" s="55">
        <v>1</v>
      </c>
      <c r="P232" s="234"/>
      <c r="Q232" s="90" t="s">
        <v>4033</v>
      </c>
      <c r="R232" s="90" t="s">
        <v>532</v>
      </c>
      <c r="S232" s="90" t="s">
        <v>56</v>
      </c>
      <c r="T232" s="20">
        <v>45422</v>
      </c>
      <c r="U232" s="236">
        <v>180</v>
      </c>
      <c r="V232" s="90">
        <v>6</v>
      </c>
      <c r="W232" s="237">
        <f t="shared" si="6"/>
        <v>30</v>
      </c>
      <c r="X232" s="90" t="str">
        <f t="shared" si="7"/>
        <v/>
      </c>
      <c r="Y232" s="250" t="s">
        <v>222</v>
      </c>
      <c r="Z232" s="60" t="s">
        <v>3630</v>
      </c>
      <c r="AA232" s="18" t="str" cm="1">
        <f t="array" ref="AA232">IF(P232="", "", _xlfn.XLOOKUP(P232,#REF!,#REF!,NA,0,-1))</f>
        <v/>
      </c>
      <c r="AB232" s="231"/>
      <c r="AC232" s="55" t="s">
        <v>4028</v>
      </c>
      <c r="AD232" s="55" t="str">
        <f>IF($AC232="","",_xlfn.XLOOKUP($AC232,'[2]Client Info'!$C$2:$C$2535,'[2]Client Info'!$D$2:$D$2535))</f>
        <v>3389 No. 6 Road</v>
      </c>
      <c r="AE232" s="55" t="str">
        <f>IF($AC232="","",_xlfn.XLOOKUP($AC232,'[2]Client Info'!$C$2:$C$2715,'[2]Client Info'!$E$2:$E$2715))</f>
        <v>Richmond</v>
      </c>
      <c r="AF232" s="55" t="str">
        <f>IF($AC232="","",_xlfn.XLOOKUP($AC232,'[2]Client Info'!$C$2:$C$2715,'[2]Client Info'!$F$2:$F$2715))</f>
        <v>BC</v>
      </c>
      <c r="AG232" s="55" t="s">
        <v>24</v>
      </c>
      <c r="AH232" s="245"/>
      <c r="AI232" s="43" t="str">
        <f>_xlfn.XLOOKUP(Table26[[#This Row],[customerSKU]],customerSKU!G:G,customerSKU!O:O,"not found",0,1)</f>
        <v>not found</v>
      </c>
      <c r="AJ232" s="53">
        <f>Table26[[#This Row],[unitprice]]*Table26[[#This Row],[quantity_unit]]</f>
        <v>0</v>
      </c>
      <c r="AK232" s="53" t="e" cm="1">
        <f t="array" ref="AK2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33" spans="1:37" ht="18" customHeight="1">
      <c r="A233" s="42">
        <v>2019</v>
      </c>
      <c r="B233" s="249" t="s">
        <v>3520</v>
      </c>
      <c r="C233" s="90" t="s">
        <v>203</v>
      </c>
      <c r="D233" s="235">
        <v>45558</v>
      </c>
      <c r="E233" s="235">
        <v>45548</v>
      </c>
      <c r="F233" s="90"/>
      <c r="G233" s="119"/>
      <c r="H233" s="90"/>
      <c r="I233" s="242" t="s">
        <v>3862</v>
      </c>
      <c r="J233" s="90" t="s">
        <v>24</v>
      </c>
      <c r="K233" s="232">
        <v>45548</v>
      </c>
      <c r="L233" s="233" t="s">
        <v>3882</v>
      </c>
      <c r="M233" s="90"/>
      <c r="N233" s="55" t="str">
        <f>Table26[[#This Row],[po_number]]&amp;"-"&amp;Table26[[#This Row],[po_line]]</f>
        <v>-1</v>
      </c>
      <c r="O233" s="55">
        <v>1</v>
      </c>
      <c r="P233" s="234"/>
      <c r="Q233" s="90" t="s">
        <v>4034</v>
      </c>
      <c r="R233" s="90"/>
      <c r="S233" s="90" t="s">
        <v>13</v>
      </c>
      <c r="T233" s="20">
        <v>45543</v>
      </c>
      <c r="U233" s="236">
        <v>600</v>
      </c>
      <c r="V233" s="90">
        <v>6</v>
      </c>
      <c r="W233" s="237">
        <f t="shared" si="6"/>
        <v>100</v>
      </c>
      <c r="X233" s="90" t="str">
        <f t="shared" si="7"/>
        <v/>
      </c>
      <c r="Y233" s="251" t="s">
        <v>216</v>
      </c>
      <c r="Z233" s="60" t="s">
        <v>4035</v>
      </c>
      <c r="AA233" s="18" t="str" cm="1">
        <f t="array" ref="AA233">IF(P233="", "", _xlfn.XLOOKUP(P233,#REF!,#REF!,NA,0,-1))</f>
        <v/>
      </c>
      <c r="AB233" s="231"/>
      <c r="AC233" s="55" t="s">
        <v>4028</v>
      </c>
      <c r="AD233" s="55" t="str">
        <f>IF($AC233="","",_xlfn.XLOOKUP($AC233,'[2]Client Info'!$C$2:$C$2535,'[2]Client Info'!$D$2:$D$2535))</f>
        <v>3389 No. 6 Road</v>
      </c>
      <c r="AE233" s="55" t="str">
        <f>IF($AC233="","",_xlfn.XLOOKUP($AC233,'[2]Client Info'!$C$2:$C$2715,'[2]Client Info'!$E$2:$E$2715))</f>
        <v>Richmond</v>
      </c>
      <c r="AF233" s="55" t="str">
        <f>IF($AC233="","",_xlfn.XLOOKUP($AC233,'[2]Client Info'!$C$2:$C$2715,'[2]Client Info'!$F$2:$F$2715))</f>
        <v>BC</v>
      </c>
      <c r="AG233" s="55" t="s">
        <v>24</v>
      </c>
      <c r="AH233" s="245">
        <f>16362/600</f>
        <v>27.27</v>
      </c>
      <c r="AI233" s="43" t="str">
        <f>_xlfn.XLOOKUP(Table26[[#This Row],[customerSKU]],customerSKU!G:G,customerSKU!O:O,"not found",0,1)</f>
        <v>not found</v>
      </c>
      <c r="AJ233" s="53">
        <f>Table26[[#This Row],[unitprice]]*Table26[[#This Row],[quantity_unit]]</f>
        <v>16362</v>
      </c>
      <c r="AK233" s="53" t="e" cm="1">
        <f t="array" ref="AK2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34" spans="1:37" ht="18" customHeight="1">
      <c r="A234" s="42">
        <v>2001</v>
      </c>
      <c r="B234" s="58" t="s">
        <v>3520</v>
      </c>
      <c r="C234" s="53" t="s">
        <v>3360</v>
      </c>
      <c r="D234" s="51"/>
      <c r="E234" s="51"/>
      <c r="F234" s="53"/>
      <c r="G234" s="46"/>
      <c r="H234" s="53"/>
      <c r="I234" s="53" t="s">
        <v>3862</v>
      </c>
      <c r="J234" s="53" t="s">
        <v>533</v>
      </c>
      <c r="K234" s="48">
        <v>45551</v>
      </c>
      <c r="L234" s="49" t="s">
        <v>490</v>
      </c>
      <c r="M234" s="53"/>
      <c r="N234" s="77" t="str">
        <f>Table26[[#This Row],[po_number]]&amp;"-"&amp;Table26[[#This Row],[po_line]]</f>
        <v>-1</v>
      </c>
      <c r="O234" s="77">
        <v>1</v>
      </c>
      <c r="P234" s="50"/>
      <c r="Q234" s="81" t="s">
        <v>1314</v>
      </c>
      <c r="R234" s="81" t="s">
        <v>3830</v>
      </c>
      <c r="S234" s="53" t="s">
        <v>57</v>
      </c>
      <c r="T234" s="20">
        <v>45503</v>
      </c>
      <c r="U234" s="52">
        <v>12</v>
      </c>
      <c r="V234" s="53">
        <v>12</v>
      </c>
      <c r="W234" s="116">
        <f t="shared" si="6"/>
        <v>1</v>
      </c>
      <c r="X234" s="53" t="str">
        <f t="shared" si="7"/>
        <v/>
      </c>
      <c r="Y234" s="53" t="str">
        <f>IF(Table26[[#This Row],[customerSKU]]="","",_xlfn.XLOOKUP(Table26[[#This Row],[customerSKU]],Table27[customer_SKU],Table27[product_GTIN],"",0,1))</f>
        <v/>
      </c>
      <c r="Z234" s="25" t="s">
        <v>3451</v>
      </c>
      <c r="AA234" s="18" t="str" cm="1">
        <f t="array" ref="AA234">IF(P234="", "", _xlfn.XLOOKUP(P234,#REF!,#REF!,NA,0,-1))</f>
        <v/>
      </c>
      <c r="AB234" s="53"/>
      <c r="AC234" s="55" t="s">
        <v>47</v>
      </c>
      <c r="AD234" s="55" t="str">
        <f>IF($AC234="","",_xlfn.XLOOKUP($AC234,'[2]Client Info'!$C$2:$C$2535,'[2]Client Info'!$D$2:$D$2535))</f>
        <v>Unit H, 886 Thornhill street</v>
      </c>
      <c r="AE234" s="55" t="str">
        <f>IF($AC234="","",_xlfn.XLOOKUP($AC234,'[2]Client Info'!$C$2:$C$2715,'[2]Client Info'!$E$2:$E$2715))</f>
        <v>Morden</v>
      </c>
      <c r="AF234" s="55" t="str">
        <f>IF($AC234="","",_xlfn.XLOOKUP($AC234,'[2]Client Info'!$C$2:$C$2715,'[2]Client Info'!$F$2:$F$2715))</f>
        <v>MB</v>
      </c>
      <c r="AG234" s="55" t="s">
        <v>3992</v>
      </c>
      <c r="AH234" s="62" t="str">
        <f>_xlfn.XLOOKUP(Table26[[#This Row],[customerSKU]],customerSKU!G:G,customerSKU!K:K,"NA",0,1)</f>
        <v>NA</v>
      </c>
      <c r="AI234" s="43" t="str">
        <f>_xlfn.XLOOKUP(Table26[[#This Row],[customerSKU]],customerSKU!G:G,customerSKU!O:O,"not found",0,1)</f>
        <v>not found</v>
      </c>
      <c r="AJ234" s="53" t="e">
        <f>Table26[[#This Row],[unitprice]]*Table26[[#This Row],[quantity_unit]]</f>
        <v>#VALUE!</v>
      </c>
      <c r="AK234" s="53" t="e" cm="1">
        <f t="array" ref="AK2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5" spans="1:37" ht="18" customHeight="1">
      <c r="A235" s="42">
        <v>2002</v>
      </c>
      <c r="B235" s="58" t="s">
        <v>3520</v>
      </c>
      <c r="C235" s="53" t="s">
        <v>3360</v>
      </c>
      <c r="D235" s="51"/>
      <c r="E235" s="51"/>
      <c r="F235" s="53"/>
      <c r="G235" s="46"/>
      <c r="H235" s="53"/>
      <c r="I235" s="53" t="s">
        <v>3862</v>
      </c>
      <c r="J235" s="53" t="s">
        <v>533</v>
      </c>
      <c r="K235" s="48">
        <v>45551</v>
      </c>
      <c r="L235" s="49" t="s">
        <v>490</v>
      </c>
      <c r="M235" s="53"/>
      <c r="N235" s="77" t="str">
        <f>Table26[[#This Row],[po_number]]&amp;"-"&amp;Table26[[#This Row],[po_line]]</f>
        <v>-1</v>
      </c>
      <c r="O235" s="77">
        <v>1</v>
      </c>
      <c r="P235" s="50"/>
      <c r="Q235" s="81" t="s">
        <v>1314</v>
      </c>
      <c r="R235" s="81" t="s">
        <v>3830</v>
      </c>
      <c r="S235" s="53" t="s">
        <v>57</v>
      </c>
      <c r="T235" s="20">
        <v>45503</v>
      </c>
      <c r="U235" s="52">
        <v>12</v>
      </c>
      <c r="V235" s="53">
        <v>12</v>
      </c>
      <c r="W235" s="116">
        <f t="shared" si="6"/>
        <v>1</v>
      </c>
      <c r="X235" s="53" t="str">
        <f t="shared" si="7"/>
        <v/>
      </c>
      <c r="Y235" s="53" t="str">
        <f>IF(Table26[[#This Row],[customerSKU]]="","",_xlfn.XLOOKUP(Table26[[#This Row],[customerSKU]],Table27[customer_SKU],Table27[product_GTIN],"",0,1))</f>
        <v/>
      </c>
      <c r="Z235" s="25" t="s">
        <v>3451</v>
      </c>
      <c r="AA235" s="18" t="str" cm="1">
        <f t="array" ref="AA235">IF(P235="", "", _xlfn.XLOOKUP(P235,#REF!,#REF!,NA,0,-1))</f>
        <v/>
      </c>
      <c r="AB235" s="53"/>
      <c r="AC235" s="55" t="s">
        <v>4002</v>
      </c>
      <c r="AD235" s="55" t="str">
        <f>IF($AC235="","",_xlfn.XLOOKUP($AC235,'[2]Client Info'!$C$2:$C$2535,'[2]Client Info'!$D$2:$D$2535))</f>
        <v>1-827 DAKOTA ST</v>
      </c>
      <c r="AE235" s="55" t="str">
        <f>IF($AC236="","",_xlfn.XLOOKUP($AC236,'[2]Client Info'!$C$2:$C$2715,'[2]Client Info'!$E$2:$E$2715))</f>
        <v>Winnipeg</v>
      </c>
      <c r="AF235" s="55" t="str">
        <f>IF($AC236="","",_xlfn.XLOOKUP($AC236,'[2]Client Info'!$C$2:$C$2715,'[2]Client Info'!$F$2:$F$2715))</f>
        <v>MB</v>
      </c>
      <c r="AG235" s="55" t="s">
        <v>3992</v>
      </c>
      <c r="AH235" s="62" t="str">
        <f>_xlfn.XLOOKUP(Table26[[#This Row],[customerSKU]],customerSKU!G:G,customerSKU!K:K,"NA",0,1)</f>
        <v>NA</v>
      </c>
      <c r="AI235" s="43" t="str">
        <f>_xlfn.XLOOKUP(Table26[[#This Row],[customerSKU]],customerSKU!G:G,customerSKU!O:O,"not found",0,1)</f>
        <v>not found</v>
      </c>
      <c r="AJ235" s="53" t="e">
        <f>Table26[[#This Row],[unitprice]]*Table26[[#This Row],[quantity_unit]]</f>
        <v>#VALUE!</v>
      </c>
      <c r="AK235" s="53" t="e" cm="1">
        <f t="array" ref="AK2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6" spans="1:37" ht="18" customHeight="1">
      <c r="A236" s="42">
        <v>2003</v>
      </c>
      <c r="B236" s="58" t="s">
        <v>3520</v>
      </c>
      <c r="C236" s="53" t="s">
        <v>3360</v>
      </c>
      <c r="D236" s="51"/>
      <c r="E236" s="51"/>
      <c r="F236" s="53"/>
      <c r="G236" s="46"/>
      <c r="H236" s="53"/>
      <c r="I236" s="53" t="s">
        <v>3862</v>
      </c>
      <c r="J236" s="53" t="s">
        <v>533</v>
      </c>
      <c r="K236" s="48">
        <v>45551</v>
      </c>
      <c r="L236" s="49" t="s">
        <v>490</v>
      </c>
      <c r="M236" s="53"/>
      <c r="N236" s="77" t="str">
        <f>Table26[[#This Row],[po_number]]&amp;"-"&amp;Table26[[#This Row],[po_line]]</f>
        <v>-1</v>
      </c>
      <c r="O236" s="77">
        <v>1</v>
      </c>
      <c r="P236" s="50"/>
      <c r="Q236" s="81" t="s">
        <v>1314</v>
      </c>
      <c r="R236" s="81" t="s">
        <v>3830</v>
      </c>
      <c r="S236" s="53" t="s">
        <v>57</v>
      </c>
      <c r="T236" s="20">
        <v>45503</v>
      </c>
      <c r="U236" s="52">
        <v>12</v>
      </c>
      <c r="V236" s="53">
        <v>12</v>
      </c>
      <c r="W236" s="116">
        <f t="shared" si="6"/>
        <v>1</v>
      </c>
      <c r="X236" s="53" t="str">
        <f t="shared" si="7"/>
        <v/>
      </c>
      <c r="Y236" s="53" t="str">
        <f>IF(Table26[[#This Row],[customerSKU]]="","",_xlfn.XLOOKUP(Table26[[#This Row],[customerSKU]],Table27[customer_SKU],Table27[product_GTIN],"",0,1))</f>
        <v/>
      </c>
      <c r="Z236" s="25" t="s">
        <v>3451</v>
      </c>
      <c r="AA236" s="18" t="str" cm="1">
        <f t="array" ref="AA236">IF(P236="", "", _xlfn.XLOOKUP(P236,#REF!,#REF!,NA,0,-1))</f>
        <v/>
      </c>
      <c r="AB236" s="53"/>
      <c r="AC236" s="55" t="s">
        <v>4003</v>
      </c>
      <c r="AD236" s="55" t="str">
        <f>IF($AC236="","",_xlfn.XLOOKUP($AC236,'[2]Client Info'!$C$2:$C$2535,'[2]Client Info'!$D$2:$D$2535))</f>
        <v>478 RIVER AVE</v>
      </c>
      <c r="AE236" s="55" t="str">
        <f>IF($AC237="","",_xlfn.XLOOKUP($AC237,'[2]Client Info'!$C$2:$C$2715,'[2]Client Info'!$E$2:$E$2715))</f>
        <v>Brandon</v>
      </c>
      <c r="AF236" s="55" t="str">
        <f>IF($AC237="","",_xlfn.XLOOKUP($AC237,'[2]Client Info'!$C$2:$C$2715,'[2]Client Info'!$F$2:$F$2715))</f>
        <v>MB</v>
      </c>
      <c r="AG236" s="55" t="s">
        <v>3992</v>
      </c>
      <c r="AH236" s="62" t="str">
        <f>_xlfn.XLOOKUP(Table26[[#This Row],[customerSKU]],customerSKU!G:G,customerSKU!K:K,"NA",0,1)</f>
        <v>NA</v>
      </c>
      <c r="AI236" s="43" t="str">
        <f>_xlfn.XLOOKUP(Table26[[#This Row],[customerSKU]],customerSKU!G:G,customerSKU!O:O,"not found",0,1)</f>
        <v>not found</v>
      </c>
      <c r="AJ236" s="53" t="e">
        <f>Table26[[#This Row],[unitprice]]*Table26[[#This Row],[quantity_unit]]</f>
        <v>#VALUE!</v>
      </c>
      <c r="AK236" s="53" t="e" cm="1">
        <f t="array" ref="AK2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7" spans="1:37" ht="18" customHeight="1">
      <c r="A237" s="42">
        <v>2004</v>
      </c>
      <c r="B237" s="58" t="s">
        <v>3520</v>
      </c>
      <c r="C237" s="53" t="s">
        <v>3360</v>
      </c>
      <c r="D237" s="51"/>
      <c r="E237" s="51"/>
      <c r="F237" s="53"/>
      <c r="G237" s="46"/>
      <c r="H237" s="53"/>
      <c r="I237" s="53" t="s">
        <v>3862</v>
      </c>
      <c r="J237" s="53" t="s">
        <v>533</v>
      </c>
      <c r="K237" s="48">
        <v>45551</v>
      </c>
      <c r="L237" s="49" t="s">
        <v>490</v>
      </c>
      <c r="M237" s="53"/>
      <c r="N237" s="77" t="str">
        <f>Table26[[#This Row],[po_number]]&amp;"-"&amp;Table26[[#This Row],[po_line]]</f>
        <v>-1</v>
      </c>
      <c r="O237" s="77">
        <v>1</v>
      </c>
      <c r="P237" s="50"/>
      <c r="Q237" s="81" t="s">
        <v>1314</v>
      </c>
      <c r="R237" s="81" t="s">
        <v>3830</v>
      </c>
      <c r="S237" s="53" t="s">
        <v>57</v>
      </c>
      <c r="T237" s="20">
        <v>45503</v>
      </c>
      <c r="U237" s="52">
        <v>12</v>
      </c>
      <c r="V237" s="53">
        <v>12</v>
      </c>
      <c r="W237" s="116">
        <f t="shared" si="6"/>
        <v>1</v>
      </c>
      <c r="X237" s="53" t="str">
        <f t="shared" si="7"/>
        <v/>
      </c>
      <c r="Y237" s="53" t="str">
        <f>IF(Table26[[#This Row],[customerSKU]]="","",_xlfn.XLOOKUP(Table26[[#This Row],[customerSKU]],Table27[customer_SKU],Table27[product_GTIN],"",0,1))</f>
        <v/>
      </c>
      <c r="Z237" s="25" t="s">
        <v>3451</v>
      </c>
      <c r="AA237" s="18" t="str" cm="1">
        <f t="array" ref="AA237">IF(P237="", "", _xlfn.XLOOKUP(P237,#REF!,#REF!,NA,0,-1))</f>
        <v/>
      </c>
      <c r="AB237" s="53"/>
      <c r="AC237" s="55" t="s">
        <v>4004</v>
      </c>
      <c r="AD237" s="55" t="str">
        <f>IF($AC237="","",_xlfn.XLOOKUP($AC237,'[2]Client Info'!$C$2:$C$2535,'[2]Client Info'!$D$2:$D$2535))</f>
        <v>48-1570 18TH ST</v>
      </c>
      <c r="AE237" s="55" t="str">
        <f>IF($AC238="","",_xlfn.XLOOKUP($AC238,'[2]Client Info'!$C$2:$C$2715,'[2]Client Info'!$E$2:$E$2715))</f>
        <v>THOMPSON</v>
      </c>
      <c r="AF237" s="55" t="str">
        <f>IF($AC238="","",_xlfn.XLOOKUP($AC238,'[2]Client Info'!$C$2:$C$2715,'[2]Client Info'!$F$2:$F$2715))</f>
        <v>MB</v>
      </c>
      <c r="AG237" s="55" t="s">
        <v>3992</v>
      </c>
      <c r="AH237" s="62" t="str">
        <f>_xlfn.XLOOKUP(Table26[[#This Row],[customerSKU]],customerSKU!G:G,customerSKU!K:K,"NA",0,1)</f>
        <v>NA</v>
      </c>
      <c r="AI237" s="43" t="str">
        <f>_xlfn.XLOOKUP(Table26[[#This Row],[customerSKU]],customerSKU!G:G,customerSKU!O:O,"not found",0,1)</f>
        <v>not found</v>
      </c>
      <c r="AJ237" s="53" t="e">
        <f>Table26[[#This Row],[unitprice]]*Table26[[#This Row],[quantity_unit]]</f>
        <v>#VALUE!</v>
      </c>
      <c r="AK237" s="53" t="e" cm="1">
        <f t="array" ref="AK2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8" spans="1:37" ht="18" customHeight="1">
      <c r="A238" s="42">
        <v>2005</v>
      </c>
      <c r="B238" s="58" t="s">
        <v>3520</v>
      </c>
      <c r="C238" s="53" t="s">
        <v>3360</v>
      </c>
      <c r="D238" s="51"/>
      <c r="E238" s="51"/>
      <c r="F238" s="53"/>
      <c r="G238" s="46"/>
      <c r="H238" s="53"/>
      <c r="I238" s="53" t="s">
        <v>3862</v>
      </c>
      <c r="J238" s="53" t="s">
        <v>533</v>
      </c>
      <c r="K238" s="48">
        <v>45551</v>
      </c>
      <c r="L238" s="49" t="s">
        <v>490</v>
      </c>
      <c r="M238" s="53"/>
      <c r="N238" s="77" t="str">
        <f>Table26[[#This Row],[po_number]]&amp;"-"&amp;Table26[[#This Row],[po_line]]</f>
        <v>-1</v>
      </c>
      <c r="O238" s="77">
        <v>1</v>
      </c>
      <c r="P238" s="50"/>
      <c r="Q238" s="81" t="s">
        <v>1314</v>
      </c>
      <c r="R238" s="81" t="s">
        <v>3830</v>
      </c>
      <c r="S238" s="53" t="s">
        <v>57</v>
      </c>
      <c r="T238" s="20">
        <v>45503</v>
      </c>
      <c r="U238" s="52">
        <v>12</v>
      </c>
      <c r="V238" s="53">
        <v>12</v>
      </c>
      <c r="W238" s="116">
        <f t="shared" si="6"/>
        <v>1</v>
      </c>
      <c r="X238" s="53" t="str">
        <f t="shared" si="7"/>
        <v/>
      </c>
      <c r="Y238" s="53" t="str">
        <f>IF(Table26[[#This Row],[customerSKU]]="","",_xlfn.XLOOKUP(Table26[[#This Row],[customerSKU]],Table27[customer_SKU],Table27[product_GTIN],"",0,1))</f>
        <v/>
      </c>
      <c r="Z238" s="25" t="s">
        <v>3451</v>
      </c>
      <c r="AA238" s="18" t="str" cm="1">
        <f t="array" ref="AA238">IF(P238="", "", _xlfn.XLOOKUP(P238,#REF!,#REF!,NA,0,-1))</f>
        <v/>
      </c>
      <c r="AB238" s="53"/>
      <c r="AC238" s="55" t="s">
        <v>4005</v>
      </c>
      <c r="AD238" s="55" t="str">
        <f>IF($AC238="","",_xlfn.XLOOKUP($AC238,'[2]Client Info'!$C$2:$C$2535,'[2]Client Info'!$D$2:$D$2535))</f>
        <v>300 MYSTERY LAKE ROAD</v>
      </c>
      <c r="AE238" s="55" t="str">
        <f>IF($AC239="","",_xlfn.XLOOKUP($AC239,'[2]Client Info'!$C$2:$C$2715,'[2]Client Info'!$E$2:$E$2715))</f>
        <v>Winnipeg</v>
      </c>
      <c r="AF238" s="55" t="str">
        <f>IF($AC239="","",_xlfn.XLOOKUP($AC239,'[2]Client Info'!$C$2:$C$2715,'[2]Client Info'!$F$2:$F$2715))</f>
        <v>MB</v>
      </c>
      <c r="AG238" s="55" t="s">
        <v>3992</v>
      </c>
      <c r="AH238" s="62" t="str">
        <f>_xlfn.XLOOKUP(Table26[[#This Row],[customerSKU]],customerSKU!G:G,customerSKU!K:K,"NA",0,1)</f>
        <v>NA</v>
      </c>
      <c r="AI238" s="43" t="str">
        <f>_xlfn.XLOOKUP(Table26[[#This Row],[customerSKU]],customerSKU!G:G,customerSKU!O:O,"not found",0,1)</f>
        <v>not found</v>
      </c>
      <c r="AJ238" s="53" t="e">
        <f>Table26[[#This Row],[unitprice]]*Table26[[#This Row],[quantity_unit]]</f>
        <v>#VALUE!</v>
      </c>
      <c r="AK238" s="53" t="e" cm="1">
        <f t="array" ref="AK2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39" spans="1:37" ht="18" customHeight="1">
      <c r="A239" s="42">
        <v>2006</v>
      </c>
      <c r="B239" s="58" t="s">
        <v>3520</v>
      </c>
      <c r="C239" s="53" t="s">
        <v>3360</v>
      </c>
      <c r="D239" s="51"/>
      <c r="E239" s="51"/>
      <c r="F239" s="53"/>
      <c r="G239" s="46"/>
      <c r="H239" s="53"/>
      <c r="I239" s="53" t="s">
        <v>3862</v>
      </c>
      <c r="J239" s="53" t="s">
        <v>533</v>
      </c>
      <c r="K239" s="48">
        <v>45551</v>
      </c>
      <c r="L239" s="49" t="s">
        <v>490</v>
      </c>
      <c r="M239" s="53"/>
      <c r="N239" s="77" t="str">
        <f>Table26[[#This Row],[po_number]]&amp;"-"&amp;Table26[[#This Row],[po_line]]</f>
        <v>-1</v>
      </c>
      <c r="O239" s="77">
        <v>1</v>
      </c>
      <c r="P239" s="50"/>
      <c r="Q239" s="81" t="s">
        <v>1314</v>
      </c>
      <c r="R239" s="81" t="s">
        <v>3830</v>
      </c>
      <c r="S239" s="53" t="s">
        <v>57</v>
      </c>
      <c r="T239" s="20">
        <v>45503</v>
      </c>
      <c r="U239" s="52">
        <v>12</v>
      </c>
      <c r="V239" s="53">
        <v>12</v>
      </c>
      <c r="W239" s="116">
        <f t="shared" si="6"/>
        <v>1</v>
      </c>
      <c r="X239" s="53" t="str">
        <f t="shared" si="7"/>
        <v/>
      </c>
      <c r="Y239" s="53" t="str">
        <f>IF(Table26[[#This Row],[customerSKU]]="","",_xlfn.XLOOKUP(Table26[[#This Row],[customerSKU]],Table27[customer_SKU],Table27[product_GTIN],"",0,1))</f>
        <v/>
      </c>
      <c r="Z239" s="25" t="s">
        <v>3451</v>
      </c>
      <c r="AA239" s="18" t="str" cm="1">
        <f t="array" ref="AA239">IF(P239="", "", _xlfn.XLOOKUP(P239,#REF!,#REF!,NA,0,-1))</f>
        <v/>
      </c>
      <c r="AB239" s="53"/>
      <c r="AC239" s="55" t="s">
        <v>4006</v>
      </c>
      <c r="AD239" s="55" t="str">
        <f>IF($AC239="","",_xlfn.XLOOKUP($AC239,'[2]Client Info'!$C$2:$C$2535,'[2]Client Info'!$D$2:$D$2535))</f>
        <v>2-1589 KENASTON BLVD</v>
      </c>
      <c r="AE239" s="55" t="str">
        <f>IF($AC240="","",_xlfn.XLOOKUP($AC240,'[2]Client Info'!$C$2:$C$2715,'[2]Client Info'!$E$2:$E$2715))</f>
        <v>Winnipeg</v>
      </c>
      <c r="AF239" s="55" t="str">
        <f>IF($AC240="","",_xlfn.XLOOKUP($AC240,'[2]Client Info'!$C$2:$C$2715,'[2]Client Info'!$F$2:$F$2715))</f>
        <v>MB</v>
      </c>
      <c r="AG239" s="55" t="s">
        <v>3992</v>
      </c>
      <c r="AH239" s="62" t="str">
        <f>_xlfn.XLOOKUP(Table26[[#This Row],[customerSKU]],customerSKU!G:G,customerSKU!K:K,"NA",0,1)</f>
        <v>NA</v>
      </c>
      <c r="AI239" s="43" t="str">
        <f>_xlfn.XLOOKUP(Table26[[#This Row],[customerSKU]],customerSKU!G:G,customerSKU!O:O,"not found",0,1)</f>
        <v>not found</v>
      </c>
      <c r="AJ239" s="53" t="e">
        <f>Table26[[#This Row],[unitprice]]*Table26[[#This Row],[quantity_unit]]</f>
        <v>#VALUE!</v>
      </c>
      <c r="AK239" s="53" t="e" cm="1">
        <f t="array" ref="AK2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0" spans="1:37" ht="24.6" customHeight="1">
      <c r="A240" s="42">
        <v>2007</v>
      </c>
      <c r="B240" s="58" t="s">
        <v>3520</v>
      </c>
      <c r="C240" s="53" t="s">
        <v>3360</v>
      </c>
      <c r="D240" s="51"/>
      <c r="E240" s="51"/>
      <c r="F240" s="53"/>
      <c r="G240" s="46"/>
      <c r="H240" s="53"/>
      <c r="I240" s="53" t="s">
        <v>3862</v>
      </c>
      <c r="J240" s="53" t="s">
        <v>533</v>
      </c>
      <c r="K240" s="48">
        <v>45551</v>
      </c>
      <c r="L240" s="49" t="s">
        <v>490</v>
      </c>
      <c r="M240" s="53"/>
      <c r="N240" s="77" t="str">
        <f>Table26[[#This Row],[po_number]]&amp;"-"&amp;Table26[[#This Row],[po_line]]</f>
        <v>-1</v>
      </c>
      <c r="O240" s="77">
        <v>1</v>
      </c>
      <c r="P240" s="50"/>
      <c r="Q240" s="81" t="s">
        <v>1314</v>
      </c>
      <c r="R240" s="81" t="s">
        <v>3830</v>
      </c>
      <c r="S240" s="53" t="s">
        <v>57</v>
      </c>
      <c r="T240" s="20">
        <v>45503</v>
      </c>
      <c r="U240" s="52">
        <v>12</v>
      </c>
      <c r="V240" s="53">
        <v>12</v>
      </c>
      <c r="W240" s="116">
        <f t="shared" si="6"/>
        <v>1</v>
      </c>
      <c r="X240" s="53" t="str">
        <f t="shared" si="7"/>
        <v/>
      </c>
      <c r="Y240" s="53" t="str">
        <f>IF(Table26[[#This Row],[customerSKU]]="","",_xlfn.XLOOKUP(Table26[[#This Row],[customerSKU]],Table27[customer_SKU],Table27[product_GTIN],"",0,1))</f>
        <v/>
      </c>
      <c r="Z240" s="25" t="s">
        <v>3451</v>
      </c>
      <c r="AA240" s="18" t="str" cm="1">
        <f t="array" ref="AA240">IF(P240="", "", _xlfn.XLOOKUP(P240,#REF!,#REF!,NA,0,-1))</f>
        <v/>
      </c>
      <c r="AB240" s="53"/>
      <c r="AC240" s="55" t="s">
        <v>4007</v>
      </c>
      <c r="AD240" s="55" t="str">
        <f>IF($AC240="","",_xlfn.XLOOKUP($AC240,'[2]Client Info'!$C$2:$C$2535,'[2]Client Info'!$D$2:$D$2535))</f>
        <v>UNIT 655-1615 REGENT AVE WEST</v>
      </c>
      <c r="AE240" s="55" t="str">
        <f>IF($AC241="","",_xlfn.XLOOKUP($AC241,'[2]Client Info'!$C$2:$C$2715,'[2]Client Info'!$E$2:$E$2715))</f>
        <v>Winnipeg</v>
      </c>
      <c r="AF240" s="55" t="str">
        <f>IF($AC241="","",_xlfn.XLOOKUP($AC241,'[2]Client Info'!$C$2:$C$2715,'[2]Client Info'!$F$2:$F$2715))</f>
        <v>MB</v>
      </c>
      <c r="AG240" s="55" t="s">
        <v>3992</v>
      </c>
      <c r="AH240" s="62" t="str">
        <f>_xlfn.XLOOKUP(Table26[[#This Row],[customerSKU]],customerSKU!G:G,customerSKU!K:K,"NA",0,1)</f>
        <v>NA</v>
      </c>
      <c r="AI240" s="43" t="str">
        <f>_xlfn.XLOOKUP(Table26[[#This Row],[customerSKU]],customerSKU!G:G,customerSKU!O:O,"not found",0,1)</f>
        <v>not found</v>
      </c>
      <c r="AJ240" s="53" t="e">
        <f>Table26[[#This Row],[unitprice]]*Table26[[#This Row],[quantity_unit]]</f>
        <v>#VALUE!</v>
      </c>
      <c r="AK240" s="53" t="e" cm="1">
        <f t="array" ref="AK2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1" spans="1:37" ht="24.6" customHeight="1">
      <c r="A241" s="42">
        <v>2008</v>
      </c>
      <c r="B241" s="58" t="s">
        <v>3520</v>
      </c>
      <c r="C241" s="53" t="s">
        <v>3360</v>
      </c>
      <c r="D241" s="51"/>
      <c r="E241" s="51"/>
      <c r="F241" s="53"/>
      <c r="G241" s="46"/>
      <c r="H241" s="53"/>
      <c r="I241" s="53" t="s">
        <v>3862</v>
      </c>
      <c r="J241" s="53" t="s">
        <v>533</v>
      </c>
      <c r="K241" s="48">
        <v>45551</v>
      </c>
      <c r="L241" s="49" t="s">
        <v>490</v>
      </c>
      <c r="M241" s="53"/>
      <c r="N241" s="77" t="str">
        <f>Table26[[#This Row],[po_number]]&amp;"-"&amp;Table26[[#This Row],[po_line]]</f>
        <v>-1</v>
      </c>
      <c r="O241" s="77">
        <v>1</v>
      </c>
      <c r="P241" s="50"/>
      <c r="Q241" s="81" t="s">
        <v>1314</v>
      </c>
      <c r="R241" s="81" t="s">
        <v>3830</v>
      </c>
      <c r="S241" s="53" t="s">
        <v>57</v>
      </c>
      <c r="T241" s="20">
        <v>45503</v>
      </c>
      <c r="U241" s="52">
        <v>12</v>
      </c>
      <c r="V241" s="53">
        <v>12</v>
      </c>
      <c r="W241" s="116">
        <f t="shared" si="6"/>
        <v>1</v>
      </c>
      <c r="X241" s="53" t="str">
        <f t="shared" si="7"/>
        <v/>
      </c>
      <c r="Y241" s="53" t="str">
        <f>IF(Table26[[#This Row],[customerSKU]]="","",_xlfn.XLOOKUP(Table26[[#This Row],[customerSKU]],Table27[customer_SKU],Table27[product_GTIN],"",0,1))</f>
        <v/>
      </c>
      <c r="Z241" s="25" t="s">
        <v>3451</v>
      </c>
      <c r="AA241" s="18" t="str" cm="1">
        <f t="array" ref="AA241">IF(P241="", "", _xlfn.XLOOKUP(P241,#REF!,#REF!,NA,0,-1))</f>
        <v/>
      </c>
      <c r="AB241" s="53"/>
      <c r="AC241" s="55" t="s">
        <v>4008</v>
      </c>
      <c r="AD241" s="55" t="str">
        <f>IF($AC241="","",_xlfn.XLOOKUP($AC241,'[2]Client Info'!$C$2:$C$2535,'[2]Client Info'!$D$2:$D$2535))</f>
        <v>15-1399 MCPHILLIPS ST</v>
      </c>
      <c r="AE241" s="55" t="str">
        <f>IF($AC242="","",_xlfn.XLOOKUP($AC242,'[2]Client Info'!$C$2:$C$2715,'[2]Client Info'!$E$2:$E$2715))</f>
        <v>Winnipeg</v>
      </c>
      <c r="AF241" s="55" t="str">
        <f>IF($AC242="","",_xlfn.XLOOKUP($AC242,'[2]Client Info'!$C$2:$C$2715,'[2]Client Info'!$F$2:$F$2715))</f>
        <v>MB</v>
      </c>
      <c r="AG241" s="55" t="s">
        <v>3992</v>
      </c>
      <c r="AH241" s="62" t="str">
        <f>_xlfn.XLOOKUP(Table26[[#This Row],[customerSKU]],customerSKU!G:G,customerSKU!K:K,"NA",0,1)</f>
        <v>NA</v>
      </c>
      <c r="AI241" s="43" t="str">
        <f>_xlfn.XLOOKUP(Table26[[#This Row],[customerSKU]],customerSKU!G:G,customerSKU!O:O,"not found",0,1)</f>
        <v>not found</v>
      </c>
      <c r="AJ241" s="53" t="e">
        <f>Table26[[#This Row],[unitprice]]*Table26[[#This Row],[quantity_unit]]</f>
        <v>#VALUE!</v>
      </c>
      <c r="AK241" s="53" t="e" cm="1">
        <f t="array" ref="AK2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2" spans="1:37" ht="18" customHeight="1">
      <c r="A242" s="42">
        <v>2009</v>
      </c>
      <c r="B242" s="58" t="s">
        <v>3520</v>
      </c>
      <c r="C242" s="53" t="s">
        <v>3360</v>
      </c>
      <c r="D242" s="51"/>
      <c r="E242" s="51"/>
      <c r="F242" s="53"/>
      <c r="G242" s="46"/>
      <c r="H242" s="53"/>
      <c r="I242" s="53" t="s">
        <v>3862</v>
      </c>
      <c r="J242" s="53" t="s">
        <v>533</v>
      </c>
      <c r="K242" s="48">
        <v>45551</v>
      </c>
      <c r="L242" s="49" t="s">
        <v>490</v>
      </c>
      <c r="M242" s="53"/>
      <c r="N242" s="77" t="str">
        <f>Table26[[#This Row],[po_number]]&amp;"-"&amp;Table26[[#This Row],[po_line]]</f>
        <v>-1</v>
      </c>
      <c r="O242" s="77">
        <v>1</v>
      </c>
      <c r="P242" s="50"/>
      <c r="Q242" s="81" t="s">
        <v>1314</v>
      </c>
      <c r="R242" s="81" t="s">
        <v>3830</v>
      </c>
      <c r="S242" s="53" t="s">
        <v>57</v>
      </c>
      <c r="T242" s="20">
        <v>45503</v>
      </c>
      <c r="U242" s="52">
        <v>12</v>
      </c>
      <c r="V242" s="53">
        <v>12</v>
      </c>
      <c r="W242" s="116">
        <f t="shared" si="6"/>
        <v>1</v>
      </c>
      <c r="X242" s="53" t="str">
        <f t="shared" si="7"/>
        <v/>
      </c>
      <c r="Y242" s="53" t="str">
        <f>IF(Table26[[#This Row],[customerSKU]]="","",_xlfn.XLOOKUP(Table26[[#This Row],[customerSKU]],Table27[customer_SKU],Table27[product_GTIN],"",0,1))</f>
        <v/>
      </c>
      <c r="Z242" s="25" t="s">
        <v>3451</v>
      </c>
      <c r="AA242" s="18" t="str" cm="1">
        <f t="array" ref="AA242">IF(P242="", "", _xlfn.XLOOKUP(P242,#REF!,#REF!,NA,0,-1))</f>
        <v/>
      </c>
      <c r="AB242" s="53"/>
      <c r="AC242" s="55" t="s">
        <v>4009</v>
      </c>
      <c r="AD242" s="55" t="str">
        <f>IF($AC242="","",_xlfn.XLOOKUP($AC242,'[2]Client Info'!$C$2:$C$2535,'[2]Client Info'!$D$2:$D$2535))</f>
        <v>2001 HENDERSON HWY</v>
      </c>
      <c r="AE242" s="55" t="str">
        <f>IF($AC243="","",_xlfn.XLOOKUP($AC243,'[2]Client Info'!$C$2:$C$2715,'[2]Client Info'!$E$2:$E$2715))</f>
        <v>SELKIRK</v>
      </c>
      <c r="AF242" s="55" t="str">
        <f>IF($AC243="","",_xlfn.XLOOKUP($AC243,'[2]Client Info'!$C$2:$C$2715,'[2]Client Info'!$F$2:$F$2715))</f>
        <v>MB</v>
      </c>
      <c r="AG242" s="55" t="s">
        <v>3992</v>
      </c>
      <c r="AH242" s="62" t="str">
        <f>_xlfn.XLOOKUP(Table26[[#This Row],[customerSKU]],customerSKU!G:G,customerSKU!K:K,"NA",0,1)</f>
        <v>NA</v>
      </c>
      <c r="AI242" s="43" t="str">
        <f>_xlfn.XLOOKUP(Table26[[#This Row],[customerSKU]],customerSKU!G:G,customerSKU!O:O,"not found",0,1)</f>
        <v>not found</v>
      </c>
      <c r="AJ242" s="53" t="e">
        <f>Table26[[#This Row],[unitprice]]*Table26[[#This Row],[quantity_unit]]</f>
        <v>#VALUE!</v>
      </c>
      <c r="AK242" s="53" t="e" cm="1">
        <f t="array" ref="AK2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3" spans="1:37" ht="18" customHeight="1">
      <c r="A243" s="42">
        <v>2010</v>
      </c>
      <c r="B243" s="58" t="s">
        <v>3520</v>
      </c>
      <c r="C243" s="53" t="s">
        <v>3360</v>
      </c>
      <c r="D243" s="51"/>
      <c r="E243" s="51"/>
      <c r="F243" s="53"/>
      <c r="G243" s="46"/>
      <c r="H243" s="53"/>
      <c r="I243" s="53" t="s">
        <v>3862</v>
      </c>
      <c r="J243" s="53" t="s">
        <v>533</v>
      </c>
      <c r="K243" s="48">
        <v>45551</v>
      </c>
      <c r="L243" s="49" t="s">
        <v>490</v>
      </c>
      <c r="M243" s="53"/>
      <c r="N243" s="77" t="str">
        <f>Table26[[#This Row],[po_number]]&amp;"-"&amp;Table26[[#This Row],[po_line]]</f>
        <v>-1</v>
      </c>
      <c r="O243" s="77">
        <v>1</v>
      </c>
      <c r="P243" s="50"/>
      <c r="Q243" s="81" t="s">
        <v>1314</v>
      </c>
      <c r="R243" s="81" t="s">
        <v>3830</v>
      </c>
      <c r="S243" s="53" t="s">
        <v>57</v>
      </c>
      <c r="T243" s="20">
        <v>45503</v>
      </c>
      <c r="U243" s="52">
        <v>12</v>
      </c>
      <c r="V243" s="53">
        <v>12</v>
      </c>
      <c r="W243" s="116">
        <f t="shared" si="6"/>
        <v>1</v>
      </c>
      <c r="X243" s="53" t="str">
        <f t="shared" si="7"/>
        <v/>
      </c>
      <c r="Y243" s="53" t="str">
        <f>IF(Table26[[#This Row],[customerSKU]]="","",_xlfn.XLOOKUP(Table26[[#This Row],[customerSKU]],Table27[customer_SKU],Table27[product_GTIN],"",0,1))</f>
        <v/>
      </c>
      <c r="Z243" s="25" t="s">
        <v>3451</v>
      </c>
      <c r="AA243" s="18" t="str" cm="1">
        <f t="array" ref="AA243">IF(P243="", "", _xlfn.XLOOKUP(P243,#REF!,#REF!,NA,0,-1))</f>
        <v/>
      </c>
      <c r="AB243" s="53"/>
      <c r="AC243" s="55" t="s">
        <v>4010</v>
      </c>
      <c r="AD243" s="55" t="str">
        <f>IF($AC243="","",_xlfn.XLOOKUP($AC243,'[2]Client Info'!$C$2:$C$2535,'[2]Client Info'!$D$2:$D$2535))</f>
        <v>379 MAIN ST</v>
      </c>
      <c r="AE243" s="55" t="e">
        <f>IF(#REF!="","",_xlfn.XLOOKUP(#REF!,'[2]Client Info'!$C$2:$C$2715,'[2]Client Info'!$E$2:$E$2715))</f>
        <v>#REF!</v>
      </c>
      <c r="AF243" s="55" t="e">
        <f>IF(#REF!="","",_xlfn.XLOOKUP(#REF!,'[2]Client Info'!$C$2:$C$2715,'[2]Client Info'!$F$2:$F$2715))</f>
        <v>#REF!</v>
      </c>
      <c r="AG243" s="55" t="s">
        <v>3992</v>
      </c>
      <c r="AH243" s="62" t="str">
        <f>_xlfn.XLOOKUP(Table26[[#This Row],[customerSKU]],customerSKU!G:G,customerSKU!K:K,"NA",0,1)</f>
        <v>NA</v>
      </c>
      <c r="AI243" s="43" t="str">
        <f>_xlfn.XLOOKUP(Table26[[#This Row],[customerSKU]],customerSKU!G:G,customerSKU!O:O,"not found",0,1)</f>
        <v>not found</v>
      </c>
      <c r="AJ243" s="53" t="e">
        <f>Table26[[#This Row],[unitprice]]*Table26[[#This Row],[quantity_unit]]</f>
        <v>#VALUE!</v>
      </c>
      <c r="AK243" s="53" t="e" cm="1">
        <f t="array" ref="AK2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4" spans="1:37" ht="18" customHeight="1">
      <c r="A244" s="42">
        <v>2011</v>
      </c>
      <c r="B244" s="58" t="s">
        <v>3520</v>
      </c>
      <c r="C244" s="53" t="s">
        <v>3360</v>
      </c>
      <c r="D244" s="51"/>
      <c r="E244" s="51"/>
      <c r="F244" s="53"/>
      <c r="G244" s="46"/>
      <c r="H244" s="53"/>
      <c r="I244" s="53" t="s">
        <v>3862</v>
      </c>
      <c r="J244" s="53" t="s">
        <v>533</v>
      </c>
      <c r="K244" s="48">
        <v>45551</v>
      </c>
      <c r="L244" s="49" t="s">
        <v>490</v>
      </c>
      <c r="M244" s="53"/>
      <c r="N244" s="77" t="str">
        <f>Table26[[#This Row],[po_number]]&amp;"-"&amp;Table26[[#This Row],[po_line]]</f>
        <v>-1</v>
      </c>
      <c r="O244" s="77">
        <v>1</v>
      </c>
      <c r="P244" s="50"/>
      <c r="Q244" s="81" t="s">
        <v>1314</v>
      </c>
      <c r="R244" s="81" t="s">
        <v>3830</v>
      </c>
      <c r="S244" s="53" t="s">
        <v>57</v>
      </c>
      <c r="T244" s="20">
        <v>45503</v>
      </c>
      <c r="U244" s="52">
        <v>12</v>
      </c>
      <c r="V244" s="53">
        <v>12</v>
      </c>
      <c r="W244" s="116">
        <f t="shared" si="6"/>
        <v>1</v>
      </c>
      <c r="X244" s="53" t="str">
        <f t="shared" si="7"/>
        <v/>
      </c>
      <c r="Y244" s="53" t="str">
        <f>IF(Table26[[#This Row],[customerSKU]]="","",_xlfn.XLOOKUP(Table26[[#This Row],[customerSKU]],Table27[customer_SKU],Table27[product_GTIN],"",0,1))</f>
        <v/>
      </c>
      <c r="Z244" s="25" t="s">
        <v>3451</v>
      </c>
      <c r="AA244" s="18" t="str" cm="1">
        <f t="array" ref="AA244">IF(P244="", "", _xlfn.XLOOKUP(P244,#REF!,#REF!,NA,0,-1))</f>
        <v/>
      </c>
      <c r="AB244" s="53"/>
      <c r="AC244" s="55" t="s">
        <v>4011</v>
      </c>
      <c r="AD244" s="55" t="str">
        <f>IF($AC244="","",_xlfn.XLOOKUP($AC244,'[2]Client Info'!$C$2:$C$2535,'[2]Client Info'!$D$2:$D$2535))</f>
        <v>2081 PEMBINA HWY</v>
      </c>
      <c r="AE244" s="55" t="str">
        <f>IF($AC245="","",_xlfn.XLOOKUP($AC245,'[2]Client Info'!$C$2:$C$2715,'[2]Client Info'!$E$2:$E$2715))</f>
        <v>WINNIPEG</v>
      </c>
      <c r="AF244" s="55" t="str">
        <f>IF($AC245="","",_xlfn.XLOOKUP($AC245,'[2]Client Info'!$C$2:$C$2715,'[2]Client Info'!$F$2:$F$2715))</f>
        <v>MB</v>
      </c>
      <c r="AG244" s="55" t="s">
        <v>3992</v>
      </c>
      <c r="AH244" s="62" t="str">
        <f>_xlfn.XLOOKUP(Table26[[#This Row],[customerSKU]],customerSKU!G:G,customerSKU!K:K,"NA",0,1)</f>
        <v>NA</v>
      </c>
      <c r="AI244" s="43" t="str">
        <f>_xlfn.XLOOKUP(Table26[[#This Row],[customerSKU]],customerSKU!G:G,customerSKU!O:O,"not found",0,1)</f>
        <v>not found</v>
      </c>
      <c r="AJ244" s="53" t="e">
        <f>Table26[[#This Row],[unitprice]]*Table26[[#This Row],[quantity_unit]]</f>
        <v>#VALUE!</v>
      </c>
      <c r="AK244" s="53" t="e" cm="1">
        <f t="array" ref="AK2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5" spans="1:37" ht="18" customHeight="1">
      <c r="A245" s="42">
        <v>2012</v>
      </c>
      <c r="B245" s="58" t="s">
        <v>3520</v>
      </c>
      <c r="C245" s="53" t="s">
        <v>3360</v>
      </c>
      <c r="D245" s="51"/>
      <c r="E245" s="51"/>
      <c r="F245" s="53"/>
      <c r="G245" s="46"/>
      <c r="H245" s="53"/>
      <c r="I245" s="53" t="s">
        <v>3862</v>
      </c>
      <c r="J245" s="53" t="s">
        <v>533</v>
      </c>
      <c r="K245" s="48">
        <v>45551</v>
      </c>
      <c r="L245" s="49" t="s">
        <v>490</v>
      </c>
      <c r="M245" s="53"/>
      <c r="N245" s="77" t="str">
        <f>Table26[[#This Row],[po_number]]&amp;"-"&amp;Table26[[#This Row],[po_line]]</f>
        <v>-1</v>
      </c>
      <c r="O245" s="77">
        <v>1</v>
      </c>
      <c r="P245" s="50"/>
      <c r="Q245" s="81" t="s">
        <v>1314</v>
      </c>
      <c r="R245" s="81" t="s">
        <v>3830</v>
      </c>
      <c r="S245" s="53" t="s">
        <v>57</v>
      </c>
      <c r="T245" s="20">
        <v>45503</v>
      </c>
      <c r="U245" s="52">
        <v>12</v>
      </c>
      <c r="V245" s="53">
        <v>12</v>
      </c>
      <c r="W245" s="116">
        <f t="shared" si="6"/>
        <v>1</v>
      </c>
      <c r="X245" s="53" t="str">
        <f t="shared" si="7"/>
        <v/>
      </c>
      <c r="Y245" s="53" t="str">
        <f>IF(Table26[[#This Row],[customerSKU]]="","",_xlfn.XLOOKUP(Table26[[#This Row],[customerSKU]],Table27[customer_SKU],Table27[product_GTIN],"",0,1))</f>
        <v/>
      </c>
      <c r="Z245" s="25" t="s">
        <v>3451</v>
      </c>
      <c r="AA245" s="18" t="str" cm="1">
        <f t="array" ref="AA245">IF(P245="", "", _xlfn.XLOOKUP(P245,#REF!,#REF!,NA,0,-1))</f>
        <v/>
      </c>
      <c r="AB245" s="53"/>
      <c r="AC245" s="55" t="s">
        <v>4012</v>
      </c>
      <c r="AD245" s="55" t="str">
        <f>IF($AC245="","",_xlfn.XLOOKUP($AC245,'[2]Client Info'!$C$2:$C$2535,'[2]Client Info'!$D$2:$D$2535))</f>
        <v>1719 PORTAGE AVE</v>
      </c>
      <c r="AE245" s="55" t="str">
        <f>IF($AC246="","",_xlfn.XLOOKUP($AC246,'[2]Client Info'!$C$2:$C$2715,'[2]Client Info'!$E$2:$E$2715))</f>
        <v>Winnipeg</v>
      </c>
      <c r="AF245" s="55" t="str">
        <f>IF($AC246="","",_xlfn.XLOOKUP($AC246,'[2]Client Info'!$C$2:$C$2715,'[2]Client Info'!$F$2:$F$2715))</f>
        <v>MB</v>
      </c>
      <c r="AG245" s="55" t="s">
        <v>3992</v>
      </c>
      <c r="AH245" s="62" t="str">
        <f>_xlfn.XLOOKUP(Table26[[#This Row],[customerSKU]],customerSKU!G:G,customerSKU!K:K,"NA",0,1)</f>
        <v>NA</v>
      </c>
      <c r="AI245" s="43" t="str">
        <f>_xlfn.XLOOKUP(Table26[[#This Row],[customerSKU]],customerSKU!G:G,customerSKU!O:O,"not found",0,1)</f>
        <v>not found</v>
      </c>
      <c r="AJ245" s="53" t="e">
        <f>Table26[[#This Row],[unitprice]]*Table26[[#This Row],[quantity_unit]]</f>
        <v>#VALUE!</v>
      </c>
      <c r="AK245" s="53" t="e" cm="1">
        <f t="array" ref="AK2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6" spans="1:37" ht="18" customHeight="1">
      <c r="A246" s="42">
        <v>2013</v>
      </c>
      <c r="B246" s="58" t="s">
        <v>3520</v>
      </c>
      <c r="C246" s="53" t="s">
        <v>3360</v>
      </c>
      <c r="D246" s="51"/>
      <c r="E246" s="51"/>
      <c r="F246" s="53"/>
      <c r="G246" s="46"/>
      <c r="H246" s="53"/>
      <c r="I246" s="53" t="s">
        <v>3862</v>
      </c>
      <c r="J246" s="53" t="s">
        <v>533</v>
      </c>
      <c r="K246" s="48">
        <v>45551</v>
      </c>
      <c r="L246" s="49" t="s">
        <v>490</v>
      </c>
      <c r="M246" s="53"/>
      <c r="N246" s="77" t="str">
        <f>Table26[[#This Row],[po_number]]&amp;"-"&amp;Table26[[#This Row],[po_line]]</f>
        <v>-1</v>
      </c>
      <c r="O246" s="77">
        <v>1</v>
      </c>
      <c r="P246" s="50"/>
      <c r="Q246" s="81" t="s">
        <v>1314</v>
      </c>
      <c r="R246" s="81" t="s">
        <v>3830</v>
      </c>
      <c r="S246" s="53" t="s">
        <v>57</v>
      </c>
      <c r="T246" s="20">
        <v>45503</v>
      </c>
      <c r="U246" s="52">
        <v>12</v>
      </c>
      <c r="V246" s="53">
        <v>12</v>
      </c>
      <c r="W246" s="116">
        <f t="shared" si="6"/>
        <v>1</v>
      </c>
      <c r="X246" s="53" t="str">
        <f t="shared" si="7"/>
        <v/>
      </c>
      <c r="Y246" s="53" t="str">
        <f>IF(Table26[[#This Row],[customerSKU]]="","",_xlfn.XLOOKUP(Table26[[#This Row],[customerSKU]],Table27[customer_SKU],Table27[product_GTIN],"",0,1))</f>
        <v/>
      </c>
      <c r="Z246" s="25" t="s">
        <v>3451</v>
      </c>
      <c r="AA246" s="18" t="str" cm="1">
        <f t="array" ref="AA246">IF(P246="", "", _xlfn.XLOOKUP(P246,#REF!,#REF!,NA,0,-1))</f>
        <v/>
      </c>
      <c r="AB246" s="53"/>
      <c r="AC246" s="55" t="s">
        <v>4013</v>
      </c>
      <c r="AD246" s="55" t="str">
        <f>IF($AC246="","",_xlfn.XLOOKUP($AC246,'[2]Client Info'!$C$2:$C$2535,'[2]Client Info'!$D$2:$D$2535))</f>
        <v>UNIT 10&amp;11-3421 PORTAGE AVE</v>
      </c>
      <c r="AE246" s="55" t="str">
        <f>IF($AC247="","",_xlfn.XLOOKUP($AC247,'[2]Client Info'!$C$2:$C$2715,'[2]Client Info'!$E$2:$E$2715))</f>
        <v>DAUPHIN</v>
      </c>
      <c r="AF246" s="55" t="str">
        <f>IF($AC247="","",_xlfn.XLOOKUP($AC247,'[2]Client Info'!$C$2:$C$2715,'[2]Client Info'!$F$2:$F$2715))</f>
        <v>MB</v>
      </c>
      <c r="AG246" s="55" t="s">
        <v>3992</v>
      </c>
      <c r="AH246" s="62" t="str">
        <f>_xlfn.XLOOKUP(Table26[[#This Row],[customerSKU]],customerSKU!G:G,customerSKU!K:K,"NA",0,1)</f>
        <v>NA</v>
      </c>
      <c r="AI246" s="43" t="str">
        <f>_xlfn.XLOOKUP(Table26[[#This Row],[customerSKU]],customerSKU!G:G,customerSKU!O:O,"not found",0,1)</f>
        <v>not found</v>
      </c>
      <c r="AJ246" s="53" t="e">
        <f>Table26[[#This Row],[unitprice]]*Table26[[#This Row],[quantity_unit]]</f>
        <v>#VALUE!</v>
      </c>
      <c r="AK246" s="53" t="e" cm="1">
        <f t="array" ref="AK2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7" spans="1:37" ht="18" customHeight="1">
      <c r="A247" s="42">
        <v>2014</v>
      </c>
      <c r="B247" s="58" t="s">
        <v>3520</v>
      </c>
      <c r="C247" s="53" t="s">
        <v>3360</v>
      </c>
      <c r="D247" s="51"/>
      <c r="E247" s="51"/>
      <c r="F247" s="53"/>
      <c r="G247" s="46"/>
      <c r="H247" s="53"/>
      <c r="I247" s="53" t="s">
        <v>3862</v>
      </c>
      <c r="J247" s="53" t="s">
        <v>533</v>
      </c>
      <c r="K247" s="48">
        <v>45551</v>
      </c>
      <c r="L247" s="49" t="s">
        <v>490</v>
      </c>
      <c r="M247" s="53"/>
      <c r="N247" s="77" t="str">
        <f>Table26[[#This Row],[po_number]]&amp;"-"&amp;Table26[[#This Row],[po_line]]</f>
        <v>-1</v>
      </c>
      <c r="O247" s="77">
        <v>1</v>
      </c>
      <c r="P247" s="50"/>
      <c r="Q247" s="81" t="s">
        <v>1314</v>
      </c>
      <c r="R247" s="81" t="s">
        <v>3830</v>
      </c>
      <c r="S247" s="53" t="s">
        <v>57</v>
      </c>
      <c r="T247" s="20">
        <v>45503</v>
      </c>
      <c r="U247" s="52">
        <v>12</v>
      </c>
      <c r="V247" s="53">
        <v>12</v>
      </c>
      <c r="W247" s="116">
        <f t="shared" si="6"/>
        <v>1</v>
      </c>
      <c r="X247" s="53" t="str">
        <f t="shared" si="7"/>
        <v/>
      </c>
      <c r="Y247" s="53" t="str">
        <f>IF(Table26[[#This Row],[customerSKU]]="","",_xlfn.XLOOKUP(Table26[[#This Row],[customerSKU]],Table27[customer_SKU],Table27[product_GTIN],"",0,1))</f>
        <v/>
      </c>
      <c r="Z247" s="25" t="s">
        <v>3451</v>
      </c>
      <c r="AA247" s="18" t="str" cm="1">
        <f t="array" ref="AA247">IF(P247="", "", _xlfn.XLOOKUP(P247,#REF!,#REF!,NA,0,-1))</f>
        <v/>
      </c>
      <c r="AB247" s="53"/>
      <c r="AC247" s="55" t="s">
        <v>4014</v>
      </c>
      <c r="AD247" s="55" t="str">
        <f>IF($AC247="","",_xlfn.XLOOKUP($AC247,'[2]Client Info'!$C$2:$C$2535,'[2]Client Info'!$D$2:$D$2535))</f>
        <v>UNIT 2-1351 MAIN ST</v>
      </c>
      <c r="AE247" s="55" t="str">
        <f>IF($AC248="","",_xlfn.XLOOKUP($AC248,'[2]Client Info'!$C$2:$C$2715,'[2]Client Info'!$E$2:$E$2715))</f>
        <v>Winnipeg</v>
      </c>
      <c r="AF247" s="55" t="str">
        <f>IF($AC248="","",_xlfn.XLOOKUP($AC248,'[2]Client Info'!$C$2:$C$2715,'[2]Client Info'!$F$2:$F$2715))</f>
        <v>MB</v>
      </c>
      <c r="AG247" s="55" t="s">
        <v>3992</v>
      </c>
      <c r="AH247" s="62" t="str">
        <f>_xlfn.XLOOKUP(Table26[[#This Row],[customerSKU]],customerSKU!G:G,customerSKU!K:K,"NA",0,1)</f>
        <v>NA</v>
      </c>
      <c r="AI247" s="43" t="str">
        <f>_xlfn.XLOOKUP(Table26[[#This Row],[customerSKU]],customerSKU!G:G,customerSKU!O:O,"not found",0,1)</f>
        <v>not found</v>
      </c>
      <c r="AJ247" s="53" t="e">
        <f>Table26[[#This Row],[unitprice]]*Table26[[#This Row],[quantity_unit]]</f>
        <v>#VALUE!</v>
      </c>
      <c r="AK247" s="53" t="e" cm="1">
        <f t="array" ref="AK2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8" spans="1:37" ht="18" customHeight="1">
      <c r="A248" s="42">
        <v>2015</v>
      </c>
      <c r="B248" s="58" t="s">
        <v>3520</v>
      </c>
      <c r="C248" s="53" t="s">
        <v>3360</v>
      </c>
      <c r="D248" s="51"/>
      <c r="E248" s="51"/>
      <c r="F248" s="53"/>
      <c r="G248" s="46"/>
      <c r="H248" s="53"/>
      <c r="I248" s="53" t="s">
        <v>3862</v>
      </c>
      <c r="J248" s="53" t="s">
        <v>533</v>
      </c>
      <c r="K248" s="48">
        <v>45551</v>
      </c>
      <c r="L248" s="49" t="s">
        <v>490</v>
      </c>
      <c r="M248" s="53"/>
      <c r="N248" s="77" t="str">
        <f>Table26[[#This Row],[po_number]]&amp;"-"&amp;Table26[[#This Row],[po_line]]</f>
        <v>-1</v>
      </c>
      <c r="O248" s="77">
        <v>1</v>
      </c>
      <c r="P248" s="50"/>
      <c r="Q248" s="81" t="s">
        <v>1314</v>
      </c>
      <c r="R248" s="81" t="s">
        <v>3830</v>
      </c>
      <c r="S248" s="53" t="s">
        <v>57</v>
      </c>
      <c r="T248" s="20">
        <v>45503</v>
      </c>
      <c r="U248" s="52">
        <v>12</v>
      </c>
      <c r="V248" s="53">
        <v>12</v>
      </c>
      <c r="W248" s="116">
        <f t="shared" si="6"/>
        <v>1</v>
      </c>
      <c r="X248" s="53" t="str">
        <f t="shared" si="7"/>
        <v/>
      </c>
      <c r="Y248" s="53" t="str">
        <f>IF(Table26[[#This Row],[customerSKU]]="","",_xlfn.XLOOKUP(Table26[[#This Row],[customerSKU]],Table27[customer_SKU],Table27[product_GTIN],"",0,1))</f>
        <v/>
      </c>
      <c r="Z248" s="25" t="s">
        <v>3451</v>
      </c>
      <c r="AA248" s="18" t="str" cm="1">
        <f t="array" ref="AA248">IF(P248="", "", _xlfn.XLOOKUP(P248,#REF!,#REF!,NA,0,-1))</f>
        <v/>
      </c>
      <c r="AB248" s="53"/>
      <c r="AC248" s="55" t="s">
        <v>4015</v>
      </c>
      <c r="AD248" s="55" t="str">
        <f>IF($AC248="","",_xlfn.XLOOKUP($AC248,'[2]Client Info'!$C$2:$C$2535,'[2]Client Info'!$D$2:$D$2535))</f>
        <v>UNIT A-78 MARION ST</v>
      </c>
      <c r="AE248" s="55" t="str">
        <f>IF($AC249="","",_xlfn.XLOOKUP($AC249,'[2]Client Info'!$C$2:$C$2715,'[2]Client Info'!$E$2:$E$2715))</f>
        <v>WINNIPEG</v>
      </c>
      <c r="AF248" s="55" t="str">
        <f>IF($AC249="","",_xlfn.XLOOKUP($AC249,'[2]Client Info'!$C$2:$C$2715,'[2]Client Info'!$F$2:$F$2715))</f>
        <v>MB</v>
      </c>
      <c r="AG248" s="55" t="s">
        <v>3992</v>
      </c>
      <c r="AH248" s="62" t="str">
        <f>_xlfn.XLOOKUP(Table26[[#This Row],[customerSKU]],customerSKU!G:G,customerSKU!K:K,"NA",0,1)</f>
        <v>NA</v>
      </c>
      <c r="AI248" s="43" t="str">
        <f>_xlfn.XLOOKUP(Table26[[#This Row],[customerSKU]],customerSKU!G:G,customerSKU!O:O,"not found",0,1)</f>
        <v>not found</v>
      </c>
      <c r="AJ248" s="53" t="e">
        <f>Table26[[#This Row],[unitprice]]*Table26[[#This Row],[quantity_unit]]</f>
        <v>#VALUE!</v>
      </c>
      <c r="AK248" s="53" t="e" cm="1">
        <f t="array" ref="AK2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49" spans="1:37" ht="24.6" customHeight="1">
      <c r="A249" s="42">
        <v>2016</v>
      </c>
      <c r="B249" s="58" t="s">
        <v>3520</v>
      </c>
      <c r="C249" s="53" t="s">
        <v>3360</v>
      </c>
      <c r="D249" s="51"/>
      <c r="E249" s="51"/>
      <c r="F249" s="53"/>
      <c r="G249" s="46"/>
      <c r="H249" s="53"/>
      <c r="I249" s="53" t="s">
        <v>3862</v>
      </c>
      <c r="J249" s="53" t="s">
        <v>533</v>
      </c>
      <c r="K249" s="48">
        <v>45551</v>
      </c>
      <c r="L249" s="49" t="s">
        <v>490</v>
      </c>
      <c r="M249" s="53"/>
      <c r="N249" s="77" t="str">
        <f>Table26[[#This Row],[po_number]]&amp;"-"&amp;Table26[[#This Row],[po_line]]</f>
        <v>-1</v>
      </c>
      <c r="O249" s="77">
        <v>1</v>
      </c>
      <c r="P249" s="50"/>
      <c r="Q249" s="81" t="s">
        <v>1314</v>
      </c>
      <c r="R249" s="81" t="s">
        <v>3830</v>
      </c>
      <c r="S249" s="53" t="s">
        <v>57</v>
      </c>
      <c r="T249" s="20">
        <v>45503</v>
      </c>
      <c r="U249" s="52">
        <v>12</v>
      </c>
      <c r="V249" s="53">
        <v>12</v>
      </c>
      <c r="W249" s="116">
        <f t="shared" si="6"/>
        <v>1</v>
      </c>
      <c r="X249" s="53" t="str">
        <f t="shared" si="7"/>
        <v/>
      </c>
      <c r="Y249" s="53" t="str">
        <f>IF(Table26[[#This Row],[customerSKU]]="","",_xlfn.XLOOKUP(Table26[[#This Row],[customerSKU]],Table27[customer_SKU],Table27[product_GTIN],"",0,1))</f>
        <v/>
      </c>
      <c r="Z249" s="25" t="s">
        <v>3451</v>
      </c>
      <c r="AA249" s="18" t="str" cm="1">
        <f t="array" ref="AA249">IF(P249="", "", _xlfn.XLOOKUP(P249,#REF!,#REF!,NA,0,-1))</f>
        <v/>
      </c>
      <c r="AB249" s="53"/>
      <c r="AC249" s="55" t="s">
        <v>4016</v>
      </c>
      <c r="AD249" s="55" t="str">
        <f>IF($AC249="","",_xlfn.XLOOKUP($AC249,'[2]Client Info'!$C$2:$C$2535,'[2]Client Info'!$D$2:$D$2535))</f>
        <v>625 SARGENT AVE</v>
      </c>
      <c r="AE249" s="55" t="e">
        <f>IF($AC250="","",_xlfn.XLOOKUP($AC250,'[2]Client Info'!$C$2:$C$2715,'[2]Client Info'!$E$2:$E$2715))</f>
        <v>#N/A</v>
      </c>
      <c r="AF249" s="55" t="e">
        <f>IF($AC250="","",_xlfn.XLOOKUP($AC250,'[2]Client Info'!$C$2:$C$2715,'[2]Client Info'!$F$2:$F$2715))</f>
        <v>#N/A</v>
      </c>
      <c r="AG249" s="55" t="s">
        <v>3992</v>
      </c>
      <c r="AH249" s="62" t="str">
        <f>_xlfn.XLOOKUP(Table26[[#This Row],[customerSKU]],customerSKU!G:G,customerSKU!K:K,"NA",0,1)</f>
        <v>NA</v>
      </c>
      <c r="AI249" s="43" t="str">
        <f>_xlfn.XLOOKUP(Table26[[#This Row],[customerSKU]],customerSKU!G:G,customerSKU!O:O,"not found",0,1)</f>
        <v>not found</v>
      </c>
      <c r="AJ249" s="53" t="e">
        <f>Table26[[#This Row],[unitprice]]*Table26[[#This Row],[quantity_unit]]</f>
        <v>#VALUE!</v>
      </c>
      <c r="AK249" s="53" t="e" cm="1">
        <f t="array" ref="AK2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250" spans="1:37" ht="24.6" customHeight="1">
      <c r="A250" s="42">
        <v>1975</v>
      </c>
      <c r="B250" s="58" t="s">
        <v>3520</v>
      </c>
      <c r="C250" s="53" t="s">
        <v>203</v>
      </c>
      <c r="D250" s="51"/>
      <c r="E250" s="51"/>
      <c r="F250" s="53"/>
      <c r="G250" s="46"/>
      <c r="H250" s="53"/>
      <c r="I250" s="53" t="s">
        <v>3775</v>
      </c>
      <c r="J250" s="53" t="s">
        <v>3797</v>
      </c>
      <c r="K250" s="48">
        <v>45552</v>
      </c>
      <c r="L250" s="49" t="s">
        <v>3417</v>
      </c>
      <c r="M250" s="53"/>
      <c r="N250" s="77" t="str">
        <f>Table26[[#This Row],[po_number]]&amp;"-"&amp;Table26[[#This Row],[po_line]]</f>
        <v>-1</v>
      </c>
      <c r="O250" s="77">
        <v>1</v>
      </c>
      <c r="P250" s="50"/>
      <c r="Q250" s="53" t="s">
        <v>934</v>
      </c>
      <c r="R250" s="53"/>
      <c r="S250" s="53"/>
      <c r="T250" s="51">
        <v>45094</v>
      </c>
      <c r="U250" s="52">
        <v>1</v>
      </c>
      <c r="V250" s="53"/>
      <c r="W250" s="116" t="str">
        <f t="shared" si="6"/>
        <v/>
      </c>
      <c r="X250" s="53" t="str">
        <f t="shared" si="7"/>
        <v/>
      </c>
      <c r="Y250" s="53"/>
      <c r="Z250" s="60"/>
      <c r="AA250" s="18" t="str" cm="1">
        <f t="array" ref="AA250">IF(P250="", "", _xlfn.XLOOKUP(P250,#REF!,#REF!,NA,0,-1))</f>
        <v/>
      </c>
      <c r="AB250" s="53"/>
      <c r="AC250" s="55" t="s">
        <v>3798</v>
      </c>
      <c r="AD250" s="55" t="e">
        <f>IF($AC250="","",_xlfn.XLOOKUP($AC250,'[2]Client Info'!$C$2:$C$2535,'[2]Client Info'!$D$2:$D$2535))</f>
        <v>#N/A</v>
      </c>
      <c r="AE250" s="55" t="e">
        <f>IF($AC250="","",_xlfn.XLOOKUP($AC250,'[2]Client Info'!$C$2:$C$2715,'[2]Client Info'!$E$2:$E$2715))</f>
        <v>#N/A</v>
      </c>
      <c r="AF250" s="55" t="e">
        <f>IF($AC250="","",_xlfn.XLOOKUP($AC250,'[2]Client Info'!$C$2:$C$2715,'[2]Client Info'!$F$2:$F$2715))</f>
        <v>#N/A</v>
      </c>
      <c r="AG250" s="55"/>
      <c r="AH250" s="62"/>
      <c r="AI250" s="43" t="str">
        <f>_xlfn.XLOOKUP(Table26[[#This Row],[customerSKU]],customerSKU!G:G,customerSKU!O:O,"not found",0,1)</f>
        <v>not found</v>
      </c>
      <c r="AJ250" s="53">
        <f>Table26[[#This Row],[unitprice]]*Table26[[#This Row],[quantity_unit]]</f>
        <v>0</v>
      </c>
      <c r="AK250" s="53" t="e" cm="1">
        <f t="array" ref="AK2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51" spans="1:37" ht="24.6" customHeight="1">
      <c r="A251" s="42">
        <v>1976</v>
      </c>
      <c r="B251" s="58" t="s">
        <v>3520</v>
      </c>
      <c r="C251" s="53" t="s">
        <v>203</v>
      </c>
      <c r="D251" s="51"/>
      <c r="E251" s="51"/>
      <c r="F251" s="53"/>
      <c r="G251" s="46"/>
      <c r="H251" s="53"/>
      <c r="I251" s="53" t="s">
        <v>3775</v>
      </c>
      <c r="J251" s="53" t="s">
        <v>3797</v>
      </c>
      <c r="K251" s="48">
        <v>45552</v>
      </c>
      <c r="L251" s="49" t="s">
        <v>3417</v>
      </c>
      <c r="M251" s="53"/>
      <c r="N251" s="77" t="str">
        <f>Table26[[#This Row],[po_number]]&amp;"-"&amp;Table26[[#This Row],[po_line]]</f>
        <v>-2</v>
      </c>
      <c r="O251" s="77">
        <v>2</v>
      </c>
      <c r="P251" s="50"/>
      <c r="Q251" s="53" t="s">
        <v>3799</v>
      </c>
      <c r="R251" s="53"/>
      <c r="S251" s="53"/>
      <c r="T251" s="51">
        <v>45467</v>
      </c>
      <c r="U251" s="52">
        <v>1</v>
      </c>
      <c r="V251" s="53"/>
      <c r="W251" s="116" t="str">
        <f t="shared" si="6"/>
        <v/>
      </c>
      <c r="X251" s="53" t="str">
        <f t="shared" si="7"/>
        <v/>
      </c>
      <c r="Y251" s="53"/>
      <c r="Z251" s="60"/>
      <c r="AA251" s="18" t="str" cm="1">
        <f t="array" ref="AA251">IF(P251="", "", _xlfn.XLOOKUP(P251,#REF!,#REF!,NA,0,-1))</f>
        <v/>
      </c>
      <c r="AB251" s="53"/>
      <c r="AC251" s="55" t="s">
        <v>3798</v>
      </c>
      <c r="AD251" s="55" t="e">
        <f>IF($AC251="","",_xlfn.XLOOKUP($AC251,'[2]Client Info'!$C$2:$C$2535,'[2]Client Info'!$D$2:$D$2535))</f>
        <v>#N/A</v>
      </c>
      <c r="AE251" s="55" t="e">
        <f>IF($AC251="","",_xlfn.XLOOKUP($AC251,'[2]Client Info'!$C$2:$C$2715,'[2]Client Info'!$E$2:$E$2715))</f>
        <v>#N/A</v>
      </c>
      <c r="AF251" s="55" t="e">
        <f>IF($AC251="","",_xlfn.XLOOKUP($AC251,'[2]Client Info'!$C$2:$C$2715,'[2]Client Info'!$F$2:$F$2715))</f>
        <v>#N/A</v>
      </c>
      <c r="AG251" s="55"/>
      <c r="AH251" s="62"/>
      <c r="AI251" s="43" t="str">
        <f>_xlfn.XLOOKUP(Table26[[#This Row],[customerSKU]],customerSKU!G:G,customerSKU!O:O,"not found",0,1)</f>
        <v>not found</v>
      </c>
      <c r="AJ251" s="53">
        <f>Table26[[#This Row],[unitprice]]*Table26[[#This Row],[quantity_unit]]</f>
        <v>0</v>
      </c>
      <c r="AK251" s="53" t="e" cm="1">
        <f t="array" ref="AK2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252" spans="1:37" ht="18" customHeight="1">
      <c r="A252" s="42">
        <v>1977</v>
      </c>
      <c r="B252" s="249" t="s">
        <v>3837</v>
      </c>
      <c r="C252" s="90" t="s">
        <v>203</v>
      </c>
      <c r="D252" s="235"/>
      <c r="E252" s="235"/>
      <c r="F252" s="90"/>
      <c r="G252" s="119"/>
      <c r="H252" s="90"/>
      <c r="I252" s="90" t="s">
        <v>3862</v>
      </c>
      <c r="J252" s="90" t="s">
        <v>503</v>
      </c>
      <c r="K252" s="232">
        <v>45552</v>
      </c>
      <c r="L252" s="233" t="s">
        <v>4073</v>
      </c>
      <c r="M252" s="90"/>
      <c r="N252" s="55" t="str">
        <f>Table26[[#This Row],[po_number]]&amp;"-"&amp;Table26[[#This Row],[po_line]]</f>
        <v>-1</v>
      </c>
      <c r="O252" s="55">
        <v>1</v>
      </c>
      <c r="P252" s="234"/>
      <c r="Q252" s="242" t="s">
        <v>828</v>
      </c>
      <c r="R252" s="90" t="s">
        <v>3830</v>
      </c>
      <c r="S252" s="90" t="s">
        <v>13</v>
      </c>
      <c r="T252" s="20">
        <v>45541</v>
      </c>
      <c r="U252" s="236">
        <v>12</v>
      </c>
      <c r="V252" s="90">
        <v>12</v>
      </c>
      <c r="W252" s="237">
        <f t="shared" si="6"/>
        <v>1</v>
      </c>
      <c r="X252" s="90" t="str">
        <f t="shared" si="7"/>
        <v/>
      </c>
      <c r="Y252" s="90"/>
      <c r="Z252" s="60"/>
      <c r="AA252" s="18" t="str" cm="1">
        <f t="array" ref="AA252">IF(P252="", "", _xlfn.XLOOKUP(P252,#REF!,#REF!,NA,0,-1))</f>
        <v/>
      </c>
      <c r="AB252" s="231"/>
      <c r="AC252" s="55" t="s">
        <v>3496</v>
      </c>
      <c r="AD252" s="55" t="str">
        <f>IF($AC252="","",_xlfn.XLOOKUP($AC252,'[2]Client Info'!$C$2:$C$2535,'[2]Client Info'!$D$2:$D$2535))</f>
        <v>11939 240th Street</v>
      </c>
      <c r="AE252" s="55" t="str">
        <f>IF($AC252="","",_xlfn.XLOOKUP($AC252,'[2]Client Info'!$C$2:$C$2715,'[2]Client Info'!$E$2:$E$2715))</f>
        <v>Maple Ridge</v>
      </c>
      <c r="AF252" s="55" t="str">
        <f>IF($AC252="","",_xlfn.XLOOKUP($AC252,'[2]Client Info'!$C$2:$C$2715,'[2]Client Info'!$F$2:$F$2715))</f>
        <v xml:space="preserve">BC </v>
      </c>
      <c r="AG252" s="55" t="s">
        <v>97</v>
      </c>
      <c r="AH252" s="245">
        <f>67.08/12</f>
        <v>5.59</v>
      </c>
      <c r="AI252" s="43" t="str">
        <f>_xlfn.XLOOKUP(Table26[[#This Row],[customerSKU]],customerSKU!G:G,customerSKU!O:O,"not found",0,1)</f>
        <v>not found</v>
      </c>
      <c r="AJ252" s="53">
        <f>Table26[[#This Row],[unitprice]]*Table26[[#This Row],[quantity_unit]]</f>
        <v>67.08</v>
      </c>
      <c r="AK252" s="53" cm="1">
        <f t="array" ref="AK2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70.433999999999997</v>
      </c>
    </row>
    <row r="253" spans="1:37" ht="18" customHeight="1">
      <c r="A253" s="42">
        <v>1978</v>
      </c>
      <c r="B253" s="249" t="s">
        <v>3837</v>
      </c>
      <c r="C253" s="90" t="s">
        <v>203</v>
      </c>
      <c r="D253" s="235"/>
      <c r="E253" s="235"/>
      <c r="F253" s="90"/>
      <c r="G253" s="119"/>
      <c r="H253" s="90"/>
      <c r="I253" s="90" t="s">
        <v>3862</v>
      </c>
      <c r="J253" s="90" t="s">
        <v>503</v>
      </c>
      <c r="K253" s="232">
        <v>45552</v>
      </c>
      <c r="L253" s="233" t="s">
        <v>4073</v>
      </c>
      <c r="M253" s="90"/>
      <c r="N253" s="55" t="str">
        <f>Table26[[#This Row],[po_number]]&amp;"-"&amp;Table26[[#This Row],[po_line]]</f>
        <v>-2</v>
      </c>
      <c r="O253" s="55">
        <v>2</v>
      </c>
      <c r="P253" s="234"/>
      <c r="Q253" s="90" t="s">
        <v>587</v>
      </c>
      <c r="R253" s="90" t="s">
        <v>3830</v>
      </c>
      <c r="S253" s="90" t="s">
        <v>13</v>
      </c>
      <c r="T253" s="20">
        <v>45457</v>
      </c>
      <c r="U253" s="236">
        <v>12</v>
      </c>
      <c r="V253" s="90">
        <v>12</v>
      </c>
      <c r="W253" s="237">
        <f t="shared" si="6"/>
        <v>1</v>
      </c>
      <c r="X253" s="90" t="str">
        <f t="shared" si="7"/>
        <v/>
      </c>
      <c r="Y253" s="90"/>
      <c r="Z253" s="60"/>
      <c r="AA253" s="18" t="str" cm="1">
        <f t="array" ref="AA253">IF(P253="", "", _xlfn.XLOOKUP(P253,#REF!,#REF!,NA,0,-1))</f>
        <v/>
      </c>
      <c r="AB253" s="231"/>
      <c r="AC253" s="55" t="s">
        <v>3496</v>
      </c>
      <c r="AD253" s="55" t="str">
        <f>IF($AC253="","",_xlfn.XLOOKUP($AC253,'[2]Client Info'!$C$2:$C$2535,'[2]Client Info'!$D$2:$D$2535))</f>
        <v>11939 240th Street</v>
      </c>
      <c r="AE253" s="55" t="str">
        <f>IF($AC253="","",_xlfn.XLOOKUP($AC253,'[2]Client Info'!$C$2:$C$2715,'[2]Client Info'!$E$2:$E$2715))</f>
        <v>Maple Ridge</v>
      </c>
      <c r="AF253" s="55" t="str">
        <f>IF($AC253="","",_xlfn.XLOOKUP($AC253,'[2]Client Info'!$C$2:$C$2715,'[2]Client Info'!$F$2:$F$2715))</f>
        <v xml:space="preserve">BC </v>
      </c>
      <c r="AG253" s="55" t="s">
        <v>97</v>
      </c>
      <c r="AH253" s="245">
        <f>89.4/12</f>
        <v>7.45</v>
      </c>
      <c r="AI253" s="43" t="str">
        <f>_xlfn.XLOOKUP(Table26[[#This Row],[customerSKU]],customerSKU!G:G,customerSKU!O:O,"not found",0,1)</f>
        <v>not found</v>
      </c>
      <c r="AJ253" s="53">
        <f>Table26[[#This Row],[unitprice]]*Table26[[#This Row],[quantity_unit]]</f>
        <v>89.4</v>
      </c>
      <c r="AK253" s="53" cm="1">
        <f t="array" ref="AK2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93.87</v>
      </c>
    </row>
    <row r="254" spans="1:37" ht="18" customHeight="1">
      <c r="A254" s="42">
        <v>1979</v>
      </c>
      <c r="B254" s="249" t="s">
        <v>3837</v>
      </c>
      <c r="C254" s="90" t="s">
        <v>203</v>
      </c>
      <c r="D254" s="235"/>
      <c r="E254" s="235"/>
      <c r="F254" s="90"/>
      <c r="G254" s="119"/>
      <c r="H254" s="90"/>
      <c r="I254" s="90" t="s">
        <v>3862</v>
      </c>
      <c r="J254" s="90" t="s">
        <v>503</v>
      </c>
      <c r="K254" s="232">
        <v>45552</v>
      </c>
      <c r="L254" s="233" t="s">
        <v>4073</v>
      </c>
      <c r="M254" s="90"/>
      <c r="N254" s="55" t="str">
        <f>Table26[[#This Row],[po_number]]&amp;"-"&amp;Table26[[#This Row],[po_line]]</f>
        <v>-3</v>
      </c>
      <c r="O254" s="55">
        <v>3</v>
      </c>
      <c r="P254" s="234"/>
      <c r="Q254" s="90" t="s">
        <v>1860</v>
      </c>
      <c r="R254" s="90" t="s">
        <v>3830</v>
      </c>
      <c r="S254" s="90" t="s">
        <v>13</v>
      </c>
      <c r="T254" s="20">
        <v>45555</v>
      </c>
      <c r="U254" s="236">
        <v>12</v>
      </c>
      <c r="V254" s="90">
        <v>12</v>
      </c>
      <c r="W254" s="237">
        <f t="shared" si="6"/>
        <v>1</v>
      </c>
      <c r="X254" s="90" t="str">
        <f t="shared" si="7"/>
        <v/>
      </c>
      <c r="Y254" s="90"/>
      <c r="Z254" s="60"/>
      <c r="AA254" s="18" t="str" cm="1">
        <f t="array" ref="AA254">IF(P254="", "", _xlfn.XLOOKUP(P254,#REF!,#REF!,NA,0,-1))</f>
        <v/>
      </c>
      <c r="AB254" s="231"/>
      <c r="AC254" s="55" t="s">
        <v>3496</v>
      </c>
      <c r="AD254" s="55" t="str">
        <f>IF($AC254="","",_xlfn.XLOOKUP($AC254,'[2]Client Info'!$C$2:$C$2535,'[2]Client Info'!$D$2:$D$2535))</f>
        <v>11939 240th Street</v>
      </c>
      <c r="AE254" s="55" t="str">
        <f>IF($AC254="","",_xlfn.XLOOKUP($AC254,'[2]Client Info'!$C$2:$C$2715,'[2]Client Info'!$E$2:$E$2715))</f>
        <v>Maple Ridge</v>
      </c>
      <c r="AF254" s="55" t="str">
        <f>IF($AC254="","",_xlfn.XLOOKUP($AC254,'[2]Client Info'!$C$2:$C$2715,'[2]Client Info'!$F$2:$F$2715))</f>
        <v xml:space="preserve">BC </v>
      </c>
      <c r="AG254" s="55" t="s">
        <v>97</v>
      </c>
      <c r="AH254" s="245">
        <f>276/12</f>
        <v>23</v>
      </c>
      <c r="AI254" s="43" t="str">
        <f>_xlfn.XLOOKUP(Table26[[#This Row],[customerSKU]],customerSKU!G:G,customerSKU!O:O,"not found",0,1)</f>
        <v>not found</v>
      </c>
      <c r="AJ254" s="53">
        <f>Table26[[#This Row],[unitprice]]*Table26[[#This Row],[quantity_unit]]</f>
        <v>276</v>
      </c>
      <c r="AK254" s="53" cm="1">
        <f t="array" ref="AK2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55" spans="1:37" ht="18" customHeight="1">
      <c r="A255" s="42">
        <v>1980</v>
      </c>
      <c r="B255" s="249" t="s">
        <v>3837</v>
      </c>
      <c r="C255" s="90" t="s">
        <v>203</v>
      </c>
      <c r="D255" s="235"/>
      <c r="E255" s="235"/>
      <c r="F255" s="90"/>
      <c r="G255" s="119"/>
      <c r="H255" s="90"/>
      <c r="I255" s="90" t="s">
        <v>3862</v>
      </c>
      <c r="J255" s="90" t="s">
        <v>503</v>
      </c>
      <c r="K255" s="232">
        <v>45552</v>
      </c>
      <c r="L255" s="233" t="s">
        <v>4073</v>
      </c>
      <c r="M255" s="90"/>
      <c r="N255" s="55" t="str">
        <f>Table26[[#This Row],[po_number]]&amp;"-"&amp;Table26[[#This Row],[po_line]]</f>
        <v>-4</v>
      </c>
      <c r="O255" s="55">
        <v>4</v>
      </c>
      <c r="P255" s="234"/>
      <c r="Q255" s="242" t="s">
        <v>2096</v>
      </c>
      <c r="R255" s="90" t="s">
        <v>3830</v>
      </c>
      <c r="S255" s="90" t="s">
        <v>13</v>
      </c>
      <c r="T255" s="20">
        <v>45555</v>
      </c>
      <c r="U255" s="236">
        <v>12</v>
      </c>
      <c r="V255" s="90">
        <v>12</v>
      </c>
      <c r="W255" s="237">
        <f t="shared" si="6"/>
        <v>1</v>
      </c>
      <c r="X255" s="90" t="str">
        <f t="shared" si="7"/>
        <v/>
      </c>
      <c r="Y255" s="90"/>
      <c r="Z255" s="60"/>
      <c r="AA255" s="18" t="str" cm="1">
        <f t="array" ref="AA255">IF(P255="", "", _xlfn.XLOOKUP(P255,#REF!,#REF!,NA,0,-1))</f>
        <v/>
      </c>
      <c r="AB255" s="231"/>
      <c r="AC255" s="55" t="s">
        <v>3496</v>
      </c>
      <c r="AD255" s="55" t="str">
        <f>IF($AC255="","",_xlfn.XLOOKUP($AC255,'[2]Client Info'!$C$2:$C$2535,'[2]Client Info'!$D$2:$D$2535))</f>
        <v>11939 240th Street</v>
      </c>
      <c r="AE255" s="55" t="str">
        <f>IF($AC255="","",_xlfn.XLOOKUP($AC255,'[2]Client Info'!$C$2:$C$2715,'[2]Client Info'!$E$2:$E$2715))</f>
        <v>Maple Ridge</v>
      </c>
      <c r="AF255" s="55" t="str">
        <f>IF($AC255="","",_xlfn.XLOOKUP($AC255,'[2]Client Info'!$C$2:$C$2715,'[2]Client Info'!$F$2:$F$2715))</f>
        <v xml:space="preserve">BC </v>
      </c>
      <c r="AG255" s="55" t="s">
        <v>97</v>
      </c>
      <c r="AH255" s="245">
        <f>276/12</f>
        <v>23</v>
      </c>
      <c r="AI255" s="43" t="str">
        <f>_xlfn.XLOOKUP(Table26[[#This Row],[customerSKU]],customerSKU!G:G,customerSKU!O:O,"not found",0,1)</f>
        <v>not found</v>
      </c>
      <c r="AJ255" s="53">
        <f>Table26[[#This Row],[unitprice]]*Table26[[#This Row],[quantity_unit]]</f>
        <v>276</v>
      </c>
      <c r="AK255" s="53" cm="1">
        <f t="array" ref="AK2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56" spans="1:37" ht="18" customHeight="1">
      <c r="A256" s="42">
        <v>1981</v>
      </c>
      <c r="B256" s="249" t="s">
        <v>3837</v>
      </c>
      <c r="C256" s="90" t="s">
        <v>203</v>
      </c>
      <c r="D256" s="235"/>
      <c r="E256" s="235"/>
      <c r="F256" s="90"/>
      <c r="G256" s="119"/>
      <c r="H256" s="90"/>
      <c r="I256" s="90" t="s">
        <v>3862</v>
      </c>
      <c r="J256" s="90" t="s">
        <v>503</v>
      </c>
      <c r="K256" s="232">
        <v>45552</v>
      </c>
      <c r="L256" s="233" t="s">
        <v>4073</v>
      </c>
      <c r="M256" s="90"/>
      <c r="N256" s="55" t="str">
        <f>Table26[[#This Row],[po_number]]&amp;"-"&amp;Table26[[#This Row],[po_line]]</f>
        <v>-5</v>
      </c>
      <c r="O256" s="55">
        <v>5</v>
      </c>
      <c r="P256" s="234"/>
      <c r="Q256" s="90" t="s">
        <v>1315</v>
      </c>
      <c r="R256" s="90" t="s">
        <v>3830</v>
      </c>
      <c r="S256" s="90" t="s">
        <v>13</v>
      </c>
      <c r="T256" s="20">
        <v>45555</v>
      </c>
      <c r="U256" s="236">
        <v>12</v>
      </c>
      <c r="V256" s="90">
        <v>12</v>
      </c>
      <c r="W256" s="237">
        <f t="shared" si="6"/>
        <v>1</v>
      </c>
      <c r="X256" s="90" t="str">
        <f t="shared" si="7"/>
        <v/>
      </c>
      <c r="Y256" s="90"/>
      <c r="Z256" s="60"/>
      <c r="AA256" s="18" t="str" cm="1">
        <f t="array" ref="AA256">IF(P256="", "", _xlfn.XLOOKUP(P256,#REF!,#REF!,NA,0,-1))</f>
        <v/>
      </c>
      <c r="AB256" s="231"/>
      <c r="AC256" s="55" t="s">
        <v>3496</v>
      </c>
      <c r="AD256" s="55" t="str">
        <f>IF($AC256="","",_xlfn.XLOOKUP($AC256,'[2]Client Info'!$C$2:$C$2535,'[2]Client Info'!$D$2:$D$2535))</f>
        <v>11939 240th Street</v>
      </c>
      <c r="AE256" s="55" t="str">
        <f>IF($AC256="","",_xlfn.XLOOKUP($AC256,'[2]Client Info'!$C$2:$C$2715,'[2]Client Info'!$E$2:$E$2715))</f>
        <v>Maple Ridge</v>
      </c>
      <c r="AF256" s="55" t="str">
        <f>IF($AC256="","",_xlfn.XLOOKUP($AC256,'[2]Client Info'!$C$2:$C$2715,'[2]Client Info'!$F$2:$F$2715))</f>
        <v xml:space="preserve">BC </v>
      </c>
      <c r="AG256" s="55" t="s">
        <v>97</v>
      </c>
      <c r="AH256" s="245">
        <f>234.48/12</f>
        <v>19.54</v>
      </c>
      <c r="AI256" s="43" t="str">
        <f>_xlfn.XLOOKUP(Table26[[#This Row],[customerSKU]],customerSKU!G:G,customerSKU!O:O,"not found",0,1)</f>
        <v>not found</v>
      </c>
      <c r="AJ256" s="53">
        <f>Table26[[#This Row],[unitprice]]*Table26[[#This Row],[quantity_unit]]</f>
        <v>234.48</v>
      </c>
      <c r="AK256" s="53" cm="1">
        <f t="array" ref="AK2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57" spans="1:37" ht="18" customHeight="1">
      <c r="A257" s="42">
        <v>1982</v>
      </c>
      <c r="B257" s="249" t="s">
        <v>3837</v>
      </c>
      <c r="C257" s="90" t="s">
        <v>203</v>
      </c>
      <c r="D257" s="235"/>
      <c r="E257" s="235"/>
      <c r="F257" s="90"/>
      <c r="G257" s="119"/>
      <c r="H257" s="90"/>
      <c r="I257" s="90" t="s">
        <v>3862</v>
      </c>
      <c r="J257" s="90" t="s">
        <v>503</v>
      </c>
      <c r="K257" s="232">
        <v>45552</v>
      </c>
      <c r="L257" s="233" t="s">
        <v>4073</v>
      </c>
      <c r="M257" s="90"/>
      <c r="N257" s="55" t="str">
        <f>Table26[[#This Row],[po_number]]&amp;"-"&amp;Table26[[#This Row],[po_line]]</f>
        <v>-6</v>
      </c>
      <c r="O257" s="55">
        <v>6</v>
      </c>
      <c r="P257" s="234"/>
      <c r="Q257" s="90" t="s">
        <v>2100</v>
      </c>
      <c r="R257" s="90" t="s">
        <v>3830</v>
      </c>
      <c r="S257" s="90" t="s">
        <v>13</v>
      </c>
      <c r="T257" s="20">
        <v>45555</v>
      </c>
      <c r="U257" s="236">
        <v>12</v>
      </c>
      <c r="V257" s="90">
        <v>12</v>
      </c>
      <c r="W257" s="237">
        <f t="shared" si="6"/>
        <v>1</v>
      </c>
      <c r="X257" s="90" t="str">
        <f t="shared" si="7"/>
        <v/>
      </c>
      <c r="Y257" s="90"/>
      <c r="Z257" s="60"/>
      <c r="AA257" s="18" t="str" cm="1">
        <f t="array" ref="AA257">IF(P257="", "", _xlfn.XLOOKUP(P257,#REF!,#REF!,NA,0,-1))</f>
        <v/>
      </c>
      <c r="AB257" s="231"/>
      <c r="AC257" s="55" t="s">
        <v>3496</v>
      </c>
      <c r="AD257" s="55" t="str">
        <f>IF($AC257="","",_xlfn.XLOOKUP($AC257,'[2]Client Info'!$C$2:$C$2535,'[2]Client Info'!$D$2:$D$2535))</f>
        <v>11939 240th Street</v>
      </c>
      <c r="AE257" s="55" t="str">
        <f>IF($AC257="","",_xlfn.XLOOKUP($AC257,'[2]Client Info'!$C$2:$C$2715,'[2]Client Info'!$E$2:$E$2715))</f>
        <v>Maple Ridge</v>
      </c>
      <c r="AF257" s="55" t="str">
        <f>IF($AC257="","",_xlfn.XLOOKUP($AC257,'[2]Client Info'!$C$2:$C$2715,'[2]Client Info'!$F$2:$F$2715))</f>
        <v xml:space="preserve">BC </v>
      </c>
      <c r="AG257" s="55" t="s">
        <v>97</v>
      </c>
      <c r="AH257" s="245">
        <f>234.48/12</f>
        <v>19.54</v>
      </c>
      <c r="AI257" s="43" t="str">
        <f>_xlfn.XLOOKUP(Table26[[#This Row],[customerSKU]],customerSKU!G:G,customerSKU!O:O,"not found",0,1)</f>
        <v>not found</v>
      </c>
      <c r="AJ257" s="53">
        <f>Table26[[#This Row],[unitprice]]*Table26[[#This Row],[quantity_unit]]</f>
        <v>234.48</v>
      </c>
      <c r="AK257" s="53" cm="1">
        <f t="array" ref="AK2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58" spans="1:37" ht="18" customHeight="1">
      <c r="A258" s="42">
        <v>1983</v>
      </c>
      <c r="B258" s="249" t="s">
        <v>3837</v>
      </c>
      <c r="C258" s="90" t="s">
        <v>203</v>
      </c>
      <c r="D258" s="235"/>
      <c r="E258" s="235"/>
      <c r="F258" s="90"/>
      <c r="G258" s="119"/>
      <c r="H258" s="90"/>
      <c r="I258" s="90" t="s">
        <v>3862</v>
      </c>
      <c r="J258" s="90" t="s">
        <v>503</v>
      </c>
      <c r="K258" s="232">
        <v>45552</v>
      </c>
      <c r="L258" s="233" t="s">
        <v>4073</v>
      </c>
      <c r="M258" s="90"/>
      <c r="N258" s="55" t="str">
        <f>Table26[[#This Row],[po_number]]&amp;"-"&amp;Table26[[#This Row],[po_line]]</f>
        <v>-7</v>
      </c>
      <c r="O258" s="55">
        <v>7</v>
      </c>
      <c r="P258" s="234"/>
      <c r="Q258" s="90" t="s">
        <v>2094</v>
      </c>
      <c r="R258" s="90" t="s">
        <v>3830</v>
      </c>
      <c r="S258" s="90" t="s">
        <v>13</v>
      </c>
      <c r="T258" s="20">
        <v>45555</v>
      </c>
      <c r="U258" s="236">
        <v>12</v>
      </c>
      <c r="V258" s="90">
        <v>12</v>
      </c>
      <c r="W258" s="237">
        <f t="shared" ref="W258:W321" si="8">IFERROR(U258/V258, "")</f>
        <v>1</v>
      </c>
      <c r="X258" s="90" t="str">
        <f t="shared" ref="X258:X321" si="9">IFERROR($AA258*$U258, "")</f>
        <v/>
      </c>
      <c r="Y258" s="90"/>
      <c r="Z258" s="60"/>
      <c r="AA258" s="18" t="str" cm="1">
        <f t="array" ref="AA258">IF(P258="", "", _xlfn.XLOOKUP(P258,#REF!,#REF!,NA,0,-1))</f>
        <v/>
      </c>
      <c r="AB258" s="231"/>
      <c r="AC258" s="55" t="s">
        <v>3496</v>
      </c>
      <c r="AD258" s="55" t="str">
        <f>IF($AC258="","",_xlfn.XLOOKUP($AC258,'[2]Client Info'!$C$2:$C$2535,'[2]Client Info'!$D$2:$D$2535))</f>
        <v>11939 240th Street</v>
      </c>
      <c r="AE258" s="55" t="str">
        <f>IF($AC258="","",_xlfn.XLOOKUP($AC258,'[2]Client Info'!$C$2:$C$2715,'[2]Client Info'!$E$2:$E$2715))</f>
        <v>Maple Ridge</v>
      </c>
      <c r="AF258" s="55" t="str">
        <f>IF($AC258="","",_xlfn.XLOOKUP($AC258,'[2]Client Info'!$C$2:$C$2715,'[2]Client Info'!$F$2:$F$2715))</f>
        <v xml:space="preserve">BC </v>
      </c>
      <c r="AG258" s="55" t="s">
        <v>97</v>
      </c>
      <c r="AH258" s="245">
        <f>234.48/12</f>
        <v>19.54</v>
      </c>
      <c r="AI258" s="43" t="str">
        <f>_xlfn.XLOOKUP(Table26[[#This Row],[customerSKU]],customerSKU!G:G,customerSKU!O:O,"not found",0,1)</f>
        <v>not found</v>
      </c>
      <c r="AJ258" s="53">
        <f>Table26[[#This Row],[unitprice]]*Table26[[#This Row],[quantity_unit]]</f>
        <v>234.48</v>
      </c>
      <c r="AK258" s="53" cm="1">
        <f t="array" ref="AK2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59" spans="1:37" ht="18" customHeight="1">
      <c r="A259" s="42">
        <v>1984</v>
      </c>
      <c r="B259" s="249" t="s">
        <v>3837</v>
      </c>
      <c r="C259" s="90" t="s">
        <v>203</v>
      </c>
      <c r="D259" s="235"/>
      <c r="E259" s="235"/>
      <c r="F259" s="90"/>
      <c r="G259" s="119"/>
      <c r="H259" s="90"/>
      <c r="I259" s="90" t="s">
        <v>3862</v>
      </c>
      <c r="J259" s="90" t="s">
        <v>503</v>
      </c>
      <c r="K259" s="232">
        <v>45552</v>
      </c>
      <c r="L259" s="233" t="s">
        <v>504</v>
      </c>
      <c r="M259" s="90"/>
      <c r="N259" s="55" t="str">
        <f>Table26[[#This Row],[po_number]]&amp;"-"&amp;Table26[[#This Row],[po_line]]</f>
        <v>-1</v>
      </c>
      <c r="O259" s="55">
        <v>1</v>
      </c>
      <c r="P259" s="234"/>
      <c r="Q259" s="242" t="s">
        <v>828</v>
      </c>
      <c r="R259" s="90" t="s">
        <v>3830</v>
      </c>
      <c r="S259" s="90" t="s">
        <v>13</v>
      </c>
      <c r="T259" s="20">
        <v>45541</v>
      </c>
      <c r="U259" s="236">
        <v>48</v>
      </c>
      <c r="V259" s="90">
        <v>12</v>
      </c>
      <c r="W259" s="237">
        <f t="shared" si="8"/>
        <v>4</v>
      </c>
      <c r="X259" s="90" t="str">
        <f t="shared" si="9"/>
        <v/>
      </c>
      <c r="Y259" s="90"/>
      <c r="Z259" s="60"/>
      <c r="AA259" s="18" t="str" cm="1">
        <f t="array" ref="AA259">IF(P259="", "", _xlfn.XLOOKUP(P259,#REF!,#REF!,NA,0,-1))</f>
        <v/>
      </c>
      <c r="AB259" s="90"/>
      <c r="AC259" s="55" t="s">
        <v>68</v>
      </c>
      <c r="AD259" s="55" t="str">
        <f>IF($AC259="","",_xlfn.XLOOKUP($AC259,'[2]Client Info'!$C$2:$C$2535,'[2]Client Info'!$D$2:$D$2535))</f>
        <v>#102-935 Brunette Ave</v>
      </c>
      <c r="AE259" s="55" t="str">
        <f>IF($AC259="","",_xlfn.XLOOKUP($AC259,'[2]Client Info'!$C$2:$C$2715,'[2]Client Info'!$E$2:$E$2715))</f>
        <v>Coquitlam</v>
      </c>
      <c r="AF259" s="55" t="str">
        <f>IF($AC259="","",_xlfn.XLOOKUP($AC259,'[2]Client Info'!$C$2:$C$2715,'[2]Client Info'!$F$2:$F$2715))</f>
        <v>BC</v>
      </c>
      <c r="AG259" s="55" t="s">
        <v>68</v>
      </c>
      <c r="AH259" s="245">
        <f>67.08/12</f>
        <v>5.59</v>
      </c>
      <c r="AI259" s="43" t="str">
        <f>_xlfn.XLOOKUP(Table26[[#This Row],[customerSKU]],customerSKU!G:G,customerSKU!O:O,"not found",0,1)</f>
        <v>not found</v>
      </c>
      <c r="AJ259" s="53">
        <f>Table26[[#This Row],[unitprice]]*Table26[[#This Row],[quantity_unit]]</f>
        <v>268.32</v>
      </c>
      <c r="AK259" s="53" cm="1">
        <f t="array" ref="AK2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281.73599999999999</v>
      </c>
    </row>
    <row r="260" spans="1:37" ht="18" customHeight="1">
      <c r="A260" s="42">
        <v>1985</v>
      </c>
      <c r="B260" s="249" t="s">
        <v>3837</v>
      </c>
      <c r="C260" s="90" t="s">
        <v>203</v>
      </c>
      <c r="D260" s="235"/>
      <c r="E260" s="235"/>
      <c r="F260" s="90"/>
      <c r="G260" s="119"/>
      <c r="H260" s="90"/>
      <c r="I260" s="90" t="s">
        <v>3862</v>
      </c>
      <c r="J260" s="90" t="s">
        <v>503</v>
      </c>
      <c r="K260" s="232">
        <v>45552</v>
      </c>
      <c r="L260" s="233" t="s">
        <v>504</v>
      </c>
      <c r="M260" s="90"/>
      <c r="N260" s="55" t="str">
        <f>Table26[[#This Row],[po_number]]&amp;"-"&amp;Table26[[#This Row],[po_line]]</f>
        <v>-2</v>
      </c>
      <c r="O260" s="55">
        <v>2</v>
      </c>
      <c r="P260" s="234"/>
      <c r="Q260" s="90" t="s">
        <v>587</v>
      </c>
      <c r="R260" s="90" t="s">
        <v>3830</v>
      </c>
      <c r="S260" s="90" t="s">
        <v>13</v>
      </c>
      <c r="T260" s="20">
        <v>45457</v>
      </c>
      <c r="U260" s="236">
        <v>48</v>
      </c>
      <c r="V260" s="90">
        <v>12</v>
      </c>
      <c r="W260" s="237">
        <f t="shared" si="8"/>
        <v>4</v>
      </c>
      <c r="X260" s="90" t="str">
        <f t="shared" si="9"/>
        <v/>
      </c>
      <c r="Y260" s="90"/>
      <c r="Z260" s="60"/>
      <c r="AA260" s="18" t="str" cm="1">
        <f t="array" ref="AA260">IF(P260="", "", _xlfn.XLOOKUP(P260,#REF!,#REF!,NA,0,-1))</f>
        <v/>
      </c>
      <c r="AB260" s="90"/>
      <c r="AC260" s="55" t="s">
        <v>68</v>
      </c>
      <c r="AD260" s="55" t="str">
        <f>IF($AC260="","",_xlfn.XLOOKUP($AC260,'[2]Client Info'!$C$2:$C$2535,'[2]Client Info'!$D$2:$D$2535))</f>
        <v>#102-935 Brunette Ave</v>
      </c>
      <c r="AE260" s="55" t="str">
        <f>IF($AC260="","",_xlfn.XLOOKUP($AC260,'[2]Client Info'!$C$2:$C$2715,'[2]Client Info'!$E$2:$E$2715))</f>
        <v>Coquitlam</v>
      </c>
      <c r="AF260" s="55" t="str">
        <f>IF($AC260="","",_xlfn.XLOOKUP($AC260,'[2]Client Info'!$C$2:$C$2715,'[2]Client Info'!$F$2:$F$2715))</f>
        <v>BC</v>
      </c>
      <c r="AG260" s="55" t="s">
        <v>68</v>
      </c>
      <c r="AH260" s="245">
        <f>89.4/12</f>
        <v>7.45</v>
      </c>
      <c r="AI260" s="43" t="str">
        <f>_xlfn.XLOOKUP(Table26[[#This Row],[customerSKU]],customerSKU!G:G,customerSKU!O:O,"not found",0,1)</f>
        <v>not found</v>
      </c>
      <c r="AJ260" s="53">
        <f>Table26[[#This Row],[unitprice]]*Table26[[#This Row],[quantity_unit]]</f>
        <v>357.6</v>
      </c>
      <c r="AK260" s="53" cm="1">
        <f t="array" ref="AK2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375.48</v>
      </c>
    </row>
    <row r="261" spans="1:37" ht="18" customHeight="1">
      <c r="A261" s="42">
        <v>1986</v>
      </c>
      <c r="B261" s="249" t="s">
        <v>3837</v>
      </c>
      <c r="C261" s="90" t="s">
        <v>203</v>
      </c>
      <c r="D261" s="235"/>
      <c r="E261" s="235"/>
      <c r="F261" s="90"/>
      <c r="G261" s="119"/>
      <c r="H261" s="90"/>
      <c r="I261" s="90" t="s">
        <v>3862</v>
      </c>
      <c r="J261" s="90" t="s">
        <v>503</v>
      </c>
      <c r="K261" s="232">
        <v>45552</v>
      </c>
      <c r="L261" s="233" t="s">
        <v>504</v>
      </c>
      <c r="M261" s="90"/>
      <c r="N261" s="55" t="str">
        <f>Table26[[#This Row],[po_number]]&amp;"-"&amp;Table26[[#This Row],[po_line]]</f>
        <v>-3</v>
      </c>
      <c r="O261" s="55">
        <v>3</v>
      </c>
      <c r="P261" s="234"/>
      <c r="Q261" s="90" t="s">
        <v>869</v>
      </c>
      <c r="R261" s="90" t="s">
        <v>3830</v>
      </c>
      <c r="S261" s="90" t="s">
        <v>13</v>
      </c>
      <c r="T261" s="20">
        <v>45498</v>
      </c>
      <c r="U261" s="236">
        <v>36</v>
      </c>
      <c r="V261" s="90">
        <v>12</v>
      </c>
      <c r="W261" s="237">
        <f t="shared" si="8"/>
        <v>3</v>
      </c>
      <c r="X261" s="90" t="str">
        <f t="shared" si="9"/>
        <v/>
      </c>
      <c r="Y261" s="90"/>
      <c r="Z261" s="60"/>
      <c r="AA261" s="18" t="str" cm="1">
        <f t="array" ref="AA261">IF(P261="", "", _xlfn.XLOOKUP(P261,#REF!,#REF!,NA,0,-1))</f>
        <v/>
      </c>
      <c r="AB261" s="90"/>
      <c r="AC261" s="55" t="s">
        <v>68</v>
      </c>
      <c r="AD261" s="55" t="str">
        <f>IF($AC261="","",_xlfn.XLOOKUP($AC261,'[2]Client Info'!$C$2:$C$2535,'[2]Client Info'!$D$2:$D$2535))</f>
        <v>#102-935 Brunette Ave</v>
      </c>
      <c r="AE261" s="55" t="str">
        <f>IF($AC261="","",_xlfn.XLOOKUP($AC261,'[2]Client Info'!$C$2:$C$2715,'[2]Client Info'!$E$2:$E$2715))</f>
        <v>Coquitlam</v>
      </c>
      <c r="AF261" s="55" t="str">
        <f>IF($AC261="","",_xlfn.XLOOKUP($AC261,'[2]Client Info'!$C$2:$C$2715,'[2]Client Info'!$F$2:$F$2715))</f>
        <v>BC</v>
      </c>
      <c r="AG261" s="55" t="s">
        <v>68</v>
      </c>
      <c r="AH261" s="245">
        <f>100.08/12</f>
        <v>8.34</v>
      </c>
      <c r="AI261" s="43" t="str">
        <f>_xlfn.XLOOKUP(Table26[[#This Row],[customerSKU]],customerSKU!G:G,customerSKU!O:O,"not found",0,1)</f>
        <v>not found</v>
      </c>
      <c r="AJ261" s="53">
        <f>Table26[[#This Row],[unitprice]]*Table26[[#This Row],[quantity_unit]]</f>
        <v>300.24</v>
      </c>
      <c r="AK261" s="53" cm="1">
        <f t="array" ref="AK2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315.25200000000001</v>
      </c>
    </row>
    <row r="262" spans="1:37" ht="18" customHeight="1">
      <c r="A262" s="42">
        <v>1987</v>
      </c>
      <c r="B262" s="249" t="s">
        <v>3837</v>
      </c>
      <c r="C262" s="90" t="s">
        <v>203</v>
      </c>
      <c r="D262" s="235"/>
      <c r="E262" s="235"/>
      <c r="F262" s="90"/>
      <c r="G262" s="119"/>
      <c r="H262" s="90"/>
      <c r="I262" s="90" t="s">
        <v>3862</v>
      </c>
      <c r="J262" s="90" t="s">
        <v>503</v>
      </c>
      <c r="K262" s="232">
        <v>45552</v>
      </c>
      <c r="L262" s="233" t="s">
        <v>504</v>
      </c>
      <c r="M262" s="90"/>
      <c r="N262" s="55" t="str">
        <f>Table26[[#This Row],[po_number]]&amp;"-"&amp;Table26[[#This Row],[po_line]]</f>
        <v>-4</v>
      </c>
      <c r="O262" s="55">
        <v>4</v>
      </c>
      <c r="P262" s="234"/>
      <c r="Q262" s="90" t="s">
        <v>1316</v>
      </c>
      <c r="R262" s="90" t="s">
        <v>3830</v>
      </c>
      <c r="S262" s="90" t="s">
        <v>13</v>
      </c>
      <c r="T262" s="20">
        <v>45491</v>
      </c>
      <c r="U262" s="236">
        <v>12</v>
      </c>
      <c r="V262" s="90">
        <v>12</v>
      </c>
      <c r="W262" s="237">
        <f t="shared" si="8"/>
        <v>1</v>
      </c>
      <c r="X262" s="90" t="str">
        <f t="shared" si="9"/>
        <v/>
      </c>
      <c r="Y262" s="90"/>
      <c r="Z262" s="60"/>
      <c r="AA262" s="18" t="str" cm="1">
        <f t="array" ref="AA262">IF(P262="", "", _xlfn.XLOOKUP(P262,#REF!,#REF!,NA,0,-1))</f>
        <v/>
      </c>
      <c r="AB262" s="90"/>
      <c r="AC262" s="55" t="s">
        <v>68</v>
      </c>
      <c r="AD262" s="55" t="str">
        <f>IF($AC262="","",_xlfn.XLOOKUP($AC262,'[2]Client Info'!$C$2:$C$2535,'[2]Client Info'!$D$2:$D$2535))</f>
        <v>#102-935 Brunette Ave</v>
      </c>
      <c r="AE262" s="55" t="str">
        <f>IF($AC262="","",_xlfn.XLOOKUP($AC262,'[2]Client Info'!$C$2:$C$2715,'[2]Client Info'!$E$2:$E$2715))</f>
        <v>Coquitlam</v>
      </c>
      <c r="AF262" s="55" t="str">
        <f>IF($AC262="","",_xlfn.XLOOKUP($AC262,'[2]Client Info'!$C$2:$C$2715,'[2]Client Info'!$F$2:$F$2715))</f>
        <v>BC</v>
      </c>
      <c r="AG262" s="55" t="s">
        <v>68</v>
      </c>
      <c r="AH262" s="245">
        <f>151.68/12</f>
        <v>12.64</v>
      </c>
      <c r="AI262" s="43" t="str">
        <f>_xlfn.XLOOKUP(Table26[[#This Row],[customerSKU]],customerSKU!G:G,customerSKU!O:O,"not found",0,1)</f>
        <v>not found</v>
      </c>
      <c r="AJ262" s="53">
        <f>Table26[[#This Row],[unitprice]]*Table26[[#This Row],[quantity_unit]]</f>
        <v>151.68</v>
      </c>
      <c r="AK262" s="53" cm="1">
        <f t="array" ref="AK2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63" spans="1:37" ht="18" customHeight="1">
      <c r="A263" s="42">
        <v>1988</v>
      </c>
      <c r="B263" s="249" t="s">
        <v>3837</v>
      </c>
      <c r="C263" s="90" t="s">
        <v>203</v>
      </c>
      <c r="D263" s="235"/>
      <c r="E263" s="235"/>
      <c r="F263" s="90"/>
      <c r="G263" s="119"/>
      <c r="H263" s="90"/>
      <c r="I263" s="90" t="s">
        <v>3862</v>
      </c>
      <c r="J263" s="90" t="s">
        <v>503</v>
      </c>
      <c r="K263" s="232">
        <v>45552</v>
      </c>
      <c r="L263" s="233" t="s">
        <v>504</v>
      </c>
      <c r="M263" s="90"/>
      <c r="N263" s="55" t="str">
        <f>Table26[[#This Row],[po_number]]&amp;"-"&amp;Table26[[#This Row],[po_line]]</f>
        <v>-5</v>
      </c>
      <c r="O263" s="55">
        <v>5</v>
      </c>
      <c r="P263" s="234"/>
      <c r="Q263" s="90" t="s">
        <v>630</v>
      </c>
      <c r="R263" s="90" t="s">
        <v>3830</v>
      </c>
      <c r="S263" s="90" t="s">
        <v>13</v>
      </c>
      <c r="T263" s="20">
        <v>45543</v>
      </c>
      <c r="U263" s="236">
        <v>12</v>
      </c>
      <c r="V263" s="90">
        <v>12</v>
      </c>
      <c r="W263" s="237">
        <f t="shared" si="8"/>
        <v>1</v>
      </c>
      <c r="X263" s="90" t="str">
        <f t="shared" si="9"/>
        <v/>
      </c>
      <c r="Y263" s="90"/>
      <c r="Z263" s="60"/>
      <c r="AA263" s="18" t="str" cm="1">
        <f t="array" ref="AA263">IF(P263="", "", _xlfn.XLOOKUP(P263,#REF!,#REF!,NA,0,-1))</f>
        <v/>
      </c>
      <c r="AB263" s="90"/>
      <c r="AC263" s="55" t="s">
        <v>68</v>
      </c>
      <c r="AD263" s="55" t="str">
        <f>IF($AC263="","",_xlfn.XLOOKUP($AC263,'[2]Client Info'!$C$2:$C$2535,'[2]Client Info'!$D$2:$D$2535))</f>
        <v>#102-935 Brunette Ave</v>
      </c>
      <c r="AE263" s="55" t="str">
        <f>IF($AC263="","",_xlfn.XLOOKUP($AC263,'[2]Client Info'!$C$2:$C$2715,'[2]Client Info'!$E$2:$E$2715))</f>
        <v>Coquitlam</v>
      </c>
      <c r="AF263" s="55" t="str">
        <f>IF($AC263="","",_xlfn.XLOOKUP($AC263,'[2]Client Info'!$C$2:$C$2715,'[2]Client Info'!$F$2:$F$2715))</f>
        <v>BC</v>
      </c>
      <c r="AG263" s="55" t="s">
        <v>68</v>
      </c>
      <c r="AH263" s="245">
        <f>151.68/12</f>
        <v>12.64</v>
      </c>
      <c r="AI263" s="43" t="str">
        <f>_xlfn.XLOOKUP(Table26[[#This Row],[customerSKU]],customerSKU!G:G,customerSKU!O:O,"not found",0,1)</f>
        <v>not found</v>
      </c>
      <c r="AJ263" s="53">
        <f>Table26[[#This Row],[unitprice]]*Table26[[#This Row],[quantity_unit]]</f>
        <v>151.68</v>
      </c>
      <c r="AK263" s="53" cm="1">
        <f t="array" ref="AK2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64" spans="1:37" ht="18" customHeight="1">
      <c r="A264" s="42">
        <v>1989</v>
      </c>
      <c r="B264" s="249" t="s">
        <v>3837</v>
      </c>
      <c r="C264" s="90" t="s">
        <v>203</v>
      </c>
      <c r="D264" s="235"/>
      <c r="E264" s="235"/>
      <c r="F264" s="90"/>
      <c r="G264" s="119"/>
      <c r="H264" s="90"/>
      <c r="I264" s="90" t="s">
        <v>3862</v>
      </c>
      <c r="J264" s="90" t="s">
        <v>503</v>
      </c>
      <c r="K264" s="232">
        <v>45552</v>
      </c>
      <c r="L264" s="233" t="s">
        <v>504</v>
      </c>
      <c r="M264" s="90"/>
      <c r="N264" s="55" t="str">
        <f>Table26[[#This Row],[po_number]]&amp;"-"&amp;Table26[[#This Row],[po_line]]</f>
        <v>-6</v>
      </c>
      <c r="O264" s="55">
        <v>6</v>
      </c>
      <c r="P264" s="234"/>
      <c r="Q264" s="90" t="s">
        <v>866</v>
      </c>
      <c r="R264" s="90" t="s">
        <v>3830</v>
      </c>
      <c r="S264" s="90" t="s">
        <v>13</v>
      </c>
      <c r="T264" s="20">
        <v>45523</v>
      </c>
      <c r="U264" s="236">
        <v>12</v>
      </c>
      <c r="V264" s="90">
        <v>12</v>
      </c>
      <c r="W264" s="237">
        <f t="shared" si="8"/>
        <v>1</v>
      </c>
      <c r="X264" s="90" t="str">
        <f t="shared" si="9"/>
        <v/>
      </c>
      <c r="Y264" s="90"/>
      <c r="Z264" s="60"/>
      <c r="AA264" s="18" t="str" cm="1">
        <f t="array" ref="AA264">IF(P264="", "", _xlfn.XLOOKUP(P264,#REF!,#REF!,NA,0,-1))</f>
        <v/>
      </c>
      <c r="AB264" s="90"/>
      <c r="AC264" s="55" t="s">
        <v>68</v>
      </c>
      <c r="AD264" s="55" t="str">
        <f>IF($AC264="","",_xlfn.XLOOKUP($AC264,'[2]Client Info'!$C$2:$C$2535,'[2]Client Info'!$D$2:$D$2535))</f>
        <v>#102-935 Brunette Ave</v>
      </c>
      <c r="AE264" s="55" t="str">
        <f>IF($AC264="","",_xlfn.XLOOKUP($AC264,'[2]Client Info'!$C$2:$C$2715,'[2]Client Info'!$E$2:$E$2715))</f>
        <v>Coquitlam</v>
      </c>
      <c r="AF264" s="55" t="str">
        <f>IF($AC264="","",_xlfn.XLOOKUP($AC264,'[2]Client Info'!$C$2:$C$2715,'[2]Client Info'!$F$2:$F$2715))</f>
        <v>BC</v>
      </c>
      <c r="AG264" s="55" t="s">
        <v>68</v>
      </c>
      <c r="AH264" s="245">
        <f>151.68/12</f>
        <v>12.64</v>
      </c>
      <c r="AI264" s="43" t="str">
        <f>_xlfn.XLOOKUP(Table26[[#This Row],[customerSKU]],customerSKU!G:G,customerSKU!O:O,"not found",0,1)</f>
        <v>not found</v>
      </c>
      <c r="AJ264" s="53">
        <f>Table26[[#This Row],[unitprice]]*Table26[[#This Row],[quantity_unit]]</f>
        <v>151.68</v>
      </c>
      <c r="AK264" s="53" cm="1">
        <f t="array" ref="AK2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65" spans="1:37" ht="18" customHeight="1">
      <c r="A265" s="42">
        <v>1990</v>
      </c>
      <c r="B265" s="249" t="s">
        <v>3837</v>
      </c>
      <c r="C265" s="90" t="s">
        <v>203</v>
      </c>
      <c r="D265" s="235"/>
      <c r="E265" s="235"/>
      <c r="F265" s="90"/>
      <c r="G265" s="119"/>
      <c r="H265" s="90"/>
      <c r="I265" s="90" t="s">
        <v>3862</v>
      </c>
      <c r="J265" s="90" t="s">
        <v>503</v>
      </c>
      <c r="K265" s="232">
        <v>45552</v>
      </c>
      <c r="L265" s="233" t="s">
        <v>504</v>
      </c>
      <c r="M265" s="90"/>
      <c r="N265" s="55" t="str">
        <f>Table26[[#This Row],[po_number]]&amp;"-"&amp;Table26[[#This Row],[po_line]]</f>
        <v>-7</v>
      </c>
      <c r="O265" s="55">
        <v>7</v>
      </c>
      <c r="P265" s="234"/>
      <c r="Q265" s="90" t="s">
        <v>905</v>
      </c>
      <c r="R265" s="90" t="s">
        <v>3830</v>
      </c>
      <c r="S265" s="90" t="s">
        <v>13</v>
      </c>
      <c r="T265" s="20">
        <v>45541</v>
      </c>
      <c r="U265" s="236">
        <v>24</v>
      </c>
      <c r="V265" s="90">
        <v>12</v>
      </c>
      <c r="W265" s="237">
        <f t="shared" si="8"/>
        <v>2</v>
      </c>
      <c r="X265" s="90" t="str">
        <f t="shared" si="9"/>
        <v/>
      </c>
      <c r="Y265" s="90"/>
      <c r="Z265" s="60"/>
      <c r="AA265" s="18" t="str" cm="1">
        <f t="array" ref="AA265">IF(P265="", "", _xlfn.XLOOKUP(P265,#REF!,#REF!,NA,0,-1))</f>
        <v/>
      </c>
      <c r="AB265" s="90"/>
      <c r="AC265" s="55" t="s">
        <v>68</v>
      </c>
      <c r="AD265" s="55" t="str">
        <f>IF($AC265="","",_xlfn.XLOOKUP($AC265,'[2]Client Info'!$C$2:$C$2535,'[2]Client Info'!$D$2:$D$2535))</f>
        <v>#102-935 Brunette Ave</v>
      </c>
      <c r="AE265" s="55" t="str">
        <f>IF($AC265="","",_xlfn.XLOOKUP($AC265,'[2]Client Info'!$C$2:$C$2715,'[2]Client Info'!$E$2:$E$2715))</f>
        <v>Coquitlam</v>
      </c>
      <c r="AF265" s="55" t="str">
        <f>IF($AC265="","",_xlfn.XLOOKUP($AC265,'[2]Client Info'!$C$2:$C$2715,'[2]Client Info'!$F$2:$F$2715))</f>
        <v>BC</v>
      </c>
      <c r="AG265" s="55" t="s">
        <v>68</v>
      </c>
      <c r="AH265" s="245">
        <f>130.92/12</f>
        <v>10.909999999999998</v>
      </c>
      <c r="AI265" s="43" t="str">
        <f>_xlfn.XLOOKUP(Table26[[#This Row],[customerSKU]],customerSKU!G:G,customerSKU!O:O,"not found",0,1)</f>
        <v>not found</v>
      </c>
      <c r="AJ265" s="53">
        <f>Table26[[#This Row],[unitprice]]*Table26[[#This Row],[quantity_unit]]</f>
        <v>261.83999999999997</v>
      </c>
      <c r="AK265" s="53" cm="1">
        <f t="array" ref="AK2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274.93199999999996</v>
      </c>
    </row>
    <row r="266" spans="1:37" ht="18" customHeight="1">
      <c r="A266" s="42">
        <v>1991</v>
      </c>
      <c r="B266" s="249" t="s">
        <v>3837</v>
      </c>
      <c r="C266" s="90" t="s">
        <v>203</v>
      </c>
      <c r="D266" s="235"/>
      <c r="E266" s="235"/>
      <c r="F266" s="90"/>
      <c r="G266" s="119"/>
      <c r="H266" s="90"/>
      <c r="I266" s="90" t="s">
        <v>3862</v>
      </c>
      <c r="J266" s="90" t="s">
        <v>503</v>
      </c>
      <c r="K266" s="232">
        <v>45552</v>
      </c>
      <c r="L266" s="233" t="s">
        <v>504</v>
      </c>
      <c r="M266" s="90"/>
      <c r="N266" s="55" t="str">
        <f>Table26[[#This Row],[po_number]]&amp;"-"&amp;Table26[[#This Row],[po_line]]</f>
        <v>-8</v>
      </c>
      <c r="O266" s="55">
        <v>8</v>
      </c>
      <c r="P266" s="234"/>
      <c r="Q266" s="90" t="s">
        <v>3865</v>
      </c>
      <c r="R266" s="90" t="s">
        <v>3830</v>
      </c>
      <c r="S266" s="90" t="s">
        <v>13</v>
      </c>
      <c r="T266" s="20">
        <v>45497</v>
      </c>
      <c r="U266" s="236">
        <v>12</v>
      </c>
      <c r="V266" s="90">
        <v>12</v>
      </c>
      <c r="W266" s="237">
        <f t="shared" si="8"/>
        <v>1</v>
      </c>
      <c r="X266" s="90" t="str">
        <f t="shared" si="9"/>
        <v/>
      </c>
      <c r="Y266" s="90"/>
      <c r="Z266" s="60"/>
      <c r="AA266" s="18" t="str" cm="1">
        <f t="array" ref="AA266">IF(P266="", "", _xlfn.XLOOKUP(P266,#REF!,#REF!,NA,0,-1))</f>
        <v/>
      </c>
      <c r="AB266" s="90"/>
      <c r="AC266" s="55" t="s">
        <v>68</v>
      </c>
      <c r="AD266" s="55" t="str">
        <f>IF($AC266="","",_xlfn.XLOOKUP($AC266,'[2]Client Info'!$C$2:$C$2535,'[2]Client Info'!$D$2:$D$2535))</f>
        <v>#102-935 Brunette Ave</v>
      </c>
      <c r="AE266" s="55" t="str">
        <f>IF($AC266="","",_xlfn.XLOOKUP($AC266,'[2]Client Info'!$C$2:$C$2715,'[2]Client Info'!$E$2:$E$2715))</f>
        <v>Coquitlam</v>
      </c>
      <c r="AF266" s="55" t="str">
        <f>IF($AC266="","",_xlfn.XLOOKUP($AC266,'[2]Client Info'!$C$2:$C$2715,'[2]Client Info'!$F$2:$F$2715))</f>
        <v>BC</v>
      </c>
      <c r="AG266" s="55" t="s">
        <v>68</v>
      </c>
      <c r="AH266" s="245">
        <f>151.68/12</f>
        <v>12.64</v>
      </c>
      <c r="AI266" s="43" t="str">
        <f>_xlfn.XLOOKUP(Table26[[#This Row],[customerSKU]],customerSKU!G:G,customerSKU!O:O,"not found",0,1)</f>
        <v>not found</v>
      </c>
      <c r="AJ266" s="53">
        <f>Table26[[#This Row],[unitprice]]*Table26[[#This Row],[quantity_unit]]</f>
        <v>151.68</v>
      </c>
      <c r="AK266" s="53" cm="1">
        <f t="array" ref="AK2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159.26400000000001</v>
      </c>
    </row>
    <row r="267" spans="1:37" ht="18" customHeight="1">
      <c r="A267" s="42">
        <v>1992</v>
      </c>
      <c r="B267" s="249" t="s">
        <v>3837</v>
      </c>
      <c r="C267" s="90" t="s">
        <v>203</v>
      </c>
      <c r="D267" s="235"/>
      <c r="E267" s="235"/>
      <c r="F267" s="90"/>
      <c r="G267" s="119"/>
      <c r="H267" s="90"/>
      <c r="I267" s="90" t="s">
        <v>3862</v>
      </c>
      <c r="J267" s="90" t="s">
        <v>503</v>
      </c>
      <c r="K267" s="232">
        <v>45552</v>
      </c>
      <c r="L267" s="233" t="s">
        <v>504</v>
      </c>
      <c r="M267" s="90"/>
      <c r="N267" s="55" t="str">
        <f>Table26[[#This Row],[po_number]]&amp;"-"&amp;Table26[[#This Row],[po_line]]</f>
        <v>-9</v>
      </c>
      <c r="O267" s="55">
        <v>9</v>
      </c>
      <c r="P267" s="234"/>
      <c r="Q267" s="90" t="s">
        <v>1860</v>
      </c>
      <c r="R267" s="90" t="s">
        <v>3830</v>
      </c>
      <c r="S267" s="90" t="s">
        <v>13</v>
      </c>
      <c r="T267" s="20">
        <v>45555</v>
      </c>
      <c r="U267" s="236">
        <v>12</v>
      </c>
      <c r="V267" s="90">
        <v>12</v>
      </c>
      <c r="W267" s="237">
        <f t="shared" si="8"/>
        <v>1</v>
      </c>
      <c r="X267" s="90" t="str">
        <f t="shared" si="9"/>
        <v/>
      </c>
      <c r="Y267" s="90"/>
      <c r="Z267" s="60"/>
      <c r="AA267" s="18" t="str" cm="1">
        <f t="array" ref="AA267">IF(P267="", "", _xlfn.XLOOKUP(P267,#REF!,#REF!,NA,0,-1))</f>
        <v/>
      </c>
      <c r="AB267" s="90"/>
      <c r="AC267" s="55" t="s">
        <v>68</v>
      </c>
      <c r="AD267" s="55" t="str">
        <f>IF($AC267="","",_xlfn.XLOOKUP($AC267,'[2]Client Info'!$C$2:$C$2535,'[2]Client Info'!$D$2:$D$2535))</f>
        <v>#102-935 Brunette Ave</v>
      </c>
      <c r="AE267" s="55" t="str">
        <f>IF($AC267="","",_xlfn.XLOOKUP($AC267,'[2]Client Info'!$C$2:$C$2715,'[2]Client Info'!$E$2:$E$2715))</f>
        <v>Coquitlam</v>
      </c>
      <c r="AF267" s="55" t="str">
        <f>IF($AC267="","",_xlfn.XLOOKUP($AC267,'[2]Client Info'!$C$2:$C$2715,'[2]Client Info'!$F$2:$F$2715))</f>
        <v>BC</v>
      </c>
      <c r="AG267" s="55" t="s">
        <v>68</v>
      </c>
      <c r="AH267" s="245">
        <f>276/12</f>
        <v>23</v>
      </c>
      <c r="AI267" s="43" t="str">
        <f>_xlfn.XLOOKUP(Table26[[#This Row],[customerSKU]],customerSKU!G:G,customerSKU!O:O,"not found",0,1)</f>
        <v>not found</v>
      </c>
      <c r="AJ267" s="53">
        <f>Table26[[#This Row],[unitprice]]*Table26[[#This Row],[quantity_unit]]</f>
        <v>276</v>
      </c>
      <c r="AK267" s="53" cm="1">
        <f t="array" ref="AK2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68" spans="1:37" ht="18" customHeight="1">
      <c r="A268" s="42">
        <v>1993</v>
      </c>
      <c r="B268" s="249" t="s">
        <v>3837</v>
      </c>
      <c r="C268" s="90" t="s">
        <v>203</v>
      </c>
      <c r="D268" s="235"/>
      <c r="E268" s="235"/>
      <c r="F268" s="90"/>
      <c r="G268" s="119"/>
      <c r="H268" s="90"/>
      <c r="I268" s="90" t="s">
        <v>3862</v>
      </c>
      <c r="J268" s="90" t="s">
        <v>503</v>
      </c>
      <c r="K268" s="232">
        <v>45552</v>
      </c>
      <c r="L268" s="233" t="s">
        <v>504</v>
      </c>
      <c r="M268" s="90"/>
      <c r="N268" s="55" t="str">
        <f>Table26[[#This Row],[po_number]]&amp;"-"&amp;Table26[[#This Row],[po_line]]</f>
        <v>-10</v>
      </c>
      <c r="O268" s="55">
        <v>10</v>
      </c>
      <c r="P268" s="234"/>
      <c r="Q268" s="242" t="s">
        <v>2096</v>
      </c>
      <c r="R268" s="90" t="s">
        <v>3830</v>
      </c>
      <c r="S268" s="90" t="s">
        <v>13</v>
      </c>
      <c r="T268" s="20">
        <v>45555</v>
      </c>
      <c r="U268" s="236">
        <v>12</v>
      </c>
      <c r="V268" s="90">
        <v>12</v>
      </c>
      <c r="W268" s="237">
        <f t="shared" si="8"/>
        <v>1</v>
      </c>
      <c r="X268" s="90" t="str">
        <f t="shared" si="9"/>
        <v/>
      </c>
      <c r="Y268" s="90"/>
      <c r="Z268" s="60"/>
      <c r="AA268" s="18" t="str" cm="1">
        <f t="array" ref="AA268">IF(P268="", "", _xlfn.XLOOKUP(P268,#REF!,#REF!,NA,0,-1))</f>
        <v/>
      </c>
      <c r="AB268" s="90"/>
      <c r="AC268" s="55" t="s">
        <v>68</v>
      </c>
      <c r="AD268" s="55" t="str">
        <f>IF($AC268="","",_xlfn.XLOOKUP($AC268,'[2]Client Info'!$C$2:$C$2535,'[2]Client Info'!$D$2:$D$2535))</f>
        <v>#102-935 Brunette Ave</v>
      </c>
      <c r="AE268" s="55" t="str">
        <f>IF($AC268="","",_xlfn.XLOOKUP($AC268,'[2]Client Info'!$C$2:$C$2715,'[2]Client Info'!$E$2:$E$2715))</f>
        <v>Coquitlam</v>
      </c>
      <c r="AF268" s="55" t="str">
        <f>IF($AC268="","",_xlfn.XLOOKUP($AC268,'[2]Client Info'!$C$2:$C$2715,'[2]Client Info'!$F$2:$F$2715))</f>
        <v>BC</v>
      </c>
      <c r="AG268" s="55" t="s">
        <v>68</v>
      </c>
      <c r="AH268" s="245">
        <f>276/12</f>
        <v>23</v>
      </c>
      <c r="AI268" s="43" t="str">
        <f>_xlfn.XLOOKUP(Table26[[#This Row],[customerSKU]],customerSKU!G:G,customerSKU!O:O,"not found",0,1)</f>
        <v>not found</v>
      </c>
      <c r="AJ268" s="53">
        <f>Table26[[#This Row],[unitprice]]*Table26[[#This Row],[quantity_unit]]</f>
        <v>276</v>
      </c>
      <c r="AK268" s="53" cm="1">
        <f t="array" ref="AK2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69" spans="1:37" ht="18" customHeight="1">
      <c r="A269" s="42">
        <v>1994</v>
      </c>
      <c r="B269" s="249" t="s">
        <v>3837</v>
      </c>
      <c r="C269" s="90" t="s">
        <v>203</v>
      </c>
      <c r="D269" s="235"/>
      <c r="E269" s="235"/>
      <c r="F269" s="90"/>
      <c r="G269" s="119"/>
      <c r="H269" s="90"/>
      <c r="I269" s="90" t="s">
        <v>3862</v>
      </c>
      <c r="J269" s="90" t="s">
        <v>503</v>
      </c>
      <c r="K269" s="232">
        <v>45552</v>
      </c>
      <c r="L269" s="233" t="s">
        <v>504</v>
      </c>
      <c r="M269" s="90"/>
      <c r="N269" s="55" t="str">
        <f>Table26[[#This Row],[po_number]]&amp;"-"&amp;Table26[[#This Row],[po_line]]</f>
        <v>-11</v>
      </c>
      <c r="O269" s="55">
        <v>11</v>
      </c>
      <c r="P269" s="234"/>
      <c r="Q269" s="90" t="s">
        <v>1315</v>
      </c>
      <c r="R269" s="90" t="s">
        <v>3830</v>
      </c>
      <c r="S269" s="90" t="s">
        <v>13</v>
      </c>
      <c r="T269" s="20">
        <v>45555</v>
      </c>
      <c r="U269" s="236">
        <v>12</v>
      </c>
      <c r="V269" s="90">
        <v>12</v>
      </c>
      <c r="W269" s="237">
        <f t="shared" si="8"/>
        <v>1</v>
      </c>
      <c r="X269" s="90" t="str">
        <f t="shared" si="9"/>
        <v/>
      </c>
      <c r="Y269" s="90"/>
      <c r="Z269" s="60"/>
      <c r="AA269" s="18" t="str" cm="1">
        <f t="array" ref="AA269">IF(P269="", "", _xlfn.XLOOKUP(P269,#REF!,#REF!,NA,0,-1))</f>
        <v/>
      </c>
      <c r="AB269" s="90"/>
      <c r="AC269" s="55" t="s">
        <v>68</v>
      </c>
      <c r="AD269" s="55" t="str">
        <f>IF($AC269="","",_xlfn.XLOOKUP($AC269,'[2]Client Info'!$C$2:$C$2535,'[2]Client Info'!$D$2:$D$2535))</f>
        <v>#102-935 Brunette Ave</v>
      </c>
      <c r="AE269" s="55" t="str">
        <f>IF($AC269="","",_xlfn.XLOOKUP($AC269,'[2]Client Info'!$C$2:$C$2715,'[2]Client Info'!$E$2:$E$2715))</f>
        <v>Coquitlam</v>
      </c>
      <c r="AF269" s="55" t="str">
        <f>IF($AC269="","",_xlfn.XLOOKUP($AC269,'[2]Client Info'!$C$2:$C$2715,'[2]Client Info'!$F$2:$F$2715))</f>
        <v>BC</v>
      </c>
      <c r="AG269" s="55" t="s">
        <v>68</v>
      </c>
      <c r="AH269" s="245">
        <f>234.48/12</f>
        <v>19.54</v>
      </c>
      <c r="AI269" s="43" t="str">
        <f>_xlfn.XLOOKUP(Table26[[#This Row],[customerSKU]],customerSKU!G:G,customerSKU!O:O,"not found",0,1)</f>
        <v>not found</v>
      </c>
      <c r="AJ269" s="53">
        <f>Table26[[#This Row],[unitprice]]*Table26[[#This Row],[quantity_unit]]</f>
        <v>234.48</v>
      </c>
      <c r="AK269" s="53" cm="1">
        <f t="array" ref="AK2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70" spans="1:37" ht="18" customHeight="1">
      <c r="A270" s="42">
        <v>1995</v>
      </c>
      <c r="B270" s="249" t="s">
        <v>3837</v>
      </c>
      <c r="C270" s="90" t="s">
        <v>203</v>
      </c>
      <c r="D270" s="235"/>
      <c r="E270" s="235"/>
      <c r="F270" s="90"/>
      <c r="G270" s="119"/>
      <c r="H270" s="90"/>
      <c r="I270" s="90" t="s">
        <v>3862</v>
      </c>
      <c r="J270" s="90" t="s">
        <v>503</v>
      </c>
      <c r="K270" s="232">
        <v>45552</v>
      </c>
      <c r="L270" s="233" t="s">
        <v>504</v>
      </c>
      <c r="M270" s="90"/>
      <c r="N270" s="55" t="str">
        <f>Table26[[#This Row],[po_number]]&amp;"-"&amp;Table26[[#This Row],[po_line]]</f>
        <v>-12</v>
      </c>
      <c r="O270" s="55">
        <v>12</v>
      </c>
      <c r="P270" s="234"/>
      <c r="Q270" s="90" t="s">
        <v>2100</v>
      </c>
      <c r="R270" s="90" t="s">
        <v>3830</v>
      </c>
      <c r="S270" s="90" t="s">
        <v>13</v>
      </c>
      <c r="T270" s="20">
        <v>45555</v>
      </c>
      <c r="U270" s="236">
        <v>12</v>
      </c>
      <c r="V270" s="90">
        <v>12</v>
      </c>
      <c r="W270" s="237">
        <f t="shared" si="8"/>
        <v>1</v>
      </c>
      <c r="X270" s="90" t="str">
        <f t="shared" si="9"/>
        <v/>
      </c>
      <c r="Y270" s="90"/>
      <c r="Z270" s="60"/>
      <c r="AA270" s="18" t="str" cm="1">
        <f t="array" ref="AA270">IF(P270="", "", _xlfn.XLOOKUP(P270,#REF!,#REF!,NA,0,-1))</f>
        <v/>
      </c>
      <c r="AB270" s="90"/>
      <c r="AC270" s="55" t="s">
        <v>68</v>
      </c>
      <c r="AD270" s="55" t="str">
        <f>IF($AC270="","",_xlfn.XLOOKUP($AC270,'[2]Client Info'!$C$2:$C$2535,'[2]Client Info'!$D$2:$D$2535))</f>
        <v>#102-935 Brunette Ave</v>
      </c>
      <c r="AE270" s="55" t="str">
        <f>IF($AC270="","",_xlfn.XLOOKUP($AC270,'[2]Client Info'!$C$2:$C$2715,'[2]Client Info'!$E$2:$E$2715))</f>
        <v>Coquitlam</v>
      </c>
      <c r="AF270" s="55" t="str">
        <f>IF($AC270="","",_xlfn.XLOOKUP($AC270,'[2]Client Info'!$C$2:$C$2715,'[2]Client Info'!$F$2:$F$2715))</f>
        <v>BC</v>
      </c>
      <c r="AG270" s="55" t="s">
        <v>68</v>
      </c>
      <c r="AH270" s="245">
        <f>234.48/12</f>
        <v>19.54</v>
      </c>
      <c r="AI270" s="43" t="str">
        <f>_xlfn.XLOOKUP(Table26[[#This Row],[customerSKU]],customerSKU!G:G,customerSKU!O:O,"not found",0,1)</f>
        <v>not found</v>
      </c>
      <c r="AJ270" s="53">
        <f>Table26[[#This Row],[unitprice]]*Table26[[#This Row],[quantity_unit]]</f>
        <v>234.48</v>
      </c>
      <c r="AK270" s="53" cm="1">
        <f t="array" ref="AK2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71" spans="1:37" ht="18" customHeight="1">
      <c r="A271" s="42">
        <v>1996</v>
      </c>
      <c r="B271" s="249" t="s">
        <v>3837</v>
      </c>
      <c r="C271" s="90" t="s">
        <v>203</v>
      </c>
      <c r="D271" s="235"/>
      <c r="E271" s="235"/>
      <c r="F271" s="90"/>
      <c r="G271" s="119"/>
      <c r="H271" s="90"/>
      <c r="I271" s="90" t="s">
        <v>3862</v>
      </c>
      <c r="J271" s="90" t="s">
        <v>503</v>
      </c>
      <c r="K271" s="232">
        <v>45552</v>
      </c>
      <c r="L271" s="233" t="s">
        <v>504</v>
      </c>
      <c r="M271" s="90"/>
      <c r="N271" s="55" t="str">
        <f>Table26[[#This Row],[po_number]]&amp;"-"&amp;Table26[[#This Row],[po_line]]</f>
        <v>-1</v>
      </c>
      <c r="O271" s="55">
        <v>1</v>
      </c>
      <c r="P271" s="234"/>
      <c r="Q271" s="90" t="s">
        <v>1860</v>
      </c>
      <c r="R271" s="90" t="s">
        <v>3830</v>
      </c>
      <c r="S271" s="90" t="s">
        <v>13</v>
      </c>
      <c r="T271" s="20">
        <v>45555</v>
      </c>
      <c r="U271" s="236">
        <v>24</v>
      </c>
      <c r="V271" s="90">
        <v>12</v>
      </c>
      <c r="W271" s="237">
        <f t="shared" si="8"/>
        <v>2</v>
      </c>
      <c r="X271" s="90" t="str">
        <f t="shared" si="9"/>
        <v/>
      </c>
      <c r="Y271" s="90"/>
      <c r="Z271" s="60"/>
      <c r="AA271" s="18" t="str" cm="1">
        <f t="array" ref="AA271">IF(P271="", "", _xlfn.XLOOKUP(P271,#REF!,#REF!,NA,0,-1))</f>
        <v/>
      </c>
      <c r="AB271" s="90"/>
      <c r="AC271" s="55" t="s">
        <v>82</v>
      </c>
      <c r="AD271" s="55" t="str">
        <f>IF($AC271="","",_xlfn.XLOOKUP($AC271,'[2]Client Info'!$C$2:$C$2535,'[2]Client Info'!$D$2:$D$2535))</f>
        <v>2223 COMMERCIAL DR</v>
      </c>
      <c r="AE271" s="55" t="str">
        <f>IF($AC271="","",_xlfn.XLOOKUP($AC271,'[2]Client Info'!$C$2:$C$2715,'[2]Client Info'!$E$2:$E$2715))</f>
        <v>VANCOUVER</v>
      </c>
      <c r="AF271" s="55" t="str">
        <f>IF($AC271="","",_xlfn.XLOOKUP($AC271,'[2]Client Info'!$C$2:$C$2715,'[2]Client Info'!$F$2:$F$2715))</f>
        <v>BC</v>
      </c>
      <c r="AG271" s="55" t="s">
        <v>82</v>
      </c>
      <c r="AH271" s="245">
        <f>276/12</f>
        <v>23</v>
      </c>
      <c r="AI271" s="43" t="str">
        <f>_xlfn.XLOOKUP(Table26[[#This Row],[customerSKU]],customerSKU!G:G,customerSKU!O:O,"not found",0,1)</f>
        <v>not found</v>
      </c>
      <c r="AJ271" s="53">
        <f>Table26[[#This Row],[unitprice]]*Table26[[#This Row],[quantity_unit]]</f>
        <v>552</v>
      </c>
      <c r="AK271" s="53" cm="1">
        <f t="array" ref="AK2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579.6</v>
      </c>
    </row>
    <row r="272" spans="1:37" ht="24.6" customHeight="1">
      <c r="A272" s="42">
        <v>1997</v>
      </c>
      <c r="B272" s="249" t="s">
        <v>3837</v>
      </c>
      <c r="C272" s="90" t="s">
        <v>203</v>
      </c>
      <c r="D272" s="235"/>
      <c r="E272" s="235"/>
      <c r="F272" s="90"/>
      <c r="G272" s="119"/>
      <c r="H272" s="90"/>
      <c r="I272" s="90" t="s">
        <v>3862</v>
      </c>
      <c r="J272" s="90" t="s">
        <v>503</v>
      </c>
      <c r="K272" s="232">
        <v>45552</v>
      </c>
      <c r="L272" s="233" t="s">
        <v>504</v>
      </c>
      <c r="M272" s="90"/>
      <c r="N272" s="55" t="str">
        <f>Table26[[#This Row],[po_number]]&amp;"-"&amp;Table26[[#This Row],[po_line]]</f>
        <v>-2</v>
      </c>
      <c r="O272" s="55">
        <v>2</v>
      </c>
      <c r="P272" s="234"/>
      <c r="Q272" s="242" t="s">
        <v>2096</v>
      </c>
      <c r="R272" s="90" t="s">
        <v>3830</v>
      </c>
      <c r="S272" s="90" t="s">
        <v>13</v>
      </c>
      <c r="T272" s="20">
        <v>45555</v>
      </c>
      <c r="U272" s="236">
        <v>24</v>
      </c>
      <c r="V272" s="90">
        <v>12</v>
      </c>
      <c r="W272" s="237">
        <f t="shared" si="8"/>
        <v>2</v>
      </c>
      <c r="X272" s="90" t="str">
        <f t="shared" si="9"/>
        <v/>
      </c>
      <c r="Y272" s="90"/>
      <c r="Z272" s="60"/>
      <c r="AA272" s="18" t="str" cm="1">
        <f t="array" ref="AA272">IF(P272="", "", _xlfn.XLOOKUP(P272,#REF!,#REF!,NA,0,-1))</f>
        <v/>
      </c>
      <c r="AB272" s="90"/>
      <c r="AC272" s="55" t="s">
        <v>82</v>
      </c>
      <c r="AD272" s="55" t="str">
        <f>IF($AC272="","",_xlfn.XLOOKUP($AC272,'[2]Client Info'!$C$2:$C$2535,'[2]Client Info'!$D$2:$D$2535))</f>
        <v>2223 COMMERCIAL DR</v>
      </c>
      <c r="AE272" s="55" t="str">
        <f>IF($AC272="","",_xlfn.XLOOKUP($AC272,'[2]Client Info'!$C$2:$C$2715,'[2]Client Info'!$E$2:$E$2715))</f>
        <v>VANCOUVER</v>
      </c>
      <c r="AF272" s="55" t="str">
        <f>IF($AC272="","",_xlfn.XLOOKUP($AC272,'[2]Client Info'!$C$2:$C$2715,'[2]Client Info'!$F$2:$F$2715))</f>
        <v>BC</v>
      </c>
      <c r="AG272" s="55" t="s">
        <v>82</v>
      </c>
      <c r="AH272" s="245">
        <f>276/12</f>
        <v>23</v>
      </c>
      <c r="AI272" s="43" t="str">
        <f>_xlfn.XLOOKUP(Table26[[#This Row],[customerSKU]],customerSKU!G:G,customerSKU!O:O,"not found",0,1)</f>
        <v>not found</v>
      </c>
      <c r="AJ272" s="53">
        <f>Table26[[#This Row],[unitprice]]*Table26[[#This Row],[quantity_unit]]</f>
        <v>552</v>
      </c>
      <c r="AK272" s="53" cm="1">
        <f t="array" ref="AK2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579.6</v>
      </c>
    </row>
    <row r="273" spans="1:37" ht="24.6" customHeight="1">
      <c r="A273" s="42">
        <v>1998</v>
      </c>
      <c r="B273" s="249" t="s">
        <v>3837</v>
      </c>
      <c r="C273" s="90" t="s">
        <v>203</v>
      </c>
      <c r="D273" s="235"/>
      <c r="E273" s="235"/>
      <c r="F273" s="90"/>
      <c r="G273" s="119"/>
      <c r="H273" s="90"/>
      <c r="I273" s="90" t="s">
        <v>3862</v>
      </c>
      <c r="J273" s="90" t="s">
        <v>503</v>
      </c>
      <c r="K273" s="232">
        <v>45552</v>
      </c>
      <c r="L273" s="233" t="s">
        <v>504</v>
      </c>
      <c r="M273" s="90"/>
      <c r="N273" s="55" t="str">
        <f>Table26[[#This Row],[po_number]]&amp;"-"&amp;Table26[[#This Row],[po_line]]</f>
        <v>-3</v>
      </c>
      <c r="O273" s="55">
        <v>3</v>
      </c>
      <c r="P273" s="234"/>
      <c r="Q273" s="90" t="s">
        <v>1315</v>
      </c>
      <c r="R273" s="90" t="s">
        <v>3830</v>
      </c>
      <c r="S273" s="90" t="s">
        <v>13</v>
      </c>
      <c r="T273" s="20">
        <v>45555</v>
      </c>
      <c r="U273" s="236">
        <v>24</v>
      </c>
      <c r="V273" s="90">
        <v>12</v>
      </c>
      <c r="W273" s="237">
        <f t="shared" si="8"/>
        <v>2</v>
      </c>
      <c r="X273" s="90" t="str">
        <f t="shared" si="9"/>
        <v/>
      </c>
      <c r="Y273" s="90"/>
      <c r="Z273" s="60"/>
      <c r="AA273" s="18" t="str" cm="1">
        <f t="array" ref="AA273">IF(P273="", "", _xlfn.XLOOKUP(P273,#REF!,#REF!,NA,0,-1))</f>
        <v/>
      </c>
      <c r="AB273" s="90"/>
      <c r="AC273" s="55" t="s">
        <v>82</v>
      </c>
      <c r="AD273" s="55" t="str">
        <f>IF($AC273="","",_xlfn.XLOOKUP($AC273,'[2]Client Info'!$C$2:$C$2535,'[2]Client Info'!$D$2:$D$2535))</f>
        <v>2223 COMMERCIAL DR</v>
      </c>
      <c r="AE273" s="55" t="str">
        <f>IF($AC273="","",_xlfn.XLOOKUP($AC273,'[2]Client Info'!$C$2:$C$2715,'[2]Client Info'!$E$2:$E$2715))</f>
        <v>VANCOUVER</v>
      </c>
      <c r="AF273" s="55" t="str">
        <f>IF($AC273="","",_xlfn.XLOOKUP($AC273,'[2]Client Info'!$C$2:$C$2715,'[2]Client Info'!$F$2:$F$2715))</f>
        <v>BC</v>
      </c>
      <c r="AG273" s="55" t="s">
        <v>82</v>
      </c>
      <c r="AH273" s="245">
        <f>276/12</f>
        <v>23</v>
      </c>
      <c r="AI273" s="43" t="str">
        <f>_xlfn.XLOOKUP(Table26[[#This Row],[customerSKU]],customerSKU!G:G,customerSKU!O:O,"not found",0,1)</f>
        <v>not found</v>
      </c>
      <c r="AJ273" s="53">
        <f>Table26[[#This Row],[unitprice]]*Table26[[#This Row],[quantity_unit]]</f>
        <v>552</v>
      </c>
      <c r="AK273" s="53" cm="1">
        <f t="array" ref="AK2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579.6</v>
      </c>
    </row>
    <row r="274" spans="1:37" ht="24.6" customHeight="1">
      <c r="A274" s="42">
        <v>1999</v>
      </c>
      <c r="B274" s="249" t="s">
        <v>3837</v>
      </c>
      <c r="C274" s="90" t="s">
        <v>203</v>
      </c>
      <c r="D274" s="235"/>
      <c r="E274" s="235"/>
      <c r="F274" s="90"/>
      <c r="G274" s="119"/>
      <c r="H274" s="90"/>
      <c r="I274" s="90" t="s">
        <v>3862</v>
      </c>
      <c r="J274" s="90" t="s">
        <v>503</v>
      </c>
      <c r="K274" s="232">
        <v>45552</v>
      </c>
      <c r="L274" s="233" t="s">
        <v>504</v>
      </c>
      <c r="M274" s="90"/>
      <c r="N274" s="55" t="str">
        <f>Table26[[#This Row],[po_number]]&amp;"-"&amp;Table26[[#This Row],[po_line]]</f>
        <v>-4</v>
      </c>
      <c r="O274" s="55">
        <v>4</v>
      </c>
      <c r="P274" s="234"/>
      <c r="Q274" s="90" t="s">
        <v>2100</v>
      </c>
      <c r="R274" s="90" t="s">
        <v>3830</v>
      </c>
      <c r="S274" s="90" t="s">
        <v>13</v>
      </c>
      <c r="T274" s="20">
        <v>45555</v>
      </c>
      <c r="U274" s="236">
        <v>24</v>
      </c>
      <c r="V274" s="90">
        <v>12</v>
      </c>
      <c r="W274" s="237">
        <f t="shared" si="8"/>
        <v>2</v>
      </c>
      <c r="X274" s="90" t="str">
        <f t="shared" si="9"/>
        <v/>
      </c>
      <c r="Y274" s="90"/>
      <c r="Z274" s="60"/>
      <c r="AA274" s="18" t="str" cm="1">
        <f t="array" ref="AA274">IF(P274="", "", _xlfn.XLOOKUP(P274,#REF!,#REF!,NA,0,-1))</f>
        <v/>
      </c>
      <c r="AB274" s="90"/>
      <c r="AC274" s="55" t="s">
        <v>82</v>
      </c>
      <c r="AD274" s="55" t="str">
        <f>IF($AC274="","",_xlfn.XLOOKUP($AC274,'[2]Client Info'!$C$2:$C$2535,'[2]Client Info'!$D$2:$D$2535))</f>
        <v>2223 COMMERCIAL DR</v>
      </c>
      <c r="AE274" s="55" t="str">
        <f>IF($AC274="","",_xlfn.XLOOKUP($AC274,'[2]Client Info'!$C$2:$C$2715,'[2]Client Info'!$E$2:$E$2715))</f>
        <v>VANCOUVER</v>
      </c>
      <c r="AF274" s="55" t="str">
        <f>IF($AC274="","",_xlfn.XLOOKUP($AC274,'[2]Client Info'!$C$2:$C$2715,'[2]Client Info'!$F$2:$F$2715))</f>
        <v>BC</v>
      </c>
      <c r="AG274" s="55" t="s">
        <v>82</v>
      </c>
      <c r="AH274" s="245">
        <f>276/12</f>
        <v>23</v>
      </c>
      <c r="AI274" s="43" t="str">
        <f>_xlfn.XLOOKUP(Table26[[#This Row],[customerSKU]],customerSKU!G:G,customerSKU!O:O,"not found",0,1)</f>
        <v>not found</v>
      </c>
      <c r="AJ274" s="53">
        <f>Table26[[#This Row],[unitprice]]*Table26[[#This Row],[quantity_unit]]</f>
        <v>552</v>
      </c>
      <c r="AK274" s="53" cm="1">
        <f t="array" ref="AK2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579.6</v>
      </c>
    </row>
    <row r="275" spans="1:37" ht="24.6" customHeight="1">
      <c r="A275" s="42">
        <v>2000</v>
      </c>
      <c r="B275" s="249" t="s">
        <v>3837</v>
      </c>
      <c r="C275" s="90" t="s">
        <v>203</v>
      </c>
      <c r="D275" s="235"/>
      <c r="E275" s="235"/>
      <c r="F275" s="90"/>
      <c r="G275" s="119"/>
      <c r="H275" s="90"/>
      <c r="I275" s="90" t="s">
        <v>3862</v>
      </c>
      <c r="J275" s="90" t="s">
        <v>503</v>
      </c>
      <c r="K275" s="232">
        <v>45552</v>
      </c>
      <c r="L275" s="233" t="s">
        <v>504</v>
      </c>
      <c r="M275" s="90"/>
      <c r="N275" s="55" t="str">
        <f>Table26[[#This Row],[po_number]]&amp;"-"&amp;Table26[[#This Row],[po_line]]</f>
        <v>-5</v>
      </c>
      <c r="O275" s="55">
        <v>5</v>
      </c>
      <c r="P275" s="234"/>
      <c r="Q275" s="90" t="s">
        <v>2094</v>
      </c>
      <c r="R275" s="90" t="s">
        <v>3830</v>
      </c>
      <c r="S275" s="90" t="s">
        <v>13</v>
      </c>
      <c r="T275" s="20">
        <v>45555</v>
      </c>
      <c r="U275" s="236">
        <v>24</v>
      </c>
      <c r="V275" s="90">
        <v>12</v>
      </c>
      <c r="W275" s="237">
        <f t="shared" si="8"/>
        <v>2</v>
      </c>
      <c r="X275" s="90" t="str">
        <f t="shared" si="9"/>
        <v/>
      </c>
      <c r="Y275" s="90"/>
      <c r="Z275" s="60"/>
      <c r="AA275" s="18" t="str" cm="1">
        <f t="array" ref="AA275">IF(P275="", "", _xlfn.XLOOKUP(P275,#REF!,#REF!,NA,0,-1))</f>
        <v/>
      </c>
      <c r="AB275" s="90"/>
      <c r="AC275" s="55" t="s">
        <v>82</v>
      </c>
      <c r="AD275" s="55" t="str">
        <f>IF($AC275="","",_xlfn.XLOOKUP($AC275,'[2]Client Info'!$C$2:$C$2535,'[2]Client Info'!$D$2:$D$2535))</f>
        <v>2223 COMMERCIAL DR</v>
      </c>
      <c r="AE275" s="55" t="str">
        <f>IF($AC275="","",_xlfn.XLOOKUP($AC275,'[2]Client Info'!$C$2:$C$2715,'[2]Client Info'!$E$2:$E$2715))</f>
        <v>VANCOUVER</v>
      </c>
      <c r="AF275" s="55" t="str">
        <f>IF($AC275="","",_xlfn.XLOOKUP($AC275,'[2]Client Info'!$C$2:$C$2715,'[2]Client Info'!$F$2:$F$2715))</f>
        <v>BC</v>
      </c>
      <c r="AG275" s="55" t="s">
        <v>82</v>
      </c>
      <c r="AH275" s="245">
        <f>276/12</f>
        <v>23</v>
      </c>
      <c r="AI275" s="43" t="str">
        <f>_xlfn.XLOOKUP(Table26[[#This Row],[customerSKU]],customerSKU!G:G,customerSKU!O:O,"not found",0,1)</f>
        <v>not found</v>
      </c>
      <c r="AJ275" s="53">
        <f>Table26[[#This Row],[unitprice]]*Table26[[#This Row],[quantity_unit]]</f>
        <v>552</v>
      </c>
      <c r="AK275" s="53" cm="1">
        <f t="array" ref="AK2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579.6</v>
      </c>
    </row>
    <row r="276" spans="1:37" ht="24.6" customHeight="1">
      <c r="A276" s="42">
        <v>1957</v>
      </c>
      <c r="B276" s="58" t="s">
        <v>3520</v>
      </c>
      <c r="C276" s="53" t="s">
        <v>203</v>
      </c>
      <c r="D276" s="51"/>
      <c r="E276" s="51"/>
      <c r="F276" s="53"/>
      <c r="G276" s="46"/>
      <c r="H276" s="53"/>
      <c r="I276" s="53" t="s">
        <v>3862</v>
      </c>
      <c r="J276" s="53" t="s">
        <v>27</v>
      </c>
      <c r="K276" s="48">
        <v>45553</v>
      </c>
      <c r="L276" s="49" t="s">
        <v>490</v>
      </c>
      <c r="M276" s="53"/>
      <c r="N276" s="77" t="str">
        <f>Table26[[#This Row],[po_number]]&amp;"-"&amp;Table26[[#This Row],[po_line]]</f>
        <v>-1</v>
      </c>
      <c r="O276" s="77">
        <v>1</v>
      </c>
      <c r="P276" s="50"/>
      <c r="Q276" s="53" t="s">
        <v>797</v>
      </c>
      <c r="R276" s="53" t="s">
        <v>3830</v>
      </c>
      <c r="S276" s="53" t="s">
        <v>57</v>
      </c>
      <c r="T276" s="20">
        <v>45448</v>
      </c>
      <c r="U276" s="52">
        <v>12</v>
      </c>
      <c r="V276" s="53">
        <v>12</v>
      </c>
      <c r="W276" s="116">
        <f t="shared" si="8"/>
        <v>1</v>
      </c>
      <c r="X276" s="53" t="str">
        <f t="shared" si="9"/>
        <v/>
      </c>
      <c r="Y276" s="53"/>
      <c r="Z276" s="60"/>
      <c r="AA276" s="18" t="str" cm="1">
        <f t="array" ref="AA276">IF(P276="", "", _xlfn.XLOOKUP(P276,#REF!,#REF!,NA,0,-1))</f>
        <v/>
      </c>
      <c r="AB276" s="47"/>
      <c r="AC276" s="55" t="s">
        <v>3635</v>
      </c>
      <c r="AD276" s="55" t="str">
        <f>IF($AC276="","",_xlfn.XLOOKUP($AC276,'[2]Client Info'!$C$2:$C$2535,'[2]Client Info'!$D$2:$D$2535))</f>
        <v>PO BOX 300, HIGHWAY 6 &amp; TWIN LAKES BEACH ROAD</v>
      </c>
      <c r="AE276" s="55" t="str">
        <f>IF($AC276="","",_xlfn.XLOOKUP($AC276,'[2]Client Info'!$C$2:$C$2715,'[2]Client Info'!$E$2:$E$2715))</f>
        <v>ST. LAURENT</v>
      </c>
      <c r="AF276" s="55" t="str">
        <f>IF($AC276="","",_xlfn.XLOOKUP($AC276,'[2]Client Info'!$C$2:$C$2715,'[2]Client Info'!$F$2:$F$2715))</f>
        <v xml:space="preserve">MB </v>
      </c>
      <c r="AG276" s="55" t="s">
        <v>3992</v>
      </c>
      <c r="AH276" s="62">
        <f>240/12</f>
        <v>20</v>
      </c>
      <c r="AI276" s="43" t="str">
        <f>_xlfn.XLOOKUP(Table26[[#This Row],[customerSKU]],customerSKU!G:G,customerSKU!O:O,"not found",0,1)</f>
        <v>not found</v>
      </c>
      <c r="AJ276" s="53">
        <f>Table26[[#This Row],[unitprice]]*Table26[[#This Row],[quantity_unit]]</f>
        <v>240</v>
      </c>
      <c r="AK276" s="53" cm="1">
        <f t="array" ref="AK2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252</v>
      </c>
    </row>
    <row r="277" spans="1:37" ht="24.6" customHeight="1">
      <c r="A277" s="42">
        <v>1958</v>
      </c>
      <c r="B277" s="58" t="s">
        <v>3520</v>
      </c>
      <c r="C277" s="53" t="s">
        <v>203</v>
      </c>
      <c r="D277" s="51"/>
      <c r="E277" s="51"/>
      <c r="F277" s="53"/>
      <c r="G277" s="46"/>
      <c r="H277" s="53"/>
      <c r="I277" s="53" t="s">
        <v>3862</v>
      </c>
      <c r="J277" s="53" t="s">
        <v>27</v>
      </c>
      <c r="K277" s="48">
        <v>45553</v>
      </c>
      <c r="L277" s="49" t="s">
        <v>490</v>
      </c>
      <c r="M277" s="53"/>
      <c r="N277" s="77" t="str">
        <f>Table26[[#This Row],[po_number]]&amp;"-"&amp;Table26[[#This Row],[po_line]]</f>
        <v>-1</v>
      </c>
      <c r="O277" s="77">
        <v>1</v>
      </c>
      <c r="P277" s="50"/>
      <c r="Q277" s="53" t="s">
        <v>1315</v>
      </c>
      <c r="R277" s="53" t="s">
        <v>3830</v>
      </c>
      <c r="S277" s="53" t="s">
        <v>57</v>
      </c>
      <c r="T277" s="20">
        <v>45555</v>
      </c>
      <c r="U277" s="52">
        <v>12</v>
      </c>
      <c r="V277" s="53">
        <v>12</v>
      </c>
      <c r="W277" s="116">
        <f t="shared" si="8"/>
        <v>1</v>
      </c>
      <c r="X277" s="53" t="str">
        <f t="shared" si="9"/>
        <v/>
      </c>
      <c r="Y277" s="53"/>
      <c r="Z277" s="60"/>
      <c r="AA277" s="18" t="str" cm="1">
        <f t="array" ref="AA277">IF(P277="", "", _xlfn.XLOOKUP(P277,#REF!,#REF!,NA,0,-1))</f>
        <v/>
      </c>
      <c r="AB277" s="53"/>
      <c r="AC277" s="55" t="s">
        <v>4000</v>
      </c>
      <c r="AD277" s="55" t="str">
        <f>IF($AC277="","",_xlfn.XLOOKUP($AC277,'[2]Client Info'!$C$2:$C$2535,'[2]Client Info'!$D$2:$D$2535))</f>
        <v>371 MAIN ST</v>
      </c>
      <c r="AE277" s="55" t="str">
        <f>IF($AC277="","",_xlfn.XLOOKUP($AC277,'[2]Client Info'!$C$2:$C$2715,'[2]Client Info'!$E$2:$E$2715))</f>
        <v xml:space="preserve">STONEWALL </v>
      </c>
      <c r="AF277" s="55" t="str">
        <f>IF($AC277="","",_xlfn.XLOOKUP($AC277,'[2]Client Info'!$C$2:$C$2715,'[2]Client Info'!$F$2:$F$2715))</f>
        <v>MB</v>
      </c>
      <c r="AG277" s="55" t="s">
        <v>3992</v>
      </c>
      <c r="AH277" s="62">
        <f>180/12</f>
        <v>15</v>
      </c>
      <c r="AI277" s="43" t="str">
        <f>_xlfn.XLOOKUP(Table26[[#This Row],[customerSKU]],customerSKU!G:G,customerSKU!O:O,"not found",0,1)</f>
        <v>not found</v>
      </c>
      <c r="AJ277" s="53">
        <f>Table26[[#This Row],[unitprice]]*Table26[[#This Row],[quantity_unit]]</f>
        <v>180</v>
      </c>
      <c r="AK277" s="53" cm="1">
        <f t="array" ref="AK2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189</v>
      </c>
    </row>
    <row r="278" spans="1:37" ht="18" customHeight="1">
      <c r="A278" s="42">
        <v>1959</v>
      </c>
      <c r="B278" s="58" t="s">
        <v>3520</v>
      </c>
      <c r="C278" s="53" t="s">
        <v>203</v>
      </c>
      <c r="D278" s="51"/>
      <c r="E278" s="51"/>
      <c r="F278" s="53"/>
      <c r="G278" s="46"/>
      <c r="H278" s="53"/>
      <c r="I278" s="53" t="s">
        <v>3862</v>
      </c>
      <c r="J278" s="53" t="s">
        <v>27</v>
      </c>
      <c r="K278" s="48">
        <v>45553</v>
      </c>
      <c r="L278" s="49" t="s">
        <v>490</v>
      </c>
      <c r="M278" s="53"/>
      <c r="N278" s="77" t="str">
        <f>Table26[[#This Row],[po_number]]&amp;"-"&amp;Table26[[#This Row],[po_line]]</f>
        <v>-2</v>
      </c>
      <c r="O278" s="77">
        <v>2</v>
      </c>
      <c r="P278" s="50"/>
      <c r="Q278" s="53" t="s">
        <v>1315</v>
      </c>
      <c r="R278" s="53" t="s">
        <v>3830</v>
      </c>
      <c r="S278" s="53" t="s">
        <v>57</v>
      </c>
      <c r="T278" s="20">
        <v>45555</v>
      </c>
      <c r="U278" s="52">
        <v>12</v>
      </c>
      <c r="V278" s="53">
        <v>12</v>
      </c>
      <c r="W278" s="116">
        <f t="shared" si="8"/>
        <v>1</v>
      </c>
      <c r="X278" s="53" t="str">
        <f t="shared" si="9"/>
        <v/>
      </c>
      <c r="Y278" s="53"/>
      <c r="Z278" s="60"/>
      <c r="AA278" s="18" t="str" cm="1">
        <f t="array" ref="AA278">IF(P278="", "", _xlfn.XLOOKUP(P278,#REF!,#REF!,NA,0,-1))</f>
        <v/>
      </c>
      <c r="AB278" s="53"/>
      <c r="AC278" s="55" t="s">
        <v>4000</v>
      </c>
      <c r="AD278" s="55" t="str">
        <f>IF($AC278="","",_xlfn.XLOOKUP($AC278,'[2]Client Info'!$C$2:$C$2535,'[2]Client Info'!$D$2:$D$2535))</f>
        <v>371 MAIN ST</v>
      </c>
      <c r="AE278" s="55" t="str">
        <f>IF($AC278="","",_xlfn.XLOOKUP($AC278,'[2]Client Info'!$C$2:$C$2715,'[2]Client Info'!$E$2:$E$2715))</f>
        <v xml:space="preserve">STONEWALL </v>
      </c>
      <c r="AF278" s="55" t="str">
        <f>IF($AC278="","",_xlfn.XLOOKUP($AC278,'[2]Client Info'!$C$2:$C$2715,'[2]Client Info'!$F$2:$F$2715))</f>
        <v>MB</v>
      </c>
      <c r="AG278" s="55" t="s">
        <v>3992</v>
      </c>
      <c r="AH278" s="62">
        <f>180/12</f>
        <v>15</v>
      </c>
      <c r="AI278" s="43" t="str">
        <f>_xlfn.XLOOKUP(Table26[[#This Row],[customerSKU]],customerSKU!G:G,customerSKU!O:O,"not found",0,1)</f>
        <v>not found</v>
      </c>
      <c r="AJ278" s="53">
        <f>Table26[[#This Row],[unitprice]]*Table26[[#This Row],[quantity_unit]]</f>
        <v>180</v>
      </c>
      <c r="AK278" s="53" cm="1">
        <f t="array" ref="AK2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189</v>
      </c>
    </row>
    <row r="279" spans="1:37" ht="18" customHeight="1">
      <c r="A279" s="42">
        <v>1960</v>
      </c>
      <c r="B279" s="58" t="s">
        <v>3520</v>
      </c>
      <c r="C279" s="53" t="s">
        <v>203</v>
      </c>
      <c r="D279" s="51"/>
      <c r="E279" s="51"/>
      <c r="F279" s="53"/>
      <c r="G279" s="46"/>
      <c r="H279" s="53"/>
      <c r="I279" s="53" t="s">
        <v>3862</v>
      </c>
      <c r="J279" s="53" t="s">
        <v>27</v>
      </c>
      <c r="K279" s="48">
        <v>45553</v>
      </c>
      <c r="L279" s="49" t="s">
        <v>490</v>
      </c>
      <c r="M279" s="53"/>
      <c r="N279" s="77" t="str">
        <f>Table26[[#This Row],[po_number]]&amp;"-"&amp;Table26[[#This Row],[po_line]]</f>
        <v>-3</v>
      </c>
      <c r="O279" s="77">
        <v>3</v>
      </c>
      <c r="P279" s="50"/>
      <c r="Q279" s="53" t="s">
        <v>2094</v>
      </c>
      <c r="R279" s="53" t="s">
        <v>3830</v>
      </c>
      <c r="S279" s="53" t="s">
        <v>57</v>
      </c>
      <c r="T279" s="20">
        <v>45555</v>
      </c>
      <c r="U279" s="52">
        <v>12</v>
      </c>
      <c r="V279" s="53">
        <v>12</v>
      </c>
      <c r="W279" s="116">
        <f t="shared" si="8"/>
        <v>1</v>
      </c>
      <c r="X279" s="53" t="str">
        <f t="shared" si="9"/>
        <v/>
      </c>
      <c r="Y279" s="53"/>
      <c r="Z279" s="60"/>
      <c r="AA279" s="18" t="str" cm="1">
        <f t="array" ref="AA279">IF(P279="", "", _xlfn.XLOOKUP(P279,#REF!,#REF!,NA,0,-1))</f>
        <v/>
      </c>
      <c r="AB279" s="47"/>
      <c r="AC279" s="55" t="s">
        <v>4000</v>
      </c>
      <c r="AD279" s="55" t="str">
        <f>IF($AC279="","",_xlfn.XLOOKUP($AC279,'[2]Client Info'!$C$2:$C$2535,'[2]Client Info'!$D$2:$D$2535))</f>
        <v>371 MAIN ST</v>
      </c>
      <c r="AE279" s="55" t="str">
        <f>IF($AC279="","",_xlfn.XLOOKUP($AC279,'[2]Client Info'!$C$2:$C$2715,'[2]Client Info'!$E$2:$E$2715))</f>
        <v xml:space="preserve">STONEWALL </v>
      </c>
      <c r="AF279" s="55" t="str">
        <f>IF($AC279="","",_xlfn.XLOOKUP($AC279,'[2]Client Info'!$C$2:$C$2715,'[2]Client Info'!$F$2:$F$2715))</f>
        <v>MB</v>
      </c>
      <c r="AG279" s="55" t="s">
        <v>3992</v>
      </c>
      <c r="AH279" s="62">
        <f>180/12</f>
        <v>15</v>
      </c>
      <c r="AI279" s="43" t="str">
        <f>_xlfn.XLOOKUP(Table26[[#This Row],[customerSKU]],customerSKU!G:G,customerSKU!O:O,"not found",0,1)</f>
        <v>not found</v>
      </c>
      <c r="AJ279" s="53">
        <f>Table26[[#This Row],[unitprice]]*Table26[[#This Row],[quantity_unit]]</f>
        <v>180</v>
      </c>
      <c r="AK279" s="53" cm="1">
        <f t="array" ref="AK2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189</v>
      </c>
    </row>
    <row r="280" spans="1:37" ht="18" customHeight="1">
      <c r="A280" s="42">
        <v>1961</v>
      </c>
      <c r="B280" s="58" t="s">
        <v>3520</v>
      </c>
      <c r="C280" s="53" t="s">
        <v>203</v>
      </c>
      <c r="D280" s="51"/>
      <c r="E280" s="51"/>
      <c r="F280" s="53"/>
      <c r="G280" s="46"/>
      <c r="H280" s="53"/>
      <c r="I280" s="53" t="s">
        <v>3862</v>
      </c>
      <c r="J280" s="53" t="s">
        <v>27</v>
      </c>
      <c r="K280" s="48">
        <v>45553</v>
      </c>
      <c r="L280" s="49" t="s">
        <v>490</v>
      </c>
      <c r="M280" s="53"/>
      <c r="N280" s="77" t="str">
        <f>Table26[[#This Row],[po_number]]&amp;"-"&amp;Table26[[#This Row],[po_line]]</f>
        <v>-1</v>
      </c>
      <c r="O280" s="77">
        <v>1</v>
      </c>
      <c r="P280" s="50"/>
      <c r="Q280" s="53" t="s">
        <v>797</v>
      </c>
      <c r="R280" s="53" t="s">
        <v>3830</v>
      </c>
      <c r="S280" s="53" t="s">
        <v>57</v>
      </c>
      <c r="T280" s="20">
        <v>45448</v>
      </c>
      <c r="U280" s="52">
        <v>12</v>
      </c>
      <c r="V280" s="53">
        <v>12</v>
      </c>
      <c r="W280" s="116">
        <f t="shared" si="8"/>
        <v>1</v>
      </c>
      <c r="X280" s="53" t="str">
        <f t="shared" si="9"/>
        <v/>
      </c>
      <c r="Y280" s="53"/>
      <c r="Z280" s="60"/>
      <c r="AA280" s="18" t="str" cm="1">
        <f t="array" ref="AA280">IF(P280="", "", _xlfn.XLOOKUP(P280,#REF!,#REF!,NA,0,-1))</f>
        <v/>
      </c>
      <c r="AB280" s="47"/>
      <c r="AC280" s="55" t="s">
        <v>4001</v>
      </c>
      <c r="AD280" s="55" t="str">
        <f>IF($AC280="","",_xlfn.XLOOKUP($AC280,'[2]Client Info'!$C$2:$C$2535,'[2]Client Info'!$D$2:$D$2535))</f>
        <v>405 MAIN ST</v>
      </c>
      <c r="AE280" s="55" t="str">
        <f>IF($AC280="","",_xlfn.XLOOKUP($AC280,'[2]Client Info'!$C$2:$C$2715,'[2]Client Info'!$E$2:$E$2715))</f>
        <v>SELKIRK</v>
      </c>
      <c r="AF280" s="55" t="str">
        <f>IF($AC280="","",_xlfn.XLOOKUP($AC280,'[2]Client Info'!$C$2:$C$2715,'[2]Client Info'!$F$2:$F$2715))</f>
        <v>MB</v>
      </c>
      <c r="AG280" s="55" t="s">
        <v>3992</v>
      </c>
      <c r="AH280" s="62">
        <f>240/12</f>
        <v>20</v>
      </c>
      <c r="AI280" s="43" t="str">
        <f>_xlfn.XLOOKUP(Table26[[#This Row],[customerSKU]],customerSKU!G:G,customerSKU!O:O,"not found",0,1)</f>
        <v>not found</v>
      </c>
      <c r="AJ280" s="53">
        <f>Table26[[#This Row],[unitprice]]*Table26[[#This Row],[quantity_unit]]</f>
        <v>240</v>
      </c>
      <c r="AK280" s="53" cm="1">
        <f t="array" ref="AK2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252</v>
      </c>
    </row>
    <row r="281" spans="1:37" ht="18" customHeight="1">
      <c r="A281" s="42">
        <v>1962</v>
      </c>
      <c r="B281" s="58" t="s">
        <v>3520</v>
      </c>
      <c r="C281" s="53" t="s">
        <v>203</v>
      </c>
      <c r="D281" s="51"/>
      <c r="E281" s="51"/>
      <c r="F281" s="53"/>
      <c r="G281" s="46"/>
      <c r="H281" s="53"/>
      <c r="I281" s="53" t="s">
        <v>3862</v>
      </c>
      <c r="J281" s="53" t="s">
        <v>27</v>
      </c>
      <c r="K281" s="48">
        <v>45553</v>
      </c>
      <c r="L281" s="49" t="s">
        <v>490</v>
      </c>
      <c r="M281" s="53"/>
      <c r="N281" s="77" t="str">
        <f>Table26[[#This Row],[po_number]]&amp;"-"&amp;Table26[[#This Row],[po_line]]</f>
        <v>-1</v>
      </c>
      <c r="O281" s="77">
        <v>1</v>
      </c>
      <c r="P281" s="50"/>
      <c r="Q281" s="53" t="s">
        <v>797</v>
      </c>
      <c r="R281" s="53" t="s">
        <v>3830</v>
      </c>
      <c r="S281" s="53" t="s">
        <v>57</v>
      </c>
      <c r="T281" s="20">
        <v>45448</v>
      </c>
      <c r="U281" s="52">
        <v>12</v>
      </c>
      <c r="V281" s="53">
        <v>12</v>
      </c>
      <c r="W281" s="116">
        <f t="shared" si="8"/>
        <v>1</v>
      </c>
      <c r="X281" s="53" t="str">
        <f t="shared" si="9"/>
        <v/>
      </c>
      <c r="Y281" s="53"/>
      <c r="Z281" s="60"/>
      <c r="AA281" s="18" t="str" cm="1">
        <f t="array" ref="AA281">IF(P281="", "", _xlfn.XLOOKUP(P281,#REF!,#REF!,NA,0,-1))</f>
        <v/>
      </c>
      <c r="AB281" s="53"/>
      <c r="AC281" s="55" t="s">
        <v>80</v>
      </c>
      <c r="AD281" s="55" t="str">
        <f>IF($AC281="","",_xlfn.XLOOKUP($AC281,'[2]Client Info'!$C$2:$C$2535,'[2]Client Info'!$D$2:$D$2535))</f>
        <v>13 A DENNIS ST</v>
      </c>
      <c r="AE281" s="55" t="str">
        <f>IF($AC281="","",_xlfn.XLOOKUP($AC281,'[2]Client Info'!$C$2:$C$2715,'[2]Client Info'!$E$2:$E$2715))</f>
        <v xml:space="preserve">GLADSTONE </v>
      </c>
      <c r="AF281" s="55" t="str">
        <f>IF($AC281="","",_xlfn.XLOOKUP($AC281,'[2]Client Info'!$C$2:$C$2715,'[2]Client Info'!$F$2:$F$2715))</f>
        <v>MB</v>
      </c>
      <c r="AG281" s="55" t="s">
        <v>3992</v>
      </c>
      <c r="AH281" s="62"/>
      <c r="AI281" s="43" t="str">
        <f>_xlfn.XLOOKUP(Table26[[#This Row],[customerSKU]],customerSKU!G:G,customerSKU!O:O,"not found",0,1)</f>
        <v>not found</v>
      </c>
      <c r="AJ281" s="53">
        <f>Table26[[#This Row],[unitprice]]*Table26[[#This Row],[quantity_unit]]</f>
        <v>0</v>
      </c>
      <c r="AK281" s="53" cm="1">
        <f t="array" ref="AK2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82" spans="1:37" ht="18" customHeight="1">
      <c r="A282" s="42">
        <v>1963</v>
      </c>
      <c r="B282" s="58" t="s">
        <v>3520</v>
      </c>
      <c r="C282" s="53" t="s">
        <v>203</v>
      </c>
      <c r="D282" s="51"/>
      <c r="E282" s="51"/>
      <c r="F282" s="53"/>
      <c r="G282" s="46"/>
      <c r="H282" s="53"/>
      <c r="I282" s="53" t="s">
        <v>3862</v>
      </c>
      <c r="J282" s="53" t="s">
        <v>27</v>
      </c>
      <c r="K282" s="48">
        <v>45553</v>
      </c>
      <c r="L282" s="49" t="s">
        <v>490</v>
      </c>
      <c r="M282" s="53"/>
      <c r="N282" s="77" t="str">
        <f>Table26[[#This Row],[po_number]]&amp;"-"&amp;Table26[[#This Row],[po_line]]</f>
        <v>-1</v>
      </c>
      <c r="O282" s="77">
        <v>1</v>
      </c>
      <c r="P282" s="50"/>
      <c r="Q282" s="53" t="s">
        <v>797</v>
      </c>
      <c r="R282" s="53" t="s">
        <v>3830</v>
      </c>
      <c r="S282" s="53" t="s">
        <v>57</v>
      </c>
      <c r="T282" s="20">
        <v>45448</v>
      </c>
      <c r="U282" s="52">
        <v>12</v>
      </c>
      <c r="V282" s="53">
        <v>12</v>
      </c>
      <c r="W282" s="116">
        <f t="shared" si="8"/>
        <v>1</v>
      </c>
      <c r="X282" s="53" t="str">
        <f t="shared" si="9"/>
        <v/>
      </c>
      <c r="Y282" s="53"/>
      <c r="Z282" s="60"/>
      <c r="AA282" s="18" t="str" cm="1">
        <f t="array" ref="AA282">IF(P282="", "", _xlfn.XLOOKUP(P282,#REF!,#REF!,NA,0,-1))</f>
        <v/>
      </c>
      <c r="AB282" s="53"/>
      <c r="AC282" s="55" t="s">
        <v>83</v>
      </c>
      <c r="AD282" s="55" t="str">
        <f>IF($AC282="","",_xlfn.XLOOKUP($AC282,'[2]Client Info'!$C$2:$C$2535,'[2]Client Info'!$D$2:$D$2535))</f>
        <v>69 MAIN ST</v>
      </c>
      <c r="AE282" s="55" t="str">
        <f>IF($AC282="","",_xlfn.XLOOKUP($AC282,'[2]Client Info'!$C$2:$C$2715,'[2]Client Info'!$E$2:$E$2715))</f>
        <v>MELITA</v>
      </c>
      <c r="AF282" s="55" t="str">
        <f>IF($AC282="","",_xlfn.XLOOKUP($AC282,'[2]Client Info'!$C$2:$C$2715,'[2]Client Info'!$F$2:$F$2715))</f>
        <v>MB</v>
      </c>
      <c r="AG282" s="55" t="s">
        <v>3992</v>
      </c>
      <c r="AH282" s="62"/>
      <c r="AI282" s="43" t="str">
        <f>_xlfn.XLOOKUP(Table26[[#This Row],[customerSKU]],customerSKU!G:G,customerSKU!O:O,"not found",0,1)</f>
        <v>not found</v>
      </c>
      <c r="AJ282" s="53">
        <f>Table26[[#This Row],[unitprice]]*Table26[[#This Row],[quantity_unit]]</f>
        <v>0</v>
      </c>
      <c r="AK282" s="53" cm="1">
        <f t="array" ref="AK2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83" spans="1:37" ht="18" customHeight="1">
      <c r="A283" s="42">
        <v>1964</v>
      </c>
      <c r="B283" s="58" t="s">
        <v>3520</v>
      </c>
      <c r="C283" s="53" t="s">
        <v>203</v>
      </c>
      <c r="D283" s="51"/>
      <c r="E283" s="51"/>
      <c r="F283" s="53"/>
      <c r="G283" s="46"/>
      <c r="H283" s="53"/>
      <c r="I283" s="53" t="s">
        <v>3862</v>
      </c>
      <c r="J283" s="53" t="s">
        <v>27</v>
      </c>
      <c r="K283" s="48">
        <v>45553</v>
      </c>
      <c r="L283" s="49" t="s">
        <v>490</v>
      </c>
      <c r="M283" s="53"/>
      <c r="N283" s="77" t="str">
        <f>Table26[[#This Row],[po_number]]&amp;"-"&amp;Table26[[#This Row],[po_line]]</f>
        <v>-1</v>
      </c>
      <c r="O283" s="77">
        <v>1</v>
      </c>
      <c r="P283" s="50"/>
      <c r="Q283" s="53" t="s">
        <v>905</v>
      </c>
      <c r="R283" s="53" t="s">
        <v>3830</v>
      </c>
      <c r="S283" s="53" t="s">
        <v>57</v>
      </c>
      <c r="T283" s="20">
        <v>45541</v>
      </c>
      <c r="U283" s="52">
        <v>12</v>
      </c>
      <c r="V283" s="53">
        <v>12</v>
      </c>
      <c r="W283" s="116">
        <f t="shared" si="8"/>
        <v>1</v>
      </c>
      <c r="X283" s="53" t="str">
        <f t="shared" si="9"/>
        <v/>
      </c>
      <c r="Y283" s="53"/>
      <c r="Z283" s="60"/>
      <c r="AA283" s="18" t="str" cm="1">
        <f t="array" ref="AA283">IF(P283="", "", _xlfn.XLOOKUP(P283,#REF!,#REF!,NA,0,-1))</f>
        <v/>
      </c>
      <c r="AB283" s="53"/>
      <c r="AC283" s="55" t="s">
        <v>84</v>
      </c>
      <c r="AD283" s="55" t="str">
        <f>IF($AC283="","",_xlfn.XLOOKUP($AC283,'[2]Client Info'!$C$2:$C$2535,'[2]Client Info'!$D$2:$D$2535))</f>
        <v>UNIT 1-45, 4TH AVE NE</v>
      </c>
      <c r="AE283" s="55" t="str">
        <f>IF($AC283="","",_xlfn.XLOOKUP($AC283,'[2]Client Info'!$C$2:$C$2715,'[2]Client Info'!$E$2:$E$2715))</f>
        <v>ALTONA</v>
      </c>
      <c r="AF283" s="55" t="str">
        <f>IF($AC283="","",_xlfn.XLOOKUP($AC283,'[2]Client Info'!$C$2:$C$2715,'[2]Client Info'!$F$2:$F$2715))</f>
        <v>MB</v>
      </c>
      <c r="AG283" s="55" t="s">
        <v>3992</v>
      </c>
      <c r="AH283" s="62"/>
      <c r="AI283" s="43" t="str">
        <f>_xlfn.XLOOKUP(Table26[[#This Row],[customerSKU]],customerSKU!G:G,customerSKU!O:O,"not found",0,1)</f>
        <v>not found</v>
      </c>
      <c r="AJ283" s="53">
        <f>Table26[[#This Row],[unitprice]]*Table26[[#This Row],[quantity_unit]]</f>
        <v>0</v>
      </c>
      <c r="AK283" s="53" cm="1">
        <f t="array" ref="AK2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84" spans="1:37" ht="18" customHeight="1">
      <c r="A284" s="42">
        <v>1965</v>
      </c>
      <c r="B284" s="58" t="s">
        <v>3520</v>
      </c>
      <c r="C284" s="53" t="s">
        <v>203</v>
      </c>
      <c r="D284" s="51"/>
      <c r="E284" s="51"/>
      <c r="F284" s="53"/>
      <c r="G284" s="46"/>
      <c r="H284" s="53"/>
      <c r="I284" s="53" t="s">
        <v>3862</v>
      </c>
      <c r="J284" s="53" t="s">
        <v>27</v>
      </c>
      <c r="K284" s="48">
        <v>45553</v>
      </c>
      <c r="L284" s="49" t="s">
        <v>490</v>
      </c>
      <c r="M284" s="53"/>
      <c r="N284" s="77" t="str">
        <f>Table26[[#This Row],[po_number]]&amp;"-"&amp;Table26[[#This Row],[po_line]]</f>
        <v>-2</v>
      </c>
      <c r="O284" s="77">
        <v>2</v>
      </c>
      <c r="P284" s="50"/>
      <c r="Q284" s="53" t="s">
        <v>2094</v>
      </c>
      <c r="R284" s="53" t="s">
        <v>3830</v>
      </c>
      <c r="S284" s="53" t="s">
        <v>57</v>
      </c>
      <c r="T284" s="20">
        <v>45555</v>
      </c>
      <c r="U284" s="52">
        <v>12</v>
      </c>
      <c r="V284" s="53">
        <v>12</v>
      </c>
      <c r="W284" s="116">
        <f t="shared" si="8"/>
        <v>1</v>
      </c>
      <c r="X284" s="53" t="str">
        <f t="shared" si="9"/>
        <v/>
      </c>
      <c r="Y284" s="53"/>
      <c r="Z284" s="60"/>
      <c r="AA284" s="18" t="str" cm="1">
        <f t="array" ref="AA284">IF(P284="", "", _xlfn.XLOOKUP(P284,#REF!,#REF!,NA,0,-1))</f>
        <v/>
      </c>
      <c r="AB284" s="53"/>
      <c r="AC284" s="55" t="s">
        <v>84</v>
      </c>
      <c r="AD284" s="55" t="str">
        <f>IF($AC284="","",_xlfn.XLOOKUP($AC284,'[2]Client Info'!$C$2:$C$2535,'[2]Client Info'!$D$2:$D$2535))</f>
        <v>UNIT 1-45, 4TH AVE NE</v>
      </c>
      <c r="AE284" s="55" t="str">
        <f>IF($AC284="","",_xlfn.XLOOKUP($AC284,'[2]Client Info'!$C$2:$C$2715,'[2]Client Info'!$E$2:$E$2715))</f>
        <v>ALTONA</v>
      </c>
      <c r="AF284" s="55" t="str">
        <f>IF($AC284="","",_xlfn.XLOOKUP($AC284,'[2]Client Info'!$C$2:$C$2715,'[2]Client Info'!$F$2:$F$2715))</f>
        <v>MB</v>
      </c>
      <c r="AG284" s="55" t="s">
        <v>3992</v>
      </c>
      <c r="AH284" s="62"/>
      <c r="AI284" s="43" t="str">
        <f>_xlfn.XLOOKUP(Table26[[#This Row],[customerSKU]],customerSKU!G:G,customerSKU!O:O,"not found",0,1)</f>
        <v>not found</v>
      </c>
      <c r="AJ284" s="53">
        <f>Table26[[#This Row],[unitprice]]*Table26[[#This Row],[quantity_unit]]</f>
        <v>0</v>
      </c>
      <c r="AK284" s="53" cm="1">
        <f t="array" ref="AK2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85" spans="1:37" ht="18" customHeight="1">
      <c r="A285" s="42">
        <v>1966</v>
      </c>
      <c r="B285" s="249" t="s">
        <v>3520</v>
      </c>
      <c r="C285" s="90" t="s">
        <v>203</v>
      </c>
      <c r="D285" s="235"/>
      <c r="E285" s="235"/>
      <c r="F285" s="90"/>
      <c r="G285" s="119"/>
      <c r="H285" s="90"/>
      <c r="I285" s="90" t="s">
        <v>3862</v>
      </c>
      <c r="J285" s="90" t="s">
        <v>503</v>
      </c>
      <c r="K285" s="232">
        <v>45553</v>
      </c>
      <c r="L285" s="233" t="s">
        <v>504</v>
      </c>
      <c r="M285" s="90"/>
      <c r="N285" s="55" t="str">
        <f>Table26[[#This Row],[po_number]]&amp;"-"&amp;Table26[[#This Row],[po_line]]</f>
        <v>-1</v>
      </c>
      <c r="O285" s="55">
        <v>1</v>
      </c>
      <c r="P285" s="234"/>
      <c r="Q285" s="90" t="s">
        <v>1860</v>
      </c>
      <c r="R285" s="90" t="s">
        <v>3830</v>
      </c>
      <c r="S285" s="90" t="s">
        <v>13</v>
      </c>
      <c r="T285" s="20">
        <v>45555</v>
      </c>
      <c r="U285" s="236">
        <v>12</v>
      </c>
      <c r="V285" s="90">
        <v>12</v>
      </c>
      <c r="W285" s="237">
        <f t="shared" si="8"/>
        <v>1</v>
      </c>
      <c r="X285" s="90" t="str">
        <f t="shared" si="9"/>
        <v/>
      </c>
      <c r="Y285" s="90"/>
      <c r="Z285" s="60"/>
      <c r="AA285" s="18" t="str" cm="1">
        <f t="array" ref="AA285">IF(P285="", "", _xlfn.XLOOKUP(P285,#REF!,#REF!,NA,0,-1))</f>
        <v/>
      </c>
      <c r="AB285" s="90"/>
      <c r="AC285" s="55" t="s">
        <v>4072</v>
      </c>
      <c r="AD285" s="55" t="str">
        <f>IF($AC285="","",_xlfn.XLOOKUP($AC285,'[2]Client Info'!$C$2:$C$2535,'[2]Client Info'!$D$2:$D$2535))</f>
        <v>2076 Kingsway</v>
      </c>
      <c r="AE285" s="55" t="str">
        <f>IF($AC285="","",_xlfn.XLOOKUP($AC285,'[2]Client Info'!$C$2:$C$2715,'[2]Client Info'!$E$2:$E$2715))</f>
        <v>Vancouver</v>
      </c>
      <c r="AF285" s="55" t="str">
        <f>IF($AC285="","",_xlfn.XLOOKUP($AC285,'[2]Client Info'!$C$2:$C$2715,'[2]Client Info'!$F$2:$F$2715))</f>
        <v>BC</v>
      </c>
      <c r="AG285" s="55" t="s">
        <v>4072</v>
      </c>
      <c r="AH285" s="245">
        <f>276/12</f>
        <v>23</v>
      </c>
      <c r="AI285" s="43" t="str">
        <f>_xlfn.XLOOKUP(Table26[[#This Row],[customerSKU]],customerSKU!G:G,customerSKU!O:O,"not found",0,1)</f>
        <v>not found</v>
      </c>
      <c r="AJ285" s="53">
        <f>Table26[[#This Row],[unitprice]]*Table26[[#This Row],[quantity_unit]]</f>
        <v>276</v>
      </c>
      <c r="AK285" s="53" cm="1">
        <f t="array" ref="AK2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86" spans="1:37" ht="18" customHeight="1">
      <c r="A286" s="42">
        <v>1967</v>
      </c>
      <c r="B286" s="249" t="s">
        <v>3520</v>
      </c>
      <c r="C286" s="90" t="s">
        <v>203</v>
      </c>
      <c r="D286" s="235"/>
      <c r="E286" s="235"/>
      <c r="F286" s="90"/>
      <c r="G286" s="119"/>
      <c r="H286" s="90"/>
      <c r="I286" s="90" t="s">
        <v>3862</v>
      </c>
      <c r="J286" s="90" t="s">
        <v>503</v>
      </c>
      <c r="K286" s="232">
        <v>45553</v>
      </c>
      <c r="L286" s="233" t="s">
        <v>504</v>
      </c>
      <c r="M286" s="90"/>
      <c r="N286" s="55" t="str">
        <f>Table26[[#This Row],[po_number]]&amp;"-"&amp;Table26[[#This Row],[po_line]]</f>
        <v>-2</v>
      </c>
      <c r="O286" s="55">
        <v>2</v>
      </c>
      <c r="P286" s="234"/>
      <c r="Q286" s="242" t="s">
        <v>2096</v>
      </c>
      <c r="R286" s="90" t="s">
        <v>3830</v>
      </c>
      <c r="S286" s="90" t="s">
        <v>13</v>
      </c>
      <c r="T286" s="20">
        <v>45555</v>
      </c>
      <c r="U286" s="236">
        <v>12</v>
      </c>
      <c r="V286" s="90">
        <v>12</v>
      </c>
      <c r="W286" s="237">
        <f t="shared" si="8"/>
        <v>1</v>
      </c>
      <c r="X286" s="90" t="str">
        <f t="shared" si="9"/>
        <v/>
      </c>
      <c r="Y286" s="90"/>
      <c r="Z286" s="60"/>
      <c r="AA286" s="18" t="str" cm="1">
        <f t="array" ref="AA286">IF(P286="", "", _xlfn.XLOOKUP(P286,#REF!,#REF!,NA,0,-1))</f>
        <v/>
      </c>
      <c r="AB286" s="90"/>
      <c r="AC286" s="55" t="s">
        <v>4072</v>
      </c>
      <c r="AD286" s="55" t="str">
        <f>IF($AC286="","",_xlfn.XLOOKUP($AC286,'[2]Client Info'!$C$2:$C$2535,'[2]Client Info'!$D$2:$D$2535))</f>
        <v>2076 Kingsway</v>
      </c>
      <c r="AE286" s="55" t="str">
        <f>IF($AC286="","",_xlfn.XLOOKUP($AC286,'[2]Client Info'!$C$2:$C$2715,'[2]Client Info'!$E$2:$E$2715))</f>
        <v>Vancouver</v>
      </c>
      <c r="AF286" s="55" t="str">
        <f>IF($AC286="","",_xlfn.XLOOKUP($AC286,'[2]Client Info'!$C$2:$C$2715,'[2]Client Info'!$F$2:$F$2715))</f>
        <v>BC</v>
      </c>
      <c r="AG286" s="55" t="s">
        <v>4072</v>
      </c>
      <c r="AH286" s="245">
        <f>276/12</f>
        <v>23</v>
      </c>
      <c r="AI286" s="43" t="str">
        <f>_xlfn.XLOOKUP(Table26[[#This Row],[customerSKU]],customerSKU!G:G,customerSKU!O:O,"not found",0,1)</f>
        <v>not found</v>
      </c>
      <c r="AJ286" s="53">
        <f>Table26[[#This Row],[unitprice]]*Table26[[#This Row],[quantity_unit]]</f>
        <v>276</v>
      </c>
      <c r="AK286" s="53" cm="1">
        <f t="array" ref="AK2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287" spans="1:37" ht="18" customHeight="1">
      <c r="A287" s="42">
        <v>1968</v>
      </c>
      <c r="B287" s="249" t="s">
        <v>3520</v>
      </c>
      <c r="C287" s="90" t="s">
        <v>203</v>
      </c>
      <c r="D287" s="235"/>
      <c r="E287" s="235"/>
      <c r="F287" s="90"/>
      <c r="G287" s="119"/>
      <c r="H287" s="90"/>
      <c r="I287" s="90" t="s">
        <v>3862</v>
      </c>
      <c r="J287" s="90" t="s">
        <v>503</v>
      </c>
      <c r="K287" s="232">
        <v>45553</v>
      </c>
      <c r="L287" s="233" t="s">
        <v>504</v>
      </c>
      <c r="M287" s="90"/>
      <c r="N287" s="55" t="str">
        <f>Table26[[#This Row],[po_number]]&amp;"-"&amp;Table26[[#This Row],[po_line]]</f>
        <v>-3</v>
      </c>
      <c r="O287" s="55">
        <v>3</v>
      </c>
      <c r="P287" s="234"/>
      <c r="Q287" s="90" t="s">
        <v>1315</v>
      </c>
      <c r="R287" s="90" t="s">
        <v>3830</v>
      </c>
      <c r="S287" s="90" t="s">
        <v>13</v>
      </c>
      <c r="T287" s="20">
        <v>45555</v>
      </c>
      <c r="U287" s="236">
        <v>24</v>
      </c>
      <c r="V287" s="90">
        <v>12</v>
      </c>
      <c r="W287" s="237">
        <f t="shared" si="8"/>
        <v>2</v>
      </c>
      <c r="X287" s="90" t="str">
        <f t="shared" si="9"/>
        <v/>
      </c>
      <c r="Y287" s="90"/>
      <c r="Z287" s="60"/>
      <c r="AA287" s="18" t="str" cm="1">
        <f t="array" ref="AA287">IF(P287="", "", _xlfn.XLOOKUP(P287,#REF!,#REF!,NA,0,-1))</f>
        <v/>
      </c>
      <c r="AB287" s="90"/>
      <c r="AC287" s="55" t="s">
        <v>4072</v>
      </c>
      <c r="AD287" s="55" t="str">
        <f>IF($AC287="","",_xlfn.XLOOKUP($AC287,'[2]Client Info'!$C$2:$C$2535,'[2]Client Info'!$D$2:$D$2535))</f>
        <v>2076 Kingsway</v>
      </c>
      <c r="AE287" s="55" t="str">
        <f>IF($AC287="","",_xlfn.XLOOKUP($AC287,'[2]Client Info'!$C$2:$C$2715,'[2]Client Info'!$E$2:$E$2715))</f>
        <v>Vancouver</v>
      </c>
      <c r="AF287" s="55" t="str">
        <f>IF($AC287="","",_xlfn.XLOOKUP($AC287,'[2]Client Info'!$C$2:$C$2715,'[2]Client Info'!$F$2:$F$2715))</f>
        <v>BC</v>
      </c>
      <c r="AG287" s="55" t="s">
        <v>4072</v>
      </c>
      <c r="AH287" s="245">
        <f>234.48/12</f>
        <v>19.54</v>
      </c>
      <c r="AI287" s="43" t="str">
        <f>_xlfn.XLOOKUP(Table26[[#This Row],[customerSKU]],customerSKU!G:G,customerSKU!O:O,"not found",0,1)</f>
        <v>not found</v>
      </c>
      <c r="AJ287" s="53">
        <f>Table26[[#This Row],[unitprice]]*Table26[[#This Row],[quantity_unit]]</f>
        <v>468.96</v>
      </c>
      <c r="AK287" s="53" cm="1">
        <f t="array" ref="AK2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492.40800000000002</v>
      </c>
    </row>
    <row r="288" spans="1:37" ht="18" customHeight="1">
      <c r="A288" s="42">
        <v>1969</v>
      </c>
      <c r="B288" s="249" t="s">
        <v>3520</v>
      </c>
      <c r="C288" s="90" t="s">
        <v>203</v>
      </c>
      <c r="D288" s="235"/>
      <c r="E288" s="235"/>
      <c r="F288" s="90"/>
      <c r="G288" s="119"/>
      <c r="H288" s="90"/>
      <c r="I288" s="90" t="s">
        <v>3862</v>
      </c>
      <c r="J288" s="90" t="s">
        <v>503</v>
      </c>
      <c r="K288" s="232">
        <v>45553</v>
      </c>
      <c r="L288" s="233" t="s">
        <v>504</v>
      </c>
      <c r="M288" s="90"/>
      <c r="N288" s="55" t="str">
        <f>Table26[[#This Row],[po_number]]&amp;"-"&amp;Table26[[#This Row],[po_line]]</f>
        <v>-4</v>
      </c>
      <c r="O288" s="55">
        <v>4</v>
      </c>
      <c r="P288" s="234"/>
      <c r="Q288" s="90" t="s">
        <v>2100</v>
      </c>
      <c r="R288" s="90" t="s">
        <v>3830</v>
      </c>
      <c r="S288" s="90" t="s">
        <v>13</v>
      </c>
      <c r="T288" s="20">
        <v>45555</v>
      </c>
      <c r="U288" s="236">
        <v>12</v>
      </c>
      <c r="V288" s="90">
        <v>12</v>
      </c>
      <c r="W288" s="237">
        <f t="shared" si="8"/>
        <v>1</v>
      </c>
      <c r="X288" s="90" t="str">
        <f t="shared" si="9"/>
        <v/>
      </c>
      <c r="Y288" s="90"/>
      <c r="Z288" s="60"/>
      <c r="AA288" s="18" t="str" cm="1">
        <f t="array" ref="AA288">IF(P288="", "", _xlfn.XLOOKUP(P288,#REF!,#REF!,NA,0,-1))</f>
        <v/>
      </c>
      <c r="AB288" s="90"/>
      <c r="AC288" s="55" t="s">
        <v>4072</v>
      </c>
      <c r="AD288" s="55" t="str">
        <f>IF($AC288="","",_xlfn.XLOOKUP($AC288,'[2]Client Info'!$C$2:$C$2535,'[2]Client Info'!$D$2:$D$2535))</f>
        <v>2076 Kingsway</v>
      </c>
      <c r="AE288" s="55" t="str">
        <f>IF($AC288="","",_xlfn.XLOOKUP($AC288,'[2]Client Info'!$C$2:$C$2715,'[2]Client Info'!$E$2:$E$2715))</f>
        <v>Vancouver</v>
      </c>
      <c r="AF288" s="55" t="str">
        <f>IF($AC288="","",_xlfn.XLOOKUP($AC288,'[2]Client Info'!$C$2:$C$2715,'[2]Client Info'!$F$2:$F$2715))</f>
        <v>BC</v>
      </c>
      <c r="AG288" s="55" t="s">
        <v>4072</v>
      </c>
      <c r="AH288" s="245">
        <f>234.48/12</f>
        <v>19.54</v>
      </c>
      <c r="AI288" s="43" t="str">
        <f>_xlfn.XLOOKUP(Table26[[#This Row],[customerSKU]],customerSKU!G:G,customerSKU!O:O,"not found",0,1)</f>
        <v>not found</v>
      </c>
      <c r="AJ288" s="53">
        <f>Table26[[#This Row],[unitprice]]*Table26[[#This Row],[quantity_unit]]</f>
        <v>234.48</v>
      </c>
      <c r="AK288" s="53" cm="1">
        <f t="array" ref="AK2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89" spans="1:37" ht="18" customHeight="1">
      <c r="A289" s="42">
        <v>1970</v>
      </c>
      <c r="B289" s="249" t="s">
        <v>3520</v>
      </c>
      <c r="C289" s="90" t="s">
        <v>203</v>
      </c>
      <c r="D289" s="235"/>
      <c r="E289" s="235"/>
      <c r="F289" s="90"/>
      <c r="G289" s="119"/>
      <c r="H289" s="90"/>
      <c r="I289" s="90" t="s">
        <v>3862</v>
      </c>
      <c r="J289" s="90" t="s">
        <v>503</v>
      </c>
      <c r="K289" s="232">
        <v>45553</v>
      </c>
      <c r="L289" s="233" t="s">
        <v>504</v>
      </c>
      <c r="M289" s="90"/>
      <c r="N289" s="55" t="str">
        <f>Table26[[#This Row],[po_number]]&amp;"-"&amp;Table26[[#This Row],[po_line]]</f>
        <v>-5</v>
      </c>
      <c r="O289" s="55">
        <v>5</v>
      </c>
      <c r="P289" s="234"/>
      <c r="Q289" s="90" t="s">
        <v>2094</v>
      </c>
      <c r="R289" s="90" t="s">
        <v>3830</v>
      </c>
      <c r="S289" s="90" t="s">
        <v>13</v>
      </c>
      <c r="T289" s="20">
        <v>45555</v>
      </c>
      <c r="U289" s="236">
        <v>12</v>
      </c>
      <c r="V289" s="90">
        <v>12</v>
      </c>
      <c r="W289" s="237">
        <f t="shared" si="8"/>
        <v>1</v>
      </c>
      <c r="X289" s="90" t="str">
        <f t="shared" si="9"/>
        <v/>
      </c>
      <c r="Y289" s="90"/>
      <c r="Z289" s="60"/>
      <c r="AA289" s="18" t="str" cm="1">
        <f t="array" ref="AA289">IF(P289="", "", _xlfn.XLOOKUP(P289,#REF!,#REF!,NA,0,-1))</f>
        <v/>
      </c>
      <c r="AB289" s="90"/>
      <c r="AC289" s="55" t="s">
        <v>4072</v>
      </c>
      <c r="AD289" s="55" t="str">
        <f>IF($AC289="","",_xlfn.XLOOKUP($AC289,'[2]Client Info'!$C$2:$C$2535,'[2]Client Info'!$D$2:$D$2535))</f>
        <v>2076 Kingsway</v>
      </c>
      <c r="AE289" s="55" t="str">
        <f>IF($AC289="","",_xlfn.XLOOKUP($AC289,'[2]Client Info'!$C$2:$C$2715,'[2]Client Info'!$E$2:$E$2715))</f>
        <v>Vancouver</v>
      </c>
      <c r="AF289" s="55" t="str">
        <f>IF($AC289="","",_xlfn.XLOOKUP($AC289,'[2]Client Info'!$C$2:$C$2715,'[2]Client Info'!$F$2:$F$2715))</f>
        <v>BC</v>
      </c>
      <c r="AG289" s="55" t="s">
        <v>4072</v>
      </c>
      <c r="AH289" s="245">
        <f>234.48/12</f>
        <v>19.54</v>
      </c>
      <c r="AI289" s="43" t="str">
        <f>_xlfn.XLOOKUP(Table26[[#This Row],[customerSKU]],customerSKU!G:G,customerSKU!O:O,"not found",0,1)</f>
        <v>not found</v>
      </c>
      <c r="AJ289" s="53">
        <f>Table26[[#This Row],[unitprice]]*Table26[[#This Row],[quantity_unit]]</f>
        <v>234.48</v>
      </c>
      <c r="AK289" s="53" cm="1">
        <f t="array" ref="AK2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290" spans="1:37" ht="18" customHeight="1">
      <c r="A290" s="42">
        <v>1971</v>
      </c>
      <c r="B290" s="249" t="s">
        <v>3520</v>
      </c>
      <c r="C290" s="90" t="s">
        <v>203</v>
      </c>
      <c r="D290" s="235"/>
      <c r="E290" s="235"/>
      <c r="F290" s="90"/>
      <c r="G290" s="119"/>
      <c r="H290" s="90"/>
      <c r="I290" s="90" t="s">
        <v>3862</v>
      </c>
      <c r="J290" s="90" t="s">
        <v>503</v>
      </c>
      <c r="K290" s="232">
        <v>45553</v>
      </c>
      <c r="L290" s="233" t="s">
        <v>504</v>
      </c>
      <c r="M290" s="90"/>
      <c r="N290" s="55" t="str">
        <f>Table26[[#This Row],[po_number]]&amp;"-"&amp;Table26[[#This Row],[po_line]]</f>
        <v>-1</v>
      </c>
      <c r="O290" s="55">
        <v>1</v>
      </c>
      <c r="P290" s="234"/>
      <c r="Q290" s="90" t="s">
        <v>1316</v>
      </c>
      <c r="R290" s="90" t="s">
        <v>3830</v>
      </c>
      <c r="S290" s="90" t="s">
        <v>13</v>
      </c>
      <c r="T290" s="20">
        <v>45491</v>
      </c>
      <c r="U290" s="236">
        <v>24</v>
      </c>
      <c r="V290" s="90">
        <v>12</v>
      </c>
      <c r="W290" s="237">
        <f t="shared" si="8"/>
        <v>2</v>
      </c>
      <c r="X290" s="90" t="str">
        <f t="shared" si="9"/>
        <v/>
      </c>
      <c r="Y290" s="90"/>
      <c r="Z290" s="60"/>
      <c r="AA290" s="18" t="str" cm="1">
        <f t="array" ref="AA290">IF(P290="", "", _xlfn.XLOOKUP(P290,#REF!,#REF!,NA,0,-1))</f>
        <v/>
      </c>
      <c r="AB290" s="90"/>
      <c r="AC290" s="55" t="s">
        <v>81</v>
      </c>
      <c r="AD290" s="55" t="str">
        <f>IF($AC290="","",_xlfn.XLOOKUP($AC290,'[2]Client Info'!$C$2:$C$2535,'[2]Client Info'!$D$2:$D$2535))</f>
        <v>2983 RUPERT ST</v>
      </c>
      <c r="AE290" s="55" t="str">
        <f>IF($AC290="","",_xlfn.XLOOKUP($AC290,'[2]Client Info'!$C$2:$C$2715,'[2]Client Info'!$E$2:$E$2715))</f>
        <v>Vancouver</v>
      </c>
      <c r="AF290" s="55" t="str">
        <f>IF($AC290="","",_xlfn.XLOOKUP($AC290,'[2]Client Info'!$C$2:$C$2715,'[2]Client Info'!$F$2:$F$2715))</f>
        <v>BC</v>
      </c>
      <c r="AG290" s="55" t="s">
        <v>81</v>
      </c>
      <c r="AH290" s="253"/>
      <c r="AI290" s="43" t="str">
        <f>_xlfn.XLOOKUP(Table26[[#This Row],[customerSKU]],customerSKU!G:G,customerSKU!O:O,"not found",0,1)</f>
        <v>not found</v>
      </c>
      <c r="AJ290" s="53">
        <f>Table26[[#This Row],[unitprice]]*Table26[[#This Row],[quantity_unit]]</f>
        <v>0</v>
      </c>
      <c r="AK290" s="53" cm="1">
        <f t="array" ref="AK2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1" spans="1:37" ht="18" customHeight="1">
      <c r="A291" s="42">
        <v>1972</v>
      </c>
      <c r="B291" s="249" t="s">
        <v>3520</v>
      </c>
      <c r="C291" s="90" t="s">
        <v>203</v>
      </c>
      <c r="D291" s="235"/>
      <c r="E291" s="235"/>
      <c r="F291" s="90"/>
      <c r="G291" s="119"/>
      <c r="H291" s="90"/>
      <c r="I291" s="90" t="s">
        <v>3862</v>
      </c>
      <c r="J291" s="90" t="s">
        <v>503</v>
      </c>
      <c r="K291" s="232">
        <v>45553</v>
      </c>
      <c r="L291" s="233" t="s">
        <v>504</v>
      </c>
      <c r="M291" s="90"/>
      <c r="N291" s="55" t="str">
        <f>Table26[[#This Row],[po_number]]&amp;"-"&amp;Table26[[#This Row],[po_line]]</f>
        <v>-2</v>
      </c>
      <c r="O291" s="55">
        <v>2</v>
      </c>
      <c r="P291" s="234"/>
      <c r="Q291" s="90" t="s">
        <v>630</v>
      </c>
      <c r="R291" s="90" t="s">
        <v>3830</v>
      </c>
      <c r="S291" s="90" t="s">
        <v>13</v>
      </c>
      <c r="T291" s="20">
        <v>45543</v>
      </c>
      <c r="U291" s="236">
        <v>24</v>
      </c>
      <c r="V291" s="90">
        <v>12</v>
      </c>
      <c r="W291" s="237">
        <f t="shared" si="8"/>
        <v>2</v>
      </c>
      <c r="X291" s="90" t="str">
        <f t="shared" si="9"/>
        <v/>
      </c>
      <c r="Y291" s="90"/>
      <c r="Z291" s="60"/>
      <c r="AA291" s="18" t="str" cm="1">
        <f t="array" ref="AA291">IF(P291="", "", _xlfn.XLOOKUP(P291,#REF!,#REF!,NA,0,-1))</f>
        <v/>
      </c>
      <c r="AB291" s="90"/>
      <c r="AC291" s="55" t="s">
        <v>81</v>
      </c>
      <c r="AD291" s="55" t="str">
        <f>IF($AC291="","",_xlfn.XLOOKUP($AC291,'[2]Client Info'!$C$2:$C$2535,'[2]Client Info'!$D$2:$D$2535))</f>
        <v>2983 RUPERT ST</v>
      </c>
      <c r="AE291" s="55" t="str">
        <f>IF($AC291="","",_xlfn.XLOOKUP($AC291,'[2]Client Info'!$C$2:$C$2715,'[2]Client Info'!$E$2:$E$2715))</f>
        <v>Vancouver</v>
      </c>
      <c r="AF291" s="55" t="str">
        <f>IF($AC291="","",_xlfn.XLOOKUP($AC291,'[2]Client Info'!$C$2:$C$2715,'[2]Client Info'!$F$2:$F$2715))</f>
        <v>BC</v>
      </c>
      <c r="AG291" s="55" t="s">
        <v>81</v>
      </c>
      <c r="AH291" s="253"/>
      <c r="AI291" s="43" t="str">
        <f>_xlfn.XLOOKUP(Table26[[#This Row],[customerSKU]],customerSKU!G:G,customerSKU!O:O,"not found",0,1)</f>
        <v>not found</v>
      </c>
      <c r="AJ291" s="53">
        <f>Table26[[#This Row],[unitprice]]*Table26[[#This Row],[quantity_unit]]</f>
        <v>0</v>
      </c>
      <c r="AK291" s="53" cm="1">
        <f t="array" ref="AK2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2" spans="1:37" ht="18" customHeight="1">
      <c r="A292" s="42">
        <v>1973</v>
      </c>
      <c r="B292" s="249" t="s">
        <v>3520</v>
      </c>
      <c r="C292" s="90" t="s">
        <v>203</v>
      </c>
      <c r="D292" s="235"/>
      <c r="E292" s="235"/>
      <c r="F292" s="90"/>
      <c r="G292" s="119"/>
      <c r="H292" s="90"/>
      <c r="I292" s="90" t="s">
        <v>3862</v>
      </c>
      <c r="J292" s="90" t="s">
        <v>503</v>
      </c>
      <c r="K292" s="232">
        <v>45553</v>
      </c>
      <c r="L292" s="233" t="s">
        <v>504</v>
      </c>
      <c r="M292" s="90"/>
      <c r="N292" s="55" t="str">
        <f>Table26[[#This Row],[po_number]]&amp;"-"&amp;Table26[[#This Row],[po_line]]</f>
        <v>-3</v>
      </c>
      <c r="O292" s="55">
        <v>3</v>
      </c>
      <c r="P292" s="234"/>
      <c r="Q292" s="90" t="s">
        <v>1860</v>
      </c>
      <c r="R292" s="90" t="s">
        <v>3830</v>
      </c>
      <c r="S292" s="90" t="s">
        <v>13</v>
      </c>
      <c r="T292" s="20">
        <v>45555</v>
      </c>
      <c r="U292" s="236">
        <v>12</v>
      </c>
      <c r="V292" s="90">
        <v>12</v>
      </c>
      <c r="W292" s="237">
        <f t="shared" si="8"/>
        <v>1</v>
      </c>
      <c r="X292" s="90" t="str">
        <f t="shared" si="9"/>
        <v/>
      </c>
      <c r="Y292" s="90"/>
      <c r="Z292" s="60"/>
      <c r="AA292" s="18" t="str" cm="1">
        <f t="array" ref="AA292">IF(P292="", "", _xlfn.XLOOKUP(P292,#REF!,#REF!,NA,0,-1))</f>
        <v/>
      </c>
      <c r="AB292" s="90"/>
      <c r="AC292" s="55" t="s">
        <v>81</v>
      </c>
      <c r="AD292" s="55" t="str">
        <f>IF($AC292="","",_xlfn.XLOOKUP($AC292,'[2]Client Info'!$C$2:$C$2535,'[2]Client Info'!$D$2:$D$2535))</f>
        <v>2983 RUPERT ST</v>
      </c>
      <c r="AE292" s="55" t="str">
        <f>IF($AC292="","",_xlfn.XLOOKUP($AC292,'[2]Client Info'!$C$2:$C$2715,'[2]Client Info'!$E$2:$E$2715))</f>
        <v>Vancouver</v>
      </c>
      <c r="AF292" s="55" t="str">
        <f>IF($AC292="","",_xlfn.XLOOKUP($AC292,'[2]Client Info'!$C$2:$C$2715,'[2]Client Info'!$F$2:$F$2715))</f>
        <v>BC</v>
      </c>
      <c r="AG292" s="55" t="s">
        <v>81</v>
      </c>
      <c r="AH292" s="253"/>
      <c r="AI292" s="43" t="str">
        <f>_xlfn.XLOOKUP(Table26[[#This Row],[customerSKU]],customerSKU!G:G,customerSKU!O:O,"not found",0,1)</f>
        <v>not found</v>
      </c>
      <c r="AJ292" s="53">
        <f>Table26[[#This Row],[unitprice]]*Table26[[#This Row],[quantity_unit]]</f>
        <v>0</v>
      </c>
      <c r="AK292" s="53" cm="1">
        <f t="array" ref="AK2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3" spans="1:37" ht="18" customHeight="1">
      <c r="A293" s="42">
        <v>1974</v>
      </c>
      <c r="B293" s="249" t="s">
        <v>3520</v>
      </c>
      <c r="C293" s="90" t="s">
        <v>203</v>
      </c>
      <c r="D293" s="235"/>
      <c r="E293" s="235"/>
      <c r="F293" s="90"/>
      <c r="G293" s="119"/>
      <c r="H293" s="90"/>
      <c r="I293" s="90" t="s">
        <v>3862</v>
      </c>
      <c r="J293" s="90" t="s">
        <v>503</v>
      </c>
      <c r="K293" s="232">
        <v>45553</v>
      </c>
      <c r="L293" s="233" t="s">
        <v>504</v>
      </c>
      <c r="M293" s="90"/>
      <c r="N293" s="55" t="str">
        <f>Table26[[#This Row],[po_number]]&amp;"-"&amp;Table26[[#This Row],[po_line]]</f>
        <v>-4</v>
      </c>
      <c r="O293" s="55">
        <v>4</v>
      </c>
      <c r="P293" s="234"/>
      <c r="Q293" s="242" t="s">
        <v>2096</v>
      </c>
      <c r="R293" s="90" t="s">
        <v>3830</v>
      </c>
      <c r="S293" s="90" t="s">
        <v>13</v>
      </c>
      <c r="T293" s="20">
        <v>45555</v>
      </c>
      <c r="U293" s="236">
        <v>12</v>
      </c>
      <c r="V293" s="90">
        <v>12</v>
      </c>
      <c r="W293" s="237">
        <f t="shared" si="8"/>
        <v>1</v>
      </c>
      <c r="X293" s="90" t="str">
        <f t="shared" si="9"/>
        <v/>
      </c>
      <c r="Y293" s="90"/>
      <c r="Z293" s="60"/>
      <c r="AA293" s="18" t="str" cm="1">
        <f t="array" ref="AA293">IF(P293="", "", _xlfn.XLOOKUP(P293,#REF!,#REF!,NA,0,-1))</f>
        <v/>
      </c>
      <c r="AB293" s="90"/>
      <c r="AC293" s="55" t="s">
        <v>81</v>
      </c>
      <c r="AD293" s="55" t="str">
        <f>IF($AC293="","",_xlfn.XLOOKUP($AC293,'[2]Client Info'!$C$2:$C$2535,'[2]Client Info'!$D$2:$D$2535))</f>
        <v>2983 RUPERT ST</v>
      </c>
      <c r="AE293" s="55" t="str">
        <f>IF($AC293="","",_xlfn.XLOOKUP($AC293,'[2]Client Info'!$C$2:$C$2715,'[2]Client Info'!$E$2:$E$2715))</f>
        <v>Vancouver</v>
      </c>
      <c r="AF293" s="55" t="str">
        <f>IF($AC293="","",_xlfn.XLOOKUP($AC293,'[2]Client Info'!$C$2:$C$2715,'[2]Client Info'!$F$2:$F$2715))</f>
        <v>BC</v>
      </c>
      <c r="AG293" s="55" t="s">
        <v>81</v>
      </c>
      <c r="AH293" s="253"/>
      <c r="AI293" s="43" t="str">
        <f>_xlfn.XLOOKUP(Table26[[#This Row],[customerSKU]],customerSKU!G:G,customerSKU!O:O,"not found",0,1)</f>
        <v>not found</v>
      </c>
      <c r="AJ293" s="53">
        <f>Table26[[#This Row],[unitprice]]*Table26[[#This Row],[quantity_unit]]</f>
        <v>0</v>
      </c>
      <c r="AK293" s="53" cm="1">
        <f t="array" ref="AK2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4" spans="1:37" ht="18" customHeight="1">
      <c r="A294" s="42">
        <v>1950</v>
      </c>
      <c r="B294" s="249" t="s">
        <v>3520</v>
      </c>
      <c r="C294" s="90" t="s">
        <v>203</v>
      </c>
      <c r="D294" s="235"/>
      <c r="E294" s="235"/>
      <c r="F294" s="90"/>
      <c r="G294" s="119"/>
      <c r="H294" s="90"/>
      <c r="I294" s="90" t="s">
        <v>3862</v>
      </c>
      <c r="J294" s="90" t="s">
        <v>503</v>
      </c>
      <c r="K294" s="232">
        <v>45554</v>
      </c>
      <c r="L294" s="233" t="s">
        <v>504</v>
      </c>
      <c r="M294" s="90"/>
      <c r="N294" s="55" t="str">
        <f>Table26[[#This Row],[po_number]]&amp;"-"&amp;Table26[[#This Row],[po_line]]</f>
        <v>-1</v>
      </c>
      <c r="O294" s="55">
        <v>1</v>
      </c>
      <c r="P294" s="234"/>
      <c r="Q294" s="90" t="s">
        <v>1860</v>
      </c>
      <c r="R294" s="90" t="s">
        <v>3830</v>
      </c>
      <c r="S294" s="90" t="s">
        <v>13</v>
      </c>
      <c r="T294" s="20">
        <v>45555</v>
      </c>
      <c r="U294" s="236">
        <v>12</v>
      </c>
      <c r="V294" s="90">
        <v>12</v>
      </c>
      <c r="W294" s="237">
        <f t="shared" si="8"/>
        <v>1</v>
      </c>
      <c r="X294" s="90" t="str">
        <f t="shared" si="9"/>
        <v/>
      </c>
      <c r="Y294" s="90"/>
      <c r="Z294" s="60"/>
      <c r="AA294" s="18" t="str" cm="1">
        <f t="array" ref="AA294">IF(P294="", "", _xlfn.XLOOKUP(P294,#REF!,#REF!,NA,0,-1))</f>
        <v/>
      </c>
      <c r="AB294" s="90"/>
      <c r="AC294" s="55" t="s">
        <v>103</v>
      </c>
      <c r="AD294" s="55" t="str">
        <f>IF($AC294="","",_xlfn.XLOOKUP($AC294,'[2]Client Info'!$C$2:$C$2535,'[2]Client Info'!$D$2:$D$2535))</f>
        <v>223 1st St W</v>
      </c>
      <c r="AE294" s="55" t="str">
        <f>IF($AC294="","",_xlfn.XLOOKUP($AC294,'[2]Client Info'!$C$2:$C$2715,'[2]Client Info'!$E$2:$E$2715))</f>
        <v>North Vancouver</v>
      </c>
      <c r="AF294" s="55" t="str">
        <f>IF($AC294="","",_xlfn.XLOOKUP($AC294,'[2]Client Info'!$C$2:$C$2715,'[2]Client Info'!$F$2:$F$2715))</f>
        <v xml:space="preserve">BC </v>
      </c>
      <c r="AG294" s="55" t="s">
        <v>103</v>
      </c>
      <c r="AH294" s="245"/>
      <c r="AI294" s="43" t="str">
        <f>_xlfn.XLOOKUP(Table26[[#This Row],[customerSKU]],customerSKU!G:G,customerSKU!O:O,"not found",0,1)</f>
        <v>not found</v>
      </c>
      <c r="AJ294" s="53">
        <f>Table26[[#This Row],[unitprice]]*Table26[[#This Row],[quantity_unit]]</f>
        <v>0</v>
      </c>
      <c r="AK294" s="53" cm="1">
        <f t="array" ref="AK2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5" spans="1:37" ht="18" customHeight="1">
      <c r="A295" s="42">
        <v>1951</v>
      </c>
      <c r="B295" s="249" t="s">
        <v>3520</v>
      </c>
      <c r="C295" s="90" t="s">
        <v>203</v>
      </c>
      <c r="D295" s="235"/>
      <c r="E295" s="235"/>
      <c r="F295" s="90"/>
      <c r="G295" s="119"/>
      <c r="H295" s="90"/>
      <c r="I295" s="90" t="s">
        <v>3862</v>
      </c>
      <c r="J295" s="90" t="s">
        <v>503</v>
      </c>
      <c r="K295" s="232">
        <v>45554</v>
      </c>
      <c r="L295" s="233" t="s">
        <v>504</v>
      </c>
      <c r="M295" s="90"/>
      <c r="N295" s="55" t="str">
        <f>Table26[[#This Row],[po_number]]&amp;"-"&amp;Table26[[#This Row],[po_line]]</f>
        <v>-2</v>
      </c>
      <c r="O295" s="55">
        <v>2</v>
      </c>
      <c r="P295" s="234"/>
      <c r="Q295" s="242" t="s">
        <v>2096</v>
      </c>
      <c r="R295" s="90" t="s">
        <v>3830</v>
      </c>
      <c r="S295" s="90" t="s">
        <v>13</v>
      </c>
      <c r="T295" s="20">
        <v>45555</v>
      </c>
      <c r="U295" s="236">
        <v>12</v>
      </c>
      <c r="V295" s="90">
        <v>12</v>
      </c>
      <c r="W295" s="237">
        <f t="shared" si="8"/>
        <v>1</v>
      </c>
      <c r="X295" s="90" t="str">
        <f t="shared" si="9"/>
        <v/>
      </c>
      <c r="Y295" s="90"/>
      <c r="Z295" s="60"/>
      <c r="AA295" s="18" t="str" cm="1">
        <f t="array" ref="AA295">IF(P295="", "", _xlfn.XLOOKUP(P295,#REF!,#REF!,NA,0,-1))</f>
        <v/>
      </c>
      <c r="AB295" s="90"/>
      <c r="AC295" s="55" t="s">
        <v>103</v>
      </c>
      <c r="AD295" s="55" t="str">
        <f>IF($AC295="","",_xlfn.XLOOKUP($AC295,'[2]Client Info'!$C$2:$C$2535,'[2]Client Info'!$D$2:$D$2535))</f>
        <v>223 1st St W</v>
      </c>
      <c r="AE295" s="55" t="str">
        <f>IF($AC295="","",_xlfn.XLOOKUP($AC295,'[2]Client Info'!$C$2:$C$2715,'[2]Client Info'!$E$2:$E$2715))</f>
        <v>North Vancouver</v>
      </c>
      <c r="AF295" s="55" t="str">
        <f>IF($AC295="","",_xlfn.XLOOKUP($AC295,'[2]Client Info'!$C$2:$C$2715,'[2]Client Info'!$F$2:$F$2715))</f>
        <v xml:space="preserve">BC </v>
      </c>
      <c r="AG295" s="55" t="s">
        <v>103</v>
      </c>
      <c r="AH295" s="245"/>
      <c r="AI295" s="43" t="str">
        <f>_xlfn.XLOOKUP(Table26[[#This Row],[customerSKU]],customerSKU!G:G,customerSKU!O:O,"not found",0,1)</f>
        <v>not found</v>
      </c>
      <c r="AJ295" s="53">
        <f>Table26[[#This Row],[unitprice]]*Table26[[#This Row],[quantity_unit]]</f>
        <v>0</v>
      </c>
      <c r="AK295" s="53" cm="1">
        <f t="array" ref="AK2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6" spans="1:37" ht="18" customHeight="1">
      <c r="A296" s="42">
        <v>1952</v>
      </c>
      <c r="B296" s="249" t="s">
        <v>3520</v>
      </c>
      <c r="C296" s="90" t="s">
        <v>203</v>
      </c>
      <c r="D296" s="235"/>
      <c r="E296" s="235"/>
      <c r="F296" s="90"/>
      <c r="G296" s="119"/>
      <c r="H296" s="90"/>
      <c r="I296" s="90" t="s">
        <v>3862</v>
      </c>
      <c r="J296" s="90" t="s">
        <v>503</v>
      </c>
      <c r="K296" s="232">
        <v>45554</v>
      </c>
      <c r="L296" s="233" t="s">
        <v>504</v>
      </c>
      <c r="M296" s="90"/>
      <c r="N296" s="55" t="str">
        <f>Table26[[#This Row],[po_number]]&amp;"-"&amp;Table26[[#This Row],[po_line]]</f>
        <v>-3</v>
      </c>
      <c r="O296" s="55">
        <v>3</v>
      </c>
      <c r="P296" s="234"/>
      <c r="Q296" s="90" t="s">
        <v>1315</v>
      </c>
      <c r="R296" s="90" t="s">
        <v>3830</v>
      </c>
      <c r="S296" s="90" t="s">
        <v>13</v>
      </c>
      <c r="T296" s="20">
        <v>45555</v>
      </c>
      <c r="U296" s="236">
        <v>12</v>
      </c>
      <c r="V296" s="90">
        <v>12</v>
      </c>
      <c r="W296" s="237">
        <f t="shared" si="8"/>
        <v>1</v>
      </c>
      <c r="X296" s="90" t="str">
        <f t="shared" si="9"/>
        <v/>
      </c>
      <c r="Y296" s="90"/>
      <c r="Z296" s="60"/>
      <c r="AA296" s="18" t="str" cm="1">
        <f t="array" ref="AA296">IF(P296="", "", _xlfn.XLOOKUP(P296,#REF!,#REF!,NA,0,-1))</f>
        <v/>
      </c>
      <c r="AB296" s="90"/>
      <c r="AC296" s="55" t="s">
        <v>103</v>
      </c>
      <c r="AD296" s="55" t="str">
        <f>IF($AC296="","",_xlfn.XLOOKUP($AC296,'[2]Client Info'!$C$2:$C$2535,'[2]Client Info'!$D$2:$D$2535))</f>
        <v>223 1st St W</v>
      </c>
      <c r="AE296" s="55" t="str">
        <f>IF($AC296="","",_xlfn.XLOOKUP($AC296,'[2]Client Info'!$C$2:$C$2715,'[2]Client Info'!$E$2:$E$2715))</f>
        <v>North Vancouver</v>
      </c>
      <c r="AF296" s="55" t="str">
        <f>IF($AC296="","",_xlfn.XLOOKUP($AC296,'[2]Client Info'!$C$2:$C$2715,'[2]Client Info'!$F$2:$F$2715))</f>
        <v xml:space="preserve">BC </v>
      </c>
      <c r="AG296" s="55" t="s">
        <v>103</v>
      </c>
      <c r="AH296" s="245"/>
      <c r="AI296" s="43" t="str">
        <f>_xlfn.XLOOKUP(Table26[[#This Row],[customerSKU]],customerSKU!G:G,customerSKU!O:O,"not found",0,1)</f>
        <v>not found</v>
      </c>
      <c r="AJ296" s="53">
        <f>Table26[[#This Row],[unitprice]]*Table26[[#This Row],[quantity_unit]]</f>
        <v>0</v>
      </c>
      <c r="AK296" s="53" cm="1">
        <f t="array" ref="AK2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7" spans="1:37" ht="18" customHeight="1">
      <c r="A297" s="42">
        <v>1953</v>
      </c>
      <c r="B297" s="249" t="s">
        <v>3520</v>
      </c>
      <c r="C297" s="90" t="s">
        <v>203</v>
      </c>
      <c r="D297" s="235"/>
      <c r="E297" s="235"/>
      <c r="F297" s="90"/>
      <c r="G297" s="119"/>
      <c r="H297" s="90"/>
      <c r="I297" s="90" t="s">
        <v>3862</v>
      </c>
      <c r="J297" s="90" t="s">
        <v>3844</v>
      </c>
      <c r="K297" s="232">
        <v>45554</v>
      </c>
      <c r="L297" s="233" t="s">
        <v>504</v>
      </c>
      <c r="M297" s="90"/>
      <c r="N297" s="55" t="str">
        <f>Table26[[#This Row],[po_number]]&amp;"-"&amp;Table26[[#This Row],[po_line]]</f>
        <v>-4</v>
      </c>
      <c r="O297" s="55">
        <v>4</v>
      </c>
      <c r="P297" s="234"/>
      <c r="Q297" s="90" t="s">
        <v>2100</v>
      </c>
      <c r="R297" s="90" t="s">
        <v>3830</v>
      </c>
      <c r="S297" s="90" t="s">
        <v>13</v>
      </c>
      <c r="T297" s="20">
        <v>45555</v>
      </c>
      <c r="U297" s="236">
        <v>12</v>
      </c>
      <c r="V297" s="90">
        <v>12</v>
      </c>
      <c r="W297" s="237">
        <f t="shared" si="8"/>
        <v>1</v>
      </c>
      <c r="X297" s="90" t="str">
        <f t="shared" si="9"/>
        <v/>
      </c>
      <c r="Y297" s="90"/>
      <c r="Z297" s="60"/>
      <c r="AA297" s="18" t="str" cm="1">
        <f t="array" ref="AA297">IF(P297="", "", _xlfn.XLOOKUP(P297,#REF!,#REF!,NA,0,-1))</f>
        <v/>
      </c>
      <c r="AB297" s="90"/>
      <c r="AC297" s="55" t="s">
        <v>103</v>
      </c>
      <c r="AD297" s="55" t="str">
        <f>IF($AC297="","",_xlfn.XLOOKUP($AC297,'[2]Client Info'!$C$2:$C$2535,'[2]Client Info'!$D$2:$D$2535))</f>
        <v>223 1st St W</v>
      </c>
      <c r="AE297" s="55" t="str">
        <f>IF($AC297="","",_xlfn.XLOOKUP($AC297,'[2]Client Info'!$C$2:$C$2715,'[2]Client Info'!$E$2:$E$2715))</f>
        <v>North Vancouver</v>
      </c>
      <c r="AF297" s="55" t="str">
        <f>IF($AC297="","",_xlfn.XLOOKUP($AC297,'[2]Client Info'!$C$2:$C$2715,'[2]Client Info'!$F$2:$F$2715))</f>
        <v xml:space="preserve">BC </v>
      </c>
      <c r="AG297" s="55" t="s">
        <v>103</v>
      </c>
      <c r="AH297" s="245"/>
      <c r="AI297" s="43" t="str">
        <f>_xlfn.XLOOKUP(Table26[[#This Row],[customerSKU]],customerSKU!G:G,customerSKU!O:O,"not found",0,1)</f>
        <v>not found</v>
      </c>
      <c r="AJ297" s="53">
        <f>Table26[[#This Row],[unitprice]]*Table26[[#This Row],[quantity_unit]]</f>
        <v>0</v>
      </c>
      <c r="AK297" s="53" cm="1">
        <f t="array" ref="AK2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8" spans="1:37" ht="18" customHeight="1">
      <c r="A298" s="42">
        <v>1954</v>
      </c>
      <c r="B298" s="249" t="s">
        <v>3520</v>
      </c>
      <c r="C298" s="90" t="s">
        <v>203</v>
      </c>
      <c r="D298" s="235"/>
      <c r="E298" s="235"/>
      <c r="F298" s="90"/>
      <c r="G298" s="119"/>
      <c r="H298" s="90"/>
      <c r="I298" s="90" t="s">
        <v>3862</v>
      </c>
      <c r="J298" s="90" t="s">
        <v>503</v>
      </c>
      <c r="K298" s="232">
        <v>45554</v>
      </c>
      <c r="L298" s="233" t="s">
        <v>504</v>
      </c>
      <c r="M298" s="90"/>
      <c r="N298" s="55" t="str">
        <f>Table26[[#This Row],[po_number]]&amp;"-"&amp;Table26[[#This Row],[po_line]]</f>
        <v>-5</v>
      </c>
      <c r="O298" s="55">
        <v>5</v>
      </c>
      <c r="P298" s="234"/>
      <c r="Q298" s="90" t="s">
        <v>2094</v>
      </c>
      <c r="R298" s="90" t="s">
        <v>3830</v>
      </c>
      <c r="S298" s="90" t="s">
        <v>13</v>
      </c>
      <c r="T298" s="20">
        <v>45555</v>
      </c>
      <c r="U298" s="236">
        <v>12</v>
      </c>
      <c r="V298" s="90">
        <v>12</v>
      </c>
      <c r="W298" s="237">
        <f t="shared" si="8"/>
        <v>1</v>
      </c>
      <c r="X298" s="90" t="str">
        <f t="shared" si="9"/>
        <v/>
      </c>
      <c r="Y298" s="90"/>
      <c r="Z298" s="60"/>
      <c r="AA298" s="18" t="str" cm="1">
        <f t="array" ref="AA298">IF(P298="", "", _xlfn.XLOOKUP(P298,#REF!,#REF!,NA,0,-1))</f>
        <v/>
      </c>
      <c r="AB298" s="90"/>
      <c r="AC298" s="55" t="s">
        <v>103</v>
      </c>
      <c r="AD298" s="55" t="str">
        <f>IF($AC298="","",_xlfn.XLOOKUP($AC298,'[2]Client Info'!$C$2:$C$2535,'[2]Client Info'!$D$2:$D$2535))</f>
        <v>223 1st St W</v>
      </c>
      <c r="AE298" s="55" t="str">
        <f>IF($AC298="","",_xlfn.XLOOKUP($AC298,'[2]Client Info'!$C$2:$C$2715,'[2]Client Info'!$E$2:$E$2715))</f>
        <v>North Vancouver</v>
      </c>
      <c r="AF298" s="55" t="str">
        <f>IF($AC298="","",_xlfn.XLOOKUP($AC298,'[2]Client Info'!$C$2:$C$2715,'[2]Client Info'!$F$2:$F$2715))</f>
        <v xml:space="preserve">BC </v>
      </c>
      <c r="AG298" s="55" t="s">
        <v>103</v>
      </c>
      <c r="AH298" s="245"/>
      <c r="AI298" s="43" t="str">
        <f>_xlfn.XLOOKUP(Table26[[#This Row],[customerSKU]],customerSKU!G:G,customerSKU!O:O,"not found",0,1)</f>
        <v>not found</v>
      </c>
      <c r="AJ298" s="53">
        <f>Table26[[#This Row],[unitprice]]*Table26[[#This Row],[quantity_unit]]</f>
        <v>0</v>
      </c>
      <c r="AK298" s="53" cm="1">
        <f t="array" ref="AK2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299" spans="1:37" ht="24.6" customHeight="1">
      <c r="A299" s="42">
        <v>1955</v>
      </c>
      <c r="B299" s="58" t="s">
        <v>3837</v>
      </c>
      <c r="C299" s="53" t="s">
        <v>203</v>
      </c>
      <c r="D299" s="51"/>
      <c r="E299" s="51"/>
      <c r="F299" s="60"/>
      <c r="G299" s="46"/>
      <c r="H299" s="53"/>
      <c r="I299" s="53" t="s">
        <v>3862</v>
      </c>
      <c r="J299" s="53" t="s">
        <v>4077</v>
      </c>
      <c r="K299" s="48">
        <v>45554</v>
      </c>
      <c r="L299" s="49" t="s">
        <v>504</v>
      </c>
      <c r="M299" s="53"/>
      <c r="N299" s="77" t="str">
        <f>Table26[[#This Row],[po_number]]&amp;"-"&amp;Table26[[#This Row],[po_line]]</f>
        <v>-1</v>
      </c>
      <c r="O299" s="77">
        <v>1</v>
      </c>
      <c r="P299" s="50"/>
      <c r="Q299" s="53" t="s">
        <v>1314</v>
      </c>
      <c r="R299" s="88" t="s">
        <v>3830</v>
      </c>
      <c r="S299" s="88" t="s">
        <v>78</v>
      </c>
      <c r="T299" s="20">
        <v>45503</v>
      </c>
      <c r="U299" s="52">
        <v>12</v>
      </c>
      <c r="V299" s="53">
        <v>12</v>
      </c>
      <c r="W299" s="116">
        <f t="shared" si="8"/>
        <v>1</v>
      </c>
      <c r="X299" s="53" t="str">
        <f t="shared" si="9"/>
        <v/>
      </c>
      <c r="Y299" s="53"/>
      <c r="Z299" s="60"/>
      <c r="AA299" s="18" t="str" cm="1">
        <f t="array" ref="AA299">IF(P299="", "", _xlfn.XLOOKUP(P299,#REF!,#REF!,NA,0,-1))</f>
        <v/>
      </c>
      <c r="AB299" s="53"/>
      <c r="AC299" s="55" t="s">
        <v>4078</v>
      </c>
      <c r="AD299" s="55" t="str">
        <f>IF($AC299="","",_xlfn.XLOOKUP($AC299,'[2]Client Info'!$C$2:$C$2535,'[2]Client Info'!$D$2:$D$2535))</f>
        <v>379 CENTRE ST</v>
      </c>
      <c r="AE299" s="55" t="str">
        <f>IF($AC299="","",_xlfn.XLOOKUP($AC299,'[2]Client Info'!$C$2:$C$2715,'[2]Client Info'!$E$2:$E$2715))</f>
        <v>SHAUNAVON</v>
      </c>
      <c r="AF299" s="55" t="str">
        <f>IF($AC299="","",_xlfn.XLOOKUP($AC299,'[2]Client Info'!$C$2:$C$2715,'[2]Client Info'!$F$2:$F$2715))</f>
        <v>SK</v>
      </c>
      <c r="AG299" s="55" t="s">
        <v>4078</v>
      </c>
      <c r="AH299" s="62">
        <f>178.8/12</f>
        <v>14.9</v>
      </c>
      <c r="AI299" s="43" t="str">
        <f>_xlfn.XLOOKUP(Table26[[#This Row],[customerSKU]],customerSKU!G:G,customerSKU!O:O,"not found",0,1)</f>
        <v>not found</v>
      </c>
      <c r="AJ299" s="53">
        <f>Table26[[#This Row],[unitprice]]*Table26[[#This Row],[quantity_unit]]</f>
        <v>178.8</v>
      </c>
      <c r="AK299" s="53" t="e" cm="1">
        <f t="array" ref="AK2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00" spans="1:37" ht="24.6" customHeight="1">
      <c r="A300" s="42">
        <v>1956</v>
      </c>
      <c r="B300" s="58" t="s">
        <v>3837</v>
      </c>
      <c r="C300" s="53" t="s">
        <v>203</v>
      </c>
      <c r="D300" s="51"/>
      <c r="E300" s="51"/>
      <c r="F300" s="60"/>
      <c r="G300" s="46"/>
      <c r="H300" s="53"/>
      <c r="I300" s="53" t="s">
        <v>3862</v>
      </c>
      <c r="J300" s="53" t="s">
        <v>4077</v>
      </c>
      <c r="K300" s="48">
        <v>45554</v>
      </c>
      <c r="L300" s="49" t="s">
        <v>504</v>
      </c>
      <c r="M300" s="53"/>
      <c r="N300" s="77" t="str">
        <f>Table26[[#This Row],[po_number]]&amp;"-"&amp;Table26[[#This Row],[po_line]]</f>
        <v>-2</v>
      </c>
      <c r="O300" s="77">
        <v>2</v>
      </c>
      <c r="P300" s="50"/>
      <c r="Q300" s="53" t="s">
        <v>1019</v>
      </c>
      <c r="R300" s="88" t="s">
        <v>3830</v>
      </c>
      <c r="S300" s="88" t="s">
        <v>78</v>
      </c>
      <c r="T300" s="20">
        <v>45523</v>
      </c>
      <c r="U300" s="52">
        <v>12</v>
      </c>
      <c r="V300" s="53">
        <v>12</v>
      </c>
      <c r="W300" s="116">
        <f t="shared" si="8"/>
        <v>1</v>
      </c>
      <c r="X300" s="53" t="str">
        <f t="shared" si="9"/>
        <v/>
      </c>
      <c r="Y300" s="53"/>
      <c r="Z300" s="60"/>
      <c r="AA300" s="18" t="str" cm="1">
        <f t="array" ref="AA300">IF(P300="", "", _xlfn.XLOOKUP(P300,#REF!,#REF!,NA,0,-1))</f>
        <v/>
      </c>
      <c r="AB300" s="53"/>
      <c r="AC300" s="55" t="s">
        <v>4078</v>
      </c>
      <c r="AD300" s="55" t="str">
        <f>IF($AC300="","",_xlfn.XLOOKUP($AC300,'[2]Client Info'!$C$2:$C$2535,'[2]Client Info'!$D$2:$D$2535))</f>
        <v>379 CENTRE ST</v>
      </c>
      <c r="AE300" s="55" t="str">
        <f>IF($AC300="","",_xlfn.XLOOKUP($AC300,'[2]Client Info'!$C$2:$C$2715,'[2]Client Info'!$E$2:$E$2715))</f>
        <v>SHAUNAVON</v>
      </c>
      <c r="AF300" s="55" t="str">
        <f>IF($AC300="","",_xlfn.XLOOKUP($AC300,'[2]Client Info'!$C$2:$C$2715,'[2]Client Info'!$F$2:$F$2715))</f>
        <v>SK</v>
      </c>
      <c r="AG300" s="55" t="s">
        <v>4078</v>
      </c>
      <c r="AH300" s="62">
        <f>178.8/12</f>
        <v>14.9</v>
      </c>
      <c r="AI300" s="43" t="str">
        <f>_xlfn.XLOOKUP(Table26[[#This Row],[customerSKU]],customerSKU!G:G,customerSKU!O:O,"not found",0,1)</f>
        <v>not found</v>
      </c>
      <c r="AJ300" s="53">
        <f>Table26[[#This Row],[unitprice]]*Table26[[#This Row],[quantity_unit]]</f>
        <v>178.8</v>
      </c>
      <c r="AK300" s="53" t="e" cm="1">
        <f t="array" ref="AK3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01" spans="1:37" ht="24.6" customHeight="1">
      <c r="A301" s="42">
        <v>1947</v>
      </c>
      <c r="B301" s="58" t="s">
        <v>3837</v>
      </c>
      <c r="C301" s="53" t="s">
        <v>203</v>
      </c>
      <c r="D301" s="51"/>
      <c r="E301" s="51"/>
      <c r="F301" s="53"/>
      <c r="G301" s="46"/>
      <c r="H301" s="53"/>
      <c r="I301" s="53" t="s">
        <v>3862</v>
      </c>
      <c r="J301" s="53" t="s">
        <v>3838</v>
      </c>
      <c r="K301" s="48">
        <v>45555</v>
      </c>
      <c r="L301" s="49" t="s">
        <v>201</v>
      </c>
      <c r="M301" s="53"/>
      <c r="N301" s="77" t="str">
        <f>Table26[[#This Row],[po_number]]&amp;"-"&amp;Table26[[#This Row],[po_line]]</f>
        <v>-1</v>
      </c>
      <c r="O301" s="77">
        <v>1</v>
      </c>
      <c r="P301" s="50"/>
      <c r="Q301" s="53" t="s">
        <v>3955</v>
      </c>
      <c r="R301" s="53" t="s">
        <v>532</v>
      </c>
      <c r="S301" s="53" t="s">
        <v>20</v>
      </c>
      <c r="T301" s="20">
        <v>45551</v>
      </c>
      <c r="U301" s="52">
        <f>210*12</f>
        <v>2520</v>
      </c>
      <c r="V301" s="53">
        <v>12</v>
      </c>
      <c r="W301" s="116">
        <f t="shared" si="8"/>
        <v>210</v>
      </c>
      <c r="X301" s="53" t="str">
        <f t="shared" si="9"/>
        <v/>
      </c>
      <c r="Y301" s="53"/>
      <c r="Z301" s="60"/>
      <c r="AA301" s="18" t="str" cm="1">
        <f t="array" ref="AA301">IF(P301="", "", _xlfn.XLOOKUP(P301,#REF!,#REF!,NA,0,-1))</f>
        <v/>
      </c>
      <c r="AB301" s="53"/>
      <c r="AC301" s="55" t="s">
        <v>9</v>
      </c>
      <c r="AD301" s="55" t="str">
        <f>IF($AC301="","",_xlfn.XLOOKUP($AC301,'[2]Client Info'!$C$2:$C$2535,'[2]Client Info'!$D$2:$D$2535))</f>
        <v>18, Canso rd</v>
      </c>
      <c r="AE301" s="55" t="str">
        <f>IF($AC301="","",_xlfn.XLOOKUP($AC301,'[2]Client Info'!$C$2:$C$2715,'[2]Client Info'!$E$2:$E$2715))</f>
        <v>Etobicoke</v>
      </c>
      <c r="AF301" s="55" t="str">
        <f>IF($AC301="","",_xlfn.XLOOKUP($AC301,'[2]Client Info'!$C$2:$C$2715,'[2]Client Info'!$F$2:$F$2715))</f>
        <v>ON</v>
      </c>
      <c r="AG301" s="55" t="s">
        <v>9</v>
      </c>
      <c r="AH301" s="62"/>
      <c r="AI301" s="43" t="str">
        <f>_xlfn.XLOOKUP(Table26[[#This Row],[customerSKU]],customerSKU!G:G,customerSKU!O:O,"not found",0,1)</f>
        <v>not found</v>
      </c>
      <c r="AJ301" s="53">
        <f>Table26[[#This Row],[unitprice]]*Table26[[#This Row],[quantity_unit]]</f>
        <v>0</v>
      </c>
      <c r="AK301" s="53" t="e" cm="1">
        <f t="array" ref="AK3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02" spans="1:37" ht="18" customHeight="1">
      <c r="A302" s="42">
        <v>1948</v>
      </c>
      <c r="B302" s="58" t="s">
        <v>3520</v>
      </c>
      <c r="C302" s="43" t="s">
        <v>203</v>
      </c>
      <c r="D302" s="51">
        <v>45537</v>
      </c>
      <c r="E302" s="51"/>
      <c r="F302" s="53"/>
      <c r="G302" s="46"/>
      <c r="H302" s="53"/>
      <c r="I302" s="47" t="s">
        <v>3862</v>
      </c>
      <c r="J302" s="53" t="s">
        <v>25</v>
      </c>
      <c r="K302" s="48">
        <v>45555</v>
      </c>
      <c r="L302" s="49" t="s">
        <v>3882</v>
      </c>
      <c r="M302" s="53"/>
      <c r="N302" s="77" t="str">
        <f>Table26[[#This Row],[po_number]]&amp;"-"&amp;Table26[[#This Row],[po_line]]</f>
        <v>-1</v>
      </c>
      <c r="O302" s="77">
        <v>1</v>
      </c>
      <c r="P302" s="50"/>
      <c r="Q302" s="53" t="s">
        <v>1377</v>
      </c>
      <c r="R302" s="53" t="s">
        <v>532</v>
      </c>
      <c r="S302" s="53" t="s">
        <v>4026</v>
      </c>
      <c r="T302" s="20">
        <v>45560</v>
      </c>
      <c r="U302" s="52">
        <f>30*12</f>
        <v>360</v>
      </c>
      <c r="V302" s="53">
        <v>12</v>
      </c>
      <c r="W302" s="116">
        <f t="shared" si="8"/>
        <v>30</v>
      </c>
      <c r="X302" s="53" t="str">
        <f t="shared" si="9"/>
        <v/>
      </c>
      <c r="Y302" s="63" t="s">
        <v>4024</v>
      </c>
      <c r="Z302" s="60"/>
      <c r="AA302" s="18" t="str" cm="1">
        <f t="array" ref="AA302">IF(P302="", "", _xlfn.XLOOKUP(P302,#REF!,#REF!,NA,0,-1))</f>
        <v/>
      </c>
      <c r="AB302" s="47"/>
      <c r="AC302" s="55" t="s">
        <v>4025</v>
      </c>
      <c r="AD302" s="55" t="str">
        <f>IF($AC302="","",_xlfn.XLOOKUP($AC302,'[2]Client Info'!$C$2:$C$2535,'[2]Client Info'!$D$2:$D$2535))</f>
        <v>80 Guilford Ave</v>
      </c>
      <c r="AE302" s="55" t="str">
        <f>IF($AC302="","",_xlfn.XLOOKUP($AC302,'[2]Client Info'!$C$2:$C$2715,'[2]Client Info'!$E$2:$E$2715))</f>
        <v>Dartmouth</v>
      </c>
      <c r="AF302" s="55" t="str">
        <f>IF($AC302="","",_xlfn.XLOOKUP($AC302,'[2]Client Info'!$C$2:$C$2715,'[2]Client Info'!$F$2:$F$2715))</f>
        <v>NS</v>
      </c>
      <c r="AG302" s="55" t="s">
        <v>4025</v>
      </c>
      <c r="AH302" s="62">
        <f>5940/360</f>
        <v>16.5</v>
      </c>
      <c r="AI302" s="43" t="str">
        <f>_xlfn.XLOOKUP(Table26[[#This Row],[customerSKU]],customerSKU!G:G,customerSKU!O:O,"not found",0,1)</f>
        <v>not found</v>
      </c>
      <c r="AJ302" s="53">
        <f>Table26[[#This Row],[unitprice]]*Table26[[#This Row],[quantity_unit]]</f>
        <v>5940</v>
      </c>
      <c r="AK302" s="53" t="e" cm="1">
        <f t="array" ref="AK3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03" spans="1:37" ht="18" customHeight="1">
      <c r="A303" s="42">
        <v>1949</v>
      </c>
      <c r="B303" s="58" t="s">
        <v>3520</v>
      </c>
      <c r="C303" s="53" t="s">
        <v>203</v>
      </c>
      <c r="D303" s="51"/>
      <c r="E303" s="51"/>
      <c r="F303" s="53"/>
      <c r="G303" s="46"/>
      <c r="H303" s="53"/>
      <c r="I303" s="47" t="s">
        <v>3862</v>
      </c>
      <c r="J303" s="53" t="s">
        <v>25</v>
      </c>
      <c r="K303" s="48">
        <v>45555</v>
      </c>
      <c r="L303" s="49" t="s">
        <v>490</v>
      </c>
      <c r="M303" s="53"/>
      <c r="N303" s="77" t="str">
        <f>Table26[[#This Row],[po_number]]&amp;"-"&amp;Table26[[#This Row],[po_line]]</f>
        <v>-1</v>
      </c>
      <c r="O303" s="77">
        <v>1</v>
      </c>
      <c r="P303" s="50"/>
      <c r="Q303" s="53" t="s">
        <v>1324</v>
      </c>
      <c r="R303" s="53" t="s">
        <v>532</v>
      </c>
      <c r="S303" s="53" t="s">
        <v>17</v>
      </c>
      <c r="T303" s="20">
        <v>45467</v>
      </c>
      <c r="U303" s="52">
        <v>60</v>
      </c>
      <c r="V303" s="53">
        <v>6</v>
      </c>
      <c r="W303" s="116">
        <f t="shared" si="8"/>
        <v>10</v>
      </c>
      <c r="X303" s="53" t="str">
        <f t="shared" si="9"/>
        <v/>
      </c>
      <c r="Y303" s="60" t="s">
        <v>4027</v>
      </c>
      <c r="Z303" s="60"/>
      <c r="AA303" s="18" t="str" cm="1">
        <f t="array" ref="AA303">IF(P303="", "", _xlfn.XLOOKUP(P303,#REF!,#REF!,NA,0,-1))</f>
        <v/>
      </c>
      <c r="AB303" s="47"/>
      <c r="AC303" s="55" t="s">
        <v>4025</v>
      </c>
      <c r="AD303" s="55" t="str">
        <f>IF($AC303="","",_xlfn.XLOOKUP($AC303,'[2]Client Info'!$C$2:$C$2535,'[2]Client Info'!$D$2:$D$2535))</f>
        <v>80 Guilford Ave</v>
      </c>
      <c r="AE303" s="55" t="str">
        <f>IF($AC303="","",_xlfn.XLOOKUP($AC303,'[2]Client Info'!$C$2:$C$2715,'[2]Client Info'!$E$2:$E$2715))</f>
        <v>Dartmouth</v>
      </c>
      <c r="AF303" s="55" t="str">
        <f>IF($AC303="","",_xlfn.XLOOKUP($AC303,'[2]Client Info'!$C$2:$C$2715,'[2]Client Info'!$F$2:$F$2715))</f>
        <v>NS</v>
      </c>
      <c r="AG303" s="55" t="s">
        <v>25</v>
      </c>
      <c r="AH303" s="62">
        <f>939.6/60</f>
        <v>15.66</v>
      </c>
      <c r="AI303" s="43" t="str">
        <f>_xlfn.XLOOKUP(Table26[[#This Row],[customerSKU]],customerSKU!G:G,customerSKU!O:O,"not found",0,1)</f>
        <v>not found</v>
      </c>
      <c r="AJ303" s="53">
        <f>Table26[[#This Row],[unitprice]]*Table26[[#This Row],[quantity_unit]]</f>
        <v>939.6</v>
      </c>
      <c r="AK303" s="53" t="e" cm="1">
        <f t="array" ref="AK3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04" spans="1:37" ht="18" customHeight="1">
      <c r="A304" s="42">
        <v>1946</v>
      </c>
      <c r="B304" s="58" t="s">
        <v>3520</v>
      </c>
      <c r="C304" s="53" t="s">
        <v>3360</v>
      </c>
      <c r="D304" s="51"/>
      <c r="E304" s="51"/>
      <c r="F304" s="53"/>
      <c r="G304" s="46"/>
      <c r="H304" s="53"/>
      <c r="I304" s="53" t="s">
        <v>3862</v>
      </c>
      <c r="J304" s="53" t="s">
        <v>533</v>
      </c>
      <c r="K304" s="48">
        <v>45559</v>
      </c>
      <c r="L304" s="49" t="s">
        <v>490</v>
      </c>
      <c r="M304" s="53"/>
      <c r="N304" s="77" t="str">
        <f>Table26[[#This Row],[po_number]]&amp;"-"&amp;Table26[[#This Row],[po_line]]</f>
        <v>-1</v>
      </c>
      <c r="O304" s="77">
        <v>1</v>
      </c>
      <c r="P304" s="50"/>
      <c r="Q304" s="81" t="s">
        <v>1019</v>
      </c>
      <c r="R304" s="81" t="s">
        <v>3830</v>
      </c>
      <c r="S304" s="53" t="s">
        <v>57</v>
      </c>
      <c r="T304" s="20">
        <v>45523</v>
      </c>
      <c r="U304" s="52">
        <v>12</v>
      </c>
      <c r="V304" s="53" t="str">
        <f>IF(ISBLANK(Table26[[#This Row],[customerSKU]]),"",_xlfn.XLOOKUP(Table26[[#This Row],[customerSKU]],Table27[customer_SKU],Table27[case_size],"",0,1))</f>
        <v/>
      </c>
      <c r="W304" s="116" t="str">
        <f t="shared" si="8"/>
        <v/>
      </c>
      <c r="X304" s="53" t="str">
        <f t="shared" si="9"/>
        <v/>
      </c>
      <c r="Y304" s="53" t="str">
        <f>IF(Table26[[#This Row],[customerSKU]]="","",_xlfn.XLOOKUP(Table26[[#This Row],[customerSKU]],Table27[customer_SKU],Table27[product_GTIN],"",0,1))</f>
        <v/>
      </c>
      <c r="Z304" s="25" t="s">
        <v>3452</v>
      </c>
      <c r="AA304" s="18" t="str" cm="1">
        <f t="array" ref="AA304">IF(P304="", "", _xlfn.XLOOKUP(P304,#REF!,#REF!,NA,0,-1))</f>
        <v/>
      </c>
      <c r="AB304" s="53"/>
      <c r="AC304" s="55" t="s">
        <v>85</v>
      </c>
      <c r="AD304" s="55" t="str">
        <f>IF($AC304="","",_xlfn.XLOOKUP($AC304,'[2]Client Info'!$C$2:$C$2535,'[2]Client Info'!$D$2:$D$2535))</f>
        <v>UNIT 1-550 MILL ROAD</v>
      </c>
      <c r="AE304" s="55" t="str">
        <f>IF($AC304="","",_xlfn.XLOOKUP($AC304,'[2]Client Info'!$C$2:$C$2715,'[2]Client Info'!$E$2:$E$2715))</f>
        <v>BOISSEVAIN</v>
      </c>
      <c r="AF304" s="55" t="str">
        <f>IF($AC304="","",_xlfn.XLOOKUP($AC304,'[2]Client Info'!$C$2:$C$2715,'[2]Client Info'!$F$2:$F$2715))</f>
        <v>MB</v>
      </c>
      <c r="AG304" s="55" t="str">
        <f>IF(ISBLANK(Table26[[#This Row],[customerSKU]]),"",_xlfn.XLOOKUP(Table26[[#This Row],[customerSKU]],Table27[customer_SKU],Table27[shipto],"",0,1))</f>
        <v/>
      </c>
      <c r="AH304" s="62" t="str">
        <f>_xlfn.XLOOKUP(Table26[[#This Row],[customerSKU]],customerSKU!G:G,customerSKU!K:K,"NA",0,1)</f>
        <v>NA</v>
      </c>
      <c r="AI304" s="43" t="str">
        <f>_xlfn.XLOOKUP(Table26[[#This Row],[customerSKU]],customerSKU!G:G,customerSKU!O:O,"not found",0,1)</f>
        <v>not found</v>
      </c>
      <c r="AJ304" s="53" t="e">
        <f>Table26[[#This Row],[unitprice]]*Table26[[#This Row],[quantity_unit]]</f>
        <v>#VALUE!</v>
      </c>
      <c r="AK304" s="53" t="e" cm="1">
        <f t="array" ref="AK3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05" spans="1:37" ht="18" customHeight="1">
      <c r="A305" s="42">
        <v>1940</v>
      </c>
      <c r="B305" s="249" t="s">
        <v>3837</v>
      </c>
      <c r="C305" s="90" t="s">
        <v>203</v>
      </c>
      <c r="D305" s="235"/>
      <c r="E305" s="235"/>
      <c r="F305" s="90"/>
      <c r="G305" s="119"/>
      <c r="H305" s="90"/>
      <c r="I305" s="90" t="s">
        <v>3862</v>
      </c>
      <c r="J305" s="90" t="s">
        <v>503</v>
      </c>
      <c r="K305" s="232">
        <v>45562</v>
      </c>
      <c r="L305" s="233" t="s">
        <v>504</v>
      </c>
      <c r="M305" s="90"/>
      <c r="N305" s="55" t="str">
        <f>Table26[[#This Row],[po_number]]&amp;"-"&amp;Table26[[#This Row],[po_line]]</f>
        <v>-1</v>
      </c>
      <c r="O305" s="55">
        <v>1</v>
      </c>
      <c r="P305" s="234"/>
      <c r="Q305" s="90" t="s">
        <v>2096</v>
      </c>
      <c r="R305" s="90" t="s">
        <v>3830</v>
      </c>
      <c r="S305" s="90" t="s">
        <v>56</v>
      </c>
      <c r="T305" s="20">
        <v>45560</v>
      </c>
      <c r="U305" s="236">
        <v>12</v>
      </c>
      <c r="V305" s="90">
        <v>12</v>
      </c>
      <c r="W305" s="237">
        <f t="shared" si="8"/>
        <v>1</v>
      </c>
      <c r="X305" s="90" t="str">
        <f t="shared" si="9"/>
        <v/>
      </c>
      <c r="Y305" s="90"/>
      <c r="Z305" s="60"/>
      <c r="AA305" s="18" t="str" cm="1">
        <f t="array" ref="AA305">IF(P305="", "", _xlfn.XLOOKUP(P305,#REF!,#REF!,NA,0,-1))</f>
        <v/>
      </c>
      <c r="AB305" s="90"/>
      <c r="AC305" s="55" t="s">
        <v>3983</v>
      </c>
      <c r="AD305" s="55" t="str">
        <f>IF($AC305="","",_xlfn.XLOOKUP($AC305,'[2]Client Info'!$C$2:$C$2535,'[2]Client Info'!$D$2:$D$2535))</f>
        <v>16A-215 Port Augusta St</v>
      </c>
      <c r="AE305" s="55" t="str">
        <f>IF($AC305="","",_xlfn.XLOOKUP($AC305,'[2]Client Info'!$C$2:$C$2715,'[2]Client Info'!$E$2:$E$2715))</f>
        <v>Comox</v>
      </c>
      <c r="AF305" s="55" t="str">
        <f>IF($AC305="","",_xlfn.XLOOKUP($AC305,'[2]Client Info'!$C$2:$C$2715,'[2]Client Info'!$F$2:$F$2715))</f>
        <v xml:space="preserve">BC </v>
      </c>
      <c r="AG305" s="55" t="s">
        <v>3983</v>
      </c>
      <c r="AH305" s="245"/>
      <c r="AI305" s="43" t="str">
        <f>_xlfn.XLOOKUP(Table26[[#This Row],[customerSKU]],customerSKU!G:G,customerSKU!O:O,"not found",0,1)</f>
        <v>not found</v>
      </c>
      <c r="AJ305" s="53">
        <f>Table26[[#This Row],[unitprice]]*Table26[[#This Row],[quantity_unit]]</f>
        <v>0</v>
      </c>
      <c r="AK305" s="53" cm="1">
        <f t="array" ref="AK3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06" spans="1:37" ht="18" customHeight="1">
      <c r="A306" s="42">
        <v>1941</v>
      </c>
      <c r="B306" s="249" t="s">
        <v>3837</v>
      </c>
      <c r="C306" s="90" t="s">
        <v>203</v>
      </c>
      <c r="D306" s="235"/>
      <c r="E306" s="235"/>
      <c r="F306" s="90"/>
      <c r="G306" s="119"/>
      <c r="H306" s="90"/>
      <c r="I306" s="90" t="s">
        <v>3862</v>
      </c>
      <c r="J306" s="90" t="s">
        <v>503</v>
      </c>
      <c r="K306" s="232">
        <v>45562</v>
      </c>
      <c r="L306" s="233" t="s">
        <v>504</v>
      </c>
      <c r="M306" s="90"/>
      <c r="N306" s="55" t="str">
        <f>Table26[[#This Row],[po_number]]&amp;"-"&amp;Table26[[#This Row],[po_line]]</f>
        <v>-2</v>
      </c>
      <c r="O306" s="55">
        <v>2</v>
      </c>
      <c r="P306" s="234"/>
      <c r="Q306" s="90" t="s">
        <v>3886</v>
      </c>
      <c r="R306" s="90" t="s">
        <v>3830</v>
      </c>
      <c r="S306" s="90" t="s">
        <v>56</v>
      </c>
      <c r="T306" s="20">
        <v>45555</v>
      </c>
      <c r="U306" s="236">
        <v>12</v>
      </c>
      <c r="V306" s="90">
        <v>12</v>
      </c>
      <c r="W306" s="237">
        <f t="shared" si="8"/>
        <v>1</v>
      </c>
      <c r="X306" s="90" t="str">
        <f t="shared" si="9"/>
        <v/>
      </c>
      <c r="Y306" s="90"/>
      <c r="Z306" s="60"/>
      <c r="AA306" s="18" t="str" cm="1">
        <f t="array" ref="AA306">IF(P306="", "", _xlfn.XLOOKUP(P306,#REF!,#REF!,NA,0,-1))</f>
        <v/>
      </c>
      <c r="AB306" s="90"/>
      <c r="AC306" s="55" t="s">
        <v>3984</v>
      </c>
      <c r="AD306" s="55" t="str">
        <f>IF($AC306="","",_xlfn.XLOOKUP($AC306,'[2]Client Info'!$C$2:$C$2535,'[2]Client Info'!$D$2:$D$2535))</f>
        <v>16A-215 Port Augusta St</v>
      </c>
      <c r="AE306" s="55" t="str">
        <f>IF($AC306="","",_xlfn.XLOOKUP($AC306,'[2]Client Info'!$C$2:$C$2715,'[2]Client Info'!$E$2:$E$2715))</f>
        <v>Comox</v>
      </c>
      <c r="AF306" s="55" t="str">
        <f>IF($AC306="","",_xlfn.XLOOKUP($AC306,'[2]Client Info'!$C$2:$C$2715,'[2]Client Info'!$F$2:$F$2715))</f>
        <v xml:space="preserve">BC </v>
      </c>
      <c r="AG306" s="55" t="s">
        <v>3983</v>
      </c>
      <c r="AH306" s="245"/>
      <c r="AI306" s="43" t="str">
        <f>_xlfn.XLOOKUP(Table26[[#This Row],[customerSKU]],customerSKU!G:G,customerSKU!O:O,"not found",0,1)</f>
        <v>not found</v>
      </c>
      <c r="AJ306" s="53">
        <f>Table26[[#This Row],[unitprice]]*Table26[[#This Row],[quantity_unit]]</f>
        <v>0</v>
      </c>
      <c r="AK306" s="53" cm="1">
        <f t="array" ref="AK3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07" spans="1:37" ht="18" customHeight="1">
      <c r="A307" s="42">
        <v>1942</v>
      </c>
      <c r="B307" s="249" t="s">
        <v>3520</v>
      </c>
      <c r="C307" s="90" t="s">
        <v>203</v>
      </c>
      <c r="D307" s="235"/>
      <c r="E307" s="235"/>
      <c r="F307" s="90"/>
      <c r="G307" s="119"/>
      <c r="H307" s="90"/>
      <c r="I307" s="90" t="s">
        <v>3862</v>
      </c>
      <c r="J307" s="90" t="s">
        <v>503</v>
      </c>
      <c r="K307" s="232">
        <v>45562</v>
      </c>
      <c r="L307" s="233" t="s">
        <v>504</v>
      </c>
      <c r="M307" s="90"/>
      <c r="N307" s="55" t="str">
        <f>Table26[[#This Row],[po_number]]&amp;"-"&amp;Table26[[#This Row],[po_line]]</f>
        <v>-1</v>
      </c>
      <c r="O307" s="55">
        <v>1</v>
      </c>
      <c r="P307" s="234"/>
      <c r="Q307" s="90" t="s">
        <v>1860</v>
      </c>
      <c r="R307" s="90" t="s">
        <v>3830</v>
      </c>
      <c r="S307" s="90" t="s">
        <v>13</v>
      </c>
      <c r="T307" s="20">
        <v>45555</v>
      </c>
      <c r="U307" s="236">
        <v>12</v>
      </c>
      <c r="V307" s="90">
        <v>12</v>
      </c>
      <c r="W307" s="237">
        <f t="shared" si="8"/>
        <v>1</v>
      </c>
      <c r="X307" s="90" t="str">
        <f t="shared" si="9"/>
        <v/>
      </c>
      <c r="Y307" s="90"/>
      <c r="Z307" s="60"/>
      <c r="AA307" s="18" t="str" cm="1">
        <f t="array" ref="AA307">IF(P307="", "", _xlfn.XLOOKUP(P307,#REF!,#REF!,NA,0,-1))</f>
        <v/>
      </c>
      <c r="AB307" s="90"/>
      <c r="AC307" s="55" t="s">
        <v>81</v>
      </c>
      <c r="AD307" s="55" t="str">
        <f>IF($AC307="","",_xlfn.XLOOKUP($AC307,'[2]Client Info'!$C$2:$C$2535,'[2]Client Info'!$D$2:$D$2535))</f>
        <v>2983 RUPERT ST</v>
      </c>
      <c r="AE307" s="55" t="str">
        <f>IF($AC307="","",_xlfn.XLOOKUP($AC307,'[2]Client Info'!$C$2:$C$2715,'[2]Client Info'!$E$2:$E$2715))</f>
        <v>Vancouver</v>
      </c>
      <c r="AF307" s="55" t="str">
        <f>IF($AC307="","",_xlfn.XLOOKUP($AC307,'[2]Client Info'!$C$2:$C$2715,'[2]Client Info'!$F$2:$F$2715))</f>
        <v>BC</v>
      </c>
      <c r="AG307" s="55" t="s">
        <v>81</v>
      </c>
      <c r="AH307" s="253"/>
      <c r="AI307" s="43" t="str">
        <f>_xlfn.XLOOKUP(Table26[[#This Row],[customerSKU]],customerSKU!G:G,customerSKU!O:O,"not found",0,1)</f>
        <v>not found</v>
      </c>
      <c r="AJ307" s="53">
        <f>Table26[[#This Row],[unitprice]]*Table26[[#This Row],[quantity_unit]]</f>
        <v>0</v>
      </c>
      <c r="AK307" s="53" cm="1">
        <f t="array" ref="AK3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08" spans="1:37" ht="18" customHeight="1">
      <c r="A308" s="42">
        <v>1943</v>
      </c>
      <c r="B308" s="249" t="s">
        <v>3837</v>
      </c>
      <c r="C308" s="90" t="s">
        <v>203</v>
      </c>
      <c r="D308" s="235"/>
      <c r="E308" s="235"/>
      <c r="F308" s="90"/>
      <c r="G308" s="119"/>
      <c r="H308" s="90"/>
      <c r="I308" s="90" t="s">
        <v>3862</v>
      </c>
      <c r="J308" s="90" t="s">
        <v>503</v>
      </c>
      <c r="K308" s="232">
        <v>45562</v>
      </c>
      <c r="L308" s="233" t="s">
        <v>504</v>
      </c>
      <c r="M308" s="90"/>
      <c r="N308" s="55" t="str">
        <f>Table26[[#This Row],[po_number]]&amp;"-"&amp;Table26[[#This Row],[po_line]]</f>
        <v>-1</v>
      </c>
      <c r="O308" s="55">
        <v>1</v>
      </c>
      <c r="P308" s="234"/>
      <c r="Q308" s="90" t="s">
        <v>2096</v>
      </c>
      <c r="R308" s="90" t="s">
        <v>532</v>
      </c>
      <c r="S308" s="90" t="s">
        <v>13</v>
      </c>
      <c r="T308" s="20">
        <v>45555</v>
      </c>
      <c r="U308" s="236">
        <v>12</v>
      </c>
      <c r="V308" s="90">
        <v>12</v>
      </c>
      <c r="W308" s="237">
        <f t="shared" si="8"/>
        <v>1</v>
      </c>
      <c r="X308" s="90" t="str">
        <f t="shared" si="9"/>
        <v/>
      </c>
      <c r="Y308" s="90"/>
      <c r="Z308" s="60"/>
      <c r="AA308" s="18" t="str" cm="1">
        <f t="array" ref="AA308">IF(P308="", "", _xlfn.XLOOKUP(P308,#REF!,#REF!,NA,0,-1))</f>
        <v/>
      </c>
      <c r="AB308" s="90"/>
      <c r="AC308" s="55" t="s">
        <v>3990</v>
      </c>
      <c r="AD308" s="55" t="str">
        <f>IF($AC308="","",_xlfn.XLOOKUP($AC308,'[2]Client Info'!$C$2:$C$2535,'[2]Client Info'!$D$2:$D$2535))</f>
        <v>348 Water Street</v>
      </c>
      <c r="AE308" s="55" t="str">
        <f>IF($AC308="","",_xlfn.XLOOKUP($AC308,'[2]Client Info'!$C$2:$C$2715,'[2]Client Info'!$E$2:$E$2715))</f>
        <v>Vancouver</v>
      </c>
      <c r="AF308" s="55" t="e">
        <f>IF($AC308="","",_xlfn.XLOOKUP($AC308,'[2]Client Info'!$C$2:$C$2715,'[2]Client Info'!$F$2:$F$2715))</f>
        <v>#REF!</v>
      </c>
      <c r="AG308" s="55" t="s">
        <v>3990</v>
      </c>
      <c r="AH308" s="245"/>
      <c r="AI308" s="43" t="str">
        <f>_xlfn.XLOOKUP(Table26[[#This Row],[customerSKU]],customerSKU!G:G,customerSKU!O:O,"not found",0,1)</f>
        <v>not found</v>
      </c>
      <c r="AJ308" s="53">
        <f>Table26[[#This Row],[unitprice]]*Table26[[#This Row],[quantity_unit]]</f>
        <v>0</v>
      </c>
      <c r="AK308" s="53" cm="1">
        <f t="array" ref="AK3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0</v>
      </c>
    </row>
    <row r="309" spans="1:37" ht="18" customHeight="1">
      <c r="A309" s="42">
        <v>1944</v>
      </c>
      <c r="B309" s="249" t="s">
        <v>3520</v>
      </c>
      <c r="C309" s="90" t="s">
        <v>203</v>
      </c>
      <c r="D309" s="235"/>
      <c r="E309" s="235"/>
      <c r="F309" s="90"/>
      <c r="G309" s="119"/>
      <c r="H309" s="90"/>
      <c r="I309" s="90" t="s">
        <v>3862</v>
      </c>
      <c r="J309" s="90" t="s">
        <v>3844</v>
      </c>
      <c r="K309" s="232">
        <v>45562</v>
      </c>
      <c r="L309" s="233" t="s">
        <v>504</v>
      </c>
      <c r="M309" s="90"/>
      <c r="N309" s="55" t="str">
        <f>Table26[[#This Row],[po_number]]&amp;"-"&amp;Table26[[#This Row],[po_line]]</f>
        <v>-1</v>
      </c>
      <c r="O309" s="55">
        <v>1</v>
      </c>
      <c r="P309" s="234"/>
      <c r="Q309" s="90" t="s">
        <v>1314</v>
      </c>
      <c r="R309" s="242" t="s">
        <v>3830</v>
      </c>
      <c r="S309" s="90" t="s">
        <v>13</v>
      </c>
      <c r="T309" s="20">
        <v>45503</v>
      </c>
      <c r="U309" s="236">
        <v>60</v>
      </c>
      <c r="V309" s="90">
        <v>12</v>
      </c>
      <c r="W309" s="237">
        <f t="shared" si="8"/>
        <v>5</v>
      </c>
      <c r="X309" s="90" t="str">
        <f t="shared" si="9"/>
        <v/>
      </c>
      <c r="Y309" s="90"/>
      <c r="Z309" s="60"/>
      <c r="AA309" s="18" t="str" cm="1">
        <f t="array" ref="AA309">IF(P309="", "", _xlfn.XLOOKUP(P309,#REF!,#REF!,NA,0,-1))</f>
        <v/>
      </c>
      <c r="AB309" s="231"/>
      <c r="AC309" s="55" t="s">
        <v>4070</v>
      </c>
      <c r="AD309" s="55" t="str">
        <f>IF($AC309="","",_xlfn.XLOOKUP($AC309,'[2]Client Info'!$C$2:$C$2535,'[2]Client Info'!$D$2:$D$2535))</f>
        <v>1502 BROADWAY ST #3120</v>
      </c>
      <c r="AE309" s="55" t="str">
        <f>IF($AC309="","",_xlfn.XLOOKUP($AC309,'[2]Client Info'!$C$2:$C$2715,'[2]Client Info'!$E$2:$E$2715))</f>
        <v>PORT COQUITLAM</v>
      </c>
      <c r="AF309" s="55" t="str">
        <f>IF($AC309="","",_xlfn.XLOOKUP($AC309,'[2]Client Info'!$C$2:$C$2715,'[2]Client Info'!$F$2:$F$2715))</f>
        <v xml:space="preserve">BC </v>
      </c>
      <c r="AG309" s="55" t="s">
        <v>39</v>
      </c>
      <c r="AH309" s="245">
        <f>840/60</f>
        <v>14</v>
      </c>
      <c r="AI309" s="43" t="str">
        <f>_xlfn.XLOOKUP(Table26[[#This Row],[customerSKU]],customerSKU!G:G,customerSKU!O:O,"not found",0,1)</f>
        <v>not found</v>
      </c>
      <c r="AJ309" s="53">
        <f>Table26[[#This Row],[unitprice]]*Table26[[#This Row],[quantity_unit]]</f>
        <v>840</v>
      </c>
      <c r="AK309" s="53" cm="1">
        <f t="array" ref="AK3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882</v>
      </c>
    </row>
    <row r="310" spans="1:37" ht="18" customHeight="1">
      <c r="A310" s="42">
        <v>1945</v>
      </c>
      <c r="B310" s="249" t="s">
        <v>3520</v>
      </c>
      <c r="C310" s="90" t="s">
        <v>203</v>
      </c>
      <c r="D310" s="235"/>
      <c r="E310" s="235"/>
      <c r="F310" s="90"/>
      <c r="G310" s="119"/>
      <c r="H310" s="90"/>
      <c r="I310" s="90" t="s">
        <v>3862</v>
      </c>
      <c r="J310" s="90" t="s">
        <v>3844</v>
      </c>
      <c r="K310" s="232">
        <v>45562</v>
      </c>
      <c r="L310" s="233" t="s">
        <v>504</v>
      </c>
      <c r="M310" s="90"/>
      <c r="N310" s="55" t="str">
        <f>Table26[[#This Row],[po_number]]&amp;"-"&amp;Table26[[#This Row],[po_line]]</f>
        <v>-2</v>
      </c>
      <c r="O310" s="55">
        <v>2</v>
      </c>
      <c r="P310" s="234"/>
      <c r="Q310" s="90" t="s">
        <v>2112</v>
      </c>
      <c r="R310" s="242" t="s">
        <v>3830</v>
      </c>
      <c r="S310" s="90" t="s">
        <v>13</v>
      </c>
      <c r="T310" s="20">
        <v>45550</v>
      </c>
      <c r="U310" s="236">
        <v>60</v>
      </c>
      <c r="V310" s="90">
        <v>12</v>
      </c>
      <c r="W310" s="237">
        <f t="shared" si="8"/>
        <v>5</v>
      </c>
      <c r="X310" s="90" t="str">
        <f t="shared" si="9"/>
        <v/>
      </c>
      <c r="Y310" s="90"/>
      <c r="Z310" s="60"/>
      <c r="AA310" s="18" t="str" cm="1">
        <f t="array" ref="AA310">IF(P310="", "", _xlfn.XLOOKUP(P310,#REF!,#REF!,NA,0,-1))</f>
        <v/>
      </c>
      <c r="AB310" s="231"/>
      <c r="AC310" s="55" t="s">
        <v>4070</v>
      </c>
      <c r="AD310" s="55" t="str">
        <f>IF($AC310="","",_xlfn.XLOOKUP($AC310,'[2]Client Info'!$C$2:$C$2535,'[2]Client Info'!$D$2:$D$2535))</f>
        <v>1502 BROADWAY ST #3120</v>
      </c>
      <c r="AE310" s="55" t="str">
        <f>IF($AC310="","",_xlfn.XLOOKUP($AC310,'[2]Client Info'!$C$2:$C$2715,'[2]Client Info'!$E$2:$E$2715))</f>
        <v>PORT COQUITLAM</v>
      </c>
      <c r="AF310" s="55" t="str">
        <f>IF($AC310="","",_xlfn.XLOOKUP($AC310,'[2]Client Info'!$C$2:$C$2715,'[2]Client Info'!$F$2:$F$2715))</f>
        <v xml:space="preserve">BC </v>
      </c>
      <c r="AG310" s="55" t="s">
        <v>39</v>
      </c>
      <c r="AH310" s="245">
        <f>840/60</f>
        <v>14</v>
      </c>
      <c r="AI310" s="43" t="str">
        <f>_xlfn.XLOOKUP(Table26[[#This Row],[customerSKU]],customerSKU!G:G,customerSKU!O:O,"not found",0,1)</f>
        <v>not found</v>
      </c>
      <c r="AJ310" s="53">
        <f>Table26[[#This Row],[unitprice]]*Table26[[#This Row],[quantity_unit]]</f>
        <v>840</v>
      </c>
      <c r="AK310" s="53" cm="1">
        <f t="array" ref="AK3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882</v>
      </c>
    </row>
    <row r="311" spans="1:37" ht="18" customHeight="1">
      <c r="A311" s="42">
        <v>1912</v>
      </c>
      <c r="B311" s="249" t="s">
        <v>3520</v>
      </c>
      <c r="C311" s="90" t="s">
        <v>203</v>
      </c>
      <c r="D311" s="235"/>
      <c r="E311" s="235"/>
      <c r="F311" s="90"/>
      <c r="G311" s="119"/>
      <c r="H311" s="90"/>
      <c r="I311" s="90" t="s">
        <v>3862</v>
      </c>
      <c r="J311" s="90" t="s">
        <v>503</v>
      </c>
      <c r="K311" s="232">
        <v>45566</v>
      </c>
      <c r="L311" s="233" t="s">
        <v>504</v>
      </c>
      <c r="M311" s="90"/>
      <c r="N311" s="55" t="str">
        <f>Table26[[#This Row],[po_number]]&amp;"-"&amp;Table26[[#This Row],[po_line]]</f>
        <v>-1</v>
      </c>
      <c r="O311" s="55">
        <v>1</v>
      </c>
      <c r="P311" s="234"/>
      <c r="Q311" s="90" t="s">
        <v>1860</v>
      </c>
      <c r="R311" s="90" t="s">
        <v>3830</v>
      </c>
      <c r="S311" s="90" t="s">
        <v>13</v>
      </c>
      <c r="T311" s="20">
        <v>45555</v>
      </c>
      <c r="U311" s="236">
        <v>60</v>
      </c>
      <c r="V311" s="90">
        <v>12</v>
      </c>
      <c r="W311" s="237">
        <f t="shared" si="8"/>
        <v>5</v>
      </c>
      <c r="X311" s="90" t="str">
        <f t="shared" si="9"/>
        <v/>
      </c>
      <c r="Y311" s="90"/>
      <c r="Z311" s="60"/>
      <c r="AA311" s="18" t="str" cm="1">
        <f t="array" ref="AA311">IF(P311="", "", _xlfn.XLOOKUP(P311,#REF!,#REF!,NA,0,-1))</f>
        <v/>
      </c>
      <c r="AB311" s="90"/>
      <c r="AC311" s="55" t="s">
        <v>39</v>
      </c>
      <c r="AD311" s="55" t="str">
        <f>IF($AC311="","",_xlfn.XLOOKUP($AC311,'[2]Client Info'!$C$2:$C$2535,'[2]Client Info'!$D$2:$D$2535))</f>
        <v>1502 BROADWAY ST #3120</v>
      </c>
      <c r="AE311" s="55" t="str">
        <f>IF($AC311="","",_xlfn.XLOOKUP($AC311,'[2]Client Info'!$C$2:$C$2715,'[2]Client Info'!$E$2:$E$2715))</f>
        <v>PORT COQUITLAM</v>
      </c>
      <c r="AF311" s="55" t="str">
        <f>IF($AC311="","",_xlfn.XLOOKUP($AC311,'[2]Client Info'!$C$2:$C$2715,'[2]Client Info'!$F$2:$F$2715))</f>
        <v xml:space="preserve">BC </v>
      </c>
      <c r="AG311" s="55" t="s">
        <v>39</v>
      </c>
      <c r="AH311" s="245" t="str">
        <f>_xlfn.XLOOKUP(Table26[[#This Row],[customerSKU]],customerSKU!G:G,customerSKU!K:K,"NA",0,1)</f>
        <v>NA</v>
      </c>
      <c r="AI311" s="43" t="str">
        <f>_xlfn.XLOOKUP(Table26[[#This Row],[customerSKU]],customerSKU!G:G,customerSKU!O:O,"not found",0,1)</f>
        <v>not found</v>
      </c>
      <c r="AJ311" s="53" t="e">
        <f>Table26[[#This Row],[unitprice]]*Table26[[#This Row],[quantity_unit]]</f>
        <v>#VALUE!</v>
      </c>
      <c r="AK311" s="53" t="e" cm="1">
        <f t="array" ref="AK3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12" spans="1:37" ht="18" customHeight="1">
      <c r="A312" s="42">
        <v>1913</v>
      </c>
      <c r="B312" s="249" t="s">
        <v>3520</v>
      </c>
      <c r="C312" s="90" t="s">
        <v>203</v>
      </c>
      <c r="D312" s="235"/>
      <c r="E312" s="235"/>
      <c r="F312" s="90"/>
      <c r="G312" s="119"/>
      <c r="H312" s="90"/>
      <c r="I312" s="90" t="s">
        <v>3862</v>
      </c>
      <c r="J312" s="90" t="s">
        <v>503</v>
      </c>
      <c r="K312" s="232">
        <v>45566</v>
      </c>
      <c r="L312" s="233" t="s">
        <v>504</v>
      </c>
      <c r="M312" s="90"/>
      <c r="N312" s="55" t="str">
        <f>Table26[[#This Row],[po_number]]&amp;"-"&amp;Table26[[#This Row],[po_line]]</f>
        <v>-2</v>
      </c>
      <c r="O312" s="55">
        <v>2</v>
      </c>
      <c r="P312" s="234"/>
      <c r="Q312" s="242" t="s">
        <v>2096</v>
      </c>
      <c r="R312" s="90" t="s">
        <v>3830</v>
      </c>
      <c r="S312" s="90" t="s">
        <v>13</v>
      </c>
      <c r="T312" s="20">
        <v>45555</v>
      </c>
      <c r="U312" s="236">
        <v>60</v>
      </c>
      <c r="V312" s="90">
        <v>12</v>
      </c>
      <c r="W312" s="237">
        <f t="shared" si="8"/>
        <v>5</v>
      </c>
      <c r="X312" s="90" t="str">
        <f t="shared" si="9"/>
        <v/>
      </c>
      <c r="Y312" s="90"/>
      <c r="Z312" s="60"/>
      <c r="AA312" s="18" t="str" cm="1">
        <f t="array" ref="AA312">IF(P312="", "", _xlfn.XLOOKUP(P312,#REF!,#REF!,NA,0,-1))</f>
        <v/>
      </c>
      <c r="AB312" s="90"/>
      <c r="AC312" s="55" t="s">
        <v>39</v>
      </c>
      <c r="AD312" s="55" t="str">
        <f>IF($AC312="","",_xlfn.XLOOKUP($AC312,'[2]Client Info'!$C$2:$C$2535,'[2]Client Info'!$D$2:$D$2535))</f>
        <v>1502 BROADWAY ST #3120</v>
      </c>
      <c r="AE312" s="55" t="str">
        <f>IF($AC312="","",_xlfn.XLOOKUP($AC312,'[2]Client Info'!$C$2:$C$2715,'[2]Client Info'!$E$2:$E$2715))</f>
        <v>PORT COQUITLAM</v>
      </c>
      <c r="AF312" s="55" t="str">
        <f>IF($AC312="","",_xlfn.XLOOKUP($AC312,'[2]Client Info'!$C$2:$C$2715,'[2]Client Info'!$F$2:$F$2715))</f>
        <v xml:space="preserve">BC </v>
      </c>
      <c r="AG312" s="55" t="s">
        <v>39</v>
      </c>
      <c r="AH312" s="245" t="str">
        <f>_xlfn.XLOOKUP(Table26[[#This Row],[customerSKU]],customerSKU!G:G,customerSKU!K:K,"NA",0,1)</f>
        <v>NA</v>
      </c>
      <c r="AI312" s="43" t="str">
        <f>_xlfn.XLOOKUP(Table26[[#This Row],[customerSKU]],customerSKU!G:G,customerSKU!O:O,"not found",0,1)</f>
        <v>not found</v>
      </c>
      <c r="AJ312" s="53" t="e">
        <f>Table26[[#This Row],[unitprice]]*Table26[[#This Row],[quantity_unit]]</f>
        <v>#VALUE!</v>
      </c>
      <c r="AK312" s="53" t="e" cm="1">
        <f t="array" ref="AK3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13" spans="1:37" ht="18" customHeight="1">
      <c r="A313" s="42">
        <v>1914</v>
      </c>
      <c r="B313" s="249" t="s">
        <v>3520</v>
      </c>
      <c r="C313" s="90" t="s">
        <v>203</v>
      </c>
      <c r="D313" s="235"/>
      <c r="E313" s="235"/>
      <c r="F313" s="90"/>
      <c r="G313" s="119"/>
      <c r="H313" s="90"/>
      <c r="I313" s="90" t="s">
        <v>3862</v>
      </c>
      <c r="J313" s="90" t="s">
        <v>503</v>
      </c>
      <c r="K313" s="232">
        <v>45566</v>
      </c>
      <c r="L313" s="233" t="s">
        <v>504</v>
      </c>
      <c r="M313" s="90"/>
      <c r="N313" s="55" t="str">
        <f>Table26[[#This Row],[po_number]]&amp;"-"&amp;Table26[[#This Row],[po_line]]</f>
        <v>-3</v>
      </c>
      <c r="O313" s="55">
        <v>3</v>
      </c>
      <c r="P313" s="234"/>
      <c r="Q313" s="90" t="s">
        <v>2100</v>
      </c>
      <c r="R313" s="90" t="s">
        <v>3830</v>
      </c>
      <c r="S313" s="90" t="s">
        <v>13</v>
      </c>
      <c r="T313" s="20">
        <v>45555</v>
      </c>
      <c r="U313" s="236">
        <v>60</v>
      </c>
      <c r="V313" s="90">
        <v>12</v>
      </c>
      <c r="W313" s="237">
        <f t="shared" si="8"/>
        <v>5</v>
      </c>
      <c r="X313" s="90" t="str">
        <f t="shared" si="9"/>
        <v/>
      </c>
      <c r="Y313" s="90"/>
      <c r="Z313" s="60"/>
      <c r="AA313" s="18" t="str" cm="1">
        <f t="array" ref="AA313">IF(P313="", "", _xlfn.XLOOKUP(P313,#REF!,#REF!,NA,0,-1))</f>
        <v/>
      </c>
      <c r="AB313" s="90"/>
      <c r="AC313" s="55" t="s">
        <v>39</v>
      </c>
      <c r="AD313" s="55" t="str">
        <f>IF($AC313="","",_xlfn.XLOOKUP($AC313,'[2]Client Info'!$C$2:$C$2535,'[2]Client Info'!$D$2:$D$2535))</f>
        <v>1502 BROADWAY ST #3120</v>
      </c>
      <c r="AE313" s="55" t="str">
        <f>IF($AC313="","",_xlfn.XLOOKUP($AC313,'[2]Client Info'!$C$2:$C$2715,'[2]Client Info'!$E$2:$E$2715))</f>
        <v>PORT COQUITLAM</v>
      </c>
      <c r="AF313" s="55" t="str">
        <f>IF($AC313="","",_xlfn.XLOOKUP($AC313,'[2]Client Info'!$C$2:$C$2715,'[2]Client Info'!$F$2:$F$2715))</f>
        <v xml:space="preserve">BC </v>
      </c>
      <c r="AG313" s="55" t="s">
        <v>39</v>
      </c>
      <c r="AH313" s="245" t="str">
        <f>_xlfn.XLOOKUP(Table26[[#This Row],[customerSKU]],customerSKU!G:G,customerSKU!K:K,"NA",0,1)</f>
        <v>NA</v>
      </c>
      <c r="AI313" s="43" t="str">
        <f>_xlfn.XLOOKUP(Table26[[#This Row],[customerSKU]],customerSKU!G:G,customerSKU!O:O,"not found",0,1)</f>
        <v>not found</v>
      </c>
      <c r="AJ313" s="53" t="e">
        <f>Table26[[#This Row],[unitprice]]*Table26[[#This Row],[quantity_unit]]</f>
        <v>#VALUE!</v>
      </c>
      <c r="AK313" s="53" t="e" cm="1">
        <f t="array" ref="AK3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14" spans="1:37" ht="24.6" customHeight="1">
      <c r="A314" s="42">
        <v>1915</v>
      </c>
      <c r="B314" s="249" t="s">
        <v>3520</v>
      </c>
      <c r="C314" s="90" t="s">
        <v>203</v>
      </c>
      <c r="D314" s="235"/>
      <c r="E314" s="235"/>
      <c r="F314" s="90"/>
      <c r="G314" s="119"/>
      <c r="H314" s="90"/>
      <c r="I314" s="90" t="s">
        <v>3862</v>
      </c>
      <c r="J314" s="90" t="s">
        <v>503</v>
      </c>
      <c r="K314" s="232">
        <v>45566</v>
      </c>
      <c r="L314" s="233" t="s">
        <v>504</v>
      </c>
      <c r="M314" s="90"/>
      <c r="N314" s="55" t="str">
        <f>Table26[[#This Row],[po_number]]&amp;"-"&amp;Table26[[#This Row],[po_line]]</f>
        <v>-4</v>
      </c>
      <c r="O314" s="55">
        <v>4</v>
      </c>
      <c r="P314" s="234"/>
      <c r="Q314" s="348" t="s">
        <v>2094</v>
      </c>
      <c r="R314" s="90" t="s">
        <v>3830</v>
      </c>
      <c r="S314" s="90" t="s">
        <v>13</v>
      </c>
      <c r="T314" s="20">
        <v>45555</v>
      </c>
      <c r="U314" s="236">
        <v>60</v>
      </c>
      <c r="V314" s="90">
        <v>12</v>
      </c>
      <c r="W314" s="237">
        <f t="shared" si="8"/>
        <v>5</v>
      </c>
      <c r="X314" s="90" t="str">
        <f t="shared" si="9"/>
        <v/>
      </c>
      <c r="Y314" s="90"/>
      <c r="Z314" s="60"/>
      <c r="AA314" s="18" t="str" cm="1">
        <f t="array" ref="AA314">IF(P314="", "", _xlfn.XLOOKUP(P314,#REF!,#REF!,NA,0,-1))</f>
        <v/>
      </c>
      <c r="AB314" s="90"/>
      <c r="AC314" s="55" t="s">
        <v>39</v>
      </c>
      <c r="AD314" s="55" t="str">
        <f>IF($AC314="","",_xlfn.XLOOKUP($AC314,'[2]Client Info'!$C$2:$C$2535,'[2]Client Info'!$D$2:$D$2535))</f>
        <v>1502 BROADWAY ST #3120</v>
      </c>
      <c r="AE314" s="55" t="str">
        <f>IF($AC314="","",_xlfn.XLOOKUP($AC314,'[2]Client Info'!$C$2:$C$2715,'[2]Client Info'!$E$2:$E$2715))</f>
        <v>PORT COQUITLAM</v>
      </c>
      <c r="AF314" s="55" t="str">
        <f>IF($AC314="","",_xlfn.XLOOKUP($AC314,'[2]Client Info'!$C$2:$C$2715,'[2]Client Info'!$F$2:$F$2715))</f>
        <v xml:space="preserve">BC </v>
      </c>
      <c r="AG314" s="55" t="s">
        <v>39</v>
      </c>
      <c r="AH314" s="245" t="str">
        <f>_xlfn.XLOOKUP(Table26[[#This Row],[customerSKU]],customerSKU!G:G,customerSKU!K:K,"NA",0,1)</f>
        <v>NA</v>
      </c>
      <c r="AI314" s="43" t="str">
        <f>_xlfn.XLOOKUP(Table26[[#This Row],[customerSKU]],customerSKU!G:G,customerSKU!O:O,"not found",0,1)</f>
        <v>not found</v>
      </c>
      <c r="AJ314" s="53" t="e">
        <f>Table26[[#This Row],[unitprice]]*Table26[[#This Row],[quantity_unit]]</f>
        <v>#VALUE!</v>
      </c>
      <c r="AK314" s="53" t="e" cm="1">
        <f t="array" ref="AK3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15" spans="1:37" ht="24.6" customHeight="1">
      <c r="A315" s="42">
        <v>1916</v>
      </c>
      <c r="B315" s="249" t="s">
        <v>3520</v>
      </c>
      <c r="C315" s="90" t="s">
        <v>203</v>
      </c>
      <c r="D315" s="235"/>
      <c r="E315" s="235"/>
      <c r="F315" s="90"/>
      <c r="G315" s="119"/>
      <c r="H315" s="90"/>
      <c r="I315" s="90" t="s">
        <v>3862</v>
      </c>
      <c r="J315" s="90" t="s">
        <v>503</v>
      </c>
      <c r="K315" s="232">
        <v>45566</v>
      </c>
      <c r="L315" s="233" t="s">
        <v>504</v>
      </c>
      <c r="M315" s="90"/>
      <c r="N315" s="55" t="str">
        <f>Table26[[#This Row],[po_number]]&amp;"-"&amp;Table26[[#This Row],[po_line]]</f>
        <v>-1</v>
      </c>
      <c r="O315" s="55">
        <v>1</v>
      </c>
      <c r="P315" s="234"/>
      <c r="Q315" s="242" t="s">
        <v>1134</v>
      </c>
      <c r="R315" s="90" t="s">
        <v>3830</v>
      </c>
      <c r="S315" s="90" t="s">
        <v>56</v>
      </c>
      <c r="T315" s="20">
        <v>45560</v>
      </c>
      <c r="U315" s="236">
        <v>36</v>
      </c>
      <c r="V315" s="90">
        <v>12</v>
      </c>
      <c r="W315" s="237">
        <f t="shared" si="8"/>
        <v>3</v>
      </c>
      <c r="X315" s="90" t="str">
        <f t="shared" si="9"/>
        <v/>
      </c>
      <c r="Y315" s="90"/>
      <c r="Z315" s="60"/>
      <c r="AA315" s="18" t="str" cm="1">
        <f t="array" ref="AA315">IF(P315="", "", _xlfn.XLOOKUP(P315,#REF!,#REF!,NA,0,-1))</f>
        <v/>
      </c>
      <c r="AB315" s="90"/>
      <c r="AC315" s="55" t="s">
        <v>3988</v>
      </c>
      <c r="AD315" s="55" t="str">
        <f>IF($AC315="","",_xlfn.XLOOKUP($AC315,'[2]Client Info'!$C$2:$C$2535,'[2]Client Info'!$D$2:$D$2535))</f>
        <v>491B Island Hwy E</v>
      </c>
      <c r="AE315" s="55" t="str">
        <f>IF($AC315="","",_xlfn.XLOOKUP($AC315,'[2]Client Info'!$C$2:$C$2715,'[2]Client Info'!$E$2:$E$2715))</f>
        <v>Parksville</v>
      </c>
      <c r="AF315" s="55" t="str">
        <f>IF($AC315="","",_xlfn.XLOOKUP($AC315,'[2]Client Info'!$C$2:$C$2715,'[2]Client Info'!$F$2:$F$2715))</f>
        <v xml:space="preserve">BC </v>
      </c>
      <c r="AG315" s="55" t="s">
        <v>3988</v>
      </c>
      <c r="AH315" s="245">
        <f>276/12</f>
        <v>23</v>
      </c>
      <c r="AI315" s="43" t="str">
        <f>_xlfn.XLOOKUP(Table26[[#This Row],[customerSKU]],customerSKU!G:G,customerSKU!O:O,"not found",0,1)</f>
        <v>not found</v>
      </c>
      <c r="AJ315" s="53">
        <f>Table26[[#This Row],[unitprice]]*Table26[[#This Row],[quantity_unit]]</f>
        <v>828</v>
      </c>
      <c r="AK315" s="53" cm="1">
        <f t="array" ref="AK3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869.40000000000009</v>
      </c>
    </row>
    <row r="316" spans="1:37" ht="24.6" customHeight="1">
      <c r="A316" s="42">
        <v>1917</v>
      </c>
      <c r="B316" s="249" t="s">
        <v>3520</v>
      </c>
      <c r="C316" s="90" t="s">
        <v>203</v>
      </c>
      <c r="D316" s="235"/>
      <c r="E316" s="235"/>
      <c r="F316" s="90"/>
      <c r="G316" s="119"/>
      <c r="H316" s="90"/>
      <c r="I316" s="90" t="s">
        <v>3862</v>
      </c>
      <c r="J316" s="90" t="s">
        <v>503</v>
      </c>
      <c r="K316" s="232">
        <v>45566</v>
      </c>
      <c r="L316" s="233" t="s">
        <v>504</v>
      </c>
      <c r="M316" s="90"/>
      <c r="N316" s="55" t="str">
        <f>Table26[[#This Row],[po_number]]&amp;"-"&amp;Table26[[#This Row],[po_line]]</f>
        <v>-2</v>
      </c>
      <c r="O316" s="55">
        <v>2</v>
      </c>
      <c r="P316" s="234"/>
      <c r="Q316" s="90" t="s">
        <v>1860</v>
      </c>
      <c r="R316" s="90" t="s">
        <v>3830</v>
      </c>
      <c r="S316" s="90" t="s">
        <v>56</v>
      </c>
      <c r="T316" s="20">
        <v>45555</v>
      </c>
      <c r="U316" s="236">
        <f>12+4</f>
        <v>16</v>
      </c>
      <c r="V316" s="90">
        <v>12</v>
      </c>
      <c r="W316" s="237">
        <f t="shared" si="8"/>
        <v>1.3333333333333333</v>
      </c>
      <c r="X316" s="90" t="str">
        <f t="shared" si="9"/>
        <v/>
      </c>
      <c r="Y316" s="90"/>
      <c r="Z316" s="60"/>
      <c r="AA316" s="18" t="str" cm="1">
        <f t="array" ref="AA316">IF(P316="", "", _xlfn.XLOOKUP(P316,#REF!,#REF!,NA,0,-1))</f>
        <v/>
      </c>
      <c r="AB316" s="90"/>
      <c r="AC316" s="55" t="s">
        <v>3988</v>
      </c>
      <c r="AD316" s="55" t="str">
        <f>IF($AC316="","",_xlfn.XLOOKUP($AC316,'[2]Client Info'!$C$2:$C$2535,'[2]Client Info'!$D$2:$D$2535))</f>
        <v>491B Island Hwy E</v>
      </c>
      <c r="AE316" s="55" t="str">
        <f>IF($AC316="","",_xlfn.XLOOKUP($AC316,'[2]Client Info'!$C$2:$C$2715,'[2]Client Info'!$E$2:$E$2715))</f>
        <v>Parksville</v>
      </c>
      <c r="AF316" s="55" t="str">
        <f>IF($AC316="","",_xlfn.XLOOKUP($AC316,'[2]Client Info'!$C$2:$C$2715,'[2]Client Info'!$F$2:$F$2715))</f>
        <v xml:space="preserve">BC </v>
      </c>
      <c r="AG316" s="55" t="s">
        <v>3988</v>
      </c>
      <c r="AH316" s="245">
        <f>276/12</f>
        <v>23</v>
      </c>
      <c r="AI316" s="43" t="str">
        <f>_xlfn.XLOOKUP(Table26[[#This Row],[customerSKU]],customerSKU!G:G,customerSKU!O:O,"not found",0,1)</f>
        <v>not found</v>
      </c>
      <c r="AJ316" s="53">
        <f>Table26[[#This Row],[unitprice]]*Table26[[#This Row],[quantity_unit]]</f>
        <v>368</v>
      </c>
      <c r="AK316" s="53" cm="1">
        <f t="array" ref="AK3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386.40000000000003</v>
      </c>
    </row>
    <row r="317" spans="1:37" ht="18" customHeight="1">
      <c r="A317" s="42">
        <v>1918</v>
      </c>
      <c r="B317" s="249" t="s">
        <v>3520</v>
      </c>
      <c r="C317" s="90" t="s">
        <v>203</v>
      </c>
      <c r="D317" s="235"/>
      <c r="E317" s="235"/>
      <c r="F317" s="90"/>
      <c r="G317" s="119"/>
      <c r="H317" s="90"/>
      <c r="I317" s="90" t="s">
        <v>3862</v>
      </c>
      <c r="J317" s="90" t="s">
        <v>503</v>
      </c>
      <c r="K317" s="232">
        <v>45566</v>
      </c>
      <c r="L317" s="233" t="s">
        <v>504</v>
      </c>
      <c r="M317" s="90"/>
      <c r="N317" s="55" t="str">
        <f>Table26[[#This Row],[po_number]]&amp;"-"&amp;Table26[[#This Row],[po_line]]</f>
        <v>-3</v>
      </c>
      <c r="O317" s="55">
        <v>3</v>
      </c>
      <c r="P317" s="234"/>
      <c r="Q317" s="90" t="s">
        <v>1860</v>
      </c>
      <c r="R317" s="90" t="s">
        <v>3830</v>
      </c>
      <c r="S317" s="90" t="s">
        <v>56</v>
      </c>
      <c r="T317" s="20">
        <v>45560</v>
      </c>
      <c r="U317" s="236">
        <f>8+12</f>
        <v>20</v>
      </c>
      <c r="V317" s="90">
        <v>12</v>
      </c>
      <c r="W317" s="237">
        <f t="shared" si="8"/>
        <v>1.6666666666666667</v>
      </c>
      <c r="X317" s="90" t="str">
        <f t="shared" si="9"/>
        <v/>
      </c>
      <c r="Y317" s="90"/>
      <c r="Z317" s="60"/>
      <c r="AA317" s="18" t="str" cm="1">
        <f t="array" ref="AA317">IF(P317="", "", _xlfn.XLOOKUP(P317,#REF!,#REF!,NA,0,-1))</f>
        <v/>
      </c>
      <c r="AB317" s="90"/>
      <c r="AC317" s="55" t="s">
        <v>3988</v>
      </c>
      <c r="AD317" s="55" t="str">
        <f>IF($AC317="","",_xlfn.XLOOKUP($AC317,'[2]Client Info'!$C$2:$C$2535,'[2]Client Info'!$D$2:$D$2535))</f>
        <v>491B Island Hwy E</v>
      </c>
      <c r="AE317" s="55" t="str">
        <f>IF($AC317="","",_xlfn.XLOOKUP($AC317,'[2]Client Info'!$C$2:$C$2715,'[2]Client Info'!$E$2:$E$2715))</f>
        <v>Parksville</v>
      </c>
      <c r="AF317" s="55" t="str">
        <f>IF($AC317="","",_xlfn.XLOOKUP($AC317,'[2]Client Info'!$C$2:$C$2715,'[2]Client Info'!$F$2:$F$2715))</f>
        <v xml:space="preserve">BC </v>
      </c>
      <c r="AG317" s="55" t="s">
        <v>3988</v>
      </c>
      <c r="AH317" s="245">
        <f>276/12</f>
        <v>23</v>
      </c>
      <c r="AI317" s="43" t="str">
        <f>_xlfn.XLOOKUP(Table26[[#This Row],[customerSKU]],customerSKU!G:G,customerSKU!O:O,"not found",0,1)</f>
        <v>not found</v>
      </c>
      <c r="AJ317" s="53">
        <f>Table26[[#This Row],[unitprice]]*Table26[[#This Row],[quantity_unit]]</f>
        <v>460</v>
      </c>
      <c r="AK317" s="53" cm="1">
        <f t="array" ref="AK3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483</v>
      </c>
    </row>
    <row r="318" spans="1:37" ht="18" customHeight="1">
      <c r="A318" s="42">
        <v>1919</v>
      </c>
      <c r="B318" s="249" t="s">
        <v>3520</v>
      </c>
      <c r="C318" s="90" t="s">
        <v>203</v>
      </c>
      <c r="D318" s="235"/>
      <c r="E318" s="235"/>
      <c r="F318" s="90"/>
      <c r="G318" s="119"/>
      <c r="H318" s="90"/>
      <c r="I318" s="90" t="s">
        <v>3862</v>
      </c>
      <c r="J318" s="90" t="s">
        <v>503</v>
      </c>
      <c r="K318" s="232">
        <v>45566</v>
      </c>
      <c r="L318" s="233" t="s">
        <v>504</v>
      </c>
      <c r="M318" s="90"/>
      <c r="N318" s="55" t="str">
        <f>Table26[[#This Row],[po_number]]&amp;"-"&amp;Table26[[#This Row],[po_line]]</f>
        <v>-4</v>
      </c>
      <c r="O318" s="55">
        <v>4</v>
      </c>
      <c r="P318" s="234"/>
      <c r="Q318" s="90" t="s">
        <v>3885</v>
      </c>
      <c r="R318" s="90" t="s">
        <v>3830</v>
      </c>
      <c r="S318" s="90" t="s">
        <v>56</v>
      </c>
      <c r="T318" s="20">
        <v>45560</v>
      </c>
      <c r="U318" s="236">
        <v>36</v>
      </c>
      <c r="V318" s="90">
        <v>12</v>
      </c>
      <c r="W318" s="237">
        <f t="shared" si="8"/>
        <v>3</v>
      </c>
      <c r="X318" s="90" t="str">
        <f t="shared" si="9"/>
        <v/>
      </c>
      <c r="Y318" s="90"/>
      <c r="Z318" s="60"/>
      <c r="AA318" s="18" t="str" cm="1">
        <f t="array" ref="AA318">IF(P318="", "", _xlfn.XLOOKUP(P318,#REF!,#REF!,NA,0,-1))</f>
        <v/>
      </c>
      <c r="AB318" s="90"/>
      <c r="AC318" s="55" t="s">
        <v>3988</v>
      </c>
      <c r="AD318" s="55" t="str">
        <f>IF($AC318="","",_xlfn.XLOOKUP($AC318,'[2]Client Info'!$C$2:$C$2535,'[2]Client Info'!$D$2:$D$2535))</f>
        <v>491B Island Hwy E</v>
      </c>
      <c r="AE318" s="55" t="str">
        <f>IF($AC318="","",_xlfn.XLOOKUP($AC318,'[2]Client Info'!$C$2:$C$2715,'[2]Client Info'!$E$2:$E$2715))</f>
        <v>Parksville</v>
      </c>
      <c r="AF318" s="55" t="str">
        <f>IF($AC318="","",_xlfn.XLOOKUP($AC318,'[2]Client Info'!$C$2:$C$2715,'[2]Client Info'!$F$2:$F$2715))</f>
        <v xml:space="preserve">BC </v>
      </c>
      <c r="AG318" s="55" t="s">
        <v>3988</v>
      </c>
      <c r="AH318" s="245">
        <f>276/12</f>
        <v>23</v>
      </c>
      <c r="AI318" s="43" t="str">
        <f>_xlfn.XLOOKUP(Table26[[#This Row],[customerSKU]],customerSKU!G:G,customerSKU!O:O,"not found",0,1)</f>
        <v>not found</v>
      </c>
      <c r="AJ318" s="53">
        <f>Table26[[#This Row],[unitprice]]*Table26[[#This Row],[quantity_unit]]</f>
        <v>828</v>
      </c>
      <c r="AK318" s="53" cm="1">
        <f t="array" ref="AK3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869.40000000000009</v>
      </c>
    </row>
    <row r="319" spans="1:37" ht="18" customHeight="1">
      <c r="A319" s="42">
        <v>1920</v>
      </c>
      <c r="B319" s="249" t="s">
        <v>3520</v>
      </c>
      <c r="C319" s="90" t="s">
        <v>203</v>
      </c>
      <c r="D319" s="235"/>
      <c r="E319" s="235"/>
      <c r="F319" s="90"/>
      <c r="G319" s="119"/>
      <c r="H319" s="90"/>
      <c r="I319" s="90" t="s">
        <v>3862</v>
      </c>
      <c r="J319" s="90" t="s">
        <v>503</v>
      </c>
      <c r="K319" s="232">
        <v>45566</v>
      </c>
      <c r="L319" s="233" t="s">
        <v>504</v>
      </c>
      <c r="M319" s="90"/>
      <c r="N319" s="55" t="str">
        <f>Table26[[#This Row],[po_number]]&amp;"-"&amp;Table26[[#This Row],[po_line]]</f>
        <v>-5</v>
      </c>
      <c r="O319" s="55">
        <v>5</v>
      </c>
      <c r="P319" s="234"/>
      <c r="Q319" s="90" t="s">
        <v>2100</v>
      </c>
      <c r="R319" s="90" t="s">
        <v>3830</v>
      </c>
      <c r="S319" s="90" t="s">
        <v>56</v>
      </c>
      <c r="T319" s="20">
        <v>45560</v>
      </c>
      <c r="U319" s="236">
        <v>36</v>
      </c>
      <c r="V319" s="90">
        <v>12</v>
      </c>
      <c r="W319" s="237">
        <f t="shared" si="8"/>
        <v>3</v>
      </c>
      <c r="X319" s="90" t="str">
        <f t="shared" si="9"/>
        <v/>
      </c>
      <c r="Y319" s="90"/>
      <c r="Z319" s="60"/>
      <c r="AA319" s="18" t="str" cm="1">
        <f t="array" ref="AA319">IF(P319="", "", _xlfn.XLOOKUP(P319,#REF!,#REF!,NA,0,-1))</f>
        <v/>
      </c>
      <c r="AB319" s="90"/>
      <c r="AC319" s="55" t="s">
        <v>3988</v>
      </c>
      <c r="AD319" s="55" t="str">
        <f>IF($AC319="","",_xlfn.XLOOKUP($AC319,'[2]Client Info'!$C$2:$C$2535,'[2]Client Info'!$D$2:$D$2535))</f>
        <v>491B Island Hwy E</v>
      </c>
      <c r="AE319" s="55" t="str">
        <f>IF($AC319="","",_xlfn.XLOOKUP($AC319,'[2]Client Info'!$C$2:$C$2715,'[2]Client Info'!$E$2:$E$2715))</f>
        <v>Parksville</v>
      </c>
      <c r="AF319" s="55" t="str">
        <f>IF($AC319="","",_xlfn.XLOOKUP($AC319,'[2]Client Info'!$C$2:$C$2715,'[2]Client Info'!$F$2:$F$2715))</f>
        <v xml:space="preserve">BC </v>
      </c>
      <c r="AG319" s="55" t="s">
        <v>3988</v>
      </c>
      <c r="AH319" s="245">
        <f>234.48/12</f>
        <v>19.54</v>
      </c>
      <c r="AI319" s="43" t="str">
        <f>_xlfn.XLOOKUP(Table26[[#This Row],[customerSKU]],customerSKU!G:G,customerSKU!O:O,"not found",0,1)</f>
        <v>not found</v>
      </c>
      <c r="AJ319" s="53">
        <f>Table26[[#This Row],[unitprice]]*Table26[[#This Row],[quantity_unit]]</f>
        <v>703.43999999999994</v>
      </c>
      <c r="AK319" s="53" cm="1">
        <f t="array" ref="AK3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738.61199999999997</v>
      </c>
    </row>
    <row r="320" spans="1:37" ht="18" customHeight="1">
      <c r="A320" s="42">
        <v>1921</v>
      </c>
      <c r="B320" s="249" t="s">
        <v>3520</v>
      </c>
      <c r="C320" s="90" t="s">
        <v>203</v>
      </c>
      <c r="D320" s="235"/>
      <c r="E320" s="235"/>
      <c r="F320" s="90"/>
      <c r="G320" s="119"/>
      <c r="H320" s="90"/>
      <c r="I320" s="90" t="s">
        <v>3862</v>
      </c>
      <c r="J320" s="90" t="s">
        <v>503</v>
      </c>
      <c r="K320" s="232">
        <v>45566</v>
      </c>
      <c r="L320" s="233" t="s">
        <v>504</v>
      </c>
      <c r="M320" s="90"/>
      <c r="N320" s="55" t="str">
        <f>Table26[[#This Row],[po_number]]&amp;"-"&amp;Table26[[#This Row],[po_line]]</f>
        <v>-1</v>
      </c>
      <c r="O320" s="55">
        <v>1</v>
      </c>
      <c r="P320" s="234"/>
      <c r="Q320" s="90" t="s">
        <v>1314</v>
      </c>
      <c r="R320" s="90" t="s">
        <v>3830</v>
      </c>
      <c r="S320" s="90" t="s">
        <v>13</v>
      </c>
      <c r="T320" s="20">
        <v>45503</v>
      </c>
      <c r="U320" s="236">
        <f>12*8</f>
        <v>96</v>
      </c>
      <c r="V320" s="90">
        <v>12</v>
      </c>
      <c r="W320" s="237">
        <f t="shared" si="8"/>
        <v>8</v>
      </c>
      <c r="X320" s="90" t="str">
        <f t="shared" si="9"/>
        <v/>
      </c>
      <c r="Y320" s="90"/>
      <c r="Z320" s="60"/>
      <c r="AA320" s="18" t="str" cm="1">
        <f t="array" ref="AA320">IF(P320="", "", _xlfn.XLOOKUP(P320,#REF!,#REF!,NA,0,-1))</f>
        <v/>
      </c>
      <c r="AB320" s="90"/>
      <c r="AC320" s="55" t="s">
        <v>3989</v>
      </c>
      <c r="AD320" s="55" t="str">
        <f>IF($AC320="","",_xlfn.XLOOKUP($AC320,'[2]Client Info'!$C$2:$C$2535,'[2]Client Info'!$D$2:$D$2535))</f>
        <v>3055A SCOTT ST</v>
      </c>
      <c r="AE320" s="55" t="str">
        <f>IF($AC320="","",_xlfn.XLOOKUP($AC320,'[2]Client Info'!$C$2:$C$2715,'[2]Client Info'!$E$2:$E$2715))</f>
        <v>Victoria</v>
      </c>
      <c r="AF320" s="55" t="str">
        <f>IF($AC320="","",_xlfn.XLOOKUP($AC320,'[2]Client Info'!$C$2:$C$2715,'[2]Client Info'!$F$2:$F$2715))</f>
        <v>BC</v>
      </c>
      <c r="AG320" s="55" t="s">
        <v>3989</v>
      </c>
      <c r="AH320" s="245" t="str">
        <f>_xlfn.XLOOKUP(Table26[[#This Row],[customerSKU]],customerSKU!G:G,customerSKU!K:K,"NA",0,1)</f>
        <v>NA</v>
      </c>
      <c r="AI320" s="43" t="str">
        <f>_xlfn.XLOOKUP(Table26[[#This Row],[customerSKU]],customerSKU!G:G,customerSKU!O:O,"not found",0,1)</f>
        <v>not found</v>
      </c>
      <c r="AJ320" s="53" t="e">
        <f>Table26[[#This Row],[unitprice]]*Table26[[#This Row],[quantity_unit]]</f>
        <v>#VALUE!</v>
      </c>
      <c r="AK320" s="53" t="e" cm="1">
        <f t="array" ref="AK3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21" spans="1:37" ht="18" customHeight="1">
      <c r="A321" s="42">
        <v>1922</v>
      </c>
      <c r="B321" s="249" t="s">
        <v>3520</v>
      </c>
      <c r="C321" s="90" t="s">
        <v>203</v>
      </c>
      <c r="D321" s="235"/>
      <c r="E321" s="235"/>
      <c r="F321" s="90"/>
      <c r="G321" s="119"/>
      <c r="H321" s="90"/>
      <c r="I321" s="90" t="s">
        <v>3862</v>
      </c>
      <c r="J321" s="90" t="s">
        <v>503</v>
      </c>
      <c r="K321" s="232">
        <v>45566</v>
      </c>
      <c r="L321" s="233" t="s">
        <v>504</v>
      </c>
      <c r="M321" s="90"/>
      <c r="N321" s="55" t="str">
        <f>Table26[[#This Row],[po_number]]&amp;"-"&amp;Table26[[#This Row],[po_line]]</f>
        <v>-2</v>
      </c>
      <c r="O321" s="55">
        <v>2</v>
      </c>
      <c r="P321" s="234"/>
      <c r="Q321" s="90" t="s">
        <v>2112</v>
      </c>
      <c r="R321" s="90" t="s">
        <v>3830</v>
      </c>
      <c r="S321" s="90" t="s">
        <v>13</v>
      </c>
      <c r="T321" s="20">
        <v>45550</v>
      </c>
      <c r="U321" s="236">
        <f>12*8</f>
        <v>96</v>
      </c>
      <c r="V321" s="90">
        <v>12</v>
      </c>
      <c r="W321" s="237">
        <f t="shared" si="8"/>
        <v>8</v>
      </c>
      <c r="X321" s="90" t="str">
        <f t="shared" si="9"/>
        <v/>
      </c>
      <c r="Y321" s="90"/>
      <c r="Z321" s="60"/>
      <c r="AA321" s="18" t="str" cm="1">
        <f t="array" ref="AA321">IF(P321="", "", _xlfn.XLOOKUP(P321,#REF!,#REF!,NA,0,-1))</f>
        <v/>
      </c>
      <c r="AB321" s="90"/>
      <c r="AC321" s="55" t="s">
        <v>3989</v>
      </c>
      <c r="AD321" s="55" t="str">
        <f>IF($AC321="","",_xlfn.XLOOKUP($AC321,'[2]Client Info'!$C$2:$C$2535,'[2]Client Info'!$D$2:$D$2535))</f>
        <v>3055A SCOTT ST</v>
      </c>
      <c r="AE321" s="55" t="str">
        <f>IF($AC321="","",_xlfn.XLOOKUP($AC321,'[2]Client Info'!$C$2:$C$2715,'[2]Client Info'!$E$2:$E$2715))</f>
        <v>Victoria</v>
      </c>
      <c r="AF321" s="55" t="str">
        <f>IF($AC321="","",_xlfn.XLOOKUP($AC321,'[2]Client Info'!$C$2:$C$2715,'[2]Client Info'!$F$2:$F$2715))</f>
        <v>BC</v>
      </c>
      <c r="AG321" s="55" t="s">
        <v>3989</v>
      </c>
      <c r="AH321" s="245" t="str">
        <f>_xlfn.XLOOKUP(Table26[[#This Row],[customerSKU]],customerSKU!G:G,customerSKU!K:K,"NA",0,1)</f>
        <v>NA</v>
      </c>
      <c r="AI321" s="43" t="str">
        <f>_xlfn.XLOOKUP(Table26[[#This Row],[customerSKU]],customerSKU!G:G,customerSKU!O:O,"not found",0,1)</f>
        <v>not found</v>
      </c>
      <c r="AJ321" s="53" t="e">
        <f>Table26[[#This Row],[unitprice]]*Table26[[#This Row],[quantity_unit]]</f>
        <v>#VALUE!</v>
      </c>
      <c r="AK321" s="53" t="e" cm="1">
        <f t="array" ref="AK3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22" spans="1:37" ht="18" customHeight="1">
      <c r="A322" s="42">
        <v>1923</v>
      </c>
      <c r="B322" s="58" t="s">
        <v>3520</v>
      </c>
      <c r="C322" s="53" t="s">
        <v>203</v>
      </c>
      <c r="D322" s="51">
        <v>45565</v>
      </c>
      <c r="E322" s="51"/>
      <c r="F322" s="53" t="s">
        <v>4059</v>
      </c>
      <c r="G322" s="46"/>
      <c r="H322" s="53"/>
      <c r="I322" s="53" t="s">
        <v>3862</v>
      </c>
      <c r="J322" s="53" t="s">
        <v>22</v>
      </c>
      <c r="K322" s="48">
        <v>45566</v>
      </c>
      <c r="L322" s="49" t="s">
        <v>490</v>
      </c>
      <c r="M322" s="53"/>
      <c r="N322" s="77" t="str">
        <f>Table26[[#This Row],[po_number]]&amp;"-"&amp;Table26[[#This Row],[po_line]]</f>
        <v>-1</v>
      </c>
      <c r="O322" s="77">
        <v>1</v>
      </c>
      <c r="P322" s="50"/>
      <c r="Q322" s="53" t="s">
        <v>1860</v>
      </c>
      <c r="R322" s="53" t="s">
        <v>532</v>
      </c>
      <c r="S322" s="53" t="s">
        <v>3950</v>
      </c>
      <c r="T322" s="20">
        <v>45560</v>
      </c>
      <c r="U322" s="52">
        <v>900</v>
      </c>
      <c r="V322" s="53">
        <v>12</v>
      </c>
      <c r="W322" s="116">
        <f t="shared" ref="W322:W372" si="10">IFERROR(U322/V322, "")</f>
        <v>75</v>
      </c>
      <c r="X322" s="53" t="str">
        <f t="shared" ref="X322:X372" si="11">IFERROR($AA322*$U322, "")</f>
        <v/>
      </c>
      <c r="Y322" s="53" t="str">
        <f>IF(Table26[[#This Row],[customerSKU]]="","",_xlfn.XLOOKUP(Table26[[#This Row],[customerSKU]],Table27[customer_SKU],Table27[product_GTIN],"",0,1))</f>
        <v/>
      </c>
      <c r="Z322" s="90" t="s">
        <v>4060</v>
      </c>
      <c r="AA322" s="18" t="str" cm="1">
        <f t="array" ref="AA322">IF(P322="", "", _xlfn.XLOOKUP(P322,#REF!,#REF!,NA,0,-1))</f>
        <v/>
      </c>
      <c r="AB322" s="47"/>
      <c r="AC322" s="55" t="s">
        <v>22</v>
      </c>
      <c r="AD322" s="55" t="str">
        <f>IF($AC322="","",_xlfn.XLOOKUP($AC322,'[2]Client Info'!$C$2:$C$2535,'[2]Client Info'!$D$2:$D$2535))</f>
        <v>12622-184 Street NW</v>
      </c>
      <c r="AE322" s="55" t="str">
        <f>IF($AC322="","",_xlfn.XLOOKUP($AC322,'[2]Client Info'!$C$2:$C$2715,'[2]Client Info'!$E$2:$E$2715))</f>
        <v>Edmonton</v>
      </c>
      <c r="AF322" s="55" t="str">
        <f>IF($AC322="","",_xlfn.XLOOKUP($AC322,'[2]Client Info'!$C$2:$C$2715,'[2]Client Info'!$F$2:$F$2715))</f>
        <v>AB</v>
      </c>
      <c r="AG322" s="55" t="s">
        <v>22</v>
      </c>
      <c r="AH322" s="62">
        <v>23.49</v>
      </c>
      <c r="AI322" s="43" t="str">
        <f>_xlfn.XLOOKUP(Table26[[#This Row],[customerSKU]],customerSKU!G:G,customerSKU!O:O,"not found",0,1)</f>
        <v>not found</v>
      </c>
      <c r="AJ322" s="53">
        <f>Table26[[#This Row],[unitprice]]*Table26[[#This Row],[quantity_unit]]</f>
        <v>21141</v>
      </c>
      <c r="AK322" s="53" t="e" cm="1">
        <f t="array" ref="AK3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23" spans="1:37" ht="18" customHeight="1">
      <c r="A323" s="42">
        <v>1924</v>
      </c>
      <c r="B323" s="58" t="s">
        <v>3520</v>
      </c>
      <c r="C323" s="53" t="s">
        <v>203</v>
      </c>
      <c r="D323" s="51">
        <v>45565</v>
      </c>
      <c r="E323" s="51"/>
      <c r="F323" s="53" t="s">
        <v>4059</v>
      </c>
      <c r="G323" s="46"/>
      <c r="H323" s="53"/>
      <c r="I323" s="53" t="s">
        <v>3862</v>
      </c>
      <c r="J323" s="53" t="s">
        <v>22</v>
      </c>
      <c r="K323" s="48">
        <v>45566</v>
      </c>
      <c r="L323" s="49" t="s">
        <v>490</v>
      </c>
      <c r="M323" s="53"/>
      <c r="N323" s="77" t="str">
        <f>Table26[[#This Row],[po_number]]&amp;"-"&amp;Table26[[#This Row],[po_line]]</f>
        <v>-2</v>
      </c>
      <c r="O323" s="77">
        <v>2</v>
      </c>
      <c r="P323" s="50"/>
      <c r="Q323" s="53" t="s">
        <v>2100</v>
      </c>
      <c r="R323" s="53" t="s">
        <v>532</v>
      </c>
      <c r="S323" s="53" t="s">
        <v>3950</v>
      </c>
      <c r="T323" s="20">
        <v>45555</v>
      </c>
      <c r="U323" s="52">
        <f>31*12</f>
        <v>372</v>
      </c>
      <c r="V323" s="53">
        <v>12</v>
      </c>
      <c r="W323" s="116">
        <f t="shared" si="10"/>
        <v>31</v>
      </c>
      <c r="X323" s="53" t="str">
        <f t="shared" si="11"/>
        <v/>
      </c>
      <c r="Y323" s="53" t="str">
        <f>IF(Table26[[#This Row],[customerSKU]]="","",_xlfn.XLOOKUP(Table26[[#This Row],[customerSKU]],Table27[customer_SKU],Table27[product_GTIN],"",0,1))</f>
        <v/>
      </c>
      <c r="Z323" s="90" t="s">
        <v>4061</v>
      </c>
      <c r="AA323" s="18" t="str" cm="1">
        <f t="array" ref="AA323">IF(P323="", "", _xlfn.XLOOKUP(P323,#REF!,#REF!,NA,0,-1))</f>
        <v/>
      </c>
      <c r="AB323" s="47"/>
      <c r="AC323" s="55" t="s">
        <v>22</v>
      </c>
      <c r="AD323" s="55" t="str">
        <f>IF($AC323="","",_xlfn.XLOOKUP($AC323,'[2]Client Info'!$C$2:$C$2535,'[2]Client Info'!$D$2:$D$2535))</f>
        <v>12622-184 Street NW</v>
      </c>
      <c r="AE323" s="55" t="str">
        <f>IF($AC323="","",_xlfn.XLOOKUP($AC323,'[2]Client Info'!$C$2:$C$2715,'[2]Client Info'!$E$2:$E$2715))</f>
        <v>Edmonton</v>
      </c>
      <c r="AF323" s="55" t="str">
        <f>IF($AC323="","",_xlfn.XLOOKUP($AC323,'[2]Client Info'!$C$2:$C$2715,'[2]Client Info'!$F$2:$F$2715))</f>
        <v>AB</v>
      </c>
      <c r="AG323" s="55" t="s">
        <v>22</v>
      </c>
      <c r="AH323" s="62">
        <v>18.989999999999998</v>
      </c>
      <c r="AI323" s="43" t="str">
        <f>_xlfn.XLOOKUP(Table26[[#This Row],[customerSKU]],customerSKU!G:G,customerSKU!O:O,"not found",0,1)</f>
        <v>not found</v>
      </c>
      <c r="AJ323" s="53">
        <f>Table26[[#This Row],[unitprice]]*Table26[[#This Row],[quantity_unit]]</f>
        <v>7064.28</v>
      </c>
      <c r="AK323" s="53" t="e" cm="1">
        <f t="array" ref="AK3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24" spans="1:37" ht="18" customHeight="1">
      <c r="A324" s="42">
        <v>1925</v>
      </c>
      <c r="B324" s="58" t="s">
        <v>3520</v>
      </c>
      <c r="C324" s="53" t="s">
        <v>203</v>
      </c>
      <c r="D324" s="51">
        <v>45565</v>
      </c>
      <c r="E324" s="51"/>
      <c r="F324" s="53" t="s">
        <v>4059</v>
      </c>
      <c r="G324" s="46"/>
      <c r="H324" s="53"/>
      <c r="I324" s="53" t="s">
        <v>3862</v>
      </c>
      <c r="J324" s="53" t="s">
        <v>22</v>
      </c>
      <c r="K324" s="48">
        <v>45566</v>
      </c>
      <c r="L324" s="49" t="s">
        <v>490</v>
      </c>
      <c r="M324" s="53"/>
      <c r="N324" s="77" t="str">
        <f>Table26[[#This Row],[po_number]]&amp;"-"&amp;Table26[[#This Row],[po_line]]</f>
        <v>-3</v>
      </c>
      <c r="O324" s="77">
        <v>3</v>
      </c>
      <c r="P324" s="50"/>
      <c r="Q324" s="53" t="s">
        <v>2100</v>
      </c>
      <c r="R324" s="53" t="s">
        <v>532</v>
      </c>
      <c r="S324" s="53" t="s">
        <v>3950</v>
      </c>
      <c r="T324" s="20">
        <v>45560</v>
      </c>
      <c r="U324" s="52">
        <f>44*12</f>
        <v>528</v>
      </c>
      <c r="V324" s="53">
        <v>12</v>
      </c>
      <c r="W324" s="116">
        <f t="shared" si="10"/>
        <v>44</v>
      </c>
      <c r="X324" s="53" t="str">
        <f t="shared" si="11"/>
        <v/>
      </c>
      <c r="Y324" s="53" t="str">
        <f>IF(Table26[[#This Row],[customerSKU]]="","",_xlfn.XLOOKUP(Table26[[#This Row],[customerSKU]],Table27[customer_SKU],Table27[product_GTIN],"",0,1))</f>
        <v/>
      </c>
      <c r="Z324" s="90" t="s">
        <v>4061</v>
      </c>
      <c r="AA324" s="18" t="str" cm="1">
        <f t="array" ref="AA324">IF(P324="", "", _xlfn.XLOOKUP(P324,#REF!,#REF!,NA,0,-1))</f>
        <v/>
      </c>
      <c r="AB324" s="47"/>
      <c r="AC324" s="55" t="s">
        <v>22</v>
      </c>
      <c r="AD324" s="55" t="str">
        <f>IF($AC324="","",_xlfn.XLOOKUP($AC324,'[2]Client Info'!$C$2:$C$2535,'[2]Client Info'!$D$2:$D$2535))</f>
        <v>12622-184 Street NW</v>
      </c>
      <c r="AE324" s="55" t="str">
        <f>IF($AC324="","",_xlfn.XLOOKUP($AC324,'[2]Client Info'!$C$2:$C$2715,'[2]Client Info'!$E$2:$E$2715))</f>
        <v>Edmonton</v>
      </c>
      <c r="AF324" s="55" t="str">
        <f>IF($AC324="","",_xlfn.XLOOKUP($AC324,'[2]Client Info'!$C$2:$C$2715,'[2]Client Info'!$F$2:$F$2715))</f>
        <v>AB</v>
      </c>
      <c r="AG324" s="55" t="s">
        <v>22</v>
      </c>
      <c r="AH324" s="62">
        <v>18.989999999999998</v>
      </c>
      <c r="AI324" s="43" t="str">
        <f>_xlfn.XLOOKUP(Table26[[#This Row],[customerSKU]],customerSKU!G:G,customerSKU!O:O,"not found",0,1)</f>
        <v>not found</v>
      </c>
      <c r="AJ324" s="53">
        <f>Table26[[#This Row],[unitprice]]*Table26[[#This Row],[quantity_unit]]</f>
        <v>10026.719999999999</v>
      </c>
      <c r="AK324" s="53" t="e" cm="1">
        <f t="array" ref="AK3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25" spans="1:37" ht="18" customHeight="1">
      <c r="A325" s="42">
        <v>1926</v>
      </c>
      <c r="B325" s="58" t="s">
        <v>3520</v>
      </c>
      <c r="C325" s="53" t="s">
        <v>203</v>
      </c>
      <c r="D325" s="51">
        <v>45565</v>
      </c>
      <c r="E325" s="51"/>
      <c r="F325" s="53" t="s">
        <v>4059</v>
      </c>
      <c r="G325" s="46"/>
      <c r="H325" s="53"/>
      <c r="I325" s="53" t="s">
        <v>3862</v>
      </c>
      <c r="J325" s="53" t="s">
        <v>22</v>
      </c>
      <c r="K325" s="48">
        <v>45566</v>
      </c>
      <c r="L325" s="49" t="s">
        <v>490</v>
      </c>
      <c r="M325" s="53"/>
      <c r="N325" s="77" t="str">
        <f>Table26[[#This Row],[po_number]]&amp;"-"&amp;Table26[[#This Row],[po_line]]</f>
        <v>-4</v>
      </c>
      <c r="O325" s="77">
        <v>4</v>
      </c>
      <c r="P325" s="50"/>
      <c r="Q325" s="53" t="s">
        <v>2094</v>
      </c>
      <c r="R325" s="53" t="s">
        <v>532</v>
      </c>
      <c r="S325" s="53" t="s">
        <v>3950</v>
      </c>
      <c r="T325" s="20">
        <v>45555</v>
      </c>
      <c r="U325" s="52">
        <f>32*12</f>
        <v>384</v>
      </c>
      <c r="V325" s="53">
        <v>12</v>
      </c>
      <c r="W325" s="116">
        <f t="shared" si="10"/>
        <v>32</v>
      </c>
      <c r="X325" s="53" t="str">
        <f t="shared" si="11"/>
        <v/>
      </c>
      <c r="Y325" s="53" t="str">
        <f>IF(Table26[[#This Row],[customerSKU]]="","",_xlfn.XLOOKUP(Table26[[#This Row],[customerSKU]],Table27[customer_SKU],Table27[product_GTIN],"",0,1))</f>
        <v/>
      </c>
      <c r="Z325" s="90" t="s">
        <v>4062</v>
      </c>
      <c r="AA325" s="18" t="str" cm="1">
        <f t="array" ref="AA325">IF(P325="", "", _xlfn.XLOOKUP(P325,#REF!,#REF!,NA,0,-1))</f>
        <v/>
      </c>
      <c r="AB325" s="47"/>
      <c r="AC325" s="55" t="s">
        <v>22</v>
      </c>
      <c r="AD325" s="55" t="str">
        <f>IF($AC325="","",_xlfn.XLOOKUP($AC325,'[2]Client Info'!$C$2:$C$2535,'[2]Client Info'!$D$2:$D$2535))</f>
        <v>12622-184 Street NW</v>
      </c>
      <c r="AE325" s="55" t="str">
        <f>IF($AC325="","",_xlfn.XLOOKUP($AC325,'[2]Client Info'!$C$2:$C$2715,'[2]Client Info'!$E$2:$E$2715))</f>
        <v>Edmonton</v>
      </c>
      <c r="AF325" s="55" t="str">
        <f>IF($AC325="","",_xlfn.XLOOKUP($AC325,'[2]Client Info'!$C$2:$C$2715,'[2]Client Info'!$F$2:$F$2715))</f>
        <v>AB</v>
      </c>
      <c r="AG325" s="55" t="s">
        <v>22</v>
      </c>
      <c r="AH325" s="62">
        <v>18.989999999999998</v>
      </c>
      <c r="AI325" s="43" t="str">
        <f>_xlfn.XLOOKUP(Table26[[#This Row],[customerSKU]],customerSKU!G:G,customerSKU!O:O,"not found",0,1)</f>
        <v>not found</v>
      </c>
      <c r="AJ325" s="53">
        <f>Table26[[#This Row],[unitprice]]*Table26[[#This Row],[quantity_unit]]</f>
        <v>7292.16</v>
      </c>
      <c r="AK325" s="53" t="e" cm="1">
        <f t="array" ref="AK3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26" spans="1:37" ht="18" customHeight="1">
      <c r="A326" s="42">
        <v>1927</v>
      </c>
      <c r="B326" s="58" t="s">
        <v>3520</v>
      </c>
      <c r="C326" s="53" t="s">
        <v>203</v>
      </c>
      <c r="D326" s="51">
        <v>45565</v>
      </c>
      <c r="E326" s="51"/>
      <c r="F326" s="53" t="s">
        <v>4059</v>
      </c>
      <c r="G326" s="46"/>
      <c r="H326" s="53"/>
      <c r="I326" s="53" t="s">
        <v>3862</v>
      </c>
      <c r="J326" s="53" t="s">
        <v>22</v>
      </c>
      <c r="K326" s="48">
        <v>45566</v>
      </c>
      <c r="L326" s="49" t="s">
        <v>490</v>
      </c>
      <c r="M326" s="53"/>
      <c r="N326" s="77" t="str">
        <f>Table26[[#This Row],[po_number]]&amp;"-"&amp;Table26[[#This Row],[po_line]]</f>
        <v>-5</v>
      </c>
      <c r="O326" s="77">
        <v>5</v>
      </c>
      <c r="P326" s="50"/>
      <c r="Q326" s="53" t="s">
        <v>2094</v>
      </c>
      <c r="R326" s="53" t="s">
        <v>532</v>
      </c>
      <c r="S326" s="53" t="s">
        <v>3950</v>
      </c>
      <c r="T326" s="20">
        <v>45560</v>
      </c>
      <c r="U326" s="52">
        <f>43*12</f>
        <v>516</v>
      </c>
      <c r="V326" s="53">
        <v>12</v>
      </c>
      <c r="W326" s="116">
        <f t="shared" si="10"/>
        <v>43</v>
      </c>
      <c r="X326" s="53" t="str">
        <f t="shared" si="11"/>
        <v/>
      </c>
      <c r="Y326" s="53" t="str">
        <f>IF(Table26[[#This Row],[customerSKU]]="","",_xlfn.XLOOKUP(Table26[[#This Row],[customerSKU]],Table27[customer_SKU],Table27[product_GTIN],"",0,1))</f>
        <v/>
      </c>
      <c r="Z326" s="90" t="s">
        <v>4062</v>
      </c>
      <c r="AA326" s="18" t="str" cm="1">
        <f t="array" ref="AA326">IF(P326="", "", _xlfn.XLOOKUP(P326,#REF!,#REF!,NA,0,-1))</f>
        <v/>
      </c>
      <c r="AB326" s="47"/>
      <c r="AC326" s="55" t="s">
        <v>22</v>
      </c>
      <c r="AD326" s="55" t="str">
        <f>IF($AC326="","",_xlfn.XLOOKUP($AC326,'[2]Client Info'!$C$2:$C$2535,'[2]Client Info'!$D$2:$D$2535))</f>
        <v>12622-184 Street NW</v>
      </c>
      <c r="AE326" s="55" t="str">
        <f>IF($AC326="","",_xlfn.XLOOKUP($AC326,'[2]Client Info'!$C$2:$C$2715,'[2]Client Info'!$E$2:$E$2715))</f>
        <v>Edmonton</v>
      </c>
      <c r="AF326" s="55" t="str">
        <f>IF($AC326="","",_xlfn.XLOOKUP($AC326,'[2]Client Info'!$C$2:$C$2715,'[2]Client Info'!$F$2:$F$2715))</f>
        <v>AB</v>
      </c>
      <c r="AG326" s="55" t="s">
        <v>22</v>
      </c>
      <c r="AH326" s="62">
        <v>18.989999999999998</v>
      </c>
      <c r="AI326" s="43" t="str">
        <f>_xlfn.XLOOKUP(Table26[[#This Row],[customerSKU]],customerSKU!G:G,customerSKU!O:O,"not found",0,1)</f>
        <v>not found</v>
      </c>
      <c r="AJ326" s="53">
        <f>Table26[[#This Row],[unitprice]]*Table26[[#This Row],[quantity_unit]]</f>
        <v>9798.8399999999983</v>
      </c>
      <c r="AK326" s="53" t="e" cm="1">
        <f t="array" ref="AK3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27" spans="1:37" ht="18" customHeight="1">
      <c r="A327" s="42">
        <v>1928</v>
      </c>
      <c r="B327" s="249" t="s">
        <v>3837</v>
      </c>
      <c r="C327" s="90" t="s">
        <v>203</v>
      </c>
      <c r="D327" s="235"/>
      <c r="E327" s="235"/>
      <c r="F327" s="90"/>
      <c r="G327" s="119"/>
      <c r="H327" s="90"/>
      <c r="I327" s="90" t="s">
        <v>3862</v>
      </c>
      <c r="J327" s="90" t="s">
        <v>503</v>
      </c>
      <c r="K327" s="232">
        <v>45566</v>
      </c>
      <c r="L327" s="233" t="s">
        <v>504</v>
      </c>
      <c r="M327" s="90"/>
      <c r="N327" s="55" t="str">
        <f>Table26[[#This Row],[po_number]]&amp;"-"&amp;Table26[[#This Row],[po_line]]</f>
        <v>-1</v>
      </c>
      <c r="O327" s="55">
        <v>1</v>
      </c>
      <c r="P327" s="234"/>
      <c r="Q327" s="90" t="s">
        <v>971</v>
      </c>
      <c r="R327" s="90" t="s">
        <v>3805</v>
      </c>
      <c r="S327" s="90" t="s">
        <v>56</v>
      </c>
      <c r="T327" s="20">
        <v>45467</v>
      </c>
      <c r="U327" s="236">
        <v>12</v>
      </c>
      <c r="V327" s="90" t="str">
        <f>IF(ISBLANK(Table26[[#This Row],[customerSKU]]),"",_xlfn.XLOOKUP(Table26[[#This Row],[customerSKU]],Table27[customer_SKU],Table27[case_size],"",0,1))</f>
        <v/>
      </c>
      <c r="W327" s="237" t="str">
        <f t="shared" si="10"/>
        <v/>
      </c>
      <c r="X327" s="90" t="str">
        <f t="shared" si="11"/>
        <v/>
      </c>
      <c r="Y327" s="90" t="str">
        <f>IF(Table26[[#This Row],[customerSKU]]="","",_xlfn.XLOOKUP(Table26[[#This Row],[customerSKU]],Table27[customer_SKU],Table27[product_GTIN],"",0,1))</f>
        <v/>
      </c>
      <c r="Z327" s="25" t="s">
        <v>3370</v>
      </c>
      <c r="AA327" s="18" t="str" cm="1">
        <f t="array" ref="AA327">IF(P327="", "", _xlfn.XLOOKUP(P327,#REF!,#REF!,NA,0,-1))</f>
        <v/>
      </c>
      <c r="AB327" s="90"/>
      <c r="AC327" s="55" t="s">
        <v>97</v>
      </c>
      <c r="AD327" s="55" t="str">
        <f>IF($AC327="","",_xlfn.XLOOKUP($AC327,'[2]Client Info'!$C$2:$C$2535,'[2]Client Info'!$D$2:$D$2535))</f>
        <v>11939 240th Street</v>
      </c>
      <c r="AE327" s="55" t="str">
        <f>IF($AC327="","",_xlfn.XLOOKUP($AC327,'[2]Client Info'!$C$2:$C$2715,'[2]Client Info'!$E$2:$E$2715))</f>
        <v>Maple Ridge</v>
      </c>
      <c r="AF327" s="55" t="str">
        <f>IF($AC327="","",_xlfn.XLOOKUP($AC327,'[2]Client Info'!$C$2:$C$2715,'[2]Client Info'!$F$2:$F$2715))</f>
        <v xml:space="preserve">BC </v>
      </c>
      <c r="AG327" s="55" t="s">
        <v>3496</v>
      </c>
      <c r="AH327" s="245" t="str">
        <f>_xlfn.XLOOKUP(Table26[[#This Row],[customerSKU]],customerSKU!H:H,customerSKU!L:L,"NA",0,1)</f>
        <v>NA</v>
      </c>
      <c r="AI327" s="43" t="str">
        <f>_xlfn.XLOOKUP(Table26[[#This Row],[customerSKU]],customerSKU!G:G,customerSKU!O:O,"not found",0,1)</f>
        <v>not found</v>
      </c>
      <c r="AJ327" s="53" t="e">
        <f>Table26[[#This Row],[unitprice]]*Table26[[#This Row],[quantity_unit]]</f>
        <v>#VALUE!</v>
      </c>
      <c r="AK327" s="53" t="e" cm="1">
        <f t="array" ref="AK3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28" spans="1:37" ht="18" customHeight="1">
      <c r="A328" s="42">
        <v>1929</v>
      </c>
      <c r="B328" s="249" t="s">
        <v>3837</v>
      </c>
      <c r="C328" s="90" t="s">
        <v>203</v>
      </c>
      <c r="D328" s="235"/>
      <c r="E328" s="235"/>
      <c r="F328" s="90"/>
      <c r="G328" s="119"/>
      <c r="H328" s="90"/>
      <c r="I328" s="90" t="s">
        <v>3862</v>
      </c>
      <c r="J328" s="90" t="s">
        <v>503</v>
      </c>
      <c r="K328" s="232">
        <v>45566</v>
      </c>
      <c r="L328" s="233" t="s">
        <v>504</v>
      </c>
      <c r="M328" s="90"/>
      <c r="N328" s="55" t="str">
        <f>Table26[[#This Row],[po_number]]&amp;"-"&amp;Table26[[#This Row],[po_line]]</f>
        <v>-2</v>
      </c>
      <c r="O328" s="55">
        <v>2</v>
      </c>
      <c r="P328" s="234"/>
      <c r="Q328" s="90" t="s">
        <v>862</v>
      </c>
      <c r="R328" s="90" t="s">
        <v>3805</v>
      </c>
      <c r="S328" s="90" t="s">
        <v>56</v>
      </c>
      <c r="T328" s="20">
        <v>45488</v>
      </c>
      <c r="U328" s="236">
        <v>12</v>
      </c>
      <c r="V328" s="90" t="str">
        <f>IF(ISBLANK(Table26[[#This Row],[customerSKU]]),"",_xlfn.XLOOKUP(Table26[[#This Row],[customerSKU]],Table27[customer_SKU],Table27[case_size],"",0,1))</f>
        <v/>
      </c>
      <c r="W328" s="237" t="str">
        <f t="shared" si="10"/>
        <v/>
      </c>
      <c r="X328" s="90" t="str">
        <f t="shared" si="11"/>
        <v/>
      </c>
      <c r="Y328" s="90" t="str">
        <f>IF(Table26[[#This Row],[customerSKU]]="","",_xlfn.XLOOKUP(Table26[[#This Row],[customerSKU]],Table27[customer_SKU],Table27[product_GTIN],"",0,1))</f>
        <v/>
      </c>
      <c r="Z328" s="90" t="s">
        <v>4075</v>
      </c>
      <c r="AA328" s="18" t="str" cm="1">
        <f t="array" ref="AA328">IF(P328="", "", _xlfn.XLOOKUP(P328,#REF!,#REF!,NA,0,-1))</f>
        <v/>
      </c>
      <c r="AB328" s="90"/>
      <c r="AC328" s="55" t="s">
        <v>97</v>
      </c>
      <c r="AD328" s="55" t="str">
        <f>IF($AC328="","",_xlfn.XLOOKUP($AC328,'[2]Client Info'!$C$2:$C$2535,'[2]Client Info'!$D$2:$D$2535))</f>
        <v>11939 240th Street</v>
      </c>
      <c r="AE328" s="55" t="str">
        <f>IF($AC328="","",_xlfn.XLOOKUP($AC328,'[2]Client Info'!$C$2:$C$2715,'[2]Client Info'!$E$2:$E$2715))</f>
        <v>Maple Ridge</v>
      </c>
      <c r="AF328" s="55" t="str">
        <f>IF($AC328="","",_xlfn.XLOOKUP($AC328,'[2]Client Info'!$C$2:$C$2715,'[2]Client Info'!$F$2:$F$2715))</f>
        <v xml:space="preserve">BC </v>
      </c>
      <c r="AG328" s="55" t="s">
        <v>3496</v>
      </c>
      <c r="AH328" s="245" t="str">
        <f>_xlfn.XLOOKUP(Table26[[#This Row],[customerSKU]],customerSKU!H:H,customerSKU!L:L,"NA",0,1)</f>
        <v>NA</v>
      </c>
      <c r="AI328" s="43" t="str">
        <f>_xlfn.XLOOKUP(Table26[[#This Row],[customerSKU]],customerSKU!G:G,customerSKU!O:O,"not found",0,1)</f>
        <v>not found</v>
      </c>
      <c r="AJ328" s="53" t="e">
        <f>Table26[[#This Row],[unitprice]]*Table26[[#This Row],[quantity_unit]]</f>
        <v>#VALUE!</v>
      </c>
      <c r="AK328" s="53" t="e" cm="1">
        <f t="array" ref="AK3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29" spans="1:37" ht="18" customHeight="1">
      <c r="A329" s="42">
        <v>1930</v>
      </c>
      <c r="B329" s="249" t="s">
        <v>3837</v>
      </c>
      <c r="C329" s="90" t="s">
        <v>203</v>
      </c>
      <c r="D329" s="235"/>
      <c r="E329" s="235"/>
      <c r="F329" s="90"/>
      <c r="G329" s="119"/>
      <c r="H329" s="90"/>
      <c r="I329" s="90" t="s">
        <v>3862</v>
      </c>
      <c r="J329" s="90" t="s">
        <v>503</v>
      </c>
      <c r="K329" s="232">
        <v>45566</v>
      </c>
      <c r="L329" s="233" t="s">
        <v>504</v>
      </c>
      <c r="M329" s="90"/>
      <c r="N329" s="55" t="str">
        <f>Table26[[#This Row],[po_number]]&amp;"-"&amp;Table26[[#This Row],[po_line]]</f>
        <v>-3</v>
      </c>
      <c r="O329" s="55">
        <v>3</v>
      </c>
      <c r="P329" s="234"/>
      <c r="Q329" s="90" t="s">
        <v>1316</v>
      </c>
      <c r="R329" s="90" t="s">
        <v>3830</v>
      </c>
      <c r="S329" s="90" t="s">
        <v>56</v>
      </c>
      <c r="T329" s="20">
        <v>45491</v>
      </c>
      <c r="U329" s="236">
        <v>12</v>
      </c>
      <c r="V329" s="90" t="str">
        <f>IF(ISBLANK(Table26[[#This Row],[customerSKU]]),"",_xlfn.XLOOKUP(Table26[[#This Row],[customerSKU]],Table27[customer_SKU],Table27[case_size],"",0,1))</f>
        <v/>
      </c>
      <c r="W329" s="237" t="str">
        <f t="shared" si="10"/>
        <v/>
      </c>
      <c r="X329" s="90" t="str">
        <f t="shared" si="11"/>
        <v/>
      </c>
      <c r="Y329" s="90" t="str">
        <f>IF(Table26[[#This Row],[customerSKU]]="","",_xlfn.XLOOKUP(Table26[[#This Row],[customerSKU]],Table27[customer_SKU],Table27[product_GTIN],"",0,1))</f>
        <v/>
      </c>
      <c r="Z329" s="25" t="s">
        <v>3432</v>
      </c>
      <c r="AA329" s="18" t="str" cm="1">
        <f t="array" ref="AA329">IF(P329="", "", _xlfn.XLOOKUP(P329,#REF!,#REF!,NA,0,-1))</f>
        <v/>
      </c>
      <c r="AB329" s="90"/>
      <c r="AC329" s="55" t="s">
        <v>97</v>
      </c>
      <c r="AD329" s="55" t="str">
        <f>IF($AC329="","",_xlfn.XLOOKUP($AC329,'[2]Client Info'!$C$2:$C$2535,'[2]Client Info'!$D$2:$D$2535))</f>
        <v>11939 240th Street</v>
      </c>
      <c r="AE329" s="55" t="str">
        <f>IF($AC329="","",_xlfn.XLOOKUP($AC329,'[2]Client Info'!$C$2:$C$2715,'[2]Client Info'!$E$2:$E$2715))</f>
        <v>Maple Ridge</v>
      </c>
      <c r="AF329" s="55" t="str">
        <f>IF($AC329="","",_xlfn.XLOOKUP($AC329,'[2]Client Info'!$C$2:$C$2715,'[2]Client Info'!$F$2:$F$2715))</f>
        <v xml:space="preserve">BC </v>
      </c>
      <c r="AG329" s="55" t="s">
        <v>3496</v>
      </c>
      <c r="AH329" s="245" t="str">
        <f>_xlfn.XLOOKUP(Table26[[#This Row],[customerSKU]],customerSKU!H:H,customerSKU!L:L,"NA",0,1)</f>
        <v>NA</v>
      </c>
      <c r="AI329" s="43" t="str">
        <f>_xlfn.XLOOKUP(Table26[[#This Row],[customerSKU]],customerSKU!G:G,customerSKU!O:O,"not found",0,1)</f>
        <v>not found</v>
      </c>
      <c r="AJ329" s="53" t="e">
        <f>Table26[[#This Row],[unitprice]]*Table26[[#This Row],[quantity_unit]]</f>
        <v>#VALUE!</v>
      </c>
      <c r="AK329" s="53" t="e" cm="1">
        <f t="array" ref="AK3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0" spans="1:37" ht="18" customHeight="1">
      <c r="A330" s="42">
        <v>1931</v>
      </c>
      <c r="B330" s="249" t="s">
        <v>3837</v>
      </c>
      <c r="C330" s="90" t="s">
        <v>203</v>
      </c>
      <c r="D330" s="235"/>
      <c r="E330" s="235"/>
      <c r="F330" s="90"/>
      <c r="G330" s="119"/>
      <c r="H330" s="90"/>
      <c r="I330" s="90" t="s">
        <v>3862</v>
      </c>
      <c r="J330" s="90" t="s">
        <v>503</v>
      </c>
      <c r="K330" s="232">
        <v>45566</v>
      </c>
      <c r="L330" s="233" t="s">
        <v>504</v>
      </c>
      <c r="M330" s="90"/>
      <c r="N330" s="55" t="str">
        <f>Table26[[#This Row],[po_number]]&amp;"-"&amp;Table26[[#This Row],[po_line]]</f>
        <v>-4</v>
      </c>
      <c r="O330" s="55">
        <v>4</v>
      </c>
      <c r="P330" s="234"/>
      <c r="Q330" s="90" t="s">
        <v>866</v>
      </c>
      <c r="R330" s="90" t="s">
        <v>532</v>
      </c>
      <c r="S330" s="90" t="s">
        <v>56</v>
      </c>
      <c r="T330" s="20">
        <v>45567</v>
      </c>
      <c r="U330" s="236">
        <v>12</v>
      </c>
      <c r="V330" s="90">
        <v>12</v>
      </c>
      <c r="W330" s="237">
        <f t="shared" si="10"/>
        <v>1</v>
      </c>
      <c r="X330" s="90" t="str">
        <f t="shared" si="11"/>
        <v/>
      </c>
      <c r="Y330" s="90" t="str">
        <f>IF(Table26[[#This Row],[customerSKU]]="","",_xlfn.XLOOKUP(Table26[[#This Row],[customerSKU]],Table27[customer_SKU],Table27[product_GTIN],"",0,1))</f>
        <v/>
      </c>
      <c r="Z330" s="25" t="s">
        <v>3387</v>
      </c>
      <c r="AA330" s="18" t="str" cm="1">
        <f t="array" ref="AA330">IF(P330="", "", _xlfn.XLOOKUP(P330,#REF!,#REF!,NA,0,-1))</f>
        <v/>
      </c>
      <c r="AB330" s="90"/>
      <c r="AC330" s="55" t="s">
        <v>97</v>
      </c>
      <c r="AD330" s="55" t="str">
        <f>IF($AC330="","",_xlfn.XLOOKUP($AC330,'[2]Client Info'!$C$2:$C$2535,'[2]Client Info'!$D$2:$D$2535))</f>
        <v>11939 240th Street</v>
      </c>
      <c r="AE330" s="55" t="str">
        <f>IF($AC330="","",_xlfn.XLOOKUP($AC330,'[2]Client Info'!$C$2:$C$2715,'[2]Client Info'!$E$2:$E$2715))</f>
        <v>Maple Ridge</v>
      </c>
      <c r="AF330" s="55" t="str">
        <f>IF($AC330="","",_xlfn.XLOOKUP($AC330,'[2]Client Info'!$C$2:$C$2715,'[2]Client Info'!$F$2:$F$2715))</f>
        <v xml:space="preserve">BC </v>
      </c>
      <c r="AG330" s="55" t="s">
        <v>3496</v>
      </c>
      <c r="AH330" s="245" t="str">
        <f>_xlfn.XLOOKUP(Table26[[#This Row],[customerSKU]],customerSKU!H:H,customerSKU!L:L,"NA",0,1)</f>
        <v>NA</v>
      </c>
      <c r="AI330" s="43" t="str">
        <f>_xlfn.XLOOKUP(Table26[[#This Row],[customerSKU]],customerSKU!G:G,customerSKU!O:O,"not found",0,1)</f>
        <v>not found</v>
      </c>
      <c r="AJ330" s="53" t="e">
        <f>Table26[[#This Row],[unitprice]]*Table26[[#This Row],[quantity_unit]]</f>
        <v>#VALUE!</v>
      </c>
      <c r="AK330" s="53" t="e" cm="1">
        <f t="array" ref="AK3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1" spans="1:37" ht="18" customHeight="1">
      <c r="A331" s="42">
        <v>1932</v>
      </c>
      <c r="B331" s="249" t="s">
        <v>3837</v>
      </c>
      <c r="C331" s="90" t="s">
        <v>203</v>
      </c>
      <c r="D331" s="235"/>
      <c r="E331" s="235"/>
      <c r="F331" s="90"/>
      <c r="G331" s="119"/>
      <c r="H331" s="90"/>
      <c r="I331" s="90" t="s">
        <v>3862</v>
      </c>
      <c r="J331" s="90" t="s">
        <v>503</v>
      </c>
      <c r="K331" s="232">
        <v>45566</v>
      </c>
      <c r="L331" s="233" t="s">
        <v>504</v>
      </c>
      <c r="M331" s="90"/>
      <c r="N331" s="55" t="str">
        <f>Table26[[#This Row],[po_number]]&amp;"-"&amp;Table26[[#This Row],[po_line]]</f>
        <v>-5</v>
      </c>
      <c r="O331" s="55">
        <v>5</v>
      </c>
      <c r="P331" s="234"/>
      <c r="Q331" s="90" t="s">
        <v>535</v>
      </c>
      <c r="R331" s="90" t="s">
        <v>532</v>
      </c>
      <c r="S331" s="90" t="s">
        <v>56</v>
      </c>
      <c r="T331" s="20">
        <v>45567</v>
      </c>
      <c r="U331" s="236">
        <v>12</v>
      </c>
      <c r="V331" s="90" t="str">
        <f>IF(ISBLANK(Table26[[#This Row],[customerSKU]]),"",_xlfn.XLOOKUP(Table26[[#This Row],[customerSKU]],Table27[customer_SKU],Table27[case_size],"",0,1))</f>
        <v/>
      </c>
      <c r="W331" s="237" t="str">
        <f t="shared" si="10"/>
        <v/>
      </c>
      <c r="X331" s="90" t="str">
        <f t="shared" si="11"/>
        <v/>
      </c>
      <c r="Y331" s="90" t="str">
        <f>IF(Table26[[#This Row],[customerSKU]]="","",_xlfn.XLOOKUP(Table26[[#This Row],[customerSKU]],Table27[customer_SKU],Table27[product_GTIN],"",0,1))</f>
        <v/>
      </c>
      <c r="Z331" s="25" t="s">
        <v>3433</v>
      </c>
      <c r="AA331" s="18" t="str" cm="1">
        <f t="array" ref="AA331">IF(P331="", "", _xlfn.XLOOKUP(P331,#REF!,#REF!,NA,0,-1))</f>
        <v/>
      </c>
      <c r="AB331" s="90"/>
      <c r="AC331" s="55" t="s">
        <v>97</v>
      </c>
      <c r="AD331" s="55" t="str">
        <f>IF($AC331="","",_xlfn.XLOOKUP($AC331,'[2]Client Info'!$C$2:$C$2535,'[2]Client Info'!$D$2:$D$2535))</f>
        <v>11939 240th Street</v>
      </c>
      <c r="AE331" s="55" t="str">
        <f>IF($AC331="","",_xlfn.XLOOKUP($AC331,'[2]Client Info'!$C$2:$C$2715,'[2]Client Info'!$E$2:$E$2715))</f>
        <v>Maple Ridge</v>
      </c>
      <c r="AF331" s="55" t="str">
        <f>IF($AC331="","",_xlfn.XLOOKUP($AC331,'[2]Client Info'!$C$2:$C$2715,'[2]Client Info'!$F$2:$F$2715))</f>
        <v xml:space="preserve">BC </v>
      </c>
      <c r="AG331" s="55" t="s">
        <v>3496</v>
      </c>
      <c r="AH331" s="245" t="str">
        <f>_xlfn.XLOOKUP(Table26[[#This Row],[customerSKU]],customerSKU!H:H,customerSKU!L:L,"NA",0,1)</f>
        <v>NA</v>
      </c>
      <c r="AI331" s="43" t="str">
        <f>_xlfn.XLOOKUP(Table26[[#This Row],[customerSKU]],customerSKU!G:G,customerSKU!O:O,"not found",0,1)</f>
        <v>not found</v>
      </c>
      <c r="AJ331" s="53" t="e">
        <f>Table26[[#This Row],[unitprice]]*Table26[[#This Row],[quantity_unit]]</f>
        <v>#VALUE!</v>
      </c>
      <c r="AK331" s="53" t="e" cm="1">
        <f t="array" ref="AK3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2" spans="1:37" ht="18" customHeight="1">
      <c r="A332" s="42">
        <v>1933</v>
      </c>
      <c r="B332" s="249" t="s">
        <v>3837</v>
      </c>
      <c r="C332" s="90" t="s">
        <v>203</v>
      </c>
      <c r="D332" s="235"/>
      <c r="E332" s="235"/>
      <c r="F332" s="90"/>
      <c r="G332" s="119"/>
      <c r="H332" s="90"/>
      <c r="I332" s="90" t="s">
        <v>3862</v>
      </c>
      <c r="J332" s="90" t="s">
        <v>503</v>
      </c>
      <c r="K332" s="232">
        <v>45566</v>
      </c>
      <c r="L332" s="233" t="s">
        <v>504</v>
      </c>
      <c r="M332" s="90"/>
      <c r="N332" s="55" t="str">
        <f>Table26[[#This Row],[po_number]]&amp;"-"&amp;Table26[[#This Row],[po_line]]</f>
        <v>-6</v>
      </c>
      <c r="O332" s="55">
        <v>6</v>
      </c>
      <c r="P332" s="234"/>
      <c r="Q332" s="90" t="s">
        <v>1860</v>
      </c>
      <c r="R332" s="90" t="s">
        <v>3830</v>
      </c>
      <c r="S332" s="90" t="s">
        <v>56</v>
      </c>
      <c r="T332" s="20">
        <v>45555</v>
      </c>
      <c r="U332" s="236">
        <v>12</v>
      </c>
      <c r="V332" s="90" t="str">
        <f>IF(ISBLANK(Table26[[#This Row],[customerSKU]]),"",_xlfn.XLOOKUP(Table26[[#This Row],[customerSKU]],Table27[customer_SKU],Table27[case_size],"",0,1))</f>
        <v/>
      </c>
      <c r="W332" s="237" t="str">
        <f t="shared" si="10"/>
        <v/>
      </c>
      <c r="X332" s="90" t="str">
        <f t="shared" si="11"/>
        <v/>
      </c>
      <c r="Y332" s="90" t="str">
        <f>IF(Table26[[#This Row],[customerSKU]]="","",_xlfn.XLOOKUP(Table26[[#This Row],[customerSKU]],Table27[customer_SKU],Table27[product_GTIN],"",0,1))</f>
        <v/>
      </c>
      <c r="Z332" s="25" t="s">
        <v>3367</v>
      </c>
      <c r="AA332" s="18" t="str" cm="1">
        <f t="array" ref="AA332">IF(P332="", "", _xlfn.XLOOKUP(P332,#REF!,#REF!,NA,0,-1))</f>
        <v/>
      </c>
      <c r="AB332" s="90"/>
      <c r="AC332" s="55" t="s">
        <v>97</v>
      </c>
      <c r="AD332" s="55" t="str">
        <f>IF($AC332="","",_xlfn.XLOOKUP($AC332,'[2]Client Info'!$C$2:$C$2535,'[2]Client Info'!$D$2:$D$2535))</f>
        <v>11939 240th Street</v>
      </c>
      <c r="AE332" s="55" t="str">
        <f>IF($AC332="","",_xlfn.XLOOKUP($AC332,'[2]Client Info'!$C$2:$C$2715,'[2]Client Info'!$E$2:$E$2715))</f>
        <v>Maple Ridge</v>
      </c>
      <c r="AF332" s="55" t="str">
        <f>IF($AC332="","",_xlfn.XLOOKUP($AC332,'[2]Client Info'!$C$2:$C$2715,'[2]Client Info'!$F$2:$F$2715))</f>
        <v xml:space="preserve">BC </v>
      </c>
      <c r="AG332" s="55" t="s">
        <v>3496</v>
      </c>
      <c r="AH332" s="245" t="str">
        <f>_xlfn.XLOOKUP(Table26[[#This Row],[customerSKU]],customerSKU!H:H,customerSKU!L:L,"NA",0,1)</f>
        <v>NA</v>
      </c>
      <c r="AI332" s="43" t="str">
        <f>_xlfn.XLOOKUP(Table26[[#This Row],[customerSKU]],customerSKU!G:G,customerSKU!O:O,"not found",0,1)</f>
        <v>not found</v>
      </c>
      <c r="AJ332" s="53" t="e">
        <f>Table26[[#This Row],[unitprice]]*Table26[[#This Row],[quantity_unit]]</f>
        <v>#VALUE!</v>
      </c>
      <c r="AK332" s="53" t="e" cm="1">
        <f t="array" ref="AK3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3" spans="1:37" ht="18" customHeight="1">
      <c r="A333" s="42">
        <v>1934</v>
      </c>
      <c r="B333" s="249" t="s">
        <v>3837</v>
      </c>
      <c r="C333" s="90" t="s">
        <v>203</v>
      </c>
      <c r="D333" s="235"/>
      <c r="E333" s="235"/>
      <c r="F333" s="90"/>
      <c r="G333" s="119"/>
      <c r="H333" s="90"/>
      <c r="I333" s="90" t="s">
        <v>3862</v>
      </c>
      <c r="J333" s="90" t="s">
        <v>503</v>
      </c>
      <c r="K333" s="232">
        <v>45566</v>
      </c>
      <c r="L333" s="233" t="s">
        <v>504</v>
      </c>
      <c r="M333" s="90"/>
      <c r="N333" s="55" t="str">
        <f>Table26[[#This Row],[po_number]]&amp;"-"&amp;Table26[[#This Row],[po_line]]</f>
        <v>-7</v>
      </c>
      <c r="O333" s="55">
        <v>7</v>
      </c>
      <c r="P333" s="234"/>
      <c r="Q333" s="90" t="s">
        <v>2096</v>
      </c>
      <c r="R333" s="90" t="s">
        <v>3830</v>
      </c>
      <c r="S333" s="90" t="s">
        <v>56</v>
      </c>
      <c r="T333" s="20">
        <v>45560</v>
      </c>
      <c r="U333" s="236">
        <v>12</v>
      </c>
      <c r="V333" s="90" t="str">
        <f>IF(ISBLANK(Table26[[#This Row],[customerSKU]]),"",_xlfn.XLOOKUP(Table26[[#This Row],[customerSKU]],Table27[customer_SKU],Table27[case_size],"",0,1))</f>
        <v/>
      </c>
      <c r="W333" s="237" t="str">
        <f t="shared" si="10"/>
        <v/>
      </c>
      <c r="X333" s="90" t="str">
        <f t="shared" si="11"/>
        <v/>
      </c>
      <c r="Y333" s="90" t="str">
        <f>IF(Table26[[#This Row],[customerSKU]]="","",_xlfn.XLOOKUP(Table26[[#This Row],[customerSKU]],Table27[customer_SKU],Table27[product_GTIN],"",0,1))</f>
        <v/>
      </c>
      <c r="Z333" s="25" t="s">
        <v>3447</v>
      </c>
      <c r="AA333" s="18" t="str" cm="1">
        <f t="array" ref="AA333">IF(P333="", "", _xlfn.XLOOKUP(P333,#REF!,#REF!,NA,0,-1))</f>
        <v/>
      </c>
      <c r="AB333" s="90"/>
      <c r="AC333" s="55" t="s">
        <v>97</v>
      </c>
      <c r="AD333" s="55" t="str">
        <f>IF($AC333="","",_xlfn.XLOOKUP($AC333,'[2]Client Info'!$C$2:$C$2535,'[2]Client Info'!$D$2:$D$2535))</f>
        <v>11939 240th Street</v>
      </c>
      <c r="AE333" s="55" t="str">
        <f>IF($AC333="","",_xlfn.XLOOKUP($AC333,'[2]Client Info'!$C$2:$C$2715,'[2]Client Info'!$E$2:$E$2715))</f>
        <v>Maple Ridge</v>
      </c>
      <c r="AF333" s="55" t="str">
        <f>IF($AC333="","",_xlfn.XLOOKUP($AC333,'[2]Client Info'!$C$2:$C$2715,'[2]Client Info'!$F$2:$F$2715))</f>
        <v xml:space="preserve">BC </v>
      </c>
      <c r="AG333" s="55" t="s">
        <v>3496</v>
      </c>
      <c r="AH333" s="245" t="str">
        <f>_xlfn.XLOOKUP(Table26[[#This Row],[customerSKU]],customerSKU!H:H,customerSKU!L:L,"NA",0,1)</f>
        <v>NA</v>
      </c>
      <c r="AI333" s="43" t="str">
        <f>_xlfn.XLOOKUP(Table26[[#This Row],[customerSKU]],customerSKU!G:G,customerSKU!O:O,"not found",0,1)</f>
        <v>not found</v>
      </c>
      <c r="AJ333" s="53" t="e">
        <f>Table26[[#This Row],[unitprice]]*Table26[[#This Row],[quantity_unit]]</f>
        <v>#VALUE!</v>
      </c>
      <c r="AK333" s="53" t="e" cm="1">
        <f t="array" ref="AK3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4" spans="1:37" ht="18" customHeight="1">
      <c r="A334" s="42">
        <v>1935</v>
      </c>
      <c r="B334" s="249" t="s">
        <v>3837</v>
      </c>
      <c r="C334" s="90" t="s">
        <v>203</v>
      </c>
      <c r="D334" s="235"/>
      <c r="E334" s="235"/>
      <c r="F334" s="90"/>
      <c r="G334" s="119"/>
      <c r="H334" s="90"/>
      <c r="I334" s="90" t="s">
        <v>3862</v>
      </c>
      <c r="J334" s="90" t="s">
        <v>503</v>
      </c>
      <c r="K334" s="232">
        <v>45566</v>
      </c>
      <c r="L334" s="233" t="s">
        <v>504</v>
      </c>
      <c r="M334" s="90"/>
      <c r="N334" s="55" t="str">
        <f>Table26[[#This Row],[po_number]]&amp;"-"&amp;Table26[[#This Row],[po_line]]</f>
        <v>-8</v>
      </c>
      <c r="O334" s="55">
        <v>8</v>
      </c>
      <c r="P334" s="234"/>
      <c r="Q334" s="90" t="s">
        <v>1324</v>
      </c>
      <c r="R334" s="90" t="s">
        <v>3830</v>
      </c>
      <c r="S334" s="90" t="s">
        <v>56</v>
      </c>
      <c r="T334" s="20">
        <v>45467</v>
      </c>
      <c r="U334" s="236">
        <v>12</v>
      </c>
      <c r="V334" s="90" t="str">
        <f>IF(ISBLANK(Table26[[#This Row],[customerSKU]]),"",_xlfn.XLOOKUP(Table26[[#This Row],[customerSKU]],Table27[customer_SKU],Table27[case_size],"",0,1))</f>
        <v/>
      </c>
      <c r="W334" s="237" t="str">
        <f t="shared" si="10"/>
        <v/>
      </c>
      <c r="X334" s="90" t="str">
        <f t="shared" si="11"/>
        <v/>
      </c>
      <c r="Y334" s="90" t="str">
        <f>IF(Table26[[#This Row],[customerSKU]]="","",_xlfn.XLOOKUP(Table26[[#This Row],[customerSKU]],Table27[customer_SKU],Table27[product_GTIN],"",0,1))</f>
        <v/>
      </c>
      <c r="Z334" s="60">
        <v>1054212</v>
      </c>
      <c r="AA334" s="18" t="str" cm="1">
        <f t="array" ref="AA334">IF(P334="", "", _xlfn.XLOOKUP(P334,#REF!,#REF!,NA,0,-1))</f>
        <v/>
      </c>
      <c r="AB334" s="90"/>
      <c r="AC334" s="55" t="s">
        <v>97</v>
      </c>
      <c r="AD334" s="55" t="str">
        <f>IF($AC334="","",_xlfn.XLOOKUP($AC334,'[2]Client Info'!$C$2:$C$2535,'[2]Client Info'!$D$2:$D$2535))</f>
        <v>11939 240th Street</v>
      </c>
      <c r="AE334" s="55" t="str">
        <f>IF($AC334="","",_xlfn.XLOOKUP($AC334,'[2]Client Info'!$C$2:$C$2715,'[2]Client Info'!$E$2:$E$2715))</f>
        <v>Maple Ridge</v>
      </c>
      <c r="AF334" s="55" t="str">
        <f>IF($AC334="","",_xlfn.XLOOKUP($AC334,'[2]Client Info'!$C$2:$C$2715,'[2]Client Info'!$F$2:$F$2715))</f>
        <v xml:space="preserve">BC </v>
      </c>
      <c r="AG334" s="55" t="s">
        <v>3496</v>
      </c>
      <c r="AH334" s="245" t="str">
        <f>_xlfn.XLOOKUP(Table26[[#This Row],[customerSKU]],customerSKU!H:H,customerSKU!L:L,"NA",0,1)</f>
        <v>NA</v>
      </c>
      <c r="AI334" s="43" t="str">
        <f>_xlfn.XLOOKUP(Table26[[#This Row],[customerSKU]],customerSKU!G:G,customerSKU!O:O,"not found",0,1)</f>
        <v>not found</v>
      </c>
      <c r="AJ334" s="53" t="e">
        <f>Table26[[#This Row],[unitprice]]*Table26[[#This Row],[quantity_unit]]</f>
        <v>#VALUE!</v>
      </c>
      <c r="AK334" s="53" t="e" cm="1">
        <f t="array" ref="AK3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5" spans="1:37" ht="18" customHeight="1">
      <c r="A335" s="42">
        <v>1936</v>
      </c>
      <c r="B335" s="249" t="s">
        <v>3837</v>
      </c>
      <c r="C335" s="90" t="s">
        <v>203</v>
      </c>
      <c r="D335" s="235"/>
      <c r="E335" s="235"/>
      <c r="F335" s="90"/>
      <c r="G335" s="119"/>
      <c r="H335" s="90"/>
      <c r="I335" s="90" t="s">
        <v>3862</v>
      </c>
      <c r="J335" s="90" t="s">
        <v>503</v>
      </c>
      <c r="K335" s="232">
        <v>45566</v>
      </c>
      <c r="L335" s="233" t="s">
        <v>504</v>
      </c>
      <c r="M335" s="90"/>
      <c r="N335" s="55" t="str">
        <f>Table26[[#This Row],[po_number]]&amp;"-"&amp;Table26[[#This Row],[po_line]]</f>
        <v>-9</v>
      </c>
      <c r="O335" s="55">
        <v>9</v>
      </c>
      <c r="P335" s="234"/>
      <c r="Q335" s="90" t="s">
        <v>2112</v>
      </c>
      <c r="R335" s="90" t="s">
        <v>3830</v>
      </c>
      <c r="S335" s="90" t="s">
        <v>56</v>
      </c>
      <c r="T335" s="20">
        <v>45550</v>
      </c>
      <c r="U335" s="236">
        <v>19</v>
      </c>
      <c r="V335" s="90" t="str">
        <f>IF(ISBLANK(Table26[[#This Row],[customerSKU]]),"",_xlfn.XLOOKUP(Table26[[#This Row],[customerSKU]],Table27[customer_SKU],Table27[case_size],"",0,1))</f>
        <v/>
      </c>
      <c r="W335" s="237" t="str">
        <f t="shared" si="10"/>
        <v/>
      </c>
      <c r="X335" s="90" t="str">
        <f t="shared" si="11"/>
        <v/>
      </c>
      <c r="Y335" s="90" t="str">
        <f>IF(Table26[[#This Row],[customerSKU]]="","",_xlfn.XLOOKUP(Table26[[#This Row],[customerSKU]],Table27[customer_SKU],Table27[product_GTIN],"",0,1))</f>
        <v/>
      </c>
      <c r="Z335" s="25" t="s">
        <v>3448</v>
      </c>
      <c r="AA335" s="18" t="str" cm="1">
        <f t="array" ref="AA335">IF(P335="", "", _xlfn.XLOOKUP(P335,#REF!,#REF!,NA,0,-1))</f>
        <v/>
      </c>
      <c r="AB335" s="90"/>
      <c r="AC335" s="55" t="s">
        <v>97</v>
      </c>
      <c r="AD335" s="55" t="str">
        <f>IF($AC335="","",_xlfn.XLOOKUP($AC335,'[2]Client Info'!$C$2:$C$2535,'[2]Client Info'!$D$2:$D$2535))</f>
        <v>11939 240th Street</v>
      </c>
      <c r="AE335" s="55" t="str">
        <f>IF($AC335="","",_xlfn.XLOOKUP($AC335,'[2]Client Info'!$C$2:$C$2715,'[2]Client Info'!$E$2:$E$2715))</f>
        <v>Maple Ridge</v>
      </c>
      <c r="AF335" s="55" t="str">
        <f>IF($AC335="","",_xlfn.XLOOKUP($AC335,'[2]Client Info'!$C$2:$C$2715,'[2]Client Info'!$F$2:$F$2715))</f>
        <v xml:space="preserve">BC </v>
      </c>
      <c r="AG335" s="55" t="s">
        <v>3496</v>
      </c>
      <c r="AH335" s="245" t="str">
        <f>_xlfn.XLOOKUP(Table26[[#This Row],[customerSKU]],customerSKU!H:H,customerSKU!L:L,"NA",0,1)</f>
        <v>NA</v>
      </c>
      <c r="AI335" s="43" t="str">
        <f>_xlfn.XLOOKUP(Table26[[#This Row],[customerSKU]],customerSKU!G:G,customerSKU!O:O,"not found",0,1)</f>
        <v>not found</v>
      </c>
      <c r="AJ335" s="53" t="e">
        <f>Table26[[#This Row],[unitprice]]*Table26[[#This Row],[quantity_unit]]</f>
        <v>#VALUE!</v>
      </c>
      <c r="AK335" s="53" t="e" cm="1">
        <f t="array" ref="AK3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6" spans="1:37" ht="18" customHeight="1">
      <c r="A336" s="42">
        <v>1937</v>
      </c>
      <c r="B336" s="249" t="s">
        <v>3837</v>
      </c>
      <c r="C336" s="90" t="s">
        <v>203</v>
      </c>
      <c r="D336" s="235"/>
      <c r="E336" s="235"/>
      <c r="F336" s="90"/>
      <c r="G336" s="119"/>
      <c r="H336" s="90"/>
      <c r="I336" s="90" t="s">
        <v>3862</v>
      </c>
      <c r="J336" s="90" t="s">
        <v>503</v>
      </c>
      <c r="K336" s="232">
        <v>45566</v>
      </c>
      <c r="L336" s="233" t="s">
        <v>504</v>
      </c>
      <c r="M336" s="90"/>
      <c r="N336" s="55" t="str">
        <f>Table26[[#This Row],[po_number]]&amp;"-"&amp;Table26[[#This Row],[po_line]]</f>
        <v>-10</v>
      </c>
      <c r="O336" s="55">
        <v>10</v>
      </c>
      <c r="P336" s="234"/>
      <c r="Q336" s="90" t="s">
        <v>2029</v>
      </c>
      <c r="R336" s="90" t="s">
        <v>3830</v>
      </c>
      <c r="S336" s="90" t="s">
        <v>56</v>
      </c>
      <c r="T336" s="20">
        <v>45503</v>
      </c>
      <c r="U336" s="236">
        <v>9</v>
      </c>
      <c r="V336" s="90">
        <v>12</v>
      </c>
      <c r="W336" s="237">
        <f t="shared" si="10"/>
        <v>0.75</v>
      </c>
      <c r="X336" s="90" t="str">
        <f t="shared" si="11"/>
        <v/>
      </c>
      <c r="Y336" s="90"/>
      <c r="Z336" s="25" t="s">
        <v>3448</v>
      </c>
      <c r="AA336" s="18" t="str" cm="1">
        <f t="array" ref="AA336">IF(P336="", "", _xlfn.XLOOKUP(P336,#REF!,#REF!,NA,0,-1))</f>
        <v/>
      </c>
      <c r="AB336" s="90"/>
      <c r="AC336" s="55" t="s">
        <v>97</v>
      </c>
      <c r="AD336" s="55" t="str">
        <f>IF($AC336="","",_xlfn.XLOOKUP($AC336,'[2]Client Info'!$C$2:$C$2535,'[2]Client Info'!$D$2:$D$2535))</f>
        <v>11939 240th Street</v>
      </c>
      <c r="AE336" s="55" t="str">
        <f>IF($AC336="","",_xlfn.XLOOKUP($AC336,'[2]Client Info'!$C$2:$C$2715,'[2]Client Info'!$E$2:$E$2715))</f>
        <v>Maple Ridge</v>
      </c>
      <c r="AF336" s="55" t="str">
        <f>IF($AC336="","",_xlfn.XLOOKUP($AC336,'[2]Client Info'!$C$2:$C$2715,'[2]Client Info'!$F$2:$F$2715))</f>
        <v xml:space="preserve">BC </v>
      </c>
      <c r="AG336" s="55" t="s">
        <v>3496</v>
      </c>
      <c r="AH336" s="245" t="str">
        <f>_xlfn.XLOOKUP(Table26[[#This Row],[customerSKU]],customerSKU!H:H,customerSKU!L:L,"NA",0,1)</f>
        <v>NA</v>
      </c>
      <c r="AI336" s="43" t="str">
        <f>_xlfn.XLOOKUP(Table26[[#This Row],[customerSKU]],customerSKU!G:G,customerSKU!O:O,"not found",0,1)</f>
        <v>not found</v>
      </c>
      <c r="AJ336" s="53" t="e">
        <f>Table26[[#This Row],[unitprice]]*Table26[[#This Row],[quantity_unit]]</f>
        <v>#VALUE!</v>
      </c>
      <c r="AK336" s="53" t="e" cm="1">
        <f t="array" ref="AK3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7" spans="1:37" ht="18" customHeight="1">
      <c r="A337" s="42">
        <v>1938</v>
      </c>
      <c r="B337" s="249" t="s">
        <v>3837</v>
      </c>
      <c r="C337" s="90" t="s">
        <v>203</v>
      </c>
      <c r="D337" s="235"/>
      <c r="E337" s="235"/>
      <c r="F337" s="90"/>
      <c r="G337" s="119"/>
      <c r="H337" s="90"/>
      <c r="I337" s="90" t="s">
        <v>3862</v>
      </c>
      <c r="J337" s="90" t="s">
        <v>503</v>
      </c>
      <c r="K337" s="232">
        <v>45566</v>
      </c>
      <c r="L337" s="233" t="s">
        <v>504</v>
      </c>
      <c r="M337" s="90"/>
      <c r="N337" s="55" t="str">
        <f>Table26[[#This Row],[po_number]]&amp;"-"&amp;Table26[[#This Row],[po_line]]</f>
        <v>-11</v>
      </c>
      <c r="O337" s="55">
        <v>11</v>
      </c>
      <c r="P337" s="234"/>
      <c r="Q337" s="90" t="s">
        <v>1019</v>
      </c>
      <c r="R337" s="90" t="s">
        <v>3830</v>
      </c>
      <c r="S337" s="90" t="s">
        <v>56</v>
      </c>
      <c r="T337" s="20">
        <v>45523</v>
      </c>
      <c r="U337" s="236">
        <v>8</v>
      </c>
      <c r="V337" s="90">
        <v>12</v>
      </c>
      <c r="W337" s="237">
        <f t="shared" si="10"/>
        <v>0.66666666666666663</v>
      </c>
      <c r="X337" s="90" t="str">
        <f t="shared" si="11"/>
        <v/>
      </c>
      <c r="Y337" s="90"/>
      <c r="Z337" s="25" t="s">
        <v>3448</v>
      </c>
      <c r="AA337" s="18" t="str" cm="1">
        <f t="array" ref="AA337">IF(P337="", "", _xlfn.XLOOKUP(P337,#REF!,#REF!,NA,0,-1))</f>
        <v/>
      </c>
      <c r="AB337" s="90"/>
      <c r="AC337" s="55" t="s">
        <v>97</v>
      </c>
      <c r="AD337" s="55" t="str">
        <f>IF($AC337="","",_xlfn.XLOOKUP($AC337,'[2]Client Info'!$C$2:$C$2535,'[2]Client Info'!$D$2:$D$2535))</f>
        <v>11939 240th Street</v>
      </c>
      <c r="AE337" s="55" t="str">
        <f>IF($AC337="","",_xlfn.XLOOKUP($AC337,'[2]Client Info'!$C$2:$C$2715,'[2]Client Info'!$E$2:$E$2715))</f>
        <v>Maple Ridge</v>
      </c>
      <c r="AF337" s="55" t="str">
        <f>IF($AC337="","",_xlfn.XLOOKUP($AC337,'[2]Client Info'!$C$2:$C$2715,'[2]Client Info'!$F$2:$F$2715))</f>
        <v xml:space="preserve">BC </v>
      </c>
      <c r="AG337" s="55" t="s">
        <v>3496</v>
      </c>
      <c r="AH337" s="245" t="str">
        <f>_xlfn.XLOOKUP(Table26[[#This Row],[customerSKU]],customerSKU!H:H,customerSKU!L:L,"NA",0,1)</f>
        <v>NA</v>
      </c>
      <c r="AI337" s="43" t="str">
        <f>_xlfn.XLOOKUP(Table26[[#This Row],[customerSKU]],customerSKU!G:G,customerSKU!O:O,"not found",0,1)</f>
        <v>not found</v>
      </c>
      <c r="AJ337" s="53" t="e">
        <f>Table26[[#This Row],[unitprice]]*Table26[[#This Row],[quantity_unit]]</f>
        <v>#VALUE!</v>
      </c>
      <c r="AK337" s="53" t="e" cm="1">
        <f t="array" ref="AK3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8" spans="1:37" ht="18" customHeight="1">
      <c r="A338" s="42">
        <v>1939</v>
      </c>
      <c r="B338" s="249" t="s">
        <v>3837</v>
      </c>
      <c r="C338" s="90" t="s">
        <v>203</v>
      </c>
      <c r="D338" s="235"/>
      <c r="E338" s="235"/>
      <c r="F338" s="90"/>
      <c r="G338" s="119"/>
      <c r="H338" s="90"/>
      <c r="I338" s="90" t="s">
        <v>3862</v>
      </c>
      <c r="J338" s="90" t="s">
        <v>503</v>
      </c>
      <c r="K338" s="232">
        <v>45566</v>
      </c>
      <c r="L338" s="233" t="s">
        <v>504</v>
      </c>
      <c r="M338" s="90"/>
      <c r="N338" s="55" t="str">
        <f>Table26[[#This Row],[po_number]]&amp;"-"&amp;Table26[[#This Row],[po_line]]</f>
        <v>-12</v>
      </c>
      <c r="O338" s="55">
        <v>12</v>
      </c>
      <c r="P338" s="234"/>
      <c r="Q338" s="90" t="s">
        <v>775</v>
      </c>
      <c r="R338" s="90" t="s">
        <v>3830</v>
      </c>
      <c r="S338" s="90" t="s">
        <v>56</v>
      </c>
      <c r="T338" s="20">
        <v>45467</v>
      </c>
      <c r="U338" s="236">
        <v>12</v>
      </c>
      <c r="V338" s="90" t="str">
        <f>IF(ISBLANK(Table26[[#This Row],[customerSKU]]),"",_xlfn.XLOOKUP(Table26[[#This Row],[customerSKU]],Table27[customer_SKU],Table27[case_size],"",0,1))</f>
        <v/>
      </c>
      <c r="W338" s="237" t="str">
        <f t="shared" si="10"/>
        <v/>
      </c>
      <c r="X338" s="90" t="str">
        <f t="shared" si="11"/>
        <v/>
      </c>
      <c r="Y338" s="90" t="str">
        <f>IF(Table26[[#This Row],[customerSKU]]="","",_xlfn.XLOOKUP(Table26[[#This Row],[customerSKU]],Table27[customer_SKU],Table27[product_GTIN],"",0,1))</f>
        <v/>
      </c>
      <c r="Z338" s="60">
        <v>1054758</v>
      </c>
      <c r="AA338" s="18" t="str" cm="1">
        <f t="array" ref="AA338">IF(P338="", "", _xlfn.XLOOKUP(P338,#REF!,#REF!,NA,0,-1))</f>
        <v/>
      </c>
      <c r="AB338" s="90"/>
      <c r="AC338" s="55" t="s">
        <v>97</v>
      </c>
      <c r="AD338" s="55" t="str">
        <f>IF($AC338="","",_xlfn.XLOOKUP($AC338,'[2]Client Info'!$C$2:$C$2535,'[2]Client Info'!$D$2:$D$2535))</f>
        <v>11939 240th Street</v>
      </c>
      <c r="AE338" s="55" t="str">
        <f>IF($AC338="","",_xlfn.XLOOKUP($AC338,'[2]Client Info'!$C$2:$C$2715,'[2]Client Info'!$E$2:$E$2715))</f>
        <v>Maple Ridge</v>
      </c>
      <c r="AF338" s="55" t="str">
        <f>IF($AC338="","",_xlfn.XLOOKUP($AC338,'[2]Client Info'!$C$2:$C$2715,'[2]Client Info'!$F$2:$F$2715))</f>
        <v xml:space="preserve">BC </v>
      </c>
      <c r="AG338" s="55" t="s">
        <v>3496</v>
      </c>
      <c r="AH338" s="245" t="str">
        <f>_xlfn.XLOOKUP(Table26[[#This Row],[customerSKU]],customerSKU!H:H,customerSKU!L:L,"NA",0,1)</f>
        <v>NA</v>
      </c>
      <c r="AI338" s="43" t="str">
        <f>_xlfn.XLOOKUP(Table26[[#This Row],[customerSKU]],customerSKU!G:G,customerSKU!O:O,"not found",0,1)</f>
        <v>not found</v>
      </c>
      <c r="AJ338" s="53" t="e">
        <f>Table26[[#This Row],[unitprice]]*Table26[[#This Row],[quantity_unit]]</f>
        <v>#VALUE!</v>
      </c>
      <c r="AK338" s="53" t="e" cm="1">
        <f t="array" ref="AK3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39" spans="1:37" ht="18" customHeight="1">
      <c r="A339" s="42">
        <v>1880</v>
      </c>
      <c r="B339" s="58" t="s">
        <v>3520</v>
      </c>
      <c r="C339" s="53" t="s">
        <v>203</v>
      </c>
      <c r="D339" s="51"/>
      <c r="E339" s="51"/>
      <c r="F339" s="53"/>
      <c r="G339" s="46"/>
      <c r="H339" s="53"/>
      <c r="I339" s="53" t="s">
        <v>3862</v>
      </c>
      <c r="J339" s="53" t="s">
        <v>533</v>
      </c>
      <c r="K339" s="48">
        <v>45567</v>
      </c>
      <c r="L339" s="49" t="s">
        <v>201</v>
      </c>
      <c r="M339" s="53"/>
      <c r="N339" s="77" t="str">
        <f>Table26[[#This Row],[po_number]]&amp;"-"&amp;Table26[[#This Row],[po_line]]</f>
        <v>-1</v>
      </c>
      <c r="O339" s="77">
        <v>1</v>
      </c>
      <c r="P339" s="50"/>
      <c r="Q339" s="53" t="s">
        <v>797</v>
      </c>
      <c r="R339" s="53" t="s">
        <v>3830</v>
      </c>
      <c r="S339" s="53" t="s">
        <v>57</v>
      </c>
      <c r="T339" s="51">
        <v>45531</v>
      </c>
      <c r="U339" s="52">
        <f>6*12+2</f>
        <v>74</v>
      </c>
      <c r="V339" s="53">
        <v>12</v>
      </c>
      <c r="W339" s="116">
        <f t="shared" si="10"/>
        <v>6.166666666666667</v>
      </c>
      <c r="X339" s="53" t="str">
        <f t="shared" si="11"/>
        <v/>
      </c>
      <c r="Y339" s="53" t="str">
        <f>IF(Table26[[#This Row],[customerSKU]]="","",_xlfn.XLOOKUP(Table26[[#This Row],[customerSKU]],Table27[customer_SKU],Table27[product_GTIN],"",0,1))</f>
        <v/>
      </c>
      <c r="Z339" s="25" t="s">
        <v>3455</v>
      </c>
      <c r="AA339" s="18" t="str" cm="1">
        <f t="array" ref="AA339">IF(P339="", "", _xlfn.XLOOKUP(P339,#REF!,#REF!,NA,0,-1))</f>
        <v/>
      </c>
      <c r="AB339" s="53"/>
      <c r="AC339" s="55" t="s">
        <v>79</v>
      </c>
      <c r="AD339" s="55" t="str">
        <f>IF($AC339="","",_xlfn.XLOOKUP($AC339,'[2]Client Info'!$C$2:$C$2535,'[2]Client Info'!$D$2:$D$2535))</f>
        <v>4-1832 King Edward St.</v>
      </c>
      <c r="AE339" s="55" t="str">
        <f>IF($AC339="","",_xlfn.XLOOKUP($AC339,'[2]Client Info'!$C$2:$C$2715,'[2]Client Info'!$E$2:$E$2715))</f>
        <v>WINNIPEG</v>
      </c>
      <c r="AF339" s="55" t="str">
        <f>IF($AC339="","",_xlfn.XLOOKUP($AC339,'[2]Client Info'!$C$2:$C$2715,'[2]Client Info'!$F$2:$F$2715))</f>
        <v>MB</v>
      </c>
      <c r="AG339" s="55" t="s">
        <v>3864</v>
      </c>
      <c r="AH339" s="62" t="str">
        <f>_xlfn.XLOOKUP(Table26[[#This Row],[customerSKU]],customerSKU!G:G,customerSKU!K:K,"NA",0,1)</f>
        <v>NA</v>
      </c>
      <c r="AI339" s="43" t="str">
        <f>_xlfn.XLOOKUP(Table26[[#This Row],[customerSKU]],customerSKU!G:G,customerSKU!O:O,"not found",0,1)</f>
        <v>not found</v>
      </c>
      <c r="AJ339" s="53" t="e">
        <f>Table26[[#This Row],[unitprice]]*Table26[[#This Row],[quantity_unit]]</f>
        <v>#VALUE!</v>
      </c>
      <c r="AK339" s="53" t="e" cm="1">
        <f t="array" ref="AK3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0" spans="1:37" ht="18" customHeight="1">
      <c r="A340" s="42">
        <v>1881</v>
      </c>
      <c r="B340" s="58" t="s">
        <v>3520</v>
      </c>
      <c r="C340" s="53" t="s">
        <v>203</v>
      </c>
      <c r="D340" s="51"/>
      <c r="E340" s="51"/>
      <c r="F340" s="53"/>
      <c r="G340" s="46"/>
      <c r="H340" s="53"/>
      <c r="I340" s="53" t="s">
        <v>3862</v>
      </c>
      <c r="J340" s="53" t="s">
        <v>533</v>
      </c>
      <c r="K340" s="48">
        <v>45567</v>
      </c>
      <c r="L340" s="49" t="s">
        <v>201</v>
      </c>
      <c r="M340" s="53"/>
      <c r="N340" s="77" t="str">
        <f>Table26[[#This Row],[po_number]]&amp;"-"&amp;Table26[[#This Row],[po_line]]</f>
        <v>-2</v>
      </c>
      <c r="O340" s="77">
        <v>2</v>
      </c>
      <c r="P340" s="50"/>
      <c r="Q340" s="53" t="s">
        <v>797</v>
      </c>
      <c r="R340" s="53" t="s">
        <v>3830</v>
      </c>
      <c r="S340" s="53" t="s">
        <v>57</v>
      </c>
      <c r="T340" s="51">
        <v>45448</v>
      </c>
      <c r="U340" s="52">
        <f>11*12+10</f>
        <v>142</v>
      </c>
      <c r="V340" s="53">
        <v>12</v>
      </c>
      <c r="W340" s="116">
        <f t="shared" si="10"/>
        <v>11.833333333333334</v>
      </c>
      <c r="X340" s="53" t="str">
        <f t="shared" si="11"/>
        <v/>
      </c>
      <c r="Y340" s="53" t="str">
        <f>IF(Table26[[#This Row],[customerSKU]]="","",_xlfn.XLOOKUP(Table26[[#This Row],[customerSKU]],Table27[customer_SKU],Table27[product_GTIN],"",0,1))</f>
        <v/>
      </c>
      <c r="Z340" s="25" t="s">
        <v>3455</v>
      </c>
      <c r="AA340" s="18" t="str" cm="1">
        <f t="array" ref="AA340">IF(P340="", "", _xlfn.XLOOKUP(P340,#REF!,#REF!,NA,0,-1))</f>
        <v/>
      </c>
      <c r="AB340" s="53"/>
      <c r="AC340" s="55" t="s">
        <v>79</v>
      </c>
      <c r="AD340" s="55" t="str">
        <f>IF($AC340="","",_xlfn.XLOOKUP($AC340,'[2]Client Info'!$C$2:$C$2535,'[2]Client Info'!$D$2:$D$2535))</f>
        <v>4-1832 King Edward St.</v>
      </c>
      <c r="AE340" s="55" t="str">
        <f>IF($AC340="","",_xlfn.XLOOKUP($AC340,'[2]Client Info'!$C$2:$C$2715,'[2]Client Info'!$E$2:$E$2715))</f>
        <v>WINNIPEG</v>
      </c>
      <c r="AF340" s="55" t="str">
        <f>IF($AC340="","",_xlfn.XLOOKUP($AC340,'[2]Client Info'!$C$2:$C$2715,'[2]Client Info'!$F$2:$F$2715))</f>
        <v>MB</v>
      </c>
      <c r="AG340" s="55" t="s">
        <v>3864</v>
      </c>
      <c r="AH340" s="62" t="str">
        <f>_xlfn.XLOOKUP(Table26[[#This Row],[customerSKU]],customerSKU!G:G,customerSKU!K:K,"NA",0,1)</f>
        <v>NA</v>
      </c>
      <c r="AI340" s="43" t="str">
        <f>_xlfn.XLOOKUP(Table26[[#This Row],[customerSKU]],customerSKU!G:G,customerSKU!O:O,"not found",0,1)</f>
        <v>not found</v>
      </c>
      <c r="AJ340" s="53" t="e">
        <f>Table26[[#This Row],[unitprice]]*Table26[[#This Row],[quantity_unit]]</f>
        <v>#VALUE!</v>
      </c>
      <c r="AK340" s="53" t="e" cm="1">
        <f t="array" ref="AK3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1" spans="1:37" ht="18" customHeight="1">
      <c r="A341" s="42">
        <v>1882</v>
      </c>
      <c r="B341" s="58" t="s">
        <v>3520</v>
      </c>
      <c r="C341" s="53" t="s">
        <v>203</v>
      </c>
      <c r="D341" s="51"/>
      <c r="E341" s="51"/>
      <c r="F341" s="53"/>
      <c r="G341" s="46"/>
      <c r="H341" s="53"/>
      <c r="I341" s="53" t="s">
        <v>3862</v>
      </c>
      <c r="J341" s="53" t="s">
        <v>533</v>
      </c>
      <c r="K341" s="48">
        <v>45567</v>
      </c>
      <c r="L341" s="49" t="s">
        <v>201</v>
      </c>
      <c r="M341" s="53"/>
      <c r="N341" s="77" t="str">
        <f>Table26[[#This Row],[po_number]]&amp;"-"&amp;Table26[[#This Row],[po_line]]</f>
        <v>-3</v>
      </c>
      <c r="O341" s="77">
        <v>3</v>
      </c>
      <c r="P341" s="50"/>
      <c r="Q341" s="53" t="s">
        <v>1316</v>
      </c>
      <c r="R341" s="53" t="s">
        <v>3830</v>
      </c>
      <c r="S341" s="53" t="s">
        <v>57</v>
      </c>
      <c r="T341" s="51">
        <v>45491</v>
      </c>
      <c r="U341" s="52">
        <v>120</v>
      </c>
      <c r="V341" s="53">
        <v>12</v>
      </c>
      <c r="W341" s="116">
        <f t="shared" si="10"/>
        <v>10</v>
      </c>
      <c r="X341" s="53" t="str">
        <f t="shared" si="11"/>
        <v/>
      </c>
      <c r="Y341" s="53" t="str">
        <f>IF(Table26[[#This Row],[customerSKU]]="","",_xlfn.XLOOKUP(Table26[[#This Row],[customerSKU]],Table27[customer_SKU],Table27[product_GTIN],"",0,1))</f>
        <v/>
      </c>
      <c r="Z341" s="25" t="s">
        <v>3390</v>
      </c>
      <c r="AA341" s="18" t="str" cm="1">
        <f t="array" ref="AA341">IF(P341="", "", _xlfn.XLOOKUP(P341,#REF!,#REF!,NA,0,-1))</f>
        <v/>
      </c>
      <c r="AB341" s="53"/>
      <c r="AC341" s="55" t="s">
        <v>79</v>
      </c>
      <c r="AD341" s="55" t="str">
        <f>IF($AC341="","",_xlfn.XLOOKUP($AC341,'[2]Client Info'!$C$2:$C$2535,'[2]Client Info'!$D$2:$D$2535))</f>
        <v>4-1832 King Edward St.</v>
      </c>
      <c r="AE341" s="55" t="str">
        <f>IF($AC341="","",_xlfn.XLOOKUP($AC341,'[2]Client Info'!$C$2:$C$2715,'[2]Client Info'!$E$2:$E$2715))</f>
        <v>WINNIPEG</v>
      </c>
      <c r="AF341" s="55" t="str">
        <f>IF($AC341="","",_xlfn.XLOOKUP($AC341,'[2]Client Info'!$C$2:$C$2715,'[2]Client Info'!$F$2:$F$2715))</f>
        <v>MB</v>
      </c>
      <c r="AG341" s="55" t="s">
        <v>3864</v>
      </c>
      <c r="AH341" s="62" t="str">
        <f>_xlfn.XLOOKUP(Table26[[#This Row],[customerSKU]],customerSKU!G:G,customerSKU!K:K,"NA",0,1)</f>
        <v>NA</v>
      </c>
      <c r="AI341" s="43" t="str">
        <f>_xlfn.XLOOKUP(Table26[[#This Row],[customerSKU]],customerSKU!G:G,customerSKU!O:O,"not found",0,1)</f>
        <v>not found</v>
      </c>
      <c r="AJ341" s="53" t="e">
        <f>Table26[[#This Row],[unitprice]]*Table26[[#This Row],[quantity_unit]]</f>
        <v>#VALUE!</v>
      </c>
      <c r="AK341" s="53" t="e" cm="1">
        <f t="array" ref="AK3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2" spans="1:37" ht="18" customHeight="1">
      <c r="A342" s="42">
        <v>1883</v>
      </c>
      <c r="B342" s="58" t="s">
        <v>3520</v>
      </c>
      <c r="C342" s="53" t="s">
        <v>203</v>
      </c>
      <c r="D342" s="51"/>
      <c r="E342" s="51"/>
      <c r="F342" s="53"/>
      <c r="G342" s="46"/>
      <c r="H342" s="53"/>
      <c r="I342" s="53" t="s">
        <v>3862</v>
      </c>
      <c r="J342" s="53" t="s">
        <v>533</v>
      </c>
      <c r="K342" s="48">
        <v>45567</v>
      </c>
      <c r="L342" s="49" t="s">
        <v>201</v>
      </c>
      <c r="M342" s="53"/>
      <c r="N342" s="77" t="str">
        <f>Table26[[#This Row],[po_number]]&amp;"-"&amp;Table26[[#This Row],[po_line]]</f>
        <v>-4</v>
      </c>
      <c r="O342" s="77">
        <v>4</v>
      </c>
      <c r="P342" s="50"/>
      <c r="Q342" s="53" t="s">
        <v>630</v>
      </c>
      <c r="R342" s="53" t="s">
        <v>3830</v>
      </c>
      <c r="S342" s="53" t="s">
        <v>57</v>
      </c>
      <c r="T342" s="51">
        <v>45543</v>
      </c>
      <c r="U342" s="52">
        <v>60</v>
      </c>
      <c r="V342" s="53">
        <v>12</v>
      </c>
      <c r="W342" s="116">
        <f t="shared" si="10"/>
        <v>5</v>
      </c>
      <c r="X342" s="53" t="str">
        <f t="shared" si="11"/>
        <v/>
      </c>
      <c r="Y342" s="53" t="str">
        <f>IF(Table26[[#This Row],[customerSKU]]="","",_xlfn.XLOOKUP(Table26[[#This Row],[customerSKU]],Table27[customer_SKU],Table27[product_GTIN],"",0,1))</f>
        <v/>
      </c>
      <c r="Z342" s="25" t="s">
        <v>3395</v>
      </c>
      <c r="AA342" s="18" t="str" cm="1">
        <f t="array" ref="AA342">IF(P342="", "", _xlfn.XLOOKUP(P342,#REF!,#REF!,NA,0,-1))</f>
        <v/>
      </c>
      <c r="AB342" s="53"/>
      <c r="AC342" s="55" t="s">
        <v>79</v>
      </c>
      <c r="AD342" s="55" t="str">
        <f>IF($AC342="","",_xlfn.XLOOKUP($AC342,'[2]Client Info'!$C$2:$C$2535,'[2]Client Info'!$D$2:$D$2535))</f>
        <v>4-1832 King Edward St.</v>
      </c>
      <c r="AE342" s="55" t="str">
        <f>IF($AC342="","",_xlfn.XLOOKUP($AC342,'[2]Client Info'!$C$2:$C$2715,'[2]Client Info'!$E$2:$E$2715))</f>
        <v>WINNIPEG</v>
      </c>
      <c r="AF342" s="55" t="str">
        <f>IF($AC342="","",_xlfn.XLOOKUP($AC342,'[2]Client Info'!$C$2:$C$2715,'[2]Client Info'!$F$2:$F$2715))</f>
        <v>MB</v>
      </c>
      <c r="AG342" s="55" t="s">
        <v>3864</v>
      </c>
      <c r="AH342" s="62" t="str">
        <f>_xlfn.XLOOKUP(Table26[[#This Row],[customerSKU]],customerSKU!G:G,customerSKU!K:K,"NA",0,1)</f>
        <v>NA</v>
      </c>
      <c r="AI342" s="43" t="str">
        <f>_xlfn.XLOOKUP(Table26[[#This Row],[customerSKU]],customerSKU!G:G,customerSKU!O:O,"not found",0,1)</f>
        <v>not found</v>
      </c>
      <c r="AJ342" s="53" t="e">
        <f>Table26[[#This Row],[unitprice]]*Table26[[#This Row],[quantity_unit]]</f>
        <v>#VALUE!</v>
      </c>
      <c r="AK342" s="53" t="e" cm="1">
        <f t="array" ref="AK3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3" spans="1:37" ht="18" customHeight="1">
      <c r="A343" s="42">
        <v>1884</v>
      </c>
      <c r="B343" s="58" t="s">
        <v>3520</v>
      </c>
      <c r="C343" s="53" t="s">
        <v>203</v>
      </c>
      <c r="D343" s="51"/>
      <c r="E343" s="51"/>
      <c r="F343" s="53"/>
      <c r="G343" s="46"/>
      <c r="H343" s="53"/>
      <c r="I343" s="53" t="s">
        <v>3862</v>
      </c>
      <c r="J343" s="53" t="s">
        <v>533</v>
      </c>
      <c r="K343" s="48">
        <v>45567</v>
      </c>
      <c r="L343" s="49" t="s">
        <v>201</v>
      </c>
      <c r="M343" s="53"/>
      <c r="N343" s="77" t="str">
        <f>Table26[[#This Row],[po_number]]&amp;"-"&amp;Table26[[#This Row],[po_line]]</f>
        <v>-5</v>
      </c>
      <c r="O343" s="77">
        <v>5</v>
      </c>
      <c r="P343" s="50"/>
      <c r="Q343" s="53" t="s">
        <v>866</v>
      </c>
      <c r="R343" s="53" t="s">
        <v>3830</v>
      </c>
      <c r="S343" s="53" t="s">
        <v>57</v>
      </c>
      <c r="T343" s="51">
        <v>45523</v>
      </c>
      <c r="U343" s="52">
        <v>24</v>
      </c>
      <c r="V343" s="53">
        <v>12</v>
      </c>
      <c r="W343" s="116">
        <f t="shared" si="10"/>
        <v>2</v>
      </c>
      <c r="X343" s="53" t="str">
        <f t="shared" si="11"/>
        <v/>
      </c>
      <c r="Y343" s="53" t="str">
        <f>IF(Table26[[#This Row],[customerSKU]]="","",_xlfn.XLOOKUP(Table26[[#This Row],[customerSKU]],Table27[customer_SKU],Table27[product_GTIN],"",0,1))</f>
        <v/>
      </c>
      <c r="Z343" s="25" t="s">
        <v>3528</v>
      </c>
      <c r="AA343" s="18" t="str" cm="1">
        <f t="array" ref="AA343">IF(P343="", "", _xlfn.XLOOKUP(P343,#REF!,#REF!,NA,0,-1))</f>
        <v/>
      </c>
      <c r="AB343" s="53"/>
      <c r="AC343" s="55" t="s">
        <v>79</v>
      </c>
      <c r="AD343" s="55" t="str">
        <f>IF($AC343="","",_xlfn.XLOOKUP($AC343,'[2]Client Info'!$C$2:$C$2535,'[2]Client Info'!$D$2:$D$2535))</f>
        <v>4-1832 King Edward St.</v>
      </c>
      <c r="AE343" s="55" t="str">
        <f>IF($AC343="","",_xlfn.XLOOKUP($AC343,'[2]Client Info'!$C$2:$C$2715,'[2]Client Info'!$E$2:$E$2715))</f>
        <v>WINNIPEG</v>
      </c>
      <c r="AF343" s="55" t="str">
        <f>IF($AC343="","",_xlfn.XLOOKUP($AC343,'[2]Client Info'!$C$2:$C$2715,'[2]Client Info'!$F$2:$F$2715))</f>
        <v>MB</v>
      </c>
      <c r="AG343" s="55" t="s">
        <v>3864</v>
      </c>
      <c r="AH343" s="62" t="str">
        <f>_xlfn.XLOOKUP(Table26[[#This Row],[customerSKU]],customerSKU!G:G,customerSKU!K:K,"NA",0,1)</f>
        <v>NA</v>
      </c>
      <c r="AI343" s="43" t="str">
        <f>_xlfn.XLOOKUP(Table26[[#This Row],[customerSKU]],customerSKU!G:G,customerSKU!O:O,"not found",0,1)</f>
        <v>not found</v>
      </c>
      <c r="AJ343" s="53" t="e">
        <f>Table26[[#This Row],[unitprice]]*Table26[[#This Row],[quantity_unit]]</f>
        <v>#VALUE!</v>
      </c>
      <c r="AK343" s="53" t="e" cm="1">
        <f t="array" ref="AK3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4" spans="1:37" ht="18" customHeight="1">
      <c r="A344" s="42">
        <v>1885</v>
      </c>
      <c r="B344" s="58" t="s">
        <v>3520</v>
      </c>
      <c r="C344" s="53" t="s">
        <v>203</v>
      </c>
      <c r="D344" s="51"/>
      <c r="E344" s="51"/>
      <c r="F344" s="53"/>
      <c r="G344" s="46"/>
      <c r="H344" s="53"/>
      <c r="I344" s="53" t="s">
        <v>3862</v>
      </c>
      <c r="J344" s="53" t="s">
        <v>533</v>
      </c>
      <c r="K344" s="48">
        <v>45567</v>
      </c>
      <c r="L344" s="49" t="s">
        <v>201</v>
      </c>
      <c r="M344" s="53"/>
      <c r="N344" s="77" t="str">
        <f>Table26[[#This Row],[po_number]]&amp;"-"&amp;Table26[[#This Row],[po_line]]</f>
        <v>-6</v>
      </c>
      <c r="O344" s="77">
        <v>6</v>
      </c>
      <c r="P344" s="50"/>
      <c r="Q344" s="53" t="s">
        <v>1311</v>
      </c>
      <c r="R344" s="53" t="s">
        <v>3830</v>
      </c>
      <c r="S344" s="53" t="s">
        <v>57</v>
      </c>
      <c r="T344" s="51">
        <v>45532</v>
      </c>
      <c r="U344" s="52">
        <v>120</v>
      </c>
      <c r="V344" s="53">
        <v>12</v>
      </c>
      <c r="W344" s="116">
        <f t="shared" si="10"/>
        <v>10</v>
      </c>
      <c r="X344" s="53" t="str">
        <f t="shared" si="11"/>
        <v/>
      </c>
      <c r="Y344" s="53" t="str">
        <f>IF(Table26[[#This Row],[customerSKU]]="","",_xlfn.XLOOKUP(Table26[[#This Row],[customerSKU]],Table27[customer_SKU],Table27[product_GTIN],"",0,1))</f>
        <v/>
      </c>
      <c r="Z344" s="60">
        <v>61621</v>
      </c>
      <c r="AA344" s="18" t="str" cm="1">
        <f t="array" ref="AA344">IF(P344="", "", _xlfn.XLOOKUP(P344,#REF!,#REF!,NA,0,-1))</f>
        <v/>
      </c>
      <c r="AB344" s="53"/>
      <c r="AC344" s="55" t="s">
        <v>79</v>
      </c>
      <c r="AD344" s="55" t="str">
        <f>IF($AC344="","",_xlfn.XLOOKUP($AC344,'[2]Client Info'!$C$2:$C$2535,'[2]Client Info'!$D$2:$D$2535))</f>
        <v>4-1832 King Edward St.</v>
      </c>
      <c r="AE344" s="55" t="str">
        <f>IF($AC344="","",_xlfn.XLOOKUP($AC344,'[2]Client Info'!$C$2:$C$2715,'[2]Client Info'!$E$2:$E$2715))</f>
        <v>WINNIPEG</v>
      </c>
      <c r="AF344" s="55" t="str">
        <f>IF($AC344="","",_xlfn.XLOOKUP($AC344,'[2]Client Info'!$C$2:$C$2715,'[2]Client Info'!$F$2:$F$2715))</f>
        <v>MB</v>
      </c>
      <c r="AG344" s="55" t="s">
        <v>3864</v>
      </c>
      <c r="AH344" s="62" t="str">
        <f>_xlfn.XLOOKUP(Table26[[#This Row],[customerSKU]],customerSKU!G:G,customerSKU!K:K,"NA",0,1)</f>
        <v>NA</v>
      </c>
      <c r="AI344" s="43" t="str">
        <f>_xlfn.XLOOKUP(Table26[[#This Row],[customerSKU]],customerSKU!G:G,customerSKU!O:O,"not found",0,1)</f>
        <v>not found</v>
      </c>
      <c r="AJ344" s="53" t="e">
        <f>Table26[[#This Row],[unitprice]]*Table26[[#This Row],[quantity_unit]]</f>
        <v>#VALUE!</v>
      </c>
      <c r="AK344" s="53" t="e" cm="1">
        <f t="array" ref="AK3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5" spans="1:37" ht="18" customHeight="1">
      <c r="A345" s="42">
        <v>1886</v>
      </c>
      <c r="B345" s="58" t="s">
        <v>3520</v>
      </c>
      <c r="C345" s="53" t="s">
        <v>203</v>
      </c>
      <c r="D345" s="51"/>
      <c r="E345" s="51"/>
      <c r="F345" s="53"/>
      <c r="G345" s="46"/>
      <c r="H345" s="53"/>
      <c r="I345" s="53" t="s">
        <v>3862</v>
      </c>
      <c r="J345" s="53" t="s">
        <v>533</v>
      </c>
      <c r="K345" s="48">
        <v>45567</v>
      </c>
      <c r="L345" s="49" t="s">
        <v>201</v>
      </c>
      <c r="M345" s="53"/>
      <c r="N345" s="77" t="str">
        <f>Table26[[#This Row],[po_number]]&amp;"-"&amp;Table26[[#This Row],[po_line]]</f>
        <v>-7</v>
      </c>
      <c r="O345" s="77">
        <v>7</v>
      </c>
      <c r="P345" s="50"/>
      <c r="Q345" s="53" t="s">
        <v>905</v>
      </c>
      <c r="R345" s="53" t="s">
        <v>3830</v>
      </c>
      <c r="S345" s="53" t="s">
        <v>57</v>
      </c>
      <c r="T345" s="51">
        <v>45541</v>
      </c>
      <c r="U345" s="52">
        <v>120</v>
      </c>
      <c r="V345" s="53">
        <v>12</v>
      </c>
      <c r="W345" s="116">
        <f t="shared" si="10"/>
        <v>10</v>
      </c>
      <c r="X345" s="53" t="str">
        <f t="shared" si="11"/>
        <v/>
      </c>
      <c r="Y345" s="53" t="str">
        <f>IF(Table26[[#This Row],[customerSKU]]="","",_xlfn.XLOOKUP(Table26[[#This Row],[customerSKU]],Table27[customer_SKU],Table27[product_GTIN],"",0,1))</f>
        <v/>
      </c>
      <c r="Z345" s="25" t="s">
        <v>3380</v>
      </c>
      <c r="AA345" s="18" t="str" cm="1">
        <f t="array" ref="AA345">IF(P345="", "", _xlfn.XLOOKUP(P345,#REF!,#REF!,NA,0,-1))</f>
        <v/>
      </c>
      <c r="AB345" s="53"/>
      <c r="AC345" s="55" t="s">
        <v>79</v>
      </c>
      <c r="AD345" s="55" t="str">
        <f>IF($AC345="","",_xlfn.XLOOKUP($AC345,'[2]Client Info'!$C$2:$C$2535,'[2]Client Info'!$D$2:$D$2535))</f>
        <v>4-1832 King Edward St.</v>
      </c>
      <c r="AE345" s="55" t="str">
        <f>IF($AC345="","",_xlfn.XLOOKUP($AC345,'[2]Client Info'!$C$2:$C$2715,'[2]Client Info'!$E$2:$E$2715))</f>
        <v>WINNIPEG</v>
      </c>
      <c r="AF345" s="55" t="str">
        <f>IF($AC345="","",_xlfn.XLOOKUP($AC345,'[2]Client Info'!$C$2:$C$2715,'[2]Client Info'!$F$2:$F$2715))</f>
        <v>MB</v>
      </c>
      <c r="AG345" s="55" t="s">
        <v>3864</v>
      </c>
      <c r="AH345" s="62" t="str">
        <f>_xlfn.XLOOKUP(Table26[[#This Row],[customerSKU]],customerSKU!G:G,customerSKU!K:K,"NA",0,1)</f>
        <v>NA</v>
      </c>
      <c r="AI345" s="43" t="str">
        <f>_xlfn.XLOOKUP(Table26[[#This Row],[customerSKU]],customerSKU!G:G,customerSKU!O:O,"not found",0,1)</f>
        <v>not found</v>
      </c>
      <c r="AJ345" s="53" t="e">
        <f>Table26[[#This Row],[unitprice]]*Table26[[#This Row],[quantity_unit]]</f>
        <v>#VALUE!</v>
      </c>
      <c r="AK345" s="53" t="e" cm="1">
        <f t="array" ref="AK3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6" spans="1:37" ht="24.6" customHeight="1">
      <c r="A346" s="42">
        <v>1887</v>
      </c>
      <c r="B346" s="58" t="s">
        <v>3520</v>
      </c>
      <c r="C346" s="53" t="s">
        <v>203</v>
      </c>
      <c r="D346" s="51"/>
      <c r="E346" s="51"/>
      <c r="F346" s="53"/>
      <c r="G346" s="46"/>
      <c r="H346" s="53"/>
      <c r="I346" s="53" t="s">
        <v>3862</v>
      </c>
      <c r="J346" s="53" t="s">
        <v>533</v>
      </c>
      <c r="K346" s="48">
        <v>45567</v>
      </c>
      <c r="L346" s="49" t="s">
        <v>201</v>
      </c>
      <c r="M346" s="53"/>
      <c r="N346" s="77" t="str">
        <f>Table26[[#This Row],[po_number]]&amp;"-"&amp;Table26[[#This Row],[po_line]]</f>
        <v>-8</v>
      </c>
      <c r="O346" s="77">
        <v>8</v>
      </c>
      <c r="P346" s="50"/>
      <c r="Q346" s="53" t="s">
        <v>3865</v>
      </c>
      <c r="R346" s="53" t="s">
        <v>3830</v>
      </c>
      <c r="S346" s="53" t="s">
        <v>57</v>
      </c>
      <c r="T346" s="51">
        <v>45497</v>
      </c>
      <c r="U346" s="52">
        <v>24</v>
      </c>
      <c r="V346" s="53">
        <v>12</v>
      </c>
      <c r="W346" s="116">
        <f t="shared" si="10"/>
        <v>2</v>
      </c>
      <c r="X346" s="53" t="str">
        <f t="shared" si="11"/>
        <v/>
      </c>
      <c r="Y346" s="53" t="str">
        <f>IF(Table26[[#This Row],[customerSKU]]="","",_xlfn.XLOOKUP(Table26[[#This Row],[customerSKU]],Table27[customer_SKU],Table27[product_GTIN],"",0,1))</f>
        <v/>
      </c>
      <c r="Z346" s="25" t="s">
        <v>3381</v>
      </c>
      <c r="AA346" s="18" t="str" cm="1">
        <f t="array" ref="AA346">IF(P346="", "", _xlfn.XLOOKUP(P346,#REF!,#REF!,NA,0,-1))</f>
        <v/>
      </c>
      <c r="AB346" s="53"/>
      <c r="AC346" s="55" t="s">
        <v>79</v>
      </c>
      <c r="AD346" s="55" t="str">
        <f>IF($AC346="","",_xlfn.XLOOKUP($AC346,'[2]Client Info'!$C$2:$C$2535,'[2]Client Info'!$D$2:$D$2535))</f>
        <v>4-1832 King Edward St.</v>
      </c>
      <c r="AE346" s="55" t="str">
        <f>IF($AC346="","",_xlfn.XLOOKUP($AC346,'[2]Client Info'!$C$2:$C$2715,'[2]Client Info'!$E$2:$E$2715))</f>
        <v>WINNIPEG</v>
      </c>
      <c r="AF346" s="55" t="str">
        <f>IF($AC346="","",_xlfn.XLOOKUP($AC346,'[2]Client Info'!$C$2:$C$2715,'[2]Client Info'!$F$2:$F$2715))</f>
        <v>MB</v>
      </c>
      <c r="AG346" s="55" t="s">
        <v>3864</v>
      </c>
      <c r="AH346" s="62" t="str">
        <f>_xlfn.XLOOKUP(Table26[[#This Row],[customerSKU]],customerSKU!G:G,customerSKU!K:K,"NA",0,1)</f>
        <v>NA</v>
      </c>
      <c r="AI346" s="43" t="str">
        <f>_xlfn.XLOOKUP(Table26[[#This Row],[customerSKU]],customerSKU!G:G,customerSKU!O:O,"not found",0,1)</f>
        <v>not found</v>
      </c>
      <c r="AJ346" s="53" t="e">
        <f>Table26[[#This Row],[unitprice]]*Table26[[#This Row],[quantity_unit]]</f>
        <v>#VALUE!</v>
      </c>
      <c r="AK346" s="53" t="e" cm="1">
        <f t="array" ref="AK3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7" spans="1:37" ht="18" customHeight="1">
      <c r="A347" s="42">
        <v>1888</v>
      </c>
      <c r="B347" s="58" t="s">
        <v>3520</v>
      </c>
      <c r="C347" s="53" t="s">
        <v>3360</v>
      </c>
      <c r="D347" s="51"/>
      <c r="E347" s="51"/>
      <c r="F347" s="53"/>
      <c r="G347" s="46"/>
      <c r="H347" s="53"/>
      <c r="I347" s="53" t="s">
        <v>3862</v>
      </c>
      <c r="J347" s="53" t="s">
        <v>533</v>
      </c>
      <c r="K347" s="48">
        <v>45567</v>
      </c>
      <c r="L347" s="49" t="s">
        <v>490</v>
      </c>
      <c r="M347" s="53"/>
      <c r="N347" s="77" t="str">
        <f>Table26[[#This Row],[po_number]]&amp;"-"&amp;Table26[[#This Row],[po_line]]</f>
        <v>-1</v>
      </c>
      <c r="O347" s="77">
        <v>1</v>
      </c>
      <c r="P347" s="50"/>
      <c r="Q347" s="53"/>
      <c r="R347" s="53"/>
      <c r="S347" s="53"/>
      <c r="T347" s="20"/>
      <c r="U347" s="52">
        <v>12</v>
      </c>
      <c r="V347" s="53" t="str">
        <f>IF(ISBLANK(Table26[[#This Row],[customerSKU]]),"",_xlfn.XLOOKUP(Table26[[#This Row],[customerSKU]],Table27[customer_SKU],Table27[case_size],"",0,1))</f>
        <v/>
      </c>
      <c r="W347" s="116" t="str">
        <f t="shared" si="10"/>
        <v/>
      </c>
      <c r="X347" s="53" t="str">
        <f t="shared" si="11"/>
        <v/>
      </c>
      <c r="Y347" s="53" t="str">
        <f>IF(Table26[[#This Row],[customerSKU]]="","",_xlfn.XLOOKUP(Table26[[#This Row],[customerSKU]],Table27[customer_SKU],Table27[product_GTIN],"",0,1))</f>
        <v/>
      </c>
      <c r="Z347" s="25" t="s">
        <v>3455</v>
      </c>
      <c r="AA347" s="18" t="str" cm="1">
        <f t="array" ref="AA347">IF(P347="", "", _xlfn.XLOOKUP(P347,#REF!,#REF!,NA,0,-1))</f>
        <v/>
      </c>
      <c r="AB347" s="53"/>
      <c r="AC347" s="55" t="s">
        <v>4002</v>
      </c>
      <c r="AD347" s="55" t="str">
        <f>IF($AC347="","",_xlfn.XLOOKUP($AC347,'[2]Client Info'!$C$2:$C$2535,'[2]Client Info'!$D$2:$D$2535))</f>
        <v>1-827 DAKOTA ST</v>
      </c>
      <c r="AE347" s="55" t="str">
        <f>IF($AC347="","",_xlfn.XLOOKUP($AC347,'[2]Client Info'!$C$2:$C$2715,'[2]Client Info'!$E$2:$E$2715))</f>
        <v>Winnipeg</v>
      </c>
      <c r="AF347" s="55" t="str">
        <f>IF($AC347="","",_xlfn.XLOOKUP($AC347,'[2]Client Info'!$C$2:$C$2715,'[2]Client Info'!$F$2:$F$2715))</f>
        <v>MB</v>
      </c>
      <c r="AG347" s="55" t="str">
        <f>IF(ISBLANK(Table26[[#This Row],[customerSKU]]),"",_xlfn.XLOOKUP(Table26[[#This Row],[customerSKU]],Table27[customer_SKU],Table27[shipto],"",0,1))</f>
        <v/>
      </c>
      <c r="AH347" s="62" t="str">
        <f>_xlfn.XLOOKUP(Table26[[#This Row],[customerSKU]],customerSKU!G:G,customerSKU!K:K,"NA",0,1)</f>
        <v>NA</v>
      </c>
      <c r="AI347" s="43" t="str">
        <f>_xlfn.XLOOKUP(Table26[[#This Row],[customerSKU]],customerSKU!G:G,customerSKU!O:O,"not found",0,1)</f>
        <v>not found</v>
      </c>
      <c r="AJ347" s="53" t="e">
        <f>Table26[[#This Row],[unitprice]]*Table26[[#This Row],[quantity_unit]]</f>
        <v>#VALUE!</v>
      </c>
      <c r="AK347" s="53" t="e" cm="1">
        <f t="array" ref="AK3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8" spans="1:37" ht="18" customHeight="1">
      <c r="A348" s="42">
        <v>1889</v>
      </c>
      <c r="B348" s="58" t="s">
        <v>3520</v>
      </c>
      <c r="C348" s="53" t="s">
        <v>3360</v>
      </c>
      <c r="D348" s="51"/>
      <c r="E348" s="51"/>
      <c r="F348" s="53"/>
      <c r="G348" s="46"/>
      <c r="H348" s="53"/>
      <c r="I348" s="53" t="s">
        <v>3862</v>
      </c>
      <c r="J348" s="53" t="s">
        <v>533</v>
      </c>
      <c r="K348" s="48">
        <v>45567</v>
      </c>
      <c r="L348" s="49" t="s">
        <v>490</v>
      </c>
      <c r="M348" s="53"/>
      <c r="N348" s="77" t="str">
        <f>Table26[[#This Row],[po_number]]&amp;"-"&amp;Table26[[#This Row],[po_line]]</f>
        <v>-1</v>
      </c>
      <c r="O348" s="77">
        <v>1</v>
      </c>
      <c r="P348" s="50"/>
      <c r="Q348" s="53"/>
      <c r="R348" s="53"/>
      <c r="S348" s="53"/>
      <c r="T348" s="20"/>
      <c r="U348" s="52">
        <v>12</v>
      </c>
      <c r="V348" s="53" t="str">
        <f>IF(ISBLANK(Table26[[#This Row],[customerSKU]]),"",_xlfn.XLOOKUP(Table26[[#This Row],[customerSKU]],Table27[customer_SKU],Table27[case_size],"",0,1))</f>
        <v/>
      </c>
      <c r="W348" s="116" t="str">
        <f t="shared" si="10"/>
        <v/>
      </c>
      <c r="X348" s="53" t="str">
        <f t="shared" si="11"/>
        <v/>
      </c>
      <c r="Y348" s="53" t="str">
        <f>IF(Table26[[#This Row],[customerSKU]]="","",_xlfn.XLOOKUP(Table26[[#This Row],[customerSKU]],Table27[customer_SKU],Table27[product_GTIN],"",0,1))</f>
        <v/>
      </c>
      <c r="Z348" s="25" t="s">
        <v>3455</v>
      </c>
      <c r="AA348" s="18" t="str" cm="1">
        <f t="array" ref="AA348">IF(P348="", "", _xlfn.XLOOKUP(P348,#REF!,#REF!,NA,0,-1))</f>
        <v/>
      </c>
      <c r="AB348" s="53"/>
      <c r="AC348" s="55" t="s">
        <v>4003</v>
      </c>
      <c r="AD348" s="55" t="str">
        <f>IF($AC348="","",_xlfn.XLOOKUP($AC348,'[2]Client Info'!$C$2:$C$2535,'[2]Client Info'!$D$2:$D$2535))</f>
        <v>478 RIVER AVE</v>
      </c>
      <c r="AE348" s="55" t="str">
        <f>IF($AC348="","",_xlfn.XLOOKUP($AC348,'[2]Client Info'!$C$2:$C$2715,'[2]Client Info'!$E$2:$E$2715))</f>
        <v>Winnipeg</v>
      </c>
      <c r="AF348" s="55" t="str">
        <f>IF($AC348="","",_xlfn.XLOOKUP($AC348,'[2]Client Info'!$C$2:$C$2715,'[2]Client Info'!$F$2:$F$2715))</f>
        <v>MB</v>
      </c>
      <c r="AG348" s="55" t="str">
        <f>IF(ISBLANK(Table26[[#This Row],[customerSKU]]),"",_xlfn.XLOOKUP(Table26[[#This Row],[customerSKU]],Table27[customer_SKU],Table27[shipto],"",0,1))</f>
        <v/>
      </c>
      <c r="AH348" s="62" t="str">
        <f>_xlfn.XLOOKUP(Table26[[#This Row],[customerSKU]],customerSKU!G:G,customerSKU!K:K,"NA",0,1)</f>
        <v>NA</v>
      </c>
      <c r="AI348" s="43" t="str">
        <f>_xlfn.XLOOKUP(Table26[[#This Row],[customerSKU]],customerSKU!G:G,customerSKU!O:O,"not found",0,1)</f>
        <v>not found</v>
      </c>
      <c r="AJ348" s="53" t="e">
        <f>Table26[[#This Row],[unitprice]]*Table26[[#This Row],[quantity_unit]]</f>
        <v>#VALUE!</v>
      </c>
      <c r="AK348" s="53" t="e" cm="1">
        <f t="array" ref="AK3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49" spans="1:37" ht="18" customHeight="1">
      <c r="A349" s="42">
        <v>1890</v>
      </c>
      <c r="B349" s="58" t="s">
        <v>3520</v>
      </c>
      <c r="C349" s="53" t="s">
        <v>3360</v>
      </c>
      <c r="D349" s="51"/>
      <c r="E349" s="51"/>
      <c r="F349" s="53"/>
      <c r="G349" s="46"/>
      <c r="H349" s="53"/>
      <c r="I349" s="53" t="s">
        <v>3862</v>
      </c>
      <c r="J349" s="53" t="s">
        <v>533</v>
      </c>
      <c r="K349" s="48">
        <v>45567</v>
      </c>
      <c r="L349" s="49" t="s">
        <v>490</v>
      </c>
      <c r="M349" s="53"/>
      <c r="N349" s="77" t="str">
        <f>Table26[[#This Row],[po_number]]&amp;"-"&amp;Table26[[#This Row],[po_line]]</f>
        <v>-1</v>
      </c>
      <c r="O349" s="77">
        <v>1</v>
      </c>
      <c r="P349" s="50"/>
      <c r="Q349" s="53"/>
      <c r="R349" s="53"/>
      <c r="S349" s="53"/>
      <c r="T349" s="20"/>
      <c r="U349" s="52">
        <v>12</v>
      </c>
      <c r="V349" s="53" t="str">
        <f>IF(ISBLANK(Table26[[#This Row],[customerSKU]]),"",_xlfn.XLOOKUP(Table26[[#This Row],[customerSKU]],Table27[customer_SKU],Table27[case_size],"",0,1))</f>
        <v/>
      </c>
      <c r="W349" s="116" t="str">
        <f t="shared" si="10"/>
        <v/>
      </c>
      <c r="X349" s="53" t="str">
        <f t="shared" si="11"/>
        <v/>
      </c>
      <c r="Y349" s="53" t="str">
        <f>IF(Table26[[#This Row],[customerSKU]]="","",_xlfn.XLOOKUP(Table26[[#This Row],[customerSKU]],Table27[customer_SKU],Table27[product_GTIN],"",0,1))</f>
        <v/>
      </c>
      <c r="Z349" s="25" t="s">
        <v>3455</v>
      </c>
      <c r="AA349" s="18" t="str" cm="1">
        <f t="array" ref="AA349">IF(P349="", "", _xlfn.XLOOKUP(P349,#REF!,#REF!,NA,0,-1))</f>
        <v/>
      </c>
      <c r="AB349" s="53"/>
      <c r="AC349" s="55" t="s">
        <v>4004</v>
      </c>
      <c r="AD349" s="55" t="str">
        <f>IF($AC349="","",_xlfn.XLOOKUP($AC349,'[2]Client Info'!$C$2:$C$2535,'[2]Client Info'!$D$2:$D$2535))</f>
        <v>48-1570 18TH ST</v>
      </c>
      <c r="AE349" s="55" t="str">
        <f>IF($AC349="","",_xlfn.XLOOKUP($AC349,'[2]Client Info'!$C$2:$C$2715,'[2]Client Info'!$E$2:$E$2715))</f>
        <v>Brandon</v>
      </c>
      <c r="AF349" s="55" t="str">
        <f>IF($AC349="","",_xlfn.XLOOKUP($AC349,'[2]Client Info'!$C$2:$C$2715,'[2]Client Info'!$F$2:$F$2715))</f>
        <v>MB</v>
      </c>
      <c r="AG349" s="55" t="str">
        <f>IF(ISBLANK(Table26[[#This Row],[customerSKU]]),"",_xlfn.XLOOKUP(Table26[[#This Row],[customerSKU]],Table27[customer_SKU],Table27[shipto],"",0,1))</f>
        <v/>
      </c>
      <c r="AH349" s="62" t="str">
        <f>_xlfn.XLOOKUP(Table26[[#This Row],[customerSKU]],customerSKU!G:G,customerSKU!K:K,"NA",0,1)</f>
        <v>NA</v>
      </c>
      <c r="AI349" s="43" t="str">
        <f>_xlfn.XLOOKUP(Table26[[#This Row],[customerSKU]],customerSKU!G:G,customerSKU!O:O,"not found",0,1)</f>
        <v>not found</v>
      </c>
      <c r="AJ349" s="53" t="e">
        <f>Table26[[#This Row],[unitprice]]*Table26[[#This Row],[quantity_unit]]</f>
        <v>#VALUE!</v>
      </c>
      <c r="AK349" s="53" t="e" cm="1">
        <f t="array" ref="AK3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0" spans="1:37" ht="18" customHeight="1">
      <c r="A350" s="42">
        <v>1891</v>
      </c>
      <c r="B350" s="58" t="s">
        <v>3520</v>
      </c>
      <c r="C350" s="53" t="s">
        <v>3360</v>
      </c>
      <c r="D350" s="51"/>
      <c r="E350" s="51"/>
      <c r="F350" s="53"/>
      <c r="G350" s="46"/>
      <c r="H350" s="53"/>
      <c r="I350" s="53" t="s">
        <v>3862</v>
      </c>
      <c r="J350" s="53" t="s">
        <v>533</v>
      </c>
      <c r="K350" s="48">
        <v>45567</v>
      </c>
      <c r="L350" s="49" t="s">
        <v>490</v>
      </c>
      <c r="M350" s="53"/>
      <c r="N350" s="77" t="str">
        <f>Table26[[#This Row],[po_number]]&amp;"-"&amp;Table26[[#This Row],[po_line]]</f>
        <v>-1</v>
      </c>
      <c r="O350" s="77">
        <v>1</v>
      </c>
      <c r="P350" s="50"/>
      <c r="Q350" s="53"/>
      <c r="R350" s="53"/>
      <c r="S350" s="53"/>
      <c r="T350" s="20"/>
      <c r="U350" s="52">
        <v>12</v>
      </c>
      <c r="V350" s="53" t="str">
        <f>IF(ISBLANK(Table26[[#This Row],[customerSKU]]),"",_xlfn.XLOOKUP(Table26[[#This Row],[customerSKU]],Table27[customer_SKU],Table27[case_size],"",0,1))</f>
        <v/>
      </c>
      <c r="W350" s="116" t="str">
        <f t="shared" si="10"/>
        <v/>
      </c>
      <c r="X350" s="53" t="str">
        <f t="shared" si="11"/>
        <v/>
      </c>
      <c r="Y350" s="53" t="str">
        <f>IF(Table26[[#This Row],[customerSKU]]="","",_xlfn.XLOOKUP(Table26[[#This Row],[customerSKU]],Table27[customer_SKU],Table27[product_GTIN],"",0,1))</f>
        <v/>
      </c>
      <c r="Z350" s="25" t="s">
        <v>3455</v>
      </c>
      <c r="AA350" s="18" t="str" cm="1">
        <f t="array" ref="AA350">IF(P350="", "", _xlfn.XLOOKUP(P350,#REF!,#REF!,NA,0,-1))</f>
        <v/>
      </c>
      <c r="AB350" s="53"/>
      <c r="AC350" s="55" t="s">
        <v>4005</v>
      </c>
      <c r="AD350" s="55" t="str">
        <f>IF($AC350="","",_xlfn.XLOOKUP($AC350,'[2]Client Info'!$C$2:$C$2535,'[2]Client Info'!$D$2:$D$2535))</f>
        <v>300 MYSTERY LAKE ROAD</v>
      </c>
      <c r="AE350" s="55" t="str">
        <f>IF($AC350="","",_xlfn.XLOOKUP($AC350,'[2]Client Info'!$C$2:$C$2715,'[2]Client Info'!$E$2:$E$2715))</f>
        <v>THOMPSON</v>
      </c>
      <c r="AF350" s="55" t="str">
        <f>IF($AC350="","",_xlfn.XLOOKUP($AC350,'[2]Client Info'!$C$2:$C$2715,'[2]Client Info'!$F$2:$F$2715))</f>
        <v>MB</v>
      </c>
      <c r="AG350" s="55" t="str">
        <f>IF(ISBLANK(Table26[[#This Row],[customerSKU]]),"",_xlfn.XLOOKUP(Table26[[#This Row],[customerSKU]],Table27[customer_SKU],Table27[shipto],"",0,1))</f>
        <v/>
      </c>
      <c r="AH350" s="62" t="str">
        <f>_xlfn.XLOOKUP(Table26[[#This Row],[customerSKU]],customerSKU!G:G,customerSKU!K:K,"NA",0,1)</f>
        <v>NA</v>
      </c>
      <c r="AI350" s="43" t="str">
        <f>_xlfn.XLOOKUP(Table26[[#This Row],[customerSKU]],customerSKU!G:G,customerSKU!O:O,"not found",0,1)</f>
        <v>not found</v>
      </c>
      <c r="AJ350" s="53" t="e">
        <f>Table26[[#This Row],[unitprice]]*Table26[[#This Row],[quantity_unit]]</f>
        <v>#VALUE!</v>
      </c>
      <c r="AK350" s="53" t="e" cm="1">
        <f t="array" ref="AK3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1" spans="1:37" ht="18" customHeight="1">
      <c r="A351" s="42">
        <v>1892</v>
      </c>
      <c r="B351" s="58" t="s">
        <v>3520</v>
      </c>
      <c r="C351" s="53" t="s">
        <v>3360</v>
      </c>
      <c r="D351" s="51"/>
      <c r="E351" s="51"/>
      <c r="F351" s="53"/>
      <c r="G351" s="46"/>
      <c r="H351" s="53"/>
      <c r="I351" s="53" t="s">
        <v>3862</v>
      </c>
      <c r="J351" s="53" t="s">
        <v>533</v>
      </c>
      <c r="K351" s="48">
        <v>45567</v>
      </c>
      <c r="L351" s="49" t="s">
        <v>490</v>
      </c>
      <c r="M351" s="53"/>
      <c r="N351" s="77" t="str">
        <f>Table26[[#This Row],[po_number]]&amp;"-"&amp;Table26[[#This Row],[po_line]]</f>
        <v>-1</v>
      </c>
      <c r="O351" s="77">
        <v>1</v>
      </c>
      <c r="P351" s="50"/>
      <c r="Q351" s="53"/>
      <c r="R351" s="53"/>
      <c r="S351" s="53"/>
      <c r="T351" s="20"/>
      <c r="U351" s="52">
        <v>12</v>
      </c>
      <c r="V351" s="53" t="str">
        <f>IF(ISBLANK(Table26[[#This Row],[customerSKU]]),"",_xlfn.XLOOKUP(Table26[[#This Row],[customerSKU]],Table27[customer_SKU],Table27[case_size],"",0,1))</f>
        <v/>
      </c>
      <c r="W351" s="116" t="str">
        <f t="shared" si="10"/>
        <v/>
      </c>
      <c r="X351" s="53" t="str">
        <f t="shared" si="11"/>
        <v/>
      </c>
      <c r="Y351" s="53" t="str">
        <f>IF(Table26[[#This Row],[customerSKU]]="","",_xlfn.XLOOKUP(Table26[[#This Row],[customerSKU]],Table27[customer_SKU],Table27[product_GTIN],"",0,1))</f>
        <v/>
      </c>
      <c r="Z351" s="25" t="s">
        <v>3455</v>
      </c>
      <c r="AA351" s="18" t="str" cm="1">
        <f t="array" ref="AA351">IF(P351="", "", _xlfn.XLOOKUP(P351,#REF!,#REF!,NA,0,-1))</f>
        <v/>
      </c>
      <c r="AB351" s="53"/>
      <c r="AC351" s="55" t="s">
        <v>4006</v>
      </c>
      <c r="AD351" s="55" t="str">
        <f>IF($AC351="","",_xlfn.XLOOKUP($AC351,'[2]Client Info'!$C$2:$C$2535,'[2]Client Info'!$D$2:$D$2535))</f>
        <v>2-1589 KENASTON BLVD</v>
      </c>
      <c r="AE351" s="55" t="str">
        <f>IF($AC351="","",_xlfn.XLOOKUP($AC351,'[2]Client Info'!$C$2:$C$2715,'[2]Client Info'!$E$2:$E$2715))</f>
        <v>Winnipeg</v>
      </c>
      <c r="AF351" s="55" t="str">
        <f>IF($AC351="","",_xlfn.XLOOKUP($AC351,'[2]Client Info'!$C$2:$C$2715,'[2]Client Info'!$F$2:$F$2715))</f>
        <v>MB</v>
      </c>
      <c r="AG351" s="55" t="str">
        <f>IF(ISBLANK(Table26[[#This Row],[customerSKU]]),"",_xlfn.XLOOKUP(Table26[[#This Row],[customerSKU]],Table27[customer_SKU],Table27[shipto],"",0,1))</f>
        <v/>
      </c>
      <c r="AH351" s="62" t="str">
        <f>_xlfn.XLOOKUP(Table26[[#This Row],[customerSKU]],customerSKU!G:G,customerSKU!K:K,"NA",0,1)</f>
        <v>NA</v>
      </c>
      <c r="AI351" s="43" t="str">
        <f>_xlfn.XLOOKUP(Table26[[#This Row],[customerSKU]],customerSKU!G:G,customerSKU!O:O,"not found",0,1)</f>
        <v>not found</v>
      </c>
      <c r="AJ351" s="53" t="e">
        <f>Table26[[#This Row],[unitprice]]*Table26[[#This Row],[quantity_unit]]</f>
        <v>#VALUE!</v>
      </c>
      <c r="AK351" s="53" t="e" cm="1">
        <f t="array" ref="AK3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2" spans="1:37" ht="18" customHeight="1">
      <c r="A352" s="42">
        <v>1893</v>
      </c>
      <c r="B352" s="58" t="s">
        <v>3520</v>
      </c>
      <c r="C352" s="53" t="s">
        <v>3360</v>
      </c>
      <c r="D352" s="51"/>
      <c r="E352" s="51"/>
      <c r="F352" s="53"/>
      <c r="G352" s="46"/>
      <c r="H352" s="53"/>
      <c r="I352" s="53" t="s">
        <v>3862</v>
      </c>
      <c r="J352" s="53" t="s">
        <v>533</v>
      </c>
      <c r="K352" s="48">
        <v>45567</v>
      </c>
      <c r="L352" s="49" t="s">
        <v>490</v>
      </c>
      <c r="M352" s="53"/>
      <c r="N352" s="77" t="str">
        <f>Table26[[#This Row],[po_number]]&amp;"-"&amp;Table26[[#This Row],[po_line]]</f>
        <v>-1</v>
      </c>
      <c r="O352" s="77">
        <v>1</v>
      </c>
      <c r="P352" s="50"/>
      <c r="Q352" s="53"/>
      <c r="R352" s="53"/>
      <c r="S352" s="53"/>
      <c r="T352" s="20"/>
      <c r="U352" s="52">
        <v>12</v>
      </c>
      <c r="V352" s="53" t="str">
        <f>IF(ISBLANK(Table26[[#This Row],[customerSKU]]),"",_xlfn.XLOOKUP(Table26[[#This Row],[customerSKU]],Table27[customer_SKU],Table27[case_size],"",0,1))</f>
        <v/>
      </c>
      <c r="W352" s="116" t="str">
        <f t="shared" si="10"/>
        <v/>
      </c>
      <c r="X352" s="53" t="str">
        <f t="shared" si="11"/>
        <v/>
      </c>
      <c r="Y352" s="53" t="str">
        <f>IF(Table26[[#This Row],[customerSKU]]="","",_xlfn.XLOOKUP(Table26[[#This Row],[customerSKU]],Table27[customer_SKU],Table27[product_GTIN],"",0,1))</f>
        <v/>
      </c>
      <c r="Z352" s="25" t="s">
        <v>3455</v>
      </c>
      <c r="AA352" s="18" t="str" cm="1">
        <f t="array" ref="AA352">IF(P352="", "", _xlfn.XLOOKUP(P352,#REF!,#REF!,NA,0,-1))</f>
        <v/>
      </c>
      <c r="AB352" s="53"/>
      <c r="AC352" s="55" t="s">
        <v>4007</v>
      </c>
      <c r="AD352" s="55" t="str">
        <f>IF($AC352="","",_xlfn.XLOOKUP($AC352,'[2]Client Info'!$C$2:$C$2535,'[2]Client Info'!$D$2:$D$2535))</f>
        <v>UNIT 655-1615 REGENT AVE WEST</v>
      </c>
      <c r="AE352" s="55" t="str">
        <f>IF($AC352="","",_xlfn.XLOOKUP($AC352,'[2]Client Info'!$C$2:$C$2715,'[2]Client Info'!$E$2:$E$2715))</f>
        <v>Winnipeg</v>
      </c>
      <c r="AF352" s="55" t="str">
        <f>IF($AC352="","",_xlfn.XLOOKUP($AC352,'[2]Client Info'!$C$2:$C$2715,'[2]Client Info'!$F$2:$F$2715))</f>
        <v>MB</v>
      </c>
      <c r="AG352" s="55" t="str">
        <f>IF(ISBLANK(Table26[[#This Row],[customerSKU]]),"",_xlfn.XLOOKUP(Table26[[#This Row],[customerSKU]],Table27[customer_SKU],Table27[shipto],"",0,1))</f>
        <v/>
      </c>
      <c r="AH352" s="62" t="str">
        <f>_xlfn.XLOOKUP(Table26[[#This Row],[customerSKU]],customerSKU!G:G,customerSKU!K:K,"NA",0,1)</f>
        <v>NA</v>
      </c>
      <c r="AI352" s="43" t="str">
        <f>_xlfn.XLOOKUP(Table26[[#This Row],[customerSKU]],customerSKU!G:G,customerSKU!O:O,"not found",0,1)</f>
        <v>not found</v>
      </c>
      <c r="AJ352" s="53" t="e">
        <f>Table26[[#This Row],[unitprice]]*Table26[[#This Row],[quantity_unit]]</f>
        <v>#VALUE!</v>
      </c>
      <c r="AK352" s="53" t="e" cm="1">
        <f t="array" ref="AK3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3" spans="1:37" ht="18" customHeight="1">
      <c r="A353" s="42">
        <v>1894</v>
      </c>
      <c r="B353" s="58" t="s">
        <v>3520</v>
      </c>
      <c r="C353" s="53" t="s">
        <v>3360</v>
      </c>
      <c r="D353" s="51"/>
      <c r="E353" s="51"/>
      <c r="F353" s="53"/>
      <c r="G353" s="46"/>
      <c r="H353" s="53"/>
      <c r="I353" s="53" t="s">
        <v>3862</v>
      </c>
      <c r="J353" s="53" t="s">
        <v>533</v>
      </c>
      <c r="K353" s="48">
        <v>45567</v>
      </c>
      <c r="L353" s="49" t="s">
        <v>490</v>
      </c>
      <c r="M353" s="53"/>
      <c r="N353" s="77" t="str">
        <f>Table26[[#This Row],[po_number]]&amp;"-"&amp;Table26[[#This Row],[po_line]]</f>
        <v>-1</v>
      </c>
      <c r="O353" s="77">
        <v>1</v>
      </c>
      <c r="P353" s="50"/>
      <c r="Q353" s="53"/>
      <c r="R353" s="53"/>
      <c r="S353" s="53"/>
      <c r="T353" s="20"/>
      <c r="U353" s="52">
        <v>12</v>
      </c>
      <c r="V353" s="53" t="str">
        <f>IF(ISBLANK(Table26[[#This Row],[customerSKU]]),"",_xlfn.XLOOKUP(Table26[[#This Row],[customerSKU]],Table27[customer_SKU],Table27[case_size],"",0,1))</f>
        <v/>
      </c>
      <c r="W353" s="116" t="str">
        <f t="shared" si="10"/>
        <v/>
      </c>
      <c r="X353" s="53" t="str">
        <f t="shared" si="11"/>
        <v/>
      </c>
      <c r="Y353" s="53" t="str">
        <f>IF(Table26[[#This Row],[customerSKU]]="","",_xlfn.XLOOKUP(Table26[[#This Row],[customerSKU]],Table27[customer_SKU],Table27[product_GTIN],"",0,1))</f>
        <v/>
      </c>
      <c r="Z353" s="25" t="s">
        <v>3455</v>
      </c>
      <c r="AA353" s="18" t="str" cm="1">
        <f t="array" ref="AA353">IF(P353="", "", _xlfn.XLOOKUP(P353,#REF!,#REF!,NA,0,-1))</f>
        <v/>
      </c>
      <c r="AB353" s="53"/>
      <c r="AC353" s="55" t="s">
        <v>4009</v>
      </c>
      <c r="AD353" s="55" t="str">
        <f>IF($AC353="","",_xlfn.XLOOKUP($AC353,'[2]Client Info'!$C$2:$C$2535,'[2]Client Info'!$D$2:$D$2535))</f>
        <v>2001 HENDERSON HWY</v>
      </c>
      <c r="AE353" s="55" t="str">
        <f>IF($AC353="","",_xlfn.XLOOKUP($AC353,'[2]Client Info'!$C$2:$C$2715,'[2]Client Info'!$E$2:$E$2715))</f>
        <v>Winnipeg</v>
      </c>
      <c r="AF353" s="55" t="str">
        <f>IF($AC353="","",_xlfn.XLOOKUP($AC353,'[2]Client Info'!$C$2:$C$2715,'[2]Client Info'!$F$2:$F$2715))</f>
        <v>MB</v>
      </c>
      <c r="AG353" s="55" t="str">
        <f>IF(ISBLANK(Table26[[#This Row],[customerSKU]]),"",_xlfn.XLOOKUP(Table26[[#This Row],[customerSKU]],Table27[customer_SKU],Table27[shipto],"",0,1))</f>
        <v/>
      </c>
      <c r="AH353" s="62" t="str">
        <f>_xlfn.XLOOKUP(Table26[[#This Row],[customerSKU]],customerSKU!G:G,customerSKU!K:K,"NA",0,1)</f>
        <v>NA</v>
      </c>
      <c r="AI353" s="43" t="str">
        <f>_xlfn.XLOOKUP(Table26[[#This Row],[customerSKU]],customerSKU!G:G,customerSKU!O:O,"not found",0,1)</f>
        <v>not found</v>
      </c>
      <c r="AJ353" s="53" t="e">
        <f>Table26[[#This Row],[unitprice]]*Table26[[#This Row],[quantity_unit]]</f>
        <v>#VALUE!</v>
      </c>
      <c r="AK353" s="53" t="e" cm="1">
        <f t="array" ref="AK3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4" spans="1:37" ht="24.6" customHeight="1">
      <c r="A354" s="42">
        <v>1895</v>
      </c>
      <c r="B354" s="58" t="s">
        <v>3520</v>
      </c>
      <c r="C354" s="53" t="s">
        <v>3360</v>
      </c>
      <c r="D354" s="51"/>
      <c r="E354" s="51"/>
      <c r="F354" s="53"/>
      <c r="G354" s="46"/>
      <c r="H354" s="53"/>
      <c r="I354" s="53" t="s">
        <v>3862</v>
      </c>
      <c r="J354" s="53" t="s">
        <v>533</v>
      </c>
      <c r="K354" s="48">
        <v>45567</v>
      </c>
      <c r="L354" s="49" t="s">
        <v>490</v>
      </c>
      <c r="M354" s="53"/>
      <c r="N354" s="77" t="str">
        <f>Table26[[#This Row],[po_number]]&amp;"-"&amp;Table26[[#This Row],[po_line]]</f>
        <v>-1</v>
      </c>
      <c r="O354" s="77">
        <v>1</v>
      </c>
      <c r="P354" s="50"/>
      <c r="Q354" s="53"/>
      <c r="R354" s="53"/>
      <c r="S354" s="53"/>
      <c r="T354" s="20"/>
      <c r="U354" s="52">
        <v>12</v>
      </c>
      <c r="V354" s="53" t="str">
        <f>IF(ISBLANK(Table26[[#This Row],[customerSKU]]),"",_xlfn.XLOOKUP(Table26[[#This Row],[customerSKU]],Table27[customer_SKU],Table27[case_size],"",0,1))</f>
        <v/>
      </c>
      <c r="W354" s="116" t="str">
        <f t="shared" si="10"/>
        <v/>
      </c>
      <c r="X354" s="53" t="str">
        <f t="shared" si="11"/>
        <v/>
      </c>
      <c r="Y354" s="53" t="str">
        <f>IF(Table26[[#This Row],[customerSKU]]="","",_xlfn.XLOOKUP(Table26[[#This Row],[customerSKU]],Table27[customer_SKU],Table27[product_GTIN],"",0,1))</f>
        <v/>
      </c>
      <c r="Z354" s="25" t="s">
        <v>3455</v>
      </c>
      <c r="AA354" s="18" t="str" cm="1">
        <f t="array" ref="AA354">IF(P354="", "", _xlfn.XLOOKUP(P354,#REF!,#REF!,NA,0,-1))</f>
        <v/>
      </c>
      <c r="AB354" s="53"/>
      <c r="AC354" s="55" t="s">
        <v>4008</v>
      </c>
      <c r="AD354" s="55" t="str">
        <f>IF($AC354="","",_xlfn.XLOOKUP($AC354,'[2]Client Info'!$C$2:$C$2535,'[2]Client Info'!$D$2:$D$2535))</f>
        <v>15-1399 MCPHILLIPS ST</v>
      </c>
      <c r="AE354" s="55" t="str">
        <f>IF($AC354="","",_xlfn.XLOOKUP($AC354,'[2]Client Info'!$C$2:$C$2715,'[2]Client Info'!$E$2:$E$2715))</f>
        <v>Winnipeg</v>
      </c>
      <c r="AF354" s="55" t="str">
        <f>IF($AC354="","",_xlfn.XLOOKUP($AC354,'[2]Client Info'!$C$2:$C$2715,'[2]Client Info'!$F$2:$F$2715))</f>
        <v>MB</v>
      </c>
      <c r="AG354" s="55" t="str">
        <f>IF(ISBLANK(Table26[[#This Row],[customerSKU]]),"",_xlfn.XLOOKUP(Table26[[#This Row],[customerSKU]],Table27[customer_SKU],Table27[shipto],"",0,1))</f>
        <v/>
      </c>
      <c r="AH354" s="62" t="str">
        <f>_xlfn.XLOOKUP(Table26[[#This Row],[customerSKU]],customerSKU!G:G,customerSKU!K:K,"NA",0,1)</f>
        <v>NA</v>
      </c>
      <c r="AI354" s="43" t="str">
        <f>_xlfn.XLOOKUP(Table26[[#This Row],[customerSKU]],customerSKU!G:G,customerSKU!O:O,"not found",0,1)</f>
        <v>not found</v>
      </c>
      <c r="AJ354" s="53" t="e">
        <f>Table26[[#This Row],[unitprice]]*Table26[[#This Row],[quantity_unit]]</f>
        <v>#VALUE!</v>
      </c>
      <c r="AK354" s="53" t="e" cm="1">
        <f t="array" ref="AK3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5" spans="1:37" ht="24.6" customHeight="1">
      <c r="A355" s="42">
        <v>1896</v>
      </c>
      <c r="B355" s="58" t="s">
        <v>3520</v>
      </c>
      <c r="C355" s="53" t="s">
        <v>3360</v>
      </c>
      <c r="D355" s="51"/>
      <c r="E355" s="51"/>
      <c r="F355" s="53"/>
      <c r="G355" s="46"/>
      <c r="H355" s="53"/>
      <c r="I355" s="53" t="s">
        <v>3862</v>
      </c>
      <c r="J355" s="53" t="s">
        <v>533</v>
      </c>
      <c r="K355" s="48">
        <v>45567</v>
      </c>
      <c r="L355" s="49" t="s">
        <v>490</v>
      </c>
      <c r="M355" s="53"/>
      <c r="N355" s="77" t="str">
        <f>Table26[[#This Row],[po_number]]&amp;"-"&amp;Table26[[#This Row],[po_line]]</f>
        <v>-1</v>
      </c>
      <c r="O355" s="77">
        <v>1</v>
      </c>
      <c r="P355" s="50"/>
      <c r="Q355" s="53"/>
      <c r="R355" s="53"/>
      <c r="S355" s="53"/>
      <c r="T355" s="20"/>
      <c r="U355" s="52">
        <v>12</v>
      </c>
      <c r="V355" s="53" t="str">
        <f>IF(ISBLANK(Table26[[#This Row],[customerSKU]]),"",_xlfn.XLOOKUP(Table26[[#This Row],[customerSKU]],Table27[customer_SKU],Table27[case_size],"",0,1))</f>
        <v/>
      </c>
      <c r="W355" s="116" t="str">
        <f t="shared" si="10"/>
        <v/>
      </c>
      <c r="X355" s="53" t="str">
        <f t="shared" si="11"/>
        <v/>
      </c>
      <c r="Y355" s="53" t="str">
        <f>IF(Table26[[#This Row],[customerSKU]]="","",_xlfn.XLOOKUP(Table26[[#This Row],[customerSKU]],Table27[customer_SKU],Table27[product_GTIN],"",0,1))</f>
        <v/>
      </c>
      <c r="Z355" s="25" t="s">
        <v>3455</v>
      </c>
      <c r="AA355" s="18" t="str" cm="1">
        <f t="array" ref="AA355">IF(P355="", "", _xlfn.XLOOKUP(P355,#REF!,#REF!,NA,0,-1))</f>
        <v/>
      </c>
      <c r="AB355" s="53"/>
      <c r="AC355" s="55" t="s">
        <v>4010</v>
      </c>
      <c r="AD355" s="55" t="str">
        <f>IF($AC355="","",_xlfn.XLOOKUP($AC355,'[2]Client Info'!$C$2:$C$2535,'[2]Client Info'!$D$2:$D$2535))</f>
        <v>379 MAIN ST</v>
      </c>
      <c r="AE355" s="55" t="str">
        <f>IF($AC355="","",_xlfn.XLOOKUP($AC355,'[2]Client Info'!$C$2:$C$2715,'[2]Client Info'!$E$2:$E$2715))</f>
        <v>SELKIRK</v>
      </c>
      <c r="AF355" s="55" t="str">
        <f>IF($AC355="","",_xlfn.XLOOKUP($AC355,'[2]Client Info'!$C$2:$C$2715,'[2]Client Info'!$F$2:$F$2715))</f>
        <v>MB</v>
      </c>
      <c r="AG355" s="55" t="str">
        <f>IF(ISBLANK(Table26[[#This Row],[customerSKU]]),"",_xlfn.XLOOKUP(Table26[[#This Row],[customerSKU]],Table27[customer_SKU],Table27[shipto],"",0,1))</f>
        <v/>
      </c>
      <c r="AH355" s="62" t="str">
        <f>_xlfn.XLOOKUP(Table26[[#This Row],[customerSKU]],customerSKU!G:G,customerSKU!K:K,"NA",0,1)</f>
        <v>NA</v>
      </c>
      <c r="AI355" s="43" t="str">
        <f>_xlfn.XLOOKUP(Table26[[#This Row],[customerSKU]],customerSKU!G:G,customerSKU!O:O,"not found",0,1)</f>
        <v>not found</v>
      </c>
      <c r="AJ355" s="53" t="e">
        <f>Table26[[#This Row],[unitprice]]*Table26[[#This Row],[quantity_unit]]</f>
        <v>#VALUE!</v>
      </c>
      <c r="AK355" s="53" t="e" cm="1">
        <f t="array" ref="AK3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6" spans="1:37" ht="24.6" customHeight="1">
      <c r="A356" s="42">
        <v>1897</v>
      </c>
      <c r="B356" s="58" t="s">
        <v>3520</v>
      </c>
      <c r="C356" s="53" t="s">
        <v>3360</v>
      </c>
      <c r="D356" s="51"/>
      <c r="E356" s="51"/>
      <c r="F356" s="53"/>
      <c r="G356" s="46"/>
      <c r="H356" s="53"/>
      <c r="I356" s="53" t="s">
        <v>3862</v>
      </c>
      <c r="J356" s="53" t="s">
        <v>533</v>
      </c>
      <c r="K356" s="48">
        <v>45567</v>
      </c>
      <c r="L356" s="49" t="s">
        <v>490</v>
      </c>
      <c r="M356" s="53"/>
      <c r="N356" s="77" t="str">
        <f>Table26[[#This Row],[po_number]]&amp;"-"&amp;Table26[[#This Row],[po_line]]</f>
        <v>-1</v>
      </c>
      <c r="O356" s="77">
        <v>1</v>
      </c>
      <c r="P356" s="50"/>
      <c r="Q356" s="53"/>
      <c r="R356" s="53"/>
      <c r="S356" s="53"/>
      <c r="T356" s="20"/>
      <c r="U356" s="52">
        <v>12</v>
      </c>
      <c r="V356" s="53" t="str">
        <f>IF(ISBLANK(Table26[[#This Row],[customerSKU]]),"",_xlfn.XLOOKUP(Table26[[#This Row],[customerSKU]],Table27[customer_SKU],Table27[case_size],"",0,1))</f>
        <v/>
      </c>
      <c r="W356" s="116" t="str">
        <f t="shared" si="10"/>
        <v/>
      </c>
      <c r="X356" s="53" t="str">
        <f t="shared" si="11"/>
        <v/>
      </c>
      <c r="Y356" s="53" t="str">
        <f>IF(Table26[[#This Row],[customerSKU]]="","",_xlfn.XLOOKUP(Table26[[#This Row],[customerSKU]],Table27[customer_SKU],Table27[product_GTIN],"",0,1))</f>
        <v/>
      </c>
      <c r="Z356" s="25" t="s">
        <v>3455</v>
      </c>
      <c r="AA356" s="18" t="str" cm="1">
        <f t="array" ref="AA356">IF(P356="", "", _xlfn.XLOOKUP(P356,#REF!,#REF!,NA,0,-1))</f>
        <v/>
      </c>
      <c r="AB356" s="53"/>
      <c r="AC356" s="55" t="s">
        <v>4011</v>
      </c>
      <c r="AD356" s="55" t="str">
        <f>IF($AC356="","",_xlfn.XLOOKUP($AC356,'[2]Client Info'!$C$2:$C$2535,'[2]Client Info'!$D$2:$D$2535))</f>
        <v>2081 PEMBINA HWY</v>
      </c>
      <c r="AE356" s="55" t="str">
        <f>IF($AC356="","",_xlfn.XLOOKUP($AC356,'[2]Client Info'!$C$2:$C$2715,'[2]Client Info'!$E$2:$E$2715))</f>
        <v>Winnipeg</v>
      </c>
      <c r="AF356" s="55" t="str">
        <f>IF($AC356="","",_xlfn.XLOOKUP($AC356,'[2]Client Info'!$C$2:$C$2715,'[2]Client Info'!$F$2:$F$2715))</f>
        <v>MB</v>
      </c>
      <c r="AG356" s="55" t="str">
        <f>IF(ISBLANK(Table26[[#This Row],[customerSKU]]),"",_xlfn.XLOOKUP(Table26[[#This Row],[customerSKU]],Table27[customer_SKU],Table27[shipto],"",0,1))</f>
        <v/>
      </c>
      <c r="AH356" s="62" t="str">
        <f>_xlfn.XLOOKUP(Table26[[#This Row],[customerSKU]],customerSKU!G:G,customerSKU!K:K,"NA",0,1)</f>
        <v>NA</v>
      </c>
      <c r="AI356" s="43" t="str">
        <f>_xlfn.XLOOKUP(Table26[[#This Row],[customerSKU]],customerSKU!G:G,customerSKU!O:O,"not found",0,1)</f>
        <v>not found</v>
      </c>
      <c r="AJ356" s="53" t="e">
        <f>Table26[[#This Row],[unitprice]]*Table26[[#This Row],[quantity_unit]]</f>
        <v>#VALUE!</v>
      </c>
      <c r="AK356" s="53" t="e" cm="1">
        <f t="array" ref="AK3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7" spans="1:37" ht="24.6" customHeight="1">
      <c r="A357" s="42">
        <v>1898</v>
      </c>
      <c r="B357" s="58" t="s">
        <v>3520</v>
      </c>
      <c r="C357" s="53" t="s">
        <v>3360</v>
      </c>
      <c r="D357" s="51"/>
      <c r="E357" s="51"/>
      <c r="F357" s="53"/>
      <c r="G357" s="46"/>
      <c r="H357" s="53"/>
      <c r="I357" s="53" t="s">
        <v>3862</v>
      </c>
      <c r="J357" s="53" t="s">
        <v>533</v>
      </c>
      <c r="K357" s="48">
        <v>45567</v>
      </c>
      <c r="L357" s="49" t="s">
        <v>490</v>
      </c>
      <c r="M357" s="53"/>
      <c r="N357" s="77" t="str">
        <f>Table26[[#This Row],[po_number]]&amp;"-"&amp;Table26[[#This Row],[po_line]]</f>
        <v>-1</v>
      </c>
      <c r="O357" s="77">
        <v>1</v>
      </c>
      <c r="P357" s="50"/>
      <c r="Q357" s="53"/>
      <c r="R357" s="53"/>
      <c r="S357" s="53"/>
      <c r="T357" s="20"/>
      <c r="U357" s="52">
        <v>12</v>
      </c>
      <c r="V357" s="53" t="str">
        <f>IF(ISBLANK(Table26[[#This Row],[customerSKU]]),"",_xlfn.XLOOKUP(Table26[[#This Row],[customerSKU]],Table27[customer_SKU],Table27[case_size],"",0,1))</f>
        <v/>
      </c>
      <c r="W357" s="116" t="str">
        <f t="shared" si="10"/>
        <v/>
      </c>
      <c r="X357" s="53" t="str">
        <f t="shared" si="11"/>
        <v/>
      </c>
      <c r="Y357" s="53" t="str">
        <f>IF(Table26[[#This Row],[customerSKU]]="","",_xlfn.XLOOKUP(Table26[[#This Row],[customerSKU]],Table27[customer_SKU],Table27[product_GTIN],"",0,1))</f>
        <v/>
      </c>
      <c r="Z357" s="25" t="s">
        <v>3455</v>
      </c>
      <c r="AA357" s="18" t="str" cm="1">
        <f t="array" ref="AA357">IF(P357="", "", _xlfn.XLOOKUP(P357,#REF!,#REF!,NA,0,-1))</f>
        <v/>
      </c>
      <c r="AB357" s="53"/>
      <c r="AC357" s="55" t="s">
        <v>4012</v>
      </c>
      <c r="AD357" s="55" t="str">
        <f>IF($AC357="","",_xlfn.XLOOKUP($AC357,'[2]Client Info'!$C$2:$C$2535,'[2]Client Info'!$D$2:$D$2535))</f>
        <v>1719 PORTAGE AVE</v>
      </c>
      <c r="AE357" s="55" t="str">
        <f>IF($AC357="","",_xlfn.XLOOKUP($AC357,'[2]Client Info'!$C$2:$C$2715,'[2]Client Info'!$E$2:$E$2715))</f>
        <v>WINNIPEG</v>
      </c>
      <c r="AF357" s="55" t="str">
        <f>IF($AC357="","",_xlfn.XLOOKUP($AC357,'[2]Client Info'!$C$2:$C$2715,'[2]Client Info'!$F$2:$F$2715))</f>
        <v>MB</v>
      </c>
      <c r="AG357" s="55" t="str">
        <f>IF(ISBLANK(Table26[[#This Row],[customerSKU]]),"",_xlfn.XLOOKUP(Table26[[#This Row],[customerSKU]],Table27[customer_SKU],Table27[shipto],"",0,1))</f>
        <v/>
      </c>
      <c r="AH357" s="62" t="str">
        <f>_xlfn.XLOOKUP(Table26[[#This Row],[customerSKU]],customerSKU!G:G,customerSKU!K:K,"NA",0,1)</f>
        <v>NA</v>
      </c>
      <c r="AI357" s="43" t="str">
        <f>_xlfn.XLOOKUP(Table26[[#This Row],[customerSKU]],customerSKU!G:G,customerSKU!O:O,"not found",0,1)</f>
        <v>not found</v>
      </c>
      <c r="AJ357" s="53" t="e">
        <f>Table26[[#This Row],[unitprice]]*Table26[[#This Row],[quantity_unit]]</f>
        <v>#VALUE!</v>
      </c>
      <c r="AK357" s="53" t="e" cm="1">
        <f t="array" ref="AK3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8" spans="1:37" ht="24.6" customHeight="1">
      <c r="A358" s="42">
        <v>1899</v>
      </c>
      <c r="B358" s="58" t="s">
        <v>3520</v>
      </c>
      <c r="C358" s="53" t="s">
        <v>3360</v>
      </c>
      <c r="D358" s="51"/>
      <c r="E358" s="51"/>
      <c r="F358" s="53"/>
      <c r="G358" s="46"/>
      <c r="H358" s="53"/>
      <c r="I358" s="53" t="s">
        <v>3862</v>
      </c>
      <c r="J358" s="53" t="s">
        <v>533</v>
      </c>
      <c r="K358" s="48">
        <v>45567</v>
      </c>
      <c r="L358" s="49" t="s">
        <v>490</v>
      </c>
      <c r="M358" s="53"/>
      <c r="N358" s="77" t="str">
        <f>Table26[[#This Row],[po_number]]&amp;"-"&amp;Table26[[#This Row],[po_line]]</f>
        <v>-1</v>
      </c>
      <c r="O358" s="77">
        <v>1</v>
      </c>
      <c r="P358" s="50"/>
      <c r="Q358" s="53"/>
      <c r="R358" s="53"/>
      <c r="S358" s="53"/>
      <c r="T358" s="20"/>
      <c r="U358" s="52">
        <v>12</v>
      </c>
      <c r="V358" s="53" t="str">
        <f>IF(ISBLANK(Table26[[#This Row],[customerSKU]]),"",_xlfn.XLOOKUP(Table26[[#This Row],[customerSKU]],Table27[customer_SKU],Table27[case_size],"",0,1))</f>
        <v/>
      </c>
      <c r="W358" s="116" t="str">
        <f t="shared" si="10"/>
        <v/>
      </c>
      <c r="X358" s="53" t="str">
        <f t="shared" si="11"/>
        <v/>
      </c>
      <c r="Y358" s="53" t="str">
        <f>IF(Table26[[#This Row],[customerSKU]]="","",_xlfn.XLOOKUP(Table26[[#This Row],[customerSKU]],Table27[customer_SKU],Table27[product_GTIN],"",0,1))</f>
        <v/>
      </c>
      <c r="Z358" s="25" t="s">
        <v>3455</v>
      </c>
      <c r="AA358" s="18" t="str" cm="1">
        <f t="array" ref="AA358">IF(P358="", "", _xlfn.XLOOKUP(P358,#REF!,#REF!,NA,0,-1))</f>
        <v/>
      </c>
      <c r="AB358" s="53"/>
      <c r="AC358" s="55" t="s">
        <v>4013</v>
      </c>
      <c r="AD358" s="55" t="str">
        <f>IF($AC358="","",_xlfn.XLOOKUP($AC358,'[2]Client Info'!$C$2:$C$2535,'[2]Client Info'!$D$2:$D$2535))</f>
        <v>UNIT 10&amp;11-3421 PORTAGE AVE</v>
      </c>
      <c r="AE358" s="55" t="str">
        <f>IF($AC358="","",_xlfn.XLOOKUP($AC358,'[2]Client Info'!$C$2:$C$2715,'[2]Client Info'!$E$2:$E$2715))</f>
        <v>Winnipeg</v>
      </c>
      <c r="AF358" s="55" t="str">
        <f>IF($AC358="","",_xlfn.XLOOKUP($AC358,'[2]Client Info'!$C$2:$C$2715,'[2]Client Info'!$F$2:$F$2715))</f>
        <v>MB</v>
      </c>
      <c r="AG358" s="55" t="str">
        <f>IF(ISBLANK(Table26[[#This Row],[customerSKU]]),"",_xlfn.XLOOKUP(Table26[[#This Row],[customerSKU]],Table27[customer_SKU],Table27[shipto],"",0,1))</f>
        <v/>
      </c>
      <c r="AH358" s="62" t="str">
        <f>_xlfn.XLOOKUP(Table26[[#This Row],[customerSKU]],customerSKU!G:G,customerSKU!K:K,"NA",0,1)</f>
        <v>NA</v>
      </c>
      <c r="AI358" s="43" t="str">
        <f>_xlfn.XLOOKUP(Table26[[#This Row],[customerSKU]],customerSKU!G:G,customerSKU!O:O,"not found",0,1)</f>
        <v>not found</v>
      </c>
      <c r="AJ358" s="53" t="e">
        <f>Table26[[#This Row],[unitprice]]*Table26[[#This Row],[quantity_unit]]</f>
        <v>#VALUE!</v>
      </c>
      <c r="AK358" s="53" t="e" cm="1">
        <f t="array" ref="AK3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59" spans="1:37" ht="18" customHeight="1">
      <c r="A359" s="42">
        <v>1900</v>
      </c>
      <c r="B359" s="58" t="s">
        <v>3520</v>
      </c>
      <c r="C359" s="53" t="s">
        <v>3360</v>
      </c>
      <c r="D359" s="51"/>
      <c r="E359" s="51"/>
      <c r="F359" s="53"/>
      <c r="G359" s="46"/>
      <c r="H359" s="53"/>
      <c r="I359" s="53" t="s">
        <v>3862</v>
      </c>
      <c r="J359" s="53" t="s">
        <v>533</v>
      </c>
      <c r="K359" s="403">
        <v>45567</v>
      </c>
      <c r="L359" s="261" t="s">
        <v>490</v>
      </c>
      <c r="M359" s="53"/>
      <c r="N359" s="77" t="str">
        <f>Table26[[#This Row],[po_number]]&amp;"-"&amp;Table26[[#This Row],[po_line]]</f>
        <v>-1</v>
      </c>
      <c r="O359" s="77">
        <v>1</v>
      </c>
      <c r="P359" s="50"/>
      <c r="Q359" s="53"/>
      <c r="R359" s="53"/>
      <c r="S359" s="53"/>
      <c r="T359" s="20"/>
      <c r="U359" s="52">
        <v>12</v>
      </c>
      <c r="V359" s="53" t="str">
        <f>IF(ISBLANK(Table26[[#This Row],[customerSKU]]),"",_xlfn.XLOOKUP(Table26[[#This Row],[customerSKU]],Table27[customer_SKU],Table27[case_size],"",0,1))</f>
        <v/>
      </c>
      <c r="W359" s="116" t="str">
        <f t="shared" si="10"/>
        <v/>
      </c>
      <c r="X359" s="53" t="str">
        <f t="shared" si="11"/>
        <v/>
      </c>
      <c r="Y359" s="53" t="str">
        <f>IF(Table26[[#This Row],[customerSKU]]="","",_xlfn.XLOOKUP(Table26[[#This Row],[customerSKU]],Table27[customer_SKU],Table27[product_GTIN],"",0,1))</f>
        <v/>
      </c>
      <c r="Z359" s="25" t="s">
        <v>3455</v>
      </c>
      <c r="AA359" s="18" t="str" cm="1">
        <f t="array" ref="AA359">IF(P359="", "", _xlfn.XLOOKUP(P359,#REF!,#REF!,NA,0,-1))</f>
        <v/>
      </c>
      <c r="AB359" s="53"/>
      <c r="AC359" s="55" t="s">
        <v>4014</v>
      </c>
      <c r="AD359" s="55" t="str">
        <f>IF($AC359="","",_xlfn.XLOOKUP($AC359,'[2]Client Info'!$C$2:$C$2535,'[2]Client Info'!$D$2:$D$2535))</f>
        <v>UNIT 2-1351 MAIN ST</v>
      </c>
      <c r="AE359" s="55" t="str">
        <f>IF($AC359="","",_xlfn.XLOOKUP($AC359,'[2]Client Info'!$C$2:$C$2715,'[2]Client Info'!$E$2:$E$2715))</f>
        <v>DAUPHIN</v>
      </c>
      <c r="AF359" s="55" t="str">
        <f>IF($AC359="","",_xlfn.XLOOKUP($AC359,'[2]Client Info'!$C$2:$C$2715,'[2]Client Info'!$F$2:$F$2715))</f>
        <v>MB</v>
      </c>
      <c r="AG359" s="55" t="str">
        <f>IF(ISBLANK(Table26[[#This Row],[customerSKU]]),"",_xlfn.XLOOKUP(Table26[[#This Row],[customerSKU]],Table27[customer_SKU],Table27[shipto],"",0,1))</f>
        <v/>
      </c>
      <c r="AH359" s="62" t="str">
        <f>_xlfn.XLOOKUP(Table26[[#This Row],[customerSKU]],customerSKU!G:G,customerSKU!K:K,"NA",0,1)</f>
        <v>NA</v>
      </c>
      <c r="AI359" s="43" t="str">
        <f>_xlfn.XLOOKUP(Table26[[#This Row],[customerSKU]],customerSKU!G:G,customerSKU!O:O,"not found",0,1)</f>
        <v>not found</v>
      </c>
      <c r="AJ359" s="53" t="e">
        <f>Table26[[#This Row],[unitprice]]*Table26[[#This Row],[quantity_unit]]</f>
        <v>#VALUE!</v>
      </c>
      <c r="AK359" s="53" t="e" cm="1">
        <f t="array" ref="AK3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0" spans="1:37" ht="18" customHeight="1">
      <c r="A360" s="42">
        <v>1901</v>
      </c>
      <c r="B360" s="58" t="s">
        <v>3520</v>
      </c>
      <c r="C360" s="53" t="s">
        <v>3360</v>
      </c>
      <c r="D360" s="51"/>
      <c r="E360" s="51"/>
      <c r="F360" s="53"/>
      <c r="G360" s="46"/>
      <c r="H360" s="53"/>
      <c r="I360" s="53" t="s">
        <v>3862</v>
      </c>
      <c r="J360" s="53" t="s">
        <v>533</v>
      </c>
      <c r="K360" s="48">
        <v>45567</v>
      </c>
      <c r="L360" s="49" t="s">
        <v>490</v>
      </c>
      <c r="M360" s="53"/>
      <c r="N360" s="77" t="str">
        <f>Table26[[#This Row],[po_number]]&amp;"-"&amp;Table26[[#This Row],[po_line]]</f>
        <v>-1</v>
      </c>
      <c r="O360" s="77">
        <v>1</v>
      </c>
      <c r="P360" s="50"/>
      <c r="Q360" s="53"/>
      <c r="R360" s="53"/>
      <c r="S360" s="53"/>
      <c r="T360" s="20"/>
      <c r="U360" s="52">
        <v>12</v>
      </c>
      <c r="V360" s="53" t="str">
        <f>IF(ISBLANK(Table26[[#This Row],[customerSKU]]),"",_xlfn.XLOOKUP(Table26[[#This Row],[customerSKU]],Table27[customer_SKU],Table27[case_size],"",0,1))</f>
        <v/>
      </c>
      <c r="W360" s="116" t="str">
        <f t="shared" si="10"/>
        <v/>
      </c>
      <c r="X360" s="53" t="str">
        <f t="shared" si="11"/>
        <v/>
      </c>
      <c r="Y360" s="53" t="str">
        <f>IF(Table26[[#This Row],[customerSKU]]="","",_xlfn.XLOOKUP(Table26[[#This Row],[customerSKU]],Table27[customer_SKU],Table27[product_GTIN],"",0,1))</f>
        <v/>
      </c>
      <c r="Z360" s="25" t="s">
        <v>3455</v>
      </c>
      <c r="AA360" s="18" t="str" cm="1">
        <f t="array" ref="AA360">IF(P360="", "", _xlfn.XLOOKUP(P360,#REF!,#REF!,NA,0,-1))</f>
        <v/>
      </c>
      <c r="AB360" s="53"/>
      <c r="AC360" s="55" t="s">
        <v>4015</v>
      </c>
      <c r="AD360" s="55" t="str">
        <f>IF($AC360="","",_xlfn.XLOOKUP($AC360,'[2]Client Info'!$C$2:$C$2535,'[2]Client Info'!$D$2:$D$2535))</f>
        <v>UNIT A-78 MARION ST</v>
      </c>
      <c r="AE360" s="55" t="str">
        <f>IF($AC360="","",_xlfn.XLOOKUP($AC360,'[2]Client Info'!$C$2:$C$2715,'[2]Client Info'!$E$2:$E$2715))</f>
        <v>Winnipeg</v>
      </c>
      <c r="AF360" s="55" t="str">
        <f>IF($AC360="","",_xlfn.XLOOKUP($AC360,'[2]Client Info'!$C$2:$C$2715,'[2]Client Info'!$F$2:$F$2715))</f>
        <v>MB</v>
      </c>
      <c r="AG360" s="55" t="str">
        <f>IF(ISBLANK(Table26[[#This Row],[customerSKU]]),"",_xlfn.XLOOKUP(Table26[[#This Row],[customerSKU]],Table27[customer_SKU],Table27[shipto],"",0,1))</f>
        <v/>
      </c>
      <c r="AH360" s="62" t="str">
        <f>_xlfn.XLOOKUP(Table26[[#This Row],[customerSKU]],customerSKU!G:G,customerSKU!K:K,"NA",0,1)</f>
        <v>NA</v>
      </c>
      <c r="AI360" s="43" t="str">
        <f>_xlfn.XLOOKUP(Table26[[#This Row],[customerSKU]],customerSKU!G:G,customerSKU!O:O,"not found",0,1)</f>
        <v>not found</v>
      </c>
      <c r="AJ360" s="53" t="e">
        <f>Table26[[#This Row],[unitprice]]*Table26[[#This Row],[quantity_unit]]</f>
        <v>#VALUE!</v>
      </c>
      <c r="AK360" s="53" t="e" cm="1">
        <f t="array" ref="AK3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1" spans="1:37" ht="18" customHeight="1">
      <c r="A361" s="42">
        <v>1902</v>
      </c>
      <c r="B361" s="58" t="s">
        <v>3520</v>
      </c>
      <c r="C361" s="53" t="s">
        <v>3360</v>
      </c>
      <c r="D361" s="51"/>
      <c r="E361" s="51"/>
      <c r="F361" s="53"/>
      <c r="G361" s="46"/>
      <c r="H361" s="53"/>
      <c r="I361" s="53" t="s">
        <v>3862</v>
      </c>
      <c r="J361" s="53" t="s">
        <v>533</v>
      </c>
      <c r="K361" s="48">
        <v>45567</v>
      </c>
      <c r="L361" s="49" t="s">
        <v>490</v>
      </c>
      <c r="M361" s="53"/>
      <c r="N361" s="77" t="str">
        <f>Table26[[#This Row],[po_number]]&amp;"-"&amp;Table26[[#This Row],[po_line]]</f>
        <v>-1</v>
      </c>
      <c r="O361" s="77">
        <v>1</v>
      </c>
      <c r="P361" s="50"/>
      <c r="Q361" s="53"/>
      <c r="R361" s="53"/>
      <c r="S361" s="53"/>
      <c r="T361" s="20"/>
      <c r="U361" s="52">
        <v>12</v>
      </c>
      <c r="V361" s="53" t="str">
        <f>IF(ISBLANK(Table26[[#This Row],[customerSKU]]),"",_xlfn.XLOOKUP(Table26[[#This Row],[customerSKU]],Table27[customer_SKU],Table27[case_size],"",0,1))</f>
        <v/>
      </c>
      <c r="W361" s="116" t="str">
        <f t="shared" si="10"/>
        <v/>
      </c>
      <c r="X361" s="53" t="str">
        <f t="shared" si="11"/>
        <v/>
      </c>
      <c r="Y361" s="53" t="str">
        <f>IF(Table26[[#This Row],[customerSKU]]="","",_xlfn.XLOOKUP(Table26[[#This Row],[customerSKU]],Table27[customer_SKU],Table27[product_GTIN],"",0,1))</f>
        <v/>
      </c>
      <c r="Z361" s="25" t="s">
        <v>3455</v>
      </c>
      <c r="AA361" s="18" t="str" cm="1">
        <f t="array" ref="AA361">IF(P361="", "", _xlfn.XLOOKUP(P361,#REF!,#REF!,NA,0,-1))</f>
        <v/>
      </c>
      <c r="AB361" s="53"/>
      <c r="AC361" s="55" t="s">
        <v>4016</v>
      </c>
      <c r="AD361" s="55" t="str">
        <f>IF($AC361="","",_xlfn.XLOOKUP($AC361,'[2]Client Info'!$C$2:$C$2535,'[2]Client Info'!$D$2:$D$2535))</f>
        <v>625 SARGENT AVE</v>
      </c>
      <c r="AE361" s="55" t="str">
        <f>IF($AC361="","",_xlfn.XLOOKUP($AC361,'[2]Client Info'!$C$2:$C$2715,'[2]Client Info'!$E$2:$E$2715))</f>
        <v>WINNIPEG</v>
      </c>
      <c r="AF361" s="55" t="str">
        <f>IF($AC361="","",_xlfn.XLOOKUP($AC361,'[2]Client Info'!$C$2:$C$2715,'[2]Client Info'!$F$2:$F$2715))</f>
        <v>MB</v>
      </c>
      <c r="AG361" s="55" t="str">
        <f>IF(ISBLANK(Table26[[#This Row],[customerSKU]]),"",_xlfn.XLOOKUP(Table26[[#This Row],[customerSKU]],Table27[customer_SKU],Table27[shipto],"",0,1))</f>
        <v/>
      </c>
      <c r="AH361" s="62" t="str">
        <f>_xlfn.XLOOKUP(Table26[[#This Row],[customerSKU]],customerSKU!G:G,customerSKU!K:K,"NA",0,1)</f>
        <v>NA</v>
      </c>
      <c r="AI361" s="43" t="str">
        <f>_xlfn.XLOOKUP(Table26[[#This Row],[customerSKU]],customerSKU!G:G,customerSKU!O:O,"not found",0,1)</f>
        <v>not found</v>
      </c>
      <c r="AJ361" s="53" t="e">
        <f>Table26[[#This Row],[unitprice]]*Table26[[#This Row],[quantity_unit]]</f>
        <v>#VALUE!</v>
      </c>
      <c r="AK361" s="53" t="e" cm="1">
        <f t="array" ref="AK3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2" spans="1:37" ht="18" customHeight="1">
      <c r="A362" s="42">
        <v>1903</v>
      </c>
      <c r="B362" s="58" t="s">
        <v>3520</v>
      </c>
      <c r="C362" s="53" t="s">
        <v>3360</v>
      </c>
      <c r="D362" s="51"/>
      <c r="E362" s="51"/>
      <c r="F362" s="53"/>
      <c r="G362" s="46"/>
      <c r="H362" s="53"/>
      <c r="I362" s="53" t="s">
        <v>3862</v>
      </c>
      <c r="J362" s="53" t="s">
        <v>533</v>
      </c>
      <c r="K362" s="403">
        <v>45567</v>
      </c>
      <c r="L362" s="49" t="s">
        <v>490</v>
      </c>
      <c r="M362" s="53"/>
      <c r="N362" s="77" t="str">
        <f>Table26[[#This Row],[po_number]]&amp;"-"&amp;Table26[[#This Row],[po_line]]</f>
        <v>-1</v>
      </c>
      <c r="O362" s="77">
        <v>1</v>
      </c>
      <c r="P362" s="50"/>
      <c r="Q362" s="53" t="s">
        <v>1316</v>
      </c>
      <c r="R362" s="53" t="s">
        <v>3830</v>
      </c>
      <c r="S362" s="53" t="s">
        <v>57</v>
      </c>
      <c r="T362" s="20">
        <v>45491</v>
      </c>
      <c r="U362" s="52">
        <v>12</v>
      </c>
      <c r="V362" s="53">
        <v>12</v>
      </c>
      <c r="W362" s="116">
        <f t="shared" si="10"/>
        <v>1</v>
      </c>
      <c r="X362" s="53" t="str">
        <f t="shared" si="11"/>
        <v/>
      </c>
      <c r="Y362" s="53" t="str">
        <f>IF(Table26[[#This Row],[customerSKU]]="","",_xlfn.XLOOKUP(Table26[[#This Row],[customerSKU]],Table27[customer_SKU],Table27[product_GTIN],"",0,1))</f>
        <v/>
      </c>
      <c r="Z362" s="25" t="s">
        <v>3390</v>
      </c>
      <c r="AA362" s="18" t="str" cm="1">
        <f t="array" ref="AA362">IF(P362="", "", _xlfn.XLOOKUP(P362,#REF!,#REF!,NA,0,-1))</f>
        <v/>
      </c>
      <c r="AB362" s="53"/>
      <c r="AC362" s="55" t="s">
        <v>86</v>
      </c>
      <c r="AD362" s="55" t="str">
        <f>IF($AC362="","",_xlfn.XLOOKUP($AC362,'[2]Client Info'!$C$2:$C$2535,'[2]Client Info'!$D$2:$D$2535))</f>
        <v>UNIT B-511 MAIN ST</v>
      </c>
      <c r="AE362" s="55" t="str">
        <f>IF($AC362="","",_xlfn.XLOOKUP($AC362,'[2]Client Info'!$C$2:$C$2715,'[2]Client Info'!$E$2:$E$2715))</f>
        <v>ST.ADOLPHE</v>
      </c>
      <c r="AF362" s="55" t="str">
        <f>IF($AC362="","",_xlfn.XLOOKUP($AC362,'[2]Client Info'!$C$2:$C$2715,'[2]Client Info'!$F$2:$F$2715))</f>
        <v>MB</v>
      </c>
      <c r="AG362" s="55" t="s">
        <v>27</v>
      </c>
      <c r="AH362" s="62" t="str">
        <f>_xlfn.XLOOKUP(Table26[[#This Row],[customerSKU]],customerSKU!G:G,customerSKU!K:K,"NA",0,1)</f>
        <v>NA</v>
      </c>
      <c r="AI362" s="43" t="str">
        <f>_xlfn.XLOOKUP(Table26[[#This Row],[customerSKU]],customerSKU!G:G,customerSKU!O:O,"not found",0,1)</f>
        <v>not found</v>
      </c>
      <c r="AJ362" s="53" t="e">
        <f>Table26[[#This Row],[unitprice]]*Table26[[#This Row],[quantity_unit]]</f>
        <v>#VALUE!</v>
      </c>
      <c r="AK362" s="53" t="e" cm="1">
        <f t="array" ref="AK3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3" spans="1:37" ht="18" customHeight="1">
      <c r="A363" s="42">
        <v>1904</v>
      </c>
      <c r="B363" s="58" t="s">
        <v>3520</v>
      </c>
      <c r="C363" s="53" t="s">
        <v>3360</v>
      </c>
      <c r="D363" s="51"/>
      <c r="E363" s="51"/>
      <c r="F363" s="53"/>
      <c r="G363" s="46"/>
      <c r="H363" s="53"/>
      <c r="I363" s="53" t="s">
        <v>3862</v>
      </c>
      <c r="J363" s="53" t="s">
        <v>533</v>
      </c>
      <c r="K363" s="403">
        <v>45567</v>
      </c>
      <c r="L363" s="49" t="s">
        <v>490</v>
      </c>
      <c r="M363" s="107"/>
      <c r="N363" s="107" t="str">
        <f>Table26[[#This Row],[po_number]]&amp;"-"&amp;Table26[[#This Row],[po_line]]</f>
        <v>-1</v>
      </c>
      <c r="O363" s="107">
        <v>1</v>
      </c>
      <c r="P363" s="50"/>
      <c r="Q363" s="53" t="s">
        <v>1316</v>
      </c>
      <c r="R363" s="53" t="s">
        <v>3830</v>
      </c>
      <c r="S363" s="53" t="s">
        <v>57</v>
      </c>
      <c r="T363" s="20">
        <v>45491</v>
      </c>
      <c r="U363" s="52">
        <v>12</v>
      </c>
      <c r="V363" s="53" t="str">
        <f>IF(ISBLANK(Table26[[#This Row],[customerSKU]]),"",_xlfn.XLOOKUP(Table26[[#This Row],[customerSKU]],Table27[customer_SKU],Table27[case_size],"",0,1))</f>
        <v/>
      </c>
      <c r="W363" s="116" t="str">
        <f t="shared" si="10"/>
        <v/>
      </c>
      <c r="X363" s="53" t="str">
        <f t="shared" si="11"/>
        <v/>
      </c>
      <c r="Y363" s="53" t="str">
        <f>IF(Table26[[#This Row],[customerSKU]]="","",_xlfn.XLOOKUP(Table26[[#This Row],[customerSKU]],Table27[customer_SKU],Table27[product_GTIN],"",0,1))</f>
        <v/>
      </c>
      <c r="Z363" s="25" t="s">
        <v>3390</v>
      </c>
      <c r="AA363" s="18" t="str" cm="1">
        <f t="array" ref="AA363">IF(P363="", "", _xlfn.XLOOKUP(P363,#REF!,#REF!,NA,0,-1))</f>
        <v/>
      </c>
      <c r="AB363" s="53"/>
      <c r="AC363" s="55" t="s">
        <v>3995</v>
      </c>
      <c r="AD363" s="55" t="str">
        <f>IF($AC363="","",_xlfn.XLOOKUP($AC363,'[2]Client Info'!$C$2:$C$2535,'[2]Client Info'!$D$2:$D$2535))</f>
        <v>Unit C-1566 Pembina Hwy</v>
      </c>
      <c r="AE363" s="55" t="str">
        <f>IF($AC363="","",_xlfn.XLOOKUP($AC363,'[2]Client Info'!$C$2:$C$2715,'[2]Client Info'!$E$2:$E$2715))</f>
        <v>WINNIPEG</v>
      </c>
      <c r="AF363" s="55" t="str">
        <f>IF($AC363="","",_xlfn.XLOOKUP($AC363,'[2]Client Info'!$C$2:$C$2715,'[2]Client Info'!$F$2:$F$2715))</f>
        <v>MB</v>
      </c>
      <c r="AG363" s="55" t="s">
        <v>27</v>
      </c>
      <c r="AH363" s="62" t="str">
        <f>_xlfn.XLOOKUP(Table26[[#This Row],[customerSKU]],customerSKU!G:G,customerSKU!K:K,"NA",0,1)</f>
        <v>NA</v>
      </c>
      <c r="AI363" s="43" t="str">
        <f>_xlfn.XLOOKUP(Table26[[#This Row],[customerSKU]],customerSKU!G:G,customerSKU!O:O,"not found",0,1)</f>
        <v>not found</v>
      </c>
      <c r="AJ363" s="53" t="e">
        <f>Table26[[#This Row],[unitprice]]*Table26[[#This Row],[quantity_unit]]</f>
        <v>#VALUE!</v>
      </c>
      <c r="AK363" s="53" t="e" cm="1">
        <f t="array" ref="AK3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4" spans="1:37" ht="18" customHeight="1">
      <c r="A364" s="42">
        <v>1905</v>
      </c>
      <c r="B364" s="58" t="s">
        <v>3520</v>
      </c>
      <c r="C364" s="53" t="s">
        <v>3360</v>
      </c>
      <c r="D364" s="51"/>
      <c r="E364" s="51"/>
      <c r="F364" s="53"/>
      <c r="G364" s="46"/>
      <c r="H364" s="53"/>
      <c r="I364" s="53" t="s">
        <v>3862</v>
      </c>
      <c r="J364" s="53" t="s">
        <v>533</v>
      </c>
      <c r="K364" s="403">
        <v>45567</v>
      </c>
      <c r="L364" s="49" t="s">
        <v>490</v>
      </c>
      <c r="M364" s="53"/>
      <c r="N364" s="77" t="str">
        <f>Table26[[#This Row],[po_number]]&amp;"-"&amp;Table26[[#This Row],[po_line]]</f>
        <v>-2</v>
      </c>
      <c r="O364" s="77">
        <v>2</v>
      </c>
      <c r="P364" s="50"/>
      <c r="Q364" s="53" t="s">
        <v>1311</v>
      </c>
      <c r="R364" s="53" t="s">
        <v>3830</v>
      </c>
      <c r="S364" s="53" t="s">
        <v>57</v>
      </c>
      <c r="T364" s="20">
        <v>45532</v>
      </c>
      <c r="U364" s="52">
        <v>12</v>
      </c>
      <c r="V364" s="53" t="str">
        <f>IF(ISBLANK(Table26[[#This Row],[customerSKU]]),"",_xlfn.XLOOKUP(Table26[[#This Row],[customerSKU]],Table27[customer_SKU],Table27[case_size],"",0,1))</f>
        <v/>
      </c>
      <c r="W364" s="116" t="str">
        <f t="shared" si="10"/>
        <v/>
      </c>
      <c r="X364" s="53" t="str">
        <f t="shared" si="11"/>
        <v/>
      </c>
      <c r="Y364" s="53" t="str">
        <f>IF(Table26[[#This Row],[customerSKU]]="","",_xlfn.XLOOKUP(Table26[[#This Row],[customerSKU]],Table27[customer_SKU],Table27[product_GTIN],"",0,1))</f>
        <v/>
      </c>
      <c r="Z364" s="60">
        <v>61621</v>
      </c>
      <c r="AA364" s="18" t="str" cm="1">
        <f t="array" ref="AA364">IF(P364="", "", _xlfn.XLOOKUP(P364,#REF!,#REF!,NA,0,-1))</f>
        <v/>
      </c>
      <c r="AB364" s="53"/>
      <c r="AC364" s="55" t="s">
        <v>3995</v>
      </c>
      <c r="AD364" s="55" t="str">
        <f>IF($AC364="","",_xlfn.XLOOKUP($AC364,'[2]Client Info'!$C$2:$C$2535,'[2]Client Info'!$D$2:$D$2535))</f>
        <v>Unit C-1566 Pembina Hwy</v>
      </c>
      <c r="AE364" s="55" t="str">
        <f>IF($AC364="","",_xlfn.XLOOKUP($AC364,'[2]Client Info'!$C$2:$C$2715,'[2]Client Info'!$E$2:$E$2715))</f>
        <v>WINNIPEG</v>
      </c>
      <c r="AF364" s="55" t="str">
        <f>IF($AC364="","",_xlfn.XLOOKUP($AC364,'[2]Client Info'!$C$2:$C$2715,'[2]Client Info'!$F$2:$F$2715))</f>
        <v>MB</v>
      </c>
      <c r="AG364" s="55" t="s">
        <v>27</v>
      </c>
      <c r="AH364" s="62" t="str">
        <f>_xlfn.XLOOKUP(Table26[[#This Row],[customerSKU]],customerSKU!G:G,customerSKU!K:K,"NA",0,1)</f>
        <v>NA</v>
      </c>
      <c r="AI364" s="43" t="str">
        <f>_xlfn.XLOOKUP(Table26[[#This Row],[customerSKU]],customerSKU!G:G,customerSKU!O:O,"not found",0,1)</f>
        <v>not found</v>
      </c>
      <c r="AJ364" s="53" t="e">
        <f>Table26[[#This Row],[unitprice]]*Table26[[#This Row],[quantity_unit]]</f>
        <v>#VALUE!</v>
      </c>
      <c r="AK364" s="53" t="e" cm="1">
        <f t="array" ref="AK3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5" spans="1:37" ht="18" customHeight="1">
      <c r="A365" s="42">
        <v>1906</v>
      </c>
      <c r="B365" s="58" t="s">
        <v>3520</v>
      </c>
      <c r="C365" s="53" t="s">
        <v>3360</v>
      </c>
      <c r="D365" s="51"/>
      <c r="E365" s="51"/>
      <c r="F365" s="53"/>
      <c r="G365" s="46"/>
      <c r="H365" s="53"/>
      <c r="I365" s="53" t="s">
        <v>3862</v>
      </c>
      <c r="J365" s="53" t="s">
        <v>533</v>
      </c>
      <c r="K365" s="403">
        <v>45567</v>
      </c>
      <c r="L365" s="49" t="s">
        <v>490</v>
      </c>
      <c r="M365" s="53"/>
      <c r="N365" s="77" t="str">
        <f>Table26[[#This Row],[po_number]]&amp;"-"&amp;Table26[[#This Row],[po_line]]</f>
        <v>-1</v>
      </c>
      <c r="O365" s="77">
        <v>1</v>
      </c>
      <c r="P365" s="50"/>
      <c r="Q365" s="53" t="s">
        <v>1316</v>
      </c>
      <c r="R365" s="53" t="s">
        <v>3830</v>
      </c>
      <c r="S365" s="53" t="s">
        <v>57</v>
      </c>
      <c r="T365" s="20">
        <v>45491</v>
      </c>
      <c r="U365" s="52">
        <v>12</v>
      </c>
      <c r="V365" s="53" t="str">
        <f>IF(ISBLANK(Table26[[#This Row],[customerSKU]]),"",_xlfn.XLOOKUP(Table26[[#This Row],[customerSKU]],Table27[customer_SKU],Table27[case_size],"",0,1))</f>
        <v/>
      </c>
      <c r="W365" s="116" t="str">
        <f t="shared" si="10"/>
        <v/>
      </c>
      <c r="X365" s="53" t="str">
        <f t="shared" si="11"/>
        <v/>
      </c>
      <c r="Y365" s="53" t="str">
        <f>IF(Table26[[#This Row],[customerSKU]]="","",_xlfn.XLOOKUP(Table26[[#This Row],[customerSKU]],Table27[customer_SKU],Table27[product_GTIN],"",0,1))</f>
        <v/>
      </c>
      <c r="Z365" s="25" t="s">
        <v>3390</v>
      </c>
      <c r="AA365" s="18" t="str" cm="1">
        <f t="array" ref="AA365">IF(P365="", "", _xlfn.XLOOKUP(P365,#REF!,#REF!,NA,0,-1))</f>
        <v/>
      </c>
      <c r="AB365" s="53"/>
      <c r="AC365" s="55" t="s">
        <v>4017</v>
      </c>
      <c r="AD365" s="55" t="str">
        <f>IF($AC365="","",_xlfn.XLOOKUP($AC365,'[2]Client Info'!$C$2:$C$2535,'[2]Client Info'!$D$2:$D$2535))</f>
        <v>4-597 MEADOWLARK BLVD</v>
      </c>
      <c r="AE365" s="55" t="str">
        <f>IF($AC365="","",_xlfn.XLOOKUP($AC365,'[2]Client Info'!$C$2:$C$2715,'[2]Client Info'!$E$2:$E$2715))</f>
        <v>ILE DES CHENES</v>
      </c>
      <c r="AF365" s="55" t="str">
        <f>IF($AC365="","",_xlfn.XLOOKUP($AC365,'[2]Client Info'!$C$2:$C$2715,'[2]Client Info'!$F$2:$F$2715))</f>
        <v>MB</v>
      </c>
      <c r="AG365" s="55" t="s">
        <v>3992</v>
      </c>
      <c r="AH365" s="62" t="str">
        <f>_xlfn.XLOOKUP(Table26[[#This Row],[customerSKU]],customerSKU!G:G,customerSKU!K:K,"NA",0,1)</f>
        <v>NA</v>
      </c>
      <c r="AI365" s="43" t="str">
        <f>_xlfn.XLOOKUP(Table26[[#This Row],[customerSKU]],customerSKU!G:G,customerSKU!O:O,"not found",0,1)</f>
        <v>not found</v>
      </c>
      <c r="AJ365" s="53" t="e">
        <f>Table26[[#This Row],[unitprice]]*Table26[[#This Row],[quantity_unit]]</f>
        <v>#VALUE!</v>
      </c>
      <c r="AK365" s="53" t="e" cm="1">
        <f t="array" ref="AK3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6" spans="1:37" ht="18" customHeight="1">
      <c r="A366" s="42">
        <v>1907</v>
      </c>
      <c r="B366" s="58" t="s">
        <v>3520</v>
      </c>
      <c r="C366" s="53" t="s">
        <v>3360</v>
      </c>
      <c r="D366" s="51"/>
      <c r="E366" s="51"/>
      <c r="F366" s="53"/>
      <c r="G366" s="46"/>
      <c r="H366" s="53"/>
      <c r="I366" s="53" t="s">
        <v>3862</v>
      </c>
      <c r="J366" s="53" t="s">
        <v>533</v>
      </c>
      <c r="K366" s="403">
        <v>45567</v>
      </c>
      <c r="L366" s="49" t="s">
        <v>490</v>
      </c>
      <c r="M366" s="53"/>
      <c r="N366" s="77" t="str">
        <f>Table26[[#This Row],[po_number]]&amp;"-"&amp;Table26[[#This Row],[po_line]]</f>
        <v>-2</v>
      </c>
      <c r="O366" s="77">
        <v>2</v>
      </c>
      <c r="P366" s="50"/>
      <c r="Q366" s="53" t="s">
        <v>630</v>
      </c>
      <c r="R366" s="53" t="s">
        <v>3830</v>
      </c>
      <c r="S366" s="53" t="s">
        <v>57</v>
      </c>
      <c r="T366" s="20">
        <v>45543</v>
      </c>
      <c r="U366" s="52">
        <v>12</v>
      </c>
      <c r="V366" s="53" t="str">
        <f>IF(ISBLANK(Table26[[#This Row],[customerSKU]]),"",_xlfn.XLOOKUP(Table26[[#This Row],[customerSKU]],Table27[customer_SKU],Table27[case_size],"",0,1))</f>
        <v/>
      </c>
      <c r="W366" s="116" t="str">
        <f t="shared" si="10"/>
        <v/>
      </c>
      <c r="X366" s="53" t="str">
        <f t="shared" si="11"/>
        <v/>
      </c>
      <c r="Y366" s="53" t="str">
        <f>IF(Table26[[#This Row],[customerSKU]]="","",_xlfn.XLOOKUP(Table26[[#This Row],[customerSKU]],Table27[customer_SKU],Table27[product_GTIN],"",0,1))</f>
        <v/>
      </c>
      <c r="Z366" s="25" t="s">
        <v>3395</v>
      </c>
      <c r="AA366" s="18" t="str" cm="1">
        <f t="array" ref="AA366">IF(P366="", "", _xlfn.XLOOKUP(P366,#REF!,#REF!,NA,0,-1))</f>
        <v/>
      </c>
      <c r="AB366" s="53"/>
      <c r="AC366" s="55" t="s">
        <v>4017</v>
      </c>
      <c r="AD366" s="55" t="str">
        <f>IF($AC366="","",_xlfn.XLOOKUP($AC366,'[2]Client Info'!$C$2:$C$2535,'[2]Client Info'!$D$2:$D$2535))</f>
        <v>4-597 MEADOWLARK BLVD</v>
      </c>
      <c r="AE366" s="55" t="str">
        <f>IF($AC366="","",_xlfn.XLOOKUP($AC366,'[2]Client Info'!$C$2:$C$2715,'[2]Client Info'!$E$2:$E$2715))</f>
        <v>ILE DES CHENES</v>
      </c>
      <c r="AF366" s="55" t="str">
        <f>IF($AC366="","",_xlfn.XLOOKUP($AC366,'[2]Client Info'!$C$2:$C$2715,'[2]Client Info'!$F$2:$F$2715))</f>
        <v>MB</v>
      </c>
      <c r="AG366" s="55" t="s">
        <v>3992</v>
      </c>
      <c r="AH366" s="62" t="str">
        <f>_xlfn.XLOOKUP(Table26[[#This Row],[customerSKU]],customerSKU!G:G,customerSKU!K:K,"NA",0,1)</f>
        <v>NA</v>
      </c>
      <c r="AI366" s="43" t="str">
        <f>_xlfn.XLOOKUP(Table26[[#This Row],[customerSKU]],customerSKU!G:G,customerSKU!O:O,"not found",0,1)</f>
        <v>not found</v>
      </c>
      <c r="AJ366" s="53" t="e">
        <f>Table26[[#This Row],[unitprice]]*Table26[[#This Row],[quantity_unit]]</f>
        <v>#VALUE!</v>
      </c>
      <c r="AK366" s="53" t="e" cm="1">
        <f t="array" ref="AK3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7" spans="1:37" ht="18" customHeight="1">
      <c r="A367" s="42">
        <v>1908</v>
      </c>
      <c r="B367" s="58" t="s">
        <v>3520</v>
      </c>
      <c r="C367" s="53" t="s">
        <v>3360</v>
      </c>
      <c r="D367" s="51"/>
      <c r="E367" s="51"/>
      <c r="F367" s="53"/>
      <c r="G367" s="46"/>
      <c r="H367" s="53"/>
      <c r="I367" s="53" t="s">
        <v>3862</v>
      </c>
      <c r="J367" s="53" t="s">
        <v>533</v>
      </c>
      <c r="K367" s="403">
        <v>45567</v>
      </c>
      <c r="L367" s="49" t="s">
        <v>490</v>
      </c>
      <c r="M367" s="53"/>
      <c r="N367" s="77" t="str">
        <f>Table26[[#This Row],[po_number]]&amp;"-"&amp;Table26[[#This Row],[po_line]]</f>
        <v>-3</v>
      </c>
      <c r="O367" s="77">
        <v>3</v>
      </c>
      <c r="P367" s="50"/>
      <c r="Q367" s="53" t="s">
        <v>905</v>
      </c>
      <c r="R367" s="53" t="s">
        <v>3830</v>
      </c>
      <c r="S367" s="53" t="s">
        <v>57</v>
      </c>
      <c r="T367" s="20">
        <v>45541</v>
      </c>
      <c r="U367" s="52">
        <v>12</v>
      </c>
      <c r="V367" s="53" t="str">
        <f>IF(ISBLANK(Table26[[#This Row],[customerSKU]]),"",_xlfn.XLOOKUP(Table26[[#This Row],[customerSKU]],Table27[customer_SKU],Table27[case_size],"",0,1))</f>
        <v/>
      </c>
      <c r="W367" s="116" t="str">
        <f t="shared" si="10"/>
        <v/>
      </c>
      <c r="X367" s="53" t="str">
        <f t="shared" si="11"/>
        <v/>
      </c>
      <c r="Y367" s="53" t="str">
        <f>IF(Table26[[#This Row],[customerSKU]]="","",_xlfn.XLOOKUP(Table26[[#This Row],[customerSKU]],Table27[customer_SKU],Table27[product_GTIN],"",0,1))</f>
        <v/>
      </c>
      <c r="Z367" s="25" t="s">
        <v>3380</v>
      </c>
      <c r="AA367" s="18" t="str" cm="1">
        <f t="array" ref="AA367">IF(P367="", "", _xlfn.XLOOKUP(P367,#REF!,#REF!,NA,0,-1))</f>
        <v/>
      </c>
      <c r="AB367" s="53"/>
      <c r="AC367" s="55" t="s">
        <v>4017</v>
      </c>
      <c r="AD367" s="55" t="str">
        <f>IF($AC367="","",_xlfn.XLOOKUP($AC367,'[2]Client Info'!$C$2:$C$2535,'[2]Client Info'!$D$2:$D$2535))</f>
        <v>4-597 MEADOWLARK BLVD</v>
      </c>
      <c r="AE367" s="55" t="str">
        <f>IF($AC367="","",_xlfn.XLOOKUP($AC367,'[2]Client Info'!$C$2:$C$2715,'[2]Client Info'!$E$2:$E$2715))</f>
        <v>ILE DES CHENES</v>
      </c>
      <c r="AF367" s="55" t="str">
        <f>IF($AC367="","",_xlfn.XLOOKUP($AC367,'[2]Client Info'!$C$2:$C$2715,'[2]Client Info'!$F$2:$F$2715))</f>
        <v>MB</v>
      </c>
      <c r="AG367" s="55" t="s">
        <v>3992</v>
      </c>
      <c r="AH367" s="62" t="str">
        <f>_xlfn.XLOOKUP(Table26[[#This Row],[customerSKU]],customerSKU!G:G,customerSKU!K:K,"NA",0,1)</f>
        <v>NA</v>
      </c>
      <c r="AI367" s="43" t="str">
        <f>_xlfn.XLOOKUP(Table26[[#This Row],[customerSKU]],customerSKU!G:G,customerSKU!O:O,"not found",0,1)</f>
        <v>not found</v>
      </c>
      <c r="AJ367" s="53" t="e">
        <f>Table26[[#This Row],[unitprice]]*Table26[[#This Row],[quantity_unit]]</f>
        <v>#VALUE!</v>
      </c>
      <c r="AK367" s="53" t="e" cm="1">
        <f t="array" ref="AK3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8" spans="1:37" ht="18" customHeight="1">
      <c r="A368" s="42">
        <v>1909</v>
      </c>
      <c r="B368" s="58" t="s">
        <v>3520</v>
      </c>
      <c r="C368" s="53" t="s">
        <v>3360</v>
      </c>
      <c r="D368" s="51"/>
      <c r="E368" s="51"/>
      <c r="F368" s="53"/>
      <c r="G368" s="46"/>
      <c r="H368" s="53"/>
      <c r="I368" s="53" t="s">
        <v>3862</v>
      </c>
      <c r="J368" s="53" t="s">
        <v>533</v>
      </c>
      <c r="K368" s="48">
        <v>45567</v>
      </c>
      <c r="L368" s="49" t="s">
        <v>490</v>
      </c>
      <c r="M368" s="53"/>
      <c r="N368" s="77" t="str">
        <f>Table26[[#This Row],[po_number]]&amp;"-"&amp;Table26[[#This Row],[po_line]]</f>
        <v>-4</v>
      </c>
      <c r="O368" s="77">
        <v>4</v>
      </c>
      <c r="P368" s="50"/>
      <c r="Q368" s="53" t="s">
        <v>1311</v>
      </c>
      <c r="R368" s="53" t="s">
        <v>3830</v>
      </c>
      <c r="S368" s="53" t="s">
        <v>57</v>
      </c>
      <c r="T368" s="20">
        <v>45532</v>
      </c>
      <c r="U368" s="52">
        <v>12</v>
      </c>
      <c r="V368" s="53" t="str">
        <f>IF(ISBLANK(Table26[[#This Row],[customerSKU]]),"",_xlfn.XLOOKUP(Table26[[#This Row],[customerSKU]],Table27[customer_SKU],Table27[case_size],"",0,1))</f>
        <v/>
      </c>
      <c r="W368" s="116" t="str">
        <f t="shared" si="10"/>
        <v/>
      </c>
      <c r="X368" s="53" t="str">
        <f t="shared" si="11"/>
        <v/>
      </c>
      <c r="Y368" s="53" t="str">
        <f>IF(Table26[[#This Row],[customerSKU]]="","",_xlfn.XLOOKUP(Table26[[#This Row],[customerSKU]],Table27[customer_SKU],Table27[product_GTIN],"",0,1))</f>
        <v/>
      </c>
      <c r="Z368" s="25" t="s">
        <v>3381</v>
      </c>
      <c r="AA368" s="18" t="str" cm="1">
        <f t="array" ref="AA368">IF(P368="", "", _xlfn.XLOOKUP(P368,#REF!,#REF!,NA,0,-1))</f>
        <v/>
      </c>
      <c r="AB368" s="53"/>
      <c r="AC368" s="55" t="s">
        <v>4017</v>
      </c>
      <c r="AD368" s="55" t="str">
        <f>IF($AC368="","",_xlfn.XLOOKUP($AC368,'[2]Client Info'!$C$2:$C$2535,'[2]Client Info'!$D$2:$D$2535))</f>
        <v>4-597 MEADOWLARK BLVD</v>
      </c>
      <c r="AE368" s="55" t="str">
        <f>IF($AC368="","",_xlfn.XLOOKUP($AC368,'[2]Client Info'!$C$2:$C$2715,'[2]Client Info'!$E$2:$E$2715))</f>
        <v>ILE DES CHENES</v>
      </c>
      <c r="AF368" s="55" t="str">
        <f>IF($AC368="","",_xlfn.XLOOKUP($AC368,'[2]Client Info'!$C$2:$C$2715,'[2]Client Info'!$F$2:$F$2715))</f>
        <v>MB</v>
      </c>
      <c r="AG368" s="55" t="s">
        <v>3992</v>
      </c>
      <c r="AH368" s="62" t="str">
        <f>_xlfn.XLOOKUP(Table26[[#This Row],[customerSKU]],customerSKU!G:G,customerSKU!K:K,"NA",0,1)</f>
        <v>NA</v>
      </c>
      <c r="AI368" s="43" t="str">
        <f>_xlfn.XLOOKUP(Table26[[#This Row],[customerSKU]],customerSKU!G:G,customerSKU!O:O,"not found",0,1)</f>
        <v>not found</v>
      </c>
      <c r="AJ368" s="53" t="e">
        <f>Table26[[#This Row],[unitprice]]*Table26[[#This Row],[quantity_unit]]</f>
        <v>#VALUE!</v>
      </c>
      <c r="AK368" s="53" t="e" cm="1">
        <f t="array" ref="AK3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369" spans="1:37" ht="18" customHeight="1">
      <c r="A369" s="42">
        <v>1910</v>
      </c>
      <c r="B369" s="58" t="s">
        <v>3520</v>
      </c>
      <c r="C369" s="53" t="s">
        <v>3360</v>
      </c>
      <c r="D369" s="51"/>
      <c r="E369" s="51"/>
      <c r="F369" s="53"/>
      <c r="G369" s="46"/>
      <c r="H369" s="53"/>
      <c r="I369" s="53" t="s">
        <v>3862</v>
      </c>
      <c r="J369" s="53" t="s">
        <v>533</v>
      </c>
      <c r="K369" s="48">
        <v>45567</v>
      </c>
      <c r="L369" s="49" t="s">
        <v>490</v>
      </c>
      <c r="M369" s="53"/>
      <c r="N369" s="77" t="str">
        <f>Table26[[#This Row],[po_number]]&amp;"-"&amp;Table26[[#This Row],[po_line]]</f>
        <v>-1</v>
      </c>
      <c r="O369" s="77">
        <v>1</v>
      </c>
      <c r="P369" s="50"/>
      <c r="Q369" s="53"/>
      <c r="R369" s="53"/>
      <c r="S369" s="53"/>
      <c r="T369" s="20"/>
      <c r="U369" s="67">
        <v>12</v>
      </c>
      <c r="V369" s="53">
        <v>12</v>
      </c>
      <c r="W369" s="116">
        <f t="shared" si="10"/>
        <v>1</v>
      </c>
      <c r="X369" s="53" t="str">
        <f t="shared" si="11"/>
        <v/>
      </c>
      <c r="Y369" s="53"/>
      <c r="Z369" s="60"/>
      <c r="AA369" s="18" t="str" cm="1">
        <f t="array" ref="AA369">IF(P369="", "", _xlfn.XLOOKUP(P369,#REF!,#REF!,NA,0,-1))</f>
        <v/>
      </c>
      <c r="AB369" s="53"/>
      <c r="AC369" s="55" t="s">
        <v>46</v>
      </c>
      <c r="AD369" s="55" t="str">
        <f>IF($AC369="","",_xlfn.XLOOKUP($AC369,'[2]Client Info'!$C$2:$C$2535,'[2]Client Info'!$D$2:$D$2535))</f>
        <v>UNIT E, 1155 MAIN STREET</v>
      </c>
      <c r="AE369" s="55" t="str">
        <f>IF($AC369="","",_xlfn.XLOOKUP($AC369,'[2]Client Info'!$C$2:$C$2715,'[2]Client Info'!$E$2:$E$2715))</f>
        <v>WINNIPEG</v>
      </c>
      <c r="AF369" s="55" t="str">
        <f>IF($AC369="","",_xlfn.XLOOKUP($AC369,'[2]Client Info'!$C$2:$C$2715,'[2]Client Info'!$F$2:$F$2715))</f>
        <v>MB</v>
      </c>
      <c r="AG369" s="55" t="s">
        <v>3992</v>
      </c>
      <c r="AH369" s="62">
        <f>240/12</f>
        <v>20</v>
      </c>
      <c r="AI369" s="43" t="str">
        <f>_xlfn.XLOOKUP(Table26[[#This Row],[customerSKU]],customerSKU!G:G,customerSKU!O:O,"not found",0,1)</f>
        <v>not found</v>
      </c>
      <c r="AJ369" s="53">
        <f>Table26[[#This Row],[unitprice]]*Table26[[#This Row],[quantity_unit]]</f>
        <v>240</v>
      </c>
      <c r="AK369" s="53" cm="1">
        <f t="array" ref="AK3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252</v>
      </c>
    </row>
    <row r="370" spans="1:37" ht="18" customHeight="1">
      <c r="A370" s="42">
        <v>1911</v>
      </c>
      <c r="B370" s="58" t="s">
        <v>3520</v>
      </c>
      <c r="C370" s="53" t="s">
        <v>3360</v>
      </c>
      <c r="D370" s="51"/>
      <c r="E370" s="51"/>
      <c r="F370" s="53"/>
      <c r="G370" s="46"/>
      <c r="H370" s="53"/>
      <c r="I370" s="53" t="s">
        <v>3862</v>
      </c>
      <c r="J370" s="53" t="s">
        <v>533</v>
      </c>
      <c r="K370" s="48">
        <v>45567</v>
      </c>
      <c r="L370" s="49" t="s">
        <v>490</v>
      </c>
      <c r="M370" s="53"/>
      <c r="N370" s="77" t="str">
        <f>Table26[[#This Row],[po_number]]&amp;"-"&amp;Table26[[#This Row],[po_line]]</f>
        <v>-1</v>
      </c>
      <c r="O370" s="77">
        <v>1</v>
      </c>
      <c r="P370" s="50"/>
      <c r="Q370" s="53"/>
      <c r="R370" s="53"/>
      <c r="S370" s="53"/>
      <c r="T370" s="20"/>
      <c r="U370" s="67">
        <v>12</v>
      </c>
      <c r="V370" s="53">
        <v>12</v>
      </c>
      <c r="W370" s="116">
        <f t="shared" si="10"/>
        <v>1</v>
      </c>
      <c r="X370" s="53" t="str">
        <f t="shared" si="11"/>
        <v/>
      </c>
      <c r="Y370" s="53"/>
      <c r="Z370" s="60"/>
      <c r="AA370" s="18" t="str" cm="1">
        <f t="array" ref="AA370">IF(P370="", "", _xlfn.XLOOKUP(P370,#REF!,#REF!,NA,0,-1))</f>
        <v/>
      </c>
      <c r="AB370" s="53"/>
      <c r="AC370" s="55" t="s">
        <v>87</v>
      </c>
      <c r="AD370" s="55" t="str">
        <f>IF($AC370="","",_xlfn.XLOOKUP($AC370,'[2]Client Info'!$C$2:$C$2535,'[2]Client Info'!$D$2:$D$2535))</f>
        <v>65 MAIN ST SOUTH</v>
      </c>
      <c r="AE370" s="55" t="str">
        <f>IF($AC370="","",_xlfn.XLOOKUP($AC370,'[2]Client Info'!$C$2:$C$2715,'[2]Client Info'!$E$2:$E$2715))</f>
        <v>Minnedosa</v>
      </c>
      <c r="AF370" s="55" t="str">
        <f>IF($AC370="","",_xlfn.XLOOKUP($AC370,'[2]Client Info'!$C$2:$C$2715,'[2]Client Info'!$F$2:$F$2715))</f>
        <v>MB</v>
      </c>
      <c r="AG370" s="55" t="s">
        <v>3992</v>
      </c>
      <c r="AH370" s="62">
        <v>20</v>
      </c>
      <c r="AI370" s="43" t="str">
        <f>_xlfn.XLOOKUP(Table26[[#This Row],[customerSKU]],customerSKU!G:G,customerSKU!O:O,"not found",0,1)</f>
        <v>not found</v>
      </c>
      <c r="AJ370" s="53">
        <f>Table26[[#This Row],[unitprice]]*Table26[[#This Row],[quantity_unit]]</f>
        <v>240</v>
      </c>
      <c r="AK370" s="53" cm="1">
        <f t="array" ref="AK3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252</v>
      </c>
    </row>
    <row r="371" spans="1:37" ht="18" customHeight="1">
      <c r="A371" s="42">
        <v>1878</v>
      </c>
      <c r="B371" s="58" t="s">
        <v>3520</v>
      </c>
      <c r="C371" s="53" t="s">
        <v>3360</v>
      </c>
      <c r="D371" s="51"/>
      <c r="E371" s="51"/>
      <c r="F371" s="53"/>
      <c r="G371" s="46"/>
      <c r="H371" s="53"/>
      <c r="I371" s="53" t="s">
        <v>3862</v>
      </c>
      <c r="J371" s="53" t="s">
        <v>533</v>
      </c>
      <c r="K371" s="48">
        <v>45568</v>
      </c>
      <c r="L371" s="49" t="s">
        <v>490</v>
      </c>
      <c r="M371" s="53"/>
      <c r="N371" s="77" t="str">
        <f>Table26[[#This Row],[po_number]]&amp;"-"&amp;Table26[[#This Row],[po_line]]</f>
        <v>-1</v>
      </c>
      <c r="O371" s="77">
        <v>1</v>
      </c>
      <c r="P371" s="50"/>
      <c r="Q371" s="53" t="s">
        <v>1316</v>
      </c>
      <c r="R371" s="47" t="s">
        <v>3428</v>
      </c>
      <c r="S371" s="43" t="s">
        <v>21</v>
      </c>
      <c r="T371" s="20">
        <v>45491</v>
      </c>
      <c r="U371" s="67">
        <v>12</v>
      </c>
      <c r="V371" s="53">
        <v>12</v>
      </c>
      <c r="W371" s="116">
        <f t="shared" si="10"/>
        <v>1</v>
      </c>
      <c r="X371" s="53" t="str">
        <f t="shared" si="11"/>
        <v/>
      </c>
      <c r="Y371" s="53"/>
      <c r="Z371" s="60"/>
      <c r="AA371" s="18" t="str" cm="1">
        <f t="array" ref="AA371">IF(P371="", "", _xlfn.XLOOKUP(P371,#REF!,#REF!,NA,0,-1))</f>
        <v/>
      </c>
      <c r="AB371" s="53"/>
      <c r="AC371" s="55" t="s">
        <v>4018</v>
      </c>
      <c r="AD371" s="55" t="str">
        <f>IF($AC371="","",_xlfn.XLOOKUP($AC371,'[2]Client Info'!$C$2:$C$2535,'[2]Client Info'!$D$2:$D$2535))</f>
        <v>78 MAIN ST, Unit C</v>
      </c>
      <c r="AE371" s="55" t="str">
        <f>IF($AC371="","",_xlfn.XLOOKUP($AC371,'[2]Client Info'!$C$2:$C$2715,'[2]Client Info'!$E$2:$E$2715))</f>
        <v>RIVERTON</v>
      </c>
      <c r="AF371" s="55" t="str">
        <f>IF($AC371="","",_xlfn.XLOOKUP($AC371,'[2]Client Info'!$C$2:$C$2715,'[2]Client Info'!$F$2:$F$2715))</f>
        <v>MB</v>
      </c>
      <c r="AG371" s="55" t="s">
        <v>3992</v>
      </c>
      <c r="AH371" s="62">
        <f>107.88/12</f>
        <v>8.99</v>
      </c>
      <c r="AI371" s="43" t="str">
        <f>_xlfn.XLOOKUP(Table26[[#This Row],[customerSKU]],customerSKU!G:G,customerSKU!O:O,"not found",0,1)</f>
        <v>not found</v>
      </c>
      <c r="AJ371" s="53">
        <f>Table26[[#This Row],[unitprice]]*Table26[[#This Row],[quantity_unit]]</f>
        <v>107.88</v>
      </c>
      <c r="AK371" s="53" cm="1">
        <f t="array" ref="AK3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372" spans="1:37" ht="18" customHeight="1">
      <c r="A372" s="42">
        <v>1879</v>
      </c>
      <c r="B372" s="58" t="s">
        <v>3520</v>
      </c>
      <c r="C372" s="53" t="s">
        <v>3360</v>
      </c>
      <c r="D372" s="51"/>
      <c r="E372" s="51"/>
      <c r="F37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372" s="108"/>
      <c r="H372" s="53"/>
      <c r="I372" s="53" t="s">
        <v>3862</v>
      </c>
      <c r="J372" s="53" t="s">
        <v>533</v>
      </c>
      <c r="K372" s="48">
        <v>45568</v>
      </c>
      <c r="L372" s="49" t="s">
        <v>490</v>
      </c>
      <c r="M372" s="53"/>
      <c r="N372" s="77" t="str">
        <f>Table26[[#This Row],[po_number]]&amp;"-"&amp;Table26[[#This Row],[po_line]]</f>
        <v>-1</v>
      </c>
      <c r="O372" s="77">
        <v>1</v>
      </c>
      <c r="P372" s="50"/>
      <c r="Q372" s="53"/>
      <c r="R372" s="53"/>
      <c r="S372" s="53"/>
      <c r="T372" s="20"/>
      <c r="U372" s="52">
        <v>12</v>
      </c>
      <c r="V372" s="53">
        <v>12</v>
      </c>
      <c r="W372" s="116">
        <f t="shared" si="10"/>
        <v>1</v>
      </c>
      <c r="X372" s="53" t="str">
        <f t="shared" si="11"/>
        <v/>
      </c>
      <c r="Y372" s="53" t="str">
        <f>IF(Table26[[#This Row],[customerSKU]]="","",_xlfn.XLOOKUP(Table26[[#This Row],[customerSKU]],Table27[customer_SKU],Table27[product_GTIN],"",0,1))</f>
        <v/>
      </c>
      <c r="Z372" s="60"/>
      <c r="AA372" s="18" t="str" cm="1">
        <f t="array" ref="AA372">IF(P372="", "", _xlfn.XLOOKUP(P372,#REF!,#REF!,NA,0,-1))</f>
        <v/>
      </c>
      <c r="AB372" s="53"/>
      <c r="AC372" s="55" t="s">
        <v>88</v>
      </c>
      <c r="AD372" s="55" t="str">
        <f>IF($AC372="","",_xlfn.XLOOKUP($AC372,'[2]Client Info'!$C$2:$C$2535,'[2]Client Info'!$D$2:$D$2535))</f>
        <v>128-2ND AVE NW</v>
      </c>
      <c r="AE372" s="55" t="str">
        <f>IF($AC372="","",_xlfn.XLOOKUP($AC372,'[2]Client Info'!$C$2:$C$2715,'[2]Client Info'!$E$2:$E$2715))</f>
        <v xml:space="preserve">ROBLIN </v>
      </c>
      <c r="AF372" s="55" t="str">
        <f>IF($AC372="","",_xlfn.XLOOKUP($AC372,'[2]Client Info'!$C$2:$C$2715,'[2]Client Info'!$F$2:$F$2715))</f>
        <v>MB</v>
      </c>
      <c r="AG372" s="55" t="s">
        <v>3992</v>
      </c>
      <c r="AH372" s="62">
        <f>240/12</f>
        <v>20</v>
      </c>
      <c r="AI372" s="43" t="str">
        <f>_xlfn.XLOOKUP(Table26[[#This Row],[customerSKU]],customerSKU!G:G,customerSKU!O:O,"not found",0,1)</f>
        <v>not found</v>
      </c>
      <c r="AJ372" s="53">
        <f>Table26[[#This Row],[unitprice]]*Table26[[#This Row],[quantity_unit]]</f>
        <v>240</v>
      </c>
      <c r="AK372" s="53" cm="1">
        <f t="array" ref="AK3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252</v>
      </c>
    </row>
    <row r="373" spans="1:37" ht="18" customHeight="1">
      <c r="A373" s="42">
        <v>1870</v>
      </c>
      <c r="B373" s="58" t="s">
        <v>3520</v>
      </c>
      <c r="C373" s="53" t="s">
        <v>203</v>
      </c>
      <c r="D373" s="51"/>
      <c r="E373" s="51"/>
      <c r="F373" s="53"/>
      <c r="G373" s="46"/>
      <c r="H373" s="53" t="s">
        <v>3826</v>
      </c>
      <c r="I373" s="19" t="s">
        <v>3862</v>
      </c>
      <c r="J373" s="53" t="s">
        <v>497</v>
      </c>
      <c r="K373" s="19">
        <v>45569</v>
      </c>
      <c r="L373" s="49" t="s">
        <v>201</v>
      </c>
      <c r="M373" s="53"/>
      <c r="N373" s="77" t="str">
        <f>Table26[[#This Row],[po_number]]&amp;"-"&amp;Table26[[#This Row],[po_line]]</f>
        <v>-1</v>
      </c>
      <c r="O373" s="77">
        <v>1</v>
      </c>
      <c r="P373" s="50"/>
      <c r="Q373" s="53" t="s">
        <v>797</v>
      </c>
      <c r="R373" s="53" t="s">
        <v>532</v>
      </c>
      <c r="S373" s="53" t="s">
        <v>12</v>
      </c>
      <c r="T373" s="51">
        <v>45531</v>
      </c>
      <c r="U373" s="67">
        <v>24</v>
      </c>
      <c r="V373" s="53">
        <v>12</v>
      </c>
      <c r="W373" s="116">
        <v>2</v>
      </c>
      <c r="X373" s="53">
        <v>2112</v>
      </c>
      <c r="Y373" s="53" t="s">
        <v>248</v>
      </c>
      <c r="Z373" s="25" t="s">
        <v>3409</v>
      </c>
      <c r="AA373" s="18" t="str" cm="1">
        <f t="array" ref="AA373">IF(P373="", "", _xlfn.XLOOKUP(P373,#REF!,#REF!,NA,0,-1))</f>
        <v/>
      </c>
      <c r="AB373" s="53"/>
      <c r="AC373" s="55" t="s">
        <v>69</v>
      </c>
      <c r="AD373" s="55" t="str">
        <f>IF($AC373="","",_xlfn.XLOOKUP($AC373,'[2]Client Info'!$C$2:$C$2535,'[2]Client Info'!$D$2:$D$2535))</f>
        <v>Unit 4-6150 Kennedy Road</v>
      </c>
      <c r="AE373" s="55" t="str">
        <f>IF($AC373="","",_xlfn.XLOOKUP($AC373,'[2]Client Info'!$C$2:$C$2715,'[2]Client Info'!$E$2:$E$2715))</f>
        <v>Missisauga</v>
      </c>
      <c r="AF373" s="55" t="str">
        <f>IF($AC373="","",_xlfn.XLOOKUP($AC373,'[2]Client Info'!$C$2:$C$2715,'[2]Client Info'!$F$2:$F$2715))</f>
        <v>ON</v>
      </c>
      <c r="AG373" s="55" t="s">
        <v>37</v>
      </c>
      <c r="AH373" s="62" t="str">
        <f>_xlfn.XLOOKUP(Table26[[#This Row],[customerSKU]],customerSKU!G:G,customerSKU!K:K,"NA",0,1)</f>
        <v>NA</v>
      </c>
      <c r="AI373" s="43" t="str">
        <f>_xlfn.XLOOKUP(Table26[[#This Row],[customerSKU]],customerSKU!G:G,customerSKU!O:O,"not found",0,1)</f>
        <v>not found</v>
      </c>
      <c r="AJ373" s="59" t="e">
        <f>Table26[[#This Row],[unitprice]]*Table26[[#This Row],[quantity_unit]]</f>
        <v>#VALUE!</v>
      </c>
      <c r="AK373" s="59" t="e" cm="1">
        <f t="array" ref="AK3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4" spans="1:37" ht="18" customHeight="1">
      <c r="A374" s="42">
        <v>1871</v>
      </c>
      <c r="B374" s="58" t="s">
        <v>3520</v>
      </c>
      <c r="C374" s="53" t="s">
        <v>203</v>
      </c>
      <c r="D374" s="51"/>
      <c r="E374" s="51"/>
      <c r="F374" s="53"/>
      <c r="G374" s="46"/>
      <c r="H374" s="53" t="s">
        <v>3826</v>
      </c>
      <c r="I374" s="19" t="s">
        <v>3862</v>
      </c>
      <c r="J374" s="53" t="s">
        <v>497</v>
      </c>
      <c r="K374" s="19">
        <v>45569</v>
      </c>
      <c r="L374" s="49" t="s">
        <v>201</v>
      </c>
      <c r="M374" s="53"/>
      <c r="N374" s="77" t="str">
        <f>Table26[[#This Row],[po_number]]&amp;"-"&amp;Table26[[#This Row],[po_line]]</f>
        <v>-2</v>
      </c>
      <c r="O374" s="77">
        <v>2</v>
      </c>
      <c r="P374" s="50"/>
      <c r="Q374" s="53" t="s">
        <v>535</v>
      </c>
      <c r="R374" s="53" t="s">
        <v>3428</v>
      </c>
      <c r="S374" s="53" t="s">
        <v>12</v>
      </c>
      <c r="T374" s="51">
        <v>45567</v>
      </c>
      <c r="U374" s="67">
        <v>1608</v>
      </c>
      <c r="V374" s="53">
        <v>12</v>
      </c>
      <c r="W374" s="116">
        <v>134</v>
      </c>
      <c r="X374" s="53">
        <v>2412</v>
      </c>
      <c r="Y374" s="53" t="s">
        <v>262</v>
      </c>
      <c r="Z374" s="25">
        <v>110721</v>
      </c>
      <c r="AA374" s="18" t="str" cm="1">
        <f t="array" ref="AA374">IF(P374="", "", _xlfn.XLOOKUP(P374,#REF!,#REF!,NA,0,-1))</f>
        <v/>
      </c>
      <c r="AB374" s="53"/>
      <c r="AC374" s="55" t="s">
        <v>69</v>
      </c>
      <c r="AD374" s="55" t="str">
        <f>IF($AC374="","",_xlfn.XLOOKUP($AC374,'[2]Client Info'!$C$2:$C$2535,'[2]Client Info'!$D$2:$D$2535))</f>
        <v>Unit 4-6150 Kennedy Road</v>
      </c>
      <c r="AE374" s="55" t="str">
        <f>IF($AC374="","",_xlfn.XLOOKUP($AC374,'[2]Client Info'!$C$2:$C$2715,'[2]Client Info'!$E$2:$E$2715))</f>
        <v>Missisauga</v>
      </c>
      <c r="AF374" s="55" t="str">
        <f>IF($AC374="","",_xlfn.XLOOKUP($AC374,'[2]Client Info'!$C$2:$C$2715,'[2]Client Info'!$F$2:$F$2715))</f>
        <v>ON</v>
      </c>
      <c r="AG374" s="55" t="s">
        <v>37</v>
      </c>
      <c r="AH374" s="62" t="str">
        <f>_xlfn.XLOOKUP(Table26[[#This Row],[customerSKU]],customerSKU!G:G,customerSKU!K:K,"NA",0,1)</f>
        <v>NA</v>
      </c>
      <c r="AI374" s="43" t="str">
        <f>_xlfn.XLOOKUP(Table26[[#This Row],[customerSKU]],customerSKU!G:G,customerSKU!O:O,"not found",0,1)</f>
        <v>not found</v>
      </c>
      <c r="AJ374" s="59" t="e">
        <f>Table26[[#This Row],[unitprice]]*Table26[[#This Row],[quantity_unit]]</f>
        <v>#VALUE!</v>
      </c>
      <c r="AK374" s="59" t="e" cm="1">
        <f t="array" ref="AK3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5" spans="1:37" ht="18" customHeight="1">
      <c r="A375" s="42">
        <v>1872</v>
      </c>
      <c r="B375" s="58" t="s">
        <v>3520</v>
      </c>
      <c r="C375" s="53" t="s">
        <v>203</v>
      </c>
      <c r="D375" s="51"/>
      <c r="E375" s="51"/>
      <c r="F375" s="53"/>
      <c r="G375" s="46"/>
      <c r="H375" s="53" t="s">
        <v>3826</v>
      </c>
      <c r="I375" s="19" t="s">
        <v>3862</v>
      </c>
      <c r="J375" s="53" t="s">
        <v>497</v>
      </c>
      <c r="K375" s="19">
        <v>45569</v>
      </c>
      <c r="L375" s="49" t="s">
        <v>201</v>
      </c>
      <c r="M375" s="53"/>
      <c r="N375" s="77" t="str">
        <f>Table26[[#This Row],[po_number]]&amp;"-"&amp;Table26[[#This Row],[po_line]]</f>
        <v>-3</v>
      </c>
      <c r="O375" s="77">
        <v>3</v>
      </c>
      <c r="P375" s="50"/>
      <c r="Q375" s="53" t="s">
        <v>2112</v>
      </c>
      <c r="R375" s="53" t="s">
        <v>532</v>
      </c>
      <c r="S375" s="53" t="s">
        <v>12</v>
      </c>
      <c r="T375" s="51">
        <v>45550</v>
      </c>
      <c r="U375" s="67">
        <f>96+132</f>
        <v>228</v>
      </c>
      <c r="V375" s="53">
        <v>12</v>
      </c>
      <c r="W375" s="116">
        <f t="shared" ref="W375:W406" si="12">IFERROR(U375/V375, "")</f>
        <v>19</v>
      </c>
      <c r="X375" s="53">
        <v>4800</v>
      </c>
      <c r="Y375" s="53" t="s">
        <v>246</v>
      </c>
      <c r="Z375" s="25" t="s">
        <v>3363</v>
      </c>
      <c r="AA375" s="18" t="str" cm="1">
        <f t="array" ref="AA375">IF(P375="", "", _xlfn.XLOOKUP(P375,#REF!,#REF!,NA,0,-1))</f>
        <v/>
      </c>
      <c r="AB375" s="53"/>
      <c r="AC375" s="55" t="s">
        <v>69</v>
      </c>
      <c r="AD375" s="55" t="str">
        <f>IF($AC375="","",_xlfn.XLOOKUP($AC375,'[2]Client Info'!$C$2:$C$2535,'[2]Client Info'!$D$2:$D$2535))</f>
        <v>Unit 4-6150 Kennedy Road</v>
      </c>
      <c r="AE375" s="55" t="str">
        <f>IF($AC375="","",_xlfn.XLOOKUP($AC375,'[2]Client Info'!$C$2:$C$2715,'[2]Client Info'!$E$2:$E$2715))</f>
        <v>Missisauga</v>
      </c>
      <c r="AF375" s="55" t="str">
        <f>IF($AC375="","",_xlfn.XLOOKUP($AC375,'[2]Client Info'!$C$2:$C$2715,'[2]Client Info'!$F$2:$F$2715))</f>
        <v>ON</v>
      </c>
      <c r="AG375" s="55" t="s">
        <v>37</v>
      </c>
      <c r="AH375" s="62" t="str">
        <f>_xlfn.XLOOKUP(Table26[[#This Row],[customerSKU]],customerSKU!G:G,customerSKU!K:K,"NA",0,1)</f>
        <v>NA</v>
      </c>
      <c r="AI375" s="43" t="str">
        <f>_xlfn.XLOOKUP(Table26[[#This Row],[customerSKU]],customerSKU!G:G,customerSKU!O:O,"not found",0,1)</f>
        <v>not found</v>
      </c>
      <c r="AJ375" s="59" t="e">
        <f>Table26[[#This Row],[unitprice]]*Table26[[#This Row],[quantity_unit]]</f>
        <v>#VALUE!</v>
      </c>
      <c r="AK375" s="59" t="e" cm="1">
        <f t="array" ref="AK3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6" spans="1:37" ht="18" customHeight="1">
      <c r="A376" s="42">
        <v>1873</v>
      </c>
      <c r="B376" s="58" t="s">
        <v>3520</v>
      </c>
      <c r="C376" s="53" t="s">
        <v>203</v>
      </c>
      <c r="D376" s="51">
        <v>45580</v>
      </c>
      <c r="E376" s="78" t="s">
        <v>3916</v>
      </c>
      <c r="F376" s="53">
        <v>52168</v>
      </c>
      <c r="G376" s="46"/>
      <c r="H376" s="53" t="s">
        <v>3826</v>
      </c>
      <c r="I376" s="19" t="s">
        <v>3862</v>
      </c>
      <c r="J376" s="53" t="s">
        <v>497</v>
      </c>
      <c r="K376" s="19">
        <v>45569</v>
      </c>
      <c r="L376" s="49" t="s">
        <v>490</v>
      </c>
      <c r="M376" s="53"/>
      <c r="N376" s="77" t="str">
        <f>Table26[[#This Row],[po_number]]&amp;"-"&amp;Table26[[#This Row],[po_line]]</f>
        <v>-1</v>
      </c>
      <c r="O376" s="77">
        <v>1</v>
      </c>
      <c r="P376" s="50"/>
      <c r="Q376" s="53" t="s">
        <v>535</v>
      </c>
      <c r="R376" s="53" t="s">
        <v>3428</v>
      </c>
      <c r="S376" s="53" t="s">
        <v>12</v>
      </c>
      <c r="T376" s="51">
        <v>45567</v>
      </c>
      <c r="U376" s="52">
        <v>1608</v>
      </c>
      <c r="V376" s="53">
        <v>12</v>
      </c>
      <c r="W376" s="116">
        <f t="shared" si="12"/>
        <v>134</v>
      </c>
      <c r="X376" s="53" t="str">
        <f t="shared" ref="X376:X407" si="13">IFERROR($AA376*$U376, "")</f>
        <v/>
      </c>
      <c r="Y376" s="53" t="s">
        <v>262</v>
      </c>
      <c r="Z376" s="25">
        <v>110721</v>
      </c>
      <c r="AA376" s="18" t="str" cm="1">
        <f t="array" ref="AA376">IF(P376="", "", _xlfn.XLOOKUP(P376,#REF!,#REF!,NA,0,-1))</f>
        <v/>
      </c>
      <c r="AB376" s="47"/>
      <c r="AC376" s="55" t="s">
        <v>69</v>
      </c>
      <c r="AD376" s="55" t="str">
        <f>IF($AC376="","",_xlfn.XLOOKUP($AC376,'[2]Client Info'!$C$2:$C$2535,'[2]Client Info'!$D$2:$D$2535))</f>
        <v>Unit 4-6150 Kennedy Road</v>
      </c>
      <c r="AE376" s="55" t="str">
        <f>IF($AC376="","",_xlfn.XLOOKUP($AC376,'[2]Client Info'!$C$2:$C$2715,'[2]Client Info'!$E$2:$E$2715))</f>
        <v>Missisauga</v>
      </c>
      <c r="AF376" s="55" t="str">
        <f>IF($AC376="","",_xlfn.XLOOKUP($AC376,'[2]Client Info'!$C$2:$C$2715,'[2]Client Info'!$F$2:$F$2715))</f>
        <v>ON</v>
      </c>
      <c r="AG376" s="55" t="s">
        <v>37</v>
      </c>
      <c r="AH376" s="62" t="str">
        <f>_xlfn.XLOOKUP(Table26[[#This Row],[customerSKU]],customerSKU!G:G,customerSKU!K:K,"NA",0,1)</f>
        <v>NA</v>
      </c>
      <c r="AI376" s="43" t="str">
        <f>_xlfn.XLOOKUP(Table26[[#This Row],[customerSKU]],customerSKU!G:G,customerSKU!O:O,"not found",0,1)</f>
        <v>not found</v>
      </c>
      <c r="AJ376" s="59" t="e">
        <f>Table26[[#This Row],[unitprice]]*Table26[[#This Row],[quantity_unit]]</f>
        <v>#VALUE!</v>
      </c>
      <c r="AK376" s="59" t="e" cm="1">
        <f t="array" ref="AK3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7" spans="1:37" ht="18" customHeight="1">
      <c r="A377" s="42">
        <v>1874</v>
      </c>
      <c r="B377" s="58" t="s">
        <v>3520</v>
      </c>
      <c r="C377" s="53" t="s">
        <v>203</v>
      </c>
      <c r="D377" s="51">
        <v>45580</v>
      </c>
      <c r="E377" s="51" t="s">
        <v>3920</v>
      </c>
      <c r="F377" s="53" t="s">
        <v>3921</v>
      </c>
      <c r="G377" s="46"/>
      <c r="H377" s="53" t="s">
        <v>3826</v>
      </c>
      <c r="I377" s="19" t="s">
        <v>3862</v>
      </c>
      <c r="J377" s="53" t="s">
        <v>497</v>
      </c>
      <c r="K377" s="19">
        <v>45569</v>
      </c>
      <c r="L377" s="49" t="s">
        <v>490</v>
      </c>
      <c r="M377" s="53"/>
      <c r="N377" s="77" t="str">
        <f>Table26[[#This Row],[po_number]]&amp;"-"&amp;Table26[[#This Row],[po_line]]</f>
        <v>-1</v>
      </c>
      <c r="O377" s="77">
        <v>1</v>
      </c>
      <c r="P377" s="50"/>
      <c r="Q377" s="59" t="s">
        <v>3915</v>
      </c>
      <c r="R377" s="59" t="s">
        <v>3830</v>
      </c>
      <c r="S377" s="59" t="s">
        <v>70</v>
      </c>
      <c r="T377" s="51">
        <v>45523</v>
      </c>
      <c r="U377" s="52">
        <v>72</v>
      </c>
      <c r="V377" s="53">
        <v>12</v>
      </c>
      <c r="W377" s="116">
        <f t="shared" si="12"/>
        <v>6</v>
      </c>
      <c r="X377" s="53" t="str">
        <f t="shared" si="13"/>
        <v/>
      </c>
      <c r="Y377" s="53" t="s">
        <v>246</v>
      </c>
      <c r="Z377" s="25" t="s">
        <v>3363</v>
      </c>
      <c r="AA377" s="18" t="str" cm="1">
        <f t="array" ref="AA377">IF(P377="", "", _xlfn.XLOOKUP(P377,#REF!,#REF!,NA,0,-1))</f>
        <v/>
      </c>
      <c r="AB377" s="53"/>
      <c r="AC377" s="55" t="s">
        <v>37</v>
      </c>
      <c r="AD377" s="55" t="str">
        <f>IF($AC377="","",_xlfn.XLOOKUP($AC377,'[2]Client Info'!$C$2:$C$2535,'[2]Client Info'!$D$2:$D$2535))</f>
        <v>55 Quarterman Road</v>
      </c>
      <c r="AE377" s="55" t="str">
        <f>IF($AC377="","",_xlfn.XLOOKUP($AC377,'[2]Client Info'!$C$2:$C$2715,'[2]Client Info'!$E$2:$E$2715))</f>
        <v>Guelph</v>
      </c>
      <c r="AF377" s="55" t="str">
        <f>IF($AC377="","",_xlfn.XLOOKUP($AC377,'[2]Client Info'!$C$2:$C$2715,'[2]Client Info'!$F$2:$F$2715))</f>
        <v>ON</v>
      </c>
      <c r="AG377" s="55" t="s">
        <v>37</v>
      </c>
      <c r="AH377" s="62" t="str">
        <f>_xlfn.XLOOKUP(Table26[[#This Row],[customerSKU]],customerSKU!G:G,customerSKU!K:K,"NA",0,1)</f>
        <v>NA</v>
      </c>
      <c r="AI377" s="43" t="str">
        <f>_xlfn.XLOOKUP(Table26[[#This Row],[customerSKU]],customerSKU!G:G,customerSKU!O:O,"not found",0,1)</f>
        <v>not found</v>
      </c>
      <c r="AJ377" s="59" t="e">
        <f>Table26[[#This Row],[unitprice]]*Table26[[#This Row],[quantity_unit]]</f>
        <v>#VALUE!</v>
      </c>
      <c r="AK377" s="59" t="e" cm="1">
        <f t="array" ref="AK3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8" spans="1:37" ht="18" customHeight="1">
      <c r="A378" s="42">
        <v>1875</v>
      </c>
      <c r="B378" s="58" t="s">
        <v>3520</v>
      </c>
      <c r="C378" s="53" t="s">
        <v>203</v>
      </c>
      <c r="D378" s="51">
        <v>45582</v>
      </c>
      <c r="E378" s="51" t="s">
        <v>3922</v>
      </c>
      <c r="F378" s="53" t="s">
        <v>3923</v>
      </c>
      <c r="G378" s="46"/>
      <c r="H378" s="53" t="s">
        <v>3826</v>
      </c>
      <c r="I378" s="19" t="s">
        <v>3862</v>
      </c>
      <c r="J378" s="53" t="s">
        <v>497</v>
      </c>
      <c r="K378" s="19">
        <v>45569</v>
      </c>
      <c r="L378" s="49" t="s">
        <v>490</v>
      </c>
      <c r="M378" s="53"/>
      <c r="N378" s="77" t="str">
        <f>Table26[[#This Row],[po_number]]&amp;"-"&amp;Table26[[#This Row],[po_line]]</f>
        <v>-1</v>
      </c>
      <c r="O378" s="77">
        <v>1</v>
      </c>
      <c r="P378" s="50"/>
      <c r="Q378" s="53" t="s">
        <v>797</v>
      </c>
      <c r="R378" s="53" t="s">
        <v>532</v>
      </c>
      <c r="S378" s="53" t="s">
        <v>12</v>
      </c>
      <c r="T378" s="51">
        <v>45531</v>
      </c>
      <c r="U378" s="52">
        <v>24</v>
      </c>
      <c r="V378" s="53" t="str">
        <f>IF(ISBLANK(Table26[[#This Row],[customerSKU]]),"",_xlfn.XLOOKUP(Table26[[#This Row],[customerSKU]],Table27[customer_SKU],Table27[case_size],"",0,1))</f>
        <v/>
      </c>
      <c r="W378" s="116" t="str">
        <f t="shared" si="12"/>
        <v/>
      </c>
      <c r="X378" s="53" t="str">
        <f t="shared" si="13"/>
        <v/>
      </c>
      <c r="Y378" s="53" t="str">
        <f>IF(Table26[[#This Row],[customerSKU]]="","",_xlfn.XLOOKUP(Table26[[#This Row],[customerSKU]],Table27[customer_SKU],Table27[product_GTIN],"",0,1))</f>
        <v/>
      </c>
      <c r="Z378" s="25" t="s">
        <v>3409</v>
      </c>
      <c r="AA378" s="18" t="str" cm="1">
        <f t="array" ref="AA378">IF(P378="", "", _xlfn.XLOOKUP(P378,#REF!,#REF!,NA,0,-1))</f>
        <v/>
      </c>
      <c r="AB378" s="53"/>
      <c r="AC378" s="55" t="str">
        <f>IF(ISBLANK(Table26[[#This Row],[customerSKU]]),"",_xlfn.XLOOKUP(Table26[[#This Row],[customerSKU]],Table27[customer_SKU],Table27[shipto],"",0,1))</f>
        <v/>
      </c>
      <c r="AD378" s="55" t="str">
        <f>IF($AC378="","",_xlfn.XLOOKUP($AC378,'[2]Client Info'!$C$2:$C$2535,'[2]Client Info'!$D$2:$D$2535))</f>
        <v/>
      </c>
      <c r="AE378" s="55" t="str">
        <f>IF($AC378="","",_xlfn.XLOOKUP($AC378,'[2]Client Info'!$C$2:$C$2715,'[2]Client Info'!$E$2:$E$2715))</f>
        <v/>
      </c>
      <c r="AF378" s="55" t="str">
        <f>IF($AC378="","",_xlfn.XLOOKUP($AC378,'[2]Client Info'!$C$2:$C$2715,'[2]Client Info'!$F$2:$F$2715))</f>
        <v/>
      </c>
      <c r="AG378" s="55" t="str">
        <f>IF(ISBLANK(Table26[[#This Row],[customerSKU]]),"",_xlfn.XLOOKUP(Table26[[#This Row],[customerSKU]],Table27[customer_SKU],Table27[shipto],"",0,1))</f>
        <v/>
      </c>
      <c r="AH378" s="62" t="str">
        <f>_xlfn.XLOOKUP(Table26[[#This Row],[customerSKU]],customerSKU!G:G,customerSKU!K:K,"NA",0,1)</f>
        <v>NA</v>
      </c>
      <c r="AI378" s="43" t="str">
        <f>_xlfn.XLOOKUP(Table26[[#This Row],[customerSKU]],customerSKU!G:G,customerSKU!O:O,"not found",0,1)</f>
        <v>not found</v>
      </c>
      <c r="AJ378" s="59" t="e">
        <f>Table26[[#This Row],[unitprice]]*Table26[[#This Row],[quantity_unit]]</f>
        <v>#VALUE!</v>
      </c>
      <c r="AK378" s="59" t="e" cm="1">
        <f t="array" ref="AK3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79" spans="1:37" ht="18" customHeight="1">
      <c r="A379" s="42">
        <v>1876</v>
      </c>
      <c r="B379" s="58" t="s">
        <v>3520</v>
      </c>
      <c r="C379" s="53" t="s">
        <v>203</v>
      </c>
      <c r="D379" s="51">
        <v>45582</v>
      </c>
      <c r="E379" s="51" t="s">
        <v>3922</v>
      </c>
      <c r="F379" s="53" t="s">
        <v>3923</v>
      </c>
      <c r="G379" s="46"/>
      <c r="H379" s="53" t="s">
        <v>3826</v>
      </c>
      <c r="I379" s="19" t="s">
        <v>3862</v>
      </c>
      <c r="J379" s="53" t="s">
        <v>497</v>
      </c>
      <c r="K379" s="19">
        <v>45569</v>
      </c>
      <c r="L379" s="49" t="s">
        <v>490</v>
      </c>
      <c r="M379" s="53"/>
      <c r="N379" s="77" t="str">
        <f>Table26[[#This Row],[po_number]]&amp;"-"&amp;Table26[[#This Row],[po_line]]</f>
        <v>-2</v>
      </c>
      <c r="O379" s="77">
        <v>2</v>
      </c>
      <c r="P379" s="50"/>
      <c r="Q379" s="59" t="s">
        <v>3915</v>
      </c>
      <c r="R379" s="59" t="s">
        <v>3830</v>
      </c>
      <c r="S379" s="59" t="s">
        <v>70</v>
      </c>
      <c r="T379" s="51">
        <v>45523</v>
      </c>
      <c r="U379" s="67">
        <v>24</v>
      </c>
      <c r="V379" s="53" t="str">
        <f>IF(ISBLANK(Table26[[#This Row],[customerSKU]]),"",_xlfn.XLOOKUP(Table26[[#This Row],[customerSKU]],Table27[customer_SKU],Table27[case_size],"",0,1))</f>
        <v/>
      </c>
      <c r="W379" s="116" t="str">
        <f t="shared" si="12"/>
        <v/>
      </c>
      <c r="X379" s="53" t="str">
        <f t="shared" si="13"/>
        <v/>
      </c>
      <c r="Y379" s="53" t="str">
        <f>IF(Table26[[#This Row],[customerSKU]]="","",_xlfn.XLOOKUP(Table26[[#This Row],[customerSKU]],Table27[customer_SKU],Table27[product_GTIN],"",0,1))</f>
        <v/>
      </c>
      <c r="Z379" s="25" t="s">
        <v>3363</v>
      </c>
      <c r="AA379" s="18" t="str" cm="1">
        <f t="array" ref="AA379">IF(P379="", "", _xlfn.XLOOKUP(P379,#REF!,#REF!,NA,0,-1))</f>
        <v/>
      </c>
      <c r="AB379" s="53"/>
      <c r="AC379" s="55" t="str">
        <f>IF(ISBLANK(Table26[[#This Row],[customerSKU]]),"",_xlfn.XLOOKUP(Table26[[#This Row],[customerSKU]],Table27[customer_SKU],Table27[shipto],"",0,1))</f>
        <v/>
      </c>
      <c r="AD379" s="55" t="str">
        <f>IF($AC379="","",_xlfn.XLOOKUP($AC379,'[2]Client Info'!$C$2:$C$2535,'[2]Client Info'!$D$2:$D$2535))</f>
        <v/>
      </c>
      <c r="AE379" s="55" t="str">
        <f>IF($AC379="","",_xlfn.XLOOKUP($AC379,'[2]Client Info'!$C$2:$C$2715,'[2]Client Info'!$E$2:$E$2715))</f>
        <v/>
      </c>
      <c r="AF379" s="55" t="str">
        <f>IF($AC379="","",_xlfn.XLOOKUP($AC379,'[2]Client Info'!$C$2:$C$2715,'[2]Client Info'!$F$2:$F$2715))</f>
        <v/>
      </c>
      <c r="AG379" s="55" t="str">
        <f>IF(ISBLANK(Table26[[#This Row],[customerSKU]]),"",_xlfn.XLOOKUP(Table26[[#This Row],[customerSKU]],Table27[customer_SKU],Table27[shipto],"",0,1))</f>
        <v/>
      </c>
      <c r="AH379" s="62" t="str">
        <f>_xlfn.XLOOKUP(Table26[[#This Row],[customerSKU]],customerSKU!G:G,customerSKU!K:K,"NA",0,1)</f>
        <v>NA</v>
      </c>
      <c r="AI379" s="43" t="str">
        <f>_xlfn.XLOOKUP(Table26[[#This Row],[customerSKU]],customerSKU!G:G,customerSKU!O:O,"not found",0,1)</f>
        <v>not found</v>
      </c>
      <c r="AJ379" s="59" t="e">
        <f>Table26[[#This Row],[unitprice]]*Table26[[#This Row],[quantity_unit]]</f>
        <v>#VALUE!</v>
      </c>
      <c r="AK379" s="59" t="e" cm="1">
        <f t="array" ref="AK3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0" spans="1:37" ht="18" customHeight="1">
      <c r="A380" s="42">
        <v>1877</v>
      </c>
      <c r="B380" s="58" t="s">
        <v>3520</v>
      </c>
      <c r="C380" s="53" t="s">
        <v>203</v>
      </c>
      <c r="D380" s="51">
        <v>45582</v>
      </c>
      <c r="E380" s="51" t="s">
        <v>3922</v>
      </c>
      <c r="F380" s="53" t="s">
        <v>3923</v>
      </c>
      <c r="G380" s="46"/>
      <c r="H380" s="53" t="s">
        <v>3826</v>
      </c>
      <c r="I380" s="19" t="s">
        <v>3862</v>
      </c>
      <c r="J380" s="53" t="s">
        <v>497</v>
      </c>
      <c r="K380" s="19">
        <v>45569</v>
      </c>
      <c r="L380" s="49" t="s">
        <v>490</v>
      </c>
      <c r="M380" s="53"/>
      <c r="N380" s="77" t="str">
        <f>Table26[[#This Row],[po_number]]&amp;"-"&amp;Table26[[#This Row],[po_line]]</f>
        <v>-3</v>
      </c>
      <c r="O380" s="77">
        <v>3</v>
      </c>
      <c r="P380" s="50"/>
      <c r="Q380" s="59" t="s">
        <v>3919</v>
      </c>
      <c r="R380" s="53" t="s">
        <v>3830</v>
      </c>
      <c r="S380" s="53" t="s">
        <v>12</v>
      </c>
      <c r="T380" s="51">
        <v>45550</v>
      </c>
      <c r="U380" s="52">
        <f>11*12</f>
        <v>132</v>
      </c>
      <c r="V380" s="53" t="str">
        <f>IF(ISBLANK(Table26[[#This Row],[customerSKU]]),"",_xlfn.XLOOKUP(Table26[[#This Row],[customerSKU]],Table27[customer_SKU],Table27[case_size],"",0,1))</f>
        <v/>
      </c>
      <c r="W380" s="116" t="str">
        <f t="shared" si="12"/>
        <v/>
      </c>
      <c r="X380" s="53" t="str">
        <f t="shared" si="13"/>
        <v/>
      </c>
      <c r="Y380" s="53" t="str">
        <f>IF(Table26[[#This Row],[customerSKU]]="","",_xlfn.XLOOKUP(Table26[[#This Row],[customerSKU]],Table27[customer_SKU],Table27[product_GTIN],"",0,1))</f>
        <v/>
      </c>
      <c r="Z380" s="25" t="s">
        <v>3363</v>
      </c>
      <c r="AA380" s="18" t="str" cm="1">
        <f t="array" ref="AA380">IF(P380="", "", _xlfn.XLOOKUP(P380,#REF!,#REF!,NA,0,-1))</f>
        <v/>
      </c>
      <c r="AB380" s="53"/>
      <c r="AC380" s="55" t="str">
        <f>IF(ISBLANK(Table26[[#This Row],[customerSKU]]),"",_xlfn.XLOOKUP(Table26[[#This Row],[customerSKU]],Table27[customer_SKU],Table27[shipto],"",0,1))</f>
        <v/>
      </c>
      <c r="AD380" s="55" t="str">
        <f>IF($AC380="","",_xlfn.XLOOKUP($AC380,'[2]Client Info'!$C$2:$C$2535,'[2]Client Info'!$D$2:$D$2535))</f>
        <v/>
      </c>
      <c r="AE380" s="55" t="str">
        <f>IF($AC380="","",_xlfn.XLOOKUP($AC380,'[2]Client Info'!$C$2:$C$2715,'[2]Client Info'!$E$2:$E$2715))</f>
        <v/>
      </c>
      <c r="AF380" s="55" t="str">
        <f>IF($AC380="","",_xlfn.XLOOKUP($AC380,'[2]Client Info'!$C$2:$C$2715,'[2]Client Info'!$F$2:$F$2715))</f>
        <v/>
      </c>
      <c r="AG380" s="55" t="str">
        <f>IF(ISBLANK(Table26[[#This Row],[customerSKU]]),"",_xlfn.XLOOKUP(Table26[[#This Row],[customerSKU]],Table27[customer_SKU],Table27[shipto],"",0,1))</f>
        <v/>
      </c>
      <c r="AH380" s="62" t="str">
        <f>_xlfn.XLOOKUP(Table26[[#This Row],[customerSKU]],customerSKU!G:G,customerSKU!K:K,"NA",0,1)</f>
        <v>NA</v>
      </c>
      <c r="AI380" s="43" t="str">
        <f>_xlfn.XLOOKUP(Table26[[#This Row],[customerSKU]],customerSKU!G:G,customerSKU!O:O,"not found",0,1)</f>
        <v>not found</v>
      </c>
      <c r="AJ380" s="59" t="e">
        <f>Table26[[#This Row],[unitprice]]*Table26[[#This Row],[quantity_unit]]</f>
        <v>#VALUE!</v>
      </c>
      <c r="AK380" s="59" t="e" cm="1">
        <f t="array" ref="AK3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1" spans="1:37" ht="18" customHeight="1">
      <c r="A381" s="42">
        <v>1854</v>
      </c>
      <c r="B381" s="58" t="s">
        <v>3520</v>
      </c>
      <c r="C381" s="53" t="s">
        <v>203</v>
      </c>
      <c r="D381" s="51">
        <v>45569</v>
      </c>
      <c r="E381" s="51">
        <v>45576</v>
      </c>
      <c r="F381" s="53"/>
      <c r="G381" s="46"/>
      <c r="H381" s="53"/>
      <c r="I381" s="53" t="s">
        <v>3862</v>
      </c>
      <c r="J381" s="53" t="s">
        <v>499</v>
      </c>
      <c r="K381" s="48">
        <v>45572</v>
      </c>
      <c r="L381" s="49" t="s">
        <v>490</v>
      </c>
      <c r="M381" s="53"/>
      <c r="N381" s="77" t="str">
        <f>Table26[[#This Row],[po_number]]&amp;"-"&amp;Table26[[#This Row],[po_line]]</f>
        <v>-1</v>
      </c>
      <c r="O381" s="77">
        <v>1</v>
      </c>
      <c r="P381" s="50"/>
      <c r="Q381" s="53" t="s">
        <v>814</v>
      </c>
      <c r="R381" s="53" t="s">
        <v>3428</v>
      </c>
      <c r="S381" s="53" t="s">
        <v>3883</v>
      </c>
      <c r="T381" s="51">
        <v>45569</v>
      </c>
      <c r="U381" s="52">
        <v>36</v>
      </c>
      <c r="V381" s="53">
        <v>12</v>
      </c>
      <c r="W381" s="116">
        <f t="shared" si="12"/>
        <v>3</v>
      </c>
      <c r="X381" s="53" t="str">
        <f t="shared" si="13"/>
        <v/>
      </c>
      <c r="Y381" s="53" t="str">
        <f>IF(Table26[[#This Row],[customerSKU]]="","",_xlfn.XLOOKUP(Table26[[#This Row],[customerSKU]],Table27[customer_SKU],Table27[product_GTIN],"",0,1))</f>
        <v/>
      </c>
      <c r="Z381" s="60">
        <v>991650</v>
      </c>
      <c r="AA381" s="18" t="str" cm="1">
        <f t="array" ref="AA381">IF(P381="", "", _xlfn.XLOOKUP(P381,#REF!,#REF!,NA,0,-1))</f>
        <v/>
      </c>
      <c r="AB381" s="53"/>
      <c r="AC381" s="55" t="s">
        <v>33</v>
      </c>
      <c r="AD381" s="55" t="str">
        <f>IF($AC381="","",_xlfn.XLOOKUP($AC381,'[2]Client Info'!$C$2:$C$2535,'[2]Client Info'!$D$2:$D$2535))</f>
        <v>9031 Quartz Road</v>
      </c>
      <c r="AE381" s="55" t="str">
        <f>IF($AC381="","",_xlfn.XLOOKUP($AC381,'[2]Client Info'!$C$2:$C$2715,'[2]Client Info'!$E$2:$E$2715))</f>
        <v>White Horse</v>
      </c>
      <c r="AF381" s="55" t="str">
        <f>IF($AC381="","",_xlfn.XLOOKUP($AC381,'[2]Client Info'!$C$2:$C$2715,'[2]Client Info'!$F$2:$F$2715))</f>
        <v>YT</v>
      </c>
      <c r="AG381" s="55" t="s">
        <v>33</v>
      </c>
      <c r="AH381" s="62" t="str">
        <f>_xlfn.XLOOKUP(Table26[[#This Row],[customerSKU]],Table27[customer_SKU],Table27[unit_price],"NA",0,1)</f>
        <v>NA</v>
      </c>
      <c r="AI381" s="43" t="str">
        <f>_xlfn.XLOOKUP(Table26[[#This Row],[customerSKU]],customerSKU!G:G,customerSKU!O:O,"not found",0,1)</f>
        <v>not found</v>
      </c>
      <c r="AJ381" s="70" t="e">
        <f>Table26[[#This Row],[unitprice]]*Table26[[#This Row],[quantity_unit]]</f>
        <v>#VALUE!</v>
      </c>
      <c r="AK381" s="70" t="e" cm="1">
        <f t="array" ref="AK3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2" spans="1:37" ht="18" customHeight="1">
      <c r="A382" s="42">
        <v>1855</v>
      </c>
      <c r="B382" s="58" t="s">
        <v>3520</v>
      </c>
      <c r="C382" s="53" t="s">
        <v>203</v>
      </c>
      <c r="D382" s="51">
        <v>45569</v>
      </c>
      <c r="E382" s="51">
        <v>45576</v>
      </c>
      <c r="F382" s="53"/>
      <c r="G382" s="46"/>
      <c r="H382" s="53"/>
      <c r="I382" s="53" t="s">
        <v>3862</v>
      </c>
      <c r="J382" s="53" t="s">
        <v>499</v>
      </c>
      <c r="K382" s="48">
        <v>45572</v>
      </c>
      <c r="L382" s="49" t="s">
        <v>490</v>
      </c>
      <c r="M382" s="53"/>
      <c r="N382" s="77" t="str">
        <f>Table26[[#This Row],[po_number]]&amp;"-"&amp;Table26[[#This Row],[po_line]]</f>
        <v>-2</v>
      </c>
      <c r="O382" s="77">
        <v>2</v>
      </c>
      <c r="P382" s="50"/>
      <c r="Q382" s="53" t="s">
        <v>846</v>
      </c>
      <c r="R382" s="53" t="s">
        <v>3428</v>
      </c>
      <c r="S382" s="53" t="s">
        <v>3883</v>
      </c>
      <c r="T382" s="51">
        <v>45492</v>
      </c>
      <c r="U382" s="52">
        <v>12</v>
      </c>
      <c r="V382" s="53">
        <v>12</v>
      </c>
      <c r="W382" s="116">
        <f t="shared" si="12"/>
        <v>1</v>
      </c>
      <c r="X382" s="53" t="str">
        <f t="shared" si="13"/>
        <v/>
      </c>
      <c r="Y382" s="53" t="str">
        <f>IF(Table26[[#This Row],[customerSKU]]="","",_xlfn.XLOOKUP(Table26[[#This Row],[customerSKU]],Table27[customer_SKU],Table27[product_GTIN],"",0,1))</f>
        <v/>
      </c>
      <c r="Z382" s="60">
        <v>994651</v>
      </c>
      <c r="AA382" s="18" t="str" cm="1">
        <f t="array" ref="AA382">IF(P382="", "", _xlfn.XLOOKUP(P382,#REF!,#REF!,NA,0,-1))</f>
        <v/>
      </c>
      <c r="AB382" s="53"/>
      <c r="AC382" s="55" t="s">
        <v>33</v>
      </c>
      <c r="AD382" s="55" t="str">
        <f>IF($AC382="","",_xlfn.XLOOKUP($AC382,'[2]Client Info'!$C$2:$C$2535,'[2]Client Info'!$D$2:$D$2535))</f>
        <v>9031 Quartz Road</v>
      </c>
      <c r="AE382" s="55" t="str">
        <f>IF($AC382="","",_xlfn.XLOOKUP($AC382,'[2]Client Info'!$C$2:$C$2715,'[2]Client Info'!$E$2:$E$2715))</f>
        <v>White Horse</v>
      </c>
      <c r="AF382" s="55" t="str">
        <f>IF($AC382="","",_xlfn.XLOOKUP($AC382,'[2]Client Info'!$C$2:$C$2715,'[2]Client Info'!$F$2:$F$2715))</f>
        <v>YT</v>
      </c>
      <c r="AG382" s="55" t="s">
        <v>33</v>
      </c>
      <c r="AH382" s="62" t="str">
        <f>_xlfn.XLOOKUP(Table26[[#This Row],[customerSKU]],Table27[customer_SKU],Table27[unit_price],"NA",0,1)</f>
        <v>NA</v>
      </c>
      <c r="AI382" s="43" t="str">
        <f>_xlfn.XLOOKUP(Table26[[#This Row],[customerSKU]],customerSKU!G:G,customerSKU!O:O,"not found",0,1)</f>
        <v>not found</v>
      </c>
      <c r="AJ382" s="70" t="e">
        <f>Table26[[#This Row],[unitprice]]*Table26[[#This Row],[quantity_unit]]</f>
        <v>#VALUE!</v>
      </c>
      <c r="AK382" s="70" t="e" cm="1">
        <f t="array" ref="AK3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3" spans="1:37" ht="18" customHeight="1">
      <c r="A383" s="42">
        <v>1856</v>
      </c>
      <c r="B383" s="58" t="s">
        <v>3520</v>
      </c>
      <c r="C383" s="53" t="s">
        <v>203</v>
      </c>
      <c r="D383" s="51">
        <v>45569</v>
      </c>
      <c r="E383" s="51">
        <v>45576</v>
      </c>
      <c r="F383" s="53"/>
      <c r="G383" s="46"/>
      <c r="H383" s="53"/>
      <c r="I383" s="53" t="s">
        <v>3862</v>
      </c>
      <c r="J383" s="53" t="s">
        <v>499</v>
      </c>
      <c r="K383" s="48">
        <v>45572</v>
      </c>
      <c r="L383" s="49" t="s">
        <v>490</v>
      </c>
      <c r="M383" s="53"/>
      <c r="N383" s="77" t="str">
        <f>Table26[[#This Row],[po_number]]&amp;"-"&amp;Table26[[#This Row],[po_line]]</f>
        <v>-3</v>
      </c>
      <c r="O383" s="77">
        <v>3</v>
      </c>
      <c r="P383" s="50"/>
      <c r="Q383" s="53" t="s">
        <v>846</v>
      </c>
      <c r="R383" s="53" t="s">
        <v>3428</v>
      </c>
      <c r="S383" s="53" t="s">
        <v>3883</v>
      </c>
      <c r="T383" s="51">
        <v>45531</v>
      </c>
      <c r="U383" s="52">
        <v>24</v>
      </c>
      <c r="V383" s="53">
        <v>12</v>
      </c>
      <c r="W383" s="116">
        <f t="shared" si="12"/>
        <v>2</v>
      </c>
      <c r="X383" s="53" t="str">
        <f t="shared" si="13"/>
        <v/>
      </c>
      <c r="Y383" s="53" t="str">
        <f>IF(Table26[[#This Row],[customerSKU]]="","",_xlfn.XLOOKUP(Table26[[#This Row],[customerSKU]],Table27[customer_SKU],Table27[product_GTIN],"",0,1))</f>
        <v/>
      </c>
      <c r="Z383" s="60">
        <v>994651</v>
      </c>
      <c r="AA383" s="18" t="str" cm="1">
        <f t="array" ref="AA383">IF(P383="", "", _xlfn.XLOOKUP(P383,#REF!,#REF!,NA,0,-1))</f>
        <v/>
      </c>
      <c r="AB383" s="53"/>
      <c r="AC383" s="55" t="s">
        <v>33</v>
      </c>
      <c r="AD383" s="55" t="str">
        <f>IF($AC383="","",_xlfn.XLOOKUP($AC383,'[2]Client Info'!$C$2:$C$2535,'[2]Client Info'!$D$2:$D$2535))</f>
        <v>9031 Quartz Road</v>
      </c>
      <c r="AE383" s="55" t="str">
        <f>IF($AC383="","",_xlfn.XLOOKUP($AC383,'[2]Client Info'!$C$2:$C$2715,'[2]Client Info'!$E$2:$E$2715))</f>
        <v>White Horse</v>
      </c>
      <c r="AF383" s="55" t="str">
        <f>IF($AC383="","",_xlfn.XLOOKUP($AC383,'[2]Client Info'!$C$2:$C$2715,'[2]Client Info'!$F$2:$F$2715))</f>
        <v>YT</v>
      </c>
      <c r="AG383" s="55" t="s">
        <v>33</v>
      </c>
      <c r="AH383" s="62" t="str">
        <f>_xlfn.XLOOKUP(Table26[[#This Row],[customerSKU]],Table27[customer_SKU],Table27[unit_price],"NA",0,1)</f>
        <v>NA</v>
      </c>
      <c r="AI383" s="43" t="str">
        <f>_xlfn.XLOOKUP(Table26[[#This Row],[customerSKU]],customerSKU!G:G,customerSKU!O:O,"not found",0,1)</f>
        <v>not found</v>
      </c>
      <c r="AJ383" s="70" t="e">
        <f>Table26[[#This Row],[unitprice]]*Table26[[#This Row],[quantity_unit]]</f>
        <v>#VALUE!</v>
      </c>
      <c r="AK383" s="70" t="e" cm="1">
        <f t="array" ref="AK3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4" spans="1:37" ht="18" customHeight="1">
      <c r="A384" s="42">
        <v>1857</v>
      </c>
      <c r="B384" s="58" t="s">
        <v>3520</v>
      </c>
      <c r="C384" s="53" t="s">
        <v>203</v>
      </c>
      <c r="D384" s="51">
        <v>45569</v>
      </c>
      <c r="E384" s="51">
        <v>45576</v>
      </c>
      <c r="F384" s="53"/>
      <c r="G384" s="46"/>
      <c r="H384" s="53"/>
      <c r="I384" s="53" t="s">
        <v>3862</v>
      </c>
      <c r="J384" s="53" t="s">
        <v>499</v>
      </c>
      <c r="K384" s="48">
        <v>45572</v>
      </c>
      <c r="L384" s="49" t="s">
        <v>490</v>
      </c>
      <c r="M384" s="53"/>
      <c r="N384" s="77" t="str">
        <f>Table26[[#This Row],[po_number]]&amp;"-"&amp;Table26[[#This Row],[po_line]]</f>
        <v>-4</v>
      </c>
      <c r="O384" s="77">
        <v>4</v>
      </c>
      <c r="P384" s="50"/>
      <c r="Q384" s="53" t="s">
        <v>824</v>
      </c>
      <c r="R384" s="53" t="s">
        <v>3428</v>
      </c>
      <c r="S384" s="53" t="s">
        <v>3883</v>
      </c>
      <c r="T384" s="51">
        <v>45569</v>
      </c>
      <c r="U384" s="52">
        <v>36</v>
      </c>
      <c r="V384" s="53">
        <v>12</v>
      </c>
      <c r="W384" s="116">
        <f t="shared" si="12"/>
        <v>3</v>
      </c>
      <c r="X384" s="53" t="str">
        <f t="shared" si="13"/>
        <v/>
      </c>
      <c r="Y384" s="53" t="str">
        <f>IF(Table26[[#This Row],[customerSKU]]="","",_xlfn.XLOOKUP(Table26[[#This Row],[customerSKU]],Table27[customer_SKU],Table27[product_GTIN],"",0,1))</f>
        <v/>
      </c>
      <c r="Z384" s="25" t="s">
        <v>3571</v>
      </c>
      <c r="AA384" s="18" t="str" cm="1">
        <f t="array" ref="AA384">IF(P384="", "", _xlfn.XLOOKUP(P384,#REF!,#REF!,NA,0,-1))</f>
        <v/>
      </c>
      <c r="AB384" s="53"/>
      <c r="AC384" s="55" t="s">
        <v>33</v>
      </c>
      <c r="AD384" s="55" t="str">
        <f>IF($AC384="","",_xlfn.XLOOKUP($AC384,'[2]Client Info'!$C$2:$C$2535,'[2]Client Info'!$D$2:$D$2535))</f>
        <v>9031 Quartz Road</v>
      </c>
      <c r="AE384" s="55" t="str">
        <f>IF($AC384="","",_xlfn.XLOOKUP($AC384,'[2]Client Info'!$C$2:$C$2715,'[2]Client Info'!$E$2:$E$2715))</f>
        <v>White Horse</v>
      </c>
      <c r="AF384" s="55" t="str">
        <f>IF($AC384="","",_xlfn.XLOOKUP($AC384,'[2]Client Info'!$C$2:$C$2715,'[2]Client Info'!$F$2:$F$2715))</f>
        <v>YT</v>
      </c>
      <c r="AG384" s="55" t="s">
        <v>33</v>
      </c>
      <c r="AH384" s="62" t="str">
        <f>_xlfn.XLOOKUP(Table26[[#This Row],[customerSKU]],Table27[customer_SKU],Table27[unit_price],"NA",0,1)</f>
        <v>NA</v>
      </c>
      <c r="AI384" s="43" t="str">
        <f>_xlfn.XLOOKUP(Table26[[#This Row],[customerSKU]],customerSKU!G:G,customerSKU!O:O,"not found",0,1)</f>
        <v>not found</v>
      </c>
      <c r="AJ384" s="70" t="e">
        <f>Table26[[#This Row],[unitprice]]*Table26[[#This Row],[quantity_unit]]</f>
        <v>#VALUE!</v>
      </c>
      <c r="AK384" s="70" t="e" cm="1">
        <f t="array" ref="AK3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5" spans="1:37" ht="18" customHeight="1">
      <c r="A385" s="42">
        <v>1858</v>
      </c>
      <c r="B385" s="58" t="s">
        <v>3520</v>
      </c>
      <c r="C385" s="53" t="s">
        <v>203</v>
      </c>
      <c r="D385" s="51">
        <v>45569</v>
      </c>
      <c r="E385" s="51">
        <v>45576</v>
      </c>
      <c r="F385" s="53"/>
      <c r="G385" s="46"/>
      <c r="H385" s="53"/>
      <c r="I385" s="53" t="s">
        <v>3862</v>
      </c>
      <c r="J385" s="53" t="s">
        <v>499</v>
      </c>
      <c r="K385" s="48">
        <v>45572</v>
      </c>
      <c r="L385" s="49" t="s">
        <v>490</v>
      </c>
      <c r="M385" s="53"/>
      <c r="N385" s="77" t="str">
        <f>Table26[[#This Row],[po_number]]&amp;"-"&amp;Table26[[#This Row],[po_line]]</f>
        <v>-5</v>
      </c>
      <c r="O385" s="77">
        <v>5</v>
      </c>
      <c r="P385" s="50"/>
      <c r="Q385" s="53" t="s">
        <v>3884</v>
      </c>
      <c r="R385" s="53" t="s">
        <v>3428</v>
      </c>
      <c r="S385" s="53" t="s">
        <v>3883</v>
      </c>
      <c r="T385" s="51">
        <v>45569</v>
      </c>
      <c r="U385" s="52">
        <v>12</v>
      </c>
      <c r="V385" s="53">
        <v>12</v>
      </c>
      <c r="W385" s="116">
        <f t="shared" si="12"/>
        <v>1</v>
      </c>
      <c r="X385" s="53" t="str">
        <f t="shared" si="13"/>
        <v/>
      </c>
      <c r="Y385" s="53" t="str">
        <f>IF(Table26[[#This Row],[customerSKU]]="","",_xlfn.XLOOKUP(Table26[[#This Row],[customerSKU]],Table27[customer_SKU],Table27[product_GTIN],"",0,1))</f>
        <v/>
      </c>
      <c r="Z385" s="60">
        <v>991977</v>
      </c>
      <c r="AA385" s="18" t="str" cm="1">
        <f t="array" ref="AA385">IF(P385="", "", _xlfn.XLOOKUP(P385,#REF!,#REF!,NA,0,-1))</f>
        <v/>
      </c>
      <c r="AB385" s="53"/>
      <c r="AC385" s="55" t="s">
        <v>33</v>
      </c>
      <c r="AD385" s="55" t="str">
        <f>IF($AC385="","",_xlfn.XLOOKUP($AC385,'[2]Client Info'!$C$2:$C$2535,'[2]Client Info'!$D$2:$D$2535))</f>
        <v>9031 Quartz Road</v>
      </c>
      <c r="AE385" s="55" t="str">
        <f>IF($AC385="","",_xlfn.XLOOKUP($AC385,'[2]Client Info'!$C$2:$C$2715,'[2]Client Info'!$E$2:$E$2715))</f>
        <v>White Horse</v>
      </c>
      <c r="AF385" s="55" t="str">
        <f>IF($AC385="","",_xlfn.XLOOKUP($AC385,'[2]Client Info'!$C$2:$C$2715,'[2]Client Info'!$F$2:$F$2715))</f>
        <v>YT</v>
      </c>
      <c r="AG385" s="55" t="s">
        <v>33</v>
      </c>
      <c r="AH385" s="62" t="str">
        <f>_xlfn.XLOOKUP(Table26[[#This Row],[customerSKU]],Table27[customer_SKU],Table27[unit_price],"NA",0,1)</f>
        <v>NA</v>
      </c>
      <c r="AI385" s="43" t="str">
        <f>_xlfn.XLOOKUP(Table26[[#This Row],[customerSKU]],customerSKU!G:G,customerSKU!O:O,"not found",0,1)</f>
        <v>not found</v>
      </c>
      <c r="AJ385" s="70" t="e">
        <f>Table26[[#This Row],[unitprice]]*Table26[[#This Row],[quantity_unit]]</f>
        <v>#VALUE!</v>
      </c>
      <c r="AK385" s="70" t="e" cm="1">
        <f t="array" ref="AK3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6" spans="1:37" ht="18" customHeight="1">
      <c r="A386" s="42">
        <v>1859</v>
      </c>
      <c r="B386" s="58" t="s">
        <v>3520</v>
      </c>
      <c r="C386" s="53" t="s">
        <v>203</v>
      </c>
      <c r="D386" s="51">
        <v>45569</v>
      </c>
      <c r="E386" s="51">
        <v>45576</v>
      </c>
      <c r="F386" s="53"/>
      <c r="G386" s="46"/>
      <c r="H386" s="53"/>
      <c r="I386" s="53" t="s">
        <v>3862</v>
      </c>
      <c r="J386" s="53" t="s">
        <v>499</v>
      </c>
      <c r="K386" s="48">
        <v>45572</v>
      </c>
      <c r="L386" s="49" t="s">
        <v>490</v>
      </c>
      <c r="M386" s="53"/>
      <c r="N386" s="77" t="str">
        <f>Table26[[#This Row],[po_number]]&amp;"-"&amp;Table26[[#This Row],[po_line]]</f>
        <v>-6</v>
      </c>
      <c r="O386" s="77">
        <v>6</v>
      </c>
      <c r="P386" s="50"/>
      <c r="Q386" s="53" t="s">
        <v>1313</v>
      </c>
      <c r="R386" s="53" t="s">
        <v>3428</v>
      </c>
      <c r="S386" s="53" t="s">
        <v>3883</v>
      </c>
      <c r="T386" s="51">
        <v>45523</v>
      </c>
      <c r="U386" s="52">
        <v>12</v>
      </c>
      <c r="V386" s="53">
        <v>12</v>
      </c>
      <c r="W386" s="116">
        <f t="shared" si="12"/>
        <v>1</v>
      </c>
      <c r="X386" s="53" t="str">
        <f t="shared" si="13"/>
        <v/>
      </c>
      <c r="Y386" s="53" t="str">
        <f>IF(Table26[[#This Row],[customerSKU]]="","",_xlfn.XLOOKUP(Table26[[#This Row],[customerSKU]],Table27[customer_SKU],Table27[product_GTIN],"",0,1))</f>
        <v/>
      </c>
      <c r="Z386" s="60">
        <v>994667</v>
      </c>
      <c r="AA386" s="18" t="str" cm="1">
        <f t="array" ref="AA386">IF(P386="", "", _xlfn.XLOOKUP(P386,#REF!,#REF!,NA,0,-1))</f>
        <v/>
      </c>
      <c r="AB386" s="53"/>
      <c r="AC386" s="55" t="s">
        <v>33</v>
      </c>
      <c r="AD386" s="55" t="str">
        <f>IF($AC386="","",_xlfn.XLOOKUP($AC386,'[2]Client Info'!$C$2:$C$2535,'[2]Client Info'!$D$2:$D$2535))</f>
        <v>9031 Quartz Road</v>
      </c>
      <c r="AE386" s="55" t="str">
        <f>IF($AC386="","",_xlfn.XLOOKUP($AC386,'[2]Client Info'!$C$2:$C$2715,'[2]Client Info'!$E$2:$E$2715))</f>
        <v>White Horse</v>
      </c>
      <c r="AF386" s="55" t="str">
        <f>IF($AC386="","",_xlfn.XLOOKUP($AC386,'[2]Client Info'!$C$2:$C$2715,'[2]Client Info'!$F$2:$F$2715))</f>
        <v>YT</v>
      </c>
      <c r="AG386" s="55" t="s">
        <v>33</v>
      </c>
      <c r="AH386" s="62" t="str">
        <f>_xlfn.XLOOKUP(Table26[[#This Row],[customerSKU]],Table27[customer_SKU],Table27[unit_price],"NA",0,1)</f>
        <v>NA</v>
      </c>
      <c r="AI386" s="43" t="str">
        <f>_xlfn.XLOOKUP(Table26[[#This Row],[customerSKU]],customerSKU!G:G,customerSKU!O:O,"not found",0,1)</f>
        <v>not found</v>
      </c>
      <c r="AJ386" s="70" t="e">
        <f>Table26[[#This Row],[unitprice]]*Table26[[#This Row],[quantity_unit]]</f>
        <v>#VALUE!</v>
      </c>
      <c r="AK386" s="70" t="e" cm="1">
        <f t="array" ref="AK3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7" spans="1:37" ht="18" customHeight="1">
      <c r="A387" s="42">
        <v>1860</v>
      </c>
      <c r="B387" s="58" t="s">
        <v>3520</v>
      </c>
      <c r="C387" s="53" t="s">
        <v>203</v>
      </c>
      <c r="D387" s="51">
        <v>45569</v>
      </c>
      <c r="E387" s="51">
        <v>45576</v>
      </c>
      <c r="F387" s="53"/>
      <c r="G387" s="46"/>
      <c r="H387" s="53"/>
      <c r="I387" s="53" t="s">
        <v>3862</v>
      </c>
      <c r="J387" s="53" t="s">
        <v>499</v>
      </c>
      <c r="K387" s="48">
        <v>45572</v>
      </c>
      <c r="L387" s="49" t="s">
        <v>490</v>
      </c>
      <c r="M387" s="53"/>
      <c r="N387" s="77" t="str">
        <f>Table26[[#This Row],[po_number]]&amp;"-"&amp;Table26[[#This Row],[po_line]]</f>
        <v>-7</v>
      </c>
      <c r="O387" s="77">
        <v>7</v>
      </c>
      <c r="P387" s="50"/>
      <c r="Q387" s="53" t="s">
        <v>630</v>
      </c>
      <c r="R387" s="53" t="s">
        <v>3428</v>
      </c>
      <c r="S387" s="53" t="s">
        <v>3883</v>
      </c>
      <c r="T387" s="51">
        <v>45543</v>
      </c>
      <c r="U387" s="52">
        <v>12</v>
      </c>
      <c r="V387" s="53">
        <v>12</v>
      </c>
      <c r="W387" s="116">
        <f t="shared" si="12"/>
        <v>1</v>
      </c>
      <c r="X387" s="53" t="str">
        <f t="shared" si="13"/>
        <v/>
      </c>
      <c r="Y387" s="53" t="str">
        <f>IF(Table26[[#This Row],[customerSKU]]="","",_xlfn.XLOOKUP(Table26[[#This Row],[customerSKU]],Table27[customer_SKU],Table27[product_GTIN],"",0,1))</f>
        <v/>
      </c>
      <c r="Z387" s="60">
        <v>994668</v>
      </c>
      <c r="AA387" s="18" t="str" cm="1">
        <f t="array" ref="AA387">IF(P387="", "", _xlfn.XLOOKUP(P387,#REF!,#REF!,NA,0,-1))</f>
        <v/>
      </c>
      <c r="AB387" s="53"/>
      <c r="AC387" s="55" t="s">
        <v>33</v>
      </c>
      <c r="AD387" s="55" t="str">
        <f>IF($AC387="","",_xlfn.XLOOKUP($AC387,'[2]Client Info'!$C$2:$C$2535,'[2]Client Info'!$D$2:$D$2535))</f>
        <v>9031 Quartz Road</v>
      </c>
      <c r="AE387" s="55" t="str">
        <f>IF($AC387="","",_xlfn.XLOOKUP($AC387,'[2]Client Info'!$C$2:$C$2715,'[2]Client Info'!$E$2:$E$2715))</f>
        <v>White Horse</v>
      </c>
      <c r="AF387" s="55" t="str">
        <f>IF($AC387="","",_xlfn.XLOOKUP($AC387,'[2]Client Info'!$C$2:$C$2715,'[2]Client Info'!$F$2:$F$2715))</f>
        <v>YT</v>
      </c>
      <c r="AG387" s="55" t="s">
        <v>33</v>
      </c>
      <c r="AH387" s="62" t="str">
        <f>_xlfn.XLOOKUP(Table26[[#This Row],[customerSKU]],Table27[customer_SKU],Table27[unit_price],"NA",0,1)</f>
        <v>NA</v>
      </c>
      <c r="AI387" s="43" t="str">
        <f>_xlfn.XLOOKUP(Table26[[#This Row],[customerSKU]],customerSKU!G:G,customerSKU!O:O,"not found",0,1)</f>
        <v>not found</v>
      </c>
      <c r="AJ387" s="47" t="e">
        <f>Table26[[#This Row],[unitprice]]*Table26[[#This Row],[quantity_unit]]</f>
        <v>#VALUE!</v>
      </c>
      <c r="AK387" s="47" t="e" cm="1">
        <f t="array" ref="AK3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8" spans="1:37" ht="18" customHeight="1">
      <c r="A388" s="42">
        <v>1861</v>
      </c>
      <c r="B388" s="58" t="s">
        <v>3520</v>
      </c>
      <c r="C388" s="53" t="s">
        <v>203</v>
      </c>
      <c r="D388" s="51">
        <v>45569</v>
      </c>
      <c r="E388" s="51">
        <v>45576</v>
      </c>
      <c r="F388" s="53"/>
      <c r="G388" s="46"/>
      <c r="H388" s="53"/>
      <c r="I388" s="53" t="s">
        <v>3862</v>
      </c>
      <c r="J388" s="53" t="s">
        <v>499</v>
      </c>
      <c r="K388" s="48">
        <v>45572</v>
      </c>
      <c r="L388" s="49" t="s">
        <v>490</v>
      </c>
      <c r="M388" s="53"/>
      <c r="N388" s="77" t="str">
        <f>Table26[[#This Row],[po_number]]&amp;"-"&amp;Table26[[#This Row],[po_line]]</f>
        <v>-8</v>
      </c>
      <c r="O388" s="77">
        <v>8</v>
      </c>
      <c r="P388" s="50"/>
      <c r="Q388" s="53" t="s">
        <v>905</v>
      </c>
      <c r="R388" s="53" t="s">
        <v>3428</v>
      </c>
      <c r="S388" s="53" t="s">
        <v>3883</v>
      </c>
      <c r="T388" s="51">
        <v>45541</v>
      </c>
      <c r="U388" s="52">
        <v>12</v>
      </c>
      <c r="V388" s="53">
        <v>12</v>
      </c>
      <c r="W388" s="116">
        <f t="shared" si="12"/>
        <v>1</v>
      </c>
      <c r="X388" s="53" t="str">
        <f t="shared" si="13"/>
        <v/>
      </c>
      <c r="Y388" s="53" t="str">
        <f>IF(Table26[[#This Row],[customerSKU]]="","",_xlfn.XLOOKUP(Table26[[#This Row],[customerSKU]],Table27[customer_SKU],Table27[product_GTIN],"",0,1))</f>
        <v/>
      </c>
      <c r="Z388" s="25" t="s">
        <v>3485</v>
      </c>
      <c r="AA388" s="18" t="str" cm="1">
        <f t="array" ref="AA388">IF(P388="", "", _xlfn.XLOOKUP(P388,#REF!,#REF!,NA,0,-1))</f>
        <v/>
      </c>
      <c r="AB388" s="53"/>
      <c r="AC388" s="55" t="s">
        <v>33</v>
      </c>
      <c r="AD388" s="55" t="str">
        <f>IF($AC388="","",_xlfn.XLOOKUP($AC388,'[2]Client Info'!$C$2:$C$2535,'[2]Client Info'!$D$2:$D$2535))</f>
        <v>9031 Quartz Road</v>
      </c>
      <c r="AE388" s="55" t="str">
        <f>IF($AC388="","",_xlfn.XLOOKUP($AC388,'[2]Client Info'!$C$2:$C$2715,'[2]Client Info'!$E$2:$E$2715))</f>
        <v>White Horse</v>
      </c>
      <c r="AF388" s="55" t="str">
        <f>IF($AC388="","",_xlfn.XLOOKUP($AC388,'[2]Client Info'!$C$2:$C$2715,'[2]Client Info'!$F$2:$F$2715))</f>
        <v>YT</v>
      </c>
      <c r="AG388" s="55" t="s">
        <v>33</v>
      </c>
      <c r="AH388" s="62" t="str">
        <f>_xlfn.XLOOKUP(Table26[[#This Row],[customerSKU]],Table27[customer_SKU],Table27[unit_price],"NA",0,1)</f>
        <v>NA</v>
      </c>
      <c r="AI388" s="43" t="str">
        <f>_xlfn.XLOOKUP(Table26[[#This Row],[customerSKU]],customerSKU!G:G,customerSKU!O:O,"not found",0,1)</f>
        <v>not found</v>
      </c>
      <c r="AJ388" s="47" t="e">
        <f>Table26[[#This Row],[unitprice]]*Table26[[#This Row],[quantity_unit]]</f>
        <v>#VALUE!</v>
      </c>
      <c r="AK388" s="47" t="e" cm="1">
        <f t="array" ref="AK3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89" spans="1:37" ht="24.6" customHeight="1">
      <c r="A389" s="42">
        <v>1862</v>
      </c>
      <c r="B389" s="58" t="s">
        <v>3520</v>
      </c>
      <c r="C389" s="53" t="s">
        <v>203</v>
      </c>
      <c r="D389" s="51">
        <v>45569</v>
      </c>
      <c r="E389" s="51">
        <v>45576</v>
      </c>
      <c r="F389" s="53"/>
      <c r="G389" s="46"/>
      <c r="H389" s="53"/>
      <c r="I389" s="53" t="s">
        <v>3862</v>
      </c>
      <c r="J389" s="53" t="s">
        <v>499</v>
      </c>
      <c r="K389" s="48">
        <v>45572</v>
      </c>
      <c r="L389" s="49" t="s">
        <v>490</v>
      </c>
      <c r="M389" s="53"/>
      <c r="N389" s="77" t="str">
        <f>Table26[[#This Row],[po_number]]&amp;"-"&amp;Table26[[#This Row],[po_line]]</f>
        <v>-9</v>
      </c>
      <c r="O389" s="77">
        <v>9</v>
      </c>
      <c r="P389" s="50"/>
      <c r="Q389" s="53" t="s">
        <v>1860</v>
      </c>
      <c r="R389" s="53" t="s">
        <v>3428</v>
      </c>
      <c r="S389" s="53" t="s">
        <v>3883</v>
      </c>
      <c r="T389" s="51">
        <v>45555</v>
      </c>
      <c r="U389" s="67">
        <v>1</v>
      </c>
      <c r="V389" s="53">
        <v>12</v>
      </c>
      <c r="W389" s="116">
        <f t="shared" si="12"/>
        <v>8.3333333333333329E-2</v>
      </c>
      <c r="X389" s="53" t="str">
        <f t="shared" si="13"/>
        <v/>
      </c>
      <c r="Y389" s="53" t="str">
        <f>IF(Table26[[#This Row],[customerSKU]]="","",_xlfn.XLOOKUP(Table26[[#This Row],[customerSKU]],Table27[customer_SKU],Table27[product_GTIN],"",0,1))</f>
        <v/>
      </c>
      <c r="Z389" s="25" t="s">
        <v>3646</v>
      </c>
      <c r="AA389" s="18" t="str" cm="1">
        <f t="array" ref="AA389">IF(P389="", "", _xlfn.XLOOKUP(P389,#REF!,#REF!,NA,0,-1))</f>
        <v/>
      </c>
      <c r="AB389" s="53"/>
      <c r="AC389" s="55" t="s">
        <v>33</v>
      </c>
      <c r="AD389" s="55" t="str">
        <f>IF($AC389="","",_xlfn.XLOOKUP($AC389,'[2]Client Info'!$C$2:$C$2535,'[2]Client Info'!$D$2:$D$2535))</f>
        <v>9031 Quartz Road</v>
      </c>
      <c r="AE389" s="55" t="str">
        <f>IF($AC389="","",_xlfn.XLOOKUP($AC389,'[2]Client Info'!$C$2:$C$2715,'[2]Client Info'!$E$2:$E$2715))</f>
        <v>White Horse</v>
      </c>
      <c r="AF389" s="55" t="str">
        <f>IF($AC389="","",_xlfn.XLOOKUP($AC389,'[2]Client Info'!$C$2:$C$2715,'[2]Client Info'!$F$2:$F$2715))</f>
        <v>YT</v>
      </c>
      <c r="AG389" s="55" t="s">
        <v>33</v>
      </c>
      <c r="AH389" s="62" t="str">
        <f>_xlfn.XLOOKUP(Table26[[#This Row],[customerSKU]],Table27[customer_SKU],Table27[unit_price],"NA",0,1)</f>
        <v>NA</v>
      </c>
      <c r="AI389" s="43" t="str">
        <f>_xlfn.XLOOKUP(Table26[[#This Row],[customerSKU]],customerSKU!G:G,customerSKU!O:O,"not found",0,1)</f>
        <v>not found</v>
      </c>
      <c r="AJ389" s="70" t="e">
        <f>Table26[[#This Row],[unitprice]]*Table26[[#This Row],[quantity_unit]]</f>
        <v>#VALUE!</v>
      </c>
      <c r="AK389" s="70" t="e" cm="1">
        <f t="array" ref="AK3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0" spans="1:37" ht="24.6" customHeight="1">
      <c r="A390" s="42">
        <v>1863</v>
      </c>
      <c r="B390" s="58" t="s">
        <v>3520</v>
      </c>
      <c r="C390" s="53" t="s">
        <v>203</v>
      </c>
      <c r="D390" s="51">
        <v>45569</v>
      </c>
      <c r="E390" s="51">
        <v>45576</v>
      </c>
      <c r="F390" s="53"/>
      <c r="G390" s="46"/>
      <c r="H390" s="53"/>
      <c r="I390" s="53" t="s">
        <v>3862</v>
      </c>
      <c r="J390" s="53" t="s">
        <v>499</v>
      </c>
      <c r="K390" s="48">
        <v>45572</v>
      </c>
      <c r="L390" s="49" t="s">
        <v>490</v>
      </c>
      <c r="M390" s="53"/>
      <c r="N390" s="77" t="str">
        <f>Table26[[#This Row],[po_number]]&amp;"-"&amp;Table26[[#This Row],[po_line]]</f>
        <v>-10</v>
      </c>
      <c r="O390" s="77">
        <v>10</v>
      </c>
      <c r="P390" s="50"/>
      <c r="Q390" s="53" t="s">
        <v>1860</v>
      </c>
      <c r="R390" s="53" t="s">
        <v>3428</v>
      </c>
      <c r="S390" s="53" t="s">
        <v>3883</v>
      </c>
      <c r="T390" s="51">
        <v>45560</v>
      </c>
      <c r="U390" s="52">
        <v>23</v>
      </c>
      <c r="V390" s="53">
        <v>12</v>
      </c>
      <c r="W390" s="116">
        <f t="shared" si="12"/>
        <v>1.9166666666666667</v>
      </c>
      <c r="X390" s="53" t="str">
        <f t="shared" si="13"/>
        <v/>
      </c>
      <c r="Y390" s="53" t="str">
        <f>IF(Table26[[#This Row],[customerSKU]]="","",_xlfn.XLOOKUP(Table26[[#This Row],[customerSKU]],Table27[customer_SKU],Table27[product_GTIN],"",0,1))</f>
        <v/>
      </c>
      <c r="Z390" s="25" t="s">
        <v>3646</v>
      </c>
      <c r="AA390" s="18" t="str" cm="1">
        <f t="array" ref="AA390">IF(P390="", "", _xlfn.XLOOKUP(P390,#REF!,#REF!,NA,0,-1))</f>
        <v/>
      </c>
      <c r="AB390" s="53"/>
      <c r="AC390" s="55" t="s">
        <v>33</v>
      </c>
      <c r="AD390" s="55" t="str">
        <f>IF($AC390="","",_xlfn.XLOOKUP($AC390,'[2]Client Info'!$C$2:$C$2535,'[2]Client Info'!$D$2:$D$2535))</f>
        <v>9031 Quartz Road</v>
      </c>
      <c r="AE390" s="55" t="str">
        <f>IF($AC390="","",_xlfn.XLOOKUP($AC390,'[2]Client Info'!$C$2:$C$2715,'[2]Client Info'!$E$2:$E$2715))</f>
        <v>White Horse</v>
      </c>
      <c r="AF390" s="55" t="str">
        <f>IF($AC390="","",_xlfn.XLOOKUP($AC390,'[2]Client Info'!$C$2:$C$2715,'[2]Client Info'!$F$2:$F$2715))</f>
        <v>YT</v>
      </c>
      <c r="AG390" s="55" t="s">
        <v>33</v>
      </c>
      <c r="AH390" s="62" t="str">
        <f>_xlfn.XLOOKUP(Table26[[#This Row],[customerSKU]],Table27[customer_SKU],Table27[unit_price],"NA",0,1)</f>
        <v>NA</v>
      </c>
      <c r="AI390" s="43" t="str">
        <f>_xlfn.XLOOKUP(Table26[[#This Row],[customerSKU]],customerSKU!G:G,customerSKU!O:O,"not found",0,1)</f>
        <v>not found</v>
      </c>
      <c r="AJ390" s="47" t="e">
        <f>Table26[[#This Row],[unitprice]]*Table26[[#This Row],[quantity_unit]]</f>
        <v>#VALUE!</v>
      </c>
      <c r="AK390" s="47" t="e" cm="1">
        <f t="array" ref="AK3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1" spans="1:37" ht="24.6" customHeight="1">
      <c r="A391" s="42">
        <v>1864</v>
      </c>
      <c r="B391" s="58" t="s">
        <v>3520</v>
      </c>
      <c r="C391" s="53" t="s">
        <v>203</v>
      </c>
      <c r="D391" s="51">
        <v>45569</v>
      </c>
      <c r="E391" s="51">
        <v>45576</v>
      </c>
      <c r="F391" s="53"/>
      <c r="G391" s="46"/>
      <c r="H391" s="53"/>
      <c r="I391" s="53" t="s">
        <v>3862</v>
      </c>
      <c r="J391" s="53" t="s">
        <v>499</v>
      </c>
      <c r="K391" s="48">
        <v>45572</v>
      </c>
      <c r="L391" s="49" t="s">
        <v>490</v>
      </c>
      <c r="M391" s="53"/>
      <c r="N391" s="77" t="str">
        <f>Table26[[#This Row],[po_number]]&amp;"-"&amp;Table26[[#This Row],[po_line]]</f>
        <v>-11</v>
      </c>
      <c r="O391" s="77">
        <v>11</v>
      </c>
      <c r="P391" s="50"/>
      <c r="Q391" s="53" t="s">
        <v>2096</v>
      </c>
      <c r="R391" s="53" t="s">
        <v>3428</v>
      </c>
      <c r="S391" s="53" t="s">
        <v>3883</v>
      </c>
      <c r="T391" s="51">
        <v>45555</v>
      </c>
      <c r="U391" s="52">
        <v>9</v>
      </c>
      <c r="V391" s="53">
        <v>12</v>
      </c>
      <c r="W391" s="116">
        <f t="shared" si="12"/>
        <v>0.75</v>
      </c>
      <c r="X391" s="53" t="str">
        <f t="shared" si="13"/>
        <v/>
      </c>
      <c r="Y391" s="53" t="str">
        <f>IF(Table26[[#This Row],[customerSKU]]="","",_xlfn.XLOOKUP(Table26[[#This Row],[customerSKU]],Table27[customer_SKU],Table27[product_GTIN],"",0,1))</f>
        <v/>
      </c>
      <c r="Z391" s="60">
        <v>994673</v>
      </c>
      <c r="AA391" s="18" t="str" cm="1">
        <f t="array" ref="AA391">IF(P391="", "", _xlfn.XLOOKUP(P391,#REF!,#REF!,NA,0,-1))</f>
        <v/>
      </c>
      <c r="AB391" s="53"/>
      <c r="AC391" s="55" t="s">
        <v>33</v>
      </c>
      <c r="AD391" s="55" t="str">
        <f>IF($AC391="","",_xlfn.XLOOKUP($AC391,'[2]Client Info'!$C$2:$C$2535,'[2]Client Info'!$D$2:$D$2535))</f>
        <v>9031 Quartz Road</v>
      </c>
      <c r="AE391" s="55" t="str">
        <f>IF($AC391="","",_xlfn.XLOOKUP($AC391,'[2]Client Info'!$C$2:$C$2715,'[2]Client Info'!$E$2:$E$2715))</f>
        <v>White Horse</v>
      </c>
      <c r="AF391" s="55" t="str">
        <f>IF($AC391="","",_xlfn.XLOOKUP($AC391,'[2]Client Info'!$C$2:$C$2715,'[2]Client Info'!$F$2:$F$2715))</f>
        <v>YT</v>
      </c>
      <c r="AG391" s="55" t="s">
        <v>33</v>
      </c>
      <c r="AH391" s="62" t="str">
        <f>_xlfn.XLOOKUP(Table26[[#This Row],[customerSKU]],Table27[customer_SKU],Table27[unit_price],"NA",0,1)</f>
        <v>NA</v>
      </c>
      <c r="AI391" s="43" t="str">
        <f>_xlfn.XLOOKUP(Table26[[#This Row],[customerSKU]],customerSKU!G:G,customerSKU!O:O,"not found",0,1)</f>
        <v>not found</v>
      </c>
      <c r="AJ391" s="47" t="e">
        <f>Table26[[#This Row],[unitprice]]*Table26[[#This Row],[quantity_unit]]</f>
        <v>#VALUE!</v>
      </c>
      <c r="AK391" s="47" t="e" cm="1">
        <f t="array" ref="AK3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2" spans="1:37" ht="24.6" customHeight="1">
      <c r="A392" s="42">
        <v>1865</v>
      </c>
      <c r="B392" s="58" t="s">
        <v>3520</v>
      </c>
      <c r="C392" s="53" t="s">
        <v>203</v>
      </c>
      <c r="D392" s="51">
        <v>45569</v>
      </c>
      <c r="E392" s="51">
        <v>45576</v>
      </c>
      <c r="F392" s="53"/>
      <c r="G392" s="46"/>
      <c r="H392" s="53"/>
      <c r="I392" s="53" t="s">
        <v>3862</v>
      </c>
      <c r="J392" s="53" t="s">
        <v>499</v>
      </c>
      <c r="K392" s="48">
        <v>45572</v>
      </c>
      <c r="L392" s="49" t="s">
        <v>490</v>
      </c>
      <c r="M392" s="53"/>
      <c r="N392" s="77" t="str">
        <f>Table26[[#This Row],[po_number]]&amp;"-"&amp;Table26[[#This Row],[po_line]]</f>
        <v>-12</v>
      </c>
      <c r="O392" s="77">
        <v>12</v>
      </c>
      <c r="P392" s="50"/>
      <c r="Q392" s="53" t="s">
        <v>3885</v>
      </c>
      <c r="R392" s="53" t="s">
        <v>3428</v>
      </c>
      <c r="S392" s="53" t="s">
        <v>3883</v>
      </c>
      <c r="T392" s="51">
        <v>45569</v>
      </c>
      <c r="U392" s="52">
        <v>15</v>
      </c>
      <c r="V392" s="53">
        <v>12</v>
      </c>
      <c r="W392" s="116">
        <f t="shared" si="12"/>
        <v>1.25</v>
      </c>
      <c r="X392" s="53" t="str">
        <f t="shared" si="13"/>
        <v/>
      </c>
      <c r="Y392" s="53" t="str">
        <f>IF(Table26[[#This Row],[customerSKU]]="","",_xlfn.XLOOKUP(Table26[[#This Row],[customerSKU]],Table27[customer_SKU],Table27[product_GTIN],"",0,1))</f>
        <v/>
      </c>
      <c r="Z392" s="60">
        <v>994673</v>
      </c>
      <c r="AA392" s="18" t="str" cm="1">
        <f t="array" ref="AA392">IF(P392="", "", _xlfn.XLOOKUP(P392,#REF!,#REF!,NA,0,-1))</f>
        <v/>
      </c>
      <c r="AB392" s="53"/>
      <c r="AC392" s="55" t="s">
        <v>33</v>
      </c>
      <c r="AD392" s="55" t="str">
        <f>IF($AC392="","",_xlfn.XLOOKUP($AC392,'[2]Client Info'!$C$2:$C$2535,'[2]Client Info'!$D$2:$D$2535))</f>
        <v>9031 Quartz Road</v>
      </c>
      <c r="AE392" s="55" t="str">
        <f>IF($AC392="","",_xlfn.XLOOKUP($AC392,'[2]Client Info'!$C$2:$C$2715,'[2]Client Info'!$E$2:$E$2715))</f>
        <v>White Horse</v>
      </c>
      <c r="AF392" s="55" t="str">
        <f>IF($AC392="","",_xlfn.XLOOKUP($AC392,'[2]Client Info'!$C$2:$C$2715,'[2]Client Info'!$F$2:$F$2715))</f>
        <v>YT</v>
      </c>
      <c r="AG392" s="55" t="s">
        <v>33</v>
      </c>
      <c r="AH392" s="62" t="str">
        <f>_xlfn.XLOOKUP(Table26[[#This Row],[customerSKU]],Table27[customer_SKU],Table27[unit_price],"NA",0,1)</f>
        <v>NA</v>
      </c>
      <c r="AI392" s="43" t="str">
        <f>_xlfn.XLOOKUP(Table26[[#This Row],[customerSKU]],customerSKU!G:G,customerSKU!O:O,"not found",0,1)</f>
        <v>not found</v>
      </c>
      <c r="AJ392" s="47" t="e">
        <f>Table26[[#This Row],[unitprice]]*Table26[[#This Row],[quantity_unit]]</f>
        <v>#VALUE!</v>
      </c>
      <c r="AK392" s="47" t="e" cm="1">
        <f t="array" ref="AK3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3" spans="1:37" ht="24.6" customHeight="1">
      <c r="A393" s="42">
        <v>1866</v>
      </c>
      <c r="B393" s="58" t="s">
        <v>3520</v>
      </c>
      <c r="C393" s="53" t="s">
        <v>203</v>
      </c>
      <c r="D393" s="51">
        <v>45569</v>
      </c>
      <c r="E393" s="51">
        <v>45576</v>
      </c>
      <c r="F393" s="53"/>
      <c r="G393" s="46"/>
      <c r="H393" s="53"/>
      <c r="I393" s="53" t="s">
        <v>3862</v>
      </c>
      <c r="J393" s="53" t="s">
        <v>499</v>
      </c>
      <c r="K393" s="48">
        <v>45572</v>
      </c>
      <c r="L393" s="49" t="s">
        <v>490</v>
      </c>
      <c r="M393" s="53"/>
      <c r="N393" s="77" t="str">
        <f>Table26[[#This Row],[po_number]]&amp;"-"&amp;Table26[[#This Row],[po_line]]</f>
        <v>-13</v>
      </c>
      <c r="O393" s="77">
        <v>13</v>
      </c>
      <c r="P393" s="50"/>
      <c r="Q393" s="53" t="s">
        <v>1315</v>
      </c>
      <c r="R393" s="53" t="s">
        <v>3428</v>
      </c>
      <c r="S393" s="53" t="s">
        <v>3883</v>
      </c>
      <c r="T393" s="51">
        <v>45555</v>
      </c>
      <c r="U393" s="52">
        <v>24</v>
      </c>
      <c r="V393" s="53">
        <v>12</v>
      </c>
      <c r="W393" s="116">
        <f t="shared" si="12"/>
        <v>2</v>
      </c>
      <c r="X393" s="53" t="str">
        <f t="shared" si="13"/>
        <v/>
      </c>
      <c r="Y393" s="53" t="str">
        <f>IF(Table26[[#This Row],[customerSKU]]="","",_xlfn.XLOOKUP(Table26[[#This Row],[customerSKU]],Table27[customer_SKU],Table27[product_GTIN],"",0,1))</f>
        <v/>
      </c>
      <c r="Z393" s="60">
        <v>994675</v>
      </c>
      <c r="AA393" s="18" t="str" cm="1">
        <f t="array" ref="AA393">IF(P393="", "", _xlfn.XLOOKUP(P393,#REF!,#REF!,NA,0,-1))</f>
        <v/>
      </c>
      <c r="AB393" s="53"/>
      <c r="AC393" s="55" t="s">
        <v>33</v>
      </c>
      <c r="AD393" s="55" t="str">
        <f>IF($AC393="","",_xlfn.XLOOKUP($AC393,'[2]Client Info'!$C$2:$C$2535,'[2]Client Info'!$D$2:$D$2535))</f>
        <v>9031 Quartz Road</v>
      </c>
      <c r="AE393" s="55" t="str">
        <f>IF($AC393="","",_xlfn.XLOOKUP($AC393,'[2]Client Info'!$C$2:$C$2715,'[2]Client Info'!$E$2:$E$2715))</f>
        <v>White Horse</v>
      </c>
      <c r="AF393" s="55" t="str">
        <f>IF($AC393="","",_xlfn.XLOOKUP($AC393,'[2]Client Info'!$C$2:$C$2715,'[2]Client Info'!$F$2:$F$2715))</f>
        <v>YT</v>
      </c>
      <c r="AG393" s="55" t="s">
        <v>33</v>
      </c>
      <c r="AH393" s="62" t="str">
        <f>_xlfn.XLOOKUP(Table26[[#This Row],[customerSKU]],Table27[customer_SKU],Table27[unit_price],"NA",0,1)</f>
        <v>NA</v>
      </c>
      <c r="AI393" s="43" t="str">
        <f>_xlfn.XLOOKUP(Table26[[#This Row],[customerSKU]],customerSKU!G:G,customerSKU!O:O,"not found",0,1)</f>
        <v>not found</v>
      </c>
      <c r="AJ393" s="70" t="e">
        <f>Table26[[#This Row],[unitprice]]*Table26[[#This Row],[quantity_unit]]</f>
        <v>#VALUE!</v>
      </c>
      <c r="AK393" s="70" t="e" cm="1">
        <f t="array" ref="AK3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4" spans="1:37" ht="18" customHeight="1">
      <c r="A394" s="42">
        <v>1867</v>
      </c>
      <c r="B394" s="58" t="s">
        <v>3520</v>
      </c>
      <c r="C394" s="53" t="s">
        <v>203</v>
      </c>
      <c r="D394" s="51">
        <v>45569</v>
      </c>
      <c r="E394" s="51">
        <v>45576</v>
      </c>
      <c r="F394" s="53"/>
      <c r="G394" s="46"/>
      <c r="H394" s="53"/>
      <c r="I394" s="53" t="s">
        <v>3862</v>
      </c>
      <c r="J394" s="53" t="s">
        <v>499</v>
      </c>
      <c r="K394" s="48">
        <v>45572</v>
      </c>
      <c r="L394" s="49" t="s">
        <v>490</v>
      </c>
      <c r="M394" s="53"/>
      <c r="N394" s="77" t="str">
        <f>Table26[[#This Row],[po_number]]&amp;"-"&amp;Table26[[#This Row],[po_line]]</f>
        <v>-14</v>
      </c>
      <c r="O394" s="77">
        <v>14</v>
      </c>
      <c r="P394" s="50"/>
      <c r="Q394" s="53" t="s">
        <v>2100</v>
      </c>
      <c r="R394" s="53" t="s">
        <v>3428</v>
      </c>
      <c r="S394" s="53" t="s">
        <v>3883</v>
      </c>
      <c r="T394" s="51">
        <v>45555</v>
      </c>
      <c r="U394" s="52">
        <v>24</v>
      </c>
      <c r="V394" s="53">
        <v>12</v>
      </c>
      <c r="W394" s="116">
        <f t="shared" si="12"/>
        <v>2</v>
      </c>
      <c r="X394" s="53" t="str">
        <f t="shared" si="13"/>
        <v/>
      </c>
      <c r="Y394" s="53" t="str">
        <f>IF(Table26[[#This Row],[customerSKU]]="","",_xlfn.XLOOKUP(Table26[[#This Row],[customerSKU]],Table27[customer_SKU],Table27[product_GTIN],"",0,1))</f>
        <v/>
      </c>
      <c r="Z394" s="60">
        <v>994676</v>
      </c>
      <c r="AA394" s="18" t="str" cm="1">
        <f t="array" ref="AA394">IF(P394="", "", _xlfn.XLOOKUP(P394,#REF!,#REF!,NA,0,-1))</f>
        <v/>
      </c>
      <c r="AB394" s="53"/>
      <c r="AC394" s="55" t="s">
        <v>33</v>
      </c>
      <c r="AD394" s="55" t="str">
        <f>IF($AC394="","",_xlfn.XLOOKUP($AC394,'[2]Client Info'!$C$2:$C$2535,'[2]Client Info'!$D$2:$D$2535))</f>
        <v>9031 Quartz Road</v>
      </c>
      <c r="AE394" s="55" t="str">
        <f>IF($AC394="","",_xlfn.XLOOKUP($AC394,'[2]Client Info'!$C$2:$C$2715,'[2]Client Info'!$E$2:$E$2715))</f>
        <v>White Horse</v>
      </c>
      <c r="AF394" s="55" t="str">
        <f>IF($AC394="","",_xlfn.XLOOKUP($AC394,'[2]Client Info'!$C$2:$C$2715,'[2]Client Info'!$F$2:$F$2715))</f>
        <v>YT</v>
      </c>
      <c r="AG394" s="55" t="s">
        <v>33</v>
      </c>
      <c r="AH394" s="62" t="str">
        <f>_xlfn.XLOOKUP(Table26[[#This Row],[customerSKU]],Table27[customer_SKU],Table27[unit_price],"NA",0,1)</f>
        <v>NA</v>
      </c>
      <c r="AI394" s="43" t="str">
        <f>_xlfn.XLOOKUP(Table26[[#This Row],[customerSKU]],customerSKU!G:G,customerSKU!O:O,"not found",0,1)</f>
        <v>not found</v>
      </c>
      <c r="AJ394" s="59" t="e">
        <f>Table26[[#This Row],[unitprice]]*Table26[[#This Row],[quantity_unit]]</f>
        <v>#VALUE!</v>
      </c>
      <c r="AK394" s="59" t="e" cm="1">
        <f t="array" ref="AK3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5" spans="1:37" ht="18" customHeight="1">
      <c r="A395" s="42">
        <v>1868</v>
      </c>
      <c r="B395" s="58" t="s">
        <v>3520</v>
      </c>
      <c r="C395" s="53" t="s">
        <v>203</v>
      </c>
      <c r="D395" s="51">
        <v>45569</v>
      </c>
      <c r="E395" s="51">
        <v>45576</v>
      </c>
      <c r="F395" s="53"/>
      <c r="G395" s="46"/>
      <c r="H395" s="53"/>
      <c r="I395" s="53" t="s">
        <v>3862</v>
      </c>
      <c r="J395" s="53" t="s">
        <v>499</v>
      </c>
      <c r="K395" s="48">
        <v>45572</v>
      </c>
      <c r="L395" s="49" t="s">
        <v>490</v>
      </c>
      <c r="M395" s="53"/>
      <c r="N395" s="77" t="str">
        <f>Table26[[#This Row],[po_number]]&amp;"-"&amp;Table26[[#This Row],[po_line]]</f>
        <v>-15</v>
      </c>
      <c r="O395" s="77">
        <v>15</v>
      </c>
      <c r="P395" s="50"/>
      <c r="Q395" s="53" t="s">
        <v>3886</v>
      </c>
      <c r="R395" s="53" t="s">
        <v>3428</v>
      </c>
      <c r="S395" s="53" t="s">
        <v>3883</v>
      </c>
      <c r="T395" s="51">
        <v>45555</v>
      </c>
      <c r="U395" s="52">
        <v>24</v>
      </c>
      <c r="V395" s="53">
        <v>12</v>
      </c>
      <c r="W395" s="116">
        <f t="shared" si="12"/>
        <v>2</v>
      </c>
      <c r="X395" s="53" t="str">
        <f t="shared" si="13"/>
        <v/>
      </c>
      <c r="Y395" s="53" t="str">
        <f>IF(Table26[[#This Row],[customerSKU]]="","",_xlfn.XLOOKUP(Table26[[#This Row],[customerSKU]],Table27[customer_SKU],Table27[product_GTIN],"",0,1))</f>
        <v/>
      </c>
      <c r="Z395" s="60">
        <v>994674</v>
      </c>
      <c r="AA395" s="18" t="str" cm="1">
        <f t="array" ref="AA395">IF(P395="", "", _xlfn.XLOOKUP(P395,#REF!,#REF!,NA,0,-1))</f>
        <v/>
      </c>
      <c r="AB395" s="53"/>
      <c r="AC395" s="55" t="s">
        <v>33</v>
      </c>
      <c r="AD395" s="55" t="str">
        <f>IF($AC395="","",_xlfn.XLOOKUP($AC395,'[2]Client Info'!$C$2:$C$2535,'[2]Client Info'!$D$2:$D$2535))</f>
        <v>9031 Quartz Road</v>
      </c>
      <c r="AE395" s="55" t="str">
        <f>IF($AC395="","",_xlfn.XLOOKUP($AC395,'[2]Client Info'!$C$2:$C$2715,'[2]Client Info'!$E$2:$E$2715))</f>
        <v>White Horse</v>
      </c>
      <c r="AF395" s="55" t="str">
        <f>IF($AC395="","",_xlfn.XLOOKUP($AC395,'[2]Client Info'!$C$2:$C$2715,'[2]Client Info'!$F$2:$F$2715))</f>
        <v>YT</v>
      </c>
      <c r="AG395" s="55" t="s">
        <v>33</v>
      </c>
      <c r="AH395" s="62" t="str">
        <f>_xlfn.XLOOKUP(Table26[[#This Row],[customerSKU]],Table27[customer_SKU],Table27[unit_price],"NA",0,1)</f>
        <v>NA</v>
      </c>
      <c r="AI395" s="43" t="str">
        <f>_xlfn.XLOOKUP(Table26[[#This Row],[customerSKU]],customerSKU!G:G,customerSKU!O:O,"not found",0,1)</f>
        <v>not found</v>
      </c>
      <c r="AJ395" s="70" t="e">
        <f>Table26[[#This Row],[unitprice]]*Table26[[#This Row],[quantity_unit]]</f>
        <v>#VALUE!</v>
      </c>
      <c r="AK395" s="70" t="e" cm="1">
        <f t="array" ref="AK3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6" spans="1:37" ht="18" customHeight="1">
      <c r="A396" s="42">
        <v>1869</v>
      </c>
      <c r="B396" s="58" t="s">
        <v>3837</v>
      </c>
      <c r="C396" s="53" t="s">
        <v>203</v>
      </c>
      <c r="D396" s="51"/>
      <c r="E396" s="51"/>
      <c r="F396" s="53"/>
      <c r="G396" s="46"/>
      <c r="H396" s="53" t="s">
        <v>3826</v>
      </c>
      <c r="I396" s="53" t="s">
        <v>3862</v>
      </c>
      <c r="J396" s="53" t="s">
        <v>3838</v>
      </c>
      <c r="K396" s="48">
        <v>45572</v>
      </c>
      <c r="L396" s="49" t="s">
        <v>201</v>
      </c>
      <c r="M396" s="53"/>
      <c r="N396" s="77" t="str">
        <f>Table26[[#This Row],[po_number]]&amp;"-"&amp;Table26[[#This Row],[po_line]]</f>
        <v>-1</v>
      </c>
      <c r="O396" s="77">
        <v>1</v>
      </c>
      <c r="P396" s="50"/>
      <c r="Q396" s="53" t="s">
        <v>3956</v>
      </c>
      <c r="R396" s="53" t="s">
        <v>3830</v>
      </c>
      <c r="S396" s="53" t="s">
        <v>3948</v>
      </c>
      <c r="T396" s="20">
        <v>45565</v>
      </c>
      <c r="U396" s="52">
        <f>30*12</f>
        <v>360</v>
      </c>
      <c r="V396" s="53">
        <v>12</v>
      </c>
      <c r="W396" s="116">
        <f t="shared" si="12"/>
        <v>30</v>
      </c>
      <c r="X396" s="53" t="str">
        <f t="shared" si="13"/>
        <v/>
      </c>
      <c r="Y396" s="53"/>
      <c r="Z396" s="60" t="s">
        <v>3957</v>
      </c>
      <c r="AA396" s="18" t="str" cm="1">
        <f t="array" ref="AA396">IF(P396="", "", _xlfn.XLOOKUP(P396,#REF!,#REF!,NA,0,-1))</f>
        <v/>
      </c>
      <c r="AB396" s="47"/>
      <c r="AC396" s="55" t="s">
        <v>9</v>
      </c>
      <c r="AD396" s="55" t="str">
        <f>IF($AC396="","",_xlfn.XLOOKUP($AC396,'[2]Client Info'!$C$2:$C$2535,'[2]Client Info'!$D$2:$D$2535))</f>
        <v>18, Canso rd</v>
      </c>
      <c r="AE396" s="55" t="str">
        <f>IF($AC396="","",_xlfn.XLOOKUP($AC396,'[2]Client Info'!$C$2:$C$2715,'[2]Client Info'!$E$2:$E$2715))</f>
        <v>Etobicoke</v>
      </c>
      <c r="AF396" s="55" t="str">
        <f>IF($AC396="","",_xlfn.XLOOKUP($AC396,'[2]Client Info'!$C$2:$C$2715,'[2]Client Info'!$F$2:$F$2715))</f>
        <v>ON</v>
      </c>
      <c r="AG396" s="55" t="s">
        <v>9</v>
      </c>
      <c r="AH396" s="62"/>
      <c r="AI396" s="43" t="str">
        <f>_xlfn.XLOOKUP(Table26[[#This Row],[customerSKU]],customerSKU!G:G,customerSKU!O:O,"not found",0,1)</f>
        <v>not found</v>
      </c>
      <c r="AJ396" s="53">
        <f>Table26[[#This Row],[unitprice]]*Table26[[#This Row],[quantity_unit]]</f>
        <v>0</v>
      </c>
      <c r="AK396" s="53" t="e" cm="1">
        <f t="array" ref="AK3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7" spans="1:37" ht="18" customHeight="1">
      <c r="A397" s="42">
        <v>1852</v>
      </c>
      <c r="B397" s="58" t="s">
        <v>3520</v>
      </c>
      <c r="C397" s="53" t="s">
        <v>203</v>
      </c>
      <c r="D397" s="51"/>
      <c r="E397" s="51"/>
      <c r="F397" s="53"/>
      <c r="G397" s="46"/>
      <c r="H397" s="53"/>
      <c r="I397" s="53" t="s">
        <v>3862</v>
      </c>
      <c r="J397" s="53" t="s">
        <v>3838</v>
      </c>
      <c r="K397" s="48">
        <v>45573</v>
      </c>
      <c r="L397" s="49" t="s">
        <v>201</v>
      </c>
      <c r="M397" s="53"/>
      <c r="N397" s="77" t="str">
        <f>Table26[[#This Row],[po_number]]&amp;"-"&amp;Table26[[#This Row],[po_line]]</f>
        <v>-1</v>
      </c>
      <c r="O397" s="77">
        <v>1</v>
      </c>
      <c r="P397" s="50"/>
      <c r="Q397" s="53" t="s">
        <v>3951</v>
      </c>
      <c r="R397" s="53" t="s">
        <v>3830</v>
      </c>
      <c r="S397" s="53" t="s">
        <v>78</v>
      </c>
      <c r="T397" s="20">
        <v>45569</v>
      </c>
      <c r="U397" s="67">
        <v>149</v>
      </c>
      <c r="V397" s="53">
        <v>12</v>
      </c>
      <c r="W397" s="116">
        <f t="shared" si="12"/>
        <v>12.416666666666666</v>
      </c>
      <c r="X397" s="53" t="str">
        <f t="shared" si="13"/>
        <v/>
      </c>
      <c r="Y397" s="53"/>
      <c r="Z397" s="60"/>
      <c r="AA397" s="18" t="str" cm="1">
        <f t="array" ref="AA397">IF(P397="", "", _xlfn.XLOOKUP(P397,#REF!,#REF!,NA,0,-1))</f>
        <v/>
      </c>
      <c r="AB397" s="47"/>
      <c r="AC397" s="55" t="s">
        <v>31</v>
      </c>
      <c r="AD397" s="55" t="str">
        <f>IF($AC397="","",_xlfn.XLOOKUP($AC397,'[2]Client Info'!$C$2:$C$2535,'[2]Client Info'!$D$2:$D$2535))</f>
        <v>Unit C 409 McDonald Street</v>
      </c>
      <c r="AE397" s="55" t="str">
        <f>IF($AC397="","",_xlfn.XLOOKUP($AC397,'[2]Client Info'!$C$2:$C$2715,'[2]Client Info'!$E$2:$E$2715))</f>
        <v>Regina</v>
      </c>
      <c r="AF397" s="55" t="str">
        <f>IF($AC397="","",_xlfn.XLOOKUP($AC397,'[2]Client Info'!$C$2:$C$2715,'[2]Client Info'!$F$2:$F$2715))</f>
        <v>SK</v>
      </c>
      <c r="AG397" s="55" t="s">
        <v>9</v>
      </c>
      <c r="AH397" s="62">
        <f>36/12</f>
        <v>3</v>
      </c>
      <c r="AI397" s="43" t="str">
        <f>_xlfn.XLOOKUP(Table26[[#This Row],[customerSKU]],customerSKU!G:G,customerSKU!O:O,"not found",0,1)</f>
        <v>not found</v>
      </c>
      <c r="AJ397" s="53">
        <f>Table26[[#This Row],[unitprice]]*Table26[[#This Row],[quantity_unit]]</f>
        <v>447</v>
      </c>
      <c r="AK397" s="53" t="e" cm="1">
        <f t="array" ref="AK3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8" spans="1:37" ht="18" customHeight="1">
      <c r="A398" s="42">
        <v>1853</v>
      </c>
      <c r="B398" s="58" t="s">
        <v>3520</v>
      </c>
      <c r="C398" s="53" t="s">
        <v>203</v>
      </c>
      <c r="D398" s="51"/>
      <c r="E398" s="51"/>
      <c r="F398" s="53"/>
      <c r="G398" s="46"/>
      <c r="H398" s="53"/>
      <c r="I398" s="53" t="s">
        <v>3862</v>
      </c>
      <c r="J398" s="53" t="s">
        <v>3838</v>
      </c>
      <c r="K398" s="48">
        <v>45573</v>
      </c>
      <c r="L398" s="49" t="s">
        <v>201</v>
      </c>
      <c r="M398" s="53"/>
      <c r="N398" s="77" t="str">
        <f>Table26[[#This Row],[po_number]]&amp;"-"&amp;Table26[[#This Row],[po_line]]</f>
        <v>-2</v>
      </c>
      <c r="O398" s="77">
        <v>2</v>
      </c>
      <c r="P398" s="50"/>
      <c r="Q398" s="53" t="s">
        <v>3810</v>
      </c>
      <c r="R398" s="53" t="s">
        <v>3830</v>
      </c>
      <c r="S398" s="53" t="s">
        <v>78</v>
      </c>
      <c r="T398" s="20">
        <v>45523</v>
      </c>
      <c r="U398" s="67">
        <v>31</v>
      </c>
      <c r="V398" s="53">
        <v>12</v>
      </c>
      <c r="W398" s="116">
        <f t="shared" si="12"/>
        <v>2.5833333333333335</v>
      </c>
      <c r="X398" s="53" t="str">
        <f t="shared" si="13"/>
        <v/>
      </c>
      <c r="Y398" s="53"/>
      <c r="Z398" s="60"/>
      <c r="AA398" s="18" t="str" cm="1">
        <f t="array" ref="AA398">IF(P398="", "", _xlfn.XLOOKUP(P398,#REF!,#REF!,NA,0,-1))</f>
        <v/>
      </c>
      <c r="AB398" s="47"/>
      <c r="AC398" s="55" t="s">
        <v>31</v>
      </c>
      <c r="AD398" s="55" t="str">
        <f>IF($AC398="","",_xlfn.XLOOKUP($AC398,'[2]Client Info'!$C$2:$C$2535,'[2]Client Info'!$D$2:$D$2535))</f>
        <v>Unit C 409 McDonald Street</v>
      </c>
      <c r="AE398" s="55" t="str">
        <f>IF($AC398="","",_xlfn.XLOOKUP($AC398,'[2]Client Info'!$C$2:$C$2715,'[2]Client Info'!$E$2:$E$2715))</f>
        <v>Regina</v>
      </c>
      <c r="AF398" s="55" t="str">
        <f>IF($AC398="","",_xlfn.XLOOKUP($AC398,'[2]Client Info'!$C$2:$C$2715,'[2]Client Info'!$F$2:$F$2715))</f>
        <v>SK</v>
      </c>
      <c r="AG398" s="55" t="s">
        <v>9</v>
      </c>
      <c r="AH398" s="62">
        <f>36/12</f>
        <v>3</v>
      </c>
      <c r="AI398" s="43" t="str">
        <f>_xlfn.XLOOKUP(Table26[[#This Row],[customerSKU]],customerSKU!G:G,customerSKU!O:O,"not found",0,1)</f>
        <v>not found</v>
      </c>
      <c r="AJ398" s="53">
        <f>Table26[[#This Row],[unitprice]]*Table26[[#This Row],[quantity_unit]]</f>
        <v>93</v>
      </c>
      <c r="AK398" s="53" t="e" cm="1">
        <f t="array" ref="AK3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399" spans="1:37" ht="18" customHeight="1">
      <c r="A399" s="42">
        <v>1841</v>
      </c>
      <c r="B399" s="249" t="s">
        <v>3520</v>
      </c>
      <c r="C399" s="90" t="s">
        <v>203</v>
      </c>
      <c r="D399" s="235">
        <v>45576</v>
      </c>
      <c r="E399" s="235"/>
      <c r="F39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399" s="119"/>
      <c r="H399" s="90" t="s">
        <v>3826</v>
      </c>
      <c r="I399" s="90" t="s">
        <v>3862</v>
      </c>
      <c r="J399" s="90" t="s">
        <v>503</v>
      </c>
      <c r="K399" s="232">
        <v>45574</v>
      </c>
      <c r="L399" s="233" t="s">
        <v>504</v>
      </c>
      <c r="M399" s="90"/>
      <c r="N399" s="55" t="str">
        <f>Table26[[#This Row],[po_number]]&amp;"-"&amp;Table26[[#This Row],[po_line]]</f>
        <v>-1</v>
      </c>
      <c r="O399" s="55">
        <v>1</v>
      </c>
      <c r="P399" s="234"/>
      <c r="Q399" s="90" t="s">
        <v>1313</v>
      </c>
      <c r="R399" s="90" t="s">
        <v>3830</v>
      </c>
      <c r="S399" s="90" t="s">
        <v>56</v>
      </c>
      <c r="T399" s="20">
        <v>45523</v>
      </c>
      <c r="U399" s="236">
        <v>24</v>
      </c>
      <c r="V399" s="90">
        <v>12</v>
      </c>
      <c r="W399" s="237">
        <f t="shared" si="12"/>
        <v>2</v>
      </c>
      <c r="X399" s="90" t="str">
        <f t="shared" si="13"/>
        <v/>
      </c>
      <c r="Y399" s="90" t="str">
        <f>IF(Table26[[#This Row],[customerSKU]]="","",_xlfn.XLOOKUP(Table26[[#This Row],[customerSKU]],Table27[customer_SKU],Table27[product_GTIN],"",0,1))</f>
        <v/>
      </c>
      <c r="Z399" s="25" t="s">
        <v>3432</v>
      </c>
      <c r="AA399" s="18" t="str" cm="1">
        <f t="array" ref="AA399">IF(P399="", "", _xlfn.XLOOKUP(P399,#REF!,#REF!,NA,0,-1))</f>
        <v/>
      </c>
      <c r="AB399" s="90"/>
      <c r="AC399" s="55" t="s">
        <v>3843</v>
      </c>
      <c r="AD399" s="55" t="str">
        <f>IF($AC399="","",_xlfn.XLOOKUP($AC399,'[2]Client Info'!$C$2:$C$2535,'[2]Client Info'!$D$2:$D$2535))</f>
        <v>137F Dyke Rd</v>
      </c>
      <c r="AE399" s="55" t="str">
        <f>IF($AC399="","",_xlfn.XLOOKUP($AC399,'[2]Client Info'!$C$2:$C$2715,'[2]Client Info'!$E$2:$E$2715))</f>
        <v>Chilliwack</v>
      </c>
      <c r="AF399" s="55" t="str">
        <f>IF($AC399="","",_xlfn.XLOOKUP($AC399,'[2]Client Info'!$C$2:$C$2715,'[2]Client Info'!$F$2:$F$2715))</f>
        <v xml:space="preserve">BC </v>
      </c>
      <c r="AG399" s="55" t="s">
        <v>3843</v>
      </c>
      <c r="AH399" s="245">
        <f>303.36/12/2</f>
        <v>12.64</v>
      </c>
      <c r="AI399" s="43" t="str">
        <f>_xlfn.XLOOKUP(Table26[[#This Row],[customerSKU]],customerSKU!G:G,customerSKU!O:O,"not found",0,1)</f>
        <v>not found</v>
      </c>
      <c r="AJ399" s="53">
        <f>Table26[[#This Row],[unitprice]]*Table26[[#This Row],[quantity_unit]]</f>
        <v>303.36</v>
      </c>
      <c r="AK399" s="53" cm="1">
        <f t="array" ref="AK3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318.52800000000002</v>
      </c>
    </row>
    <row r="400" spans="1:37" ht="18" customHeight="1">
      <c r="A400" s="42">
        <v>1842</v>
      </c>
      <c r="B400" s="249" t="s">
        <v>3520</v>
      </c>
      <c r="C400" s="90" t="s">
        <v>203</v>
      </c>
      <c r="D400" s="235">
        <v>45576</v>
      </c>
      <c r="E400" s="235"/>
      <c r="F40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0" s="119"/>
      <c r="H400" s="90" t="s">
        <v>3803</v>
      </c>
      <c r="I400" s="90" t="s">
        <v>3862</v>
      </c>
      <c r="J400" s="90" t="s">
        <v>503</v>
      </c>
      <c r="K400" s="232">
        <v>45574</v>
      </c>
      <c r="L400" s="233" t="s">
        <v>504</v>
      </c>
      <c r="M400" s="90"/>
      <c r="N400" s="55" t="str">
        <f>Table26[[#This Row],[po_number]]&amp;"-"&amp;Table26[[#This Row],[po_line]]</f>
        <v>-2</v>
      </c>
      <c r="O400" s="55">
        <v>2</v>
      </c>
      <c r="P400" s="234"/>
      <c r="Q400" s="90" t="s">
        <v>3971</v>
      </c>
      <c r="R400" s="90" t="s">
        <v>3830</v>
      </c>
      <c r="S400" s="90" t="s">
        <v>56</v>
      </c>
      <c r="T400" s="20">
        <v>45574</v>
      </c>
      <c r="U400" s="236">
        <v>24</v>
      </c>
      <c r="V400" s="90">
        <v>12</v>
      </c>
      <c r="W400" s="237">
        <f t="shared" si="12"/>
        <v>2</v>
      </c>
      <c r="X400" s="90" t="str">
        <f t="shared" si="13"/>
        <v/>
      </c>
      <c r="Y400" s="90" t="str">
        <f>IF(Table26[[#This Row],[customerSKU]]="","",_xlfn.XLOOKUP(Table26[[#This Row],[customerSKU]],Table27[customer_SKU],Table27[product_GTIN],"",0,1))</f>
        <v/>
      </c>
      <c r="Z400" s="25" t="s">
        <v>3386</v>
      </c>
      <c r="AA400" s="18" t="str" cm="1">
        <f t="array" ref="AA400">IF(P400="", "", _xlfn.XLOOKUP(P400,#REF!,#REF!,NA,0,-1))</f>
        <v/>
      </c>
      <c r="AB400" s="90"/>
      <c r="AC400" s="55" t="s">
        <v>3843</v>
      </c>
      <c r="AD400" s="55" t="str">
        <f>IF($AC400="","",_xlfn.XLOOKUP($AC400,'[2]Client Info'!$C$2:$C$2535,'[2]Client Info'!$D$2:$D$2535))</f>
        <v>137F Dyke Rd</v>
      </c>
      <c r="AE400" s="55" t="str">
        <f>IF($AC400="","",_xlfn.XLOOKUP($AC400,'[2]Client Info'!$C$2:$C$2715,'[2]Client Info'!$E$2:$E$2715))</f>
        <v>Chilliwack</v>
      </c>
      <c r="AF400" s="55" t="str">
        <f>IF($AC400="","",_xlfn.XLOOKUP($AC400,'[2]Client Info'!$C$2:$C$2715,'[2]Client Info'!$F$2:$F$2715))</f>
        <v xml:space="preserve">BC </v>
      </c>
      <c r="AG400" s="55" t="s">
        <v>3843</v>
      </c>
      <c r="AH400" s="245">
        <f>303.36/12/2</f>
        <v>12.64</v>
      </c>
      <c r="AI400" s="43" t="str">
        <f>_xlfn.XLOOKUP(Table26[[#This Row],[customerSKU]],customerSKU!G:G,customerSKU!O:O,"not found",0,1)</f>
        <v>not found</v>
      </c>
      <c r="AJ400" s="53">
        <f>Table26[[#This Row],[unitprice]]*Table26[[#This Row],[quantity_unit]]</f>
        <v>303.36</v>
      </c>
      <c r="AK400" s="53" cm="1">
        <f t="array" ref="AK4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318.52800000000002</v>
      </c>
    </row>
    <row r="401" spans="1:37" ht="18" customHeight="1">
      <c r="A401" s="42">
        <v>1843</v>
      </c>
      <c r="B401" s="249" t="s">
        <v>3520</v>
      </c>
      <c r="C401" s="90" t="s">
        <v>203</v>
      </c>
      <c r="D401" s="235">
        <v>45576</v>
      </c>
      <c r="E401" s="235"/>
      <c r="F40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1" s="119"/>
      <c r="H401" s="90" t="s">
        <v>3826</v>
      </c>
      <c r="I401" s="90" t="s">
        <v>3862</v>
      </c>
      <c r="J401" s="90" t="s">
        <v>503</v>
      </c>
      <c r="K401" s="232">
        <v>45574</v>
      </c>
      <c r="L401" s="233" t="s">
        <v>504</v>
      </c>
      <c r="M401" s="90"/>
      <c r="N401" s="55" t="str">
        <f>Table26[[#This Row],[po_number]]&amp;"-"&amp;Table26[[#This Row],[po_line]]</f>
        <v>-3</v>
      </c>
      <c r="O401" s="55">
        <v>3</v>
      </c>
      <c r="P401" s="234"/>
      <c r="Q401" s="90" t="s">
        <v>535</v>
      </c>
      <c r="R401" s="90" t="s">
        <v>3972</v>
      </c>
      <c r="S401" s="90" t="s">
        <v>56</v>
      </c>
      <c r="T401" s="20">
        <v>45567</v>
      </c>
      <c r="U401" s="236">
        <v>24</v>
      </c>
      <c r="V401" s="90">
        <v>12</v>
      </c>
      <c r="W401" s="237">
        <f t="shared" si="12"/>
        <v>2</v>
      </c>
      <c r="X401" s="90" t="str">
        <f t="shared" si="13"/>
        <v/>
      </c>
      <c r="Y401" s="90" t="str">
        <f>IF(Table26[[#This Row],[customerSKU]]="","",_xlfn.XLOOKUP(Table26[[#This Row],[customerSKU]],Table27[customer_SKU],Table27[product_GTIN],"",0,1))</f>
        <v/>
      </c>
      <c r="Z401" s="25" t="s">
        <v>3433</v>
      </c>
      <c r="AA401" s="18" t="str" cm="1">
        <f t="array" ref="AA401">IF(P401="", "", _xlfn.XLOOKUP(P401,#REF!,#REF!,NA,0,-1))</f>
        <v/>
      </c>
      <c r="AB401" s="90"/>
      <c r="AC401" s="55" t="s">
        <v>3843</v>
      </c>
      <c r="AD401" s="55" t="str">
        <f>IF($AC401="","",_xlfn.XLOOKUP($AC401,'[2]Client Info'!$C$2:$C$2535,'[2]Client Info'!$D$2:$D$2535))</f>
        <v>137F Dyke Rd</v>
      </c>
      <c r="AE401" s="55" t="str">
        <f>IF($AC401="","",_xlfn.XLOOKUP($AC401,'[2]Client Info'!$C$2:$C$2715,'[2]Client Info'!$E$2:$E$2715))</f>
        <v>Chilliwack</v>
      </c>
      <c r="AF401" s="55" t="str">
        <f>IF($AC401="","",_xlfn.XLOOKUP($AC401,'[2]Client Info'!$C$2:$C$2715,'[2]Client Info'!$F$2:$F$2715))</f>
        <v xml:space="preserve">BC </v>
      </c>
      <c r="AG401" s="55" t="s">
        <v>3843</v>
      </c>
      <c r="AH401" s="245">
        <f>303.36/12/2</f>
        <v>12.64</v>
      </c>
      <c r="AI401" s="43" t="str">
        <f>_xlfn.XLOOKUP(Table26[[#This Row],[customerSKU]],customerSKU!G:G,customerSKU!O:O,"not found",0,1)</f>
        <v>not found</v>
      </c>
      <c r="AJ401" s="53">
        <f>Table26[[#This Row],[unitprice]]*Table26[[#This Row],[quantity_unit]]</f>
        <v>303.36</v>
      </c>
      <c r="AK401" s="53" cm="1">
        <f t="array" ref="AK4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318.52800000000002</v>
      </c>
    </row>
    <row r="402" spans="1:37" ht="18" customHeight="1">
      <c r="A402" s="42">
        <v>1844</v>
      </c>
      <c r="B402" s="249" t="s">
        <v>3520</v>
      </c>
      <c r="C402" s="90" t="s">
        <v>203</v>
      </c>
      <c r="D402" s="235">
        <v>45576</v>
      </c>
      <c r="E402" s="235"/>
      <c r="F40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2" s="119"/>
      <c r="H402" s="90" t="s">
        <v>3826</v>
      </c>
      <c r="I402" s="90" t="s">
        <v>3862</v>
      </c>
      <c r="J402" s="90" t="s">
        <v>503</v>
      </c>
      <c r="K402" s="232">
        <v>45574</v>
      </c>
      <c r="L402" s="233" t="s">
        <v>504</v>
      </c>
      <c r="M402" s="90"/>
      <c r="N402" s="55" t="str">
        <f>Table26[[#This Row],[po_number]]&amp;"-"&amp;Table26[[#This Row],[po_line]]</f>
        <v>-4</v>
      </c>
      <c r="O402" s="55">
        <v>4</v>
      </c>
      <c r="P402" s="234"/>
      <c r="Q402" s="90" t="s">
        <v>1134</v>
      </c>
      <c r="R402" s="90" t="s">
        <v>532</v>
      </c>
      <c r="S402" s="90" t="s">
        <v>13</v>
      </c>
      <c r="T402" s="20">
        <v>45560</v>
      </c>
      <c r="U402" s="236">
        <v>12</v>
      </c>
      <c r="V402" s="90">
        <v>12</v>
      </c>
      <c r="W402" s="237">
        <f t="shared" si="12"/>
        <v>1</v>
      </c>
      <c r="X402" s="90" t="str">
        <f t="shared" si="13"/>
        <v/>
      </c>
      <c r="Y402" s="90" t="str">
        <f>IF(Table26[[#This Row],[customerSKU]]="","",_xlfn.XLOOKUP(Table26[[#This Row],[customerSKU]],Table27[customer_SKU],Table27[product_GTIN],"",0,1))</f>
        <v/>
      </c>
      <c r="Z402" s="25" t="s">
        <v>3406</v>
      </c>
      <c r="AA402" s="18" t="str" cm="1">
        <f t="array" ref="AA402">IF(P402="", "", _xlfn.XLOOKUP(P402,#REF!,#REF!,NA,0,-1))</f>
        <v/>
      </c>
      <c r="AB402" s="90"/>
      <c r="AC402" s="55" t="s">
        <v>3843</v>
      </c>
      <c r="AD402" s="55" t="str">
        <f>IF($AC402="","",_xlfn.XLOOKUP($AC402,'[2]Client Info'!$C$2:$C$2535,'[2]Client Info'!$D$2:$D$2535))</f>
        <v>137F Dyke Rd</v>
      </c>
      <c r="AE402" s="55" t="str">
        <f>IF($AC402="","",_xlfn.XLOOKUP($AC402,'[2]Client Info'!$C$2:$C$2715,'[2]Client Info'!$E$2:$E$2715))</f>
        <v>Chilliwack</v>
      </c>
      <c r="AF402" s="55" t="str">
        <f>IF($AC402="","",_xlfn.XLOOKUP($AC402,'[2]Client Info'!$C$2:$C$2715,'[2]Client Info'!$F$2:$F$2715))</f>
        <v xml:space="preserve">BC </v>
      </c>
      <c r="AG402" s="55" t="s">
        <v>3843</v>
      </c>
      <c r="AH402" s="245">
        <f>276/12</f>
        <v>23</v>
      </c>
      <c r="AI402" s="43" t="str">
        <f>_xlfn.XLOOKUP(Table26[[#This Row],[customerSKU]],customerSKU!G:G,customerSKU!O:O,"not found",0,1)</f>
        <v>not found</v>
      </c>
      <c r="AJ402" s="53">
        <f>Table26[[#This Row],[unitprice]]*Table26[[#This Row],[quantity_unit]]</f>
        <v>276</v>
      </c>
      <c r="AK402" s="53" cm="1">
        <f t="array" ref="AK4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403" spans="1:37" ht="18" customHeight="1">
      <c r="A403" s="42">
        <v>1845</v>
      </c>
      <c r="B403" s="249" t="s">
        <v>3520</v>
      </c>
      <c r="C403" s="90" t="s">
        <v>203</v>
      </c>
      <c r="D403" s="235">
        <v>45576</v>
      </c>
      <c r="E403" s="235"/>
      <c r="F40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3" s="119"/>
      <c r="H403" s="90" t="s">
        <v>3826</v>
      </c>
      <c r="I403" s="90" t="s">
        <v>3862</v>
      </c>
      <c r="J403" s="90" t="s">
        <v>503</v>
      </c>
      <c r="K403" s="232">
        <v>45574</v>
      </c>
      <c r="L403" s="233" t="s">
        <v>504</v>
      </c>
      <c r="M403" s="90"/>
      <c r="N403" s="55" t="str">
        <f>Table26[[#This Row],[po_number]]&amp;"-"&amp;Table26[[#This Row],[po_line]]</f>
        <v>-5</v>
      </c>
      <c r="O403" s="55">
        <v>5</v>
      </c>
      <c r="P403" s="234"/>
      <c r="Q403" s="90" t="s">
        <v>1860</v>
      </c>
      <c r="R403" s="90" t="s">
        <v>3830</v>
      </c>
      <c r="S403" s="90" t="s">
        <v>56</v>
      </c>
      <c r="T403" s="20">
        <v>45560</v>
      </c>
      <c r="U403" s="236">
        <v>12</v>
      </c>
      <c r="V403" s="90">
        <v>12</v>
      </c>
      <c r="W403" s="237">
        <f t="shared" si="12"/>
        <v>1</v>
      </c>
      <c r="X403" s="90" t="str">
        <f t="shared" si="13"/>
        <v/>
      </c>
      <c r="Y403" s="90" t="str">
        <f>IF(Table26[[#This Row],[customerSKU]]="","",_xlfn.XLOOKUP(Table26[[#This Row],[customerSKU]],Table27[customer_SKU],Table27[product_GTIN],"",0,1))</f>
        <v/>
      </c>
      <c r="Z403" s="25" t="s">
        <v>3367</v>
      </c>
      <c r="AA403" s="18" t="str" cm="1">
        <f t="array" ref="AA403">IF(P403="", "", _xlfn.XLOOKUP(P403,#REF!,#REF!,NA,0,-1))</f>
        <v/>
      </c>
      <c r="AB403" s="90"/>
      <c r="AC403" s="55" t="s">
        <v>3843</v>
      </c>
      <c r="AD403" s="55" t="str">
        <f>IF($AC403="","",_xlfn.XLOOKUP($AC403,'[2]Client Info'!$C$2:$C$2535,'[2]Client Info'!$D$2:$D$2535))</f>
        <v>137F Dyke Rd</v>
      </c>
      <c r="AE403" s="55" t="str">
        <f>IF($AC403="","",_xlfn.XLOOKUP($AC403,'[2]Client Info'!$C$2:$C$2715,'[2]Client Info'!$E$2:$E$2715))</f>
        <v>Chilliwack</v>
      </c>
      <c r="AF403" s="55" t="str">
        <f>IF($AC403="","",_xlfn.XLOOKUP($AC403,'[2]Client Info'!$C$2:$C$2715,'[2]Client Info'!$F$2:$F$2715))</f>
        <v xml:space="preserve">BC </v>
      </c>
      <c r="AG403" s="55" t="s">
        <v>3843</v>
      </c>
      <c r="AH403" s="245">
        <f>276/12</f>
        <v>23</v>
      </c>
      <c r="AI403" s="43" t="str">
        <f>_xlfn.XLOOKUP(Table26[[#This Row],[customerSKU]],customerSKU!G:G,customerSKU!O:O,"not found",0,1)</f>
        <v>not found</v>
      </c>
      <c r="AJ403" s="53">
        <f>Table26[[#This Row],[unitprice]]*Table26[[#This Row],[quantity_unit]]</f>
        <v>276</v>
      </c>
      <c r="AK403" s="53" cm="1">
        <f t="array" ref="AK4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404" spans="1:37" ht="18" customHeight="1">
      <c r="A404" s="42">
        <v>1846</v>
      </c>
      <c r="B404" s="249" t="s">
        <v>3520</v>
      </c>
      <c r="C404" s="90" t="s">
        <v>203</v>
      </c>
      <c r="D404" s="235">
        <v>45576</v>
      </c>
      <c r="E404" s="235"/>
      <c r="F40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4" s="119"/>
      <c r="H404" s="90" t="s">
        <v>3826</v>
      </c>
      <c r="I404" s="90" t="s">
        <v>3862</v>
      </c>
      <c r="J404" s="90" t="s">
        <v>503</v>
      </c>
      <c r="K404" s="232">
        <v>45574</v>
      </c>
      <c r="L404" s="233" t="s">
        <v>504</v>
      </c>
      <c r="M404" s="90"/>
      <c r="N404" s="55" t="str">
        <f>Table26[[#This Row],[po_number]]&amp;"-"&amp;Table26[[#This Row],[po_line]]</f>
        <v>-6</v>
      </c>
      <c r="O404" s="55">
        <v>6</v>
      </c>
      <c r="P404" s="234"/>
      <c r="Q404" s="90" t="s">
        <v>3885</v>
      </c>
      <c r="R404" s="90" t="s">
        <v>3830</v>
      </c>
      <c r="S404" s="90" t="s">
        <v>56</v>
      </c>
      <c r="T404" s="20">
        <v>45569</v>
      </c>
      <c r="U404" s="236">
        <v>12</v>
      </c>
      <c r="V404" s="90">
        <v>12</v>
      </c>
      <c r="W404" s="237">
        <f t="shared" si="12"/>
        <v>1</v>
      </c>
      <c r="X404" s="90" t="str">
        <f t="shared" si="13"/>
        <v/>
      </c>
      <c r="Y404" s="90" t="str">
        <f>IF(Table26[[#This Row],[customerSKU]]="","",_xlfn.XLOOKUP(Table26[[#This Row],[customerSKU]],Table27[customer_SKU],Table27[product_GTIN],"",0,1))</f>
        <v/>
      </c>
      <c r="Z404" s="25" t="s">
        <v>3447</v>
      </c>
      <c r="AA404" s="18" t="str" cm="1">
        <f t="array" ref="AA404">IF(P404="", "", _xlfn.XLOOKUP(P404,#REF!,#REF!,NA,0,-1))</f>
        <v/>
      </c>
      <c r="AB404" s="90"/>
      <c r="AC404" s="55" t="s">
        <v>3843</v>
      </c>
      <c r="AD404" s="55" t="str">
        <f>IF($AC404="","",_xlfn.XLOOKUP($AC404,'[2]Client Info'!$C$2:$C$2535,'[2]Client Info'!$D$2:$D$2535))</f>
        <v>137F Dyke Rd</v>
      </c>
      <c r="AE404" s="55" t="str">
        <f>IF($AC404="","",_xlfn.XLOOKUP($AC404,'[2]Client Info'!$C$2:$C$2715,'[2]Client Info'!$E$2:$E$2715))</f>
        <v>Chilliwack</v>
      </c>
      <c r="AF404" s="55" t="str">
        <f>IF($AC404="","",_xlfn.XLOOKUP($AC404,'[2]Client Info'!$C$2:$C$2715,'[2]Client Info'!$F$2:$F$2715))</f>
        <v xml:space="preserve">BC </v>
      </c>
      <c r="AG404" s="55" t="s">
        <v>3843</v>
      </c>
      <c r="AH404" s="245">
        <f>276/12</f>
        <v>23</v>
      </c>
      <c r="AI404" s="43" t="str">
        <f>_xlfn.XLOOKUP(Table26[[#This Row],[customerSKU]],customerSKU!G:G,customerSKU!O:O,"not found",0,1)</f>
        <v>not found</v>
      </c>
      <c r="AJ404" s="53">
        <f>Table26[[#This Row],[unitprice]]*Table26[[#This Row],[quantity_unit]]</f>
        <v>276</v>
      </c>
      <c r="AK404" s="53" cm="1">
        <f t="array" ref="AK4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405" spans="1:37" ht="18" customHeight="1">
      <c r="A405" s="42">
        <v>1847</v>
      </c>
      <c r="B405" s="249" t="s">
        <v>3520</v>
      </c>
      <c r="C405" s="90" t="s">
        <v>203</v>
      </c>
      <c r="D405" s="235">
        <v>45576</v>
      </c>
      <c r="E405" s="235"/>
      <c r="F40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5" s="119"/>
      <c r="H405" s="90" t="s">
        <v>3826</v>
      </c>
      <c r="I405" s="90" t="s">
        <v>3862</v>
      </c>
      <c r="J405" s="90" t="s">
        <v>503</v>
      </c>
      <c r="K405" s="232">
        <v>45574</v>
      </c>
      <c r="L405" s="233" t="s">
        <v>504</v>
      </c>
      <c r="M405" s="90"/>
      <c r="N405" s="55" t="str">
        <f>Table26[[#This Row],[po_number]]&amp;"-"&amp;Table26[[#This Row],[po_line]]</f>
        <v>-7</v>
      </c>
      <c r="O405" s="55">
        <v>7</v>
      </c>
      <c r="P405" s="234"/>
      <c r="Q405" s="90" t="s">
        <v>1315</v>
      </c>
      <c r="R405" s="90" t="s">
        <v>3830</v>
      </c>
      <c r="S405" s="90" t="s">
        <v>56</v>
      </c>
      <c r="T405" s="20">
        <v>45555</v>
      </c>
      <c r="U405" s="236">
        <v>12</v>
      </c>
      <c r="V405" s="90">
        <v>12</v>
      </c>
      <c r="W405" s="237">
        <f t="shared" si="12"/>
        <v>1</v>
      </c>
      <c r="X405" s="90" t="str">
        <f t="shared" si="13"/>
        <v/>
      </c>
      <c r="Y405" s="90" t="str">
        <f>IF(Table26[[#This Row],[customerSKU]]="","",_xlfn.XLOOKUP(Table26[[#This Row],[customerSKU]],Table27[customer_SKU],Table27[product_GTIN],"",0,1))</f>
        <v/>
      </c>
      <c r="Z405" s="90">
        <v>1066317</v>
      </c>
      <c r="AA405" s="18" t="str" cm="1">
        <f t="array" ref="AA405">IF(P405="", "", _xlfn.XLOOKUP(P405,#REF!,#REF!,NA,0,-1))</f>
        <v/>
      </c>
      <c r="AB405" s="90"/>
      <c r="AC405" s="55" t="s">
        <v>3843</v>
      </c>
      <c r="AD405" s="55" t="str">
        <f>IF($AC405="","",_xlfn.XLOOKUP($AC405,'[2]Client Info'!$C$2:$C$2535,'[2]Client Info'!$D$2:$D$2535))</f>
        <v>137F Dyke Rd</v>
      </c>
      <c r="AE405" s="55" t="str">
        <f>IF($AC405="","",_xlfn.XLOOKUP($AC405,'[2]Client Info'!$C$2:$C$2715,'[2]Client Info'!$E$2:$E$2715))</f>
        <v>Chilliwack</v>
      </c>
      <c r="AF405" s="55" t="str">
        <f>IF($AC405="","",_xlfn.XLOOKUP($AC405,'[2]Client Info'!$C$2:$C$2715,'[2]Client Info'!$F$2:$F$2715))</f>
        <v xml:space="preserve">BC </v>
      </c>
      <c r="AG405" s="55" t="s">
        <v>3843</v>
      </c>
      <c r="AH405" s="245">
        <f>234.48/12</f>
        <v>19.54</v>
      </c>
      <c r="AI405" s="43" t="str">
        <f>_xlfn.XLOOKUP(Table26[[#This Row],[customerSKU]],customerSKU!G:G,customerSKU!O:O,"not found",0,1)</f>
        <v>not found</v>
      </c>
      <c r="AJ405" s="53">
        <f>Table26[[#This Row],[unitprice]]*Table26[[#This Row],[quantity_unit]]</f>
        <v>234.48</v>
      </c>
      <c r="AK405" s="53" cm="1">
        <f t="array" ref="AK4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406" spans="1:37" ht="18" customHeight="1">
      <c r="A406" s="42">
        <v>1848</v>
      </c>
      <c r="B406" s="249" t="s">
        <v>3520</v>
      </c>
      <c r="C406" s="90" t="s">
        <v>203</v>
      </c>
      <c r="D406" s="235">
        <v>45576</v>
      </c>
      <c r="E406" s="235"/>
      <c r="F40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6" s="119"/>
      <c r="H406" s="90" t="s">
        <v>3826</v>
      </c>
      <c r="I406" s="90" t="s">
        <v>3862</v>
      </c>
      <c r="J406" s="90" t="s">
        <v>503</v>
      </c>
      <c r="K406" s="232">
        <v>45574</v>
      </c>
      <c r="L406" s="268" t="s">
        <v>504</v>
      </c>
      <c r="M406" s="90"/>
      <c r="N406" s="55" t="str">
        <f>Table26[[#This Row],[po_number]]&amp;"-"&amp;Table26[[#This Row],[po_line]]</f>
        <v>-8</v>
      </c>
      <c r="O406" s="55">
        <v>8</v>
      </c>
      <c r="P406" s="234"/>
      <c r="Q406" s="90" t="s">
        <v>2100</v>
      </c>
      <c r="R406" s="90" t="s">
        <v>3830</v>
      </c>
      <c r="S406" s="90" t="s">
        <v>56</v>
      </c>
      <c r="T406" s="20">
        <v>45555</v>
      </c>
      <c r="U406" s="236">
        <v>12</v>
      </c>
      <c r="V406" s="90">
        <v>12</v>
      </c>
      <c r="W406" s="237">
        <f t="shared" si="12"/>
        <v>1</v>
      </c>
      <c r="X406" s="90" t="str">
        <f t="shared" si="13"/>
        <v/>
      </c>
      <c r="Y406" s="90" t="str">
        <f>IF(Table26[[#This Row],[customerSKU]]="","",_xlfn.XLOOKUP(Table26[[#This Row],[customerSKU]],Table27[customer_SKU],Table27[product_GTIN],"",0,1))</f>
        <v/>
      </c>
      <c r="Z406" s="90">
        <v>1066359</v>
      </c>
      <c r="AA406" s="18" t="str" cm="1">
        <f t="array" ref="AA406">IF(P406="", "", _xlfn.XLOOKUP(P406,#REF!,#REF!,NA,0,-1))</f>
        <v/>
      </c>
      <c r="AB406" s="90"/>
      <c r="AC406" s="55" t="s">
        <v>3843</v>
      </c>
      <c r="AD406" s="55" t="str">
        <f>IF($AC406="","",_xlfn.XLOOKUP($AC406,'[2]Client Info'!$C$2:$C$2535,'[2]Client Info'!$D$2:$D$2535))</f>
        <v>137F Dyke Rd</v>
      </c>
      <c r="AE406" s="55" t="str">
        <f>IF($AC406="","",_xlfn.XLOOKUP($AC406,'[2]Client Info'!$C$2:$C$2715,'[2]Client Info'!$E$2:$E$2715))</f>
        <v>Chilliwack</v>
      </c>
      <c r="AF406" s="55" t="str">
        <f>IF($AC406="","",_xlfn.XLOOKUP($AC406,'[2]Client Info'!$C$2:$C$2715,'[2]Client Info'!$F$2:$F$2715))</f>
        <v xml:space="preserve">BC </v>
      </c>
      <c r="AG406" s="55" t="s">
        <v>3843</v>
      </c>
      <c r="AH406" s="245">
        <f>234.48/12</f>
        <v>19.54</v>
      </c>
      <c r="AI406" s="43" t="str">
        <f>_xlfn.XLOOKUP(Table26[[#This Row],[customerSKU]],customerSKU!G:G,customerSKU!O:O,"not found",0,1)</f>
        <v>not found</v>
      </c>
      <c r="AJ406" s="53">
        <f>Table26[[#This Row],[unitprice]]*Table26[[#This Row],[quantity_unit]]</f>
        <v>234.48</v>
      </c>
      <c r="AK406" s="53" cm="1">
        <f t="array" ref="AK4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407" spans="1:37" ht="18" customHeight="1">
      <c r="A407" s="42">
        <v>1849</v>
      </c>
      <c r="B407" s="249" t="s">
        <v>3520</v>
      </c>
      <c r="C407" s="90" t="s">
        <v>203</v>
      </c>
      <c r="D407" s="235">
        <v>45576</v>
      </c>
      <c r="E407" s="235"/>
      <c r="F40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7" s="119"/>
      <c r="H407" s="90" t="s">
        <v>3826</v>
      </c>
      <c r="I407" s="90" t="s">
        <v>3862</v>
      </c>
      <c r="J407" s="90" t="s">
        <v>503</v>
      </c>
      <c r="K407" s="232">
        <v>45574</v>
      </c>
      <c r="L407" s="268" t="s">
        <v>504</v>
      </c>
      <c r="M407" s="90"/>
      <c r="N407" s="55" t="str">
        <f>Table26[[#This Row],[po_number]]&amp;"-"&amp;Table26[[#This Row],[po_line]]</f>
        <v>-9</v>
      </c>
      <c r="O407" s="55">
        <v>9</v>
      </c>
      <c r="P407" s="234"/>
      <c r="Q407" s="90" t="s">
        <v>2094</v>
      </c>
      <c r="R407" s="90" t="s">
        <v>3830</v>
      </c>
      <c r="S407" s="90" t="s">
        <v>56</v>
      </c>
      <c r="T407" s="20">
        <v>45560</v>
      </c>
      <c r="U407" s="236">
        <v>12</v>
      </c>
      <c r="V407" s="90">
        <v>12</v>
      </c>
      <c r="W407" s="237">
        <f t="shared" ref="W407:W438" si="14">IFERROR(U407/V407, "")</f>
        <v>1</v>
      </c>
      <c r="X407" s="90" t="str">
        <f t="shared" si="13"/>
        <v/>
      </c>
      <c r="Y407" s="90" t="str">
        <f>IF(Table26[[#This Row],[customerSKU]]="","",_xlfn.XLOOKUP(Table26[[#This Row],[customerSKU]],Table27[customer_SKU],Table27[product_GTIN],"",0,1))</f>
        <v/>
      </c>
      <c r="Z407" s="25" t="s">
        <v>3434</v>
      </c>
      <c r="AA407" s="18" t="str" cm="1">
        <f t="array" ref="AA407">IF(P407="", "", _xlfn.XLOOKUP(P407,#REF!,#REF!,NA,0,-1))</f>
        <v/>
      </c>
      <c r="AB407" s="90"/>
      <c r="AC407" s="55" t="s">
        <v>3843</v>
      </c>
      <c r="AD407" s="55" t="str">
        <f>IF($AC407="","",_xlfn.XLOOKUP($AC407,'[2]Client Info'!$C$2:$C$2535,'[2]Client Info'!$D$2:$D$2535))</f>
        <v>137F Dyke Rd</v>
      </c>
      <c r="AE407" s="55" t="str">
        <f>IF($AC407="","",_xlfn.XLOOKUP($AC407,'[2]Client Info'!$C$2:$C$2715,'[2]Client Info'!$E$2:$E$2715))</f>
        <v>Chilliwack</v>
      </c>
      <c r="AF407" s="55" t="str">
        <f>IF($AC407="","",_xlfn.XLOOKUP($AC407,'[2]Client Info'!$C$2:$C$2715,'[2]Client Info'!$F$2:$F$2715))</f>
        <v xml:space="preserve">BC </v>
      </c>
      <c r="AG407" s="55" t="s">
        <v>3843</v>
      </c>
      <c r="AH407" s="245">
        <f>234.48/12</f>
        <v>19.54</v>
      </c>
      <c r="AI407" s="43" t="str">
        <f>_xlfn.XLOOKUP(Table26[[#This Row],[customerSKU]],customerSKU!G:G,customerSKU!O:O,"not found",0,1)</f>
        <v>not found</v>
      </c>
      <c r="AJ407" s="53">
        <f>Table26[[#This Row],[unitprice]]*Table26[[#This Row],[quantity_unit]]</f>
        <v>234.48</v>
      </c>
      <c r="AK407" s="53" cm="1">
        <f t="array" ref="AK4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246.20400000000001</v>
      </c>
    </row>
    <row r="408" spans="1:37" ht="18" customHeight="1">
      <c r="A408" s="42">
        <v>1850</v>
      </c>
      <c r="B408" s="249" t="s">
        <v>3520</v>
      </c>
      <c r="C408" s="90" t="s">
        <v>203</v>
      </c>
      <c r="D408" s="235">
        <v>45576</v>
      </c>
      <c r="E408" s="235"/>
      <c r="F40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08" s="119"/>
      <c r="H408" s="90" t="s">
        <v>3826</v>
      </c>
      <c r="I408" s="90" t="s">
        <v>3862</v>
      </c>
      <c r="J408" s="90" t="s">
        <v>503</v>
      </c>
      <c r="K408" s="232">
        <v>45574</v>
      </c>
      <c r="L408" s="268" t="s">
        <v>504</v>
      </c>
      <c r="M408" s="90"/>
      <c r="N408" s="55" t="str">
        <f>Table26[[#This Row],[po_number]]&amp;"-"&amp;Table26[[#This Row],[po_line]]</f>
        <v>-10</v>
      </c>
      <c r="O408" s="55">
        <v>10</v>
      </c>
      <c r="P408" s="234"/>
      <c r="Q408" s="90" t="s">
        <v>775</v>
      </c>
      <c r="R408" s="90" t="s">
        <v>3830</v>
      </c>
      <c r="S408" s="90" t="s">
        <v>56</v>
      </c>
      <c r="T408" s="20">
        <v>45523</v>
      </c>
      <c r="U408" s="236">
        <v>6</v>
      </c>
      <c r="V408" s="90">
        <v>6</v>
      </c>
      <c r="W408" s="237">
        <f t="shared" si="14"/>
        <v>1</v>
      </c>
      <c r="X408" s="90" t="str">
        <f t="shared" ref="X408:X439" si="15">IFERROR($AA408*$U408, "")</f>
        <v/>
      </c>
      <c r="Y408" s="90" t="str">
        <f>IF(Table26[[#This Row],[customerSKU]]="","",_xlfn.XLOOKUP(Table26[[#This Row],[customerSKU]],Table27[customer_SKU],Table27[product_GTIN],"",0,1))</f>
        <v/>
      </c>
      <c r="Z408" s="90">
        <v>1054758</v>
      </c>
      <c r="AA408" s="18" t="str" cm="1">
        <f t="array" ref="AA408">IF(P408="", "", _xlfn.XLOOKUP(P408,#REF!,#REF!,NA,0,-1))</f>
        <v/>
      </c>
      <c r="AB408" s="90"/>
      <c r="AC408" s="55" t="s">
        <v>3843</v>
      </c>
      <c r="AD408" s="55" t="str">
        <f>IF($AC408="","",_xlfn.XLOOKUP($AC408,'[2]Client Info'!$C$2:$C$2535,'[2]Client Info'!$D$2:$D$2535))</f>
        <v>137F Dyke Rd</v>
      </c>
      <c r="AE408" s="55" t="str">
        <f>IF($AC408="","",_xlfn.XLOOKUP($AC408,'[2]Client Info'!$C$2:$C$2715,'[2]Client Info'!$E$2:$E$2715))</f>
        <v>Chilliwack</v>
      </c>
      <c r="AF408" s="55" t="str">
        <f>IF($AC408="","",_xlfn.XLOOKUP($AC408,'[2]Client Info'!$C$2:$C$2715,'[2]Client Info'!$F$2:$F$2715))</f>
        <v xml:space="preserve">BC </v>
      </c>
      <c r="AG408" s="55" t="s">
        <v>3843</v>
      </c>
      <c r="AH408" s="245">
        <f>74.76/6</f>
        <v>12.46</v>
      </c>
      <c r="AI408" s="43" t="str">
        <f>_xlfn.XLOOKUP(Table26[[#This Row],[customerSKU]],customerSKU!G:G,customerSKU!O:O,"not found",0,1)</f>
        <v>not found</v>
      </c>
      <c r="AJ408" s="53">
        <f>Table26[[#This Row],[unitprice]]*Table26[[#This Row],[quantity_unit]]</f>
        <v>74.760000000000005</v>
      </c>
      <c r="AK408" s="53" cm="1">
        <f t="array" ref="AK4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78.498000000000005</v>
      </c>
    </row>
    <row r="409" spans="1:37" ht="18" customHeight="1">
      <c r="A409" s="42">
        <v>1851</v>
      </c>
      <c r="B409" s="58" t="s">
        <v>3520</v>
      </c>
      <c r="C409" s="53" t="s">
        <v>3360</v>
      </c>
      <c r="D409" s="51"/>
      <c r="E409" s="51"/>
      <c r="F409" s="53"/>
      <c r="G409" s="46"/>
      <c r="H409" s="53"/>
      <c r="I409" s="53" t="s">
        <v>3862</v>
      </c>
      <c r="J409" s="53" t="s">
        <v>533</v>
      </c>
      <c r="K409" s="48">
        <v>45574</v>
      </c>
      <c r="L409" s="49" t="s">
        <v>490</v>
      </c>
      <c r="M409" s="53"/>
      <c r="N409" s="77" t="str">
        <f>Table26[[#This Row],[po_number]]&amp;"-"&amp;Table26[[#This Row],[po_line]]</f>
        <v>-1</v>
      </c>
      <c r="O409" s="77">
        <v>1</v>
      </c>
      <c r="P409" s="50"/>
      <c r="Q409" s="53" t="s">
        <v>630</v>
      </c>
      <c r="R409" s="53" t="s">
        <v>3830</v>
      </c>
      <c r="S409" s="53" t="s">
        <v>57</v>
      </c>
      <c r="T409" s="20">
        <v>45543</v>
      </c>
      <c r="U409" s="52">
        <v>24</v>
      </c>
      <c r="V409" s="53" t="str">
        <f>IF(ISBLANK(Table26[[#This Row],[customerSKU]]),"",_xlfn.XLOOKUP(Table26[[#This Row],[customerSKU]],Table27[customer_SKU],Table27[case_size],"",0,1))</f>
        <v/>
      </c>
      <c r="W409" s="116" t="str">
        <f t="shared" si="14"/>
        <v/>
      </c>
      <c r="X409" s="53" t="str">
        <f t="shared" si="15"/>
        <v/>
      </c>
      <c r="Y409" s="53" t="str">
        <f>IF(Table26[[#This Row],[customerSKU]]="","",_xlfn.XLOOKUP(Table26[[#This Row],[customerSKU]],Table27[customer_SKU],Table27[product_GTIN],"",0,1))</f>
        <v/>
      </c>
      <c r="Z409" s="25" t="s">
        <v>3395</v>
      </c>
      <c r="AA409" s="18" t="str" cm="1">
        <f t="array" ref="AA409">IF(P409="", "", _xlfn.XLOOKUP(P409,#REF!,#REF!,NA,0,-1))</f>
        <v/>
      </c>
      <c r="AB409" s="53"/>
      <c r="AC409" s="55" t="s">
        <v>4017</v>
      </c>
      <c r="AD409" s="55" t="str">
        <f>IF($AC409="","",_xlfn.XLOOKUP($AC409,'[2]Client Info'!$C$2:$C$2535,'[2]Client Info'!$D$2:$D$2535))</f>
        <v>4-597 MEADOWLARK BLVD</v>
      </c>
      <c r="AE409" s="55" t="str">
        <f>IF($AC409="","",_xlfn.XLOOKUP($AC409,'[2]Client Info'!$C$2:$C$2715,'[2]Client Info'!$E$2:$E$2715))</f>
        <v>ILE DES CHENES</v>
      </c>
      <c r="AF409" s="55" t="str">
        <f>IF($AC409="","",_xlfn.XLOOKUP($AC409,'[2]Client Info'!$C$2:$C$2715,'[2]Client Info'!$F$2:$F$2715))</f>
        <v>MB</v>
      </c>
      <c r="AG409" s="55" t="s">
        <v>3992</v>
      </c>
      <c r="AH409" s="62" t="str">
        <f>_xlfn.XLOOKUP(Table26[[#This Row],[customerSKU]],customerSKU!G:G,customerSKU!K:K,"NA",0,1)</f>
        <v>NA</v>
      </c>
      <c r="AI409" s="43" t="str">
        <f>_xlfn.XLOOKUP(Table26[[#This Row],[customerSKU]],customerSKU!G:G,customerSKU!O:O,"not found",0,1)</f>
        <v>not found</v>
      </c>
      <c r="AJ409" s="53" t="e">
        <f>Table26[[#This Row],[unitprice]]*Table26[[#This Row],[quantity_unit]]</f>
        <v>#VALUE!</v>
      </c>
      <c r="AK409" s="53" t="e" cm="1">
        <f t="array" ref="AK4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0" spans="1:37" ht="18" customHeight="1">
      <c r="A410" s="42">
        <v>1823</v>
      </c>
      <c r="B410" s="58" t="s">
        <v>3520</v>
      </c>
      <c r="C410" s="53" t="s">
        <v>203</v>
      </c>
      <c r="D410" s="51">
        <v>45575</v>
      </c>
      <c r="E410" s="51" t="s">
        <v>3917</v>
      </c>
      <c r="F410" s="53" t="s">
        <v>3918</v>
      </c>
      <c r="G410" s="46"/>
      <c r="H410" s="53" t="s">
        <v>3826</v>
      </c>
      <c r="I410" s="53" t="s">
        <v>3862</v>
      </c>
      <c r="J410" s="53" t="s">
        <v>497</v>
      </c>
      <c r="K410" s="48">
        <v>45575</v>
      </c>
      <c r="L410" s="49" t="s">
        <v>490</v>
      </c>
      <c r="M410" s="53"/>
      <c r="N410" s="77" t="str">
        <f>Table26[[#This Row],[po_number]]&amp;"-"&amp;Table26[[#This Row],[po_line]]</f>
        <v>-1</v>
      </c>
      <c r="O410" s="77">
        <v>1</v>
      </c>
      <c r="P410" s="50"/>
      <c r="Q410" s="59" t="s">
        <v>3919</v>
      </c>
      <c r="R410" s="59" t="s">
        <v>3830</v>
      </c>
      <c r="S410" s="59" t="s">
        <v>70</v>
      </c>
      <c r="T410" s="51">
        <v>45550</v>
      </c>
      <c r="U410" s="52">
        <v>96</v>
      </c>
      <c r="V410" s="53">
        <v>12</v>
      </c>
      <c r="W410" s="116">
        <f t="shared" si="14"/>
        <v>8</v>
      </c>
      <c r="X410" s="53" t="str">
        <f t="shared" si="15"/>
        <v/>
      </c>
      <c r="Y410" s="53" t="s">
        <v>246</v>
      </c>
      <c r="Z410" s="25" t="s">
        <v>3363</v>
      </c>
      <c r="AA410" s="18" t="str" cm="1">
        <f t="array" ref="AA410">IF(P410="", "", _xlfn.XLOOKUP(P410,#REF!,#REF!,NA,0,-1))</f>
        <v/>
      </c>
      <c r="AB410" s="53"/>
      <c r="AC410" s="55" t="s">
        <v>37</v>
      </c>
      <c r="AD410" s="55" t="str">
        <f>IF($AC410="","",_xlfn.XLOOKUP($AC410,'[2]Client Info'!$C$2:$C$2535,'[2]Client Info'!$D$2:$D$2535))</f>
        <v>55 Quarterman Road</v>
      </c>
      <c r="AE410" s="55" t="str">
        <f>IF($AC410="","",_xlfn.XLOOKUP($AC410,'[2]Client Info'!$C$2:$C$2715,'[2]Client Info'!$E$2:$E$2715))</f>
        <v>Guelph</v>
      </c>
      <c r="AF410" s="55" t="str">
        <f>IF($AC410="","",_xlfn.XLOOKUP($AC410,'[2]Client Info'!$C$2:$C$2715,'[2]Client Info'!$F$2:$F$2715))</f>
        <v>ON</v>
      </c>
      <c r="AG410" s="55" t="s">
        <v>37</v>
      </c>
      <c r="AH410" s="62" t="str">
        <f>_xlfn.XLOOKUP(Table26[[#This Row],[customerSKU]],customerSKU!G:G,customerSKU!K:K,"NA",0,1)</f>
        <v>NA</v>
      </c>
      <c r="AI410" s="43" t="str">
        <f>_xlfn.XLOOKUP(Table26[[#This Row],[customerSKU]],customerSKU!G:G,customerSKU!O:O,"not found",0,1)</f>
        <v>not found</v>
      </c>
      <c r="AJ410" s="59" t="e">
        <f>Table26[[#This Row],[unitprice]]*Table26[[#This Row],[quantity_unit]]</f>
        <v>#VALUE!</v>
      </c>
      <c r="AK410" s="59" t="e" cm="1">
        <f t="array" ref="AK4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11" spans="1:37" ht="24.6" customHeight="1">
      <c r="A411" s="42">
        <v>1824</v>
      </c>
      <c r="B411" s="249" t="s">
        <v>3520</v>
      </c>
      <c r="C411" s="90" t="s">
        <v>203</v>
      </c>
      <c r="D411" s="235">
        <v>45576</v>
      </c>
      <c r="E411" s="235"/>
      <c r="F41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1" s="119"/>
      <c r="H411" s="90" t="s">
        <v>3826</v>
      </c>
      <c r="I411" s="90" t="s">
        <v>3862</v>
      </c>
      <c r="J411" s="90" t="s">
        <v>503</v>
      </c>
      <c r="K411" s="232">
        <v>45575</v>
      </c>
      <c r="L411" s="233" t="s">
        <v>504</v>
      </c>
      <c r="M411" s="90"/>
      <c r="N411" s="55" t="str">
        <f>Table26[[#This Row],[po_number]]&amp;"-"&amp;Table26[[#This Row],[po_line]]</f>
        <v>-1</v>
      </c>
      <c r="O411" s="55">
        <v>1</v>
      </c>
      <c r="P411" s="234"/>
      <c r="Q411" s="90" t="s">
        <v>3845</v>
      </c>
      <c r="R411" s="90" t="s">
        <v>3830</v>
      </c>
      <c r="S411" s="90" t="s">
        <v>56</v>
      </c>
      <c r="T411" s="20">
        <v>45560</v>
      </c>
      <c r="U411" s="236">
        <v>27</v>
      </c>
      <c r="V411" s="90">
        <v>12</v>
      </c>
      <c r="W411" s="237">
        <f t="shared" si="14"/>
        <v>2.25</v>
      </c>
      <c r="X411" s="90" t="str">
        <f t="shared" si="15"/>
        <v/>
      </c>
      <c r="Y411" s="90" t="str">
        <f>IF(Table26[[#This Row],[customerSKU]]="","",_xlfn.XLOOKUP(Table26[[#This Row],[customerSKU]],Table27[customer_SKU],Table27[product_GTIN],"",0,1))</f>
        <v/>
      </c>
      <c r="Z411" s="90"/>
      <c r="AA411" s="18" t="str" cm="1">
        <f t="array" ref="AA411">IF(P411="", "", _xlfn.XLOOKUP(P411,#REF!,#REF!,NA,0,-1))</f>
        <v/>
      </c>
      <c r="AB411" s="90"/>
      <c r="AC411" s="55" t="s">
        <v>50</v>
      </c>
      <c r="AD411" s="55" t="str">
        <f>IF($AC411="","",_xlfn.XLOOKUP($AC411,'[2]Client Info'!$C$2:$C$2535,'[2]Client Info'!$D$2:$D$2535))</f>
        <v xml:space="preserve">3055a Scott street </v>
      </c>
      <c r="AE411" s="55" t="str">
        <f>IF($AC411="","",_xlfn.XLOOKUP($AC411,'[2]Client Info'!$C$2:$C$2715,'[2]Client Info'!$E$2:$E$2715))</f>
        <v>Victoria</v>
      </c>
      <c r="AF411" s="55" t="str">
        <f>IF($AC411="","",_xlfn.XLOOKUP($AC411,'[2]Client Info'!$C$2:$C$2715,'[2]Client Info'!$F$2:$F$2715))</f>
        <v xml:space="preserve">BC </v>
      </c>
      <c r="AG411" s="55" t="s">
        <v>50</v>
      </c>
      <c r="AH411" s="245" t="str">
        <f>_xlfn.XLOOKUP(Table26[[#This Row],[customerSKU]],customerSKU!G:G,customerSKU!K:K,"NA",0,1)</f>
        <v>NA</v>
      </c>
      <c r="AI411" s="43" t="str">
        <f>_xlfn.XLOOKUP(Table26[[#This Row],[customerSKU]],customerSKU!G:G,customerSKU!O:O,"not found",0,1)</f>
        <v>not found</v>
      </c>
      <c r="AJ411" s="53" t="e">
        <f>Table26[[#This Row],[unitprice]]*Table26[[#This Row],[quantity_unit]]</f>
        <v>#VALUE!</v>
      </c>
      <c r="AK411" s="53" t="e" cm="1">
        <f t="array" ref="AK4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2" spans="1:37" ht="24.6" customHeight="1">
      <c r="A412" s="42">
        <v>1825</v>
      </c>
      <c r="B412" s="249" t="s">
        <v>3520</v>
      </c>
      <c r="C412" s="90" t="s">
        <v>203</v>
      </c>
      <c r="D412" s="235">
        <v>45576</v>
      </c>
      <c r="E412" s="235"/>
      <c r="F41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2" s="119"/>
      <c r="H412" s="90" t="s">
        <v>3826</v>
      </c>
      <c r="I412" s="90" t="s">
        <v>3862</v>
      </c>
      <c r="J412" s="90" t="s">
        <v>503</v>
      </c>
      <c r="K412" s="232">
        <v>45575</v>
      </c>
      <c r="L412" s="233" t="s">
        <v>504</v>
      </c>
      <c r="M412" s="90"/>
      <c r="N412" s="55" t="str">
        <f>Table26[[#This Row],[po_number]]&amp;"-"&amp;Table26[[#This Row],[po_line]]</f>
        <v>-2</v>
      </c>
      <c r="O412" s="55">
        <v>2</v>
      </c>
      <c r="P412" s="234"/>
      <c r="Q412" s="90" t="s">
        <v>3845</v>
      </c>
      <c r="R412" s="90" t="s">
        <v>3830</v>
      </c>
      <c r="S412" s="90" t="s">
        <v>56</v>
      </c>
      <c r="T412" s="20">
        <v>45574</v>
      </c>
      <c r="U412" s="236">
        <f>36-27</f>
        <v>9</v>
      </c>
      <c r="V412" s="90">
        <v>12</v>
      </c>
      <c r="W412" s="237">
        <f t="shared" si="14"/>
        <v>0.75</v>
      </c>
      <c r="X412" s="90" t="str">
        <f t="shared" si="15"/>
        <v/>
      </c>
      <c r="Y412" s="90" t="str">
        <f>IF(Table26[[#This Row],[customerSKU]]="","",_xlfn.XLOOKUP(Table26[[#This Row],[customerSKU]],Table27[customer_SKU],Table27[product_GTIN],"",0,1))</f>
        <v/>
      </c>
      <c r="Z412" s="90"/>
      <c r="AA412" s="18" t="str" cm="1">
        <f t="array" ref="AA412">IF(P412="", "", _xlfn.XLOOKUP(P412,#REF!,#REF!,NA,0,-1))</f>
        <v/>
      </c>
      <c r="AB412" s="90"/>
      <c r="AC412" s="55" t="s">
        <v>50</v>
      </c>
      <c r="AD412" s="55" t="str">
        <f>IF($AC412="","",_xlfn.XLOOKUP($AC412,'[2]Client Info'!$C$2:$C$2535,'[2]Client Info'!$D$2:$D$2535))</f>
        <v xml:space="preserve">3055a Scott street </v>
      </c>
      <c r="AE412" s="55" t="str">
        <f>IF($AC412="","",_xlfn.XLOOKUP($AC412,'[2]Client Info'!$C$2:$C$2715,'[2]Client Info'!$E$2:$E$2715))</f>
        <v>Victoria</v>
      </c>
      <c r="AF412" s="55" t="str">
        <f>IF($AC412="","",_xlfn.XLOOKUP($AC412,'[2]Client Info'!$C$2:$C$2715,'[2]Client Info'!$F$2:$F$2715))</f>
        <v xml:space="preserve">BC </v>
      </c>
      <c r="AG412" s="55" t="s">
        <v>50</v>
      </c>
      <c r="AH412" s="245" t="str">
        <f>_xlfn.XLOOKUP(Table26[[#This Row],[customerSKU]],customerSKU!G:G,customerSKU!K:K,"NA",0,1)</f>
        <v>NA</v>
      </c>
      <c r="AI412" s="43" t="str">
        <f>_xlfn.XLOOKUP(Table26[[#This Row],[customerSKU]],customerSKU!G:G,customerSKU!O:O,"not found",0,1)</f>
        <v>not found</v>
      </c>
      <c r="AJ412" s="53" t="e">
        <f>Table26[[#This Row],[unitprice]]*Table26[[#This Row],[quantity_unit]]</f>
        <v>#VALUE!</v>
      </c>
      <c r="AK412" s="53" t="e" cm="1">
        <f t="array" ref="AK4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3" spans="1:37" ht="24.6" customHeight="1">
      <c r="A413" s="42">
        <v>1826</v>
      </c>
      <c r="B413" s="249" t="s">
        <v>3520</v>
      </c>
      <c r="C413" s="90" t="s">
        <v>203</v>
      </c>
      <c r="D413" s="235">
        <v>45576</v>
      </c>
      <c r="E413" s="235"/>
      <c r="F41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3" s="119"/>
      <c r="H413" s="90" t="s">
        <v>3826</v>
      </c>
      <c r="I413" s="90" t="s">
        <v>3862</v>
      </c>
      <c r="J413" s="90" t="s">
        <v>503</v>
      </c>
      <c r="K413" s="232">
        <v>45575</v>
      </c>
      <c r="L413" s="233" t="s">
        <v>504</v>
      </c>
      <c r="M413" s="90"/>
      <c r="N413" s="55" t="str">
        <f>Table26[[#This Row],[po_number]]&amp;"-"&amp;Table26[[#This Row],[po_line]]</f>
        <v>-3</v>
      </c>
      <c r="O413" s="55">
        <v>3</v>
      </c>
      <c r="P413" s="234"/>
      <c r="Q413" s="90" t="s">
        <v>1860</v>
      </c>
      <c r="R413" s="90" t="s">
        <v>3830</v>
      </c>
      <c r="S413" s="90" t="s">
        <v>56</v>
      </c>
      <c r="T413" s="20">
        <v>45560</v>
      </c>
      <c r="U413" s="236">
        <v>6</v>
      </c>
      <c r="V413" s="90">
        <v>12</v>
      </c>
      <c r="W413" s="237">
        <f t="shared" si="14"/>
        <v>0.5</v>
      </c>
      <c r="X413" s="90" t="str">
        <f t="shared" si="15"/>
        <v/>
      </c>
      <c r="Y413" s="90" t="str">
        <f>IF(Table26[[#This Row],[customerSKU]]="","",_xlfn.XLOOKUP(Table26[[#This Row],[customerSKU]],Table27[customer_SKU],Table27[product_GTIN],"",0,1))</f>
        <v/>
      </c>
      <c r="Z413" s="90"/>
      <c r="AA413" s="18" t="str" cm="1">
        <f t="array" ref="AA413">IF(P413="", "", _xlfn.XLOOKUP(P413,#REF!,#REF!,NA,0,-1))</f>
        <v/>
      </c>
      <c r="AB413" s="90"/>
      <c r="AC413" s="55" t="s">
        <v>50</v>
      </c>
      <c r="AD413" s="55" t="str">
        <f>IF($AC413="","",_xlfn.XLOOKUP($AC413,'[2]Client Info'!$C$2:$C$2535,'[2]Client Info'!$D$2:$D$2535))</f>
        <v xml:space="preserve">3055a Scott street </v>
      </c>
      <c r="AE413" s="55" t="str">
        <f>IF($AC413="","",_xlfn.XLOOKUP($AC413,'[2]Client Info'!$C$2:$C$2715,'[2]Client Info'!$E$2:$E$2715))</f>
        <v>Victoria</v>
      </c>
      <c r="AF413" s="55" t="str">
        <f>IF($AC413="","",_xlfn.XLOOKUP($AC413,'[2]Client Info'!$C$2:$C$2715,'[2]Client Info'!$F$2:$F$2715))</f>
        <v xml:space="preserve">BC </v>
      </c>
      <c r="AG413" s="55" t="s">
        <v>50</v>
      </c>
      <c r="AH413" s="245" t="str">
        <f>_xlfn.XLOOKUP(Table26[[#This Row],[customerSKU]],customerSKU!G:G,customerSKU!K:K,"NA",0,1)</f>
        <v>NA</v>
      </c>
      <c r="AI413" s="43" t="str">
        <f>_xlfn.XLOOKUP(Table26[[#This Row],[customerSKU]],customerSKU!G:G,customerSKU!O:O,"not found",0,1)</f>
        <v>not found</v>
      </c>
      <c r="AJ413" s="53" t="e">
        <f>Table26[[#This Row],[unitprice]]*Table26[[#This Row],[quantity_unit]]</f>
        <v>#VALUE!</v>
      </c>
      <c r="AK413" s="53" t="e" cm="1">
        <f t="array" ref="AK4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4" spans="1:37" ht="18" customHeight="1">
      <c r="A414" s="42">
        <v>1827</v>
      </c>
      <c r="B414" s="249" t="s">
        <v>3520</v>
      </c>
      <c r="C414" s="90" t="s">
        <v>203</v>
      </c>
      <c r="D414" s="235">
        <v>45576</v>
      </c>
      <c r="E414" s="235"/>
      <c r="F41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4" s="119"/>
      <c r="H414" s="90" t="s">
        <v>3826</v>
      </c>
      <c r="I414" s="90" t="s">
        <v>3862</v>
      </c>
      <c r="J414" s="90" t="s">
        <v>503</v>
      </c>
      <c r="K414" s="232">
        <v>45575</v>
      </c>
      <c r="L414" s="233" t="s">
        <v>504</v>
      </c>
      <c r="M414" s="90"/>
      <c r="N414" s="55" t="str">
        <f>Table26[[#This Row],[po_number]]&amp;"-"&amp;Table26[[#This Row],[po_line]]</f>
        <v>-4</v>
      </c>
      <c r="O414" s="55">
        <v>4</v>
      </c>
      <c r="P414" s="234"/>
      <c r="Q414" s="90" t="s">
        <v>1860</v>
      </c>
      <c r="R414" s="90" t="s">
        <v>3830</v>
      </c>
      <c r="S414" s="90" t="s">
        <v>56</v>
      </c>
      <c r="T414" s="20">
        <v>45574</v>
      </c>
      <c r="U414" s="236">
        <v>30</v>
      </c>
      <c r="V414" s="90">
        <v>12</v>
      </c>
      <c r="W414" s="237">
        <f t="shared" si="14"/>
        <v>2.5</v>
      </c>
      <c r="X414" s="90" t="str">
        <f t="shared" si="15"/>
        <v/>
      </c>
      <c r="Y414" s="90" t="str">
        <f>IF(Table26[[#This Row],[customerSKU]]="","",_xlfn.XLOOKUP(Table26[[#This Row],[customerSKU]],Table27[customer_SKU],Table27[product_GTIN],"",0,1))</f>
        <v/>
      </c>
      <c r="Z414" s="90"/>
      <c r="AA414" s="18" t="str" cm="1">
        <f t="array" ref="AA414">IF(P414="", "", _xlfn.XLOOKUP(P414,#REF!,#REF!,NA,0,-1))</f>
        <v/>
      </c>
      <c r="AB414" s="90"/>
      <c r="AC414" s="55" t="s">
        <v>50</v>
      </c>
      <c r="AD414" s="55" t="str">
        <f>IF($AC414="","",_xlfn.XLOOKUP($AC414,'[2]Client Info'!$C$2:$C$2535,'[2]Client Info'!$D$2:$D$2535))</f>
        <v xml:space="preserve">3055a Scott street </v>
      </c>
      <c r="AE414" s="55" t="str">
        <f>IF($AC414="","",_xlfn.XLOOKUP($AC414,'[2]Client Info'!$C$2:$C$2715,'[2]Client Info'!$E$2:$E$2715))</f>
        <v>Victoria</v>
      </c>
      <c r="AF414" s="55" t="str">
        <f>IF($AC414="","",_xlfn.XLOOKUP($AC414,'[2]Client Info'!$C$2:$C$2715,'[2]Client Info'!$F$2:$F$2715))</f>
        <v xml:space="preserve">BC </v>
      </c>
      <c r="AG414" s="55" t="s">
        <v>50</v>
      </c>
      <c r="AH414" s="245" t="str">
        <f>_xlfn.XLOOKUP(Table26[[#This Row],[customerSKU]],customerSKU!G:G,customerSKU!K:K,"NA",0,1)</f>
        <v>NA</v>
      </c>
      <c r="AI414" s="43" t="str">
        <f>_xlfn.XLOOKUP(Table26[[#This Row],[customerSKU]],customerSKU!G:G,customerSKU!O:O,"not found",0,1)</f>
        <v>not found</v>
      </c>
      <c r="AJ414" s="53" t="e">
        <f>Table26[[#This Row],[unitprice]]*Table26[[#This Row],[quantity_unit]]</f>
        <v>#VALUE!</v>
      </c>
      <c r="AK414" s="53" t="e" cm="1">
        <f t="array" ref="AK4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5" spans="1:37" ht="18" customHeight="1">
      <c r="A415" s="42">
        <v>1828</v>
      </c>
      <c r="B415" s="249" t="s">
        <v>3520</v>
      </c>
      <c r="C415" s="90" t="s">
        <v>203</v>
      </c>
      <c r="D415" s="235">
        <v>45576</v>
      </c>
      <c r="E415" s="235"/>
      <c r="F41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5" s="119"/>
      <c r="H415" s="90" t="s">
        <v>3826</v>
      </c>
      <c r="I415" s="90" t="s">
        <v>3862</v>
      </c>
      <c r="J415" s="90" t="s">
        <v>503</v>
      </c>
      <c r="K415" s="232">
        <v>45575</v>
      </c>
      <c r="L415" s="233" t="s">
        <v>504</v>
      </c>
      <c r="M415" s="90"/>
      <c r="N415" s="55" t="str">
        <f>Table26[[#This Row],[po_number]]&amp;"-"&amp;Table26[[#This Row],[po_line]]</f>
        <v>-5</v>
      </c>
      <c r="O415" s="55">
        <v>5</v>
      </c>
      <c r="P415" s="234"/>
      <c r="Q415" s="90" t="s">
        <v>3885</v>
      </c>
      <c r="R415" s="90" t="s">
        <v>3830</v>
      </c>
      <c r="S415" s="90" t="s">
        <v>56</v>
      </c>
      <c r="T415" s="20">
        <v>45569</v>
      </c>
      <c r="U415" s="236">
        <v>36</v>
      </c>
      <c r="V415" s="90">
        <v>12</v>
      </c>
      <c r="W415" s="237">
        <f t="shared" si="14"/>
        <v>3</v>
      </c>
      <c r="X415" s="90" t="str">
        <f t="shared" si="15"/>
        <v/>
      </c>
      <c r="Y415" s="90" t="str">
        <f>IF(Table26[[#This Row],[customerSKU]]="","",_xlfn.XLOOKUP(Table26[[#This Row],[customerSKU]],Table27[customer_SKU],Table27[product_GTIN],"",0,1))</f>
        <v/>
      </c>
      <c r="Z415" s="90"/>
      <c r="AA415" s="18" t="str" cm="1">
        <f t="array" ref="AA415">IF(P415="", "", _xlfn.XLOOKUP(P415,#REF!,#REF!,NA,0,-1))</f>
        <v/>
      </c>
      <c r="AB415" s="90"/>
      <c r="AC415" s="55" t="s">
        <v>50</v>
      </c>
      <c r="AD415" s="55" t="str">
        <f>IF($AC415="","",_xlfn.XLOOKUP($AC415,'[2]Client Info'!$C$2:$C$2535,'[2]Client Info'!$D$2:$D$2535))</f>
        <v xml:space="preserve">3055a Scott street </v>
      </c>
      <c r="AE415" s="55" t="str">
        <f>IF($AC415="","",_xlfn.XLOOKUP($AC415,'[2]Client Info'!$C$2:$C$2715,'[2]Client Info'!$E$2:$E$2715))</f>
        <v>Victoria</v>
      </c>
      <c r="AF415" s="55" t="str">
        <f>IF($AC415="","",_xlfn.XLOOKUP($AC415,'[2]Client Info'!$C$2:$C$2715,'[2]Client Info'!$F$2:$F$2715))</f>
        <v xml:space="preserve">BC </v>
      </c>
      <c r="AG415" s="55" t="s">
        <v>50</v>
      </c>
      <c r="AH415" s="245" t="str">
        <f>_xlfn.XLOOKUP(Table26[[#This Row],[customerSKU]],customerSKU!G:G,customerSKU!K:K,"NA",0,1)</f>
        <v>NA</v>
      </c>
      <c r="AI415" s="43" t="str">
        <f>_xlfn.XLOOKUP(Table26[[#This Row],[customerSKU]],customerSKU!G:G,customerSKU!O:O,"not found",0,1)</f>
        <v>not found</v>
      </c>
      <c r="AJ415" s="53" t="e">
        <f>Table26[[#This Row],[unitprice]]*Table26[[#This Row],[quantity_unit]]</f>
        <v>#VALUE!</v>
      </c>
      <c r="AK415" s="53" t="e" cm="1">
        <f t="array" ref="AK4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6" spans="1:37" ht="18" customHeight="1">
      <c r="A416" s="42">
        <v>1829</v>
      </c>
      <c r="B416" s="249" t="s">
        <v>3520</v>
      </c>
      <c r="C416" s="90" t="s">
        <v>203</v>
      </c>
      <c r="D416" s="235">
        <v>45573</v>
      </c>
      <c r="E416" s="235"/>
      <c r="F41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6" s="119"/>
      <c r="H416" s="90" t="s">
        <v>3826</v>
      </c>
      <c r="I416" s="90" t="s">
        <v>3862</v>
      </c>
      <c r="J416" s="90" t="s">
        <v>503</v>
      </c>
      <c r="K416" s="232">
        <v>45575</v>
      </c>
      <c r="L416" s="233" t="s">
        <v>504</v>
      </c>
      <c r="M416" s="90"/>
      <c r="N416" s="55" t="str">
        <f>Table26[[#This Row],[po_number]]&amp;"-"&amp;Table26[[#This Row],[po_line]]</f>
        <v>-1</v>
      </c>
      <c r="O416" s="55">
        <v>1</v>
      </c>
      <c r="P416" s="234"/>
      <c r="Q416" s="90" t="s">
        <v>3845</v>
      </c>
      <c r="R416" s="90" t="s">
        <v>3830</v>
      </c>
      <c r="S416" s="90" t="s">
        <v>56</v>
      </c>
      <c r="T416" s="20">
        <v>45560</v>
      </c>
      <c r="U416" s="236">
        <v>24</v>
      </c>
      <c r="V416" s="90">
        <v>12</v>
      </c>
      <c r="W416" s="237">
        <f t="shared" si="14"/>
        <v>2</v>
      </c>
      <c r="X416" s="90" t="str">
        <f t="shared" si="15"/>
        <v/>
      </c>
      <c r="Y416" s="90" t="str">
        <f>IF(Table26[[#This Row],[customerSKU]]="","",_xlfn.XLOOKUP(Table26[[#This Row],[customerSKU]],Table27[customer_SKU],Table27[product_GTIN],"",0,1))</f>
        <v/>
      </c>
      <c r="Z416" s="90"/>
      <c r="AA416" s="18" t="str" cm="1">
        <f t="array" ref="AA416">IF(P416="", "", _xlfn.XLOOKUP(P416,#REF!,#REF!,NA,0,-1))</f>
        <v/>
      </c>
      <c r="AB416" s="90"/>
      <c r="AC416" s="55" t="s">
        <v>68</v>
      </c>
      <c r="AD416" s="55" t="str">
        <f>IF($AC416="","",_xlfn.XLOOKUP($AC416,'[2]Client Info'!$C$2:$C$2535,'[2]Client Info'!$D$2:$D$2535))</f>
        <v>#102-935 Brunette Ave</v>
      </c>
      <c r="AE416" s="55" t="str">
        <f>IF($AC416="","",_xlfn.XLOOKUP($AC416,'[2]Client Info'!$C$2:$C$2715,'[2]Client Info'!$E$2:$E$2715))</f>
        <v>Coquitlam</v>
      </c>
      <c r="AF416" s="55" t="str">
        <f>IF($AC416="","",_xlfn.XLOOKUP($AC416,'[2]Client Info'!$C$2:$C$2715,'[2]Client Info'!$F$2:$F$2715))</f>
        <v>BC</v>
      </c>
      <c r="AG416" s="55" t="s">
        <v>68</v>
      </c>
      <c r="AH416" s="245" t="str">
        <f>_xlfn.XLOOKUP(Table26[[#This Row],[customerSKU]],customerSKU!G:G,customerSKU!K:K,"NA",0,1)</f>
        <v>NA</v>
      </c>
      <c r="AI416" s="43" t="str">
        <f>_xlfn.XLOOKUP(Table26[[#This Row],[customerSKU]],customerSKU!G:G,customerSKU!O:O,"not found",0,1)</f>
        <v>not found</v>
      </c>
      <c r="AJ416" s="53" t="e">
        <f>Table26[[#This Row],[unitprice]]*Table26[[#This Row],[quantity_unit]]</f>
        <v>#VALUE!</v>
      </c>
      <c r="AK416" s="53" t="e" cm="1">
        <f t="array" ref="AK4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7" spans="1:37" ht="18" customHeight="1">
      <c r="A417" s="42">
        <v>1830</v>
      </c>
      <c r="B417" s="249" t="s">
        <v>3520</v>
      </c>
      <c r="C417" s="90" t="s">
        <v>203</v>
      </c>
      <c r="D417" s="235">
        <v>45573</v>
      </c>
      <c r="E417" s="235"/>
      <c r="F41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7" s="119"/>
      <c r="H417" s="90" t="s">
        <v>3826</v>
      </c>
      <c r="I417" s="90" t="s">
        <v>3862</v>
      </c>
      <c r="J417" s="90" t="s">
        <v>503</v>
      </c>
      <c r="K417" s="232">
        <v>45575</v>
      </c>
      <c r="L417" s="233" t="s">
        <v>504</v>
      </c>
      <c r="M417" s="90"/>
      <c r="N417" s="55" t="str">
        <f>Table26[[#This Row],[po_number]]&amp;"-"&amp;Table26[[#This Row],[po_line]]</f>
        <v>-2</v>
      </c>
      <c r="O417" s="55">
        <v>2</v>
      </c>
      <c r="P417" s="234"/>
      <c r="Q417" s="90" t="s">
        <v>1860</v>
      </c>
      <c r="R417" s="90" t="s">
        <v>3830</v>
      </c>
      <c r="S417" s="90" t="s">
        <v>56</v>
      </c>
      <c r="T417" s="20">
        <v>45574</v>
      </c>
      <c r="U417" s="236">
        <v>24</v>
      </c>
      <c r="V417" s="90">
        <v>12</v>
      </c>
      <c r="W417" s="237">
        <f t="shared" si="14"/>
        <v>2</v>
      </c>
      <c r="X417" s="90" t="str">
        <f t="shared" si="15"/>
        <v/>
      </c>
      <c r="Y417" s="90" t="str">
        <f>IF(Table26[[#This Row],[customerSKU]]="","",_xlfn.XLOOKUP(Table26[[#This Row],[customerSKU]],Table27[customer_SKU],Table27[product_GTIN],"",0,1))</f>
        <v/>
      </c>
      <c r="Z417" s="90"/>
      <c r="AA417" s="18" t="str" cm="1">
        <f t="array" ref="AA417">IF(P417="", "", _xlfn.XLOOKUP(P417,#REF!,#REF!,NA,0,-1))</f>
        <v/>
      </c>
      <c r="AB417" s="90"/>
      <c r="AC417" s="55" t="s">
        <v>68</v>
      </c>
      <c r="AD417" s="55" t="str">
        <f>IF($AC417="","",_xlfn.XLOOKUP($AC417,'[2]Client Info'!$C$2:$C$2535,'[2]Client Info'!$D$2:$D$2535))</f>
        <v>#102-935 Brunette Ave</v>
      </c>
      <c r="AE417" s="55" t="str">
        <f>IF($AC417="","",_xlfn.XLOOKUP($AC417,'[2]Client Info'!$C$2:$C$2715,'[2]Client Info'!$E$2:$E$2715))</f>
        <v>Coquitlam</v>
      </c>
      <c r="AF417" s="55" t="str">
        <f>IF($AC417="","",_xlfn.XLOOKUP($AC417,'[2]Client Info'!$C$2:$C$2715,'[2]Client Info'!$F$2:$F$2715))</f>
        <v>BC</v>
      </c>
      <c r="AG417" s="55" t="s">
        <v>68</v>
      </c>
      <c r="AH417" s="245" t="str">
        <f>_xlfn.XLOOKUP(Table26[[#This Row],[customerSKU]],customerSKU!G:G,customerSKU!K:K,"NA",0,1)</f>
        <v>NA</v>
      </c>
      <c r="AI417" s="43" t="str">
        <f>_xlfn.XLOOKUP(Table26[[#This Row],[customerSKU]],customerSKU!G:G,customerSKU!O:O,"not found",0,1)</f>
        <v>not found</v>
      </c>
      <c r="AJ417" s="53" t="e">
        <f>Table26[[#This Row],[unitprice]]*Table26[[#This Row],[quantity_unit]]</f>
        <v>#VALUE!</v>
      </c>
      <c r="AK417" s="53" t="e" cm="1">
        <f t="array" ref="AK4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8" spans="1:37" ht="18" customHeight="1">
      <c r="A418" s="42">
        <v>1831</v>
      </c>
      <c r="B418" s="249" t="s">
        <v>3520</v>
      </c>
      <c r="C418" s="90" t="s">
        <v>203</v>
      </c>
      <c r="D418" s="235">
        <v>45573</v>
      </c>
      <c r="E418" s="235"/>
      <c r="F41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8" s="119"/>
      <c r="H418" s="90" t="s">
        <v>3826</v>
      </c>
      <c r="I418" s="90" t="s">
        <v>3862</v>
      </c>
      <c r="J418" s="90" t="s">
        <v>503</v>
      </c>
      <c r="K418" s="232">
        <v>45575</v>
      </c>
      <c r="L418" s="233" t="s">
        <v>504</v>
      </c>
      <c r="M418" s="90"/>
      <c r="N418" s="55" t="str">
        <f>Table26[[#This Row],[po_number]]&amp;"-"&amp;Table26[[#This Row],[po_line]]</f>
        <v>-3</v>
      </c>
      <c r="O418" s="55">
        <v>3</v>
      </c>
      <c r="P418" s="234"/>
      <c r="Q418" s="90" t="s">
        <v>3885</v>
      </c>
      <c r="R418" s="90" t="s">
        <v>3830</v>
      </c>
      <c r="S418" s="90" t="s">
        <v>56</v>
      </c>
      <c r="T418" s="20">
        <v>45569</v>
      </c>
      <c r="U418" s="236">
        <v>24</v>
      </c>
      <c r="V418" s="90">
        <v>12</v>
      </c>
      <c r="W418" s="237">
        <f t="shared" si="14"/>
        <v>2</v>
      </c>
      <c r="X418" s="90" t="str">
        <f t="shared" si="15"/>
        <v/>
      </c>
      <c r="Y418" s="90" t="str">
        <f>IF(Table26[[#This Row],[customerSKU]]="","",_xlfn.XLOOKUP(Table26[[#This Row],[customerSKU]],Table27[customer_SKU],Table27[product_GTIN],"",0,1))</f>
        <v/>
      </c>
      <c r="Z418" s="90"/>
      <c r="AA418" s="18" t="str" cm="1">
        <f t="array" ref="AA418">IF(P418="", "", _xlfn.XLOOKUP(P418,#REF!,#REF!,NA,0,-1))</f>
        <v/>
      </c>
      <c r="AB418" s="90"/>
      <c r="AC418" s="55" t="s">
        <v>68</v>
      </c>
      <c r="AD418" s="55" t="str">
        <f>IF($AC418="","",_xlfn.XLOOKUP($AC418,'[2]Client Info'!$C$2:$C$2535,'[2]Client Info'!$D$2:$D$2535))</f>
        <v>#102-935 Brunette Ave</v>
      </c>
      <c r="AE418" s="55" t="str">
        <f>IF($AC418="","",_xlfn.XLOOKUP($AC418,'[2]Client Info'!$C$2:$C$2715,'[2]Client Info'!$E$2:$E$2715))</f>
        <v>Coquitlam</v>
      </c>
      <c r="AF418" s="55" t="str">
        <f>IF($AC418="","",_xlfn.XLOOKUP($AC418,'[2]Client Info'!$C$2:$C$2715,'[2]Client Info'!$F$2:$F$2715))</f>
        <v>BC</v>
      </c>
      <c r="AG418" s="55" t="s">
        <v>68</v>
      </c>
      <c r="AH418" s="245" t="str">
        <f>_xlfn.XLOOKUP(Table26[[#This Row],[customerSKU]],customerSKU!G:G,customerSKU!K:K,"NA",0,1)</f>
        <v>NA</v>
      </c>
      <c r="AI418" s="43" t="str">
        <f>_xlfn.XLOOKUP(Table26[[#This Row],[customerSKU]],customerSKU!G:G,customerSKU!O:O,"not found",0,1)</f>
        <v>not found</v>
      </c>
      <c r="AJ418" s="53" t="e">
        <f>Table26[[#This Row],[unitprice]]*Table26[[#This Row],[quantity_unit]]</f>
        <v>#VALUE!</v>
      </c>
      <c r="AK418" s="53" t="e" cm="1">
        <f t="array" ref="AK4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19" spans="1:37" ht="18" customHeight="1">
      <c r="A419" s="42">
        <v>1832</v>
      </c>
      <c r="B419" s="249" t="s">
        <v>3520</v>
      </c>
      <c r="C419" s="90" t="s">
        <v>203</v>
      </c>
      <c r="D419" s="235">
        <v>45573</v>
      </c>
      <c r="E419" s="235"/>
      <c r="F41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19" s="119"/>
      <c r="H419" s="90" t="s">
        <v>3826</v>
      </c>
      <c r="I419" s="90" t="s">
        <v>3862</v>
      </c>
      <c r="J419" s="90" t="s">
        <v>503</v>
      </c>
      <c r="K419" s="232">
        <v>45575</v>
      </c>
      <c r="L419" s="233" t="s">
        <v>504</v>
      </c>
      <c r="M419" s="90"/>
      <c r="N419" s="55" t="str">
        <f>Table26[[#This Row],[po_number]]&amp;"-"&amp;Table26[[#This Row],[po_line]]</f>
        <v>-4</v>
      </c>
      <c r="O419" s="55">
        <v>4</v>
      </c>
      <c r="P419" s="234"/>
      <c r="Q419" s="90" t="s">
        <v>1315</v>
      </c>
      <c r="R419" s="90" t="s">
        <v>3830</v>
      </c>
      <c r="S419" s="90" t="s">
        <v>56</v>
      </c>
      <c r="T419" s="20">
        <v>45555</v>
      </c>
      <c r="U419" s="236">
        <v>24</v>
      </c>
      <c r="V419" s="90">
        <v>12</v>
      </c>
      <c r="W419" s="237">
        <f t="shared" si="14"/>
        <v>2</v>
      </c>
      <c r="X419" s="90" t="str">
        <f t="shared" si="15"/>
        <v/>
      </c>
      <c r="Y419" s="90" t="str">
        <f>IF(Table26[[#This Row],[customerSKU]]="","",_xlfn.XLOOKUP(Table26[[#This Row],[customerSKU]],Table27[customer_SKU],Table27[product_GTIN],"",0,1))</f>
        <v/>
      </c>
      <c r="Z419" s="90"/>
      <c r="AA419" s="18" t="str" cm="1">
        <f t="array" ref="AA419">IF(P419="", "", _xlfn.XLOOKUP(P419,#REF!,#REF!,NA,0,-1))</f>
        <v/>
      </c>
      <c r="AB419" s="90"/>
      <c r="AC419" s="55" t="s">
        <v>68</v>
      </c>
      <c r="AD419" s="55" t="str">
        <f>IF($AC419="","",_xlfn.XLOOKUP($AC419,'[2]Client Info'!$C$2:$C$2535,'[2]Client Info'!$D$2:$D$2535))</f>
        <v>#102-935 Brunette Ave</v>
      </c>
      <c r="AE419" s="55" t="str">
        <f>IF($AC419="","",_xlfn.XLOOKUP($AC419,'[2]Client Info'!$C$2:$C$2715,'[2]Client Info'!$E$2:$E$2715))</f>
        <v>Coquitlam</v>
      </c>
      <c r="AF419" s="55" t="str">
        <f>IF($AC419="","",_xlfn.XLOOKUP($AC419,'[2]Client Info'!$C$2:$C$2715,'[2]Client Info'!$F$2:$F$2715))</f>
        <v>BC</v>
      </c>
      <c r="AG419" s="55" t="s">
        <v>68</v>
      </c>
      <c r="AH419" s="245" t="str">
        <f>_xlfn.XLOOKUP(Table26[[#This Row],[customerSKU]],customerSKU!G:G,customerSKU!K:K,"NA",0,1)</f>
        <v>NA</v>
      </c>
      <c r="AI419" s="43" t="str">
        <f>_xlfn.XLOOKUP(Table26[[#This Row],[customerSKU]],customerSKU!G:G,customerSKU!O:O,"not found",0,1)</f>
        <v>not found</v>
      </c>
      <c r="AJ419" s="53" t="e">
        <f>Table26[[#This Row],[unitprice]]*Table26[[#This Row],[quantity_unit]]</f>
        <v>#VALUE!</v>
      </c>
      <c r="AK419" s="53" t="e" cm="1">
        <f t="array" ref="AK4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20" spans="1:37" ht="18" customHeight="1">
      <c r="A420" s="42">
        <v>1833</v>
      </c>
      <c r="B420" s="249" t="s">
        <v>3520</v>
      </c>
      <c r="C420" s="90" t="s">
        <v>203</v>
      </c>
      <c r="D420" s="235">
        <v>45573</v>
      </c>
      <c r="E420" s="235"/>
      <c r="F420" s="90"/>
      <c r="G420" s="119"/>
      <c r="H420" s="90" t="s">
        <v>3826</v>
      </c>
      <c r="I420" s="90" t="s">
        <v>3862</v>
      </c>
      <c r="J420" s="90" t="s">
        <v>503</v>
      </c>
      <c r="K420" s="232">
        <v>45575</v>
      </c>
      <c r="L420" s="233" t="s">
        <v>504</v>
      </c>
      <c r="M420" s="90"/>
      <c r="N420" s="55" t="str">
        <f>Table26[[#This Row],[po_number]]&amp;"-"&amp;Table26[[#This Row],[po_line]]</f>
        <v>-5</v>
      </c>
      <c r="O420" s="55">
        <v>5</v>
      </c>
      <c r="P420" s="234"/>
      <c r="Q420" s="90" t="s">
        <v>2100</v>
      </c>
      <c r="R420" s="90" t="s">
        <v>3830</v>
      </c>
      <c r="S420" s="90" t="s">
        <v>56</v>
      </c>
      <c r="T420" s="20">
        <v>45560</v>
      </c>
      <c r="U420" s="236">
        <v>14</v>
      </c>
      <c r="V420" s="90">
        <v>12</v>
      </c>
      <c r="W420" s="237">
        <f t="shared" si="14"/>
        <v>1.1666666666666667</v>
      </c>
      <c r="X420" s="90" t="str">
        <f t="shared" si="15"/>
        <v/>
      </c>
      <c r="Y420" s="90"/>
      <c r="Z420" s="90"/>
      <c r="AA420" s="18" t="str" cm="1">
        <f t="array" ref="AA420">IF(P420="", "", _xlfn.XLOOKUP(P420,#REF!,#REF!,NA,0,-1))</f>
        <v/>
      </c>
      <c r="AB420" s="90"/>
      <c r="AC420" s="55" t="s">
        <v>68</v>
      </c>
      <c r="AD420" s="55" t="str">
        <f>IF($AC420="","",_xlfn.XLOOKUP($AC420,'[2]Client Info'!$C$2:$C$2535,'[2]Client Info'!$D$2:$D$2535))</f>
        <v>#102-935 Brunette Ave</v>
      </c>
      <c r="AE420" s="55" t="str">
        <f>IF($AC420="","",_xlfn.XLOOKUP($AC420,'[2]Client Info'!$C$2:$C$2715,'[2]Client Info'!$E$2:$E$2715))</f>
        <v>Coquitlam</v>
      </c>
      <c r="AF420" s="55" t="str">
        <f>IF($AC420="","",_xlfn.XLOOKUP($AC420,'[2]Client Info'!$C$2:$C$2715,'[2]Client Info'!$F$2:$F$2715))</f>
        <v>BC</v>
      </c>
      <c r="AG420" s="55" t="s">
        <v>68</v>
      </c>
      <c r="AH420" s="245" t="str">
        <f>_xlfn.XLOOKUP(Table26[[#This Row],[customerSKU]],customerSKU!G:G,customerSKU!K:K,"NA",0,1)</f>
        <v>NA</v>
      </c>
      <c r="AI420" s="43" t="str">
        <f>_xlfn.XLOOKUP(Table26[[#This Row],[customerSKU]],customerSKU!G:G,customerSKU!O:O,"not found",0,1)</f>
        <v>not found</v>
      </c>
      <c r="AJ420" s="53" t="e">
        <f>Table26[[#This Row],[unitprice]]*Table26[[#This Row],[quantity_unit]]</f>
        <v>#VALUE!</v>
      </c>
      <c r="AK420" s="53" t="e" cm="1">
        <f t="array" ref="AK4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21" spans="1:37" ht="18" customHeight="1">
      <c r="A421" s="42">
        <v>1834</v>
      </c>
      <c r="B421" s="249" t="s">
        <v>3520</v>
      </c>
      <c r="C421" s="90" t="s">
        <v>203</v>
      </c>
      <c r="D421" s="235">
        <v>45573</v>
      </c>
      <c r="E421" s="235"/>
      <c r="F42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21" s="119"/>
      <c r="H421" s="90" t="s">
        <v>3826</v>
      </c>
      <c r="I421" s="90" t="s">
        <v>3862</v>
      </c>
      <c r="J421" s="90" t="s">
        <v>503</v>
      </c>
      <c r="K421" s="232">
        <v>45575</v>
      </c>
      <c r="L421" s="233" t="s">
        <v>504</v>
      </c>
      <c r="M421" s="90"/>
      <c r="N421" s="55" t="str">
        <f>Table26[[#This Row],[po_number]]&amp;"-"&amp;Table26[[#This Row],[po_line]]</f>
        <v>-6</v>
      </c>
      <c r="O421" s="55">
        <v>6</v>
      </c>
      <c r="P421" s="234"/>
      <c r="Q421" s="90" t="s">
        <v>2100</v>
      </c>
      <c r="R421" s="90" t="s">
        <v>3830</v>
      </c>
      <c r="S421" s="90" t="s">
        <v>56</v>
      </c>
      <c r="T421" s="20">
        <v>45555</v>
      </c>
      <c r="U421" s="236">
        <v>10</v>
      </c>
      <c r="V421" s="90">
        <v>12</v>
      </c>
      <c r="W421" s="237">
        <f t="shared" si="14"/>
        <v>0.83333333333333337</v>
      </c>
      <c r="X421" s="90" t="str">
        <f t="shared" si="15"/>
        <v/>
      </c>
      <c r="Y421" s="90" t="str">
        <f>IF(Table26[[#This Row],[customerSKU]]="","",_xlfn.XLOOKUP(Table26[[#This Row],[customerSKU]],Table27[customer_SKU],Table27[product_GTIN],"",0,1))</f>
        <v/>
      </c>
      <c r="Z421" s="90"/>
      <c r="AA421" s="18" t="str" cm="1">
        <f t="array" ref="AA421">IF(P421="", "", _xlfn.XLOOKUP(P421,#REF!,#REF!,NA,0,-1))</f>
        <v/>
      </c>
      <c r="AB421" s="90"/>
      <c r="AC421" s="55" t="s">
        <v>68</v>
      </c>
      <c r="AD421" s="55" t="str">
        <f>IF($AC421="","",_xlfn.XLOOKUP($AC421,'[2]Client Info'!$C$2:$C$2535,'[2]Client Info'!$D$2:$D$2535))</f>
        <v>#102-935 Brunette Ave</v>
      </c>
      <c r="AE421" s="55" t="str">
        <f>IF($AC421="","",_xlfn.XLOOKUP($AC421,'[2]Client Info'!$C$2:$C$2715,'[2]Client Info'!$E$2:$E$2715))</f>
        <v>Coquitlam</v>
      </c>
      <c r="AF421" s="55" t="str">
        <f>IF($AC421="","",_xlfn.XLOOKUP($AC421,'[2]Client Info'!$C$2:$C$2715,'[2]Client Info'!$F$2:$F$2715))</f>
        <v>BC</v>
      </c>
      <c r="AG421" s="55" t="s">
        <v>68</v>
      </c>
      <c r="AH421" s="245" t="str">
        <f>_xlfn.XLOOKUP(Table26[[#This Row],[customerSKU]],customerSKU!G:G,customerSKU!K:K,"NA",0,1)</f>
        <v>NA</v>
      </c>
      <c r="AI421" s="43" t="str">
        <f>_xlfn.XLOOKUP(Table26[[#This Row],[customerSKU]],customerSKU!G:G,customerSKU!O:O,"not found",0,1)</f>
        <v>not found</v>
      </c>
      <c r="AJ421" s="53" t="e">
        <f>Table26[[#This Row],[unitprice]]*Table26[[#This Row],[quantity_unit]]</f>
        <v>#VALUE!</v>
      </c>
      <c r="AK421" s="53" t="e" cm="1">
        <f t="array" ref="AK4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22" spans="1:37" ht="18" customHeight="1">
      <c r="A422" s="42">
        <v>1835</v>
      </c>
      <c r="B422" s="249" t="s">
        <v>3520</v>
      </c>
      <c r="C422" s="90" t="s">
        <v>203</v>
      </c>
      <c r="D422" s="235">
        <v>45573</v>
      </c>
      <c r="E422" s="235"/>
      <c r="F42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22" s="119"/>
      <c r="H422" s="90" t="s">
        <v>3826</v>
      </c>
      <c r="I422" s="90" t="s">
        <v>3862</v>
      </c>
      <c r="J422" s="90" t="s">
        <v>503</v>
      </c>
      <c r="K422" s="232">
        <v>45575</v>
      </c>
      <c r="L422" s="233" t="s">
        <v>504</v>
      </c>
      <c r="M422" s="90"/>
      <c r="N422" s="55" t="str">
        <f>Table26[[#This Row],[po_number]]&amp;"-"&amp;Table26[[#This Row],[po_line]]</f>
        <v>-7</v>
      </c>
      <c r="O422" s="55">
        <v>7</v>
      </c>
      <c r="P422" s="234"/>
      <c r="Q422" s="90" t="s">
        <v>2094</v>
      </c>
      <c r="R422" s="90" t="s">
        <v>3830</v>
      </c>
      <c r="S422" s="90" t="s">
        <v>56</v>
      </c>
      <c r="T422" s="20">
        <v>45560</v>
      </c>
      <c r="U422" s="236">
        <v>24</v>
      </c>
      <c r="V422" s="90">
        <v>12</v>
      </c>
      <c r="W422" s="237">
        <f t="shared" si="14"/>
        <v>2</v>
      </c>
      <c r="X422" s="90" t="str">
        <f t="shared" si="15"/>
        <v/>
      </c>
      <c r="Y422" s="90" t="str">
        <f>IF(Table26[[#This Row],[customerSKU]]="","",_xlfn.XLOOKUP(Table26[[#This Row],[customerSKU]],Table27[customer_SKU],Table27[product_GTIN],"",0,1))</f>
        <v/>
      </c>
      <c r="Z422" s="90"/>
      <c r="AA422" s="18" t="str" cm="1">
        <f t="array" ref="AA422">IF(P422="", "", _xlfn.XLOOKUP(P422,#REF!,#REF!,NA,0,-1))</f>
        <v/>
      </c>
      <c r="AB422" s="90"/>
      <c r="AC422" s="55" t="s">
        <v>68</v>
      </c>
      <c r="AD422" s="55" t="str">
        <f>IF($AC422="","",_xlfn.XLOOKUP($AC422,'[2]Client Info'!$C$2:$C$2535,'[2]Client Info'!$D$2:$D$2535))</f>
        <v>#102-935 Brunette Ave</v>
      </c>
      <c r="AE422" s="55" t="str">
        <f>IF($AC422="","",_xlfn.XLOOKUP($AC422,'[2]Client Info'!$C$2:$C$2715,'[2]Client Info'!$E$2:$E$2715))</f>
        <v>Coquitlam</v>
      </c>
      <c r="AF422" s="55" t="str">
        <f>IF($AC422="","",_xlfn.XLOOKUP($AC422,'[2]Client Info'!$C$2:$C$2715,'[2]Client Info'!$F$2:$F$2715))</f>
        <v>BC</v>
      </c>
      <c r="AG422" s="55" t="s">
        <v>68</v>
      </c>
      <c r="AH422" s="245" t="str">
        <f>_xlfn.XLOOKUP(Table26[[#This Row],[customerSKU]],customerSKU!G:G,customerSKU!K:K,"NA",0,1)</f>
        <v>NA</v>
      </c>
      <c r="AI422" s="43" t="str">
        <f>_xlfn.XLOOKUP(Table26[[#This Row],[customerSKU]],customerSKU!G:G,customerSKU!O:O,"not found",0,1)</f>
        <v>not found</v>
      </c>
      <c r="AJ422" s="53" t="e">
        <f>Table26[[#This Row],[unitprice]]*Table26[[#This Row],[quantity_unit]]</f>
        <v>#VALUE!</v>
      </c>
      <c r="AK422" s="53" t="e" cm="1">
        <f t="array" ref="AK4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23" spans="1:37" ht="18" customHeight="1">
      <c r="A423" s="42">
        <v>1836</v>
      </c>
      <c r="B423" s="249" t="s">
        <v>3520</v>
      </c>
      <c r="C423" s="90" t="s">
        <v>203</v>
      </c>
      <c r="D423" s="235">
        <v>45573</v>
      </c>
      <c r="E423" s="235"/>
      <c r="F42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23" s="119"/>
      <c r="H423" s="90" t="s">
        <v>3826</v>
      </c>
      <c r="I423" s="90" t="s">
        <v>3862</v>
      </c>
      <c r="J423" s="90" t="s">
        <v>503</v>
      </c>
      <c r="K423" s="232">
        <v>45575</v>
      </c>
      <c r="L423" s="233" t="s">
        <v>504</v>
      </c>
      <c r="M423" s="90"/>
      <c r="N423" s="55" t="str">
        <f>Table26[[#This Row],[po_number]]&amp;"-"&amp;Table26[[#This Row],[po_line]]</f>
        <v>-8</v>
      </c>
      <c r="O423" s="55">
        <v>8</v>
      </c>
      <c r="P423" s="234"/>
      <c r="Q423" s="90" t="s">
        <v>1324</v>
      </c>
      <c r="R423" s="90" t="s">
        <v>532</v>
      </c>
      <c r="S423" s="90" t="s">
        <v>13</v>
      </c>
      <c r="T423" s="20">
        <v>45467</v>
      </c>
      <c r="U423" s="236">
        <v>12</v>
      </c>
      <c r="V423" s="90">
        <v>12</v>
      </c>
      <c r="W423" s="237">
        <f t="shared" si="14"/>
        <v>1</v>
      </c>
      <c r="X423" s="90" t="str">
        <f t="shared" si="15"/>
        <v/>
      </c>
      <c r="Y423" s="90" t="str">
        <f>IF(Table26[[#This Row],[customerSKU]]="","",_xlfn.XLOOKUP(Table26[[#This Row],[customerSKU]],Table27[customer_SKU],Table27[product_GTIN],"",0,1))</f>
        <v/>
      </c>
      <c r="Z423" s="90"/>
      <c r="AA423" s="18" t="str" cm="1">
        <f t="array" ref="AA423">IF(P423="", "", _xlfn.XLOOKUP(P423,#REF!,#REF!,NA,0,-1))</f>
        <v/>
      </c>
      <c r="AB423" s="90"/>
      <c r="AC423" s="55" t="s">
        <v>68</v>
      </c>
      <c r="AD423" s="55" t="str">
        <f>IF($AC423="","",_xlfn.XLOOKUP($AC423,'[2]Client Info'!$C$2:$C$2535,'[2]Client Info'!$D$2:$D$2535))</f>
        <v>#102-935 Brunette Ave</v>
      </c>
      <c r="AE423" s="55" t="str">
        <f>IF($AC423="","",_xlfn.XLOOKUP($AC423,'[2]Client Info'!$C$2:$C$2715,'[2]Client Info'!$E$2:$E$2715))</f>
        <v>Coquitlam</v>
      </c>
      <c r="AF423" s="55" t="str">
        <f>IF($AC423="","",_xlfn.XLOOKUP($AC423,'[2]Client Info'!$C$2:$C$2715,'[2]Client Info'!$F$2:$F$2715))</f>
        <v>BC</v>
      </c>
      <c r="AG423" s="55" t="s">
        <v>68</v>
      </c>
      <c r="AH423" s="245">
        <f>262.08/12</f>
        <v>21.84</v>
      </c>
      <c r="AI423" s="43" t="str">
        <f>_xlfn.XLOOKUP(Table26[[#This Row],[customerSKU]],customerSKU!G:G,customerSKU!O:O,"not found",0,1)</f>
        <v>not found</v>
      </c>
      <c r="AJ423" s="53">
        <f>Table26[[#This Row],[unitprice]]*Table26[[#This Row],[quantity_unit]]</f>
        <v>262.08</v>
      </c>
      <c r="AK423" s="53" cm="1">
        <f t="array" ref="AK4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275.18399999999997</v>
      </c>
    </row>
    <row r="424" spans="1:37" ht="18" customHeight="1">
      <c r="A424" s="42">
        <v>1837</v>
      </c>
      <c r="B424" s="249" t="s">
        <v>3520</v>
      </c>
      <c r="C424" s="90" t="s">
        <v>203</v>
      </c>
      <c r="D424" s="235">
        <v>45573</v>
      </c>
      <c r="E424" s="235"/>
      <c r="F42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24" s="119"/>
      <c r="H424" s="90" t="s">
        <v>3826</v>
      </c>
      <c r="I424" s="90" t="s">
        <v>3862</v>
      </c>
      <c r="J424" s="90" t="s">
        <v>503</v>
      </c>
      <c r="K424" s="232">
        <v>45575</v>
      </c>
      <c r="L424" s="233" t="s">
        <v>504</v>
      </c>
      <c r="M424" s="90"/>
      <c r="N424" s="55" t="str">
        <f>Table26[[#This Row],[po_number]]&amp;"-"&amp;Table26[[#This Row],[po_line]]</f>
        <v>-9</v>
      </c>
      <c r="O424" s="55">
        <v>9</v>
      </c>
      <c r="P424" s="234"/>
      <c r="Q424" s="90" t="s">
        <v>775</v>
      </c>
      <c r="R424" s="90" t="s">
        <v>532</v>
      </c>
      <c r="S424" s="90" t="s">
        <v>13</v>
      </c>
      <c r="T424" s="20">
        <v>45523</v>
      </c>
      <c r="U424" s="236">
        <v>6</v>
      </c>
      <c r="V424" s="90">
        <v>6</v>
      </c>
      <c r="W424" s="237">
        <f t="shared" si="14"/>
        <v>1</v>
      </c>
      <c r="X424" s="90" t="str">
        <f t="shared" si="15"/>
        <v/>
      </c>
      <c r="Y424" s="90" t="str">
        <f>IF(Table26[[#This Row],[customerSKU]]="","",_xlfn.XLOOKUP(Table26[[#This Row],[customerSKU]],Table27[customer_SKU],Table27[product_GTIN],"",0,1))</f>
        <v/>
      </c>
      <c r="Z424" s="90"/>
      <c r="AA424" s="18" t="str" cm="1">
        <f t="array" ref="AA424">IF(P424="", "", _xlfn.XLOOKUP(P424,#REF!,#REF!,NA,0,-1))</f>
        <v/>
      </c>
      <c r="AB424" s="90"/>
      <c r="AC424" s="55" t="s">
        <v>68</v>
      </c>
      <c r="AD424" s="55" t="str">
        <f>IF($AC424="","",_xlfn.XLOOKUP($AC424,'[2]Client Info'!$C$2:$C$2535,'[2]Client Info'!$D$2:$D$2535))</f>
        <v>#102-935 Brunette Ave</v>
      </c>
      <c r="AE424" s="55" t="str">
        <f>IF($AC424="","",_xlfn.XLOOKUP($AC424,'[2]Client Info'!$C$2:$C$2715,'[2]Client Info'!$E$2:$E$2715))</f>
        <v>Coquitlam</v>
      </c>
      <c r="AF424" s="55" t="str">
        <f>IF($AC424="","",_xlfn.XLOOKUP($AC424,'[2]Client Info'!$C$2:$C$2715,'[2]Client Info'!$F$2:$F$2715))</f>
        <v>BC</v>
      </c>
      <c r="AG424" s="55" t="s">
        <v>68</v>
      </c>
      <c r="AH424" s="245">
        <f>74.76/6</f>
        <v>12.46</v>
      </c>
      <c r="AI424" s="43" t="str">
        <f>_xlfn.XLOOKUP(Table26[[#This Row],[customerSKU]],customerSKU!G:G,customerSKU!O:O,"not found",0,1)</f>
        <v>not found</v>
      </c>
      <c r="AJ424" s="53">
        <f>Table26[[#This Row],[unitprice]]*Table26[[#This Row],[quantity_unit]]</f>
        <v>74.760000000000005</v>
      </c>
      <c r="AK424" s="53" cm="1">
        <f t="array" ref="AK4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78.498000000000005</v>
      </c>
    </row>
    <row r="425" spans="1:37" ht="18" customHeight="1">
      <c r="A425" s="42">
        <v>1838</v>
      </c>
      <c r="B425" s="58" t="s">
        <v>3520</v>
      </c>
      <c r="C425" s="53" t="s">
        <v>203</v>
      </c>
      <c r="D425" s="51"/>
      <c r="E425" s="51"/>
      <c r="F42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25" s="46"/>
      <c r="H425" s="53"/>
      <c r="I425" s="53" t="s">
        <v>3862</v>
      </c>
      <c r="J425" s="53" t="s">
        <v>533</v>
      </c>
      <c r="K425" s="48">
        <v>45575</v>
      </c>
      <c r="L425" s="49" t="s">
        <v>490</v>
      </c>
      <c r="M425" s="53"/>
      <c r="N425" s="77" t="str">
        <f>Table26[[#This Row],[po_number]]&amp;"-"&amp;Table26[[#This Row],[po_line]]</f>
        <v>-1</v>
      </c>
      <c r="O425" s="77">
        <v>1</v>
      </c>
      <c r="P425" s="50"/>
      <c r="Q425" s="81" t="s">
        <v>869</v>
      </c>
      <c r="R425" s="81" t="s">
        <v>3830</v>
      </c>
      <c r="S425" s="81" t="s">
        <v>57</v>
      </c>
      <c r="T425" s="20">
        <v>45498</v>
      </c>
      <c r="U425" s="52">
        <v>12</v>
      </c>
      <c r="V425" s="53">
        <v>12</v>
      </c>
      <c r="W425" s="116">
        <f t="shared" si="14"/>
        <v>1</v>
      </c>
      <c r="X425" s="53" t="str">
        <f t="shared" si="15"/>
        <v/>
      </c>
      <c r="Y425" s="53" t="str">
        <f>IF(Table26[[#This Row],[customerSKU]]="","",_xlfn.XLOOKUP(Table26[[#This Row],[customerSKU]],Table27[customer_SKU],Table27[product_GTIN],"",0,1))</f>
        <v/>
      </c>
      <c r="Z425" s="60"/>
      <c r="AA425" s="18" t="str" cm="1">
        <f t="array" ref="AA425">IF(P425="", "", _xlfn.XLOOKUP(P425,#REF!,#REF!,NA,0,-1))</f>
        <v/>
      </c>
      <c r="AB425" s="53"/>
      <c r="AC425" s="55" t="s">
        <v>72</v>
      </c>
      <c r="AD425" s="55" t="str">
        <f>IF($AC425="","",_xlfn.XLOOKUP($AC425,'[2]Client Info'!$C$2:$C$2535,'[2]Client Info'!$D$2:$D$2535))</f>
        <v>Unit C-1566 Pembina Hwy</v>
      </c>
      <c r="AE425" s="55" t="str">
        <f>IF($AC425="","",_xlfn.XLOOKUP($AC425,'[2]Client Info'!$C$2:$C$2715,'[2]Client Info'!$E$2:$E$2715))</f>
        <v>WINNIPEG</v>
      </c>
      <c r="AF425" s="55" t="str">
        <f>IF($AC425="","",_xlfn.XLOOKUP($AC425,'[2]Client Info'!$C$2:$C$2715,'[2]Client Info'!$F$2:$F$2715))</f>
        <v>MB</v>
      </c>
      <c r="AG425" s="55" t="s">
        <v>3992</v>
      </c>
      <c r="AH425" s="62">
        <f>74.28/12</f>
        <v>6.19</v>
      </c>
      <c r="AI425" s="43" t="str">
        <f>_xlfn.XLOOKUP(Table26[[#This Row],[customerSKU]],customerSKU!G:G,customerSKU!O:O,"not found",0,1)</f>
        <v>not found</v>
      </c>
      <c r="AJ425" s="53">
        <f>Table26[[#This Row],[unitprice]]*Table26[[#This Row],[quantity_unit]]</f>
        <v>74.28</v>
      </c>
      <c r="AK425" s="53" cm="1">
        <f t="array" ref="AK4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77.994</v>
      </c>
    </row>
    <row r="426" spans="1:37" ht="18" customHeight="1">
      <c r="A426" s="42">
        <v>1839</v>
      </c>
      <c r="B426" s="58" t="s">
        <v>3520</v>
      </c>
      <c r="C426" s="53" t="s">
        <v>3360</v>
      </c>
      <c r="D426" s="51"/>
      <c r="E426" s="51"/>
      <c r="F42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26" s="46"/>
      <c r="H426" s="53"/>
      <c r="I426" s="53" t="s">
        <v>3862</v>
      </c>
      <c r="J426" s="53" t="s">
        <v>533</v>
      </c>
      <c r="K426" s="48">
        <v>45575</v>
      </c>
      <c r="L426" s="49" t="s">
        <v>490</v>
      </c>
      <c r="M426" s="53"/>
      <c r="N426" s="77" t="str">
        <f>Table26[[#This Row],[po_number]]&amp;"-"&amp;Table26[[#This Row],[po_line]]</f>
        <v>-2</v>
      </c>
      <c r="O426" s="77">
        <v>2</v>
      </c>
      <c r="P426" s="50"/>
      <c r="Q426" s="81" t="s">
        <v>1313</v>
      </c>
      <c r="R426" s="81" t="s">
        <v>3830</v>
      </c>
      <c r="S426" s="81" t="s">
        <v>57</v>
      </c>
      <c r="T426" s="20">
        <v>45523</v>
      </c>
      <c r="U426" s="52">
        <v>12</v>
      </c>
      <c r="V426" s="53">
        <v>12</v>
      </c>
      <c r="W426" s="116">
        <f t="shared" si="14"/>
        <v>1</v>
      </c>
      <c r="X426" s="53" t="str">
        <f t="shared" si="15"/>
        <v/>
      </c>
      <c r="Y426" s="53" t="str">
        <f>IF(Table26[[#This Row],[customerSKU]]="","",_xlfn.XLOOKUP(Table26[[#This Row],[customerSKU]],Table27[customer_SKU],Table27[product_GTIN],"",0,1))</f>
        <v/>
      </c>
      <c r="Z426" s="60"/>
      <c r="AA426" s="18" t="str" cm="1">
        <f t="array" ref="AA426">IF(P426="", "", _xlfn.XLOOKUP(P426,#REF!,#REF!,NA,0,-1))</f>
        <v/>
      </c>
      <c r="AB426" s="53"/>
      <c r="AC426" s="55" t="s">
        <v>72</v>
      </c>
      <c r="AD426" s="55" t="str">
        <f>IF($AC426="","",_xlfn.XLOOKUP($AC426,'[2]Client Info'!$C$2:$C$2535,'[2]Client Info'!$D$2:$D$2535))</f>
        <v>Unit C-1566 Pembina Hwy</v>
      </c>
      <c r="AE426" s="55" t="str">
        <f>IF($AC426="","",_xlfn.XLOOKUP($AC426,'[2]Client Info'!$C$2:$C$2715,'[2]Client Info'!$E$2:$E$2715))</f>
        <v>WINNIPEG</v>
      </c>
      <c r="AF426" s="55" t="str">
        <f>IF($AC426="","",_xlfn.XLOOKUP($AC426,'[2]Client Info'!$C$2:$C$2715,'[2]Client Info'!$F$2:$F$2715))</f>
        <v>MB</v>
      </c>
      <c r="AG426" s="55" t="s">
        <v>3992</v>
      </c>
      <c r="AH426" s="62">
        <f>107.88/12</f>
        <v>8.99</v>
      </c>
      <c r="AI426" s="43" t="str">
        <f>_xlfn.XLOOKUP(Table26[[#This Row],[customerSKU]],customerSKU!G:G,customerSKU!O:O,"not found",0,1)</f>
        <v>not found</v>
      </c>
      <c r="AJ426" s="53">
        <f>Table26[[#This Row],[unitprice]]*Table26[[#This Row],[quantity_unit]]</f>
        <v>107.88</v>
      </c>
      <c r="AK426" s="53" cm="1">
        <f t="array" ref="AK4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427" spans="1:37" ht="18" customHeight="1">
      <c r="A427" s="42">
        <v>1840</v>
      </c>
      <c r="B427" s="58" t="s">
        <v>3520</v>
      </c>
      <c r="C427" s="53" t="s">
        <v>3360</v>
      </c>
      <c r="D427" s="51"/>
      <c r="E427" s="51"/>
      <c r="F427" s="53"/>
      <c r="G427" s="46"/>
      <c r="H427" s="53"/>
      <c r="I427" s="53" t="s">
        <v>3862</v>
      </c>
      <c r="J427" s="53" t="s">
        <v>533</v>
      </c>
      <c r="K427" s="48">
        <v>45575</v>
      </c>
      <c r="L427" s="49" t="s">
        <v>490</v>
      </c>
      <c r="M427" s="53"/>
      <c r="N427" s="77" t="str">
        <f>Table26[[#This Row],[po_number]]&amp;"-"&amp;Table26[[#This Row],[po_line]]</f>
        <v>-1</v>
      </c>
      <c r="O427" s="77">
        <v>1</v>
      </c>
      <c r="P427" s="50"/>
      <c r="Q427" s="53" t="s">
        <v>3865</v>
      </c>
      <c r="R427" s="53" t="s">
        <v>3830</v>
      </c>
      <c r="S427" s="53" t="s">
        <v>57</v>
      </c>
      <c r="T427" s="20">
        <v>45497</v>
      </c>
      <c r="U427" s="67">
        <v>12</v>
      </c>
      <c r="V427" s="53">
        <v>12</v>
      </c>
      <c r="W427" s="116">
        <f t="shared" si="14"/>
        <v>1</v>
      </c>
      <c r="X427" s="53" t="str">
        <f t="shared" si="15"/>
        <v/>
      </c>
      <c r="Y427" s="53"/>
      <c r="Z427" s="60"/>
      <c r="AA427" s="18" t="str" cm="1">
        <f t="array" ref="AA427">IF(P427="", "", _xlfn.XLOOKUP(P427,#REF!,#REF!,NA,0,-1))</f>
        <v/>
      </c>
      <c r="AB427" s="53"/>
      <c r="AC427" s="55" t="s">
        <v>3638</v>
      </c>
      <c r="AD427" s="55" t="str">
        <f>IF($AC427="","",_xlfn.XLOOKUP($AC427,'[2]Client Info'!$C$2:$C$2535,'[2]Client Info'!$D$2:$D$2535))</f>
        <v>UNIT 2-481 RIVER AVE</v>
      </c>
      <c r="AE427" s="55" t="str">
        <f>IF($AC427="","",_xlfn.XLOOKUP($AC427,'[2]Client Info'!$C$2:$C$2715,'[2]Client Info'!$E$2:$E$2715))</f>
        <v>Winnipeg</v>
      </c>
      <c r="AF427" s="55" t="str">
        <f>IF($AC427="","",_xlfn.XLOOKUP($AC427,'[2]Client Info'!$C$2:$C$2715,'[2]Client Info'!$F$2:$F$2715))</f>
        <v>MB</v>
      </c>
      <c r="AG427" s="55" t="s">
        <v>3992</v>
      </c>
      <c r="AH427" s="62">
        <f>107.88/12</f>
        <v>8.99</v>
      </c>
      <c r="AI427" s="43" t="str">
        <f>_xlfn.XLOOKUP(Table26[[#This Row],[customerSKU]],customerSKU!G:G,customerSKU!O:O,"not found",0,1)</f>
        <v>not found</v>
      </c>
      <c r="AJ427" s="53">
        <f>Table26[[#This Row],[unitprice]]*Table26[[#This Row],[quantity_unit]]</f>
        <v>107.88</v>
      </c>
      <c r="AK427" s="53" cm="1">
        <f t="array" ref="AK4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113.274</v>
      </c>
    </row>
    <row r="428" spans="1:37" ht="24.6" customHeight="1">
      <c r="A428" s="42">
        <v>1817</v>
      </c>
      <c r="B428" s="58" t="s">
        <v>3837</v>
      </c>
      <c r="C428" s="53" t="s">
        <v>203</v>
      </c>
      <c r="D428" s="51"/>
      <c r="E428" s="51"/>
      <c r="F428" s="53"/>
      <c r="G428" s="46"/>
      <c r="H428" s="53" t="s">
        <v>3826</v>
      </c>
      <c r="I428" s="53" t="s">
        <v>3862</v>
      </c>
      <c r="J428" s="53" t="s">
        <v>3838</v>
      </c>
      <c r="K428" s="48">
        <v>45576</v>
      </c>
      <c r="L428" s="49" t="s">
        <v>201</v>
      </c>
      <c r="M428" s="53"/>
      <c r="N428" s="77" t="str">
        <f>Table26[[#This Row],[po_number]]&amp;"-"&amp;Table26[[#This Row],[po_line]]</f>
        <v>-1</v>
      </c>
      <c r="O428" s="77">
        <v>1</v>
      </c>
      <c r="P428" s="50"/>
      <c r="Q428" s="53" t="s">
        <v>3952</v>
      </c>
      <c r="R428" s="53" t="s">
        <v>3830</v>
      </c>
      <c r="S428" s="53" t="s">
        <v>57</v>
      </c>
      <c r="T428" s="20">
        <v>45460</v>
      </c>
      <c r="U428" s="52">
        <v>72</v>
      </c>
      <c r="V428" s="53">
        <v>12</v>
      </c>
      <c r="W428" s="116">
        <f t="shared" si="14"/>
        <v>6</v>
      </c>
      <c r="X428" s="53" t="str">
        <f t="shared" si="15"/>
        <v/>
      </c>
      <c r="Y428" s="53"/>
      <c r="Z428" s="60"/>
      <c r="AA428" s="18" t="str" cm="1">
        <f t="array" ref="AA428">IF(P428="", "", _xlfn.XLOOKUP(P428,#REF!,#REF!,NA,0,-1))</f>
        <v/>
      </c>
      <c r="AB428" s="53"/>
      <c r="AC428" s="55" t="s">
        <v>9</v>
      </c>
      <c r="AD428" s="55" t="str">
        <f>IF($AC428="","",_xlfn.XLOOKUP($AC428,'[2]Client Info'!$C$2:$C$2535,'[2]Client Info'!$D$2:$D$2535))</f>
        <v>18, Canso rd</v>
      </c>
      <c r="AE428" s="55" t="str">
        <f>IF($AC428="","",_xlfn.XLOOKUP($AC428,'[2]Client Info'!$C$2:$C$2715,'[2]Client Info'!$E$2:$E$2715))</f>
        <v>Etobicoke</v>
      </c>
      <c r="AF428" s="55" t="str">
        <f>IF($AC428="","",_xlfn.XLOOKUP($AC428,'[2]Client Info'!$C$2:$C$2715,'[2]Client Info'!$F$2:$F$2715))</f>
        <v>ON</v>
      </c>
      <c r="AG428" s="55" t="s">
        <v>9</v>
      </c>
      <c r="AH428" s="62"/>
      <c r="AI428" s="43" t="str">
        <f>_xlfn.XLOOKUP(Table26[[#This Row],[customerSKU]],customerSKU!G:G,customerSKU!O:O,"not found",0,1)</f>
        <v>not found</v>
      </c>
      <c r="AJ428" s="53">
        <f>Table26[[#This Row],[unitprice]]*Table26[[#This Row],[quantity_unit]]</f>
        <v>0</v>
      </c>
      <c r="AK428" s="53" t="e" cm="1">
        <f t="array" ref="AK4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29" spans="1:37" ht="24.6" customHeight="1">
      <c r="A429" s="42">
        <v>1818</v>
      </c>
      <c r="B429" s="58" t="s">
        <v>3837</v>
      </c>
      <c r="C429" s="53" t="s">
        <v>203</v>
      </c>
      <c r="D429" s="51"/>
      <c r="E429" s="51"/>
      <c r="F429" s="53"/>
      <c r="G429" s="46"/>
      <c r="H429" s="53" t="s">
        <v>3826</v>
      </c>
      <c r="I429" s="53" t="s">
        <v>3862</v>
      </c>
      <c r="J429" s="53" t="s">
        <v>3838</v>
      </c>
      <c r="K429" s="48">
        <v>45576</v>
      </c>
      <c r="L429" s="49" t="s">
        <v>201</v>
      </c>
      <c r="M429" s="53"/>
      <c r="N429" s="77" t="str">
        <f>Table26[[#This Row],[po_number]]&amp;"-"&amp;Table26[[#This Row],[po_line]]</f>
        <v>-1</v>
      </c>
      <c r="O429" s="77">
        <v>1</v>
      </c>
      <c r="P429" s="50"/>
      <c r="Q429" s="53" t="s">
        <v>3942</v>
      </c>
      <c r="R429" s="53" t="s">
        <v>3830</v>
      </c>
      <c r="S429" s="53" t="s">
        <v>57</v>
      </c>
      <c r="T429" s="20">
        <v>45226</v>
      </c>
      <c r="U429" s="52">
        <f>19*12</f>
        <v>228</v>
      </c>
      <c r="V429" s="53">
        <v>12</v>
      </c>
      <c r="W429" s="116">
        <f t="shared" si="14"/>
        <v>19</v>
      </c>
      <c r="X429" s="53" t="str">
        <f t="shared" si="15"/>
        <v/>
      </c>
      <c r="Y429" s="53"/>
      <c r="Z429" s="60"/>
      <c r="AA429" s="18" t="str" cm="1">
        <f t="array" ref="AA429">IF(P429="", "", _xlfn.XLOOKUP(P429,#REF!,#REF!,NA,0,-1))</f>
        <v/>
      </c>
      <c r="AB429" s="53"/>
      <c r="AC429" s="55" t="s">
        <v>9</v>
      </c>
      <c r="AD429" s="55" t="str">
        <f>IF($AC429="","",_xlfn.XLOOKUP($AC429,'[2]Client Info'!$C$2:$C$2535,'[2]Client Info'!$D$2:$D$2535))</f>
        <v>18, Canso rd</v>
      </c>
      <c r="AE429" s="55" t="str">
        <f>IF($AC429="","",_xlfn.XLOOKUP($AC429,'[2]Client Info'!$C$2:$C$2715,'[2]Client Info'!$E$2:$E$2715))</f>
        <v>Etobicoke</v>
      </c>
      <c r="AF429" s="55" t="str">
        <f>IF($AC429="","",_xlfn.XLOOKUP($AC429,'[2]Client Info'!$C$2:$C$2715,'[2]Client Info'!$F$2:$F$2715))</f>
        <v>ON</v>
      </c>
      <c r="AG429" s="55" t="s">
        <v>9</v>
      </c>
      <c r="AH429" s="62"/>
      <c r="AI429" s="43" t="str">
        <f>_xlfn.XLOOKUP(Table26[[#This Row],[customerSKU]],customerSKU!G:G,customerSKU!O:O,"not found",0,1)</f>
        <v>not found</v>
      </c>
      <c r="AJ429" s="53">
        <f>Table26[[#This Row],[unitprice]]*Table26[[#This Row],[quantity_unit]]</f>
        <v>0</v>
      </c>
      <c r="AK429" s="53" t="e" cm="1">
        <f t="array" ref="AK4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0" spans="1:37" ht="24.6" customHeight="1">
      <c r="A430" s="42">
        <v>1819</v>
      </c>
      <c r="B430" s="58" t="s">
        <v>3837</v>
      </c>
      <c r="C430" s="53" t="s">
        <v>203</v>
      </c>
      <c r="D430" s="51"/>
      <c r="E430" s="51"/>
      <c r="F430" s="53"/>
      <c r="G430" s="46"/>
      <c r="H430" s="53" t="s">
        <v>3826</v>
      </c>
      <c r="I430" s="53" t="s">
        <v>3862</v>
      </c>
      <c r="J430" s="53" t="s">
        <v>3838</v>
      </c>
      <c r="K430" s="48">
        <v>45576</v>
      </c>
      <c r="L430" s="49" t="s">
        <v>201</v>
      </c>
      <c r="M430" s="53"/>
      <c r="N430" s="77" t="str">
        <f>Table26[[#This Row],[po_number]]&amp;"-"&amp;Table26[[#This Row],[po_line]]</f>
        <v>-2</v>
      </c>
      <c r="O430" s="77">
        <v>2</v>
      </c>
      <c r="P430" s="50"/>
      <c r="Q430" s="53" t="s">
        <v>3952</v>
      </c>
      <c r="R430" s="53" t="s">
        <v>3830</v>
      </c>
      <c r="S430" s="53" t="s">
        <v>57</v>
      </c>
      <c r="T430" s="20">
        <v>45531</v>
      </c>
      <c r="U430" s="52">
        <v>36</v>
      </c>
      <c r="V430" s="53">
        <v>12</v>
      </c>
      <c r="W430" s="116">
        <f t="shared" si="14"/>
        <v>3</v>
      </c>
      <c r="X430" s="53" t="str">
        <f t="shared" si="15"/>
        <v/>
      </c>
      <c r="Y430" s="53"/>
      <c r="Z430" s="60"/>
      <c r="AA430" s="18" t="str" cm="1">
        <f t="array" ref="AA430">IF(P430="", "", _xlfn.XLOOKUP(P430,#REF!,#REF!,NA,0,-1))</f>
        <v/>
      </c>
      <c r="AB430" s="53"/>
      <c r="AC430" s="55" t="s">
        <v>9</v>
      </c>
      <c r="AD430" s="55" t="str">
        <f>IF($AC430="","",_xlfn.XLOOKUP($AC430,'[2]Client Info'!$C$2:$C$2535,'[2]Client Info'!$D$2:$D$2535))</f>
        <v>18, Canso rd</v>
      </c>
      <c r="AE430" s="55" t="str">
        <f>IF($AC430="","",_xlfn.XLOOKUP($AC430,'[2]Client Info'!$C$2:$C$2715,'[2]Client Info'!$E$2:$E$2715))</f>
        <v>Etobicoke</v>
      </c>
      <c r="AF430" s="55" t="str">
        <f>IF($AC430="","",_xlfn.XLOOKUP($AC430,'[2]Client Info'!$C$2:$C$2715,'[2]Client Info'!$F$2:$F$2715))</f>
        <v>ON</v>
      </c>
      <c r="AG430" s="55" t="s">
        <v>9</v>
      </c>
      <c r="AH430" s="62"/>
      <c r="AI430" s="43" t="str">
        <f>_xlfn.XLOOKUP(Table26[[#This Row],[customerSKU]],customerSKU!G:G,customerSKU!O:O,"not found",0,1)</f>
        <v>not found</v>
      </c>
      <c r="AJ430" s="53">
        <f>Table26[[#This Row],[unitprice]]*Table26[[#This Row],[quantity_unit]]</f>
        <v>0</v>
      </c>
      <c r="AK430" s="53" t="e" cm="1">
        <f t="array" ref="AK4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1" spans="1:37" ht="24.6" customHeight="1">
      <c r="A431" s="42">
        <v>1820</v>
      </c>
      <c r="B431" s="58" t="s">
        <v>3837</v>
      </c>
      <c r="C431" s="53" t="s">
        <v>203</v>
      </c>
      <c r="D431" s="51"/>
      <c r="E431" s="51"/>
      <c r="F431" s="53"/>
      <c r="G431" s="46"/>
      <c r="H431" s="53" t="s">
        <v>3826</v>
      </c>
      <c r="I431" s="53" t="s">
        <v>3862</v>
      </c>
      <c r="J431" s="53" t="s">
        <v>3838</v>
      </c>
      <c r="K431" s="48">
        <v>45576</v>
      </c>
      <c r="L431" s="49" t="s">
        <v>201</v>
      </c>
      <c r="M431" s="53"/>
      <c r="N431" s="77" t="str">
        <f>Table26[[#This Row],[po_number]]&amp;"-"&amp;Table26[[#This Row],[po_line]]</f>
        <v>-1</v>
      </c>
      <c r="O431" s="77">
        <v>1</v>
      </c>
      <c r="P431" s="50"/>
      <c r="Q431" s="53" t="s">
        <v>3956</v>
      </c>
      <c r="R431" s="53" t="s">
        <v>3830</v>
      </c>
      <c r="S431" s="53" t="s">
        <v>3948</v>
      </c>
      <c r="T431" s="20">
        <v>45565</v>
      </c>
      <c r="U431" s="52">
        <f>555*12</f>
        <v>6660</v>
      </c>
      <c r="V431" s="53">
        <v>12</v>
      </c>
      <c r="W431" s="116">
        <f t="shared" si="14"/>
        <v>555</v>
      </c>
      <c r="X431" s="53" t="str">
        <f t="shared" si="15"/>
        <v/>
      </c>
      <c r="Y431" s="53"/>
      <c r="Z431" s="60"/>
      <c r="AA431" s="18" t="str" cm="1">
        <f t="array" ref="AA431">IF(P431="", "", _xlfn.XLOOKUP(P431,#REF!,#REF!,NA,0,-1))</f>
        <v/>
      </c>
      <c r="AB431" s="53"/>
      <c r="AC431" s="55" t="s">
        <v>9</v>
      </c>
      <c r="AD431" s="55" t="str">
        <f>IF($AC431="","",_xlfn.XLOOKUP($AC431,'[2]Client Info'!$C$2:$C$2535,'[2]Client Info'!$D$2:$D$2535))</f>
        <v>18, Canso rd</v>
      </c>
      <c r="AE431" s="55" t="str">
        <f>IF($AC431="","",_xlfn.XLOOKUP($AC431,'[2]Client Info'!$C$2:$C$2715,'[2]Client Info'!$E$2:$E$2715))</f>
        <v>Etobicoke</v>
      </c>
      <c r="AF431" s="55" t="str">
        <f>IF($AC431="","",_xlfn.XLOOKUP($AC431,'[2]Client Info'!$C$2:$C$2715,'[2]Client Info'!$F$2:$F$2715))</f>
        <v>ON</v>
      </c>
      <c r="AG431" s="55" t="s">
        <v>9</v>
      </c>
      <c r="AH431" s="62"/>
      <c r="AI431" s="43" t="str">
        <f>_xlfn.XLOOKUP(Table26[[#This Row],[customerSKU]],customerSKU!G:G,customerSKU!O:O,"not found",0,1)</f>
        <v>not found</v>
      </c>
      <c r="AJ431" s="53">
        <f>Table26[[#This Row],[unitprice]]*Table26[[#This Row],[quantity_unit]]</f>
        <v>0</v>
      </c>
      <c r="AK431" s="53" t="e" cm="1">
        <f t="array" ref="AK4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2" spans="1:37" ht="18" customHeight="1">
      <c r="A432" s="42">
        <v>1821</v>
      </c>
      <c r="B432" s="58" t="s">
        <v>3837</v>
      </c>
      <c r="C432" s="53" t="s">
        <v>203</v>
      </c>
      <c r="D432" s="51"/>
      <c r="E432" s="51"/>
      <c r="F432" s="53"/>
      <c r="G432" s="46"/>
      <c r="H432" s="53" t="s">
        <v>3826</v>
      </c>
      <c r="I432" s="53" t="s">
        <v>3862</v>
      </c>
      <c r="J432" s="53" t="s">
        <v>3838</v>
      </c>
      <c r="K432" s="48">
        <v>45576</v>
      </c>
      <c r="L432" s="49" t="s">
        <v>201</v>
      </c>
      <c r="M432" s="53"/>
      <c r="N432" s="77" t="str">
        <f>Table26[[#This Row],[po_number]]&amp;"-"&amp;Table26[[#This Row],[po_line]]</f>
        <v>-1</v>
      </c>
      <c r="O432" s="77">
        <v>1</v>
      </c>
      <c r="P432" s="50"/>
      <c r="Q432" s="53" t="s">
        <v>3958</v>
      </c>
      <c r="R432" s="53" t="s">
        <v>3830</v>
      </c>
      <c r="S432" s="53" t="s">
        <v>3948</v>
      </c>
      <c r="T432" s="20">
        <v>45573</v>
      </c>
      <c r="U432" s="52">
        <f>309*12</f>
        <v>3708</v>
      </c>
      <c r="V432" s="53">
        <v>12</v>
      </c>
      <c r="W432" s="116">
        <f t="shared" si="14"/>
        <v>309</v>
      </c>
      <c r="X432" s="53" t="str">
        <f t="shared" si="15"/>
        <v/>
      </c>
      <c r="Y432" s="53"/>
      <c r="Z432" s="60"/>
      <c r="AA432" s="18" t="str" cm="1">
        <f t="array" ref="AA432">IF(P432="", "", _xlfn.XLOOKUP(P432,#REF!,#REF!,NA,0,-1))</f>
        <v/>
      </c>
      <c r="AB432" s="53"/>
      <c r="AC432" s="55" t="s">
        <v>9</v>
      </c>
      <c r="AD432" s="55" t="str">
        <f>IF($AC432="","",_xlfn.XLOOKUP($AC432,'[2]Client Info'!$C$2:$C$2535,'[2]Client Info'!$D$2:$D$2535))</f>
        <v>18, Canso rd</v>
      </c>
      <c r="AE432" s="55" t="str">
        <f>IF($AC432="","",_xlfn.XLOOKUP($AC432,'[2]Client Info'!$C$2:$C$2715,'[2]Client Info'!$E$2:$E$2715))</f>
        <v>Etobicoke</v>
      </c>
      <c r="AF432" s="55" t="str">
        <f>IF($AC432="","",_xlfn.XLOOKUP($AC432,'[2]Client Info'!$C$2:$C$2715,'[2]Client Info'!$F$2:$F$2715))</f>
        <v>ON</v>
      </c>
      <c r="AG432" s="55" t="s">
        <v>9</v>
      </c>
      <c r="AH432" s="62"/>
      <c r="AI432" s="43" t="str">
        <f>_xlfn.XLOOKUP(Table26[[#This Row],[customerSKU]],customerSKU!G:G,customerSKU!O:O,"not found",0,1)</f>
        <v>not found</v>
      </c>
      <c r="AJ432" s="53">
        <f>Table26[[#This Row],[unitprice]]*Table26[[#This Row],[quantity_unit]]</f>
        <v>0</v>
      </c>
      <c r="AK432" s="53" t="e" cm="1">
        <f t="array" ref="AK4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3" spans="1:37" ht="18" customHeight="1">
      <c r="A433" s="42">
        <v>1822</v>
      </c>
      <c r="B433" s="58" t="s">
        <v>3837</v>
      </c>
      <c r="C433" s="53" t="s">
        <v>203</v>
      </c>
      <c r="D433" s="51"/>
      <c r="E433" s="51"/>
      <c r="F433" s="53"/>
      <c r="G433" s="46"/>
      <c r="H433" s="53" t="s">
        <v>3826</v>
      </c>
      <c r="I433" s="53" t="s">
        <v>3862</v>
      </c>
      <c r="J433" s="53" t="s">
        <v>3838</v>
      </c>
      <c r="K433" s="48">
        <v>45576</v>
      </c>
      <c r="L433" s="49" t="s">
        <v>201</v>
      </c>
      <c r="M433" s="53"/>
      <c r="N433" s="77" t="str">
        <f>Table26[[#This Row],[po_number]]&amp;"-"&amp;Table26[[#This Row],[po_line]]</f>
        <v>-2</v>
      </c>
      <c r="O433" s="77">
        <v>2</v>
      </c>
      <c r="P433" s="50"/>
      <c r="Q433" s="53" t="s">
        <v>3959</v>
      </c>
      <c r="R433" s="53" t="s">
        <v>3830</v>
      </c>
      <c r="S433" s="53" t="s">
        <v>3948</v>
      </c>
      <c r="T433" s="20">
        <v>45551</v>
      </c>
      <c r="U433" s="52">
        <v>120</v>
      </c>
      <c r="V433" s="53">
        <v>12</v>
      </c>
      <c r="W433" s="116">
        <f t="shared" si="14"/>
        <v>10</v>
      </c>
      <c r="X433" s="53" t="str">
        <f t="shared" si="15"/>
        <v/>
      </c>
      <c r="Y433" s="53"/>
      <c r="Z433" s="60"/>
      <c r="AA433" s="18" t="str" cm="1">
        <f t="array" ref="AA433">IF(P433="", "", _xlfn.XLOOKUP(P433,#REF!,#REF!,NA,0,-1))</f>
        <v/>
      </c>
      <c r="AB433" s="53"/>
      <c r="AC433" s="55" t="s">
        <v>9</v>
      </c>
      <c r="AD433" s="55" t="str">
        <f>IF($AC433="","",_xlfn.XLOOKUP($AC433,'[2]Client Info'!$C$2:$C$2535,'[2]Client Info'!$D$2:$D$2535))</f>
        <v>18, Canso rd</v>
      </c>
      <c r="AE433" s="55" t="str">
        <f>IF($AC433="","",_xlfn.XLOOKUP($AC433,'[2]Client Info'!$C$2:$C$2715,'[2]Client Info'!$E$2:$E$2715))</f>
        <v>Etobicoke</v>
      </c>
      <c r="AF433" s="55" t="str">
        <f>IF($AC433="","",_xlfn.XLOOKUP($AC433,'[2]Client Info'!$C$2:$C$2715,'[2]Client Info'!$F$2:$F$2715))</f>
        <v>ON</v>
      </c>
      <c r="AG433" s="55" t="s">
        <v>9</v>
      </c>
      <c r="AH433" s="62"/>
      <c r="AI433" s="43" t="str">
        <f>_xlfn.XLOOKUP(Table26[[#This Row],[customerSKU]],customerSKU!G:G,customerSKU!O:O,"not found",0,1)</f>
        <v>not found</v>
      </c>
      <c r="AJ433" s="53">
        <f>Table26[[#This Row],[unitprice]]*Table26[[#This Row],[quantity_unit]]</f>
        <v>0</v>
      </c>
      <c r="AK433" s="53" t="e" cm="1">
        <f t="array" ref="AK4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34" spans="1:37" ht="18" customHeight="1">
      <c r="A434" s="42">
        <v>1803</v>
      </c>
      <c r="B434" s="249" t="s">
        <v>3837</v>
      </c>
      <c r="C434" s="90" t="s">
        <v>203</v>
      </c>
      <c r="D434" s="235" t="str">
        <f>IF(Table26[[#This Row],[customerSKU]]="","","null")</f>
        <v>null</v>
      </c>
      <c r="E434" s="235"/>
      <c r="F43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4" s="119"/>
      <c r="H434" s="90" t="s">
        <v>3826</v>
      </c>
      <c r="I434" s="90" t="s">
        <v>3818</v>
      </c>
      <c r="J434" s="90" t="s">
        <v>3844</v>
      </c>
      <c r="K434" s="232">
        <v>45581</v>
      </c>
      <c r="L434" s="233" t="s">
        <v>504</v>
      </c>
      <c r="M434" s="90"/>
      <c r="N434" s="55" t="str">
        <f>Table26[[#This Row],[po_number]]&amp;"-"&amp;Table26[[#This Row],[po_line]]</f>
        <v>-1</v>
      </c>
      <c r="O434" s="55">
        <v>1</v>
      </c>
      <c r="P434" s="234"/>
      <c r="Q434" s="88" t="s">
        <v>1609</v>
      </c>
      <c r="R434" s="88"/>
      <c r="S434" s="90" t="str">
        <f>IF(Table26[[#This Row],[customerSKU]]="","",_xlfn.XLOOKUP(Table26[[#This Row],[customerSKU]],customerSKU!G:G,customerSKU!N:N,"NOT FOUND",0,1))</f>
        <v>NOT FOUND</v>
      </c>
      <c r="T434" s="20">
        <v>45462</v>
      </c>
      <c r="U434" s="236">
        <v>12</v>
      </c>
      <c r="V434" s="90">
        <v>12</v>
      </c>
      <c r="W434" s="237">
        <f t="shared" si="14"/>
        <v>1</v>
      </c>
      <c r="X434" s="90" t="str">
        <f t="shared" si="15"/>
        <v/>
      </c>
      <c r="Y434" s="90" t="str">
        <f>IF(Table26[[#This Row],[customerSKU]]="","",_xlfn.XLOOKUP(Table26[[#This Row],[customerSKU]],Table27[customer_SKU],Table27[product_GTIN],"",0,1))</f>
        <v/>
      </c>
      <c r="Z434" s="25" t="s">
        <v>3609</v>
      </c>
      <c r="AA434" s="18" t="str" cm="1">
        <f t="array" ref="AA434">IF(P434="", "", _xlfn.XLOOKUP(P434,#REF!,#REF!,NA,0,-1))</f>
        <v/>
      </c>
      <c r="AB434" s="90"/>
      <c r="AC434" s="55" t="s">
        <v>36</v>
      </c>
      <c r="AD434" s="55" t="str">
        <f>IF($AC434="","",_xlfn.XLOOKUP($AC434,'[2]Client Info'!$C$2:$C$2535,'[2]Client Info'!$D$2:$D$2535))</f>
        <v>6416 Main St.</v>
      </c>
      <c r="AE434" s="55" t="str">
        <f>IF($AC434="","",_xlfn.XLOOKUP($AC434,'[2]Client Info'!$C$2:$C$2715,'[2]Client Info'!$E$2:$E$2715))</f>
        <v>Vancouver</v>
      </c>
      <c r="AF434" s="55" t="str">
        <f>IF($AC434="","",_xlfn.XLOOKUP($AC434,'[2]Client Info'!$C$2:$C$2715,'[2]Client Info'!$F$2:$F$2715))</f>
        <v xml:space="preserve">BC </v>
      </c>
      <c r="AG434" s="55" t="s">
        <v>36</v>
      </c>
      <c r="AH434" s="245">
        <f>101.04/12</f>
        <v>8.42</v>
      </c>
      <c r="AI434" s="43" t="str">
        <f>_xlfn.XLOOKUP(Table26[[#This Row],[customerSKU]],customerSKU!G:G,customerSKU!O:O,"not found",0,1)</f>
        <v>not found</v>
      </c>
      <c r="AJ434" s="53">
        <f>Table26[[#This Row],[unitprice]]*Table26[[#This Row],[quantity_unit]]</f>
        <v>101.03999999999999</v>
      </c>
      <c r="AK434" s="53" cm="1">
        <f t="array" ref="AK4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106.092</v>
      </c>
    </row>
    <row r="435" spans="1:37" ht="18" customHeight="1">
      <c r="A435" s="42">
        <v>1804</v>
      </c>
      <c r="B435" s="249" t="s">
        <v>3837</v>
      </c>
      <c r="C435" s="90" t="s">
        <v>203</v>
      </c>
      <c r="D435" s="235" t="str">
        <f>IF(Table26[[#This Row],[customerSKU]]="","","null")</f>
        <v>null</v>
      </c>
      <c r="E435" s="235"/>
      <c r="F43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5" s="119"/>
      <c r="H435" s="90" t="s">
        <v>3826</v>
      </c>
      <c r="I435" s="90" t="s">
        <v>3818</v>
      </c>
      <c r="J435" s="90" t="s">
        <v>3844</v>
      </c>
      <c r="K435" s="232">
        <v>45581</v>
      </c>
      <c r="L435" s="233" t="s">
        <v>504</v>
      </c>
      <c r="M435" s="90"/>
      <c r="N435" s="55" t="str">
        <f>Table26[[#This Row],[po_number]]&amp;"-"&amp;Table26[[#This Row],[po_line]]</f>
        <v>-2</v>
      </c>
      <c r="O435" s="55">
        <v>2</v>
      </c>
      <c r="P435" s="234"/>
      <c r="Q435" s="88" t="s">
        <v>828</v>
      </c>
      <c r="R435" s="88"/>
      <c r="S435" s="90" t="str">
        <f>IF(Table26[[#This Row],[customerSKU]]="","",_xlfn.XLOOKUP(Table26[[#This Row],[customerSKU]],customerSKU!G:G,customerSKU!N:N,"NOT FOUND",0,1))</f>
        <v>NOT FOUND</v>
      </c>
      <c r="T435" s="20">
        <v>45541</v>
      </c>
      <c r="U435" s="236">
        <v>12</v>
      </c>
      <c r="V435" s="90">
        <v>12</v>
      </c>
      <c r="W435" s="237">
        <f t="shared" si="14"/>
        <v>1</v>
      </c>
      <c r="X435" s="90" t="str">
        <f t="shared" si="15"/>
        <v/>
      </c>
      <c r="Y435" s="90" t="str">
        <f>IF(Table26[[#This Row],[customerSKU]]="","",_xlfn.XLOOKUP(Table26[[#This Row],[customerSKU]],Table27[customer_SKU],Table27[product_GTIN],"",0,1))</f>
        <v/>
      </c>
      <c r="Z435" s="25" t="s">
        <v>3416</v>
      </c>
      <c r="AA435" s="18" t="str" cm="1">
        <f t="array" ref="AA435">IF(P435="", "", _xlfn.XLOOKUP(P435,#REF!,#REF!,NA,0,-1))</f>
        <v/>
      </c>
      <c r="AB435" s="90"/>
      <c r="AC435" s="55" t="s">
        <v>36</v>
      </c>
      <c r="AD435" s="55" t="str">
        <f>IF($AC435="","",_xlfn.XLOOKUP($AC435,'[2]Client Info'!$C$2:$C$2535,'[2]Client Info'!$D$2:$D$2535))</f>
        <v>6416 Main St.</v>
      </c>
      <c r="AE435" s="55" t="str">
        <f>IF($AC435="","",_xlfn.XLOOKUP($AC435,'[2]Client Info'!$C$2:$C$2715,'[2]Client Info'!$E$2:$E$2715))</f>
        <v>Vancouver</v>
      </c>
      <c r="AF435" s="55" t="str">
        <f>IF($AC435="","",_xlfn.XLOOKUP($AC435,'[2]Client Info'!$C$2:$C$2715,'[2]Client Info'!$F$2:$F$2715))</f>
        <v xml:space="preserve">BC </v>
      </c>
      <c r="AG435" s="55" t="s">
        <v>36</v>
      </c>
      <c r="AH435" s="245">
        <f>67.08/12</f>
        <v>5.59</v>
      </c>
      <c r="AI435" s="43" t="str">
        <f>_xlfn.XLOOKUP(Table26[[#This Row],[customerSKU]],customerSKU!G:G,customerSKU!O:O,"not found",0,1)</f>
        <v>not found</v>
      </c>
      <c r="AJ435" s="53">
        <f>Table26[[#This Row],[unitprice]]*Table26[[#This Row],[quantity_unit]]</f>
        <v>67.08</v>
      </c>
      <c r="AK435" s="53" cm="1">
        <f t="array" ref="AK4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70.433999999999997</v>
      </c>
    </row>
    <row r="436" spans="1:37" ht="18" customHeight="1">
      <c r="A436" s="42">
        <v>1805</v>
      </c>
      <c r="B436" s="249" t="s">
        <v>3837</v>
      </c>
      <c r="C436" s="90" t="s">
        <v>203</v>
      </c>
      <c r="D436" s="235" t="str">
        <f>IF(Table26[[#This Row],[customerSKU]]="","","null")</f>
        <v>null</v>
      </c>
      <c r="E436" s="235"/>
      <c r="F43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6" s="119"/>
      <c r="H436" s="90" t="s">
        <v>3826</v>
      </c>
      <c r="I436" s="90" t="s">
        <v>3818</v>
      </c>
      <c r="J436" s="90" t="s">
        <v>3844</v>
      </c>
      <c r="K436" s="232">
        <v>45581</v>
      </c>
      <c r="L436" s="233" t="s">
        <v>504</v>
      </c>
      <c r="M436" s="90"/>
      <c r="N436" s="55" t="str">
        <f>Table26[[#This Row],[po_number]]&amp;"-"&amp;Table26[[#This Row],[po_line]]</f>
        <v>-3</v>
      </c>
      <c r="O436" s="55">
        <v>3</v>
      </c>
      <c r="P436" s="234"/>
      <c r="Q436" s="88" t="s">
        <v>3845</v>
      </c>
      <c r="R436" s="242" t="s">
        <v>569</v>
      </c>
      <c r="S436" s="90" t="str">
        <f>IF(Table26[[#This Row],[customerSKU]]="","",_xlfn.XLOOKUP(Table26[[#This Row],[customerSKU]],customerSKU!G:G,customerSKU!N:N,"NOT FOUND",0,1))</f>
        <v>NOT FOUND</v>
      </c>
      <c r="T436" s="20">
        <v>45574</v>
      </c>
      <c r="U436" s="236">
        <v>12</v>
      </c>
      <c r="V436" s="90">
        <v>12</v>
      </c>
      <c r="W436" s="237">
        <f t="shared" si="14"/>
        <v>1</v>
      </c>
      <c r="X436" s="90" t="str">
        <f t="shared" si="15"/>
        <v/>
      </c>
      <c r="Y436" s="90" t="str">
        <f>IF(Table26[[#This Row],[customerSKU]]="","",_xlfn.XLOOKUP(Table26[[#This Row],[customerSKU]],Table27[customer_SKU],Table27[product_GTIN],"",0,1))</f>
        <v/>
      </c>
      <c r="Z436" s="25" t="s">
        <v>3406</v>
      </c>
      <c r="AA436" s="18" t="str" cm="1">
        <f t="array" ref="AA436">IF(P436="", "", _xlfn.XLOOKUP(P436,#REF!,#REF!,NA,0,-1))</f>
        <v/>
      </c>
      <c r="AB436" s="90"/>
      <c r="AC436" s="55" t="s">
        <v>36</v>
      </c>
      <c r="AD436" s="55" t="str">
        <f>IF($AC436="","",_xlfn.XLOOKUP($AC436,'[2]Client Info'!$C$2:$C$2535,'[2]Client Info'!$D$2:$D$2535))</f>
        <v>6416 Main St.</v>
      </c>
      <c r="AE436" s="55" t="str">
        <f>IF($AC436="","",_xlfn.XLOOKUP($AC436,'[2]Client Info'!$C$2:$C$2715,'[2]Client Info'!$E$2:$E$2715))</f>
        <v>Vancouver</v>
      </c>
      <c r="AF436" s="55" t="str">
        <f>IF($AC436="","",_xlfn.XLOOKUP($AC436,'[2]Client Info'!$C$2:$C$2715,'[2]Client Info'!$F$2:$F$2715))</f>
        <v xml:space="preserve">BC </v>
      </c>
      <c r="AG436" s="55" t="s">
        <v>36</v>
      </c>
      <c r="AH436" s="245">
        <f>276/12</f>
        <v>23</v>
      </c>
      <c r="AI436" s="43" t="str">
        <f>_xlfn.XLOOKUP(Table26[[#This Row],[customerSKU]],customerSKU!G:G,customerSKU!O:O,"not found",0,1)</f>
        <v>not found</v>
      </c>
      <c r="AJ436" s="53">
        <f>Table26[[#This Row],[unitprice]]*Table26[[#This Row],[quantity_unit]]</f>
        <v>276</v>
      </c>
      <c r="AK436" s="53" cm="1">
        <f t="array" ref="AK4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437" spans="1:37" ht="18" customHeight="1">
      <c r="A437" s="42">
        <v>1806</v>
      </c>
      <c r="B437" s="249" t="s">
        <v>3837</v>
      </c>
      <c r="C437" s="90" t="s">
        <v>203</v>
      </c>
      <c r="D437" s="235" t="str">
        <f>IF(Table26[[#This Row],[customerSKU]]="","","null")</f>
        <v>null</v>
      </c>
      <c r="E437" s="235"/>
      <c r="F43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7" s="119"/>
      <c r="H437" s="90" t="s">
        <v>3826</v>
      </c>
      <c r="I437" s="90" t="s">
        <v>3818</v>
      </c>
      <c r="J437" s="90" t="s">
        <v>3844</v>
      </c>
      <c r="K437" s="232">
        <v>45581</v>
      </c>
      <c r="L437" s="233" t="s">
        <v>504</v>
      </c>
      <c r="M437" s="90"/>
      <c r="N437" s="55" t="str">
        <f>Table26[[#This Row],[po_number]]&amp;"-"&amp;Table26[[#This Row],[po_line]]</f>
        <v>-4</v>
      </c>
      <c r="O437" s="55">
        <v>4</v>
      </c>
      <c r="P437" s="234"/>
      <c r="Q437" s="88" t="s">
        <v>2096</v>
      </c>
      <c r="R437" s="88"/>
      <c r="S437" s="90" t="str">
        <f>IF(Table26[[#This Row],[customerSKU]]="","",_xlfn.XLOOKUP(Table26[[#This Row],[customerSKU]],customerSKU!G:G,customerSKU!N:N,"NOT FOUND",0,1))</f>
        <v>NOT FOUND</v>
      </c>
      <c r="T437" s="20">
        <v>45569</v>
      </c>
      <c r="U437" s="236">
        <v>12</v>
      </c>
      <c r="V437" s="90">
        <v>12</v>
      </c>
      <c r="W437" s="237">
        <f t="shared" si="14"/>
        <v>1</v>
      </c>
      <c r="X437" s="90" t="str">
        <f t="shared" si="15"/>
        <v/>
      </c>
      <c r="Y437" s="90" t="str">
        <f>IF(Table26[[#This Row],[customerSKU]]="","",_xlfn.XLOOKUP(Table26[[#This Row],[customerSKU]],Table27[customer_SKU],Table27[product_GTIN],"",0,1))</f>
        <v/>
      </c>
      <c r="Z437" s="25" t="s">
        <v>3447</v>
      </c>
      <c r="AA437" s="18" t="str" cm="1">
        <f t="array" ref="AA437">IF(P437="", "", _xlfn.XLOOKUP(P437,#REF!,#REF!,NA,0,-1))</f>
        <v/>
      </c>
      <c r="AB437" s="90"/>
      <c r="AC437" s="55" t="s">
        <v>36</v>
      </c>
      <c r="AD437" s="55" t="str">
        <f>IF($AC437="","",_xlfn.XLOOKUP($AC437,'[2]Client Info'!$C$2:$C$2535,'[2]Client Info'!$D$2:$D$2535))</f>
        <v>6416 Main St.</v>
      </c>
      <c r="AE437" s="55" t="str">
        <f>IF($AC437="","",_xlfn.XLOOKUP($AC437,'[2]Client Info'!$C$2:$C$2715,'[2]Client Info'!$E$2:$E$2715))</f>
        <v>Vancouver</v>
      </c>
      <c r="AF437" s="55" t="str">
        <f>IF($AC437="","",_xlfn.XLOOKUP($AC437,'[2]Client Info'!$C$2:$C$2715,'[2]Client Info'!$F$2:$F$2715))</f>
        <v xml:space="preserve">BC </v>
      </c>
      <c r="AG437" s="55" t="s">
        <v>36</v>
      </c>
      <c r="AH437" s="245">
        <f>276/12</f>
        <v>23</v>
      </c>
      <c r="AI437" s="43" t="str">
        <f>_xlfn.XLOOKUP(Table26[[#This Row],[customerSKU]],customerSKU!G:G,customerSKU!O:O,"not found",0,1)</f>
        <v>not found</v>
      </c>
      <c r="AJ437" s="53">
        <f>Table26[[#This Row],[unitprice]]*Table26[[#This Row],[quantity_unit]]</f>
        <v>276</v>
      </c>
      <c r="AK437" s="53" cm="1">
        <f t="array" ref="AK4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289.8</v>
      </c>
    </row>
    <row r="438" spans="1:37" ht="24.6" customHeight="1">
      <c r="A438" s="42">
        <v>1807</v>
      </c>
      <c r="B438" s="249" t="s">
        <v>3837</v>
      </c>
      <c r="C438" s="90" t="s">
        <v>203</v>
      </c>
      <c r="D438" s="235" t="str">
        <f>IF(Table26[[#This Row],[customerSKU]]="","","null")</f>
        <v>null</v>
      </c>
      <c r="E438" s="235"/>
      <c r="F43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8" s="119"/>
      <c r="H438" s="90" t="s">
        <v>3826</v>
      </c>
      <c r="I438" s="90" t="s">
        <v>3818</v>
      </c>
      <c r="J438" s="90" t="s">
        <v>3844</v>
      </c>
      <c r="K438" s="232">
        <v>45581</v>
      </c>
      <c r="L438" s="233" t="s">
        <v>504</v>
      </c>
      <c r="M438" s="90"/>
      <c r="N438" s="55" t="str">
        <f>Table26[[#This Row],[po_number]]&amp;"-"&amp;Table26[[#This Row],[po_line]]</f>
        <v>-1</v>
      </c>
      <c r="O438" s="55">
        <v>1</v>
      </c>
      <c r="P438" s="234"/>
      <c r="Q438" s="231" t="s">
        <v>1134</v>
      </c>
      <c r="R438" s="90" t="s">
        <v>3830</v>
      </c>
      <c r="S438" s="90" t="str">
        <f>IF(Table26[[#This Row],[customerSKU]]="","",_xlfn.XLOOKUP(Table26[[#This Row],[customerSKU]],customerSKU!G:G,customerSKU!N:N,"NOT FOUND",0,1))</f>
        <v>NOT FOUND</v>
      </c>
      <c r="T438" s="20">
        <v>45581</v>
      </c>
      <c r="U438" s="236">
        <v>12</v>
      </c>
      <c r="V438" s="90">
        <v>12</v>
      </c>
      <c r="W438" s="237">
        <f t="shared" si="14"/>
        <v>1</v>
      </c>
      <c r="X438" s="90" t="str">
        <f t="shared" si="15"/>
        <v/>
      </c>
      <c r="Y438" s="90" t="str">
        <f>IF(Table26[[#This Row],[customerSKU]]="","",_xlfn.XLOOKUP(Table26[[#This Row],[customerSKU]],Table27[customer_SKU],Table27[product_GTIN],"",0,1))</f>
        <v/>
      </c>
      <c r="Z438" s="25" t="s">
        <v>3406</v>
      </c>
      <c r="AA438" s="18" t="str" cm="1">
        <f t="array" ref="AA438">IF(P438="", "", _xlfn.XLOOKUP(P438,#REF!,#REF!,NA,0,-1))</f>
        <v/>
      </c>
      <c r="AB438" s="90"/>
      <c r="AC438" s="55" t="s">
        <v>112</v>
      </c>
      <c r="AD438" s="55" t="str">
        <f>IF($AC438="","",_xlfn.XLOOKUP($AC438,'[2]Client Info'!$C$2:$C$2535,'[2]Client Info'!$D$2:$D$2535))</f>
        <v>725 Nelson Street</v>
      </c>
      <c r="AE438" s="55" t="str">
        <f>IF($AC438="","",_xlfn.XLOOKUP($AC438,'[2]Client Info'!$C$2:$C$2715,'[2]Client Info'!$E$2:$E$2715))</f>
        <v>Vancouver</v>
      </c>
      <c r="AF438" s="55" t="str">
        <f>IF($AC438="","",_xlfn.XLOOKUP($AC438,'[2]Client Info'!$C$2:$C$2715,'[2]Client Info'!$F$2:$F$2715))</f>
        <v xml:space="preserve">BC </v>
      </c>
      <c r="AG438" s="55" t="s">
        <v>112</v>
      </c>
      <c r="AH438" s="245" t="str">
        <f>_xlfn.XLOOKUP(Table26[[#This Row],[customerSKU]],customerSKU!G:G,customerSKU!K:K,"NA",0,1)</f>
        <v>NA</v>
      </c>
      <c r="AI438" s="43" t="str">
        <f>_xlfn.XLOOKUP(Table26[[#This Row],[customerSKU]],customerSKU!G:G,customerSKU!O:O,"not found",0,1)</f>
        <v>not found</v>
      </c>
      <c r="AJ438" s="53" t="e">
        <f>Table26[[#This Row],[unitprice]]*Table26[[#This Row],[quantity_unit]]</f>
        <v>#VALUE!</v>
      </c>
      <c r="AK438" s="53" t="e" cm="1">
        <f t="array" ref="AK4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39" spans="1:37" ht="24.6" customHeight="1">
      <c r="A439" s="42">
        <v>1808</v>
      </c>
      <c r="B439" s="249" t="s">
        <v>3837</v>
      </c>
      <c r="C439" s="90" t="s">
        <v>203</v>
      </c>
      <c r="D439" s="235" t="str">
        <f>IF(Table26[[#This Row],[customerSKU]]="","","null")</f>
        <v>null</v>
      </c>
      <c r="E439" s="235"/>
      <c r="F43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39" s="119"/>
      <c r="H439" s="90" t="s">
        <v>3826</v>
      </c>
      <c r="I439" s="90" t="s">
        <v>3818</v>
      </c>
      <c r="J439" s="90" t="s">
        <v>3844</v>
      </c>
      <c r="K439" s="232">
        <v>45581</v>
      </c>
      <c r="L439" s="233" t="s">
        <v>504</v>
      </c>
      <c r="M439" s="90"/>
      <c r="N439" s="55" t="str">
        <f>Table26[[#This Row],[po_number]]&amp;"-"&amp;Table26[[#This Row],[po_line]]</f>
        <v>-2</v>
      </c>
      <c r="O439" s="55">
        <v>2</v>
      </c>
      <c r="P439" s="234"/>
      <c r="Q439" s="90" t="s">
        <v>1860</v>
      </c>
      <c r="R439" s="90" t="s">
        <v>3830</v>
      </c>
      <c r="S439" s="90" t="str">
        <f>IF(Table26[[#This Row],[customerSKU]]="","",_xlfn.XLOOKUP(Table26[[#This Row],[customerSKU]],customerSKU!G:G,customerSKU!N:N,"NOT FOUND",0,1))</f>
        <v>NOT FOUND</v>
      </c>
      <c r="T439" s="20">
        <v>45574</v>
      </c>
      <c r="U439" s="236">
        <v>12</v>
      </c>
      <c r="V439" s="90">
        <v>12</v>
      </c>
      <c r="W439" s="237">
        <f t="shared" ref="W439:W470" si="16">IFERROR(U439/V439, "")</f>
        <v>1</v>
      </c>
      <c r="X439" s="90" t="str">
        <f t="shared" si="15"/>
        <v/>
      </c>
      <c r="Y439" s="90" t="str">
        <f>IF(Table26[[#This Row],[customerSKU]]="","",_xlfn.XLOOKUP(Table26[[#This Row],[customerSKU]],Table27[customer_SKU],Table27[product_GTIN],"",0,1))</f>
        <v/>
      </c>
      <c r="Z439" s="25" t="s">
        <v>3367</v>
      </c>
      <c r="AA439" s="18" t="str" cm="1">
        <f t="array" ref="AA439">IF(P439="", "", _xlfn.XLOOKUP(P439,#REF!,#REF!,NA,0,-1))</f>
        <v/>
      </c>
      <c r="AB439" s="90"/>
      <c r="AC439" s="55" t="s">
        <v>112</v>
      </c>
      <c r="AD439" s="55" t="str">
        <f>IF($AC439="","",_xlfn.XLOOKUP($AC439,'[2]Client Info'!$C$2:$C$2535,'[2]Client Info'!$D$2:$D$2535))</f>
        <v>725 Nelson Street</v>
      </c>
      <c r="AE439" s="55" t="str">
        <f>IF($AC439="","",_xlfn.XLOOKUP($AC439,'[2]Client Info'!$C$2:$C$2715,'[2]Client Info'!$E$2:$E$2715))</f>
        <v>Vancouver</v>
      </c>
      <c r="AF439" s="55" t="str">
        <f>IF($AC439="","",_xlfn.XLOOKUP($AC439,'[2]Client Info'!$C$2:$C$2715,'[2]Client Info'!$F$2:$F$2715))</f>
        <v xml:space="preserve">BC </v>
      </c>
      <c r="AG439" s="55" t="s">
        <v>112</v>
      </c>
      <c r="AH439" s="245" t="str">
        <f>_xlfn.XLOOKUP(Table26[[#This Row],[customerSKU]],customerSKU!G:G,customerSKU!K:K,"NA",0,1)</f>
        <v>NA</v>
      </c>
      <c r="AI439" s="43" t="str">
        <f>_xlfn.XLOOKUP(Table26[[#This Row],[customerSKU]],customerSKU!G:G,customerSKU!O:O,"not found",0,1)</f>
        <v>not found</v>
      </c>
      <c r="AJ439" s="53" t="e">
        <f>Table26[[#This Row],[unitprice]]*Table26[[#This Row],[quantity_unit]]</f>
        <v>#VALUE!</v>
      </c>
      <c r="AK439" s="53" t="e" cm="1">
        <f t="array" ref="AK4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40" spans="1:37" ht="18" customHeight="1">
      <c r="A440" s="42">
        <v>1809</v>
      </c>
      <c r="B440" s="249" t="s">
        <v>3837</v>
      </c>
      <c r="C440" s="90" t="s">
        <v>203</v>
      </c>
      <c r="D440" s="235" t="str">
        <f>IF(Table26[[#This Row],[customerSKU]]="","","null")</f>
        <v>null</v>
      </c>
      <c r="E440" s="235"/>
      <c r="F44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40" s="119"/>
      <c r="H440" s="90" t="s">
        <v>3826</v>
      </c>
      <c r="I440" s="90" t="s">
        <v>3818</v>
      </c>
      <c r="J440" s="90" t="s">
        <v>3844</v>
      </c>
      <c r="K440" s="232">
        <v>45581</v>
      </c>
      <c r="L440" s="233" t="s">
        <v>504</v>
      </c>
      <c r="M440" s="90"/>
      <c r="N440" s="55" t="str">
        <f>Table26[[#This Row],[po_number]]&amp;"-"&amp;Table26[[#This Row],[po_line]]</f>
        <v>-3</v>
      </c>
      <c r="O440" s="55">
        <v>3</v>
      </c>
      <c r="P440" s="234"/>
      <c r="Q440" s="90" t="s">
        <v>2096</v>
      </c>
      <c r="R440" s="90" t="s">
        <v>3830</v>
      </c>
      <c r="S440" s="90" t="str">
        <f>IF(Table26[[#This Row],[customerSKU]]="","",_xlfn.XLOOKUP(Table26[[#This Row],[customerSKU]],customerSKU!G:G,customerSKU!N:N,"NOT FOUND",0,1))</f>
        <v>NOT FOUND</v>
      </c>
      <c r="T440" s="20">
        <v>45569</v>
      </c>
      <c r="U440" s="236">
        <v>12</v>
      </c>
      <c r="V440" s="90">
        <v>12</v>
      </c>
      <c r="W440" s="237">
        <f t="shared" si="16"/>
        <v>1</v>
      </c>
      <c r="X440" s="90" t="str">
        <f t="shared" ref="X440:X457" si="17">IFERROR($AA440*$U440, "")</f>
        <v/>
      </c>
      <c r="Y440" s="90" t="str">
        <f>IF(Table26[[#This Row],[customerSKU]]="","",_xlfn.XLOOKUP(Table26[[#This Row],[customerSKU]],Table27[customer_SKU],Table27[product_GTIN],"",0,1))</f>
        <v/>
      </c>
      <c r="Z440" s="25" t="s">
        <v>3447</v>
      </c>
      <c r="AA440" s="18" t="str" cm="1">
        <f t="array" ref="AA440">IF(P440="", "", _xlfn.XLOOKUP(P440,#REF!,#REF!,NA,0,-1))</f>
        <v/>
      </c>
      <c r="AB440" s="90"/>
      <c r="AC440" s="55" t="s">
        <v>112</v>
      </c>
      <c r="AD440" s="55" t="str">
        <f>IF($AC440="","",_xlfn.XLOOKUP($AC440,'[2]Client Info'!$C$2:$C$2535,'[2]Client Info'!$D$2:$D$2535))</f>
        <v>725 Nelson Street</v>
      </c>
      <c r="AE440" s="55" t="str">
        <f>IF($AC440="","",_xlfn.XLOOKUP($AC440,'[2]Client Info'!$C$2:$C$2715,'[2]Client Info'!$E$2:$E$2715))</f>
        <v>Vancouver</v>
      </c>
      <c r="AF440" s="55" t="str">
        <f>IF($AC440="","",_xlfn.XLOOKUP($AC440,'[2]Client Info'!$C$2:$C$2715,'[2]Client Info'!$F$2:$F$2715))</f>
        <v xml:space="preserve">BC </v>
      </c>
      <c r="AG440" s="55" t="s">
        <v>112</v>
      </c>
      <c r="AH440" s="245" t="str">
        <f>_xlfn.XLOOKUP(Table26[[#This Row],[customerSKU]],customerSKU!G:G,customerSKU!K:K,"NA",0,1)</f>
        <v>NA</v>
      </c>
      <c r="AI440" s="43" t="str">
        <f>_xlfn.XLOOKUP(Table26[[#This Row],[customerSKU]],customerSKU!G:G,customerSKU!O:O,"not found",0,1)</f>
        <v>not found</v>
      </c>
      <c r="AJ440" s="53" t="e">
        <f>Table26[[#This Row],[unitprice]]*Table26[[#This Row],[quantity_unit]]</f>
        <v>#VALUE!</v>
      </c>
      <c r="AK440" s="53" t="e" cm="1">
        <f t="array" ref="AK4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41" spans="1:37" ht="18" customHeight="1">
      <c r="A441" s="42">
        <v>1810</v>
      </c>
      <c r="B441" s="249" t="s">
        <v>3837</v>
      </c>
      <c r="C441" s="90" t="s">
        <v>203</v>
      </c>
      <c r="D441" s="235" t="str">
        <f>IF(Table26[[#This Row],[customerSKU]]="","","null")</f>
        <v>null</v>
      </c>
      <c r="E441" s="235"/>
      <c r="F44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41" s="119"/>
      <c r="H441" s="90" t="s">
        <v>3826</v>
      </c>
      <c r="I441" s="90" t="s">
        <v>3818</v>
      </c>
      <c r="J441" s="90" t="s">
        <v>3844</v>
      </c>
      <c r="K441" s="232">
        <v>45581</v>
      </c>
      <c r="L441" s="233" t="s">
        <v>504</v>
      </c>
      <c r="M441" s="90"/>
      <c r="N441" s="55" t="str">
        <f>Table26[[#This Row],[po_number]]&amp;"-"&amp;Table26[[#This Row],[po_line]]</f>
        <v>-4</v>
      </c>
      <c r="O441" s="55">
        <v>4</v>
      </c>
      <c r="P441" s="234"/>
      <c r="Q441" s="90" t="s">
        <v>1315</v>
      </c>
      <c r="R441" s="90" t="s">
        <v>3830</v>
      </c>
      <c r="S441" s="90" t="str">
        <f>IF(Table26[[#This Row],[customerSKU]]="","",_xlfn.XLOOKUP(Table26[[#This Row],[customerSKU]],customerSKU!G:G,customerSKU!N:N,"NOT FOUND",0,1))</f>
        <v>NOT FOUND</v>
      </c>
      <c r="T441" s="20">
        <v>45555</v>
      </c>
      <c r="U441" s="236">
        <v>12</v>
      </c>
      <c r="V441" s="90">
        <v>12</v>
      </c>
      <c r="W441" s="237">
        <f t="shared" si="16"/>
        <v>1</v>
      </c>
      <c r="X441" s="90" t="str">
        <f t="shared" si="17"/>
        <v/>
      </c>
      <c r="Y441" s="90" t="str">
        <f>IF(Table26[[#This Row],[customerSKU]]="","",_xlfn.XLOOKUP(Table26[[#This Row],[customerSKU]],Table27[customer_SKU],Table27[product_GTIN],"",0,1))</f>
        <v/>
      </c>
      <c r="Z441" s="90">
        <v>1066317</v>
      </c>
      <c r="AA441" s="18" t="str" cm="1">
        <f t="array" ref="AA441">IF(P441="", "", _xlfn.XLOOKUP(P441,#REF!,#REF!,NA,0,-1))</f>
        <v/>
      </c>
      <c r="AB441" s="90"/>
      <c r="AC441" s="55" t="s">
        <v>112</v>
      </c>
      <c r="AD441" s="55" t="str">
        <f>IF($AC441="","",_xlfn.XLOOKUP($AC441,'[2]Client Info'!$C$2:$C$2535,'[2]Client Info'!$D$2:$D$2535))</f>
        <v>725 Nelson Street</v>
      </c>
      <c r="AE441" s="55" t="str">
        <f>IF($AC441="","",_xlfn.XLOOKUP($AC441,'[2]Client Info'!$C$2:$C$2715,'[2]Client Info'!$E$2:$E$2715))</f>
        <v>Vancouver</v>
      </c>
      <c r="AF441" s="55" t="str">
        <f>IF($AC441="","",_xlfn.XLOOKUP($AC441,'[2]Client Info'!$C$2:$C$2715,'[2]Client Info'!$F$2:$F$2715))</f>
        <v xml:space="preserve">BC </v>
      </c>
      <c r="AG441" s="55" t="s">
        <v>112</v>
      </c>
      <c r="AH441" s="245" t="str">
        <f>_xlfn.XLOOKUP(Table26[[#This Row],[customerSKU]],customerSKU!G:G,customerSKU!K:K,"NA",0,1)</f>
        <v>NA</v>
      </c>
      <c r="AI441" s="43" t="str">
        <f>_xlfn.XLOOKUP(Table26[[#This Row],[customerSKU]],customerSKU!G:G,customerSKU!O:O,"not found",0,1)</f>
        <v>not found</v>
      </c>
      <c r="AJ441" s="53" t="e">
        <f>Table26[[#This Row],[unitprice]]*Table26[[#This Row],[quantity_unit]]</f>
        <v>#VALUE!</v>
      </c>
      <c r="AK441" s="53" t="e" cm="1">
        <f t="array" ref="AK4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42" spans="1:37" ht="18" customHeight="1">
      <c r="A442" s="42">
        <v>1811</v>
      </c>
      <c r="B442" s="249" t="s">
        <v>3837</v>
      </c>
      <c r="C442" s="90" t="s">
        <v>203</v>
      </c>
      <c r="D442" s="235" t="str">
        <f>IF(Table26[[#This Row],[customerSKU]]="","","null")</f>
        <v>null</v>
      </c>
      <c r="E442" s="235"/>
      <c r="F44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42" s="394"/>
      <c r="H442" s="90" t="s">
        <v>3826</v>
      </c>
      <c r="I442" s="90" t="s">
        <v>3818</v>
      </c>
      <c r="J442" s="90" t="s">
        <v>3844</v>
      </c>
      <c r="K442" s="232">
        <v>45581</v>
      </c>
      <c r="L442" s="233" t="s">
        <v>504</v>
      </c>
      <c r="M442" s="90"/>
      <c r="N442" s="55" t="str">
        <f>Table26[[#This Row],[po_number]]&amp;"-"&amp;Table26[[#This Row],[po_line]]</f>
        <v>-5</v>
      </c>
      <c r="O442" s="55">
        <v>5</v>
      </c>
      <c r="P442" s="234"/>
      <c r="Q442" s="55" t="s">
        <v>2100</v>
      </c>
      <c r="R442" s="90" t="s">
        <v>3830</v>
      </c>
      <c r="S442" s="90" t="str">
        <f>IF(Table26[[#This Row],[customerSKU]]="","",_xlfn.XLOOKUP(Table26[[#This Row],[customerSKU]],customerSKU!G:G,customerSKU!N:N,"NOT FOUND",0,1))</f>
        <v>NOT FOUND</v>
      </c>
      <c r="T442" s="20">
        <v>45560</v>
      </c>
      <c r="U442" s="236">
        <v>12</v>
      </c>
      <c r="V442" s="90">
        <v>12</v>
      </c>
      <c r="W442" s="237">
        <f t="shared" si="16"/>
        <v>1</v>
      </c>
      <c r="X442" s="90" t="str">
        <f t="shared" si="17"/>
        <v/>
      </c>
      <c r="Y442" s="90" t="str">
        <f>IF(Table26[[#This Row],[customerSKU]]="","",_xlfn.XLOOKUP(Table26[[#This Row],[customerSKU]],Table27[customer_SKU],Table27[product_GTIN],"",0,1))</f>
        <v/>
      </c>
      <c r="Z442" s="90">
        <v>1066359</v>
      </c>
      <c r="AA442" s="18" t="str" cm="1">
        <f t="array" ref="AA442">IF(P442="", "", _xlfn.XLOOKUP(P442,#REF!,#REF!,NA,0,-1))</f>
        <v/>
      </c>
      <c r="AB442" s="90"/>
      <c r="AC442" s="55" t="s">
        <v>112</v>
      </c>
      <c r="AD442" s="55" t="str">
        <f>IF($AC442="","",_xlfn.XLOOKUP($AC442,'[2]Client Info'!$C$2:$C$2535,'[2]Client Info'!$D$2:$D$2535))</f>
        <v>725 Nelson Street</v>
      </c>
      <c r="AE442" s="55" t="str">
        <f>IF($AC442="","",_xlfn.XLOOKUP($AC442,'[2]Client Info'!$C$2:$C$2715,'[2]Client Info'!$E$2:$E$2715))</f>
        <v>Vancouver</v>
      </c>
      <c r="AF442" s="55" t="str">
        <f>IF($AC442="","",_xlfn.XLOOKUP($AC442,'[2]Client Info'!$C$2:$C$2715,'[2]Client Info'!$F$2:$F$2715))</f>
        <v xml:space="preserve">BC </v>
      </c>
      <c r="AG442" s="55" t="s">
        <v>112</v>
      </c>
      <c r="AH442" s="245" t="str">
        <f>_xlfn.XLOOKUP(Table26[[#This Row],[customerSKU]],customerSKU!G:G,customerSKU!K:K,"NA",0,1)</f>
        <v>NA</v>
      </c>
      <c r="AI442" s="43" t="str">
        <f>_xlfn.XLOOKUP(Table26[[#This Row],[customerSKU]],customerSKU!G:G,customerSKU!O:O,"not found",0,1)</f>
        <v>not found</v>
      </c>
      <c r="AJ442" s="53" t="e">
        <f>Table26[[#This Row],[unitprice]]*Table26[[#This Row],[quantity_unit]]</f>
        <v>#VALUE!</v>
      </c>
      <c r="AK442" s="53" t="e" cm="1">
        <f t="array" ref="AK4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43" spans="1:37" ht="18" customHeight="1">
      <c r="A443" s="42">
        <v>1812</v>
      </c>
      <c r="B443" s="249" t="s">
        <v>3837</v>
      </c>
      <c r="C443" s="90" t="s">
        <v>203</v>
      </c>
      <c r="D443" s="235" t="str">
        <f>IF(Table26[[#This Row],[customerSKU]]="","","null")</f>
        <v>null</v>
      </c>
      <c r="E443" s="235"/>
      <c r="F44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43" s="119"/>
      <c r="H443" s="90" t="s">
        <v>3826</v>
      </c>
      <c r="I443" s="90" t="s">
        <v>3818</v>
      </c>
      <c r="J443" s="90" t="s">
        <v>3844</v>
      </c>
      <c r="K443" s="232">
        <v>45581</v>
      </c>
      <c r="L443" s="233" t="s">
        <v>504</v>
      </c>
      <c r="M443" s="90"/>
      <c r="N443" s="55" t="str">
        <f>Table26[[#This Row],[po_number]]&amp;"-"&amp;Table26[[#This Row],[po_line]]</f>
        <v>-6</v>
      </c>
      <c r="O443" s="55">
        <v>6</v>
      </c>
      <c r="P443" s="234"/>
      <c r="Q443" s="90" t="s">
        <v>2094</v>
      </c>
      <c r="R443" s="90" t="s">
        <v>3830</v>
      </c>
      <c r="S443" s="90" t="str">
        <f>IF(Table26[[#This Row],[customerSKU]]="","",_xlfn.XLOOKUP(Table26[[#This Row],[customerSKU]],customerSKU!G:G,customerSKU!N:N,"NOT FOUND",0,1))</f>
        <v>NOT FOUND</v>
      </c>
      <c r="T443" s="20">
        <v>45560</v>
      </c>
      <c r="U443" s="236">
        <v>12</v>
      </c>
      <c r="V443" s="90">
        <v>12</v>
      </c>
      <c r="W443" s="237">
        <f t="shared" si="16"/>
        <v>1</v>
      </c>
      <c r="X443" s="90" t="str">
        <f t="shared" si="17"/>
        <v/>
      </c>
      <c r="Y443" s="90" t="str">
        <f>IF(Table26[[#This Row],[customerSKU]]="","",_xlfn.XLOOKUP(Table26[[#This Row],[customerSKU]],Table27[customer_SKU],Table27[product_GTIN],"",0,1))</f>
        <v/>
      </c>
      <c r="Z443" s="25" t="s">
        <v>3434</v>
      </c>
      <c r="AA443" s="18" t="str" cm="1">
        <f t="array" ref="AA443">IF(P443="", "", _xlfn.XLOOKUP(P443,#REF!,#REF!,NA,0,-1))</f>
        <v/>
      </c>
      <c r="AB443" s="90"/>
      <c r="AC443" s="55" t="s">
        <v>112</v>
      </c>
      <c r="AD443" s="55" t="str">
        <f>IF($AC443="","",_xlfn.XLOOKUP($AC443,'[2]Client Info'!$C$2:$C$2535,'[2]Client Info'!$D$2:$D$2535))</f>
        <v>725 Nelson Street</v>
      </c>
      <c r="AE443" s="55" t="str">
        <f>IF($AC443="","",_xlfn.XLOOKUP($AC443,'[2]Client Info'!$C$2:$C$2715,'[2]Client Info'!$E$2:$E$2715))</f>
        <v>Vancouver</v>
      </c>
      <c r="AF443" s="55" t="str">
        <f>IF($AC443="","",_xlfn.XLOOKUP($AC443,'[2]Client Info'!$C$2:$C$2715,'[2]Client Info'!$F$2:$F$2715))</f>
        <v xml:space="preserve">BC </v>
      </c>
      <c r="AG443" s="55" t="s">
        <v>112</v>
      </c>
      <c r="AH443" s="245" t="str">
        <f>_xlfn.XLOOKUP(Table26[[#This Row],[customerSKU]],customerSKU!G:G,customerSKU!K:K,"NA",0,1)</f>
        <v>NA</v>
      </c>
      <c r="AI443" s="43" t="str">
        <f>_xlfn.XLOOKUP(Table26[[#This Row],[customerSKU]],customerSKU!G:G,customerSKU!O:O,"not found",0,1)</f>
        <v>not found</v>
      </c>
      <c r="AJ443" s="53" t="e">
        <f>Table26[[#This Row],[unitprice]]*Table26[[#This Row],[quantity_unit]]</f>
        <v>#VALUE!</v>
      </c>
      <c r="AK443" s="53" t="e" cm="1">
        <f t="array" ref="AK4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44" spans="1:37" ht="18" customHeight="1">
      <c r="A444" s="42">
        <v>1813</v>
      </c>
      <c r="B444" s="249" t="s">
        <v>3520</v>
      </c>
      <c r="C444" s="90" t="s">
        <v>203</v>
      </c>
      <c r="D444" s="235">
        <v>45558</v>
      </c>
      <c r="E444" s="235">
        <v>45582</v>
      </c>
      <c r="F444" s="90"/>
      <c r="G444" s="119"/>
      <c r="H444" s="90" t="s">
        <v>3826</v>
      </c>
      <c r="I444" s="242" t="s">
        <v>3862</v>
      </c>
      <c r="J444" s="90" t="s">
        <v>24</v>
      </c>
      <c r="K444" s="232">
        <v>45581</v>
      </c>
      <c r="L444" s="233" t="s">
        <v>490</v>
      </c>
      <c r="M444" s="90"/>
      <c r="N444" s="55" t="str">
        <f>Table26[[#This Row],[po_number]]&amp;"-"&amp;Table26[[#This Row],[po_line]]</f>
        <v>-1</v>
      </c>
      <c r="O444" s="55">
        <v>1</v>
      </c>
      <c r="P444" s="234"/>
      <c r="Q444" s="90" t="s">
        <v>4031</v>
      </c>
      <c r="R444" s="90" t="s">
        <v>3830</v>
      </c>
      <c r="S444" s="90" t="s">
        <v>13</v>
      </c>
      <c r="T444" s="20">
        <v>45564</v>
      </c>
      <c r="U444" s="236">
        <v>300</v>
      </c>
      <c r="V444" s="90">
        <v>6</v>
      </c>
      <c r="W444" s="237">
        <f t="shared" si="16"/>
        <v>50</v>
      </c>
      <c r="X444" s="90" t="str">
        <f t="shared" si="17"/>
        <v/>
      </c>
      <c r="Y444" s="90" t="str">
        <f>IF(Table26[[#This Row],[customerSKU]]="","",_xlfn.XLOOKUP(Table26[[#This Row],[customerSKU]],Table27[customer_SKU],Table27[product_GTIN],"",0,1))</f>
        <v/>
      </c>
      <c r="Z444" s="60" t="s">
        <v>4032</v>
      </c>
      <c r="AA444" s="18" t="str" cm="1">
        <f t="array" ref="AA444">IF(P444="", "", _xlfn.XLOOKUP(P444,#REF!,#REF!,NA,0,-1))</f>
        <v/>
      </c>
      <c r="AB444" s="231"/>
      <c r="AC444" s="55" t="s">
        <v>4028</v>
      </c>
      <c r="AD444" s="55" t="str">
        <f>IF($AC444="","",_xlfn.XLOOKUP($AC444,'[2]Client Info'!$C$2:$C$2535,'[2]Client Info'!$D$2:$D$2535))</f>
        <v>3389 No. 6 Road</v>
      </c>
      <c r="AE444" s="55" t="str">
        <f>IF($AC444="","",_xlfn.XLOOKUP($AC444,'[2]Client Info'!$C$2:$C$2715,'[2]Client Info'!$E$2:$E$2715))</f>
        <v>Richmond</v>
      </c>
      <c r="AF444" s="55" t="str">
        <f>IF($AC444="","",_xlfn.XLOOKUP($AC444,'[2]Client Info'!$C$2:$C$2715,'[2]Client Info'!$F$2:$F$2715))</f>
        <v>BC</v>
      </c>
      <c r="AG444" s="55" t="s">
        <v>24</v>
      </c>
      <c r="AH444" s="245">
        <f>145.44/6</f>
        <v>24.24</v>
      </c>
      <c r="AI444" s="43" t="str">
        <f>_xlfn.XLOOKUP(Table26[[#This Row],[customerSKU]],customerSKU!G:G,customerSKU!O:O,"not found",0,1)</f>
        <v>not found</v>
      </c>
      <c r="AJ444" s="53">
        <f>Table26[[#This Row],[unitprice]]*Table26[[#This Row],[quantity_unit]]</f>
        <v>7271.9999999999991</v>
      </c>
      <c r="AK444" s="53" t="e" cm="1">
        <f t="array" ref="AK4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5" spans="1:37" ht="18" customHeight="1">
      <c r="A445" s="42">
        <v>1814</v>
      </c>
      <c r="B445" s="249" t="s">
        <v>3520</v>
      </c>
      <c r="C445" s="90" t="s">
        <v>203</v>
      </c>
      <c r="D445" s="235">
        <v>45579</v>
      </c>
      <c r="E445" s="235">
        <v>45582</v>
      </c>
      <c r="F445" s="90"/>
      <c r="G445" s="119"/>
      <c r="H445" s="90" t="s">
        <v>3826</v>
      </c>
      <c r="I445" s="242" t="s">
        <v>3862</v>
      </c>
      <c r="J445" s="90" t="s">
        <v>24</v>
      </c>
      <c r="K445" s="232">
        <v>45581</v>
      </c>
      <c r="L445" s="233" t="s">
        <v>490</v>
      </c>
      <c r="M445" s="90"/>
      <c r="N445" s="55" t="str">
        <f>Table26[[#This Row],[po_number]]&amp;"-"&amp;Table26[[#This Row],[po_line]]</f>
        <v>-1</v>
      </c>
      <c r="O445" s="55">
        <v>1</v>
      </c>
      <c r="P445" s="234"/>
      <c r="Q445" s="90" t="s">
        <v>554</v>
      </c>
      <c r="R445" s="90" t="s">
        <v>3830</v>
      </c>
      <c r="S445" s="90" t="s">
        <v>13</v>
      </c>
      <c r="T445" s="20">
        <v>45543</v>
      </c>
      <c r="U445" s="236">
        <f>75*6</f>
        <v>450</v>
      </c>
      <c r="V445" s="90" t="str">
        <f>IF(ISBLANK(Table26[[#This Row],[customerSKU]]),"",_xlfn.XLOOKUP(Table26[[#This Row],[customerSKU]],Table27[customer_SKU],Table27[case_size],"",0,1))</f>
        <v/>
      </c>
      <c r="W445" s="237" t="str">
        <f t="shared" si="16"/>
        <v/>
      </c>
      <c r="X445" s="90" t="str">
        <f t="shared" si="17"/>
        <v/>
      </c>
      <c r="Y445" s="90" t="str">
        <f>IF(Table26[[#This Row],[customerSKU]]="","",_xlfn.XLOOKUP(Table26[[#This Row],[customerSKU]],Table27[customer_SKU],Table27[product_GTIN],"",0,1))</f>
        <v/>
      </c>
      <c r="Z445" s="60" t="s">
        <v>4030</v>
      </c>
      <c r="AA445" s="18" t="str" cm="1">
        <f t="array" ref="AA445">IF(P445="", "", _xlfn.XLOOKUP(P445,#REF!,#REF!,NA,0,-1))</f>
        <v/>
      </c>
      <c r="AB445" s="90"/>
      <c r="AC445" s="55" t="str">
        <f>IF(ISBLANK(Table26[[#This Row],[customerSKU]]),"",_xlfn.XLOOKUP(Table26[[#This Row],[customerSKU]],Table27[customer_SKU],Table27[shipto],"",0,1))</f>
        <v/>
      </c>
      <c r="AD445" s="55" t="str">
        <f>IF($AC445="","",_xlfn.XLOOKUP($AC445,'[2]Client Info'!$C$2:$C$2535,'[2]Client Info'!$D$2:$D$2535))</f>
        <v/>
      </c>
      <c r="AE445" s="55" t="str">
        <f>IF($AC445="","",_xlfn.XLOOKUP($AC445,'[2]Client Info'!$C$2:$C$2715,'[2]Client Info'!$E$2:$E$2715))</f>
        <v/>
      </c>
      <c r="AF445" s="55" t="str">
        <f>IF($AC445="","",_xlfn.XLOOKUP($AC445,'[2]Client Info'!$C$2:$C$2715,'[2]Client Info'!$F$2:$F$2715))</f>
        <v/>
      </c>
      <c r="AG445" s="55" t="str">
        <f>IF(ISBLANK(Table26[[#This Row],[customerSKU]]),"",_xlfn.XLOOKUP(Table26[[#This Row],[customerSKU]],Table27[customer_SKU],Table27[shipto],"",0,1))</f>
        <v/>
      </c>
      <c r="AH445" s="245" t="str">
        <f>_xlfn.XLOOKUP(Table26[[#This Row],[customerSKU]],customerSKU!G:G,customerSKU!K:K,"NA",0,1)</f>
        <v>NA</v>
      </c>
      <c r="AI445" s="43" t="str">
        <f>_xlfn.XLOOKUP(Table26[[#This Row],[customerSKU]],customerSKU!G:G,customerSKU!O:O,"not found",0,1)</f>
        <v>not found</v>
      </c>
      <c r="AJ445" s="53" t="e">
        <f>Table26[[#This Row],[unitprice]]*Table26[[#This Row],[quantity_unit]]</f>
        <v>#VALUE!</v>
      </c>
      <c r="AK445" s="53" t="e" cm="1">
        <f t="array" ref="AK4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6" spans="1:37" ht="18" customHeight="1">
      <c r="A446" s="42">
        <v>1815</v>
      </c>
      <c r="B446" s="249" t="s">
        <v>3520</v>
      </c>
      <c r="C446" s="90" t="s">
        <v>203</v>
      </c>
      <c r="D446" s="235">
        <v>45579</v>
      </c>
      <c r="E446" s="235">
        <v>45582</v>
      </c>
      <c r="F446" s="90"/>
      <c r="G446" s="119"/>
      <c r="H446" s="90" t="s">
        <v>3826</v>
      </c>
      <c r="I446" s="242" t="s">
        <v>3862</v>
      </c>
      <c r="J446" s="90" t="s">
        <v>24</v>
      </c>
      <c r="K446" s="232">
        <v>45581</v>
      </c>
      <c r="L446" s="233" t="s">
        <v>490</v>
      </c>
      <c r="M446" s="90"/>
      <c r="N446" s="55" t="str">
        <f>Table26[[#This Row],[po_number]]&amp;"-"&amp;Table26[[#This Row],[po_line]]</f>
        <v>-2</v>
      </c>
      <c r="O446" s="55">
        <v>2</v>
      </c>
      <c r="P446" s="234"/>
      <c r="Q446" s="90" t="s">
        <v>4034</v>
      </c>
      <c r="R446" s="90" t="s">
        <v>3830</v>
      </c>
      <c r="S446" s="90" t="s">
        <v>13</v>
      </c>
      <c r="T446" s="20">
        <v>45543</v>
      </c>
      <c r="U446" s="236">
        <f>75*6</f>
        <v>450</v>
      </c>
      <c r="V446" s="90" t="str">
        <f>IF(ISBLANK(Table26[[#This Row],[customerSKU]]),"",_xlfn.XLOOKUP(Table26[[#This Row],[customerSKU]],Table27[customer_SKU],Table27[case_size],"",0,1))</f>
        <v/>
      </c>
      <c r="W446" s="237" t="str">
        <f t="shared" si="16"/>
        <v/>
      </c>
      <c r="X446" s="90" t="str">
        <f t="shared" si="17"/>
        <v/>
      </c>
      <c r="Y446" s="90" t="str">
        <f>IF(Table26[[#This Row],[customerSKU]]="","",_xlfn.XLOOKUP(Table26[[#This Row],[customerSKU]],Table27[customer_SKU],Table27[product_GTIN],"",0,1))</f>
        <v/>
      </c>
      <c r="Z446" s="60" t="s">
        <v>4035</v>
      </c>
      <c r="AA446" s="18" t="str" cm="1">
        <f t="array" ref="AA446">IF(P446="", "", _xlfn.XLOOKUP(P446,#REF!,#REF!,NA,0,-1))</f>
        <v/>
      </c>
      <c r="AB446" s="90"/>
      <c r="AC446" s="55" t="str">
        <f>IF(ISBLANK(Table26[[#This Row],[customerSKU]]),"",_xlfn.XLOOKUP(Table26[[#This Row],[customerSKU]],Table27[customer_SKU],Table27[shipto],"",0,1))</f>
        <v/>
      </c>
      <c r="AD446" s="55" t="str">
        <f>IF($AC446="","",_xlfn.XLOOKUP($AC446,'[2]Client Info'!$C$2:$C$2535,'[2]Client Info'!$D$2:$D$2535))</f>
        <v/>
      </c>
      <c r="AE446" s="55" t="str">
        <f>IF($AC446="","",_xlfn.XLOOKUP($AC446,'[2]Client Info'!$C$2:$C$2715,'[2]Client Info'!$E$2:$E$2715))</f>
        <v/>
      </c>
      <c r="AF446" s="55" t="str">
        <f>IF($AC446="","",_xlfn.XLOOKUP($AC446,'[2]Client Info'!$C$2:$C$2715,'[2]Client Info'!$F$2:$F$2715))</f>
        <v/>
      </c>
      <c r="AG446" s="55" t="str">
        <f>IF(ISBLANK(Table26[[#This Row],[customerSKU]]),"",_xlfn.XLOOKUP(Table26[[#This Row],[customerSKU]],Table27[customer_SKU],Table27[shipto],"",0,1))</f>
        <v/>
      </c>
      <c r="AH446" s="245" t="str">
        <f>_xlfn.XLOOKUP(Table26[[#This Row],[customerSKU]],customerSKU!G:G,customerSKU!K:K,"NA",0,1)</f>
        <v>NA</v>
      </c>
      <c r="AI446" s="43" t="str">
        <f>_xlfn.XLOOKUP(Table26[[#This Row],[customerSKU]],customerSKU!G:G,customerSKU!O:O,"not found",0,1)</f>
        <v>not found</v>
      </c>
      <c r="AJ446" s="53" t="e">
        <f>Table26[[#This Row],[unitprice]]*Table26[[#This Row],[quantity_unit]]</f>
        <v>#VALUE!</v>
      </c>
      <c r="AK446" s="53" t="e" cm="1">
        <f t="array" ref="AK4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7" spans="1:37" ht="18" customHeight="1">
      <c r="A447" s="42">
        <v>1816</v>
      </c>
      <c r="B447" s="249" t="s">
        <v>3520</v>
      </c>
      <c r="C447" s="90" t="s">
        <v>203</v>
      </c>
      <c r="D447" s="235">
        <v>45579</v>
      </c>
      <c r="E447" s="235">
        <v>45582</v>
      </c>
      <c r="F447" s="90"/>
      <c r="G447" s="119"/>
      <c r="H447" s="90" t="s">
        <v>3826</v>
      </c>
      <c r="I447" s="242" t="s">
        <v>3862</v>
      </c>
      <c r="J447" s="90" t="s">
        <v>24</v>
      </c>
      <c r="K447" s="232">
        <v>45581</v>
      </c>
      <c r="L447" s="233" t="s">
        <v>490</v>
      </c>
      <c r="M447" s="90"/>
      <c r="N447" s="55" t="str">
        <f>Table26[[#This Row],[po_number]]&amp;"-"&amp;Table26[[#This Row],[po_line]]</f>
        <v>-1</v>
      </c>
      <c r="O447" s="55">
        <v>1</v>
      </c>
      <c r="P447" s="234"/>
      <c r="Q447" s="90" t="s">
        <v>4036</v>
      </c>
      <c r="R447" s="90" t="s">
        <v>3830</v>
      </c>
      <c r="S447" s="90" t="s">
        <v>13</v>
      </c>
      <c r="T447" s="20">
        <v>45422</v>
      </c>
      <c r="U447" s="236">
        <v>300</v>
      </c>
      <c r="V447" s="90">
        <v>6</v>
      </c>
      <c r="W447" s="237">
        <f t="shared" si="16"/>
        <v>50</v>
      </c>
      <c r="X447" s="90" t="str">
        <f t="shared" si="17"/>
        <v/>
      </c>
      <c r="Y447" s="90" t="str">
        <f>IF(Table26[[#This Row],[customerSKU]]="","",_xlfn.XLOOKUP(Table26[[#This Row],[customerSKU]],Table27[customer_SKU],Table27[product_GTIN],"",0,1))</f>
        <v/>
      </c>
      <c r="Z447" s="60" t="s">
        <v>4037</v>
      </c>
      <c r="AA447" s="18" t="str" cm="1">
        <f t="array" ref="AA447">IF(P447="", "", _xlfn.XLOOKUP(P447,#REF!,#REF!,NA,0,-1))</f>
        <v/>
      </c>
      <c r="AB447" s="90"/>
      <c r="AC447" s="55" t="str">
        <f>IF(ISBLANK(Table26[[#This Row],[customerSKU]]),"",_xlfn.XLOOKUP(Table26[[#This Row],[customerSKU]],Table27[customer_SKU],Table27[shipto],"",0,1))</f>
        <v/>
      </c>
      <c r="AD447" s="55" t="str">
        <f>IF($AC447="","",_xlfn.XLOOKUP($AC447,'[2]Client Info'!$C$2:$C$2535,'[2]Client Info'!$D$2:$D$2535))</f>
        <v/>
      </c>
      <c r="AE447" s="55" t="str">
        <f>IF($AC447="","",_xlfn.XLOOKUP($AC447,'[2]Client Info'!$C$2:$C$2715,'[2]Client Info'!$E$2:$E$2715))</f>
        <v/>
      </c>
      <c r="AF447" s="55" t="str">
        <f>IF($AC447="","",_xlfn.XLOOKUP($AC447,'[2]Client Info'!$C$2:$C$2715,'[2]Client Info'!$F$2:$F$2715))</f>
        <v/>
      </c>
      <c r="AG447" s="55" t="str">
        <f>IF(ISBLANK(Table26[[#This Row],[customerSKU]]),"",_xlfn.XLOOKUP(Table26[[#This Row],[customerSKU]],Table27[customer_SKU],Table27[shipto],"",0,1))</f>
        <v/>
      </c>
      <c r="AH447" s="245" t="str">
        <f>_xlfn.XLOOKUP(Table26[[#This Row],[customerSKU]],customerSKU!G:G,customerSKU!K:K,"NA",0,1)</f>
        <v>NA</v>
      </c>
      <c r="AI447" s="43" t="str">
        <f>_xlfn.XLOOKUP(Table26[[#This Row],[customerSKU]],customerSKU!G:G,customerSKU!O:O,"not found",0,1)</f>
        <v>not found</v>
      </c>
      <c r="AJ447" s="53" t="e">
        <f>Table26[[#This Row],[unitprice]]*Table26[[#This Row],[quantity_unit]]</f>
        <v>#VALUE!</v>
      </c>
      <c r="AK447" s="53" t="e" cm="1">
        <f t="array" ref="AK4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8" spans="1:37" ht="18" customHeight="1">
      <c r="A448" s="42">
        <v>1793</v>
      </c>
      <c r="B448" s="58" t="s">
        <v>3837</v>
      </c>
      <c r="C448" s="53" t="s">
        <v>203</v>
      </c>
      <c r="D448" s="51"/>
      <c r="E448" s="51"/>
      <c r="F448" s="53"/>
      <c r="G448" s="46"/>
      <c r="H448" s="53" t="s">
        <v>3803</v>
      </c>
      <c r="I448" s="53" t="s">
        <v>3818</v>
      </c>
      <c r="J448" s="53" t="s">
        <v>3838</v>
      </c>
      <c r="K448" s="48">
        <v>45583</v>
      </c>
      <c r="L448" s="49" t="s">
        <v>201</v>
      </c>
      <c r="M448" s="53"/>
      <c r="N448" s="77" t="str">
        <f>Table26[[#This Row],[po_number]]&amp;"-"&amp;Table26[[#This Row],[po_line]]</f>
        <v>-1</v>
      </c>
      <c r="O448" s="77">
        <v>1</v>
      </c>
      <c r="P448" s="50"/>
      <c r="Q448" s="53" t="s">
        <v>3839</v>
      </c>
      <c r="R448" s="53" t="s">
        <v>569</v>
      </c>
      <c r="S448" s="53" t="s">
        <v>70</v>
      </c>
      <c r="T448" s="20">
        <v>45586</v>
      </c>
      <c r="U448" s="52">
        <v>240</v>
      </c>
      <c r="V448" s="53">
        <v>12</v>
      </c>
      <c r="W448" s="116">
        <f t="shared" si="16"/>
        <v>20</v>
      </c>
      <c r="X448" s="53" t="str">
        <f t="shared" si="17"/>
        <v/>
      </c>
      <c r="Y448" s="53"/>
      <c r="Z448" s="60" t="s">
        <v>3397</v>
      </c>
      <c r="AA448" s="18" t="str" cm="1">
        <f t="array" ref="AA448">IF(P448="", "", _xlfn.XLOOKUP(P448,#REF!,#REF!,NA,0,-1))</f>
        <v/>
      </c>
      <c r="AB448" s="53"/>
      <c r="AC448" s="55" t="s">
        <v>9</v>
      </c>
      <c r="AD448" s="55" t="str">
        <f>IF($AC448="","",_xlfn.XLOOKUP($AC448,'[2]Client Info'!$C$2:$C$2535,'[2]Client Info'!$D$2:$D$2535))</f>
        <v>18, Canso rd</v>
      </c>
      <c r="AE448" s="55" t="str">
        <f>IF($AC448="","",_xlfn.XLOOKUP($AC448,'[2]Client Info'!$C$2:$C$2715,'[2]Client Info'!$E$2:$E$2715))</f>
        <v>Etobicoke</v>
      </c>
      <c r="AF448" s="55" t="str">
        <f>IF($AC448="","",_xlfn.XLOOKUP($AC448,'[2]Client Info'!$C$2:$C$2715,'[2]Client Info'!$F$2:$F$2715))</f>
        <v>ON</v>
      </c>
      <c r="AG448" s="55" t="s">
        <v>9</v>
      </c>
      <c r="AH448" s="62" t="str">
        <f>_xlfn.XLOOKUP(Table26[[#This Row],[customerSKU]],customerSKU!G:G,customerSKU!K:K,"NA",0,1)</f>
        <v>NA</v>
      </c>
      <c r="AI448" s="43" t="str">
        <f>_xlfn.XLOOKUP(Table26[[#This Row],[customerSKU]],customerSKU!G:G,customerSKU!O:O,"not found",0,1)</f>
        <v>not found</v>
      </c>
      <c r="AJ448" s="53" t="e">
        <f>Table26[[#This Row],[unitprice]]*Table26[[#This Row],[quantity_unit]]</f>
        <v>#VALUE!</v>
      </c>
      <c r="AK448" s="53" t="e" cm="1">
        <f t="array" ref="AK4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49" spans="1:37" ht="18" customHeight="1">
      <c r="A449" s="42">
        <v>1794</v>
      </c>
      <c r="B449" s="58" t="s">
        <v>3837</v>
      </c>
      <c r="C449" s="53" t="s">
        <v>203</v>
      </c>
      <c r="D449" s="51"/>
      <c r="E449" s="51"/>
      <c r="F449" s="53"/>
      <c r="G449" s="46"/>
      <c r="H449" s="53" t="s">
        <v>3803</v>
      </c>
      <c r="I449" s="53" t="s">
        <v>3818</v>
      </c>
      <c r="J449" s="53" t="s">
        <v>3838</v>
      </c>
      <c r="K449" s="48">
        <v>45583</v>
      </c>
      <c r="L449" s="49" t="s">
        <v>201</v>
      </c>
      <c r="M449" s="53"/>
      <c r="N449" s="77" t="str">
        <f>Table26[[#This Row],[po_number]]&amp;"-"&amp;Table26[[#This Row],[po_line]]</f>
        <v>-2</v>
      </c>
      <c r="O449" s="77">
        <v>2</v>
      </c>
      <c r="P449" s="50"/>
      <c r="Q449" s="53" t="s">
        <v>3839</v>
      </c>
      <c r="R449" s="53" t="s">
        <v>569</v>
      </c>
      <c r="S449" s="53" t="s">
        <v>57</v>
      </c>
      <c r="T449" s="20">
        <v>45586</v>
      </c>
      <c r="U449" s="52">
        <v>240</v>
      </c>
      <c r="V449" s="53">
        <v>12</v>
      </c>
      <c r="W449" s="116">
        <f t="shared" si="16"/>
        <v>20</v>
      </c>
      <c r="X449" s="53" t="str">
        <f t="shared" si="17"/>
        <v/>
      </c>
      <c r="Y449" s="53"/>
      <c r="Z449" s="60" t="s">
        <v>3438</v>
      </c>
      <c r="AA449" s="18" t="str" cm="1">
        <f t="array" ref="AA449">IF(P449="", "", _xlfn.XLOOKUP(P449,#REF!,#REF!,NA,0,-1))</f>
        <v/>
      </c>
      <c r="AB449" s="53"/>
      <c r="AC449" s="55" t="s">
        <v>9</v>
      </c>
      <c r="AD449" s="55" t="str">
        <f>IF($AC449="","",_xlfn.XLOOKUP($AC449,'[2]Client Info'!$C$2:$C$2535,'[2]Client Info'!$D$2:$D$2535))</f>
        <v>18, Canso rd</v>
      </c>
      <c r="AE449" s="55" t="str">
        <f>IF($AC449="","",_xlfn.XLOOKUP($AC449,'[2]Client Info'!$C$2:$C$2715,'[2]Client Info'!$E$2:$E$2715))</f>
        <v>Etobicoke</v>
      </c>
      <c r="AF449" s="55" t="str">
        <f>IF($AC449="","",_xlfn.XLOOKUP($AC449,'[2]Client Info'!$C$2:$C$2715,'[2]Client Info'!$F$2:$F$2715))</f>
        <v>ON</v>
      </c>
      <c r="AG449" s="55" t="s">
        <v>9</v>
      </c>
      <c r="AH449" s="62" t="str">
        <f>_xlfn.XLOOKUP(Table26[[#This Row],[customerSKU]],customerSKU!G:G,customerSKU!K:K,"NA",0,1)</f>
        <v>NA</v>
      </c>
      <c r="AI449" s="43" t="str">
        <f>_xlfn.XLOOKUP(Table26[[#This Row],[customerSKU]],customerSKU!G:G,customerSKU!O:O,"not found",0,1)</f>
        <v>not found</v>
      </c>
      <c r="AJ449" s="53" t="e">
        <f>Table26[[#This Row],[unitprice]]*Table26[[#This Row],[quantity_unit]]</f>
        <v>#VALUE!</v>
      </c>
      <c r="AK449" s="53" t="e" cm="1">
        <f t="array" ref="AK4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50" spans="1:37" ht="18" customHeight="1">
      <c r="A450" s="42">
        <v>1795</v>
      </c>
      <c r="B450" s="58" t="s">
        <v>3837</v>
      </c>
      <c r="C450" s="53" t="s">
        <v>203</v>
      </c>
      <c r="D450" s="51"/>
      <c r="E450" s="51"/>
      <c r="F450" s="53"/>
      <c r="G450" s="46"/>
      <c r="H450" s="53" t="s">
        <v>3803</v>
      </c>
      <c r="I450" s="53" t="s">
        <v>3818</v>
      </c>
      <c r="J450" s="53" t="s">
        <v>3838</v>
      </c>
      <c r="K450" s="48">
        <v>45583</v>
      </c>
      <c r="L450" s="49" t="s">
        <v>201</v>
      </c>
      <c r="M450" s="53"/>
      <c r="N450" s="77" t="str">
        <f>Table26[[#This Row],[po_number]]&amp;"-"&amp;Table26[[#This Row],[po_line]]</f>
        <v>-3</v>
      </c>
      <c r="O450" s="77">
        <v>3</v>
      </c>
      <c r="P450" s="50"/>
      <c r="Q450" s="53" t="s">
        <v>3839</v>
      </c>
      <c r="R450" s="53" t="s">
        <v>569</v>
      </c>
      <c r="S450" s="53" t="s">
        <v>78</v>
      </c>
      <c r="T450" s="20">
        <v>45586</v>
      </c>
      <c r="U450" s="52">
        <f>18*12</f>
        <v>216</v>
      </c>
      <c r="V450" s="53">
        <v>12</v>
      </c>
      <c r="W450" s="116">
        <f t="shared" si="16"/>
        <v>18</v>
      </c>
      <c r="X450" s="53" t="str">
        <f t="shared" si="17"/>
        <v/>
      </c>
      <c r="Y450" s="53"/>
      <c r="Z450" s="60" t="s">
        <v>3439</v>
      </c>
      <c r="AA450" s="18" t="str" cm="1">
        <f t="array" ref="AA450">IF(P450="", "", _xlfn.XLOOKUP(P450,#REF!,#REF!,NA,0,-1))</f>
        <v/>
      </c>
      <c r="AB450" s="53"/>
      <c r="AC450" s="55" t="s">
        <v>9</v>
      </c>
      <c r="AD450" s="55" t="str">
        <f>IF($AC450="","",_xlfn.XLOOKUP($AC450,'[2]Client Info'!$C$2:$C$2535,'[2]Client Info'!$D$2:$D$2535))</f>
        <v>18, Canso rd</v>
      </c>
      <c r="AE450" s="55" t="str">
        <f>IF($AC450="","",_xlfn.XLOOKUP($AC450,'[2]Client Info'!$C$2:$C$2715,'[2]Client Info'!$E$2:$E$2715))</f>
        <v>Etobicoke</v>
      </c>
      <c r="AF450" s="55" t="str">
        <f>IF($AC450="","",_xlfn.XLOOKUP($AC450,'[2]Client Info'!$C$2:$C$2715,'[2]Client Info'!$F$2:$F$2715))</f>
        <v>ON</v>
      </c>
      <c r="AG450" s="55" t="s">
        <v>9</v>
      </c>
      <c r="AH450" s="62" t="str">
        <f>_xlfn.XLOOKUP(Table26[[#This Row],[customerSKU]],customerSKU!G:G,customerSKU!K:K,"NA",0,1)</f>
        <v>NA</v>
      </c>
      <c r="AI450" s="43" t="str">
        <f>_xlfn.XLOOKUP(Table26[[#This Row],[customerSKU]],customerSKU!G:G,customerSKU!O:O,"not found",0,1)</f>
        <v>not found</v>
      </c>
      <c r="AJ450" s="53" t="e">
        <f>Table26[[#This Row],[unitprice]]*Table26[[#This Row],[quantity_unit]]</f>
        <v>#VALUE!</v>
      </c>
      <c r="AK450" s="53" t="e" cm="1">
        <f t="array" ref="AK4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51" spans="1:37" ht="18" customHeight="1">
      <c r="A451" s="42">
        <v>1796</v>
      </c>
      <c r="B451" s="58" t="s">
        <v>3837</v>
      </c>
      <c r="C451" s="53" t="s">
        <v>203</v>
      </c>
      <c r="D451" s="51" t="str">
        <f>IF(Table26[[#This Row],[customerSKU]]="","","null")</f>
        <v>null</v>
      </c>
      <c r="E451" s="51"/>
      <c r="F45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1" s="46"/>
      <c r="H451" s="53"/>
      <c r="I451" s="53" t="s">
        <v>3862</v>
      </c>
      <c r="J451" s="53" t="str">
        <f>IF(Table26[[#This Row],[customerSKU]]="","",_xlfn.XLOOKUP(Table26[[#This Row],[customerSKU]],customerSKU!G:G,customerSKU!A:A,"",0,1))</f>
        <v/>
      </c>
      <c r="K451" s="48">
        <v>45583</v>
      </c>
      <c r="L451" s="49" t="str">
        <f>IF(Table26[[#This Row],[customerSKU]]="","",_xlfn.XLOOKUP(Table26[[#This Row],[customerSKU]],customerSKU!G:G,customerSKU!B:B,"",0,1))</f>
        <v/>
      </c>
      <c r="M451" s="53"/>
      <c r="N451" s="77" t="str">
        <f>Table26[[#This Row],[po_number]]&amp;"-"&amp;Table26[[#This Row],[po_line]]</f>
        <v>-1</v>
      </c>
      <c r="O451" s="77">
        <v>1</v>
      </c>
      <c r="P451" s="50"/>
      <c r="Q451" s="53" t="s">
        <v>3960</v>
      </c>
      <c r="R451" s="53" t="s">
        <v>569</v>
      </c>
      <c r="S451" s="53" t="str">
        <f>IF(Table26[[#This Row],[customerSKU]]="","",_xlfn.XLOOKUP(Table26[[#This Row],[customerSKU]],customerSKU!G:G,customerSKU!N:N,"NOT FOUND",0,1))</f>
        <v>NOT FOUND</v>
      </c>
      <c r="T451" s="20">
        <v>45573</v>
      </c>
      <c r="U451" s="52">
        <f>25*48</f>
        <v>1200</v>
      </c>
      <c r="V451" s="53" t="str">
        <f>IF(ISBLANK(Table26[[#This Row],[customerSKU]]),"",_xlfn.XLOOKUP(Table26[[#This Row],[customerSKU]],Table27[customer_SKU],Table27[case_size],"",0,1))</f>
        <v/>
      </c>
      <c r="W451" s="116" t="str">
        <f t="shared" si="16"/>
        <v/>
      </c>
      <c r="X451" s="53" t="str">
        <f t="shared" si="17"/>
        <v/>
      </c>
      <c r="Y451" s="53" t="str">
        <f>IF(Table26[[#This Row],[customerSKU]]="","",_xlfn.XLOOKUP(Table26[[#This Row],[customerSKU]],Table27[customer_SKU],Table27[product_GTIN],"",0,1))</f>
        <v/>
      </c>
      <c r="Z451" s="60" t="s">
        <v>3961</v>
      </c>
      <c r="AA451" s="18" t="str" cm="1">
        <f t="array" ref="AA451">IF(P451="", "", _xlfn.XLOOKUP(P451,#REF!,#REF!,NA,0,-1))</f>
        <v/>
      </c>
      <c r="AB451" s="53"/>
      <c r="AC451" s="55" t="str">
        <f>IF(Table26[[#This Row],[customerSKU]]="","",_xlfn.XLOOKUP(Table26[[#This Row],[customerSKU]],customerSKU!G:G,customerSKU!C:C,"",0,1))</f>
        <v/>
      </c>
      <c r="AD451" s="55" t="str">
        <f>IF($AC451="","",_xlfn.XLOOKUP($AC451,'[2]Client Info'!$C$2:$C$2535,'[2]Client Info'!$D$2:$D$2535,"",0,1))</f>
        <v/>
      </c>
      <c r="AE451" s="55" t="str">
        <f>IF($AC451="","",_xlfn.XLOOKUP($AC451,'[2]Client Info'!$C$2:$C$2715,'[2]Client Info'!$E$2:$E$2715,"",))</f>
        <v/>
      </c>
      <c r="AF451" s="55" t="str">
        <f>IF($AC451="","",_xlfn.XLOOKUP($AC451,'[2]Client Info'!$C$2:$C$2715,'[2]Client Info'!$F$2:$F$2715,"",0,1))</f>
        <v/>
      </c>
      <c r="AG451" s="55" t="str">
        <f>IF(ISBLANK(Table26[[#This Row],[customerSKU]]),"",_xlfn.XLOOKUP(Table26[[#This Row],[customerSKU]],Table27[customer_SKU],Table27[billto],"",0,1))</f>
        <v/>
      </c>
      <c r="AH451" s="62" t="str">
        <f>_xlfn.XLOOKUP(Table26[[#This Row],[customerSKU]],customerSKU!G:G,customerSKU!K:K,"NA",0,1)</f>
        <v>NA</v>
      </c>
      <c r="AI451" s="43" t="str">
        <f>_xlfn.XLOOKUP(Table26[[#This Row],[customerSKU]],customerSKU!G:G,customerSKU!O:O,"not found",0,1)</f>
        <v>not found</v>
      </c>
      <c r="AJ451" s="53" t="e">
        <f>Table26[[#This Row],[unitprice]]*Table26[[#This Row],[quantity_unit]]</f>
        <v>#VALUE!</v>
      </c>
      <c r="AK451" s="53" t="e" cm="1">
        <f t="array" ref="AK4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52" spans="1:37" ht="18" customHeight="1">
      <c r="A452" s="42">
        <v>1797</v>
      </c>
      <c r="B452" s="58" t="s">
        <v>3520</v>
      </c>
      <c r="C452" s="53" t="s">
        <v>3360</v>
      </c>
      <c r="D452" s="51" t="str">
        <f>IF(Table26[[#This Row],[customerSKU]]="","","null")</f>
        <v>null</v>
      </c>
      <c r="E452" s="51"/>
      <c r="F45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2" s="46"/>
      <c r="H452" s="53"/>
      <c r="I452" s="53" t="s">
        <v>3862</v>
      </c>
      <c r="J452" s="53" t="s">
        <v>533</v>
      </c>
      <c r="K452" s="48">
        <v>45583</v>
      </c>
      <c r="L452" s="49" t="str">
        <f>IF(Table26[[#This Row],[customerSKU]]="","",_xlfn.XLOOKUP(Table26[[#This Row],[customerSKU]],customerSKU!G:G,customerSKU!B:B,"",0,1))</f>
        <v/>
      </c>
      <c r="M452" s="53"/>
      <c r="N452" s="77" t="str">
        <f>Table26[[#This Row],[po_number]]&amp;"-"&amp;Table26[[#This Row],[po_line]]</f>
        <v>-1</v>
      </c>
      <c r="O452" s="77">
        <v>1</v>
      </c>
      <c r="P452" s="50"/>
      <c r="Q452" s="53"/>
      <c r="R452" s="53"/>
      <c r="S452" s="53" t="str">
        <f>IF(Table26[[#This Row],[customerSKU]]="","",_xlfn.XLOOKUP(Table26[[#This Row],[customerSKU]],customerSKU!G:G,customerSKU!N:N,"NOT FOUND",0,1))</f>
        <v>NOT FOUND</v>
      </c>
      <c r="T452" s="20"/>
      <c r="U452" s="52">
        <v>12</v>
      </c>
      <c r="V452" s="53" t="str">
        <f>IF(ISBLANK(Table26[[#This Row],[customerSKU]]),"",_xlfn.XLOOKUP(Table26[[#This Row],[customerSKU]],Table27[customer_SKU],Table27[case_size],"",0,1))</f>
        <v/>
      </c>
      <c r="W452" s="116" t="str">
        <f t="shared" si="16"/>
        <v/>
      </c>
      <c r="X452" s="53" t="str">
        <f t="shared" si="17"/>
        <v/>
      </c>
      <c r="Y452" s="53" t="str">
        <f>IF(Table26[[#This Row],[customerSKU]]="","",_xlfn.XLOOKUP(Table26[[#This Row],[customerSKU]],Table27[customer_SKU],Table27[product_GTIN],"",0,1))</f>
        <v/>
      </c>
      <c r="Z452" s="25" t="s">
        <v>3452</v>
      </c>
      <c r="AA452" s="18" t="str" cm="1">
        <f t="array" ref="AA452">IF(P452="", "", _xlfn.XLOOKUP(P452,#REF!,#REF!,NA,0,-1))</f>
        <v/>
      </c>
      <c r="AB452" s="53"/>
      <c r="AC452" s="55" t="s">
        <v>61</v>
      </c>
      <c r="AD452" s="55" t="str">
        <f>IF($AC452="","",_xlfn.XLOOKUP($AC452,'[2]Client Info'!$C$2:$C$2535,'[2]Client Info'!$D$2:$D$2535,"",0,1))</f>
        <v>526 Main ST</v>
      </c>
      <c r="AE452" s="55" t="str">
        <f>IF($AC452="","",_xlfn.XLOOKUP($AC452,'[2]Client Info'!$C$2:$C$2715,'[2]Client Info'!$E$2:$E$2715,"",))</f>
        <v>SWAN RIVER</v>
      </c>
      <c r="AF452" s="55" t="str">
        <f>IF($AC452="","",_xlfn.XLOOKUP($AC452,'[2]Client Info'!$C$2:$C$2715,'[2]Client Info'!$F$2:$F$2715,"",0,1))</f>
        <v>MB</v>
      </c>
      <c r="AG452" s="55" t="str">
        <f>IF(ISBLANK(Table26[[#This Row],[customerSKU]]),"",_xlfn.XLOOKUP(Table26[[#This Row],[customerSKU]],Table27[customer_SKU],Table27[billto],"",0,1))</f>
        <v/>
      </c>
      <c r="AH452" s="62" t="str">
        <f>_xlfn.XLOOKUP(Table26[[#This Row],[customerSKU]],customerSKU!G:G,customerSKU!K:K,"NA",0,1)</f>
        <v>NA</v>
      </c>
      <c r="AI452" s="43" t="str">
        <f>_xlfn.XLOOKUP(Table26[[#This Row],[customerSKU]],customerSKU!G:G,customerSKU!O:O,"not found",0,1)</f>
        <v>not found</v>
      </c>
      <c r="AJ452" s="53" t="e">
        <f>Table26[[#This Row],[unitprice]]*Table26[[#This Row],[quantity_unit]]</f>
        <v>#VALUE!</v>
      </c>
      <c r="AK452" s="53" t="e" cm="1">
        <f t="array" ref="AK4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3" spans="1:37" ht="18" customHeight="1">
      <c r="A453" s="42">
        <v>1798</v>
      </c>
      <c r="B453" s="58" t="s">
        <v>3520</v>
      </c>
      <c r="C453" s="53" t="s">
        <v>3360</v>
      </c>
      <c r="D453" s="51" t="str">
        <f>IF(Table26[[#This Row],[customerSKU]]="","","null")</f>
        <v>null</v>
      </c>
      <c r="E453" s="51"/>
      <c r="F45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3" s="46"/>
      <c r="H453" s="53"/>
      <c r="I453" s="53" t="s">
        <v>3862</v>
      </c>
      <c r="J453" s="53" t="s">
        <v>533</v>
      </c>
      <c r="K453" s="48">
        <v>45583</v>
      </c>
      <c r="L453" s="49" t="str">
        <f>IF(Table26[[#This Row],[customerSKU]]="","",_xlfn.XLOOKUP(Table26[[#This Row],[customerSKU]],customerSKU!G:G,customerSKU!B:B,"",0,1))</f>
        <v/>
      </c>
      <c r="M453" s="53"/>
      <c r="N453" s="77" t="str">
        <f>Table26[[#This Row],[po_number]]&amp;"-"&amp;Table26[[#This Row],[po_line]]</f>
        <v>-1</v>
      </c>
      <c r="O453" s="77">
        <v>1</v>
      </c>
      <c r="P453" s="50"/>
      <c r="Q453" s="53"/>
      <c r="R453" s="53"/>
      <c r="S453" s="53" t="str">
        <f>IF(Table26[[#This Row],[customerSKU]]="","",_xlfn.XLOOKUP(Table26[[#This Row],[customerSKU]],customerSKU!G:G,customerSKU!N:N,"NOT FOUND",0,1))</f>
        <v>NOT FOUND</v>
      </c>
      <c r="T453" s="20"/>
      <c r="U453" s="52">
        <v>12</v>
      </c>
      <c r="V453" s="53" t="str">
        <f>IF(ISBLANK(Table26[[#This Row],[customerSKU]]),"",_xlfn.XLOOKUP(Table26[[#This Row],[customerSKU]],Table27[customer_SKU],Table27[case_size],"",0,1))</f>
        <v/>
      </c>
      <c r="W453" s="116" t="str">
        <f t="shared" si="16"/>
        <v/>
      </c>
      <c r="X453" s="53" t="str">
        <f t="shared" si="17"/>
        <v/>
      </c>
      <c r="Y453" s="53" t="str">
        <f>IF(Table26[[#This Row],[customerSKU]]="","",_xlfn.XLOOKUP(Table26[[#This Row],[customerSKU]],Table27[customer_SKU],Table27[product_GTIN],"",0,1))</f>
        <v/>
      </c>
      <c r="Z453" s="25" t="s">
        <v>3452</v>
      </c>
      <c r="AA453" s="18" t="str" cm="1">
        <f t="array" ref="AA453">IF(P453="", "", _xlfn.XLOOKUP(P453,#REF!,#REF!,NA,0,-1))</f>
        <v/>
      </c>
      <c r="AB453" s="53"/>
      <c r="AC453" s="55" t="s">
        <v>4020</v>
      </c>
      <c r="AD453" s="55" t="str">
        <f>IF($AC453="","",_xlfn.XLOOKUP($AC453,'[2]Client Info'!$C$2:$C$2535,'[2]Client Info'!$D$2:$D$2535,"",0,1))</f>
        <v>UNIT K, 730 ST. ANNES ROAD</v>
      </c>
      <c r="AE453" s="55" t="str">
        <f>IF($AC453="","",_xlfn.XLOOKUP($AC453,'[2]Client Info'!$C$2:$C$2715,'[2]Client Info'!$E$2:$E$2715,"",))</f>
        <v>WINNIPEG</v>
      </c>
      <c r="AF453" s="55" t="str">
        <f>IF($AC453="","",_xlfn.XLOOKUP($AC453,'[2]Client Info'!$C$2:$C$2715,'[2]Client Info'!$F$2:$F$2715,"",0,1))</f>
        <v>MB</v>
      </c>
      <c r="AG453" s="55" t="str">
        <f>IF(ISBLANK(Table26[[#This Row],[customerSKU]]),"",_xlfn.XLOOKUP(Table26[[#This Row],[customerSKU]],Table27[customer_SKU],Table27[billto],"",0,1))</f>
        <v/>
      </c>
      <c r="AH453" s="62" t="str">
        <f>_xlfn.XLOOKUP(Table26[[#This Row],[customerSKU]],customerSKU!G:G,customerSKU!K:K,"NA",0,1)</f>
        <v>NA</v>
      </c>
      <c r="AI453" s="43" t="str">
        <f>_xlfn.XLOOKUP(Table26[[#This Row],[customerSKU]],customerSKU!G:G,customerSKU!O:O,"not found",0,1)</f>
        <v>not found</v>
      </c>
      <c r="AJ453" s="53" t="e">
        <f>Table26[[#This Row],[unitprice]]*Table26[[#This Row],[quantity_unit]]</f>
        <v>#VALUE!</v>
      </c>
      <c r="AK453" s="53" t="e" cm="1">
        <f t="array" ref="AK4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4" spans="1:37" ht="18" customHeight="1">
      <c r="A454" s="42">
        <v>1799</v>
      </c>
      <c r="B454" s="58" t="s">
        <v>3520</v>
      </c>
      <c r="C454" s="53" t="s">
        <v>3360</v>
      </c>
      <c r="D454" s="51" t="str">
        <f>IF(Table26[[#This Row],[customerSKU]]="","","null")</f>
        <v>null</v>
      </c>
      <c r="E454" s="51"/>
      <c r="F45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4" s="46"/>
      <c r="H454" s="53"/>
      <c r="I454" s="53" t="s">
        <v>3862</v>
      </c>
      <c r="J454" s="53" t="s">
        <v>533</v>
      </c>
      <c r="K454" s="48">
        <v>45583</v>
      </c>
      <c r="L454" s="49" t="str">
        <f>IF(Table26[[#This Row],[customerSKU]]="","",_xlfn.XLOOKUP(Table26[[#This Row],[customerSKU]],customerSKU!G:G,customerSKU!B:B,"",0,1))</f>
        <v/>
      </c>
      <c r="M454" s="53"/>
      <c r="N454" s="77" t="str">
        <f>Table26[[#This Row],[po_number]]&amp;"-"&amp;Table26[[#This Row],[po_line]]</f>
        <v>-1</v>
      </c>
      <c r="O454" s="77">
        <v>1</v>
      </c>
      <c r="P454" s="50"/>
      <c r="Q454" s="53"/>
      <c r="R454" s="53"/>
      <c r="S454" s="53" t="str">
        <f>IF(Table26[[#This Row],[customerSKU]]="","",_xlfn.XLOOKUP(Table26[[#This Row],[customerSKU]],customerSKU!G:G,customerSKU!N:N,"NOT FOUND",0,1))</f>
        <v>NOT FOUND</v>
      </c>
      <c r="T454" s="20"/>
      <c r="U454" s="52">
        <v>12</v>
      </c>
      <c r="V454" s="53" t="str">
        <f>IF(ISBLANK(Table26[[#This Row],[customerSKU]]),"",_xlfn.XLOOKUP(Table26[[#This Row],[customerSKU]],Table27[customer_SKU],Table27[case_size],"",0,1))</f>
        <v/>
      </c>
      <c r="W454" s="116" t="str">
        <f t="shared" si="16"/>
        <v/>
      </c>
      <c r="X454" s="53" t="str">
        <f t="shared" si="17"/>
        <v/>
      </c>
      <c r="Y454" s="53" t="str">
        <f>IF(Table26[[#This Row],[customerSKU]]="","",_xlfn.XLOOKUP(Table26[[#This Row],[customerSKU]],Table27[customer_SKU],Table27[product_GTIN],"",0,1))</f>
        <v/>
      </c>
      <c r="Z454" s="25" t="s">
        <v>3452</v>
      </c>
      <c r="AA454" s="18" t="str" cm="1">
        <f t="array" ref="AA454">IF(P454="", "", _xlfn.XLOOKUP(P454,#REF!,#REF!,NA,0,-1))</f>
        <v/>
      </c>
      <c r="AB454" s="53"/>
      <c r="AC454" s="55" t="s">
        <v>4021</v>
      </c>
      <c r="AD454" s="55" t="str">
        <f>IF($AC454="","",_xlfn.XLOOKUP($AC454,'[2]Client Info'!$C$2:$C$2535,'[2]Client Info'!$D$2:$D$2535,"",0,1))</f>
        <v>UNIT 15-1014 MANITOBA AVE</v>
      </c>
      <c r="AE454" s="55" t="str">
        <f>IF($AC454="","",_xlfn.XLOOKUP($AC454,'[2]Client Info'!$C$2:$C$2715,'[2]Client Info'!$E$2:$E$2715,"",))</f>
        <v>SELKIRK</v>
      </c>
      <c r="AF454" s="55" t="str">
        <f>IF($AC454="","",_xlfn.XLOOKUP($AC454,'[2]Client Info'!$C$2:$C$2715,'[2]Client Info'!$F$2:$F$2715,"",0,1))</f>
        <v>MB</v>
      </c>
      <c r="AG454" s="55" t="str">
        <f>IF(ISBLANK(Table26[[#This Row],[customerSKU]]),"",_xlfn.XLOOKUP(Table26[[#This Row],[customerSKU]],Table27[customer_SKU],Table27[billto],"",0,1))</f>
        <v/>
      </c>
      <c r="AH454" s="62" t="str">
        <f>_xlfn.XLOOKUP(Table26[[#This Row],[customerSKU]],customerSKU!G:G,customerSKU!K:K,"NA",0,1)</f>
        <v>NA</v>
      </c>
      <c r="AI454" s="43" t="str">
        <f>_xlfn.XLOOKUP(Table26[[#This Row],[customerSKU]],customerSKU!G:G,customerSKU!O:O,"not found",0,1)</f>
        <v>not found</v>
      </c>
      <c r="AJ454" s="53" t="e">
        <f>Table26[[#This Row],[unitprice]]*Table26[[#This Row],[quantity_unit]]</f>
        <v>#VALUE!</v>
      </c>
      <c r="AK454" s="53" t="e" cm="1">
        <f t="array" ref="AK4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5" spans="1:37" ht="18" customHeight="1">
      <c r="A455" s="42">
        <v>1800</v>
      </c>
      <c r="B455" s="58" t="s">
        <v>3520</v>
      </c>
      <c r="C455" s="53" t="s">
        <v>3360</v>
      </c>
      <c r="D455" s="51" t="str">
        <f>IF(Table26[[#This Row],[customerSKU]]="","","null")</f>
        <v>null</v>
      </c>
      <c r="E455" s="51"/>
      <c r="F45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5" s="46"/>
      <c r="H455" s="53"/>
      <c r="I455" s="53" t="s">
        <v>3862</v>
      </c>
      <c r="J455" s="53" t="s">
        <v>533</v>
      </c>
      <c r="K455" s="48">
        <v>45583</v>
      </c>
      <c r="L455" s="49" t="str">
        <f>IF(Table26[[#This Row],[customerSKU]]="","",_xlfn.XLOOKUP(Table26[[#This Row],[customerSKU]],customerSKU!G:G,customerSKU!B:B,"",0,1))</f>
        <v/>
      </c>
      <c r="M455" s="53"/>
      <c r="N455" s="77" t="str">
        <f>Table26[[#This Row],[po_number]]&amp;"-"&amp;Table26[[#This Row],[po_line]]</f>
        <v>-1</v>
      </c>
      <c r="O455" s="77">
        <v>1</v>
      </c>
      <c r="P455" s="50"/>
      <c r="Q455" s="53"/>
      <c r="R455" s="53"/>
      <c r="S455" s="53" t="str">
        <f>IF(Table26[[#This Row],[customerSKU]]="","",_xlfn.XLOOKUP(Table26[[#This Row],[customerSKU]],customerSKU!G:G,customerSKU!N:N,"NOT FOUND",0,1))</f>
        <v>NOT FOUND</v>
      </c>
      <c r="T455" s="20"/>
      <c r="U455" s="52">
        <v>12</v>
      </c>
      <c r="V455" s="53" t="str">
        <f>IF(ISBLANK(Table26[[#This Row],[customerSKU]]),"",_xlfn.XLOOKUP(Table26[[#This Row],[customerSKU]],Table27[customer_SKU],Table27[case_size],"",0,1))</f>
        <v/>
      </c>
      <c r="W455" s="116" t="str">
        <f t="shared" si="16"/>
        <v/>
      </c>
      <c r="X455" s="53" t="str">
        <f t="shared" si="17"/>
        <v/>
      </c>
      <c r="Y455" s="53" t="str">
        <f>IF(Table26[[#This Row],[customerSKU]]="","",_xlfn.XLOOKUP(Table26[[#This Row],[customerSKU]],Table27[customer_SKU],Table27[product_GTIN],"",0,1))</f>
        <v/>
      </c>
      <c r="Z455" s="25" t="s">
        <v>3452</v>
      </c>
      <c r="AA455" s="18" t="str" cm="1">
        <f t="array" ref="AA455">IF(P455="", "", _xlfn.XLOOKUP(P455,#REF!,#REF!,NA,0,-1))</f>
        <v/>
      </c>
      <c r="AB455" s="53"/>
      <c r="AC455" s="55" t="s">
        <v>63</v>
      </c>
      <c r="AD455" s="55" t="str">
        <f>IF($AC455="","",_xlfn.XLOOKUP($AC455,'[2]Client Info'!$C$2:$C$2535,'[2]Client Info'!$D$2:$D$2535,"",0,1))</f>
        <v>UNIT 3, 1460 PLESSIS ROAD</v>
      </c>
      <c r="AE455" s="55" t="str">
        <f>IF($AC455="","",_xlfn.XLOOKUP($AC455,'[2]Client Info'!$C$2:$C$2715,'[2]Client Info'!$E$2:$E$2715,"",))</f>
        <v>WINNIPEG</v>
      </c>
      <c r="AF455" s="55" t="str">
        <f>IF($AC455="","",_xlfn.XLOOKUP($AC455,'[2]Client Info'!$C$2:$C$2715,'[2]Client Info'!$F$2:$F$2715,"",0,1))</f>
        <v>MB</v>
      </c>
      <c r="AG455" s="55" t="str">
        <f>IF(ISBLANK(Table26[[#This Row],[customerSKU]]),"",_xlfn.XLOOKUP(Table26[[#This Row],[customerSKU]],Table27[customer_SKU],Table27[billto],"",0,1))</f>
        <v/>
      </c>
      <c r="AH455" s="62" t="str">
        <f>_xlfn.XLOOKUP(Table26[[#This Row],[customerSKU]],customerSKU!G:G,customerSKU!K:K,"NA",0,1)</f>
        <v>NA</v>
      </c>
      <c r="AI455" s="43" t="str">
        <f>_xlfn.XLOOKUP(Table26[[#This Row],[customerSKU]],customerSKU!G:G,customerSKU!O:O,"not found",0,1)</f>
        <v>not found</v>
      </c>
      <c r="AJ455" s="53" t="e">
        <f>Table26[[#This Row],[unitprice]]*Table26[[#This Row],[quantity_unit]]</f>
        <v>#VALUE!</v>
      </c>
      <c r="AK455" s="53" t="e" cm="1">
        <f t="array" ref="AK4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6" spans="1:37" ht="18" customHeight="1">
      <c r="A456" s="42">
        <v>1801</v>
      </c>
      <c r="B456" s="58" t="s">
        <v>3520</v>
      </c>
      <c r="C456" s="53" t="s">
        <v>3360</v>
      </c>
      <c r="D456" s="51" t="str">
        <f>IF(Table26[[#This Row],[customerSKU]]="","","null")</f>
        <v>null</v>
      </c>
      <c r="E456" s="51"/>
      <c r="F45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6" s="46"/>
      <c r="H456" s="53"/>
      <c r="I456" s="53" t="s">
        <v>3862</v>
      </c>
      <c r="J456" s="53" t="s">
        <v>533</v>
      </c>
      <c r="K456" s="48">
        <v>45583</v>
      </c>
      <c r="L456" s="49" t="str">
        <f>IF(Table26[[#This Row],[customerSKU]]="","",_xlfn.XLOOKUP(Table26[[#This Row],[customerSKU]],customerSKU!G:G,customerSKU!B:B,"",0,1))</f>
        <v/>
      </c>
      <c r="M456" s="53"/>
      <c r="N456" s="77" t="str">
        <f>Table26[[#This Row],[po_number]]&amp;"-"&amp;Table26[[#This Row],[po_line]]</f>
        <v>-1</v>
      </c>
      <c r="O456" s="77">
        <v>1</v>
      </c>
      <c r="P456" s="50"/>
      <c r="Q456" s="53"/>
      <c r="R456" s="53"/>
      <c r="S456" s="53" t="str">
        <f>IF(Table26[[#This Row],[customerSKU]]="","",_xlfn.XLOOKUP(Table26[[#This Row],[customerSKU]],customerSKU!G:G,customerSKU!N:N,"NOT FOUND",0,1))</f>
        <v>NOT FOUND</v>
      </c>
      <c r="T456" s="20"/>
      <c r="U456" s="52">
        <v>12</v>
      </c>
      <c r="V456" s="53" t="str">
        <f>IF(ISBLANK(Table26[[#This Row],[customerSKU]]),"",_xlfn.XLOOKUP(Table26[[#This Row],[customerSKU]],Table27[customer_SKU],Table27[case_size],"",0,1))</f>
        <v/>
      </c>
      <c r="W456" s="116" t="str">
        <f t="shared" si="16"/>
        <v/>
      </c>
      <c r="X456" s="53" t="str">
        <f t="shared" si="17"/>
        <v/>
      </c>
      <c r="Y456" s="53" t="str">
        <f>IF(Table26[[#This Row],[customerSKU]]="","",_xlfn.XLOOKUP(Table26[[#This Row],[customerSKU]],Table27[customer_SKU],Table27[product_GTIN],"",0,1))</f>
        <v/>
      </c>
      <c r="Z456" s="25" t="s">
        <v>3452</v>
      </c>
      <c r="AA456" s="18" t="str" cm="1">
        <f t="array" ref="AA456">IF(P456="", "", _xlfn.XLOOKUP(P456,#REF!,#REF!,NA,0,-1))</f>
        <v/>
      </c>
      <c r="AB456" s="53"/>
      <c r="AC456" s="55" t="s">
        <v>62</v>
      </c>
      <c r="AD456" s="55" t="str">
        <f>IF($AC456="","",_xlfn.XLOOKUP($AC456,'[2]Client Info'!$C$2:$C$2535,'[2]Client Info'!$D$2:$D$2535,"",0,1))</f>
        <v>5B, 2352 SISSONS DR</v>
      </c>
      <c r="AE456" s="55" t="str">
        <f>IF($AC456="","",_xlfn.XLOOKUP($AC456,'[2]Client Info'!$C$2:$C$2715,'[2]Client Info'!$E$2:$E$2715,"",))</f>
        <v>PORTAGE LA PRAIRIE</v>
      </c>
      <c r="AF456" s="55" t="str">
        <f>IF($AC456="","",_xlfn.XLOOKUP($AC456,'[2]Client Info'!$C$2:$C$2715,'[2]Client Info'!$F$2:$F$2715,"",0,1))</f>
        <v>MB</v>
      </c>
      <c r="AG456" s="55" t="str">
        <f>IF(ISBLANK(Table26[[#This Row],[customerSKU]]),"",_xlfn.XLOOKUP(Table26[[#This Row],[customerSKU]],Table27[customer_SKU],Table27[billto],"",0,1))</f>
        <v/>
      </c>
      <c r="AH456" s="62" t="str">
        <f>_xlfn.XLOOKUP(Table26[[#This Row],[customerSKU]],customerSKU!G:G,customerSKU!K:K,"NA",0,1)</f>
        <v>NA</v>
      </c>
      <c r="AI456" s="43" t="str">
        <f>_xlfn.XLOOKUP(Table26[[#This Row],[customerSKU]],customerSKU!G:G,customerSKU!O:O,"not found",0,1)</f>
        <v>not found</v>
      </c>
      <c r="AJ456" s="53" t="e">
        <f>Table26[[#This Row],[unitprice]]*Table26[[#This Row],[quantity_unit]]</f>
        <v>#VALUE!</v>
      </c>
      <c r="AK456" s="53" t="e" cm="1">
        <f t="array" ref="AK4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7" spans="1:37" ht="18" customHeight="1">
      <c r="A457" s="42">
        <v>1802</v>
      </c>
      <c r="B457" s="58" t="s">
        <v>3520</v>
      </c>
      <c r="C457" s="53" t="s">
        <v>3360</v>
      </c>
      <c r="D457" s="51" t="str">
        <f>IF(Table26[[#This Row],[customerSKU]]="","","null")</f>
        <v>null</v>
      </c>
      <c r="E457" s="51"/>
      <c r="F45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57" s="46"/>
      <c r="H457" s="53"/>
      <c r="I457" s="53" t="s">
        <v>3862</v>
      </c>
      <c r="J457" s="53" t="s">
        <v>533</v>
      </c>
      <c r="K457" s="48">
        <v>45583</v>
      </c>
      <c r="L457" s="49" t="str">
        <f>IF(Table26[[#This Row],[customerSKU]]="","",_xlfn.XLOOKUP(Table26[[#This Row],[customerSKU]],customerSKU!G:G,customerSKU!B:B,"",0,1))</f>
        <v/>
      </c>
      <c r="M457" s="53"/>
      <c r="N457" s="77" t="str">
        <f>Table26[[#This Row],[po_number]]&amp;"-"&amp;Table26[[#This Row],[po_line]]</f>
        <v>-1</v>
      </c>
      <c r="O457" s="77">
        <v>1</v>
      </c>
      <c r="P457" s="50"/>
      <c r="Q457" s="53"/>
      <c r="R457" s="53"/>
      <c r="S457" s="53" t="str">
        <f>IF(Table26[[#This Row],[customerSKU]]="","",_xlfn.XLOOKUP(Table26[[#This Row],[customerSKU]],customerSKU!G:G,customerSKU!N:N,"NOT FOUND",0,1))</f>
        <v>NOT FOUND</v>
      </c>
      <c r="T457" s="20"/>
      <c r="U457" s="52">
        <v>12</v>
      </c>
      <c r="V457" s="53" t="str">
        <f>IF(ISBLANK(Table26[[#This Row],[customerSKU]]),"",_xlfn.XLOOKUP(Table26[[#This Row],[customerSKU]],Table27[customer_SKU],Table27[case_size],"",0,1))</f>
        <v/>
      </c>
      <c r="W457" s="116" t="str">
        <f t="shared" si="16"/>
        <v/>
      </c>
      <c r="X457" s="53" t="str">
        <f t="shared" si="17"/>
        <v/>
      </c>
      <c r="Y457" s="53" t="str">
        <f>IF(Table26[[#This Row],[customerSKU]]="","",_xlfn.XLOOKUP(Table26[[#This Row],[customerSKU]],Table27[customer_SKU],Table27[product_GTIN],"",0,1))</f>
        <v/>
      </c>
      <c r="Z457" s="25" t="s">
        <v>3452</v>
      </c>
      <c r="AA457" s="18" t="str" cm="1">
        <f t="array" ref="AA457">IF(P457="", "", _xlfn.XLOOKUP(P457,#REF!,#REF!,NA,0,-1))</f>
        <v/>
      </c>
      <c r="AB457" s="53"/>
      <c r="AC457" s="55" t="s">
        <v>120</v>
      </c>
      <c r="AD457" s="55" t="str">
        <f>IF($AC457="","",_xlfn.XLOOKUP($AC457,'[2]Client Info'!$C$2:$C$2535,'[2]Client Info'!$D$2:$D$2535,"",0,1))</f>
        <v>UNIT 1, 330 PORTAGE AVE</v>
      </c>
      <c r="AE457" s="55" t="str">
        <f>IF($AC457="","",_xlfn.XLOOKUP($AC457,'[2]Client Info'!$C$2:$C$2715,'[2]Client Info'!$E$2:$E$2715,"",))</f>
        <v>WINNIPEG</v>
      </c>
      <c r="AF457" s="55" t="str">
        <f>IF($AC457="","",_xlfn.XLOOKUP($AC457,'[2]Client Info'!$C$2:$C$2715,'[2]Client Info'!$F$2:$F$2715,"",0,1))</f>
        <v>MB</v>
      </c>
      <c r="AG457" s="55" t="str">
        <f>IF(ISBLANK(Table26[[#This Row],[customerSKU]]),"",_xlfn.XLOOKUP(Table26[[#This Row],[customerSKU]],Table27[customer_SKU],Table27[billto],"",0,1))</f>
        <v/>
      </c>
      <c r="AH457" s="62" t="str">
        <f>_xlfn.XLOOKUP(Table26[[#This Row],[customerSKU]],customerSKU!G:G,customerSKU!K:K,"NA",0,1)</f>
        <v>NA</v>
      </c>
      <c r="AI457" s="43" t="str">
        <f>_xlfn.XLOOKUP(Table26[[#This Row],[customerSKU]],customerSKU!G:G,customerSKU!O:O,"not found",0,1)</f>
        <v>not found</v>
      </c>
      <c r="AJ457" s="53" t="e">
        <f>Table26[[#This Row],[unitprice]]*Table26[[#This Row],[quantity_unit]]</f>
        <v>#VALUE!</v>
      </c>
      <c r="AK457" s="53" t="e" cm="1">
        <f t="array" ref="AK4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58" spans="1:37" ht="18" customHeight="1">
      <c r="A458" s="42">
        <v>1792</v>
      </c>
      <c r="B458" s="58" t="s">
        <v>3520</v>
      </c>
      <c r="C458" s="53" t="s">
        <v>203</v>
      </c>
      <c r="D458" s="387" t="str">
        <f>IF(Table26[[#This Row],[customerSKU]]="","","null")</f>
        <v>null</v>
      </c>
      <c r="E458" s="387"/>
      <c r="F458" s="77" t="str">
        <f>IF(OR(ISNUMBER(SEARCH("OCS",Table26[[#This Row],[sales_stream]])),ISNUMBER(SEARCH("AGLC",Table26[[#This Row],[sales_stream]])),ISNUMBER(SEARCH("BCLDB",Table26[[#This Row],[sales_stream]]))),"NEED BOOKING","")</f>
        <v/>
      </c>
      <c r="G458" s="388"/>
      <c r="H458" s="77"/>
      <c r="I458" s="77" t="s">
        <v>3775</v>
      </c>
      <c r="J458" s="53" t="s">
        <v>3768</v>
      </c>
      <c r="K458" s="106">
        <v>45587</v>
      </c>
      <c r="L458" s="49" t="s">
        <v>201</v>
      </c>
      <c r="M458" s="77"/>
      <c r="N458" s="77" t="str">
        <f>Table26[[#This Row],[po_number]]&amp;"-"&amp;Table26[[#This Row],[po_line]]</f>
        <v>-1</v>
      </c>
      <c r="O458" s="77">
        <v>1</v>
      </c>
      <c r="P458" s="50"/>
      <c r="Q458" s="77" t="s">
        <v>3793</v>
      </c>
      <c r="R458" s="77" t="s">
        <v>3794</v>
      </c>
      <c r="S458" s="53" t="s">
        <v>3770</v>
      </c>
      <c r="T458" s="51">
        <v>45422</v>
      </c>
      <c r="U458" s="104">
        <v>114</v>
      </c>
      <c r="V458" s="53">
        <v>0</v>
      </c>
      <c r="W458" s="390" t="str">
        <f t="shared" si="16"/>
        <v/>
      </c>
      <c r="X458" s="53" t="str">
        <f>IFERROR($AA457*$U457, "")</f>
        <v/>
      </c>
      <c r="Y458" s="53" t="s">
        <v>204</v>
      </c>
      <c r="Z458" s="60" t="s">
        <v>204</v>
      </c>
      <c r="AA458" s="18" t="str" cm="1">
        <f t="array" ref="AA458">IF(P458="", "", _xlfn.XLOOKUP(P458,#REF!,#REF!,NA,0,-1))</f>
        <v/>
      </c>
      <c r="AB458" s="89"/>
      <c r="AC458" s="55" t="s">
        <v>3795</v>
      </c>
      <c r="AD458" s="55" t="str">
        <f>IF($AC458="","",_xlfn.XLOOKUP($AC458,'[2]Client Info'!$C$2:$C$2535,'[2]Client Info'!$D$2:$D$2535,"",0,1))</f>
        <v>#201 – 1420 Alpha Lake Road</v>
      </c>
      <c r="AE458" s="55" t="str">
        <f>IF($AC458="","",_xlfn.XLOOKUP($AC458,'[2]Client Info'!$C$2:$C$2715,'[2]Client Info'!$E$2:$E$2715,"",))</f>
        <v>Whistler</v>
      </c>
      <c r="AF458" s="55" t="str">
        <f>IF($AC458="","",_xlfn.XLOOKUP($AC458,'[2]Client Info'!$C$2:$C$2715,'[2]Client Info'!$F$2:$F$2715,"",0,1))</f>
        <v>BC</v>
      </c>
      <c r="AG458" s="55" t="s">
        <v>3795</v>
      </c>
      <c r="AH458" s="62">
        <v>0</v>
      </c>
      <c r="AI458" s="43" t="str">
        <f>_xlfn.XLOOKUP(Table26[[#This Row],[customerSKU]],customerSKU!G:G,customerSKU!O:O,"not found",0,1)</f>
        <v>not found</v>
      </c>
      <c r="AJ458" s="59">
        <f>Table26[[#This Row],[unitprice]]*Table26[[#This Row],[quantity_unit]]</f>
        <v>0</v>
      </c>
      <c r="AK458" s="59" t="e" cm="1">
        <f t="array" ref="AK4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59" spans="1:37" ht="18" customHeight="1">
      <c r="A459" s="42">
        <v>1789</v>
      </c>
      <c r="B459" s="249" t="s">
        <v>3520</v>
      </c>
      <c r="C459" s="90" t="s">
        <v>203</v>
      </c>
      <c r="D459" s="235" t="str">
        <f>IF(Table26[[#This Row],[customerSKU]]="","","null")</f>
        <v>null</v>
      </c>
      <c r="E459" s="235"/>
      <c r="F459" s="90"/>
      <c r="G459" s="119"/>
      <c r="H459" s="90"/>
      <c r="I459" s="90" t="s">
        <v>3862</v>
      </c>
      <c r="J459" s="90" t="str">
        <f>IF(Table26[[#This Row],[customerSKU]]="","",_xlfn.XLOOKUP(Table26[[#This Row],[customerSKU]],customerSKU!G:G,customerSKU!A:A,"",0,1))</f>
        <v/>
      </c>
      <c r="K459" s="265">
        <v>45588</v>
      </c>
      <c r="L459" s="233" t="str">
        <f>IF(Table26[[#This Row],[customerSKU]]="","",_xlfn.XLOOKUP(Table26[[#This Row],[customerSKU]],customerSKU!G:G,customerSKU!B:B,"",0,1))</f>
        <v/>
      </c>
      <c r="M459" s="90"/>
      <c r="N459" s="55" t="str">
        <f>Table26[[#This Row],[po_number]]&amp;"-"&amp;Table26[[#This Row],[po_line]]</f>
        <v>-1</v>
      </c>
      <c r="O459" s="55">
        <v>1</v>
      </c>
      <c r="P459" s="234"/>
      <c r="Q459" s="90">
        <v>2024092002</v>
      </c>
      <c r="R459" s="90" t="s">
        <v>569</v>
      </c>
      <c r="S459" s="90" t="str">
        <f>IF(Table26[[#This Row],[customerSKU]]="","",_xlfn.XLOOKUP(Table26[[#This Row],[customerSKU]],customerSKU!G:G,customerSKU!N:N,"NOT FOUND",0,1))</f>
        <v>NOT FOUND</v>
      </c>
      <c r="T459" s="20">
        <v>45581</v>
      </c>
      <c r="U459" s="236">
        <v>1149</v>
      </c>
      <c r="V459" s="90" t="str">
        <f>IF(ISBLANK(Table26[[#This Row],[customerSKU]]),"",_xlfn.XLOOKUP(Table26[[#This Row],[customerSKU]],Table27[customer_SKU],Table27[case_size],"",0,1))</f>
        <v/>
      </c>
      <c r="W459" s="237" t="str">
        <f t="shared" si="16"/>
        <v/>
      </c>
      <c r="X459" s="90" t="str">
        <f t="shared" ref="X459:X488" si="18">IFERROR($AA459*$U459, "")</f>
        <v/>
      </c>
      <c r="Y459" s="90" t="str">
        <f>IF(Table26[[#This Row],[customerSKU]]="","",_xlfn.XLOOKUP(Table26[[#This Row],[customerSKU]],Table27[customer_SKU],Table27[product_GTIN],"",0,1))</f>
        <v/>
      </c>
      <c r="Z459" s="90">
        <v>1067178</v>
      </c>
      <c r="AA459" s="18" t="str" cm="1">
        <f t="array" ref="AA459">IF(P459="", "", _xlfn.XLOOKUP(P459,#REF!,#REF!,NA,0,-1))</f>
        <v/>
      </c>
      <c r="AB459" s="90"/>
      <c r="AC459" s="55" t="str">
        <f>IF(Table26[[#This Row],[customerSKU]]="","",_xlfn.XLOOKUP(Table26[[#This Row],[customerSKU]],customerSKU!G:G,customerSKU!C:C,"",0,1))</f>
        <v/>
      </c>
      <c r="AD459" s="55" t="str">
        <f>IF($AC459="","",_xlfn.XLOOKUP($AC459,'[2]Client Info'!$C$2:$C$2535,'[2]Client Info'!$D$2:$D$2535,"",0,1))</f>
        <v/>
      </c>
      <c r="AE459" s="55" t="str">
        <f>IF($AC459="","",_xlfn.XLOOKUP($AC459,'[2]Client Info'!$C$2:$C$2715,'[2]Client Info'!$E$2:$E$2715,"",))</f>
        <v/>
      </c>
      <c r="AF459" s="55" t="str">
        <f>IF($AC459="","",_xlfn.XLOOKUP($AC459,'[2]Client Info'!$C$2:$C$2715,'[2]Client Info'!$F$2:$F$2715,"",0,1))</f>
        <v/>
      </c>
      <c r="AG459" s="55" t="str">
        <f>IF(ISBLANK(Table26[[#This Row],[customerSKU]]),"",_xlfn.XLOOKUP(Table26[[#This Row],[customerSKU]],Table27[customer_SKU],Table27[billto],"",0,1))</f>
        <v/>
      </c>
      <c r="AH459" s="245" t="str">
        <f>_xlfn.XLOOKUP(Table26[[#This Row],[customerSKU]],customerSKU!G:G,customerSKU!K:K,"NA",0,1)</f>
        <v>NA</v>
      </c>
      <c r="AI459" s="43" t="str">
        <f>_xlfn.XLOOKUP(Table26[[#This Row],[customerSKU]],customerSKU!G:G,customerSKU!O:O,"not found",0,1)</f>
        <v>not found</v>
      </c>
      <c r="AJ459" s="53" t="e">
        <f>Table26[[#This Row],[unitprice]]*Table26[[#This Row],[quantity_unit]]</f>
        <v>#VALUE!</v>
      </c>
      <c r="AK459" s="53" t="e" cm="1">
        <f t="array" ref="AK4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0" spans="1:37" ht="18" customHeight="1">
      <c r="A460" s="42">
        <v>1790</v>
      </c>
      <c r="B460" s="249" t="s">
        <v>3520</v>
      </c>
      <c r="C460" s="90" t="s">
        <v>203</v>
      </c>
      <c r="D460" s="235" t="str">
        <f>IF(Table26[[#This Row],[customerSKU]]="","","null")</f>
        <v>null</v>
      </c>
      <c r="E460" s="235"/>
      <c r="F46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60" s="119"/>
      <c r="H460" s="90"/>
      <c r="I460" s="90" t="s">
        <v>3862</v>
      </c>
      <c r="J460" s="90" t="str">
        <f>IF(Table26[[#This Row],[customerSKU]]="","",_xlfn.XLOOKUP(Table26[[#This Row],[customerSKU]],customerSKU!G:G,customerSKU!A:A,"",0,1))</f>
        <v/>
      </c>
      <c r="K460" s="232">
        <v>45588</v>
      </c>
      <c r="L460" s="233" t="str">
        <f>IF(Table26[[#This Row],[customerSKU]]="","",_xlfn.XLOOKUP(Table26[[#This Row],[customerSKU]],customerSKU!G:G,customerSKU!B:B,"",0,1))</f>
        <v/>
      </c>
      <c r="M460" s="90"/>
      <c r="N460" s="55" t="str">
        <f>Table26[[#This Row],[po_number]]&amp;"-"&amp;Table26[[#This Row],[po_line]]</f>
        <v>-2</v>
      </c>
      <c r="O460" s="55">
        <v>2</v>
      </c>
      <c r="P460" s="234"/>
      <c r="Q460" s="90">
        <v>2024092003</v>
      </c>
      <c r="R460" s="90" t="s">
        <v>569</v>
      </c>
      <c r="S460" s="90" t="str">
        <f>IF(Table26[[#This Row],[customerSKU]]="","",_xlfn.XLOOKUP(Table26[[#This Row],[customerSKU]],customerSKU!G:G,customerSKU!N:N,"NOT FOUND",0,1))</f>
        <v>NOT FOUND</v>
      </c>
      <c r="T460" s="20">
        <v>45581</v>
      </c>
      <c r="U460" s="236">
        <v>411</v>
      </c>
      <c r="V460" s="90" t="str">
        <f>IF(ISBLANK(Table26[[#This Row],[customerSKU]]),"",_xlfn.XLOOKUP(Table26[[#This Row],[customerSKU]],Table27[customer_SKU],Table27[case_size],"",0,1))</f>
        <v/>
      </c>
      <c r="W460" s="237" t="str">
        <f t="shared" si="16"/>
        <v/>
      </c>
      <c r="X460" s="90" t="str">
        <f t="shared" si="18"/>
        <v/>
      </c>
      <c r="Y460" s="90" t="str">
        <f>IF(Table26[[#This Row],[customerSKU]]="","",_xlfn.XLOOKUP(Table26[[#This Row],[customerSKU]],Table27[customer_SKU],Table27[product_GTIN],"",0,1))</f>
        <v/>
      </c>
      <c r="Z460" s="90">
        <v>1067178</v>
      </c>
      <c r="AA460" s="18" t="str" cm="1">
        <f t="array" ref="AA460">IF(P460="", "", _xlfn.XLOOKUP(P460,#REF!,#REF!,NA,0,-1))</f>
        <v/>
      </c>
      <c r="AB460" s="90"/>
      <c r="AC460" s="55" t="str">
        <f>IF(Table26[[#This Row],[customerSKU]]="","",_xlfn.XLOOKUP(Table26[[#This Row],[customerSKU]],customerSKU!G:G,customerSKU!C:C,"",0,1))</f>
        <v/>
      </c>
      <c r="AD460" s="55" t="str">
        <f>IF($AC460="","",_xlfn.XLOOKUP($AC460,'[2]Client Info'!$C$2:$C$2535,'[2]Client Info'!$D$2:$D$2535,"",0,1))</f>
        <v/>
      </c>
      <c r="AE460" s="55" t="str">
        <f>IF($AC460="","",_xlfn.XLOOKUP($AC460,'[2]Client Info'!$C$2:$C$2715,'[2]Client Info'!$E$2:$E$2715,"",))</f>
        <v/>
      </c>
      <c r="AF460" s="55" t="str">
        <f>IF($AC460="","",_xlfn.XLOOKUP($AC460,'[2]Client Info'!$C$2:$C$2715,'[2]Client Info'!$F$2:$F$2715,"",0,1))</f>
        <v/>
      </c>
      <c r="AG460" s="55" t="str">
        <f>IF(ISBLANK(Table26[[#This Row],[customerSKU]]),"",_xlfn.XLOOKUP(Table26[[#This Row],[customerSKU]],Table27[customer_SKU],Table27[billto],"",0,1))</f>
        <v/>
      </c>
      <c r="AH460" s="245" t="str">
        <f>_xlfn.XLOOKUP(Table26[[#This Row],[customerSKU]],customerSKU!G:G,customerSKU!K:K,"NA",0,1)</f>
        <v>NA</v>
      </c>
      <c r="AI460" s="43" t="str">
        <f>_xlfn.XLOOKUP(Table26[[#This Row],[customerSKU]],customerSKU!G:G,customerSKU!O:O,"not found",0,1)</f>
        <v>not found</v>
      </c>
      <c r="AJ460" s="53" t="e">
        <f>Table26[[#This Row],[unitprice]]*Table26[[#This Row],[quantity_unit]]</f>
        <v>#VALUE!</v>
      </c>
      <c r="AK460" s="53" t="e" cm="1">
        <f t="array" ref="AK4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1" spans="1:37" ht="24.6" customHeight="1">
      <c r="A461" s="42">
        <v>1791</v>
      </c>
      <c r="B461" s="249" t="s">
        <v>3520</v>
      </c>
      <c r="C461" s="90" t="s">
        <v>203</v>
      </c>
      <c r="D461" s="235" t="str">
        <f>IF(Table26[[#This Row],[customerSKU]]="","","null")</f>
        <v>null</v>
      </c>
      <c r="E461" s="235"/>
      <c r="F46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61" s="119"/>
      <c r="H461" s="90"/>
      <c r="I461" s="90" t="s">
        <v>3862</v>
      </c>
      <c r="J461" s="90" t="str">
        <f>IF(Table26[[#This Row],[customerSKU]]="","",_xlfn.XLOOKUP(Table26[[#This Row],[customerSKU]],customerSKU!G:G,customerSKU!A:A,"",0,1))</f>
        <v/>
      </c>
      <c r="K461" s="232">
        <v>45588</v>
      </c>
      <c r="L461" s="233" t="str">
        <f>IF(Table26[[#This Row],[customerSKU]]="","",_xlfn.XLOOKUP(Table26[[#This Row],[customerSKU]],customerSKU!G:G,customerSKU!B:B,"",0,1))</f>
        <v/>
      </c>
      <c r="M461" s="90"/>
      <c r="N461" s="55" t="str">
        <f>Table26[[#This Row],[po_number]]&amp;"-"&amp;Table26[[#This Row],[po_line]]</f>
        <v>-3</v>
      </c>
      <c r="O461" s="55">
        <v>3</v>
      </c>
      <c r="P461" s="234"/>
      <c r="Q461" s="90">
        <v>2024092001</v>
      </c>
      <c r="R461" s="90" t="s">
        <v>569</v>
      </c>
      <c r="S461" s="90" t="str">
        <f>IF(Table26[[#This Row],[customerSKU]]="","",_xlfn.XLOOKUP(Table26[[#This Row],[customerSKU]],customerSKU!G:G,customerSKU!N:N,"NOT FOUND",0,1))</f>
        <v>NOT FOUND</v>
      </c>
      <c r="T461" s="20">
        <v>45581</v>
      </c>
      <c r="U461" s="236">
        <f>12*74</f>
        <v>888</v>
      </c>
      <c r="V461" s="90" t="str">
        <f>IF(ISBLANK(Table26[[#This Row],[customerSKU]]),"",_xlfn.XLOOKUP(Table26[[#This Row],[customerSKU]],Table27[customer_SKU],Table27[case_size],"",0,1))</f>
        <v/>
      </c>
      <c r="W461" s="237" t="str">
        <f t="shared" si="16"/>
        <v/>
      </c>
      <c r="X461" s="90" t="str">
        <f t="shared" si="18"/>
        <v/>
      </c>
      <c r="Y461" s="90" t="str">
        <f>IF(Table26[[#This Row],[customerSKU]]="","",_xlfn.XLOOKUP(Table26[[#This Row],[customerSKU]],Table27[customer_SKU],Table27[product_GTIN],"",0,1))</f>
        <v/>
      </c>
      <c r="Z461" s="90">
        <v>1067179</v>
      </c>
      <c r="AA461" s="18" t="str" cm="1">
        <f t="array" ref="AA461">IF(P461="", "", _xlfn.XLOOKUP(P461,#REF!,#REF!,NA,0,-1))</f>
        <v/>
      </c>
      <c r="AB461" s="90"/>
      <c r="AC461" s="55" t="str">
        <f>IF(Table26[[#This Row],[customerSKU]]="","",_xlfn.XLOOKUP(Table26[[#This Row],[customerSKU]],customerSKU!G:G,customerSKU!C:C,"",0,1))</f>
        <v/>
      </c>
      <c r="AD461" s="55" t="str">
        <f>IF($AC461="","",_xlfn.XLOOKUP($AC461,'[2]Client Info'!$C$2:$C$2535,'[2]Client Info'!$D$2:$D$2535,"",0,1))</f>
        <v/>
      </c>
      <c r="AE461" s="55" t="str">
        <f>IF($AC461="","",_xlfn.XLOOKUP($AC461,'[2]Client Info'!$C$2:$C$2715,'[2]Client Info'!$E$2:$E$2715,"",))</f>
        <v/>
      </c>
      <c r="AF461" s="55" t="str">
        <f>IF($AC461="","",_xlfn.XLOOKUP($AC461,'[2]Client Info'!$C$2:$C$2715,'[2]Client Info'!$F$2:$F$2715,"",0,1))</f>
        <v/>
      </c>
      <c r="AG461" s="55" t="str">
        <f>IF(ISBLANK(Table26[[#This Row],[customerSKU]]),"",_xlfn.XLOOKUP(Table26[[#This Row],[customerSKU]],Table27[customer_SKU],Table27[billto],"",0,1))</f>
        <v/>
      </c>
      <c r="AH461" s="245" t="str">
        <f>_xlfn.XLOOKUP(Table26[[#This Row],[customerSKU]],customerSKU!G:G,customerSKU!K:K,"NA",0,1)</f>
        <v>NA</v>
      </c>
      <c r="AI461" s="43" t="str">
        <f>_xlfn.XLOOKUP(Table26[[#This Row],[customerSKU]],customerSKU!G:G,customerSKU!O:O,"not found",0,1)</f>
        <v>not found</v>
      </c>
      <c r="AJ461" s="53" t="e">
        <f>Table26[[#This Row],[unitprice]]*Table26[[#This Row],[quantity_unit]]</f>
        <v>#VALUE!</v>
      </c>
      <c r="AK461" s="53" t="e" cm="1">
        <f t="array" ref="AK4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2" spans="1:37" ht="24.6" customHeight="1">
      <c r="A462" s="42">
        <v>1786</v>
      </c>
      <c r="B462" s="58" t="s">
        <v>3520</v>
      </c>
      <c r="C462" s="43" t="s">
        <v>203</v>
      </c>
      <c r="D462" s="51">
        <v>44500</v>
      </c>
      <c r="E462" s="78" t="s">
        <v>3924</v>
      </c>
      <c r="F462" s="46" t="s">
        <v>3925</v>
      </c>
      <c r="G462" s="46"/>
      <c r="H462" s="53" t="s">
        <v>3803</v>
      </c>
      <c r="I462" s="19" t="s">
        <v>3862</v>
      </c>
      <c r="J462" s="53" t="s">
        <v>603</v>
      </c>
      <c r="K462" s="19">
        <v>45590</v>
      </c>
      <c r="L462" s="49" t="s">
        <v>490</v>
      </c>
      <c r="M462" s="53"/>
      <c r="N462" s="77" t="str">
        <f>Table26[[#This Row],[po_number]]&amp;"-"&amp;Table26[[#This Row],[po_line]]</f>
        <v>-1</v>
      </c>
      <c r="O462" s="77">
        <v>1</v>
      </c>
      <c r="P462" s="50"/>
      <c r="Q462" s="53" t="s">
        <v>1376</v>
      </c>
      <c r="R462" s="53" t="s">
        <v>3428</v>
      </c>
      <c r="S462" s="53" t="str">
        <f>IF(Table26[[#This Row],[customerSKU]]="","",_xlfn.XLOOKUP(Table26[[#This Row],[customerSKU]],customerSKU!G:G,customerSKU!N:N,"NOT FOUND",0,1))</f>
        <v>NOT FOUND</v>
      </c>
      <c r="T462" s="51">
        <v>45588</v>
      </c>
      <c r="U462" s="52">
        <v>60</v>
      </c>
      <c r="V462" s="53">
        <v>12</v>
      </c>
      <c r="W462" s="116">
        <f t="shared" si="16"/>
        <v>5</v>
      </c>
      <c r="X462" s="53" t="str">
        <f t="shared" si="18"/>
        <v/>
      </c>
      <c r="Y462" s="53" t="str">
        <f>IF(Table26[[#This Row],[customerSKU]]="","",_xlfn.XLOOKUP(Table26[[#This Row],[customerSKU]],Table27[customer_SKU],Table27[product_GTIN],"",0,1))</f>
        <v/>
      </c>
      <c r="Z462" s="25" t="s">
        <v>3409</v>
      </c>
      <c r="AA462" s="18" t="str" cm="1">
        <f t="array" ref="AA462">IF(P462="", "", _xlfn.XLOOKUP(P462,#REF!,#REF!,NA,0,-1))</f>
        <v/>
      </c>
      <c r="AB462" s="53"/>
      <c r="AC462" s="55" t="s">
        <v>37</v>
      </c>
      <c r="AD462" s="55" t="str">
        <f>IF($AC462="","",_xlfn.XLOOKUP($AC462,'[2]Client Info'!$C$2:$C$2535,'[2]Client Info'!$D$2:$D$2535))</f>
        <v>55 Quarterman Road</v>
      </c>
      <c r="AE462" s="55" t="str">
        <f>IF($AC462="","",_xlfn.XLOOKUP($AC462,'[2]Client Info'!$C$2:$C$2715,'[2]Client Info'!$E$2:$E$2715))</f>
        <v>Guelph</v>
      </c>
      <c r="AF462" s="55" t="str">
        <f>IF($AC462="","",_xlfn.XLOOKUP($AC462,'[2]Client Info'!$C$2:$C$2715,'[2]Client Info'!$F$2:$F$2715))</f>
        <v>ON</v>
      </c>
      <c r="AG462" s="55" t="s">
        <v>37</v>
      </c>
      <c r="AH462" s="62" t="str">
        <f>_xlfn.XLOOKUP(Table26[[#This Row],[customerSKU]],customerSKU!G:G,customerSKU!K:K,"NA",0,1)</f>
        <v>NA</v>
      </c>
      <c r="AI462" s="43" t="str">
        <f>_xlfn.XLOOKUP(Table26[[#This Row],[customerSKU]],customerSKU!G:G,customerSKU!O:O,"not found",0,1)</f>
        <v>not found</v>
      </c>
      <c r="AJ462" s="59" t="e">
        <f>Table26[[#This Row],[unitprice]]*Table26[[#This Row],[quantity_unit]]</f>
        <v>#VALUE!</v>
      </c>
      <c r="AK462" s="59" t="e" cm="1">
        <f t="array" ref="AK4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3" spans="1:37" ht="24.6" customHeight="1">
      <c r="A463" s="42">
        <v>1787</v>
      </c>
      <c r="B463" s="58" t="s">
        <v>3520</v>
      </c>
      <c r="C463" s="43" t="s">
        <v>203</v>
      </c>
      <c r="D463" s="51">
        <v>44500</v>
      </c>
      <c r="E463" s="78" t="s">
        <v>3924</v>
      </c>
      <c r="F463" s="46" t="s">
        <v>3925</v>
      </c>
      <c r="G463" s="46"/>
      <c r="H463" s="53" t="s">
        <v>3803</v>
      </c>
      <c r="I463" s="19" t="s">
        <v>3862</v>
      </c>
      <c r="J463" s="53" t="s">
        <v>603</v>
      </c>
      <c r="K463" s="19">
        <v>45590</v>
      </c>
      <c r="L463" s="49" t="s">
        <v>490</v>
      </c>
      <c r="M463" s="53"/>
      <c r="N463" s="77" t="str">
        <f>Table26[[#This Row],[po_number]]&amp;"-"&amp;Table26[[#This Row],[po_line]]</f>
        <v>-2</v>
      </c>
      <c r="O463" s="77">
        <v>2</v>
      </c>
      <c r="P463" s="50"/>
      <c r="Q463" s="53" t="s">
        <v>2112</v>
      </c>
      <c r="R463" s="53" t="s">
        <v>3428</v>
      </c>
      <c r="S463" s="53" t="str">
        <f>IF(Table26[[#This Row],[customerSKU]]="","",_xlfn.XLOOKUP(Table26[[#This Row],[customerSKU]],customerSKU!G:G,customerSKU!N:N,"NOT FOUND",0,1))</f>
        <v>NOT FOUND</v>
      </c>
      <c r="T463" s="51">
        <v>45550</v>
      </c>
      <c r="U463" s="52">
        <v>84</v>
      </c>
      <c r="V463" s="53">
        <v>12</v>
      </c>
      <c r="W463" s="116">
        <f t="shared" si="16"/>
        <v>7</v>
      </c>
      <c r="X463" s="53" t="str">
        <f t="shared" si="18"/>
        <v/>
      </c>
      <c r="Y463" s="53" t="str">
        <f>IF(Table26[[#This Row],[customerSKU]]="","",_xlfn.XLOOKUP(Table26[[#This Row],[customerSKU]],Table27[customer_SKU],Table27[product_GTIN],"",0,1))</f>
        <v/>
      </c>
      <c r="Z463" s="25" t="s">
        <v>3363</v>
      </c>
      <c r="AA463" s="18" t="str" cm="1">
        <f t="array" ref="AA463">IF(P463="", "", _xlfn.XLOOKUP(P463,#REF!,#REF!,NA,0,-1))</f>
        <v/>
      </c>
      <c r="AB463" s="53"/>
      <c r="AC463" s="55" t="s">
        <v>37</v>
      </c>
      <c r="AD463" s="55" t="str">
        <f>IF($AC463="","",_xlfn.XLOOKUP($AC463,'[2]Client Info'!$C$2:$C$2535,'[2]Client Info'!$D$2:$D$2535))</f>
        <v>55 Quarterman Road</v>
      </c>
      <c r="AE463" s="55" t="str">
        <f>IF($AC463="","",_xlfn.XLOOKUP($AC463,'[2]Client Info'!$C$2:$C$2715,'[2]Client Info'!$E$2:$E$2715))</f>
        <v>Guelph</v>
      </c>
      <c r="AF463" s="55" t="str">
        <f>IF($AC463="","",_xlfn.XLOOKUP($AC463,'[2]Client Info'!$C$2:$C$2715,'[2]Client Info'!$F$2:$F$2715))</f>
        <v>ON</v>
      </c>
      <c r="AG463" s="55" t="s">
        <v>37</v>
      </c>
      <c r="AH463" s="62" t="str">
        <f>_xlfn.XLOOKUP(Table26[[#This Row],[customerSKU]],customerSKU!G:G,customerSKU!K:K,"NA",0,1)</f>
        <v>NA</v>
      </c>
      <c r="AI463" s="43" t="str">
        <f>_xlfn.XLOOKUP(Table26[[#This Row],[customerSKU]],customerSKU!G:G,customerSKU!O:O,"not found",0,1)</f>
        <v>not found</v>
      </c>
      <c r="AJ463" s="59" t="e">
        <f>Table26[[#This Row],[unitprice]]*Table26[[#This Row],[quantity_unit]]</f>
        <v>#VALUE!</v>
      </c>
      <c r="AK463" s="59" t="e" cm="1">
        <f t="array" ref="AK4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4" spans="1:37" ht="24.6" customHeight="1">
      <c r="A464" s="42">
        <v>1788</v>
      </c>
      <c r="B464" s="58" t="s">
        <v>3837</v>
      </c>
      <c r="C464" s="53" t="s">
        <v>203</v>
      </c>
      <c r="D464" s="51" t="s">
        <v>3770</v>
      </c>
      <c r="E464" s="51"/>
      <c r="F464" s="53"/>
      <c r="G464" s="46"/>
      <c r="H464" s="53" t="s">
        <v>3803</v>
      </c>
      <c r="I464" s="53" t="s">
        <v>3862</v>
      </c>
      <c r="J464" s="53" t="s">
        <v>3838</v>
      </c>
      <c r="K464" s="48">
        <v>45590</v>
      </c>
      <c r="L464" s="49" t="s">
        <v>201</v>
      </c>
      <c r="M464" s="53"/>
      <c r="N464" s="77" t="str">
        <f>Table26[[#This Row],[po_number]]&amp;"-"&amp;Table26[[#This Row],[po_line]]</f>
        <v>-1</v>
      </c>
      <c r="O464" s="77">
        <v>1</v>
      </c>
      <c r="P464" s="50"/>
      <c r="Q464" s="53" t="s">
        <v>3953</v>
      </c>
      <c r="R464" s="53" t="s">
        <v>569</v>
      </c>
      <c r="S464" s="53" t="s">
        <v>3950</v>
      </c>
      <c r="T464" s="20">
        <v>45587</v>
      </c>
      <c r="U464" s="52">
        <f>100*12</f>
        <v>1200</v>
      </c>
      <c r="V464" s="53">
        <v>12</v>
      </c>
      <c r="W464" s="116">
        <f t="shared" si="16"/>
        <v>100</v>
      </c>
      <c r="X464" s="53" t="str">
        <f t="shared" si="18"/>
        <v/>
      </c>
      <c r="Y464" s="53" t="str">
        <f>IF(Table26[[#This Row],[customerSKU]]="","",_xlfn.XLOOKUP(Table26[[#This Row],[customerSKU]],Table27[customer_SKU],Table27[product_GTIN],"",0,1))</f>
        <v/>
      </c>
      <c r="Z464" s="60" t="s">
        <v>3954</v>
      </c>
      <c r="AA464" s="18" t="str" cm="1">
        <f t="array" ref="AA464">IF(P464="", "", _xlfn.XLOOKUP(P464,#REF!,#REF!,NA,0,-1))</f>
        <v/>
      </c>
      <c r="AB464" s="53"/>
      <c r="AC464" s="55" t="str">
        <f>IF(Table26[[#This Row],[customerSKU]]="","",_xlfn.XLOOKUP(Table26[[#This Row],[customerSKU]],customerSKU!G:G,customerSKU!C:C,"",0,1))</f>
        <v/>
      </c>
      <c r="AD464" s="55" t="str">
        <f>IF($AC464="","",_xlfn.XLOOKUP($AC464,'[2]Client Info'!$C$2:$C$2535,'[2]Client Info'!$D$2:$D$2535))</f>
        <v/>
      </c>
      <c r="AE464" s="55" t="str">
        <f>IF($AC464="","",_xlfn.XLOOKUP($AC464,'[2]Client Info'!$C$2:$C$2715,'[2]Client Info'!$E$2:$E$2715))</f>
        <v/>
      </c>
      <c r="AF464" s="55" t="str">
        <f>IF($AC464="","",_xlfn.XLOOKUP($AC464,'[2]Client Info'!$C$2:$C$2715,'[2]Client Info'!$F$2:$F$2715))</f>
        <v/>
      </c>
      <c r="AG464" s="55" t="s">
        <v>9</v>
      </c>
      <c r="AH464" s="62" t="str">
        <f>_xlfn.XLOOKUP(Table26[[#This Row],[customerSKU]],customerSKU!G:G,customerSKU!K:K,"NA",0,1)</f>
        <v>NA</v>
      </c>
      <c r="AI464" s="43" t="str">
        <f>_xlfn.XLOOKUP(Table26[[#This Row],[customerSKU]],customerSKU!G:G,customerSKU!O:O,"not found",0,1)</f>
        <v>not found</v>
      </c>
      <c r="AJ464" s="53" t="e">
        <f>Table26[[#This Row],[unitprice]]*Table26[[#This Row],[quantity_unit]]</f>
        <v>#VALUE!</v>
      </c>
      <c r="AK464" s="53" t="e" cm="1">
        <f t="array" ref="AK4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5" spans="1:37" ht="18" customHeight="1">
      <c r="A465" s="42">
        <v>1783</v>
      </c>
      <c r="B465" s="249" t="s">
        <v>3520</v>
      </c>
      <c r="C465" s="90" t="s">
        <v>203</v>
      </c>
      <c r="D465" s="235" t="str">
        <f>IF(Table26[[#This Row],[customerSKU]]="","","null")</f>
        <v>null</v>
      </c>
      <c r="E465" s="235"/>
      <c r="F46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65" s="119"/>
      <c r="H465" s="90"/>
      <c r="I465" s="90" t="s">
        <v>3862</v>
      </c>
      <c r="J465" s="90" t="str">
        <f>IF(Table26[[#This Row],[customerSKU]]="","",_xlfn.XLOOKUP(Table26[[#This Row],[customerSKU]],customerSKU!G:G,customerSKU!A:A,"",0,1))</f>
        <v/>
      </c>
      <c r="K465" s="232">
        <v>45593</v>
      </c>
      <c r="L465" s="233" t="str">
        <f>IF(Table26[[#This Row],[customerSKU]]="","",_xlfn.XLOOKUP(Table26[[#This Row],[customerSKU]],customerSKU!G:G,customerSKU!B:B,"",0,1))</f>
        <v/>
      </c>
      <c r="M465" s="90"/>
      <c r="N465" s="55" t="str">
        <f>Table26[[#This Row],[po_number]]&amp;"-"&amp;Table26[[#This Row],[po_line]]</f>
        <v>-1</v>
      </c>
      <c r="O465" s="55">
        <v>1</v>
      </c>
      <c r="P465" s="234"/>
      <c r="Q465" s="90" t="s">
        <v>1134</v>
      </c>
      <c r="R465" s="242" t="s">
        <v>569</v>
      </c>
      <c r="S465" s="90" t="str">
        <f>IF(Table26[[#This Row],[customerSKU]]="","",_xlfn.XLOOKUP(Table26[[#This Row],[customerSKU]],customerSKU!G:G,customerSKU!N:N,"NOT FOUND",0,1))</f>
        <v>NOT FOUND</v>
      </c>
      <c r="T465" s="20">
        <v>45574</v>
      </c>
      <c r="U465" s="236">
        <v>12</v>
      </c>
      <c r="V465" s="90" t="str">
        <f>IF(ISBLANK(Table26[[#This Row],[customerSKU]]),"",_xlfn.XLOOKUP(Table26[[#This Row],[customerSKU]],Table27[customer_SKU],Table27[case_size],"",0,1))</f>
        <v/>
      </c>
      <c r="W465" s="237" t="str">
        <f t="shared" si="16"/>
        <v/>
      </c>
      <c r="X465" s="90" t="str">
        <f t="shared" si="18"/>
        <v/>
      </c>
      <c r="Y465" s="90" t="str">
        <f>IF(Table26[[#This Row],[customerSKU]]="","",_xlfn.XLOOKUP(Table26[[#This Row],[customerSKU]],Table27[customer_SKU],Table27[product_GTIN],"",0,1))</f>
        <v/>
      </c>
      <c r="Z465" s="25" t="s">
        <v>3406</v>
      </c>
      <c r="AA465" s="18" t="str" cm="1">
        <f t="array" ref="AA465">IF(P465="", "", _xlfn.XLOOKUP(P465,#REF!,#REF!,NA,0,-1))</f>
        <v/>
      </c>
      <c r="AB465" s="90"/>
      <c r="AC465" s="55" t="s">
        <v>108</v>
      </c>
      <c r="AD465" s="55" t="str">
        <f>IF($AC465="","",_xlfn.XLOOKUP($AC465,'[2]Client Info'!$C$2:$C$2535,'[2]Client Info'!$D$2:$D$2535))</f>
        <v>3277 West Broadway</v>
      </c>
      <c r="AE465" s="55" t="str">
        <f>IF($AC465="","",_xlfn.XLOOKUP($AC465,'[2]Client Info'!$C$2:$C$2715,'[2]Client Info'!$E$2:$E$2715))</f>
        <v>Vancouver</v>
      </c>
      <c r="AF465" s="55" t="str">
        <f>IF($AC465="","",_xlfn.XLOOKUP($AC465,'[2]Client Info'!$C$2:$C$2715,'[2]Client Info'!$F$2:$F$2715))</f>
        <v xml:space="preserve">BC </v>
      </c>
      <c r="AG465" s="55" t="s">
        <v>108</v>
      </c>
      <c r="AH465" s="245" t="str">
        <f>_xlfn.XLOOKUP(Table26[[#This Row],[customerSKU]],customerSKU!G:G,customerSKU!K:K,"NA",0,1)</f>
        <v>NA</v>
      </c>
      <c r="AI465" s="43" t="str">
        <f>_xlfn.XLOOKUP(Table26[[#This Row],[customerSKU]],customerSKU!G:G,customerSKU!O:O,"not found",0,1)</f>
        <v>not found</v>
      </c>
      <c r="AJ465" s="53" t="e">
        <f>Table26[[#This Row],[unitprice]]*Table26[[#This Row],[quantity_unit]]</f>
        <v>#VALUE!</v>
      </c>
      <c r="AK465" s="53" t="e" cm="1">
        <f t="array" ref="AK4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6" spans="1:37" ht="18" customHeight="1">
      <c r="A466" s="42">
        <v>1784</v>
      </c>
      <c r="B466" s="249" t="s">
        <v>3520</v>
      </c>
      <c r="C466" s="90" t="s">
        <v>203</v>
      </c>
      <c r="D466" s="235" t="str">
        <f>IF(Table26[[#This Row],[customerSKU]]="","","null")</f>
        <v>null</v>
      </c>
      <c r="E466" s="235"/>
      <c r="F466" s="90"/>
      <c r="G466" s="119"/>
      <c r="H466" s="90"/>
      <c r="I466" s="90" t="s">
        <v>3862</v>
      </c>
      <c r="J466" s="90" t="str">
        <f>IF(Table26[[#This Row],[customerSKU]]="","",_xlfn.XLOOKUP(Table26[[#This Row],[customerSKU]],customerSKU!G:G,customerSKU!A:A,"",0,1))</f>
        <v/>
      </c>
      <c r="K466" s="232">
        <v>45593</v>
      </c>
      <c r="L466" s="233" t="str">
        <f>IF(Table26[[#This Row],[customerSKU]]="","",_xlfn.XLOOKUP(Table26[[#This Row],[customerSKU]],customerSKU!G:G,customerSKU!B:B,"",0,1))</f>
        <v/>
      </c>
      <c r="M466" s="90"/>
      <c r="N466" s="55" t="str">
        <f>Table26[[#This Row],[po_number]]&amp;"-"&amp;Table26[[#This Row],[po_line]]</f>
        <v>-2</v>
      </c>
      <c r="O466" s="55">
        <v>2</v>
      </c>
      <c r="P466" s="234"/>
      <c r="Q466" s="242" t="s">
        <v>1860</v>
      </c>
      <c r="R466" s="88" t="s">
        <v>3973</v>
      </c>
      <c r="S466" s="90" t="str">
        <f>IF(Table26[[#This Row],[customerSKU]]="","",_xlfn.XLOOKUP(Table26[[#This Row],[customerSKU]],customerSKU!G:G,customerSKU!N:N,"NOT FOUND",0,1))</f>
        <v>NOT FOUND</v>
      </c>
      <c r="T466" s="20">
        <v>45574</v>
      </c>
      <c r="U466" s="236">
        <v>8</v>
      </c>
      <c r="V466" s="90" t="str">
        <f>IF(ISBLANK(Table26[[#This Row],[customerSKU]]),"",_xlfn.XLOOKUP(Table26[[#This Row],[customerSKU]],Table27[customer_SKU],Table27[case_size],"",0,1))</f>
        <v/>
      </c>
      <c r="W466" s="237" t="str">
        <f t="shared" si="16"/>
        <v/>
      </c>
      <c r="X466" s="90" t="str">
        <f t="shared" si="18"/>
        <v/>
      </c>
      <c r="Y466" s="90" t="str">
        <f>IF(Table26[[#This Row],[customerSKU]]="","",_xlfn.XLOOKUP(Table26[[#This Row],[customerSKU]],Table27[customer_SKU],Table27[product_GTIN],"",0,1))</f>
        <v/>
      </c>
      <c r="Z466" s="25" t="s">
        <v>3367</v>
      </c>
      <c r="AA466" s="18" t="str" cm="1">
        <f t="array" ref="AA466">IF(P466="", "", _xlfn.XLOOKUP(P466,#REF!,#REF!,NA,0,-1))</f>
        <v/>
      </c>
      <c r="AB466" s="90"/>
      <c r="AC466" s="55" t="s">
        <v>3974</v>
      </c>
      <c r="AD466" s="55" t="str">
        <f>IF($AC466="","",_xlfn.XLOOKUP($AC466,'[2]Client Info'!$C$2:$C$2535,'[2]Client Info'!$D$2:$D$2535))</f>
        <v>3277 West Broadway</v>
      </c>
      <c r="AE466" s="55" t="str">
        <f>IF($AC466="","",_xlfn.XLOOKUP($AC466,'[2]Client Info'!$C$2:$C$2715,'[2]Client Info'!$E$2:$E$2715))</f>
        <v>Vancouver</v>
      </c>
      <c r="AF466" s="55" t="str">
        <f>IF($AC466="","",_xlfn.XLOOKUP($AC466,'[2]Client Info'!$C$2:$C$2715,'[2]Client Info'!$F$2:$F$2715))</f>
        <v xml:space="preserve">BC </v>
      </c>
      <c r="AG466" s="55" t="s">
        <v>108</v>
      </c>
      <c r="AH466" s="245" t="str">
        <f>_xlfn.XLOOKUP(Table26[[#This Row],[customerSKU]],customerSKU!G:G,customerSKU!K:K,"NA",0,1)</f>
        <v>NA</v>
      </c>
      <c r="AI466" s="43" t="str">
        <f>_xlfn.XLOOKUP(Table26[[#This Row],[customerSKU]],customerSKU!G:G,customerSKU!O:O,"not found",0,1)</f>
        <v>not found</v>
      </c>
      <c r="AJ466" s="53" t="e">
        <f>Table26[[#This Row],[unitprice]]*Table26[[#This Row],[quantity_unit]]</f>
        <v>#VALUE!</v>
      </c>
      <c r="AK466" s="53" t="e" cm="1">
        <f t="array" ref="AK4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7" spans="1:37" ht="24.6" customHeight="1">
      <c r="A467" s="42">
        <v>1785</v>
      </c>
      <c r="B467" s="249" t="s">
        <v>3520</v>
      </c>
      <c r="C467" s="90" t="s">
        <v>203</v>
      </c>
      <c r="D467" s="235" t="str">
        <f>IF(Table26[[#This Row],[customerSKU]]="","","null")</f>
        <v>null</v>
      </c>
      <c r="E467" s="235"/>
      <c r="F46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67" s="119"/>
      <c r="H467" s="90"/>
      <c r="I467" s="90" t="s">
        <v>3862</v>
      </c>
      <c r="J467" s="90" t="str">
        <f>IF(Table26[[#This Row],[customerSKU]]="","",_xlfn.XLOOKUP(Table26[[#This Row],[customerSKU]],customerSKU!G:G,customerSKU!A:A,"",0,1))</f>
        <v/>
      </c>
      <c r="K467" s="232">
        <v>45593</v>
      </c>
      <c r="L467" s="233" t="str">
        <f>IF(Table26[[#This Row],[customerSKU]]="","",_xlfn.XLOOKUP(Table26[[#This Row],[customerSKU]],customerSKU!G:G,customerSKU!B:B,"",0,1))</f>
        <v/>
      </c>
      <c r="M467" s="90"/>
      <c r="N467" s="55" t="str">
        <f>Table26[[#This Row],[po_number]]&amp;"-"&amp;Table26[[#This Row],[po_line]]</f>
        <v>-3</v>
      </c>
      <c r="O467" s="55">
        <v>3</v>
      </c>
      <c r="P467" s="234"/>
      <c r="Q467" s="242" t="s">
        <v>1734</v>
      </c>
      <c r="R467" s="242" t="s">
        <v>569</v>
      </c>
      <c r="S467" s="90" t="str">
        <f>IF(Table26[[#This Row],[customerSKU]]="","",_xlfn.XLOOKUP(Table26[[#This Row],[customerSKU]],customerSKU!G:G,customerSKU!N:N,"NOT FOUND",0,1))</f>
        <v>NOT FOUND</v>
      </c>
      <c r="T467" s="20">
        <v>45594</v>
      </c>
      <c r="U467" s="236">
        <v>4</v>
      </c>
      <c r="V467" s="90" t="str">
        <f>IF(ISBLANK(Table26[[#This Row],[customerSKU]]),"",_xlfn.XLOOKUP(Table26[[#This Row],[customerSKU]],Table27[customer_SKU],Table27[case_size],"",0,1))</f>
        <v/>
      </c>
      <c r="W467" s="237" t="str">
        <f t="shared" si="16"/>
        <v/>
      </c>
      <c r="X467" s="90" t="str">
        <f t="shared" si="18"/>
        <v/>
      </c>
      <c r="Y467" s="90" t="str">
        <f>IF(Table26[[#This Row],[customerSKU]]="","",_xlfn.XLOOKUP(Table26[[#This Row],[customerSKU]],Table27[customer_SKU],Table27[product_GTIN],"",0,1))</f>
        <v/>
      </c>
      <c r="Z467" s="25" t="s">
        <v>3367</v>
      </c>
      <c r="AA467" s="18" t="str" cm="1">
        <f t="array" ref="AA467">IF(P467="", "", _xlfn.XLOOKUP(P467,#REF!,#REF!,NA,0,-1))</f>
        <v/>
      </c>
      <c r="AB467" s="90"/>
      <c r="AC467" s="55" t="s">
        <v>3975</v>
      </c>
      <c r="AD467" s="55" t="str">
        <f>IF($AC467="","",_xlfn.XLOOKUP($AC467,'[2]Client Info'!$C$2:$C$2535,'[2]Client Info'!$D$2:$D$2535))</f>
        <v>3277 West Broadway</v>
      </c>
      <c r="AE467" s="55" t="str">
        <f>IF($AC467="","",_xlfn.XLOOKUP($AC467,'[2]Client Info'!$C$2:$C$2715,'[2]Client Info'!$E$2:$E$2715))</f>
        <v>Vancouver</v>
      </c>
      <c r="AF467" s="55" t="str">
        <f>IF($AC467="","",_xlfn.XLOOKUP($AC467,'[2]Client Info'!$C$2:$C$2715,'[2]Client Info'!$F$2:$F$2715))</f>
        <v xml:space="preserve">BC </v>
      </c>
      <c r="AG467" s="55" t="s">
        <v>108</v>
      </c>
      <c r="AH467" s="245" t="str">
        <f>_xlfn.XLOOKUP(Table26[[#This Row],[customerSKU]],customerSKU!G:G,customerSKU!K:K,"NA",0,1)</f>
        <v>NA</v>
      </c>
      <c r="AI467" s="43" t="str">
        <f>_xlfn.XLOOKUP(Table26[[#This Row],[customerSKU]],customerSKU!G:G,customerSKU!O:O,"not found",0,1)</f>
        <v>not found</v>
      </c>
      <c r="AJ467" s="53" t="e">
        <f>Table26[[#This Row],[unitprice]]*Table26[[#This Row],[quantity_unit]]</f>
        <v>#VALUE!</v>
      </c>
      <c r="AK467" s="53" t="e" cm="1">
        <f t="array" ref="AK4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68" spans="1:37" ht="18" customHeight="1">
      <c r="A468" s="42">
        <v>1765</v>
      </c>
      <c r="B468" s="249" t="s">
        <v>3520</v>
      </c>
      <c r="C468" s="90" t="s">
        <v>203</v>
      </c>
      <c r="D468" s="235">
        <v>45576</v>
      </c>
      <c r="E468" s="235"/>
      <c r="F46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68" s="119"/>
      <c r="H468" s="90" t="s">
        <v>3803</v>
      </c>
      <c r="I468" s="90" t="s">
        <v>3818</v>
      </c>
      <c r="J468" s="90" t="s">
        <v>503</v>
      </c>
      <c r="K468" s="232">
        <v>45594</v>
      </c>
      <c r="L468" s="233" t="s">
        <v>504</v>
      </c>
      <c r="M468" s="90"/>
      <c r="N468" s="55" t="str">
        <f>Table26[[#This Row],[po_number]]&amp;"-"&amp;Table26[[#This Row],[po_line]]</f>
        <v>-1</v>
      </c>
      <c r="O468" s="55">
        <v>1</v>
      </c>
      <c r="P468" s="234"/>
      <c r="Q468" s="90" t="s">
        <v>1376</v>
      </c>
      <c r="R468" s="90" t="s">
        <v>569</v>
      </c>
      <c r="S468" s="90" t="s">
        <v>56</v>
      </c>
      <c r="T468" s="20">
        <v>45588</v>
      </c>
      <c r="U468" s="236">
        <v>12</v>
      </c>
      <c r="V468" s="90">
        <v>12</v>
      </c>
      <c r="W468" s="237">
        <f t="shared" si="16"/>
        <v>1</v>
      </c>
      <c r="X468" s="90" t="str">
        <f t="shared" si="18"/>
        <v/>
      </c>
      <c r="Y468" s="90" t="str">
        <f>IF(Table26[[#This Row],[customerSKU]]="","",_xlfn.XLOOKUP(Table26[[#This Row],[customerSKU]],Table27[customer_SKU],Table27[product_GTIN],"",0,1))</f>
        <v/>
      </c>
      <c r="Z468" s="25" t="s">
        <v>3464</v>
      </c>
      <c r="AA468" s="18" t="str" cm="1">
        <f t="array" ref="AA468">IF(P468="", "", _xlfn.XLOOKUP(P468,#REF!,#REF!,NA,0,-1))</f>
        <v/>
      </c>
      <c r="AB468" s="90"/>
      <c r="AC468" s="55" t="s">
        <v>3843</v>
      </c>
      <c r="AD468" s="55" t="str">
        <f>IF($AC468="","",_xlfn.XLOOKUP($AC468,'[2]Client Info'!$C$2:$C$2535,'[2]Client Info'!$D$2:$D$2535))</f>
        <v>137F Dyke Rd</v>
      </c>
      <c r="AE468" s="55" t="str">
        <f>IF($AC468="","",_xlfn.XLOOKUP($AC468,'[2]Client Info'!$C$2:$C$2715,'[2]Client Info'!$E$2:$E$2715))</f>
        <v>Chilliwack</v>
      </c>
      <c r="AF468" s="55" t="str">
        <f>IF($AC468="","",_xlfn.XLOOKUP($AC468,'[2]Client Info'!$C$2:$C$2715,'[2]Client Info'!$F$2:$F$2715))</f>
        <v xml:space="preserve">BC </v>
      </c>
      <c r="AG468" s="55" t="s">
        <v>3843</v>
      </c>
      <c r="AH468" s="245" t="str">
        <f>_xlfn.XLOOKUP(Table26[[#This Row],[customerSKU]],customerSKU!G:G,customerSKU!K:K,"NA",0,1)</f>
        <v>NA</v>
      </c>
      <c r="AI468" s="43" t="str">
        <f>_xlfn.XLOOKUP(Table26[[#This Row],[customerSKU]],customerSKU!G:G,customerSKU!O:O,"not found",0,1)</f>
        <v>not found</v>
      </c>
      <c r="AJ468" s="53" t="e">
        <f>Table26[[#This Row],[unitprice]]*Table26[[#This Row],[quantity_unit]]</f>
        <v>#VALUE!</v>
      </c>
      <c r="AK468" s="53" t="e" cm="1">
        <f t="array" ref="AK4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69" spans="1:37" ht="18" customHeight="1">
      <c r="A469" s="42">
        <v>1766</v>
      </c>
      <c r="B469" s="58" t="s">
        <v>3520</v>
      </c>
      <c r="C469" s="53" t="s">
        <v>3360</v>
      </c>
      <c r="D469" s="51" t="str">
        <f>IF(Table26[[#This Row],[customerSKU]]="","","null")</f>
        <v>null</v>
      </c>
      <c r="E469" s="51"/>
      <c r="F46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69" s="46"/>
      <c r="H469" s="53"/>
      <c r="I469" s="53" t="s">
        <v>3818</v>
      </c>
      <c r="J469" s="53" t="s">
        <v>3811</v>
      </c>
      <c r="K469" s="48">
        <v>45594</v>
      </c>
      <c r="L469" s="49" t="str">
        <f>IF(Table26[[#This Row],[customerSKU]]="","",_xlfn.XLOOKUP(Table26[[#This Row],[customerSKU]],customerSKU!G:G,customerSKU!B:B,"",0,1))</f>
        <v/>
      </c>
      <c r="M469" s="53"/>
      <c r="N469" s="77" t="str">
        <f>Table26[[#This Row],[po_number]]&amp;"-"&amp;Table26[[#This Row],[po_line]]</f>
        <v>-1</v>
      </c>
      <c r="O469" s="77">
        <v>1</v>
      </c>
      <c r="P469" s="50"/>
      <c r="Q469" s="53"/>
      <c r="R469" s="53"/>
      <c r="S469" s="53" t="str">
        <f>IF(Table26[[#This Row],[customerSKU]]="","",_xlfn.XLOOKUP(Table26[[#This Row],[customerSKU]],customerSKU!G:G,customerSKU!N:N,"NOT FOUND",0,1))</f>
        <v>NOT FOUND</v>
      </c>
      <c r="T469" s="20"/>
      <c r="U469" s="52">
        <v>12</v>
      </c>
      <c r="V469" s="53" t="str">
        <f>IF(ISBLANK(Table26[[#This Row],[customerSKU]]),"",_xlfn.XLOOKUP(Table26[[#This Row],[customerSKU]],Table27[customer_SKU],Table27[case_size],"",0,1))</f>
        <v/>
      </c>
      <c r="W469" s="116" t="str">
        <f t="shared" si="16"/>
        <v/>
      </c>
      <c r="X469" s="53" t="str">
        <f t="shared" si="18"/>
        <v/>
      </c>
      <c r="Y469" s="53" t="str">
        <f>IF(Table26[[#This Row],[customerSKU]]="","",_xlfn.XLOOKUP(Table26[[#This Row],[customerSKU]],Table27[customer_SKU],Table27[product_GTIN],"",0,1))</f>
        <v/>
      </c>
      <c r="Z469" s="25" t="s">
        <v>3451</v>
      </c>
      <c r="AA469" s="18" t="str" cm="1">
        <f t="array" ref="AA469">IF(P469="", "", _xlfn.XLOOKUP(P469,#REF!,#REF!,NA,0,-1))</f>
        <v/>
      </c>
      <c r="AB469" s="53"/>
      <c r="AC469" s="55" t="str">
        <f>IF(Table26[[#This Row],[customerSKU]]="","",_xlfn.XLOOKUP(Table26[[#This Row],[customerSKU]],customerSKU!G:G,customerSKU!C:C,"",0,1))</f>
        <v/>
      </c>
      <c r="AD469" s="55" t="str">
        <f>IF($AC469="","",_xlfn.XLOOKUP($AC469,'[2]Client Info'!$C$2:$C$2535,'[2]Client Info'!$D$2:$D$2535,"",0,1))</f>
        <v/>
      </c>
      <c r="AE469" s="55" t="str">
        <f>IF($AC469="","",_xlfn.XLOOKUP($AC469,'[2]Client Info'!$C$2:$C$2715,'[2]Client Info'!$E$2:$E$2715,"",))</f>
        <v/>
      </c>
      <c r="AF469" s="55" t="str">
        <f>IF($AC469="","",_xlfn.XLOOKUP($AC469,'[2]Client Info'!$C$2:$C$2715,'[2]Client Info'!$F$2:$F$2715,"",0,1))</f>
        <v/>
      </c>
      <c r="AG469" s="55" t="str">
        <f>IF(ISBLANK(Table26[[#This Row],[customerSKU]]),"",_xlfn.XLOOKUP(Table26[[#This Row],[customerSKU]],Table27[customer_SKU],Table27[billto],"",0,1))</f>
        <v/>
      </c>
      <c r="AH469" s="62" t="str">
        <f>_xlfn.XLOOKUP(Table26[[#This Row],[customerSKU]],customerSKU!G:G,customerSKU!K:K,"NA",0,1)</f>
        <v>NA</v>
      </c>
      <c r="AI469" s="43" t="str">
        <f>_xlfn.XLOOKUP(Table26[[#This Row],[customerSKU]],customerSKU!G:G,customerSKU!O:O,"not found",0,1)</f>
        <v>not found</v>
      </c>
      <c r="AJ469" s="53" t="e">
        <f>Table26[[#This Row],[unitprice]]*Table26[[#This Row],[quantity_unit]]</f>
        <v>#VALUE!</v>
      </c>
      <c r="AK469" s="53" t="e" cm="1">
        <f t="array" ref="AK4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70" spans="1:37" ht="18" customHeight="1">
      <c r="A470" s="42">
        <v>1767</v>
      </c>
      <c r="B470" s="58" t="s">
        <v>3520</v>
      </c>
      <c r="C470" s="53" t="s">
        <v>3360</v>
      </c>
      <c r="D470" s="51" t="str">
        <f>IF(Table26[[#This Row],[customerSKU]]="","","null")</f>
        <v>null</v>
      </c>
      <c r="E470" s="51"/>
      <c r="F47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70" s="46"/>
      <c r="H470" s="53"/>
      <c r="I470" s="53" t="s">
        <v>3818</v>
      </c>
      <c r="J470" s="53" t="s">
        <v>3811</v>
      </c>
      <c r="K470" s="48">
        <v>45594</v>
      </c>
      <c r="L470" s="49" t="str">
        <f>IF(Table26[[#This Row],[customerSKU]]="","",_xlfn.XLOOKUP(Table26[[#This Row],[customerSKU]],customerSKU!G:G,customerSKU!B:B,"",0,1))</f>
        <v/>
      </c>
      <c r="M470" s="53"/>
      <c r="N470" s="77" t="str">
        <f>Table26[[#This Row],[po_number]]&amp;"-"&amp;Table26[[#This Row],[po_line]]</f>
        <v>-1</v>
      </c>
      <c r="O470" s="77">
        <v>1</v>
      </c>
      <c r="P470" s="50"/>
      <c r="Q470" s="53"/>
      <c r="R470" s="53"/>
      <c r="S470" s="53" t="str">
        <f>IF(Table26[[#This Row],[customerSKU]]="","",_xlfn.XLOOKUP(Table26[[#This Row],[customerSKU]],customerSKU!G:G,customerSKU!N:N,"NOT FOUND",0,1))</f>
        <v>NOT FOUND</v>
      </c>
      <c r="T470" s="20"/>
      <c r="U470" s="52">
        <v>48</v>
      </c>
      <c r="V470" s="53" t="str">
        <f>IF(ISBLANK(Table26[[#This Row],[customerSKU]]),"",_xlfn.XLOOKUP(Table26[[#This Row],[customerSKU]],Table27[customer_SKU],Table27[case_size],"",0,1))</f>
        <v/>
      </c>
      <c r="W470" s="116" t="str">
        <f t="shared" si="16"/>
        <v/>
      </c>
      <c r="X470" s="53" t="str">
        <f t="shared" si="18"/>
        <v/>
      </c>
      <c r="Y470" s="53" t="str">
        <f>IF(Table26[[#This Row],[customerSKU]]="","",_xlfn.XLOOKUP(Table26[[#This Row],[customerSKU]],Table27[customer_SKU],Table27[product_GTIN],"",0,1))</f>
        <v/>
      </c>
      <c r="Z470" s="25" t="s">
        <v>3451</v>
      </c>
      <c r="AA470" s="18" t="str" cm="1">
        <f t="array" ref="AA470">IF(P470="", "", _xlfn.XLOOKUP(P470,#REF!,#REF!,NA,0,-1))</f>
        <v/>
      </c>
      <c r="AB470" s="53"/>
      <c r="AC470" s="55" t="str">
        <f>IF(Table26[[#This Row],[customerSKU]]="","",_xlfn.XLOOKUP(Table26[[#This Row],[customerSKU]],customerSKU!G:G,customerSKU!C:C,"",0,1))</f>
        <v/>
      </c>
      <c r="AD470" s="55" t="str">
        <f>IF($AC470="","",_xlfn.XLOOKUP($AC470,'[2]Client Info'!$C$2:$C$2535,'[2]Client Info'!$D$2:$D$2535,"",0,1))</f>
        <v/>
      </c>
      <c r="AE470" s="55" t="str">
        <f>IF($AC470="","",_xlfn.XLOOKUP($AC470,'[2]Client Info'!$C$2:$C$2715,'[2]Client Info'!$E$2:$E$2715,"",))</f>
        <v/>
      </c>
      <c r="AF470" s="55" t="str">
        <f>IF($AC470="","",_xlfn.XLOOKUP($AC470,'[2]Client Info'!$C$2:$C$2715,'[2]Client Info'!$F$2:$F$2715,"",0,1))</f>
        <v/>
      </c>
      <c r="AG470" s="55" t="str">
        <f>IF(ISBLANK(Table26[[#This Row],[customerSKU]]),"",_xlfn.XLOOKUP(Table26[[#This Row],[customerSKU]],Table27[customer_SKU],Table27[billto],"",0,1))</f>
        <v/>
      </c>
      <c r="AH470" s="62" t="str">
        <f>_xlfn.XLOOKUP(Table26[[#This Row],[customerSKU]],customerSKU!G:G,customerSKU!K:K,"NA",0,1)</f>
        <v>NA</v>
      </c>
      <c r="AI470" s="43" t="str">
        <f>_xlfn.XLOOKUP(Table26[[#This Row],[customerSKU]],customerSKU!G:G,customerSKU!O:O,"not found",0,1)</f>
        <v>not found</v>
      </c>
      <c r="AJ470" s="53" t="e">
        <f>Table26[[#This Row],[unitprice]]*Table26[[#This Row],[quantity_unit]]</f>
        <v>#VALUE!</v>
      </c>
      <c r="AK470" s="53" t="e" cm="1">
        <f t="array" ref="AK4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71" spans="1:37" ht="18" customHeight="1">
      <c r="A471" s="42">
        <v>1768</v>
      </c>
      <c r="B471" s="58" t="s">
        <v>3520</v>
      </c>
      <c r="C471" s="53" t="s">
        <v>3360</v>
      </c>
      <c r="D471" s="51" t="str">
        <f>IF(Table26[[#This Row],[customerSKU]]="","","null")</f>
        <v>null</v>
      </c>
      <c r="E471" s="51"/>
      <c r="F47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71" s="46"/>
      <c r="H471" s="53"/>
      <c r="I471" s="53" t="s">
        <v>3818</v>
      </c>
      <c r="J471" s="53" t="s">
        <v>3811</v>
      </c>
      <c r="K471" s="48">
        <v>45594</v>
      </c>
      <c r="L471" s="49" t="str">
        <f>IF(Table26[[#This Row],[customerSKU]]="","",_xlfn.XLOOKUP(Table26[[#This Row],[customerSKU]],customerSKU!G:G,customerSKU!B:B,"",0,1))</f>
        <v/>
      </c>
      <c r="M471" s="53"/>
      <c r="N471" s="77" t="str">
        <f>Table26[[#This Row],[po_number]]&amp;"-"&amp;Table26[[#This Row],[po_line]]</f>
        <v>-1</v>
      </c>
      <c r="O471" s="77">
        <v>1</v>
      </c>
      <c r="P471" s="50"/>
      <c r="Q471" s="53"/>
      <c r="R471" s="53"/>
      <c r="S471" s="53" t="str">
        <f>IF(Table26[[#This Row],[customerSKU]]="","",_xlfn.XLOOKUP(Table26[[#This Row],[customerSKU]],customerSKU!G:G,customerSKU!N:N,"NOT FOUND",0,1))</f>
        <v>NOT FOUND</v>
      </c>
      <c r="T471" s="20"/>
      <c r="U471" s="52">
        <v>12</v>
      </c>
      <c r="V471" s="53">
        <v>12</v>
      </c>
      <c r="W471" s="116">
        <f t="shared" ref="W471:W500" si="19">IFERROR(U471/V471, "")</f>
        <v>1</v>
      </c>
      <c r="X471" s="53" t="str">
        <f t="shared" si="18"/>
        <v/>
      </c>
      <c r="Y471" s="53" t="str">
        <f>IF(Table26[[#This Row],[customerSKU]]="","",_xlfn.XLOOKUP(Table26[[#This Row],[customerSKU]],Table27[customer_SKU],Table27[product_GTIN],"",0,1))</f>
        <v/>
      </c>
      <c r="Z471" s="25" t="s">
        <v>3451</v>
      </c>
      <c r="AA471" s="18" t="str" cm="1">
        <f t="array" ref="AA471">IF(P471="", "", _xlfn.XLOOKUP(P471,#REF!,#REF!,NA,0,-1))</f>
        <v/>
      </c>
      <c r="AB471" s="53"/>
      <c r="AC471" s="55" t="str">
        <f>IF(Table26[[#This Row],[customerSKU]]="","",_xlfn.XLOOKUP(Table26[[#This Row],[customerSKU]],customerSKU!G:G,customerSKU!C:C,"",0,1))</f>
        <v/>
      </c>
      <c r="AD471" s="55" t="str">
        <f>IF($AC471="","",_xlfn.XLOOKUP($AC471,'[2]Client Info'!$C$2:$C$2535,'[2]Client Info'!$D$2:$D$2535,"",0,1))</f>
        <v/>
      </c>
      <c r="AE471" s="55" t="str">
        <f>IF($AC471="","",_xlfn.XLOOKUP($AC471,'[2]Client Info'!$C$2:$C$2715,'[2]Client Info'!$E$2:$E$2715,"",))</f>
        <v/>
      </c>
      <c r="AF471" s="55" t="str">
        <f>IF($AC471="","",_xlfn.XLOOKUP($AC471,'[2]Client Info'!$C$2:$C$2715,'[2]Client Info'!$F$2:$F$2715,"",0,1))</f>
        <v/>
      </c>
      <c r="AG471" s="55" t="str">
        <f>IF(ISBLANK(Table26[[#This Row],[customerSKU]]),"",_xlfn.XLOOKUP(Table26[[#This Row],[customerSKU]],Table27[customer_SKU],Table27[billto],"",0,1))</f>
        <v/>
      </c>
      <c r="AH471" s="62" t="str">
        <f>_xlfn.XLOOKUP(Table26[[#This Row],[customerSKU]],customerSKU!G:G,customerSKU!K:K,"NA",0,1)</f>
        <v>NA</v>
      </c>
      <c r="AI471" s="43" t="str">
        <f>_xlfn.XLOOKUP(Table26[[#This Row],[customerSKU]],customerSKU!G:G,customerSKU!O:O,"not found",0,1)</f>
        <v>not found</v>
      </c>
      <c r="AJ471" s="53" t="e">
        <f>Table26[[#This Row],[unitprice]]*Table26[[#This Row],[quantity_unit]]</f>
        <v>#VALUE!</v>
      </c>
      <c r="AK471" s="53" t="e" cm="1">
        <f t="array" ref="AK4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72" spans="1:37" ht="18" customHeight="1">
      <c r="A472" s="42">
        <v>1769</v>
      </c>
      <c r="B472" s="58" t="s">
        <v>3520</v>
      </c>
      <c r="C472" s="53" t="s">
        <v>3360</v>
      </c>
      <c r="D472" s="51" t="str">
        <f>IF(Table26[[#This Row],[customerSKU]]="","","null")</f>
        <v>null</v>
      </c>
      <c r="E472" s="51"/>
      <c r="F47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72" s="46"/>
      <c r="H472" s="53"/>
      <c r="I472" s="53" t="s">
        <v>3818</v>
      </c>
      <c r="J472" s="53" t="s">
        <v>3811</v>
      </c>
      <c r="K472" s="48">
        <v>45594</v>
      </c>
      <c r="L472" s="49" t="str">
        <f>IF(Table26[[#This Row],[customerSKU]]="","",_xlfn.XLOOKUP(Table26[[#This Row],[customerSKU]],customerSKU!G:G,customerSKU!B:B,"",0,1))</f>
        <v/>
      </c>
      <c r="M472" s="53"/>
      <c r="N472" s="77" t="str">
        <f>Table26[[#This Row],[po_number]]&amp;"-"&amp;Table26[[#This Row],[po_line]]</f>
        <v>-1</v>
      </c>
      <c r="O472" s="77">
        <v>1</v>
      </c>
      <c r="P472" s="50"/>
      <c r="Q472" s="53"/>
      <c r="R472" s="53"/>
      <c r="S472" s="53" t="str">
        <f>IF(Table26[[#This Row],[customerSKU]]="","",_xlfn.XLOOKUP(Table26[[#This Row],[customerSKU]],customerSKU!G:G,customerSKU!N:N,"NOT FOUND",0,1))</f>
        <v>NOT FOUND</v>
      </c>
      <c r="T472" s="20"/>
      <c r="U472" s="52">
        <v>12</v>
      </c>
      <c r="V472" s="53" t="str">
        <f>IF(ISBLANK(Table26[[#This Row],[customerSKU]]),"",_xlfn.XLOOKUP(Table26[[#This Row],[customerSKU]],Table27[customer_SKU],Table27[case_size],"",0,1))</f>
        <v/>
      </c>
      <c r="W472" s="116" t="str">
        <f t="shared" si="19"/>
        <v/>
      </c>
      <c r="X472" s="53" t="str">
        <f t="shared" si="18"/>
        <v/>
      </c>
      <c r="Y472" s="53" t="str">
        <f>IF(Table26[[#This Row],[customerSKU]]="","",_xlfn.XLOOKUP(Table26[[#This Row],[customerSKU]],Table27[customer_SKU],Table27[product_GTIN],"",0,1))</f>
        <v/>
      </c>
      <c r="Z472" s="25" t="s">
        <v>3451</v>
      </c>
      <c r="AA472" s="18" t="str" cm="1">
        <f t="array" ref="AA472">IF(P472="", "", _xlfn.XLOOKUP(P472,#REF!,#REF!,NA,0,-1))</f>
        <v/>
      </c>
      <c r="AB472" s="53"/>
      <c r="AC472" s="55" t="str">
        <f>IF(Table26[[#This Row],[customerSKU]]="","",_xlfn.XLOOKUP(Table26[[#This Row],[customerSKU]],customerSKU!G:G,customerSKU!C:C,"",0,1))</f>
        <v/>
      </c>
      <c r="AD472" s="55" t="str">
        <f>IF($AC472="","",_xlfn.XLOOKUP($AC472,'[2]Client Info'!$C$2:$C$2535,'[2]Client Info'!$D$2:$D$2535,"",0,1))</f>
        <v/>
      </c>
      <c r="AE472" s="55" t="str">
        <f>IF($AC472="","",_xlfn.XLOOKUP($AC472,'[2]Client Info'!$C$2:$C$2715,'[2]Client Info'!$E$2:$E$2715,"",))</f>
        <v/>
      </c>
      <c r="AF472" s="55" t="str">
        <f>IF($AC472="","",_xlfn.XLOOKUP($AC472,'[2]Client Info'!$C$2:$C$2715,'[2]Client Info'!$F$2:$F$2715,"",0,1))</f>
        <v/>
      </c>
      <c r="AG472" s="55" t="str">
        <f>IF(ISBLANK(Table26[[#This Row],[customerSKU]]),"",_xlfn.XLOOKUP(Table26[[#This Row],[customerSKU]],Table27[customer_SKU],Table27[billto],"",0,1))</f>
        <v/>
      </c>
      <c r="AH472" s="62" t="str">
        <f>_xlfn.XLOOKUP(Table26[[#This Row],[customerSKU]],customerSKU!G:G,customerSKU!K:K,"NA",0,1)</f>
        <v>NA</v>
      </c>
      <c r="AI472" s="43" t="str">
        <f>_xlfn.XLOOKUP(Table26[[#This Row],[customerSKU]],customerSKU!G:G,customerSKU!O:O,"not found",0,1)</f>
        <v>not found</v>
      </c>
      <c r="AJ472" s="53" t="e">
        <f>Table26[[#This Row],[unitprice]]*Table26[[#This Row],[quantity_unit]]</f>
        <v>#VALUE!</v>
      </c>
      <c r="AK472" s="53" t="e" cm="1">
        <f t="array" ref="AK4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73" spans="1:37" ht="18" customHeight="1">
      <c r="A473" s="42">
        <v>1770</v>
      </c>
      <c r="B473" s="58" t="s">
        <v>3520</v>
      </c>
      <c r="C473" s="53" t="s">
        <v>203</v>
      </c>
      <c r="D473" s="51">
        <v>45590</v>
      </c>
      <c r="E473" s="51"/>
      <c r="F473" s="53" t="s">
        <v>3853</v>
      </c>
      <c r="G473" s="46"/>
      <c r="H473" s="53" t="s">
        <v>3803</v>
      </c>
      <c r="I473" s="53" t="s">
        <v>3818</v>
      </c>
      <c r="J473" s="53" t="s">
        <v>22</v>
      </c>
      <c r="K473" s="48">
        <v>45594</v>
      </c>
      <c r="L473" s="49" t="s">
        <v>490</v>
      </c>
      <c r="M473" s="53"/>
      <c r="N473" s="77" t="str">
        <f>Table26[[#This Row],[po_number]]&amp;"-"&amp;Table26[[#This Row],[po_line]]</f>
        <v>-1</v>
      </c>
      <c r="O473" s="77">
        <v>1</v>
      </c>
      <c r="P473" s="50"/>
      <c r="Q473" s="377" t="s">
        <v>905</v>
      </c>
      <c r="R473" s="53" t="s">
        <v>532</v>
      </c>
      <c r="S473" s="53" t="s">
        <v>18</v>
      </c>
      <c r="T473" s="20">
        <v>45570</v>
      </c>
      <c r="U473" s="52">
        <v>240</v>
      </c>
      <c r="V473" s="53" t="str">
        <f>IF(ISBLANK(Table26[[#This Row],[customerSKU]]),"",_xlfn.XLOOKUP(Table26[[#This Row],[customerSKU]],Table27[customer_SKU],Table27[case_size],"",0,1))</f>
        <v/>
      </c>
      <c r="W473" s="116" t="str">
        <f t="shared" si="19"/>
        <v/>
      </c>
      <c r="X473" s="53" t="str">
        <f t="shared" si="18"/>
        <v/>
      </c>
      <c r="Y473" s="53" t="str">
        <f>IF(Table26[[#This Row],[customerSKU]]="","",_xlfn.XLOOKUP(Table26[[#This Row],[customerSKU]],Table27[customer_SKU],Table27[product_GTIN],"",0,1))</f>
        <v/>
      </c>
      <c r="Z473" s="90" t="s">
        <v>3854</v>
      </c>
      <c r="AA473" s="18" t="str" cm="1">
        <f t="array" ref="AA473">IF(P473="", "", _xlfn.XLOOKUP(P473,#REF!,#REF!,NA,0,-1))</f>
        <v/>
      </c>
      <c r="AB473" s="53"/>
      <c r="AC473" s="55" t="str">
        <f>IF(ISBLANK(Table26[[#This Row],[customerSKU]]),"",_xlfn.XLOOKUP(Table26[[#This Row],[customerSKU]],Table27[customer_SKU],Table27[shipto],"",0,1))</f>
        <v/>
      </c>
      <c r="AD473" s="55" t="str">
        <f>IF($AC473="","",_xlfn.XLOOKUP($AC473,'[2]Client Info'!$C$2:$C$2535,'[2]Client Info'!$D$2:$D$2535))</f>
        <v/>
      </c>
      <c r="AE473" s="55" t="str">
        <f>IF($AC473="","",_xlfn.XLOOKUP($AC473,'[2]Client Info'!$C$2:$C$2715,'[2]Client Info'!$E$2:$E$2715))</f>
        <v/>
      </c>
      <c r="AF473" s="55" t="str">
        <f>IF($AC473="","",_xlfn.XLOOKUP($AC473,'[2]Client Info'!$C$2:$C$2715,'[2]Client Info'!$F$2:$F$2715))</f>
        <v/>
      </c>
      <c r="AG473" s="55" t="str">
        <f>IF(ISBLANK(Table26[[#This Row],[customerSKU]]),"",_xlfn.XLOOKUP(Table26[[#This Row],[customerSKU]],Table27[customer_SKU],Table27[shipto],"",0,1))</f>
        <v/>
      </c>
      <c r="AH473" s="62" t="str">
        <f>_xlfn.XLOOKUP(Table26[[#This Row],[customerSKU]],customerSKU!G:G,customerSKU!K:K,"NA",0,1)</f>
        <v>NA</v>
      </c>
      <c r="AI473" s="43" t="str">
        <f>_xlfn.XLOOKUP(Table26[[#This Row],[customerSKU]],customerSKU!G:G,customerSKU!O:O,"not found",0,1)</f>
        <v>not found</v>
      </c>
      <c r="AJ473" s="53" t="e">
        <f>Table26[[#This Row],[unitprice]]*Table26[[#This Row],[quantity_unit]]</f>
        <v>#VALUE!</v>
      </c>
      <c r="AK473" s="53" t="e" cm="1">
        <f t="array" ref="AK4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4" spans="1:37" ht="18" customHeight="1">
      <c r="A474" s="42">
        <v>1771</v>
      </c>
      <c r="B474" s="58" t="s">
        <v>3520</v>
      </c>
      <c r="C474" s="53" t="s">
        <v>203</v>
      </c>
      <c r="D474" s="51">
        <v>45590</v>
      </c>
      <c r="E474" s="51"/>
      <c r="F474" s="53" t="s">
        <v>3853</v>
      </c>
      <c r="G474" s="46"/>
      <c r="H474" s="53" t="s">
        <v>3803</v>
      </c>
      <c r="I474" s="53" t="s">
        <v>3818</v>
      </c>
      <c r="J474" s="53" t="s">
        <v>22</v>
      </c>
      <c r="K474" s="48">
        <v>45594</v>
      </c>
      <c r="L474" s="49" t="s">
        <v>490</v>
      </c>
      <c r="M474" s="53"/>
      <c r="N474" s="77" t="str">
        <f>Table26[[#This Row],[po_number]]&amp;"-"&amp;Table26[[#This Row],[po_line]]</f>
        <v>-2</v>
      </c>
      <c r="O474" s="77">
        <v>2</v>
      </c>
      <c r="P474" s="50"/>
      <c r="Q474" s="53" t="s">
        <v>3812</v>
      </c>
      <c r="R474" s="53" t="s">
        <v>569</v>
      </c>
      <c r="S474" s="53" t="str">
        <f>IF(Table26[[#This Row],[customerSKU]]="","",_xlfn.XLOOKUP(Table26[[#This Row],[customerSKU]],customerSKU!G:G,customerSKU!N:N,"NOT FOUND",0,1))</f>
        <v>NOT FOUND</v>
      </c>
      <c r="T474" s="20">
        <v>45588</v>
      </c>
      <c r="U474" s="52">
        <v>300</v>
      </c>
      <c r="V474" s="53" t="str">
        <f>IF(ISBLANK(Table26[[#This Row],[customerSKU]]),"",_xlfn.XLOOKUP(Table26[[#This Row],[customerSKU]],Table27[customer_SKU],Table27[case_size],"",0,1))</f>
        <v/>
      </c>
      <c r="W474" s="116" t="str">
        <f t="shared" si="19"/>
        <v/>
      </c>
      <c r="X474" s="53" t="str">
        <f t="shared" si="18"/>
        <v/>
      </c>
      <c r="Y474" s="53" t="str">
        <f>IF(Table26[[#This Row],[customerSKU]]="","",_xlfn.XLOOKUP(Table26[[#This Row],[customerSKU]],Table27[customer_SKU],Table27[product_GTIN],"",0,1))</f>
        <v/>
      </c>
      <c r="Z474" s="90" t="s">
        <v>3855</v>
      </c>
      <c r="AA474" s="18" t="str" cm="1">
        <f t="array" ref="AA474">IF(P474="", "", _xlfn.XLOOKUP(P474,#REF!,#REF!,NA,0,-1))</f>
        <v/>
      </c>
      <c r="AB474" s="53"/>
      <c r="AC474" s="55" t="str">
        <f>IF(ISBLANK(Table26[[#This Row],[customerSKU]]),"",_xlfn.XLOOKUP(Table26[[#This Row],[customerSKU]],Table27[customer_SKU],Table27[shipto],"",0,1))</f>
        <v/>
      </c>
      <c r="AD474" s="55" t="str">
        <f>IF($AC474="","",_xlfn.XLOOKUP($AC474,'[2]Client Info'!$C$2:$C$2535,'[2]Client Info'!$D$2:$D$2535))</f>
        <v/>
      </c>
      <c r="AE474" s="55" t="str">
        <f>IF($AC474="","",_xlfn.XLOOKUP($AC474,'[2]Client Info'!$C$2:$C$2715,'[2]Client Info'!$E$2:$E$2715))</f>
        <v/>
      </c>
      <c r="AF474" s="55" t="str">
        <f>IF($AC474="","",_xlfn.XLOOKUP($AC474,'[2]Client Info'!$C$2:$C$2715,'[2]Client Info'!$F$2:$F$2715))</f>
        <v/>
      </c>
      <c r="AG474" s="55" t="str">
        <f>IF(ISBLANK(Table26[[#This Row],[customerSKU]]),"",_xlfn.XLOOKUP(Table26[[#This Row],[customerSKU]],Table27[customer_SKU],Table27[shipto],"",0,1))</f>
        <v/>
      </c>
      <c r="AH474" s="62" t="str">
        <f>_xlfn.XLOOKUP(Table26[[#This Row],[customerSKU]],customerSKU!G:G,customerSKU!K:K,"NA",0,1)</f>
        <v>NA</v>
      </c>
      <c r="AI474" s="43" t="str">
        <f>_xlfn.XLOOKUP(Table26[[#This Row],[customerSKU]],customerSKU!G:G,customerSKU!O:O,"not found",0,1)</f>
        <v>not found</v>
      </c>
      <c r="AJ474" s="53" t="e">
        <f>Table26[[#This Row],[unitprice]]*Table26[[#This Row],[quantity_unit]]</f>
        <v>#VALUE!</v>
      </c>
      <c r="AK474" s="53" t="e" cm="1">
        <f t="array" ref="AK4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5" spans="1:37" ht="18" customHeight="1">
      <c r="A475" s="42">
        <v>1772</v>
      </c>
      <c r="B475" s="58" t="s">
        <v>3520</v>
      </c>
      <c r="C475" s="53" t="s">
        <v>203</v>
      </c>
      <c r="D475" s="51">
        <v>45606</v>
      </c>
      <c r="E475" s="51"/>
      <c r="F475" s="53">
        <v>229595</v>
      </c>
      <c r="G475" s="46"/>
      <c r="H475" s="53"/>
      <c r="I475" s="53" t="s">
        <v>3818</v>
      </c>
      <c r="J475" s="53" t="str">
        <f>IF(Table26[[#This Row],[customerSKU]]="","",_xlfn.XLOOKUP(Table26[[#This Row],[customerSKU]],customerSKU!G:G,customerSKU!A:A,"",0,1))</f>
        <v/>
      </c>
      <c r="K475" s="48">
        <v>45594</v>
      </c>
      <c r="L475" s="49" t="str">
        <f>IF(Table26[[#This Row],[customerSKU]]="","",_xlfn.XLOOKUP(Table26[[#This Row],[customerSKU]],customerSKU!G:G,customerSKU!B:B,"",0,1))</f>
        <v/>
      </c>
      <c r="M475" s="53"/>
      <c r="N475" s="77" t="str">
        <f>Table26[[#This Row],[po_number]]&amp;"-"&amp;Table26[[#This Row],[po_line]]</f>
        <v>-1</v>
      </c>
      <c r="O475" s="77">
        <v>1</v>
      </c>
      <c r="P475" s="50"/>
      <c r="Q475" s="53" t="s">
        <v>3856</v>
      </c>
      <c r="R475" s="53" t="s">
        <v>569</v>
      </c>
      <c r="S475" s="53" t="str">
        <f>IF(Table26[[#This Row],[customerSKU]]="","",_xlfn.XLOOKUP(Table26[[#This Row],[customerSKU]],customerSKU!G:G,customerSKU!N:N,"NOT FOUND",0,1))</f>
        <v>NOT FOUND</v>
      </c>
      <c r="T475" s="20">
        <v>45593</v>
      </c>
      <c r="U475" s="52">
        <v>600</v>
      </c>
      <c r="V475" s="53" t="str">
        <f>IF(ISBLANK(Table26[[#This Row],[customerSKU]]),"",_xlfn.XLOOKUP(Table26[[#This Row],[customerSKU]],Table27[customer_SKU],Table27[case_size],"",0,1))</f>
        <v/>
      </c>
      <c r="W475" s="116" t="str">
        <f t="shared" si="19"/>
        <v/>
      </c>
      <c r="X475" s="53" t="str">
        <f t="shared" si="18"/>
        <v/>
      </c>
      <c r="Y475" s="53" t="str">
        <f>IF(Table26[[#This Row],[customerSKU]]="","",_xlfn.XLOOKUP(Table26[[#This Row],[customerSKU]],Table27[customer_SKU],Table27[product_GTIN],"",0,1))</f>
        <v/>
      </c>
      <c r="Z475" s="90" t="s">
        <v>3857</v>
      </c>
      <c r="AA475" s="18" t="str" cm="1">
        <f t="array" ref="AA475">IF(P475="", "", _xlfn.XLOOKUP(P475,#REF!,#REF!,NA,0,-1))</f>
        <v/>
      </c>
      <c r="AB475" s="53"/>
      <c r="AC475" s="55" t="str">
        <f>IF(ISBLANK(Table26[[#This Row],[customerSKU]]),"",_xlfn.XLOOKUP(Table26[[#This Row],[customerSKU]],Table27[customer_SKU],Table27[shipto],"",0,1))</f>
        <v/>
      </c>
      <c r="AD475" s="55" t="str">
        <f>IF($AC475="","",_xlfn.XLOOKUP($AC475,'[2]Client Info'!$C$2:$C$2535,'[2]Client Info'!$D$2:$D$2535))</f>
        <v/>
      </c>
      <c r="AE475" s="55" t="str">
        <f>IF($AC475="","",_xlfn.XLOOKUP($AC475,'[2]Client Info'!$C$2:$C$2715,'[2]Client Info'!$E$2:$E$2715))</f>
        <v/>
      </c>
      <c r="AF475" s="55" t="str">
        <f>IF($AC475="","",_xlfn.XLOOKUP($AC475,'[2]Client Info'!$C$2:$C$2715,'[2]Client Info'!$F$2:$F$2715))</f>
        <v/>
      </c>
      <c r="AG475" s="55" t="str">
        <f>IF(ISBLANK(Table26[[#This Row],[customerSKU]]),"",_xlfn.XLOOKUP(Table26[[#This Row],[customerSKU]],Table27[customer_SKU],Table27[shipto],"",0,1))</f>
        <v/>
      </c>
      <c r="AH475" s="62" t="str">
        <f>_xlfn.XLOOKUP(Table26[[#This Row],[customerSKU]],customerSKU!G:G,customerSKU!K:K,"NA",0,1)</f>
        <v>NA</v>
      </c>
      <c r="AI475" s="43" t="str">
        <f>_xlfn.XLOOKUP(Table26[[#This Row],[customerSKU]],customerSKU!G:G,customerSKU!O:O,"not found",0,1)</f>
        <v>not found</v>
      </c>
      <c r="AJ475" s="53" t="e">
        <f>Table26[[#This Row],[unitprice]]*Table26[[#This Row],[quantity_unit]]</f>
        <v>#VALUE!</v>
      </c>
      <c r="AK475" s="53" t="e" cm="1">
        <f t="array" ref="AK4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6" spans="1:37" ht="18" customHeight="1">
      <c r="A476" s="42">
        <v>1773</v>
      </c>
      <c r="B476" s="58" t="s">
        <v>3520</v>
      </c>
      <c r="C476" s="53" t="s">
        <v>203</v>
      </c>
      <c r="D476" s="51">
        <v>45606</v>
      </c>
      <c r="E476" s="51"/>
      <c r="F476" s="53">
        <v>229595</v>
      </c>
      <c r="G476" s="46"/>
      <c r="H476" s="53"/>
      <c r="I476" s="53" t="s">
        <v>3818</v>
      </c>
      <c r="J476" s="53" t="str">
        <f>IF(Table26[[#This Row],[customerSKU]]="","",_xlfn.XLOOKUP(Table26[[#This Row],[customerSKU]],customerSKU!G:G,customerSKU!A:A,"",0,1))</f>
        <v/>
      </c>
      <c r="K476" s="48">
        <v>45594</v>
      </c>
      <c r="L476" s="49" t="str">
        <f>IF(Table26[[#This Row],[customerSKU]]="","",_xlfn.XLOOKUP(Table26[[#This Row],[customerSKU]],customerSKU!G:G,customerSKU!B:B,"",0,1))</f>
        <v/>
      </c>
      <c r="M476" s="53"/>
      <c r="N476" s="77" t="str">
        <f>Table26[[#This Row],[po_number]]&amp;"-"&amp;Table26[[#This Row],[po_line]]</f>
        <v>-2</v>
      </c>
      <c r="O476" s="77">
        <v>2</v>
      </c>
      <c r="P476" s="50"/>
      <c r="Q476" s="81" t="s">
        <v>1311</v>
      </c>
      <c r="R476" s="53" t="s">
        <v>569</v>
      </c>
      <c r="S476" s="53" t="str">
        <f>IF(Table26[[#This Row],[customerSKU]]="","",_xlfn.XLOOKUP(Table26[[#This Row],[customerSKU]],customerSKU!G:G,customerSKU!N:N,"NOT FOUND",0,1))</f>
        <v>NOT FOUND</v>
      </c>
      <c r="T476" s="20">
        <v>45532</v>
      </c>
      <c r="U476" s="52">
        <f>239-12-11</f>
        <v>216</v>
      </c>
      <c r="V476" s="53" t="str">
        <f>IF(ISBLANK(Table26[[#This Row],[customerSKU]]),"",_xlfn.XLOOKUP(Table26[[#This Row],[customerSKU]],Table27[customer_SKU],Table27[case_size],"",0,1))</f>
        <v/>
      </c>
      <c r="W476" s="116" t="str">
        <f t="shared" si="19"/>
        <v/>
      </c>
      <c r="X476" s="53" t="str">
        <f t="shared" si="18"/>
        <v/>
      </c>
      <c r="Y476" s="53" t="str">
        <f>IF(Table26[[#This Row],[customerSKU]]="","",_xlfn.XLOOKUP(Table26[[#This Row],[customerSKU]],Table27[customer_SKU],Table27[product_GTIN],"",0,1))</f>
        <v/>
      </c>
      <c r="Z476" s="90" t="s">
        <v>3858</v>
      </c>
      <c r="AA476" s="18" t="str" cm="1">
        <f t="array" ref="AA476">IF(P476="", "", _xlfn.XLOOKUP(P476,#REF!,#REF!,NA,0,-1))</f>
        <v/>
      </c>
      <c r="AB476" s="53"/>
      <c r="AC476" s="55" t="str">
        <f>IF(ISBLANK(Table26[[#This Row],[customerSKU]]),"",_xlfn.XLOOKUP(Table26[[#This Row],[customerSKU]],Table27[customer_SKU],Table27[shipto],"",0,1))</f>
        <v/>
      </c>
      <c r="AD476" s="55" t="str">
        <f>IF($AC476="","",_xlfn.XLOOKUP($AC476,'[2]Client Info'!$C$2:$C$2535,'[2]Client Info'!$D$2:$D$2535))</f>
        <v/>
      </c>
      <c r="AE476" s="55" t="str">
        <f>IF($AC476="","",_xlfn.XLOOKUP($AC476,'[2]Client Info'!$C$2:$C$2715,'[2]Client Info'!$E$2:$E$2715))</f>
        <v/>
      </c>
      <c r="AF476" s="55" t="str">
        <f>IF($AC476="","",_xlfn.XLOOKUP($AC476,'[2]Client Info'!$C$2:$C$2715,'[2]Client Info'!$F$2:$F$2715))</f>
        <v/>
      </c>
      <c r="AG476" s="55" t="str">
        <f>IF(ISBLANK(Table26[[#This Row],[customerSKU]]),"",_xlfn.XLOOKUP(Table26[[#This Row],[customerSKU]],Table27[customer_SKU],Table27[shipto],"",0,1))</f>
        <v/>
      </c>
      <c r="AH476" s="62" t="str">
        <f>_xlfn.XLOOKUP(Table26[[#This Row],[customerSKU]],customerSKU!G:G,customerSKU!K:K,"NA",0,1)</f>
        <v>NA</v>
      </c>
      <c r="AI476" s="43" t="str">
        <f>_xlfn.XLOOKUP(Table26[[#This Row],[customerSKU]],customerSKU!G:G,customerSKU!O:O,"not found",0,1)</f>
        <v>not found</v>
      </c>
      <c r="AJ476" s="53" t="e">
        <f>Table26[[#This Row],[unitprice]]*Table26[[#This Row],[quantity_unit]]</f>
        <v>#VALUE!</v>
      </c>
      <c r="AK476" s="53" t="e" cm="1">
        <f t="array" ref="AK4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7" spans="1:37" ht="18" customHeight="1">
      <c r="A477" s="42">
        <v>1774</v>
      </c>
      <c r="B477" s="58" t="s">
        <v>3520</v>
      </c>
      <c r="C477" s="53" t="s">
        <v>203</v>
      </c>
      <c r="D477" s="51">
        <v>45606</v>
      </c>
      <c r="E477" s="51"/>
      <c r="F477" s="53">
        <v>229595</v>
      </c>
      <c r="G477" s="46"/>
      <c r="H477" s="53"/>
      <c r="I477" s="53" t="s">
        <v>3818</v>
      </c>
      <c r="J477" s="53" t="str">
        <f>IF(Table26[[#This Row],[customerSKU]]="","",_xlfn.XLOOKUP(Table26[[#This Row],[customerSKU]],customerSKU!G:G,customerSKU!A:A,"",0,1))</f>
        <v/>
      </c>
      <c r="K477" s="48">
        <v>45594</v>
      </c>
      <c r="L477" s="49" t="str">
        <f>IF(Table26[[#This Row],[customerSKU]]="","",_xlfn.XLOOKUP(Table26[[#This Row],[customerSKU]],customerSKU!G:G,customerSKU!B:B,"",0,1))</f>
        <v/>
      </c>
      <c r="M477" s="53"/>
      <c r="N477" s="77" t="str">
        <f>Table26[[#This Row],[po_number]]&amp;"-"&amp;Table26[[#This Row],[po_line]]</f>
        <v>-3</v>
      </c>
      <c r="O477" s="77">
        <v>3</v>
      </c>
      <c r="P477" s="50"/>
      <c r="Q477" s="81" t="s">
        <v>1311</v>
      </c>
      <c r="R477" s="53" t="s">
        <v>569</v>
      </c>
      <c r="S477" s="53" t="str">
        <f>IF(Table26[[#This Row],[customerSKU]]="","",_xlfn.XLOOKUP(Table26[[#This Row],[customerSKU]],customerSKU!G:G,customerSKU!N:N,"NOT FOUND",0,1))</f>
        <v>NOT FOUND</v>
      </c>
      <c r="T477" s="20">
        <v>45588</v>
      </c>
      <c r="U477" s="52">
        <f>1200-216</f>
        <v>984</v>
      </c>
      <c r="V477" s="53" t="str">
        <f>IF(ISBLANK(Table26[[#This Row],[customerSKU]]),"",_xlfn.XLOOKUP(Table26[[#This Row],[customerSKU]],Table27[customer_SKU],Table27[case_size],"",0,1))</f>
        <v/>
      </c>
      <c r="W477" s="116" t="str">
        <f t="shared" si="19"/>
        <v/>
      </c>
      <c r="X477" s="53" t="str">
        <f t="shared" si="18"/>
        <v/>
      </c>
      <c r="Y477" s="53" t="str">
        <f>IF(Table26[[#This Row],[customerSKU]]="","",_xlfn.XLOOKUP(Table26[[#This Row],[customerSKU]],Table27[customer_SKU],Table27[product_GTIN],"",0,1))</f>
        <v/>
      </c>
      <c r="Z477" s="90" t="s">
        <v>3858</v>
      </c>
      <c r="AA477" s="18" t="str" cm="1">
        <f t="array" ref="AA477">IF(P477="", "", _xlfn.XLOOKUP(P477,#REF!,#REF!,NA,0,-1))</f>
        <v/>
      </c>
      <c r="AB477" s="53"/>
      <c r="AC477" s="55" t="str">
        <f>IF(ISBLANK(Table26[[#This Row],[customerSKU]]),"",_xlfn.XLOOKUP(Table26[[#This Row],[customerSKU]],Table27[customer_SKU],Table27[shipto],"",0,1))</f>
        <v/>
      </c>
      <c r="AD477" s="55" t="str">
        <f>IF($AC477="","",_xlfn.XLOOKUP($AC477,'[2]Client Info'!$C$2:$C$2535,'[2]Client Info'!$D$2:$D$2535))</f>
        <v/>
      </c>
      <c r="AE477" s="55" t="str">
        <f>IF($AC477="","",_xlfn.XLOOKUP($AC477,'[2]Client Info'!$C$2:$C$2715,'[2]Client Info'!$E$2:$E$2715))</f>
        <v/>
      </c>
      <c r="AF477" s="55" t="str">
        <f>IF($AC477="","",_xlfn.XLOOKUP($AC477,'[2]Client Info'!$C$2:$C$2715,'[2]Client Info'!$F$2:$F$2715))</f>
        <v/>
      </c>
      <c r="AG477" s="55" t="str">
        <f>IF(ISBLANK(Table26[[#This Row],[customerSKU]]),"",_xlfn.XLOOKUP(Table26[[#This Row],[customerSKU]],Table27[customer_SKU],Table27[shipto],"",0,1))</f>
        <v/>
      </c>
      <c r="AH477" s="62" t="str">
        <f>_xlfn.XLOOKUP(Table26[[#This Row],[customerSKU]],customerSKU!G:G,customerSKU!K:K,"NA",0,1)</f>
        <v>NA</v>
      </c>
      <c r="AI477" s="43" t="str">
        <f>_xlfn.XLOOKUP(Table26[[#This Row],[customerSKU]],customerSKU!G:G,customerSKU!O:O,"not found",0,1)</f>
        <v>not found</v>
      </c>
      <c r="AJ477" s="53" t="e">
        <f>Table26[[#This Row],[unitprice]]*Table26[[#This Row],[quantity_unit]]</f>
        <v>#VALUE!</v>
      </c>
      <c r="AK477" s="53" t="e" cm="1">
        <f t="array" ref="AK4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8" spans="1:37" ht="18" customHeight="1">
      <c r="A478" s="42">
        <v>1775</v>
      </c>
      <c r="B478" s="58" t="s">
        <v>3520</v>
      </c>
      <c r="C478" s="53" t="s">
        <v>203</v>
      </c>
      <c r="D478" s="51">
        <v>45606</v>
      </c>
      <c r="E478" s="51"/>
      <c r="F478" s="53">
        <v>229595</v>
      </c>
      <c r="G478" s="46"/>
      <c r="H478" s="53"/>
      <c r="I478" s="53" t="s">
        <v>3818</v>
      </c>
      <c r="J478" s="53" t="str">
        <f>IF(Table26[[#This Row],[customerSKU]]="","",_xlfn.XLOOKUP(Table26[[#This Row],[customerSKU]],customerSKU!G:G,customerSKU!A:A,"",0,1))</f>
        <v/>
      </c>
      <c r="K478" s="48">
        <v>45594</v>
      </c>
      <c r="L478" s="49" t="str">
        <f>IF(Table26[[#This Row],[customerSKU]]="","",_xlfn.XLOOKUP(Table26[[#This Row],[customerSKU]],customerSKU!G:G,customerSKU!B:B,"",0,1))</f>
        <v/>
      </c>
      <c r="M478" s="53"/>
      <c r="N478" s="77" t="str">
        <f>Table26[[#This Row],[po_number]]&amp;"-"&amp;Table26[[#This Row],[po_line]]</f>
        <v>-4</v>
      </c>
      <c r="O478" s="77">
        <v>4</v>
      </c>
      <c r="P478" s="50"/>
      <c r="Q478" s="53" t="s">
        <v>3859</v>
      </c>
      <c r="R478" s="53" t="s">
        <v>569</v>
      </c>
      <c r="S478" s="53" t="str">
        <f>IF(Table26[[#This Row],[customerSKU]]="","",_xlfn.XLOOKUP(Table26[[#This Row],[customerSKU]],customerSKU!G:G,customerSKU!N:N,"NOT FOUND",0,1))</f>
        <v>NOT FOUND</v>
      </c>
      <c r="T478" s="20">
        <v>45588</v>
      </c>
      <c r="U478" s="52">
        <v>1200</v>
      </c>
      <c r="V478" s="53" t="str">
        <f>IF(ISBLANK(Table26[[#This Row],[customerSKU]]),"",_xlfn.XLOOKUP(Table26[[#This Row],[customerSKU]],Table27[customer_SKU],Table27[case_size],"",0,1))</f>
        <v/>
      </c>
      <c r="W478" s="116" t="str">
        <f t="shared" si="19"/>
        <v/>
      </c>
      <c r="X478" s="53" t="str">
        <f t="shared" si="18"/>
        <v/>
      </c>
      <c r="Y478" s="53" t="str">
        <f>IF(Table26[[#This Row],[customerSKU]]="","",_xlfn.XLOOKUP(Table26[[#This Row],[customerSKU]],Table27[customer_SKU],Table27[product_GTIN],"",0,1))</f>
        <v/>
      </c>
      <c r="Z478" s="90" t="s">
        <v>3860</v>
      </c>
      <c r="AA478" s="18" t="str" cm="1">
        <f t="array" ref="AA478">IF(P478="", "", _xlfn.XLOOKUP(P478,#REF!,#REF!,NA,0,-1))</f>
        <v/>
      </c>
      <c r="AB478" s="53"/>
      <c r="AC478" s="55" t="str">
        <f>IF(ISBLANK(Table26[[#This Row],[customerSKU]]),"",_xlfn.XLOOKUP(Table26[[#This Row],[customerSKU]],Table27[customer_SKU],Table27[shipto],"",0,1))</f>
        <v/>
      </c>
      <c r="AD478" s="55" t="str">
        <f>IF($AC478="","",_xlfn.XLOOKUP($AC478,'[2]Client Info'!$C$2:$C$2535,'[2]Client Info'!$D$2:$D$2535))</f>
        <v/>
      </c>
      <c r="AE478" s="55" t="str">
        <f>IF($AC478="","",_xlfn.XLOOKUP($AC478,'[2]Client Info'!$C$2:$C$2715,'[2]Client Info'!$E$2:$E$2715))</f>
        <v/>
      </c>
      <c r="AF478" s="55" t="str">
        <f>IF($AC478="","",_xlfn.XLOOKUP($AC478,'[2]Client Info'!$C$2:$C$2715,'[2]Client Info'!$F$2:$F$2715))</f>
        <v/>
      </c>
      <c r="AG478" s="55" t="str">
        <f>IF(ISBLANK(Table26[[#This Row],[customerSKU]]),"",_xlfn.XLOOKUP(Table26[[#This Row],[customerSKU]],Table27[customer_SKU],Table27[shipto],"",0,1))</f>
        <v/>
      </c>
      <c r="AH478" s="62" t="str">
        <f>_xlfn.XLOOKUP(Table26[[#This Row],[customerSKU]],customerSKU!G:G,customerSKU!K:K,"NA",0,1)</f>
        <v>NA</v>
      </c>
      <c r="AI478" s="43" t="str">
        <f>_xlfn.XLOOKUP(Table26[[#This Row],[customerSKU]],customerSKU!G:G,customerSKU!O:O,"not found",0,1)</f>
        <v>not found</v>
      </c>
      <c r="AJ478" s="53" t="e">
        <f>Table26[[#This Row],[unitprice]]*Table26[[#This Row],[quantity_unit]]</f>
        <v>#VALUE!</v>
      </c>
      <c r="AK478" s="53" t="e" cm="1">
        <f t="array" ref="AK4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79" spans="1:37" ht="18" customHeight="1">
      <c r="A479" s="42">
        <v>1776</v>
      </c>
      <c r="B479" s="249" t="s">
        <v>3520</v>
      </c>
      <c r="C479" s="90" t="s">
        <v>203</v>
      </c>
      <c r="D479" s="235" t="str">
        <f>IF(Table26[[#This Row],[customerSKU]]="","","null")</f>
        <v>null</v>
      </c>
      <c r="E479" s="235"/>
      <c r="F47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79" s="119"/>
      <c r="H479" s="90"/>
      <c r="I479" s="90" t="s">
        <v>3862</v>
      </c>
      <c r="J479" s="90" t="s">
        <v>3844</v>
      </c>
      <c r="K479" s="232">
        <v>45594</v>
      </c>
      <c r="L479" s="233" t="s">
        <v>504</v>
      </c>
      <c r="M479" s="90"/>
      <c r="N479" s="55" t="str">
        <f>Table26[[#This Row],[po_number]]&amp;"-"&amp;Table26[[#This Row],[po_line]]</f>
        <v>-1</v>
      </c>
      <c r="O479" s="55">
        <v>1</v>
      </c>
      <c r="P479" s="234"/>
      <c r="Q479" s="90" t="s">
        <v>3461</v>
      </c>
      <c r="R479" s="88" t="s">
        <v>3973</v>
      </c>
      <c r="S479" s="90" t="s">
        <v>114</v>
      </c>
      <c r="T479" s="20">
        <v>45588</v>
      </c>
      <c r="U479" s="236">
        <v>12</v>
      </c>
      <c r="V479" s="90" t="str">
        <f>IF(ISBLANK(Table26[[#This Row],[customerSKU]]),"",_xlfn.XLOOKUP(Table26[[#This Row],[customerSKU]],Table27[customer_SKU],Table27[case_size],"",0,1))</f>
        <v/>
      </c>
      <c r="W479" s="237" t="str">
        <f t="shared" si="19"/>
        <v/>
      </c>
      <c r="X479" s="90" t="str">
        <f t="shared" si="18"/>
        <v/>
      </c>
      <c r="Y479" s="90" t="str">
        <f>IF(Table26[[#This Row],[customerSKU]]="","",_xlfn.XLOOKUP(Table26[[#This Row],[customerSKU]],Table27[customer_SKU],Table27[product_GTIN],"",0,1))</f>
        <v/>
      </c>
      <c r="Z479" s="25" t="s">
        <v>3392</v>
      </c>
      <c r="AA479" s="18" t="str" cm="1">
        <f t="array" ref="AA479">IF(P479="", "", _xlfn.XLOOKUP(P479,#REF!,#REF!,NA,0,-1))</f>
        <v/>
      </c>
      <c r="AB479" s="90"/>
      <c r="AC479" s="55" t="s">
        <v>3371</v>
      </c>
      <c r="AD479" s="55" t="str">
        <f>IF($AC479="","",_xlfn.XLOOKUP($AC479,'[2]Client Info'!$C$2:$C$2535,'[2]Client Info'!$D$2:$D$2535))</f>
        <v>385 Martin St</v>
      </c>
      <c r="AE479" s="55" t="str">
        <f>IF($AC479="","",_xlfn.XLOOKUP($AC479,'[2]Client Info'!$C$2:$C$2715,'[2]Client Info'!$E$2:$E$2715))</f>
        <v>Penticton</v>
      </c>
      <c r="AF479" s="55" t="str">
        <f>IF($AC479="","",_xlfn.XLOOKUP($AC479,'[2]Client Info'!$C$2:$C$2715,'[2]Client Info'!$F$2:$F$2715))</f>
        <v xml:space="preserve">BC </v>
      </c>
      <c r="AG479" s="55" t="s">
        <v>3371</v>
      </c>
      <c r="AH479" s="245" t="str">
        <f>_xlfn.XLOOKUP(Table26[[#This Row],[customerSKU]],customerSKU!G:G,customerSKU!K:K,"NA",0,1)</f>
        <v>NA</v>
      </c>
      <c r="AI479" s="43" t="str">
        <f>_xlfn.XLOOKUP(Table26[[#This Row],[customerSKU]],customerSKU!G:G,customerSKU!O:O,"not found",0,1)</f>
        <v>not found</v>
      </c>
      <c r="AJ479" s="53" t="e">
        <f>Table26[[#This Row],[unitprice]]*Table26[[#This Row],[quantity_unit]]</f>
        <v>#VALUE!</v>
      </c>
      <c r="AK479" s="53" t="e" cm="1">
        <f t="array" ref="AK4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0" spans="1:37" ht="18" customHeight="1">
      <c r="A480" s="42">
        <v>1777</v>
      </c>
      <c r="B480" s="249" t="s">
        <v>3520</v>
      </c>
      <c r="C480" s="90" t="s">
        <v>203</v>
      </c>
      <c r="D480" s="235" t="str">
        <f>IF(Table26[[#This Row],[customerSKU]]="","","null")</f>
        <v>null</v>
      </c>
      <c r="E480" s="235"/>
      <c r="F48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80" s="119"/>
      <c r="H480" s="90"/>
      <c r="I480" s="90" t="s">
        <v>3862</v>
      </c>
      <c r="J480" s="90" t="s">
        <v>3844</v>
      </c>
      <c r="K480" s="232">
        <v>45594</v>
      </c>
      <c r="L480" s="233" t="s">
        <v>504</v>
      </c>
      <c r="M480" s="90"/>
      <c r="N480" s="55" t="str">
        <f>Table26[[#This Row],[po_number]]&amp;"-"&amp;Table26[[#This Row],[po_line]]</f>
        <v>-2</v>
      </c>
      <c r="O480" s="55">
        <v>2</v>
      </c>
      <c r="P480" s="234"/>
      <c r="Q480" s="90" t="s">
        <v>874</v>
      </c>
      <c r="R480" s="90"/>
      <c r="S480" s="90" t="str">
        <f>IF(Table26[[#This Row],[customerSKU]]="","",_xlfn.XLOOKUP(Table26[[#This Row],[customerSKU]],customerSKU!G:G,customerSKU!N:N,"NOT FOUND",0,1))</f>
        <v>NOT FOUND</v>
      </c>
      <c r="T480" s="20">
        <v>45307</v>
      </c>
      <c r="U480" s="236">
        <v>12</v>
      </c>
      <c r="V480" s="90" t="str">
        <f>IF(ISBLANK(Table26[[#This Row],[customerSKU]]),"",_xlfn.XLOOKUP(Table26[[#This Row],[customerSKU]],Table27[customer_SKU],Table27[case_size],"",0,1))</f>
        <v/>
      </c>
      <c r="W480" s="237" t="str">
        <f t="shared" si="19"/>
        <v/>
      </c>
      <c r="X480" s="90" t="str">
        <f t="shared" si="18"/>
        <v/>
      </c>
      <c r="Y480" s="90" t="str">
        <f>IF(Table26[[#This Row],[customerSKU]]="","",_xlfn.XLOOKUP(Table26[[#This Row],[customerSKU]],Table27[customer_SKU],Table27[product_GTIN],"",0,1))</f>
        <v/>
      </c>
      <c r="Z480" s="25" t="s">
        <v>3370</v>
      </c>
      <c r="AA480" s="18" t="str" cm="1">
        <f t="array" ref="AA480">IF(P480="", "", _xlfn.XLOOKUP(P480,#REF!,#REF!,NA,0,-1))</f>
        <v/>
      </c>
      <c r="AB480" s="90"/>
      <c r="AC480" s="55" t="s">
        <v>3371</v>
      </c>
      <c r="AD480" s="55" t="str">
        <f>IF($AC480="","",_xlfn.XLOOKUP($AC480,'[2]Client Info'!$C$2:$C$2535,'[2]Client Info'!$D$2:$D$2535))</f>
        <v>385 Martin St</v>
      </c>
      <c r="AE480" s="55" t="str">
        <f>IF($AC480="","",_xlfn.XLOOKUP($AC480,'[2]Client Info'!$C$2:$C$2715,'[2]Client Info'!$E$2:$E$2715))</f>
        <v>Penticton</v>
      </c>
      <c r="AF480" s="55" t="str">
        <f>IF($AC480="","",_xlfn.XLOOKUP($AC480,'[2]Client Info'!$C$2:$C$2715,'[2]Client Info'!$F$2:$F$2715))</f>
        <v xml:space="preserve">BC </v>
      </c>
      <c r="AG480" s="55" t="s">
        <v>3371</v>
      </c>
      <c r="AH480" s="245" t="str">
        <f>_xlfn.XLOOKUP(Table26[[#This Row],[customerSKU]],customerSKU!G:G,customerSKU!K:K,"NA",0,1)</f>
        <v>NA</v>
      </c>
      <c r="AI480" s="43" t="str">
        <f>_xlfn.XLOOKUP(Table26[[#This Row],[customerSKU]],customerSKU!G:G,customerSKU!O:O,"not found",0,1)</f>
        <v>not found</v>
      </c>
      <c r="AJ480" s="53" t="e">
        <f>Table26[[#This Row],[unitprice]]*Table26[[#This Row],[quantity_unit]]</f>
        <v>#VALUE!</v>
      </c>
      <c r="AK480" s="53" t="e" cm="1">
        <f t="array" ref="AK4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1" spans="1:37" ht="18" customHeight="1">
      <c r="A481" s="42">
        <v>1778</v>
      </c>
      <c r="B481" s="249" t="s">
        <v>3520</v>
      </c>
      <c r="C481" s="90" t="s">
        <v>203</v>
      </c>
      <c r="D481" s="235" t="str">
        <f>IF(Table26[[#This Row],[customerSKU]]="","","null")</f>
        <v>null</v>
      </c>
      <c r="E481" s="235"/>
      <c r="F48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81" s="119"/>
      <c r="H481" s="90"/>
      <c r="I481" s="90" t="s">
        <v>3862</v>
      </c>
      <c r="J481" s="90" t="s">
        <v>3844</v>
      </c>
      <c r="K481" s="232">
        <v>45594</v>
      </c>
      <c r="L481" s="233" t="s">
        <v>504</v>
      </c>
      <c r="M481" s="90"/>
      <c r="N481" s="55" t="str">
        <f>Table26[[#This Row],[po_number]]&amp;"-"&amp;Table26[[#This Row],[po_line]]</f>
        <v>-3</v>
      </c>
      <c r="O481" s="55">
        <v>3</v>
      </c>
      <c r="P481" s="234"/>
      <c r="Q481" s="242" t="s">
        <v>828</v>
      </c>
      <c r="R481" s="88" t="s">
        <v>3973</v>
      </c>
      <c r="S481" s="90" t="str">
        <f>IF(Table26[[#This Row],[customerSKU]]="","",_xlfn.XLOOKUP(Table26[[#This Row],[customerSKU]],customerSKU!G:G,customerSKU!N:N,"NOT FOUND",0,1))</f>
        <v>NOT FOUND</v>
      </c>
      <c r="T481" s="20">
        <v>45593</v>
      </c>
      <c r="U481" s="236">
        <v>24</v>
      </c>
      <c r="V481" s="90" t="str">
        <f>IF(ISBLANK(Table26[[#This Row],[customerSKU]]),"",_xlfn.XLOOKUP(Table26[[#This Row],[customerSKU]],Table27[customer_SKU],Table27[case_size],"",0,1))</f>
        <v/>
      </c>
      <c r="W481" s="237" t="str">
        <f t="shared" si="19"/>
        <v/>
      </c>
      <c r="X481" s="90" t="str">
        <f t="shared" si="18"/>
        <v/>
      </c>
      <c r="Y481" s="90" t="str">
        <f>IF(Table26[[#This Row],[customerSKU]]="","",_xlfn.XLOOKUP(Table26[[#This Row],[customerSKU]],Table27[customer_SKU],Table27[product_GTIN],"",0,1))</f>
        <v/>
      </c>
      <c r="Z481" s="25" t="s">
        <v>3364</v>
      </c>
      <c r="AA481" s="18" t="str" cm="1">
        <f t="array" ref="AA481">IF(P481="", "", _xlfn.XLOOKUP(P481,#REF!,#REF!,NA,0,-1))</f>
        <v/>
      </c>
      <c r="AB481" s="90"/>
      <c r="AC481" s="55" t="s">
        <v>3371</v>
      </c>
      <c r="AD481" s="55" t="str">
        <f>IF($AC481="","",_xlfn.XLOOKUP($AC481,'[2]Client Info'!$C$2:$C$2535,'[2]Client Info'!$D$2:$D$2535))</f>
        <v>385 Martin St</v>
      </c>
      <c r="AE481" s="55" t="str">
        <f>IF($AC481="","",_xlfn.XLOOKUP($AC481,'[2]Client Info'!$C$2:$C$2715,'[2]Client Info'!$E$2:$E$2715))</f>
        <v>Penticton</v>
      </c>
      <c r="AF481" s="55" t="str">
        <f>IF($AC481="","",_xlfn.XLOOKUP($AC481,'[2]Client Info'!$C$2:$C$2715,'[2]Client Info'!$F$2:$F$2715))</f>
        <v xml:space="preserve">BC </v>
      </c>
      <c r="AG481" s="55" t="s">
        <v>3371</v>
      </c>
      <c r="AH481" s="245" t="str">
        <f>_xlfn.XLOOKUP(Table26[[#This Row],[customerSKU]],customerSKU!G:G,customerSKU!K:K,"NA",0,1)</f>
        <v>NA</v>
      </c>
      <c r="AI481" s="43" t="str">
        <f>_xlfn.XLOOKUP(Table26[[#This Row],[customerSKU]],customerSKU!G:G,customerSKU!O:O,"not found",0,1)</f>
        <v>not found</v>
      </c>
      <c r="AJ481" s="53" t="e">
        <f>Table26[[#This Row],[unitprice]]*Table26[[#This Row],[quantity_unit]]</f>
        <v>#VALUE!</v>
      </c>
      <c r="AK481" s="53" t="e" cm="1">
        <f t="array" ref="AK4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2" spans="1:37" ht="18" customHeight="1">
      <c r="A482" s="42">
        <v>1779</v>
      </c>
      <c r="B482" s="249" t="s">
        <v>3520</v>
      </c>
      <c r="C482" s="90" t="s">
        <v>203</v>
      </c>
      <c r="D482" s="235" t="str">
        <f>IF(Table26[[#This Row],[customerSKU]]="","","null")</f>
        <v>null</v>
      </c>
      <c r="E482" s="235"/>
      <c r="F48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82" s="119"/>
      <c r="H482" s="90"/>
      <c r="I482" s="90" t="s">
        <v>3862</v>
      </c>
      <c r="J482" s="90" t="str">
        <f>IF(Table26[[#This Row],[customerSKU]]="","",_xlfn.XLOOKUP(Table26[[#This Row],[customerSKU]],customerSKU!G:G,customerSKU!A:A,"",0,1))</f>
        <v/>
      </c>
      <c r="K482" s="232">
        <v>45594</v>
      </c>
      <c r="L482" s="233" t="str">
        <f>IF(Table26[[#This Row],[customerSKU]]="","",_xlfn.XLOOKUP(Table26[[#This Row],[customerSKU]],customerSKU!G:G,customerSKU!B:B,"",0,1))</f>
        <v/>
      </c>
      <c r="M482" s="90"/>
      <c r="N482" s="55" t="str">
        <f>Table26[[#This Row],[po_number]]&amp;"-"&amp;Table26[[#This Row],[po_line]]</f>
        <v>-4</v>
      </c>
      <c r="O482" s="55">
        <v>4</v>
      </c>
      <c r="P482" s="234"/>
      <c r="Q482" s="90" t="s">
        <v>535</v>
      </c>
      <c r="R482" s="88" t="s">
        <v>3973</v>
      </c>
      <c r="S482" s="90" t="str">
        <f>IF(Table26[[#This Row],[customerSKU]]="","",_xlfn.XLOOKUP(Table26[[#This Row],[customerSKU]],customerSKU!G:G,customerSKU!N:N,"NOT FOUND",0,1))</f>
        <v>NOT FOUND</v>
      </c>
      <c r="T482" s="20">
        <v>45567</v>
      </c>
      <c r="U482" s="236">
        <v>24</v>
      </c>
      <c r="V482" s="90" t="str">
        <f>IF(ISBLANK(Table26[[#This Row],[customerSKU]]),"",_xlfn.XLOOKUP(Table26[[#This Row],[customerSKU]],Table27[customer_SKU],Table27[case_size],"",0,1))</f>
        <v/>
      </c>
      <c r="W482" s="237" t="str">
        <f t="shared" si="19"/>
        <v/>
      </c>
      <c r="X482" s="90" t="str">
        <f t="shared" si="18"/>
        <v/>
      </c>
      <c r="Y482" s="90" t="str">
        <f>IF(Table26[[#This Row],[customerSKU]]="","",_xlfn.XLOOKUP(Table26[[#This Row],[customerSKU]],Table27[customer_SKU],Table27[product_GTIN],"",0,1))</f>
        <v/>
      </c>
      <c r="Z482" s="25" t="s">
        <v>3433</v>
      </c>
      <c r="AA482" s="18" t="str" cm="1">
        <f t="array" ref="AA482">IF(P482="", "", _xlfn.XLOOKUP(P482,#REF!,#REF!,NA,0,-1))</f>
        <v/>
      </c>
      <c r="AB482" s="90"/>
      <c r="AC482" s="55" t="s">
        <v>3371</v>
      </c>
      <c r="AD482" s="55" t="str">
        <f>IF($AC482="","",_xlfn.XLOOKUP($AC482,'[2]Client Info'!$C$2:$C$2535,'[2]Client Info'!$D$2:$D$2535))</f>
        <v>385 Martin St</v>
      </c>
      <c r="AE482" s="55" t="str">
        <f>IF($AC482="","",_xlfn.XLOOKUP($AC482,'[2]Client Info'!$C$2:$C$2715,'[2]Client Info'!$E$2:$E$2715))</f>
        <v>Penticton</v>
      </c>
      <c r="AF482" s="55" t="str">
        <f>IF($AC482="","",_xlfn.XLOOKUP($AC482,'[2]Client Info'!$C$2:$C$2715,'[2]Client Info'!$F$2:$F$2715))</f>
        <v xml:space="preserve">BC </v>
      </c>
      <c r="AG482" s="55" t="s">
        <v>3371</v>
      </c>
      <c r="AH482" s="245" t="str">
        <f>_xlfn.XLOOKUP(Table26[[#This Row],[customerSKU]],customerSKU!G:G,customerSKU!K:K,"NA",0,1)</f>
        <v>NA</v>
      </c>
      <c r="AI482" s="43" t="str">
        <f>_xlfn.XLOOKUP(Table26[[#This Row],[customerSKU]],customerSKU!G:G,customerSKU!O:O,"not found",0,1)</f>
        <v>not found</v>
      </c>
      <c r="AJ482" s="53" t="e">
        <f>Table26[[#This Row],[unitprice]]*Table26[[#This Row],[quantity_unit]]</f>
        <v>#VALUE!</v>
      </c>
      <c r="AK482" s="53" t="e" cm="1">
        <f t="array" ref="AK4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83" spans="1:37" ht="18" customHeight="1">
      <c r="A483" s="42">
        <v>1780</v>
      </c>
      <c r="B483" s="249" t="s">
        <v>3520</v>
      </c>
      <c r="C483" s="90" t="s">
        <v>203</v>
      </c>
      <c r="D483" s="235" t="str">
        <f>IF(Table26[[#This Row],[customerSKU]]="","","null")</f>
        <v>null</v>
      </c>
      <c r="E483" s="235"/>
      <c r="F48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83" s="119"/>
      <c r="H483" s="90"/>
      <c r="I483" s="90" t="s">
        <v>3862</v>
      </c>
      <c r="J483" s="90" t="s">
        <v>3844</v>
      </c>
      <c r="K483" s="232">
        <v>45594</v>
      </c>
      <c r="L483" s="233" t="s">
        <v>504</v>
      </c>
      <c r="M483" s="90"/>
      <c r="N483" s="55" t="str">
        <f>Table26[[#This Row],[po_number]]&amp;"-"&amp;Table26[[#This Row],[po_line]]</f>
        <v>-5</v>
      </c>
      <c r="O483" s="55">
        <v>5</v>
      </c>
      <c r="P483" s="234"/>
      <c r="Q483" s="90" t="s">
        <v>1134</v>
      </c>
      <c r="R483" s="88" t="s">
        <v>3973</v>
      </c>
      <c r="S483" s="90" t="str">
        <f>IF(Table26[[#This Row],[customerSKU]]="","",_xlfn.XLOOKUP(Table26[[#This Row],[customerSKU]],customerSKU!G:G,customerSKU!N:N,"NOT FOUND",0,1))</f>
        <v>NOT FOUND</v>
      </c>
      <c r="T483" s="20">
        <v>45574</v>
      </c>
      <c r="U483" s="236">
        <v>12</v>
      </c>
      <c r="V483" s="90" t="str">
        <f>IF(ISBLANK(Table26[[#This Row],[customerSKU]]),"",_xlfn.XLOOKUP(Table26[[#This Row],[customerSKU]],Table27[customer_SKU],Table27[case_size],"",0,1))</f>
        <v/>
      </c>
      <c r="W483" s="237" t="str">
        <f t="shared" si="19"/>
        <v/>
      </c>
      <c r="X483" s="90" t="str">
        <f t="shared" si="18"/>
        <v/>
      </c>
      <c r="Y483" s="90" t="str">
        <f>IF(Table26[[#This Row],[customerSKU]]="","",_xlfn.XLOOKUP(Table26[[#This Row],[customerSKU]],Table27[customer_SKU],Table27[product_GTIN],"",0,1))</f>
        <v/>
      </c>
      <c r="Z483" s="25" t="s">
        <v>3406</v>
      </c>
      <c r="AA483" s="18" t="str" cm="1">
        <f t="array" ref="AA483">IF(P483="", "", _xlfn.XLOOKUP(P483,#REF!,#REF!,NA,0,-1))</f>
        <v/>
      </c>
      <c r="AB483" s="90"/>
      <c r="AC483" s="55" t="s">
        <v>3371</v>
      </c>
      <c r="AD483" s="55" t="str">
        <f>IF($AC483="","",_xlfn.XLOOKUP($AC483,'[2]Client Info'!$C$2:$C$2535,'[2]Client Info'!$D$2:$D$2535))</f>
        <v>385 Martin St</v>
      </c>
      <c r="AE483" s="55" t="str">
        <f>IF($AC483="","",_xlfn.XLOOKUP($AC483,'[2]Client Info'!$C$2:$C$2715,'[2]Client Info'!$E$2:$E$2715))</f>
        <v>Penticton</v>
      </c>
      <c r="AF483" s="55" t="str">
        <f>IF($AC483="","",_xlfn.XLOOKUP($AC483,'[2]Client Info'!$C$2:$C$2715,'[2]Client Info'!$F$2:$F$2715))</f>
        <v xml:space="preserve">BC </v>
      </c>
      <c r="AG483" s="55" t="s">
        <v>3371</v>
      </c>
      <c r="AH483" s="245" t="str">
        <f>_xlfn.XLOOKUP(Table26[[#This Row],[customerSKU]],customerSKU!G:G,customerSKU!K:K,"NA",0,1)</f>
        <v>NA</v>
      </c>
      <c r="AI483" s="43" t="str">
        <f>_xlfn.XLOOKUP(Table26[[#This Row],[customerSKU]],customerSKU!G:G,customerSKU!O:O,"not found",0,1)</f>
        <v>not found</v>
      </c>
      <c r="AJ483" s="53" t="e">
        <f>Table26[[#This Row],[unitprice]]*Table26[[#This Row],[quantity_unit]]</f>
        <v>#VALUE!</v>
      </c>
      <c r="AK483" s="53" t="e" cm="1">
        <f t="array" ref="AK4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4" spans="1:37" ht="18" customHeight="1">
      <c r="A484" s="42">
        <v>1781</v>
      </c>
      <c r="B484" s="249" t="s">
        <v>3520</v>
      </c>
      <c r="C484" s="90" t="s">
        <v>203</v>
      </c>
      <c r="D484" s="235" t="str">
        <f>IF(Table26[[#This Row],[customerSKU]]="","","null")</f>
        <v>null</v>
      </c>
      <c r="E484" s="235"/>
      <c r="F48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484" s="119"/>
      <c r="H484" s="90"/>
      <c r="I484" s="90" t="s">
        <v>3862</v>
      </c>
      <c r="J484" s="90" t="s">
        <v>3844</v>
      </c>
      <c r="K484" s="232">
        <v>45594</v>
      </c>
      <c r="L484" s="233" t="s">
        <v>504</v>
      </c>
      <c r="M484" s="90"/>
      <c r="N484" s="55" t="str">
        <f>Table26[[#This Row],[po_number]]&amp;"-"&amp;Table26[[#This Row],[po_line]]</f>
        <v>-6</v>
      </c>
      <c r="O484" s="55">
        <v>6</v>
      </c>
      <c r="P484" s="234"/>
      <c r="Q484" s="90" t="s">
        <v>2100</v>
      </c>
      <c r="R484" s="88" t="s">
        <v>3973</v>
      </c>
      <c r="S484" s="90" t="str">
        <f>IF(Table26[[#This Row],[customerSKU]]="","",_xlfn.XLOOKUP(Table26[[#This Row],[customerSKU]],customerSKU!G:G,customerSKU!N:N,"NOT FOUND",0,1))</f>
        <v>NOT FOUND</v>
      </c>
      <c r="T484" s="20">
        <v>45560</v>
      </c>
      <c r="U484" s="236">
        <v>24</v>
      </c>
      <c r="V484" s="90" t="str">
        <f>IF(ISBLANK(Table26[[#This Row],[customerSKU]]),"",_xlfn.XLOOKUP(Table26[[#This Row],[customerSKU]],Table27[customer_SKU],Table27[case_size],"",0,1))</f>
        <v/>
      </c>
      <c r="W484" s="237" t="str">
        <f t="shared" si="19"/>
        <v/>
      </c>
      <c r="X484" s="90" t="str">
        <f t="shared" si="18"/>
        <v/>
      </c>
      <c r="Y484" s="90" t="str">
        <f>IF(Table26[[#This Row],[customerSKU]]="","",_xlfn.XLOOKUP(Table26[[#This Row],[customerSKU]],Table27[customer_SKU],Table27[product_GTIN],"",0,1))</f>
        <v/>
      </c>
      <c r="Z484" s="90">
        <v>1066359</v>
      </c>
      <c r="AA484" s="18" t="str" cm="1">
        <f t="array" ref="AA484">IF(P484="", "", _xlfn.XLOOKUP(P484,#REF!,#REF!,NA,0,-1))</f>
        <v/>
      </c>
      <c r="AB484" s="90"/>
      <c r="AC484" s="55" t="s">
        <v>3371</v>
      </c>
      <c r="AD484" s="55" t="str">
        <f>IF($AC484="","",_xlfn.XLOOKUP($AC484,'[2]Client Info'!$C$2:$C$2535,'[2]Client Info'!$D$2:$D$2535))</f>
        <v>385 Martin St</v>
      </c>
      <c r="AE484" s="55" t="str">
        <f>IF($AC484="","",_xlfn.XLOOKUP($AC484,'[2]Client Info'!$C$2:$C$2715,'[2]Client Info'!$E$2:$E$2715))</f>
        <v>Penticton</v>
      </c>
      <c r="AF484" s="55" t="str">
        <f>IF($AC484="","",_xlfn.XLOOKUP($AC484,'[2]Client Info'!$C$2:$C$2715,'[2]Client Info'!$F$2:$F$2715))</f>
        <v xml:space="preserve">BC </v>
      </c>
      <c r="AG484" s="55" t="s">
        <v>3371</v>
      </c>
      <c r="AH484" s="245" t="str">
        <f>_xlfn.XLOOKUP(Table26[[#This Row],[customerSKU]],customerSKU!G:G,customerSKU!K:K,"NA",0,1)</f>
        <v>NA</v>
      </c>
      <c r="AI484" s="43" t="str">
        <f>_xlfn.XLOOKUP(Table26[[#This Row],[customerSKU]],customerSKU!G:G,customerSKU!O:O,"not found",0,1)</f>
        <v>not found</v>
      </c>
      <c r="AJ484" s="53" t="e">
        <f>Table26[[#This Row],[unitprice]]*Table26[[#This Row],[quantity_unit]]</f>
        <v>#VALUE!</v>
      </c>
      <c r="AK484" s="53" t="e" cm="1">
        <f t="array" ref="AK4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5" spans="1:37" ht="18" customHeight="1">
      <c r="A485" s="42">
        <v>1782</v>
      </c>
      <c r="B485" s="58" t="s">
        <v>3520</v>
      </c>
      <c r="C485" s="53" t="s">
        <v>203</v>
      </c>
      <c r="D485" s="51">
        <v>45579</v>
      </c>
      <c r="E485" s="51"/>
      <c r="F48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85" s="46"/>
      <c r="H485" s="53"/>
      <c r="I485" s="53" t="s">
        <v>3862</v>
      </c>
      <c r="J485" s="53" t="s">
        <v>3811</v>
      </c>
      <c r="K485" s="48">
        <v>45594</v>
      </c>
      <c r="L485" s="49" t="s">
        <v>490</v>
      </c>
      <c r="M485" s="53"/>
      <c r="N485" s="77" t="str">
        <f>Table26[[#This Row],[po_number]]&amp;"-"&amp;Table26[[#This Row],[po_line]]</f>
        <v>-1</v>
      </c>
      <c r="O485" s="77">
        <v>1</v>
      </c>
      <c r="P485" s="50"/>
      <c r="Q485" s="53" t="s">
        <v>1376</v>
      </c>
      <c r="R485" s="53" t="s">
        <v>569</v>
      </c>
      <c r="S485" s="53" t="s">
        <v>57</v>
      </c>
      <c r="T485" s="20">
        <v>45588</v>
      </c>
      <c r="U485" s="52">
        <v>12</v>
      </c>
      <c r="V485" s="53" t="str">
        <f>IF(ISBLANK(Table26[[#This Row],[customerSKU]]),"",_xlfn.XLOOKUP(Table26[[#This Row],[customerSKU]],Table27[customer_SKU],Table27[case_size],"",0,1))</f>
        <v/>
      </c>
      <c r="W485" s="116" t="str">
        <f t="shared" si="19"/>
        <v/>
      </c>
      <c r="X485" s="53" t="str">
        <f t="shared" si="18"/>
        <v/>
      </c>
      <c r="Y485" s="53" t="str">
        <f>IF(Table26[[#This Row],[customerSKU]]="","",_xlfn.XLOOKUP(Table26[[#This Row],[customerSKU]],Table27[customer_SKU],Table27[product_GTIN],"",0,1))</f>
        <v/>
      </c>
      <c r="Z485" s="25" t="s">
        <v>3455</v>
      </c>
      <c r="AA485" s="18" t="str" cm="1">
        <f t="array" ref="AA485">IF(P485="", "", _xlfn.XLOOKUP(P485,#REF!,#REF!,NA,0,-1))</f>
        <v/>
      </c>
      <c r="AB485" s="53"/>
      <c r="AC485" s="55" t="s">
        <v>89</v>
      </c>
      <c r="AD485" s="55" t="str">
        <f>IF($AC485="","",_xlfn.XLOOKUP($AC485,'[2]Client Info'!$C$2:$C$2535,'[2]Client Info'!$D$2:$D$2535))</f>
        <v xml:space="preserve">110 RAILWAY AVE E </v>
      </c>
      <c r="AE485" s="55" t="str">
        <f>IF($AC485="","",_xlfn.XLOOKUP($AC485,'[2]Client Info'!$C$2:$C$2715,'[2]Client Info'!$E$2:$E$2715))</f>
        <v xml:space="preserve">SANDY LAKE </v>
      </c>
      <c r="AF485" s="55" t="str">
        <f>IF($AC485="","",_xlfn.XLOOKUP($AC485,'[2]Client Info'!$C$2:$C$2715,'[2]Client Info'!$F$2:$F$2715))</f>
        <v>MB</v>
      </c>
      <c r="AG485" s="55" t="s">
        <v>27</v>
      </c>
      <c r="AH485" s="62" t="str">
        <f>_xlfn.XLOOKUP(Table26[[#This Row],[customerSKU]],customerSKU!G:G,customerSKU!K:K,"NA",0,1)</f>
        <v>NA</v>
      </c>
      <c r="AI485" s="43" t="str">
        <f>_xlfn.XLOOKUP(Table26[[#This Row],[customerSKU]],customerSKU!G:G,customerSKU!O:O,"not found",0,1)</f>
        <v>not found</v>
      </c>
      <c r="AJ485" s="53" t="e">
        <f>Table26[[#This Row],[unitprice]]*Table26[[#This Row],[quantity_unit]]</f>
        <v>#VALUE!</v>
      </c>
      <c r="AK485" s="53" t="e" cm="1">
        <f t="array" ref="AK4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86" spans="1:37" ht="18" customHeight="1">
      <c r="A486" s="42">
        <v>1752</v>
      </c>
      <c r="B486" s="58" t="s">
        <v>3520</v>
      </c>
      <c r="C486" s="53" t="s">
        <v>203</v>
      </c>
      <c r="D486" s="51"/>
      <c r="E486" s="51"/>
      <c r="F48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86" s="46"/>
      <c r="H486" s="53"/>
      <c r="I486" s="53" t="s">
        <v>3775</v>
      </c>
      <c r="J486" s="53" t="s">
        <v>3797</v>
      </c>
      <c r="K486" s="48">
        <v>45595</v>
      </c>
      <c r="L486" s="49" t="s">
        <v>201</v>
      </c>
      <c r="M486" s="53"/>
      <c r="N486" s="77" t="str">
        <f>Table26[[#This Row],[po_number]]&amp;"-"&amp;Table26[[#This Row],[po_line]]</f>
        <v>-1</v>
      </c>
      <c r="O486" s="77">
        <v>1</v>
      </c>
      <c r="P486" s="50"/>
      <c r="Q486" s="53"/>
      <c r="R486" s="53" t="s">
        <v>3419</v>
      </c>
      <c r="S486" s="53" t="s">
        <v>3770</v>
      </c>
      <c r="T486" s="51"/>
      <c r="U486" s="52">
        <v>3</v>
      </c>
      <c r="V486" s="53" t="s">
        <v>220</v>
      </c>
      <c r="W486" s="116" t="str">
        <f t="shared" si="19"/>
        <v/>
      </c>
      <c r="X486" s="53" t="str">
        <f t="shared" si="18"/>
        <v/>
      </c>
      <c r="Y486" s="53" t="str">
        <f>IF(Table26[[#This Row],[customerSKU]]="","",_xlfn.XLOOKUP(Table26[[#This Row],[customerSKU]],Table27[customer_SKU],Table27[product_GTIN],"",0,1))</f>
        <v/>
      </c>
      <c r="Z486" s="60"/>
      <c r="AA486" s="18" t="str" cm="1">
        <f t="array" ref="AA486">IF(P486="", "", _xlfn.XLOOKUP(P486,#REF!,#REF!,NA,0,-1))</f>
        <v/>
      </c>
      <c r="AB486" s="53"/>
      <c r="AC486" s="55" t="str">
        <f>IF(Table26[[#This Row],[customerSKU]]="","",_xlfn.XLOOKUP(Table26[[#This Row],[customerSKU]],customerSKU!G:G,customerSKU!C:C,"",0,1))</f>
        <v/>
      </c>
      <c r="AD486" s="55" t="str">
        <f>IF($AC486="","",_xlfn.XLOOKUP($AC486,'[2]Client Info'!$C$2:$C$2535,'[2]Client Info'!$D$2:$D$2535,"",0,1))</f>
        <v/>
      </c>
      <c r="AE486" s="55" t="str">
        <f>IF($AC486="","",_xlfn.XLOOKUP($AC486,'[2]Client Info'!$C$2:$C$2715,'[2]Client Info'!$E$2:$E$2715,"",))</f>
        <v/>
      </c>
      <c r="AF486" s="55" t="str">
        <f>IF($AC486="","",_xlfn.XLOOKUP($AC486,'[2]Client Info'!$C$2:$C$2715,'[2]Client Info'!$F$2:$F$2715,"",0,1))</f>
        <v/>
      </c>
      <c r="AG486" s="55" t="str">
        <f>IF(ISBLANK(Table26[[#This Row],[customerSKU]]),"",_xlfn.XLOOKUP(Table26[[#This Row],[customerSKU]],Table27[customer_SKU],Table27[billto],"",0,1))</f>
        <v/>
      </c>
      <c r="AH486" s="62" t="str">
        <f>_xlfn.XLOOKUP(Table26[[#This Row],[customerSKU]],customerSKU!G:G,customerSKU!K:K,"NA",0,1)</f>
        <v>NA</v>
      </c>
      <c r="AI486" s="43" t="str">
        <f>_xlfn.XLOOKUP(Table26[[#This Row],[customerSKU]],customerSKU!G:G,customerSKU!O:O,"not found",0,1)</f>
        <v>not found</v>
      </c>
      <c r="AJ486" s="53" t="e">
        <f>Table26[[#This Row],[unitprice]]*Table26[[#This Row],[quantity_unit]]</f>
        <v>#VALUE!</v>
      </c>
      <c r="AK486" s="53" t="e" cm="1">
        <f t="array" ref="AK4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87" spans="1:37" ht="18" customHeight="1">
      <c r="A487" s="42">
        <v>1753</v>
      </c>
      <c r="B487" s="58" t="s">
        <v>3520</v>
      </c>
      <c r="C487" s="53" t="s">
        <v>203</v>
      </c>
      <c r="D487" s="51"/>
      <c r="E487" s="51"/>
      <c r="F48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87" s="46"/>
      <c r="H487" s="53"/>
      <c r="I487" s="53" t="s">
        <v>3775</v>
      </c>
      <c r="J487" s="53" t="s">
        <v>3797</v>
      </c>
      <c r="K487" s="48">
        <v>45595</v>
      </c>
      <c r="L487" s="49" t="s">
        <v>201</v>
      </c>
      <c r="M487" s="53"/>
      <c r="N487" s="77" t="str">
        <f>Table26[[#This Row],[po_number]]&amp;"-"&amp;Table26[[#This Row],[po_line]]</f>
        <v>-2</v>
      </c>
      <c r="O487" s="77">
        <v>2</v>
      </c>
      <c r="P487" s="50"/>
      <c r="Q487" s="53"/>
      <c r="R487" s="53" t="s">
        <v>3419</v>
      </c>
      <c r="S487" s="53" t="s">
        <v>3770</v>
      </c>
      <c r="T487" s="51"/>
      <c r="U487" s="52">
        <v>3</v>
      </c>
      <c r="V487" s="53" t="s">
        <v>220</v>
      </c>
      <c r="W487" s="116" t="str">
        <f t="shared" si="19"/>
        <v/>
      </c>
      <c r="X487" s="53" t="str">
        <f t="shared" si="18"/>
        <v/>
      </c>
      <c r="Y487" s="53" t="str">
        <f>IF(Table26[[#This Row],[customerSKU]]="","",_xlfn.XLOOKUP(Table26[[#This Row],[customerSKU]],Table27[customer_SKU],Table27[product_GTIN],"",0,1))</f>
        <v/>
      </c>
      <c r="Z487" s="60"/>
      <c r="AA487" s="18" t="str" cm="1">
        <f t="array" ref="AA487">IF(P487="", "", _xlfn.XLOOKUP(P487,#REF!,#REF!,NA,0,-1))</f>
        <v/>
      </c>
      <c r="AB487" s="53"/>
      <c r="AC487" s="55" t="str">
        <f>IF(Table26[[#This Row],[customerSKU]]="","",_xlfn.XLOOKUP(Table26[[#This Row],[customerSKU]],customerSKU!G:G,customerSKU!C:C,"",0,1))</f>
        <v/>
      </c>
      <c r="AD487" s="55" t="str">
        <f>IF($AC487="","",_xlfn.XLOOKUP($AC487,'[2]Client Info'!$C$2:$C$2535,'[2]Client Info'!$D$2:$D$2535,"",0,1))</f>
        <v/>
      </c>
      <c r="AE487" s="55" t="str">
        <f>IF($AC487="","",_xlfn.XLOOKUP($AC487,'[2]Client Info'!$C$2:$C$2715,'[2]Client Info'!$E$2:$E$2715,"",))</f>
        <v/>
      </c>
      <c r="AF487" s="55" t="str">
        <f>IF($AC487="","",_xlfn.XLOOKUP($AC487,'[2]Client Info'!$C$2:$C$2715,'[2]Client Info'!$F$2:$F$2715,"",0,1))</f>
        <v/>
      </c>
      <c r="AG487" s="55" t="str">
        <f>IF(ISBLANK(Table26[[#This Row],[customerSKU]]),"",_xlfn.XLOOKUP(Table26[[#This Row],[customerSKU]],Table27[customer_SKU],Table27[billto],"",0,1))</f>
        <v/>
      </c>
      <c r="AH487" s="62" t="str">
        <f>_xlfn.XLOOKUP(Table26[[#This Row],[customerSKU]],customerSKU!G:G,customerSKU!K:K,"NA",0,1)</f>
        <v>NA</v>
      </c>
      <c r="AI487" s="43" t="str">
        <f>_xlfn.XLOOKUP(Table26[[#This Row],[customerSKU]],customerSKU!G:G,customerSKU!O:O,"not found",0,1)</f>
        <v>not found</v>
      </c>
      <c r="AJ487" s="53" t="e">
        <f>Table26[[#This Row],[unitprice]]*Table26[[#This Row],[quantity_unit]]</f>
        <v>#VALUE!</v>
      </c>
      <c r="AK487" s="53" t="e" cm="1">
        <f t="array" ref="AK4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88" spans="1:37" ht="18" customHeight="1">
      <c r="A488" s="42">
        <v>1754</v>
      </c>
      <c r="B488" s="58" t="s">
        <v>3520</v>
      </c>
      <c r="C488" s="53" t="s">
        <v>203</v>
      </c>
      <c r="D488" s="51"/>
      <c r="E488" s="51"/>
      <c r="F48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88" s="46"/>
      <c r="H488" s="53"/>
      <c r="I488" s="53" t="s">
        <v>3775</v>
      </c>
      <c r="J488" s="53" t="s">
        <v>201</v>
      </c>
      <c r="K488" s="48">
        <v>45595</v>
      </c>
      <c r="L488" s="49" t="s">
        <v>201</v>
      </c>
      <c r="M488" s="53"/>
      <c r="N488" s="77" t="str">
        <f>Table26[[#This Row],[po_number]]&amp;"-"&amp;Table26[[#This Row],[po_line]]</f>
        <v>-1</v>
      </c>
      <c r="O488" s="77">
        <v>1</v>
      </c>
      <c r="P488" s="50"/>
      <c r="Q488" s="53" t="s">
        <v>3813</v>
      </c>
      <c r="R488" s="53"/>
      <c r="S488" s="53" t="s">
        <v>3770</v>
      </c>
      <c r="T488" s="20"/>
      <c r="U488" s="52">
        <v>500</v>
      </c>
      <c r="V488" s="53" t="s">
        <v>3770</v>
      </c>
      <c r="W488" s="116" t="str">
        <f t="shared" si="19"/>
        <v/>
      </c>
      <c r="X488" s="53" t="str">
        <f t="shared" si="18"/>
        <v/>
      </c>
      <c r="Y488" s="53" t="str">
        <f>IF(Table26[[#This Row],[customerSKU]]="","",_xlfn.XLOOKUP(Table26[[#This Row],[customerSKU]],Table27[customer_SKU],Table27[product_GTIN],"",0,1))</f>
        <v/>
      </c>
      <c r="Z488" s="60"/>
      <c r="AA488" s="18" t="str" cm="1">
        <f t="array" ref="AA488">IF(P488="", "", _xlfn.XLOOKUP(P488,#REF!,#REF!,NA,0,-1))</f>
        <v/>
      </c>
      <c r="AB488" s="53"/>
      <c r="AC488" s="55" t="s">
        <v>136</v>
      </c>
      <c r="AD488" s="55" t="str">
        <f>IF($AC488="","",_xlfn.XLOOKUP($AC488,'[2]Client Info'!$C$2:$C$2535,'[2]Client Info'!$D$2:$D$2535,"",0,1))</f>
        <v xml:space="preserve">106-1772 Broadway St </v>
      </c>
      <c r="AE488" s="55" t="str">
        <f>IF($AC488="","",_xlfn.XLOOKUP($AC488,'[2]Client Info'!$C$2:$C$2715,'[2]Client Info'!$E$2:$E$2715,"",))</f>
        <v>PORT COQUITLAM</v>
      </c>
      <c r="AF488" s="55" t="str">
        <f>IF($AC488="","",_xlfn.XLOOKUP($AC488,'[2]Client Info'!$C$2:$C$2715,'[2]Client Info'!$F$2:$F$2715,"",0,1))</f>
        <v>AB</v>
      </c>
      <c r="AG488" s="55" t="s">
        <v>3795</v>
      </c>
      <c r="AH488" s="62" t="str">
        <f>_xlfn.XLOOKUP(Table26[[#This Row],[customerSKU]],customerSKU!G:G,customerSKU!K:K,"NA",0,1)</f>
        <v>NA</v>
      </c>
      <c r="AI488" s="43" t="str">
        <f>_xlfn.XLOOKUP(Table26[[#This Row],[customerSKU]],customerSKU!G:G,customerSKU!O:O,"not found",0,1)</f>
        <v>not found</v>
      </c>
      <c r="AJ488" s="53" t="e">
        <f>Table26[[#This Row],[unitprice]]*Table26[[#This Row],[quantity_unit]]</f>
        <v>#VALUE!</v>
      </c>
      <c r="AK488" s="53" t="e" cm="1">
        <f t="array" ref="AK4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489" spans="1:37" ht="18" customHeight="1">
      <c r="A489" s="42">
        <v>1755</v>
      </c>
      <c r="B489" s="58" t="s">
        <v>3520</v>
      </c>
      <c r="C489" s="53" t="s">
        <v>3360</v>
      </c>
      <c r="D489" s="51" t="str">
        <f>IF(Table26[[#This Row],[customerSKU]]="","","null")</f>
        <v>null</v>
      </c>
      <c r="E489" s="51"/>
      <c r="F48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89" s="46"/>
      <c r="H489" s="53"/>
      <c r="I489" s="53" t="s">
        <v>3862</v>
      </c>
      <c r="J489" s="53" t="s">
        <v>3811</v>
      </c>
      <c r="K489" s="48">
        <v>45595</v>
      </c>
      <c r="L489" s="49" t="s">
        <v>201</v>
      </c>
      <c r="M489" s="53"/>
      <c r="N489" s="77" t="str">
        <f>Table26[[#This Row],[po_number]]&amp;"-"&amp;Table26[[#This Row],[po_line]]</f>
        <v>-1</v>
      </c>
      <c r="O489" s="77">
        <v>1</v>
      </c>
      <c r="P489" s="50"/>
      <c r="Q489" s="377" t="s">
        <v>3847</v>
      </c>
      <c r="R489" s="53" t="s">
        <v>569</v>
      </c>
      <c r="S489" s="53" t="str">
        <f>IF(Table26[[#This Row],[customerSKU]]="","",_xlfn.XLOOKUP(Table26[[#This Row],[customerSKU]],customerSKU!G:G,customerSKU!N:N,"NOT FOUND",0,1))</f>
        <v>NOT FOUND</v>
      </c>
      <c r="T489" s="51">
        <v>45569</v>
      </c>
      <c r="U489" s="52">
        <v>240</v>
      </c>
      <c r="V489" s="53" t="str">
        <f>IF(ISBLANK(Table26[[#This Row],[customerSKU]]),"",_xlfn.XLOOKUP(Table26[[#This Row],[customerSKU]],Table27[customer_SKU],Table27[case_size],"",0,1))</f>
        <v/>
      </c>
      <c r="W489" s="116" t="str">
        <f t="shared" si="19"/>
        <v/>
      </c>
      <c r="X489" s="53" t="str">
        <f>IFERROR(#REF!*#REF!, "")</f>
        <v/>
      </c>
      <c r="Y489" s="53" t="str">
        <f>IF(Table26[[#This Row],[customerSKU]]="","",_xlfn.XLOOKUP(Table26[[#This Row],[customerSKU]],Table27[customer_SKU],Table27[product_GTIN],"",0,1))</f>
        <v/>
      </c>
      <c r="Z489" s="60">
        <v>61619</v>
      </c>
      <c r="AA489" s="18" t="str" cm="1">
        <f t="array" ref="AA489">IF(P489="", "", _xlfn.XLOOKUP(P489,#REF!,#REF!,NA,0,-1))</f>
        <v/>
      </c>
      <c r="AB489" s="53"/>
      <c r="AC489" s="55" t="s">
        <v>79</v>
      </c>
      <c r="AD489" s="55" t="str">
        <f>IF($AC489="","",_xlfn.XLOOKUP($AC489,'[2]Client Info'!$C$2:$C$2535,'[2]Client Info'!$D$2:$D$2535,"",0,1))</f>
        <v>4-1832 King Edward St.</v>
      </c>
      <c r="AE489" s="55" t="str">
        <f>IF($AC489="","",_xlfn.XLOOKUP($AC489,'[2]Client Info'!$C$2:$C$2715,'[2]Client Info'!$E$2:$E$2715,"",))</f>
        <v>WINNIPEG</v>
      </c>
      <c r="AF489" s="55" t="str">
        <f>IF($AC489="","",_xlfn.XLOOKUP($AC489,'[2]Client Info'!$C$2:$C$2715,'[2]Client Info'!$F$2:$F$2715,"",0,1))</f>
        <v>MB</v>
      </c>
      <c r="AG489" s="55" t="s">
        <v>3864</v>
      </c>
      <c r="AH489" s="62" t="str">
        <f>_xlfn.XLOOKUP(Table26[[#This Row],[customerSKU]],customerSKU!G:G,customerSKU!K:K,"NA",0,1)</f>
        <v>NA</v>
      </c>
      <c r="AI489" s="43" t="str">
        <f>_xlfn.XLOOKUP(Table26[[#This Row],[customerSKU]],customerSKU!G:G,customerSKU!O:O,"not found",0,1)</f>
        <v>not found</v>
      </c>
      <c r="AJ489" s="53" t="e">
        <f>Table26[[#This Row],[unitprice]]*Table26[[#This Row],[quantity_unit]]</f>
        <v>#VALUE!</v>
      </c>
      <c r="AK489" s="53" t="e" cm="1">
        <f t="array" ref="AK4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0" spans="1:37" ht="18" customHeight="1">
      <c r="A490" s="42">
        <v>1756</v>
      </c>
      <c r="B490" s="58" t="s">
        <v>3520</v>
      </c>
      <c r="C490" s="53" t="s">
        <v>3360</v>
      </c>
      <c r="D490" s="51" t="str">
        <f>IF(Table26[[#This Row],[customerSKU]]="","","null")</f>
        <v>null</v>
      </c>
      <c r="E490" s="51"/>
      <c r="F49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0" s="46"/>
      <c r="H490" s="53"/>
      <c r="I490" s="53" t="s">
        <v>3862</v>
      </c>
      <c r="J490" s="53" t="s">
        <v>3811</v>
      </c>
      <c r="K490" s="48">
        <v>45595</v>
      </c>
      <c r="L490" s="49" t="s">
        <v>201</v>
      </c>
      <c r="M490" s="53"/>
      <c r="N490" s="77" t="str">
        <f>Table26[[#This Row],[po_number]]&amp;"-"&amp;Table26[[#This Row],[po_line]]</f>
        <v>-2</v>
      </c>
      <c r="O490" s="77">
        <v>2</v>
      </c>
      <c r="P490" s="50"/>
      <c r="Q490" s="53" t="s">
        <v>3461</v>
      </c>
      <c r="R490" s="53" t="s">
        <v>569</v>
      </c>
      <c r="S490" s="53" t="str">
        <f>IF(Table26[[#This Row],[customerSKU]]="","",_xlfn.XLOOKUP(Table26[[#This Row],[customerSKU]],customerSKU!G:G,customerSKU!N:N,"NOT FOUND",0,1))</f>
        <v>NOT FOUND</v>
      </c>
      <c r="T490" s="51">
        <v>45588</v>
      </c>
      <c r="U490" s="52">
        <v>60</v>
      </c>
      <c r="V490" s="53" t="str">
        <f>IF(ISBLANK(Table26[[#This Row],[customerSKU]]),"",_xlfn.XLOOKUP(Table26[[#This Row],[customerSKU]],Table27[customer_SKU],Table27[case_size],"",0,1))</f>
        <v/>
      </c>
      <c r="W490" s="116" t="str">
        <f t="shared" si="19"/>
        <v/>
      </c>
      <c r="X490" s="53" t="str">
        <f>IFERROR($AA487*$U487, "")</f>
        <v/>
      </c>
      <c r="Y490" s="53" t="str">
        <f>IF(Table26[[#This Row],[customerSKU]]="","",_xlfn.XLOOKUP(Table26[[#This Row],[customerSKU]],Table27[customer_SKU],Table27[product_GTIN],"",0,1))</f>
        <v/>
      </c>
      <c r="Z490" s="25" t="s">
        <v>3497</v>
      </c>
      <c r="AA490" s="18" t="str" cm="1">
        <f t="array" ref="AA490">IF(P490="", "", _xlfn.XLOOKUP(P490,#REF!,#REF!,NA,0,-1))</f>
        <v/>
      </c>
      <c r="AB490" s="53"/>
      <c r="AC490" s="55" t="s">
        <v>79</v>
      </c>
      <c r="AD490" s="55" t="str">
        <f>IF($AC490="","",_xlfn.XLOOKUP($AC490,'[2]Client Info'!$C$2:$C$2535,'[2]Client Info'!$D$2:$D$2535,"",0,1))</f>
        <v>4-1832 King Edward St.</v>
      </c>
      <c r="AE490" s="55" t="str">
        <f>IF($AC490="","",_xlfn.XLOOKUP($AC490,'[2]Client Info'!$C$2:$C$2715,'[2]Client Info'!$E$2:$E$2715,"",))</f>
        <v>WINNIPEG</v>
      </c>
      <c r="AF490" s="55" t="str">
        <f>IF($AC490="","",_xlfn.XLOOKUP($AC490,'[2]Client Info'!$C$2:$C$2715,'[2]Client Info'!$F$2:$F$2715,"",0,1))</f>
        <v>MB</v>
      </c>
      <c r="AG490" s="55" t="s">
        <v>3864</v>
      </c>
      <c r="AH490" s="62" t="str">
        <f>_xlfn.XLOOKUP(Table26[[#This Row],[customerSKU]],customerSKU!G:G,customerSKU!K:K,"NA",0,1)</f>
        <v>NA</v>
      </c>
      <c r="AI490" s="43" t="str">
        <f>_xlfn.XLOOKUP(Table26[[#This Row],[customerSKU]],customerSKU!G:G,customerSKU!O:O,"not found",0,1)</f>
        <v>not found</v>
      </c>
      <c r="AJ490" s="53" t="e">
        <f>Table26[[#This Row],[unitprice]]*Table26[[#This Row],[quantity_unit]]</f>
        <v>#VALUE!</v>
      </c>
      <c r="AK490" s="53" t="e" cm="1">
        <f t="array" ref="AK4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1" spans="1:37" ht="18" customHeight="1">
      <c r="A491" s="42">
        <v>1757</v>
      </c>
      <c r="B491" s="58" t="s">
        <v>3520</v>
      </c>
      <c r="C491" s="53" t="s">
        <v>3360</v>
      </c>
      <c r="D491" s="51" t="str">
        <f>IF(Table26[[#This Row],[customerSKU]]="","","null")</f>
        <v>null</v>
      </c>
      <c r="E491" s="51"/>
      <c r="F49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1" s="46"/>
      <c r="H491" s="53"/>
      <c r="I491" s="53" t="s">
        <v>3862</v>
      </c>
      <c r="J491" s="53" t="s">
        <v>3811</v>
      </c>
      <c r="K491" s="48">
        <v>45595</v>
      </c>
      <c r="L491" s="49" t="s">
        <v>201</v>
      </c>
      <c r="M491" s="53"/>
      <c r="N491" s="77" t="str">
        <f>Table26[[#This Row],[po_number]]&amp;"-"&amp;Table26[[#This Row],[po_line]]</f>
        <v>-3</v>
      </c>
      <c r="O491" s="77">
        <v>3</v>
      </c>
      <c r="P491" s="50"/>
      <c r="Q491" s="59" t="s">
        <v>828</v>
      </c>
      <c r="R491" s="53" t="s">
        <v>569</v>
      </c>
      <c r="S491" s="53" t="str">
        <f>IF(Table26[[#This Row],[customerSKU]]="","",_xlfn.XLOOKUP(Table26[[#This Row],[customerSKU]],customerSKU!G:G,customerSKU!N:N,"NOT FOUND",0,1))</f>
        <v>NOT FOUND</v>
      </c>
      <c r="T491" s="51">
        <v>45593</v>
      </c>
      <c r="U491" s="52">
        <v>120</v>
      </c>
      <c r="V491" s="53" t="str">
        <f>IF(ISBLANK(Table26[[#This Row],[customerSKU]]),"",_xlfn.XLOOKUP(Table26[[#This Row],[customerSKU]],Table27[customer_SKU],Table27[case_size],"",0,1))</f>
        <v/>
      </c>
      <c r="W491" s="116" t="str">
        <f t="shared" si="19"/>
        <v/>
      </c>
      <c r="X491" s="53" t="str">
        <f>IFERROR($AA490*$U490, "")</f>
        <v/>
      </c>
      <c r="Y491" s="53" t="str">
        <f>IF(Table26[[#This Row],[customerSKU]]="","",_xlfn.XLOOKUP(Table26[[#This Row],[customerSKU]],Table27[customer_SKU],Table27[product_GTIN],"",0,1))</f>
        <v/>
      </c>
      <c r="Z491" s="60" t="s">
        <v>3866</v>
      </c>
      <c r="AA491" s="18" t="str" cm="1">
        <f t="array" ref="AA491">IF(P491="", "", _xlfn.XLOOKUP(P491,#REF!,#REF!,NA,0,-1))</f>
        <v/>
      </c>
      <c r="AB491" s="53"/>
      <c r="AC491" s="55" t="s">
        <v>79</v>
      </c>
      <c r="AD491" s="55" t="str">
        <f>IF($AC491="","",_xlfn.XLOOKUP($AC491,'[2]Client Info'!$C$2:$C$2535,'[2]Client Info'!$D$2:$D$2535,"",0,1))</f>
        <v>4-1832 King Edward St.</v>
      </c>
      <c r="AE491" s="55" t="str">
        <f>IF($AC491="","",_xlfn.XLOOKUP($AC491,'[2]Client Info'!$C$2:$C$2715,'[2]Client Info'!$E$2:$E$2715,"",))</f>
        <v>WINNIPEG</v>
      </c>
      <c r="AF491" s="55" t="str">
        <f>IF($AC491="","",_xlfn.XLOOKUP($AC491,'[2]Client Info'!$C$2:$C$2715,'[2]Client Info'!$F$2:$F$2715,"",0,1))</f>
        <v>MB</v>
      </c>
      <c r="AG491" s="55" t="s">
        <v>3864</v>
      </c>
      <c r="AH491" s="62" t="str">
        <f>_xlfn.XLOOKUP(Table26[[#This Row],[customerSKU]],customerSKU!G:G,customerSKU!K:K,"NA",0,1)</f>
        <v>NA</v>
      </c>
      <c r="AI491" s="43" t="str">
        <f>_xlfn.XLOOKUP(Table26[[#This Row],[customerSKU]],customerSKU!G:G,customerSKU!O:O,"not found",0,1)</f>
        <v>not found</v>
      </c>
      <c r="AJ491" s="53" t="e">
        <f>Table26[[#This Row],[unitprice]]*Table26[[#This Row],[quantity_unit]]</f>
        <v>#VALUE!</v>
      </c>
      <c r="AK491" s="53" t="e" cm="1">
        <f t="array" ref="AK4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2" spans="1:37" ht="24.6" customHeight="1">
      <c r="A492" s="42">
        <v>1758</v>
      </c>
      <c r="B492" s="58" t="s">
        <v>3520</v>
      </c>
      <c r="C492" s="53" t="s">
        <v>3360</v>
      </c>
      <c r="D492" s="51" t="str">
        <f>IF(Table26[[#This Row],[customerSKU]]="","","null")</f>
        <v>null</v>
      </c>
      <c r="E492" s="51"/>
      <c r="F49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2" s="46"/>
      <c r="H492" s="53"/>
      <c r="I492" s="53" t="s">
        <v>3862</v>
      </c>
      <c r="J492" s="53" t="s">
        <v>3811</v>
      </c>
      <c r="K492" s="48">
        <v>45595</v>
      </c>
      <c r="L492" s="49" t="s">
        <v>201</v>
      </c>
      <c r="M492" s="53"/>
      <c r="N492" s="77" t="str">
        <f>Table26[[#This Row],[po_number]]&amp;"-"&amp;Table26[[#This Row],[po_line]]</f>
        <v>-4</v>
      </c>
      <c r="O492" s="77">
        <v>4</v>
      </c>
      <c r="P492" s="50"/>
      <c r="Q492" s="53" t="s">
        <v>869</v>
      </c>
      <c r="R492" s="53" t="s">
        <v>569</v>
      </c>
      <c r="S492" s="53" t="str">
        <f>IF(Table26[[#This Row],[customerSKU]]="","",_xlfn.XLOOKUP(Table26[[#This Row],[customerSKU]],customerSKU!G:G,customerSKU!N:N,"NOT FOUND",0,1))</f>
        <v>NOT FOUND</v>
      </c>
      <c r="T492" s="51">
        <v>45498</v>
      </c>
      <c r="U492" s="52">
        <v>60</v>
      </c>
      <c r="V492" s="53" t="str">
        <f>IF(ISBLANK(Table26[[#This Row],[customerSKU]]),"",_xlfn.XLOOKUP(Table26[[#This Row],[customerSKU]],Table27[customer_SKU],Table27[case_size],"",0,1))</f>
        <v/>
      </c>
      <c r="W492" s="116" t="str">
        <f t="shared" si="19"/>
        <v/>
      </c>
      <c r="X492" s="53" t="str">
        <f>IFERROR($AA491*$U491, "")</f>
        <v/>
      </c>
      <c r="Y492" s="53" t="str">
        <f>IF(Table26[[#This Row],[customerSKU]]="","",_xlfn.XLOOKUP(Table26[[#This Row],[customerSKU]],Table27[customer_SKU],Table27[product_GTIN],"",0,1))</f>
        <v/>
      </c>
      <c r="Z492" s="25" t="s">
        <v>3538</v>
      </c>
      <c r="AA492" s="18" t="str" cm="1">
        <f t="array" ref="AA492">IF(P492="", "", _xlfn.XLOOKUP(P492,#REF!,#REF!,NA,0,-1))</f>
        <v/>
      </c>
      <c r="AB492" s="53"/>
      <c r="AC492" s="55" t="s">
        <v>79</v>
      </c>
      <c r="AD492" s="55" t="str">
        <f>IF($AC492="","",_xlfn.XLOOKUP($AC492,'[2]Client Info'!$C$2:$C$2535,'[2]Client Info'!$D$2:$D$2535,"",0,1))</f>
        <v>4-1832 King Edward St.</v>
      </c>
      <c r="AE492" s="55" t="str">
        <f>IF($AC492="","",_xlfn.XLOOKUP($AC492,'[2]Client Info'!$C$2:$C$2715,'[2]Client Info'!$E$2:$E$2715,"",))</f>
        <v>WINNIPEG</v>
      </c>
      <c r="AF492" s="55" t="str">
        <f>IF($AC492="","",_xlfn.XLOOKUP($AC492,'[2]Client Info'!$C$2:$C$2715,'[2]Client Info'!$F$2:$F$2715,"",0,1))</f>
        <v>MB</v>
      </c>
      <c r="AG492" s="55" t="s">
        <v>3864</v>
      </c>
      <c r="AH492" s="62" t="str">
        <f>_xlfn.XLOOKUP(Table26[[#This Row],[customerSKU]],customerSKU!G:G,customerSKU!K:K,"NA",0,1)</f>
        <v>NA</v>
      </c>
      <c r="AI492" s="43" t="str">
        <f>_xlfn.XLOOKUP(Table26[[#This Row],[customerSKU]],customerSKU!G:G,customerSKU!O:O,"not found",0,1)</f>
        <v>not found</v>
      </c>
      <c r="AJ492" s="53" t="e">
        <f>Table26[[#This Row],[unitprice]]*Table26[[#This Row],[quantity_unit]]</f>
        <v>#VALUE!</v>
      </c>
      <c r="AK492" s="53" t="e" cm="1">
        <f t="array" ref="AK4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3" spans="1:37" ht="18" customHeight="1">
      <c r="A493" s="42">
        <v>1759</v>
      </c>
      <c r="B493" s="58" t="s">
        <v>3520</v>
      </c>
      <c r="C493" s="53" t="s">
        <v>3360</v>
      </c>
      <c r="D493" s="51" t="str">
        <f>IF(Table26[[#This Row],[customerSKU]]="","","null")</f>
        <v>null</v>
      </c>
      <c r="E493" s="51"/>
      <c r="F49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3" s="46"/>
      <c r="H493" s="53"/>
      <c r="I493" s="53" t="s">
        <v>3862</v>
      </c>
      <c r="J493" s="53" t="s">
        <v>3811</v>
      </c>
      <c r="K493" s="48">
        <v>45595</v>
      </c>
      <c r="L493" s="49" t="s">
        <v>201</v>
      </c>
      <c r="M493" s="53"/>
      <c r="N493" s="77" t="str">
        <f>Table26[[#This Row],[po_number]]&amp;"-"&amp;Table26[[#This Row],[po_line]]</f>
        <v>-5</v>
      </c>
      <c r="O493" s="77">
        <v>5</v>
      </c>
      <c r="P493" s="50"/>
      <c r="Q493" s="53" t="s">
        <v>1376</v>
      </c>
      <c r="R493" s="53" t="s">
        <v>569</v>
      </c>
      <c r="S493" s="53" t="str">
        <f>IF(Table26[[#This Row],[customerSKU]]="","",_xlfn.XLOOKUP(Table26[[#This Row],[customerSKU]],customerSKU!G:G,customerSKU!N:N,"NOT FOUND",0,1))</f>
        <v>NOT FOUND</v>
      </c>
      <c r="T493" s="51">
        <v>45588</v>
      </c>
      <c r="U493" s="52">
        <f>25*12</f>
        <v>300</v>
      </c>
      <c r="V493" s="53" t="str">
        <f>IF(ISBLANK(Table26[[#This Row],[customerSKU]]),"",_xlfn.XLOOKUP(Table26[[#This Row],[customerSKU]],Table27[customer_SKU],Table27[case_size],"",0,1))</f>
        <v/>
      </c>
      <c r="W493" s="116" t="str">
        <f t="shared" si="19"/>
        <v/>
      </c>
      <c r="X493" s="53" t="str">
        <f>IFERROR($AA490*$U490, "")</f>
        <v/>
      </c>
      <c r="Y493" s="53" t="str">
        <f>IF(Table26[[#This Row],[customerSKU]]="","",_xlfn.XLOOKUP(Table26[[#This Row],[customerSKU]],Table27[customer_SKU],Table27[product_GTIN],"",0,1))</f>
        <v/>
      </c>
      <c r="Z493" s="25" t="s">
        <v>3455</v>
      </c>
      <c r="AA493" s="18" t="str" cm="1">
        <f t="array" ref="AA493">IF(P493="", "", _xlfn.XLOOKUP(P493,#REF!,#REF!,NA,0,-1))</f>
        <v/>
      </c>
      <c r="AB493" s="53"/>
      <c r="AC493" s="55" t="s">
        <v>79</v>
      </c>
      <c r="AD493" s="55" t="str">
        <f>IF($AC493="","",_xlfn.XLOOKUP($AC493,'[2]Client Info'!$C$2:$C$2535,'[2]Client Info'!$D$2:$D$2535,"",0,1))</f>
        <v>4-1832 King Edward St.</v>
      </c>
      <c r="AE493" s="55" t="str">
        <f>IF($AC493="","",_xlfn.XLOOKUP($AC493,'[2]Client Info'!$C$2:$C$2715,'[2]Client Info'!$E$2:$E$2715,"",))</f>
        <v>WINNIPEG</v>
      </c>
      <c r="AF493" s="55" t="str">
        <f>IF($AC493="","",_xlfn.XLOOKUP($AC493,'[2]Client Info'!$C$2:$C$2715,'[2]Client Info'!$F$2:$F$2715,"",0,1))</f>
        <v>MB</v>
      </c>
      <c r="AG493" s="55" t="s">
        <v>3864</v>
      </c>
      <c r="AH493" s="62" t="str">
        <f>_xlfn.XLOOKUP(Table26[[#This Row],[customerSKU]],customerSKU!G:G,customerSKU!K:K,"NA",0,1)</f>
        <v>NA</v>
      </c>
      <c r="AI493" s="43" t="str">
        <f>_xlfn.XLOOKUP(Table26[[#This Row],[customerSKU]],customerSKU!G:G,customerSKU!O:O,"not found",0,1)</f>
        <v>not found</v>
      </c>
      <c r="AJ493" s="53" t="e">
        <f>Table26[[#This Row],[unitprice]]*Table26[[#This Row],[quantity_unit]]</f>
        <v>#VALUE!</v>
      </c>
      <c r="AK493" s="53" t="e" cm="1">
        <f t="array" ref="AK4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4" spans="1:37" ht="18" customHeight="1">
      <c r="A494" s="42">
        <v>1760</v>
      </c>
      <c r="B494" s="58" t="s">
        <v>3520</v>
      </c>
      <c r="C494" s="53" t="s">
        <v>3360</v>
      </c>
      <c r="D494" s="51" t="str">
        <f>IF(Table26[[#This Row],[customerSKU]]="","","null")</f>
        <v>null</v>
      </c>
      <c r="E494" s="51"/>
      <c r="F49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4" s="46"/>
      <c r="H494" s="53"/>
      <c r="I494" s="53" t="s">
        <v>3862</v>
      </c>
      <c r="J494" s="53" t="s">
        <v>3811</v>
      </c>
      <c r="K494" s="48">
        <v>45595</v>
      </c>
      <c r="L494" s="49" t="s">
        <v>201</v>
      </c>
      <c r="M494" s="53"/>
      <c r="N494" s="77" t="str">
        <f>Table26[[#This Row],[po_number]]&amp;"-"&amp;Table26[[#This Row],[po_line]]</f>
        <v>-6</v>
      </c>
      <c r="O494" s="77">
        <v>6</v>
      </c>
      <c r="P494" s="50"/>
      <c r="Q494" s="53" t="s">
        <v>1313</v>
      </c>
      <c r="R494" s="53" t="s">
        <v>569</v>
      </c>
      <c r="S494" s="53" t="str">
        <f>IF(Table26[[#This Row],[customerSKU]]="","",_xlfn.XLOOKUP(Table26[[#This Row],[customerSKU]],customerSKU!G:G,customerSKU!N:N,"NOT FOUND",0,1))</f>
        <v>NOT FOUND</v>
      </c>
      <c r="T494" s="51">
        <v>45575</v>
      </c>
      <c r="U494" s="52">
        <v>60</v>
      </c>
      <c r="V494" s="53" t="str">
        <f>IF(ISBLANK(Table26[[#This Row],[customerSKU]]),"",_xlfn.XLOOKUP(Table26[[#This Row],[customerSKU]],Table27[customer_SKU],Table27[case_size],"",0,1))</f>
        <v/>
      </c>
      <c r="W494" s="116" t="str">
        <f t="shared" si="19"/>
        <v/>
      </c>
      <c r="X494" s="53" t="str">
        <f>IFERROR($AA491*$U491, "")</f>
        <v/>
      </c>
      <c r="Y494" s="53" t="str">
        <f>IF(Table26[[#This Row],[customerSKU]]="","",_xlfn.XLOOKUP(Table26[[#This Row],[customerSKU]],Table27[customer_SKU],Table27[product_GTIN],"",0,1))</f>
        <v/>
      </c>
      <c r="Z494" s="25" t="s">
        <v>3390</v>
      </c>
      <c r="AA494" s="18" t="str" cm="1">
        <f t="array" ref="AA494">IF(P494="", "", _xlfn.XLOOKUP(P494,#REF!,#REF!,NA,0,-1))</f>
        <v/>
      </c>
      <c r="AB494" s="53"/>
      <c r="AC494" s="55" t="s">
        <v>79</v>
      </c>
      <c r="AD494" s="55" t="str">
        <f>IF($AC494="","",_xlfn.XLOOKUP($AC494,'[2]Client Info'!$C$2:$C$2535,'[2]Client Info'!$D$2:$D$2535,"",0,1))</f>
        <v>4-1832 King Edward St.</v>
      </c>
      <c r="AE494" s="55" t="str">
        <f>IF($AC494="","",_xlfn.XLOOKUP($AC494,'[2]Client Info'!$C$2:$C$2715,'[2]Client Info'!$E$2:$E$2715,"",))</f>
        <v>WINNIPEG</v>
      </c>
      <c r="AF494" s="55" t="str">
        <f>IF($AC494="","",_xlfn.XLOOKUP($AC494,'[2]Client Info'!$C$2:$C$2715,'[2]Client Info'!$F$2:$F$2715,"",0,1))</f>
        <v>MB</v>
      </c>
      <c r="AG494" s="55" t="s">
        <v>3864</v>
      </c>
      <c r="AH494" s="62" t="str">
        <f>_xlfn.XLOOKUP(Table26[[#This Row],[customerSKU]],customerSKU!G:G,customerSKU!K:K,"NA",0,1)</f>
        <v>NA</v>
      </c>
      <c r="AI494" s="43" t="str">
        <f>_xlfn.XLOOKUP(Table26[[#This Row],[customerSKU]],customerSKU!G:G,customerSKU!O:O,"not found",0,1)</f>
        <v>not found</v>
      </c>
      <c r="AJ494" s="53" t="e">
        <f>Table26[[#This Row],[unitprice]]*Table26[[#This Row],[quantity_unit]]</f>
        <v>#VALUE!</v>
      </c>
      <c r="AK494" s="53" t="e" cm="1">
        <f t="array" ref="AK4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5" spans="1:37" ht="18" customHeight="1">
      <c r="A495" s="42">
        <v>1761</v>
      </c>
      <c r="B495" s="58" t="s">
        <v>3520</v>
      </c>
      <c r="C495" s="53" t="s">
        <v>3360</v>
      </c>
      <c r="D495" s="51" t="str">
        <f>IF(Table26[[#This Row],[customerSKU]]="","","null")</f>
        <v>null</v>
      </c>
      <c r="E495" s="51"/>
      <c r="F49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5" s="46"/>
      <c r="H495" s="53"/>
      <c r="I495" s="53" t="s">
        <v>3862</v>
      </c>
      <c r="J495" s="53" t="s">
        <v>3811</v>
      </c>
      <c r="K495" s="48">
        <v>45595</v>
      </c>
      <c r="L495" s="49" t="s">
        <v>201</v>
      </c>
      <c r="M495" s="53"/>
      <c r="N495" s="77" t="str">
        <f>Table26[[#This Row],[po_number]]&amp;"-"&amp;Table26[[#This Row],[po_line]]</f>
        <v>-7</v>
      </c>
      <c r="O495" s="77">
        <v>7</v>
      </c>
      <c r="P495" s="50"/>
      <c r="Q495" s="53" t="s">
        <v>3859</v>
      </c>
      <c r="R495" s="53" t="s">
        <v>569</v>
      </c>
      <c r="S495" s="53" t="str">
        <f>IF(Table26[[#This Row],[customerSKU]]="","",_xlfn.XLOOKUP(Table26[[#This Row],[customerSKU]],customerSKU!G:G,customerSKU!N:N,"NOT FOUND",0,1))</f>
        <v>NOT FOUND</v>
      </c>
      <c r="T495" s="51">
        <v>45588</v>
      </c>
      <c r="U495" s="52">
        <v>60</v>
      </c>
      <c r="V495" s="53" t="str">
        <f>IF(ISBLANK(Table26[[#This Row],[customerSKU]]),"",_xlfn.XLOOKUP(Table26[[#This Row],[customerSKU]],Table27[customer_SKU],Table27[case_size],"",0,1))</f>
        <v/>
      </c>
      <c r="W495" s="116" t="str">
        <f t="shared" si="19"/>
        <v/>
      </c>
      <c r="X495" s="53" t="str">
        <f>IFERROR($AA491*$U491, "")</f>
        <v/>
      </c>
      <c r="Y495" s="53" t="str">
        <f>IF(Table26[[#This Row],[customerSKU]]="","",_xlfn.XLOOKUP(Table26[[#This Row],[customerSKU]],Table27[customer_SKU],Table27[product_GTIN],"",0,1))</f>
        <v/>
      </c>
      <c r="Z495" s="25" t="s">
        <v>3381</v>
      </c>
      <c r="AA495" s="18" t="str" cm="1">
        <f t="array" ref="AA495">IF(P495="", "", _xlfn.XLOOKUP(P495,#REF!,#REF!,NA,0,-1))</f>
        <v/>
      </c>
      <c r="AB495" s="53"/>
      <c r="AC495" s="55" t="s">
        <v>79</v>
      </c>
      <c r="AD495" s="55" t="str">
        <f>IF($AC495="","",_xlfn.XLOOKUP($AC495,'[2]Client Info'!$C$2:$C$2535,'[2]Client Info'!$D$2:$D$2535,"",0,1))</f>
        <v>4-1832 King Edward St.</v>
      </c>
      <c r="AE495" s="55" t="str">
        <f>IF($AC495="","",_xlfn.XLOOKUP($AC495,'[2]Client Info'!$C$2:$C$2715,'[2]Client Info'!$E$2:$E$2715,"",))</f>
        <v>WINNIPEG</v>
      </c>
      <c r="AF495" s="55" t="str">
        <f>IF($AC495="","",_xlfn.XLOOKUP($AC495,'[2]Client Info'!$C$2:$C$2715,'[2]Client Info'!$F$2:$F$2715,"",0,1))</f>
        <v>MB</v>
      </c>
      <c r="AG495" s="55" t="s">
        <v>3864</v>
      </c>
      <c r="AH495" s="62" t="str">
        <f>_xlfn.XLOOKUP(Table26[[#This Row],[customerSKU]],customerSKU!G:G,customerSKU!K:K,"NA",0,1)</f>
        <v>NA</v>
      </c>
      <c r="AI495" s="43" t="str">
        <f>_xlfn.XLOOKUP(Table26[[#This Row],[customerSKU]],customerSKU!G:G,customerSKU!O:O,"not found",0,1)</f>
        <v>not found</v>
      </c>
      <c r="AJ495" s="53" t="e">
        <f>Table26[[#This Row],[unitprice]]*Table26[[#This Row],[quantity_unit]]</f>
        <v>#VALUE!</v>
      </c>
      <c r="AK495" s="53" t="e" cm="1">
        <f t="array" ref="AK4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6" spans="1:37" ht="18" customHeight="1">
      <c r="A496" s="42">
        <v>1762</v>
      </c>
      <c r="B496" s="58" t="s">
        <v>3520</v>
      </c>
      <c r="C496" s="53" t="s">
        <v>3360</v>
      </c>
      <c r="D496" s="51" t="str">
        <f>IF(Table26[[#This Row],[customerSKU]]="","","null")</f>
        <v>null</v>
      </c>
      <c r="E496" s="51"/>
      <c r="F49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6" s="46"/>
      <c r="H496" s="53"/>
      <c r="I496" s="53" t="s">
        <v>3862</v>
      </c>
      <c r="J496" s="53" t="s">
        <v>3811</v>
      </c>
      <c r="K496" s="48">
        <v>45595</v>
      </c>
      <c r="L496" s="49" t="s">
        <v>201</v>
      </c>
      <c r="M496" s="53"/>
      <c r="N496" s="77" t="str">
        <f>Table26[[#This Row],[po_number]]&amp;"-"&amp;Table26[[#This Row],[po_line]]</f>
        <v>-8</v>
      </c>
      <c r="O496" s="77">
        <v>8</v>
      </c>
      <c r="P496" s="50"/>
      <c r="Q496" s="53" t="s">
        <v>1134</v>
      </c>
      <c r="R496" s="53" t="s">
        <v>569</v>
      </c>
      <c r="S496" s="53" t="str">
        <f>IF(Table26[[#This Row],[customerSKU]]="","",_xlfn.XLOOKUP(Table26[[#This Row],[customerSKU]],customerSKU!G:G,customerSKU!N:N,"NOT FOUND",0,1))</f>
        <v>NOT FOUND</v>
      </c>
      <c r="T496" s="51">
        <v>45581</v>
      </c>
      <c r="U496" s="52">
        <f>15*12</f>
        <v>180</v>
      </c>
      <c r="V496" s="53" t="str">
        <f>IF(ISBLANK(Table26[[#This Row],[customerSKU]]),"",_xlfn.XLOOKUP(Table26[[#This Row],[customerSKU]],Table27[customer_SKU],Table27[case_size],"",0,1))</f>
        <v/>
      </c>
      <c r="W496" s="116" t="str">
        <f t="shared" si="19"/>
        <v/>
      </c>
      <c r="X496" s="53" t="str">
        <f>IFERROR($AA492*$U492, "")</f>
        <v/>
      </c>
      <c r="Y496" s="53" t="str">
        <f>IF(Table26[[#This Row],[customerSKU]]="","",_xlfn.XLOOKUP(Table26[[#This Row],[customerSKU]],Table27[customer_SKU],Table27[product_GTIN],"",0,1))</f>
        <v/>
      </c>
      <c r="Z496" s="60">
        <v>61622</v>
      </c>
      <c r="AA496" s="18" t="str" cm="1">
        <f t="array" ref="AA496">IF(P496="", "", _xlfn.XLOOKUP(P496,#REF!,#REF!,NA,0,-1))</f>
        <v/>
      </c>
      <c r="AB496" s="53"/>
      <c r="AC496" s="55" t="s">
        <v>79</v>
      </c>
      <c r="AD496" s="55" t="str">
        <f>IF($AC496="","",_xlfn.XLOOKUP($AC496,'[2]Client Info'!$C$2:$C$2535,'[2]Client Info'!$D$2:$D$2535,"",0,1))</f>
        <v>4-1832 King Edward St.</v>
      </c>
      <c r="AE496" s="55" t="str">
        <f>IF($AC496="","",_xlfn.XLOOKUP($AC496,'[2]Client Info'!$C$2:$C$2715,'[2]Client Info'!$E$2:$E$2715,"",))</f>
        <v>WINNIPEG</v>
      </c>
      <c r="AF496" s="55" t="str">
        <f>IF($AC496="","",_xlfn.XLOOKUP($AC496,'[2]Client Info'!$C$2:$C$2715,'[2]Client Info'!$F$2:$F$2715,"",0,1))</f>
        <v>MB</v>
      </c>
      <c r="AG496" s="55" t="s">
        <v>3864</v>
      </c>
      <c r="AH496" s="62" t="str">
        <f>_xlfn.XLOOKUP(Table26[[#This Row],[customerSKU]],customerSKU!G:G,customerSKU!K:K,"NA",0,1)</f>
        <v>NA</v>
      </c>
      <c r="AI496" s="43" t="str">
        <f>_xlfn.XLOOKUP(Table26[[#This Row],[customerSKU]],customerSKU!G:G,customerSKU!O:O,"not found",0,1)</f>
        <v>not found</v>
      </c>
      <c r="AJ496" s="53" t="e">
        <f>Table26[[#This Row],[unitprice]]*Table26[[#This Row],[quantity_unit]]</f>
        <v>#VALUE!</v>
      </c>
      <c r="AK496" s="53" t="e" cm="1">
        <f t="array" ref="AK4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7" spans="1:37" ht="24.6" customHeight="1">
      <c r="A497" s="42">
        <v>1763</v>
      </c>
      <c r="B497" s="58" t="s">
        <v>3520</v>
      </c>
      <c r="C497" s="53" t="s">
        <v>3360</v>
      </c>
      <c r="D497" s="51" t="str">
        <f>IF(Table26[[#This Row],[customerSKU]]="","","null")</f>
        <v>null</v>
      </c>
      <c r="E497" s="51"/>
      <c r="F49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7" s="46"/>
      <c r="H497" s="53"/>
      <c r="I497" s="53" t="s">
        <v>3862</v>
      </c>
      <c r="J497" s="53" t="s">
        <v>3811</v>
      </c>
      <c r="K497" s="48">
        <v>45595</v>
      </c>
      <c r="L497" s="49" t="s">
        <v>201</v>
      </c>
      <c r="M497" s="53"/>
      <c r="N497" s="77" t="str">
        <f>Table26[[#This Row],[po_number]]&amp;"-"&amp;Table26[[#This Row],[po_line]]</f>
        <v>-9</v>
      </c>
      <c r="O497" s="77">
        <v>9</v>
      </c>
      <c r="P497" s="50"/>
      <c r="Q497" s="53" t="s">
        <v>1315</v>
      </c>
      <c r="R497" s="53" t="s">
        <v>569</v>
      </c>
      <c r="S497" s="53" t="str">
        <f>IF(Table26[[#This Row],[customerSKU]]="","",_xlfn.XLOOKUP(Table26[[#This Row],[customerSKU]],customerSKU!G:G,customerSKU!N:N,"NOT FOUND",0,1))</f>
        <v>NOT FOUND</v>
      </c>
      <c r="T497" s="51">
        <v>45555</v>
      </c>
      <c r="U497" s="52">
        <v>120</v>
      </c>
      <c r="V497" s="53" t="str">
        <f>IF(ISBLANK(Table26[[#This Row],[customerSKU]]),"",_xlfn.XLOOKUP(Table26[[#This Row],[customerSKU]],Table27[customer_SKU],Table27[case_size],"",0,1))</f>
        <v/>
      </c>
      <c r="W497" s="116" t="str">
        <f t="shared" si="19"/>
        <v/>
      </c>
      <c r="X497" s="53" t="str">
        <f>IFERROR($AA494*$U494, "")</f>
        <v/>
      </c>
      <c r="Y497" s="53" t="str">
        <f>IF(Table26[[#This Row],[customerSKU]]="","",_xlfn.XLOOKUP(Table26[[#This Row],[customerSKU]],Table27[customer_SKU],Table27[product_GTIN],"",0,1))</f>
        <v/>
      </c>
      <c r="Z497" s="25" t="s">
        <v>3402</v>
      </c>
      <c r="AA497" s="18" t="str" cm="1">
        <f t="array" ref="AA497">IF(P497="", "", _xlfn.XLOOKUP(P497,#REF!,#REF!,NA,0,-1))</f>
        <v/>
      </c>
      <c r="AB497" s="53"/>
      <c r="AC497" s="55" t="s">
        <v>79</v>
      </c>
      <c r="AD497" s="55" t="str">
        <f>IF($AC497="","",_xlfn.XLOOKUP($AC497,'[2]Client Info'!$C$2:$C$2535,'[2]Client Info'!$D$2:$D$2535,"",0,1))</f>
        <v>4-1832 King Edward St.</v>
      </c>
      <c r="AE497" s="55" t="str">
        <f>IF($AC497="","",_xlfn.XLOOKUP($AC497,'[2]Client Info'!$C$2:$C$2715,'[2]Client Info'!$E$2:$E$2715,"",))</f>
        <v>WINNIPEG</v>
      </c>
      <c r="AF497" s="55" t="str">
        <f>IF($AC497="","",_xlfn.XLOOKUP($AC497,'[2]Client Info'!$C$2:$C$2715,'[2]Client Info'!$F$2:$F$2715,"",0,1))</f>
        <v>MB</v>
      </c>
      <c r="AG497" s="55" t="s">
        <v>3864</v>
      </c>
      <c r="AH497" s="62" t="str">
        <f>_xlfn.XLOOKUP(Table26[[#This Row],[customerSKU]],customerSKU!G:G,customerSKU!K:K,"NA",0,1)</f>
        <v>NA</v>
      </c>
      <c r="AI497" s="43" t="str">
        <f>_xlfn.XLOOKUP(Table26[[#This Row],[customerSKU]],customerSKU!G:G,customerSKU!O:O,"not found",0,1)</f>
        <v>not found</v>
      </c>
      <c r="AJ497" s="53" t="e">
        <f>Table26[[#This Row],[unitprice]]*Table26[[#This Row],[quantity_unit]]</f>
        <v>#VALUE!</v>
      </c>
      <c r="AK497" s="53" t="e" cm="1">
        <f t="array" ref="AK4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8" spans="1:37" ht="18" customHeight="1">
      <c r="A498" s="42">
        <v>1764</v>
      </c>
      <c r="B498" s="58" t="s">
        <v>3520</v>
      </c>
      <c r="C498" s="53" t="s">
        <v>3360</v>
      </c>
      <c r="D498" s="51" t="str">
        <f>IF(Table26[[#This Row],[customerSKU]]="","","null")</f>
        <v>null</v>
      </c>
      <c r="E498" s="51"/>
      <c r="F49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498" s="46"/>
      <c r="H498" s="53"/>
      <c r="I498" s="53" t="s">
        <v>3862</v>
      </c>
      <c r="J498" s="53" t="s">
        <v>3811</v>
      </c>
      <c r="K498" s="48">
        <v>45595</v>
      </c>
      <c r="L498" s="49" t="s">
        <v>201</v>
      </c>
      <c r="M498" s="53"/>
      <c r="N498" s="77" t="str">
        <f>Table26[[#This Row],[po_number]]&amp;"-"&amp;Table26[[#This Row],[po_line]]</f>
        <v>-10</v>
      </c>
      <c r="O498" s="77">
        <v>10</v>
      </c>
      <c r="P498" s="50"/>
      <c r="Q498" s="53" t="s">
        <v>3812</v>
      </c>
      <c r="R498" s="53" t="s">
        <v>569</v>
      </c>
      <c r="S498" s="53" t="str">
        <f>IF(Table26[[#This Row],[customerSKU]]="","",_xlfn.XLOOKUP(Table26[[#This Row],[customerSKU]],customerSKU!G:G,customerSKU!N:N,"NOT FOUND",0,1))</f>
        <v>NOT FOUND</v>
      </c>
      <c r="T498" s="51">
        <v>45588</v>
      </c>
      <c r="U498" s="52">
        <v>60</v>
      </c>
      <c r="V498" s="53" t="str">
        <f>IF(ISBLANK(Table26[[#This Row],[customerSKU]]),"",_xlfn.XLOOKUP(Table26[[#This Row],[customerSKU]],Table27[customer_SKU],Table27[case_size],"",0,1))</f>
        <v/>
      </c>
      <c r="W498" s="116" t="str">
        <f t="shared" si="19"/>
        <v/>
      </c>
      <c r="X498" s="53" t="str">
        <f>IFERROR(#REF!*#REF!, "")</f>
        <v/>
      </c>
      <c r="Y498" s="53" t="str">
        <f>IF(Table26[[#This Row],[customerSKU]]="","",_xlfn.XLOOKUP(Table26[[#This Row],[customerSKU]],Table27[customer_SKU],Table27[product_GTIN],"",0,1))</f>
        <v/>
      </c>
      <c r="Z498" s="60">
        <v>61616</v>
      </c>
      <c r="AA498" s="18" t="str" cm="1">
        <f t="array" ref="AA498">IF(P498="", "", _xlfn.XLOOKUP(P498,#REF!,#REF!,NA,0,-1))</f>
        <v/>
      </c>
      <c r="AB498" s="53"/>
      <c r="AC498" s="55" t="s">
        <v>79</v>
      </c>
      <c r="AD498" s="55" t="str">
        <f>IF($AC498="","",_xlfn.XLOOKUP($AC498,'[2]Client Info'!$C$2:$C$2535,'[2]Client Info'!$D$2:$D$2535,"",0,1))</f>
        <v>4-1832 King Edward St.</v>
      </c>
      <c r="AE498" s="55" t="str">
        <f>IF($AC498="","",_xlfn.XLOOKUP($AC498,'[2]Client Info'!$C$2:$C$2715,'[2]Client Info'!$E$2:$E$2715,"",))</f>
        <v>WINNIPEG</v>
      </c>
      <c r="AF498" s="55" t="str">
        <f>IF($AC498="","",_xlfn.XLOOKUP($AC498,'[2]Client Info'!$C$2:$C$2715,'[2]Client Info'!$F$2:$F$2715,"",0,1))</f>
        <v>MB</v>
      </c>
      <c r="AG498" s="55" t="s">
        <v>3864</v>
      </c>
      <c r="AH498" s="62" t="str">
        <f>_xlfn.XLOOKUP(Table26[[#This Row],[customerSKU]],customerSKU!G:G,customerSKU!K:K,"NA",0,1)</f>
        <v>NA</v>
      </c>
      <c r="AI498" s="43" t="str">
        <f>_xlfn.XLOOKUP(Table26[[#This Row],[customerSKU]],customerSKU!G:G,customerSKU!O:O,"not found",0,1)</f>
        <v>not found</v>
      </c>
      <c r="AJ498" s="53" t="e">
        <f>Table26[[#This Row],[unitprice]]*Table26[[#This Row],[quantity_unit]]</f>
        <v>#VALUE!</v>
      </c>
      <c r="AK498" s="53" t="e" cm="1">
        <f t="array" ref="AK4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499" spans="1:37" ht="18" customHeight="1">
      <c r="A499" s="42">
        <v>1740</v>
      </c>
      <c r="B499" s="58" t="s">
        <v>3520</v>
      </c>
      <c r="C499" s="53" t="s">
        <v>203</v>
      </c>
      <c r="D499" s="51">
        <v>45579</v>
      </c>
      <c r="E499" s="51"/>
      <c r="F499" s="53"/>
      <c r="G499" s="46"/>
      <c r="H499" s="53" t="s">
        <v>3803</v>
      </c>
      <c r="I499" s="53" t="s">
        <v>3818</v>
      </c>
      <c r="J499" s="53" t="s">
        <v>25</v>
      </c>
      <c r="K499" s="125">
        <v>45596</v>
      </c>
      <c r="L499" s="126" t="s">
        <v>490</v>
      </c>
      <c r="M499" s="127"/>
      <c r="N499" s="368" t="str">
        <f>Table26[[#This Row],[po_number]]&amp;"-"&amp;Table26[[#This Row],[po_line]]</f>
        <v>-1</v>
      </c>
      <c r="O499" s="368">
        <v>1</v>
      </c>
      <c r="P499" s="128"/>
      <c r="Q499" s="127" t="s">
        <v>1172</v>
      </c>
      <c r="R499" s="127" t="s">
        <v>532</v>
      </c>
      <c r="S499" s="127" t="str">
        <f>IF(Table26[[#This Row],[customerSKU]]="","",_xlfn.XLOOKUP(Table26[[#This Row],[customerSKU]],customerSKU!G:G,customerSKU!N:N,"NOT FOUND",0,1))</f>
        <v>NOT FOUND</v>
      </c>
      <c r="T499" s="20">
        <v>45588</v>
      </c>
      <c r="U499" s="52">
        <v>120</v>
      </c>
      <c r="V499" s="53">
        <v>12</v>
      </c>
      <c r="W499" s="116">
        <f t="shared" si="19"/>
        <v>10</v>
      </c>
      <c r="X499" s="53" t="str">
        <f>IFERROR($AA499*$U499, "")</f>
        <v/>
      </c>
      <c r="Y499" s="53" t="str">
        <f>IF(Table26[[#This Row],[customerSKU]]="","",_xlfn.XLOOKUP(Table26[[#This Row],[customerSKU]],Table27[customer_SKU],Table27[product_GTIN],"",0,1))</f>
        <v/>
      </c>
      <c r="Z499" s="60" t="s">
        <v>3849</v>
      </c>
      <c r="AA499" s="18" t="str" cm="1">
        <f t="array" ref="AA499">IF(P499="", "", _xlfn.XLOOKUP(P499,#REF!,#REF!,NA,0,-1))</f>
        <v/>
      </c>
      <c r="AB499" s="53"/>
      <c r="AC499" s="55" t="s">
        <v>25</v>
      </c>
      <c r="AD499" s="55" t="str">
        <f>IF($AC499="","",_xlfn.XLOOKUP($AC499,'[2]Client Info'!$C$2:$C$2535,'[2]Client Info'!$D$2:$D$2535))</f>
        <v>80 Guilford Ave</v>
      </c>
      <c r="AE499" s="55" t="str">
        <f>IF($AC499="","",_xlfn.XLOOKUP($AC499,'[2]Client Info'!$C$2:$C$2715,'[2]Client Info'!$E$2:$E$2715))</f>
        <v>Dartmouth</v>
      </c>
      <c r="AF499" s="55" t="str">
        <f>IF($AC499="","",_xlfn.XLOOKUP($AC499,'[2]Client Info'!$C$2:$C$2715,'[2]Client Info'!$F$2:$F$2715))</f>
        <v>NS</v>
      </c>
      <c r="AG499" s="55" t="s">
        <v>25</v>
      </c>
      <c r="AH499" s="62" t="str">
        <f>_xlfn.XLOOKUP(Table26[[#This Row],[customerSKU]],customerSKU!G:G,customerSKU!K:K,"NA",0,1)</f>
        <v>NA</v>
      </c>
      <c r="AI499" s="43" t="str">
        <f>_xlfn.XLOOKUP(Table26[[#This Row],[customerSKU]],customerSKU!G:G,customerSKU!O:O,"not found",0,1)</f>
        <v>not found</v>
      </c>
      <c r="AJ499" s="53" t="e">
        <f>Table26[[#This Row],[unitprice]]*Table26[[#This Row],[quantity_unit]]</f>
        <v>#VALUE!</v>
      </c>
      <c r="AK499" s="53" t="e" cm="1">
        <f t="array" ref="AK4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0" spans="1:37" ht="18" customHeight="1">
      <c r="A500" s="42">
        <v>1741</v>
      </c>
      <c r="B500" s="58" t="s">
        <v>3520</v>
      </c>
      <c r="C500" s="53" t="s">
        <v>203</v>
      </c>
      <c r="D500" s="51">
        <v>45579</v>
      </c>
      <c r="E500" s="51"/>
      <c r="F500" s="53"/>
      <c r="G500" s="46"/>
      <c r="H500" s="53" t="s">
        <v>3803</v>
      </c>
      <c r="I500" s="53" t="s">
        <v>3818</v>
      </c>
      <c r="J500" s="53" t="s">
        <v>25</v>
      </c>
      <c r="K500" s="48">
        <v>45596</v>
      </c>
      <c r="L500" s="49" t="s">
        <v>490</v>
      </c>
      <c r="M500" s="53"/>
      <c r="N500" s="77" t="str">
        <f>Table26[[#This Row],[po_number]]&amp;"-"&amp;Table26[[#This Row],[po_line]]</f>
        <v>-2</v>
      </c>
      <c r="O500" s="77">
        <v>2</v>
      </c>
      <c r="P500" s="50"/>
      <c r="Q500" s="53" t="s">
        <v>3850</v>
      </c>
      <c r="R500" s="53" t="s">
        <v>532</v>
      </c>
      <c r="S500" s="53" t="str">
        <f>IF(Table26[[#This Row],[customerSKU]]="","",_xlfn.XLOOKUP(Table26[[#This Row],[customerSKU]],customerSKU!G:G,customerSKU!N:N,"NOT FOUND",0,1))</f>
        <v>NOT FOUND</v>
      </c>
      <c r="T500" s="20">
        <v>45593</v>
      </c>
      <c r="U500" s="52">
        <f>150*12</f>
        <v>1800</v>
      </c>
      <c r="V500" s="53">
        <v>12</v>
      </c>
      <c r="W500" s="116">
        <f t="shared" si="19"/>
        <v>150</v>
      </c>
      <c r="X500" s="53" t="str">
        <f>IFERROR($AA500*$U500, "")</f>
        <v/>
      </c>
      <c r="Y500" s="53" t="str">
        <f>IF(Table26[[#This Row],[customerSKU]]="","",_xlfn.XLOOKUP(Table26[[#This Row],[customerSKU]],Table27[customer_SKU],Table27[product_GTIN],"",0,1))</f>
        <v/>
      </c>
      <c r="Z500" s="60" t="s">
        <v>3851</v>
      </c>
      <c r="AA500" s="18" t="str" cm="1">
        <f t="array" ref="AA500">IF(P500="", "", _xlfn.XLOOKUP(P500,#REF!,#REF!,NA,0,-1))</f>
        <v/>
      </c>
      <c r="AB500" s="53"/>
      <c r="AC500" s="55" t="s">
        <v>25</v>
      </c>
      <c r="AD500" s="55" t="str">
        <f>IF($AC500="","",_xlfn.XLOOKUP($AC500,'[2]Client Info'!$C$2:$C$2535,'[2]Client Info'!$D$2:$D$2535))</f>
        <v>80 Guilford Ave</v>
      </c>
      <c r="AE500" s="55" t="str">
        <f>IF($AC500="","",_xlfn.XLOOKUP($AC500,'[2]Client Info'!$C$2:$C$2715,'[2]Client Info'!$E$2:$E$2715))</f>
        <v>Dartmouth</v>
      </c>
      <c r="AF500" s="55" t="str">
        <f>IF($AC500="","",_xlfn.XLOOKUP($AC500,'[2]Client Info'!$C$2:$C$2715,'[2]Client Info'!$F$2:$F$2715))</f>
        <v>NS</v>
      </c>
      <c r="AG500" s="55" t="s">
        <v>25</v>
      </c>
      <c r="AH500" s="62" t="str">
        <f>_xlfn.XLOOKUP(Table26[[#This Row],[customerSKU]],customerSKU!G:G,customerSKU!K:K,"NA",0,1)</f>
        <v>NA</v>
      </c>
      <c r="AI500" s="43" t="str">
        <f>_xlfn.XLOOKUP(Table26[[#This Row],[customerSKU]],customerSKU!G:G,customerSKU!O:O,"not found",0,1)</f>
        <v>not found</v>
      </c>
      <c r="AJ500" s="53" t="e">
        <f>Table26[[#This Row],[unitprice]]*Table26[[#This Row],[quantity_unit]]</f>
        <v>#VALUE!</v>
      </c>
      <c r="AK500" s="53" t="e" cm="1">
        <f t="array" ref="AK5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1" spans="1:37" ht="18" customHeight="1">
      <c r="A501" s="42">
        <v>1742</v>
      </c>
      <c r="B501" s="42" t="s">
        <v>3520</v>
      </c>
      <c r="C501" s="43" t="s">
        <v>203</v>
      </c>
      <c r="D501" s="51"/>
      <c r="E501" s="51"/>
      <c r="F501" s="46"/>
      <c r="G501" s="46"/>
      <c r="H501" s="53"/>
      <c r="I501" s="47" t="s">
        <v>3862</v>
      </c>
      <c r="J501" s="53" t="s">
        <v>497</v>
      </c>
      <c r="K501" s="48">
        <v>45596</v>
      </c>
      <c r="L501" s="49" t="s">
        <v>201</v>
      </c>
      <c r="M501" s="53"/>
      <c r="N501" s="77" t="str">
        <f>Table26[[#This Row],[po_number]]&amp;"-"&amp;Table26[[#This Row],[po_line]]</f>
        <v>-1</v>
      </c>
      <c r="O501" s="77">
        <v>1</v>
      </c>
      <c r="P501" s="50"/>
      <c r="Q501" s="53" t="s">
        <v>1376</v>
      </c>
      <c r="R501" s="53" t="s">
        <v>3428</v>
      </c>
      <c r="S501" s="53" t="s">
        <v>12</v>
      </c>
      <c r="T501" s="51">
        <v>45588</v>
      </c>
      <c r="U501" s="52">
        <v>12</v>
      </c>
      <c r="V501" s="53">
        <v>12</v>
      </c>
      <c r="W501" s="116">
        <v>1</v>
      </c>
      <c r="X501" s="53">
        <v>1056</v>
      </c>
      <c r="Y501" s="53" t="s">
        <v>248</v>
      </c>
      <c r="Z501" s="25" t="s">
        <v>3409</v>
      </c>
      <c r="AA501" s="18" t="str" cm="1">
        <f t="array" ref="AA501">IF(P501="", "", _xlfn.XLOOKUP(P501,#REF!,#REF!,NA,0,-1))</f>
        <v/>
      </c>
      <c r="AB501" s="53"/>
      <c r="AC501" s="55" t="s">
        <v>137</v>
      </c>
      <c r="AD501" s="55" t="str">
        <f>IF($AC501="","",_xlfn.XLOOKUP($AC501,'[2]Client Info'!$C$2:$C$2535,'[2]Client Info'!$D$2:$D$2535))</f>
        <v>20 GRANITE RIDGE RD</v>
      </c>
      <c r="AE501" s="55" t="str">
        <f>IF($AC501="","",_xlfn.XLOOKUP($AC501,'[2]Client Info'!$C$2:$C$2715,'[2]Client Info'!$E$2:$E$2715))</f>
        <v>CONCORD</v>
      </c>
      <c r="AF501" s="55" t="str">
        <f>IF($AC501="","",_xlfn.XLOOKUP($AC501,'[2]Client Info'!$C$2:$C$2715,'[2]Client Info'!$F$2:$F$2715))</f>
        <v>ON</v>
      </c>
      <c r="AG501" s="55" t="s">
        <v>220</v>
      </c>
      <c r="AH501" s="62" t="str">
        <f>_xlfn.XLOOKUP(Table26[[#This Row],[customerSKU]],customerSKU!G:G,customerSKU!K:K,"NA",0,1)</f>
        <v>NA</v>
      </c>
      <c r="AI501" s="43" t="str">
        <f>_xlfn.XLOOKUP(Table26[[#This Row],[customerSKU]],customerSKU!G:G,customerSKU!O:O,"not found",0,1)</f>
        <v>not found</v>
      </c>
      <c r="AJ501" s="53" t="e">
        <f>Table26[[#This Row],[unitprice]]*Table26[[#This Row],[quantity_unit]]</f>
        <v>#VALUE!</v>
      </c>
      <c r="AK501" s="53" t="e" cm="1">
        <f t="array" ref="AK5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2" spans="1:37" ht="18" customHeight="1">
      <c r="A502" s="42">
        <v>1743</v>
      </c>
      <c r="B502" s="42" t="s">
        <v>3520</v>
      </c>
      <c r="C502" s="43" t="s">
        <v>203</v>
      </c>
      <c r="D502" s="51"/>
      <c r="E502" s="51"/>
      <c r="F502" s="46"/>
      <c r="G502" s="46"/>
      <c r="H502" s="53"/>
      <c r="I502" s="47" t="s">
        <v>3862</v>
      </c>
      <c r="J502" s="53" t="s">
        <v>497</v>
      </c>
      <c r="K502" s="48">
        <v>45596</v>
      </c>
      <c r="L502" s="49" t="s">
        <v>201</v>
      </c>
      <c r="M502" s="53"/>
      <c r="N502" s="77" t="str">
        <f>Table26[[#This Row],[po_number]]&amp;"-"&amp;Table26[[#This Row],[po_line]]</f>
        <v>-2</v>
      </c>
      <c r="O502" s="77">
        <v>2</v>
      </c>
      <c r="P502" s="50"/>
      <c r="Q502" s="53" t="s">
        <v>535</v>
      </c>
      <c r="R502" s="53" t="s">
        <v>569</v>
      </c>
      <c r="S502" s="53" t="s">
        <v>12</v>
      </c>
      <c r="T502" s="51">
        <v>45567</v>
      </c>
      <c r="U502" s="52">
        <v>24</v>
      </c>
      <c r="V502" s="53">
        <v>12</v>
      </c>
      <c r="W502" s="116">
        <v>2</v>
      </c>
      <c r="X502" s="53">
        <v>36</v>
      </c>
      <c r="Y502" s="53" t="s">
        <v>262</v>
      </c>
      <c r="Z502" s="60">
        <v>110721</v>
      </c>
      <c r="AA502" s="18" t="str" cm="1">
        <f t="array" ref="AA502">IF(P502="", "", _xlfn.XLOOKUP(P502,#REF!,#REF!,NA,0,-1))</f>
        <v/>
      </c>
      <c r="AB502" s="53"/>
      <c r="AC502" s="55" t="s">
        <v>137</v>
      </c>
      <c r="AD502" s="55" t="str">
        <f>IF($AC502="","",_xlfn.XLOOKUP($AC502,'[2]Client Info'!$C$2:$C$2535,'[2]Client Info'!$D$2:$D$2535))</f>
        <v>20 GRANITE RIDGE RD</v>
      </c>
      <c r="AE502" s="55" t="str">
        <f>IF($AC502="","",_xlfn.XLOOKUP($AC502,'[2]Client Info'!$C$2:$C$2715,'[2]Client Info'!$E$2:$E$2715))</f>
        <v>CONCORD</v>
      </c>
      <c r="AF502" s="55" t="str">
        <f>IF($AC502="","",_xlfn.XLOOKUP($AC502,'[2]Client Info'!$C$2:$C$2715,'[2]Client Info'!$F$2:$F$2715))</f>
        <v>ON</v>
      </c>
      <c r="AG502" s="55" t="s">
        <v>220</v>
      </c>
      <c r="AH502" s="62" t="str">
        <f>_xlfn.XLOOKUP(Table26[[#This Row],[customerSKU]],customerSKU!G:G,customerSKU!K:K,"NA",0,1)</f>
        <v>NA</v>
      </c>
      <c r="AI502" s="43" t="str">
        <f>_xlfn.XLOOKUP(Table26[[#This Row],[customerSKU]],customerSKU!G:G,customerSKU!O:O,"not found",0,1)</f>
        <v>not found</v>
      </c>
      <c r="AJ502" s="53" t="e">
        <f>Table26[[#This Row],[unitprice]]*Table26[[#This Row],[quantity_unit]]</f>
        <v>#VALUE!</v>
      </c>
      <c r="AK502" s="53" t="e" cm="1">
        <f t="array" ref="AK5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3" spans="1:37" ht="18" customHeight="1">
      <c r="A503" s="42">
        <v>1744</v>
      </c>
      <c r="B503" s="42" t="s">
        <v>3520</v>
      </c>
      <c r="C503" s="43" t="s">
        <v>203</v>
      </c>
      <c r="D503" s="51"/>
      <c r="E503" s="51"/>
      <c r="F503" s="46"/>
      <c r="G503" s="46"/>
      <c r="H503" s="53"/>
      <c r="I503" s="47" t="s">
        <v>3862</v>
      </c>
      <c r="J503" s="53" t="s">
        <v>497</v>
      </c>
      <c r="K503" s="48">
        <v>45596</v>
      </c>
      <c r="L503" s="49" t="s">
        <v>201</v>
      </c>
      <c r="M503" s="53"/>
      <c r="N503" s="77" t="str">
        <f>Table26[[#This Row],[po_number]]&amp;"-"&amp;Table26[[#This Row],[po_line]]</f>
        <v>-3</v>
      </c>
      <c r="O503" s="77">
        <v>3</v>
      </c>
      <c r="P503" s="50"/>
      <c r="Q503" s="53" t="s">
        <v>535</v>
      </c>
      <c r="R503" s="53" t="s">
        <v>569</v>
      </c>
      <c r="S503" s="53" t="s">
        <v>12</v>
      </c>
      <c r="T503" s="51">
        <v>45575</v>
      </c>
      <c r="U503" s="52">
        <v>240</v>
      </c>
      <c r="V503" s="53">
        <v>12</v>
      </c>
      <c r="W503" s="116">
        <v>20</v>
      </c>
      <c r="X503" s="53">
        <v>360</v>
      </c>
      <c r="Y503" s="53" t="s">
        <v>262</v>
      </c>
      <c r="Z503" s="60">
        <v>110721</v>
      </c>
      <c r="AA503" s="18" t="str" cm="1">
        <f t="array" ref="AA503">IF(P503="", "", _xlfn.XLOOKUP(P503,#REF!,#REF!,NA,0,-1))</f>
        <v/>
      </c>
      <c r="AB503" s="53"/>
      <c r="AC503" s="55" t="s">
        <v>137</v>
      </c>
      <c r="AD503" s="55" t="str">
        <f>IF($AC503="","",_xlfn.XLOOKUP($AC503,'[2]Client Info'!$C$2:$C$2535,'[2]Client Info'!$D$2:$D$2535))</f>
        <v>20 GRANITE RIDGE RD</v>
      </c>
      <c r="AE503" s="55" t="str">
        <f>IF($AC503="","",_xlfn.XLOOKUP($AC503,'[2]Client Info'!$C$2:$C$2715,'[2]Client Info'!$E$2:$E$2715))</f>
        <v>CONCORD</v>
      </c>
      <c r="AF503" s="55" t="str">
        <f>IF($AC503="","",_xlfn.XLOOKUP($AC503,'[2]Client Info'!$C$2:$C$2715,'[2]Client Info'!$F$2:$F$2715))</f>
        <v>ON</v>
      </c>
      <c r="AG503" s="55" t="s">
        <v>220</v>
      </c>
      <c r="AH503" s="62" t="str">
        <f>_xlfn.XLOOKUP(Table26[[#This Row],[customerSKU]],customerSKU!G:G,customerSKU!K:K,"NA",0,1)</f>
        <v>NA</v>
      </c>
      <c r="AI503" s="43" t="str">
        <f>_xlfn.XLOOKUP(Table26[[#This Row],[customerSKU]],customerSKU!G:G,customerSKU!O:O,"not found",0,1)</f>
        <v>not found</v>
      </c>
      <c r="AJ503" s="53" t="e">
        <f>Table26[[#This Row],[unitprice]]*Table26[[#This Row],[quantity_unit]]</f>
        <v>#VALUE!</v>
      </c>
      <c r="AK503" s="53" t="e" cm="1">
        <f t="array" ref="AK5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4" spans="1:37" ht="18" customHeight="1">
      <c r="A504" s="42">
        <v>1745</v>
      </c>
      <c r="B504" s="42" t="s">
        <v>3520</v>
      </c>
      <c r="C504" s="43" t="s">
        <v>203</v>
      </c>
      <c r="D504" s="51"/>
      <c r="E504" s="51"/>
      <c r="F504" s="46"/>
      <c r="G504" s="46"/>
      <c r="H504" s="53"/>
      <c r="I504" s="47" t="s">
        <v>3862</v>
      </c>
      <c r="J504" s="53" t="s">
        <v>497</v>
      </c>
      <c r="K504" s="48">
        <v>45596</v>
      </c>
      <c r="L504" s="49" t="s">
        <v>201</v>
      </c>
      <c r="M504" s="53"/>
      <c r="N504" s="77" t="str">
        <f>Table26[[#This Row],[po_number]]&amp;"-"&amp;Table26[[#This Row],[po_line]]</f>
        <v>-4</v>
      </c>
      <c r="O504" s="77">
        <v>4</v>
      </c>
      <c r="P504" s="50"/>
      <c r="Q504" s="53" t="s">
        <v>535</v>
      </c>
      <c r="R504" s="53" t="s">
        <v>569</v>
      </c>
      <c r="S504" s="53" t="s">
        <v>12</v>
      </c>
      <c r="T504" s="51">
        <v>45588</v>
      </c>
      <c r="U504" s="52">
        <v>12</v>
      </c>
      <c r="V504" s="53">
        <v>12</v>
      </c>
      <c r="W504" s="116">
        <v>1</v>
      </c>
      <c r="X504" s="53">
        <v>18</v>
      </c>
      <c r="Y504" s="53" t="s">
        <v>262</v>
      </c>
      <c r="Z504" s="60">
        <v>110721</v>
      </c>
      <c r="AA504" s="18" t="str" cm="1">
        <f t="array" ref="AA504">IF(P504="", "", _xlfn.XLOOKUP(P504,#REF!,#REF!,NA,0,-1))</f>
        <v/>
      </c>
      <c r="AB504" s="53"/>
      <c r="AC504" s="55" t="s">
        <v>137</v>
      </c>
      <c r="AD504" s="55" t="str">
        <f>IF($AC504="","",_xlfn.XLOOKUP($AC504,'[2]Client Info'!$C$2:$C$2535,'[2]Client Info'!$D$2:$D$2535))</f>
        <v>20 GRANITE RIDGE RD</v>
      </c>
      <c r="AE504" s="55" t="str">
        <f>IF($AC504="","",_xlfn.XLOOKUP($AC504,'[2]Client Info'!$C$2:$C$2715,'[2]Client Info'!$E$2:$E$2715))</f>
        <v>CONCORD</v>
      </c>
      <c r="AF504" s="55" t="str">
        <f>IF($AC504="","",_xlfn.XLOOKUP($AC504,'[2]Client Info'!$C$2:$C$2715,'[2]Client Info'!$F$2:$F$2715))</f>
        <v>ON</v>
      </c>
      <c r="AG504" s="55" t="s">
        <v>220</v>
      </c>
      <c r="AH504" s="62" t="str">
        <f>_xlfn.XLOOKUP(Table26[[#This Row],[customerSKU]],customerSKU!G:G,customerSKU!K:K,"NA",0,1)</f>
        <v>NA</v>
      </c>
      <c r="AI504" s="43" t="str">
        <f>_xlfn.XLOOKUP(Table26[[#This Row],[customerSKU]],customerSKU!G:G,customerSKU!O:O,"not found",0,1)</f>
        <v>not found</v>
      </c>
      <c r="AJ504" s="53" t="e">
        <f>Table26[[#This Row],[unitprice]]*Table26[[#This Row],[quantity_unit]]</f>
        <v>#VALUE!</v>
      </c>
      <c r="AK504" s="53" t="e" cm="1">
        <f t="array" ref="AK5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5" spans="1:37" ht="18" customHeight="1">
      <c r="A505" s="42">
        <v>1746</v>
      </c>
      <c r="B505" s="42" t="s">
        <v>3520</v>
      </c>
      <c r="C505" s="43" t="s">
        <v>203</v>
      </c>
      <c r="D505" s="51"/>
      <c r="E505" s="51"/>
      <c r="F505" s="46"/>
      <c r="G505" s="46"/>
      <c r="H505" s="53"/>
      <c r="I505" s="47" t="s">
        <v>3862</v>
      </c>
      <c r="J505" s="53" t="s">
        <v>497</v>
      </c>
      <c r="K505" s="48">
        <v>45596</v>
      </c>
      <c r="L505" s="49" t="s">
        <v>201</v>
      </c>
      <c r="M505" s="53"/>
      <c r="N505" s="77" t="str">
        <f>Table26[[#This Row],[po_number]]&amp;"-"&amp;Table26[[#This Row],[po_line]]</f>
        <v>-5</v>
      </c>
      <c r="O505" s="77">
        <v>5</v>
      </c>
      <c r="P505" s="50"/>
      <c r="Q505" s="53" t="s">
        <v>2112</v>
      </c>
      <c r="R505" s="53" t="s">
        <v>3428</v>
      </c>
      <c r="S505" s="53" t="s">
        <v>12</v>
      </c>
      <c r="T505" s="51">
        <v>45550</v>
      </c>
      <c r="U505" s="52">
        <v>120</v>
      </c>
      <c r="V505" s="53">
        <v>12</v>
      </c>
      <c r="W505" s="116">
        <v>10</v>
      </c>
      <c r="X505" s="53">
        <v>6000</v>
      </c>
      <c r="Y505" s="53" t="s">
        <v>246</v>
      </c>
      <c r="Z505" s="25" t="s">
        <v>3363</v>
      </c>
      <c r="AA505" s="18" t="str" cm="1">
        <f t="array" ref="AA505">IF(P505="", "", _xlfn.XLOOKUP(P505,#REF!,#REF!,NA,0,-1))</f>
        <v/>
      </c>
      <c r="AB505" s="53"/>
      <c r="AC505" s="55" t="s">
        <v>137</v>
      </c>
      <c r="AD505" s="55" t="str">
        <f>IF($AC505="","",_xlfn.XLOOKUP($AC505,'[2]Client Info'!$C$2:$C$2535,'[2]Client Info'!$D$2:$D$2535))</f>
        <v>20 GRANITE RIDGE RD</v>
      </c>
      <c r="AE505" s="55" t="str">
        <f>IF($AC505="","",_xlfn.XLOOKUP($AC505,'[2]Client Info'!$C$2:$C$2715,'[2]Client Info'!$E$2:$E$2715))</f>
        <v>CONCORD</v>
      </c>
      <c r="AF505" s="55" t="str">
        <f>IF($AC505="","",_xlfn.XLOOKUP($AC505,'[2]Client Info'!$C$2:$C$2715,'[2]Client Info'!$F$2:$F$2715))</f>
        <v>ON</v>
      </c>
      <c r="AG505" s="55" t="s">
        <v>220</v>
      </c>
      <c r="AH505" s="62" t="str">
        <f>_xlfn.XLOOKUP(Table26[[#This Row],[customerSKU]],customerSKU!G:G,customerSKU!K:K,"NA",0,1)</f>
        <v>NA</v>
      </c>
      <c r="AI505" s="43" t="str">
        <f>_xlfn.XLOOKUP(Table26[[#This Row],[customerSKU]],customerSKU!G:G,customerSKU!O:O,"not found",0,1)</f>
        <v>not found</v>
      </c>
      <c r="AJ505" s="53" t="e">
        <f>Table26[[#This Row],[unitprice]]*Table26[[#This Row],[quantity_unit]]</f>
        <v>#VALUE!</v>
      </c>
      <c r="AK505" s="53" t="e" cm="1">
        <f t="array" ref="AK5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6" spans="1:37" ht="18" customHeight="1">
      <c r="A506" s="42">
        <v>1747</v>
      </c>
      <c r="B506" s="42" t="s">
        <v>3520</v>
      </c>
      <c r="C506" s="43" t="s">
        <v>203</v>
      </c>
      <c r="D506" s="51">
        <v>45603</v>
      </c>
      <c r="E506" s="51" t="s">
        <v>3926</v>
      </c>
      <c r="F506" s="46">
        <v>54001</v>
      </c>
      <c r="G506" s="46"/>
      <c r="H506" s="53"/>
      <c r="I506" s="47" t="s">
        <v>3862</v>
      </c>
      <c r="J506" s="53" t="str">
        <f>IF(Table26[[#This Row],[customerSKU]]="","",_xlfn.XLOOKUP(Table26[[#This Row],[customerSKU]],customerSKU!G:G,customerSKU!A:A,"",0,1))</f>
        <v/>
      </c>
      <c r="K506" s="48">
        <v>45596</v>
      </c>
      <c r="L506" s="49" t="str">
        <f>IF(Table26[[#This Row],[customerSKU]]="","",_xlfn.XLOOKUP(Table26[[#This Row],[customerSKU]],customerSKU!G:G,customerSKU!B:B,"",0,1))</f>
        <v/>
      </c>
      <c r="M506" s="53"/>
      <c r="N506" s="77" t="str">
        <f>Table26[[#This Row],[po_number]]&amp;"-"&amp;Table26[[#This Row],[po_line]]</f>
        <v>-1</v>
      </c>
      <c r="O506" s="77">
        <v>1</v>
      </c>
      <c r="P506" s="50"/>
      <c r="Q506" s="53" t="s">
        <v>535</v>
      </c>
      <c r="R506" s="53" t="s">
        <v>569</v>
      </c>
      <c r="S506" s="53" t="str">
        <f>IF(Table26[[#This Row],[customerSKU]]="","",_xlfn.XLOOKUP(Table26[[#This Row],[customerSKU]],customerSKU!G:G,customerSKU!N:N,"NOT FOUND",0,1))</f>
        <v>NOT FOUND</v>
      </c>
      <c r="T506" s="51">
        <v>45567</v>
      </c>
      <c r="U506" s="52">
        <v>24</v>
      </c>
      <c r="V506" s="53" t="str">
        <f>IF(ISBLANK(Table26[[#This Row],[customerSKU]]),"",_xlfn.XLOOKUP(Table26[[#This Row],[customerSKU]],Table27[customer_SKU],Table27[case_size],"",0,1))</f>
        <v/>
      </c>
      <c r="W506" s="116" t="str">
        <f t="shared" ref="W506:W569" si="20">IFERROR(U506/V506, "")</f>
        <v/>
      </c>
      <c r="X506" s="53" t="str">
        <f>IFERROR($AA506*$U506, "")</f>
        <v/>
      </c>
      <c r="Y506" s="53" t="str">
        <f>IF(Table26[[#This Row],[customerSKU]]="","",_xlfn.XLOOKUP(Table26[[#This Row],[customerSKU]],Table27[customer_SKU],Table27[product_GTIN],"",0,1))</f>
        <v/>
      </c>
      <c r="Z506" s="60">
        <v>110721</v>
      </c>
      <c r="AA506" s="18" t="str" cm="1">
        <f t="array" ref="AA506">IF(P506="", "", _xlfn.XLOOKUP(P506,#REF!,#REF!,NA,0,-1))</f>
        <v/>
      </c>
      <c r="AB506" s="53"/>
      <c r="AC506" s="55" t="str">
        <f>IF(ISBLANK(Table26[[#This Row],[customerSKU]]),"",_xlfn.XLOOKUP(Table26[[#This Row],[customerSKU]],Table27[customer_SKU],Table27[shipto],"",0,1))</f>
        <v/>
      </c>
      <c r="AD506" s="55" t="str">
        <f>IF($AC506="","",_xlfn.XLOOKUP($AC506,'[2]Client Info'!$C$2:$C$2535,'[2]Client Info'!$D$2:$D$2535))</f>
        <v/>
      </c>
      <c r="AE506" s="55" t="str">
        <f>IF($AC506="","",_xlfn.XLOOKUP($AC506,'[2]Client Info'!$C$2:$C$2715,'[2]Client Info'!$E$2:$E$2715))</f>
        <v/>
      </c>
      <c r="AF506" s="55" t="str">
        <f>IF($AC506="","",_xlfn.XLOOKUP($AC506,'[2]Client Info'!$C$2:$C$2715,'[2]Client Info'!$F$2:$F$2715))</f>
        <v/>
      </c>
      <c r="AG506" s="55" t="str">
        <f>IF(ISBLANK(Table26[[#This Row],[customerSKU]]),"",_xlfn.XLOOKUP(Table26[[#This Row],[customerSKU]],Table27[customer_SKU],Table27[shipto],"",0,1))</f>
        <v/>
      </c>
      <c r="AH506" s="62" t="str">
        <f>_xlfn.XLOOKUP(Table26[[#This Row],[customerSKU]],customerSKU!G:G,customerSKU!K:K,"NA",0,1)</f>
        <v>NA</v>
      </c>
      <c r="AI506" s="43" t="str">
        <f>_xlfn.XLOOKUP(Table26[[#This Row],[customerSKU]],customerSKU!G:G,customerSKU!O:O,"not found",0,1)</f>
        <v>not found</v>
      </c>
      <c r="AJ506" s="59" t="e">
        <f>Table26[[#This Row],[unitprice]]*Table26[[#This Row],[quantity_unit]]</f>
        <v>#VALUE!</v>
      </c>
      <c r="AK506" s="59" t="e" cm="1">
        <f t="array" ref="AK5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7" spans="1:37" ht="18" customHeight="1">
      <c r="A507" s="42">
        <v>1748</v>
      </c>
      <c r="B507" s="42" t="s">
        <v>3520</v>
      </c>
      <c r="C507" s="43" t="s">
        <v>203</v>
      </c>
      <c r="D507" s="51">
        <v>45603</v>
      </c>
      <c r="E507" s="51" t="s">
        <v>3926</v>
      </c>
      <c r="F507" s="46">
        <v>54001</v>
      </c>
      <c r="G507" s="46"/>
      <c r="H507" s="53"/>
      <c r="I507" s="47" t="s">
        <v>3862</v>
      </c>
      <c r="J507" s="53" t="str">
        <f>IF(Table26[[#This Row],[customerSKU]]="","",_xlfn.XLOOKUP(Table26[[#This Row],[customerSKU]],customerSKU!G:G,customerSKU!A:A,"",0,1))</f>
        <v/>
      </c>
      <c r="K507" s="48">
        <v>45596</v>
      </c>
      <c r="L507" s="49" t="str">
        <f>IF(Table26[[#This Row],[customerSKU]]="","",_xlfn.XLOOKUP(Table26[[#This Row],[customerSKU]],customerSKU!G:G,customerSKU!B:B,"",0,1))</f>
        <v/>
      </c>
      <c r="M507" s="53"/>
      <c r="N507" s="77" t="str">
        <f>Table26[[#This Row],[po_number]]&amp;"-"&amp;Table26[[#This Row],[po_line]]</f>
        <v>-2</v>
      </c>
      <c r="O507" s="77">
        <v>2</v>
      </c>
      <c r="P507" s="50"/>
      <c r="Q507" s="53" t="s">
        <v>535</v>
      </c>
      <c r="R507" s="53" t="s">
        <v>569</v>
      </c>
      <c r="S507" s="53" t="str">
        <f>IF(Table26[[#This Row],[customerSKU]]="","",_xlfn.XLOOKUP(Table26[[#This Row],[customerSKU]],customerSKU!G:G,customerSKU!N:N,"NOT FOUND",0,1))</f>
        <v>NOT FOUND</v>
      </c>
      <c r="T507" s="51">
        <v>45575</v>
      </c>
      <c r="U507" s="52">
        <f>20*12</f>
        <v>240</v>
      </c>
      <c r="V507" s="53" t="str">
        <f>IF(ISBLANK(Table26[[#This Row],[customerSKU]]),"",_xlfn.XLOOKUP(Table26[[#This Row],[customerSKU]],Table27[customer_SKU],Table27[case_size],"",0,1))</f>
        <v/>
      </c>
      <c r="W507" s="116" t="str">
        <f t="shared" si="20"/>
        <v/>
      </c>
      <c r="X507" s="53" t="str">
        <f>IFERROR($AA507*$U507, "")</f>
        <v/>
      </c>
      <c r="Y507" s="53" t="str">
        <f>IF(Table26[[#This Row],[customerSKU]]="","",_xlfn.XLOOKUP(Table26[[#This Row],[customerSKU]],Table27[customer_SKU],Table27[product_GTIN],"",0,1))</f>
        <v/>
      </c>
      <c r="Z507" s="60">
        <v>110721</v>
      </c>
      <c r="AA507" s="18" t="str" cm="1">
        <f t="array" ref="AA507">IF(P507="", "", _xlfn.XLOOKUP(P507,#REF!,#REF!,NA,0,-1))</f>
        <v/>
      </c>
      <c r="AB507" s="53"/>
      <c r="AC507" s="55" t="str">
        <f>IF(ISBLANK(Table26[[#This Row],[customerSKU]]),"",_xlfn.XLOOKUP(Table26[[#This Row],[customerSKU]],Table27[customer_SKU],Table27[shipto],"",0,1))</f>
        <v/>
      </c>
      <c r="AD507" s="55" t="str">
        <f>IF($AC507="","",_xlfn.XLOOKUP($AC507,'[2]Client Info'!$C$2:$C$2535,'[2]Client Info'!$D$2:$D$2535))</f>
        <v/>
      </c>
      <c r="AE507" s="55" t="str">
        <f>IF($AC507="","",_xlfn.XLOOKUP($AC507,'[2]Client Info'!$C$2:$C$2715,'[2]Client Info'!$E$2:$E$2715))</f>
        <v/>
      </c>
      <c r="AF507" s="55" t="str">
        <f>IF($AC507="","",_xlfn.XLOOKUP($AC507,'[2]Client Info'!$C$2:$C$2715,'[2]Client Info'!$F$2:$F$2715))</f>
        <v/>
      </c>
      <c r="AG507" s="55" t="str">
        <f>IF(ISBLANK(Table26[[#This Row],[customerSKU]]),"",_xlfn.XLOOKUP(Table26[[#This Row],[customerSKU]],Table27[customer_SKU],Table27[shipto],"",0,1))</f>
        <v/>
      </c>
      <c r="AH507" s="62" t="str">
        <f>_xlfn.XLOOKUP(Table26[[#This Row],[customerSKU]],customerSKU!G:G,customerSKU!K:K,"NA",0,1)</f>
        <v>NA</v>
      </c>
      <c r="AI507" s="43" t="str">
        <f>_xlfn.XLOOKUP(Table26[[#This Row],[customerSKU]],customerSKU!G:G,customerSKU!O:O,"not found",0,1)</f>
        <v>not found</v>
      </c>
      <c r="AJ507" s="59" t="e">
        <f>Table26[[#This Row],[unitprice]]*Table26[[#This Row],[quantity_unit]]</f>
        <v>#VALUE!</v>
      </c>
      <c r="AK507" s="59" t="e" cm="1">
        <f t="array" ref="AK5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8" spans="1:37" ht="18" customHeight="1">
      <c r="A508" s="42">
        <v>1749</v>
      </c>
      <c r="B508" s="42" t="s">
        <v>3520</v>
      </c>
      <c r="C508" s="43" t="s">
        <v>203</v>
      </c>
      <c r="D508" s="51">
        <v>45603</v>
      </c>
      <c r="E508" s="51" t="s">
        <v>3926</v>
      </c>
      <c r="F508" s="46">
        <v>54001</v>
      </c>
      <c r="G508" s="46"/>
      <c r="H508" s="53"/>
      <c r="I508" s="47" t="s">
        <v>3862</v>
      </c>
      <c r="J508" s="53" t="str">
        <f>IF(Table26[[#This Row],[customerSKU]]="","",_xlfn.XLOOKUP(Table26[[#This Row],[customerSKU]],customerSKU!G:G,customerSKU!A:A,"",0,1))</f>
        <v/>
      </c>
      <c r="K508" s="48">
        <v>45596</v>
      </c>
      <c r="L508" s="49" t="str">
        <f>IF(Table26[[#This Row],[customerSKU]]="","",_xlfn.XLOOKUP(Table26[[#This Row],[customerSKU]],customerSKU!G:G,customerSKU!B:B,"",0,1))</f>
        <v/>
      </c>
      <c r="M508" s="53"/>
      <c r="N508" s="77" t="str">
        <f>Table26[[#This Row],[po_number]]&amp;"-"&amp;Table26[[#This Row],[po_line]]</f>
        <v>-3</v>
      </c>
      <c r="O508" s="77">
        <v>3</v>
      </c>
      <c r="P508" s="50"/>
      <c r="Q508" s="53" t="s">
        <v>535</v>
      </c>
      <c r="R508" s="53" t="s">
        <v>569</v>
      </c>
      <c r="S508" s="53" t="str">
        <f>IF(Table26[[#This Row],[customerSKU]]="","",_xlfn.XLOOKUP(Table26[[#This Row],[customerSKU]],customerSKU!G:G,customerSKU!N:N,"NOT FOUND",0,1))</f>
        <v>NOT FOUND</v>
      </c>
      <c r="T508" s="51">
        <v>45588</v>
      </c>
      <c r="U508" s="52">
        <v>12</v>
      </c>
      <c r="V508" s="53" t="str">
        <f>IF(ISBLANK(Table26[[#This Row],[customerSKU]]),"",_xlfn.XLOOKUP(Table26[[#This Row],[customerSKU]],Table27[customer_SKU],Table27[case_size],"",0,1))</f>
        <v/>
      </c>
      <c r="W508" s="116" t="str">
        <f t="shared" si="20"/>
        <v/>
      </c>
      <c r="X508" s="53" t="str">
        <f>IFERROR($AA508*$U508, "")</f>
        <v/>
      </c>
      <c r="Y508" s="53" t="str">
        <f>IF(Table26[[#This Row],[customerSKU]]="","",_xlfn.XLOOKUP(Table26[[#This Row],[customerSKU]],Table27[customer_SKU],Table27[product_GTIN],"",0,1))</f>
        <v/>
      </c>
      <c r="Z508" s="60">
        <v>110721</v>
      </c>
      <c r="AA508" s="18" t="str" cm="1">
        <f t="array" ref="AA508">IF(P508="", "", _xlfn.XLOOKUP(P508,#REF!,#REF!,NA,0,-1))</f>
        <v/>
      </c>
      <c r="AB508" s="53"/>
      <c r="AC508" s="55" t="str">
        <f>IF(ISBLANK(Table26[[#This Row],[customerSKU]]),"",_xlfn.XLOOKUP(Table26[[#This Row],[customerSKU]],Table27[customer_SKU],Table27[shipto],"",0,1))</f>
        <v/>
      </c>
      <c r="AD508" s="55" t="str">
        <f>IF($AC508="","",_xlfn.XLOOKUP($AC508,'[2]Client Info'!$C$2:$C$2535,'[2]Client Info'!$D$2:$D$2535))</f>
        <v/>
      </c>
      <c r="AE508" s="55" t="str">
        <f>IF($AC508="","",_xlfn.XLOOKUP($AC508,'[2]Client Info'!$C$2:$C$2715,'[2]Client Info'!$E$2:$E$2715))</f>
        <v/>
      </c>
      <c r="AF508" s="55" t="str">
        <f>IF($AC508="","",_xlfn.XLOOKUP($AC508,'[2]Client Info'!$C$2:$C$2715,'[2]Client Info'!$F$2:$F$2715))</f>
        <v/>
      </c>
      <c r="AG508" s="55" t="str">
        <f>IF(ISBLANK(Table26[[#This Row],[customerSKU]]),"",_xlfn.XLOOKUP(Table26[[#This Row],[customerSKU]],Table27[customer_SKU],Table27[shipto],"",0,1))</f>
        <v/>
      </c>
      <c r="AH508" s="62" t="str">
        <f>_xlfn.XLOOKUP(Table26[[#This Row],[customerSKU]],customerSKU!G:G,customerSKU!K:K,"NA",0,1)</f>
        <v>NA</v>
      </c>
      <c r="AI508" s="43" t="str">
        <f>_xlfn.XLOOKUP(Table26[[#This Row],[customerSKU]],customerSKU!G:G,customerSKU!O:O,"not found",0,1)</f>
        <v>not found</v>
      </c>
      <c r="AJ508" s="59" t="e">
        <f>Table26[[#This Row],[unitprice]]*Table26[[#This Row],[quantity_unit]]</f>
        <v>#VALUE!</v>
      </c>
      <c r="AK508" s="59" t="e" cm="1">
        <f t="array" ref="AK5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09" spans="1:37" ht="18" customHeight="1">
      <c r="A509" s="42">
        <v>1750</v>
      </c>
      <c r="B509" s="42" t="s">
        <v>3520</v>
      </c>
      <c r="C509" s="43" t="s">
        <v>203</v>
      </c>
      <c r="D509" s="51">
        <v>45603</v>
      </c>
      <c r="E509" s="51" t="s">
        <v>3926</v>
      </c>
      <c r="F509" s="46">
        <v>54002</v>
      </c>
      <c r="G509" s="46"/>
      <c r="H509" s="53"/>
      <c r="I509" s="47" t="s">
        <v>3862</v>
      </c>
      <c r="J509" s="53" t="str">
        <f>IF(Table26[[#This Row],[customerSKU]]="","",_xlfn.XLOOKUP(Table26[[#This Row],[customerSKU]],customerSKU!G:G,customerSKU!A:A,"",0,1))</f>
        <v/>
      </c>
      <c r="K509" s="48">
        <v>45596</v>
      </c>
      <c r="L509" s="49" t="str">
        <f>IF(Table26[[#This Row],[customerSKU]]="","",_xlfn.XLOOKUP(Table26[[#This Row],[customerSKU]],customerSKU!G:G,customerSKU!B:B,"",0,1))</f>
        <v/>
      </c>
      <c r="M509" s="53"/>
      <c r="N509" s="77" t="str">
        <f>Table26[[#This Row],[po_number]]&amp;"-"&amp;Table26[[#This Row],[po_line]]</f>
        <v>-1</v>
      </c>
      <c r="O509" s="77">
        <v>1</v>
      </c>
      <c r="P509" s="50"/>
      <c r="Q509" s="53" t="s">
        <v>1376</v>
      </c>
      <c r="R509" s="53" t="s">
        <v>3428</v>
      </c>
      <c r="S509" s="53" t="str">
        <f>IF(Table26[[#This Row],[customerSKU]]="","",_xlfn.XLOOKUP(Table26[[#This Row],[customerSKU]],customerSKU!G:G,customerSKU!N:N,"NOT FOUND",0,1))</f>
        <v>NOT FOUND</v>
      </c>
      <c r="T509" s="51">
        <v>45588</v>
      </c>
      <c r="U509" s="52">
        <v>12</v>
      </c>
      <c r="V509" s="53" t="str">
        <f>IF(ISBLANK(Table26[[#This Row],[customerSKU]]),"",_xlfn.XLOOKUP(Table26[[#This Row],[customerSKU]],Table27[customer_SKU],Table27[case_size],"",0,1))</f>
        <v/>
      </c>
      <c r="W509" s="116" t="str">
        <f t="shared" si="20"/>
        <v/>
      </c>
      <c r="X509" s="53" t="str">
        <f>IFERROR($AA509*$U509, "")</f>
        <v/>
      </c>
      <c r="Y509" s="53" t="str">
        <f>IF(Table26[[#This Row],[customerSKU]]="","",_xlfn.XLOOKUP(Table26[[#This Row],[customerSKU]],Table27[customer_SKU],Table27[product_GTIN],"",0,1))</f>
        <v/>
      </c>
      <c r="Z509" s="25" t="s">
        <v>3409</v>
      </c>
      <c r="AA509" s="18" t="str" cm="1">
        <f t="array" ref="AA509">IF(P509="", "", _xlfn.XLOOKUP(P509,#REF!,#REF!,NA,0,-1))</f>
        <v/>
      </c>
      <c r="AB509" s="53"/>
      <c r="AC509" s="55" t="str">
        <f>IF(ISBLANK(Table26[[#This Row],[customerSKU]]),"",_xlfn.XLOOKUP(Table26[[#This Row],[customerSKU]],Table27[customer_SKU],Table27[shipto],"",0,1))</f>
        <v/>
      </c>
      <c r="AD509" s="55" t="str">
        <f>IF($AC509="","",_xlfn.XLOOKUP($AC509,'[2]Client Info'!$C$2:$C$2535,'[2]Client Info'!$D$2:$D$2535))</f>
        <v/>
      </c>
      <c r="AE509" s="55" t="str">
        <f>IF($AC509="","",_xlfn.XLOOKUP($AC509,'[2]Client Info'!$C$2:$C$2715,'[2]Client Info'!$E$2:$E$2715))</f>
        <v/>
      </c>
      <c r="AF509" s="55" t="str">
        <f>IF($AC509="","",_xlfn.XLOOKUP($AC509,'[2]Client Info'!$C$2:$C$2715,'[2]Client Info'!$F$2:$F$2715))</f>
        <v/>
      </c>
      <c r="AG509" s="55" t="str">
        <f>IF(ISBLANK(Table26[[#This Row],[customerSKU]]),"",_xlfn.XLOOKUP(Table26[[#This Row],[customerSKU]],Table27[customer_SKU],Table27[shipto],"",0,1))</f>
        <v/>
      </c>
      <c r="AH509" s="62" t="str">
        <f>_xlfn.XLOOKUP(Table26[[#This Row],[customerSKU]],customerSKU!G:G,customerSKU!K:K,"NA",0,1)</f>
        <v>NA</v>
      </c>
      <c r="AI509" s="43" t="str">
        <f>_xlfn.XLOOKUP(Table26[[#This Row],[customerSKU]],customerSKU!G:G,customerSKU!O:O,"not found",0,1)</f>
        <v>not found</v>
      </c>
      <c r="AJ509" s="59" t="e">
        <f>Table26[[#This Row],[unitprice]]*Table26[[#This Row],[quantity_unit]]</f>
        <v>#VALUE!</v>
      </c>
      <c r="AK509" s="59" t="e" cm="1">
        <f t="array" ref="AK5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10" spans="1:37" ht="18" customHeight="1">
      <c r="A510" s="42">
        <v>1751</v>
      </c>
      <c r="B510" s="42" t="s">
        <v>3520</v>
      </c>
      <c r="C510" s="43" t="s">
        <v>203</v>
      </c>
      <c r="D510" s="51">
        <v>45603</v>
      </c>
      <c r="E510" s="51" t="s">
        <v>3927</v>
      </c>
      <c r="F510" s="46">
        <v>54002</v>
      </c>
      <c r="G510" s="46"/>
      <c r="H510" s="53"/>
      <c r="I510" s="47" t="s">
        <v>3862</v>
      </c>
      <c r="J510" s="53" t="str">
        <f>IF(Table26[[#This Row],[customerSKU]]="","",_xlfn.XLOOKUP(Table26[[#This Row],[customerSKU]],customerSKU!G:G,customerSKU!A:A,"",0,1))</f>
        <v/>
      </c>
      <c r="K510" s="48">
        <v>45596</v>
      </c>
      <c r="L510" s="49" t="str">
        <f>IF(Table26[[#This Row],[customerSKU]]="","",_xlfn.XLOOKUP(Table26[[#This Row],[customerSKU]],customerSKU!G:G,customerSKU!B:B,"",0,1))</f>
        <v/>
      </c>
      <c r="M510" s="53"/>
      <c r="N510" s="77" t="str">
        <f>Table26[[#This Row],[po_number]]&amp;"-"&amp;Table26[[#This Row],[po_line]]</f>
        <v>-2</v>
      </c>
      <c r="O510" s="77">
        <v>2</v>
      </c>
      <c r="P510" s="50"/>
      <c r="Q510" s="53" t="s">
        <v>2112</v>
      </c>
      <c r="R510" s="53" t="s">
        <v>3428</v>
      </c>
      <c r="S510" s="53" t="str">
        <f>IF(Table26[[#This Row],[customerSKU]]="","",_xlfn.XLOOKUP(Table26[[#This Row],[customerSKU]],customerSKU!G:G,customerSKU!N:N,"NOT FOUND",0,1))</f>
        <v>NOT FOUND</v>
      </c>
      <c r="T510" s="51">
        <v>45550</v>
      </c>
      <c r="U510" s="52">
        <v>120</v>
      </c>
      <c r="V510" s="53" t="str">
        <f>IF(ISBLANK(Table26[[#This Row],[customerSKU]]),"",_xlfn.XLOOKUP(Table26[[#This Row],[customerSKU]],Table27[customer_SKU],Table27[case_size],"",0,1))</f>
        <v/>
      </c>
      <c r="W510" s="116" t="str">
        <f t="shared" si="20"/>
        <v/>
      </c>
      <c r="X510" s="53" t="str">
        <f>IFERROR($AA510*$U510, "")</f>
        <v/>
      </c>
      <c r="Y510" s="53" t="str">
        <f>IF(Table26[[#This Row],[customerSKU]]="","",_xlfn.XLOOKUP(Table26[[#This Row],[customerSKU]],Table27[customer_SKU],Table27[product_GTIN],"",0,1))</f>
        <v/>
      </c>
      <c r="Z510" s="25" t="s">
        <v>3363</v>
      </c>
      <c r="AA510" s="18" t="str" cm="1">
        <f t="array" ref="AA510">IF(P510="", "", _xlfn.XLOOKUP(P510,#REF!,#REF!,NA,0,-1))</f>
        <v/>
      </c>
      <c r="AB510" s="53"/>
      <c r="AC510" s="55" t="str">
        <f>IF(ISBLANK(Table26[[#This Row],[customerSKU]]),"",_xlfn.XLOOKUP(Table26[[#This Row],[customerSKU]],Table27[customer_SKU],Table27[shipto],"",0,1))</f>
        <v/>
      </c>
      <c r="AD510" s="55" t="str">
        <f>IF($AC510="","",_xlfn.XLOOKUP($AC510,'[2]Client Info'!$C$2:$C$2535,'[2]Client Info'!$D$2:$D$2535))</f>
        <v/>
      </c>
      <c r="AE510" s="55" t="str">
        <f>IF($AC510="","",_xlfn.XLOOKUP($AC510,'[2]Client Info'!$C$2:$C$2715,'[2]Client Info'!$E$2:$E$2715))</f>
        <v/>
      </c>
      <c r="AF510" s="55" t="str">
        <f>IF($AC510="","",_xlfn.XLOOKUP($AC510,'[2]Client Info'!$C$2:$C$2715,'[2]Client Info'!$F$2:$F$2715))</f>
        <v/>
      </c>
      <c r="AG510" s="55" t="str">
        <f>IF(ISBLANK(Table26[[#This Row],[customerSKU]]),"",_xlfn.XLOOKUP(Table26[[#This Row],[customerSKU]],Table27[customer_SKU],Table27[shipto],"",0,1))</f>
        <v/>
      </c>
      <c r="AH510" s="62" t="str">
        <f>_xlfn.XLOOKUP(Table26[[#This Row],[customerSKU]],customerSKU!G:G,customerSKU!K:K,"NA",0,1)</f>
        <v>NA</v>
      </c>
      <c r="AI510" s="43" t="str">
        <f>_xlfn.XLOOKUP(Table26[[#This Row],[customerSKU]],customerSKU!G:G,customerSKU!O:O,"not found",0,1)</f>
        <v>not found</v>
      </c>
      <c r="AJ510" s="59" t="e">
        <f>Table26[[#This Row],[unitprice]]*Table26[[#This Row],[quantity_unit]]</f>
        <v>#VALUE!</v>
      </c>
      <c r="AK510" s="59" t="e" cm="1">
        <f t="array" ref="AK5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11" spans="1:37" ht="18" customHeight="1">
      <c r="A511" s="42">
        <v>1738</v>
      </c>
      <c r="B511" s="58" t="s">
        <v>3520</v>
      </c>
      <c r="C511" s="53" t="s">
        <v>3360</v>
      </c>
      <c r="D511" s="51" t="str">
        <f>IF(Table26[[#This Row],[customerSKU]]="","","null")</f>
        <v>null</v>
      </c>
      <c r="E511" s="51"/>
      <c r="F51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11" s="46"/>
      <c r="H511" s="53"/>
      <c r="I511" s="53" t="s">
        <v>3818</v>
      </c>
      <c r="J511" s="53" t="s">
        <v>3811</v>
      </c>
      <c r="K511" s="48">
        <v>45597</v>
      </c>
      <c r="L511" s="49" t="s">
        <v>201</v>
      </c>
      <c r="M511" s="53"/>
      <c r="N511" s="77" t="str">
        <f>Table26[[#This Row],[po_number]]&amp;"-"&amp;Table26[[#This Row],[po_line]]</f>
        <v>-1</v>
      </c>
      <c r="O511" s="77">
        <v>1</v>
      </c>
      <c r="P511" s="50"/>
      <c r="Q511" s="53" t="s">
        <v>1380</v>
      </c>
      <c r="R511" s="53" t="s">
        <v>569</v>
      </c>
      <c r="S511" s="53" t="str">
        <f>IF(Table26[[#This Row],[customerSKU]]="","",_xlfn.XLOOKUP(Table26[[#This Row],[customerSKU]],customerSKU!G:G,customerSKU!N:N,"NOT FOUND",0,1))</f>
        <v>NOT FOUND</v>
      </c>
      <c r="T511" s="51">
        <v>45576</v>
      </c>
      <c r="U511" s="52">
        <f>20*12</f>
        <v>240</v>
      </c>
      <c r="V511" s="53" t="str">
        <f>IF(ISBLANK(Table26[[#This Row],[customerSKU]]),"",_xlfn.XLOOKUP(Table26[[#This Row],[customerSKU]],Table27[customer_SKU],Table27[case_size],"",0,1))</f>
        <v/>
      </c>
      <c r="W511" s="116" t="str">
        <f t="shared" si="20"/>
        <v/>
      </c>
      <c r="X511" s="53" t="str">
        <f>IFERROR($AA507*$U507, "")</f>
        <v/>
      </c>
      <c r="Y511" s="53" t="str">
        <f>IF(Table26[[#This Row],[customerSKU]]="","",_xlfn.XLOOKUP(Table26[[#This Row],[customerSKU]],Table27[customer_SKU],Table27[product_GTIN],"",0,1))</f>
        <v/>
      </c>
      <c r="Z511" s="25" t="s">
        <v>3451</v>
      </c>
      <c r="AA511" s="18" t="str" cm="1">
        <f t="array" ref="AA511">IF(P511="", "", _xlfn.XLOOKUP(P511,#REF!,#REF!,NA,0,-1))</f>
        <v/>
      </c>
      <c r="AB511" s="53"/>
      <c r="AC511" s="55" t="s">
        <v>79</v>
      </c>
      <c r="AD511" s="55" t="str">
        <f>IF($AC511="","",_xlfn.XLOOKUP($AC511,'[2]Client Info'!$C$2:$C$2535,'[2]Client Info'!$D$2:$D$2535,"",0,1))</f>
        <v>4-1832 King Edward St.</v>
      </c>
      <c r="AE511" s="55" t="str">
        <f>IF($AC511="","",_xlfn.XLOOKUP($AC511,'[2]Client Info'!$C$2:$C$2715,'[2]Client Info'!$E$2:$E$2715,"",))</f>
        <v>WINNIPEG</v>
      </c>
      <c r="AF511" s="55" t="str">
        <f>IF($AC511="","",_xlfn.XLOOKUP($AC511,'[2]Client Info'!$C$2:$C$2715,'[2]Client Info'!$F$2:$F$2715,"",0,1))</f>
        <v>MB</v>
      </c>
      <c r="AG511" s="55" t="s">
        <v>220</v>
      </c>
      <c r="AH511" s="62" t="str">
        <f>_xlfn.XLOOKUP(Table26[[#This Row],[customerSKU]],customerSKU!G:G,customerSKU!K:K,"NA",0,1)</f>
        <v>NA</v>
      </c>
      <c r="AI511" s="43" t="str">
        <f>_xlfn.XLOOKUP(Table26[[#This Row],[customerSKU]],customerSKU!G:G,customerSKU!O:O,"not found",0,1)</f>
        <v>not found</v>
      </c>
      <c r="AJ511" s="53" t="e">
        <f>Table26[[#This Row],[unitprice]]*Table26[[#This Row],[quantity_unit]]</f>
        <v>#VALUE!</v>
      </c>
      <c r="AK511" s="53" t="e" cm="1">
        <f t="array" ref="AK5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12" spans="1:37" ht="18" customHeight="1">
      <c r="A512" s="42">
        <v>1739</v>
      </c>
      <c r="B512" s="58" t="s">
        <v>3520</v>
      </c>
      <c r="C512" s="53" t="s">
        <v>3360</v>
      </c>
      <c r="D512" s="51" t="str">
        <f>IF(Table26[[#This Row],[customerSKU]]="","","null")</f>
        <v>null</v>
      </c>
      <c r="E512" s="51"/>
      <c r="F51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12" s="46"/>
      <c r="H512" s="53"/>
      <c r="I512" s="53" t="s">
        <v>3818</v>
      </c>
      <c r="J512" s="53" t="s">
        <v>3811</v>
      </c>
      <c r="K512" s="48">
        <v>45597</v>
      </c>
      <c r="L512" s="49" t="s">
        <v>201</v>
      </c>
      <c r="M512" s="53"/>
      <c r="N512" s="77" t="str">
        <f>Table26[[#This Row],[po_number]]&amp;"-"&amp;Table26[[#This Row],[po_line]]</f>
        <v>-2</v>
      </c>
      <c r="O512" s="77">
        <v>2</v>
      </c>
      <c r="P512" s="50"/>
      <c r="Q512" s="53" t="s">
        <v>1379</v>
      </c>
      <c r="R512" s="53" t="s">
        <v>569</v>
      </c>
      <c r="S512" s="53" t="str">
        <f>IF(Table26[[#This Row],[customerSKU]]="","",_xlfn.XLOOKUP(Table26[[#This Row],[customerSKU]],customerSKU!G:G,customerSKU!N:N,"NOT FOUND",0,1))</f>
        <v>NOT FOUND</v>
      </c>
      <c r="T512" s="51">
        <v>45550</v>
      </c>
      <c r="U512" s="52">
        <f>20*12</f>
        <v>240</v>
      </c>
      <c r="V512" s="53" t="str">
        <f>IF(ISBLANK(Table26[[#This Row],[customerSKU]]),"",_xlfn.XLOOKUP(Table26[[#This Row],[customerSKU]],Table27[customer_SKU],Table27[case_size],"",0,1))</f>
        <v/>
      </c>
      <c r="W512" s="116" t="str">
        <f t="shared" si="20"/>
        <v/>
      </c>
      <c r="X512" s="53" t="str">
        <f>IFERROR($AA508*$U508, "")</f>
        <v/>
      </c>
      <c r="Y512" s="53" t="str">
        <f>IF(Table26[[#This Row],[customerSKU]]="","",_xlfn.XLOOKUP(Table26[[#This Row],[customerSKU]],Table27[customer_SKU],Table27[product_GTIN],"",0,1))</f>
        <v/>
      </c>
      <c r="Z512" s="25" t="s">
        <v>3452</v>
      </c>
      <c r="AA512" s="18" t="str" cm="1">
        <f t="array" ref="AA512">IF(P512="", "", _xlfn.XLOOKUP(P512,#REF!,#REF!,NA,0,-1))</f>
        <v/>
      </c>
      <c r="AB512" s="53"/>
      <c r="AC512" s="55" t="s">
        <v>79</v>
      </c>
      <c r="AD512" s="55" t="str">
        <f>IF($AC512="","",_xlfn.XLOOKUP($AC512,'[2]Client Info'!$C$2:$C$2535,'[2]Client Info'!$D$2:$D$2535,"",0,1))</f>
        <v>4-1832 King Edward St.</v>
      </c>
      <c r="AE512" s="55" t="str">
        <f>IF($AC512="","",_xlfn.XLOOKUP($AC512,'[2]Client Info'!$C$2:$C$2715,'[2]Client Info'!$E$2:$E$2715,"",))</f>
        <v>WINNIPEG</v>
      </c>
      <c r="AF512" s="55" t="str">
        <f>IF($AC512="","",_xlfn.XLOOKUP($AC512,'[2]Client Info'!$C$2:$C$2715,'[2]Client Info'!$F$2:$F$2715,"",0,1))</f>
        <v>MB</v>
      </c>
      <c r="AG512" s="55" t="s">
        <v>220</v>
      </c>
      <c r="AH512" s="62" t="str">
        <f>_xlfn.XLOOKUP(Table26[[#This Row],[customerSKU]],customerSKU!G:G,customerSKU!K:K,"NA",0,1)</f>
        <v>NA</v>
      </c>
      <c r="AI512" s="43" t="str">
        <f>_xlfn.XLOOKUP(Table26[[#This Row],[customerSKU]],customerSKU!G:G,customerSKU!O:O,"not found",0,1)</f>
        <v>not found</v>
      </c>
      <c r="AJ512" s="53" t="e">
        <f>Table26[[#This Row],[unitprice]]*Table26[[#This Row],[quantity_unit]]</f>
        <v>#VALUE!</v>
      </c>
      <c r="AK512" s="53" t="e" cm="1">
        <f t="array" ref="AK5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13" spans="1:37" ht="18" customHeight="1">
      <c r="A513" s="42">
        <v>1700</v>
      </c>
      <c r="B513" s="58" t="s">
        <v>3520</v>
      </c>
      <c r="C513" s="53" t="s">
        <v>203</v>
      </c>
      <c r="D513" s="51">
        <v>45603</v>
      </c>
      <c r="E513" s="51"/>
      <c r="F513" s="53"/>
      <c r="G513" s="46"/>
      <c r="H513" s="53" t="s">
        <v>3803</v>
      </c>
      <c r="I513" s="53" t="s">
        <v>3818</v>
      </c>
      <c r="J513" s="53" t="s">
        <v>616</v>
      </c>
      <c r="K513" s="48">
        <v>45600</v>
      </c>
      <c r="L513" s="49" t="s">
        <v>201</v>
      </c>
      <c r="M513" s="53"/>
      <c r="N513" s="77" t="str">
        <f>Table26[[#This Row],[po_number]]&amp;"-"&amp;Table26[[#This Row],[po_line]]</f>
        <v>-1</v>
      </c>
      <c r="O513" s="77">
        <v>1</v>
      </c>
      <c r="P513" s="50"/>
      <c r="Q513" s="53" t="s">
        <v>3368</v>
      </c>
      <c r="R513" s="53" t="s">
        <v>3559</v>
      </c>
      <c r="S513" s="53" t="str">
        <f>IF(Table26[[#This Row],[customerSKU]]="","",_xlfn.XLOOKUP(Table26[[#This Row],[customerSKU]],customerSKU!G:G,customerSKU!N:N,"NOT FOUND",0,1))</f>
        <v>NOT FOUND</v>
      </c>
      <c r="T513" s="20">
        <v>45590</v>
      </c>
      <c r="U513" s="52">
        <v>120</v>
      </c>
      <c r="V513" s="53">
        <v>12</v>
      </c>
      <c r="W513" s="116">
        <f t="shared" si="20"/>
        <v>10</v>
      </c>
      <c r="X513" s="53" t="str">
        <f t="shared" ref="X513:X544" si="21">IFERROR($AA513*$U513, "")</f>
        <v/>
      </c>
      <c r="Y513" s="53" t="str">
        <f>IF(Table26[[#This Row],[customerSKU]]="","",_xlfn.XLOOKUP(Table26[[#This Row],[customerSKU]],Table27[customer_SKU],Table27[product_GTIN],"",0,1))</f>
        <v/>
      </c>
      <c r="Z513" s="60" t="s">
        <v>3829</v>
      </c>
      <c r="AA513" s="18" t="str" cm="1">
        <f t="array" ref="AA513">IF(P513="", "", _xlfn.XLOOKUP(P513,#REF!,#REF!,NA,0,-1))</f>
        <v/>
      </c>
      <c r="AB513" s="53"/>
      <c r="AC513" s="55" t="s">
        <v>31</v>
      </c>
      <c r="AD513" s="55" t="str">
        <f>IF($AC513="","",_xlfn.XLOOKUP($AC513,'[2]Client Info'!$C$2:$C$2535,'[2]Client Info'!$D$2:$D$2535))</f>
        <v>Unit C 409 McDonald Street</v>
      </c>
      <c r="AE513" s="55" t="str">
        <f>IF($AC513="","",_xlfn.XLOOKUP($AC513,'[2]Client Info'!$C$2:$C$2715,'[2]Client Info'!$E$2:$E$2715))</f>
        <v>Regina</v>
      </c>
      <c r="AF513" s="55" t="str">
        <f>IF($AC513="","",_xlfn.XLOOKUP($AC513,'[2]Client Info'!$C$2:$C$2715,'[2]Client Info'!$F$2:$F$2715))</f>
        <v>SK</v>
      </c>
      <c r="AG513" s="55" t="s">
        <v>31</v>
      </c>
      <c r="AH513" s="62" t="str">
        <f>_xlfn.XLOOKUP(Table26[[#This Row],[customerSKU]],customerSKU!G:G,customerSKU!K:K,"NA",0,1)</f>
        <v>NA</v>
      </c>
      <c r="AI513" s="43" t="str">
        <f>_xlfn.XLOOKUP(Table26[[#This Row],[customerSKU]],customerSKU!G:G,customerSKU!O:O,"not found",0,1)</f>
        <v>not found</v>
      </c>
      <c r="AJ513" s="53" t="e">
        <f>Table26[[#This Row],[unitprice]]*Table26[[#This Row],[quantity_unit]]</f>
        <v>#VALUE!</v>
      </c>
      <c r="AK513" s="53" t="e" cm="1">
        <f t="array" ref="AK5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14" spans="1:37" ht="18" customHeight="1">
      <c r="A514" s="42">
        <v>1701</v>
      </c>
      <c r="B514" s="58" t="s">
        <v>3520</v>
      </c>
      <c r="C514" s="53" t="s">
        <v>203</v>
      </c>
      <c r="D514" s="51">
        <v>45603</v>
      </c>
      <c r="E514" s="51"/>
      <c r="F514" s="53"/>
      <c r="G514" s="46"/>
      <c r="H514" s="53" t="s">
        <v>3803</v>
      </c>
      <c r="I514" s="53" t="s">
        <v>3818</v>
      </c>
      <c r="J514" s="53" t="s">
        <v>616</v>
      </c>
      <c r="K514" s="48">
        <v>45600</v>
      </c>
      <c r="L514" s="49" t="s">
        <v>201</v>
      </c>
      <c r="M514" s="53"/>
      <c r="N514" s="77" t="str">
        <f>Table26[[#This Row],[po_number]]&amp;"-"&amp;Table26[[#This Row],[po_line]]</f>
        <v>-2</v>
      </c>
      <c r="O514" s="77">
        <v>2</v>
      </c>
      <c r="P514" s="50"/>
      <c r="Q514" s="81" t="s">
        <v>1172</v>
      </c>
      <c r="R514" s="81" t="s">
        <v>3830</v>
      </c>
      <c r="S514" s="81" t="s">
        <v>78</v>
      </c>
      <c r="T514" s="20">
        <v>45588</v>
      </c>
      <c r="U514" s="52">
        <v>120</v>
      </c>
      <c r="V514" s="53">
        <v>12</v>
      </c>
      <c r="W514" s="116">
        <f t="shared" si="20"/>
        <v>10</v>
      </c>
      <c r="X514" s="53" t="str">
        <f t="shared" si="21"/>
        <v/>
      </c>
      <c r="Y514" s="53" t="str">
        <f>IF(Table26[[#This Row],[customerSKU]]="","",_xlfn.XLOOKUP(Table26[[#This Row],[customerSKU]],Table27[customer_SKU],Table27[product_GTIN],"",0,1))</f>
        <v/>
      </c>
      <c r="Z514" s="60" t="s">
        <v>3619</v>
      </c>
      <c r="AA514" s="18" t="str" cm="1">
        <f t="array" ref="AA514">IF(P514="", "", _xlfn.XLOOKUP(P514,#REF!,#REF!,NA,0,-1))</f>
        <v/>
      </c>
      <c r="AB514" s="53"/>
      <c r="AC514" s="55" t="s">
        <v>31</v>
      </c>
      <c r="AD514" s="55" t="str">
        <f>IF($AC514="","",_xlfn.XLOOKUP($AC514,'[2]Client Info'!$C$2:$C$2535,'[2]Client Info'!$D$2:$D$2535))</f>
        <v>Unit C 409 McDonald Street</v>
      </c>
      <c r="AE514" s="55" t="str">
        <f>IF($AC514="","",_xlfn.XLOOKUP($AC514,'[2]Client Info'!$C$2:$C$2715,'[2]Client Info'!$E$2:$E$2715))</f>
        <v>Regina</v>
      </c>
      <c r="AF514" s="55" t="str">
        <f>IF($AC514="","",_xlfn.XLOOKUP($AC514,'[2]Client Info'!$C$2:$C$2715,'[2]Client Info'!$F$2:$F$2715))</f>
        <v>SK</v>
      </c>
      <c r="AG514" s="55" t="s">
        <v>31</v>
      </c>
      <c r="AH514" s="62" t="str">
        <f>_xlfn.XLOOKUP(Table26[[#This Row],[customerSKU]],customerSKU!G:G,customerSKU!K:K,"NA",0,1)</f>
        <v>NA</v>
      </c>
      <c r="AI514" s="43" t="str">
        <f>_xlfn.XLOOKUP(Table26[[#This Row],[customerSKU]],customerSKU!G:G,customerSKU!O:O,"not found",0,1)</f>
        <v>not found</v>
      </c>
      <c r="AJ514" s="22" t="e">
        <f>Table26[[#This Row],[unitprice]]*Table26[[#This Row],[quantity_unit]]</f>
        <v>#VALUE!</v>
      </c>
      <c r="AK514" s="227" t="e" cm="1">
        <f t="array" ref="AK5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515" spans="1:37" ht="18" customHeight="1">
      <c r="A515" s="42">
        <v>1702</v>
      </c>
      <c r="B515" s="58" t="s">
        <v>3520</v>
      </c>
      <c r="C515" s="53" t="s">
        <v>203</v>
      </c>
      <c r="D515" s="51">
        <v>45603</v>
      </c>
      <c r="E515" s="51"/>
      <c r="F515" s="53"/>
      <c r="G515" s="46"/>
      <c r="H515" s="53" t="s">
        <v>3803</v>
      </c>
      <c r="I515" s="53" t="s">
        <v>3818</v>
      </c>
      <c r="J515" s="53" t="s">
        <v>616</v>
      </c>
      <c r="K515" s="48">
        <v>45600</v>
      </c>
      <c r="L515" s="49" t="s">
        <v>201</v>
      </c>
      <c r="M515" s="53"/>
      <c r="N515" s="77" t="str">
        <f>Table26[[#This Row],[po_number]]&amp;"-"&amp;Table26[[#This Row],[po_line]]</f>
        <v>-3</v>
      </c>
      <c r="O515" s="77">
        <v>3</v>
      </c>
      <c r="P515" s="50"/>
      <c r="Q515" s="53" t="s">
        <v>1313</v>
      </c>
      <c r="R515" s="81" t="s">
        <v>3830</v>
      </c>
      <c r="S515" s="81" t="s">
        <v>78</v>
      </c>
      <c r="T515" s="20">
        <v>45575</v>
      </c>
      <c r="U515" s="52">
        <v>180</v>
      </c>
      <c r="V515" s="53">
        <v>12</v>
      </c>
      <c r="W515" s="116">
        <f t="shared" si="20"/>
        <v>15</v>
      </c>
      <c r="X515" s="53" t="str">
        <f t="shared" si="21"/>
        <v/>
      </c>
      <c r="Y515" s="53" t="str">
        <f>IF(Table26[[#This Row],[customerSKU]]="","",_xlfn.XLOOKUP(Table26[[#This Row],[customerSKU]],Table27[customer_SKU],Table27[product_GTIN],"",0,1))</f>
        <v/>
      </c>
      <c r="Z515" s="60" t="s">
        <v>3621</v>
      </c>
      <c r="AA515" s="18" t="str" cm="1">
        <f t="array" ref="AA515">IF(P515="", "", _xlfn.XLOOKUP(P515,#REF!,#REF!,NA,0,-1))</f>
        <v/>
      </c>
      <c r="AB515" s="53"/>
      <c r="AC515" s="55" t="s">
        <v>31</v>
      </c>
      <c r="AD515" s="55" t="str">
        <f>IF($AC515="","",_xlfn.XLOOKUP($AC515,'[2]Client Info'!$C$2:$C$2535,'[2]Client Info'!$D$2:$D$2535))</f>
        <v>Unit C 409 McDonald Street</v>
      </c>
      <c r="AE515" s="55" t="str">
        <f>IF($AC515="","",_xlfn.XLOOKUP($AC515,'[2]Client Info'!$C$2:$C$2715,'[2]Client Info'!$E$2:$E$2715))</f>
        <v>Regina</v>
      </c>
      <c r="AF515" s="55" t="str">
        <f>IF($AC515="","",_xlfn.XLOOKUP($AC515,'[2]Client Info'!$C$2:$C$2715,'[2]Client Info'!$F$2:$F$2715))</f>
        <v>SK</v>
      </c>
      <c r="AG515" s="55" t="s">
        <v>31</v>
      </c>
      <c r="AH515" s="62" t="str">
        <f>_xlfn.XLOOKUP(Table26[[#This Row],[customerSKU]],customerSKU!G:G,customerSKU!K:K,"NA",0,1)</f>
        <v>NA</v>
      </c>
      <c r="AI515" s="43" t="str">
        <f>_xlfn.XLOOKUP(Table26[[#This Row],[customerSKU]],customerSKU!G:G,customerSKU!O:O,"not found",0,1)</f>
        <v>not found</v>
      </c>
      <c r="AJ515" s="53" t="e">
        <f>Table26[[#This Row],[unitprice]]*Table26[[#This Row],[quantity_unit]]</f>
        <v>#VALUE!</v>
      </c>
      <c r="AK515" s="53" t="e" cm="1">
        <f t="array" ref="AK5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16" spans="1:37" ht="18" customHeight="1">
      <c r="A516" s="42">
        <v>1703</v>
      </c>
      <c r="B516" s="58" t="s">
        <v>3520</v>
      </c>
      <c r="C516" s="53" t="s">
        <v>203</v>
      </c>
      <c r="D516" s="51">
        <v>45603</v>
      </c>
      <c r="E516" s="51"/>
      <c r="F516" s="53"/>
      <c r="G516" s="46"/>
      <c r="H516" s="53" t="s">
        <v>3803</v>
      </c>
      <c r="I516" s="53" t="s">
        <v>3818</v>
      </c>
      <c r="J516" s="53" t="s">
        <v>616</v>
      </c>
      <c r="K516" s="48">
        <v>45600</v>
      </c>
      <c r="L516" s="49" t="s">
        <v>201</v>
      </c>
      <c r="M516" s="53"/>
      <c r="N516" s="77" t="str">
        <f>Table26[[#This Row],[po_number]]&amp;"-"&amp;Table26[[#This Row],[po_line]]</f>
        <v>-4</v>
      </c>
      <c r="O516" s="77">
        <v>4</v>
      </c>
      <c r="P516" s="50"/>
      <c r="Q516" s="53" t="s">
        <v>630</v>
      </c>
      <c r="R516" s="81" t="s">
        <v>3830</v>
      </c>
      <c r="S516" s="81" t="s">
        <v>78</v>
      </c>
      <c r="T516" s="20">
        <v>45574</v>
      </c>
      <c r="U516" s="52">
        <v>180</v>
      </c>
      <c r="V516" s="53">
        <v>12</v>
      </c>
      <c r="W516" s="116">
        <f t="shared" si="20"/>
        <v>15</v>
      </c>
      <c r="X516" s="53" t="str">
        <f t="shared" si="21"/>
        <v/>
      </c>
      <c r="Y516" s="53" t="str">
        <f>IF(Table26[[#This Row],[customerSKU]]="","",_xlfn.XLOOKUP(Table26[[#This Row],[customerSKU]],Table27[customer_SKU],Table27[product_GTIN],"",0,1))</f>
        <v/>
      </c>
      <c r="Z516" s="60" t="s">
        <v>3622</v>
      </c>
      <c r="AA516" s="18" t="str" cm="1">
        <f t="array" ref="AA516">IF(P516="", "", _xlfn.XLOOKUP(P516,#REF!,#REF!,NA,0,-1))</f>
        <v/>
      </c>
      <c r="AB516" s="53"/>
      <c r="AC516" s="55" t="s">
        <v>31</v>
      </c>
      <c r="AD516" s="55" t="str">
        <f>IF($AC516="","",_xlfn.XLOOKUP($AC516,'[2]Client Info'!$C$2:$C$2535,'[2]Client Info'!$D$2:$D$2535))</f>
        <v>Unit C 409 McDonald Street</v>
      </c>
      <c r="AE516" s="55" t="str">
        <f>IF($AC516="","",_xlfn.XLOOKUP($AC516,'[2]Client Info'!$C$2:$C$2715,'[2]Client Info'!$E$2:$E$2715))</f>
        <v>Regina</v>
      </c>
      <c r="AF516" s="55" t="str">
        <f>IF($AC516="","",_xlfn.XLOOKUP($AC516,'[2]Client Info'!$C$2:$C$2715,'[2]Client Info'!$F$2:$F$2715))</f>
        <v>SK</v>
      </c>
      <c r="AG516" s="55" t="s">
        <v>31</v>
      </c>
      <c r="AH516" s="62" t="str">
        <f>_xlfn.XLOOKUP(Table26[[#This Row],[customerSKU]],customerSKU!G:G,customerSKU!K:K,"NA",0,1)</f>
        <v>NA</v>
      </c>
      <c r="AI516" s="43" t="str">
        <f>_xlfn.XLOOKUP(Table26[[#This Row],[customerSKU]],customerSKU!G:G,customerSKU!O:O,"not found",0,1)</f>
        <v>not found</v>
      </c>
      <c r="AJ516" s="53" t="e">
        <f>Table26[[#This Row],[unitprice]]*Table26[[#This Row],[quantity_unit]]</f>
        <v>#VALUE!</v>
      </c>
      <c r="AK516" s="53" t="e" cm="1">
        <f t="array" ref="AK5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17" spans="1:37" ht="18" customHeight="1">
      <c r="A517" s="42">
        <v>1704</v>
      </c>
      <c r="B517" s="58" t="s">
        <v>3520</v>
      </c>
      <c r="C517" s="53" t="s">
        <v>203</v>
      </c>
      <c r="D517" s="51">
        <v>45603</v>
      </c>
      <c r="E517" s="51"/>
      <c r="F517" s="53"/>
      <c r="G517" s="46"/>
      <c r="H517" s="53" t="s">
        <v>3803</v>
      </c>
      <c r="I517" s="53" t="s">
        <v>3818</v>
      </c>
      <c r="J517" s="53" t="s">
        <v>616</v>
      </c>
      <c r="K517" s="48">
        <v>45600</v>
      </c>
      <c r="L517" s="49" t="s">
        <v>201</v>
      </c>
      <c r="M517" s="53"/>
      <c r="N517" s="77" t="str">
        <f>Table26[[#This Row],[po_number]]&amp;"-"&amp;Table26[[#This Row],[po_line]]</f>
        <v>-5</v>
      </c>
      <c r="O517" s="77">
        <v>5</v>
      </c>
      <c r="P517" s="50"/>
      <c r="Q517" s="53" t="s">
        <v>1312</v>
      </c>
      <c r="R517" s="81" t="s">
        <v>3830</v>
      </c>
      <c r="S517" s="81" t="s">
        <v>78</v>
      </c>
      <c r="T517" s="20">
        <v>45575</v>
      </c>
      <c r="U517" s="52">
        <v>180</v>
      </c>
      <c r="V517" s="53">
        <v>12</v>
      </c>
      <c r="W517" s="116">
        <f t="shared" si="20"/>
        <v>15</v>
      </c>
      <c r="X517" s="53" t="str">
        <f t="shared" si="21"/>
        <v/>
      </c>
      <c r="Y517" s="53" t="str">
        <f>IF(Table26[[#This Row],[customerSKU]]="","",_xlfn.XLOOKUP(Table26[[#This Row],[customerSKU]],Table27[customer_SKU],Table27[product_GTIN],"",0,1))</f>
        <v/>
      </c>
      <c r="Z517" s="60" t="s">
        <v>3623</v>
      </c>
      <c r="AA517" s="18" t="str" cm="1">
        <f t="array" ref="AA517">IF(P517="", "", _xlfn.XLOOKUP(P517,#REF!,#REF!,NA,0,-1))</f>
        <v/>
      </c>
      <c r="AB517" s="53"/>
      <c r="AC517" s="55" t="s">
        <v>31</v>
      </c>
      <c r="AD517" s="55" t="str">
        <f>IF($AC517="","",_xlfn.XLOOKUP($AC517,'[2]Client Info'!$C$2:$C$2535,'[2]Client Info'!$D$2:$D$2535))</f>
        <v>Unit C 409 McDonald Street</v>
      </c>
      <c r="AE517" s="55" t="str">
        <f>IF($AC517="","",_xlfn.XLOOKUP($AC517,'[2]Client Info'!$C$2:$C$2715,'[2]Client Info'!$E$2:$E$2715))</f>
        <v>Regina</v>
      </c>
      <c r="AF517" s="55" t="str">
        <f>IF($AC517="","",_xlfn.XLOOKUP($AC517,'[2]Client Info'!$C$2:$C$2715,'[2]Client Info'!$F$2:$F$2715))</f>
        <v>SK</v>
      </c>
      <c r="AG517" s="55" t="s">
        <v>31</v>
      </c>
      <c r="AH517" s="62" t="str">
        <f>_xlfn.XLOOKUP(Table26[[#This Row],[customerSKU]],customerSKU!G:G,customerSKU!K:K,"NA",0,1)</f>
        <v>NA</v>
      </c>
      <c r="AI517" s="43" t="str">
        <f>_xlfn.XLOOKUP(Table26[[#This Row],[customerSKU]],customerSKU!G:G,customerSKU!O:O,"not found",0,1)</f>
        <v>not found</v>
      </c>
      <c r="AJ517" s="53" t="e">
        <f>Table26[[#This Row],[unitprice]]*Table26[[#This Row],[quantity_unit]]</f>
        <v>#VALUE!</v>
      </c>
      <c r="AK517" s="227" t="e" cm="1">
        <f t="array" ref="AK5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518" spans="1:37" ht="24.6" customHeight="1">
      <c r="A518" s="42">
        <v>1705</v>
      </c>
      <c r="B518" s="58" t="s">
        <v>3520</v>
      </c>
      <c r="C518" s="53" t="s">
        <v>203</v>
      </c>
      <c r="D518" s="51">
        <v>45603</v>
      </c>
      <c r="E518" s="51"/>
      <c r="F518" s="53"/>
      <c r="G518" s="46"/>
      <c r="H518" s="53" t="s">
        <v>3803</v>
      </c>
      <c r="I518" s="53" t="s">
        <v>3818</v>
      </c>
      <c r="J518" s="53" t="s">
        <v>616</v>
      </c>
      <c r="K518" s="48">
        <v>45600</v>
      </c>
      <c r="L518" s="49" t="s">
        <v>201</v>
      </c>
      <c r="M518" s="53"/>
      <c r="N518" s="77" t="str">
        <f>Table26[[#This Row],[po_number]]&amp;"-"&amp;Table26[[#This Row],[po_line]]</f>
        <v>-6</v>
      </c>
      <c r="O518" s="77">
        <v>6</v>
      </c>
      <c r="P518" s="50"/>
      <c r="Q518" s="53" t="s">
        <v>535</v>
      </c>
      <c r="R518" s="81" t="s">
        <v>3830</v>
      </c>
      <c r="S518" s="81" t="s">
        <v>78</v>
      </c>
      <c r="T518" s="20">
        <v>45575</v>
      </c>
      <c r="U518" s="52">
        <v>180</v>
      </c>
      <c r="V518" s="53">
        <v>12</v>
      </c>
      <c r="W518" s="116">
        <f t="shared" si="20"/>
        <v>15</v>
      </c>
      <c r="X518" s="53" t="str">
        <f t="shared" si="21"/>
        <v/>
      </c>
      <c r="Y518" s="53" t="str">
        <f>IF(Table26[[#This Row],[customerSKU]]="","",_xlfn.XLOOKUP(Table26[[#This Row],[customerSKU]],Table27[customer_SKU],Table27[product_GTIN],"",0,1))</f>
        <v/>
      </c>
      <c r="Z518" s="60" t="s">
        <v>3831</v>
      </c>
      <c r="AA518" s="18" t="str" cm="1">
        <f t="array" ref="AA518">IF(P518="", "", _xlfn.XLOOKUP(P518,#REF!,#REF!,NA,0,-1))</f>
        <v/>
      </c>
      <c r="AB518" s="53"/>
      <c r="AC518" s="55" t="s">
        <v>31</v>
      </c>
      <c r="AD518" s="55" t="str">
        <f>IF($AC518="","",_xlfn.XLOOKUP($AC518,'[2]Client Info'!$C$2:$C$2535,'[2]Client Info'!$D$2:$D$2535))</f>
        <v>Unit C 409 McDonald Street</v>
      </c>
      <c r="AE518" s="55" t="str">
        <f>IF($AC518="","",_xlfn.XLOOKUP($AC518,'[2]Client Info'!$C$2:$C$2715,'[2]Client Info'!$E$2:$E$2715))</f>
        <v>Regina</v>
      </c>
      <c r="AF518" s="55" t="str">
        <f>IF($AC518="","",_xlfn.XLOOKUP($AC518,'[2]Client Info'!$C$2:$C$2715,'[2]Client Info'!$F$2:$F$2715))</f>
        <v>SK</v>
      </c>
      <c r="AG518" s="55" t="s">
        <v>31</v>
      </c>
      <c r="AH518" s="62" t="str">
        <f>_xlfn.XLOOKUP(Table26[[#This Row],[customerSKU]],customerSKU!G:G,customerSKU!K:K,"NA",0,1)</f>
        <v>NA</v>
      </c>
      <c r="AI518" s="43" t="str">
        <f>_xlfn.XLOOKUP(Table26[[#This Row],[customerSKU]],customerSKU!G:G,customerSKU!O:O,"not found",0,1)</f>
        <v>not found</v>
      </c>
      <c r="AJ518" s="53" t="e">
        <f>Table26[[#This Row],[unitprice]]*Table26[[#This Row],[quantity_unit]]</f>
        <v>#VALUE!</v>
      </c>
      <c r="AK518" s="227" t="e" cm="1">
        <f t="array" ref="AK5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519" spans="1:37" ht="24.6" customHeight="1">
      <c r="A519" s="42">
        <v>1706</v>
      </c>
      <c r="B519" s="58" t="s">
        <v>3520</v>
      </c>
      <c r="C519" s="53" t="s">
        <v>203</v>
      </c>
      <c r="D519" s="51">
        <v>45603</v>
      </c>
      <c r="E519" s="51"/>
      <c r="F519" s="53"/>
      <c r="G519" s="46"/>
      <c r="H519" s="53" t="s">
        <v>3803</v>
      </c>
      <c r="I519" s="53" t="s">
        <v>3818</v>
      </c>
      <c r="J519" s="53" t="s">
        <v>616</v>
      </c>
      <c r="K519" s="48">
        <v>45600</v>
      </c>
      <c r="L519" s="49" t="s">
        <v>201</v>
      </c>
      <c r="M519" s="53"/>
      <c r="N519" s="77" t="str">
        <f>Table26[[#This Row],[po_number]]&amp;"-"&amp;Table26[[#This Row],[po_line]]</f>
        <v>-7</v>
      </c>
      <c r="O519" s="77">
        <v>7</v>
      </c>
      <c r="P519" s="50"/>
      <c r="Q519" s="53" t="s">
        <v>1134</v>
      </c>
      <c r="R519" s="81" t="s">
        <v>3830</v>
      </c>
      <c r="S519" s="81" t="s">
        <v>78</v>
      </c>
      <c r="T519" s="20">
        <v>45574</v>
      </c>
      <c r="U519" s="52">
        <v>120</v>
      </c>
      <c r="V519" s="53">
        <v>12</v>
      </c>
      <c r="W519" s="116">
        <f t="shared" si="20"/>
        <v>10</v>
      </c>
      <c r="X519" s="53" t="str">
        <f t="shared" si="21"/>
        <v/>
      </c>
      <c r="Y519" s="53" t="str">
        <f>IF(Table26[[#This Row],[customerSKU]]="","",_xlfn.XLOOKUP(Table26[[#This Row],[customerSKU]],Table27[customer_SKU],Table27[product_GTIN],"",0,1))</f>
        <v/>
      </c>
      <c r="Z519" s="60" t="s">
        <v>3832</v>
      </c>
      <c r="AA519" s="18" t="str" cm="1">
        <f t="array" ref="AA519">IF(P519="", "", _xlfn.XLOOKUP(P519,#REF!,#REF!,NA,0,-1))</f>
        <v/>
      </c>
      <c r="AB519" s="53"/>
      <c r="AC519" s="55" t="s">
        <v>31</v>
      </c>
      <c r="AD519" s="55" t="str">
        <f>IF($AC519="","",_xlfn.XLOOKUP($AC519,'[2]Client Info'!$C$2:$C$2535,'[2]Client Info'!$D$2:$D$2535))</f>
        <v>Unit C 409 McDonald Street</v>
      </c>
      <c r="AE519" s="55" t="str">
        <f>IF($AC519="","",_xlfn.XLOOKUP($AC519,'[2]Client Info'!$C$2:$C$2715,'[2]Client Info'!$E$2:$E$2715))</f>
        <v>Regina</v>
      </c>
      <c r="AF519" s="55" t="str">
        <f>IF($AC519="","",_xlfn.XLOOKUP($AC519,'[2]Client Info'!$C$2:$C$2715,'[2]Client Info'!$F$2:$F$2715))</f>
        <v>SK</v>
      </c>
      <c r="AG519" s="55" t="s">
        <v>31</v>
      </c>
      <c r="AH519" s="62" t="str">
        <f>_xlfn.XLOOKUP(Table26[[#This Row],[customerSKU]],customerSKU!G:G,customerSKU!K:K,"NA",0,1)</f>
        <v>NA</v>
      </c>
      <c r="AI519" s="43" t="str">
        <f>_xlfn.XLOOKUP(Table26[[#This Row],[customerSKU]],customerSKU!G:G,customerSKU!O:O,"not found",0,1)</f>
        <v>not found</v>
      </c>
      <c r="AJ519" s="53" t="e">
        <f>Table26[[#This Row],[unitprice]]*Table26[[#This Row],[quantity_unit]]</f>
        <v>#VALUE!</v>
      </c>
      <c r="AK519" s="227" t="e" cm="1">
        <f t="array" ref="AK5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520" spans="1:37" ht="18" customHeight="1">
      <c r="A520" s="42">
        <v>1707</v>
      </c>
      <c r="B520" s="58" t="s">
        <v>3520</v>
      </c>
      <c r="C520" s="53" t="s">
        <v>203</v>
      </c>
      <c r="D520" s="51">
        <v>45603</v>
      </c>
      <c r="E520" s="51"/>
      <c r="F520" s="53"/>
      <c r="G520" s="46"/>
      <c r="H520" s="53" t="s">
        <v>3803</v>
      </c>
      <c r="I520" s="53" t="s">
        <v>3818</v>
      </c>
      <c r="J520" s="53" t="s">
        <v>616</v>
      </c>
      <c r="K520" s="48">
        <v>45600</v>
      </c>
      <c r="L520" s="49" t="s">
        <v>201</v>
      </c>
      <c r="M520" s="53"/>
      <c r="N520" s="77" t="str">
        <f>Table26[[#This Row],[po_number]]&amp;"-"&amp;Table26[[#This Row],[po_line]]</f>
        <v>-8</v>
      </c>
      <c r="O520" s="77">
        <v>8</v>
      </c>
      <c r="P520" s="50"/>
      <c r="Q520" s="53" t="s">
        <v>3833</v>
      </c>
      <c r="R520" s="81" t="s">
        <v>3830</v>
      </c>
      <c r="S520" s="81" t="s">
        <v>78</v>
      </c>
      <c r="T520" s="20">
        <v>45560</v>
      </c>
      <c r="U520" s="52">
        <v>120</v>
      </c>
      <c r="V520" s="53">
        <v>12</v>
      </c>
      <c r="W520" s="116">
        <f t="shared" si="20"/>
        <v>10</v>
      </c>
      <c r="X520" s="53" t="str">
        <f t="shared" si="21"/>
        <v/>
      </c>
      <c r="Y520" s="53" t="str">
        <f>IF(Table26[[#This Row],[customerSKU]]="","",_xlfn.XLOOKUP(Table26[[#This Row],[customerSKU]],Table27[customer_SKU],Table27[product_GTIN],"",0,1))</f>
        <v/>
      </c>
      <c r="Z520" s="60" t="s">
        <v>3834</v>
      </c>
      <c r="AA520" s="18" t="str" cm="1">
        <f t="array" ref="AA520">IF(P520="", "", _xlfn.XLOOKUP(P520,#REF!,#REF!,NA,0,-1))</f>
        <v/>
      </c>
      <c r="AB520" s="53"/>
      <c r="AC520" s="55" t="s">
        <v>31</v>
      </c>
      <c r="AD520" s="55" t="str">
        <f>IF($AC520="","",_xlfn.XLOOKUP($AC520,'[2]Client Info'!$C$2:$C$2535,'[2]Client Info'!$D$2:$D$2535))</f>
        <v>Unit C 409 McDonald Street</v>
      </c>
      <c r="AE520" s="55" t="str">
        <f>IF($AC520="","",_xlfn.XLOOKUP($AC520,'[2]Client Info'!$C$2:$C$2715,'[2]Client Info'!$E$2:$E$2715))</f>
        <v>Regina</v>
      </c>
      <c r="AF520" s="55" t="str">
        <f>IF($AC520="","",_xlfn.XLOOKUP($AC520,'[2]Client Info'!$C$2:$C$2715,'[2]Client Info'!$F$2:$F$2715))</f>
        <v>SK</v>
      </c>
      <c r="AG520" s="55" t="s">
        <v>31</v>
      </c>
      <c r="AH520" s="62" t="str">
        <f>_xlfn.XLOOKUP(Table26[[#This Row],[customerSKU]],customerSKU!G:G,customerSKU!K:K,"NA",0,1)</f>
        <v>NA</v>
      </c>
      <c r="AI520" s="43" t="str">
        <f>_xlfn.XLOOKUP(Table26[[#This Row],[customerSKU]],customerSKU!G:G,customerSKU!O:O,"not found",0,1)</f>
        <v>not found</v>
      </c>
      <c r="AJ520" s="53" t="e">
        <f>Table26[[#This Row],[unitprice]]*Table26[[#This Row],[quantity_unit]]</f>
        <v>#VALUE!</v>
      </c>
      <c r="AK520" s="227" t="e" cm="1">
        <f t="array" ref="AK5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521" spans="1:37" ht="18" customHeight="1">
      <c r="A521" s="42">
        <v>1708</v>
      </c>
      <c r="B521" s="58" t="s">
        <v>3520</v>
      </c>
      <c r="C521" s="53" t="s">
        <v>203</v>
      </c>
      <c r="D521" s="51">
        <v>45603</v>
      </c>
      <c r="E521" s="51"/>
      <c r="F521" s="53"/>
      <c r="G521" s="46"/>
      <c r="H521" s="53" t="s">
        <v>3803</v>
      </c>
      <c r="I521" s="53" t="s">
        <v>3818</v>
      </c>
      <c r="J521" s="53" t="s">
        <v>616</v>
      </c>
      <c r="K521" s="48">
        <v>45600</v>
      </c>
      <c r="L521" s="49" t="s">
        <v>201</v>
      </c>
      <c r="M521" s="53"/>
      <c r="N521" s="77" t="str">
        <f>Table26[[#This Row],[po_number]]&amp;"-"&amp;Table26[[#This Row],[po_line]]</f>
        <v>-9</v>
      </c>
      <c r="O521" s="77">
        <v>9</v>
      </c>
      <c r="P521" s="50"/>
      <c r="Q521" s="81" t="s">
        <v>2100</v>
      </c>
      <c r="R521" s="81" t="s">
        <v>3830</v>
      </c>
      <c r="S521" s="81" t="s">
        <v>78</v>
      </c>
      <c r="T521" s="20">
        <v>45560</v>
      </c>
      <c r="U521" s="52">
        <v>120</v>
      </c>
      <c r="V521" s="53">
        <v>12</v>
      </c>
      <c r="W521" s="116">
        <f t="shared" si="20"/>
        <v>10</v>
      </c>
      <c r="X521" s="53" t="str">
        <f t="shared" si="21"/>
        <v/>
      </c>
      <c r="Y521" s="53" t="str">
        <f>IF(Table26[[#This Row],[customerSKU]]="","",_xlfn.XLOOKUP(Table26[[#This Row],[customerSKU]],Table27[customer_SKU],Table27[product_GTIN],"",0,1))</f>
        <v/>
      </c>
      <c r="Z521" s="60" t="s">
        <v>3835</v>
      </c>
      <c r="AA521" s="18" t="str" cm="1">
        <f t="array" ref="AA521">IF(P521="", "", _xlfn.XLOOKUP(P521,#REF!,#REF!,NA,0,-1))</f>
        <v/>
      </c>
      <c r="AB521" s="53"/>
      <c r="AC521" s="55" t="s">
        <v>31</v>
      </c>
      <c r="AD521" s="55" t="str">
        <f>IF($AC521="","",_xlfn.XLOOKUP($AC521,'[2]Client Info'!$C$2:$C$2535,'[2]Client Info'!$D$2:$D$2535))</f>
        <v>Unit C 409 McDonald Street</v>
      </c>
      <c r="AE521" s="55" t="str">
        <f>IF($AC521="","",_xlfn.XLOOKUP($AC521,'[2]Client Info'!$C$2:$C$2715,'[2]Client Info'!$E$2:$E$2715))</f>
        <v>Regina</v>
      </c>
      <c r="AF521" s="55" t="str">
        <f>IF($AC521="","",_xlfn.XLOOKUP($AC521,'[2]Client Info'!$C$2:$C$2715,'[2]Client Info'!$F$2:$F$2715))</f>
        <v>SK</v>
      </c>
      <c r="AG521" s="55" t="s">
        <v>31</v>
      </c>
      <c r="AH521" s="62">
        <f>2100/120</f>
        <v>17.5</v>
      </c>
      <c r="AI521" s="43" t="str">
        <f>_xlfn.XLOOKUP(Table26[[#This Row],[customerSKU]],customerSKU!G:G,customerSKU!O:O,"not found",0,1)</f>
        <v>not found</v>
      </c>
      <c r="AJ521" s="53">
        <f>Table26[[#This Row],[unitprice]]*Table26[[#This Row],[quantity_unit]]</f>
        <v>2100</v>
      </c>
      <c r="AK521" s="227" cm="1">
        <f t="array" ref="AK5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2205</v>
      </c>
    </row>
    <row r="522" spans="1:37" ht="18" customHeight="1">
      <c r="A522" s="42">
        <v>1709</v>
      </c>
      <c r="B522" s="58" t="s">
        <v>3520</v>
      </c>
      <c r="C522" s="53" t="s">
        <v>203</v>
      </c>
      <c r="D522" s="51">
        <v>45603</v>
      </c>
      <c r="E522" s="51"/>
      <c r="F522" s="53"/>
      <c r="G522" s="46"/>
      <c r="H522" s="53" t="s">
        <v>3803</v>
      </c>
      <c r="I522" s="53" t="s">
        <v>3818</v>
      </c>
      <c r="J522" s="53" t="s">
        <v>616</v>
      </c>
      <c r="K522" s="48">
        <v>45600</v>
      </c>
      <c r="L522" s="49" t="s">
        <v>201</v>
      </c>
      <c r="M522" s="53"/>
      <c r="N522" s="77" t="str">
        <f>Table26[[#This Row],[po_number]]&amp;"-"&amp;Table26[[#This Row],[po_line]]</f>
        <v>-10</v>
      </c>
      <c r="O522" s="77">
        <v>10</v>
      </c>
      <c r="P522" s="50"/>
      <c r="Q522" s="81" t="s">
        <v>2094</v>
      </c>
      <c r="R522" s="81" t="s">
        <v>3830</v>
      </c>
      <c r="S522" s="81" t="s">
        <v>78</v>
      </c>
      <c r="T522" s="20">
        <v>45560</v>
      </c>
      <c r="U522" s="52">
        <v>115</v>
      </c>
      <c r="V522" s="53">
        <v>12</v>
      </c>
      <c r="W522" s="116">
        <f t="shared" si="20"/>
        <v>9.5833333333333339</v>
      </c>
      <c r="X522" s="53" t="str">
        <f t="shared" si="21"/>
        <v/>
      </c>
      <c r="Y522" s="53" t="str">
        <f>IF(Table26[[#This Row],[customerSKU]]="","",_xlfn.XLOOKUP(Table26[[#This Row],[customerSKU]],Table27[customer_SKU],Table27[product_GTIN],"",0,1))</f>
        <v/>
      </c>
      <c r="Z522" s="60" t="s">
        <v>3836</v>
      </c>
      <c r="AA522" s="18" t="str" cm="1">
        <f t="array" ref="AA522">IF(P522="", "", _xlfn.XLOOKUP(P522,#REF!,#REF!,NA,0,-1))</f>
        <v/>
      </c>
      <c r="AB522" s="53"/>
      <c r="AC522" s="55" t="s">
        <v>31</v>
      </c>
      <c r="AD522" s="55" t="str">
        <f>IF($AC522="","",_xlfn.XLOOKUP($AC522,'[2]Client Info'!$C$2:$C$2535,'[2]Client Info'!$D$2:$D$2535))</f>
        <v>Unit C 409 McDonald Street</v>
      </c>
      <c r="AE522" s="55" t="str">
        <f>IF($AC522="","",_xlfn.XLOOKUP($AC522,'[2]Client Info'!$C$2:$C$2715,'[2]Client Info'!$E$2:$E$2715))</f>
        <v>Regina</v>
      </c>
      <c r="AF522" s="55" t="str">
        <f>IF($AC522="","",_xlfn.XLOOKUP($AC522,'[2]Client Info'!$C$2:$C$2715,'[2]Client Info'!$F$2:$F$2715))</f>
        <v>SK</v>
      </c>
      <c r="AG522" s="55" t="s">
        <v>31</v>
      </c>
      <c r="AH522" s="62">
        <f>2100/120</f>
        <v>17.5</v>
      </c>
      <c r="AI522" s="43" t="str">
        <f>_xlfn.XLOOKUP(Table26[[#This Row],[customerSKU]],customerSKU!G:G,customerSKU!O:O,"not found",0,1)</f>
        <v>not found</v>
      </c>
      <c r="AJ522" s="53">
        <f>Table26[[#This Row],[unitprice]]*Table26[[#This Row],[quantity_unit]]</f>
        <v>2012.5</v>
      </c>
      <c r="AK522" s="227" cm="1">
        <f t="array" ref="AK5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2113.125</v>
      </c>
    </row>
    <row r="523" spans="1:37" ht="18" customHeight="1">
      <c r="A523" s="42">
        <v>1710</v>
      </c>
      <c r="B523" s="58" t="s">
        <v>3520</v>
      </c>
      <c r="C523" s="53" t="s">
        <v>203</v>
      </c>
      <c r="D523" s="51">
        <v>45603</v>
      </c>
      <c r="E523" s="51"/>
      <c r="F523" s="53"/>
      <c r="G523" s="46"/>
      <c r="H523" s="53" t="s">
        <v>3803</v>
      </c>
      <c r="I523" s="53" t="s">
        <v>3818</v>
      </c>
      <c r="J523" s="53" t="s">
        <v>616</v>
      </c>
      <c r="K523" s="48">
        <v>45600</v>
      </c>
      <c r="L523" s="49" t="s">
        <v>201</v>
      </c>
      <c r="M523" s="53"/>
      <c r="N523" s="77" t="str">
        <f>Table26[[#This Row],[po_number]]&amp;"-"&amp;Table26[[#This Row],[po_line]]</f>
        <v>-11</v>
      </c>
      <c r="O523" s="77">
        <v>11</v>
      </c>
      <c r="P523" s="50"/>
      <c r="Q523" s="81" t="s">
        <v>2094</v>
      </c>
      <c r="R523" s="81" t="s">
        <v>3830</v>
      </c>
      <c r="S523" s="81" t="s">
        <v>78</v>
      </c>
      <c r="T523" s="20">
        <v>45555</v>
      </c>
      <c r="U523" s="52">
        <v>5</v>
      </c>
      <c r="V523" s="53">
        <v>12</v>
      </c>
      <c r="W523" s="116">
        <f t="shared" si="20"/>
        <v>0.41666666666666669</v>
      </c>
      <c r="X523" s="53" t="str">
        <f t="shared" si="21"/>
        <v/>
      </c>
      <c r="Y523" s="53" t="str">
        <f>IF(Table26[[#This Row],[customerSKU]]="","",_xlfn.XLOOKUP(Table26[[#This Row],[customerSKU]],Table27[customer_SKU],Table27[product_GTIN],"",0,1))</f>
        <v/>
      </c>
      <c r="Z523" s="60" t="s">
        <v>3836</v>
      </c>
      <c r="AA523" s="18" t="str" cm="1">
        <f t="array" ref="AA523">IF(P523="", "", _xlfn.XLOOKUP(P523,#REF!,#REF!,NA,0,-1))</f>
        <v/>
      </c>
      <c r="AB523" s="53"/>
      <c r="AC523" s="55" t="s">
        <v>31</v>
      </c>
      <c r="AD523" s="55" t="str">
        <f>IF($AC523="","",_xlfn.XLOOKUP($AC523,'[2]Client Info'!$C$2:$C$2535,'[2]Client Info'!$D$2:$D$2535))</f>
        <v>Unit C 409 McDonald Street</v>
      </c>
      <c r="AE523" s="55" t="str">
        <f>IF($AC523="","",_xlfn.XLOOKUP($AC523,'[2]Client Info'!$C$2:$C$2715,'[2]Client Info'!$E$2:$E$2715))</f>
        <v>Regina</v>
      </c>
      <c r="AF523" s="55" t="str">
        <f>IF($AC523="","",_xlfn.XLOOKUP($AC523,'[2]Client Info'!$C$2:$C$2715,'[2]Client Info'!$F$2:$F$2715))</f>
        <v>SK</v>
      </c>
      <c r="AG523" s="55" t="s">
        <v>31</v>
      </c>
      <c r="AH523" s="62">
        <f>2100/120</f>
        <v>17.5</v>
      </c>
      <c r="AI523" s="43" t="str">
        <f>_xlfn.XLOOKUP(Table26[[#This Row],[customerSKU]],customerSKU!G:G,customerSKU!O:O,"not found",0,1)</f>
        <v>not found</v>
      </c>
      <c r="AJ523" s="53">
        <f>Table26[[#This Row],[unitprice]]*Table26[[#This Row],[quantity_unit]]</f>
        <v>87.5</v>
      </c>
      <c r="AK523" s="227" cm="1">
        <f t="array" ref="AK5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91.875</v>
      </c>
    </row>
    <row r="524" spans="1:37" ht="18" customHeight="1">
      <c r="A524" s="42">
        <v>1711</v>
      </c>
      <c r="B524" s="58" t="s">
        <v>3520</v>
      </c>
      <c r="C524" s="53" t="s">
        <v>203</v>
      </c>
      <c r="D524" s="51" t="str">
        <f>IF(Table26[[#This Row],[customerSKU]]="","","null")</f>
        <v>null</v>
      </c>
      <c r="E524" s="51"/>
      <c r="F52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4" s="46"/>
      <c r="H524" s="53"/>
      <c r="I524" s="53" t="s">
        <v>3818</v>
      </c>
      <c r="J524" s="53" t="str">
        <f>IF(Table26[[#This Row],[customerSKU]]="","",_xlfn.XLOOKUP(Table26[[#This Row],[customerSKU]],customerSKU!G:G,customerSKU!A:A,"",0,1))</f>
        <v/>
      </c>
      <c r="K524" s="48">
        <v>45600</v>
      </c>
      <c r="L524" s="49" t="str">
        <f>IF(Table26[[#This Row],[customerSKU]]="","",_xlfn.XLOOKUP(Table26[[#This Row],[customerSKU]],customerSKU!G:G,customerSKU!B:B,"",0,1))</f>
        <v/>
      </c>
      <c r="M524" s="53"/>
      <c r="N524" s="77" t="str">
        <f>Table26[[#This Row],[po_number]]&amp;"-"&amp;Table26[[#This Row],[po_line]]</f>
        <v>-1</v>
      </c>
      <c r="O524" s="77">
        <v>1</v>
      </c>
      <c r="P524" s="50"/>
      <c r="Q524" s="53" t="s">
        <v>3847</v>
      </c>
      <c r="R524" s="53" t="s">
        <v>569</v>
      </c>
      <c r="S524" s="53" t="str">
        <f>IF(Table26[[#This Row],[customerSKU]]="","",_xlfn.XLOOKUP(Table26[[#This Row],[customerSKU]],customerSKU!G:G,customerSKU!N:N,"NOT FOUND",0,1))</f>
        <v>NOT FOUND</v>
      </c>
      <c r="T524" s="20">
        <v>45569</v>
      </c>
      <c r="U524" s="52">
        <v>12</v>
      </c>
      <c r="V524" s="53" t="str">
        <f>IF(ISBLANK(Table26[[#This Row],[customerSKU]]),"",_xlfn.XLOOKUP(Table26[[#This Row],[customerSKU]],Table27[customer_SKU],Table27[case_size],"",0,1))</f>
        <v/>
      </c>
      <c r="W524" s="116" t="str">
        <f t="shared" si="20"/>
        <v/>
      </c>
      <c r="X524" s="53" t="str">
        <f t="shared" si="21"/>
        <v/>
      </c>
      <c r="Y524" s="53" t="str">
        <f>IF(Table26[[#This Row],[customerSKU]]="","",_xlfn.XLOOKUP(Table26[[#This Row],[customerSKU]],Table27[customer_SKU],Table27[product_GTIN],"",0,1))</f>
        <v/>
      </c>
      <c r="Z524" s="60">
        <v>61619</v>
      </c>
      <c r="AA524" s="18" t="str" cm="1">
        <f t="array" ref="AA524">IF(P524="", "", _xlfn.XLOOKUP(P524,#REF!,#REF!,NA,0,-1))</f>
        <v/>
      </c>
      <c r="AB524" s="53"/>
      <c r="AC524" s="55" t="s">
        <v>3848</v>
      </c>
      <c r="AD524" s="55" t="str">
        <f>IF($AC524="","",_xlfn.XLOOKUP($AC524,'[2]Client Info'!$C$2:$C$2535,'[2]Client Info'!$D$2:$D$2535,"",0,1))</f>
        <v>LOT 8&amp;9 (LOT40/42) MAIN ST</v>
      </c>
      <c r="AE524" s="55" t="str">
        <f>IF($AC524="","",_xlfn.XLOOKUP($AC524,'[2]Client Info'!$C$2:$C$2715,'[2]Client Info'!$E$2:$E$2715,"",))</f>
        <v>HODGSON</v>
      </c>
      <c r="AF524" s="55" t="str">
        <f>IF($AC524="","",_xlfn.XLOOKUP($AC524,'[2]Client Info'!$C$2:$C$2715,'[2]Client Info'!$F$2:$F$2715,"",0,1))</f>
        <v>MB</v>
      </c>
      <c r="AG524" s="55" t="str">
        <f>IF(ISBLANK(Table26[[#This Row],[customerSKU]]),"",_xlfn.XLOOKUP(Table26[[#This Row],[customerSKU]],Table27[customer_SKU],Table27[billto],"",0,1))</f>
        <v/>
      </c>
      <c r="AH524" s="62" t="str">
        <f>_xlfn.XLOOKUP(Table26[[#This Row],[customerSKU]],customerSKU!G:G,customerSKU!K:K,"NA",0,1)</f>
        <v>NA</v>
      </c>
      <c r="AI524" s="43" t="str">
        <f>_xlfn.XLOOKUP(Table26[[#This Row],[customerSKU]],customerSKU!G:G,customerSKU!O:O,"not found",0,1)</f>
        <v>not found</v>
      </c>
      <c r="AJ524" s="53" t="e">
        <f>Table26[[#This Row],[unitprice]]*Table26[[#This Row],[quantity_unit]]</f>
        <v>#VALUE!</v>
      </c>
      <c r="AK524" s="53" t="e" cm="1">
        <f t="array" ref="AK5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25" spans="1:37" ht="18" customHeight="1">
      <c r="A525" s="42">
        <v>1712</v>
      </c>
      <c r="B525" s="58" t="s">
        <v>3520</v>
      </c>
      <c r="C525" s="53" t="s">
        <v>203</v>
      </c>
      <c r="D525" s="51" t="str">
        <f>IF(Table26[[#This Row],[customerSKU]]="","","null")</f>
        <v>null</v>
      </c>
      <c r="E525" s="51"/>
      <c r="F52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5" s="46"/>
      <c r="H525" s="53"/>
      <c r="I525" s="53" t="s">
        <v>3818</v>
      </c>
      <c r="J525" s="53" t="str">
        <f>IF(Table26[[#This Row],[customerSKU]]="","",_xlfn.XLOOKUP(Table26[[#This Row],[customerSKU]],customerSKU!G:G,customerSKU!A:A,"",0,1))</f>
        <v/>
      </c>
      <c r="K525" s="48">
        <v>45600</v>
      </c>
      <c r="L525" s="49" t="str">
        <f>IF(Table26[[#This Row],[customerSKU]]="","",_xlfn.XLOOKUP(Table26[[#This Row],[customerSKU]],customerSKU!G:G,customerSKU!B:B,"",0,1))</f>
        <v/>
      </c>
      <c r="M525" s="53"/>
      <c r="N525" s="77" t="str">
        <f>Table26[[#This Row],[po_number]]&amp;"-"&amp;Table26[[#This Row],[po_line]]</f>
        <v>-2</v>
      </c>
      <c r="O525" s="77">
        <v>2</v>
      </c>
      <c r="P525" s="50"/>
      <c r="Q525" s="53" t="s">
        <v>3545</v>
      </c>
      <c r="R525" s="53" t="s">
        <v>3419</v>
      </c>
      <c r="S525" s="53" t="str">
        <f>IF(Table26[[#This Row],[customerSKU]]="","",_xlfn.XLOOKUP(Table26[[#This Row],[customerSKU]],customerSKU!G:G,customerSKU!N:N,"NOT FOUND",0,1))</f>
        <v>NOT FOUND</v>
      </c>
      <c r="T525" s="20">
        <v>45596</v>
      </c>
      <c r="U525" s="52">
        <v>12</v>
      </c>
      <c r="V525" s="53" t="str">
        <f>IF(ISBLANK(Table26[[#This Row],[customerSKU]]),"",_xlfn.XLOOKUP(Table26[[#This Row],[customerSKU]],Table27[customer_SKU],Table27[case_size],"",0,1))</f>
        <v/>
      </c>
      <c r="W525" s="116" t="str">
        <f t="shared" si="20"/>
        <v/>
      </c>
      <c r="X525" s="53" t="str">
        <f t="shared" si="21"/>
        <v/>
      </c>
      <c r="Y525" s="53" t="str">
        <f>IF(Table26[[#This Row],[customerSKU]]="","",_xlfn.XLOOKUP(Table26[[#This Row],[customerSKU]],Table27[customer_SKU],Table27[product_GTIN],"",0,1))</f>
        <v/>
      </c>
      <c r="Z525" s="25" t="s">
        <v>3543</v>
      </c>
      <c r="AA525" s="18" t="str" cm="1">
        <f t="array" ref="AA525">IF(P525="", "", _xlfn.XLOOKUP(P525,#REF!,#REF!,NA,0,-1))</f>
        <v/>
      </c>
      <c r="AB525" s="53"/>
      <c r="AC525" s="55" t="s">
        <v>3848</v>
      </c>
      <c r="AD525" s="55" t="str">
        <f>IF($AC525="","",_xlfn.XLOOKUP($AC525,'[2]Client Info'!$C$2:$C$2535,'[2]Client Info'!$D$2:$D$2535,"",0,1))</f>
        <v>LOT 8&amp;9 (LOT40/42) MAIN ST</v>
      </c>
      <c r="AE525" s="55" t="str">
        <f>IF($AC525="","",_xlfn.XLOOKUP($AC525,'[2]Client Info'!$C$2:$C$2715,'[2]Client Info'!$E$2:$E$2715,"",))</f>
        <v>HODGSON</v>
      </c>
      <c r="AF525" s="55" t="str">
        <f>IF($AC525="","",_xlfn.XLOOKUP($AC525,'[2]Client Info'!$C$2:$C$2715,'[2]Client Info'!$F$2:$F$2715,"",0,1))</f>
        <v>MB</v>
      </c>
      <c r="AG525" s="55" t="str">
        <f>IF(ISBLANK(Table26[[#This Row],[customerSKU]]),"",_xlfn.XLOOKUP(Table26[[#This Row],[customerSKU]],Table27[customer_SKU],Table27[billto],"",0,1))</f>
        <v/>
      </c>
      <c r="AH525" s="62" t="str">
        <f>_xlfn.XLOOKUP(Table26[[#This Row],[customerSKU]],customerSKU!G:G,customerSKU!K:K,"NA",0,1)</f>
        <v>NA</v>
      </c>
      <c r="AI525" s="43" t="str">
        <f>_xlfn.XLOOKUP(Table26[[#This Row],[customerSKU]],customerSKU!G:G,customerSKU!O:O,"not found",0,1)</f>
        <v>not found</v>
      </c>
      <c r="AJ525" s="53" t="e">
        <f>Table26[[#This Row],[unitprice]]*Table26[[#This Row],[quantity_unit]]</f>
        <v>#VALUE!</v>
      </c>
      <c r="AK525" s="53" t="e" cm="1">
        <f t="array" ref="AK5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26" spans="1:37" ht="18" customHeight="1">
      <c r="A526" s="42">
        <v>1713</v>
      </c>
      <c r="B526" s="58" t="s">
        <v>3520</v>
      </c>
      <c r="C526" s="53" t="s">
        <v>203</v>
      </c>
      <c r="D526" s="51" t="str">
        <f>IF(Table26[[#This Row],[customerSKU]]="","","null")</f>
        <v>null</v>
      </c>
      <c r="E526" s="51"/>
      <c r="F52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6" s="46"/>
      <c r="H526" s="53"/>
      <c r="I526" s="53" t="s">
        <v>3818</v>
      </c>
      <c r="J526" s="53" t="str">
        <f>IF(Table26[[#This Row],[customerSKU]]="","",_xlfn.XLOOKUP(Table26[[#This Row],[customerSKU]],customerSKU!G:G,customerSKU!A:A,"",0,1))</f>
        <v/>
      </c>
      <c r="K526" s="48">
        <v>45600</v>
      </c>
      <c r="L526" s="49" t="str">
        <f>IF(Table26[[#This Row],[customerSKU]]="","",_xlfn.XLOOKUP(Table26[[#This Row],[customerSKU]],customerSKU!G:G,customerSKU!B:B,"",0,1))</f>
        <v/>
      </c>
      <c r="M526" s="53"/>
      <c r="N526" s="77" t="str">
        <f>Table26[[#This Row],[po_number]]&amp;"-"&amp;Table26[[#This Row],[po_line]]</f>
        <v>-3</v>
      </c>
      <c r="O526" s="77">
        <v>3</v>
      </c>
      <c r="P526" s="50"/>
      <c r="Q526" s="53" t="s">
        <v>1376</v>
      </c>
      <c r="R526" s="53" t="s">
        <v>569</v>
      </c>
      <c r="S526" s="53" t="str">
        <f>IF(Table26[[#This Row],[customerSKU]]="","",_xlfn.XLOOKUP(Table26[[#This Row],[customerSKU]],customerSKU!G:G,customerSKU!N:N,"NOT FOUND",0,1))</f>
        <v>NOT FOUND</v>
      </c>
      <c r="T526" s="20">
        <v>45588</v>
      </c>
      <c r="U526" s="52">
        <v>12</v>
      </c>
      <c r="V526" s="53" t="str">
        <f>IF(ISBLANK(Table26[[#This Row],[customerSKU]]),"",_xlfn.XLOOKUP(Table26[[#This Row],[customerSKU]],Table27[customer_SKU],Table27[case_size],"",0,1))</f>
        <v/>
      </c>
      <c r="W526" s="116" t="str">
        <f t="shared" si="20"/>
        <v/>
      </c>
      <c r="X526" s="53" t="str">
        <f t="shared" si="21"/>
        <v/>
      </c>
      <c r="Y526" s="53" t="str">
        <f>IF(Table26[[#This Row],[customerSKU]]="","",_xlfn.XLOOKUP(Table26[[#This Row],[customerSKU]],Table27[customer_SKU],Table27[product_GTIN],"",0,1))</f>
        <v/>
      </c>
      <c r="Z526" s="25" t="s">
        <v>3455</v>
      </c>
      <c r="AA526" s="18" t="str" cm="1">
        <f t="array" ref="AA526">IF(P526="", "", _xlfn.XLOOKUP(P526,#REF!,#REF!,NA,0,-1))</f>
        <v/>
      </c>
      <c r="AB526" s="53"/>
      <c r="AC526" s="55" t="s">
        <v>3848</v>
      </c>
      <c r="AD526" s="55" t="str">
        <f>IF($AC526="","",_xlfn.XLOOKUP($AC526,'[2]Client Info'!$C$2:$C$2535,'[2]Client Info'!$D$2:$D$2535,"",0,1))</f>
        <v>LOT 8&amp;9 (LOT40/42) MAIN ST</v>
      </c>
      <c r="AE526" s="55" t="str">
        <f>IF($AC526="","",_xlfn.XLOOKUP($AC526,'[2]Client Info'!$C$2:$C$2715,'[2]Client Info'!$E$2:$E$2715,"",))</f>
        <v>HODGSON</v>
      </c>
      <c r="AF526" s="55" t="str">
        <f>IF($AC526="","",_xlfn.XLOOKUP($AC526,'[2]Client Info'!$C$2:$C$2715,'[2]Client Info'!$F$2:$F$2715,"",0,1))</f>
        <v>MB</v>
      </c>
      <c r="AG526" s="55" t="str">
        <f>IF(ISBLANK(Table26[[#This Row],[customerSKU]]),"",_xlfn.XLOOKUP(Table26[[#This Row],[customerSKU]],Table27[customer_SKU],Table27[billto],"",0,1))</f>
        <v/>
      </c>
      <c r="AH526" s="62" t="str">
        <f>_xlfn.XLOOKUP(Table26[[#This Row],[customerSKU]],customerSKU!G:G,customerSKU!K:K,"NA",0,1)</f>
        <v>NA</v>
      </c>
      <c r="AI526" s="43" t="str">
        <f>_xlfn.XLOOKUP(Table26[[#This Row],[customerSKU]],customerSKU!G:G,customerSKU!O:O,"not found",0,1)</f>
        <v>not found</v>
      </c>
      <c r="AJ526" s="53" t="e">
        <f>Table26[[#This Row],[unitprice]]*Table26[[#This Row],[quantity_unit]]</f>
        <v>#VALUE!</v>
      </c>
      <c r="AK526" s="53" t="e" cm="1">
        <f t="array" ref="AK5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27" spans="1:37" ht="18" customHeight="1">
      <c r="A527" s="42">
        <v>1714</v>
      </c>
      <c r="B527" s="58" t="s">
        <v>3520</v>
      </c>
      <c r="C527" s="53" t="s">
        <v>203</v>
      </c>
      <c r="D527" s="51" t="str">
        <f>IF(Table26[[#This Row],[customerSKU]]="","","null")</f>
        <v>null</v>
      </c>
      <c r="E527" s="51"/>
      <c r="F52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7" s="46"/>
      <c r="H527" s="53"/>
      <c r="I527" s="53" t="s">
        <v>3818</v>
      </c>
      <c r="J527" s="53" t="str">
        <f>IF(Table26[[#This Row],[customerSKU]]="","",_xlfn.XLOOKUP(Table26[[#This Row],[customerSKU]],customerSKU!G:G,customerSKU!A:A,"",0,1))</f>
        <v/>
      </c>
      <c r="K527" s="48">
        <v>45600</v>
      </c>
      <c r="L527" s="49" t="str">
        <f>IF(Table26[[#This Row],[customerSKU]]="","",_xlfn.XLOOKUP(Table26[[#This Row],[customerSKU]],customerSKU!G:G,customerSKU!B:B,"",0,1))</f>
        <v/>
      </c>
      <c r="M527" s="53"/>
      <c r="N527" s="77" t="str">
        <f>Table26[[#This Row],[po_number]]&amp;"-"&amp;Table26[[#This Row],[po_line]]</f>
        <v>-1</v>
      </c>
      <c r="O527" s="77">
        <v>1</v>
      </c>
      <c r="P527" s="50"/>
      <c r="Q527" s="53" t="s">
        <v>3545</v>
      </c>
      <c r="R527" s="53" t="s">
        <v>3419</v>
      </c>
      <c r="S527" s="53" t="str">
        <f>IF(Table26[[#This Row],[customerSKU]]="","",_xlfn.XLOOKUP(Table26[[#This Row],[customerSKU]],customerSKU!G:G,customerSKU!N:N,"NOT FOUND",0,1))</f>
        <v>NOT FOUND</v>
      </c>
      <c r="T527" s="20">
        <v>45596</v>
      </c>
      <c r="U527" s="52">
        <v>12</v>
      </c>
      <c r="V527" s="53" t="str">
        <f>IF(ISBLANK(Table26[[#This Row],[customerSKU]]),"",_xlfn.XLOOKUP(Table26[[#This Row],[customerSKU]],Table27[customer_SKU],Table27[case_size],"",0,1))</f>
        <v/>
      </c>
      <c r="W527" s="116" t="str">
        <f t="shared" si="20"/>
        <v/>
      </c>
      <c r="X527" s="53" t="str">
        <f t="shared" si="21"/>
        <v/>
      </c>
      <c r="Y527" s="53" t="str">
        <f>IF(Table26[[#This Row],[customerSKU]]="","",_xlfn.XLOOKUP(Table26[[#This Row],[customerSKU]],Table27[customer_SKU],Table27[product_GTIN],"",0,1))</f>
        <v/>
      </c>
      <c r="Z527" s="25" t="s">
        <v>3543</v>
      </c>
      <c r="AA527" s="18" t="str" cm="1">
        <f t="array" ref="AA527">IF(P527="", "", _xlfn.XLOOKUP(P527,#REF!,#REF!,NA,0,-1))</f>
        <v/>
      </c>
      <c r="AB527" s="53"/>
      <c r="AC527" s="55" t="s">
        <v>131</v>
      </c>
      <c r="AD527" s="55" t="str">
        <f>IF($AC527="","",_xlfn.XLOOKUP($AC527,'[2]Client Info'!$C$2:$C$2535,'[2]Client Info'!$D$2:$D$2535,"",0,1))</f>
        <v>UNIT A-195 LA VERENDRYE BLVD</v>
      </c>
      <c r="AE527" s="55" t="str">
        <f>IF($AC527="","",_xlfn.XLOOKUP($AC527,'[2]Client Info'!$C$2:$C$2715,'[2]Client Info'!$E$2:$E$2715,"",))</f>
        <v>MORDEN</v>
      </c>
      <c r="AF527" s="55" t="str">
        <f>IF($AC527="","",_xlfn.XLOOKUP($AC527,'[2]Client Info'!$C$2:$C$2715,'[2]Client Info'!$F$2:$F$2715,"",0,1))</f>
        <v>MB</v>
      </c>
      <c r="AG527" s="55" t="str">
        <f>IF(ISBLANK(Table26[[#This Row],[customerSKU]]),"",_xlfn.XLOOKUP(Table26[[#This Row],[customerSKU]],Table27[customer_SKU],Table27[billto],"",0,1))</f>
        <v/>
      </c>
      <c r="AH527" s="62" t="str">
        <f>_xlfn.XLOOKUP(Table26[[#This Row],[customerSKU]],customerSKU!G:G,customerSKU!K:K,"NA",0,1)</f>
        <v>NA</v>
      </c>
      <c r="AI527" s="43" t="str">
        <f>_xlfn.XLOOKUP(Table26[[#This Row],[customerSKU]],customerSKU!G:G,customerSKU!O:O,"not found",0,1)</f>
        <v>not found</v>
      </c>
      <c r="AJ527" s="53" t="e">
        <f>Table26[[#This Row],[unitprice]]*Table26[[#This Row],[quantity_unit]]</f>
        <v>#VALUE!</v>
      </c>
      <c r="AK527" s="53" t="e" cm="1">
        <f t="array" ref="AK5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28" spans="1:37" ht="18" customHeight="1">
      <c r="A528" s="42">
        <v>1715</v>
      </c>
      <c r="B528" s="58" t="s">
        <v>3520</v>
      </c>
      <c r="C528" s="53" t="s">
        <v>203</v>
      </c>
      <c r="D528" s="51" t="str">
        <f>IF(Table26[[#This Row],[customerSKU]]="","","null")</f>
        <v>null</v>
      </c>
      <c r="E528" s="51"/>
      <c r="F52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8" s="46"/>
      <c r="H528" s="53"/>
      <c r="I528" s="53" t="s">
        <v>3818</v>
      </c>
      <c r="J528" s="53" t="str">
        <f>IF(Table26[[#This Row],[customerSKU]]="","",_xlfn.XLOOKUP(Table26[[#This Row],[customerSKU]],customerSKU!G:G,customerSKU!A:A,"",0,1))</f>
        <v/>
      </c>
      <c r="K528" s="48">
        <v>45600</v>
      </c>
      <c r="L528" s="49" t="str">
        <f>IF(Table26[[#This Row],[customerSKU]]="","",_xlfn.XLOOKUP(Table26[[#This Row],[customerSKU]],customerSKU!G:G,customerSKU!B:B,"",0,1))</f>
        <v/>
      </c>
      <c r="M528" s="53"/>
      <c r="N528" s="77" t="str">
        <f>Table26[[#This Row],[po_number]]&amp;"-"&amp;Table26[[#This Row],[po_line]]</f>
        <v>-2</v>
      </c>
      <c r="O528" s="77">
        <v>2</v>
      </c>
      <c r="P528" s="50"/>
      <c r="Q528" s="53" t="s">
        <v>1376</v>
      </c>
      <c r="R528" s="53" t="s">
        <v>569</v>
      </c>
      <c r="S528" s="53" t="str">
        <f>IF(Table26[[#This Row],[customerSKU]]="","",_xlfn.XLOOKUP(Table26[[#This Row],[customerSKU]],customerSKU!G:G,customerSKU!N:N,"NOT FOUND",0,1))</f>
        <v>NOT FOUND</v>
      </c>
      <c r="T528" s="20">
        <v>45588</v>
      </c>
      <c r="U528" s="52">
        <v>12</v>
      </c>
      <c r="V528" s="53" t="str">
        <f>IF(ISBLANK(Table26[[#This Row],[customerSKU]]),"",_xlfn.XLOOKUP(Table26[[#This Row],[customerSKU]],Table27[customer_SKU],Table27[case_size],"",0,1))</f>
        <v/>
      </c>
      <c r="W528" s="116" t="str">
        <f t="shared" si="20"/>
        <v/>
      </c>
      <c r="X528" s="53" t="str">
        <f t="shared" si="21"/>
        <v/>
      </c>
      <c r="Y528" s="53" t="str">
        <f>IF(Table26[[#This Row],[customerSKU]]="","",_xlfn.XLOOKUP(Table26[[#This Row],[customerSKU]],Table27[customer_SKU],Table27[product_GTIN],"",0,1))</f>
        <v/>
      </c>
      <c r="Z528" s="25" t="s">
        <v>3455</v>
      </c>
      <c r="AA528" s="18" t="str" cm="1">
        <f t="array" ref="AA528">IF(P528="", "", _xlfn.XLOOKUP(P528,#REF!,#REF!,NA,0,-1))</f>
        <v/>
      </c>
      <c r="AB528" s="53"/>
      <c r="AC528" s="55" t="s">
        <v>131</v>
      </c>
      <c r="AD528" s="55" t="str">
        <f>IF($AC528="","",_xlfn.XLOOKUP($AC528,'[2]Client Info'!$C$2:$C$2535,'[2]Client Info'!$D$2:$D$2535,"",0,1))</f>
        <v>UNIT A-195 LA VERENDRYE BLVD</v>
      </c>
      <c r="AE528" s="55" t="str">
        <f>IF($AC528="","",_xlfn.XLOOKUP($AC528,'[2]Client Info'!$C$2:$C$2715,'[2]Client Info'!$E$2:$E$2715,"",))</f>
        <v>MORDEN</v>
      </c>
      <c r="AF528" s="55" t="str">
        <f>IF($AC528="","",_xlfn.XLOOKUP($AC528,'[2]Client Info'!$C$2:$C$2715,'[2]Client Info'!$F$2:$F$2715,"",0,1))</f>
        <v>MB</v>
      </c>
      <c r="AG528" s="55" t="str">
        <f>IF(ISBLANK(Table26[[#This Row],[customerSKU]]),"",_xlfn.XLOOKUP(Table26[[#This Row],[customerSKU]],Table27[customer_SKU],Table27[billto],"",0,1))</f>
        <v/>
      </c>
      <c r="AH528" s="62" t="str">
        <f>_xlfn.XLOOKUP(Table26[[#This Row],[customerSKU]],customerSKU!G:G,customerSKU!K:K,"NA",0,1)</f>
        <v>NA</v>
      </c>
      <c r="AI528" s="43" t="str">
        <f>_xlfn.XLOOKUP(Table26[[#This Row],[customerSKU]],customerSKU!G:G,customerSKU!O:O,"not found",0,1)</f>
        <v>not found</v>
      </c>
      <c r="AJ528" s="53" t="e">
        <f>Table26[[#This Row],[unitprice]]*Table26[[#This Row],[quantity_unit]]</f>
        <v>#VALUE!</v>
      </c>
      <c r="AK528" s="53" t="e" cm="1">
        <f t="array" ref="AK5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29" spans="1:37" ht="24.6" customHeight="1">
      <c r="A529" s="42">
        <v>1716</v>
      </c>
      <c r="B529" s="58" t="s">
        <v>3520</v>
      </c>
      <c r="C529" s="53" t="s">
        <v>3360</v>
      </c>
      <c r="D529" s="51" t="str">
        <f>IF(Table26[[#This Row],[customerSKU]]="","","null")</f>
        <v>null</v>
      </c>
      <c r="E529" s="51"/>
      <c r="F52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29" s="46"/>
      <c r="H529" s="53"/>
      <c r="I529" s="53" t="s">
        <v>3862</v>
      </c>
      <c r="J529" s="53" t="s">
        <v>3811</v>
      </c>
      <c r="K529" s="48">
        <v>45600</v>
      </c>
      <c r="L529" s="49" t="str">
        <f>IF(Table26[[#This Row],[customerSKU]]="","",_xlfn.XLOOKUP(Table26[[#This Row],[customerSKU]],customerSKU!G:G,customerSKU!B:B,"",0,1))</f>
        <v/>
      </c>
      <c r="M529" s="53"/>
      <c r="N529" s="77" t="str">
        <f>Table26[[#This Row],[po_number]]&amp;"-"&amp;Table26[[#This Row],[po_line]]</f>
        <v>-1</v>
      </c>
      <c r="O529" s="77">
        <v>1</v>
      </c>
      <c r="P529" s="50"/>
      <c r="Q529" s="53" t="s">
        <v>1376</v>
      </c>
      <c r="R529" s="53" t="s">
        <v>569</v>
      </c>
      <c r="S529" s="53" t="str">
        <f>IF(Table26[[#This Row],[customerSKU]]="","",_xlfn.XLOOKUP(Table26[[#This Row],[customerSKU]],customerSKU!G:G,customerSKU!N:N,"NOT FOUND",0,1))</f>
        <v>NOT FOUND</v>
      </c>
      <c r="T529" s="20">
        <v>45588</v>
      </c>
      <c r="U529" s="52">
        <v>12</v>
      </c>
      <c r="V529" s="53" t="str">
        <f>IF(ISBLANK(Table26[[#This Row],[customerSKU]]),"",_xlfn.XLOOKUP(Table26[[#This Row],[customerSKU]],Table27[customer_SKU],Table27[case_size],"",0,1))</f>
        <v/>
      </c>
      <c r="W529" s="116" t="str">
        <f t="shared" si="20"/>
        <v/>
      </c>
      <c r="X529" s="53" t="str">
        <f t="shared" si="21"/>
        <v/>
      </c>
      <c r="Y529" s="53" t="str">
        <f>IF(Table26[[#This Row],[customerSKU]]="","",_xlfn.XLOOKUP(Table26[[#This Row],[customerSKU]],Table27[customer_SKU],Table27[product_GTIN],"",0,1))</f>
        <v/>
      </c>
      <c r="Z529" s="25" t="s">
        <v>3455</v>
      </c>
      <c r="AA529" s="18" t="str" cm="1">
        <f t="array" ref="AA529">IF(P529="", "", _xlfn.XLOOKUP(P529,#REF!,#REF!,NA,0,-1))</f>
        <v/>
      </c>
      <c r="AB529" s="53"/>
      <c r="AC529" s="55" t="s">
        <v>130</v>
      </c>
      <c r="AD529" s="55" t="str">
        <f>IF($AC529="","",_xlfn.XLOOKUP($AC529,'[2]Client Info'!$C$2:$C$2535,'[2]Client Info'!$D$2:$D$2535,"",0,1))</f>
        <v>543 Broadway Ave</v>
      </c>
      <c r="AE529" s="55" t="str">
        <f>IF($AC529="","",_xlfn.XLOOKUP($AC529,'[2]Client Info'!$C$2:$C$2715,'[2]Client Info'!$E$2:$E$2715,"",))</f>
        <v>KILLARY</v>
      </c>
      <c r="AF529" s="55" t="str">
        <f>IF($AC529="","",_xlfn.XLOOKUP($AC529,'[2]Client Info'!$C$2:$C$2715,'[2]Client Info'!$F$2:$F$2715,"",0,1))</f>
        <v>MB</v>
      </c>
      <c r="AG529" s="55" t="str">
        <f>IF(ISBLANK(Table26[[#This Row],[customerSKU]]),"",_xlfn.XLOOKUP(Table26[[#This Row],[customerSKU]],Table27[customer_SKU],Table27[billto],"",0,1))</f>
        <v/>
      </c>
      <c r="AH529" s="62" t="str">
        <f>_xlfn.XLOOKUP(Table26[[#This Row],[customerSKU]],customerSKU!G:G,customerSKU!K:K,"NA",0,1)</f>
        <v>NA</v>
      </c>
      <c r="AI529" s="43" t="str">
        <f>_xlfn.XLOOKUP(Table26[[#This Row],[customerSKU]],customerSKU!G:G,customerSKU!O:O,"not found",0,1)</f>
        <v>not found</v>
      </c>
      <c r="AJ529" s="53" t="e">
        <f>Table26[[#This Row],[unitprice]]*Table26[[#This Row],[quantity_unit]]</f>
        <v>#VALUE!</v>
      </c>
      <c r="AK529" s="53" t="e" cm="1">
        <f t="array" ref="AK5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0" spans="1:37" ht="24.6" customHeight="1">
      <c r="A530" s="42">
        <v>1717</v>
      </c>
      <c r="B530" s="58" t="s">
        <v>3520</v>
      </c>
      <c r="C530" s="53" t="s">
        <v>3360</v>
      </c>
      <c r="D530" s="51" t="str">
        <f>IF(Table26[[#This Row],[customerSKU]]="","","null")</f>
        <v>null</v>
      </c>
      <c r="E530" s="51"/>
      <c r="F53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0" s="46"/>
      <c r="H530" s="53"/>
      <c r="I530" s="53" t="s">
        <v>3862</v>
      </c>
      <c r="J530" s="53" t="s">
        <v>3811</v>
      </c>
      <c r="K530" s="48">
        <v>45600</v>
      </c>
      <c r="L530" s="49" t="str">
        <f>IF(Table26[[#This Row],[customerSKU]]="","",_xlfn.XLOOKUP(Table26[[#This Row],[customerSKU]],customerSKU!G:G,customerSKU!B:B,"",0,1))</f>
        <v/>
      </c>
      <c r="M530" s="53"/>
      <c r="N530" s="77" t="str">
        <f>Table26[[#This Row],[po_number]]&amp;"-"&amp;Table26[[#This Row],[po_line]]</f>
        <v>-1</v>
      </c>
      <c r="O530" s="77">
        <v>1</v>
      </c>
      <c r="P530" s="50"/>
      <c r="Q530" s="53" t="s">
        <v>1376</v>
      </c>
      <c r="R530" s="53" t="s">
        <v>569</v>
      </c>
      <c r="S530" s="53" t="str">
        <f>IF(Table26[[#This Row],[customerSKU]]="","",_xlfn.XLOOKUP(Table26[[#This Row],[customerSKU]],customerSKU!G:G,customerSKU!N:N,"NOT FOUND",0,1))</f>
        <v>NOT FOUND</v>
      </c>
      <c r="T530" s="20">
        <v>45588</v>
      </c>
      <c r="U530" s="52">
        <v>12</v>
      </c>
      <c r="V530" s="53" t="str">
        <f>IF(ISBLANK(Table26[[#This Row],[customerSKU]]),"",_xlfn.XLOOKUP(Table26[[#This Row],[customerSKU]],Table27[customer_SKU],Table27[case_size],"",0,1))</f>
        <v/>
      </c>
      <c r="W530" s="116" t="str">
        <f t="shared" si="20"/>
        <v/>
      </c>
      <c r="X530" s="53" t="str">
        <f t="shared" si="21"/>
        <v/>
      </c>
      <c r="Y530" s="53" t="str">
        <f>IF(Table26[[#This Row],[customerSKU]]="","",_xlfn.XLOOKUP(Table26[[#This Row],[customerSKU]],Table27[customer_SKU],Table27[product_GTIN],"",0,1))</f>
        <v/>
      </c>
      <c r="Z530" s="25" t="s">
        <v>3455</v>
      </c>
      <c r="AA530" s="18" t="str" cm="1">
        <f t="array" ref="AA530">IF(P530="", "", _xlfn.XLOOKUP(P530,#REF!,#REF!,NA,0,-1))</f>
        <v/>
      </c>
      <c r="AB530" s="53"/>
      <c r="AC530" s="55" t="s">
        <v>4019</v>
      </c>
      <c r="AD530" s="55" t="str">
        <f>IF($AC530="","",_xlfn.XLOOKUP($AC530,'[2]Client Info'!$C$2:$C$2535,'[2]Client Info'!$D$2:$D$2535,"",0,1))</f>
        <v>UNIT A-195 LA VERENDRYE BLVD</v>
      </c>
      <c r="AE530" s="55" t="str">
        <f>IF($AC530="","",_xlfn.XLOOKUP($AC530,'[2]Client Info'!$C$2:$C$2715,'[2]Client Info'!$E$2:$E$2715,"",))</f>
        <v>MORDEN</v>
      </c>
      <c r="AF530" s="55" t="str">
        <f>IF($AC530="","",_xlfn.XLOOKUP($AC530,'[2]Client Info'!$C$2:$C$2715,'[2]Client Info'!$F$2:$F$2715,"",0,1))</f>
        <v>MB</v>
      </c>
      <c r="AG530" s="55" t="str">
        <f>IF(ISBLANK(Table26[[#This Row],[customerSKU]]),"",_xlfn.XLOOKUP(Table26[[#This Row],[customerSKU]],Table27[customer_SKU],Table27[billto],"",0,1))</f>
        <v/>
      </c>
      <c r="AH530" s="62" t="str">
        <f>_xlfn.XLOOKUP(Table26[[#This Row],[customerSKU]],customerSKU!G:G,customerSKU!K:K,"NA",0,1)</f>
        <v>NA</v>
      </c>
      <c r="AI530" s="43" t="str">
        <f>_xlfn.XLOOKUP(Table26[[#This Row],[customerSKU]],customerSKU!G:G,customerSKU!O:O,"not found",0,1)</f>
        <v>not found</v>
      </c>
      <c r="AJ530" s="53" t="e">
        <f>Table26[[#This Row],[unitprice]]*Table26[[#This Row],[quantity_unit]]</f>
        <v>#VALUE!</v>
      </c>
      <c r="AK530" s="53" t="e" cm="1">
        <f t="array" ref="AK5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1" spans="1:37" ht="24.6" customHeight="1">
      <c r="A531" s="42">
        <v>1718</v>
      </c>
      <c r="B531" s="58" t="s">
        <v>3520</v>
      </c>
      <c r="C531" s="53" t="s">
        <v>3360</v>
      </c>
      <c r="D531" s="51" t="str">
        <f>IF(Table26[[#This Row],[customerSKU]]="","","null")</f>
        <v>null</v>
      </c>
      <c r="E531" s="51"/>
      <c r="F53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1" s="46"/>
      <c r="H531" s="53"/>
      <c r="I531" s="53" t="s">
        <v>3862</v>
      </c>
      <c r="J531" s="53" t="s">
        <v>3811</v>
      </c>
      <c r="K531" s="48">
        <v>45600</v>
      </c>
      <c r="L531" s="49" t="str">
        <f>IF(Table26[[#This Row],[customerSKU]]="","",_xlfn.XLOOKUP(Table26[[#This Row],[customerSKU]],customerSKU!G:G,customerSKU!B:B,"",0,1))</f>
        <v/>
      </c>
      <c r="M531" s="53"/>
      <c r="N531" s="77" t="str">
        <f>Table26[[#This Row],[po_number]]&amp;"-"&amp;Table26[[#This Row],[po_line]]</f>
        <v>-1</v>
      </c>
      <c r="O531" s="77">
        <v>1</v>
      </c>
      <c r="P531" s="50"/>
      <c r="Q531" s="53" t="s">
        <v>1134</v>
      </c>
      <c r="R531" s="53" t="s">
        <v>569</v>
      </c>
      <c r="S531" s="53" t="str">
        <f>IF(Table26[[#This Row],[customerSKU]]="","",_xlfn.XLOOKUP(Table26[[#This Row],[customerSKU]],customerSKU!G:G,customerSKU!N:N,"NOT FOUND",0,1))</f>
        <v>NOT FOUND</v>
      </c>
      <c r="T531" s="20">
        <v>45581</v>
      </c>
      <c r="U531" s="52">
        <v>12</v>
      </c>
      <c r="V531" s="53" t="str">
        <f>IF(ISBLANK(Table26[[#This Row],[customerSKU]]),"",_xlfn.XLOOKUP(Table26[[#This Row],[customerSKU]],Table27[customer_SKU],Table27[case_size],"",0,1))</f>
        <v/>
      </c>
      <c r="W531" s="116" t="str">
        <f t="shared" si="20"/>
        <v/>
      </c>
      <c r="X531" s="53" t="str">
        <f t="shared" si="21"/>
        <v/>
      </c>
      <c r="Y531" s="53" t="str">
        <f>IF(Table26[[#This Row],[customerSKU]]="","",_xlfn.XLOOKUP(Table26[[#This Row],[customerSKU]],Table27[customer_SKU],Table27[product_GTIN],"",0,1))</f>
        <v/>
      </c>
      <c r="Z531" s="60">
        <v>61622</v>
      </c>
      <c r="AA531" s="18" t="str" cm="1">
        <f t="array" ref="AA531">IF(P531="", "", _xlfn.XLOOKUP(P531,#REF!,#REF!,NA,0,-1))</f>
        <v/>
      </c>
      <c r="AB531" s="53"/>
      <c r="AC531" s="55" t="s">
        <v>58</v>
      </c>
      <c r="AD531" s="55" t="str">
        <f>IF($AC531="","",_xlfn.XLOOKUP($AC531,'[2]Client Info'!$C$2:$C$2535,'[2]Client Info'!$D$2:$D$2535,"",0,1))</f>
        <v>4-930 18th ST</v>
      </c>
      <c r="AE531" s="55" t="str">
        <f>IF($AC531="","",_xlfn.XLOOKUP($AC531,'[2]Client Info'!$C$2:$C$2715,'[2]Client Info'!$E$2:$E$2715,"",))</f>
        <v>Brandon</v>
      </c>
      <c r="AF531" s="55" t="str">
        <f>IF($AC531="","",_xlfn.XLOOKUP($AC531,'[2]Client Info'!$C$2:$C$2715,'[2]Client Info'!$F$2:$F$2715,"",0,1))</f>
        <v>MB</v>
      </c>
      <c r="AG531" s="55" t="str">
        <f>IF(ISBLANK(Table26[[#This Row],[customerSKU]]),"",_xlfn.XLOOKUP(Table26[[#This Row],[customerSKU]],Table27[customer_SKU],Table27[billto],"",0,1))</f>
        <v/>
      </c>
      <c r="AH531" s="62" t="str">
        <f>_xlfn.XLOOKUP(Table26[[#This Row],[customerSKU]],customerSKU!G:G,customerSKU!K:K,"NA",0,1)</f>
        <v>NA</v>
      </c>
      <c r="AI531" s="43" t="str">
        <f>_xlfn.XLOOKUP(Table26[[#This Row],[customerSKU]],customerSKU!G:G,customerSKU!O:O,"not found",0,1)</f>
        <v>not found</v>
      </c>
      <c r="AJ531" s="53" t="e">
        <f>Table26[[#This Row],[unitprice]]*Table26[[#This Row],[quantity_unit]]</f>
        <v>#VALUE!</v>
      </c>
      <c r="AK531" s="53" t="e" cm="1">
        <f t="array" ref="AK5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2" spans="1:37" ht="24.6" customHeight="1">
      <c r="A532" s="42">
        <v>1719</v>
      </c>
      <c r="B532" s="58" t="s">
        <v>3520</v>
      </c>
      <c r="C532" s="53" t="s">
        <v>3360</v>
      </c>
      <c r="D532" s="51" t="str">
        <f>IF(Table26[[#This Row],[customerSKU]]="","","null")</f>
        <v>null</v>
      </c>
      <c r="E532" s="51"/>
      <c r="F53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2" s="46"/>
      <c r="H532" s="53"/>
      <c r="I532" s="53" t="s">
        <v>3862</v>
      </c>
      <c r="J532" s="53" t="s">
        <v>3811</v>
      </c>
      <c r="K532" s="48">
        <v>45600</v>
      </c>
      <c r="L532" s="49" t="str">
        <f>IF(Table26[[#This Row],[customerSKU]]="","",_xlfn.XLOOKUP(Table26[[#This Row],[customerSKU]],customerSKU!G:G,customerSKU!B:B,"",0,1))</f>
        <v/>
      </c>
      <c r="M532" s="53"/>
      <c r="N532" s="77" t="str">
        <f>Table26[[#This Row],[po_number]]&amp;"-"&amp;Table26[[#This Row],[po_line]]</f>
        <v>-1</v>
      </c>
      <c r="O532" s="77">
        <v>1</v>
      </c>
      <c r="P532" s="50"/>
      <c r="Q532" s="53" t="s">
        <v>1134</v>
      </c>
      <c r="R532" s="53" t="s">
        <v>569</v>
      </c>
      <c r="S532" s="53" t="str">
        <f>IF(Table26[[#This Row],[customerSKU]]="","",_xlfn.XLOOKUP(Table26[[#This Row],[customerSKU]],customerSKU!G:G,customerSKU!N:N,"NOT FOUND",0,1))</f>
        <v>NOT FOUND</v>
      </c>
      <c r="T532" s="20">
        <v>45581</v>
      </c>
      <c r="U532" s="52">
        <v>12</v>
      </c>
      <c r="V532" s="53" t="str">
        <f>IF(ISBLANK(Table26[[#This Row],[customerSKU]]),"",_xlfn.XLOOKUP(Table26[[#This Row],[customerSKU]],Table27[customer_SKU],Table27[case_size],"",0,1))</f>
        <v/>
      </c>
      <c r="W532" s="116" t="str">
        <f t="shared" si="20"/>
        <v/>
      </c>
      <c r="X532" s="53" t="str">
        <f t="shared" si="21"/>
        <v/>
      </c>
      <c r="Y532" s="53" t="str">
        <f>IF(Table26[[#This Row],[customerSKU]]="","",_xlfn.XLOOKUP(Table26[[#This Row],[customerSKU]],Table27[customer_SKU],Table27[product_GTIN],"",0,1))</f>
        <v/>
      </c>
      <c r="Z532" s="60">
        <v>61622</v>
      </c>
      <c r="AA532" s="18" t="str" cm="1">
        <f t="array" ref="AA532">IF(P532="", "", _xlfn.XLOOKUP(P532,#REF!,#REF!,NA,0,-1))</f>
        <v/>
      </c>
      <c r="AB532" s="53"/>
      <c r="AC532" s="55" t="s">
        <v>124</v>
      </c>
      <c r="AD532" s="55" t="str">
        <f>IF($AC532="","",_xlfn.XLOOKUP($AC532,'[2]Client Info'!$C$2:$C$2535,'[2]Client Info'!$D$2:$D$2535,"",0,1))</f>
        <v>1881 GRANT AVE</v>
      </c>
      <c r="AE532" s="55" t="str">
        <f>IF($AC532="","",_xlfn.XLOOKUP($AC532,'[2]Client Info'!$C$2:$C$2715,'[2]Client Info'!$E$2:$E$2715,"",))</f>
        <v>WINNIPEG</v>
      </c>
      <c r="AF532" s="55" t="str">
        <f>IF($AC532="","",_xlfn.XLOOKUP($AC532,'[2]Client Info'!$C$2:$C$2715,'[2]Client Info'!$F$2:$F$2715,"",0,1))</f>
        <v>MB</v>
      </c>
      <c r="AG532" s="55" t="str">
        <f>IF(ISBLANK(Table26[[#This Row],[customerSKU]]),"",_xlfn.XLOOKUP(Table26[[#This Row],[customerSKU]],Table27[customer_SKU],Table27[billto],"",0,1))</f>
        <v/>
      </c>
      <c r="AH532" s="62" t="str">
        <f>_xlfn.XLOOKUP(Table26[[#This Row],[customerSKU]],customerSKU!G:G,customerSKU!K:K,"NA",0,1)</f>
        <v>NA</v>
      </c>
      <c r="AI532" s="43" t="str">
        <f>_xlfn.XLOOKUP(Table26[[#This Row],[customerSKU]],customerSKU!G:G,customerSKU!O:O,"not found",0,1)</f>
        <v>not found</v>
      </c>
      <c r="AJ532" s="53" t="e">
        <f>Table26[[#This Row],[unitprice]]*Table26[[#This Row],[quantity_unit]]</f>
        <v>#VALUE!</v>
      </c>
      <c r="AK532" s="53" t="e" cm="1">
        <f t="array" ref="AK5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3" spans="1:37" ht="24.6" customHeight="1">
      <c r="A533" s="42">
        <v>1720</v>
      </c>
      <c r="B533" s="58" t="s">
        <v>3520</v>
      </c>
      <c r="C533" s="53" t="s">
        <v>3360</v>
      </c>
      <c r="D533" s="51" t="str">
        <f>IF(Table26[[#This Row],[customerSKU]]="","","null")</f>
        <v>null</v>
      </c>
      <c r="E533" s="51"/>
      <c r="F53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3" s="46"/>
      <c r="H533" s="53"/>
      <c r="I533" s="53" t="s">
        <v>3862</v>
      </c>
      <c r="J533" s="53" t="s">
        <v>3811</v>
      </c>
      <c r="K533" s="48">
        <v>45600</v>
      </c>
      <c r="L533" s="49" t="str">
        <f>IF(Table26[[#This Row],[customerSKU]]="","",_xlfn.XLOOKUP(Table26[[#This Row],[customerSKU]],customerSKU!G:G,customerSKU!B:B,"",0,1))</f>
        <v/>
      </c>
      <c r="M533" s="53"/>
      <c r="N533" s="77" t="str">
        <f>Table26[[#This Row],[po_number]]&amp;"-"&amp;Table26[[#This Row],[po_line]]</f>
        <v>-1</v>
      </c>
      <c r="O533" s="77">
        <v>1</v>
      </c>
      <c r="P533" s="50"/>
      <c r="Q533" s="53" t="s">
        <v>1134</v>
      </c>
      <c r="R533" s="53" t="s">
        <v>569</v>
      </c>
      <c r="S533" s="53" t="str">
        <f>IF(Table26[[#This Row],[customerSKU]]="","",_xlfn.XLOOKUP(Table26[[#This Row],[customerSKU]],customerSKU!G:G,customerSKU!N:N,"NOT FOUND",0,1))</f>
        <v>NOT FOUND</v>
      </c>
      <c r="T533" s="20">
        <v>45581</v>
      </c>
      <c r="U533" s="52">
        <v>12</v>
      </c>
      <c r="V533" s="53" t="str">
        <f>IF(ISBLANK(Table26[[#This Row],[customerSKU]]),"",_xlfn.XLOOKUP(Table26[[#This Row],[customerSKU]],Table27[customer_SKU],Table27[case_size],"",0,1))</f>
        <v/>
      </c>
      <c r="W533" s="116" t="str">
        <f t="shared" si="20"/>
        <v/>
      </c>
      <c r="X533" s="53" t="str">
        <f t="shared" si="21"/>
        <v/>
      </c>
      <c r="Y533" s="53" t="str">
        <f>IF(Table26[[#This Row],[customerSKU]]="","",_xlfn.XLOOKUP(Table26[[#This Row],[customerSKU]],Table27[customer_SKU],Table27[product_GTIN],"",0,1))</f>
        <v/>
      </c>
      <c r="Z533" s="60">
        <v>61622</v>
      </c>
      <c r="AA533" s="18" t="str" cm="1">
        <f t="array" ref="AA533">IF(P533="", "", _xlfn.XLOOKUP(P533,#REF!,#REF!,NA,0,-1))</f>
        <v/>
      </c>
      <c r="AB533" s="53"/>
      <c r="AC533" s="55" t="s">
        <v>123</v>
      </c>
      <c r="AD533" s="55" t="str">
        <f>IF($AC533="","",_xlfn.XLOOKUP($AC533,'[2]Client Info'!$C$2:$C$2535,'[2]Client Info'!$D$2:$D$2535,"",0,1))</f>
        <v>300A NORTH RAILWAY</v>
      </c>
      <c r="AE533" s="55" t="str">
        <f>IF($AC533="","",_xlfn.XLOOKUP($AC533,'[2]Client Info'!$C$2:$C$2715,'[2]Client Info'!$E$2:$E$2715,"",))</f>
        <v>MORDEN</v>
      </c>
      <c r="AF533" s="55" t="str">
        <f>IF($AC533="","",_xlfn.XLOOKUP($AC533,'[2]Client Info'!$C$2:$C$2715,'[2]Client Info'!$F$2:$F$2715,"",0,1))</f>
        <v>MB</v>
      </c>
      <c r="AG533" s="55" t="str">
        <f>IF(ISBLANK(Table26[[#This Row],[customerSKU]]),"",_xlfn.XLOOKUP(Table26[[#This Row],[customerSKU]],Table27[customer_SKU],Table27[billto],"",0,1))</f>
        <v/>
      </c>
      <c r="AH533" s="62" t="str">
        <f>_xlfn.XLOOKUP(Table26[[#This Row],[customerSKU]],customerSKU!G:G,customerSKU!K:K,"NA",0,1)</f>
        <v>NA</v>
      </c>
      <c r="AI533" s="43" t="str">
        <f>_xlfn.XLOOKUP(Table26[[#This Row],[customerSKU]],customerSKU!G:G,customerSKU!O:O,"not found",0,1)</f>
        <v>not found</v>
      </c>
      <c r="AJ533" s="53" t="e">
        <f>Table26[[#This Row],[unitprice]]*Table26[[#This Row],[quantity_unit]]</f>
        <v>#VALUE!</v>
      </c>
      <c r="AK533" s="53" t="e" cm="1">
        <f t="array" ref="AK5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4" spans="1:37" ht="18" customHeight="1">
      <c r="A534" s="42">
        <v>1721</v>
      </c>
      <c r="B534" s="58" t="s">
        <v>3520</v>
      </c>
      <c r="C534" s="53" t="s">
        <v>3360</v>
      </c>
      <c r="D534" s="51" t="str">
        <f>IF(Table26[[#This Row],[customerSKU]]="","","null")</f>
        <v>null</v>
      </c>
      <c r="E534" s="51"/>
      <c r="F53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4" s="46"/>
      <c r="H534" s="53"/>
      <c r="I534" s="53" t="s">
        <v>3862</v>
      </c>
      <c r="J534" s="53" t="s">
        <v>3811</v>
      </c>
      <c r="K534" s="48">
        <v>45600</v>
      </c>
      <c r="L534" s="49" t="str">
        <f>IF(Table26[[#This Row],[customerSKU]]="","",_xlfn.XLOOKUP(Table26[[#This Row],[customerSKU]],customerSKU!G:G,customerSKU!B:B,"",0,1))</f>
        <v/>
      </c>
      <c r="M534" s="53"/>
      <c r="N534" s="77" t="str">
        <f>Table26[[#This Row],[po_number]]&amp;"-"&amp;Table26[[#This Row],[po_line]]</f>
        <v>-1</v>
      </c>
      <c r="O534" s="77">
        <v>1</v>
      </c>
      <c r="P534" s="50"/>
      <c r="Q534" s="53" t="s">
        <v>1134</v>
      </c>
      <c r="R534" s="53" t="s">
        <v>569</v>
      </c>
      <c r="S534" s="53" t="str">
        <f>IF(Table26[[#This Row],[customerSKU]]="","",_xlfn.XLOOKUP(Table26[[#This Row],[customerSKU]],customerSKU!G:G,customerSKU!N:N,"NOT FOUND",0,1))</f>
        <v>NOT FOUND</v>
      </c>
      <c r="T534" s="20">
        <v>45581</v>
      </c>
      <c r="U534" s="52">
        <v>12</v>
      </c>
      <c r="V534" s="53" t="str">
        <f>IF(ISBLANK(Table26[[#This Row],[customerSKU]]),"",_xlfn.XLOOKUP(Table26[[#This Row],[customerSKU]],Table27[customer_SKU],Table27[case_size],"",0,1))</f>
        <v/>
      </c>
      <c r="W534" s="116" t="str">
        <f t="shared" si="20"/>
        <v/>
      </c>
      <c r="X534" s="53" t="str">
        <f t="shared" si="21"/>
        <v/>
      </c>
      <c r="Y534" s="53" t="str">
        <f>IF(Table26[[#This Row],[customerSKU]]="","",_xlfn.XLOOKUP(Table26[[#This Row],[customerSKU]],Table27[customer_SKU],Table27[product_GTIN],"",0,1))</f>
        <v/>
      </c>
      <c r="Z534" s="60">
        <v>61622</v>
      </c>
      <c r="AA534" s="18" t="str" cm="1">
        <f t="array" ref="AA534">IF(P534="", "", _xlfn.XLOOKUP(P534,#REF!,#REF!,NA,0,-1))</f>
        <v/>
      </c>
      <c r="AB534" s="53"/>
      <c r="AC534" s="55" t="s">
        <v>122</v>
      </c>
      <c r="AD534" s="55" t="str">
        <f>IF($AC534="","",_xlfn.XLOOKUP($AC534,'[2]Client Info'!$C$2:$C$2535,'[2]Client Info'!$D$2:$D$2535,"",0,1))</f>
        <v>58 CREE ROAD</v>
      </c>
      <c r="AE534" s="55" t="str">
        <f>IF($AC534="","",_xlfn.XLOOKUP($AC534,'[2]Client Info'!$C$2:$C$2715,'[2]Client Info'!$E$2:$E$2715,"",))</f>
        <v>THOMPSON</v>
      </c>
      <c r="AF534" s="55" t="str">
        <f>IF($AC534="","",_xlfn.XLOOKUP($AC534,'[2]Client Info'!$C$2:$C$2715,'[2]Client Info'!$F$2:$F$2715,"",0,1))</f>
        <v>MB</v>
      </c>
      <c r="AG534" s="55" t="str">
        <f>IF(ISBLANK(Table26[[#This Row],[customerSKU]]),"",_xlfn.XLOOKUP(Table26[[#This Row],[customerSKU]],Table27[customer_SKU],Table27[billto],"",0,1))</f>
        <v/>
      </c>
      <c r="AH534" s="62" t="str">
        <f>_xlfn.XLOOKUP(Table26[[#This Row],[customerSKU]],customerSKU!G:G,customerSKU!K:K,"NA",0,1)</f>
        <v>NA</v>
      </c>
      <c r="AI534" s="43" t="str">
        <f>_xlfn.XLOOKUP(Table26[[#This Row],[customerSKU]],customerSKU!G:G,customerSKU!O:O,"not found",0,1)</f>
        <v>not found</v>
      </c>
      <c r="AJ534" s="53" t="e">
        <f>Table26[[#This Row],[unitprice]]*Table26[[#This Row],[quantity_unit]]</f>
        <v>#VALUE!</v>
      </c>
      <c r="AK534" s="53" t="e" cm="1">
        <f t="array" ref="AK5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5" spans="1:37" ht="18" customHeight="1">
      <c r="A535" s="42">
        <v>1722</v>
      </c>
      <c r="B535" s="58" t="s">
        <v>3520</v>
      </c>
      <c r="C535" s="53" t="s">
        <v>3360</v>
      </c>
      <c r="D535" s="51" t="str">
        <f>IF(Table26[[#This Row],[customerSKU]]="","","null")</f>
        <v>null</v>
      </c>
      <c r="E535" s="51"/>
      <c r="F53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5" s="46"/>
      <c r="H535" s="53"/>
      <c r="I535" s="53" t="s">
        <v>3862</v>
      </c>
      <c r="J535" s="53" t="s">
        <v>3811</v>
      </c>
      <c r="K535" s="48">
        <v>45600</v>
      </c>
      <c r="L535" s="49" t="str">
        <f>IF(Table26[[#This Row],[customerSKU]]="","",_xlfn.XLOOKUP(Table26[[#This Row],[customerSKU]],customerSKU!G:G,customerSKU!B:B,"",0,1))</f>
        <v/>
      </c>
      <c r="M535" s="53"/>
      <c r="N535" s="77" t="str">
        <f>Table26[[#This Row],[po_number]]&amp;"-"&amp;Table26[[#This Row],[po_line]]</f>
        <v>-1</v>
      </c>
      <c r="O535" s="77">
        <v>1</v>
      </c>
      <c r="P535" s="50"/>
      <c r="Q535" s="53" t="s">
        <v>1134</v>
      </c>
      <c r="R535" s="53" t="s">
        <v>569</v>
      </c>
      <c r="S535" s="53" t="str">
        <f>IF(Table26[[#This Row],[customerSKU]]="","",_xlfn.XLOOKUP(Table26[[#This Row],[customerSKU]],customerSKU!G:G,customerSKU!N:N,"NOT FOUND",0,1))</f>
        <v>NOT FOUND</v>
      </c>
      <c r="T535" s="20">
        <v>45581</v>
      </c>
      <c r="U535" s="52">
        <v>12</v>
      </c>
      <c r="V535" s="53" t="str">
        <f>IF(ISBLANK(Table26[[#This Row],[customerSKU]]),"",_xlfn.XLOOKUP(Table26[[#This Row],[customerSKU]],Table27[customer_SKU],Table27[case_size],"",0,1))</f>
        <v/>
      </c>
      <c r="W535" s="116" t="str">
        <f t="shared" si="20"/>
        <v/>
      </c>
      <c r="X535" s="53" t="str">
        <f t="shared" si="21"/>
        <v/>
      </c>
      <c r="Y535" s="53" t="str">
        <f>IF(Table26[[#This Row],[customerSKU]]="","",_xlfn.XLOOKUP(Table26[[#This Row],[customerSKU]],Table27[customer_SKU],Table27[product_GTIN],"",0,1))</f>
        <v/>
      </c>
      <c r="Z535" s="60">
        <v>61622</v>
      </c>
      <c r="AA535" s="18" t="str" cm="1">
        <f t="array" ref="AA535">IF(P535="", "", _xlfn.XLOOKUP(P535,#REF!,#REF!,NA,0,-1))</f>
        <v/>
      </c>
      <c r="AB535" s="53"/>
      <c r="AC535" s="55" t="s">
        <v>121</v>
      </c>
      <c r="AD535" s="55" t="str">
        <f>IF($AC535="","",_xlfn.XLOOKUP($AC535,'[2]Client Info'!$C$2:$C$2535,'[2]Client Info'!$D$2:$D$2535,"",0,1))</f>
        <v>UNIT 128, OTINEKA MALL HIGHWAY 10 NORTH</v>
      </c>
      <c r="AE535" s="55" t="str">
        <f>IF($AC535="","",_xlfn.XLOOKUP($AC535,'[2]Client Info'!$C$2:$C$2715,'[2]Client Info'!$E$2:$E$2715,"",))</f>
        <v>OPASKWAYAK</v>
      </c>
      <c r="AF535" s="55" t="str">
        <f>IF($AC535="","",_xlfn.XLOOKUP($AC535,'[2]Client Info'!$C$2:$C$2715,'[2]Client Info'!$F$2:$F$2715,"",0,1))</f>
        <v>MB</v>
      </c>
      <c r="AG535" s="55" t="str">
        <f>IF(ISBLANK(Table26[[#This Row],[customerSKU]]),"",_xlfn.XLOOKUP(Table26[[#This Row],[customerSKU]],Table27[customer_SKU],Table27[billto],"",0,1))</f>
        <v/>
      </c>
      <c r="AH535" s="62" t="str">
        <f>_xlfn.XLOOKUP(Table26[[#This Row],[customerSKU]],customerSKU!G:G,customerSKU!K:K,"NA",0,1)</f>
        <v>NA</v>
      </c>
      <c r="AI535" s="43" t="str">
        <f>_xlfn.XLOOKUP(Table26[[#This Row],[customerSKU]],customerSKU!G:G,customerSKU!O:O,"not found",0,1)</f>
        <v>not found</v>
      </c>
      <c r="AJ535" s="53" t="e">
        <f>Table26[[#This Row],[unitprice]]*Table26[[#This Row],[quantity_unit]]</f>
        <v>#VALUE!</v>
      </c>
      <c r="AK535" s="53" t="e" cm="1">
        <f t="array" ref="AK5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6" spans="1:37" ht="18" customHeight="1">
      <c r="A536" s="42">
        <v>1723</v>
      </c>
      <c r="B536" s="58" t="s">
        <v>3520</v>
      </c>
      <c r="C536" s="53" t="s">
        <v>3360</v>
      </c>
      <c r="D536" s="51" t="str">
        <f>IF(Table26[[#This Row],[customerSKU]]="","","null")</f>
        <v>null</v>
      </c>
      <c r="E536" s="51"/>
      <c r="F53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6" s="46"/>
      <c r="H536" s="53"/>
      <c r="I536" s="53" t="s">
        <v>3862</v>
      </c>
      <c r="J536" s="53" t="s">
        <v>3811</v>
      </c>
      <c r="K536" s="48">
        <v>45600</v>
      </c>
      <c r="L536" s="49" t="str">
        <f>IF(Table26[[#This Row],[customerSKU]]="","",_xlfn.XLOOKUP(Table26[[#This Row],[customerSKU]],customerSKU!G:G,customerSKU!B:B,"",0,1))</f>
        <v/>
      </c>
      <c r="M536" s="53"/>
      <c r="N536" s="77" t="str">
        <f>Table26[[#This Row],[po_number]]&amp;"-"&amp;Table26[[#This Row],[po_line]]</f>
        <v>-1</v>
      </c>
      <c r="O536" s="77">
        <v>1</v>
      </c>
      <c r="P536" s="50"/>
      <c r="Q536" s="53" t="s">
        <v>1134</v>
      </c>
      <c r="R536" s="53" t="s">
        <v>569</v>
      </c>
      <c r="S536" s="53" t="str">
        <f>IF(Table26[[#This Row],[customerSKU]]="","",_xlfn.XLOOKUP(Table26[[#This Row],[customerSKU]],customerSKU!G:G,customerSKU!N:N,"NOT FOUND",0,1))</f>
        <v>NOT FOUND</v>
      </c>
      <c r="T536" s="20">
        <v>45581</v>
      </c>
      <c r="U536" s="52">
        <v>12</v>
      </c>
      <c r="V536" s="53" t="str">
        <f>IF(ISBLANK(Table26[[#This Row],[customerSKU]]),"",_xlfn.XLOOKUP(Table26[[#This Row],[customerSKU]],Table27[customer_SKU],Table27[case_size],"",0,1))</f>
        <v/>
      </c>
      <c r="W536" s="116" t="str">
        <f t="shared" si="20"/>
        <v/>
      </c>
      <c r="X536" s="53" t="str">
        <f t="shared" si="21"/>
        <v/>
      </c>
      <c r="Y536" s="53" t="str">
        <f>IF(Table26[[#This Row],[customerSKU]]="","",_xlfn.XLOOKUP(Table26[[#This Row],[customerSKU]],Table27[customer_SKU],Table27[product_GTIN],"",0,1))</f>
        <v/>
      </c>
      <c r="Z536" s="60">
        <v>61622</v>
      </c>
      <c r="AA536" s="18" t="str" cm="1">
        <f t="array" ref="AA536">IF(P536="", "", _xlfn.XLOOKUP(P536,#REF!,#REF!,NA,0,-1))</f>
        <v/>
      </c>
      <c r="AB536" s="53"/>
      <c r="AC536" s="55" t="s">
        <v>129</v>
      </c>
      <c r="AD536" s="55" t="str">
        <f>IF($AC536="","",_xlfn.XLOOKUP($AC536,'[2]Client Info'!$C$2:$C$2535,'[2]Client Info'!$D$2:$D$2535,"",0,1))</f>
        <v>23-584 PEMBINA HIGHWAY</v>
      </c>
      <c r="AE536" s="55" t="str">
        <f>IF($AC536="","",_xlfn.XLOOKUP($AC536,'[2]Client Info'!$C$2:$C$2715,'[2]Client Info'!$E$2:$E$2715,"",))</f>
        <v>WINNIPEG</v>
      </c>
      <c r="AF536" s="55" t="str">
        <f>IF($AC536="","",_xlfn.XLOOKUP($AC536,'[2]Client Info'!$C$2:$C$2715,'[2]Client Info'!$F$2:$F$2715,"",0,1))</f>
        <v>MB</v>
      </c>
      <c r="AG536" s="55" t="str">
        <f>IF(ISBLANK(Table26[[#This Row],[customerSKU]]),"",_xlfn.XLOOKUP(Table26[[#This Row],[customerSKU]],Table27[customer_SKU],Table27[billto],"",0,1))</f>
        <v/>
      </c>
      <c r="AH536" s="62" t="str">
        <f>_xlfn.XLOOKUP(Table26[[#This Row],[customerSKU]],customerSKU!G:G,customerSKU!K:K,"NA",0,1)</f>
        <v>NA</v>
      </c>
      <c r="AI536" s="43" t="str">
        <f>_xlfn.XLOOKUP(Table26[[#This Row],[customerSKU]],customerSKU!G:G,customerSKU!O:O,"not found",0,1)</f>
        <v>not found</v>
      </c>
      <c r="AJ536" s="53" t="e">
        <f>Table26[[#This Row],[unitprice]]*Table26[[#This Row],[quantity_unit]]</f>
        <v>#VALUE!</v>
      </c>
      <c r="AK536" s="53" t="e" cm="1">
        <f t="array" ref="AK5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7" spans="1:37" ht="18" customHeight="1">
      <c r="A537" s="42">
        <v>1724</v>
      </c>
      <c r="B537" s="58" t="s">
        <v>3520</v>
      </c>
      <c r="C537" s="53" t="s">
        <v>3360</v>
      </c>
      <c r="D537" s="51" t="str">
        <f>IF(Table26[[#This Row],[customerSKU]]="","","null")</f>
        <v>null</v>
      </c>
      <c r="E537" s="51"/>
      <c r="F53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7" s="46"/>
      <c r="H537" s="53"/>
      <c r="I537" s="53" t="s">
        <v>3862</v>
      </c>
      <c r="J537" s="53" t="s">
        <v>3811</v>
      </c>
      <c r="K537" s="48">
        <v>45600</v>
      </c>
      <c r="L537" s="49" t="str">
        <f>IF(Table26[[#This Row],[customerSKU]]="","",_xlfn.XLOOKUP(Table26[[#This Row],[customerSKU]],customerSKU!G:G,customerSKU!B:B,"",0,1))</f>
        <v/>
      </c>
      <c r="M537" s="53"/>
      <c r="N537" s="77" t="str">
        <f>Table26[[#This Row],[po_number]]&amp;"-"&amp;Table26[[#This Row],[po_line]]</f>
        <v>-1</v>
      </c>
      <c r="O537" s="77">
        <v>1</v>
      </c>
      <c r="P537" s="50"/>
      <c r="Q537" s="53" t="s">
        <v>1134</v>
      </c>
      <c r="R537" s="53" t="s">
        <v>569</v>
      </c>
      <c r="S537" s="53" t="str">
        <f>IF(Table26[[#This Row],[customerSKU]]="","",_xlfn.XLOOKUP(Table26[[#This Row],[customerSKU]],customerSKU!G:G,customerSKU!N:N,"NOT FOUND",0,1))</f>
        <v>NOT FOUND</v>
      </c>
      <c r="T537" s="20">
        <v>45581</v>
      </c>
      <c r="U537" s="52">
        <v>12</v>
      </c>
      <c r="V537" s="53" t="str">
        <f>IF(ISBLANK(Table26[[#This Row],[customerSKU]]),"",_xlfn.XLOOKUP(Table26[[#This Row],[customerSKU]],Table27[customer_SKU],Table27[case_size],"",0,1))</f>
        <v/>
      </c>
      <c r="W537" s="116" t="str">
        <f t="shared" si="20"/>
        <v/>
      </c>
      <c r="X537" s="53" t="str">
        <f t="shared" si="21"/>
        <v/>
      </c>
      <c r="Y537" s="53" t="str">
        <f>IF(Table26[[#This Row],[customerSKU]]="","",_xlfn.XLOOKUP(Table26[[#This Row],[customerSKU]],Table27[customer_SKU],Table27[product_GTIN],"",0,1))</f>
        <v/>
      </c>
      <c r="Z537" s="60">
        <v>61622</v>
      </c>
      <c r="AA537" s="18" t="str" cm="1">
        <f t="array" ref="AA537">IF(P537="", "", _xlfn.XLOOKUP(P537,#REF!,#REF!,NA,0,-1))</f>
        <v/>
      </c>
      <c r="AB537" s="53"/>
      <c r="AC537" s="55" t="s">
        <v>128</v>
      </c>
      <c r="AD537" s="55" t="str">
        <f>IF($AC537="","",_xlfn.XLOOKUP($AC537,'[2]Client Info'!$C$2:$C$2535,'[2]Client Info'!$D$2:$D$2535,"",0,1))</f>
        <v>50&amp;60-2589 PEMBINA HWY</v>
      </c>
      <c r="AE537" s="55" t="str">
        <f>IF($AC537="","",_xlfn.XLOOKUP($AC537,'[2]Client Info'!$C$2:$C$2715,'[2]Client Info'!$E$2:$E$2715,"",))</f>
        <v>WINNIPEG</v>
      </c>
      <c r="AF537" s="55" t="str">
        <f>IF($AC537="","",_xlfn.XLOOKUP($AC537,'[2]Client Info'!$C$2:$C$2715,'[2]Client Info'!$F$2:$F$2715,"",0,1))</f>
        <v>MB</v>
      </c>
      <c r="AG537" s="55" t="str">
        <f>IF(ISBLANK(Table26[[#This Row],[customerSKU]]),"",_xlfn.XLOOKUP(Table26[[#This Row],[customerSKU]],Table27[customer_SKU],Table27[billto],"",0,1))</f>
        <v/>
      </c>
      <c r="AH537" s="62" t="str">
        <f>_xlfn.XLOOKUP(Table26[[#This Row],[customerSKU]],customerSKU!G:G,customerSKU!K:K,"NA",0,1)</f>
        <v>NA</v>
      </c>
      <c r="AI537" s="43" t="str">
        <f>_xlfn.XLOOKUP(Table26[[#This Row],[customerSKU]],customerSKU!G:G,customerSKU!O:O,"not found",0,1)</f>
        <v>not found</v>
      </c>
      <c r="AJ537" s="53" t="e">
        <f>Table26[[#This Row],[unitprice]]*Table26[[#This Row],[quantity_unit]]</f>
        <v>#VALUE!</v>
      </c>
      <c r="AK537" s="53" t="e" cm="1">
        <f t="array" ref="AK5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8" spans="1:37" ht="18" customHeight="1">
      <c r="A538" s="42">
        <v>1725</v>
      </c>
      <c r="B538" s="58" t="s">
        <v>3520</v>
      </c>
      <c r="C538" s="53" t="s">
        <v>3360</v>
      </c>
      <c r="D538" s="51" t="str">
        <f>IF(Table26[[#This Row],[customerSKU]]="","","null")</f>
        <v>null</v>
      </c>
      <c r="E538" s="51"/>
      <c r="F53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8" s="46"/>
      <c r="H538" s="53"/>
      <c r="I538" s="53" t="s">
        <v>3862</v>
      </c>
      <c r="J538" s="53" t="s">
        <v>3811</v>
      </c>
      <c r="K538" s="48">
        <v>45600</v>
      </c>
      <c r="L538" s="49" t="str">
        <f>IF(Table26[[#This Row],[customerSKU]]="","",_xlfn.XLOOKUP(Table26[[#This Row],[customerSKU]],customerSKU!G:G,customerSKU!B:B,"",0,1))</f>
        <v/>
      </c>
      <c r="M538" s="53"/>
      <c r="N538" s="77" t="str">
        <f>Table26[[#This Row],[po_number]]&amp;"-"&amp;Table26[[#This Row],[po_line]]</f>
        <v>-1</v>
      </c>
      <c r="O538" s="77">
        <v>1</v>
      </c>
      <c r="P538" s="50"/>
      <c r="Q538" s="53" t="s">
        <v>1134</v>
      </c>
      <c r="R538" s="53" t="s">
        <v>569</v>
      </c>
      <c r="S538" s="53" t="str">
        <f>IF(Table26[[#This Row],[customerSKU]]="","",_xlfn.XLOOKUP(Table26[[#This Row],[customerSKU]],customerSKU!G:G,customerSKU!N:N,"NOT FOUND",0,1))</f>
        <v>NOT FOUND</v>
      </c>
      <c r="T538" s="20">
        <v>45581</v>
      </c>
      <c r="U538" s="52">
        <v>12</v>
      </c>
      <c r="V538" s="53" t="str">
        <f>IF(ISBLANK(Table26[[#This Row],[customerSKU]]),"",_xlfn.XLOOKUP(Table26[[#This Row],[customerSKU]],Table27[customer_SKU],Table27[case_size],"",0,1))</f>
        <v/>
      </c>
      <c r="W538" s="116" t="str">
        <f t="shared" si="20"/>
        <v/>
      </c>
      <c r="X538" s="53" t="str">
        <f t="shared" si="21"/>
        <v/>
      </c>
      <c r="Y538" s="53" t="str">
        <f>IF(Table26[[#This Row],[customerSKU]]="","",_xlfn.XLOOKUP(Table26[[#This Row],[customerSKU]],Table27[customer_SKU],Table27[product_GTIN],"",0,1))</f>
        <v/>
      </c>
      <c r="Z538" s="60">
        <v>61622</v>
      </c>
      <c r="AA538" s="18" t="str" cm="1">
        <f t="array" ref="AA538">IF(P538="", "", _xlfn.XLOOKUP(P538,#REF!,#REF!,NA,0,-1))</f>
        <v/>
      </c>
      <c r="AB538" s="53"/>
      <c r="AC538" s="55" t="s">
        <v>125</v>
      </c>
      <c r="AD538" s="55" t="str">
        <f>IF($AC538="","",_xlfn.XLOOKUP($AC538,'[2]Client Info'!$C$2:$C$2535,'[2]Client Info'!$D$2:$D$2535))</f>
        <v>UNIT 2-2145 PORTAGE AVENUE</v>
      </c>
      <c r="AE538" s="55" t="str">
        <f>IF($AC538="","",_xlfn.XLOOKUP($AC538,'[2]Client Info'!$C$2:$C$2715,'[2]Client Info'!$E$2:$E$2715,"",))</f>
        <v>WINNIPEG</v>
      </c>
      <c r="AF538" s="55" t="str">
        <f>IF($AC538="","",_xlfn.XLOOKUP($AC538,'[2]Client Info'!$C$2:$C$2715,'[2]Client Info'!$F$2:$F$2715,"",0,1))</f>
        <v>MB</v>
      </c>
      <c r="AG538" s="55" t="str">
        <f>IF(ISBLANK(Table26[[#This Row],[customerSKU]]),"",_xlfn.XLOOKUP(Table26[[#This Row],[customerSKU]],Table27[customer_SKU],Table27[billto],"",0,1))</f>
        <v/>
      </c>
      <c r="AH538" s="62" t="str">
        <f>_xlfn.XLOOKUP(Table26[[#This Row],[customerSKU]],customerSKU!G:G,customerSKU!K:K,"NA",0,1)</f>
        <v>NA</v>
      </c>
      <c r="AI538" s="43" t="str">
        <f>_xlfn.XLOOKUP(Table26[[#This Row],[customerSKU]],customerSKU!G:G,customerSKU!O:O,"not found",0,1)</f>
        <v>not found</v>
      </c>
      <c r="AJ538" s="53" t="e">
        <f>Table26[[#This Row],[unitprice]]*Table26[[#This Row],[quantity_unit]]</f>
        <v>#VALUE!</v>
      </c>
      <c r="AK538" s="53" t="e" cm="1">
        <f t="array" ref="AK5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39" spans="1:37" ht="18" customHeight="1">
      <c r="A539" s="42">
        <v>1726</v>
      </c>
      <c r="B539" s="58" t="s">
        <v>3520</v>
      </c>
      <c r="C539" s="53" t="s">
        <v>3360</v>
      </c>
      <c r="D539" s="51" t="str">
        <f>IF(Table26[[#This Row],[customerSKU]]="","","null")</f>
        <v>null</v>
      </c>
      <c r="E539" s="51"/>
      <c r="F53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39" s="46"/>
      <c r="H539" s="53"/>
      <c r="I539" s="53" t="s">
        <v>3862</v>
      </c>
      <c r="J539" s="53" t="s">
        <v>3811</v>
      </c>
      <c r="K539" s="48">
        <v>45600</v>
      </c>
      <c r="L539" s="49" t="str">
        <f>IF(Table26[[#This Row],[customerSKU]]="","",_xlfn.XLOOKUP(Table26[[#This Row],[customerSKU]],customerSKU!G:G,customerSKU!B:B,"",0,1))</f>
        <v/>
      </c>
      <c r="M539" s="53"/>
      <c r="N539" s="77" t="str">
        <f>Table26[[#This Row],[po_number]]&amp;"-"&amp;Table26[[#This Row],[po_line]]</f>
        <v>-1</v>
      </c>
      <c r="O539" s="77">
        <v>1</v>
      </c>
      <c r="P539" s="50"/>
      <c r="Q539" s="53" t="s">
        <v>1134</v>
      </c>
      <c r="R539" s="53" t="s">
        <v>569</v>
      </c>
      <c r="S539" s="53" t="str">
        <f>IF(Table26[[#This Row],[customerSKU]]="","",_xlfn.XLOOKUP(Table26[[#This Row],[customerSKU]],customerSKU!G:G,customerSKU!N:N,"NOT FOUND",0,1))</f>
        <v>NOT FOUND</v>
      </c>
      <c r="T539" s="20">
        <v>45581</v>
      </c>
      <c r="U539" s="52">
        <v>12</v>
      </c>
      <c r="V539" s="53" t="str">
        <f>IF(ISBLANK(Table26[[#This Row],[customerSKU]]),"",_xlfn.XLOOKUP(Table26[[#This Row],[customerSKU]],Table27[customer_SKU],Table27[case_size],"",0,1))</f>
        <v/>
      </c>
      <c r="W539" s="116" t="str">
        <f t="shared" si="20"/>
        <v/>
      </c>
      <c r="X539" s="53" t="str">
        <f t="shared" si="21"/>
        <v/>
      </c>
      <c r="Y539" s="53" t="str">
        <f>IF(Table26[[#This Row],[customerSKU]]="","",_xlfn.XLOOKUP(Table26[[#This Row],[customerSKU]],Table27[customer_SKU],Table27[product_GTIN],"",0,1))</f>
        <v/>
      </c>
      <c r="Z539" s="60">
        <v>61622</v>
      </c>
      <c r="AA539" s="18" t="str" cm="1">
        <f t="array" ref="AA539">IF(P539="", "", _xlfn.XLOOKUP(P539,#REF!,#REF!,NA,0,-1))</f>
        <v/>
      </c>
      <c r="AB539" s="53"/>
      <c r="AC539" s="55" t="s">
        <v>127</v>
      </c>
      <c r="AD539" s="55" t="str">
        <f>IF($AC539="","",_xlfn.XLOOKUP($AC539,'[2]Client Info'!$C$2:$C$2535,'[2]Client Info'!$D$2:$D$2535,"",0,1))</f>
        <v>102-366 MAIN ST</v>
      </c>
      <c r="AE539" s="55" t="str">
        <f>IF($AC539="","",_xlfn.XLOOKUP($AC539,'[2]Client Info'!$C$2:$C$2715,'[2]Client Info'!$E$2:$E$2715,"",))</f>
        <v>SELKIRK</v>
      </c>
      <c r="AF539" s="55" t="str">
        <f>IF($AC539="","",_xlfn.XLOOKUP($AC539,'[2]Client Info'!$C$2:$C$2715,'[2]Client Info'!$F$2:$F$2715,"",0,1))</f>
        <v>MB</v>
      </c>
      <c r="AG539" s="55" t="str">
        <f>IF(ISBLANK(Table26[[#This Row],[customerSKU]]),"",_xlfn.XLOOKUP(Table26[[#This Row],[customerSKU]],Table27[customer_SKU],Table27[billto],"",0,1))</f>
        <v/>
      </c>
      <c r="AH539" s="62" t="str">
        <f>_xlfn.XLOOKUP(Table26[[#This Row],[customerSKU]],customerSKU!G:G,customerSKU!K:K,"NA",0,1)</f>
        <v>NA</v>
      </c>
      <c r="AI539" s="43" t="str">
        <f>_xlfn.XLOOKUP(Table26[[#This Row],[customerSKU]],customerSKU!G:G,customerSKU!O:O,"not found",0,1)</f>
        <v>not found</v>
      </c>
      <c r="AJ539" s="53" t="e">
        <f>Table26[[#This Row],[unitprice]]*Table26[[#This Row],[quantity_unit]]</f>
        <v>#VALUE!</v>
      </c>
      <c r="AK539" s="53" t="e" cm="1">
        <f t="array" ref="AK5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0" spans="1:37" ht="18" customHeight="1">
      <c r="A540" s="42">
        <v>1727</v>
      </c>
      <c r="B540" s="58" t="s">
        <v>3520</v>
      </c>
      <c r="C540" s="53" t="s">
        <v>3360</v>
      </c>
      <c r="D540" s="51" t="str">
        <f>IF(Table26[[#This Row],[customerSKU]]="","","null")</f>
        <v>null</v>
      </c>
      <c r="E540" s="51"/>
      <c r="F54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0" s="46"/>
      <c r="H540" s="53"/>
      <c r="I540" s="53" t="s">
        <v>3862</v>
      </c>
      <c r="J540" s="53" t="s">
        <v>3811</v>
      </c>
      <c r="K540" s="48">
        <v>45600</v>
      </c>
      <c r="L540" s="49" t="str">
        <f>IF(Table26[[#This Row],[customerSKU]]="","",_xlfn.XLOOKUP(Table26[[#This Row],[customerSKU]],customerSKU!G:G,customerSKU!B:B,"",0,1))</f>
        <v/>
      </c>
      <c r="M540" s="53"/>
      <c r="N540" s="77" t="str">
        <f>Table26[[#This Row],[po_number]]&amp;"-"&amp;Table26[[#This Row],[po_line]]</f>
        <v>-1</v>
      </c>
      <c r="O540" s="77">
        <v>1</v>
      </c>
      <c r="P540" s="50"/>
      <c r="Q540" s="53" t="s">
        <v>1134</v>
      </c>
      <c r="R540" s="53" t="s">
        <v>569</v>
      </c>
      <c r="S540" s="53" t="str">
        <f>IF(Table26[[#This Row],[customerSKU]]="","",_xlfn.XLOOKUP(Table26[[#This Row],[customerSKU]],customerSKU!G:G,customerSKU!N:N,"NOT FOUND",0,1))</f>
        <v>NOT FOUND</v>
      </c>
      <c r="T540" s="20">
        <v>45581</v>
      </c>
      <c r="U540" s="52">
        <v>12</v>
      </c>
      <c r="V540" s="53" t="str">
        <f>IF(ISBLANK(Table26[[#This Row],[customerSKU]]),"",_xlfn.XLOOKUP(Table26[[#This Row],[customerSKU]],Table27[customer_SKU],Table27[case_size],"",0,1))</f>
        <v/>
      </c>
      <c r="W540" s="116" t="str">
        <f t="shared" si="20"/>
        <v/>
      </c>
      <c r="X540" s="53" t="str">
        <f t="shared" si="21"/>
        <v/>
      </c>
      <c r="Y540" s="53" t="str">
        <f>IF(Table26[[#This Row],[customerSKU]]="","",_xlfn.XLOOKUP(Table26[[#This Row],[customerSKU]],Table27[customer_SKU],Table27[product_GTIN],"",0,1))</f>
        <v/>
      </c>
      <c r="Z540" s="60">
        <v>61622</v>
      </c>
      <c r="AA540" s="18" t="str" cm="1">
        <f t="array" ref="AA540">IF(P540="", "", _xlfn.XLOOKUP(P540,#REF!,#REF!,NA,0,-1))</f>
        <v/>
      </c>
      <c r="AB540" s="53"/>
      <c r="AC540" s="55" t="s">
        <v>126</v>
      </c>
      <c r="AD540" s="55" t="str">
        <f>IF($AC540="","",_xlfn.XLOOKUP($AC540,'[2]Client Info'!$C$2:$C$2535,'[2]Client Info'!$D$2:$D$2535,"",0,1))</f>
        <v>UNIT 51, 1225 ST. MARY'S ROAD</v>
      </c>
      <c r="AE540" s="55" t="str">
        <f>IF($AC540="","",_xlfn.XLOOKUP($AC540,'[2]Client Info'!$C$2:$C$2715,'[2]Client Info'!$E$2:$E$2715,"",))</f>
        <v>WINNIPEG</v>
      </c>
      <c r="AF540" s="55" t="str">
        <f>IF($AC540="","",_xlfn.XLOOKUP($AC540,'[2]Client Info'!$C$2:$C$2715,'[2]Client Info'!$F$2:$F$2715,"",0,1))</f>
        <v>MB</v>
      </c>
      <c r="AG540" s="55" t="str">
        <f>IF(ISBLANK(Table26[[#This Row],[customerSKU]]),"",_xlfn.XLOOKUP(Table26[[#This Row],[customerSKU]],Table27[customer_SKU],Table27[billto],"",0,1))</f>
        <v/>
      </c>
      <c r="AH540" s="62" t="str">
        <f>_xlfn.XLOOKUP(Table26[[#This Row],[customerSKU]],customerSKU!G:G,customerSKU!K:K,"NA",0,1)</f>
        <v>NA</v>
      </c>
      <c r="AI540" s="43" t="str">
        <f>_xlfn.XLOOKUP(Table26[[#This Row],[customerSKU]],customerSKU!G:G,customerSKU!O:O,"not found",0,1)</f>
        <v>not found</v>
      </c>
      <c r="AJ540" s="53" t="e">
        <f>Table26[[#This Row],[unitprice]]*Table26[[#This Row],[quantity_unit]]</f>
        <v>#VALUE!</v>
      </c>
      <c r="AK540" s="53" t="e" cm="1">
        <f t="array" ref="AK5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1" spans="1:37" ht="18" customHeight="1">
      <c r="A541" s="42">
        <v>1728</v>
      </c>
      <c r="B541" s="58" t="s">
        <v>3520</v>
      </c>
      <c r="C541" s="53" t="s">
        <v>3360</v>
      </c>
      <c r="D541" s="51" t="str">
        <f>IF(Table26[[#This Row],[customerSKU]]="","","null")</f>
        <v>null</v>
      </c>
      <c r="E541" s="51"/>
      <c r="F54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1" s="46"/>
      <c r="H541" s="53"/>
      <c r="I541" s="53" t="s">
        <v>3862</v>
      </c>
      <c r="J541" s="53" t="s">
        <v>3811</v>
      </c>
      <c r="K541" s="48">
        <v>45600</v>
      </c>
      <c r="L541" s="49" t="str">
        <f>IF(Table26[[#This Row],[customerSKU]]="","",_xlfn.XLOOKUP(Table26[[#This Row],[customerSKU]],customerSKU!G:G,customerSKU!B:B,"",0,1))</f>
        <v/>
      </c>
      <c r="M541" s="53"/>
      <c r="N541" s="77" t="str">
        <f>Table26[[#This Row],[po_number]]&amp;"-"&amp;Table26[[#This Row],[po_line]]</f>
        <v>-1</v>
      </c>
      <c r="O541" s="77">
        <v>1</v>
      </c>
      <c r="P541" s="50"/>
      <c r="Q541" s="53" t="s">
        <v>1311</v>
      </c>
      <c r="R541" s="53" t="s">
        <v>3830</v>
      </c>
      <c r="S541" s="53" t="s">
        <v>57</v>
      </c>
      <c r="T541" s="20">
        <v>45532</v>
      </c>
      <c r="U541" s="52">
        <v>12</v>
      </c>
      <c r="V541" s="53" t="str">
        <f>IF(ISBLANK(Table26[[#This Row],[customerSKU]]),"",_xlfn.XLOOKUP(Table26[[#This Row],[customerSKU]],Table27[customer_SKU],Table27[case_size],"",0,1))</f>
        <v/>
      </c>
      <c r="W541" s="116" t="str">
        <f t="shared" si="20"/>
        <v/>
      </c>
      <c r="X541" s="53" t="str">
        <f t="shared" si="21"/>
        <v/>
      </c>
      <c r="Y541" s="53" t="str">
        <f>IF(Table26[[#This Row],[customerSKU]]="","",_xlfn.XLOOKUP(Table26[[#This Row],[customerSKU]],Table27[customer_SKU],Table27[product_GTIN],"",0,1))</f>
        <v/>
      </c>
      <c r="Z541" s="60">
        <v>61621</v>
      </c>
      <c r="AA541" s="18" t="str" cm="1">
        <f t="array" ref="AA541">IF(P541="", "", _xlfn.XLOOKUP(P541,#REF!,#REF!,NA,0,-1))</f>
        <v/>
      </c>
      <c r="AB541" s="53"/>
      <c r="AC541" s="55" t="s">
        <v>3638</v>
      </c>
      <c r="AD541" s="55" t="str">
        <f>IF($AC541="","",_xlfn.XLOOKUP($AC541,'[2]Client Info'!$C$2:$C$2535,'[2]Client Info'!$D$2:$D$2535,"",0,1))</f>
        <v>UNIT 2-481 RIVER AVE</v>
      </c>
      <c r="AE541" s="55" t="str">
        <f>IF($AC541="","",_xlfn.XLOOKUP($AC541,'[2]Client Info'!$C$2:$C$2715,'[2]Client Info'!$E$2:$E$2715,"",))</f>
        <v>Winnipeg</v>
      </c>
      <c r="AF541" s="55" t="str">
        <f>IF($AC541="","",_xlfn.XLOOKUP($AC541,'[2]Client Info'!$C$2:$C$2715,'[2]Client Info'!$F$2:$F$2715,"",0,1))</f>
        <v>MB</v>
      </c>
      <c r="AG541" s="55" t="str">
        <f>IF(ISBLANK(Table26[[#This Row],[customerSKU]]),"",_xlfn.XLOOKUP(Table26[[#This Row],[customerSKU]],Table27[customer_SKU],Table27[billto],"",0,1))</f>
        <v/>
      </c>
      <c r="AH541" s="62" t="str">
        <f>_xlfn.XLOOKUP(Table26[[#This Row],[customerSKU]],customerSKU!G:G,customerSKU!K:K,"NA",0,1)</f>
        <v>NA</v>
      </c>
      <c r="AI541" s="43" t="str">
        <f>_xlfn.XLOOKUP(Table26[[#This Row],[customerSKU]],customerSKU!G:G,customerSKU!O:O,"not found",0,1)</f>
        <v>not found</v>
      </c>
      <c r="AJ541" s="53" t="e">
        <f>Table26[[#This Row],[unitprice]]*Table26[[#This Row],[quantity_unit]]</f>
        <v>#VALUE!</v>
      </c>
      <c r="AK541" s="53" t="e" cm="1">
        <f t="array" ref="AK5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2" spans="1:37" ht="18" customHeight="1">
      <c r="A542" s="42">
        <v>1729</v>
      </c>
      <c r="B542" s="58" t="s">
        <v>3520</v>
      </c>
      <c r="C542" s="53" t="s">
        <v>3360</v>
      </c>
      <c r="D542" s="51" t="str">
        <f>IF(Table26[[#This Row],[customerSKU]]="","","null")</f>
        <v>null</v>
      </c>
      <c r="E542" s="51"/>
      <c r="F54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2" s="46"/>
      <c r="H542" s="53"/>
      <c r="I542" s="53" t="s">
        <v>3862</v>
      </c>
      <c r="J542" s="53" t="s">
        <v>3811</v>
      </c>
      <c r="K542" s="48">
        <v>45600</v>
      </c>
      <c r="L542" s="49" t="str">
        <f>IF(Table26[[#This Row],[customerSKU]]="","",_xlfn.XLOOKUP(Table26[[#This Row],[customerSKU]],customerSKU!G:G,customerSKU!B:B,"",0,1))</f>
        <v/>
      </c>
      <c r="M542" s="53"/>
      <c r="N542" s="77" t="str">
        <f>Table26[[#This Row],[po_number]]&amp;"-"&amp;Table26[[#This Row],[po_line]]</f>
        <v>-2</v>
      </c>
      <c r="O542" s="77">
        <v>2</v>
      </c>
      <c r="P542" s="50"/>
      <c r="Q542" s="53" t="s">
        <v>3859</v>
      </c>
      <c r="R542" s="53" t="s">
        <v>569</v>
      </c>
      <c r="S542" s="53" t="str">
        <f>IF(Table26[[#This Row],[customerSKU]]="","",_xlfn.XLOOKUP(Table26[[#This Row],[customerSKU]],customerSKU!G:G,customerSKU!N:N,"NOT FOUND",0,1))</f>
        <v>NOT FOUND</v>
      </c>
      <c r="T542" s="20">
        <v>45588</v>
      </c>
      <c r="U542" s="52">
        <v>12</v>
      </c>
      <c r="V542" s="53" t="str">
        <f>IF(ISBLANK(Table26[[#This Row],[customerSKU]]),"",_xlfn.XLOOKUP(Table26[[#This Row],[customerSKU]],Table27[customer_SKU],Table27[case_size],"",0,1))</f>
        <v/>
      </c>
      <c r="W542" s="116" t="str">
        <f t="shared" si="20"/>
        <v/>
      </c>
      <c r="X542" s="53" t="str">
        <f t="shared" si="21"/>
        <v/>
      </c>
      <c r="Y542" s="53" t="str">
        <f>IF(Table26[[#This Row],[customerSKU]]="","",_xlfn.XLOOKUP(Table26[[#This Row],[customerSKU]],Table27[customer_SKU],Table27[product_GTIN],"",0,1))</f>
        <v/>
      </c>
      <c r="Z542" s="25" t="s">
        <v>3381</v>
      </c>
      <c r="AA542" s="18" t="str" cm="1">
        <f t="array" ref="AA542">IF(P542="", "", _xlfn.XLOOKUP(P542,#REF!,#REF!,NA,0,-1))</f>
        <v/>
      </c>
      <c r="AB542" s="53"/>
      <c r="AC542" s="55" t="s">
        <v>3638</v>
      </c>
      <c r="AD542" s="55" t="str">
        <f>IF($AC542="","",_xlfn.XLOOKUP($AC542,'[2]Client Info'!$C$2:$C$2535,'[2]Client Info'!$D$2:$D$2535,"",0,1))</f>
        <v>UNIT 2-481 RIVER AVE</v>
      </c>
      <c r="AE542" s="55" t="str">
        <f>IF($AC542="","",_xlfn.XLOOKUP($AC542,'[2]Client Info'!$C$2:$C$2715,'[2]Client Info'!$E$2:$E$2715,"",))</f>
        <v>Winnipeg</v>
      </c>
      <c r="AF542" s="55" t="str">
        <f>IF($AC542="","",_xlfn.XLOOKUP($AC542,'[2]Client Info'!$C$2:$C$2715,'[2]Client Info'!$F$2:$F$2715,"",0,1))</f>
        <v>MB</v>
      </c>
      <c r="AG542" s="55" t="str">
        <f>IF(ISBLANK(Table26[[#This Row],[customerSKU]]),"",_xlfn.XLOOKUP(Table26[[#This Row],[customerSKU]],Table27[customer_SKU],Table27[billto],"",0,1))</f>
        <v/>
      </c>
      <c r="AH542" s="62" t="str">
        <f>_xlfn.XLOOKUP(Table26[[#This Row],[customerSKU]],customerSKU!G:G,customerSKU!K:K,"NA",0,1)</f>
        <v>NA</v>
      </c>
      <c r="AI542" s="43" t="str">
        <f>_xlfn.XLOOKUP(Table26[[#This Row],[customerSKU]],customerSKU!G:G,customerSKU!O:O,"not found",0,1)</f>
        <v>not found</v>
      </c>
      <c r="AJ542" s="53" t="e">
        <f>Table26[[#This Row],[unitprice]]*Table26[[#This Row],[quantity_unit]]</f>
        <v>#VALUE!</v>
      </c>
      <c r="AK542" s="53" t="e" cm="1">
        <f t="array" ref="AK5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3" spans="1:37" ht="18" customHeight="1">
      <c r="A543" s="42">
        <v>1730</v>
      </c>
      <c r="B543" s="58" t="s">
        <v>3520</v>
      </c>
      <c r="C543" s="53" t="s">
        <v>3360</v>
      </c>
      <c r="D543" s="51" t="str">
        <f>IF(Table26[[#This Row],[customerSKU]]="","","null")</f>
        <v>null</v>
      </c>
      <c r="E543" s="51"/>
      <c r="F54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3" s="46"/>
      <c r="H543" s="53"/>
      <c r="I543" s="53" t="s">
        <v>3862</v>
      </c>
      <c r="J543" s="53" t="s">
        <v>3811</v>
      </c>
      <c r="K543" s="48">
        <v>45600</v>
      </c>
      <c r="L543" s="49" t="str">
        <f>IF(Table26[[#This Row],[customerSKU]]="","",_xlfn.XLOOKUP(Table26[[#This Row],[customerSKU]],customerSKU!G:G,customerSKU!B:B,"",0,1))</f>
        <v/>
      </c>
      <c r="M543" s="53"/>
      <c r="N543" s="77" t="str">
        <f>Table26[[#This Row],[po_number]]&amp;"-"&amp;Table26[[#This Row],[po_line]]</f>
        <v>-3</v>
      </c>
      <c r="O543" s="77">
        <v>3</v>
      </c>
      <c r="P543" s="50"/>
      <c r="Q543" s="53" t="s">
        <v>1134</v>
      </c>
      <c r="R543" s="53" t="s">
        <v>569</v>
      </c>
      <c r="S543" s="53" t="str">
        <f>IF(Table26[[#This Row],[customerSKU]]="","",_xlfn.XLOOKUP(Table26[[#This Row],[customerSKU]],customerSKU!G:G,customerSKU!N:N,"NOT FOUND",0,1))</f>
        <v>NOT FOUND</v>
      </c>
      <c r="T543" s="20">
        <v>45581</v>
      </c>
      <c r="U543" s="52">
        <v>12</v>
      </c>
      <c r="V543" s="53" t="str">
        <f>IF(ISBLANK(Table26[[#This Row],[customerSKU]]),"",_xlfn.XLOOKUP(Table26[[#This Row],[customerSKU]],Table27[customer_SKU],Table27[case_size],"",0,1))</f>
        <v/>
      </c>
      <c r="W543" s="116" t="str">
        <f t="shared" si="20"/>
        <v/>
      </c>
      <c r="X543" s="53" t="str">
        <f t="shared" si="21"/>
        <v/>
      </c>
      <c r="Y543" s="53" t="str">
        <f>IF(Table26[[#This Row],[customerSKU]]="","",_xlfn.XLOOKUP(Table26[[#This Row],[customerSKU]],Table27[customer_SKU],Table27[product_GTIN],"",0,1))</f>
        <v/>
      </c>
      <c r="Z543" s="396">
        <v>61622</v>
      </c>
      <c r="AA543" s="18" t="str" cm="1">
        <f t="array" ref="AA543">IF(P543="", "", _xlfn.XLOOKUP(P543,#REF!,#REF!,NA,0,-1))</f>
        <v/>
      </c>
      <c r="AB543" s="53"/>
      <c r="AC543" s="55" t="s">
        <v>3638</v>
      </c>
      <c r="AD543" s="55" t="str">
        <f>IF($AC543="","",_xlfn.XLOOKUP($AC543,'[2]Client Info'!$C$2:$C$2535,'[2]Client Info'!$D$2:$D$2535,"",0,1))</f>
        <v>UNIT 2-481 RIVER AVE</v>
      </c>
      <c r="AE543" s="55" t="str">
        <f>IF($AC543="","",_xlfn.XLOOKUP($AC543,'[2]Client Info'!$C$2:$C$2715,'[2]Client Info'!$E$2:$E$2715,"",))</f>
        <v>Winnipeg</v>
      </c>
      <c r="AF543" s="55" t="str">
        <f>IF($AC543="","",_xlfn.XLOOKUP($AC543,'[2]Client Info'!$C$2:$C$2715,'[2]Client Info'!$F$2:$F$2715,"",0,1))</f>
        <v>MB</v>
      </c>
      <c r="AG543" s="55" t="str">
        <f>IF(ISBLANK(Table26[[#This Row],[customerSKU]]),"",_xlfn.XLOOKUP(Table26[[#This Row],[customerSKU]],Table27[customer_SKU],Table27[billto],"",0,1))</f>
        <v/>
      </c>
      <c r="AH543" s="62" t="str">
        <f>_xlfn.XLOOKUP(Table26[[#This Row],[customerSKU]],customerSKU!G:G,customerSKU!K:K,"NA",0,1)</f>
        <v>NA</v>
      </c>
      <c r="AI543" s="43" t="str">
        <f>_xlfn.XLOOKUP(Table26[[#This Row],[customerSKU]],customerSKU!G:G,customerSKU!O:O,"not found",0,1)</f>
        <v>not found</v>
      </c>
      <c r="AJ543" s="53" t="e">
        <f>Table26[[#This Row],[unitprice]]*Table26[[#This Row],[quantity_unit]]</f>
        <v>#VALUE!</v>
      </c>
      <c r="AK543" s="53" t="e" cm="1">
        <f t="array" ref="AK5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4" spans="1:37" ht="18" customHeight="1">
      <c r="A544" s="42">
        <v>1731</v>
      </c>
      <c r="B544" s="58" t="s">
        <v>3520</v>
      </c>
      <c r="C544" s="53" t="s">
        <v>3360</v>
      </c>
      <c r="D544" s="51" t="str">
        <f>IF(Table26[[#This Row],[customerSKU]]="","","null")</f>
        <v>null</v>
      </c>
      <c r="E544" s="51"/>
      <c r="F54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4" s="46"/>
      <c r="H544" s="53"/>
      <c r="I544" s="53" t="s">
        <v>3862</v>
      </c>
      <c r="J544" s="53" t="s">
        <v>3811</v>
      </c>
      <c r="K544" s="48">
        <v>45600</v>
      </c>
      <c r="L544" s="49" t="str">
        <f>IF(Table26[[#This Row],[customerSKU]]="","",_xlfn.XLOOKUP(Table26[[#This Row],[customerSKU]],customerSKU!G:G,customerSKU!B:B,"",0,1))</f>
        <v/>
      </c>
      <c r="M544" s="53"/>
      <c r="N544" s="77" t="str">
        <f>Table26[[#This Row],[po_number]]&amp;"-"&amp;Table26[[#This Row],[po_line]]</f>
        <v>-1</v>
      </c>
      <c r="O544" s="77">
        <v>1</v>
      </c>
      <c r="P544" s="50"/>
      <c r="Q544" s="53" t="s">
        <v>3847</v>
      </c>
      <c r="R544" s="53" t="s">
        <v>569</v>
      </c>
      <c r="S544" s="53" t="str">
        <f>IF(Table26[[#This Row],[customerSKU]]="","",_xlfn.XLOOKUP(Table26[[#This Row],[customerSKU]],customerSKU!G:G,customerSKU!N:N,"NOT FOUND",0,1))</f>
        <v>NOT FOUND</v>
      </c>
      <c r="T544" s="20">
        <v>45569</v>
      </c>
      <c r="U544" s="52">
        <v>12</v>
      </c>
      <c r="V544" s="53" t="str">
        <f>IF(ISBLANK(Table26[[#This Row],[customerSKU]]),"",_xlfn.XLOOKUP(Table26[[#This Row],[customerSKU]],Table27[customer_SKU],Table27[case_size],"",0,1))</f>
        <v/>
      </c>
      <c r="W544" s="116" t="str">
        <f t="shared" si="20"/>
        <v/>
      </c>
      <c r="X544" s="53" t="str">
        <f t="shared" si="21"/>
        <v/>
      </c>
      <c r="Y544" s="410" t="str">
        <f>IF(Table26[[#This Row],[customerSKU]]="","",_xlfn.XLOOKUP(Table26[[#This Row],[customerSKU]],Table27[customer_SKU],Table27[product_GTIN],"",0,1))</f>
        <v/>
      </c>
      <c r="Z544" s="60">
        <v>61619</v>
      </c>
      <c r="AA544" s="18" t="str" cm="1">
        <f t="array" ref="AA544">IF(P544="", "", _xlfn.XLOOKUP(P544,#REF!,#REF!,NA,0,-1))</f>
        <v/>
      </c>
      <c r="AB544" s="53"/>
      <c r="AC544" s="55" t="s">
        <v>4022</v>
      </c>
      <c r="AD544" s="55" t="str">
        <f>IF($AC544="","",_xlfn.XLOOKUP($AC544,'[2]Client Info'!$C$2:$C$2535,'[2]Client Info'!$D$2:$D$2535))</f>
        <v>UNIT 12A, 145 SUNSET BLVD</v>
      </c>
      <c r="AE544" s="55" t="str">
        <f>IF($AC544="","",_xlfn.XLOOKUP($AC544,'[2]Client Info'!$C$2:$C$2715,'[2]Client Info'!$E$2:$E$2715,"",))</f>
        <v>ARBORG</v>
      </c>
      <c r="AF544" s="55" t="str">
        <f>IF($AC544="","",_xlfn.XLOOKUP($AC544,'[2]Client Info'!$C$2:$C$2715,'[2]Client Info'!$F$2:$F$2715,"",0,1))</f>
        <v xml:space="preserve">MB </v>
      </c>
      <c r="AG544" s="55" t="str">
        <f>IF(ISBLANK(Table26[[#This Row],[customerSKU]]),"",_xlfn.XLOOKUP(Table26[[#This Row],[customerSKU]],Table27[customer_SKU],Table27[billto],"",0,1))</f>
        <v/>
      </c>
      <c r="AH544" s="62" t="str">
        <f>_xlfn.XLOOKUP(Table26[[#This Row],[customerSKU]],customerSKU!G:G,customerSKU!K:K,"NA",0,1)</f>
        <v>NA</v>
      </c>
      <c r="AI544" s="43" t="str">
        <f>_xlfn.XLOOKUP(Table26[[#This Row],[customerSKU]],customerSKU!G:G,customerSKU!O:O,"not found",0,1)</f>
        <v>not found</v>
      </c>
      <c r="AJ544" s="53" t="e">
        <f>Table26[[#This Row],[unitprice]]*Table26[[#This Row],[quantity_unit]]</f>
        <v>#VALUE!</v>
      </c>
      <c r="AK544" s="53" t="e" cm="1">
        <f t="array" ref="AK5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5" spans="1:37" ht="18" customHeight="1">
      <c r="A545" s="42">
        <v>1732</v>
      </c>
      <c r="B545" s="58" t="s">
        <v>3520</v>
      </c>
      <c r="C545" s="53" t="s">
        <v>3360</v>
      </c>
      <c r="D545" s="51" t="str">
        <f>IF(Table26[[#This Row],[customerSKU]]="","","null")</f>
        <v>null</v>
      </c>
      <c r="E545" s="51"/>
      <c r="F54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5" s="46"/>
      <c r="H545" s="53"/>
      <c r="I545" s="53" t="s">
        <v>3862</v>
      </c>
      <c r="J545" s="53" t="s">
        <v>3811</v>
      </c>
      <c r="K545" s="48">
        <v>45600</v>
      </c>
      <c r="L545" s="49" t="str">
        <f>IF(Table26[[#This Row],[customerSKU]]="","",_xlfn.XLOOKUP(Table26[[#This Row],[customerSKU]],customerSKU!G:G,customerSKU!B:B,"",0,1))</f>
        <v/>
      </c>
      <c r="M545" s="53"/>
      <c r="N545" s="77" t="str">
        <f>Table26[[#This Row],[po_number]]&amp;"-"&amp;Table26[[#This Row],[po_line]]</f>
        <v>-2</v>
      </c>
      <c r="O545" s="77">
        <v>2</v>
      </c>
      <c r="P545" s="50"/>
      <c r="Q545" s="53" t="s">
        <v>1376</v>
      </c>
      <c r="R545" s="53" t="s">
        <v>569</v>
      </c>
      <c r="S545" s="53" t="str">
        <f>IF(Table26[[#This Row],[customerSKU]]="","",_xlfn.XLOOKUP(Table26[[#This Row],[customerSKU]],customerSKU!G:G,customerSKU!N:N,"NOT FOUND",0,1))</f>
        <v>NOT FOUND</v>
      </c>
      <c r="T545" s="20">
        <v>45588</v>
      </c>
      <c r="U545" s="52">
        <v>12</v>
      </c>
      <c r="V545" s="53" t="str">
        <f>IF(ISBLANK(Table26[[#This Row],[customerSKU]]),"",_xlfn.XLOOKUP(Table26[[#This Row],[customerSKU]],Table27[customer_SKU],Table27[case_size],"",0,1))</f>
        <v/>
      </c>
      <c r="W545" s="116" t="str">
        <f t="shared" si="20"/>
        <v/>
      </c>
      <c r="X545" s="53" t="str">
        <f t="shared" ref="X545:X564" si="22">IFERROR($AA545*$U545, "")</f>
        <v/>
      </c>
      <c r="Y545" s="410" t="str">
        <f>IF(Table26[[#This Row],[customerSKU]]="","",_xlfn.XLOOKUP(Table26[[#This Row],[customerSKU]],Table27[customer_SKU],Table27[product_GTIN],"",0,1))</f>
        <v/>
      </c>
      <c r="Z545" s="25" t="s">
        <v>3455</v>
      </c>
      <c r="AA545" s="18" t="str" cm="1">
        <f t="array" ref="AA545">IF(P545="", "", _xlfn.XLOOKUP(P545,#REF!,#REF!,NA,0,-1))</f>
        <v/>
      </c>
      <c r="AB545" s="53"/>
      <c r="AC545" s="55" t="s">
        <v>4022</v>
      </c>
      <c r="AD545" s="55" t="str">
        <f>IF($AC545="","",_xlfn.XLOOKUP($AC545,'[2]Client Info'!$C$2:$C$2535,'[2]Client Info'!$D$2:$D$2535))</f>
        <v>UNIT 12A, 145 SUNSET BLVD</v>
      </c>
      <c r="AE545" s="55" t="str">
        <f>IF($AC545="","",_xlfn.XLOOKUP($AC545,'[2]Client Info'!$C$2:$C$2715,'[2]Client Info'!$E$2:$E$2715,"",))</f>
        <v>ARBORG</v>
      </c>
      <c r="AF545" s="55" t="str">
        <f>IF($AC545="","",_xlfn.XLOOKUP($AC545,'[2]Client Info'!$C$2:$C$2715,'[2]Client Info'!$F$2:$F$2715,"",0,1))</f>
        <v xml:space="preserve">MB </v>
      </c>
      <c r="AG545" s="55" t="str">
        <f>IF(ISBLANK(Table26[[#This Row],[customerSKU]]),"",_xlfn.XLOOKUP(Table26[[#This Row],[customerSKU]],Table27[customer_SKU],Table27[billto],"",0,1))</f>
        <v/>
      </c>
      <c r="AH545" s="62" t="str">
        <f>_xlfn.XLOOKUP(Table26[[#This Row],[customerSKU]],customerSKU!G:G,customerSKU!K:K,"NA",0,1)</f>
        <v>NA</v>
      </c>
      <c r="AI545" s="43" t="str">
        <f>_xlfn.XLOOKUP(Table26[[#This Row],[customerSKU]],customerSKU!G:G,customerSKU!O:O,"not found",0,1)</f>
        <v>not found</v>
      </c>
      <c r="AJ545" s="53" t="e">
        <f>Table26[[#This Row],[unitprice]]*Table26[[#This Row],[quantity_unit]]</f>
        <v>#VALUE!</v>
      </c>
      <c r="AK545" s="53" t="e" cm="1">
        <f t="array" ref="AK5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6" spans="1:37" ht="18" customHeight="1">
      <c r="A546" s="42">
        <v>1733</v>
      </c>
      <c r="B546" s="58" t="s">
        <v>3520</v>
      </c>
      <c r="C546" s="53" t="s">
        <v>3360</v>
      </c>
      <c r="D546" s="51" t="str">
        <f>IF(Table26[[#This Row],[customerSKU]]="","","null")</f>
        <v>null</v>
      </c>
      <c r="E546" s="51"/>
      <c r="F54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6" s="46"/>
      <c r="H546" s="53"/>
      <c r="I546" s="53" t="s">
        <v>3862</v>
      </c>
      <c r="J546" s="53" t="s">
        <v>3811</v>
      </c>
      <c r="K546" s="48">
        <v>45600</v>
      </c>
      <c r="L546" s="49" t="str">
        <f>IF(Table26[[#This Row],[customerSKU]]="","",_xlfn.XLOOKUP(Table26[[#This Row],[customerSKU]],customerSKU!G:G,customerSKU!B:B,"",0,1))</f>
        <v/>
      </c>
      <c r="M546" s="53"/>
      <c r="N546" s="77" t="str">
        <f>Table26[[#This Row],[po_number]]&amp;"-"&amp;Table26[[#This Row],[po_line]]</f>
        <v>-1</v>
      </c>
      <c r="O546" s="77">
        <v>1</v>
      </c>
      <c r="P546" s="50"/>
      <c r="Q546" s="53"/>
      <c r="R546" s="53"/>
      <c r="S546" s="53" t="str">
        <f>IF(Table26[[#This Row],[customerSKU]]="","",_xlfn.XLOOKUP(Table26[[#This Row],[customerSKU]],customerSKU!G:G,customerSKU!N:N,"NOT FOUND",0,1))</f>
        <v>NOT FOUND</v>
      </c>
      <c r="T546" s="20"/>
      <c r="U546" s="52">
        <v>12</v>
      </c>
      <c r="V546" s="53" t="str">
        <f>IF(ISBLANK(Table26[[#This Row],[customerSKU]]),"",_xlfn.XLOOKUP(Table26[[#This Row],[customerSKU]],Table27[customer_SKU],Table27[case_size],"",0,1))</f>
        <v/>
      </c>
      <c r="W546" s="116" t="str">
        <f t="shared" si="20"/>
        <v/>
      </c>
      <c r="X546" s="53" t="str">
        <f t="shared" si="22"/>
        <v/>
      </c>
      <c r="Y546" s="410" t="str">
        <f>IF(Table26[[#This Row],[customerSKU]]="","",_xlfn.XLOOKUP(Table26[[#This Row],[customerSKU]],Table27[customer_SKU],Table27[product_GTIN],"",0,1))</f>
        <v/>
      </c>
      <c r="Z546" s="60">
        <v>61616</v>
      </c>
      <c r="AA546" s="18" t="str" cm="1">
        <f t="array" ref="AA546">IF(P546="", "", _xlfn.XLOOKUP(P546,#REF!,#REF!,NA,0,-1))</f>
        <v/>
      </c>
      <c r="AB546" s="53"/>
      <c r="AC546" s="55" t="s">
        <v>51</v>
      </c>
      <c r="AD546" s="55" t="str">
        <f>IF($AC546="","",_xlfn.XLOOKUP($AC546,'[2]Client Info'!$C$2:$C$2535,'[2]Client Info'!$D$2:$D$2535,"",0,1))</f>
        <v>656 LEILA AVE</v>
      </c>
      <c r="AE546" s="55" t="str">
        <f>IF($AC546="","",_xlfn.XLOOKUP($AC546,'[2]Client Info'!$C$2:$C$2715,'[2]Client Info'!$E$2:$E$2715,"",))</f>
        <v>WINNIPEG</v>
      </c>
      <c r="AF546" s="55" t="str">
        <f>IF($AC546="","",_xlfn.XLOOKUP($AC546,'[2]Client Info'!$C$2:$C$2715,'[2]Client Info'!$F$2:$F$2715,"",0,1))</f>
        <v>MB</v>
      </c>
      <c r="AG546" s="55" t="str">
        <f>IF(ISBLANK(Table26[[#This Row],[customerSKU]]),"",_xlfn.XLOOKUP(Table26[[#This Row],[customerSKU]],Table27[customer_SKU],Table27[billto],"",0,1))</f>
        <v/>
      </c>
      <c r="AH546" s="62" t="str">
        <f>_xlfn.XLOOKUP(Table26[[#This Row],[customerSKU]],customerSKU!G:G,customerSKU!K:K,"NA",0,1)</f>
        <v>NA</v>
      </c>
      <c r="AI546" s="43" t="str">
        <f>_xlfn.XLOOKUP(Table26[[#This Row],[customerSKU]],customerSKU!G:G,customerSKU!O:O,"not found",0,1)</f>
        <v>not found</v>
      </c>
      <c r="AJ546" s="53" t="e">
        <f>Table26[[#This Row],[unitprice]]*Table26[[#This Row],[quantity_unit]]</f>
        <v>#VALUE!</v>
      </c>
      <c r="AK546" s="53" t="e" cm="1">
        <f t="array" ref="AK5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7" spans="1:37" ht="18" customHeight="1">
      <c r="A547" s="42">
        <v>1734</v>
      </c>
      <c r="B547" s="58" t="s">
        <v>3520</v>
      </c>
      <c r="C547" s="53" t="s">
        <v>3360</v>
      </c>
      <c r="D547" s="51" t="str">
        <f>IF(Table26[[#This Row],[customerSKU]]="","","null")</f>
        <v>null</v>
      </c>
      <c r="E547" s="51"/>
      <c r="F54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7" s="46"/>
      <c r="H547" s="53"/>
      <c r="I547" s="53" t="s">
        <v>3862</v>
      </c>
      <c r="J547" s="53" t="s">
        <v>3811</v>
      </c>
      <c r="K547" s="48">
        <v>45600</v>
      </c>
      <c r="L547" s="49" t="str">
        <f>IF(Table26[[#This Row],[customerSKU]]="","",_xlfn.XLOOKUP(Table26[[#This Row],[customerSKU]],customerSKU!G:G,customerSKU!B:B,"",0,1))</f>
        <v/>
      </c>
      <c r="M547" s="53"/>
      <c r="N547" s="77" t="str">
        <f>Table26[[#This Row],[po_number]]&amp;"-"&amp;Table26[[#This Row],[po_line]]</f>
        <v>-1</v>
      </c>
      <c r="O547" s="77">
        <v>1</v>
      </c>
      <c r="P547" s="50"/>
      <c r="Q547" s="53" t="s">
        <v>3847</v>
      </c>
      <c r="R547" s="53" t="s">
        <v>569</v>
      </c>
      <c r="S547" s="53" t="str">
        <f>IF(Table26[[#This Row],[customerSKU]]="","",_xlfn.XLOOKUP(Table26[[#This Row],[customerSKU]],customerSKU!G:G,customerSKU!N:N,"NOT FOUND",0,1))</f>
        <v>NOT FOUND</v>
      </c>
      <c r="T547" s="20">
        <v>45569</v>
      </c>
      <c r="U547" s="52">
        <v>12</v>
      </c>
      <c r="V547" s="53" t="str">
        <f>IF(ISBLANK(Table26[[#This Row],[customerSKU]]),"",_xlfn.XLOOKUP(Table26[[#This Row],[customerSKU]],Table27[customer_SKU],Table27[case_size],"",0,1))</f>
        <v/>
      </c>
      <c r="W547" s="116" t="str">
        <f t="shared" si="20"/>
        <v/>
      </c>
      <c r="X547" s="53" t="str">
        <f t="shared" si="22"/>
        <v/>
      </c>
      <c r="Y547" s="410" t="str">
        <f>IF(Table26[[#This Row],[customerSKU]]="","",_xlfn.XLOOKUP(Table26[[#This Row],[customerSKU]],Table27[customer_SKU],Table27[product_GTIN],"",0,1))</f>
        <v/>
      </c>
      <c r="Z547" s="60">
        <v>61619</v>
      </c>
      <c r="AA547" s="18" t="str" cm="1">
        <f t="array" ref="AA547">IF(P547="", "", _xlfn.XLOOKUP(P547,#REF!,#REF!,NA,0,-1))</f>
        <v/>
      </c>
      <c r="AB547" s="53"/>
      <c r="AC547" s="55" t="s">
        <v>53</v>
      </c>
      <c r="AD547" s="55" t="str">
        <f>IF($AC547="","",_xlfn.XLOOKUP($AC547,'[2]Client Info'!$C$2:$C$2535,'[2]Client Info'!$D$2:$D$2535,"",0,1))</f>
        <v>89-1st street south</v>
      </c>
      <c r="AE547" s="55" t="str">
        <f>IF($AC547="","",_xlfn.XLOOKUP($AC547,'[2]Client Info'!$C$2:$C$2715,'[2]Client Info'!$E$2:$E$2715,"",))</f>
        <v>Souris</v>
      </c>
      <c r="AF547" s="55" t="str">
        <f>IF($AC547="","",_xlfn.XLOOKUP($AC547,'[2]Client Info'!$C$2:$C$2715,'[2]Client Info'!$F$2:$F$2715,"",0,1))</f>
        <v>MB</v>
      </c>
      <c r="AG547" s="55" t="str">
        <f>IF(ISBLANK(Table26[[#This Row],[customerSKU]]),"",_xlfn.XLOOKUP(Table26[[#This Row],[customerSKU]],Table27[customer_SKU],Table27[billto],"",0,1))</f>
        <v/>
      </c>
      <c r="AH547" s="62" t="str">
        <f>_xlfn.XLOOKUP(Table26[[#This Row],[customerSKU]],customerSKU!G:G,customerSKU!K:K,"NA",0,1)</f>
        <v>NA</v>
      </c>
      <c r="AI547" s="43" t="str">
        <f>_xlfn.XLOOKUP(Table26[[#This Row],[customerSKU]],customerSKU!G:G,customerSKU!O:O,"not found",0,1)</f>
        <v>not found</v>
      </c>
      <c r="AJ547" s="53" t="e">
        <f>Table26[[#This Row],[unitprice]]*Table26[[#This Row],[quantity_unit]]</f>
        <v>#VALUE!</v>
      </c>
      <c r="AK547" s="53" t="e" cm="1">
        <f t="array" ref="AK5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8" spans="1:37" ht="18" customHeight="1">
      <c r="A548" s="42">
        <v>1735</v>
      </c>
      <c r="B548" s="58" t="s">
        <v>3520</v>
      </c>
      <c r="C548" s="53" t="s">
        <v>3360</v>
      </c>
      <c r="D548" s="51" t="str">
        <f>IF(Table26[[#This Row],[customerSKU]]="","","null")</f>
        <v>null</v>
      </c>
      <c r="E548" s="51"/>
      <c r="F548" s="53"/>
      <c r="G548" s="46"/>
      <c r="H548" s="53"/>
      <c r="I548" s="53" t="s">
        <v>3862</v>
      </c>
      <c r="J548" s="53" t="s">
        <v>3811</v>
      </c>
      <c r="K548" s="48">
        <v>45600</v>
      </c>
      <c r="L548" s="49" t="str">
        <f>IF(Table26[[#This Row],[customerSKU]]="","",_xlfn.XLOOKUP(Table26[[#This Row],[customerSKU]],customerSKU!G:G,customerSKU!B:B,"",0,1))</f>
        <v/>
      </c>
      <c r="M548" s="53"/>
      <c r="N548" s="77" t="str">
        <f>Table26[[#This Row],[po_number]]&amp;"-"&amp;Table26[[#This Row],[po_line]]</f>
        <v>-1</v>
      </c>
      <c r="O548" s="77">
        <v>1</v>
      </c>
      <c r="P548" s="50"/>
      <c r="Q548" s="53" t="s">
        <v>3847</v>
      </c>
      <c r="R548" s="53" t="s">
        <v>569</v>
      </c>
      <c r="S548" s="53" t="str">
        <f>IF(Table26[[#This Row],[customerSKU]]="","",_xlfn.XLOOKUP(Table26[[#This Row],[customerSKU]],customerSKU!G:G,customerSKU!N:N,"NOT FOUND",0,1))</f>
        <v>NOT FOUND</v>
      </c>
      <c r="T548" s="20">
        <v>45569</v>
      </c>
      <c r="U548" s="52">
        <v>12</v>
      </c>
      <c r="V548" s="53" t="str">
        <f>IF(ISBLANK(Table26[[#This Row],[customerSKU]]),"",_xlfn.XLOOKUP(Table26[[#This Row],[customerSKU]],Table27[customer_SKU],Table27[case_size],"",0,1))</f>
        <v/>
      </c>
      <c r="W548" s="116" t="str">
        <f t="shared" si="20"/>
        <v/>
      </c>
      <c r="X548" s="53" t="str">
        <f t="shared" si="22"/>
        <v/>
      </c>
      <c r="Y548" s="410" t="str">
        <f>IF(Table26[[#This Row],[customerSKU]]="","",_xlfn.XLOOKUP(Table26[[#This Row],[customerSKU]],Table27[customer_SKU],Table27[product_GTIN],"",0,1))</f>
        <v/>
      </c>
      <c r="Z548" s="60">
        <v>61619</v>
      </c>
      <c r="AA548" s="18" t="str" cm="1">
        <f t="array" ref="AA548">IF(P548="", "", _xlfn.XLOOKUP(P548,#REF!,#REF!,NA,0,-1))</f>
        <v/>
      </c>
      <c r="AB548" s="53"/>
      <c r="AC548" s="55" t="s">
        <v>130</v>
      </c>
      <c r="AD548" s="55" t="str">
        <f>IF($AC548="","",_xlfn.XLOOKUP($AC548,'[2]Client Info'!$C$2:$C$2535,'[2]Client Info'!$D$2:$D$2535))</f>
        <v>543 Broadway Ave</v>
      </c>
      <c r="AE548" s="55" t="str">
        <f>IF($AC548="","",_xlfn.XLOOKUP($AC548,'[2]Client Info'!$C$2:$C$2715,'[2]Client Info'!$E$2:$E$2715,"",))</f>
        <v>KILLARY</v>
      </c>
      <c r="AF548" s="55" t="str">
        <f>IF($AC548="","",_xlfn.XLOOKUP($AC548,'[2]Client Info'!$C$2:$C$2715,'[2]Client Info'!$F$2:$F$2715,"",0,1))</f>
        <v>MB</v>
      </c>
      <c r="AG548" s="55" t="str">
        <f>IF(ISBLANK(Table26[[#This Row],[customerSKU]]),"",_xlfn.XLOOKUP(Table26[[#This Row],[customerSKU]],Table27[customer_SKU],Table27[billto],"",0,1))</f>
        <v/>
      </c>
      <c r="AH548" s="62" t="str">
        <f>_xlfn.XLOOKUP(Table26[[#This Row],[customerSKU]],customerSKU!G:G,customerSKU!K:K,"NA",0,1)</f>
        <v>NA</v>
      </c>
      <c r="AI548" s="43" t="str">
        <f>_xlfn.XLOOKUP(Table26[[#This Row],[customerSKU]],customerSKU!G:G,customerSKU!O:O,"not found",0,1)</f>
        <v>not found</v>
      </c>
      <c r="AJ548" s="53" t="e">
        <f>Table26[[#This Row],[unitprice]]*Table26[[#This Row],[quantity_unit]]</f>
        <v>#VALUE!</v>
      </c>
      <c r="AK548" s="53" t="e" cm="1">
        <f t="array" ref="AK5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49" spans="1:37" ht="18" customHeight="1">
      <c r="A549" s="42">
        <v>1736</v>
      </c>
      <c r="B549" s="58" t="s">
        <v>3520</v>
      </c>
      <c r="C549" s="53" t="s">
        <v>3360</v>
      </c>
      <c r="D549" s="51" t="str">
        <f>IF(Table26[[#This Row],[customerSKU]]="","","null")</f>
        <v>null</v>
      </c>
      <c r="E549" s="51"/>
      <c r="F54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49" s="46"/>
      <c r="H549" s="53"/>
      <c r="I549" s="53" t="s">
        <v>3862</v>
      </c>
      <c r="J549" s="53" t="s">
        <v>3811</v>
      </c>
      <c r="K549" s="48">
        <v>45600</v>
      </c>
      <c r="L549" s="49" t="str">
        <f>IF(Table26[[#This Row],[customerSKU]]="","",_xlfn.XLOOKUP(Table26[[#This Row],[customerSKU]],customerSKU!G:G,customerSKU!B:B,"",0,1))</f>
        <v/>
      </c>
      <c r="M549" s="53"/>
      <c r="N549" s="77" t="str">
        <f>Table26[[#This Row],[po_number]]&amp;"-"&amp;Table26[[#This Row],[po_line]]</f>
        <v>-1</v>
      </c>
      <c r="O549" s="77">
        <v>1</v>
      </c>
      <c r="P549" s="50"/>
      <c r="Q549" s="53" t="s">
        <v>3847</v>
      </c>
      <c r="R549" s="53" t="s">
        <v>569</v>
      </c>
      <c r="S549" s="53" t="str">
        <f>IF(Table26[[#This Row],[customerSKU]]="","",_xlfn.XLOOKUP(Table26[[#This Row],[customerSKU]],customerSKU!G:G,customerSKU!N:N,"NOT FOUND",0,1))</f>
        <v>NOT FOUND</v>
      </c>
      <c r="T549" s="20">
        <v>45569</v>
      </c>
      <c r="U549" s="52">
        <v>12</v>
      </c>
      <c r="V549" s="53" t="str">
        <f>IF(ISBLANK(Table26[[#This Row],[customerSKU]]),"",_xlfn.XLOOKUP(Table26[[#This Row],[customerSKU]],Table27[customer_SKU],Table27[case_size],"",0,1))</f>
        <v/>
      </c>
      <c r="W549" s="116" t="str">
        <f t="shared" si="20"/>
        <v/>
      </c>
      <c r="X549" s="53" t="str">
        <f t="shared" si="22"/>
        <v/>
      </c>
      <c r="Y549" s="410" t="str">
        <f>IF(Table26[[#This Row],[customerSKU]]="","",_xlfn.XLOOKUP(Table26[[#This Row],[customerSKU]],Table27[customer_SKU],Table27[product_GTIN],"",0,1))</f>
        <v/>
      </c>
      <c r="Z549" s="60">
        <v>61619</v>
      </c>
      <c r="AA549" s="18" t="str" cm="1">
        <f t="array" ref="AA549">IF(P549="", "", _xlfn.XLOOKUP(P549,#REF!,#REF!,NA,0,-1))</f>
        <v/>
      </c>
      <c r="AB549" s="53"/>
      <c r="AC549" s="55" t="str">
        <f>IF(Table26[[#This Row],[customerSKU]]="","",_xlfn.XLOOKUP(Table26[[#This Row],[customerSKU]],customerSKU!G:G,customerSKU!C:C,"",0,1))</f>
        <v/>
      </c>
      <c r="AD549" s="55" t="str">
        <f>IF($AC549="","",_xlfn.XLOOKUP($AC549,'[2]Client Info'!$C$2:$C$2535,'[2]Client Info'!$D$2:$D$2535,"",0,1))</f>
        <v/>
      </c>
      <c r="AE549" s="55" t="str">
        <f>IF($AC549="","",_xlfn.XLOOKUP($AC549,'[2]Client Info'!$C$2:$C$2715,'[2]Client Info'!$E$2:$E$2715,"",))</f>
        <v/>
      </c>
      <c r="AF549" s="55" t="str">
        <f>IF($AC549="","",_xlfn.XLOOKUP($AC549,'[2]Client Info'!$C$2:$C$2715,'[2]Client Info'!$F$2:$F$2715,"",0,1))</f>
        <v/>
      </c>
      <c r="AG549" s="55" t="str">
        <f>IF(ISBLANK(Table26[[#This Row],[customerSKU]]),"",_xlfn.XLOOKUP(Table26[[#This Row],[customerSKU]],Table27[customer_SKU],Table27[billto],"",0,1))</f>
        <v/>
      </c>
      <c r="AH549" s="62" t="str">
        <f>_xlfn.XLOOKUP(Table26[[#This Row],[customerSKU]],customerSKU!G:G,customerSKU!K:K,"NA",0,1)</f>
        <v>NA</v>
      </c>
      <c r="AI549" s="43" t="str">
        <f>_xlfn.XLOOKUP(Table26[[#This Row],[customerSKU]],customerSKU!G:G,customerSKU!O:O,"not found",0,1)</f>
        <v>not found</v>
      </c>
      <c r="AJ549" s="53" t="e">
        <f>Table26[[#This Row],[unitprice]]*Table26[[#This Row],[quantity_unit]]</f>
        <v>#VALUE!</v>
      </c>
      <c r="AK549" s="53" t="e" cm="1">
        <f t="array" ref="AK5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50" spans="1:37" ht="18" customHeight="1">
      <c r="A550" s="42">
        <v>1737</v>
      </c>
      <c r="B550" s="58" t="s">
        <v>3520</v>
      </c>
      <c r="C550" s="53" t="s">
        <v>3360</v>
      </c>
      <c r="D550" s="51" t="str">
        <f>IF(Table26[[#This Row],[customerSKU]]="","","null")</f>
        <v>null</v>
      </c>
      <c r="E550" s="51"/>
      <c r="F55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0" s="46"/>
      <c r="H550" s="53"/>
      <c r="I550" s="53" t="s">
        <v>3862</v>
      </c>
      <c r="J550" s="53" t="s">
        <v>3811</v>
      </c>
      <c r="K550" s="48">
        <v>45600</v>
      </c>
      <c r="L550" s="49" t="str">
        <f>IF(Table26[[#This Row],[customerSKU]]="","",_xlfn.XLOOKUP(Table26[[#This Row],[customerSKU]],customerSKU!G:G,customerSKU!B:B,"",0,1))</f>
        <v/>
      </c>
      <c r="M550" s="53"/>
      <c r="N550" s="77" t="str">
        <f>Table26[[#This Row],[po_number]]&amp;"-"&amp;Table26[[#This Row],[po_line]]</f>
        <v>-1</v>
      </c>
      <c r="O550" s="77">
        <v>1</v>
      </c>
      <c r="P550" s="50"/>
      <c r="Q550" s="53" t="s">
        <v>3859</v>
      </c>
      <c r="R550" s="53" t="s">
        <v>569</v>
      </c>
      <c r="S550" s="53" t="str">
        <f>IF(Table26[[#This Row],[customerSKU]]="","",_xlfn.XLOOKUP(Table26[[#This Row],[customerSKU]],customerSKU!G:G,customerSKU!N:N,"NOT FOUND",0,1))</f>
        <v>NOT FOUND</v>
      </c>
      <c r="T550" s="20">
        <v>45588</v>
      </c>
      <c r="U550" s="52">
        <v>12</v>
      </c>
      <c r="V550" s="53" t="str">
        <f>IF(ISBLANK(Table26[[#This Row],[customerSKU]]),"",_xlfn.XLOOKUP(Table26[[#This Row],[customerSKU]],Table27[customer_SKU],Table27[case_size],"",0,1))</f>
        <v/>
      </c>
      <c r="W550" s="116" t="str">
        <f t="shared" si="20"/>
        <v/>
      </c>
      <c r="X550" s="53" t="str">
        <f t="shared" si="22"/>
        <v/>
      </c>
      <c r="Y550" s="53" t="str">
        <f>IF(Table26[[#This Row],[customerSKU]]="","",_xlfn.XLOOKUP(Table26[[#This Row],[customerSKU]],Table27[customer_SKU],Table27[product_GTIN],"",0,1))</f>
        <v/>
      </c>
      <c r="Z550" s="25" t="s">
        <v>3381</v>
      </c>
      <c r="AA550" s="18" t="str" cm="1">
        <f t="array" ref="AA550">IF(P550="", "", _xlfn.XLOOKUP(P550,#REF!,#REF!,NA,0,-1))</f>
        <v/>
      </c>
      <c r="AB550" s="53"/>
      <c r="AC550" s="55" t="str">
        <f>IF(Table26[[#This Row],[customerSKU]]="","",_xlfn.XLOOKUP(Table26[[#This Row],[customerSKU]],customerSKU!G:G,customerSKU!C:C,"",0,1))</f>
        <v/>
      </c>
      <c r="AD550" s="55" t="str">
        <f>IF($AC550="","",_xlfn.XLOOKUP($AC550,'[2]Client Info'!$C$2:$C$2535,'[2]Client Info'!$D$2:$D$2535,"",0,1))</f>
        <v/>
      </c>
      <c r="AE550" s="55" t="str">
        <f>IF($AC550="","",_xlfn.XLOOKUP($AC550,'[2]Client Info'!$C$2:$C$2715,'[2]Client Info'!$E$2:$E$2715,"",))</f>
        <v/>
      </c>
      <c r="AF550" s="55" t="str">
        <f>IF($AC550="","",_xlfn.XLOOKUP($AC550,'[2]Client Info'!$C$2:$C$2715,'[2]Client Info'!$F$2:$F$2715,"",0,1))</f>
        <v/>
      </c>
      <c r="AG550" s="55" t="str">
        <f>IF(ISBLANK(Table26[[#This Row],[customerSKU]]),"",_xlfn.XLOOKUP(Table26[[#This Row],[customerSKU]],Table27[customer_SKU],Table27[billto],"",0,1))</f>
        <v/>
      </c>
      <c r="AH550" s="62" t="str">
        <f>_xlfn.XLOOKUP(Table26[[#This Row],[customerSKU]],customerSKU!G:G,customerSKU!K:K,"NA",0,1)</f>
        <v>NA</v>
      </c>
      <c r="AI550" s="43" t="str">
        <f>_xlfn.XLOOKUP(Table26[[#This Row],[customerSKU]],customerSKU!G:G,customerSKU!O:O,"not found",0,1)</f>
        <v>not found</v>
      </c>
      <c r="AJ550" s="53" t="e">
        <f>Table26[[#This Row],[unitprice]]*Table26[[#This Row],[quantity_unit]]</f>
        <v>#VALUE!</v>
      </c>
      <c r="AK550" s="53" t="e" cm="1">
        <f t="array" ref="AK5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51" spans="1:37" ht="18" customHeight="1">
      <c r="A551" s="42">
        <v>1671</v>
      </c>
      <c r="B551" s="58" t="s">
        <v>3520</v>
      </c>
      <c r="C551" s="53" t="s">
        <v>3360</v>
      </c>
      <c r="D551" s="51" t="str">
        <f>IF(Table26[[#This Row],[customerSKU]]="","","null")</f>
        <v>null</v>
      </c>
      <c r="E551" s="51"/>
      <c r="F55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1" s="46"/>
      <c r="H551" s="53"/>
      <c r="I551" s="53" t="s">
        <v>3818</v>
      </c>
      <c r="J551" s="53" t="s">
        <v>3811</v>
      </c>
      <c r="K551" s="48">
        <v>45602</v>
      </c>
      <c r="L551" s="49" t="str">
        <f>IF(Table26[[#This Row],[customerSKU]]="","",_xlfn.XLOOKUP(Table26[[#This Row],[customerSKU]],customerSKU!G:G,customerSKU!B:B,"",0,1))</f>
        <v/>
      </c>
      <c r="M551" s="53"/>
      <c r="N551" s="77" t="str">
        <f>Table26[[#This Row],[po_number]]&amp;"-"&amp;Table26[[#This Row],[po_line]]</f>
        <v>-1</v>
      </c>
      <c r="O551" s="77">
        <v>1</v>
      </c>
      <c r="P551" s="50"/>
      <c r="Q551" s="53"/>
      <c r="R551" s="53"/>
      <c r="S551" s="53" t="str">
        <f>IF(Table26[[#This Row],[customerSKU]]="","",_xlfn.XLOOKUP(Table26[[#This Row],[customerSKU]],customerSKU!G:G,customerSKU!N:N,"NOT FOUND",0,1))</f>
        <v>NOT FOUND</v>
      </c>
      <c r="T551" s="20"/>
      <c r="U551" s="52">
        <v>24</v>
      </c>
      <c r="V551" s="53" t="str">
        <f>IF(ISBLANK(Table26[[#This Row],[customerSKU]]),"",_xlfn.XLOOKUP(Table26[[#This Row],[customerSKU]],Table27[customer_SKU],Table27[case_size],"",0,1))</f>
        <v/>
      </c>
      <c r="W551" s="116" t="str">
        <f t="shared" si="20"/>
        <v/>
      </c>
      <c r="X551" s="53" t="str">
        <f t="shared" si="22"/>
        <v/>
      </c>
      <c r="Y551" s="53" t="str">
        <f>IF(Table26[[#This Row],[customerSKU]]="","",_xlfn.XLOOKUP(Table26[[#This Row],[customerSKU]],Table27[customer_SKU],Table27[product_GTIN],"",0,1))</f>
        <v/>
      </c>
      <c r="Z551" s="25" t="s">
        <v>3451</v>
      </c>
      <c r="AA551" s="18" t="str" cm="1">
        <f t="array" ref="AA551">IF(P551="", "", _xlfn.XLOOKUP(P551,#REF!,#REF!,NA,0,-1))</f>
        <v/>
      </c>
      <c r="AB551" s="53"/>
      <c r="AC551" s="55" t="str">
        <f>IF(Table26[[#This Row],[customerSKU]]="","",_xlfn.XLOOKUP(Table26[[#This Row],[customerSKU]],customerSKU!G:G,customerSKU!C:C,"",0,1))</f>
        <v/>
      </c>
      <c r="AD551" s="55" t="str">
        <f>IF($AC551="","",_xlfn.XLOOKUP($AC551,'[2]Client Info'!$C$2:$C$2535,'[2]Client Info'!$D$2:$D$2535,"",0,1))</f>
        <v/>
      </c>
      <c r="AE551" s="55" t="str">
        <f>IF($AC551="","",_xlfn.XLOOKUP($AC551,'[2]Client Info'!$C$2:$C$2715,'[2]Client Info'!$E$2:$E$2715,"",))</f>
        <v/>
      </c>
      <c r="AF551" s="55" t="str">
        <f>IF($AC551="","",_xlfn.XLOOKUP($AC551,'[2]Client Info'!$C$2:$C$2715,'[2]Client Info'!$F$2:$F$2715,"",0,1))</f>
        <v/>
      </c>
      <c r="AG551" s="55" t="str">
        <f>IF(ISBLANK(Table26[[#This Row],[customerSKU]]),"",_xlfn.XLOOKUP(Table26[[#This Row],[customerSKU]],Table27[customer_SKU],Table27[billto],"",0,1))</f>
        <v/>
      </c>
      <c r="AH551" s="62" t="str">
        <f>_xlfn.XLOOKUP(Table26[[#This Row],[customerSKU]],customerSKU!G:G,customerSKU!K:K,"NA",0,1)</f>
        <v>NA</v>
      </c>
      <c r="AI551" s="43" t="str">
        <f>_xlfn.XLOOKUP(Table26[[#This Row],[customerSKU]],customerSKU!G:G,customerSKU!O:O,"not found",0,1)</f>
        <v>not found</v>
      </c>
      <c r="AJ551" s="53" t="e">
        <f>Table26[[#This Row],[unitprice]]*Table26[[#This Row],[quantity_unit]]</f>
        <v>#VALUE!</v>
      </c>
      <c r="AK551" s="53" t="e" cm="1">
        <f t="array" ref="AK5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52" spans="1:37" ht="18" customHeight="1">
      <c r="A552" s="42">
        <v>1672</v>
      </c>
      <c r="B552" s="58" t="s">
        <v>3520</v>
      </c>
      <c r="C552" s="53" t="s">
        <v>3360</v>
      </c>
      <c r="D552" s="51">
        <v>45621</v>
      </c>
      <c r="E552" s="51"/>
      <c r="F55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2" s="46"/>
      <c r="H552" s="53"/>
      <c r="I552" s="53" t="s">
        <v>3818</v>
      </c>
      <c r="J552" s="53" t="s">
        <v>3811</v>
      </c>
      <c r="K552" s="48">
        <v>45602</v>
      </c>
      <c r="L552" s="49" t="str">
        <f>IF(Table26[[#This Row],[customerSKU]]="","",_xlfn.XLOOKUP(Table26[[#This Row],[customerSKU]],customerSKU!G:G,customerSKU!B:B,"",0,1))</f>
        <v/>
      </c>
      <c r="M552" s="53"/>
      <c r="N552" s="77" t="str">
        <f>Table26[[#This Row],[po_number]]&amp;"-"&amp;Table26[[#This Row],[po_line]]</f>
        <v>-1</v>
      </c>
      <c r="O552" s="77">
        <v>1</v>
      </c>
      <c r="P552" s="50"/>
      <c r="Q552" s="53"/>
      <c r="R552" s="53"/>
      <c r="S552" s="53" t="str">
        <f>IF(Table26[[#This Row],[customerSKU]]="","",_xlfn.XLOOKUP(Table26[[#This Row],[customerSKU]],customerSKU!G:G,customerSKU!N:N,"NOT FOUND",0,1))</f>
        <v>NOT FOUND</v>
      </c>
      <c r="T552" s="20"/>
      <c r="U552" s="52">
        <v>12</v>
      </c>
      <c r="V552" s="53" t="str">
        <f>IF(ISBLANK(Table26[[#This Row],[customerSKU]]),"",_xlfn.XLOOKUP(Table26[[#This Row],[customerSKU]],Table27[customer_SKU],Table27[case_size],"",0,1))</f>
        <v/>
      </c>
      <c r="W552" s="116" t="str">
        <f t="shared" si="20"/>
        <v/>
      </c>
      <c r="X552" s="53" t="str">
        <f t="shared" si="22"/>
        <v/>
      </c>
      <c r="Y552" s="53" t="str">
        <f>IF(Table26[[#This Row],[customerSKU]]="","",_xlfn.XLOOKUP(Table26[[#This Row],[customerSKU]],Table27[customer_SKU],Table27[product_GTIN],"",0,1))</f>
        <v/>
      </c>
      <c r="Z552" s="25" t="s">
        <v>3538</v>
      </c>
      <c r="AA552" s="18" t="str" cm="1">
        <f t="array" ref="AA552">IF(P552="", "", _xlfn.XLOOKUP(P552,#REF!,#REF!,NA,0,-1))</f>
        <v/>
      </c>
      <c r="AB552" s="53"/>
      <c r="AC552" s="55" t="str">
        <f>IF(Table26[[#This Row],[customerSKU]]="","",_xlfn.XLOOKUP(Table26[[#This Row],[customerSKU]],customerSKU!G:G,customerSKU!C:C,"",0,1))</f>
        <v/>
      </c>
      <c r="AD552" s="55" t="str">
        <f>IF($AC552="","",_xlfn.XLOOKUP($AC552,'[2]Client Info'!$C$2:$C$2535,'[2]Client Info'!$D$2:$D$2535,"",0,1))</f>
        <v/>
      </c>
      <c r="AE552" s="55" t="str">
        <f>IF($AC552="","",_xlfn.XLOOKUP($AC552,'[2]Client Info'!$C$2:$C$2715,'[2]Client Info'!$E$2:$E$2715,"",))</f>
        <v/>
      </c>
      <c r="AF552" s="55" t="str">
        <f>IF($AC552="","",_xlfn.XLOOKUP($AC552,'[2]Client Info'!$C$2:$C$2715,'[2]Client Info'!$F$2:$F$2715,"",0,1))</f>
        <v/>
      </c>
      <c r="AG552" s="55" t="str">
        <f>IF(ISBLANK(Table26[[#This Row],[customerSKU]]),"",_xlfn.XLOOKUP(Table26[[#This Row],[customerSKU]],Table27[customer_SKU],Table27[billto],"",0,1))</f>
        <v/>
      </c>
      <c r="AH552" s="62" t="str">
        <f>_xlfn.XLOOKUP(Table26[[#This Row],[customerSKU]],customerSKU!G:G,customerSKU!K:K,"NA",0,1)</f>
        <v>NA</v>
      </c>
      <c r="AI552" s="43" t="str">
        <f>_xlfn.XLOOKUP(Table26[[#This Row],[customerSKU]],customerSKU!G:G,customerSKU!O:O,"not found",0,1)</f>
        <v>not found</v>
      </c>
      <c r="AJ552" s="53" t="e">
        <f>Table26[[#This Row],[unitprice]]*Table26[[#This Row],[quantity_unit]]</f>
        <v>#VALUE!</v>
      </c>
      <c r="AK552" s="53" t="e" cm="1">
        <f t="array" ref="AK5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553" spans="1:37" ht="18" customHeight="1">
      <c r="A553" s="42">
        <v>1673</v>
      </c>
      <c r="B553" s="58" t="s">
        <v>3520</v>
      </c>
      <c r="C553" s="53" t="s">
        <v>203</v>
      </c>
      <c r="D553" s="51">
        <v>45597</v>
      </c>
      <c r="E553" s="51"/>
      <c r="F55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3" s="46"/>
      <c r="H553" s="53"/>
      <c r="I553" s="53" t="s">
        <v>3862</v>
      </c>
      <c r="J553" s="53" t="str">
        <f>IF(Table26[[#This Row],[customerSKU]]="","",_xlfn.XLOOKUP(Table26[[#This Row],[customerSKU]],customerSKU!G:G,customerSKU!A:A,"",0,1))</f>
        <v/>
      </c>
      <c r="K553" s="48">
        <v>45602</v>
      </c>
      <c r="L553" s="49" t="str">
        <f>IF(Table26[[#This Row],[customerSKU]]="","",_xlfn.XLOOKUP(Table26[[#This Row],[customerSKU]],customerSKU!G:G,customerSKU!B:B,"",0,1))</f>
        <v/>
      </c>
      <c r="M553" s="53"/>
      <c r="N553" s="77" t="str">
        <f>Table26[[#This Row],[po_number]]&amp;"-"&amp;Table26[[#This Row],[po_line]]</f>
        <v>-1</v>
      </c>
      <c r="O553" s="77">
        <v>1</v>
      </c>
      <c r="P553" s="50"/>
      <c r="Q553" s="53" t="s">
        <v>3887</v>
      </c>
      <c r="R553" s="53" t="s">
        <v>569</v>
      </c>
      <c r="S553" s="53" t="str">
        <f>IF(Table26[[#This Row],[customerSKU]]="","",_xlfn.XLOOKUP(Table26[[#This Row],[customerSKU]],customerSKU!G:G,customerSKU!N:N,"NOT FOUND",0,1))</f>
        <v>NOT FOUND</v>
      </c>
      <c r="T553" s="51">
        <v>45597</v>
      </c>
      <c r="U553" s="52">
        <v>72</v>
      </c>
      <c r="V553" s="53" t="str">
        <f>IF(ISBLANK(Table26[[#This Row],[customerSKU]]),"",_xlfn.XLOOKUP(Table26[[#This Row],[customerSKU]],Table27[customer_SKU],Table27[case_size],"",0,1))</f>
        <v/>
      </c>
      <c r="W553" s="116" t="str">
        <f t="shared" si="20"/>
        <v/>
      </c>
      <c r="X553" s="53" t="str">
        <f t="shared" si="22"/>
        <v/>
      </c>
      <c r="Y553" s="53" t="str">
        <f>IF(Table26[[#This Row],[customerSKU]]="","",_xlfn.XLOOKUP(Table26[[#This Row],[customerSKU]],Table27[customer_SKU],Table27[product_GTIN],"",0,1))</f>
        <v/>
      </c>
      <c r="Z553" s="60">
        <v>992356</v>
      </c>
      <c r="AA553" s="18" t="str" cm="1">
        <f t="array" ref="AA553">IF(P553="", "", _xlfn.XLOOKUP(P553,#REF!,#REF!,NA,0,-1))</f>
        <v/>
      </c>
      <c r="AB553" s="53"/>
      <c r="AC553" s="55" t="str">
        <f>IF(Table26[[#This Row],[customerSKU]]="","",_xlfn.XLOOKUP(Table26[[#This Row],[customerSKU]],customerSKU!G:G,customerSKU!C:C,"",0,1))</f>
        <v/>
      </c>
      <c r="AD553" s="55" t="str">
        <f>IF($AC553="","",_xlfn.XLOOKUP($AC553,'[2]Client Info'!$C$2:$C$2535,'[2]Client Info'!$D$2:$D$2535,"",0,1))</f>
        <v/>
      </c>
      <c r="AE553" s="55" t="str">
        <f>IF($AC553="","",_xlfn.XLOOKUP($AC553,'[2]Client Info'!$C$2:$C$2715,'[2]Client Info'!$E$2:$E$2715,"",))</f>
        <v/>
      </c>
      <c r="AF553" s="55" t="str">
        <f>IF($AC553="","",_xlfn.XLOOKUP($AC553,'[2]Client Info'!$C$2:$C$2715,'[2]Client Info'!$F$2:$F$2715,"",0,1))</f>
        <v/>
      </c>
      <c r="AG553" s="55" t="str">
        <f>IF(ISBLANK(Table26[[#This Row],[customerSKU]]),"",_xlfn.XLOOKUP(Table26[[#This Row],[customerSKU]],Table27[customer_SKU],Table27[billto],"",0,1))</f>
        <v/>
      </c>
      <c r="AH553" s="62" t="str">
        <f>_xlfn.XLOOKUP(Table26[[#This Row],[customerSKU]],customerSKU!G:G,customerSKU!K:K,"NA",0,1)</f>
        <v>NA</v>
      </c>
      <c r="AI553" s="43" t="str">
        <f>_xlfn.XLOOKUP(Table26[[#This Row],[customerSKU]],customerSKU!G:G,customerSKU!O:O,"not found",0,1)</f>
        <v>not found</v>
      </c>
      <c r="AJ553" s="59" t="e">
        <f>Table26[[#This Row],[unitprice]]*Table26[[#This Row],[quantity_unit]]</f>
        <v>#VALUE!</v>
      </c>
      <c r="AK553" s="59" t="e" cm="1">
        <f t="array" ref="AK5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4" spans="1:37" ht="18" customHeight="1">
      <c r="A554" s="42">
        <v>1674</v>
      </c>
      <c r="B554" s="58" t="s">
        <v>3520</v>
      </c>
      <c r="C554" s="53" t="s">
        <v>203</v>
      </c>
      <c r="D554" s="51">
        <v>45597</v>
      </c>
      <c r="E554" s="51"/>
      <c r="F55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4" s="46"/>
      <c r="H554" s="53"/>
      <c r="I554" s="53" t="s">
        <v>3862</v>
      </c>
      <c r="J554" s="53" t="str">
        <f>IF(Table26[[#This Row],[customerSKU]]="","",_xlfn.XLOOKUP(Table26[[#This Row],[customerSKU]],customerSKU!G:G,customerSKU!A:A,"",0,1))</f>
        <v/>
      </c>
      <c r="K554" s="48">
        <v>45602</v>
      </c>
      <c r="L554" s="49" t="str">
        <f>IF(Table26[[#This Row],[customerSKU]]="","",_xlfn.XLOOKUP(Table26[[#This Row],[customerSKU]],customerSKU!G:G,customerSKU!B:B,"",0,1))</f>
        <v/>
      </c>
      <c r="M554" s="53"/>
      <c r="N554" s="77" t="str">
        <f>Table26[[#This Row],[po_number]]&amp;"-"&amp;Table26[[#This Row],[po_line]]</f>
        <v>-2</v>
      </c>
      <c r="O554" s="77">
        <v>2</v>
      </c>
      <c r="P554" s="50"/>
      <c r="Q554" s="53" t="s">
        <v>1382</v>
      </c>
      <c r="R554" s="53" t="s">
        <v>569</v>
      </c>
      <c r="S554" s="53" t="str">
        <f>IF(Table26[[#This Row],[customerSKU]]="","",_xlfn.XLOOKUP(Table26[[#This Row],[customerSKU]],customerSKU!G:G,customerSKU!N:N,"NOT FOUND",0,1))</f>
        <v>NOT FOUND</v>
      </c>
      <c r="T554" s="51">
        <v>45594</v>
      </c>
      <c r="U554" s="52">
        <v>36</v>
      </c>
      <c r="V554" s="53" t="str">
        <f>IF(ISBLANK(Table26[[#This Row],[customerSKU]]),"",_xlfn.XLOOKUP(Table26[[#This Row],[customerSKU]],Table27[customer_SKU],Table27[case_size],"",0,1))</f>
        <v/>
      </c>
      <c r="W554" s="116" t="str">
        <f t="shared" si="20"/>
        <v/>
      </c>
      <c r="X554" s="53" t="str">
        <f t="shared" si="22"/>
        <v/>
      </c>
      <c r="Y554" s="53" t="str">
        <f>IF(Table26[[#This Row],[customerSKU]]="","",_xlfn.XLOOKUP(Table26[[#This Row],[customerSKU]],Table27[customer_SKU],Table27[product_GTIN],"",0,1))</f>
        <v/>
      </c>
      <c r="Z554" s="60" t="s">
        <v>3888</v>
      </c>
      <c r="AA554" s="18" t="str" cm="1">
        <f t="array" ref="AA554">IF(P554="", "", _xlfn.XLOOKUP(P554,#REF!,#REF!,NA,0,-1))</f>
        <v/>
      </c>
      <c r="AB554" s="53"/>
      <c r="AC554" s="55" t="str">
        <f>IF(Table26[[#This Row],[customerSKU]]="","",_xlfn.XLOOKUP(Table26[[#This Row],[customerSKU]],customerSKU!G:G,customerSKU!C:C,"",0,1))</f>
        <v/>
      </c>
      <c r="AD554" s="55" t="str">
        <f>IF($AC554="","",_xlfn.XLOOKUP($AC554,'[2]Client Info'!$C$2:$C$2535,'[2]Client Info'!$D$2:$D$2535,"",0,1))</f>
        <v/>
      </c>
      <c r="AE554" s="55" t="str">
        <f>IF($AC554="","",_xlfn.XLOOKUP($AC554,'[2]Client Info'!$C$2:$C$2715,'[2]Client Info'!$E$2:$E$2715,"",))</f>
        <v/>
      </c>
      <c r="AF554" s="55" t="str">
        <f>IF($AC554="","",_xlfn.XLOOKUP($AC554,'[2]Client Info'!$C$2:$C$2715,'[2]Client Info'!$F$2:$F$2715,"",0,1))</f>
        <v/>
      </c>
      <c r="AG554" s="55" t="str">
        <f>IF(ISBLANK(Table26[[#This Row],[customerSKU]]),"",_xlfn.XLOOKUP(Table26[[#This Row],[customerSKU]],Table27[customer_SKU],Table27[billto],"",0,1))</f>
        <v/>
      </c>
      <c r="AH554" s="62" t="str">
        <f>_xlfn.XLOOKUP(Table26[[#This Row],[customerSKU]],customerSKU!G:G,customerSKU!K:K,"NA",0,1)</f>
        <v>NA</v>
      </c>
      <c r="AI554" s="43" t="str">
        <f>_xlfn.XLOOKUP(Table26[[#This Row],[customerSKU]],customerSKU!G:G,customerSKU!O:O,"not found",0,1)</f>
        <v>not found</v>
      </c>
      <c r="AJ554" s="59" t="e">
        <f>Table26[[#This Row],[unitprice]]*Table26[[#This Row],[quantity_unit]]</f>
        <v>#VALUE!</v>
      </c>
      <c r="AK554" s="59" t="e" cm="1">
        <f t="array" ref="AK5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5" spans="1:37" ht="18" customHeight="1">
      <c r="A555" s="42">
        <v>1675</v>
      </c>
      <c r="B555" s="58" t="s">
        <v>3520</v>
      </c>
      <c r="C555" s="53" t="s">
        <v>203</v>
      </c>
      <c r="D555" s="51">
        <v>45597</v>
      </c>
      <c r="E555" s="51"/>
      <c r="F55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5" s="46"/>
      <c r="H555" s="53"/>
      <c r="I555" s="53" t="s">
        <v>3862</v>
      </c>
      <c r="J555" s="53" t="str">
        <f>IF(Table26[[#This Row],[customerSKU]]="","",_xlfn.XLOOKUP(Table26[[#This Row],[customerSKU]],customerSKU!G:G,customerSKU!A:A,"",0,1))</f>
        <v/>
      </c>
      <c r="K555" s="48">
        <v>45602</v>
      </c>
      <c r="L555" s="49" t="str">
        <f>IF(Table26[[#This Row],[customerSKU]]="","",_xlfn.XLOOKUP(Table26[[#This Row],[customerSKU]],customerSKU!G:G,customerSKU!B:B,"",0,1))</f>
        <v/>
      </c>
      <c r="M555" s="53"/>
      <c r="N555" s="77" t="str">
        <f>Table26[[#This Row],[po_number]]&amp;"-"&amp;Table26[[#This Row],[po_line]]</f>
        <v>-3</v>
      </c>
      <c r="O555" s="77">
        <v>3</v>
      </c>
      <c r="P555" s="50"/>
      <c r="Q555" s="53" t="s">
        <v>1313</v>
      </c>
      <c r="R555" s="53" t="s">
        <v>569</v>
      </c>
      <c r="S555" s="53" t="str">
        <f>IF(Table26[[#This Row],[customerSKU]]="","",_xlfn.XLOOKUP(Table26[[#This Row],[customerSKU]],customerSKU!G:G,customerSKU!N:N,"NOT FOUND",0,1))</f>
        <v>NOT FOUND</v>
      </c>
      <c r="T555" s="51">
        <v>45523</v>
      </c>
      <c r="U555" s="52">
        <v>48</v>
      </c>
      <c r="V555" s="53" t="str">
        <f>IF(ISBLANK(Table26[[#This Row],[customerSKU]]),"",_xlfn.XLOOKUP(Table26[[#This Row],[customerSKU]],Table27[customer_SKU],Table27[case_size],"",0,1))</f>
        <v/>
      </c>
      <c r="W555" s="116" t="str">
        <f t="shared" si="20"/>
        <v/>
      </c>
      <c r="X555" s="53" t="str">
        <f t="shared" si="22"/>
        <v/>
      </c>
      <c r="Y555" s="53" t="str">
        <f>IF(Table26[[#This Row],[customerSKU]]="","",_xlfn.XLOOKUP(Table26[[#This Row],[customerSKU]],Table27[customer_SKU],Table27[product_GTIN],"",0,1))</f>
        <v/>
      </c>
      <c r="Z555" s="60">
        <v>994667</v>
      </c>
      <c r="AA555" s="18" t="str" cm="1">
        <f t="array" ref="AA555">IF(P555="", "", _xlfn.XLOOKUP(P555,#REF!,#REF!,NA,0,-1))</f>
        <v/>
      </c>
      <c r="AB555" s="53"/>
      <c r="AC555" s="55" t="str">
        <f>IF(Table26[[#This Row],[customerSKU]]="","",_xlfn.XLOOKUP(Table26[[#This Row],[customerSKU]],customerSKU!G:G,customerSKU!C:C,"",0,1))</f>
        <v/>
      </c>
      <c r="AD555" s="55" t="str">
        <f>IF($AC555="","",_xlfn.XLOOKUP($AC555,'[2]Client Info'!$C$2:$C$2535,'[2]Client Info'!$D$2:$D$2535,"",0,1))</f>
        <v/>
      </c>
      <c r="AE555" s="55" t="str">
        <f>IF($AC555="","",_xlfn.XLOOKUP($AC555,'[2]Client Info'!$C$2:$C$2715,'[2]Client Info'!$E$2:$E$2715,"",))</f>
        <v/>
      </c>
      <c r="AF555" s="55" t="str">
        <f>IF($AC555="","",_xlfn.XLOOKUP($AC555,'[2]Client Info'!$C$2:$C$2715,'[2]Client Info'!$F$2:$F$2715,"",0,1))</f>
        <v/>
      </c>
      <c r="AG555" s="55" t="str">
        <f>IF(ISBLANK(Table26[[#This Row],[customerSKU]]),"",_xlfn.XLOOKUP(Table26[[#This Row],[customerSKU]],Table27[customer_SKU],Table27[billto],"",0,1))</f>
        <v/>
      </c>
      <c r="AH555" s="62" t="str">
        <f>_xlfn.XLOOKUP(Table26[[#This Row],[customerSKU]],customerSKU!G:G,customerSKU!K:K,"NA",0,1)</f>
        <v>NA</v>
      </c>
      <c r="AI555" s="43" t="str">
        <f>_xlfn.XLOOKUP(Table26[[#This Row],[customerSKU]],customerSKU!G:G,customerSKU!O:O,"not found",0,1)</f>
        <v>not found</v>
      </c>
      <c r="AJ555" s="59" t="e">
        <f>Table26[[#This Row],[unitprice]]*Table26[[#This Row],[quantity_unit]]</f>
        <v>#VALUE!</v>
      </c>
      <c r="AK555" s="59" t="e" cm="1">
        <f t="array" ref="AK5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6" spans="1:37" ht="18" customHeight="1">
      <c r="A556" s="42">
        <v>1676</v>
      </c>
      <c r="B556" s="58" t="s">
        <v>3520</v>
      </c>
      <c r="C556" s="53" t="s">
        <v>203</v>
      </c>
      <c r="D556" s="51">
        <v>45597</v>
      </c>
      <c r="E556" s="51"/>
      <c r="F55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6" s="46"/>
      <c r="H556" s="53"/>
      <c r="I556" s="53" t="s">
        <v>3862</v>
      </c>
      <c r="J556" s="53" t="str">
        <f>IF(Table26[[#This Row],[customerSKU]]="","",_xlfn.XLOOKUP(Table26[[#This Row],[customerSKU]],customerSKU!G:G,customerSKU!A:A,"",0,1))</f>
        <v/>
      </c>
      <c r="K556" s="48">
        <v>45602</v>
      </c>
      <c r="L556" s="49" t="str">
        <f>IF(Table26[[#This Row],[customerSKU]]="","",_xlfn.XLOOKUP(Table26[[#This Row],[customerSKU]],customerSKU!G:G,customerSKU!B:B,"",0,1))</f>
        <v/>
      </c>
      <c r="M556" s="53"/>
      <c r="N556" s="77" t="str">
        <f>Table26[[#This Row],[po_number]]&amp;"-"&amp;Table26[[#This Row],[po_line]]</f>
        <v>-4</v>
      </c>
      <c r="O556" s="77">
        <v>4</v>
      </c>
      <c r="P556" s="50"/>
      <c r="Q556" s="53" t="s">
        <v>630</v>
      </c>
      <c r="R556" s="53" t="s">
        <v>569</v>
      </c>
      <c r="S556" s="53" t="str">
        <f>IF(Table26[[#This Row],[customerSKU]]="","",_xlfn.XLOOKUP(Table26[[#This Row],[customerSKU]],customerSKU!G:G,customerSKU!N:N,"NOT FOUND",0,1))</f>
        <v>NOT FOUND</v>
      </c>
      <c r="T556" s="51">
        <v>45543</v>
      </c>
      <c r="U556" s="52">
        <v>5</v>
      </c>
      <c r="V556" s="53" t="str">
        <f>IF(ISBLANK(Table26[[#This Row],[customerSKU]]),"",_xlfn.XLOOKUP(Table26[[#This Row],[customerSKU]],Table27[customer_SKU],Table27[case_size],"",0,1))</f>
        <v/>
      </c>
      <c r="W556" s="116" t="str">
        <f t="shared" si="20"/>
        <v/>
      </c>
      <c r="X556" s="53" t="str">
        <f t="shared" si="22"/>
        <v/>
      </c>
      <c r="Y556" s="53" t="str">
        <f>IF(Table26[[#This Row],[customerSKU]]="","",_xlfn.XLOOKUP(Table26[[#This Row],[customerSKU]],Table27[customer_SKU],Table27[product_GTIN],"",0,1))</f>
        <v/>
      </c>
      <c r="Z556" s="60">
        <v>994668</v>
      </c>
      <c r="AA556" s="18" t="str" cm="1">
        <f t="array" ref="AA556">IF(P556="", "", _xlfn.XLOOKUP(P556,#REF!,#REF!,NA,0,-1))</f>
        <v/>
      </c>
      <c r="AB556" s="53"/>
      <c r="AC556" s="55" t="str">
        <f>IF(Table26[[#This Row],[customerSKU]]="","",_xlfn.XLOOKUP(Table26[[#This Row],[customerSKU]],customerSKU!G:G,customerSKU!C:C,"",0,1))</f>
        <v/>
      </c>
      <c r="AD556" s="55" t="str">
        <f>IF($AC556="","",_xlfn.XLOOKUP($AC556,'[2]Client Info'!$C$2:$C$2535,'[2]Client Info'!$D$2:$D$2535,"",0,1))</f>
        <v/>
      </c>
      <c r="AE556" s="55" t="str">
        <f>IF($AC556="","",_xlfn.XLOOKUP($AC556,'[2]Client Info'!$C$2:$C$2715,'[2]Client Info'!$E$2:$E$2715,"",))</f>
        <v/>
      </c>
      <c r="AF556" s="55" t="str">
        <f>IF($AC556="","",_xlfn.XLOOKUP($AC556,'[2]Client Info'!$C$2:$C$2715,'[2]Client Info'!$F$2:$F$2715,"",0,1))</f>
        <v/>
      </c>
      <c r="AG556" s="55" t="str">
        <f>IF(ISBLANK(Table26[[#This Row],[customerSKU]]),"",_xlfn.XLOOKUP(Table26[[#This Row],[customerSKU]],Table27[customer_SKU],Table27[billto],"",0,1))</f>
        <v/>
      </c>
      <c r="AH556" s="62" t="str">
        <f>_xlfn.XLOOKUP(Table26[[#This Row],[customerSKU]],customerSKU!G:G,customerSKU!K:K,"NA",0,1)</f>
        <v>NA</v>
      </c>
      <c r="AI556" s="43" t="str">
        <f>_xlfn.XLOOKUP(Table26[[#This Row],[customerSKU]],customerSKU!G:G,customerSKU!O:O,"not found",0,1)</f>
        <v>not found</v>
      </c>
      <c r="AJ556" s="59" t="e">
        <f>Table26[[#This Row],[unitprice]]*Table26[[#This Row],[quantity_unit]]</f>
        <v>#VALUE!</v>
      </c>
      <c r="AK556" s="59" t="e" cm="1">
        <f t="array" ref="AK5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7" spans="1:37" ht="18" customHeight="1">
      <c r="A557" s="42">
        <v>1677</v>
      </c>
      <c r="B557" s="58" t="s">
        <v>3520</v>
      </c>
      <c r="C557" s="53" t="s">
        <v>203</v>
      </c>
      <c r="D557" s="51">
        <v>45597</v>
      </c>
      <c r="E557" s="51"/>
      <c r="F55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7" s="46"/>
      <c r="H557" s="53"/>
      <c r="I557" s="53" t="s">
        <v>3862</v>
      </c>
      <c r="J557" s="53" t="str">
        <f>IF(Table26[[#This Row],[customerSKU]]="","",_xlfn.XLOOKUP(Table26[[#This Row],[customerSKU]],customerSKU!G:G,customerSKU!A:A,"",0,1))</f>
        <v/>
      </c>
      <c r="K557" s="48">
        <v>45602</v>
      </c>
      <c r="L557" s="49" t="str">
        <f>IF(Table26[[#This Row],[customerSKU]]="","",_xlfn.XLOOKUP(Table26[[#This Row],[customerSKU]],customerSKU!G:G,customerSKU!B:B,"",0,1))</f>
        <v/>
      </c>
      <c r="M557" s="53"/>
      <c r="N557" s="77" t="str">
        <f>Table26[[#This Row],[po_number]]&amp;"-"&amp;Table26[[#This Row],[po_line]]</f>
        <v>-5</v>
      </c>
      <c r="O557" s="77">
        <v>5</v>
      </c>
      <c r="P557" s="50"/>
      <c r="Q557" s="53" t="s">
        <v>630</v>
      </c>
      <c r="R557" s="53" t="s">
        <v>569</v>
      </c>
      <c r="S557" s="53" t="str">
        <f>IF(Table26[[#This Row],[customerSKU]]="","",_xlfn.XLOOKUP(Table26[[#This Row],[customerSKU]],customerSKU!G:G,customerSKU!N:N,"NOT FOUND",0,1))</f>
        <v>NOT FOUND</v>
      </c>
      <c r="T557" s="51">
        <v>45574</v>
      </c>
      <c r="U557" s="52">
        <v>43</v>
      </c>
      <c r="V557" s="53" t="str">
        <f>IF(ISBLANK(Table26[[#This Row],[customerSKU]]),"",_xlfn.XLOOKUP(Table26[[#This Row],[customerSKU]],Table27[customer_SKU],Table27[case_size],"",0,1))</f>
        <v/>
      </c>
      <c r="W557" s="116" t="str">
        <f t="shared" si="20"/>
        <v/>
      </c>
      <c r="X557" s="53" t="str">
        <f t="shared" si="22"/>
        <v/>
      </c>
      <c r="Y557" s="53" t="str">
        <f>IF(Table26[[#This Row],[customerSKU]]="","",_xlfn.XLOOKUP(Table26[[#This Row],[customerSKU]],Table27[customer_SKU],Table27[product_GTIN],"",0,1))</f>
        <v/>
      </c>
      <c r="Z557" s="60">
        <v>994668</v>
      </c>
      <c r="AA557" s="18" t="str" cm="1">
        <f t="array" ref="AA557">IF(P557="", "", _xlfn.XLOOKUP(P557,#REF!,#REF!,NA,0,-1))</f>
        <v/>
      </c>
      <c r="AB557" s="53"/>
      <c r="AC557" s="55" t="str">
        <f>IF(Table26[[#This Row],[customerSKU]]="","",_xlfn.XLOOKUP(Table26[[#This Row],[customerSKU]],customerSKU!G:G,customerSKU!C:C,"",0,1))</f>
        <v/>
      </c>
      <c r="AD557" s="55" t="str">
        <f>IF($AC557="","",_xlfn.XLOOKUP($AC557,'[2]Client Info'!$C$2:$C$2535,'[2]Client Info'!$D$2:$D$2535,"",0,1))</f>
        <v/>
      </c>
      <c r="AE557" s="55" t="str">
        <f>IF($AC557="","",_xlfn.XLOOKUP($AC557,'[2]Client Info'!$C$2:$C$2715,'[2]Client Info'!$E$2:$E$2715,"",))</f>
        <v/>
      </c>
      <c r="AF557" s="55" t="str">
        <f>IF($AC557="","",_xlfn.XLOOKUP($AC557,'[2]Client Info'!$C$2:$C$2715,'[2]Client Info'!$F$2:$F$2715,"",0,1))</f>
        <v/>
      </c>
      <c r="AG557" s="55" t="str">
        <f>IF(ISBLANK(Table26[[#This Row],[customerSKU]]),"",_xlfn.XLOOKUP(Table26[[#This Row],[customerSKU]],Table27[customer_SKU],Table27[billto],"",0,1))</f>
        <v/>
      </c>
      <c r="AH557" s="62" t="str">
        <f>_xlfn.XLOOKUP(Table26[[#This Row],[customerSKU]],customerSKU!G:G,customerSKU!K:K,"NA",0,1)</f>
        <v>NA</v>
      </c>
      <c r="AI557" s="43" t="str">
        <f>_xlfn.XLOOKUP(Table26[[#This Row],[customerSKU]],customerSKU!G:G,customerSKU!O:O,"not found",0,1)</f>
        <v>not found</v>
      </c>
      <c r="AJ557" s="59" t="e">
        <f>Table26[[#This Row],[unitprice]]*Table26[[#This Row],[quantity_unit]]</f>
        <v>#VALUE!</v>
      </c>
      <c r="AK557" s="59" t="e" cm="1">
        <f t="array" ref="AK5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8" spans="1:37" ht="18" customHeight="1">
      <c r="A558" s="42">
        <v>1678</v>
      </c>
      <c r="B558" s="58" t="s">
        <v>3520</v>
      </c>
      <c r="C558" s="53" t="s">
        <v>203</v>
      </c>
      <c r="D558" s="51">
        <v>45597</v>
      </c>
      <c r="E558" s="51"/>
      <c r="F55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8" s="46"/>
      <c r="H558" s="53"/>
      <c r="I558" s="53" t="s">
        <v>3862</v>
      </c>
      <c r="J558" s="53" t="str">
        <f>IF(Table26[[#This Row],[customerSKU]]="","",_xlfn.XLOOKUP(Table26[[#This Row],[customerSKU]],customerSKU!G:G,customerSKU!A:A,"",0,1))</f>
        <v/>
      </c>
      <c r="K558" s="48">
        <v>45602</v>
      </c>
      <c r="L558" s="49" t="str">
        <f>IF(Table26[[#This Row],[customerSKU]]="","",_xlfn.XLOOKUP(Table26[[#This Row],[customerSKU]],customerSKU!G:G,customerSKU!B:B,"",0,1))</f>
        <v/>
      </c>
      <c r="M558" s="53"/>
      <c r="N558" s="77" t="str">
        <f>Table26[[#This Row],[po_number]]&amp;"-"&amp;Table26[[#This Row],[po_line]]</f>
        <v>-6</v>
      </c>
      <c r="O558" s="77">
        <v>6</v>
      </c>
      <c r="P558" s="50"/>
      <c r="Q558" s="53" t="s">
        <v>866</v>
      </c>
      <c r="R558" s="53" t="s">
        <v>569</v>
      </c>
      <c r="S558" s="53" t="str">
        <f>IF(Table26[[#This Row],[customerSKU]]="","",_xlfn.XLOOKUP(Table26[[#This Row],[customerSKU]],customerSKU!G:G,customerSKU!N:N,"NOT FOUND",0,1))</f>
        <v>NOT FOUND</v>
      </c>
      <c r="T558" s="51">
        <v>45523</v>
      </c>
      <c r="U558" s="52">
        <v>5</v>
      </c>
      <c r="V558" s="53" t="str">
        <f>IF(ISBLANK(Table26[[#This Row],[customerSKU]]),"",_xlfn.XLOOKUP(Table26[[#This Row],[customerSKU]],Table27[customer_SKU],Table27[case_size],"",0,1))</f>
        <v/>
      </c>
      <c r="W558" s="116" t="str">
        <f t="shared" si="20"/>
        <v/>
      </c>
      <c r="X558" s="53" t="str">
        <f t="shared" si="22"/>
        <v/>
      </c>
      <c r="Y558" s="53" t="str">
        <f>IF(Table26[[#This Row],[customerSKU]]="","",_xlfn.XLOOKUP(Table26[[#This Row],[customerSKU]],Table27[customer_SKU],Table27[product_GTIN],"",0,1))</f>
        <v/>
      </c>
      <c r="Z558" s="60">
        <v>994666</v>
      </c>
      <c r="AA558" s="18" t="str" cm="1">
        <f t="array" ref="AA558">IF(P558="", "", _xlfn.XLOOKUP(P558,#REF!,#REF!,NA,0,-1))</f>
        <v/>
      </c>
      <c r="AB558" s="53"/>
      <c r="AC558" s="55" t="str">
        <f>IF(Table26[[#This Row],[customerSKU]]="","",_xlfn.XLOOKUP(Table26[[#This Row],[customerSKU]],customerSKU!G:G,customerSKU!C:C,"",0,1))</f>
        <v/>
      </c>
      <c r="AD558" s="55" t="str">
        <f>IF($AC558="","",_xlfn.XLOOKUP($AC558,'[2]Client Info'!$C$2:$C$2535,'[2]Client Info'!$D$2:$D$2535,"",0,1))</f>
        <v/>
      </c>
      <c r="AE558" s="55" t="str">
        <f>IF($AC558="","",_xlfn.XLOOKUP($AC558,'[2]Client Info'!$C$2:$C$2715,'[2]Client Info'!$E$2:$E$2715,"",))</f>
        <v/>
      </c>
      <c r="AF558" s="55" t="str">
        <f>IF($AC558="","",_xlfn.XLOOKUP($AC558,'[2]Client Info'!$C$2:$C$2715,'[2]Client Info'!$F$2:$F$2715,"",0,1))</f>
        <v/>
      </c>
      <c r="AG558" s="55" t="str">
        <f>IF(ISBLANK(Table26[[#This Row],[customerSKU]]),"",_xlfn.XLOOKUP(Table26[[#This Row],[customerSKU]],Table27[customer_SKU],Table27[billto],"",0,1))</f>
        <v/>
      </c>
      <c r="AH558" s="62" t="str">
        <f>_xlfn.XLOOKUP(Table26[[#This Row],[customerSKU]],customerSKU!G:G,customerSKU!K:K,"NA",0,1)</f>
        <v>NA</v>
      </c>
      <c r="AI558" s="43" t="str">
        <f>_xlfn.XLOOKUP(Table26[[#This Row],[customerSKU]],customerSKU!G:G,customerSKU!O:O,"not found",0,1)</f>
        <v>not found</v>
      </c>
      <c r="AJ558" s="59" t="e">
        <f>Table26[[#This Row],[unitprice]]*Table26[[#This Row],[quantity_unit]]</f>
        <v>#VALUE!</v>
      </c>
      <c r="AK558" s="59" t="e" cm="1">
        <f t="array" ref="AK5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59" spans="1:37" ht="18" customHeight="1">
      <c r="A559" s="42">
        <v>1679</v>
      </c>
      <c r="B559" s="58" t="s">
        <v>3520</v>
      </c>
      <c r="C559" s="53" t="s">
        <v>203</v>
      </c>
      <c r="D559" s="51">
        <v>45597</v>
      </c>
      <c r="E559" s="51"/>
      <c r="F55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59" s="46"/>
      <c r="H559" s="53"/>
      <c r="I559" s="53" t="s">
        <v>3862</v>
      </c>
      <c r="J559" s="53" t="str">
        <f>IF(Table26[[#This Row],[customerSKU]]="","",_xlfn.XLOOKUP(Table26[[#This Row],[customerSKU]],customerSKU!G:G,customerSKU!A:A,"",0,1))</f>
        <v/>
      </c>
      <c r="K559" s="48">
        <v>45602</v>
      </c>
      <c r="L559" s="49" t="str">
        <f>IF(Table26[[#This Row],[customerSKU]]="","",_xlfn.XLOOKUP(Table26[[#This Row],[customerSKU]],customerSKU!G:G,customerSKU!B:B,"",0,1))</f>
        <v/>
      </c>
      <c r="M559" s="53"/>
      <c r="N559" s="77" t="str">
        <f>Table26[[#This Row],[po_number]]&amp;"-"&amp;Table26[[#This Row],[po_line]]</f>
        <v>-7</v>
      </c>
      <c r="O559" s="77">
        <v>7</v>
      </c>
      <c r="P559" s="50"/>
      <c r="Q559" s="53" t="s">
        <v>866</v>
      </c>
      <c r="R559" s="53" t="s">
        <v>569</v>
      </c>
      <c r="S559" s="53" t="str">
        <f>IF(Table26[[#This Row],[customerSKU]]="","",_xlfn.XLOOKUP(Table26[[#This Row],[customerSKU]],customerSKU!G:G,customerSKU!N:N,"NOT FOUND",0,1))</f>
        <v>NOT FOUND</v>
      </c>
      <c r="T559" s="51">
        <v>45567</v>
      </c>
      <c r="U559" s="52">
        <v>9</v>
      </c>
      <c r="V559" s="53" t="str">
        <f>IF(ISBLANK(Table26[[#This Row],[customerSKU]]),"",_xlfn.XLOOKUP(Table26[[#This Row],[customerSKU]],Table27[customer_SKU],Table27[case_size],"",0,1))</f>
        <v/>
      </c>
      <c r="W559" s="116" t="str">
        <f t="shared" si="20"/>
        <v/>
      </c>
      <c r="X559" s="53" t="str">
        <f t="shared" si="22"/>
        <v/>
      </c>
      <c r="Y559" s="53" t="str">
        <f>IF(Table26[[#This Row],[customerSKU]]="","",_xlfn.XLOOKUP(Table26[[#This Row],[customerSKU]],Table27[customer_SKU],Table27[product_GTIN],"",0,1))</f>
        <v/>
      </c>
      <c r="Z559" s="60">
        <v>994666</v>
      </c>
      <c r="AA559" s="18" t="str" cm="1">
        <f t="array" ref="AA559">IF(P559="", "", _xlfn.XLOOKUP(P559,#REF!,#REF!,NA,0,-1))</f>
        <v/>
      </c>
      <c r="AB559" s="53"/>
      <c r="AC559" s="55" t="str">
        <f>IF(Table26[[#This Row],[customerSKU]]="","",_xlfn.XLOOKUP(Table26[[#This Row],[customerSKU]],customerSKU!G:G,customerSKU!C:C,"",0,1))</f>
        <v/>
      </c>
      <c r="AD559" s="55" t="str">
        <f>IF($AC559="","",_xlfn.XLOOKUP($AC559,'[2]Client Info'!$C$2:$C$2535,'[2]Client Info'!$D$2:$D$2535,"",0,1))</f>
        <v/>
      </c>
      <c r="AE559" s="55" t="str">
        <f>IF($AC559="","",_xlfn.XLOOKUP($AC559,'[2]Client Info'!$C$2:$C$2715,'[2]Client Info'!$E$2:$E$2715,"",))</f>
        <v/>
      </c>
      <c r="AF559" s="55" t="str">
        <f>IF($AC559="","",_xlfn.XLOOKUP($AC559,'[2]Client Info'!$C$2:$C$2715,'[2]Client Info'!$F$2:$F$2715,"",0,1))</f>
        <v/>
      </c>
      <c r="AG559" s="55" t="str">
        <f>IF(ISBLANK(Table26[[#This Row],[customerSKU]]),"",_xlfn.XLOOKUP(Table26[[#This Row],[customerSKU]],Table27[customer_SKU],Table27[billto],"",0,1))</f>
        <v/>
      </c>
      <c r="AH559" s="62" t="str">
        <f>_xlfn.XLOOKUP(Table26[[#This Row],[customerSKU]],customerSKU!G:G,customerSKU!K:K,"NA",0,1)</f>
        <v>NA</v>
      </c>
      <c r="AI559" s="43" t="str">
        <f>_xlfn.XLOOKUP(Table26[[#This Row],[customerSKU]],customerSKU!G:G,customerSKU!O:O,"not found",0,1)</f>
        <v>not found</v>
      </c>
      <c r="AJ559" s="59" t="e">
        <f>Table26[[#This Row],[unitprice]]*Table26[[#This Row],[quantity_unit]]</f>
        <v>#VALUE!</v>
      </c>
      <c r="AK559" s="59" t="e" cm="1">
        <f t="array" ref="AK5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0" spans="1:37" ht="18" customHeight="1">
      <c r="A560" s="42">
        <v>1680</v>
      </c>
      <c r="B560" s="58" t="s">
        <v>3520</v>
      </c>
      <c r="C560" s="53" t="s">
        <v>203</v>
      </c>
      <c r="D560" s="51">
        <v>45597</v>
      </c>
      <c r="E560" s="51"/>
      <c r="F56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0" s="46"/>
      <c r="H560" s="53"/>
      <c r="I560" s="53" t="s">
        <v>3862</v>
      </c>
      <c r="J560" s="53" t="str">
        <f>IF(Table26[[#This Row],[customerSKU]]="","",_xlfn.XLOOKUP(Table26[[#This Row],[customerSKU]],customerSKU!G:G,customerSKU!A:A,"",0,1))</f>
        <v/>
      </c>
      <c r="K560" s="48">
        <v>45602</v>
      </c>
      <c r="L560" s="49" t="str">
        <f>IF(Table26[[#This Row],[customerSKU]]="","",_xlfn.XLOOKUP(Table26[[#This Row],[customerSKU]],customerSKU!G:G,customerSKU!B:B,"",0,1))</f>
        <v/>
      </c>
      <c r="M560" s="53"/>
      <c r="N560" s="77" t="str">
        <f>Table26[[#This Row],[po_number]]&amp;"-"&amp;Table26[[#This Row],[po_line]]</f>
        <v>-8</v>
      </c>
      <c r="O560" s="77">
        <v>8</v>
      </c>
      <c r="P560" s="50"/>
      <c r="Q560" s="53" t="s">
        <v>866</v>
      </c>
      <c r="R560" s="53" t="s">
        <v>569</v>
      </c>
      <c r="S560" s="53" t="str">
        <f>IF(Table26[[#This Row],[customerSKU]]="","",_xlfn.XLOOKUP(Table26[[#This Row],[customerSKU]],customerSKU!G:G,customerSKU!N:N,"NOT FOUND",0,1))</f>
        <v>NOT FOUND</v>
      </c>
      <c r="T560" s="51">
        <v>45575</v>
      </c>
      <c r="U560" s="52">
        <v>34</v>
      </c>
      <c r="V560" s="53" t="str">
        <f>IF(ISBLANK(Table26[[#This Row],[customerSKU]]),"",_xlfn.XLOOKUP(Table26[[#This Row],[customerSKU]],Table27[customer_SKU],Table27[case_size],"",0,1))</f>
        <v/>
      </c>
      <c r="W560" s="116" t="str">
        <f t="shared" si="20"/>
        <v/>
      </c>
      <c r="X560" s="53" t="str">
        <f t="shared" si="22"/>
        <v/>
      </c>
      <c r="Y560" s="53" t="str">
        <f>IF(Table26[[#This Row],[customerSKU]]="","",_xlfn.XLOOKUP(Table26[[#This Row],[customerSKU]],Table27[customer_SKU],Table27[product_GTIN],"",0,1))</f>
        <v/>
      </c>
      <c r="Z560" s="60">
        <v>994666</v>
      </c>
      <c r="AA560" s="18" t="str" cm="1">
        <f t="array" ref="AA560">IF(P560="", "", _xlfn.XLOOKUP(P560,#REF!,#REF!,NA,0,-1))</f>
        <v/>
      </c>
      <c r="AB560" s="53"/>
      <c r="AC560" s="55" t="str">
        <f>IF(Table26[[#This Row],[customerSKU]]="","",_xlfn.XLOOKUP(Table26[[#This Row],[customerSKU]],customerSKU!G:G,customerSKU!C:C,"",0,1))</f>
        <v/>
      </c>
      <c r="AD560" s="55" t="str">
        <f>IF($AC560="","",_xlfn.XLOOKUP($AC560,'[2]Client Info'!$C$2:$C$2535,'[2]Client Info'!$D$2:$D$2535,"",0,1))</f>
        <v/>
      </c>
      <c r="AE560" s="55" t="str">
        <f>IF($AC560="","",_xlfn.XLOOKUP($AC560,'[2]Client Info'!$C$2:$C$2715,'[2]Client Info'!$E$2:$E$2715,"",))</f>
        <v/>
      </c>
      <c r="AF560" s="55" t="str">
        <f>IF($AC560="","",_xlfn.XLOOKUP($AC560,'[2]Client Info'!$C$2:$C$2715,'[2]Client Info'!$F$2:$F$2715,"",0,1))</f>
        <v/>
      </c>
      <c r="AG560" s="55" t="str">
        <f>IF(ISBLANK(Table26[[#This Row],[customerSKU]]),"",_xlfn.XLOOKUP(Table26[[#This Row],[customerSKU]],Table27[customer_SKU],Table27[billto],"",0,1))</f>
        <v/>
      </c>
      <c r="AH560" s="62" t="str">
        <f>_xlfn.XLOOKUP(Table26[[#This Row],[customerSKU]],customerSKU!G:G,customerSKU!K:K,"NA",0,1)</f>
        <v>NA</v>
      </c>
      <c r="AI560" s="43" t="str">
        <f>_xlfn.XLOOKUP(Table26[[#This Row],[customerSKU]],customerSKU!G:G,customerSKU!O:O,"not found",0,1)</f>
        <v>not found</v>
      </c>
      <c r="AJ560" s="59" t="e">
        <f>Table26[[#This Row],[unitprice]]*Table26[[#This Row],[quantity_unit]]</f>
        <v>#VALUE!</v>
      </c>
      <c r="AK560" s="59" t="e" cm="1">
        <f t="array" ref="AK5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1" spans="1:37" ht="18" customHeight="1">
      <c r="A561" s="42">
        <v>1681</v>
      </c>
      <c r="B561" s="58" t="s">
        <v>3520</v>
      </c>
      <c r="C561" s="53" t="s">
        <v>203</v>
      </c>
      <c r="D561" s="51">
        <v>45597</v>
      </c>
      <c r="E561" s="51"/>
      <c r="F56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1" s="46"/>
      <c r="H561" s="53"/>
      <c r="I561" s="53" t="s">
        <v>3862</v>
      </c>
      <c r="J561" s="53" t="str">
        <f>IF(Table26[[#This Row],[customerSKU]]="","",_xlfn.XLOOKUP(Table26[[#This Row],[customerSKU]],customerSKU!G:G,customerSKU!A:A,"",0,1))</f>
        <v/>
      </c>
      <c r="K561" s="48">
        <v>45602</v>
      </c>
      <c r="L561" s="49" t="str">
        <f>IF(Table26[[#This Row],[customerSKU]]="","",_xlfn.XLOOKUP(Table26[[#This Row],[customerSKU]],customerSKU!G:G,customerSKU!B:B,"",0,1))</f>
        <v/>
      </c>
      <c r="M561" s="53"/>
      <c r="N561" s="77" t="str">
        <f>Table26[[#This Row],[po_number]]&amp;"-"&amp;Table26[[#This Row],[po_line]]</f>
        <v>-9</v>
      </c>
      <c r="O561" s="77">
        <v>9</v>
      </c>
      <c r="P561" s="50"/>
      <c r="Q561" s="59" t="s">
        <v>905</v>
      </c>
      <c r="R561" s="53" t="s">
        <v>569</v>
      </c>
      <c r="S561" s="53" t="str">
        <f>IF(Table26[[#This Row],[customerSKU]]="","",_xlfn.XLOOKUP(Table26[[#This Row],[customerSKU]],customerSKU!G:G,customerSKU!N:N,"NOT FOUND",0,1))</f>
        <v>NOT FOUND</v>
      </c>
      <c r="T561" s="51">
        <v>45575</v>
      </c>
      <c r="U561" s="52">
        <v>36</v>
      </c>
      <c r="V561" s="53" t="str">
        <f>IF(ISBLANK(Table26[[#This Row],[customerSKU]]),"",_xlfn.XLOOKUP(Table26[[#This Row],[customerSKU]],Table27[customer_SKU],Table27[case_size],"",0,1))</f>
        <v/>
      </c>
      <c r="W561" s="116" t="str">
        <f t="shared" si="20"/>
        <v/>
      </c>
      <c r="X561" s="53" t="str">
        <f t="shared" si="22"/>
        <v/>
      </c>
      <c r="Y561" s="53" t="str">
        <f>IF(Table26[[#This Row],[customerSKU]]="","",_xlfn.XLOOKUP(Table26[[#This Row],[customerSKU]],Table27[customer_SKU],Table27[product_GTIN],"",0,1))</f>
        <v/>
      </c>
      <c r="Z561" s="25" t="s">
        <v>3485</v>
      </c>
      <c r="AA561" s="18" t="str" cm="1">
        <f t="array" ref="AA561">IF(P561="", "", _xlfn.XLOOKUP(P561,#REF!,#REF!,NA,0,-1))</f>
        <v/>
      </c>
      <c r="AB561" s="53"/>
      <c r="AC561" s="55" t="str">
        <f>IF(Table26[[#This Row],[customerSKU]]="","",_xlfn.XLOOKUP(Table26[[#This Row],[customerSKU]],customerSKU!G:G,customerSKU!C:C,"",0,1))</f>
        <v/>
      </c>
      <c r="AD561" s="55" t="str">
        <f>IF($AC561="","",_xlfn.XLOOKUP($AC561,'[2]Client Info'!$C$2:$C$2535,'[2]Client Info'!$D$2:$D$2535,"",0,1))</f>
        <v/>
      </c>
      <c r="AE561" s="55" t="str">
        <f>IF($AC561="","",_xlfn.XLOOKUP($AC561,'[2]Client Info'!$C$2:$C$2715,'[2]Client Info'!$E$2:$E$2715,"",))</f>
        <v/>
      </c>
      <c r="AF561" s="55" t="str">
        <f>IF($AC561="","",_xlfn.XLOOKUP($AC561,'[2]Client Info'!$C$2:$C$2715,'[2]Client Info'!$F$2:$F$2715,"",0,1))</f>
        <v/>
      </c>
      <c r="AG561" s="55" t="str">
        <f>IF(ISBLANK(Table26[[#This Row],[customerSKU]]),"",_xlfn.XLOOKUP(Table26[[#This Row],[customerSKU]],Table27[customer_SKU],Table27[billto],"",0,1))</f>
        <v/>
      </c>
      <c r="AH561" s="62" t="str">
        <f>_xlfn.XLOOKUP(Table26[[#This Row],[customerSKU]],customerSKU!G:G,customerSKU!K:K,"NA",0,1)</f>
        <v>NA</v>
      </c>
      <c r="AI561" s="43" t="str">
        <f>_xlfn.XLOOKUP(Table26[[#This Row],[customerSKU]],customerSKU!G:G,customerSKU!O:O,"not found",0,1)</f>
        <v>not found</v>
      </c>
      <c r="AJ561" s="59" t="e">
        <f>Table26[[#This Row],[unitprice]]*Table26[[#This Row],[quantity_unit]]</f>
        <v>#VALUE!</v>
      </c>
      <c r="AK561" s="59" t="e" cm="1">
        <f t="array" ref="AK5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2" spans="1:37" ht="18" customHeight="1">
      <c r="A562" s="42">
        <v>1682</v>
      </c>
      <c r="B562" s="58" t="s">
        <v>3520</v>
      </c>
      <c r="C562" s="53" t="s">
        <v>203</v>
      </c>
      <c r="D562" s="51">
        <v>45597</v>
      </c>
      <c r="E562" s="51"/>
      <c r="F56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2" s="46"/>
      <c r="H562" s="53"/>
      <c r="I562" s="53" t="s">
        <v>3862</v>
      </c>
      <c r="J562" s="53" t="str">
        <f>IF(Table26[[#This Row],[customerSKU]]="","",_xlfn.XLOOKUP(Table26[[#This Row],[customerSKU]],customerSKU!G:G,customerSKU!A:A,"",0,1))</f>
        <v/>
      </c>
      <c r="K562" s="48">
        <v>45602</v>
      </c>
      <c r="L562" s="49" t="str">
        <f>IF(Table26[[#This Row],[customerSKU]]="","",_xlfn.XLOOKUP(Table26[[#This Row],[customerSKU]],customerSKU!G:G,customerSKU!B:B,"",0,1))</f>
        <v/>
      </c>
      <c r="M562" s="53"/>
      <c r="N562" s="77" t="str">
        <f>Table26[[#This Row],[po_number]]&amp;"-"&amp;Table26[[#This Row],[po_line]]</f>
        <v>-10</v>
      </c>
      <c r="O562" s="77">
        <v>10</v>
      </c>
      <c r="P562" s="50"/>
      <c r="Q562" s="53" t="s">
        <v>1315</v>
      </c>
      <c r="R562" s="53" t="s">
        <v>569</v>
      </c>
      <c r="S562" s="53" t="str">
        <f>IF(Table26[[#This Row],[customerSKU]]="","",_xlfn.XLOOKUP(Table26[[#This Row],[customerSKU]],customerSKU!G:G,customerSKU!N:N,"NOT FOUND",0,1))</f>
        <v>NOT FOUND</v>
      </c>
      <c r="T562" s="51">
        <v>45555</v>
      </c>
      <c r="U562" s="52">
        <v>24</v>
      </c>
      <c r="V562" s="53" t="str">
        <f>IF(ISBLANK(Table26[[#This Row],[customerSKU]]),"",_xlfn.XLOOKUP(Table26[[#This Row],[customerSKU]],Table27[customer_SKU],Table27[case_size],"",0,1))</f>
        <v/>
      </c>
      <c r="W562" s="116" t="str">
        <f t="shared" si="20"/>
        <v/>
      </c>
      <c r="X562" s="53" t="str">
        <f t="shared" si="22"/>
        <v/>
      </c>
      <c r="Y562" s="53" t="str">
        <f>IF(Table26[[#This Row],[customerSKU]]="","",_xlfn.XLOOKUP(Table26[[#This Row],[customerSKU]],Table27[customer_SKU],Table27[product_GTIN],"",0,1))</f>
        <v/>
      </c>
      <c r="Z562" s="60">
        <v>994675</v>
      </c>
      <c r="AA562" s="18" t="str" cm="1">
        <f t="array" ref="AA562">IF(P562="", "", _xlfn.XLOOKUP(P562,#REF!,#REF!,NA,0,-1))</f>
        <v/>
      </c>
      <c r="AB562" s="53"/>
      <c r="AC562" s="55" t="str">
        <f>IF(Table26[[#This Row],[customerSKU]]="","",_xlfn.XLOOKUP(Table26[[#This Row],[customerSKU]],customerSKU!G:G,customerSKU!C:C,"",0,1))</f>
        <v/>
      </c>
      <c r="AD562" s="55" t="str">
        <f>IF($AC562="","",_xlfn.XLOOKUP($AC562,'[2]Client Info'!$C$2:$C$2535,'[2]Client Info'!$D$2:$D$2535,"",0,1))</f>
        <v/>
      </c>
      <c r="AE562" s="55" t="str">
        <f>IF($AC562="","",_xlfn.XLOOKUP($AC562,'[2]Client Info'!$C$2:$C$2715,'[2]Client Info'!$E$2:$E$2715,"",))</f>
        <v/>
      </c>
      <c r="AF562" s="55" t="str">
        <f>IF($AC562="","",_xlfn.XLOOKUP($AC562,'[2]Client Info'!$C$2:$C$2715,'[2]Client Info'!$F$2:$F$2715,"",0,1))</f>
        <v/>
      </c>
      <c r="AG562" s="55" t="str">
        <f>IF(ISBLANK(Table26[[#This Row],[customerSKU]]),"",_xlfn.XLOOKUP(Table26[[#This Row],[customerSKU]],Table27[customer_SKU],Table27[billto],"",0,1))</f>
        <v/>
      </c>
      <c r="AH562" s="62" t="str">
        <f>_xlfn.XLOOKUP(Table26[[#This Row],[customerSKU]],customerSKU!G:G,customerSKU!K:K,"NA",0,1)</f>
        <v>NA</v>
      </c>
      <c r="AI562" s="43" t="str">
        <f>_xlfn.XLOOKUP(Table26[[#This Row],[customerSKU]],customerSKU!G:G,customerSKU!O:O,"not found",0,1)</f>
        <v>not found</v>
      </c>
      <c r="AJ562" s="59" t="e">
        <f>Table26[[#This Row],[unitprice]]*Table26[[#This Row],[quantity_unit]]</f>
        <v>#VALUE!</v>
      </c>
      <c r="AK562" s="59" t="e" cm="1">
        <f t="array" ref="AK5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3" spans="1:37" ht="18" customHeight="1">
      <c r="A563" s="42">
        <v>1683</v>
      </c>
      <c r="B563" s="58" t="s">
        <v>3520</v>
      </c>
      <c r="C563" s="53" t="s">
        <v>203</v>
      </c>
      <c r="D563" s="51">
        <v>45597</v>
      </c>
      <c r="E563" s="51"/>
      <c r="F56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3" s="46"/>
      <c r="H563" s="53"/>
      <c r="I563" s="53" t="s">
        <v>3862</v>
      </c>
      <c r="J563" s="53" t="str">
        <f>IF(Table26[[#This Row],[customerSKU]]="","",_xlfn.XLOOKUP(Table26[[#This Row],[customerSKU]],customerSKU!G:G,customerSKU!A:A,"",0,1))</f>
        <v/>
      </c>
      <c r="K563" s="48">
        <v>45602</v>
      </c>
      <c r="L563" s="49" t="str">
        <f>IF(Table26[[#This Row],[customerSKU]]="","",_xlfn.XLOOKUP(Table26[[#This Row],[customerSKU]],customerSKU!G:G,customerSKU!B:B,"",0,1))</f>
        <v/>
      </c>
      <c r="M563" s="53"/>
      <c r="N563" s="77" t="str">
        <f>Table26[[#This Row],[po_number]]&amp;"-"&amp;Table26[[#This Row],[po_line]]</f>
        <v>-11</v>
      </c>
      <c r="O563" s="77">
        <v>11</v>
      </c>
      <c r="P563" s="50"/>
      <c r="Q563" s="53" t="s">
        <v>1375</v>
      </c>
      <c r="R563" s="53" t="s">
        <v>569</v>
      </c>
      <c r="S563" s="53" t="str">
        <f>IF(Table26[[#This Row],[customerSKU]]="","",_xlfn.XLOOKUP(Table26[[#This Row],[customerSKU]],customerSKU!G:G,customerSKU!N:N,"NOT FOUND",0,1))</f>
        <v>NOT FOUND</v>
      </c>
      <c r="T563" s="51">
        <v>45594</v>
      </c>
      <c r="U563" s="52">
        <v>24</v>
      </c>
      <c r="V563" s="53" t="str">
        <f>IF(ISBLANK(Table26[[#This Row],[customerSKU]]),"",_xlfn.XLOOKUP(Table26[[#This Row],[customerSKU]],Table27[customer_SKU],Table27[case_size],"",0,1))</f>
        <v/>
      </c>
      <c r="W563" s="116" t="str">
        <f t="shared" si="20"/>
        <v/>
      </c>
      <c r="X563" s="53" t="str">
        <f t="shared" si="22"/>
        <v/>
      </c>
      <c r="Y563" s="53" t="str">
        <f>IF(Table26[[#This Row],[customerSKU]]="","",_xlfn.XLOOKUP(Table26[[#This Row],[customerSKU]],Table27[customer_SKU],Table27[product_GTIN],"",0,1))</f>
        <v/>
      </c>
      <c r="Z563" s="60">
        <v>994676</v>
      </c>
      <c r="AA563" s="18" t="str" cm="1">
        <f t="array" ref="AA563">IF(P563="", "", _xlfn.XLOOKUP(P563,#REF!,#REF!,NA,0,-1))</f>
        <v/>
      </c>
      <c r="AB563" s="53"/>
      <c r="AC563" s="55" t="str">
        <f>IF(Table26[[#This Row],[customerSKU]]="","",_xlfn.XLOOKUP(Table26[[#This Row],[customerSKU]],customerSKU!G:G,customerSKU!C:C,"",0,1))</f>
        <v/>
      </c>
      <c r="AD563" s="55" t="str">
        <f>IF($AC563="","",_xlfn.XLOOKUP($AC563,'[2]Client Info'!$C$2:$C$2535,'[2]Client Info'!$D$2:$D$2535,"",0,1))</f>
        <v/>
      </c>
      <c r="AE563" s="55" t="str">
        <f>IF($AC563="","",_xlfn.XLOOKUP($AC563,'[2]Client Info'!$C$2:$C$2715,'[2]Client Info'!$E$2:$E$2715,"",))</f>
        <v/>
      </c>
      <c r="AF563" s="55" t="str">
        <f>IF($AC563="","",_xlfn.XLOOKUP($AC563,'[2]Client Info'!$C$2:$C$2715,'[2]Client Info'!$F$2:$F$2715,"",0,1))</f>
        <v/>
      </c>
      <c r="AG563" s="55" t="str">
        <f>IF(ISBLANK(Table26[[#This Row],[customerSKU]]),"",_xlfn.XLOOKUP(Table26[[#This Row],[customerSKU]],Table27[customer_SKU],Table27[billto],"",0,1))</f>
        <v/>
      </c>
      <c r="AH563" s="62" t="str">
        <f>_xlfn.XLOOKUP(Table26[[#This Row],[customerSKU]],customerSKU!G:G,customerSKU!K:K,"NA",0,1)</f>
        <v>NA</v>
      </c>
      <c r="AI563" s="43" t="str">
        <f>_xlfn.XLOOKUP(Table26[[#This Row],[customerSKU]],customerSKU!G:G,customerSKU!O:O,"not found",0,1)</f>
        <v>not found</v>
      </c>
      <c r="AJ563" s="59" t="e">
        <f>Table26[[#This Row],[unitprice]]*Table26[[#This Row],[quantity_unit]]</f>
        <v>#VALUE!</v>
      </c>
      <c r="AK563" s="59" t="e" cm="1">
        <f t="array" ref="AK5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4" spans="1:37" ht="18" customHeight="1">
      <c r="A564" s="42">
        <v>1684</v>
      </c>
      <c r="B564" s="58" t="s">
        <v>3520</v>
      </c>
      <c r="C564" s="53" t="s">
        <v>203</v>
      </c>
      <c r="D564" s="51">
        <v>45597</v>
      </c>
      <c r="E564" s="51"/>
      <c r="F56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4" s="46"/>
      <c r="H564" s="53"/>
      <c r="I564" s="53" t="s">
        <v>3862</v>
      </c>
      <c r="J564" s="53" t="str">
        <f>IF(Table26[[#This Row],[customerSKU]]="","",_xlfn.XLOOKUP(Table26[[#This Row],[customerSKU]],customerSKU!G:G,customerSKU!A:A,"",0,1))</f>
        <v/>
      </c>
      <c r="K564" s="48">
        <v>45602</v>
      </c>
      <c r="L564" s="49" t="str">
        <f>IF(Table26[[#This Row],[customerSKU]]="","",_xlfn.XLOOKUP(Table26[[#This Row],[customerSKU]],customerSKU!G:G,customerSKU!B:B,"",0,1))</f>
        <v/>
      </c>
      <c r="M564" s="53"/>
      <c r="N564" s="77" t="str">
        <f>Table26[[#This Row],[po_number]]&amp;"-"&amp;Table26[[#This Row],[po_line]]</f>
        <v>-12</v>
      </c>
      <c r="O564" s="77">
        <v>12</v>
      </c>
      <c r="P564" s="50"/>
      <c r="Q564" s="53" t="s">
        <v>1736</v>
      </c>
      <c r="R564" s="53" t="s">
        <v>569</v>
      </c>
      <c r="S564" s="53" t="str">
        <f>IF(Table26[[#This Row],[customerSKU]]="","",_xlfn.XLOOKUP(Table26[[#This Row],[customerSKU]],customerSKU!G:G,customerSKU!N:N,"NOT FOUND",0,1))</f>
        <v>NOT FOUND</v>
      </c>
      <c r="T564" s="51">
        <v>45603</v>
      </c>
      <c r="U564" s="52">
        <v>24</v>
      </c>
      <c r="V564" s="53" t="str">
        <f>IF(ISBLANK(Table26[[#This Row],[customerSKU]]),"",_xlfn.XLOOKUP(Table26[[#This Row],[customerSKU]],Table27[customer_SKU],Table27[case_size],"",0,1))</f>
        <v/>
      </c>
      <c r="W564" s="116" t="str">
        <f t="shared" si="20"/>
        <v/>
      </c>
      <c r="X564" s="53" t="str">
        <f t="shared" si="22"/>
        <v/>
      </c>
      <c r="Y564" s="53" t="str">
        <f>IF(Table26[[#This Row],[customerSKU]]="","",_xlfn.XLOOKUP(Table26[[#This Row],[customerSKU]],Table27[customer_SKU],Table27[product_GTIN],"",0,1))</f>
        <v/>
      </c>
      <c r="Z564" s="60">
        <v>994674</v>
      </c>
      <c r="AA564" s="18" t="str" cm="1">
        <f t="array" ref="AA564">IF(P564="", "", _xlfn.XLOOKUP(P564,#REF!,#REF!,NA,0,-1))</f>
        <v/>
      </c>
      <c r="AB564" s="53"/>
      <c r="AC564" s="55" t="str">
        <f>IF(Table26[[#This Row],[customerSKU]]="","",_xlfn.XLOOKUP(Table26[[#This Row],[customerSKU]],customerSKU!G:G,customerSKU!C:C,"",0,1))</f>
        <v/>
      </c>
      <c r="AD564" s="55" t="str">
        <f>IF($AC564="","",_xlfn.XLOOKUP($AC564,'[2]Client Info'!$C$2:$C$2535,'[2]Client Info'!$D$2:$D$2535,"",0,1))</f>
        <v/>
      </c>
      <c r="AE564" s="55" t="str">
        <f>IF($AC564="","",_xlfn.XLOOKUP($AC564,'[2]Client Info'!$C$2:$C$2715,'[2]Client Info'!$E$2:$E$2715,"",))</f>
        <v/>
      </c>
      <c r="AF564" s="55" t="str">
        <f>IF($AC564="","",_xlfn.XLOOKUP($AC564,'[2]Client Info'!$C$2:$C$2715,'[2]Client Info'!$F$2:$F$2715,"",0,1))</f>
        <v/>
      </c>
      <c r="AG564" s="55" t="str">
        <f>IF(ISBLANK(Table26[[#This Row],[customerSKU]]),"",_xlfn.XLOOKUP(Table26[[#This Row],[customerSKU]],Table27[customer_SKU],Table27[billto],"",0,1))</f>
        <v/>
      </c>
      <c r="AH564" s="62" t="str">
        <f>_xlfn.XLOOKUP(Table26[[#This Row],[customerSKU]],customerSKU!G:G,customerSKU!K:K,"NA",0,1)</f>
        <v>NA</v>
      </c>
      <c r="AI564" s="43" t="str">
        <f>_xlfn.XLOOKUP(Table26[[#This Row],[customerSKU]],customerSKU!G:G,customerSKU!O:O,"not found",0,1)</f>
        <v>not found</v>
      </c>
      <c r="AJ564" s="59" t="e">
        <f>Table26[[#This Row],[unitprice]]*Table26[[#This Row],[quantity_unit]]</f>
        <v>#VALUE!</v>
      </c>
      <c r="AK564" s="59" t="e" cm="1">
        <f t="array" ref="AK5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5" spans="1:37" ht="18" customHeight="1">
      <c r="A565" s="42">
        <v>1685</v>
      </c>
      <c r="B565" s="58" t="s">
        <v>3520</v>
      </c>
      <c r="C565" s="53" t="s">
        <v>203</v>
      </c>
      <c r="D565" s="51" t="str">
        <f>IF(Table26[[#This Row],[customerSKU]]="","","null")</f>
        <v>null</v>
      </c>
      <c r="E565" s="51"/>
      <c r="F56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5" s="46"/>
      <c r="H565" s="53"/>
      <c r="I565" s="53" t="s">
        <v>3862</v>
      </c>
      <c r="J565" s="53" t="str">
        <f>IF(Table26[[#This Row],[customerSKU]]="","",_xlfn.XLOOKUP(Table26[[#This Row],[customerSKU]],customerSKU!G:G,customerSKU!A:A,"",0,1))</f>
        <v/>
      </c>
      <c r="K565" s="48">
        <v>45602</v>
      </c>
      <c r="L565" s="49" t="str">
        <f>IF(Table26[[#This Row],[customerSKU]]="","",_xlfn.XLOOKUP(Table26[[#This Row],[customerSKU]],customerSKU!G:G,customerSKU!B:B,"",0,1))</f>
        <v/>
      </c>
      <c r="M565" s="53"/>
      <c r="N565" s="77" t="str">
        <f>Table26[[#This Row],[po_number]]&amp;"-"&amp;Table26[[#This Row],[po_line]]</f>
        <v>-1</v>
      </c>
      <c r="O565" s="77">
        <v>1</v>
      </c>
      <c r="P565" s="50"/>
      <c r="Q565" s="53" t="s">
        <v>3962</v>
      </c>
      <c r="R565" s="53" t="s">
        <v>569</v>
      </c>
      <c r="S565" s="53" t="str">
        <f>IF(Table26[[#This Row],[customerSKU]]="","",_xlfn.XLOOKUP(Table26[[#This Row],[customerSKU]],customerSKU!G:G,customerSKU!N:N,"NOT FOUND",0,1))</f>
        <v>NOT FOUND</v>
      </c>
      <c r="T565" s="20">
        <v>45460</v>
      </c>
      <c r="U565" s="52">
        <v>72</v>
      </c>
      <c r="V565" s="53" t="str">
        <f>IF(ISBLANK(Table26[[#This Row],[customerSKU]]),"",_xlfn.XLOOKUP(Table26[[#This Row],[customerSKU]],Table27[customer_SKU],Table27[case_size],"",0,1))</f>
        <v/>
      </c>
      <c r="W565" s="116" t="str">
        <f t="shared" si="20"/>
        <v/>
      </c>
      <c r="X565" s="53" t="str">
        <f>IFERROR($AA559*$U559, "")</f>
        <v/>
      </c>
      <c r="Y565" s="53" t="str">
        <f>IF(Table26[[#This Row],[customerSKU]]="","",_xlfn.XLOOKUP(Table26[[#This Row],[customerSKU]],Table27[customer_SKU],Table27[product_GTIN],"",0,1))</f>
        <v/>
      </c>
      <c r="Z565" s="60" t="s">
        <v>3399</v>
      </c>
      <c r="AA565" s="18" t="str" cm="1">
        <f t="array" ref="AA565">IF(P565="", "", _xlfn.XLOOKUP(P565,#REF!,#REF!,NA,0,-1))</f>
        <v/>
      </c>
      <c r="AB565" s="53"/>
      <c r="AC565" s="55" t="str">
        <f>IF(Table26[[#This Row],[customerSKU]]="","",_xlfn.XLOOKUP(Table26[[#This Row],[customerSKU]],customerSKU!G:G,customerSKU!C:C,"",0,1))</f>
        <v/>
      </c>
      <c r="AD565" s="55" t="str">
        <f>IF($AC565="","",_xlfn.XLOOKUP($AC565,'[2]Client Info'!$C$2:$C$2535,'[2]Client Info'!$D$2:$D$2535,"",0,1))</f>
        <v/>
      </c>
      <c r="AE565" s="55" t="str">
        <f>IF($AC565="","",_xlfn.XLOOKUP($AC565,'[2]Client Info'!$C$2:$C$2715,'[2]Client Info'!$E$2:$E$2715,"",))</f>
        <v/>
      </c>
      <c r="AF565" s="55" t="str">
        <f>IF($AC565="","",_xlfn.XLOOKUP($AC565,'[2]Client Info'!$C$2:$C$2715,'[2]Client Info'!$F$2:$F$2715,"",0,1))</f>
        <v/>
      </c>
      <c r="AG565" s="55" t="str">
        <f>IF(ISBLANK(Table26[[#This Row],[customerSKU]]),"",_xlfn.XLOOKUP(Table26[[#This Row],[customerSKU]],Table27[customer_SKU],Table27[billto],"",0,1))</f>
        <v/>
      </c>
      <c r="AH565" s="62" t="str">
        <f>_xlfn.XLOOKUP(Table26[[#This Row],[customerSKU]],customerSKU!G:G,customerSKU!K:K,"NA",0,1)</f>
        <v>NA</v>
      </c>
      <c r="AI565" s="43" t="str">
        <f>_xlfn.XLOOKUP(Table26[[#This Row],[customerSKU]],customerSKU!G:G,customerSKU!O:O,"not found",0,1)</f>
        <v>not found</v>
      </c>
      <c r="AJ565" s="53" t="e">
        <f>Table26[[#This Row],[unitprice]]*Table26[[#This Row],[quantity_unit]]</f>
        <v>#VALUE!</v>
      </c>
      <c r="AK565" s="53" t="e" cm="1">
        <f t="array" ref="AK5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6" spans="1:37" ht="18" customHeight="1">
      <c r="A566" s="42">
        <v>1686</v>
      </c>
      <c r="B566" s="58" t="s">
        <v>3520</v>
      </c>
      <c r="C566" s="53" t="s">
        <v>203</v>
      </c>
      <c r="D566" s="51" t="str">
        <f>IF(Table26[[#This Row],[customerSKU]]="","","null")</f>
        <v>null</v>
      </c>
      <c r="E566" s="51"/>
      <c r="F56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6" s="46"/>
      <c r="H566" s="53"/>
      <c r="I566" s="53" t="s">
        <v>3862</v>
      </c>
      <c r="J566" s="53" t="str">
        <f>IF(Table26[[#This Row],[customerSKU]]="","",_xlfn.XLOOKUP(Table26[[#This Row],[customerSKU]],customerSKU!G:G,customerSKU!A:A,"",0,1))</f>
        <v/>
      </c>
      <c r="K566" s="48">
        <v>45602</v>
      </c>
      <c r="L566" s="49" t="str">
        <f>IF(Table26[[#This Row],[customerSKU]]="","",_xlfn.XLOOKUP(Table26[[#This Row],[customerSKU]],customerSKU!G:G,customerSKU!B:B,"",0,1))</f>
        <v/>
      </c>
      <c r="M566" s="53"/>
      <c r="N566" s="77" t="str">
        <f>Table26[[#This Row],[po_number]]&amp;"-"&amp;Table26[[#This Row],[po_line]]</f>
        <v>-2</v>
      </c>
      <c r="O566" s="77">
        <v>2</v>
      </c>
      <c r="P566" s="50"/>
      <c r="Q566" s="53" t="s">
        <v>3953</v>
      </c>
      <c r="R566" s="53" t="s">
        <v>569</v>
      </c>
      <c r="S566" s="53" t="str">
        <f>IF(Table26[[#This Row],[customerSKU]]="","",_xlfn.XLOOKUP(Table26[[#This Row],[customerSKU]],customerSKU!G:G,customerSKU!N:N,"NOT FOUND",0,1))</f>
        <v>NOT FOUND</v>
      </c>
      <c r="T566" s="20">
        <v>45587</v>
      </c>
      <c r="U566" s="52">
        <v>12</v>
      </c>
      <c r="V566" s="53">
        <v>12</v>
      </c>
      <c r="W566" s="116">
        <f t="shared" si="20"/>
        <v>1</v>
      </c>
      <c r="X566" s="53" t="str">
        <f>IFERROR($AA561*$U561, "")</f>
        <v/>
      </c>
      <c r="Y566" s="53" t="str">
        <f>IF(Table26[[#This Row],[customerSKU]]="","",_xlfn.XLOOKUP(Table26[[#This Row],[customerSKU]],Table27[customer_SKU],Table27[product_GTIN],"",0,1))</f>
        <v/>
      </c>
      <c r="Z566" s="60" t="s">
        <v>3399</v>
      </c>
      <c r="AA566" s="18" t="str" cm="1">
        <f t="array" ref="AA566">IF(P566="", "", _xlfn.XLOOKUP(P566,#REF!,#REF!,NA,0,-1))</f>
        <v/>
      </c>
      <c r="AB566" s="53"/>
      <c r="AC566" s="55" t="str">
        <f>IF(Table26[[#This Row],[customerSKU]]="","",_xlfn.XLOOKUP(Table26[[#This Row],[customerSKU]],customerSKU!G:G,customerSKU!C:C,"",0,1))</f>
        <v/>
      </c>
      <c r="AD566" s="55" t="str">
        <f>IF($AC566="","",_xlfn.XLOOKUP($AC566,'[2]Client Info'!$C$2:$C$2535,'[2]Client Info'!$D$2:$D$2535,"",0,1))</f>
        <v/>
      </c>
      <c r="AE566" s="55" t="str">
        <f>IF($AC566="","",_xlfn.XLOOKUP($AC566,'[2]Client Info'!$C$2:$C$2715,'[2]Client Info'!$E$2:$E$2715,"",))</f>
        <v/>
      </c>
      <c r="AF566" s="55" t="str">
        <f>IF($AC566="","",_xlfn.XLOOKUP($AC566,'[2]Client Info'!$C$2:$C$2715,'[2]Client Info'!$F$2:$F$2715,"",0,1))</f>
        <v/>
      </c>
      <c r="AG566" s="55" t="str">
        <f>IF(ISBLANK(Table26[[#This Row],[customerSKU]]),"",_xlfn.XLOOKUP(Table26[[#This Row],[customerSKU]],Table27[customer_SKU],Table27[billto],"",0,1))</f>
        <v/>
      </c>
      <c r="AH566" s="62" t="str">
        <f>_xlfn.XLOOKUP(Table26[[#This Row],[customerSKU]],customerSKU!G:G,customerSKU!K:K,"NA",0,1)</f>
        <v>NA</v>
      </c>
      <c r="AI566" s="43" t="str">
        <f>_xlfn.XLOOKUP(Table26[[#This Row],[customerSKU]],customerSKU!G:G,customerSKU!O:O,"not found",0,1)</f>
        <v>not found</v>
      </c>
      <c r="AJ566" s="53" t="e">
        <f>Table26[[#This Row],[unitprice]]*Table26[[#This Row],[quantity_unit]]</f>
        <v>#VALUE!</v>
      </c>
      <c r="AK566" s="53" t="e" cm="1">
        <f t="array" ref="AK5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7" spans="1:37" ht="18" customHeight="1">
      <c r="A567" s="42">
        <v>1687</v>
      </c>
      <c r="B567" s="58" t="s">
        <v>3520</v>
      </c>
      <c r="C567" s="53" t="s">
        <v>203</v>
      </c>
      <c r="D567" s="51" t="str">
        <f>IF(Table26[[#This Row],[customerSKU]]="","","null")</f>
        <v>null</v>
      </c>
      <c r="E567" s="51"/>
      <c r="F56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67" s="46"/>
      <c r="H567" s="53"/>
      <c r="I567" s="53" t="s">
        <v>3862</v>
      </c>
      <c r="J567" s="53" t="str">
        <f>IF(Table26[[#This Row],[customerSKU]]="","",_xlfn.XLOOKUP(Table26[[#This Row],[customerSKU]],customerSKU!G:G,customerSKU!A:A,"",0,1))</f>
        <v/>
      </c>
      <c r="K567" s="48">
        <v>45602</v>
      </c>
      <c r="L567" s="49" t="str">
        <f>IF(Table26[[#This Row],[customerSKU]]="","",_xlfn.XLOOKUP(Table26[[#This Row],[customerSKU]],customerSKU!G:G,customerSKU!B:B,"",0,1))</f>
        <v/>
      </c>
      <c r="M567" s="53"/>
      <c r="N567" s="77" t="str">
        <f>Table26[[#This Row],[po_number]]&amp;"-"&amp;Table26[[#This Row],[po_line]]</f>
        <v>-3</v>
      </c>
      <c r="O567" s="77">
        <v>3</v>
      </c>
      <c r="P567" s="50"/>
      <c r="Q567" s="53" t="s">
        <v>3839</v>
      </c>
      <c r="R567" s="53" t="s">
        <v>569</v>
      </c>
      <c r="S567" s="53" t="str">
        <f>IF(Table26[[#This Row],[customerSKU]]="","",_xlfn.XLOOKUP(Table26[[#This Row],[customerSKU]],customerSKU!G:G,customerSKU!N:N,"NOT FOUND",0,1))</f>
        <v>NOT FOUND</v>
      </c>
      <c r="T567" s="20">
        <v>45583</v>
      </c>
      <c r="U567" s="52">
        <v>48</v>
      </c>
      <c r="V567" s="53" t="str">
        <f>IF(ISBLANK(Table26[[#This Row],[customerSKU]]),"",_xlfn.XLOOKUP(Table26[[#This Row],[customerSKU]],Table27[customer_SKU],Table27[case_size],"",0,1))</f>
        <v/>
      </c>
      <c r="W567" s="116" t="str">
        <f t="shared" si="20"/>
        <v/>
      </c>
      <c r="X567" s="53" t="str">
        <f>IFERROR($AA561*$U561, "")</f>
        <v/>
      </c>
      <c r="Y567" s="53" t="str">
        <f>IF(Table26[[#This Row],[customerSKU]]="","",_xlfn.XLOOKUP(Table26[[#This Row],[customerSKU]],Table27[customer_SKU],Table27[product_GTIN],"",0,1))</f>
        <v/>
      </c>
      <c r="Z567" s="60" t="s">
        <v>3963</v>
      </c>
      <c r="AA567" s="18" t="str" cm="1">
        <f t="array" ref="AA567">IF(P567="", "", _xlfn.XLOOKUP(P567,#REF!,#REF!,NA,0,-1))</f>
        <v/>
      </c>
      <c r="AB567" s="53"/>
      <c r="AC567" s="55" t="str">
        <f>IF(Table26[[#This Row],[customerSKU]]="","",_xlfn.XLOOKUP(Table26[[#This Row],[customerSKU]],customerSKU!G:G,customerSKU!C:C,"",0,1))</f>
        <v/>
      </c>
      <c r="AD567" s="55" t="str">
        <f>IF($AC567="","",_xlfn.XLOOKUP($AC567,'[2]Client Info'!$C$2:$C$2535,'[2]Client Info'!$D$2:$D$2535,"",0,1))</f>
        <v/>
      </c>
      <c r="AE567" s="55" t="str">
        <f>IF($AC567="","",_xlfn.XLOOKUP($AC567,'[2]Client Info'!$C$2:$C$2715,'[2]Client Info'!$E$2:$E$2715,"",))</f>
        <v/>
      </c>
      <c r="AF567" s="55" t="str">
        <f>IF($AC567="","",_xlfn.XLOOKUP($AC567,'[2]Client Info'!$C$2:$C$2715,'[2]Client Info'!$F$2:$F$2715,"",0,1))</f>
        <v/>
      </c>
      <c r="AG567" s="55" t="str">
        <f>IF(ISBLANK(Table26[[#This Row],[customerSKU]]),"",_xlfn.XLOOKUP(Table26[[#This Row],[customerSKU]],Table27[customer_SKU],Table27[billto],"",0,1))</f>
        <v/>
      </c>
      <c r="AH567" s="62" t="str">
        <f>_xlfn.XLOOKUP(Table26[[#This Row],[customerSKU]],customerSKU!G:G,customerSKU!K:K,"NA",0,1)</f>
        <v>NA</v>
      </c>
      <c r="AI567" s="43" t="str">
        <f>_xlfn.XLOOKUP(Table26[[#This Row],[customerSKU]],customerSKU!G:G,customerSKU!O:O,"not found",0,1)</f>
        <v>not found</v>
      </c>
      <c r="AJ567" s="53" t="e">
        <f>Table26[[#This Row],[unitprice]]*Table26[[#This Row],[quantity_unit]]</f>
        <v>#VALUE!</v>
      </c>
      <c r="AK567" s="53" t="e" cm="1">
        <f t="array" ref="AK5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8" spans="1:37" ht="18" customHeight="1">
      <c r="A568" s="42">
        <v>1688</v>
      </c>
      <c r="B568" s="249" t="s">
        <v>3520</v>
      </c>
      <c r="C568" s="90" t="s">
        <v>203</v>
      </c>
      <c r="D568" s="235" t="str">
        <f>IF(Table26[[#This Row],[customerSKU]]="","","null")</f>
        <v>null</v>
      </c>
      <c r="E568" s="235"/>
      <c r="F56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68" s="46"/>
      <c r="H568" s="90"/>
      <c r="I568" s="90" t="s">
        <v>3862</v>
      </c>
      <c r="J568" s="90" t="str">
        <f>IF(Table26[[#This Row],[customerSKU]]="","",_xlfn.XLOOKUP(Table26[[#This Row],[customerSKU]],customerSKU!G:G,customerSKU!A:A,"",0,1))</f>
        <v/>
      </c>
      <c r="K568" s="232">
        <v>45602</v>
      </c>
      <c r="L568" s="233" t="str">
        <f>IF(Table26[[#This Row],[customerSKU]]="","",_xlfn.XLOOKUP(Table26[[#This Row],[customerSKU]],customerSKU!G:G,customerSKU!B:B,"",0,1))</f>
        <v/>
      </c>
      <c r="M568" s="90"/>
      <c r="N568" s="55" t="str">
        <f>Table26[[#This Row],[po_number]]&amp;"-"&amp;Table26[[#This Row],[po_line]]</f>
        <v>-1</v>
      </c>
      <c r="O568" s="55">
        <v>1</v>
      </c>
      <c r="P568" s="234"/>
      <c r="Q568" s="90" t="s">
        <v>589</v>
      </c>
      <c r="R568" s="90" t="s">
        <v>3302</v>
      </c>
      <c r="S568" s="90" t="str">
        <f>IF(Table26[[#This Row],[customerSKU]]="","",_xlfn.XLOOKUP(Table26[[#This Row],[customerSKU]],customerSKU!G:G,customerSKU!N:N,"NOT FOUND",0,1))</f>
        <v>NOT FOUND</v>
      </c>
      <c r="T568" s="20">
        <v>45581</v>
      </c>
      <c r="U568" s="236">
        <v>12</v>
      </c>
      <c r="V568" s="90" t="str">
        <f>IF(ISBLANK(Table26[[#This Row],[customerSKU]]),"",_xlfn.XLOOKUP(Table26[[#This Row],[customerSKU]],Table27[customer_SKU],Table27[case_size],"",0,1))</f>
        <v/>
      </c>
      <c r="W568" s="237" t="str">
        <f t="shared" si="20"/>
        <v/>
      </c>
      <c r="X568" s="90" t="str">
        <f t="shared" ref="X568:X599" si="23">IFERROR($AA568*$U568, "")</f>
        <v/>
      </c>
      <c r="Y568" s="90" t="str">
        <f>IF(Table26[[#This Row],[customerSKU]]="","",_xlfn.XLOOKUP(Table26[[#This Row],[customerSKU]],Table27[customer_SKU],Table27[product_GTIN],"",0,1))</f>
        <v/>
      </c>
      <c r="Z568" s="25" t="s">
        <v>3432</v>
      </c>
      <c r="AA568" s="18" t="str" cm="1">
        <f t="array" ref="AA568">IF(P568="", "", _xlfn.XLOOKUP(P568,#REF!,#REF!,NA,0,-1))</f>
        <v/>
      </c>
      <c r="AB568" s="90"/>
      <c r="AC568" s="55" t="s">
        <v>3976</v>
      </c>
      <c r="AD568" s="55" t="str">
        <f>IF($AC568="","",_xlfn.XLOOKUP($AC568,'[2]Client Info'!$C$2:$C$2535,'[2]Client Info'!$D$2:$D$2535,"",0,1))</f>
        <v>101-124 Craig St, PO Box 207</v>
      </c>
      <c r="AE568" s="55" t="str">
        <f>IF($AC568="","",_xlfn.XLOOKUP($AC568,'[2]Client Info'!$C$2:$C$2715,'[2]Client Info'!$E$2:$E$2715,"",))</f>
        <v>Parksville</v>
      </c>
      <c r="AF568" s="55" t="str">
        <f>IF($AC568="","",_xlfn.XLOOKUP($AC568,'[2]Client Info'!$C$2:$C$2715,'[2]Client Info'!$F$2:$F$2715,"",0,1))</f>
        <v xml:space="preserve">BC </v>
      </c>
      <c r="AG568" s="55" t="s">
        <v>3976</v>
      </c>
      <c r="AH568" s="245" t="str">
        <f>_xlfn.XLOOKUP(Table26[[#This Row],[customerSKU]],customerSKU!G:G,customerSKU!K:K,"NA",0,1)</f>
        <v>NA</v>
      </c>
      <c r="AI568" s="43" t="str">
        <f>_xlfn.XLOOKUP(Table26[[#This Row],[customerSKU]],customerSKU!G:G,customerSKU!O:O,"not found",0,1)</f>
        <v>not found</v>
      </c>
      <c r="AJ568" s="53" t="e">
        <f>Table26[[#This Row],[unitprice]]*Table26[[#This Row],[quantity_unit]]</f>
        <v>#VALUE!</v>
      </c>
      <c r="AK568" s="53" t="e" cm="1">
        <f t="array" ref="AK5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69" spans="1:37" ht="24.6" customHeight="1">
      <c r="A569" s="42">
        <v>1689</v>
      </c>
      <c r="B569" s="249" t="s">
        <v>3520</v>
      </c>
      <c r="C569" s="90" t="s">
        <v>203</v>
      </c>
      <c r="D569" s="235" t="str">
        <f>IF(Table26[[#This Row],[customerSKU]]="","","null")</f>
        <v>null</v>
      </c>
      <c r="E569" s="235"/>
      <c r="F56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69" s="46"/>
      <c r="H569" s="90"/>
      <c r="I569" s="90" t="s">
        <v>3862</v>
      </c>
      <c r="J569" s="90" t="str">
        <f>IF(Table26[[#This Row],[customerSKU]]="","",_xlfn.XLOOKUP(Table26[[#This Row],[customerSKU]],customerSKU!G:G,customerSKU!A:A,"",0,1))</f>
        <v/>
      </c>
      <c r="K569" s="232">
        <v>45602</v>
      </c>
      <c r="L569" s="233" t="str">
        <f>IF(Table26[[#This Row],[customerSKU]]="","",_xlfn.XLOOKUP(Table26[[#This Row],[customerSKU]],customerSKU!G:G,customerSKU!B:B,"",0,1))</f>
        <v/>
      </c>
      <c r="M569" s="90"/>
      <c r="N569" s="55" t="str">
        <f>Table26[[#This Row],[po_number]]&amp;"-"&amp;Table26[[#This Row],[po_line]]</f>
        <v>-2</v>
      </c>
      <c r="O569" s="55">
        <v>2</v>
      </c>
      <c r="P569" s="234"/>
      <c r="Q569" s="90" t="s">
        <v>630</v>
      </c>
      <c r="R569" s="90" t="s">
        <v>3302</v>
      </c>
      <c r="S569" s="90" t="str">
        <f>IF(Table26[[#This Row],[customerSKU]]="","",_xlfn.XLOOKUP(Table26[[#This Row],[customerSKU]],customerSKU!G:G,customerSKU!N:N,"NOT FOUND",0,1))</f>
        <v>NOT FOUND</v>
      </c>
      <c r="T569" s="20">
        <v>45581</v>
      </c>
      <c r="U569" s="236">
        <v>12</v>
      </c>
      <c r="V569" s="90" t="str">
        <f>IF(ISBLANK(Table26[[#This Row],[customerSKU]]),"",_xlfn.XLOOKUP(Table26[[#This Row],[customerSKU]],Table27[customer_SKU],Table27[case_size],"",0,1))</f>
        <v/>
      </c>
      <c r="W569" s="237" t="str">
        <f t="shared" si="20"/>
        <v/>
      </c>
      <c r="X569" s="90" t="str">
        <f t="shared" si="23"/>
        <v/>
      </c>
      <c r="Y569" s="90" t="str">
        <f>IF(Table26[[#This Row],[customerSKU]]="","",_xlfn.XLOOKUP(Table26[[#This Row],[customerSKU]],Table27[customer_SKU],Table27[product_GTIN],"",0,1))</f>
        <v/>
      </c>
      <c r="Z569" s="25" t="s">
        <v>3386</v>
      </c>
      <c r="AA569" s="18" t="str" cm="1">
        <f t="array" ref="AA569">IF(P569="", "", _xlfn.XLOOKUP(P569,#REF!,#REF!,NA,0,-1))</f>
        <v/>
      </c>
      <c r="AB569" s="90"/>
      <c r="AC569" s="55" t="s">
        <v>3976</v>
      </c>
      <c r="AD569" s="55" t="str">
        <f>IF($AC569="","",_xlfn.XLOOKUP($AC569,'[2]Client Info'!$C$2:$C$2535,'[2]Client Info'!$D$2:$D$2535,"",0,1))</f>
        <v>101-124 Craig St, PO Box 207</v>
      </c>
      <c r="AE569" s="55" t="str">
        <f>IF($AC569="","",_xlfn.XLOOKUP($AC569,'[2]Client Info'!$C$2:$C$2715,'[2]Client Info'!$E$2:$E$2715,"",))</f>
        <v>Parksville</v>
      </c>
      <c r="AF569" s="55" t="str">
        <f>IF($AC569="","",_xlfn.XLOOKUP($AC569,'[2]Client Info'!$C$2:$C$2715,'[2]Client Info'!$F$2:$F$2715,"",0,1))</f>
        <v xml:space="preserve">BC </v>
      </c>
      <c r="AG569" s="55" t="s">
        <v>3976</v>
      </c>
      <c r="AH569" s="245" t="str">
        <f>_xlfn.XLOOKUP(Table26[[#This Row],[customerSKU]],customerSKU!G:G,customerSKU!K:K,"NA",0,1)</f>
        <v>NA</v>
      </c>
      <c r="AI569" s="43" t="str">
        <f>_xlfn.XLOOKUP(Table26[[#This Row],[customerSKU]],customerSKU!G:G,customerSKU!O:O,"not found",0,1)</f>
        <v>not found</v>
      </c>
      <c r="AJ569" s="53" t="e">
        <f>Table26[[#This Row],[unitprice]]*Table26[[#This Row],[quantity_unit]]</f>
        <v>#VALUE!</v>
      </c>
      <c r="AK569" s="53" t="e" cm="1">
        <f t="array" ref="AK5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0" spans="1:37" ht="24.6" customHeight="1">
      <c r="A570" s="42">
        <v>1690</v>
      </c>
      <c r="B570" s="249" t="s">
        <v>3520</v>
      </c>
      <c r="C570" s="90" t="s">
        <v>203</v>
      </c>
      <c r="D570" s="235" t="str">
        <f>IF(Table26[[#This Row],[customerSKU]]="","","null")</f>
        <v>null</v>
      </c>
      <c r="E570" s="235"/>
      <c r="F57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0" s="46"/>
      <c r="H570" s="90"/>
      <c r="I570" s="90" t="s">
        <v>3862</v>
      </c>
      <c r="J570" s="90" t="str">
        <f>IF(Table26[[#This Row],[customerSKU]]="","",_xlfn.XLOOKUP(Table26[[#This Row],[customerSKU]],customerSKU!G:G,customerSKU!A:A,"",0,1))</f>
        <v/>
      </c>
      <c r="K570" s="232">
        <v>45602</v>
      </c>
      <c r="L570" s="233" t="str">
        <f>IF(Table26[[#This Row],[customerSKU]]="","",_xlfn.XLOOKUP(Table26[[#This Row],[customerSKU]],customerSKU!G:G,customerSKU!B:B,"",0,1))</f>
        <v/>
      </c>
      <c r="M570" s="90"/>
      <c r="N570" s="55" t="str">
        <f>Table26[[#This Row],[po_number]]&amp;"-"&amp;Table26[[#This Row],[po_line]]</f>
        <v>-3</v>
      </c>
      <c r="O570" s="55">
        <v>3</v>
      </c>
      <c r="P570" s="234"/>
      <c r="Q570" s="90" t="s">
        <v>905</v>
      </c>
      <c r="R570" s="90" t="s">
        <v>3302</v>
      </c>
      <c r="S570" s="90" t="str">
        <f>IF(Table26[[#This Row],[customerSKU]]="","",_xlfn.XLOOKUP(Table26[[#This Row],[customerSKU]],customerSKU!G:G,customerSKU!N:N,"NOT FOUND",0,1))</f>
        <v>NOT FOUND</v>
      </c>
      <c r="T570" s="20">
        <v>45570</v>
      </c>
      <c r="U570" s="236">
        <v>12</v>
      </c>
      <c r="V570" s="90" t="str">
        <f>IF(ISBLANK(Table26[[#This Row],[customerSKU]]),"",_xlfn.XLOOKUP(Table26[[#This Row],[customerSKU]],Table27[customer_SKU],Table27[case_size],"",0,1))</f>
        <v/>
      </c>
      <c r="W570" s="237" t="str">
        <f t="shared" ref="W570:W633" si="24">IFERROR(U570/V570, "")</f>
        <v/>
      </c>
      <c r="X570" s="90" t="str">
        <f t="shared" si="23"/>
        <v/>
      </c>
      <c r="Y570" s="90" t="str">
        <f>IF(Table26[[#This Row],[customerSKU]]="","",_xlfn.XLOOKUP(Table26[[#This Row],[customerSKU]],Table27[customer_SKU],Table27[product_GTIN],"",0,1))</f>
        <v/>
      </c>
      <c r="Z570" s="25" t="s">
        <v>3377</v>
      </c>
      <c r="AA570" s="18" t="str" cm="1">
        <f t="array" ref="AA570">IF(P570="", "", _xlfn.XLOOKUP(P570,#REF!,#REF!,NA,0,-1))</f>
        <v/>
      </c>
      <c r="AB570" s="90"/>
      <c r="AC570" s="55" t="s">
        <v>3976</v>
      </c>
      <c r="AD570" s="55" t="str">
        <f>IF($AC570="","",_xlfn.XLOOKUP($AC570,'[2]Client Info'!$C$2:$C$2535,'[2]Client Info'!$D$2:$D$2535,"",0,1))</f>
        <v>101-124 Craig St, PO Box 207</v>
      </c>
      <c r="AE570" s="55" t="str">
        <f>IF($AC570="","",_xlfn.XLOOKUP($AC570,'[2]Client Info'!$C$2:$C$2715,'[2]Client Info'!$E$2:$E$2715,"",))</f>
        <v>Parksville</v>
      </c>
      <c r="AF570" s="55" t="str">
        <f>IF($AC570="","",_xlfn.XLOOKUP($AC570,'[2]Client Info'!$C$2:$C$2715,'[2]Client Info'!$F$2:$F$2715,"",0,1))</f>
        <v xml:space="preserve">BC </v>
      </c>
      <c r="AG570" s="55" t="s">
        <v>3976</v>
      </c>
      <c r="AH570" s="245" t="str">
        <f>_xlfn.XLOOKUP(Table26[[#This Row],[customerSKU]],customerSKU!G:G,customerSKU!K:K,"NA",0,1)</f>
        <v>NA</v>
      </c>
      <c r="AI570" s="43" t="str">
        <f>_xlfn.XLOOKUP(Table26[[#This Row],[customerSKU]],customerSKU!G:G,customerSKU!O:O,"not found",0,1)</f>
        <v>not found</v>
      </c>
      <c r="AJ570" s="53" t="e">
        <f>Table26[[#This Row],[unitprice]]*Table26[[#This Row],[quantity_unit]]</f>
        <v>#VALUE!</v>
      </c>
      <c r="AK570" s="53" t="e" cm="1">
        <f t="array" ref="AK5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1" spans="1:37" ht="18" customHeight="1">
      <c r="A571" s="42">
        <v>1691</v>
      </c>
      <c r="B571" s="249" t="s">
        <v>3520</v>
      </c>
      <c r="C571" s="90" t="s">
        <v>203</v>
      </c>
      <c r="D571" s="235" t="str">
        <f>IF(Table26[[#This Row],[customerSKU]]="","","null")</f>
        <v>null</v>
      </c>
      <c r="E571" s="235"/>
      <c r="F57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1" s="46"/>
      <c r="H571" s="90"/>
      <c r="I571" s="90" t="s">
        <v>3862</v>
      </c>
      <c r="J571" s="90" t="str">
        <f>IF(Table26[[#This Row],[customerSKU]]="","",_xlfn.XLOOKUP(Table26[[#This Row],[customerSKU]],customerSKU!G:G,customerSKU!A:A,"",0,1))</f>
        <v/>
      </c>
      <c r="K571" s="232">
        <v>45602</v>
      </c>
      <c r="L571" s="233" t="str">
        <f>IF(Table26[[#This Row],[customerSKU]]="","",_xlfn.XLOOKUP(Table26[[#This Row],[customerSKU]],customerSKU!G:G,customerSKU!B:B,"",0,1))</f>
        <v/>
      </c>
      <c r="M571" s="90"/>
      <c r="N571" s="55" t="str">
        <f>Table26[[#This Row],[po_number]]&amp;"-"&amp;Table26[[#This Row],[po_line]]</f>
        <v>-4</v>
      </c>
      <c r="O571" s="55">
        <v>4</v>
      </c>
      <c r="P571" s="234"/>
      <c r="Q571" s="90" t="s">
        <v>1134</v>
      </c>
      <c r="R571" s="90" t="s">
        <v>3302</v>
      </c>
      <c r="S571" s="90" t="str">
        <f>IF(Table26[[#This Row],[customerSKU]]="","",_xlfn.XLOOKUP(Table26[[#This Row],[customerSKU]],customerSKU!G:G,customerSKU!N:N,"NOT FOUND",0,1))</f>
        <v>NOT FOUND</v>
      </c>
      <c r="T571" s="20">
        <v>45574</v>
      </c>
      <c r="U571" s="236">
        <v>12</v>
      </c>
      <c r="V571" s="90" t="str">
        <f>IF(ISBLANK(Table26[[#This Row],[customerSKU]]),"",_xlfn.XLOOKUP(Table26[[#This Row],[customerSKU]],Table27[customer_SKU],Table27[case_size],"",0,1))</f>
        <v/>
      </c>
      <c r="W571" s="237" t="str">
        <f t="shared" si="24"/>
        <v/>
      </c>
      <c r="X571" s="90" t="str">
        <f t="shared" si="23"/>
        <v/>
      </c>
      <c r="Y571" s="90" t="str">
        <f>IF(Table26[[#This Row],[customerSKU]]="","",_xlfn.XLOOKUP(Table26[[#This Row],[customerSKU]],Table27[customer_SKU],Table27[product_GTIN],"",0,1))</f>
        <v/>
      </c>
      <c r="Z571" s="25" t="s">
        <v>3406</v>
      </c>
      <c r="AA571" s="18" t="str" cm="1">
        <f t="array" ref="AA571">IF(P571="", "", _xlfn.XLOOKUP(P571,#REF!,#REF!,NA,0,-1))</f>
        <v/>
      </c>
      <c r="AB571" s="90"/>
      <c r="AC571" s="55" t="s">
        <v>3976</v>
      </c>
      <c r="AD571" s="55" t="str">
        <f>IF($AC571="","",_xlfn.XLOOKUP($AC571,'[2]Client Info'!$C$2:$C$2535,'[2]Client Info'!$D$2:$D$2535,"",0,1))</f>
        <v>101-124 Craig St, PO Box 207</v>
      </c>
      <c r="AE571" s="55" t="str">
        <f>IF($AC571="","",_xlfn.XLOOKUP($AC571,'[2]Client Info'!$C$2:$C$2715,'[2]Client Info'!$E$2:$E$2715,"",))</f>
        <v>Parksville</v>
      </c>
      <c r="AF571" s="55" t="str">
        <f>IF($AC571="","",_xlfn.XLOOKUP($AC571,'[2]Client Info'!$C$2:$C$2715,'[2]Client Info'!$F$2:$F$2715,"",0,1))</f>
        <v xml:space="preserve">BC </v>
      </c>
      <c r="AG571" s="55" t="s">
        <v>3976</v>
      </c>
      <c r="AH571" s="245" t="str">
        <f>_xlfn.XLOOKUP(Table26[[#This Row],[customerSKU]],customerSKU!G:G,customerSKU!K:K,"NA",0,1)</f>
        <v>NA</v>
      </c>
      <c r="AI571" s="43" t="str">
        <f>_xlfn.XLOOKUP(Table26[[#This Row],[customerSKU]],customerSKU!G:G,customerSKU!O:O,"not found",0,1)</f>
        <v>not found</v>
      </c>
      <c r="AJ571" s="53" t="e">
        <f>Table26[[#This Row],[unitprice]]*Table26[[#This Row],[quantity_unit]]</f>
        <v>#VALUE!</v>
      </c>
      <c r="AK571" s="53" t="e" cm="1">
        <f t="array" ref="AK5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2" spans="1:37" ht="18" customHeight="1">
      <c r="A572" s="42">
        <v>1692</v>
      </c>
      <c r="B572" s="249" t="s">
        <v>3520</v>
      </c>
      <c r="C572" s="90" t="s">
        <v>203</v>
      </c>
      <c r="D572" s="235" t="str">
        <f>IF(Table26[[#This Row],[customerSKU]]="","","null")</f>
        <v>null</v>
      </c>
      <c r="E572" s="235"/>
      <c r="F57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2" s="46"/>
      <c r="H572" s="90"/>
      <c r="I572" s="90" t="s">
        <v>3862</v>
      </c>
      <c r="J572" s="90" t="str">
        <f>IF(Table26[[#This Row],[customerSKU]]="","",_xlfn.XLOOKUP(Table26[[#This Row],[customerSKU]],customerSKU!G:G,customerSKU!A:A,"",0,1))</f>
        <v/>
      </c>
      <c r="K572" s="232">
        <v>45602</v>
      </c>
      <c r="L572" s="233" t="str">
        <f>IF(Table26[[#This Row],[customerSKU]]="","",_xlfn.XLOOKUP(Table26[[#This Row],[customerSKU]],customerSKU!G:G,customerSKU!B:B,"",0,1))</f>
        <v/>
      </c>
      <c r="M572" s="90"/>
      <c r="N572" s="55" t="str">
        <f>Table26[[#This Row],[po_number]]&amp;"-"&amp;Table26[[#This Row],[po_line]]</f>
        <v>-5</v>
      </c>
      <c r="O572" s="55">
        <v>5</v>
      </c>
      <c r="P572" s="234"/>
      <c r="Q572" s="90" t="s">
        <v>1734</v>
      </c>
      <c r="R572" s="90" t="s">
        <v>569</v>
      </c>
      <c r="S572" s="90" t="str">
        <f>IF(Table26[[#This Row],[customerSKU]]="","",_xlfn.XLOOKUP(Table26[[#This Row],[customerSKU]],customerSKU!G:G,customerSKU!N:N,"NOT FOUND",0,1))</f>
        <v>NOT FOUND</v>
      </c>
      <c r="T572" s="20">
        <v>45594</v>
      </c>
      <c r="U572" s="236">
        <v>12</v>
      </c>
      <c r="V572" s="90" t="str">
        <f>IF(ISBLANK(Table26[[#This Row],[customerSKU]]),"",_xlfn.XLOOKUP(Table26[[#This Row],[customerSKU]],Table27[customer_SKU],Table27[case_size],"",0,1))</f>
        <v/>
      </c>
      <c r="W572" s="237" t="str">
        <f t="shared" si="24"/>
        <v/>
      </c>
      <c r="X572" s="90" t="str">
        <f t="shared" si="23"/>
        <v/>
      </c>
      <c r="Y572" s="90" t="str">
        <f>IF(Table26[[#This Row],[customerSKU]]="","",_xlfn.XLOOKUP(Table26[[#This Row],[customerSKU]],Table27[customer_SKU],Table27[product_GTIN],"",0,1))</f>
        <v/>
      </c>
      <c r="Z572" s="25" t="s">
        <v>3367</v>
      </c>
      <c r="AA572" s="18" t="str" cm="1">
        <f t="array" ref="AA572">IF(P572="", "", _xlfn.XLOOKUP(P572,#REF!,#REF!,NA,0,-1))</f>
        <v/>
      </c>
      <c r="AB572" s="90"/>
      <c r="AC572" s="55" t="s">
        <v>3976</v>
      </c>
      <c r="AD572" s="55" t="str">
        <f>IF($AC572="","",_xlfn.XLOOKUP($AC572,'[2]Client Info'!$C$2:$C$2535,'[2]Client Info'!$D$2:$D$2535,"",0,1))</f>
        <v>101-124 Craig St, PO Box 207</v>
      </c>
      <c r="AE572" s="55" t="str">
        <f>IF($AC572="","",_xlfn.XLOOKUP($AC572,'[2]Client Info'!$C$2:$C$2715,'[2]Client Info'!$E$2:$E$2715,"",))</f>
        <v>Parksville</v>
      </c>
      <c r="AF572" s="55" t="str">
        <f>IF($AC572="","",_xlfn.XLOOKUP($AC572,'[2]Client Info'!$C$2:$C$2715,'[2]Client Info'!$F$2:$F$2715,"",0,1))</f>
        <v xml:space="preserve">BC </v>
      </c>
      <c r="AG572" s="55" t="s">
        <v>3976</v>
      </c>
      <c r="AH572" s="245" t="str">
        <f>_xlfn.XLOOKUP(Table26[[#This Row],[customerSKU]],customerSKU!G:G,customerSKU!K:K,"NA",0,1)</f>
        <v>NA</v>
      </c>
      <c r="AI572" s="43" t="str">
        <f>_xlfn.XLOOKUP(Table26[[#This Row],[customerSKU]],customerSKU!G:G,customerSKU!O:O,"not found",0,1)</f>
        <v>not found</v>
      </c>
      <c r="AJ572" s="53" t="e">
        <f>Table26[[#This Row],[unitprice]]*Table26[[#This Row],[quantity_unit]]</f>
        <v>#VALUE!</v>
      </c>
      <c r="AK572" s="53" t="e" cm="1">
        <f t="array" ref="AK5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3" spans="1:37" ht="18" customHeight="1">
      <c r="A573" s="42">
        <v>1693</v>
      </c>
      <c r="B573" s="249" t="s">
        <v>3520</v>
      </c>
      <c r="C573" s="90" t="s">
        <v>203</v>
      </c>
      <c r="D573" s="235" t="str">
        <f>IF(Table26[[#This Row],[customerSKU]]="","","null")</f>
        <v>null</v>
      </c>
      <c r="E573" s="235"/>
      <c r="F57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3" s="46"/>
      <c r="H573" s="90"/>
      <c r="I573" s="90" t="s">
        <v>3862</v>
      </c>
      <c r="J573" s="90" t="str">
        <f>IF(Table26[[#This Row],[customerSKU]]="","",_xlfn.XLOOKUP(Table26[[#This Row],[customerSKU]],customerSKU!G:G,customerSKU!A:A,"",0,1))</f>
        <v/>
      </c>
      <c r="K573" s="232">
        <v>45602</v>
      </c>
      <c r="L573" s="233" t="str">
        <f>IF(Table26[[#This Row],[customerSKU]]="","",_xlfn.XLOOKUP(Table26[[#This Row],[customerSKU]],customerSKU!G:G,customerSKU!B:B,"",0,1))</f>
        <v/>
      </c>
      <c r="M573" s="90"/>
      <c r="N573" s="55" t="str">
        <f>Table26[[#This Row],[po_number]]&amp;"-"&amp;Table26[[#This Row],[po_line]]</f>
        <v>-6</v>
      </c>
      <c r="O573" s="55">
        <v>6</v>
      </c>
      <c r="P573" s="234"/>
      <c r="Q573" s="90" t="s">
        <v>1315</v>
      </c>
      <c r="R573" s="90" t="s">
        <v>3302</v>
      </c>
      <c r="S573" s="90" t="str">
        <f>IF(Table26[[#This Row],[customerSKU]]="","",_xlfn.XLOOKUP(Table26[[#This Row],[customerSKU]],customerSKU!G:G,customerSKU!N:N,"NOT FOUND",0,1))</f>
        <v>NOT FOUND</v>
      </c>
      <c r="T573" s="20">
        <v>45555</v>
      </c>
      <c r="U573" s="236">
        <v>12</v>
      </c>
      <c r="V573" s="90" t="str">
        <f>IF(ISBLANK(Table26[[#This Row],[customerSKU]]),"",_xlfn.XLOOKUP(Table26[[#This Row],[customerSKU]],Table27[customer_SKU],Table27[case_size],"",0,1))</f>
        <v/>
      </c>
      <c r="W573" s="237" t="str">
        <f t="shared" si="24"/>
        <v/>
      </c>
      <c r="X573" s="90" t="str">
        <f t="shared" si="23"/>
        <v/>
      </c>
      <c r="Y573" s="90" t="str">
        <f>IF(Table26[[#This Row],[customerSKU]]="","",_xlfn.XLOOKUP(Table26[[#This Row],[customerSKU]],Table27[customer_SKU],Table27[product_GTIN],"",0,1))</f>
        <v/>
      </c>
      <c r="Z573" s="25" t="s">
        <v>3719</v>
      </c>
      <c r="AA573" s="18" t="str" cm="1">
        <f t="array" ref="AA573">IF(P573="", "", _xlfn.XLOOKUP(P573,#REF!,#REF!,NA,0,-1))</f>
        <v/>
      </c>
      <c r="AB573" s="90"/>
      <c r="AC573" s="55" t="s">
        <v>3976</v>
      </c>
      <c r="AD573" s="55" t="str">
        <f>IF($AC573="","",_xlfn.XLOOKUP($AC573,'[2]Client Info'!$C$2:$C$2535,'[2]Client Info'!$D$2:$D$2535,"",0,1))</f>
        <v>101-124 Craig St, PO Box 207</v>
      </c>
      <c r="AE573" s="55" t="str">
        <f>IF($AC573="","",_xlfn.XLOOKUP($AC573,'[2]Client Info'!$C$2:$C$2715,'[2]Client Info'!$E$2:$E$2715,"",))</f>
        <v>Parksville</v>
      </c>
      <c r="AF573" s="55" t="str">
        <f>IF($AC573="","",_xlfn.XLOOKUP($AC573,'[2]Client Info'!$C$2:$C$2715,'[2]Client Info'!$F$2:$F$2715,"",0,1))</f>
        <v xml:space="preserve">BC </v>
      </c>
      <c r="AG573" s="55" t="s">
        <v>3976</v>
      </c>
      <c r="AH573" s="245" t="str">
        <f>_xlfn.XLOOKUP(Table26[[#This Row],[customerSKU]],customerSKU!G:G,customerSKU!K:K,"NA",0,1)</f>
        <v>NA</v>
      </c>
      <c r="AI573" s="43" t="str">
        <f>_xlfn.XLOOKUP(Table26[[#This Row],[customerSKU]],customerSKU!G:G,customerSKU!O:O,"not found",0,1)</f>
        <v>not found</v>
      </c>
      <c r="AJ573" s="53" t="e">
        <f>Table26[[#This Row],[unitprice]]*Table26[[#This Row],[quantity_unit]]</f>
        <v>#VALUE!</v>
      </c>
      <c r="AK573" s="53" t="e" cm="1">
        <f t="array" ref="AK5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4" spans="1:37" ht="18" customHeight="1">
      <c r="A574" s="42">
        <v>1694</v>
      </c>
      <c r="B574" s="249" t="s">
        <v>3520</v>
      </c>
      <c r="C574" s="90" t="s">
        <v>203</v>
      </c>
      <c r="D574" s="235" t="str">
        <f>IF(Table26[[#This Row],[customerSKU]]="","","null")</f>
        <v>null</v>
      </c>
      <c r="E574" s="235"/>
      <c r="F57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4" s="46"/>
      <c r="H574" s="90"/>
      <c r="I574" s="90" t="s">
        <v>3862</v>
      </c>
      <c r="J574" s="90" t="str">
        <f>IF(Table26[[#This Row],[customerSKU]]="","",_xlfn.XLOOKUP(Table26[[#This Row],[customerSKU]],customerSKU!G:G,customerSKU!A:A,"",0,1))</f>
        <v/>
      </c>
      <c r="K574" s="232">
        <v>45602</v>
      </c>
      <c r="L574" s="233" t="str">
        <f>IF(Table26[[#This Row],[customerSKU]]="","",_xlfn.XLOOKUP(Table26[[#This Row],[customerSKU]],customerSKU!G:G,customerSKU!B:B,"",0,1))</f>
        <v/>
      </c>
      <c r="M574" s="90"/>
      <c r="N574" s="55" t="str">
        <f>Table26[[#This Row],[po_number]]&amp;"-"&amp;Table26[[#This Row],[po_line]]</f>
        <v>-7</v>
      </c>
      <c r="O574" s="55">
        <v>7</v>
      </c>
      <c r="P574" s="234"/>
      <c r="Q574" s="90" t="s">
        <v>1375</v>
      </c>
      <c r="R574" s="90" t="s">
        <v>3302</v>
      </c>
      <c r="S574" s="90" t="str">
        <f>IF(Table26[[#This Row],[customerSKU]]="","",_xlfn.XLOOKUP(Table26[[#This Row],[customerSKU]],customerSKU!G:G,customerSKU!N:N,"NOT FOUND",0,1))</f>
        <v>NOT FOUND</v>
      </c>
      <c r="T574" s="20">
        <v>45594</v>
      </c>
      <c r="U574" s="236">
        <v>12</v>
      </c>
      <c r="V574" s="90" t="str">
        <f>IF(ISBLANK(Table26[[#This Row],[customerSKU]]),"",_xlfn.XLOOKUP(Table26[[#This Row],[customerSKU]],Table27[customer_SKU],Table27[case_size],"",0,1))</f>
        <v/>
      </c>
      <c r="W574" s="237" t="str">
        <f t="shared" si="24"/>
        <v/>
      </c>
      <c r="X574" s="90" t="str">
        <f t="shared" si="23"/>
        <v/>
      </c>
      <c r="Y574" s="90" t="str">
        <f>IF(Table26[[#This Row],[customerSKU]]="","",_xlfn.XLOOKUP(Table26[[#This Row],[customerSKU]],Table27[customer_SKU],Table27[product_GTIN],"",0,1))</f>
        <v/>
      </c>
      <c r="Z574" s="90">
        <v>1066359</v>
      </c>
      <c r="AA574" s="18" t="str" cm="1">
        <f t="array" ref="AA574">IF(P574="", "", _xlfn.XLOOKUP(P574,#REF!,#REF!,NA,0,-1))</f>
        <v/>
      </c>
      <c r="AB574" s="90"/>
      <c r="AC574" s="55" t="s">
        <v>3976</v>
      </c>
      <c r="AD574" s="55" t="str">
        <f>IF($AC574="","",_xlfn.XLOOKUP($AC574,'[2]Client Info'!$C$2:$C$2535,'[2]Client Info'!$D$2:$D$2535,"",0,1))</f>
        <v>101-124 Craig St, PO Box 207</v>
      </c>
      <c r="AE574" s="55" t="str">
        <f>IF($AC574="","",_xlfn.XLOOKUP($AC574,'[2]Client Info'!$C$2:$C$2715,'[2]Client Info'!$E$2:$E$2715,"",))</f>
        <v>Parksville</v>
      </c>
      <c r="AF574" s="55" t="str">
        <f>IF($AC574="","",_xlfn.XLOOKUP($AC574,'[2]Client Info'!$C$2:$C$2715,'[2]Client Info'!$F$2:$F$2715,"",0,1))</f>
        <v xml:space="preserve">BC </v>
      </c>
      <c r="AG574" s="55" t="s">
        <v>3976</v>
      </c>
      <c r="AH574" s="245" t="str">
        <f>_xlfn.XLOOKUP(Table26[[#This Row],[customerSKU]],customerSKU!G:G,customerSKU!K:K,"NA",0,1)</f>
        <v>NA</v>
      </c>
      <c r="AI574" s="43" t="str">
        <f>_xlfn.XLOOKUP(Table26[[#This Row],[customerSKU]],customerSKU!G:G,customerSKU!O:O,"not found",0,1)</f>
        <v>not found</v>
      </c>
      <c r="AJ574" s="53" t="e">
        <f>Table26[[#This Row],[unitprice]]*Table26[[#This Row],[quantity_unit]]</f>
        <v>#VALUE!</v>
      </c>
      <c r="AK574" s="53" t="e" cm="1">
        <f t="array" ref="AK5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5" spans="1:37" ht="18" customHeight="1">
      <c r="A575" s="42">
        <v>1695</v>
      </c>
      <c r="B575" s="249" t="s">
        <v>3520</v>
      </c>
      <c r="C575" s="90" t="s">
        <v>203</v>
      </c>
      <c r="D575" s="235" t="str">
        <f>IF(Table26[[#This Row],[customerSKU]]="","","null")</f>
        <v>null</v>
      </c>
      <c r="E575" s="235"/>
      <c r="F57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5" s="46"/>
      <c r="H575" s="90"/>
      <c r="I575" s="90" t="s">
        <v>3862</v>
      </c>
      <c r="J575" s="90" t="str">
        <f>IF(Table26[[#This Row],[customerSKU]]="","",_xlfn.XLOOKUP(Table26[[#This Row],[customerSKU]],customerSKU!G:G,customerSKU!A:A,"",0,1))</f>
        <v/>
      </c>
      <c r="K575" s="232">
        <v>45602</v>
      </c>
      <c r="L575" s="233" t="str">
        <f>IF(Table26[[#This Row],[customerSKU]]="","",_xlfn.XLOOKUP(Table26[[#This Row],[customerSKU]],customerSKU!G:G,customerSKU!B:B,"",0,1))</f>
        <v/>
      </c>
      <c r="M575" s="90"/>
      <c r="N575" s="55" t="str">
        <f>Table26[[#This Row],[po_number]]&amp;"-"&amp;Table26[[#This Row],[po_line]]</f>
        <v>-8</v>
      </c>
      <c r="O575" s="55">
        <v>8</v>
      </c>
      <c r="P575" s="234"/>
      <c r="Q575" s="90" t="s">
        <v>1736</v>
      </c>
      <c r="R575" s="90" t="s">
        <v>3302</v>
      </c>
      <c r="S575" s="90" t="str">
        <f>IF(Table26[[#This Row],[customerSKU]]="","",_xlfn.XLOOKUP(Table26[[#This Row],[customerSKU]],customerSKU!G:G,customerSKU!N:N,"NOT FOUND",0,1))</f>
        <v>NOT FOUND</v>
      </c>
      <c r="T575" s="20">
        <v>45603</v>
      </c>
      <c r="U575" s="236">
        <v>12</v>
      </c>
      <c r="V575" s="90" t="str">
        <f>IF(ISBLANK(Table26[[#This Row],[customerSKU]]),"",_xlfn.XLOOKUP(Table26[[#This Row],[customerSKU]],Table27[customer_SKU],Table27[case_size],"",0,1))</f>
        <v/>
      </c>
      <c r="W575" s="237" t="str">
        <f t="shared" si="24"/>
        <v/>
      </c>
      <c r="X575" s="90" t="str">
        <f t="shared" si="23"/>
        <v/>
      </c>
      <c r="Y575" s="90" t="str">
        <f>IF(Table26[[#This Row],[customerSKU]]="","",_xlfn.XLOOKUP(Table26[[#This Row],[customerSKU]],Table27[customer_SKU],Table27[product_GTIN],"",0,1))</f>
        <v/>
      </c>
      <c r="Z575" s="25" t="s">
        <v>3434</v>
      </c>
      <c r="AA575" s="18" t="str" cm="1">
        <f t="array" ref="AA575">IF(P575="", "", _xlfn.XLOOKUP(P575,#REF!,#REF!,NA,0,-1))</f>
        <v/>
      </c>
      <c r="AB575" s="90"/>
      <c r="AC575" s="55" t="s">
        <v>3976</v>
      </c>
      <c r="AD575" s="55" t="str">
        <f>IF($AC575="","",_xlfn.XLOOKUP($AC575,'[2]Client Info'!$C$2:$C$2535,'[2]Client Info'!$D$2:$D$2535,"",0,1))</f>
        <v>101-124 Craig St, PO Box 207</v>
      </c>
      <c r="AE575" s="55" t="str">
        <f>IF($AC575="","",_xlfn.XLOOKUP($AC575,'[2]Client Info'!$C$2:$C$2715,'[2]Client Info'!$E$2:$E$2715,"",))</f>
        <v>Parksville</v>
      </c>
      <c r="AF575" s="55" t="str">
        <f>IF($AC575="","",_xlfn.XLOOKUP($AC575,'[2]Client Info'!$C$2:$C$2715,'[2]Client Info'!$F$2:$F$2715,"",0,1))</f>
        <v xml:space="preserve">BC </v>
      </c>
      <c r="AG575" s="55" t="s">
        <v>3976</v>
      </c>
      <c r="AH575" s="245" t="str">
        <f>_xlfn.XLOOKUP(Table26[[#This Row],[customerSKU]],customerSKU!G:G,customerSKU!K:K,"NA",0,1)</f>
        <v>NA</v>
      </c>
      <c r="AI575" s="43" t="str">
        <f>_xlfn.XLOOKUP(Table26[[#This Row],[customerSKU]],customerSKU!G:G,customerSKU!O:O,"not found",0,1)</f>
        <v>not found</v>
      </c>
      <c r="AJ575" s="53" t="e">
        <f>Table26[[#This Row],[unitprice]]*Table26[[#This Row],[quantity_unit]]</f>
        <v>#VALUE!</v>
      </c>
      <c r="AK575" s="53" t="e" cm="1">
        <f t="array" ref="AK5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6" spans="1:37" ht="18" customHeight="1">
      <c r="A576" s="42">
        <v>1696</v>
      </c>
      <c r="B576" s="249" t="s">
        <v>3520</v>
      </c>
      <c r="C576" s="90" t="s">
        <v>203</v>
      </c>
      <c r="D576" s="235"/>
      <c r="E576" s="235"/>
      <c r="F57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6" s="46"/>
      <c r="H576" s="90"/>
      <c r="I576" s="90" t="s">
        <v>3862</v>
      </c>
      <c r="J576" s="90" t="str">
        <f>IF(Table26[[#This Row],[customerSKU]]="","",_xlfn.XLOOKUP(Table26[[#This Row],[customerSKU]],customerSKU!G:G,customerSKU!A:A,"",0,1))</f>
        <v/>
      </c>
      <c r="K576" s="232">
        <v>45602</v>
      </c>
      <c r="L576" s="233" t="str">
        <f>IF(Table26[[#This Row],[customerSKU]]="","",_xlfn.XLOOKUP(Table26[[#This Row],[customerSKU]],customerSKU!G:G,customerSKU!B:B,"",0,1))</f>
        <v/>
      </c>
      <c r="M576" s="90"/>
      <c r="N576" s="55" t="str">
        <f>Table26[[#This Row],[po_number]]&amp;"-"&amp;Table26[[#This Row],[po_line]]</f>
        <v>-1</v>
      </c>
      <c r="O576" s="55">
        <v>1</v>
      </c>
      <c r="P576" s="234"/>
      <c r="Q576" s="90" t="s">
        <v>1734</v>
      </c>
      <c r="R576" s="90" t="s">
        <v>569</v>
      </c>
      <c r="S576" s="90" t="str">
        <f>IF(Table26[[#This Row],[customerSKU]]="","",_xlfn.XLOOKUP(Table26[[#This Row],[customerSKU]],customerSKU!G:G,customerSKU!N:N,"NOT FOUND",0,1))</f>
        <v>NOT FOUND</v>
      </c>
      <c r="T576" s="20">
        <v>45594</v>
      </c>
      <c r="U576" s="236">
        <v>12</v>
      </c>
      <c r="V576" s="90" t="str">
        <f>IF(ISBLANK(Table26[[#This Row],[customerSKU]]),"",_xlfn.XLOOKUP(Table26[[#This Row],[customerSKU]],Table27[customer_SKU],Table27[case_size],"",0,1))</f>
        <v/>
      </c>
      <c r="W576" s="237" t="str">
        <f t="shared" si="24"/>
        <v/>
      </c>
      <c r="X576" s="90" t="str">
        <f t="shared" si="23"/>
        <v/>
      </c>
      <c r="Y576" s="90" t="str">
        <f>IF(Table26[[#This Row],[customerSKU]]="","",_xlfn.XLOOKUP(Table26[[#This Row],[customerSKU]],Table27[customer_SKU],Table27[product_GTIN],"",0,1))</f>
        <v/>
      </c>
      <c r="Z576" s="25" t="s">
        <v>3367</v>
      </c>
      <c r="AA576" s="18" t="str" cm="1">
        <f t="array" ref="AA576">IF(P576="", "", _xlfn.XLOOKUP(P576,#REF!,#REF!,NA,0,-1))</f>
        <v/>
      </c>
      <c r="AB576" s="90"/>
      <c r="AC576" s="55" t="s">
        <v>3424</v>
      </c>
      <c r="AD576" s="55" t="str">
        <f>IF($AC576="","",_xlfn.XLOOKUP($AC576,'[2]Client Info'!$C$2:$C$2535,'[2]Client Info'!$D$2:$D$2535,"",0,1))</f>
        <v>3695 W 4TH AVENUE</v>
      </c>
      <c r="AE576" s="55" t="str">
        <f>IF($AC576="","",_xlfn.XLOOKUP($AC576,'[2]Client Info'!$C$2:$C$2715,'[2]Client Info'!$E$2:$E$2715,"",))</f>
        <v>Vancouver</v>
      </c>
      <c r="AF576" s="55" t="str">
        <f>IF($AC576="","",_xlfn.XLOOKUP($AC576,'[2]Client Info'!$C$2:$C$2715,'[2]Client Info'!$F$2:$F$2715,"",0,1))</f>
        <v xml:space="preserve">BC </v>
      </c>
      <c r="AG576" s="55" t="s">
        <v>3424</v>
      </c>
      <c r="AH576" s="245" t="str">
        <f>_xlfn.XLOOKUP(Table26[[#This Row],[customerSKU]],customerSKU!G:G,customerSKU!K:K,"NA",0,1)</f>
        <v>NA</v>
      </c>
      <c r="AI576" s="43" t="str">
        <f>_xlfn.XLOOKUP(Table26[[#This Row],[customerSKU]],customerSKU!G:G,customerSKU!O:O,"not found",0,1)</f>
        <v>not found</v>
      </c>
      <c r="AJ576" s="53" t="e">
        <f>Table26[[#This Row],[unitprice]]*Table26[[#This Row],[quantity_unit]]</f>
        <v>#VALUE!</v>
      </c>
      <c r="AK576" s="53" t="e" cm="1">
        <f t="array" ref="AK5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7" spans="1:37" ht="18" customHeight="1">
      <c r="A577" s="42">
        <v>1697</v>
      </c>
      <c r="B577" s="249" t="s">
        <v>3520</v>
      </c>
      <c r="C577" s="90" t="s">
        <v>203</v>
      </c>
      <c r="D577" s="235"/>
      <c r="E577" s="235"/>
      <c r="F57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577" s="46"/>
      <c r="H577" s="90"/>
      <c r="I577" s="90" t="s">
        <v>3862</v>
      </c>
      <c r="J577" s="90" t="str">
        <f>IF(Table26[[#This Row],[customerSKU]]="","",_xlfn.XLOOKUP(Table26[[#This Row],[customerSKU]],customerSKU!G:G,customerSKU!A:A,"",0,1))</f>
        <v/>
      </c>
      <c r="K577" s="232">
        <v>45602</v>
      </c>
      <c r="L577" s="233" t="str">
        <f>IF(Table26[[#This Row],[customerSKU]]="","",_xlfn.XLOOKUP(Table26[[#This Row],[customerSKU]],customerSKU!G:G,customerSKU!B:B,"",0,1))</f>
        <v/>
      </c>
      <c r="M577" s="90"/>
      <c r="N577" s="55" t="str">
        <f>Table26[[#This Row],[po_number]]&amp;"-"&amp;Table26[[#This Row],[po_line]]</f>
        <v>-2</v>
      </c>
      <c r="O577" s="55">
        <v>2</v>
      </c>
      <c r="P577" s="234"/>
      <c r="Q577" s="90" t="s">
        <v>1736</v>
      </c>
      <c r="R577" s="90" t="s">
        <v>569</v>
      </c>
      <c r="S577" s="90" t="str">
        <f>IF(Table26[[#This Row],[customerSKU]]="","",_xlfn.XLOOKUP(Table26[[#This Row],[customerSKU]],customerSKU!G:G,customerSKU!N:N,"NOT FOUND",0,1))</f>
        <v>NOT FOUND</v>
      </c>
      <c r="T577" s="20">
        <v>45603</v>
      </c>
      <c r="U577" s="236">
        <v>12</v>
      </c>
      <c r="V577" s="90" t="str">
        <f>IF(ISBLANK(Table26[[#This Row],[customerSKU]]),"",_xlfn.XLOOKUP(Table26[[#This Row],[customerSKU]],Table27[customer_SKU],Table27[case_size],"",0,1))</f>
        <v/>
      </c>
      <c r="W577" s="237" t="str">
        <f t="shared" si="24"/>
        <v/>
      </c>
      <c r="X577" s="90" t="str">
        <f t="shared" si="23"/>
        <v/>
      </c>
      <c r="Y577" s="90" t="str">
        <f>IF(Table26[[#This Row],[customerSKU]]="","",_xlfn.XLOOKUP(Table26[[#This Row],[customerSKU]],Table27[customer_SKU],Table27[product_GTIN],"",0,1))</f>
        <v/>
      </c>
      <c r="Z577" s="25" t="s">
        <v>3434</v>
      </c>
      <c r="AA577" s="18" t="str" cm="1">
        <f t="array" ref="AA577">IF(P577="", "", _xlfn.XLOOKUP(P577,#REF!,#REF!,NA,0,-1))</f>
        <v/>
      </c>
      <c r="AB577" s="90"/>
      <c r="AC577" s="55" t="s">
        <v>3424</v>
      </c>
      <c r="AD577" s="55" t="str">
        <f>IF($AC577="","",_xlfn.XLOOKUP($AC577,'[2]Client Info'!$C$2:$C$2535,'[2]Client Info'!$D$2:$D$2535,"",0,1))</f>
        <v>3695 W 4TH AVENUE</v>
      </c>
      <c r="AE577" s="55" t="str">
        <f>IF($AC577="","",_xlfn.XLOOKUP($AC577,'[2]Client Info'!$C$2:$C$2715,'[2]Client Info'!$E$2:$E$2715,"",))</f>
        <v>Vancouver</v>
      </c>
      <c r="AF577" s="55" t="str">
        <f>IF($AC577="","",_xlfn.XLOOKUP($AC577,'[2]Client Info'!$C$2:$C$2715,'[2]Client Info'!$F$2:$F$2715,"",0,1))</f>
        <v xml:space="preserve">BC </v>
      </c>
      <c r="AG577" s="55" t="s">
        <v>3424</v>
      </c>
      <c r="AH577" s="245" t="str">
        <f>_xlfn.XLOOKUP(Table26[[#This Row],[customerSKU]],customerSKU!G:G,customerSKU!K:K,"NA",0,1)</f>
        <v>NA</v>
      </c>
      <c r="AI577" s="43" t="str">
        <f>_xlfn.XLOOKUP(Table26[[#This Row],[customerSKU]],customerSKU!G:G,customerSKU!O:O,"not found",0,1)</f>
        <v>not found</v>
      </c>
      <c r="AJ577" s="53" t="e">
        <f>Table26[[#This Row],[unitprice]]*Table26[[#This Row],[quantity_unit]]</f>
        <v>#VALUE!</v>
      </c>
      <c r="AK577" s="53" t="e" cm="1">
        <f t="array" ref="AK5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8" spans="1:37" ht="18" customHeight="1">
      <c r="A578" s="42">
        <v>1698</v>
      </c>
      <c r="B578" s="58" t="s">
        <v>3520</v>
      </c>
      <c r="C578" s="53" t="s">
        <v>203</v>
      </c>
      <c r="D578" s="51">
        <v>45587</v>
      </c>
      <c r="E578" s="51"/>
      <c r="F57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78" s="46"/>
      <c r="H578" s="53"/>
      <c r="I578" s="53" t="s">
        <v>3862</v>
      </c>
      <c r="J578" s="53" t="str">
        <f>IF(Table26[[#This Row],[customerSKU]]="","",_xlfn.XLOOKUP(Table26[[#This Row],[customerSKU]],customerSKU!G:G,customerSKU!A:A,"",0,1))</f>
        <v/>
      </c>
      <c r="K578" s="48">
        <v>45602</v>
      </c>
      <c r="L578" s="49" t="str">
        <f>IF(Table26[[#This Row],[customerSKU]]="","",_xlfn.XLOOKUP(Table26[[#This Row],[customerSKU]],customerSKU!G:G,customerSKU!B:B,"",0,1))</f>
        <v/>
      </c>
      <c r="M578" s="53"/>
      <c r="N578" s="77" t="str">
        <f>Table26[[#This Row],[po_number]]&amp;"-"&amp;Table26[[#This Row],[po_line]]</f>
        <v>-1</v>
      </c>
      <c r="O578" s="77">
        <v>1</v>
      </c>
      <c r="P578" s="50"/>
      <c r="Q578" s="53" t="s">
        <v>905</v>
      </c>
      <c r="R578" s="53" t="s">
        <v>569</v>
      </c>
      <c r="S578" s="53" t="str">
        <f>IF(Table26[[#This Row],[customerSKU]]="","",_xlfn.XLOOKUP(Table26[[#This Row],[customerSKU]],customerSKU!G:G,customerSKU!N:N,"NOT FOUND",0,1))</f>
        <v>NOT FOUND</v>
      </c>
      <c r="T578" s="20">
        <v>45570</v>
      </c>
      <c r="U578" s="52">
        <v>12</v>
      </c>
      <c r="V578" s="53" t="str">
        <f>IF(ISBLANK(Table26[[#This Row],[customerSKU]]),"",_xlfn.XLOOKUP(Table26[[#This Row],[customerSKU]],Table27[customer_SKU],Table27[case_size],"",0,1))</f>
        <v/>
      </c>
      <c r="W578" s="116" t="str">
        <f t="shared" si="24"/>
        <v/>
      </c>
      <c r="X578" s="53" t="str">
        <f t="shared" si="23"/>
        <v/>
      </c>
      <c r="Y578" s="53" t="str">
        <f>IF(Table26[[#This Row],[customerSKU]]="","",_xlfn.XLOOKUP(Table26[[#This Row],[customerSKU]],Table27[customer_SKU],Table27[product_GTIN],"",0,1))</f>
        <v/>
      </c>
      <c r="Z578" s="25" t="s">
        <v>3380</v>
      </c>
      <c r="AA578" s="18" t="str" cm="1">
        <f t="array" ref="AA578">IF(P578="", "", _xlfn.XLOOKUP(P578,#REF!,#REF!,NA,0,-1))</f>
        <v/>
      </c>
      <c r="AB578" s="53"/>
      <c r="AC578" s="55" t="s">
        <v>4023</v>
      </c>
      <c r="AD578" s="55" t="str">
        <f>IF($AC578="","",_xlfn.XLOOKUP($AC578,'[2]Client Info'!$C$2:$C$2535,'[2]Client Info'!$D$2:$D$2535,"",0,1))</f>
        <v>UNIT 1-45, 4TH AVE NE</v>
      </c>
      <c r="AE578" s="55" t="str">
        <f>IF($AC578="","",_xlfn.XLOOKUP($AC578,'[2]Client Info'!$C$2:$C$2715,'[2]Client Info'!$E$2:$E$2715,"",))</f>
        <v>ALTONA</v>
      </c>
      <c r="AF578" s="55" t="str">
        <f>IF($AC578="","",_xlfn.XLOOKUP($AC578,'[2]Client Info'!$C$2:$C$2715,'[2]Client Info'!$F$2:$F$2715,"",0,1))</f>
        <v>MB</v>
      </c>
      <c r="AG578" s="55" t="str">
        <f>IF(ISBLANK(Table26[[#This Row],[customerSKU]]),"",_xlfn.XLOOKUP(Table26[[#This Row],[customerSKU]],Table27[customer_SKU],Table27[billto],"",0,1))</f>
        <v/>
      </c>
      <c r="AH578" s="62" t="str">
        <f>_xlfn.XLOOKUP(Table26[[#This Row],[customerSKU]],customerSKU!G:G,customerSKU!K:K,"NA",0,1)</f>
        <v>NA</v>
      </c>
      <c r="AI578" s="43" t="str">
        <f>_xlfn.XLOOKUP(Table26[[#This Row],[customerSKU]],customerSKU!G:G,customerSKU!O:O,"not found",0,1)</f>
        <v>not found</v>
      </c>
      <c r="AJ578" s="53" t="e">
        <f>Table26[[#This Row],[unitprice]]*Table26[[#This Row],[quantity_unit]]</f>
        <v>#VALUE!</v>
      </c>
      <c r="AK578" s="53" t="e" cm="1">
        <f t="array" ref="AK5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79" spans="1:37" ht="18" customHeight="1">
      <c r="A579" s="42">
        <v>1699</v>
      </c>
      <c r="B579" s="58" t="s">
        <v>3520</v>
      </c>
      <c r="C579" s="53" t="s">
        <v>203</v>
      </c>
      <c r="D579" s="51">
        <v>45587</v>
      </c>
      <c r="E579" s="51"/>
      <c r="F57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79" s="46"/>
      <c r="H579" s="53"/>
      <c r="I579" s="53" t="s">
        <v>3862</v>
      </c>
      <c r="J579" s="53" t="str">
        <f>IF(Table26[[#This Row],[customerSKU]]="","",_xlfn.XLOOKUP(Table26[[#This Row],[customerSKU]],customerSKU!G:G,customerSKU!A:A,"",0,1))</f>
        <v/>
      </c>
      <c r="K579" s="48">
        <v>45602</v>
      </c>
      <c r="L579" s="49" t="str">
        <f>IF(Table26[[#This Row],[customerSKU]]="","",_xlfn.XLOOKUP(Table26[[#This Row],[customerSKU]],customerSKU!G:G,customerSKU!B:B,"",0,1))</f>
        <v/>
      </c>
      <c r="M579" s="53"/>
      <c r="N579" s="77" t="str">
        <f>Table26[[#This Row],[po_number]]&amp;"-"&amp;Table26[[#This Row],[po_line]]</f>
        <v>-2</v>
      </c>
      <c r="O579" s="77">
        <v>2</v>
      </c>
      <c r="P579" s="50"/>
      <c r="Q579" s="103" t="s">
        <v>622</v>
      </c>
      <c r="R579" s="53" t="s">
        <v>569</v>
      </c>
      <c r="S579" s="53" t="str">
        <f>IF(Table26[[#This Row],[customerSKU]]="","",_xlfn.XLOOKUP(Table26[[#This Row],[customerSKU]],customerSKU!G:G,customerSKU!N:N,"NOT FOUND",0,1))</f>
        <v>NOT FOUND</v>
      </c>
      <c r="T579" s="20">
        <v>45603</v>
      </c>
      <c r="U579" s="52">
        <v>12</v>
      </c>
      <c r="V579" s="53" t="str">
        <f>IF(ISBLANK(Table26[[#This Row],[customerSKU]]),"",_xlfn.XLOOKUP(Table26[[#This Row],[customerSKU]],Table27[customer_SKU],Table27[case_size],"",0,1))</f>
        <v/>
      </c>
      <c r="W579" s="116" t="str">
        <f t="shared" si="24"/>
        <v/>
      </c>
      <c r="X579" s="53" t="str">
        <f t="shared" si="23"/>
        <v/>
      </c>
      <c r="Y579" s="53" t="str">
        <f>IF(Table26[[#This Row],[customerSKU]]="","",_xlfn.XLOOKUP(Table26[[#This Row],[customerSKU]],Table27[customer_SKU],Table27[product_GTIN],"",0,1))</f>
        <v/>
      </c>
      <c r="Z579" s="25" t="s">
        <v>3495</v>
      </c>
      <c r="AA579" s="18" t="str" cm="1">
        <f t="array" ref="AA579">IF(P579="", "", _xlfn.XLOOKUP(P579,#REF!,#REF!,NA,0,-1))</f>
        <v/>
      </c>
      <c r="AB579" s="53"/>
      <c r="AC579" s="55" t="s">
        <v>4023</v>
      </c>
      <c r="AD579" s="55" t="str">
        <f>IF($AC579="","",_xlfn.XLOOKUP($AC579,'[2]Client Info'!$C$2:$C$2535,'[2]Client Info'!$D$2:$D$2535,"",0,1))</f>
        <v>UNIT 1-45, 4TH AVE NE</v>
      </c>
      <c r="AE579" s="55" t="str">
        <f>IF($AC579="","",_xlfn.XLOOKUP($AC579,'[2]Client Info'!$C$2:$C$2715,'[2]Client Info'!$E$2:$E$2715,"",))</f>
        <v>ALTONA</v>
      </c>
      <c r="AF579" s="55" t="str">
        <f>IF($AC579="","",_xlfn.XLOOKUP($AC579,'[2]Client Info'!$C$2:$C$2715,'[2]Client Info'!$F$2:$F$2715,"",0,1))</f>
        <v>MB</v>
      </c>
      <c r="AG579" s="55" t="str">
        <f>IF(ISBLANK(Table26[[#This Row],[customerSKU]]),"",_xlfn.XLOOKUP(Table26[[#This Row],[customerSKU]],Table27[customer_SKU],Table27[billto],"",0,1))</f>
        <v/>
      </c>
      <c r="AH579" s="62" t="str">
        <f>_xlfn.XLOOKUP(Table26[[#This Row],[customerSKU]],customerSKU!G:G,customerSKU!K:K,"NA",0,1)</f>
        <v>NA</v>
      </c>
      <c r="AI579" s="43" t="str">
        <f>_xlfn.XLOOKUP(Table26[[#This Row],[customerSKU]],customerSKU!G:G,customerSKU!O:O,"not found",0,1)</f>
        <v>not found</v>
      </c>
      <c r="AJ579" s="53" t="e">
        <f>Table26[[#This Row],[unitprice]]*Table26[[#This Row],[quantity_unit]]</f>
        <v>#VALUE!</v>
      </c>
      <c r="AK579" s="53" t="e" cm="1">
        <f t="array" ref="AK5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0" spans="1:37" ht="18" customHeight="1">
      <c r="A580" s="42">
        <v>1662</v>
      </c>
      <c r="B580" s="42" t="s">
        <v>3520</v>
      </c>
      <c r="C580" s="43" t="s">
        <v>203</v>
      </c>
      <c r="D580" s="51"/>
      <c r="E580" s="51"/>
      <c r="F580" s="46"/>
      <c r="G580" s="46"/>
      <c r="H580" s="53"/>
      <c r="I580" s="47" t="s">
        <v>3775</v>
      </c>
      <c r="J580" s="53" t="s">
        <v>497</v>
      </c>
      <c r="K580" s="48">
        <v>45603</v>
      </c>
      <c r="L580" s="49" t="s">
        <v>201</v>
      </c>
      <c r="M580" s="53"/>
      <c r="N580" s="77" t="str">
        <f>Table26[[#This Row],[po_number]]&amp;"-"&amp;Table26[[#This Row],[po_line]]</f>
        <v>-1</v>
      </c>
      <c r="O580" s="77">
        <v>1</v>
      </c>
      <c r="P580" s="50"/>
      <c r="Q580" s="53" t="s">
        <v>1172</v>
      </c>
      <c r="R580" s="53" t="s">
        <v>569</v>
      </c>
      <c r="S580" s="53" t="s">
        <v>12</v>
      </c>
      <c r="T580" s="51">
        <v>45587</v>
      </c>
      <c r="U580" s="52">
        <v>36</v>
      </c>
      <c r="V580" s="53" t="str">
        <f>IF(ISBLANK(Table26[[#This Row],[customerSKU]]),"",_xlfn.XLOOKUP(Table26[[#This Row],[customerSKU]],Table27[customer_SKU],Table27[case_size],"",0,1))</f>
        <v/>
      </c>
      <c r="W580" s="116" t="str">
        <f t="shared" si="24"/>
        <v/>
      </c>
      <c r="X580" s="53" t="str">
        <f t="shared" si="23"/>
        <v/>
      </c>
      <c r="Y580" s="53" t="str">
        <f>IF(Table26[[#This Row],[customerSKU]]="","",_xlfn.XLOOKUP(Table26[[#This Row],[customerSKU]],Table27[customer_SKU],Table27[product_GTIN],"",0,1))</f>
        <v/>
      </c>
      <c r="Z580" s="25" t="s">
        <v>3409</v>
      </c>
      <c r="AA580" s="18" t="str" cm="1">
        <f t="array" ref="AA580">IF(P580="", "", _xlfn.XLOOKUP(P580,#REF!,#REF!,NA,0,-1))</f>
        <v/>
      </c>
      <c r="AB580" s="53"/>
      <c r="AC580" s="55" t="s">
        <v>137</v>
      </c>
      <c r="AD580" s="55" t="str">
        <f>IF($AC580="","",_xlfn.XLOOKUP($AC580,'[2]Client Info'!$C$2:$C$2535,'[2]Client Info'!$D$2:$D$2535))</f>
        <v>20 GRANITE RIDGE RD</v>
      </c>
      <c r="AE580" s="55" t="str">
        <f>IF($AC580="","",_xlfn.XLOOKUP($AC580,'[2]Client Info'!$C$2:$C$2715,'[2]Client Info'!$E$2:$E$2715))</f>
        <v>CONCORD</v>
      </c>
      <c r="AF580" s="55" t="str">
        <f>IF($AC580="","",_xlfn.XLOOKUP($AC580,'[2]Client Info'!$C$2:$C$2715,'[2]Client Info'!$F$2:$F$2715))</f>
        <v>ON</v>
      </c>
      <c r="AG580" s="55" t="s">
        <v>220</v>
      </c>
      <c r="AH580" s="62" t="s">
        <v>3420</v>
      </c>
      <c r="AI580" s="43" t="str">
        <f>_xlfn.XLOOKUP(Table26[[#This Row],[customerSKU]],customerSKU!G:G,customerSKU!O:O,"not found",0,1)</f>
        <v>not found</v>
      </c>
      <c r="AJ580" s="53" t="e">
        <f>Table26[[#This Row],[unitprice]]*Table26[[#This Row],[quantity_unit]]</f>
        <v>#VALUE!</v>
      </c>
      <c r="AK580" s="53" t="e" cm="1">
        <f t="array" ref="AK5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1" spans="1:37" ht="18" customHeight="1">
      <c r="A581" s="42">
        <v>1663</v>
      </c>
      <c r="B581" s="42" t="s">
        <v>3520</v>
      </c>
      <c r="C581" s="43" t="s">
        <v>203</v>
      </c>
      <c r="D581" s="51"/>
      <c r="E581" s="51"/>
      <c r="F581" s="46"/>
      <c r="G581" s="46"/>
      <c r="H581" s="53"/>
      <c r="I581" s="47" t="s">
        <v>3775</v>
      </c>
      <c r="J581" s="53" t="s">
        <v>497</v>
      </c>
      <c r="K581" s="48">
        <v>45603</v>
      </c>
      <c r="L581" s="49" t="s">
        <v>201</v>
      </c>
      <c r="M581" s="53"/>
      <c r="N581" s="77" t="str">
        <f>Table26[[#This Row],[po_number]]&amp;"-"&amp;Table26[[#This Row],[po_line]]</f>
        <v>-2</v>
      </c>
      <c r="O581" s="77">
        <v>2</v>
      </c>
      <c r="P581" s="50"/>
      <c r="Q581" s="53" t="s">
        <v>535</v>
      </c>
      <c r="R581" s="53" t="s">
        <v>569</v>
      </c>
      <c r="S581" s="53" t="s">
        <v>12</v>
      </c>
      <c r="T581" s="51">
        <v>45588</v>
      </c>
      <c r="U581" s="52">
        <v>60</v>
      </c>
      <c r="V581" s="53" t="str">
        <f>IF(ISBLANK(Table26[[#This Row],[customerSKU]]),"",_xlfn.XLOOKUP(Table26[[#This Row],[customerSKU]],Table27[customer_SKU],Table27[case_size],"",0,1))</f>
        <v/>
      </c>
      <c r="W581" s="116" t="str">
        <f t="shared" si="24"/>
        <v/>
      </c>
      <c r="X581" s="53" t="str">
        <f t="shared" si="23"/>
        <v/>
      </c>
      <c r="Y581" s="53" t="str">
        <f>IF(Table26[[#This Row],[customerSKU]]="","",_xlfn.XLOOKUP(Table26[[#This Row],[customerSKU]],Table27[customer_SKU],Table27[product_GTIN],"",0,1))</f>
        <v/>
      </c>
      <c r="Z581" s="60">
        <v>110721</v>
      </c>
      <c r="AA581" s="18" t="str" cm="1">
        <f t="array" ref="AA581">IF(P581="", "", _xlfn.XLOOKUP(P581,#REF!,#REF!,NA,0,-1))</f>
        <v/>
      </c>
      <c r="AB581" s="53"/>
      <c r="AC581" s="55" t="s">
        <v>137</v>
      </c>
      <c r="AD581" s="55" t="str">
        <f>IF($AC581="","",_xlfn.XLOOKUP($AC581,'[2]Client Info'!$C$2:$C$2535,'[2]Client Info'!$D$2:$D$2535))</f>
        <v>20 GRANITE RIDGE RD</v>
      </c>
      <c r="AE581" s="55" t="str">
        <f>IF($AC581="","",_xlfn.XLOOKUP($AC581,'[2]Client Info'!$C$2:$C$2715,'[2]Client Info'!$E$2:$E$2715))</f>
        <v>CONCORD</v>
      </c>
      <c r="AF581" s="55" t="str">
        <f>IF($AC581="","",_xlfn.XLOOKUP($AC581,'[2]Client Info'!$C$2:$C$2715,'[2]Client Info'!$F$2:$F$2715))</f>
        <v>ON</v>
      </c>
      <c r="AG581" s="55" t="s">
        <v>220</v>
      </c>
      <c r="AH581" s="62" t="s">
        <v>3420</v>
      </c>
      <c r="AI581" s="43" t="str">
        <f>_xlfn.XLOOKUP(Table26[[#This Row],[customerSKU]],customerSKU!G:G,customerSKU!O:O,"not found",0,1)</f>
        <v>not found</v>
      </c>
      <c r="AJ581" s="59" t="e">
        <f>Table26[[#This Row],[unitprice]]*Table26[[#This Row],[quantity_unit]]</f>
        <v>#VALUE!</v>
      </c>
      <c r="AK581" s="59" t="e" cm="1">
        <f t="array" ref="AK5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2" spans="1:37" ht="18" customHeight="1">
      <c r="A582" s="42">
        <v>1664</v>
      </c>
      <c r="B582" s="42" t="s">
        <v>3520</v>
      </c>
      <c r="C582" s="43" t="s">
        <v>203</v>
      </c>
      <c r="D582" s="51"/>
      <c r="E582" s="51"/>
      <c r="F582" s="46"/>
      <c r="G582" s="46"/>
      <c r="H582" s="53"/>
      <c r="I582" s="47" t="s">
        <v>3775</v>
      </c>
      <c r="J582" s="53" t="s">
        <v>497</v>
      </c>
      <c r="K582" s="48">
        <v>45603</v>
      </c>
      <c r="L582" s="49" t="s">
        <v>201</v>
      </c>
      <c r="M582" s="53"/>
      <c r="N582" s="77" t="str">
        <f>Table26[[#This Row],[po_number]]&amp;"-"&amp;Table26[[#This Row],[po_line]]</f>
        <v>-3</v>
      </c>
      <c r="O582" s="77">
        <v>3</v>
      </c>
      <c r="P582" s="50"/>
      <c r="Q582" s="53" t="s">
        <v>1195</v>
      </c>
      <c r="R582" s="53" t="s">
        <v>569</v>
      </c>
      <c r="S582" s="53" t="s">
        <v>12</v>
      </c>
      <c r="T582" s="51">
        <v>45594</v>
      </c>
      <c r="U582" s="52">
        <v>84</v>
      </c>
      <c r="V582" s="53" t="str">
        <f>IF(ISBLANK(Table26[[#This Row],[customerSKU]]),"",_xlfn.XLOOKUP(Table26[[#This Row],[customerSKU]],Table27[customer_SKU],Table27[case_size],"",0,1))</f>
        <v/>
      </c>
      <c r="W582" s="116" t="str">
        <f t="shared" si="24"/>
        <v/>
      </c>
      <c r="X582" s="53" t="str">
        <f t="shared" si="23"/>
        <v/>
      </c>
      <c r="Y582" s="53" t="str">
        <f>IF(Table26[[#This Row],[customerSKU]]="","",_xlfn.XLOOKUP(Table26[[#This Row],[customerSKU]],Table27[customer_SKU],Table27[product_GTIN],"",0,1))</f>
        <v/>
      </c>
      <c r="Z582" s="25" t="s">
        <v>3363</v>
      </c>
      <c r="AA582" s="18" t="str" cm="1">
        <f t="array" ref="AA582">IF(P582="", "", _xlfn.XLOOKUP(P582,#REF!,#REF!,NA,0,-1))</f>
        <v/>
      </c>
      <c r="AB582" s="53"/>
      <c r="AC582" s="55" t="s">
        <v>137</v>
      </c>
      <c r="AD582" s="55" t="str">
        <f>IF($AC582="","",_xlfn.XLOOKUP($AC582,'[2]Client Info'!$C$2:$C$2535,'[2]Client Info'!$D$2:$D$2535))</f>
        <v>20 GRANITE RIDGE RD</v>
      </c>
      <c r="AE582" s="55" t="str">
        <f>IF($AC582="","",_xlfn.XLOOKUP($AC582,'[2]Client Info'!$C$2:$C$2715,'[2]Client Info'!$E$2:$E$2715))</f>
        <v>CONCORD</v>
      </c>
      <c r="AF582" s="55" t="str">
        <f>IF($AC582="","",_xlfn.XLOOKUP($AC582,'[2]Client Info'!$C$2:$C$2715,'[2]Client Info'!$F$2:$F$2715))</f>
        <v>ON</v>
      </c>
      <c r="AG582" s="55" t="s">
        <v>220</v>
      </c>
      <c r="AH582" s="62" t="s">
        <v>3420</v>
      </c>
      <c r="AI582" s="43" t="str">
        <f>_xlfn.XLOOKUP(Table26[[#This Row],[customerSKU]],customerSKU!G:G,customerSKU!O:O,"not found",0,1)</f>
        <v>not found</v>
      </c>
      <c r="AJ582" s="53" t="e">
        <f>Table26[[#This Row],[unitprice]]*Table26[[#This Row],[quantity_unit]]</f>
        <v>#VALUE!</v>
      </c>
      <c r="AK582" s="53" t="e" cm="1">
        <f t="array" ref="AK5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3" spans="1:37" ht="18" customHeight="1">
      <c r="A583" s="42">
        <v>1665</v>
      </c>
      <c r="B583" s="42" t="s">
        <v>3520</v>
      </c>
      <c r="C583" s="43" t="s">
        <v>203</v>
      </c>
      <c r="D583" s="51"/>
      <c r="E583" s="51"/>
      <c r="F583" s="46"/>
      <c r="G583" s="46"/>
      <c r="H583" s="53"/>
      <c r="I583" s="47" t="s">
        <v>3775</v>
      </c>
      <c r="J583" s="53" t="s">
        <v>497</v>
      </c>
      <c r="K583" s="48">
        <v>45603</v>
      </c>
      <c r="L583" s="49" t="s">
        <v>201</v>
      </c>
      <c r="M583" s="53"/>
      <c r="N583" s="77" t="str">
        <f>Table26[[#This Row],[po_number]]&amp;"-"&amp;Table26[[#This Row],[po_line]]</f>
        <v>-4</v>
      </c>
      <c r="O583" s="77">
        <v>4</v>
      </c>
      <c r="P583" s="50"/>
      <c r="Q583" s="53" t="s">
        <v>2112</v>
      </c>
      <c r="R583" s="53" t="s">
        <v>569</v>
      </c>
      <c r="S583" s="53" t="s">
        <v>12</v>
      </c>
      <c r="T583" s="51">
        <v>45550</v>
      </c>
      <c r="U583" s="52">
        <v>72</v>
      </c>
      <c r="V583" s="53" t="str">
        <f>IF(ISBLANK(Table26[[#This Row],[customerSKU]]),"",_xlfn.XLOOKUP(Table26[[#This Row],[customerSKU]],Table27[customer_SKU],Table27[case_size],"",0,1))</f>
        <v/>
      </c>
      <c r="W583" s="116" t="str">
        <f t="shared" si="24"/>
        <v/>
      </c>
      <c r="X583" s="53" t="str">
        <f t="shared" si="23"/>
        <v/>
      </c>
      <c r="Y583" s="53" t="str">
        <f>IF(Table26[[#This Row],[customerSKU]]="","",_xlfn.XLOOKUP(Table26[[#This Row],[customerSKU]],Table27[customer_SKU],Table27[product_GTIN],"",0,1))</f>
        <v/>
      </c>
      <c r="Z583" s="25" t="s">
        <v>3363</v>
      </c>
      <c r="AA583" s="18" t="str" cm="1">
        <f t="array" ref="AA583">IF(P583="", "", _xlfn.XLOOKUP(P583,#REF!,#REF!,NA,0,-1))</f>
        <v/>
      </c>
      <c r="AB583" s="53"/>
      <c r="AC583" s="55" t="s">
        <v>137</v>
      </c>
      <c r="AD583" s="55" t="str">
        <f>IF($AC583="","",_xlfn.XLOOKUP($AC583,'[2]Client Info'!$C$2:$C$2535,'[2]Client Info'!$D$2:$D$2535))</f>
        <v>20 GRANITE RIDGE RD</v>
      </c>
      <c r="AE583" s="55" t="str">
        <f>IF($AC583="","",_xlfn.XLOOKUP($AC583,'[2]Client Info'!$C$2:$C$2715,'[2]Client Info'!$E$2:$E$2715))</f>
        <v>CONCORD</v>
      </c>
      <c r="AF583" s="55" t="str">
        <f>IF($AC583="","",_xlfn.XLOOKUP($AC583,'[2]Client Info'!$C$2:$C$2715,'[2]Client Info'!$F$2:$F$2715))</f>
        <v>ON</v>
      </c>
      <c r="AG583" s="55" t="s">
        <v>220</v>
      </c>
      <c r="AH583" s="62" t="s">
        <v>3420</v>
      </c>
      <c r="AI583" s="43" t="str">
        <f>_xlfn.XLOOKUP(Table26[[#This Row],[customerSKU]],customerSKU!G:G,customerSKU!O:O,"not found",0,1)</f>
        <v>not found</v>
      </c>
      <c r="AJ583" s="53" t="e">
        <f>Table26[[#This Row],[unitprice]]*Table26[[#This Row],[quantity_unit]]</f>
        <v>#VALUE!</v>
      </c>
      <c r="AK583" s="53" t="e" cm="1">
        <f t="array" ref="AK5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4" spans="1:37" ht="18" customHeight="1">
      <c r="A584" s="42">
        <v>1666</v>
      </c>
      <c r="B584" s="58" t="s">
        <v>3520</v>
      </c>
      <c r="C584" s="53" t="s">
        <v>3360</v>
      </c>
      <c r="D584" s="51">
        <v>45610</v>
      </c>
      <c r="E584" s="51" t="s">
        <v>3825</v>
      </c>
      <c r="F584" s="102">
        <v>54701</v>
      </c>
      <c r="G584" s="46"/>
      <c r="H584" s="53" t="s">
        <v>3826</v>
      </c>
      <c r="I584" s="53" t="s">
        <v>3818</v>
      </c>
      <c r="J584" s="53" t="s">
        <v>497</v>
      </c>
      <c r="K584" s="48">
        <v>45603</v>
      </c>
      <c r="L584" s="49" t="str">
        <f>IF(Table26[[#This Row],[customerSKU]]="","",_xlfn.XLOOKUP(Table26[[#This Row],[customerSKU]],customerSKU!G:G,customerSKU!B:B,"",0,1))</f>
        <v/>
      </c>
      <c r="M584" s="53"/>
      <c r="N584" s="77" t="str">
        <f>Table26[[#This Row],[po_number]]&amp;"-"&amp;Table26[[#This Row],[po_line]]</f>
        <v>-1</v>
      </c>
      <c r="O584" s="77">
        <v>1</v>
      </c>
      <c r="P584" s="50"/>
      <c r="Q584" s="53" t="s">
        <v>1172</v>
      </c>
      <c r="R584" s="53" t="s">
        <v>569</v>
      </c>
      <c r="S584" s="53" t="s">
        <v>12</v>
      </c>
      <c r="T584" s="51">
        <v>45587</v>
      </c>
      <c r="U584" s="52">
        <v>36</v>
      </c>
      <c r="V584" s="53" t="str">
        <f>IF(ISBLANK(Table26[[#This Row],[customerSKU]]),"",_xlfn.XLOOKUP(Table26[[#This Row],[customerSKU]],Table27[customer_SKU],Table27[case_size],"",0,1))</f>
        <v/>
      </c>
      <c r="W584" s="116" t="str">
        <f t="shared" si="24"/>
        <v/>
      </c>
      <c r="X584" s="53" t="str">
        <f t="shared" si="23"/>
        <v/>
      </c>
      <c r="Y584" s="53" t="str">
        <f>IF(Table26[[#This Row],[customerSKU]]="","",_xlfn.XLOOKUP(Table26[[#This Row],[customerSKU]],Table27[customer_SKU],Table27[product_GTIN],"",0,1))</f>
        <v/>
      </c>
      <c r="Z584" s="25" t="s">
        <v>3409</v>
      </c>
      <c r="AA584" s="18" t="str" cm="1">
        <f t="array" ref="AA584">IF(P584="", "", _xlfn.XLOOKUP(P584,#REF!,#REF!,NA,0,-1))</f>
        <v/>
      </c>
      <c r="AB584" s="53"/>
      <c r="AC584" s="55" t="str">
        <f>IF(ISBLANK(Table26[[#This Row],[customerSKU]]),"",_xlfn.XLOOKUP(Table26[[#This Row],[customerSKU]],Table27[customer_SKU],Table27[shipto],"",0,1))</f>
        <v/>
      </c>
      <c r="AD584" s="55" t="str">
        <f>IF($AC584="","",_xlfn.XLOOKUP($AC584,'[2]Client Info'!$C$2:$C$2535,'[2]Client Info'!$D$2:$D$2535,"",0,1))</f>
        <v/>
      </c>
      <c r="AE584" s="55" t="str">
        <f>IF($AC584="","",_xlfn.XLOOKUP($AC584,'[2]Client Info'!$C$2:$C$2715,'[2]Client Info'!$E$2:$E$2715,"",))</f>
        <v/>
      </c>
      <c r="AF584" s="55" t="str">
        <f>IF($AC584="","",_xlfn.XLOOKUP($AC584,'[2]Client Info'!$C$2:$C$2715,'[2]Client Info'!$F$2:$F$2715,"",0,1))</f>
        <v/>
      </c>
      <c r="AG584" s="55" t="str">
        <f>IF(ISBLANK(Table26[[#This Row],[customerSKU]]),"",_xlfn.XLOOKUP(Table26[[#This Row],[customerSKU]],Table27[customer_SKU],Table27[shipto],"",0,1))</f>
        <v/>
      </c>
      <c r="AH584" s="62" t="str">
        <f>_xlfn.XLOOKUP(Table26[[#This Row],[customerSKU]],customerSKU!G:G,customerSKU!K:K,"NA",0,1)</f>
        <v>NA</v>
      </c>
      <c r="AI584" s="43" t="str">
        <f>_xlfn.XLOOKUP(Table26[[#This Row],[customerSKU]],customerSKU!G:G,customerSKU!O:O,"not found",0,1)</f>
        <v>not found</v>
      </c>
      <c r="AJ584" s="59" t="e">
        <f>Table26[[#This Row],[unitprice]]*Table26[[#This Row],[quantity_unit]]</f>
        <v>#VALUE!</v>
      </c>
      <c r="AK584" s="59" t="e" cm="1">
        <f t="array" ref="AK5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5" spans="1:37" ht="18" customHeight="1">
      <c r="A585" s="42">
        <v>1667</v>
      </c>
      <c r="B585" s="58" t="s">
        <v>3520</v>
      </c>
      <c r="C585" s="53" t="s">
        <v>3360</v>
      </c>
      <c r="D585" s="51">
        <v>45610</v>
      </c>
      <c r="E585" s="51" t="s">
        <v>3825</v>
      </c>
      <c r="F585" s="102">
        <v>54701</v>
      </c>
      <c r="G585" s="46"/>
      <c r="H585" s="53" t="s">
        <v>3826</v>
      </c>
      <c r="I585" s="53" t="s">
        <v>3818</v>
      </c>
      <c r="J585" s="53" t="s">
        <v>497</v>
      </c>
      <c r="K585" s="48">
        <v>45603</v>
      </c>
      <c r="L585" s="49" t="str">
        <f>IF(Table26[[#This Row],[customerSKU]]="","",_xlfn.XLOOKUP(Table26[[#This Row],[customerSKU]],customerSKU!G:G,customerSKU!B:B,"",0,1))</f>
        <v/>
      </c>
      <c r="M585" s="53"/>
      <c r="N585" s="77" t="str">
        <f>Table26[[#This Row],[po_number]]&amp;"-"&amp;Table26[[#This Row],[po_line]]</f>
        <v>-2</v>
      </c>
      <c r="O585" s="77">
        <v>2</v>
      </c>
      <c r="P585" s="50"/>
      <c r="Q585" s="53" t="s">
        <v>1195</v>
      </c>
      <c r="R585" s="53" t="s">
        <v>569</v>
      </c>
      <c r="S585" s="53" t="s">
        <v>12</v>
      </c>
      <c r="T585" s="51">
        <v>45594</v>
      </c>
      <c r="U585" s="52">
        <v>84</v>
      </c>
      <c r="V585" s="53" t="str">
        <f>IF(ISBLANK(Table26[[#This Row],[customerSKU]]),"",_xlfn.XLOOKUP(Table26[[#This Row],[customerSKU]],Table27[customer_SKU],Table27[case_size],"",0,1))</f>
        <v/>
      </c>
      <c r="W585" s="116" t="str">
        <f t="shared" si="24"/>
        <v/>
      </c>
      <c r="X585" s="53" t="str">
        <f t="shared" si="23"/>
        <v/>
      </c>
      <c r="Y585" s="53" t="str">
        <f>IF(Table26[[#This Row],[customerSKU]]="","",_xlfn.XLOOKUP(Table26[[#This Row],[customerSKU]],Table27[customer_SKU],Table27[product_GTIN],"",0,1))</f>
        <v/>
      </c>
      <c r="Z585" s="25" t="s">
        <v>3363</v>
      </c>
      <c r="AA585" s="18" t="str" cm="1">
        <f t="array" ref="AA585">IF(P585="", "", _xlfn.XLOOKUP(P585,#REF!,#REF!,NA,0,-1))</f>
        <v/>
      </c>
      <c r="AB585" s="53"/>
      <c r="AC585" s="55" t="str">
        <f>IF(ISBLANK(Table26[[#This Row],[customerSKU]]),"",_xlfn.XLOOKUP(Table26[[#This Row],[customerSKU]],Table27[customer_SKU],Table27[shipto],"",0,1))</f>
        <v/>
      </c>
      <c r="AD585" s="55" t="str">
        <f>IF($AC585="","",_xlfn.XLOOKUP($AC585,'[2]Client Info'!$C$2:$C$2535,'[2]Client Info'!$D$2:$D$2535,"",0,1))</f>
        <v/>
      </c>
      <c r="AE585" s="55" t="str">
        <f>IF($AC585="","",_xlfn.XLOOKUP($AC585,'[2]Client Info'!$C$2:$C$2715,'[2]Client Info'!$E$2:$E$2715,"",))</f>
        <v/>
      </c>
      <c r="AF585" s="55" t="str">
        <f>IF($AC585="","",_xlfn.XLOOKUP($AC585,'[2]Client Info'!$C$2:$C$2715,'[2]Client Info'!$F$2:$F$2715,"",0,1))</f>
        <v/>
      </c>
      <c r="AG585" s="55" t="str">
        <f>IF(ISBLANK(Table26[[#This Row],[customerSKU]]),"",_xlfn.XLOOKUP(Table26[[#This Row],[customerSKU]],Table27[customer_SKU],Table27[shipto],"",0,1))</f>
        <v/>
      </c>
      <c r="AH585" s="62" t="str">
        <f>_xlfn.XLOOKUP(Table26[[#This Row],[customerSKU]],customerSKU!G:G,customerSKU!K:K,"NA",0,1)</f>
        <v>NA</v>
      </c>
      <c r="AI585" s="43" t="str">
        <f>_xlfn.XLOOKUP(Table26[[#This Row],[customerSKU]],customerSKU!G:G,customerSKU!O:O,"not found",0,1)</f>
        <v>not found</v>
      </c>
      <c r="AJ585" s="59" t="e">
        <f>Table26[[#This Row],[unitprice]]*Table26[[#This Row],[quantity_unit]]</f>
        <v>#VALUE!</v>
      </c>
      <c r="AK585" s="59" t="e" cm="1">
        <f t="array" ref="AK5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6" spans="1:37" ht="18" customHeight="1">
      <c r="A586" s="42">
        <v>1668</v>
      </c>
      <c r="B586" s="58" t="s">
        <v>3520</v>
      </c>
      <c r="C586" s="53" t="s">
        <v>3360</v>
      </c>
      <c r="D586" s="51">
        <v>45617</v>
      </c>
      <c r="E586" s="51" t="s">
        <v>3827</v>
      </c>
      <c r="F586" s="102">
        <v>54702</v>
      </c>
      <c r="G586" s="46"/>
      <c r="H586" s="53" t="s">
        <v>3826</v>
      </c>
      <c r="I586" s="53" t="s">
        <v>3818</v>
      </c>
      <c r="J586" s="53" t="s">
        <v>497</v>
      </c>
      <c r="K586" s="48">
        <v>45603</v>
      </c>
      <c r="L586" s="49" t="str">
        <f>IF(Table26[[#This Row],[customerSKU]]="","",_xlfn.XLOOKUP(Table26[[#This Row],[customerSKU]],customerSKU!G:G,customerSKU!B:B,"",0,1))</f>
        <v/>
      </c>
      <c r="M586" s="53"/>
      <c r="N586" s="77" t="str">
        <f>Table26[[#This Row],[po_number]]&amp;"-"&amp;Table26[[#This Row],[po_line]]</f>
        <v>-1</v>
      </c>
      <c r="O586" s="77">
        <v>1</v>
      </c>
      <c r="P586" s="50"/>
      <c r="Q586" s="53" t="s">
        <v>535</v>
      </c>
      <c r="R586" s="53" t="s">
        <v>569</v>
      </c>
      <c r="S586" s="53" t="s">
        <v>12</v>
      </c>
      <c r="T586" s="51">
        <v>45588</v>
      </c>
      <c r="U586" s="52">
        <v>60</v>
      </c>
      <c r="V586" s="53" t="str">
        <f>IF(ISBLANK(Table26[[#This Row],[customerSKU]]),"",_xlfn.XLOOKUP(Table26[[#This Row],[customerSKU]],Table27[customer_SKU],Table27[case_size],"",0,1))</f>
        <v/>
      </c>
      <c r="W586" s="116" t="str">
        <f t="shared" si="24"/>
        <v/>
      </c>
      <c r="X586" s="53" t="str">
        <f t="shared" si="23"/>
        <v/>
      </c>
      <c r="Y586" s="53" t="str">
        <f>IF(Table26[[#This Row],[customerSKU]]="","",_xlfn.XLOOKUP(Table26[[#This Row],[customerSKU]],Table27[customer_SKU],Table27[product_GTIN],"",0,1))</f>
        <v/>
      </c>
      <c r="Z586" s="60">
        <v>110721</v>
      </c>
      <c r="AA586" s="18" t="str" cm="1">
        <f t="array" ref="AA586">IF(P586="", "", _xlfn.XLOOKUP(P586,#REF!,#REF!,NA,0,-1))</f>
        <v/>
      </c>
      <c r="AB586" s="53"/>
      <c r="AC586" s="55" t="str">
        <f>IF(Table26[[#This Row],[customerSKU]]="","",_xlfn.XLOOKUP(Table26[[#This Row],[customerSKU]],customerSKU!G:G,customerSKU!C:C,"",0,1))</f>
        <v/>
      </c>
      <c r="AD586" s="55" t="str">
        <f>IF($AC586="","",_xlfn.XLOOKUP($AC586,'[2]Client Info'!$C$2:$C$2535,'[2]Client Info'!$D$2:$D$2535,"",0,1))</f>
        <v/>
      </c>
      <c r="AE586" s="55" t="str">
        <f>IF($AC586="","",_xlfn.XLOOKUP($AC586,'[2]Client Info'!$C$2:$C$2715,'[2]Client Info'!$E$2:$E$2715,"",))</f>
        <v/>
      </c>
      <c r="AF586" s="55" t="str">
        <f>IF($AC586="","",_xlfn.XLOOKUP($AC586,'[2]Client Info'!$C$2:$C$2715,'[2]Client Info'!$F$2:$F$2715,"",0,1))</f>
        <v/>
      </c>
      <c r="AG586" s="55" t="str">
        <f>IF(ISBLANK(Table26[[#This Row],[customerSKU]]),"",_xlfn.XLOOKUP(Table26[[#This Row],[customerSKU]],Table27[customer_SKU],Table27[billto],"",0,1))</f>
        <v/>
      </c>
      <c r="AH586" s="62" t="str">
        <f>_xlfn.XLOOKUP(Table26[[#This Row],[customerSKU]],customerSKU!G:G,customerSKU!K:K,"NA",0,1)</f>
        <v>NA</v>
      </c>
      <c r="AI586" s="43" t="str">
        <f>_xlfn.XLOOKUP(Table26[[#This Row],[customerSKU]],customerSKU!G:G,customerSKU!O:O,"not found",0,1)</f>
        <v>not found</v>
      </c>
      <c r="AJ586" s="59" t="e">
        <f>Table26[[#This Row],[unitprice]]*Table26[[#This Row],[quantity_unit]]</f>
        <v>#VALUE!</v>
      </c>
      <c r="AK586" s="59" t="e" cm="1">
        <f t="array" ref="AK5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7" spans="1:37" ht="18" customHeight="1">
      <c r="A587" s="42">
        <v>1669</v>
      </c>
      <c r="B587" s="58" t="s">
        <v>3520</v>
      </c>
      <c r="C587" s="53" t="s">
        <v>3360</v>
      </c>
      <c r="D587" s="51">
        <v>45617</v>
      </c>
      <c r="E587" s="51" t="s">
        <v>3827</v>
      </c>
      <c r="F587" s="102">
        <v>54702</v>
      </c>
      <c r="G587" s="46"/>
      <c r="H587" s="53" t="s">
        <v>3826</v>
      </c>
      <c r="I587" s="53" t="s">
        <v>3818</v>
      </c>
      <c r="J587" s="53" t="s">
        <v>497</v>
      </c>
      <c r="K587" s="48">
        <v>45603</v>
      </c>
      <c r="L587" s="49" t="str">
        <f>IF(Table26[[#This Row],[customerSKU]]="","",_xlfn.XLOOKUP(Table26[[#This Row],[customerSKU]],customerSKU!G:G,customerSKU!B:B,"",0,1))</f>
        <v/>
      </c>
      <c r="M587" s="53"/>
      <c r="N587" s="77" t="str">
        <f>Table26[[#This Row],[po_number]]&amp;"-"&amp;Table26[[#This Row],[po_line]]</f>
        <v>-2</v>
      </c>
      <c r="O587" s="77">
        <v>2</v>
      </c>
      <c r="P587" s="50"/>
      <c r="Q587" s="53" t="s">
        <v>2112</v>
      </c>
      <c r="R587" s="53" t="s">
        <v>569</v>
      </c>
      <c r="S587" s="53" t="s">
        <v>12</v>
      </c>
      <c r="T587" s="51">
        <v>45550</v>
      </c>
      <c r="U587" s="52">
        <v>72</v>
      </c>
      <c r="V587" s="53" t="str">
        <f>IF(ISBLANK(Table26[[#This Row],[customerSKU]]),"",_xlfn.XLOOKUP(Table26[[#This Row],[customerSKU]],Table27[customer_SKU],Table27[case_size],"",0,1))</f>
        <v/>
      </c>
      <c r="W587" s="116" t="str">
        <f t="shared" si="24"/>
        <v/>
      </c>
      <c r="X587" s="53" t="str">
        <f t="shared" si="23"/>
        <v/>
      </c>
      <c r="Y587" s="53" t="str">
        <f>IF(Table26[[#This Row],[customerSKU]]="","",_xlfn.XLOOKUP(Table26[[#This Row],[customerSKU]],Table27[customer_SKU],Table27[product_GTIN],"",0,1))</f>
        <v/>
      </c>
      <c r="Z587" s="25" t="s">
        <v>3363</v>
      </c>
      <c r="AA587" s="18" t="str" cm="1">
        <f t="array" ref="AA587">IF(P587="", "", _xlfn.XLOOKUP(P587,#REF!,#REF!,NA,0,-1))</f>
        <v/>
      </c>
      <c r="AB587" s="53"/>
      <c r="AC587" s="55" t="str">
        <f>IF(Table26[[#This Row],[customerSKU]]="","",_xlfn.XLOOKUP(Table26[[#This Row],[customerSKU]],customerSKU!G:G,customerSKU!C:C,"",0,1))</f>
        <v/>
      </c>
      <c r="AD587" s="55" t="str">
        <f>IF($AC587="","",_xlfn.XLOOKUP($AC587,'[2]Client Info'!$C$2:$C$2535,'[2]Client Info'!$D$2:$D$2535,"",0,1))</f>
        <v/>
      </c>
      <c r="AE587" s="55" t="str">
        <f>IF($AC587="","",_xlfn.XLOOKUP($AC587,'[2]Client Info'!$C$2:$C$2715,'[2]Client Info'!$E$2:$E$2715,"",))</f>
        <v/>
      </c>
      <c r="AF587" s="55" t="str">
        <f>IF($AC587="","",_xlfn.XLOOKUP($AC587,'[2]Client Info'!$C$2:$C$2715,'[2]Client Info'!$F$2:$F$2715,"",0,1))</f>
        <v/>
      </c>
      <c r="AG587" s="55" t="str">
        <f>IF(ISBLANK(Table26[[#This Row],[customerSKU]]),"",_xlfn.XLOOKUP(Table26[[#This Row],[customerSKU]],Table27[customer_SKU],Table27[billto],"",0,1))</f>
        <v/>
      </c>
      <c r="AH587" s="62" t="str">
        <f>_xlfn.XLOOKUP(Table26[[#This Row],[customerSKU]],customerSKU!G:G,customerSKU!K:K,"NA",0,1)</f>
        <v>NA</v>
      </c>
      <c r="AI587" s="43" t="str">
        <f>_xlfn.XLOOKUP(Table26[[#This Row],[customerSKU]],customerSKU!G:G,customerSKU!O:O,"not found",0,1)</f>
        <v>not found</v>
      </c>
      <c r="AJ587" s="59" t="e">
        <f>Table26[[#This Row],[unitprice]]*Table26[[#This Row],[quantity_unit]]</f>
        <v>#VALUE!</v>
      </c>
      <c r="AK587" s="59" t="e" cm="1">
        <f t="array" ref="AK5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8" spans="1:37" ht="18" customHeight="1">
      <c r="A588" s="42">
        <v>1670</v>
      </c>
      <c r="B588" s="58" t="s">
        <v>3520</v>
      </c>
      <c r="C588" s="53" t="s">
        <v>203</v>
      </c>
      <c r="D588" s="51"/>
      <c r="E588" s="51"/>
      <c r="F58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88" s="46"/>
      <c r="H588" s="53"/>
      <c r="I588" s="53" t="s">
        <v>3818</v>
      </c>
      <c r="J588" s="53" t="str">
        <f>IF(Table26[[#This Row],[customerSKU]]="","",_xlfn.XLOOKUP(Table26[[#This Row],[customerSKU]],customerSKU!G:G,customerSKU!A:A,"",0,1))</f>
        <v/>
      </c>
      <c r="K588" s="48">
        <v>45603</v>
      </c>
      <c r="L588" s="49" t="str">
        <f>IF(Table26[[#This Row],[customerSKU]]="","",_xlfn.XLOOKUP(Table26[[#This Row],[customerSKU]],customerSKU!G:G,customerSKU!B:B,"",0,1))</f>
        <v/>
      </c>
      <c r="M588" s="53"/>
      <c r="N588" s="77" t="str">
        <f>Table26[[#This Row],[po_number]]&amp;"-"&amp;Table26[[#This Row],[po_line]]</f>
        <v>-1</v>
      </c>
      <c r="O588" s="77">
        <v>1</v>
      </c>
      <c r="P588" s="50"/>
      <c r="Q588" s="53" t="s">
        <v>3545</v>
      </c>
      <c r="R588" s="53" t="s">
        <v>3419</v>
      </c>
      <c r="S588" s="53" t="str">
        <f>IF(Table26[[#This Row],[customerSKU]]="","",_xlfn.XLOOKUP(Table26[[#This Row],[customerSKU]],customerSKU!G:G,customerSKU!N:N,"NOT FOUND",0,1))</f>
        <v>NOT FOUND</v>
      </c>
      <c r="T588" s="20">
        <v>45596</v>
      </c>
      <c r="U588" s="52">
        <v>48</v>
      </c>
      <c r="V588" s="53" t="str">
        <f>IF(ISBLANK(Table26[[#This Row],[customerSKU]]),"",_xlfn.XLOOKUP(Table26[[#This Row],[customerSKU]],Table27[customer_SKU],Table27[case_size],"",0,1))</f>
        <v/>
      </c>
      <c r="W588" s="116" t="str">
        <f t="shared" si="24"/>
        <v/>
      </c>
      <c r="X588" s="53" t="str">
        <f t="shared" si="23"/>
        <v/>
      </c>
      <c r="Y588" s="53" t="str">
        <f>IF(Table26[[#This Row],[customerSKU]]="","",_xlfn.XLOOKUP(Table26[[#This Row],[customerSKU]],Table27[customer_SKU],Table27[product_GTIN],"",0,1))</f>
        <v/>
      </c>
      <c r="Z588" s="60">
        <v>7900354</v>
      </c>
      <c r="AA588" s="18" t="str" cm="1">
        <f t="array" ref="AA588">IF(P588="", "", _xlfn.XLOOKUP(P588,#REF!,#REF!,NA,0,-1))</f>
        <v/>
      </c>
      <c r="AB588" s="53"/>
      <c r="AC588" s="55" t="str">
        <f>IF(Table26[[#This Row],[customerSKU]]="","",_xlfn.XLOOKUP(Table26[[#This Row],[customerSKU]],customerSKU!G:G,customerSKU!C:C,"",0,1))</f>
        <v/>
      </c>
      <c r="AD588" s="55" t="str">
        <f>IF($AC588="","",_xlfn.XLOOKUP($AC588,'[2]Client Info'!$C$2:$C$2535,'[2]Client Info'!$D$2:$D$2535,"",0,1))</f>
        <v/>
      </c>
      <c r="AE588" s="55" t="str">
        <f>IF($AC588="","",_xlfn.XLOOKUP($AC588,'[2]Client Info'!$C$2:$C$2715,'[2]Client Info'!$E$2:$E$2715,"",))</f>
        <v/>
      </c>
      <c r="AF588" s="55" t="str">
        <f>IF($AC588="","",_xlfn.XLOOKUP($AC588,'[2]Client Info'!$C$2:$C$2715,'[2]Client Info'!$F$2:$F$2715,"",0,1))</f>
        <v/>
      </c>
      <c r="AG588" s="55" t="str">
        <f>IF(ISBLANK(Table26[[#This Row],[customerSKU]]),"",_xlfn.XLOOKUP(Table26[[#This Row],[customerSKU]],Table27[customer_SKU],Table27[billto],"",0,1))</f>
        <v/>
      </c>
      <c r="AH588" s="62" t="str">
        <f>_xlfn.XLOOKUP(Table26[[#This Row],[customerSKU]],customerSKU!G:G,customerSKU!K:K,"NA",0,1)</f>
        <v>NA</v>
      </c>
      <c r="AI588" s="43" t="str">
        <f>_xlfn.XLOOKUP(Table26[[#This Row],[customerSKU]],customerSKU!G:G,customerSKU!O:O,"not found",0,1)</f>
        <v>not found</v>
      </c>
      <c r="AJ588" s="59" t="e">
        <f>Table26[[#This Row],[unitprice]]*Table26[[#This Row],[quantity_unit]]</f>
        <v>#VALUE!</v>
      </c>
      <c r="AK588" s="59" t="e" cm="1">
        <f t="array" ref="AK5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89" spans="1:37" ht="18" customHeight="1">
      <c r="A589" s="42">
        <v>1649</v>
      </c>
      <c r="B589" s="58" t="s">
        <v>3520</v>
      </c>
      <c r="C589" s="53" t="s">
        <v>203</v>
      </c>
      <c r="D589" s="51"/>
      <c r="E589" s="51"/>
      <c r="F58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89" s="46"/>
      <c r="H589" s="53"/>
      <c r="I589" s="53" t="s">
        <v>3862</v>
      </c>
      <c r="J589" s="53" t="str">
        <f>IF(Table26[[#This Row],[customerSKU]]="","",_xlfn.XLOOKUP(Table26[[#This Row],[customerSKU]],customerSKU!G:G,customerSKU!A:A,"",0,1))</f>
        <v/>
      </c>
      <c r="K589" s="48">
        <v>45604</v>
      </c>
      <c r="L589" s="49" t="str">
        <f>IF(Table26[[#This Row],[customerSKU]]="","",_xlfn.XLOOKUP(Table26[[#This Row],[customerSKU]],customerSKU!G:G,customerSKU!B:B,"",0,1))</f>
        <v/>
      </c>
      <c r="M589" s="53"/>
      <c r="N589" s="77" t="str">
        <f>Table26[[#This Row],[po_number]]&amp;"-"&amp;Table26[[#This Row],[po_line]]</f>
        <v>-2</v>
      </c>
      <c r="O589" s="77">
        <v>2</v>
      </c>
      <c r="P589" s="50"/>
      <c r="Q589" s="53" t="s">
        <v>1736</v>
      </c>
      <c r="R589" s="53" t="s">
        <v>569</v>
      </c>
      <c r="S589" s="53" t="str">
        <f>IF(Table26[[#This Row],[customerSKU]]="","",_xlfn.XLOOKUP(Table26[[#This Row],[customerSKU]],customerSKU!G:G,customerSKU!N:N,"NOT FOUND",0,1))</f>
        <v>NOT FOUND</v>
      </c>
      <c r="T589" s="20">
        <v>45603</v>
      </c>
      <c r="U589" s="52">
        <v>33</v>
      </c>
      <c r="V589" s="53" t="str">
        <f>IF(ISBLANK(Table26[[#This Row],[customerSKU]]),"",_xlfn.XLOOKUP(Table26[[#This Row],[customerSKU]],Table27[customer_SKU],Table27[case_size],"",0,1))</f>
        <v/>
      </c>
      <c r="W589" s="116" t="str">
        <f t="shared" si="24"/>
        <v/>
      </c>
      <c r="X589" s="53" t="str">
        <f t="shared" si="23"/>
        <v/>
      </c>
      <c r="Y589" s="53" t="str">
        <f>IF(Table26[[#This Row],[customerSKU]]="","",_xlfn.XLOOKUP(Table26[[#This Row],[customerSKU]],Table27[customer_SKU],Table27[product_GTIN],"",0,1))</f>
        <v/>
      </c>
      <c r="Z589" s="60">
        <v>7900406</v>
      </c>
      <c r="AA589" s="18" t="str" cm="1">
        <f t="array" ref="AA589">IF(P589="", "", _xlfn.XLOOKUP(P589,#REF!,#REF!,NA,0,-1))</f>
        <v/>
      </c>
      <c r="AB589" s="53"/>
      <c r="AC589" s="55" t="str">
        <f>IF(Table26[[#This Row],[customerSKU]]="","",_xlfn.XLOOKUP(Table26[[#This Row],[customerSKU]],customerSKU!G:G,customerSKU!C:C,"",0,1))</f>
        <v/>
      </c>
      <c r="AD589" s="55" t="str">
        <f>IF($AC589="","",_xlfn.XLOOKUP($AC589,'[2]Client Info'!$C$2:$C$2535,'[2]Client Info'!$D$2:$D$2535,"",0,1))</f>
        <v/>
      </c>
      <c r="AE589" s="55" t="str">
        <f>IF($AC589="","",_xlfn.XLOOKUP($AC589,'[2]Client Info'!$C$2:$C$2715,'[2]Client Info'!$E$2:$E$2715,"",))</f>
        <v/>
      </c>
      <c r="AF589" s="55" t="str">
        <f>IF($AC589="","",_xlfn.XLOOKUP($AC589,'[2]Client Info'!$C$2:$C$2715,'[2]Client Info'!$F$2:$F$2715,"",0,1))</f>
        <v/>
      </c>
      <c r="AG589" s="55" t="str">
        <f>IF(ISBLANK(Table26[[#This Row],[customerSKU]]),"",_xlfn.XLOOKUP(Table26[[#This Row],[customerSKU]],Table27[customer_SKU],Table27[billto],"",0,1))</f>
        <v/>
      </c>
      <c r="AH589" s="62" t="str">
        <f>_xlfn.XLOOKUP(Table26[[#This Row],[customerSKU]],customerSKU!G:G,customerSKU!K:K,"NA",0,1)</f>
        <v>NA</v>
      </c>
      <c r="AI589" s="43" t="str">
        <f>_xlfn.XLOOKUP(Table26[[#This Row],[customerSKU]],customerSKU!G:G,customerSKU!O:O,"not found",0,1)</f>
        <v>not found</v>
      </c>
      <c r="AJ589" s="59" t="e">
        <f>Table26[[#This Row],[unitprice]]*Table26[[#This Row],[quantity_unit]]</f>
        <v>#VALUE!</v>
      </c>
      <c r="AK589" s="59" t="e" cm="1">
        <f t="array" ref="AK5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0" spans="1:37" ht="18" customHeight="1">
      <c r="A590" s="42">
        <v>1650</v>
      </c>
      <c r="B590" s="58" t="s">
        <v>3520</v>
      </c>
      <c r="C590" s="53" t="s">
        <v>203</v>
      </c>
      <c r="D590" s="51"/>
      <c r="E590" s="51"/>
      <c r="F59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0" s="46"/>
      <c r="H590" s="53"/>
      <c r="I590" s="53" t="s">
        <v>3862</v>
      </c>
      <c r="J590" s="53" t="str">
        <f>IF(Table26[[#This Row],[customerSKU]]="","",_xlfn.XLOOKUP(Table26[[#This Row],[customerSKU]],customerSKU!G:G,customerSKU!A:A,"",0,1))</f>
        <v/>
      </c>
      <c r="K590" s="48">
        <v>45604</v>
      </c>
      <c r="L590" s="49" t="str">
        <f>IF(Table26[[#This Row],[customerSKU]]="","",_xlfn.XLOOKUP(Table26[[#This Row],[customerSKU]],customerSKU!G:G,customerSKU!B:B,"",0,1))</f>
        <v/>
      </c>
      <c r="M590" s="53"/>
      <c r="N590" s="77" t="str">
        <f>Table26[[#This Row],[po_number]]&amp;"-"&amp;Table26[[#This Row],[po_line]]</f>
        <v>-3</v>
      </c>
      <c r="O590" s="77">
        <v>3</v>
      </c>
      <c r="P590" s="50"/>
      <c r="Q590" s="53" t="s">
        <v>3967</v>
      </c>
      <c r="R590" s="53" t="s">
        <v>569</v>
      </c>
      <c r="S590" s="53" t="str">
        <f>IF(Table26[[#This Row],[customerSKU]]="","",_xlfn.XLOOKUP(Table26[[#This Row],[customerSKU]],customerSKU!G:G,customerSKU!N:N,"NOT FOUND",0,1))</f>
        <v>NOT FOUND</v>
      </c>
      <c r="T590" s="20">
        <v>45560</v>
      </c>
      <c r="U590" s="52">
        <v>3</v>
      </c>
      <c r="V590" s="53" t="str">
        <f>IF(ISBLANK(Table26[[#This Row],[customerSKU]]),"",_xlfn.XLOOKUP(Table26[[#This Row],[customerSKU]],Table27[customer_SKU],Table27[case_size],"",0,1))</f>
        <v/>
      </c>
      <c r="W590" s="116" t="str">
        <f t="shared" si="24"/>
        <v/>
      </c>
      <c r="X590" s="53" t="str">
        <f t="shared" si="23"/>
        <v/>
      </c>
      <c r="Y590" s="53" t="str">
        <f>IF(Table26[[#This Row],[customerSKU]]="","",_xlfn.XLOOKUP(Table26[[#This Row],[customerSKU]],Table27[customer_SKU],Table27[product_GTIN],"",0,1))</f>
        <v/>
      </c>
      <c r="Z590" s="60">
        <v>7900406</v>
      </c>
      <c r="AA590" s="18" t="str" cm="1">
        <f t="array" ref="AA590">IF(P590="", "", _xlfn.XLOOKUP(P590,#REF!,#REF!,NA,0,-1))</f>
        <v/>
      </c>
      <c r="AB590" s="53"/>
      <c r="AC590" s="55" t="str">
        <f>IF(Table26[[#This Row],[customerSKU]]="","",_xlfn.XLOOKUP(Table26[[#This Row],[customerSKU]],customerSKU!G:G,customerSKU!C:C,"",0,1))</f>
        <v/>
      </c>
      <c r="AD590" s="55" t="str">
        <f>IF($AC590="","",_xlfn.XLOOKUP($AC590,'[2]Client Info'!$C$2:$C$2535,'[2]Client Info'!$D$2:$D$2535,"",0,1))</f>
        <v/>
      </c>
      <c r="AE590" s="55" t="str">
        <f>IF($AC590="","",_xlfn.XLOOKUP($AC590,'[2]Client Info'!$C$2:$C$2715,'[2]Client Info'!$E$2:$E$2715,"",))</f>
        <v/>
      </c>
      <c r="AF590" s="55" t="str">
        <f>IF($AC590="","",_xlfn.XLOOKUP($AC590,'[2]Client Info'!$C$2:$C$2715,'[2]Client Info'!$F$2:$F$2715,"",0,1))</f>
        <v/>
      </c>
      <c r="AG590" s="55" t="str">
        <f>IF(ISBLANK(Table26[[#This Row],[customerSKU]]),"",_xlfn.XLOOKUP(Table26[[#This Row],[customerSKU]],Table27[customer_SKU],Table27[billto],"",0,1))</f>
        <v/>
      </c>
      <c r="AH590" s="62" t="str">
        <f>_xlfn.XLOOKUP(Table26[[#This Row],[customerSKU]],customerSKU!G:G,customerSKU!K:K,"NA",0,1)</f>
        <v>NA</v>
      </c>
      <c r="AI590" s="43" t="str">
        <f>_xlfn.XLOOKUP(Table26[[#This Row],[customerSKU]],customerSKU!G:G,customerSKU!O:O,"not found",0,1)</f>
        <v>not found</v>
      </c>
      <c r="AJ590" s="53" t="e">
        <f>Table26[[#This Row],[unitprice]]*Table26[[#This Row],[quantity_unit]]</f>
        <v>#VALUE!</v>
      </c>
      <c r="AK590" s="53" t="e" cm="1">
        <f t="array" ref="AK5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1" spans="1:37" ht="18" customHeight="1">
      <c r="A591" s="42">
        <v>1651</v>
      </c>
      <c r="B591" s="58" t="s">
        <v>3520</v>
      </c>
      <c r="C591" s="53" t="s">
        <v>203</v>
      </c>
      <c r="D591" s="51"/>
      <c r="E591" s="51"/>
      <c r="F59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1" s="46"/>
      <c r="H591" s="53"/>
      <c r="I591" s="53" t="s">
        <v>3862</v>
      </c>
      <c r="J591" s="53" t="str">
        <f>IF(Table26[[#This Row],[customerSKU]]="","",_xlfn.XLOOKUP(Table26[[#This Row],[customerSKU]],customerSKU!G:G,customerSKU!A:A,"",0,1))</f>
        <v/>
      </c>
      <c r="K591" s="48">
        <v>45604</v>
      </c>
      <c r="L591" s="49" t="str">
        <f>IF(Table26[[#This Row],[customerSKU]]="","",_xlfn.XLOOKUP(Table26[[#This Row],[customerSKU]],customerSKU!G:G,customerSKU!B:B,"",0,1))</f>
        <v/>
      </c>
      <c r="M591" s="53"/>
      <c r="N591" s="77" t="str">
        <f>Table26[[#This Row],[po_number]]&amp;"-"&amp;Table26[[#This Row],[po_line]]</f>
        <v>-4</v>
      </c>
      <c r="O591" s="77">
        <v>4</v>
      </c>
      <c r="P591" s="50"/>
      <c r="Q591" s="53" t="s">
        <v>3902</v>
      </c>
      <c r="R591" s="53" t="s">
        <v>569</v>
      </c>
      <c r="S591" s="53" t="str">
        <f>IF(Table26[[#This Row],[customerSKU]]="","",_xlfn.XLOOKUP(Table26[[#This Row],[customerSKU]],customerSKU!G:G,customerSKU!N:N,"NOT FOUND",0,1))</f>
        <v>NOT FOUND</v>
      </c>
      <c r="T591" s="20">
        <v>45594</v>
      </c>
      <c r="U591" s="52">
        <v>84</v>
      </c>
      <c r="V591" s="53" t="str">
        <f>IF(ISBLANK(Table26[[#This Row],[customerSKU]]),"",_xlfn.XLOOKUP(Table26[[#This Row],[customerSKU]],Table27[customer_SKU],Table27[case_size],"",0,1))</f>
        <v/>
      </c>
      <c r="W591" s="116" t="str">
        <f t="shared" si="24"/>
        <v/>
      </c>
      <c r="X591" s="53" t="str">
        <f t="shared" si="23"/>
        <v/>
      </c>
      <c r="Y591" s="53" t="str">
        <f>IF(Table26[[#This Row],[customerSKU]]="","",_xlfn.XLOOKUP(Table26[[#This Row],[customerSKU]],Table27[customer_SKU],Table27[product_GTIN],"",0,1))</f>
        <v/>
      </c>
      <c r="Z591" s="60">
        <v>7900408</v>
      </c>
      <c r="AA591" s="18" t="str" cm="1">
        <f t="array" ref="AA591">IF(P591="", "", _xlfn.XLOOKUP(P591,#REF!,#REF!,NA,0,-1))</f>
        <v/>
      </c>
      <c r="AB591" s="53"/>
      <c r="AC591" s="55" t="str">
        <f>IF(Table26[[#This Row],[customerSKU]]="","",_xlfn.XLOOKUP(Table26[[#This Row],[customerSKU]],customerSKU!G:G,customerSKU!C:C,"",0,1))</f>
        <v/>
      </c>
      <c r="AD591" s="55" t="str">
        <f>IF($AC591="","",_xlfn.XLOOKUP($AC591,'[2]Client Info'!$C$2:$C$2535,'[2]Client Info'!$D$2:$D$2535,"",0,1))</f>
        <v/>
      </c>
      <c r="AE591" s="55" t="str">
        <f>IF($AC591="","",_xlfn.XLOOKUP($AC591,'[2]Client Info'!$C$2:$C$2715,'[2]Client Info'!$E$2:$E$2715,"",))</f>
        <v/>
      </c>
      <c r="AF591" s="55" t="str">
        <f>IF($AC591="","",_xlfn.XLOOKUP($AC591,'[2]Client Info'!$C$2:$C$2715,'[2]Client Info'!$F$2:$F$2715,"",0,1))</f>
        <v/>
      </c>
      <c r="AG591" s="55" t="str">
        <f>IF(ISBLANK(Table26[[#This Row],[customerSKU]]),"",_xlfn.XLOOKUP(Table26[[#This Row],[customerSKU]],Table27[customer_SKU],Table27[billto],"",0,1))</f>
        <v/>
      </c>
      <c r="AH591" s="62" t="str">
        <f>_xlfn.XLOOKUP(Table26[[#This Row],[customerSKU]],customerSKU!G:G,customerSKU!K:K,"NA",0,1)</f>
        <v>NA</v>
      </c>
      <c r="AI591" s="43" t="str">
        <f>_xlfn.XLOOKUP(Table26[[#This Row],[customerSKU]],customerSKU!G:G,customerSKU!O:O,"not found",0,1)</f>
        <v>not found</v>
      </c>
      <c r="AJ591" s="59" t="e">
        <f>Table26[[#This Row],[unitprice]]*Table26[[#This Row],[quantity_unit]]</f>
        <v>#VALUE!</v>
      </c>
      <c r="AK591" s="59" t="e" cm="1">
        <f t="array" ref="AK5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2" spans="1:37" ht="18" customHeight="1">
      <c r="A592" s="42">
        <v>1652</v>
      </c>
      <c r="B592" s="58" t="s">
        <v>3520</v>
      </c>
      <c r="C592" s="53" t="s">
        <v>203</v>
      </c>
      <c r="D592" s="51"/>
      <c r="E592" s="51"/>
      <c r="F59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2" s="46"/>
      <c r="H592" s="53"/>
      <c r="I592" s="53" t="s">
        <v>3862</v>
      </c>
      <c r="J592" s="53" t="str">
        <f>IF(Table26[[#This Row],[customerSKU]]="","",_xlfn.XLOOKUP(Table26[[#This Row],[customerSKU]],customerSKU!G:G,customerSKU!A:A,"",0,1))</f>
        <v/>
      </c>
      <c r="K592" s="48">
        <v>45604</v>
      </c>
      <c r="L592" s="49" t="str">
        <f>IF(Table26[[#This Row],[customerSKU]]="","",_xlfn.XLOOKUP(Table26[[#This Row],[customerSKU]],customerSKU!G:G,customerSKU!B:B,"",0,1))</f>
        <v/>
      </c>
      <c r="M592" s="53"/>
      <c r="N592" s="77" t="str">
        <f>Table26[[#This Row],[po_number]]&amp;"-"&amp;Table26[[#This Row],[po_line]]</f>
        <v>-5</v>
      </c>
      <c r="O592" s="77">
        <v>5</v>
      </c>
      <c r="P592" s="50"/>
      <c r="Q592" s="53" t="s">
        <v>1732</v>
      </c>
      <c r="R592" s="53" t="s">
        <v>569</v>
      </c>
      <c r="S592" s="53" t="str">
        <f>IF(Table26[[#This Row],[customerSKU]]="","",_xlfn.XLOOKUP(Table26[[#This Row],[customerSKU]],customerSKU!G:G,customerSKU!N:N,"NOT FOUND",0,1))</f>
        <v>NOT FOUND</v>
      </c>
      <c r="T592" s="20">
        <v>45555</v>
      </c>
      <c r="U592" s="52">
        <v>84</v>
      </c>
      <c r="V592" s="53" t="str">
        <f>IF(ISBLANK(Table26[[#This Row],[customerSKU]]),"",_xlfn.XLOOKUP(Table26[[#This Row],[customerSKU]],Table27[customer_SKU],Table27[case_size],"",0,1))</f>
        <v/>
      </c>
      <c r="W592" s="116" t="str">
        <f t="shared" si="24"/>
        <v/>
      </c>
      <c r="X592" s="53" t="str">
        <f t="shared" si="23"/>
        <v/>
      </c>
      <c r="Y592" s="53" t="str">
        <f>IF(Table26[[#This Row],[customerSKU]]="","",_xlfn.XLOOKUP(Table26[[#This Row],[customerSKU]],Table27[customer_SKU],Table27[product_GTIN],"",0,1))</f>
        <v/>
      </c>
      <c r="Z592" s="60">
        <v>7900415</v>
      </c>
      <c r="AA592" s="18" t="str" cm="1">
        <f t="array" ref="AA592">IF(P592="", "", _xlfn.XLOOKUP(P592,#REF!,#REF!,NA,0,-1))</f>
        <v/>
      </c>
      <c r="AB592" s="53"/>
      <c r="AC592" s="55" t="str">
        <f>IF(Table26[[#This Row],[customerSKU]]="","",_xlfn.XLOOKUP(Table26[[#This Row],[customerSKU]],customerSKU!G:G,customerSKU!C:C,"",0,1))</f>
        <v/>
      </c>
      <c r="AD592" s="55" t="str">
        <f>IF($AC592="","",_xlfn.XLOOKUP($AC592,'[2]Client Info'!$C$2:$C$2535,'[2]Client Info'!$D$2:$D$2535,"",0,1))</f>
        <v/>
      </c>
      <c r="AE592" s="55" t="str">
        <f>IF($AC592="","",_xlfn.XLOOKUP($AC592,'[2]Client Info'!$C$2:$C$2715,'[2]Client Info'!$E$2:$E$2715,"",))</f>
        <v/>
      </c>
      <c r="AF592" s="55" t="str">
        <f>IF($AC592="","",_xlfn.XLOOKUP($AC592,'[2]Client Info'!$C$2:$C$2715,'[2]Client Info'!$F$2:$F$2715,"",0,1))</f>
        <v/>
      </c>
      <c r="AG592" s="55" t="str">
        <f>IF(ISBLANK(Table26[[#This Row],[customerSKU]]),"",_xlfn.XLOOKUP(Table26[[#This Row],[customerSKU]],Table27[customer_SKU],Table27[billto],"",0,1))</f>
        <v/>
      </c>
      <c r="AH592" s="62" t="str">
        <f>_xlfn.XLOOKUP(Table26[[#This Row],[customerSKU]],customerSKU!G:G,customerSKU!K:K,"NA",0,1)</f>
        <v>NA</v>
      </c>
      <c r="AI592" s="43" t="str">
        <f>_xlfn.XLOOKUP(Table26[[#This Row],[customerSKU]],customerSKU!G:G,customerSKU!O:O,"not found",0,1)</f>
        <v>not found</v>
      </c>
      <c r="AJ592" s="59" t="e">
        <f>Table26[[#This Row],[unitprice]]*Table26[[#This Row],[quantity_unit]]</f>
        <v>#VALUE!</v>
      </c>
      <c r="AK592" s="59" t="e" cm="1">
        <f t="array" ref="AK5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3" spans="1:37" ht="18" customHeight="1">
      <c r="A593" s="42">
        <v>1653</v>
      </c>
      <c r="B593" s="58" t="s">
        <v>3520</v>
      </c>
      <c r="C593" s="53" t="s">
        <v>203</v>
      </c>
      <c r="D593" s="51"/>
      <c r="E593" s="51"/>
      <c r="F59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3" s="46"/>
      <c r="H593" s="53"/>
      <c r="I593" s="53" t="s">
        <v>3862</v>
      </c>
      <c r="J593" s="53" t="str">
        <f>IF(Table26[[#This Row],[customerSKU]]="","",_xlfn.XLOOKUP(Table26[[#This Row],[customerSKU]],customerSKU!G:G,customerSKU!A:A,"",0,1))</f>
        <v/>
      </c>
      <c r="K593" s="48">
        <v>45604</v>
      </c>
      <c r="L593" s="49" t="str">
        <f>IF(Table26[[#This Row],[customerSKU]]="","",_xlfn.XLOOKUP(Table26[[#This Row],[customerSKU]],customerSKU!G:G,customerSKU!B:B,"",0,1))</f>
        <v/>
      </c>
      <c r="M593" s="53"/>
      <c r="N593" s="77" t="str">
        <f>Table26[[#This Row],[po_number]]&amp;"-"&amp;Table26[[#This Row],[po_line]]</f>
        <v>-6</v>
      </c>
      <c r="O593" s="77">
        <v>6</v>
      </c>
      <c r="P593" s="50"/>
      <c r="Q593" s="53" t="s">
        <v>3968</v>
      </c>
      <c r="R593" s="53" t="s">
        <v>569</v>
      </c>
      <c r="S593" s="53" t="str">
        <f>IF(Table26[[#This Row],[customerSKU]]="","",_xlfn.XLOOKUP(Table26[[#This Row],[customerSKU]],customerSKU!G:G,customerSKU!N:N,"NOT FOUND",0,1))</f>
        <v>NOT FOUND</v>
      </c>
      <c r="T593" s="20">
        <v>45569</v>
      </c>
      <c r="U593" s="52">
        <v>36</v>
      </c>
      <c r="V593" s="53" t="str">
        <f>IF(ISBLANK(Table26[[#This Row],[customerSKU]]),"",_xlfn.XLOOKUP(Table26[[#This Row],[customerSKU]],Table27[customer_SKU],Table27[case_size],"",0,1))</f>
        <v/>
      </c>
      <c r="W593" s="116" t="str">
        <f t="shared" si="24"/>
        <v/>
      </c>
      <c r="X593" s="53" t="str">
        <f t="shared" si="23"/>
        <v/>
      </c>
      <c r="Y593" s="53" t="str">
        <f>IF(Table26[[#This Row],[customerSKU]]="","",_xlfn.XLOOKUP(Table26[[#This Row],[customerSKU]],Table27[customer_SKU],Table27[product_GTIN],"",0,1))</f>
        <v/>
      </c>
      <c r="Z593" s="60">
        <v>7900412</v>
      </c>
      <c r="AA593" s="18" t="str" cm="1">
        <f t="array" ref="AA593">IF(P593="", "", _xlfn.XLOOKUP(P593,#REF!,#REF!,NA,0,-1))</f>
        <v/>
      </c>
      <c r="AB593" s="53"/>
      <c r="AC593" s="55" t="str">
        <f>IF(Table26[[#This Row],[customerSKU]]="","",_xlfn.XLOOKUP(Table26[[#This Row],[customerSKU]],customerSKU!G:G,customerSKU!C:C,"",0,1))</f>
        <v/>
      </c>
      <c r="AD593" s="55" t="str">
        <f>IF($AC593="","",_xlfn.XLOOKUP($AC593,'[2]Client Info'!$C$2:$C$2535,'[2]Client Info'!$D$2:$D$2535,"",0,1))</f>
        <v/>
      </c>
      <c r="AE593" s="55" t="str">
        <f>IF($AC593="","",_xlfn.XLOOKUP($AC593,'[2]Client Info'!$C$2:$C$2715,'[2]Client Info'!$E$2:$E$2715,"",))</f>
        <v/>
      </c>
      <c r="AF593" s="55" t="str">
        <f>IF($AC593="","",_xlfn.XLOOKUP($AC593,'[2]Client Info'!$C$2:$C$2715,'[2]Client Info'!$F$2:$F$2715,"",0,1))</f>
        <v/>
      </c>
      <c r="AG593" s="55" t="str">
        <f>IF(ISBLANK(Table26[[#This Row],[customerSKU]]),"",_xlfn.XLOOKUP(Table26[[#This Row],[customerSKU]],Table27[customer_SKU],Table27[billto],"",0,1))</f>
        <v/>
      </c>
      <c r="AH593" s="62" t="str">
        <f>_xlfn.XLOOKUP(Table26[[#This Row],[customerSKU]],customerSKU!G:G,customerSKU!K:K,"NA",0,1)</f>
        <v>NA</v>
      </c>
      <c r="AI593" s="43" t="str">
        <f>_xlfn.XLOOKUP(Table26[[#This Row],[customerSKU]],customerSKU!G:G,customerSKU!O:O,"not found",0,1)</f>
        <v>not found</v>
      </c>
      <c r="AJ593" s="59" t="e">
        <f>Table26[[#This Row],[unitprice]]*Table26[[#This Row],[quantity_unit]]</f>
        <v>#VALUE!</v>
      </c>
      <c r="AK593" s="59" t="e" cm="1">
        <f t="array" ref="AK5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4" spans="1:37" ht="18" customHeight="1">
      <c r="A594" s="42">
        <v>1654</v>
      </c>
      <c r="B594" s="58" t="s">
        <v>3520</v>
      </c>
      <c r="C594" s="53" t="s">
        <v>203</v>
      </c>
      <c r="D594" s="51"/>
      <c r="E594" s="51"/>
      <c r="F59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4" s="46"/>
      <c r="H594" s="53"/>
      <c r="I594" s="53" t="s">
        <v>3862</v>
      </c>
      <c r="J594" s="53" t="str">
        <f>IF(Table26[[#This Row],[customerSKU]]="","",_xlfn.XLOOKUP(Table26[[#This Row],[customerSKU]],customerSKU!G:G,customerSKU!A:A,"",0,1))</f>
        <v/>
      </c>
      <c r="K594" s="48">
        <v>45604</v>
      </c>
      <c r="L594" s="49" t="str">
        <f>IF(Table26[[#This Row],[customerSKU]]="","",_xlfn.XLOOKUP(Table26[[#This Row],[customerSKU]],customerSKU!G:G,customerSKU!B:B,"",0,1))</f>
        <v/>
      </c>
      <c r="M594" s="53"/>
      <c r="N594" s="77" t="str">
        <f>Table26[[#This Row],[po_number]]&amp;"-"&amp;Table26[[#This Row],[po_line]]</f>
        <v>-7</v>
      </c>
      <c r="O594" s="77">
        <v>7</v>
      </c>
      <c r="P594" s="50"/>
      <c r="Q594" s="53" t="s">
        <v>1734</v>
      </c>
      <c r="R594" s="53" t="s">
        <v>569</v>
      </c>
      <c r="S594" s="53" t="str">
        <f>IF(Table26[[#This Row],[customerSKU]]="","",_xlfn.XLOOKUP(Table26[[#This Row],[customerSKU]],customerSKU!G:G,customerSKU!N:N,"NOT FOUND",0,1))</f>
        <v>NOT FOUND</v>
      </c>
      <c r="T594" s="20">
        <v>45594</v>
      </c>
      <c r="U594" s="52">
        <v>36</v>
      </c>
      <c r="V594" s="53" t="str">
        <f>IF(ISBLANK(Table26[[#This Row],[customerSKU]]),"",_xlfn.XLOOKUP(Table26[[#This Row],[customerSKU]],Table27[customer_SKU],Table27[case_size],"",0,1))</f>
        <v/>
      </c>
      <c r="W594" s="116" t="str">
        <f t="shared" si="24"/>
        <v/>
      </c>
      <c r="X594" s="53" t="str">
        <f t="shared" si="23"/>
        <v/>
      </c>
      <c r="Y594" s="53" t="str">
        <f>IF(Table26[[#This Row],[customerSKU]]="","",_xlfn.XLOOKUP(Table26[[#This Row],[customerSKU]],Table27[customer_SKU],Table27[product_GTIN],"",0,1))</f>
        <v/>
      </c>
      <c r="Z594" s="60">
        <v>7900405</v>
      </c>
      <c r="AA594" s="18" t="str" cm="1">
        <f t="array" ref="AA594">IF(P594="", "", _xlfn.XLOOKUP(P594,#REF!,#REF!,NA,0,-1))</f>
        <v/>
      </c>
      <c r="AB594" s="53"/>
      <c r="AC594" s="55" t="str">
        <f>IF(Table26[[#This Row],[customerSKU]]="","",_xlfn.XLOOKUP(Table26[[#This Row],[customerSKU]],customerSKU!G:G,customerSKU!C:C,"",0,1))</f>
        <v/>
      </c>
      <c r="AD594" s="55" t="str">
        <f>IF($AC594="","",_xlfn.XLOOKUP($AC594,'[2]Client Info'!$C$2:$C$2535,'[2]Client Info'!$D$2:$D$2535,"",0,1))</f>
        <v/>
      </c>
      <c r="AE594" s="55" t="str">
        <f>IF($AC594="","",_xlfn.XLOOKUP($AC594,'[2]Client Info'!$C$2:$C$2715,'[2]Client Info'!$E$2:$E$2715,"",))</f>
        <v/>
      </c>
      <c r="AF594" s="55" t="str">
        <f>IF($AC594="","",_xlfn.XLOOKUP($AC594,'[2]Client Info'!$C$2:$C$2715,'[2]Client Info'!$F$2:$F$2715,"",0,1))</f>
        <v/>
      </c>
      <c r="AG594" s="55" t="str">
        <f>IF(ISBLANK(Table26[[#This Row],[customerSKU]]),"",_xlfn.XLOOKUP(Table26[[#This Row],[customerSKU]],Table27[customer_SKU],Table27[billto],"",0,1))</f>
        <v/>
      </c>
      <c r="AH594" s="62" t="str">
        <f>_xlfn.XLOOKUP(Table26[[#This Row],[customerSKU]],customerSKU!G:G,customerSKU!K:K,"NA",0,1)</f>
        <v>NA</v>
      </c>
      <c r="AI594" s="43" t="str">
        <f>_xlfn.XLOOKUP(Table26[[#This Row],[customerSKU]],customerSKU!G:G,customerSKU!O:O,"not found",0,1)</f>
        <v>not found</v>
      </c>
      <c r="AJ594" s="59" t="e">
        <f>Table26[[#This Row],[unitprice]]*Table26[[#This Row],[quantity_unit]]</f>
        <v>#VALUE!</v>
      </c>
      <c r="AK594" s="59" t="e" cm="1">
        <f t="array" ref="AK5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5" spans="1:37" ht="18" customHeight="1">
      <c r="A595" s="42">
        <v>1655</v>
      </c>
      <c r="B595" s="58" t="s">
        <v>3520</v>
      </c>
      <c r="C595" s="53" t="s">
        <v>203</v>
      </c>
      <c r="D595" s="51"/>
      <c r="E595" s="51"/>
      <c r="F59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5" s="46"/>
      <c r="H595" s="53"/>
      <c r="I595" s="53" t="s">
        <v>3862</v>
      </c>
      <c r="J595" s="53" t="str">
        <f>IF(Table26[[#This Row],[customerSKU]]="","",_xlfn.XLOOKUP(Table26[[#This Row],[customerSKU]],customerSKU!G:G,customerSKU!A:A,"",0,1))</f>
        <v/>
      </c>
      <c r="K595" s="48">
        <v>45604</v>
      </c>
      <c r="L595" s="49" t="str">
        <f>IF(Table26[[#This Row],[customerSKU]]="","",_xlfn.XLOOKUP(Table26[[#This Row],[customerSKU]],customerSKU!G:G,customerSKU!B:B,"",0,1))</f>
        <v/>
      </c>
      <c r="M595" s="53"/>
      <c r="N595" s="77" t="str">
        <f>Table26[[#This Row],[po_number]]&amp;"-"&amp;Table26[[#This Row],[po_line]]</f>
        <v>-8</v>
      </c>
      <c r="O595" s="77">
        <v>8</v>
      </c>
      <c r="P595" s="50"/>
      <c r="Q595" s="53" t="s">
        <v>1739</v>
      </c>
      <c r="R595" s="53" t="s">
        <v>569</v>
      </c>
      <c r="S595" s="53" t="str">
        <f>IF(Table26[[#This Row],[customerSKU]]="","",_xlfn.XLOOKUP(Table26[[#This Row],[customerSKU]],customerSKU!G:G,customerSKU!N:N,"NOT FOUND",0,1))</f>
        <v>NOT FOUND</v>
      </c>
      <c r="T595" s="20">
        <v>45575</v>
      </c>
      <c r="U595" s="52">
        <v>72</v>
      </c>
      <c r="V595" s="53" t="str">
        <f>IF(ISBLANK(Table26[[#This Row],[customerSKU]]),"",_xlfn.XLOOKUP(Table26[[#This Row],[customerSKU]],Table27[customer_SKU],Table27[case_size],"",0,1))</f>
        <v/>
      </c>
      <c r="W595" s="116" t="str">
        <f t="shared" si="24"/>
        <v/>
      </c>
      <c r="X595" s="53" t="str">
        <f t="shared" si="23"/>
        <v/>
      </c>
      <c r="Y595" s="53" t="str">
        <f>IF(Table26[[#This Row],[customerSKU]]="","",_xlfn.XLOOKUP(Table26[[#This Row],[customerSKU]],Table27[customer_SKU],Table27[product_GTIN],"",0,1))</f>
        <v/>
      </c>
      <c r="Z595" s="60">
        <v>7900386</v>
      </c>
      <c r="AA595" s="18" t="str" cm="1">
        <f t="array" ref="AA595">IF(P595="", "", _xlfn.XLOOKUP(P595,#REF!,#REF!,NA,0,-1))</f>
        <v/>
      </c>
      <c r="AB595" s="53"/>
      <c r="AC595" s="55" t="str">
        <f>IF(Table26[[#This Row],[customerSKU]]="","",_xlfn.XLOOKUP(Table26[[#This Row],[customerSKU]],customerSKU!G:G,customerSKU!C:C,"",0,1))</f>
        <v/>
      </c>
      <c r="AD595" s="55" t="str">
        <f>IF($AC595="","",_xlfn.XLOOKUP($AC595,'[2]Client Info'!$C$2:$C$2535,'[2]Client Info'!$D$2:$D$2535,"",0,1))</f>
        <v/>
      </c>
      <c r="AE595" s="55" t="str">
        <f>IF($AC595="","",_xlfn.XLOOKUP($AC595,'[2]Client Info'!$C$2:$C$2715,'[2]Client Info'!$E$2:$E$2715,"",))</f>
        <v/>
      </c>
      <c r="AF595" s="55" t="str">
        <f>IF($AC595="","",_xlfn.XLOOKUP($AC595,'[2]Client Info'!$C$2:$C$2715,'[2]Client Info'!$F$2:$F$2715,"",0,1))</f>
        <v/>
      </c>
      <c r="AG595" s="55" t="str">
        <f>IF(ISBLANK(Table26[[#This Row],[customerSKU]]),"",_xlfn.XLOOKUP(Table26[[#This Row],[customerSKU]],Table27[customer_SKU],Table27[billto],"",0,1))</f>
        <v/>
      </c>
      <c r="AH595" s="62" t="str">
        <f>_xlfn.XLOOKUP(Table26[[#This Row],[customerSKU]],customerSKU!G:G,customerSKU!K:K,"NA",0,1)</f>
        <v>NA</v>
      </c>
      <c r="AI595" s="43" t="str">
        <f>_xlfn.XLOOKUP(Table26[[#This Row],[customerSKU]],customerSKU!G:G,customerSKU!O:O,"not found",0,1)</f>
        <v>not found</v>
      </c>
      <c r="AJ595" s="59" t="e">
        <f>Table26[[#This Row],[unitprice]]*Table26[[#This Row],[quantity_unit]]</f>
        <v>#VALUE!</v>
      </c>
      <c r="AK595" s="59" t="e" cm="1">
        <f t="array" ref="AK5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6" spans="1:37" ht="18" customHeight="1">
      <c r="A596" s="42">
        <v>1656</v>
      </c>
      <c r="B596" s="58" t="s">
        <v>3520</v>
      </c>
      <c r="C596" s="53" t="s">
        <v>203</v>
      </c>
      <c r="D596" s="51"/>
      <c r="E596" s="51"/>
      <c r="F59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6" s="46"/>
      <c r="H596" s="53"/>
      <c r="I596" s="53" t="s">
        <v>3862</v>
      </c>
      <c r="J596" s="53" t="str">
        <f>IF(Table26[[#This Row],[customerSKU]]="","",_xlfn.XLOOKUP(Table26[[#This Row],[customerSKU]],customerSKU!G:G,customerSKU!A:A,"",0,1))</f>
        <v/>
      </c>
      <c r="K596" s="48">
        <v>45604</v>
      </c>
      <c r="L596" s="49" t="str">
        <f>IF(Table26[[#This Row],[customerSKU]]="","",_xlfn.XLOOKUP(Table26[[#This Row],[customerSKU]],customerSKU!G:G,customerSKU!B:B,"",0,1))</f>
        <v/>
      </c>
      <c r="M596" s="53"/>
      <c r="N596" s="77" t="str">
        <f>Table26[[#This Row],[po_number]]&amp;"-"&amp;Table26[[#This Row],[po_line]]</f>
        <v>-9</v>
      </c>
      <c r="O596" s="77">
        <v>9</v>
      </c>
      <c r="P596" s="50"/>
      <c r="Q596" s="53" t="s">
        <v>866</v>
      </c>
      <c r="R596" s="53" t="s">
        <v>569</v>
      </c>
      <c r="S596" s="53" t="str">
        <f>IF(Table26[[#This Row],[customerSKU]]="","",_xlfn.XLOOKUP(Table26[[#This Row],[customerSKU]],customerSKU!G:G,customerSKU!N:N,"NOT FOUND",0,1))</f>
        <v>NOT FOUND</v>
      </c>
      <c r="T596" s="20">
        <v>45567</v>
      </c>
      <c r="U596" s="52">
        <v>72</v>
      </c>
      <c r="V596" s="53" t="str">
        <f>IF(ISBLANK(Table26[[#This Row],[customerSKU]]),"",_xlfn.XLOOKUP(Table26[[#This Row],[customerSKU]],Table27[customer_SKU],Table27[case_size],"",0,1))</f>
        <v/>
      </c>
      <c r="W596" s="116" t="str">
        <f t="shared" si="24"/>
        <v/>
      </c>
      <c r="X596" s="53" t="str">
        <f t="shared" si="23"/>
        <v/>
      </c>
      <c r="Y596" s="53" t="str">
        <f>IF(Table26[[#This Row],[customerSKU]]="","",_xlfn.XLOOKUP(Table26[[#This Row],[customerSKU]],Table27[customer_SKU],Table27[product_GTIN],"",0,1))</f>
        <v/>
      </c>
      <c r="Z596" s="60">
        <v>7900384</v>
      </c>
      <c r="AA596" s="18" t="str" cm="1">
        <f t="array" ref="AA596">IF(P596="", "", _xlfn.XLOOKUP(P596,#REF!,#REF!,NA,0,-1))</f>
        <v/>
      </c>
      <c r="AB596" s="53"/>
      <c r="AC596" s="55" t="str">
        <f>IF(Table26[[#This Row],[customerSKU]]="","",_xlfn.XLOOKUP(Table26[[#This Row],[customerSKU]],customerSKU!G:G,customerSKU!C:C,"",0,1))</f>
        <v/>
      </c>
      <c r="AD596" s="55" t="str">
        <f>IF($AC596="","",_xlfn.XLOOKUP($AC596,'[2]Client Info'!$C$2:$C$2535,'[2]Client Info'!$D$2:$D$2535,"",0,1))</f>
        <v/>
      </c>
      <c r="AE596" s="55" t="str">
        <f>IF($AC596="","",_xlfn.XLOOKUP($AC596,'[2]Client Info'!$C$2:$C$2715,'[2]Client Info'!$E$2:$E$2715,"",))</f>
        <v/>
      </c>
      <c r="AF596" s="55" t="str">
        <f>IF($AC596="","",_xlfn.XLOOKUP($AC596,'[2]Client Info'!$C$2:$C$2715,'[2]Client Info'!$F$2:$F$2715,"",0,1))</f>
        <v/>
      </c>
      <c r="AG596" s="55" t="str">
        <f>IF(ISBLANK(Table26[[#This Row],[customerSKU]]),"",_xlfn.XLOOKUP(Table26[[#This Row],[customerSKU]],Table27[customer_SKU],Table27[billto],"",0,1))</f>
        <v/>
      </c>
      <c r="AH596" s="62" t="str">
        <f>_xlfn.XLOOKUP(Table26[[#This Row],[customerSKU]],customerSKU!G:G,customerSKU!K:K,"NA",0,1)</f>
        <v>NA</v>
      </c>
      <c r="AI596" s="43" t="str">
        <f>_xlfn.XLOOKUP(Table26[[#This Row],[customerSKU]],customerSKU!G:G,customerSKU!O:O,"not found",0,1)</f>
        <v>not found</v>
      </c>
      <c r="AJ596" s="59" t="e">
        <f>Table26[[#This Row],[unitprice]]*Table26[[#This Row],[quantity_unit]]</f>
        <v>#VALUE!</v>
      </c>
      <c r="AK596" s="59" t="e" cm="1">
        <f t="array" ref="AK5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7" spans="1:37" ht="18" customHeight="1">
      <c r="A597" s="42">
        <v>1657</v>
      </c>
      <c r="B597" s="58" t="s">
        <v>3520</v>
      </c>
      <c r="C597" s="53" t="s">
        <v>203</v>
      </c>
      <c r="D597" s="51"/>
      <c r="E597" s="51"/>
      <c r="F59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7" s="46"/>
      <c r="H597" s="53"/>
      <c r="I597" s="53" t="s">
        <v>3862</v>
      </c>
      <c r="J597" s="53" t="str">
        <f>IF(Table26[[#This Row],[customerSKU]]="","",_xlfn.XLOOKUP(Table26[[#This Row],[customerSKU]],customerSKU!G:G,customerSKU!A:A,"",0,1))</f>
        <v/>
      </c>
      <c r="K597" s="48">
        <v>45604</v>
      </c>
      <c r="L597" s="49" t="str">
        <f>IF(Table26[[#This Row],[customerSKU]]="","",_xlfn.XLOOKUP(Table26[[#This Row],[customerSKU]],customerSKU!G:G,customerSKU!B:B,"",0,1))</f>
        <v/>
      </c>
      <c r="M597" s="53"/>
      <c r="N597" s="77" t="str">
        <f>Table26[[#This Row],[po_number]]&amp;"-"&amp;Table26[[#This Row],[po_line]]</f>
        <v>-10</v>
      </c>
      <c r="O597" s="77">
        <v>10</v>
      </c>
      <c r="P597" s="50"/>
      <c r="Q597" s="53" t="s">
        <v>630</v>
      </c>
      <c r="R597" s="53" t="s">
        <v>569</v>
      </c>
      <c r="S597" s="53" t="str">
        <f>IF(Table26[[#This Row],[customerSKU]]="","",_xlfn.XLOOKUP(Table26[[#This Row],[customerSKU]],customerSKU!G:G,customerSKU!N:N,"NOT FOUND",0,1))</f>
        <v>NOT FOUND</v>
      </c>
      <c r="T597" s="20">
        <v>45581</v>
      </c>
      <c r="U597" s="52">
        <v>72</v>
      </c>
      <c r="V597" s="53" t="str">
        <f>IF(ISBLANK(Table26[[#This Row],[customerSKU]]),"",_xlfn.XLOOKUP(Table26[[#This Row],[customerSKU]],Table27[customer_SKU],Table27[case_size],"",0,1))</f>
        <v/>
      </c>
      <c r="W597" s="116" t="str">
        <f t="shared" si="24"/>
        <v/>
      </c>
      <c r="X597" s="53" t="str">
        <f t="shared" si="23"/>
        <v/>
      </c>
      <c r="Y597" s="53" t="str">
        <f>IF(Table26[[#This Row],[customerSKU]]="","",_xlfn.XLOOKUP(Table26[[#This Row],[customerSKU]],Table27[customer_SKU],Table27[product_GTIN],"",0,1))</f>
        <v/>
      </c>
      <c r="Z597" s="60">
        <v>7900417</v>
      </c>
      <c r="AA597" s="18" t="str" cm="1">
        <f t="array" ref="AA597">IF(P597="", "", _xlfn.XLOOKUP(P597,#REF!,#REF!,NA,0,-1))</f>
        <v/>
      </c>
      <c r="AB597" s="53"/>
      <c r="AC597" s="55" t="str">
        <f>IF(Table26[[#This Row],[customerSKU]]="","",_xlfn.XLOOKUP(Table26[[#This Row],[customerSKU]],customerSKU!G:G,customerSKU!C:C,"",0,1))</f>
        <v/>
      </c>
      <c r="AD597" s="55" t="str">
        <f>IF($AC597="","",_xlfn.XLOOKUP($AC597,'[2]Client Info'!$C$2:$C$2535,'[2]Client Info'!$D$2:$D$2535,"",0,1))</f>
        <v/>
      </c>
      <c r="AE597" s="55" t="str">
        <f>IF($AC597="","",_xlfn.XLOOKUP($AC597,'[2]Client Info'!$C$2:$C$2715,'[2]Client Info'!$E$2:$E$2715,"",))</f>
        <v/>
      </c>
      <c r="AF597" s="55" t="str">
        <f>IF($AC597="","",_xlfn.XLOOKUP($AC597,'[2]Client Info'!$C$2:$C$2715,'[2]Client Info'!$F$2:$F$2715,"",0,1))</f>
        <v/>
      </c>
      <c r="AG597" s="55" t="str">
        <f>IF(ISBLANK(Table26[[#This Row],[customerSKU]]),"",_xlfn.XLOOKUP(Table26[[#This Row],[customerSKU]],Table27[customer_SKU],Table27[billto],"",0,1))</f>
        <v/>
      </c>
      <c r="AH597" s="62" t="str">
        <f>_xlfn.XLOOKUP(Table26[[#This Row],[customerSKU]],customerSKU!G:G,customerSKU!K:K,"NA",0,1)</f>
        <v>NA</v>
      </c>
      <c r="AI597" s="43" t="str">
        <f>_xlfn.XLOOKUP(Table26[[#This Row],[customerSKU]],customerSKU!G:G,customerSKU!O:O,"not found",0,1)</f>
        <v>not found</v>
      </c>
      <c r="AJ597" s="59" t="e">
        <f>Table26[[#This Row],[unitprice]]*Table26[[#This Row],[quantity_unit]]</f>
        <v>#VALUE!</v>
      </c>
      <c r="AK597" s="59" t="e" cm="1">
        <f t="array" ref="AK5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8" spans="1:37" ht="18" customHeight="1">
      <c r="A598" s="42">
        <v>1658</v>
      </c>
      <c r="B598" s="58" t="s">
        <v>3520</v>
      </c>
      <c r="C598" s="53" t="s">
        <v>203</v>
      </c>
      <c r="D598" s="51"/>
      <c r="E598" s="51"/>
      <c r="F59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8" s="46"/>
      <c r="H598" s="53"/>
      <c r="I598" s="53" t="s">
        <v>3862</v>
      </c>
      <c r="J598" s="53" t="str">
        <f>IF(Table26[[#This Row],[customerSKU]]="","",_xlfn.XLOOKUP(Table26[[#This Row],[customerSKU]],customerSKU!G:G,customerSKU!A:A,"",0,1))</f>
        <v/>
      </c>
      <c r="K598" s="48">
        <v>45604</v>
      </c>
      <c r="L598" s="49" t="str">
        <f>IF(Table26[[#This Row],[customerSKU]]="","",_xlfn.XLOOKUP(Table26[[#This Row],[customerSKU]],customerSKU!G:G,customerSKU!B:B,"",0,1))</f>
        <v/>
      </c>
      <c r="M598" s="53"/>
      <c r="N598" s="77" t="str">
        <f>Table26[[#This Row],[po_number]]&amp;"-"&amp;Table26[[#This Row],[po_line]]</f>
        <v>-11</v>
      </c>
      <c r="O598" s="77">
        <v>11</v>
      </c>
      <c r="P598" s="50"/>
      <c r="Q598" s="53" t="s">
        <v>1376</v>
      </c>
      <c r="R598" s="53" t="s">
        <v>569</v>
      </c>
      <c r="S598" s="53" t="str">
        <f>IF(Table26[[#This Row],[customerSKU]]="","",_xlfn.XLOOKUP(Table26[[#This Row],[customerSKU]],customerSKU!G:G,customerSKU!N:N,"NOT FOUND",0,1))</f>
        <v>NOT FOUND</v>
      </c>
      <c r="T598" s="20">
        <v>45588</v>
      </c>
      <c r="U598" s="52">
        <v>48</v>
      </c>
      <c r="V598" s="53" t="str">
        <f>IF(ISBLANK(Table26[[#This Row],[customerSKU]]),"",_xlfn.XLOOKUP(Table26[[#This Row],[customerSKU]],Table27[customer_SKU],Table27[case_size],"",0,1))</f>
        <v/>
      </c>
      <c r="W598" s="116" t="str">
        <f t="shared" si="24"/>
        <v/>
      </c>
      <c r="X598" s="53" t="str">
        <f t="shared" si="23"/>
        <v/>
      </c>
      <c r="Y598" s="53" t="str">
        <f>IF(Table26[[#This Row],[customerSKU]]="","",_xlfn.XLOOKUP(Table26[[#This Row],[customerSKU]],Table27[customer_SKU],Table27[product_GTIN],"",0,1))</f>
        <v/>
      </c>
      <c r="Z598" s="60">
        <v>7900375</v>
      </c>
      <c r="AA598" s="18" t="str" cm="1">
        <f t="array" ref="AA598">IF(P598="", "", _xlfn.XLOOKUP(P598,#REF!,#REF!,NA,0,-1))</f>
        <v/>
      </c>
      <c r="AB598" s="53"/>
      <c r="AC598" s="55" t="str">
        <f>IF(Table26[[#This Row],[customerSKU]]="","",_xlfn.XLOOKUP(Table26[[#This Row],[customerSKU]],customerSKU!G:G,customerSKU!C:C,"",0,1))</f>
        <v/>
      </c>
      <c r="AD598" s="55" t="str">
        <f>IF($AC598="","",_xlfn.XLOOKUP($AC598,'[2]Client Info'!$C$2:$C$2535,'[2]Client Info'!$D$2:$D$2535,"",0,1))</f>
        <v/>
      </c>
      <c r="AE598" s="55" t="str">
        <f>IF($AC598="","",_xlfn.XLOOKUP($AC598,'[2]Client Info'!$C$2:$C$2715,'[2]Client Info'!$E$2:$E$2715,"",))</f>
        <v/>
      </c>
      <c r="AF598" s="55" t="str">
        <f>IF($AC598="","",_xlfn.XLOOKUP($AC598,'[2]Client Info'!$C$2:$C$2715,'[2]Client Info'!$F$2:$F$2715,"",0,1))</f>
        <v/>
      </c>
      <c r="AG598" s="55" t="str">
        <f>IF(ISBLANK(Table26[[#This Row],[customerSKU]]),"",_xlfn.XLOOKUP(Table26[[#This Row],[customerSKU]],Table27[customer_SKU],Table27[billto],"",0,1))</f>
        <v/>
      </c>
      <c r="AH598" s="62" t="str">
        <f>_xlfn.XLOOKUP(Table26[[#This Row],[customerSKU]],customerSKU!G:G,customerSKU!K:K,"NA",0,1)</f>
        <v>NA</v>
      </c>
      <c r="AI598" s="43" t="str">
        <f>_xlfn.XLOOKUP(Table26[[#This Row],[customerSKU]],customerSKU!G:G,customerSKU!O:O,"not found",0,1)</f>
        <v>not found</v>
      </c>
      <c r="AJ598" s="59" t="e">
        <f>Table26[[#This Row],[unitprice]]*Table26[[#This Row],[quantity_unit]]</f>
        <v>#VALUE!</v>
      </c>
      <c r="AK598" s="59" t="e" cm="1">
        <f t="array" ref="AK5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599" spans="1:37" ht="18" customHeight="1">
      <c r="A599" s="42">
        <v>1659</v>
      </c>
      <c r="B599" s="58" t="s">
        <v>3520</v>
      </c>
      <c r="C599" s="53" t="s">
        <v>203</v>
      </c>
      <c r="D599" s="51"/>
      <c r="E599" s="51"/>
      <c r="F59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599" s="46"/>
      <c r="H599" s="53"/>
      <c r="I599" s="53" t="s">
        <v>3862</v>
      </c>
      <c r="J599" s="53" t="str">
        <f>IF(Table26[[#This Row],[customerSKU]]="","",_xlfn.XLOOKUP(Table26[[#This Row],[customerSKU]],customerSKU!G:G,customerSKU!A:A,"",0,1))</f>
        <v/>
      </c>
      <c r="K599" s="48">
        <v>45604</v>
      </c>
      <c r="L599" s="49" t="str">
        <f>IF(Table26[[#This Row],[customerSKU]]="","",_xlfn.XLOOKUP(Table26[[#This Row],[customerSKU]],customerSKU!G:G,customerSKU!B:B,"",0,1))</f>
        <v/>
      </c>
      <c r="M599" s="53"/>
      <c r="N599" s="77" t="str">
        <f>Table26[[#This Row],[po_number]]&amp;"-"&amp;Table26[[#This Row],[po_line]]</f>
        <v>-12</v>
      </c>
      <c r="O599" s="77">
        <v>12</v>
      </c>
      <c r="P599" s="50"/>
      <c r="Q599" s="53" t="s">
        <v>3461</v>
      </c>
      <c r="R599" s="53" t="s">
        <v>569</v>
      </c>
      <c r="S599" s="53" t="str">
        <f>IF(Table26[[#This Row],[customerSKU]]="","",_xlfn.XLOOKUP(Table26[[#This Row],[customerSKU]],customerSKU!G:G,customerSKU!N:N,"NOT FOUND",0,1))</f>
        <v>NOT FOUND</v>
      </c>
      <c r="T599" s="20">
        <v>45588</v>
      </c>
      <c r="U599" s="52">
        <v>48</v>
      </c>
      <c r="V599" s="53" t="str">
        <f>IF(ISBLANK(Table26[[#This Row],[customerSKU]]),"",_xlfn.XLOOKUP(Table26[[#This Row],[customerSKU]],Table27[customer_SKU],Table27[case_size],"",0,1))</f>
        <v/>
      </c>
      <c r="W599" s="116" t="str">
        <f t="shared" si="24"/>
        <v/>
      </c>
      <c r="X599" s="53" t="str">
        <f t="shared" si="23"/>
        <v/>
      </c>
      <c r="Y599" s="53" t="str">
        <f>IF(Table26[[#This Row],[customerSKU]]="","",_xlfn.XLOOKUP(Table26[[#This Row],[customerSKU]],Table27[customer_SKU],Table27[product_GTIN],"",0,1))</f>
        <v/>
      </c>
      <c r="Z599" s="60">
        <v>7900356</v>
      </c>
      <c r="AA599" s="18" t="str" cm="1">
        <f t="array" ref="AA599">IF(P599="", "", _xlfn.XLOOKUP(P599,#REF!,#REF!,NA,0,-1))</f>
        <v/>
      </c>
      <c r="AB599" s="53" t="s">
        <v>569</v>
      </c>
      <c r="AC599" s="55" t="str">
        <f>IF(Table26[[#This Row],[customerSKU]]="","",_xlfn.XLOOKUP(Table26[[#This Row],[customerSKU]],customerSKU!G:G,customerSKU!C:C,"",0,1))</f>
        <v/>
      </c>
      <c r="AD599" s="55" t="str">
        <f>IF($AC599="","",_xlfn.XLOOKUP($AC599,'[2]Client Info'!$C$2:$C$2535,'[2]Client Info'!$D$2:$D$2535,"",0,1))</f>
        <v/>
      </c>
      <c r="AE599" s="55" t="str">
        <f>IF($AC599="","",_xlfn.XLOOKUP($AC599,'[2]Client Info'!$C$2:$C$2715,'[2]Client Info'!$E$2:$E$2715,"",))</f>
        <v/>
      </c>
      <c r="AF599" s="55" t="str">
        <f>IF($AC599="","",_xlfn.XLOOKUP($AC599,'[2]Client Info'!$C$2:$C$2715,'[2]Client Info'!$F$2:$F$2715,"",0,1))</f>
        <v/>
      </c>
      <c r="AG599" s="55" t="str">
        <f>IF(ISBLANK(Table26[[#This Row],[customerSKU]]),"",_xlfn.XLOOKUP(Table26[[#This Row],[customerSKU]],Table27[customer_SKU],Table27[billto],"",0,1))</f>
        <v/>
      </c>
      <c r="AH599" s="62" t="str">
        <f>_xlfn.XLOOKUP(Table26[[#This Row],[customerSKU]],customerSKU!G:G,customerSKU!K:K,"NA",0,1)</f>
        <v>NA</v>
      </c>
      <c r="AI599" s="43" t="str">
        <f>_xlfn.XLOOKUP(Table26[[#This Row],[customerSKU]],customerSKU!G:G,customerSKU!O:O,"not found",0,1)</f>
        <v>not found</v>
      </c>
      <c r="AJ599" s="59" t="e">
        <f>Table26[[#This Row],[unitprice]]*Table26[[#This Row],[quantity_unit]]</f>
        <v>#VALUE!</v>
      </c>
      <c r="AK599" s="59" t="e" cm="1">
        <f t="array" ref="AK5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0" spans="1:37" ht="18" customHeight="1">
      <c r="A600" s="42">
        <v>1660</v>
      </c>
      <c r="B600" s="58" t="s">
        <v>3520</v>
      </c>
      <c r="C600" s="53" t="s">
        <v>203</v>
      </c>
      <c r="D600" s="51"/>
      <c r="E600" s="51"/>
      <c r="F60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0" s="46"/>
      <c r="H600" s="53"/>
      <c r="I600" s="53" t="s">
        <v>3862</v>
      </c>
      <c r="J600" s="53" t="str">
        <f>IF(Table26[[#This Row],[customerSKU]]="","",_xlfn.XLOOKUP(Table26[[#This Row],[customerSKU]],customerSKU!G:G,customerSKU!A:A,"",0,1))</f>
        <v/>
      </c>
      <c r="K600" s="48">
        <v>45604</v>
      </c>
      <c r="L600" s="49" t="str">
        <f>IF(Table26[[#This Row],[customerSKU]]="","",_xlfn.XLOOKUP(Table26[[#This Row],[customerSKU]],customerSKU!G:G,customerSKU!B:B,"",0,1))</f>
        <v/>
      </c>
      <c r="M600" s="53"/>
      <c r="N600" s="77" t="str">
        <f>Table26[[#This Row],[po_number]]&amp;"-"&amp;Table26[[#This Row],[po_line]]</f>
        <v>-13</v>
      </c>
      <c r="O600" s="77">
        <v>13</v>
      </c>
      <c r="P600" s="50"/>
      <c r="Q600" s="53" t="s">
        <v>3969</v>
      </c>
      <c r="R600" s="53" t="s">
        <v>569</v>
      </c>
      <c r="S600" s="53" t="str">
        <f>IF(Table26[[#This Row],[customerSKU]]="","",_xlfn.XLOOKUP(Table26[[#This Row],[customerSKU]],customerSKU!G:G,customerSKU!N:N,"NOT FOUND",0,1))</f>
        <v>NOT FOUND</v>
      </c>
      <c r="T600" s="20">
        <v>45575</v>
      </c>
      <c r="U600" s="52">
        <v>72</v>
      </c>
      <c r="V600" s="53" t="str">
        <f>IF(ISBLANK(Table26[[#This Row],[customerSKU]]),"",_xlfn.XLOOKUP(Table26[[#This Row],[customerSKU]],Table27[customer_SKU],Table27[case_size],"",0,1))</f>
        <v/>
      </c>
      <c r="W600" s="116" t="str">
        <f t="shared" si="24"/>
        <v/>
      </c>
      <c r="X600" s="53" t="str">
        <f t="shared" ref="X600:X631" si="25">IFERROR($AA600*$U600, "")</f>
        <v/>
      </c>
      <c r="Y600" s="53" t="str">
        <f>IF(Table26[[#This Row],[customerSKU]]="","",_xlfn.XLOOKUP(Table26[[#This Row],[customerSKU]],Table27[customer_SKU],Table27[product_GTIN],"",0,1))</f>
        <v/>
      </c>
      <c r="Z600" s="60" t="s">
        <v>3970</v>
      </c>
      <c r="AA600" s="18" t="str" cm="1">
        <f t="array" ref="AA600">IF(P600="", "", _xlfn.XLOOKUP(P600,#REF!,#REF!,NA,0,-1))</f>
        <v/>
      </c>
      <c r="AB600" s="53"/>
      <c r="AC600" s="55" t="str">
        <f>IF(Table26[[#This Row],[customerSKU]]="","",_xlfn.XLOOKUP(Table26[[#This Row],[customerSKU]],customerSKU!G:G,customerSKU!C:C,"",0,1))</f>
        <v/>
      </c>
      <c r="AD600" s="55" t="str">
        <f>IF($AC600="","",_xlfn.XLOOKUP($AC600,'[2]Client Info'!$C$2:$C$2535,'[2]Client Info'!$D$2:$D$2535,"",0,1))</f>
        <v/>
      </c>
      <c r="AE600" s="55" t="str">
        <f>IF($AC600="","",_xlfn.XLOOKUP($AC600,'[2]Client Info'!$C$2:$C$2715,'[2]Client Info'!$E$2:$E$2715,"",))</f>
        <v/>
      </c>
      <c r="AF600" s="55" t="str">
        <f>IF($AC600="","",_xlfn.XLOOKUP($AC600,'[2]Client Info'!$C$2:$C$2715,'[2]Client Info'!$F$2:$F$2715,"",0,1))</f>
        <v/>
      </c>
      <c r="AG600" s="55" t="str">
        <f>IF(ISBLANK(Table26[[#This Row],[customerSKU]]),"",_xlfn.XLOOKUP(Table26[[#This Row],[customerSKU]],Table27[customer_SKU],Table27[billto],"",0,1))</f>
        <v/>
      </c>
      <c r="AH600" s="62" t="str">
        <f>_xlfn.XLOOKUP(Table26[[#This Row],[customerSKU]],customerSKU!G:G,customerSKU!K:K,"NA",0,1)</f>
        <v>NA</v>
      </c>
      <c r="AI600" s="43" t="str">
        <f>_xlfn.XLOOKUP(Table26[[#This Row],[customerSKU]],customerSKU!G:G,customerSKU!O:O,"not found",0,1)</f>
        <v>not found</v>
      </c>
      <c r="AJ600" s="59" t="e">
        <f>Table26[[#This Row],[unitprice]]*Table26[[#This Row],[quantity_unit]]</f>
        <v>#VALUE!</v>
      </c>
      <c r="AK600" s="59" t="e" cm="1">
        <f t="array" ref="AK6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1" spans="1:37" ht="18" customHeight="1">
      <c r="A601" s="42">
        <v>1661</v>
      </c>
      <c r="B601" s="58" t="s">
        <v>3520</v>
      </c>
      <c r="C601" s="53" t="s">
        <v>203</v>
      </c>
      <c r="D601" s="51"/>
      <c r="E601" s="51"/>
      <c r="F60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1" s="46"/>
      <c r="H601" s="53"/>
      <c r="I601" s="53" t="s">
        <v>3862</v>
      </c>
      <c r="J601" s="53" t="str">
        <f>IF(Table26[[#This Row],[customerSKU]]="","",_xlfn.XLOOKUP(Table26[[#This Row],[customerSKU]],customerSKU!G:G,customerSKU!A:A,"",0,1))</f>
        <v/>
      </c>
      <c r="K601" s="48">
        <v>45604</v>
      </c>
      <c r="L601" s="49" t="str">
        <f>IF(Table26[[#This Row],[customerSKU]]="","",_xlfn.XLOOKUP(Table26[[#This Row],[customerSKU]],customerSKU!G:G,customerSKU!B:B,"",0,1))</f>
        <v/>
      </c>
      <c r="M601" s="53"/>
      <c r="N601" s="77" t="str">
        <f>Table26[[#This Row],[po_number]]&amp;"-"&amp;Table26[[#This Row],[po_line]]</f>
        <v>-14</v>
      </c>
      <c r="O601" s="77">
        <v>14</v>
      </c>
      <c r="P601" s="50"/>
      <c r="Q601" s="53" t="s">
        <v>3812</v>
      </c>
      <c r="R601" s="53" t="s">
        <v>569</v>
      </c>
      <c r="S601" s="53" t="str">
        <f>IF(Table26[[#This Row],[customerSKU]]="","",_xlfn.XLOOKUP(Table26[[#This Row],[customerSKU]],customerSKU!G:G,customerSKU!N:N,"NOT FOUND",0,1))</f>
        <v>NOT FOUND</v>
      </c>
      <c r="T601" s="20">
        <v>45588</v>
      </c>
      <c r="U601" s="52">
        <v>72</v>
      </c>
      <c r="V601" s="53" t="str">
        <f>IF(ISBLANK(Table26[[#This Row],[customerSKU]]),"",_xlfn.XLOOKUP(Table26[[#This Row],[customerSKU]],Table27[customer_SKU],Table27[case_size],"",0,1))</f>
        <v/>
      </c>
      <c r="W601" s="116" t="str">
        <f t="shared" si="24"/>
        <v/>
      </c>
      <c r="X601" s="53" t="str">
        <f t="shared" si="25"/>
        <v/>
      </c>
      <c r="Y601" s="53" t="str">
        <f>IF(Table26[[#This Row],[customerSKU]]="","",_xlfn.XLOOKUP(Table26[[#This Row],[customerSKU]],Table27[customer_SKU],Table27[product_GTIN],"",0,1))</f>
        <v/>
      </c>
      <c r="Z601" s="60">
        <v>7900357</v>
      </c>
      <c r="AA601" s="18" t="str" cm="1">
        <f t="array" ref="AA601">IF(P601="", "", _xlfn.XLOOKUP(P601,#REF!,#REF!,NA,0,-1))</f>
        <v/>
      </c>
      <c r="AB601" s="53"/>
      <c r="AC601" s="55" t="str">
        <f>IF(Table26[[#This Row],[customerSKU]]="","",_xlfn.XLOOKUP(Table26[[#This Row],[customerSKU]],customerSKU!G:G,customerSKU!C:C,"",0,1))</f>
        <v/>
      </c>
      <c r="AD601" s="55" t="str">
        <f>IF($AC601="","",_xlfn.XLOOKUP($AC601,'[2]Client Info'!$C$2:$C$2535,'[2]Client Info'!$D$2:$D$2535,"",0,1))</f>
        <v/>
      </c>
      <c r="AE601" s="55" t="str">
        <f>IF($AC601="","",_xlfn.XLOOKUP($AC601,'[2]Client Info'!$C$2:$C$2715,'[2]Client Info'!$E$2:$E$2715,"",))</f>
        <v/>
      </c>
      <c r="AF601" s="55" t="str">
        <f>IF($AC601="","",_xlfn.XLOOKUP($AC601,'[2]Client Info'!$C$2:$C$2715,'[2]Client Info'!$F$2:$F$2715,"",0,1))</f>
        <v/>
      </c>
      <c r="AG601" s="55" t="str">
        <f>IF(ISBLANK(Table26[[#This Row],[customerSKU]]),"",_xlfn.XLOOKUP(Table26[[#This Row],[customerSKU]],Table27[customer_SKU],Table27[billto],"",0,1))</f>
        <v/>
      </c>
      <c r="AH601" s="62" t="str">
        <f>_xlfn.XLOOKUP(Table26[[#This Row],[customerSKU]],customerSKU!G:G,customerSKU!K:K,"NA",0,1)</f>
        <v>NA</v>
      </c>
      <c r="AI601" s="43" t="str">
        <f>_xlfn.XLOOKUP(Table26[[#This Row],[customerSKU]],customerSKU!G:G,customerSKU!O:O,"not found",0,1)</f>
        <v>not found</v>
      </c>
      <c r="AJ601" s="53" t="e">
        <f>Table26[[#This Row],[unitprice]]*Table26[[#This Row],[quantity_unit]]</f>
        <v>#VALUE!</v>
      </c>
      <c r="AK601" s="53" t="e" cm="1">
        <f t="array" ref="AK6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2" spans="1:37" ht="18" customHeight="1">
      <c r="A602" s="42">
        <v>1647</v>
      </c>
      <c r="B602" s="58" t="s">
        <v>3520</v>
      </c>
      <c r="C602" s="53" t="s">
        <v>203</v>
      </c>
      <c r="D602" s="51"/>
      <c r="E602" s="51"/>
      <c r="F60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2" s="46"/>
      <c r="H602" s="53"/>
      <c r="I602" s="53" t="s">
        <v>3775</v>
      </c>
      <c r="J602" s="53" t="s">
        <v>3797</v>
      </c>
      <c r="K602" s="48">
        <v>45609</v>
      </c>
      <c r="L602" s="49" t="s">
        <v>3417</v>
      </c>
      <c r="M602" s="53"/>
      <c r="N602" s="77" t="str">
        <f>Table26[[#This Row],[po_number]]&amp;"-"&amp;Table26[[#This Row],[po_line]]</f>
        <v>-1</v>
      </c>
      <c r="O602" s="77">
        <v>1</v>
      </c>
      <c r="P602" s="50"/>
      <c r="Q602" s="53" t="s">
        <v>535</v>
      </c>
      <c r="R602" s="53" t="s">
        <v>3559</v>
      </c>
      <c r="S602" s="53" t="s">
        <v>3344</v>
      </c>
      <c r="T602" s="51">
        <v>45588</v>
      </c>
      <c r="U602" s="52">
        <v>19</v>
      </c>
      <c r="V602" s="53">
        <v>30</v>
      </c>
      <c r="W602" s="116">
        <f t="shared" si="24"/>
        <v>0.6333333333333333</v>
      </c>
      <c r="X602" s="53" t="str">
        <f t="shared" si="25"/>
        <v/>
      </c>
      <c r="Y602" s="53" t="str">
        <f>IF(Table26[[#This Row],[customerSKU]]="","",_xlfn.XLOOKUP(Table26[[#This Row],[customerSKU]],Table27[customer_SKU],Table27[product_GTIN],"",0,1))</f>
        <v/>
      </c>
      <c r="Z602" s="60"/>
      <c r="AA602" s="18" t="str" cm="1">
        <f t="array" ref="AA602">IF(P602="", "", _xlfn.XLOOKUP(P602,#REF!,#REF!,NA,0,-1))</f>
        <v/>
      </c>
      <c r="AB602" s="53"/>
      <c r="AC602" s="55" t="s">
        <v>65</v>
      </c>
      <c r="AD602" s="55" t="str">
        <f>IF($AC602="","",_xlfn.XLOOKUP($AC602,'[2]Client Info'!$C$2:$C$2535,'[2]Client Info'!$D$2:$D$2535,"",0,1))</f>
        <v xml:space="preserve">2 Dromore Cres </v>
      </c>
      <c r="AE602" s="55" t="str">
        <f>IF($AC602="","",_xlfn.XLOOKUP($AC602,'[2]Client Info'!$C$2:$C$2715,'[2]Client Info'!$E$2:$E$2715,"",))</f>
        <v>North York</v>
      </c>
      <c r="AF602" s="55" t="str">
        <f>IF($AC602="","",_xlfn.XLOOKUP($AC602,'[2]Client Info'!$C$2:$C$2715,'[2]Client Info'!$F$2:$F$2715,"",0,1))</f>
        <v>ON</v>
      </c>
      <c r="AG602" s="55" t="str">
        <f>IF(ISBLANK(Table26[[#This Row],[customerSKU]]),"",_xlfn.XLOOKUP(Table26[[#This Row],[customerSKU]],Table27[customer_SKU],Table27[billto],"",0,1))</f>
        <v/>
      </c>
      <c r="AH602" s="62" t="str">
        <f>_xlfn.XLOOKUP(Table26[[#This Row],[customerSKU]],customerSKU!G:G,customerSKU!K:K,"NA",0,1)</f>
        <v>NA</v>
      </c>
      <c r="AI602" s="43" t="str">
        <f>_xlfn.XLOOKUP(Table26[[#This Row],[customerSKU]],customerSKU!G:G,customerSKU!O:O,"not found",0,1)</f>
        <v>not found</v>
      </c>
      <c r="AJ602" s="53" t="e">
        <f>Table26[[#This Row],[unitprice]]*Table26[[#This Row],[quantity_unit]]</f>
        <v>#VALUE!</v>
      </c>
      <c r="AK602" s="53" t="e" cm="1">
        <f t="array" ref="AK6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3" spans="1:37" ht="18" customHeight="1">
      <c r="A603" s="42">
        <v>1648</v>
      </c>
      <c r="B603" s="58" t="s">
        <v>3520</v>
      </c>
      <c r="C603" s="53" t="s">
        <v>203</v>
      </c>
      <c r="D603" s="51"/>
      <c r="E603" s="51"/>
      <c r="F60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3" s="46"/>
      <c r="H603" s="53"/>
      <c r="I603" s="53" t="s">
        <v>3775</v>
      </c>
      <c r="J603" s="53" t="s">
        <v>3797</v>
      </c>
      <c r="K603" s="48">
        <v>45609</v>
      </c>
      <c r="L603" s="49" t="s">
        <v>3417</v>
      </c>
      <c r="M603" s="53"/>
      <c r="N603" s="77" t="str">
        <f>Table26[[#This Row],[po_number]]&amp;"-"&amp;Table26[[#This Row],[po_line]]</f>
        <v>-2</v>
      </c>
      <c r="O603" s="77">
        <v>2</v>
      </c>
      <c r="P603" s="50"/>
      <c r="Q603" s="53" t="s">
        <v>535</v>
      </c>
      <c r="R603" s="53" t="s">
        <v>3559</v>
      </c>
      <c r="S603" s="53" t="s">
        <v>3344</v>
      </c>
      <c r="T603" s="51">
        <v>45575</v>
      </c>
      <c r="U603" s="52">
        <v>11</v>
      </c>
      <c r="V603" s="53">
        <v>30</v>
      </c>
      <c r="W603" s="116">
        <f t="shared" si="24"/>
        <v>0.36666666666666664</v>
      </c>
      <c r="X603" s="53" t="str">
        <f t="shared" si="25"/>
        <v/>
      </c>
      <c r="Y603" s="53" t="str">
        <f>IF(Table26[[#This Row],[customerSKU]]="","",_xlfn.XLOOKUP(Table26[[#This Row],[customerSKU]],Table27[customer_SKU],Table27[product_GTIN],"",0,1))</f>
        <v/>
      </c>
      <c r="Z603" s="60"/>
      <c r="AA603" s="18" t="str" cm="1">
        <f t="array" ref="AA603">IF(P603="", "", _xlfn.XLOOKUP(P603,#REF!,#REF!,NA,0,-1))</f>
        <v/>
      </c>
      <c r="AB603" s="53"/>
      <c r="AC603" s="55" t="s">
        <v>65</v>
      </c>
      <c r="AD603" s="55" t="str">
        <f>IF($AC603="","",_xlfn.XLOOKUP($AC603,'[2]Client Info'!$C$2:$C$2535,'[2]Client Info'!$D$2:$D$2535,"",0,1))</f>
        <v xml:space="preserve">2 Dromore Cres </v>
      </c>
      <c r="AE603" s="55" t="str">
        <f>IF($AC603="","",_xlfn.XLOOKUP($AC603,'[2]Client Info'!$C$2:$C$2715,'[2]Client Info'!$E$2:$E$2715,"",))</f>
        <v>North York</v>
      </c>
      <c r="AF603" s="55" t="str">
        <f>IF($AC603="","",_xlfn.XLOOKUP($AC603,'[2]Client Info'!$C$2:$C$2715,'[2]Client Info'!$F$2:$F$2715,"",0,1))</f>
        <v>ON</v>
      </c>
      <c r="AG603" s="55" t="str">
        <f>IF(ISBLANK(Table26[[#This Row],[customerSKU]]),"",_xlfn.XLOOKUP(Table26[[#This Row],[customerSKU]],Table27[customer_SKU],Table27[billto],"",0,1))</f>
        <v/>
      </c>
      <c r="AH603" s="62" t="str">
        <f>_xlfn.XLOOKUP(Table26[[#This Row],[customerSKU]],customerSKU!G:G,customerSKU!K:K,"NA",0,1)</f>
        <v>NA</v>
      </c>
      <c r="AI603" s="43" t="str">
        <f>_xlfn.XLOOKUP(Table26[[#This Row],[customerSKU]],customerSKU!G:G,customerSKU!O:O,"not found",0,1)</f>
        <v>not found</v>
      </c>
      <c r="AJ603" s="53" t="e">
        <f>Table26[[#This Row],[unitprice]]*Table26[[#This Row],[quantity_unit]]</f>
        <v>#VALUE!</v>
      </c>
      <c r="AK603" s="53" t="e" cm="1">
        <f t="array" ref="AK6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4" spans="1:37" ht="18" customHeight="1">
      <c r="A604" s="42">
        <v>1623</v>
      </c>
      <c r="B604" s="58" t="s">
        <v>3520</v>
      </c>
      <c r="C604" s="53" t="s">
        <v>203</v>
      </c>
      <c r="D604" s="51" t="str">
        <f>IF(Table26[[#This Row],[customerSKU]]="","","null")</f>
        <v>null</v>
      </c>
      <c r="E604" s="51"/>
      <c r="F60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4" s="46"/>
      <c r="H604" s="53"/>
      <c r="I604" s="53" t="s">
        <v>3862</v>
      </c>
      <c r="J604" s="53" t="str">
        <f>IF(Table26[[#This Row],[customerSKU]]="","",_xlfn.XLOOKUP(Table26[[#This Row],[customerSKU]],customerSKU!G:G,customerSKU!A:A,"",0,1))</f>
        <v/>
      </c>
      <c r="K604" s="48">
        <v>45611</v>
      </c>
      <c r="L604" s="49" t="str">
        <f>IF(Table26[[#This Row],[customerSKU]]="","",_xlfn.XLOOKUP(Table26[[#This Row],[customerSKU]],customerSKU!G:G,customerSKU!B:B,"",0,1))</f>
        <v/>
      </c>
      <c r="M604" s="53"/>
      <c r="N604" s="77" t="str">
        <f>Table26[[#This Row],[po_number]]&amp;"-"&amp;Table26[[#This Row],[po_line]]</f>
        <v>-1</v>
      </c>
      <c r="O604" s="77">
        <v>1</v>
      </c>
      <c r="P604" s="50"/>
      <c r="Q604" s="53" t="s">
        <v>3545</v>
      </c>
      <c r="R604" s="53" t="s">
        <v>3419</v>
      </c>
      <c r="S604" s="53" t="s">
        <v>3420</v>
      </c>
      <c r="T604" s="51">
        <v>45596</v>
      </c>
      <c r="U604" s="52">
        <v>120</v>
      </c>
      <c r="V604" s="53" t="str">
        <f>IF(ISBLANK(Table26[[#This Row],[customerSKU]]),"",_xlfn.XLOOKUP(Table26[[#This Row],[customerSKU]],Table27[customer_SKU],Table27[case_size],"",0,1))</f>
        <v/>
      </c>
      <c r="W604" s="116" t="str">
        <f t="shared" si="24"/>
        <v/>
      </c>
      <c r="X604" s="53" t="str">
        <f t="shared" si="25"/>
        <v/>
      </c>
      <c r="Y604" s="53" t="str">
        <f>IF(Table26[[#This Row],[customerSKU]]="","",_xlfn.XLOOKUP(Table26[[#This Row],[customerSKU]],Table27[customer_SKU],Table27[product_GTIN],"",0,1))</f>
        <v/>
      </c>
      <c r="Z604" s="60" t="s">
        <v>3890</v>
      </c>
      <c r="AA604" s="18" t="str" cm="1">
        <f t="array" ref="AA604">IF(P604="", "", _xlfn.XLOOKUP(P604,#REF!,#REF!,NA,0,-1))</f>
        <v/>
      </c>
      <c r="AB604" s="53"/>
      <c r="AC604" s="55" t="str">
        <f>IF(Table26[[#This Row],[customerSKU]]="","",_xlfn.XLOOKUP(Table26[[#This Row],[customerSKU]],customerSKU!G:G,customerSKU!C:C,"",0,1))</f>
        <v/>
      </c>
      <c r="AD604" s="55" t="str">
        <f>IF($AC604="","",_xlfn.XLOOKUP($AC604,'[2]Client Info'!$C$2:$C$2535,'[2]Client Info'!$D$2:$D$2535,"",0,1))</f>
        <v/>
      </c>
      <c r="AE604" s="55" t="str">
        <f>IF($AC604="","",_xlfn.XLOOKUP($AC604,'[2]Client Info'!$C$2:$C$2715,'[2]Client Info'!$E$2:$E$2715,"",))</f>
        <v/>
      </c>
      <c r="AF604" s="55" t="str">
        <f>IF($AC604="","",_xlfn.XLOOKUP($AC604,'[2]Client Info'!$C$2:$C$2715,'[2]Client Info'!$F$2:$F$2715,"",0,1))</f>
        <v/>
      </c>
      <c r="AG604" s="55" t="str">
        <f>IF(ISBLANK(Table26[[#This Row],[customerSKU]]),"",_xlfn.XLOOKUP(Table26[[#This Row],[customerSKU]],Table27[customer_SKU],Table27[billto],"",0,1))</f>
        <v/>
      </c>
      <c r="AH604" s="62" t="str">
        <f>_xlfn.XLOOKUP(Table26[[#This Row],[customerSKU]],customerSKU!G:G,customerSKU!K:K,"NA",0,1)</f>
        <v>NA</v>
      </c>
      <c r="AI604" s="43" t="str">
        <f>_xlfn.XLOOKUP(Table26[[#This Row],[customerSKU]],customerSKU!G:G,customerSKU!O:O,"not found",0,1)</f>
        <v>not found</v>
      </c>
      <c r="AJ604" s="59" t="e">
        <f>Table26[[#This Row],[unitprice]]*Table26[[#This Row],[quantity_unit]]</f>
        <v>#VALUE!</v>
      </c>
      <c r="AK604" s="59" t="e" cm="1">
        <f t="array" ref="AK6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5" spans="1:37" ht="24.6" customHeight="1">
      <c r="A605" s="42">
        <v>1624</v>
      </c>
      <c r="B605" s="58" t="s">
        <v>3520</v>
      </c>
      <c r="C605" s="53" t="s">
        <v>203</v>
      </c>
      <c r="D605" s="51" t="str">
        <f>IF(Table26[[#This Row],[customerSKU]]="","","null")</f>
        <v>null</v>
      </c>
      <c r="E605" s="51"/>
      <c r="F60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5" s="46"/>
      <c r="H605" s="53"/>
      <c r="I605" s="53" t="s">
        <v>3862</v>
      </c>
      <c r="J605" s="53" t="str">
        <f>IF(Table26[[#This Row],[customerSKU]]="","",_xlfn.XLOOKUP(Table26[[#This Row],[customerSKU]],customerSKU!G:G,customerSKU!A:A,"",0,1))</f>
        <v/>
      </c>
      <c r="K605" s="48">
        <v>45611</v>
      </c>
      <c r="L605" s="49" t="str">
        <f>IF(Table26[[#This Row],[customerSKU]]="","",_xlfn.XLOOKUP(Table26[[#This Row],[customerSKU]],customerSKU!G:G,customerSKU!B:B,"",0,1))</f>
        <v/>
      </c>
      <c r="M605" s="53"/>
      <c r="N605" s="77" t="str">
        <f>Table26[[#This Row],[po_number]]&amp;"-"&amp;Table26[[#This Row],[po_line]]</f>
        <v>-2</v>
      </c>
      <c r="O605" s="77">
        <v>2</v>
      </c>
      <c r="P605" s="50"/>
      <c r="Q605" s="53" t="s">
        <v>3891</v>
      </c>
      <c r="R605" s="53" t="s">
        <v>3419</v>
      </c>
      <c r="S605" s="53" t="s">
        <v>3420</v>
      </c>
      <c r="T605" s="51">
        <v>45590</v>
      </c>
      <c r="U605" s="52">
        <v>120</v>
      </c>
      <c r="V605" s="53" t="str">
        <f>IF(ISBLANK(Table26[[#This Row],[customerSKU]]),"",_xlfn.XLOOKUP(Table26[[#This Row],[customerSKU]],Table27[customer_SKU],Table27[case_size],"",0,1))</f>
        <v/>
      </c>
      <c r="W605" s="116" t="str">
        <f t="shared" si="24"/>
        <v/>
      </c>
      <c r="X605" s="53" t="str">
        <f t="shared" si="25"/>
        <v/>
      </c>
      <c r="Y605" s="53" t="str">
        <f>IF(Table26[[#This Row],[customerSKU]]="","",_xlfn.XLOOKUP(Table26[[#This Row],[customerSKU]],Table27[customer_SKU],Table27[product_GTIN],"",0,1))</f>
        <v/>
      </c>
      <c r="Z605" s="60" t="s">
        <v>3892</v>
      </c>
      <c r="AA605" s="18" t="str" cm="1">
        <f t="array" ref="AA605">IF(P605="", "", _xlfn.XLOOKUP(P605,#REF!,#REF!,NA,0,-1))</f>
        <v/>
      </c>
      <c r="AB605" s="53"/>
      <c r="AC605" s="55" t="str">
        <f>IF(Table26[[#This Row],[customerSKU]]="","",_xlfn.XLOOKUP(Table26[[#This Row],[customerSKU]],customerSKU!G:G,customerSKU!C:C,"",0,1))</f>
        <v/>
      </c>
      <c r="AD605" s="55" t="str">
        <f>IF($AC605="","",_xlfn.XLOOKUP($AC605,'[2]Client Info'!$C$2:$C$2535,'[2]Client Info'!$D$2:$D$2535,"",0,1))</f>
        <v/>
      </c>
      <c r="AE605" s="55" t="str">
        <f>IF($AC605="","",_xlfn.XLOOKUP($AC605,'[2]Client Info'!$C$2:$C$2715,'[2]Client Info'!$E$2:$E$2715,"",))</f>
        <v/>
      </c>
      <c r="AF605" s="55" t="str">
        <f>IF($AC605="","",_xlfn.XLOOKUP($AC605,'[2]Client Info'!$C$2:$C$2715,'[2]Client Info'!$F$2:$F$2715,"",0,1))</f>
        <v/>
      </c>
      <c r="AG605" s="55" t="str">
        <f>IF(ISBLANK(Table26[[#This Row],[customerSKU]]),"",_xlfn.XLOOKUP(Table26[[#This Row],[customerSKU]],Table27[customer_SKU],Table27[billto],"",0,1))</f>
        <v/>
      </c>
      <c r="AH605" s="62" t="str">
        <f>_xlfn.XLOOKUP(Table26[[#This Row],[customerSKU]],customerSKU!G:G,customerSKU!K:K,"NA",0,1)</f>
        <v>NA</v>
      </c>
      <c r="AI605" s="43" t="str">
        <f>_xlfn.XLOOKUP(Table26[[#This Row],[customerSKU]],customerSKU!G:G,customerSKU!O:O,"not found",0,1)</f>
        <v>not found</v>
      </c>
      <c r="AJ605" s="59" t="e">
        <f>Table26[[#This Row],[unitprice]]*Table26[[#This Row],[quantity_unit]]</f>
        <v>#VALUE!</v>
      </c>
      <c r="AK605" s="59" t="e" cm="1">
        <f t="array" ref="AK6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6" spans="1:37" ht="24.6" customHeight="1">
      <c r="A606" s="42">
        <v>1625</v>
      </c>
      <c r="B606" s="58" t="s">
        <v>3520</v>
      </c>
      <c r="C606" s="53" t="s">
        <v>203</v>
      </c>
      <c r="D606" s="51" t="str">
        <f>IF(Table26[[#This Row],[customerSKU]]="","","null")</f>
        <v>null</v>
      </c>
      <c r="E606" s="51"/>
      <c r="F606" s="53"/>
      <c r="G606" s="46"/>
      <c r="H606" s="53"/>
      <c r="I606" s="53" t="s">
        <v>3862</v>
      </c>
      <c r="J606" s="53" t="str">
        <f>IF(Table26[[#This Row],[customerSKU]]="","",_xlfn.XLOOKUP(Table26[[#This Row],[customerSKU]],customerSKU!G:G,customerSKU!A:A,"",0,1))</f>
        <v/>
      </c>
      <c r="K606" s="48">
        <v>45611</v>
      </c>
      <c r="L606" s="49" t="str">
        <f>IF(Table26[[#This Row],[customerSKU]]="","",_xlfn.XLOOKUP(Table26[[#This Row],[customerSKU]],customerSKU!G:G,customerSKU!B:B,"",0,1))</f>
        <v/>
      </c>
      <c r="M606" s="53"/>
      <c r="N606" s="77" t="str">
        <f>Table26[[#This Row],[po_number]]&amp;"-"&amp;Table26[[#This Row],[po_line]]</f>
        <v>-3</v>
      </c>
      <c r="O606" s="77">
        <v>3</v>
      </c>
      <c r="P606" s="50"/>
      <c r="Q606" s="53" t="s">
        <v>1377</v>
      </c>
      <c r="R606" s="53" t="s">
        <v>532</v>
      </c>
      <c r="S606" s="53" t="s">
        <v>14</v>
      </c>
      <c r="T606" s="51">
        <v>45569</v>
      </c>
      <c r="U606" s="52">
        <f>12*12</f>
        <v>144</v>
      </c>
      <c r="V606" s="53">
        <v>12</v>
      </c>
      <c r="W606" s="116">
        <f t="shared" si="24"/>
        <v>12</v>
      </c>
      <c r="X606" s="53" t="str">
        <f t="shared" si="25"/>
        <v/>
      </c>
      <c r="Y606" s="53" t="str">
        <f>IF(Table26[[#This Row],[customerSKU]]="","",_xlfn.XLOOKUP(Table26[[#This Row],[customerSKU]],Table27[customer_SKU],Table27[product_GTIN],"",0,1))</f>
        <v/>
      </c>
      <c r="Z606" s="60" t="s">
        <v>3893</v>
      </c>
      <c r="AA606" s="18" t="str" cm="1">
        <f t="array" ref="AA606">IF(P606="", "", _xlfn.XLOOKUP(P606,#REF!,#REF!,NA,0,-1))</f>
        <v/>
      </c>
      <c r="AB606" s="53" t="s">
        <v>569</v>
      </c>
      <c r="AC606" s="55" t="str">
        <f>IF(Table26[[#This Row],[customerSKU]]="","",_xlfn.XLOOKUP(Table26[[#This Row],[customerSKU]],customerSKU!G:G,customerSKU!C:C,"",0,1))</f>
        <v/>
      </c>
      <c r="AD606" s="55" t="str">
        <f>IF($AC606="","",_xlfn.XLOOKUP($AC606,'[2]Client Info'!$C$2:$C$2535,'[2]Client Info'!$D$2:$D$2535,"",0,1))</f>
        <v/>
      </c>
      <c r="AE606" s="55" t="str">
        <f>IF($AC606="","",_xlfn.XLOOKUP($AC606,'[2]Client Info'!$C$2:$C$2715,'[2]Client Info'!$E$2:$E$2715,"",))</f>
        <v/>
      </c>
      <c r="AF606" s="55" t="str">
        <f>IF($AC606="","",_xlfn.XLOOKUP($AC606,'[2]Client Info'!$C$2:$C$2715,'[2]Client Info'!$F$2:$F$2715,"",0,1))</f>
        <v/>
      </c>
      <c r="AG606" s="55" t="str">
        <f>IF(ISBLANK(Table26[[#This Row],[customerSKU]]),"",_xlfn.XLOOKUP(Table26[[#This Row],[customerSKU]],Table27[customer_SKU],Table27[billto],"",0,1))</f>
        <v/>
      </c>
      <c r="AH606" s="62" t="str">
        <f>_xlfn.XLOOKUP(Table26[[#This Row],[customerSKU]],customerSKU!G:G,customerSKU!K:K,"NA",0,1)</f>
        <v>NA</v>
      </c>
      <c r="AI606" s="43" t="str">
        <f>_xlfn.XLOOKUP(Table26[[#This Row],[customerSKU]],customerSKU!G:G,customerSKU!O:O,"not found",0,1)</f>
        <v>not found</v>
      </c>
      <c r="AJ606" s="59" t="e">
        <f>Table26[[#This Row],[unitprice]]*Table26[[#This Row],[quantity_unit]]</f>
        <v>#VALUE!</v>
      </c>
      <c r="AK606" s="59" t="e" cm="1">
        <f t="array" ref="AK6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7" spans="1:37" ht="24.6" customHeight="1">
      <c r="A607" s="42">
        <v>1626</v>
      </c>
      <c r="B607" s="58" t="s">
        <v>3520</v>
      </c>
      <c r="C607" s="53" t="s">
        <v>203</v>
      </c>
      <c r="D607" s="51" t="str">
        <f>IF(Table26[[#This Row],[customerSKU]]="","","null")</f>
        <v>null</v>
      </c>
      <c r="E607" s="51"/>
      <c r="F60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7" s="46"/>
      <c r="H607" s="53"/>
      <c r="I607" s="53" t="s">
        <v>3862</v>
      </c>
      <c r="J607" s="53" t="str">
        <f>IF(Table26[[#This Row],[customerSKU]]="","",_xlfn.XLOOKUP(Table26[[#This Row],[customerSKU]],customerSKU!G:G,customerSKU!A:A,"",0,1))</f>
        <v/>
      </c>
      <c r="K607" s="48">
        <v>45611</v>
      </c>
      <c r="L607" s="49" t="str">
        <f>IF(Table26[[#This Row],[customerSKU]]="","",_xlfn.XLOOKUP(Table26[[#This Row],[customerSKU]],customerSKU!G:G,customerSKU!B:B,"",0,1))</f>
        <v/>
      </c>
      <c r="M607" s="53"/>
      <c r="N607" s="77" t="str">
        <f>Table26[[#This Row],[po_number]]&amp;"-"&amp;Table26[[#This Row],[po_line]]</f>
        <v>-4</v>
      </c>
      <c r="O607" s="77">
        <v>4</v>
      </c>
      <c r="P607" s="50"/>
      <c r="Q607" s="53" t="s">
        <v>3894</v>
      </c>
      <c r="R607" s="53" t="s">
        <v>532</v>
      </c>
      <c r="S607" s="53" t="s">
        <v>14</v>
      </c>
      <c r="T607" s="51">
        <v>45523</v>
      </c>
      <c r="U607" s="52">
        <v>36</v>
      </c>
      <c r="V607" s="53">
        <v>12</v>
      </c>
      <c r="W607" s="116">
        <f t="shared" si="24"/>
        <v>3</v>
      </c>
      <c r="X607" s="53" t="str">
        <f t="shared" si="25"/>
        <v/>
      </c>
      <c r="Y607" s="53" t="str">
        <f>IF(Table26[[#This Row],[customerSKU]]="","",_xlfn.XLOOKUP(Table26[[#This Row],[customerSKU]],Table27[customer_SKU],Table27[product_GTIN],"",0,1))</f>
        <v/>
      </c>
      <c r="Z607" s="60" t="s">
        <v>3893</v>
      </c>
      <c r="AA607" s="18" t="str" cm="1">
        <f t="array" ref="AA607">IF(P607="", "", _xlfn.XLOOKUP(P607,#REF!,#REF!,NA,0,-1))</f>
        <v/>
      </c>
      <c r="AB607" s="53" t="s">
        <v>569</v>
      </c>
      <c r="AC607" s="55" t="str">
        <f>IF(Table26[[#This Row],[customerSKU]]="","",_xlfn.XLOOKUP(Table26[[#This Row],[customerSKU]],customerSKU!G:G,customerSKU!C:C,"",0,1))</f>
        <v/>
      </c>
      <c r="AD607" s="55" t="str">
        <f>IF($AC607="","",_xlfn.XLOOKUP($AC607,'[2]Client Info'!$C$2:$C$2535,'[2]Client Info'!$D$2:$D$2535,"",0,1))</f>
        <v/>
      </c>
      <c r="AE607" s="55" t="str">
        <f>IF($AC607="","",_xlfn.XLOOKUP($AC607,'[2]Client Info'!$C$2:$C$2715,'[2]Client Info'!$E$2:$E$2715,"",))</f>
        <v/>
      </c>
      <c r="AF607" s="55" t="str">
        <f>IF($AC607="","",_xlfn.XLOOKUP($AC607,'[2]Client Info'!$C$2:$C$2715,'[2]Client Info'!$F$2:$F$2715,"",0,1))</f>
        <v/>
      </c>
      <c r="AG607" s="55" t="str">
        <f>IF(ISBLANK(Table26[[#This Row],[customerSKU]]),"",_xlfn.XLOOKUP(Table26[[#This Row],[customerSKU]],Table27[customer_SKU],Table27[billto],"",0,1))</f>
        <v/>
      </c>
      <c r="AH607" s="62" t="str">
        <f>_xlfn.XLOOKUP(Table26[[#This Row],[customerSKU]],customerSKU!G:G,customerSKU!K:K,"NA",0,1)</f>
        <v>NA</v>
      </c>
      <c r="AI607" s="43" t="str">
        <f>_xlfn.XLOOKUP(Table26[[#This Row],[customerSKU]],customerSKU!G:G,customerSKU!O:O,"not found",0,1)</f>
        <v>not found</v>
      </c>
      <c r="AJ607" s="59" t="e">
        <f>Table26[[#This Row],[unitprice]]*Table26[[#This Row],[quantity_unit]]</f>
        <v>#VALUE!</v>
      </c>
      <c r="AK607" s="59" t="e" cm="1">
        <f t="array" ref="AK6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8" spans="1:37" ht="24.6" customHeight="1">
      <c r="A608" s="42">
        <v>1627</v>
      </c>
      <c r="B608" s="58" t="s">
        <v>3520</v>
      </c>
      <c r="C608" s="53" t="s">
        <v>203</v>
      </c>
      <c r="D608" s="51" t="str">
        <f>IF(Table26[[#This Row],[customerSKU]]="","","null")</f>
        <v>null</v>
      </c>
      <c r="E608" s="51"/>
      <c r="F60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8" s="46"/>
      <c r="H608" s="53"/>
      <c r="I608" s="53" t="s">
        <v>3862</v>
      </c>
      <c r="J608" s="53" t="str">
        <f>IF(Table26[[#This Row],[customerSKU]]="","",_xlfn.XLOOKUP(Table26[[#This Row],[customerSKU]],customerSKU!G:G,customerSKU!A:A,"",0,1))</f>
        <v/>
      </c>
      <c r="K608" s="48">
        <v>45611</v>
      </c>
      <c r="L608" s="49" t="str">
        <f>IF(Table26[[#This Row],[customerSKU]]="","",_xlfn.XLOOKUP(Table26[[#This Row],[customerSKU]],customerSKU!G:G,customerSKU!B:B,"",0,1))</f>
        <v/>
      </c>
      <c r="M608" s="53"/>
      <c r="N608" s="77" t="str">
        <f>Table26[[#This Row],[po_number]]&amp;"-"&amp;Table26[[#This Row],[po_line]]</f>
        <v>-5</v>
      </c>
      <c r="O608" s="77">
        <v>5</v>
      </c>
      <c r="P608" s="50"/>
      <c r="Q608" s="53" t="s">
        <v>1376</v>
      </c>
      <c r="R608" s="53" t="s">
        <v>532</v>
      </c>
      <c r="S608" s="53" t="str">
        <f>IF(Table26[[#This Row],[customerSKU]]="","",_xlfn.XLOOKUP(Table26[[#This Row],[customerSKU]],customerSKU!G:G,customerSKU!N:N,"NOT FOUND",0,1))</f>
        <v>NOT FOUND</v>
      </c>
      <c r="T608" s="51">
        <v>45588</v>
      </c>
      <c r="U608" s="52">
        <v>180</v>
      </c>
      <c r="V608" s="53" t="str">
        <f>IF(ISBLANK(Table26[[#This Row],[customerSKU]]),"",_xlfn.XLOOKUP(Table26[[#This Row],[customerSKU]],Table27[customer_SKU],Table27[case_size],"",0,1))</f>
        <v/>
      </c>
      <c r="W608" s="116" t="str">
        <f t="shared" si="24"/>
        <v/>
      </c>
      <c r="X608" s="53" t="str">
        <f t="shared" si="25"/>
        <v/>
      </c>
      <c r="Y608" s="53" t="str">
        <f>IF(Table26[[#This Row],[customerSKU]]="","",_xlfn.XLOOKUP(Table26[[#This Row],[customerSKU]],Table27[customer_SKU],Table27[product_GTIN],"",0,1))</f>
        <v/>
      </c>
      <c r="Z608" s="60" t="s">
        <v>3895</v>
      </c>
      <c r="AA608" s="18" t="str" cm="1">
        <f t="array" ref="AA608">IF(P608="", "", _xlfn.XLOOKUP(P608,#REF!,#REF!,NA,0,-1))</f>
        <v/>
      </c>
      <c r="AB608" s="53"/>
      <c r="AC608" s="55" t="str">
        <f>IF(Table26[[#This Row],[customerSKU]]="","",_xlfn.XLOOKUP(Table26[[#This Row],[customerSKU]],customerSKU!G:G,customerSKU!C:C,"",0,1))</f>
        <v/>
      </c>
      <c r="AD608" s="55" t="str">
        <f>IF($AC608="","",_xlfn.XLOOKUP($AC608,'[2]Client Info'!$C$2:$C$2535,'[2]Client Info'!$D$2:$D$2535,"",0,1))</f>
        <v/>
      </c>
      <c r="AE608" s="55" t="str">
        <f>IF($AC608="","",_xlfn.XLOOKUP($AC608,'[2]Client Info'!$C$2:$C$2715,'[2]Client Info'!$E$2:$E$2715,"",))</f>
        <v/>
      </c>
      <c r="AF608" s="55" t="str">
        <f>IF($AC608="","",_xlfn.XLOOKUP($AC608,'[2]Client Info'!$C$2:$C$2715,'[2]Client Info'!$F$2:$F$2715,"",0,1))</f>
        <v/>
      </c>
      <c r="AG608" s="55" t="str">
        <f>IF(ISBLANK(Table26[[#This Row],[customerSKU]]),"",_xlfn.XLOOKUP(Table26[[#This Row],[customerSKU]],Table27[customer_SKU],Table27[billto],"",0,1))</f>
        <v/>
      </c>
      <c r="AH608" s="62" t="str">
        <f>_xlfn.XLOOKUP(Table26[[#This Row],[customerSKU]],customerSKU!G:G,customerSKU!K:K,"NA",0,1)</f>
        <v>NA</v>
      </c>
      <c r="AI608" s="43" t="str">
        <f>_xlfn.XLOOKUP(Table26[[#This Row],[customerSKU]],customerSKU!G:G,customerSKU!O:O,"not found",0,1)</f>
        <v>not found</v>
      </c>
      <c r="AJ608" s="59" t="e">
        <f>Table26[[#This Row],[unitprice]]*Table26[[#This Row],[quantity_unit]]</f>
        <v>#VALUE!</v>
      </c>
      <c r="AK608" s="59" t="e" cm="1">
        <f t="array" ref="AK6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09" spans="1:37" ht="18" customHeight="1">
      <c r="A609" s="42">
        <v>1628</v>
      </c>
      <c r="B609" s="58" t="s">
        <v>3520</v>
      </c>
      <c r="C609" s="53" t="s">
        <v>203</v>
      </c>
      <c r="D609" s="51" t="str">
        <f>IF(Table26[[#This Row],[customerSKU]]="","","null")</f>
        <v>null</v>
      </c>
      <c r="E609" s="51"/>
      <c r="F60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09" s="46"/>
      <c r="H609" s="53"/>
      <c r="I609" s="53" t="s">
        <v>3862</v>
      </c>
      <c r="J609" s="53" t="str">
        <f>IF(Table26[[#This Row],[customerSKU]]="","",_xlfn.XLOOKUP(Table26[[#This Row],[customerSKU]],customerSKU!G:G,customerSKU!A:A,"",0,1))</f>
        <v/>
      </c>
      <c r="K609" s="48">
        <v>45611</v>
      </c>
      <c r="L609" s="49" t="str">
        <f>IF(Table26[[#This Row],[customerSKU]]="","",_xlfn.XLOOKUP(Table26[[#This Row],[customerSKU]],customerSKU!G:G,customerSKU!B:B,"",0,1))</f>
        <v/>
      </c>
      <c r="M609" s="53"/>
      <c r="N609" s="77" t="str">
        <f>Table26[[#This Row],[po_number]]&amp;"-"&amp;Table26[[#This Row],[po_line]]</f>
        <v>-6</v>
      </c>
      <c r="O609" s="77">
        <v>6</v>
      </c>
      <c r="P609" s="50"/>
      <c r="Q609" s="53" t="s">
        <v>612</v>
      </c>
      <c r="R609" s="53" t="s">
        <v>532</v>
      </c>
      <c r="S609" s="53" t="str">
        <f>IF(Table26[[#This Row],[customerSKU]]="","",_xlfn.XLOOKUP(Table26[[#This Row],[customerSKU]],customerSKU!G:G,customerSKU!N:N,"NOT FOUND",0,1))</f>
        <v>NOT FOUND</v>
      </c>
      <c r="T609" s="51">
        <v>45581</v>
      </c>
      <c r="U609" s="52">
        <v>240</v>
      </c>
      <c r="V609" s="53" t="str">
        <f>IF(ISBLANK(Table26[[#This Row],[customerSKU]]),"",_xlfn.XLOOKUP(Table26[[#This Row],[customerSKU]],Table27[customer_SKU],Table27[case_size],"",0,1))</f>
        <v/>
      </c>
      <c r="W609" s="116" t="str">
        <f t="shared" si="24"/>
        <v/>
      </c>
      <c r="X609" s="53" t="str">
        <f t="shared" si="25"/>
        <v/>
      </c>
      <c r="Y609" s="53" t="str">
        <f>IF(Table26[[#This Row],[customerSKU]]="","",_xlfn.XLOOKUP(Table26[[#This Row],[customerSKU]],Table27[customer_SKU],Table27[product_GTIN],"",0,1))</f>
        <v/>
      </c>
      <c r="Z609" s="60" t="s">
        <v>3896</v>
      </c>
      <c r="AA609" s="18" t="str" cm="1">
        <f t="array" ref="AA609">IF(P609="", "", _xlfn.XLOOKUP(P609,#REF!,#REF!,NA,0,-1))</f>
        <v/>
      </c>
      <c r="AB609" s="53"/>
      <c r="AC609" s="55" t="str">
        <f>IF(Table26[[#This Row],[customerSKU]]="","",_xlfn.XLOOKUP(Table26[[#This Row],[customerSKU]],customerSKU!G:G,customerSKU!C:C,"",0,1))</f>
        <v/>
      </c>
      <c r="AD609" s="55" t="str">
        <f>IF($AC609="","",_xlfn.XLOOKUP($AC609,'[2]Client Info'!$C$2:$C$2535,'[2]Client Info'!$D$2:$D$2535,"",0,1))</f>
        <v/>
      </c>
      <c r="AE609" s="55" t="str">
        <f>IF($AC609="","",_xlfn.XLOOKUP($AC609,'[2]Client Info'!$C$2:$C$2715,'[2]Client Info'!$E$2:$E$2715,"",))</f>
        <v/>
      </c>
      <c r="AF609" s="55" t="str">
        <f>IF($AC609="","",_xlfn.XLOOKUP($AC609,'[2]Client Info'!$C$2:$C$2715,'[2]Client Info'!$F$2:$F$2715,"",0,1))</f>
        <v/>
      </c>
      <c r="AG609" s="55" t="str">
        <f>IF(ISBLANK(Table26[[#This Row],[customerSKU]]),"",_xlfn.XLOOKUP(Table26[[#This Row],[customerSKU]],Table27[customer_SKU],Table27[billto],"",0,1))</f>
        <v/>
      </c>
      <c r="AH609" s="62" t="str">
        <f>_xlfn.XLOOKUP(Table26[[#This Row],[customerSKU]],customerSKU!G:G,customerSKU!K:K,"NA",0,1)</f>
        <v>NA</v>
      </c>
      <c r="AI609" s="43" t="str">
        <f>_xlfn.XLOOKUP(Table26[[#This Row],[customerSKU]],customerSKU!G:G,customerSKU!O:O,"not found",0,1)</f>
        <v>not found</v>
      </c>
      <c r="AJ609" s="59" t="e">
        <f>Table26[[#This Row],[unitprice]]*Table26[[#This Row],[quantity_unit]]</f>
        <v>#VALUE!</v>
      </c>
      <c r="AK609" s="59" t="e" cm="1">
        <f t="array" ref="AK6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0" spans="1:37" ht="18" customHeight="1">
      <c r="A610" s="42">
        <v>1629</v>
      </c>
      <c r="B610" s="58" t="s">
        <v>3520</v>
      </c>
      <c r="C610" s="53" t="s">
        <v>203</v>
      </c>
      <c r="D610" s="51" t="str">
        <f>IF(Table26[[#This Row],[customerSKU]]="","","null")</f>
        <v>null</v>
      </c>
      <c r="E610" s="51"/>
      <c r="F61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0" s="46"/>
      <c r="H610" s="53"/>
      <c r="I610" s="53" t="s">
        <v>3862</v>
      </c>
      <c r="J610" s="53" t="str">
        <f>IF(Table26[[#This Row],[customerSKU]]="","",_xlfn.XLOOKUP(Table26[[#This Row],[customerSKU]],customerSKU!G:G,customerSKU!A:A,"",0,1))</f>
        <v/>
      </c>
      <c r="K610" s="48">
        <v>45611</v>
      </c>
      <c r="L610" s="49" t="str">
        <f>IF(Table26[[#This Row],[customerSKU]]="","",_xlfn.XLOOKUP(Table26[[#This Row],[customerSKU]],customerSKU!G:G,customerSKU!B:B,"",0,1))</f>
        <v/>
      </c>
      <c r="M610" s="53"/>
      <c r="N610" s="77" t="str">
        <f>Table26[[#This Row],[po_number]]&amp;"-"&amp;Table26[[#This Row],[po_line]]</f>
        <v>-7</v>
      </c>
      <c r="O610" s="77">
        <v>7</v>
      </c>
      <c r="P610" s="50"/>
      <c r="Q610" s="53" t="s">
        <v>1738</v>
      </c>
      <c r="R610" s="53" t="s">
        <v>532</v>
      </c>
      <c r="S610" s="53" t="str">
        <f>IF(Table26[[#This Row],[customerSKU]]="","",_xlfn.XLOOKUP(Table26[[#This Row],[customerSKU]],customerSKU!G:G,customerSKU!N:N,"NOT FOUND",0,1))</f>
        <v>NOT FOUND</v>
      </c>
      <c r="T610" s="51">
        <v>45604</v>
      </c>
      <c r="U610" s="52">
        <v>240</v>
      </c>
      <c r="V610" s="53" t="str">
        <f>IF(ISBLANK(Table26[[#This Row],[customerSKU]]),"",_xlfn.XLOOKUP(Table26[[#This Row],[customerSKU]],Table27[customer_SKU],Table27[case_size],"",0,1))</f>
        <v/>
      </c>
      <c r="W610" s="116" t="str">
        <f t="shared" si="24"/>
        <v/>
      </c>
      <c r="X610" s="53" t="str">
        <f t="shared" si="25"/>
        <v/>
      </c>
      <c r="Y610" s="53" t="str">
        <f>IF(Table26[[#This Row],[customerSKU]]="","",_xlfn.XLOOKUP(Table26[[#This Row],[customerSKU]],Table27[customer_SKU],Table27[product_GTIN],"",0,1))</f>
        <v/>
      </c>
      <c r="Z610" s="60" t="s">
        <v>3897</v>
      </c>
      <c r="AA610" s="18" t="str" cm="1">
        <f t="array" ref="AA610">IF(P610="", "", _xlfn.XLOOKUP(P610,#REF!,#REF!,NA,0,-1))</f>
        <v/>
      </c>
      <c r="AB610" s="53"/>
      <c r="AC610" s="55" t="str">
        <f>IF(Table26[[#This Row],[customerSKU]]="","",_xlfn.XLOOKUP(Table26[[#This Row],[customerSKU]],customerSKU!G:G,customerSKU!C:C,"",0,1))</f>
        <v/>
      </c>
      <c r="AD610" s="55" t="str">
        <f>IF($AC610="","",_xlfn.XLOOKUP($AC610,'[2]Client Info'!$C$2:$C$2535,'[2]Client Info'!$D$2:$D$2535,"",0,1))</f>
        <v/>
      </c>
      <c r="AE610" s="55" t="str">
        <f>IF($AC610="","",_xlfn.XLOOKUP($AC610,'[2]Client Info'!$C$2:$C$2715,'[2]Client Info'!$E$2:$E$2715,"",))</f>
        <v/>
      </c>
      <c r="AF610" s="55" t="str">
        <f>IF($AC610="","",_xlfn.XLOOKUP($AC610,'[2]Client Info'!$C$2:$C$2715,'[2]Client Info'!$F$2:$F$2715,"",0,1))</f>
        <v/>
      </c>
      <c r="AG610" s="55" t="str">
        <f>IF(ISBLANK(Table26[[#This Row],[customerSKU]]),"",_xlfn.XLOOKUP(Table26[[#This Row],[customerSKU]],Table27[customer_SKU],Table27[billto],"",0,1))</f>
        <v/>
      </c>
      <c r="AH610" s="62" t="str">
        <f>_xlfn.XLOOKUP(Table26[[#This Row],[customerSKU]],customerSKU!G:G,customerSKU!K:K,"NA",0,1)</f>
        <v>NA</v>
      </c>
      <c r="AI610" s="43" t="str">
        <f>_xlfn.XLOOKUP(Table26[[#This Row],[customerSKU]],customerSKU!G:G,customerSKU!O:O,"not found",0,1)</f>
        <v>not found</v>
      </c>
      <c r="AJ610" s="59" t="e">
        <f>Table26[[#This Row],[unitprice]]*Table26[[#This Row],[quantity_unit]]</f>
        <v>#VALUE!</v>
      </c>
      <c r="AK610" s="59" t="e" cm="1">
        <f t="array" ref="AK6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1" spans="1:37" ht="18" customHeight="1">
      <c r="A611" s="42">
        <v>1630</v>
      </c>
      <c r="B611" s="58" t="s">
        <v>3520</v>
      </c>
      <c r="C611" s="53" t="s">
        <v>203</v>
      </c>
      <c r="D611" s="51" t="str">
        <f>IF(Table26[[#This Row],[customerSKU]]="","","null")</f>
        <v>null</v>
      </c>
      <c r="E611" s="51"/>
      <c r="F61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1" s="46"/>
      <c r="H611" s="53"/>
      <c r="I611" s="53" t="s">
        <v>3862</v>
      </c>
      <c r="J611" s="53" t="str">
        <f>IF(Table26[[#This Row],[customerSKU]]="","",_xlfn.XLOOKUP(Table26[[#This Row],[customerSKU]],customerSKU!G:G,customerSKU!A:A,"",0,1))</f>
        <v/>
      </c>
      <c r="K611" s="48">
        <v>45611</v>
      </c>
      <c r="L611" s="49" t="str">
        <f>IF(Table26[[#This Row],[customerSKU]]="","",_xlfn.XLOOKUP(Table26[[#This Row],[customerSKU]],customerSKU!G:G,customerSKU!B:B,"",0,1))</f>
        <v/>
      </c>
      <c r="M611" s="53"/>
      <c r="N611" s="77" t="str">
        <f>Table26[[#This Row],[po_number]]&amp;"-"&amp;Table26[[#This Row],[po_line]]</f>
        <v>-8</v>
      </c>
      <c r="O611" s="77">
        <v>8</v>
      </c>
      <c r="P611" s="50"/>
      <c r="Q611" s="53" t="s">
        <v>1311</v>
      </c>
      <c r="R611" s="53" t="s">
        <v>532</v>
      </c>
      <c r="S611" s="53" t="str">
        <f>IF(Table26[[#This Row],[customerSKU]]="","",_xlfn.XLOOKUP(Table26[[#This Row],[customerSKU]],customerSKU!G:G,customerSKU!N:N,"NOT FOUND",0,1))</f>
        <v>NOT FOUND</v>
      </c>
      <c r="T611" s="51">
        <v>45588</v>
      </c>
      <c r="U611" s="52">
        <v>180</v>
      </c>
      <c r="V611" s="53" t="str">
        <f>IF(ISBLANK(Table26[[#This Row],[customerSKU]]),"",_xlfn.XLOOKUP(Table26[[#This Row],[customerSKU]],Table27[customer_SKU],Table27[case_size],"",0,1))</f>
        <v/>
      </c>
      <c r="W611" s="116" t="str">
        <f t="shared" si="24"/>
        <v/>
      </c>
      <c r="X611" s="53" t="str">
        <f t="shared" si="25"/>
        <v/>
      </c>
      <c r="Y611" s="53" t="str">
        <f>IF(Table26[[#This Row],[customerSKU]]="","",_xlfn.XLOOKUP(Table26[[#This Row],[customerSKU]],Table27[customer_SKU],Table27[product_GTIN],"",0,1))</f>
        <v/>
      </c>
      <c r="Z611" s="60" t="s">
        <v>3898</v>
      </c>
      <c r="AA611" s="18" t="str" cm="1">
        <f t="array" ref="AA611">IF(P611="", "", _xlfn.XLOOKUP(P611,#REF!,#REF!,NA,0,-1))</f>
        <v/>
      </c>
      <c r="AB611" s="53"/>
      <c r="AC611" s="55" t="str">
        <f>IF(Table26[[#This Row],[customerSKU]]="","",_xlfn.XLOOKUP(Table26[[#This Row],[customerSKU]],customerSKU!G:G,customerSKU!C:C,"",0,1))</f>
        <v/>
      </c>
      <c r="AD611" s="55" t="str">
        <f>IF($AC611="","",_xlfn.XLOOKUP($AC611,'[2]Client Info'!$C$2:$C$2535,'[2]Client Info'!$D$2:$D$2535,"",0,1))</f>
        <v/>
      </c>
      <c r="AE611" s="55" t="str">
        <f>IF($AC611="","",_xlfn.XLOOKUP($AC611,'[2]Client Info'!$C$2:$C$2715,'[2]Client Info'!$E$2:$E$2715,"",))</f>
        <v/>
      </c>
      <c r="AF611" s="55" t="str">
        <f>IF($AC611="","",_xlfn.XLOOKUP($AC611,'[2]Client Info'!$C$2:$C$2715,'[2]Client Info'!$F$2:$F$2715,"",0,1))</f>
        <v/>
      </c>
      <c r="AG611" s="55" t="str">
        <f>IF(ISBLANK(Table26[[#This Row],[customerSKU]]),"",_xlfn.XLOOKUP(Table26[[#This Row],[customerSKU]],Table27[customer_SKU],Table27[billto],"",0,1))</f>
        <v/>
      </c>
      <c r="AH611" s="62" t="str">
        <f>_xlfn.XLOOKUP(Table26[[#This Row],[customerSKU]],customerSKU!G:G,customerSKU!K:K,"NA",0,1)</f>
        <v>NA</v>
      </c>
      <c r="AI611" s="43" t="str">
        <f>_xlfn.XLOOKUP(Table26[[#This Row],[customerSKU]],customerSKU!G:G,customerSKU!O:O,"not found",0,1)</f>
        <v>not found</v>
      </c>
      <c r="AJ611" s="59" t="e">
        <f>Table26[[#This Row],[unitprice]]*Table26[[#This Row],[quantity_unit]]</f>
        <v>#VALUE!</v>
      </c>
      <c r="AK611" s="59" t="e" cm="1">
        <f t="array" ref="AK6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2" spans="1:37" ht="18" customHeight="1">
      <c r="A612" s="42">
        <v>1631</v>
      </c>
      <c r="B612" s="58" t="s">
        <v>3520</v>
      </c>
      <c r="C612" s="53" t="s">
        <v>203</v>
      </c>
      <c r="D612" s="51" t="str">
        <f>IF(Table26[[#This Row],[customerSKU]]="","","null")</f>
        <v>null</v>
      </c>
      <c r="E612" s="51"/>
      <c r="F61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2" s="46"/>
      <c r="H612" s="53"/>
      <c r="I612" s="53" t="s">
        <v>3862</v>
      </c>
      <c r="J612" s="53" t="str">
        <f>IF(Table26[[#This Row],[customerSKU]]="","",_xlfn.XLOOKUP(Table26[[#This Row],[customerSKU]],customerSKU!G:G,customerSKU!A:A,"",0,1))</f>
        <v/>
      </c>
      <c r="K612" s="48">
        <v>45611</v>
      </c>
      <c r="L612" s="49" t="str">
        <f>IF(Table26[[#This Row],[customerSKU]]="","",_xlfn.XLOOKUP(Table26[[#This Row],[customerSKU]],customerSKU!G:G,customerSKU!B:B,"",0,1))</f>
        <v/>
      </c>
      <c r="M612" s="53"/>
      <c r="N612" s="77" t="str">
        <f>Table26[[#This Row],[po_number]]&amp;"-"&amp;Table26[[#This Row],[po_line]]</f>
        <v>-9</v>
      </c>
      <c r="O612" s="77">
        <v>9</v>
      </c>
      <c r="P612" s="50"/>
      <c r="Q612" s="53" t="s">
        <v>1739</v>
      </c>
      <c r="R612" s="53" t="s">
        <v>532</v>
      </c>
      <c r="S612" s="53" t="str">
        <f>IF(Table26[[#This Row],[customerSKU]]="","",_xlfn.XLOOKUP(Table26[[#This Row],[customerSKU]],customerSKU!G:G,customerSKU!N:N,"NOT FOUND",0,1))</f>
        <v>NOT FOUND</v>
      </c>
      <c r="T612" s="51">
        <v>45575</v>
      </c>
      <c r="U612" s="52">
        <v>240</v>
      </c>
      <c r="V612" s="53" t="str">
        <f>IF(ISBLANK(Table26[[#This Row],[customerSKU]]),"",_xlfn.XLOOKUP(Table26[[#This Row],[customerSKU]],Table27[customer_SKU],Table27[case_size],"",0,1))</f>
        <v/>
      </c>
      <c r="W612" s="116" t="str">
        <f t="shared" si="24"/>
        <v/>
      </c>
      <c r="X612" s="53" t="str">
        <f t="shared" si="25"/>
        <v/>
      </c>
      <c r="Y612" s="53" t="str">
        <f>IF(Table26[[#This Row],[customerSKU]]="","",_xlfn.XLOOKUP(Table26[[#This Row],[customerSKU]],Table27[customer_SKU],Table27[product_GTIN],"",0,1))</f>
        <v/>
      </c>
      <c r="Z612" s="60" t="s">
        <v>3899</v>
      </c>
      <c r="AA612" s="18" t="str" cm="1">
        <f t="array" ref="AA612">IF(P612="", "", _xlfn.XLOOKUP(P612,#REF!,#REF!,NA,0,-1))</f>
        <v/>
      </c>
      <c r="AB612" s="53"/>
      <c r="AC612" s="55" t="str">
        <f>IF(Table26[[#This Row],[customerSKU]]="","",_xlfn.XLOOKUP(Table26[[#This Row],[customerSKU]],customerSKU!G:G,customerSKU!C:C,"",0,1))</f>
        <v/>
      </c>
      <c r="AD612" s="55" t="str">
        <f>IF($AC612="","",_xlfn.XLOOKUP($AC612,'[2]Client Info'!$C$2:$C$2535,'[2]Client Info'!$D$2:$D$2535,"",0,1))</f>
        <v/>
      </c>
      <c r="AE612" s="55" t="str">
        <f>IF($AC612="","",_xlfn.XLOOKUP($AC612,'[2]Client Info'!$C$2:$C$2715,'[2]Client Info'!$E$2:$E$2715,"",))</f>
        <v/>
      </c>
      <c r="AF612" s="55" t="str">
        <f>IF($AC612="","",_xlfn.XLOOKUP($AC612,'[2]Client Info'!$C$2:$C$2715,'[2]Client Info'!$F$2:$F$2715,"",0,1))</f>
        <v/>
      </c>
      <c r="AG612" s="55" t="str">
        <f>IF(ISBLANK(Table26[[#This Row],[customerSKU]]),"",_xlfn.XLOOKUP(Table26[[#This Row],[customerSKU]],Table27[customer_SKU],Table27[billto],"",0,1))</f>
        <v/>
      </c>
      <c r="AH612" s="62" t="str">
        <f>_xlfn.XLOOKUP(Table26[[#This Row],[customerSKU]],customerSKU!G:G,customerSKU!K:K,"NA",0,1)</f>
        <v>NA</v>
      </c>
      <c r="AI612" s="43" t="str">
        <f>_xlfn.XLOOKUP(Table26[[#This Row],[customerSKU]],customerSKU!G:G,customerSKU!O:O,"not found",0,1)</f>
        <v>not found</v>
      </c>
      <c r="AJ612" s="59" t="e">
        <f>Table26[[#This Row],[unitprice]]*Table26[[#This Row],[quantity_unit]]</f>
        <v>#VALUE!</v>
      </c>
      <c r="AK612" s="59" t="e" cm="1">
        <f t="array" ref="AK6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3" spans="1:37" ht="18" customHeight="1">
      <c r="A613" s="42">
        <v>1632</v>
      </c>
      <c r="B613" s="58" t="s">
        <v>3520</v>
      </c>
      <c r="C613" s="53" t="s">
        <v>203</v>
      </c>
      <c r="D613" s="51" t="str">
        <f>IF(Table26[[#This Row],[customerSKU]]="","","null")</f>
        <v>null</v>
      </c>
      <c r="E613" s="51"/>
      <c r="F61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3" s="46"/>
      <c r="H613" s="53"/>
      <c r="I613" s="53" t="s">
        <v>3862</v>
      </c>
      <c r="J613" s="53" t="str">
        <f>IF(Table26[[#This Row],[customerSKU]]="","",_xlfn.XLOOKUP(Table26[[#This Row],[customerSKU]],customerSKU!G:G,customerSKU!A:A,"",0,1))</f>
        <v/>
      </c>
      <c r="K613" s="48">
        <v>45611</v>
      </c>
      <c r="L613" s="49" t="str">
        <f>IF(Table26[[#This Row],[customerSKU]]="","",_xlfn.XLOOKUP(Table26[[#This Row],[customerSKU]],customerSKU!G:G,customerSKU!B:B,"",0,1))</f>
        <v/>
      </c>
      <c r="M613" s="53"/>
      <c r="N613" s="77" t="str">
        <f>Table26[[#This Row],[po_number]]&amp;"-"&amp;Table26[[#This Row],[po_line]]</f>
        <v>-10</v>
      </c>
      <c r="O613" s="77">
        <v>10</v>
      </c>
      <c r="P613" s="50"/>
      <c r="Q613" s="53" t="s">
        <v>1734</v>
      </c>
      <c r="R613" s="53" t="s">
        <v>532</v>
      </c>
      <c r="S613" s="53" t="str">
        <f>IF(Table26[[#This Row],[customerSKU]]="","",_xlfn.XLOOKUP(Table26[[#This Row],[customerSKU]],customerSKU!G:G,customerSKU!N:N,"NOT FOUND",0,1))</f>
        <v>NOT FOUND</v>
      </c>
      <c r="T613" s="51">
        <v>45594</v>
      </c>
      <c r="U613" s="52">
        <v>120</v>
      </c>
      <c r="V613" s="53" t="str">
        <f>IF(ISBLANK(Table26[[#This Row],[customerSKU]]),"",_xlfn.XLOOKUP(Table26[[#This Row],[customerSKU]],Table27[customer_SKU],Table27[case_size],"",0,1))</f>
        <v/>
      </c>
      <c r="W613" s="116" t="str">
        <f t="shared" si="24"/>
        <v/>
      </c>
      <c r="X613" s="53" t="str">
        <f t="shared" si="25"/>
        <v/>
      </c>
      <c r="Y613" s="53" t="str">
        <f>IF(Table26[[#This Row],[customerSKU]]="","",_xlfn.XLOOKUP(Table26[[#This Row],[customerSKU]],Table27[customer_SKU],Table27[product_GTIN],"",0,1))</f>
        <v/>
      </c>
      <c r="Z613" s="60" t="s">
        <v>3900</v>
      </c>
      <c r="AA613" s="18" t="str" cm="1">
        <f t="array" ref="AA613">IF(P613="", "", _xlfn.XLOOKUP(P613,#REF!,#REF!,NA,0,-1))</f>
        <v/>
      </c>
      <c r="AB613" s="53"/>
      <c r="AC613" s="55" t="str">
        <f>IF(Table26[[#This Row],[customerSKU]]="","",_xlfn.XLOOKUP(Table26[[#This Row],[customerSKU]],customerSKU!G:G,customerSKU!C:C,"",0,1))</f>
        <v/>
      </c>
      <c r="AD613" s="55" t="str">
        <f>IF($AC613="","",_xlfn.XLOOKUP($AC613,'[2]Client Info'!$C$2:$C$2535,'[2]Client Info'!$D$2:$D$2535,"",0,1))</f>
        <v/>
      </c>
      <c r="AE613" s="55" t="str">
        <f>IF($AC613="","",_xlfn.XLOOKUP($AC613,'[2]Client Info'!$C$2:$C$2715,'[2]Client Info'!$E$2:$E$2715,"",))</f>
        <v/>
      </c>
      <c r="AF613" s="55" t="str">
        <f>IF($AC613="","",_xlfn.XLOOKUP($AC613,'[2]Client Info'!$C$2:$C$2715,'[2]Client Info'!$F$2:$F$2715,"",0,1))</f>
        <v/>
      </c>
      <c r="AG613" s="55" t="str">
        <f>IF(ISBLANK(Table26[[#This Row],[customerSKU]]),"",_xlfn.XLOOKUP(Table26[[#This Row],[customerSKU]],Table27[customer_SKU],Table27[billto],"",0,1))</f>
        <v/>
      </c>
      <c r="AH613" s="62" t="str">
        <f>_xlfn.XLOOKUP(Table26[[#This Row],[customerSKU]],customerSKU!G:G,customerSKU!K:K,"NA",0,1)</f>
        <v>NA</v>
      </c>
      <c r="AI613" s="43" t="str">
        <f>_xlfn.XLOOKUP(Table26[[#This Row],[customerSKU]],customerSKU!G:G,customerSKU!O:O,"not found",0,1)</f>
        <v>not found</v>
      </c>
      <c r="AJ613" s="59" t="e">
        <f>Table26[[#This Row],[unitprice]]*Table26[[#This Row],[quantity_unit]]</f>
        <v>#VALUE!</v>
      </c>
      <c r="AK613" s="59" t="e" cm="1">
        <f t="array" ref="AK6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4" spans="1:37" ht="18" customHeight="1">
      <c r="A614" s="42">
        <v>1633</v>
      </c>
      <c r="B614" s="58" t="s">
        <v>3520</v>
      </c>
      <c r="C614" s="53" t="s">
        <v>203</v>
      </c>
      <c r="D614" s="51" t="str">
        <f>IF(Table26[[#This Row],[customerSKU]]="","","null")</f>
        <v>null</v>
      </c>
      <c r="E614" s="51"/>
      <c r="F61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4" s="46"/>
      <c r="H614" s="53"/>
      <c r="I614" s="53" t="s">
        <v>3862</v>
      </c>
      <c r="J614" s="53" t="str">
        <f>IF(Table26[[#This Row],[customerSKU]]="","",_xlfn.XLOOKUP(Table26[[#This Row],[customerSKU]],customerSKU!G:G,customerSKU!A:A,"",0,1))</f>
        <v/>
      </c>
      <c r="K614" s="48">
        <v>45611</v>
      </c>
      <c r="L614" s="49" t="str">
        <f>IF(Table26[[#This Row],[customerSKU]]="","",_xlfn.XLOOKUP(Table26[[#This Row],[customerSKU]],customerSKU!G:G,customerSKU!B:B,"",0,1))</f>
        <v/>
      </c>
      <c r="M614" s="53"/>
      <c r="N614" s="77" t="str">
        <f>Table26[[#This Row],[po_number]]&amp;"-"&amp;Table26[[#This Row],[po_line]]</f>
        <v>-11</v>
      </c>
      <c r="O614" s="77">
        <v>11</v>
      </c>
      <c r="P614" s="50"/>
      <c r="Q614" s="53" t="s">
        <v>1732</v>
      </c>
      <c r="R614" s="53" t="s">
        <v>532</v>
      </c>
      <c r="S614" s="53" t="str">
        <f>IF(Table26[[#This Row],[customerSKU]]="","",_xlfn.XLOOKUP(Table26[[#This Row],[customerSKU]],customerSKU!G:G,customerSKU!N:N,"NOT FOUND",0,1))</f>
        <v>NOT FOUND</v>
      </c>
      <c r="T614" s="51">
        <v>45555</v>
      </c>
      <c r="U614" s="52">
        <v>120</v>
      </c>
      <c r="V614" s="53" t="str">
        <f>IF(ISBLANK(Table26[[#This Row],[customerSKU]]),"",_xlfn.XLOOKUP(Table26[[#This Row],[customerSKU]],Table27[customer_SKU],Table27[case_size],"",0,1))</f>
        <v/>
      </c>
      <c r="W614" s="116" t="str">
        <f t="shared" si="24"/>
        <v/>
      </c>
      <c r="X614" s="53" t="str">
        <f t="shared" si="25"/>
        <v/>
      </c>
      <c r="Y614" s="53" t="str">
        <f>IF(Table26[[#This Row],[customerSKU]]="","",_xlfn.XLOOKUP(Table26[[#This Row],[customerSKU]],Table27[customer_SKU],Table27[product_GTIN],"",0,1))</f>
        <v/>
      </c>
      <c r="Z614" s="60" t="s">
        <v>3901</v>
      </c>
      <c r="AA614" s="18" t="str" cm="1">
        <f t="array" ref="AA614">IF(P614="", "", _xlfn.XLOOKUP(P614,#REF!,#REF!,NA,0,-1))</f>
        <v/>
      </c>
      <c r="AB614" s="53"/>
      <c r="AC614" s="55" t="str">
        <f>IF(Table26[[#This Row],[customerSKU]]="","",_xlfn.XLOOKUP(Table26[[#This Row],[customerSKU]],customerSKU!G:G,customerSKU!C:C,"",0,1))</f>
        <v/>
      </c>
      <c r="AD614" s="55" t="str">
        <f>IF($AC614="","",_xlfn.XLOOKUP($AC614,'[2]Client Info'!$C$2:$C$2535,'[2]Client Info'!$D$2:$D$2535,"",0,1))</f>
        <v/>
      </c>
      <c r="AE614" s="55" t="str">
        <f>IF($AC614="","",_xlfn.XLOOKUP($AC614,'[2]Client Info'!$C$2:$C$2715,'[2]Client Info'!$E$2:$E$2715,"",))</f>
        <v/>
      </c>
      <c r="AF614" s="55" t="str">
        <f>IF($AC614="","",_xlfn.XLOOKUP($AC614,'[2]Client Info'!$C$2:$C$2715,'[2]Client Info'!$F$2:$F$2715,"",0,1))</f>
        <v/>
      </c>
      <c r="AG614" s="55" t="str">
        <f>IF(ISBLANK(Table26[[#This Row],[customerSKU]]),"",_xlfn.XLOOKUP(Table26[[#This Row],[customerSKU]],Table27[customer_SKU],Table27[billto],"",0,1))</f>
        <v/>
      </c>
      <c r="AH614" s="62" t="str">
        <f>_xlfn.XLOOKUP(Table26[[#This Row],[customerSKU]],customerSKU!G:G,customerSKU!K:K,"NA",0,1)</f>
        <v>NA</v>
      </c>
      <c r="AI614" s="43" t="str">
        <f>_xlfn.XLOOKUP(Table26[[#This Row],[customerSKU]],customerSKU!G:G,customerSKU!O:O,"not found",0,1)</f>
        <v>not found</v>
      </c>
      <c r="AJ614" s="59" t="e">
        <f>Table26[[#This Row],[unitprice]]*Table26[[#This Row],[quantity_unit]]</f>
        <v>#VALUE!</v>
      </c>
      <c r="AK614" s="59" t="e" cm="1">
        <f t="array" ref="AK6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5" spans="1:37" ht="18" customHeight="1">
      <c r="A615" s="42">
        <v>1634</v>
      </c>
      <c r="B615" s="58" t="s">
        <v>3520</v>
      </c>
      <c r="C615" s="53" t="s">
        <v>203</v>
      </c>
      <c r="D615" s="51" t="str">
        <f>IF(Table26[[#This Row],[customerSKU]]="","","null")</f>
        <v>null</v>
      </c>
      <c r="E615" s="51"/>
      <c r="F61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5" s="46"/>
      <c r="H615" s="53"/>
      <c r="I615" s="53" t="s">
        <v>3862</v>
      </c>
      <c r="J615" s="53" t="str">
        <f>IF(Table26[[#This Row],[customerSKU]]="","",_xlfn.XLOOKUP(Table26[[#This Row],[customerSKU]],customerSKU!G:G,customerSKU!A:A,"",0,1))</f>
        <v/>
      </c>
      <c r="K615" s="48">
        <v>45611</v>
      </c>
      <c r="L615" s="49" t="str">
        <f>IF(Table26[[#This Row],[customerSKU]]="","",_xlfn.XLOOKUP(Table26[[#This Row],[customerSKU]],customerSKU!G:G,customerSKU!B:B,"",0,1))</f>
        <v/>
      </c>
      <c r="M615" s="53"/>
      <c r="N615" s="77" t="str">
        <f>Table26[[#This Row],[po_number]]&amp;"-"&amp;Table26[[#This Row],[po_line]]</f>
        <v>-12</v>
      </c>
      <c r="O615" s="77">
        <v>12</v>
      </c>
      <c r="P615" s="50"/>
      <c r="Q615" s="53" t="s">
        <v>3902</v>
      </c>
      <c r="R615" s="53" t="s">
        <v>532</v>
      </c>
      <c r="S615" s="53" t="str">
        <f>IF(Table26[[#This Row],[customerSKU]]="","",_xlfn.XLOOKUP(Table26[[#This Row],[customerSKU]],customerSKU!G:G,customerSKU!N:N,"NOT FOUND",0,1))</f>
        <v>NOT FOUND</v>
      </c>
      <c r="T615" s="51">
        <v>45594</v>
      </c>
      <c r="U615" s="52">
        <v>120</v>
      </c>
      <c r="V615" s="53" t="str">
        <f>IF(ISBLANK(Table26[[#This Row],[customerSKU]]),"",_xlfn.XLOOKUP(Table26[[#This Row],[customerSKU]],Table27[customer_SKU],Table27[case_size],"",0,1))</f>
        <v/>
      </c>
      <c r="W615" s="116" t="str">
        <f t="shared" si="24"/>
        <v/>
      </c>
      <c r="X615" s="53" t="str">
        <f t="shared" si="25"/>
        <v/>
      </c>
      <c r="Y615" s="53" t="str">
        <f>IF(Table26[[#This Row],[customerSKU]]="","",_xlfn.XLOOKUP(Table26[[#This Row],[customerSKU]],Table27[customer_SKU],Table27[product_GTIN],"",0,1))</f>
        <v/>
      </c>
      <c r="Z615" s="60" t="s">
        <v>3903</v>
      </c>
      <c r="AA615" s="18" t="str" cm="1">
        <f t="array" ref="AA615">IF(P615="", "", _xlfn.XLOOKUP(P615,#REF!,#REF!,NA,0,-1))</f>
        <v/>
      </c>
      <c r="AB615" s="53"/>
      <c r="AC615" s="55" t="str">
        <f>IF(Table26[[#This Row],[customerSKU]]="","",_xlfn.XLOOKUP(Table26[[#This Row],[customerSKU]],customerSKU!G:G,customerSKU!C:C,"",0,1))</f>
        <v/>
      </c>
      <c r="AD615" s="55" t="str">
        <f>IF($AC615="","",_xlfn.XLOOKUP($AC615,'[2]Client Info'!$C$2:$C$2535,'[2]Client Info'!$D$2:$D$2535,"",0,1))</f>
        <v/>
      </c>
      <c r="AE615" s="55" t="str">
        <f>IF($AC615="","",_xlfn.XLOOKUP($AC615,'[2]Client Info'!$C$2:$C$2715,'[2]Client Info'!$E$2:$E$2715,"",))</f>
        <v/>
      </c>
      <c r="AF615" s="55" t="str">
        <f>IF($AC615="","",_xlfn.XLOOKUP($AC615,'[2]Client Info'!$C$2:$C$2715,'[2]Client Info'!$F$2:$F$2715,"",0,1))</f>
        <v/>
      </c>
      <c r="AG615" s="55" t="str">
        <f>IF(ISBLANK(Table26[[#This Row],[customerSKU]]),"",_xlfn.XLOOKUP(Table26[[#This Row],[customerSKU]],Table27[customer_SKU],Table27[billto],"",0,1))</f>
        <v/>
      </c>
      <c r="AH615" s="62" t="str">
        <f>_xlfn.XLOOKUP(Table26[[#This Row],[customerSKU]],customerSKU!G:G,customerSKU!K:K,"NA",0,1)</f>
        <v>NA</v>
      </c>
      <c r="AI615" s="43" t="str">
        <f>_xlfn.XLOOKUP(Table26[[#This Row],[customerSKU]],customerSKU!G:G,customerSKU!O:O,"not found",0,1)</f>
        <v>not found</v>
      </c>
      <c r="AJ615" s="59" t="e">
        <f>Table26[[#This Row],[unitprice]]*Table26[[#This Row],[quantity_unit]]</f>
        <v>#VALUE!</v>
      </c>
      <c r="AK615" s="59" t="e" cm="1">
        <f t="array" ref="AK6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6" spans="1:37" ht="18" customHeight="1">
      <c r="A616" s="42">
        <v>1635</v>
      </c>
      <c r="B616" s="58" t="s">
        <v>3520</v>
      </c>
      <c r="C616" s="53" t="s">
        <v>203</v>
      </c>
      <c r="D616" s="51" t="str">
        <f>IF(Table26[[#This Row],[customerSKU]]="","","null")</f>
        <v>null</v>
      </c>
      <c r="E616" s="51"/>
      <c r="F61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6" s="46"/>
      <c r="H616" s="53"/>
      <c r="I616" s="53" t="s">
        <v>3862</v>
      </c>
      <c r="J616" s="53" t="str">
        <f>IF(Table26[[#This Row],[customerSKU]]="","",_xlfn.XLOOKUP(Table26[[#This Row],[customerSKU]],customerSKU!G:G,customerSKU!A:A,"",0,1))</f>
        <v/>
      </c>
      <c r="K616" s="48">
        <v>45611</v>
      </c>
      <c r="L616" s="49" t="str">
        <f>IF(Table26[[#This Row],[customerSKU]]="","",_xlfn.XLOOKUP(Table26[[#This Row],[customerSKU]],customerSKU!G:G,customerSKU!B:B,"",0,1))</f>
        <v/>
      </c>
      <c r="M616" s="53"/>
      <c r="N616" s="77" t="str">
        <f>Table26[[#This Row],[po_number]]&amp;"-"&amp;Table26[[#This Row],[po_line]]</f>
        <v>-13</v>
      </c>
      <c r="O616" s="77">
        <v>13</v>
      </c>
      <c r="P616" s="50"/>
      <c r="Q616" s="53" t="s">
        <v>1736</v>
      </c>
      <c r="R616" s="53" t="s">
        <v>532</v>
      </c>
      <c r="S616" s="53" t="str">
        <f>IF(Table26[[#This Row],[customerSKU]]="","",_xlfn.XLOOKUP(Table26[[#This Row],[customerSKU]],customerSKU!G:G,customerSKU!N:N,"NOT FOUND",0,1))</f>
        <v>NOT FOUND</v>
      </c>
      <c r="T616" s="51">
        <v>45603</v>
      </c>
      <c r="U616" s="52">
        <v>120</v>
      </c>
      <c r="V616" s="53" t="str">
        <f>IF(ISBLANK(Table26[[#This Row],[customerSKU]]),"",_xlfn.XLOOKUP(Table26[[#This Row],[customerSKU]],Table27[customer_SKU],Table27[case_size],"",0,1))</f>
        <v/>
      </c>
      <c r="W616" s="116" t="str">
        <f t="shared" si="24"/>
        <v/>
      </c>
      <c r="X616" s="53" t="str">
        <f t="shared" si="25"/>
        <v/>
      </c>
      <c r="Y616" s="53" t="str">
        <f>IF(Table26[[#This Row],[customerSKU]]="","",_xlfn.XLOOKUP(Table26[[#This Row],[customerSKU]],Table27[customer_SKU],Table27[product_GTIN],"",0,1))</f>
        <v/>
      </c>
      <c r="Z616" s="60" t="s">
        <v>3904</v>
      </c>
      <c r="AA616" s="18" t="str" cm="1">
        <f t="array" ref="AA616">IF(P616="", "", _xlfn.XLOOKUP(P616,#REF!,#REF!,NA,0,-1))</f>
        <v/>
      </c>
      <c r="AB616" s="53"/>
      <c r="AC616" s="55" t="str">
        <f>IF(Table26[[#This Row],[customerSKU]]="","",_xlfn.XLOOKUP(Table26[[#This Row],[customerSKU]],customerSKU!G:G,customerSKU!C:C,"",0,1))</f>
        <v/>
      </c>
      <c r="AD616" s="55" t="str">
        <f>IF($AC616="","",_xlfn.XLOOKUP($AC616,'[2]Client Info'!$C$2:$C$2535,'[2]Client Info'!$D$2:$D$2535,"",0,1))</f>
        <v/>
      </c>
      <c r="AE616" s="55" t="str">
        <f>IF($AC616="","",_xlfn.XLOOKUP($AC616,'[2]Client Info'!$C$2:$C$2715,'[2]Client Info'!$E$2:$E$2715,"",))</f>
        <v/>
      </c>
      <c r="AF616" s="55" t="str">
        <f>IF($AC616="","",_xlfn.XLOOKUP($AC616,'[2]Client Info'!$C$2:$C$2715,'[2]Client Info'!$F$2:$F$2715,"",0,1))</f>
        <v/>
      </c>
      <c r="AG616" s="55" t="str">
        <f>IF(ISBLANK(Table26[[#This Row],[customerSKU]]),"",_xlfn.XLOOKUP(Table26[[#This Row],[customerSKU]],Table27[customer_SKU],Table27[billto],"",0,1))</f>
        <v/>
      </c>
      <c r="AH616" s="62" t="str">
        <f>_xlfn.XLOOKUP(Table26[[#This Row],[customerSKU]],customerSKU!G:G,customerSKU!K:K,"NA",0,1)</f>
        <v>NA</v>
      </c>
      <c r="AI616" s="43" t="str">
        <f>_xlfn.XLOOKUP(Table26[[#This Row],[customerSKU]],customerSKU!G:G,customerSKU!O:O,"not found",0,1)</f>
        <v>not found</v>
      </c>
      <c r="AJ616" s="59" t="e">
        <f>Table26[[#This Row],[unitprice]]*Table26[[#This Row],[quantity_unit]]</f>
        <v>#VALUE!</v>
      </c>
      <c r="AK616" s="59" t="e" cm="1">
        <f t="array" ref="AK6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7" spans="1:37" ht="18" customHeight="1">
      <c r="A617" s="42">
        <v>1636</v>
      </c>
      <c r="B617" s="249" t="s">
        <v>3520</v>
      </c>
      <c r="C617" s="90" t="s">
        <v>203</v>
      </c>
      <c r="D617" s="235"/>
      <c r="E617" s="235"/>
      <c r="F61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17" s="46"/>
      <c r="H617" s="90"/>
      <c r="I617" s="90" t="s">
        <v>3862</v>
      </c>
      <c r="J617" s="90" t="str">
        <f>IF(Table26[[#This Row],[customerSKU]]="","",_xlfn.XLOOKUP(Table26[[#This Row],[customerSKU]],customerSKU!G:G,customerSKU!A:A,"",0,1))</f>
        <v/>
      </c>
      <c r="K617" s="232">
        <v>45611</v>
      </c>
      <c r="L617" s="233" t="str">
        <f>IF(Table26[[#This Row],[customerSKU]]="","",_xlfn.XLOOKUP(Table26[[#This Row],[customerSKU]],customerSKU!G:G,customerSKU!B:B,"",0,1))</f>
        <v/>
      </c>
      <c r="M617" s="90"/>
      <c r="N617" s="55" t="str">
        <f>Table26[[#This Row],[po_number]]&amp;"-"&amp;Table26[[#This Row],[po_line]]</f>
        <v>-1</v>
      </c>
      <c r="O617" s="55">
        <v>1</v>
      </c>
      <c r="P617" s="234"/>
      <c r="Q617" s="348" t="s">
        <v>1134</v>
      </c>
      <c r="R617" s="90" t="s">
        <v>569</v>
      </c>
      <c r="S617" s="90" t="s">
        <v>114</v>
      </c>
      <c r="T617" s="20">
        <v>45588</v>
      </c>
      <c r="U617" s="236">
        <v>12</v>
      </c>
      <c r="V617" s="90" t="str">
        <f>IF(ISBLANK(Table26[[#This Row],[customerSKU]]),"",_xlfn.XLOOKUP(Table26[[#This Row],[customerSKU]],Table27[customer_SKU],Table27[case_size],"",0,1))</f>
        <v/>
      </c>
      <c r="W617" s="237" t="str">
        <f t="shared" si="24"/>
        <v/>
      </c>
      <c r="X617" s="90" t="str">
        <f t="shared" si="25"/>
        <v/>
      </c>
      <c r="Y617" s="90" t="str">
        <f>IF(Table26[[#This Row],[customerSKU]]="","",_xlfn.XLOOKUP(Table26[[#This Row],[customerSKU]],Table27[customer_SKU],Table27[product_GTIN],"",0,1))</f>
        <v/>
      </c>
      <c r="Z617" s="25" t="s">
        <v>3406</v>
      </c>
      <c r="AA617" s="18" t="str" cm="1">
        <f t="array" ref="AA617">IF(P617="", "", _xlfn.XLOOKUP(P617,#REF!,#REF!,NA,0,-1))</f>
        <v/>
      </c>
      <c r="AB617" s="90"/>
      <c r="AC617" s="55" t="s">
        <v>3977</v>
      </c>
      <c r="AD617" s="55" t="str">
        <f>IF($AC617="","",_xlfn.XLOOKUP($AC617,'[2]Client Info'!$C$2:$C$2535,'[2]Client Info'!$D$2:$D$2535,"",0,1))</f>
        <v>102-950 W. Broadway</v>
      </c>
      <c r="AE617" s="55" t="str">
        <f>IF($AC617="","",_xlfn.XLOOKUP($AC617,'[2]Client Info'!$C$2:$C$2715,'[2]Client Info'!$E$2:$E$2715,"",))</f>
        <v>Vancouver</v>
      </c>
      <c r="AF617" s="55" t="str">
        <f>IF($AC617="","",_xlfn.XLOOKUP($AC617,'[2]Client Info'!$C$2:$C$2715,'[2]Client Info'!$F$2:$F$2715,"",0,1))</f>
        <v xml:space="preserve">BC </v>
      </c>
      <c r="AG617" s="55" t="s">
        <v>3977</v>
      </c>
      <c r="AH617" s="245" t="str">
        <f>_xlfn.XLOOKUP(Table26[[#This Row],[customerSKU]],customerSKU!G:G,customerSKU!K:K,"NA",0,1)</f>
        <v>NA</v>
      </c>
      <c r="AI617" s="43" t="str">
        <f>_xlfn.XLOOKUP(Table26[[#This Row],[customerSKU]],customerSKU!G:G,customerSKU!O:O,"not found",0,1)</f>
        <v>not found</v>
      </c>
      <c r="AJ617" s="53" t="e">
        <f>Table26[[#This Row],[unitprice]]*Table26[[#This Row],[quantity_unit]]</f>
        <v>#VALUE!</v>
      </c>
      <c r="AK617" s="53" t="e" cm="1">
        <f t="array" ref="AK6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8" spans="1:37" ht="18" customHeight="1">
      <c r="A618" s="42">
        <v>1637</v>
      </c>
      <c r="B618" s="249" t="s">
        <v>3520</v>
      </c>
      <c r="C618" s="90" t="s">
        <v>203</v>
      </c>
      <c r="D618" s="235"/>
      <c r="E618" s="235"/>
      <c r="F61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18" s="46"/>
      <c r="H618" s="90"/>
      <c r="I618" s="90" t="s">
        <v>3862</v>
      </c>
      <c r="J618" s="90" t="str">
        <f>IF(Table26[[#This Row],[customerSKU]]="","",_xlfn.XLOOKUP(Table26[[#This Row],[customerSKU]],customerSKU!G:G,customerSKU!A:A,"",0,1))</f>
        <v/>
      </c>
      <c r="K618" s="232">
        <v>45611</v>
      </c>
      <c r="L618" s="233" t="str">
        <f>IF(Table26[[#This Row],[customerSKU]]="","",_xlfn.XLOOKUP(Table26[[#This Row],[customerSKU]],customerSKU!G:G,customerSKU!B:B,"",0,1))</f>
        <v/>
      </c>
      <c r="M618" s="90"/>
      <c r="N618" s="55" t="str">
        <f>Table26[[#This Row],[po_number]]&amp;"-"&amp;Table26[[#This Row],[po_line]]</f>
        <v>-2</v>
      </c>
      <c r="O618" s="55">
        <v>2</v>
      </c>
      <c r="P618" s="234"/>
      <c r="Q618" s="90" t="s">
        <v>1375</v>
      </c>
      <c r="R618" s="90" t="s">
        <v>569</v>
      </c>
      <c r="S618" s="90" t="s">
        <v>114</v>
      </c>
      <c r="T618" s="20">
        <v>45594</v>
      </c>
      <c r="U618" s="236">
        <v>12</v>
      </c>
      <c r="V618" s="90" t="str">
        <f>IF(ISBLANK(Table26[[#This Row],[customerSKU]]),"",_xlfn.XLOOKUP(Table26[[#This Row],[customerSKU]],Table27[customer_SKU],Table27[case_size],"",0,1))</f>
        <v/>
      </c>
      <c r="W618" s="237" t="str">
        <f t="shared" si="24"/>
        <v/>
      </c>
      <c r="X618" s="90" t="str">
        <f t="shared" si="25"/>
        <v/>
      </c>
      <c r="Y618" s="90" t="str">
        <f>IF(Table26[[#This Row],[customerSKU]]="","",_xlfn.XLOOKUP(Table26[[#This Row],[customerSKU]],Table27[customer_SKU],Table27[product_GTIN],"",0,1))</f>
        <v/>
      </c>
      <c r="Z618" s="90">
        <v>1066359</v>
      </c>
      <c r="AA618" s="18" t="str" cm="1">
        <f t="array" ref="AA618">IF(P618="", "", _xlfn.XLOOKUP(P618,#REF!,#REF!,NA,0,-1))</f>
        <v/>
      </c>
      <c r="AB618" s="90"/>
      <c r="AC618" s="55" t="s">
        <v>3977</v>
      </c>
      <c r="AD618" s="55" t="str">
        <f>IF($AC618="","",_xlfn.XLOOKUP($AC618,'[2]Client Info'!$C$2:$C$2535,'[2]Client Info'!$D$2:$D$2535,"",0,1))</f>
        <v>102-950 W. Broadway</v>
      </c>
      <c r="AE618" s="55" t="str">
        <f>IF($AC618="","",_xlfn.XLOOKUP($AC618,'[2]Client Info'!$C$2:$C$2715,'[2]Client Info'!$E$2:$E$2715,"",))</f>
        <v>Vancouver</v>
      </c>
      <c r="AF618" s="55" t="str">
        <f>IF($AC618="","",_xlfn.XLOOKUP($AC618,'[2]Client Info'!$C$2:$C$2715,'[2]Client Info'!$F$2:$F$2715,"",0,1))</f>
        <v xml:space="preserve">BC </v>
      </c>
      <c r="AG618" s="55" t="s">
        <v>3977</v>
      </c>
      <c r="AH618" s="245" t="str">
        <f>_xlfn.XLOOKUP(Table26[[#This Row],[customerSKU]],customerSKU!G:G,customerSKU!K:K,"NA",0,1)</f>
        <v>NA</v>
      </c>
      <c r="AI618" s="43" t="str">
        <f>_xlfn.XLOOKUP(Table26[[#This Row],[customerSKU]],customerSKU!G:G,customerSKU!O:O,"not found",0,1)</f>
        <v>not found</v>
      </c>
      <c r="AJ618" s="53" t="e">
        <f>Table26[[#This Row],[unitprice]]*Table26[[#This Row],[quantity_unit]]</f>
        <v>#VALUE!</v>
      </c>
      <c r="AK618" s="53" t="e" cm="1">
        <f t="array" ref="AK6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19" spans="1:37" ht="18" customHeight="1">
      <c r="A619" s="42">
        <v>1638</v>
      </c>
      <c r="B619" s="58" t="s">
        <v>3520</v>
      </c>
      <c r="C619" s="53" t="s">
        <v>3360</v>
      </c>
      <c r="D619" s="51"/>
      <c r="E619" s="51"/>
      <c r="F61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19" s="46"/>
      <c r="H619" s="53"/>
      <c r="I619" s="53" t="s">
        <v>3862</v>
      </c>
      <c r="J619" s="53" t="s">
        <v>3811</v>
      </c>
      <c r="K619" s="48">
        <v>45611</v>
      </c>
      <c r="L619" s="49" t="str">
        <f>IF(Table26[[#This Row],[customerSKU]]="","",_xlfn.XLOOKUP(Table26[[#This Row],[customerSKU]],customerSKU!G:G,customerSKU!B:B,"",0,1))</f>
        <v/>
      </c>
      <c r="M619" s="53"/>
      <c r="N619" s="77" t="str">
        <f>Table26[[#This Row],[po_number]]&amp;"-"&amp;Table26[[#This Row],[po_line]]</f>
        <v>-1</v>
      </c>
      <c r="O619" s="77">
        <v>1</v>
      </c>
      <c r="P619" s="50"/>
      <c r="Q619" s="53"/>
      <c r="R619" s="53"/>
      <c r="S619" s="53" t="str">
        <f>IF(Table26[[#This Row],[customerSKU]]="","",_xlfn.XLOOKUP(Table26[[#This Row],[customerSKU]],customerSKU!G:G,customerSKU!N:N,"NOT FOUND",0,1))</f>
        <v>NOT FOUND</v>
      </c>
      <c r="T619" s="20"/>
      <c r="U619" s="67">
        <v>12</v>
      </c>
      <c r="V619" s="53" t="str">
        <f>IF(ISBLANK(Table26[[#This Row],[customerSKU]]),"",_xlfn.XLOOKUP(Table26[[#This Row],[customerSKU]],Table27[customer_SKU],Table27[case_size],"",0,1))</f>
        <v/>
      </c>
      <c r="W619" s="116" t="str">
        <f t="shared" si="24"/>
        <v/>
      </c>
      <c r="X619" s="53" t="str">
        <f t="shared" si="25"/>
        <v/>
      </c>
      <c r="Y619" s="53" t="str">
        <f>IF(Table26[[#This Row],[customerSKU]]="","",_xlfn.XLOOKUP(Table26[[#This Row],[customerSKU]],Table27[customer_SKU],Table27[product_GTIN],"",0,1))</f>
        <v/>
      </c>
      <c r="Z619" s="25" t="s">
        <v>3451</v>
      </c>
      <c r="AA619" s="18" t="str" cm="1">
        <f t="array" ref="AA619">IF(P619="", "", _xlfn.XLOOKUP(P619,#REF!,#REF!,NA,0,-1))</f>
        <v/>
      </c>
      <c r="AB619" s="53"/>
      <c r="AC619" s="55" t="str">
        <f>IF(Table26[[#This Row],[customerSKU]]="","",_xlfn.XLOOKUP(Table26[[#This Row],[customerSKU]],customerSKU!G:G,customerSKU!C:C,"",0,1))</f>
        <v/>
      </c>
      <c r="AD619" s="55" t="str">
        <f>IF($AC619="","",_xlfn.XLOOKUP($AC619,'[2]Client Info'!$C$2:$C$2535,'[2]Client Info'!$D$2:$D$2535,"",0,1))</f>
        <v/>
      </c>
      <c r="AE619" s="55" t="str">
        <f>IF($AC619="","",_xlfn.XLOOKUP($AC619,'[2]Client Info'!$C$2:$C$2715,'[2]Client Info'!$E$2:$E$2715,"",))</f>
        <v/>
      </c>
      <c r="AF619" s="55" t="str">
        <f>IF($AC619="","",_xlfn.XLOOKUP($AC619,'[2]Client Info'!$C$2:$C$2715,'[2]Client Info'!$F$2:$F$2715,"",0,1))</f>
        <v/>
      </c>
      <c r="AG619" s="55" t="str">
        <f>IF(ISBLANK(Table26[[#This Row],[customerSKU]]),"",_xlfn.XLOOKUP(Table26[[#This Row],[customerSKU]],Table27[customer_SKU],Table27[billto],"",0,1))</f>
        <v/>
      </c>
      <c r="AH619" s="62" t="str">
        <f>_xlfn.XLOOKUP(Table26[[#This Row],[customerSKU]],customerSKU!G:G,customerSKU!K:K,"NA",0,1)</f>
        <v>NA</v>
      </c>
      <c r="AI619" s="43" t="str">
        <f>_xlfn.XLOOKUP(Table26[[#This Row],[customerSKU]],customerSKU!G:G,customerSKU!O:O,"not found",0,1)</f>
        <v>not found</v>
      </c>
      <c r="AJ619" s="53" t="e">
        <f>Table26[[#This Row],[unitprice]]*Table26[[#This Row],[quantity_unit]]</f>
        <v>#VALUE!</v>
      </c>
      <c r="AK619" s="53" t="e" cm="1">
        <f t="array" ref="AK6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0" spans="1:37" ht="18" customHeight="1">
      <c r="A620" s="42">
        <v>1639</v>
      </c>
      <c r="B620" s="58" t="s">
        <v>3520</v>
      </c>
      <c r="C620" s="53" t="s">
        <v>3360</v>
      </c>
      <c r="D620" s="51"/>
      <c r="E620" s="51"/>
      <c r="F620" s="53"/>
      <c r="G620" s="46"/>
      <c r="H620" s="53"/>
      <c r="I620" s="53" t="s">
        <v>3862</v>
      </c>
      <c r="J620" s="53" t="s">
        <v>3811</v>
      </c>
      <c r="K620" s="48">
        <v>45611</v>
      </c>
      <c r="L620" s="49" t="str">
        <f>IF(Table26[[#This Row],[customerSKU]]="","",_xlfn.XLOOKUP(Table26[[#This Row],[customerSKU]],customerSKU!G:G,customerSKU!B:B,"",0,1))</f>
        <v/>
      </c>
      <c r="M620" s="53"/>
      <c r="N620" s="77" t="str">
        <f>Table26[[#This Row],[po_number]]&amp;"-"&amp;Table26[[#This Row],[po_line]]</f>
        <v>-2</v>
      </c>
      <c r="O620" s="77">
        <v>2</v>
      </c>
      <c r="P620" s="50"/>
      <c r="Q620" s="53"/>
      <c r="R620" s="53"/>
      <c r="S620" s="53" t="str">
        <f>IF(Table26[[#This Row],[customerSKU]]="","",_xlfn.XLOOKUP(Table26[[#This Row],[customerSKU]],customerSKU!G:G,customerSKU!N:N,"NOT FOUND",0,1))</f>
        <v>NOT FOUND</v>
      </c>
      <c r="T620" s="20"/>
      <c r="U620" s="67">
        <v>12</v>
      </c>
      <c r="V620" s="53" t="str">
        <f>IF(ISBLANK(Table26[[#This Row],[customerSKU]]),"",_xlfn.XLOOKUP(Table26[[#This Row],[customerSKU]],Table27[customer_SKU],Table27[case_size],"",0,1))</f>
        <v/>
      </c>
      <c r="W620" s="116" t="str">
        <f t="shared" si="24"/>
        <v/>
      </c>
      <c r="X620" s="53" t="str">
        <f t="shared" si="25"/>
        <v/>
      </c>
      <c r="Y620" s="53" t="str">
        <f>IF(Table26[[#This Row],[customerSKU]]="","",_xlfn.XLOOKUP(Table26[[#This Row],[customerSKU]],Table27[customer_SKU],Table27[product_GTIN],"",0,1))</f>
        <v/>
      </c>
      <c r="Z620" s="25" t="s">
        <v>3452</v>
      </c>
      <c r="AA620" s="18" t="str" cm="1">
        <f t="array" ref="AA620">IF(P620="", "", _xlfn.XLOOKUP(P620,#REF!,#REF!,NA,0,-1))</f>
        <v/>
      </c>
      <c r="AB620" s="53"/>
      <c r="AC620" s="55" t="str">
        <f>IF(Table26[[#This Row],[customerSKU]]="","",_xlfn.XLOOKUP(Table26[[#This Row],[customerSKU]],customerSKU!G:G,customerSKU!C:C,"",0,1))</f>
        <v/>
      </c>
      <c r="AD620" s="55" t="str">
        <f>IF($AC620="","",_xlfn.XLOOKUP($AC620,'[2]Client Info'!$C$2:$C$2535,'[2]Client Info'!$D$2:$D$2535))</f>
        <v/>
      </c>
      <c r="AE620" s="55" t="str">
        <f>IF($AC620="","",_xlfn.XLOOKUP($AC620,'[2]Client Info'!$C$2:$C$2715,'[2]Client Info'!$E$2:$E$2715,"",))</f>
        <v/>
      </c>
      <c r="AF620" s="55" t="str">
        <f>IF($AC620="","",_xlfn.XLOOKUP($AC620,'[2]Client Info'!$C$2:$C$2715,'[2]Client Info'!$F$2:$F$2715,"",0,1))</f>
        <v/>
      </c>
      <c r="AG620" s="55" t="str">
        <f>IF(ISBLANK(Table26[[#This Row],[customerSKU]]),"",_xlfn.XLOOKUP(Table26[[#This Row],[customerSKU]],Table27[customer_SKU],Table27[billto],"",0,1))</f>
        <v/>
      </c>
      <c r="AH620" s="62" t="str">
        <f>_xlfn.XLOOKUP(Table26[[#This Row],[customerSKU]],customerSKU!G:G,customerSKU!K:K,"NA",0,1)</f>
        <v>NA</v>
      </c>
      <c r="AI620" s="43" t="str">
        <f>_xlfn.XLOOKUP(Table26[[#This Row],[customerSKU]],customerSKU!G:G,customerSKU!O:O,"not found",0,1)</f>
        <v>not found</v>
      </c>
      <c r="AJ620" s="53" t="e">
        <f>Table26[[#This Row],[unitprice]]*Table26[[#This Row],[quantity_unit]]</f>
        <v>#VALUE!</v>
      </c>
      <c r="AK620" s="53" t="e" cm="1">
        <f t="array" ref="AK6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1" spans="1:37" ht="18" customHeight="1">
      <c r="A621" s="42">
        <v>1640</v>
      </c>
      <c r="B621" s="58" t="s">
        <v>3520</v>
      </c>
      <c r="C621" s="53" t="s">
        <v>3360</v>
      </c>
      <c r="D621" s="51"/>
      <c r="E621" s="51"/>
      <c r="F62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21" s="46"/>
      <c r="H621" s="53"/>
      <c r="I621" s="53" t="s">
        <v>3862</v>
      </c>
      <c r="J621" s="53" t="s">
        <v>3811</v>
      </c>
      <c r="K621" s="48">
        <v>45611</v>
      </c>
      <c r="L621" s="49" t="str">
        <f>IF(Table26[[#This Row],[customerSKU]]="","",_xlfn.XLOOKUP(Table26[[#This Row],[customerSKU]],customerSKU!G:G,customerSKU!B:B,"",0,1))</f>
        <v/>
      </c>
      <c r="M621" s="53"/>
      <c r="N621" s="77" t="str">
        <f>Table26[[#This Row],[po_number]]&amp;"-"&amp;Table26[[#This Row],[po_line]]</f>
        <v>-1</v>
      </c>
      <c r="O621" s="77">
        <v>1</v>
      </c>
      <c r="P621" s="50"/>
      <c r="Q621" s="53" t="s">
        <v>3847</v>
      </c>
      <c r="R621" s="53" t="s">
        <v>569</v>
      </c>
      <c r="S621" s="53" t="str">
        <f>IF(Table26[[#This Row],[customerSKU]]="","",_xlfn.XLOOKUP(Table26[[#This Row],[customerSKU]],customerSKU!G:G,customerSKU!N:N,"NOT FOUND",0,1))</f>
        <v>NOT FOUND</v>
      </c>
      <c r="T621" s="20">
        <v>45569</v>
      </c>
      <c r="U621" s="52" t="str">
        <f>IF(ISBLANK(Table26[[#This Row],[customerSKU]]),"",_xlfn.XLOOKUP(Table26[[#This Row],[customerSKU]],Table27[customer_SKU],Table27[case_size],"",0,1))</f>
        <v/>
      </c>
      <c r="V621" s="53" t="str">
        <f>IF(ISBLANK(Table26[[#This Row],[customerSKU]]),"",_xlfn.XLOOKUP(Table26[[#This Row],[customerSKU]],Table27[customer_SKU],Table27[case_size],"",0,1))</f>
        <v/>
      </c>
      <c r="W621" s="116" t="str">
        <f t="shared" si="24"/>
        <v/>
      </c>
      <c r="X621" s="53" t="str">
        <f t="shared" si="25"/>
        <v/>
      </c>
      <c r="Y621" s="53" t="str">
        <f>IF(Table26[[#This Row],[customerSKU]]="","",_xlfn.XLOOKUP(Table26[[#This Row],[customerSKU]],Table27[customer_SKU],Table27[product_GTIN],"",0,1))</f>
        <v/>
      </c>
      <c r="Z621" s="60">
        <v>61619</v>
      </c>
      <c r="AA621" s="18" t="str" cm="1">
        <f t="array" ref="AA621">IF(P621="", "", _xlfn.XLOOKUP(P621,#REF!,#REF!,NA,0,-1))</f>
        <v/>
      </c>
      <c r="AB621" s="53"/>
      <c r="AC621" s="55" t="str">
        <f>IF(Table26[[#This Row],[customerSKU]]="","",_xlfn.XLOOKUP(Table26[[#This Row],[customerSKU]],customerSKU!G:G,customerSKU!C:C,"",0,1))</f>
        <v/>
      </c>
      <c r="AD621" s="55" t="str">
        <f>IF($AC621="","",_xlfn.XLOOKUP($AC621,'[2]Client Info'!$C$2:$C$2535,'[2]Client Info'!$D$2:$D$2535,"",0,1))</f>
        <v/>
      </c>
      <c r="AE621" s="55" t="str">
        <f>IF($AC621="","",_xlfn.XLOOKUP($AC621,'[2]Client Info'!$C$2:$C$2715,'[2]Client Info'!$E$2:$E$2715,"",))</f>
        <v/>
      </c>
      <c r="AF621" s="55" t="str">
        <f>IF($AC621="","",_xlfn.XLOOKUP($AC621,'[2]Client Info'!$C$2:$C$2715,'[2]Client Info'!$F$2:$F$2715,"",0,1))</f>
        <v/>
      </c>
      <c r="AG621" s="55" t="str">
        <f>IF(ISBLANK(Table26[[#This Row],[customerSKU]]),"",_xlfn.XLOOKUP(Table26[[#This Row],[customerSKU]],Table27[customer_SKU],Table27[billto],"",0,1))</f>
        <v/>
      </c>
      <c r="AH621" s="62" t="str">
        <f>_xlfn.XLOOKUP(Table26[[#This Row],[customerSKU]],customerSKU!G:G,customerSKU!K:K,"NA",0,1)</f>
        <v>NA</v>
      </c>
      <c r="AI621" s="43" t="str">
        <f>_xlfn.XLOOKUP(Table26[[#This Row],[customerSKU]],customerSKU!G:G,customerSKU!O:O,"not found",0,1)</f>
        <v>not found</v>
      </c>
      <c r="AJ621" s="53" t="e">
        <f>Table26[[#This Row],[unitprice]]*Table26[[#This Row],[quantity_unit]]</f>
        <v>#VALUE!</v>
      </c>
      <c r="AK621" s="53" t="e" cm="1">
        <f t="array" ref="AK6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2" spans="1:37" ht="24.6" customHeight="1">
      <c r="A622" s="42">
        <v>1641</v>
      </c>
      <c r="B622" s="58" t="s">
        <v>3520</v>
      </c>
      <c r="C622" s="53" t="s">
        <v>3360</v>
      </c>
      <c r="D622" s="51"/>
      <c r="E622" s="51"/>
      <c r="F62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22" s="46"/>
      <c r="H622" s="53"/>
      <c r="I622" s="53" t="s">
        <v>3862</v>
      </c>
      <c r="J622" s="53" t="s">
        <v>3811</v>
      </c>
      <c r="K622" s="48">
        <v>45611</v>
      </c>
      <c r="L622" s="49" t="str">
        <f>IF(Table26[[#This Row],[customerSKU]]="","",_xlfn.XLOOKUP(Table26[[#This Row],[customerSKU]],customerSKU!G:G,customerSKU!B:B,"",0,1))</f>
        <v/>
      </c>
      <c r="M622" s="53"/>
      <c r="N622" s="77" t="str">
        <f>Table26[[#This Row],[po_number]]&amp;"-"&amp;Table26[[#This Row],[po_line]]</f>
        <v>-2</v>
      </c>
      <c r="O622" s="77">
        <v>2</v>
      </c>
      <c r="P622" s="50"/>
      <c r="Q622" s="53" t="s">
        <v>1376</v>
      </c>
      <c r="R622" s="53" t="s">
        <v>569</v>
      </c>
      <c r="S622" s="53" t="str">
        <f>IF(Table26[[#This Row],[customerSKU]]="","",_xlfn.XLOOKUP(Table26[[#This Row],[customerSKU]],customerSKU!G:G,customerSKU!N:N,"NOT FOUND",0,1))</f>
        <v>NOT FOUND</v>
      </c>
      <c r="T622" s="20">
        <v>45588</v>
      </c>
      <c r="U622" s="52" t="str">
        <f>IF(ISBLANK(Table26[[#This Row],[customerSKU]]),"",_xlfn.XLOOKUP(Table26[[#This Row],[customerSKU]],Table27[customer_SKU],Table27[case_size],"",0,1))</f>
        <v/>
      </c>
      <c r="V622" s="53" t="str">
        <f>IF(ISBLANK(Table26[[#This Row],[customerSKU]]),"",_xlfn.XLOOKUP(Table26[[#This Row],[customerSKU]],Table27[customer_SKU],Table27[case_size],"",0,1))</f>
        <v/>
      </c>
      <c r="W622" s="116" t="str">
        <f t="shared" si="24"/>
        <v/>
      </c>
      <c r="X622" s="53" t="str">
        <f t="shared" si="25"/>
        <v/>
      </c>
      <c r="Y622" s="53" t="str">
        <f>IF(Table26[[#This Row],[customerSKU]]="","",_xlfn.XLOOKUP(Table26[[#This Row],[customerSKU]],Table27[customer_SKU],Table27[product_GTIN],"",0,1))</f>
        <v/>
      </c>
      <c r="Z622" s="25" t="s">
        <v>3455</v>
      </c>
      <c r="AA622" s="18" t="str" cm="1">
        <f t="array" ref="AA622">IF(P622="", "", _xlfn.XLOOKUP(P622,#REF!,#REF!,NA,0,-1))</f>
        <v/>
      </c>
      <c r="AB622" s="53"/>
      <c r="AC622" s="55" t="str">
        <f>IF(Table26[[#This Row],[customerSKU]]="","",_xlfn.XLOOKUP(Table26[[#This Row],[customerSKU]],customerSKU!G:G,customerSKU!C:C,"",0,1))</f>
        <v/>
      </c>
      <c r="AD622" s="55" t="str">
        <f>IF($AC622="","",_xlfn.XLOOKUP($AC622,'[2]Client Info'!$C$2:$C$2535,'[2]Client Info'!$D$2:$D$2535,"",0,1))</f>
        <v/>
      </c>
      <c r="AE622" s="55" t="str">
        <f>IF($AC622="","",_xlfn.XLOOKUP($AC622,'[2]Client Info'!$C$2:$C$2715,'[2]Client Info'!$E$2:$E$2715,"",))</f>
        <v/>
      </c>
      <c r="AF622" s="55" t="str">
        <f>IF($AC622="","",_xlfn.XLOOKUP($AC622,'[2]Client Info'!$C$2:$C$2715,'[2]Client Info'!$F$2:$F$2715,"",0,1))</f>
        <v/>
      </c>
      <c r="AG622" s="55" t="str">
        <f>IF(ISBLANK(Table26[[#This Row],[customerSKU]]),"",_xlfn.XLOOKUP(Table26[[#This Row],[customerSKU]],Table27[customer_SKU],Table27[billto],"",0,1))</f>
        <v/>
      </c>
      <c r="AH622" s="62" t="str">
        <f>_xlfn.XLOOKUP(Table26[[#This Row],[customerSKU]],customerSKU!G:G,customerSKU!K:K,"NA",0,1)</f>
        <v>NA</v>
      </c>
      <c r="AI622" s="43" t="str">
        <f>_xlfn.XLOOKUP(Table26[[#This Row],[customerSKU]],customerSKU!G:G,customerSKU!O:O,"not found",0,1)</f>
        <v>not found</v>
      </c>
      <c r="AJ622" s="53" t="e">
        <f>Table26[[#This Row],[unitprice]]*Table26[[#This Row],[quantity_unit]]</f>
        <v>#VALUE!</v>
      </c>
      <c r="AK622" s="53" t="e" cm="1">
        <f t="array" ref="AK6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3" spans="1:37" ht="24.6" customHeight="1">
      <c r="A623" s="42">
        <v>1642</v>
      </c>
      <c r="B623" s="58" t="s">
        <v>3520</v>
      </c>
      <c r="C623" s="53" t="s">
        <v>3360</v>
      </c>
      <c r="D623" s="51"/>
      <c r="E623" s="51"/>
      <c r="F62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23" s="46"/>
      <c r="H623" s="53"/>
      <c r="I623" s="53" t="s">
        <v>3862</v>
      </c>
      <c r="J623" s="53" t="s">
        <v>3811</v>
      </c>
      <c r="K623" s="48">
        <v>45611</v>
      </c>
      <c r="L623" s="49" t="str">
        <f>IF(Table26[[#This Row],[customerSKU]]="","",_xlfn.XLOOKUP(Table26[[#This Row],[customerSKU]],customerSKU!G:G,customerSKU!B:B,"",0,1))</f>
        <v/>
      </c>
      <c r="M623" s="60"/>
      <c r="N623" s="77" t="str">
        <f>Table26[[#This Row],[po_number]]&amp;"-"&amp;Table26[[#This Row],[po_line]]</f>
        <v>-1</v>
      </c>
      <c r="O623" s="77">
        <v>1</v>
      </c>
      <c r="P623" s="50"/>
      <c r="Q623" s="53" t="s">
        <v>1311</v>
      </c>
      <c r="R623" s="53" t="s">
        <v>3830</v>
      </c>
      <c r="S623" s="53" t="s">
        <v>57</v>
      </c>
      <c r="T623" s="20">
        <v>45532</v>
      </c>
      <c r="U623" s="52" t="str">
        <f>IF(ISBLANK(Table26[[#This Row],[customerSKU]]),"",_xlfn.XLOOKUP(Table26[[#This Row],[customerSKU]],Table27[customer_SKU],Table27[case_size],"",0,1))</f>
        <v/>
      </c>
      <c r="V623" s="53" t="str">
        <f>IF(ISBLANK(Table26[[#This Row],[customerSKU]]),"",_xlfn.XLOOKUP(Table26[[#This Row],[customerSKU]],Table27[customer_SKU],Table27[case_size],"",0,1))</f>
        <v/>
      </c>
      <c r="W623" s="116" t="str">
        <f t="shared" si="24"/>
        <v/>
      </c>
      <c r="X623" s="53" t="str">
        <f t="shared" si="25"/>
        <v/>
      </c>
      <c r="Y623" s="53" t="str">
        <f>IF(Table26[[#This Row],[customerSKU]]="","",_xlfn.XLOOKUP(Table26[[#This Row],[customerSKU]],Table27[customer_SKU],Table27[product_GTIN],"",0,1))</f>
        <v/>
      </c>
      <c r="Z623" s="60">
        <v>61621</v>
      </c>
      <c r="AA623" s="18" t="str" cm="1">
        <f t="array" ref="AA623">IF(P623="", "", _xlfn.XLOOKUP(P623,#REF!,#REF!,NA,0,-1))</f>
        <v/>
      </c>
      <c r="AB623" s="53"/>
      <c r="AC623" s="55" t="str">
        <f>IF(Table26[[#This Row],[customerSKU]]="","",_xlfn.XLOOKUP(Table26[[#This Row],[customerSKU]],customerSKU!G:G,customerSKU!C:C,"",0,1))</f>
        <v/>
      </c>
      <c r="AD623" s="55" t="str">
        <f>IF($AC623="","",_xlfn.XLOOKUP($AC623,'[2]Client Info'!$C$2:$C$2535,'[2]Client Info'!$D$2:$D$2535,"",0,1))</f>
        <v/>
      </c>
      <c r="AE623" s="55" t="str">
        <f>IF($AC623="","",_xlfn.XLOOKUP($AC623,'[2]Client Info'!$C$2:$C$2715,'[2]Client Info'!$E$2:$E$2715,"",))</f>
        <v/>
      </c>
      <c r="AF623" s="55" t="str">
        <f>IF($AC623="","",_xlfn.XLOOKUP($AC623,'[2]Client Info'!$C$2:$C$2715,'[2]Client Info'!$F$2:$F$2715,"",0,1))</f>
        <v/>
      </c>
      <c r="AG623" s="55" t="str">
        <f>IF(ISBLANK(Table26[[#This Row],[customerSKU]]),"",_xlfn.XLOOKUP(Table26[[#This Row],[customerSKU]],Table27[customer_SKU],Table27[billto],"",0,1))</f>
        <v/>
      </c>
      <c r="AH623" s="62" t="str">
        <f>_xlfn.XLOOKUP(Table26[[#This Row],[customerSKU]],customerSKU!G:G,customerSKU!K:K,"NA",0,1)</f>
        <v>NA</v>
      </c>
      <c r="AI623" s="43" t="str">
        <f>_xlfn.XLOOKUP(Table26[[#This Row],[customerSKU]],customerSKU!G:G,customerSKU!O:O,"not found",0,1)</f>
        <v>not found</v>
      </c>
      <c r="AJ623" s="53" t="e">
        <f>Table26[[#This Row],[unitprice]]*Table26[[#This Row],[quantity_unit]]</f>
        <v>#VALUE!</v>
      </c>
      <c r="AK623" s="53" t="e" cm="1">
        <f t="array" ref="AK6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4" spans="1:37" ht="24.6" customHeight="1">
      <c r="A624" s="42">
        <v>1643</v>
      </c>
      <c r="B624" s="58" t="s">
        <v>3520</v>
      </c>
      <c r="C624" s="53" t="s">
        <v>3360</v>
      </c>
      <c r="D624" s="51"/>
      <c r="E624" s="51"/>
      <c r="F62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24" s="46"/>
      <c r="H624" s="53"/>
      <c r="I624" s="53" t="s">
        <v>3862</v>
      </c>
      <c r="J624" s="53" t="s">
        <v>3811</v>
      </c>
      <c r="K624" s="48">
        <v>45611</v>
      </c>
      <c r="L624" s="49" t="str">
        <f>IF(Table26[[#This Row],[customerSKU]]="","",_xlfn.XLOOKUP(Table26[[#This Row],[customerSKU]],customerSKU!G:G,customerSKU!B:B,"",0,1))</f>
        <v/>
      </c>
      <c r="M624" s="53"/>
      <c r="N624" s="77" t="str">
        <f>Table26[[#This Row],[po_number]]&amp;"-"&amp;Table26[[#This Row],[po_line]]</f>
        <v>-1</v>
      </c>
      <c r="O624" s="77">
        <v>1</v>
      </c>
      <c r="P624" s="50"/>
      <c r="Q624" s="53" t="s">
        <v>3859</v>
      </c>
      <c r="R624" s="53" t="s">
        <v>569</v>
      </c>
      <c r="S624" s="53" t="str">
        <f>IF(Table26[[#This Row],[customerSKU]]="","",_xlfn.XLOOKUP(Table26[[#This Row],[customerSKU]],customerSKU!G:G,customerSKU!N:N,"NOT FOUND",0,1))</f>
        <v>NOT FOUND</v>
      </c>
      <c r="T624" s="20">
        <v>45588</v>
      </c>
      <c r="U624" s="52" t="str">
        <f>IF(ISBLANK(Table26[[#This Row],[customerSKU]]),"",_xlfn.XLOOKUP(Table26[[#This Row],[customerSKU]],Table27[customer_SKU],Table27[case_size],"",0,1))</f>
        <v/>
      </c>
      <c r="V624" s="53" t="str">
        <f>IF(ISBLANK(Table26[[#This Row],[customerSKU]]),"",_xlfn.XLOOKUP(Table26[[#This Row],[customerSKU]],Table27[customer_SKU],Table27[case_size],"",0,1))</f>
        <v/>
      </c>
      <c r="W624" s="116" t="str">
        <f t="shared" si="24"/>
        <v/>
      </c>
      <c r="X624" s="53" t="str">
        <f t="shared" si="25"/>
        <v/>
      </c>
      <c r="Y624" s="53" t="str">
        <f>IF(Table26[[#This Row],[customerSKU]]="","",_xlfn.XLOOKUP(Table26[[#This Row],[customerSKU]],Table27[customer_SKU],Table27[product_GTIN],"",0,1))</f>
        <v/>
      </c>
      <c r="Z624" s="25" t="s">
        <v>3381</v>
      </c>
      <c r="AA624" s="18" t="str" cm="1">
        <f t="array" ref="AA624">IF(P624="", "", _xlfn.XLOOKUP(P624,#REF!,#REF!,NA,0,-1))</f>
        <v/>
      </c>
      <c r="AB624" s="53"/>
      <c r="AC624" s="55" t="str">
        <f>IF(Table26[[#This Row],[customerSKU]]="","",_xlfn.XLOOKUP(Table26[[#This Row],[customerSKU]],customerSKU!G:G,customerSKU!C:C,"",0,1))</f>
        <v/>
      </c>
      <c r="AD624" s="55" t="str">
        <f>IF($AC624="","",_xlfn.XLOOKUP($AC624,'[2]Client Info'!$C$2:$C$2535,'[2]Client Info'!$D$2:$D$2535,"",0,1))</f>
        <v/>
      </c>
      <c r="AE624" s="55" t="str">
        <f>IF($AC624="","",_xlfn.XLOOKUP($AC624,'[2]Client Info'!$C$2:$C$2715,'[2]Client Info'!$E$2:$E$2715,"",))</f>
        <v/>
      </c>
      <c r="AF624" s="55" t="str">
        <f>IF($AC624="","",_xlfn.XLOOKUP($AC624,'[2]Client Info'!$C$2:$C$2715,'[2]Client Info'!$F$2:$F$2715,"",0,1))</f>
        <v/>
      </c>
      <c r="AG624" s="55" t="str">
        <f>IF(ISBLANK(Table26[[#This Row],[customerSKU]]),"",_xlfn.XLOOKUP(Table26[[#This Row],[customerSKU]],Table27[customer_SKU],Table27[billto],"",0,1))</f>
        <v/>
      </c>
      <c r="AH624" s="62" t="str">
        <f>_xlfn.XLOOKUP(Table26[[#This Row],[customerSKU]],customerSKU!G:G,customerSKU!K:K,"NA",0,1)</f>
        <v>NA</v>
      </c>
      <c r="AI624" s="43" t="str">
        <f>_xlfn.XLOOKUP(Table26[[#This Row],[customerSKU]],customerSKU!G:G,customerSKU!O:O,"not found",0,1)</f>
        <v>not found</v>
      </c>
      <c r="AJ624" s="53" t="e">
        <f>Table26[[#This Row],[unitprice]]*Table26[[#This Row],[quantity_unit]]</f>
        <v>#VALUE!</v>
      </c>
      <c r="AK624" s="53" t="e" cm="1">
        <f t="array" ref="AK6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25" spans="1:37" ht="24.6" customHeight="1">
      <c r="A625" s="42">
        <v>1644</v>
      </c>
      <c r="B625" s="249" t="s">
        <v>3520</v>
      </c>
      <c r="C625" s="90" t="s">
        <v>203</v>
      </c>
      <c r="D625" s="235">
        <v>45611</v>
      </c>
      <c r="E625" s="235">
        <v>45614</v>
      </c>
      <c r="F625" s="90"/>
      <c r="G625" s="46"/>
      <c r="H625" s="90"/>
      <c r="I625" s="242" t="s">
        <v>3862</v>
      </c>
      <c r="J625" s="90" t="str">
        <f>IF(Table26[[#This Row],[customerSKU]]="","",_xlfn.XLOOKUP(Table26[[#This Row],[customerSKU]],customerSKU!G:G,customerSKU!A:A,"",0,1))</f>
        <v/>
      </c>
      <c r="K625" s="232">
        <v>45611</v>
      </c>
      <c r="L625" s="233" t="str">
        <f>IF(Table26[[#This Row],[customerSKU]]="","",_xlfn.XLOOKUP(Table26[[#This Row],[customerSKU]],customerSKU!G:G,customerSKU!B:B,"",0,1))</f>
        <v/>
      </c>
      <c r="M625" s="90"/>
      <c r="N625" s="55" t="str">
        <f>Table26[[#This Row],[po_number]]&amp;"-"&amp;Table26[[#This Row],[po_line]]</f>
        <v>-1</v>
      </c>
      <c r="O625" s="55">
        <v>1</v>
      </c>
      <c r="P625" s="234"/>
      <c r="Q625" s="90" t="s">
        <v>4038</v>
      </c>
      <c r="R625" s="90" t="s">
        <v>569</v>
      </c>
      <c r="S625" s="90" t="str">
        <f>IF(Table26[[#This Row],[customerSKU]]="","",_xlfn.XLOOKUP(Table26[[#This Row],[customerSKU]],customerSKU!G:G,customerSKU!N:N,"NOT FOUND",0,1))</f>
        <v>NOT FOUND</v>
      </c>
      <c r="T625" s="20">
        <v>45605</v>
      </c>
      <c r="U625" s="236">
        <f>75*6</f>
        <v>450</v>
      </c>
      <c r="V625" s="90" t="str">
        <f>IF(ISBLANK(Table26[[#This Row],[customerSKU]]),"",_xlfn.XLOOKUP(Table26[[#This Row],[customerSKU]],Table27[customer_SKU],Table27[case_size],"",0,1))</f>
        <v/>
      </c>
      <c r="W625" s="237" t="str">
        <f t="shared" si="24"/>
        <v/>
      </c>
      <c r="X625" s="90" t="str">
        <f t="shared" si="25"/>
        <v/>
      </c>
      <c r="Y625" s="90" t="str">
        <f>IF(Table26[[#This Row],[customerSKU]]="","",_xlfn.XLOOKUP(Table26[[#This Row],[customerSKU]],Table27[customer_SKU],Table27[product_GTIN],"",0,1))</f>
        <v/>
      </c>
      <c r="Z625" s="272" t="s">
        <v>4039</v>
      </c>
      <c r="AA625" s="18" t="str" cm="1">
        <f t="array" ref="AA625">IF(P625="", "", _xlfn.XLOOKUP(P625,#REF!,#REF!,NA,0,-1))</f>
        <v/>
      </c>
      <c r="AB625" s="90"/>
      <c r="AC625" s="55" t="str">
        <f>IF(Table26[[#This Row],[customerSKU]]="","",_xlfn.XLOOKUP(Table26[[#This Row],[customerSKU]],customerSKU!G:G,customerSKU!C:C,"",0,1))</f>
        <v/>
      </c>
      <c r="AD625" s="55" t="str">
        <f>IF($AC625="","",_xlfn.XLOOKUP($AC625,'[2]Client Info'!$C$2:$C$2535,'[2]Client Info'!$D$2:$D$2535,"",0,1))</f>
        <v/>
      </c>
      <c r="AE625" s="55" t="str">
        <f>IF($AC625="","",_xlfn.XLOOKUP($AC625,'[2]Client Info'!$C$2:$C$2715,'[2]Client Info'!$E$2:$E$2715,"",))</f>
        <v/>
      </c>
      <c r="AF625" s="55" t="str">
        <f>IF($AC625="","",_xlfn.XLOOKUP($AC625,'[2]Client Info'!$C$2:$C$2715,'[2]Client Info'!$F$2:$F$2715,"",0,1))</f>
        <v/>
      </c>
      <c r="AG625" s="55" t="str">
        <f>IF(ISBLANK(Table26[[#This Row],[customerSKU]]),"",_xlfn.XLOOKUP(Table26[[#This Row],[customerSKU]],Table27[customer_SKU],Table27[billto],"",0,1))</f>
        <v/>
      </c>
      <c r="AH625" s="245" t="str">
        <f>_xlfn.XLOOKUP(Table26[[#This Row],[customerSKU]],customerSKU!G:G,customerSKU!K:K,"NA",0,1)</f>
        <v>NA</v>
      </c>
      <c r="AI625" s="43" t="str">
        <f>_xlfn.XLOOKUP(Table26[[#This Row],[customerSKU]],customerSKU!G:G,customerSKU!O:O,"not found",0,1)</f>
        <v>not found</v>
      </c>
      <c r="AJ625" s="53" t="e">
        <f>Table26[[#This Row],[unitprice]]*Table26[[#This Row],[quantity_unit]]</f>
        <v>#VALUE!</v>
      </c>
      <c r="AK625" s="53" t="e" cm="1">
        <f t="array" ref="AK6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26" spans="1:37" ht="18" customHeight="1">
      <c r="A626" s="42">
        <v>1645</v>
      </c>
      <c r="B626" s="249" t="s">
        <v>3520</v>
      </c>
      <c r="C626" s="90" t="s">
        <v>203</v>
      </c>
      <c r="D626" s="235">
        <v>45611</v>
      </c>
      <c r="E626" s="235">
        <v>45614</v>
      </c>
      <c r="F626" s="90"/>
      <c r="G626" s="46"/>
      <c r="H626" s="90"/>
      <c r="I626" s="242" t="s">
        <v>3862</v>
      </c>
      <c r="J626" s="90" t="str">
        <f>IF(Table26[[#This Row],[customerSKU]]="","",_xlfn.XLOOKUP(Table26[[#This Row],[customerSKU]],customerSKU!G:G,customerSKU!A:A,"",0,1))</f>
        <v/>
      </c>
      <c r="K626" s="232">
        <v>45611</v>
      </c>
      <c r="L626" s="233" t="str">
        <f>IF(Table26[[#This Row],[customerSKU]]="","",_xlfn.XLOOKUP(Table26[[#This Row],[customerSKU]],customerSKU!G:G,customerSKU!B:B,"",0,1))</f>
        <v/>
      </c>
      <c r="M626" s="90"/>
      <c r="N626" s="55" t="str">
        <f>Table26[[#This Row],[po_number]]&amp;"-"&amp;Table26[[#This Row],[po_line]]</f>
        <v>-2</v>
      </c>
      <c r="O626" s="55">
        <v>2</v>
      </c>
      <c r="P626" s="234"/>
      <c r="Q626" s="90" t="s">
        <v>4040</v>
      </c>
      <c r="R626" s="90" t="s">
        <v>569</v>
      </c>
      <c r="S626" s="90" t="str">
        <f>IF(Table26[[#This Row],[customerSKU]]="","",_xlfn.XLOOKUP(Table26[[#This Row],[customerSKU]],customerSKU!G:G,customerSKU!N:N,"NOT FOUND",0,1))</f>
        <v>NOT FOUND</v>
      </c>
      <c r="T626" s="20">
        <v>45605</v>
      </c>
      <c r="U626" s="236">
        <f>75*6</f>
        <v>450</v>
      </c>
      <c r="V626" s="90" t="str">
        <f>IF(ISBLANK(Table26[[#This Row],[customerSKU]]),"",_xlfn.XLOOKUP(Table26[[#This Row],[customerSKU]],Table27[customer_SKU],Table27[case_size],"",0,1))</f>
        <v/>
      </c>
      <c r="W626" s="237" t="str">
        <f t="shared" si="24"/>
        <v/>
      </c>
      <c r="X626" s="90" t="str">
        <f t="shared" si="25"/>
        <v/>
      </c>
      <c r="Y626" s="90" t="str">
        <f>IF(Table26[[#This Row],[customerSKU]]="","",_xlfn.XLOOKUP(Table26[[#This Row],[customerSKU]],Table27[customer_SKU],Table27[product_GTIN],"",0,1))</f>
        <v/>
      </c>
      <c r="Z626" s="272" t="s">
        <v>3557</v>
      </c>
      <c r="AA626" s="18" t="str" cm="1">
        <f t="array" ref="AA626">IF(P626="", "", _xlfn.XLOOKUP(P626,#REF!,#REF!,NA,0,-1))</f>
        <v/>
      </c>
      <c r="AB626" s="90"/>
      <c r="AC626" s="55" t="str">
        <f>IF(Table26[[#This Row],[customerSKU]]="","",_xlfn.XLOOKUP(Table26[[#This Row],[customerSKU]],customerSKU!G:G,customerSKU!C:C,"",0,1))</f>
        <v/>
      </c>
      <c r="AD626" s="55" t="str">
        <f>IF($AC626="","",_xlfn.XLOOKUP($AC626,'[2]Client Info'!$C$2:$C$2535,'[2]Client Info'!$D$2:$D$2535,"",0,1))</f>
        <v/>
      </c>
      <c r="AE626" s="55" t="str">
        <f>IF($AC626="","",_xlfn.XLOOKUP($AC626,'[2]Client Info'!$C$2:$C$2715,'[2]Client Info'!$E$2:$E$2715,"",))</f>
        <v/>
      </c>
      <c r="AF626" s="55" t="str">
        <f>IF($AC626="","",_xlfn.XLOOKUP($AC626,'[2]Client Info'!$C$2:$C$2715,'[2]Client Info'!$F$2:$F$2715,"",0,1))</f>
        <v/>
      </c>
      <c r="AG626" s="55" t="str">
        <f>IF(ISBLANK(Table26[[#This Row],[customerSKU]]),"",_xlfn.XLOOKUP(Table26[[#This Row],[customerSKU]],Table27[customer_SKU],Table27[billto],"",0,1))</f>
        <v/>
      </c>
      <c r="AH626" s="245" t="str">
        <f>_xlfn.XLOOKUP(Table26[[#This Row],[customerSKU]],customerSKU!G:G,customerSKU!K:K,"NA",0,1)</f>
        <v>NA</v>
      </c>
      <c r="AI626" s="43" t="str">
        <f>_xlfn.XLOOKUP(Table26[[#This Row],[customerSKU]],customerSKU!G:G,customerSKU!O:O,"not found",0,1)</f>
        <v>not found</v>
      </c>
      <c r="AJ626" s="53" t="e">
        <f>Table26[[#This Row],[unitprice]]*Table26[[#This Row],[quantity_unit]]</f>
        <v>#VALUE!</v>
      </c>
      <c r="AK626" s="53" t="e" cm="1">
        <f t="array" ref="AK6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27" spans="1:37" ht="18" customHeight="1">
      <c r="A627" s="42">
        <v>1646</v>
      </c>
      <c r="B627" s="249" t="s">
        <v>3520</v>
      </c>
      <c r="C627" s="90" t="s">
        <v>203</v>
      </c>
      <c r="D627" s="235">
        <v>45611</v>
      </c>
      <c r="E627" s="235">
        <v>45614</v>
      </c>
      <c r="F627" s="90"/>
      <c r="G627" s="46"/>
      <c r="H627" s="90"/>
      <c r="I627" s="242" t="s">
        <v>3862</v>
      </c>
      <c r="J627" s="90" t="str">
        <f>IF(Table26[[#This Row],[customerSKU]]="","",_xlfn.XLOOKUP(Table26[[#This Row],[customerSKU]],customerSKU!G:G,customerSKU!A:A,"",0,1))</f>
        <v/>
      </c>
      <c r="K627" s="232">
        <v>45611</v>
      </c>
      <c r="L627" s="233" t="str">
        <f>IF(Table26[[#This Row],[customerSKU]]="","",_xlfn.XLOOKUP(Table26[[#This Row],[customerSKU]],customerSKU!G:G,customerSKU!B:B,"",0,1))</f>
        <v/>
      </c>
      <c r="M627" s="90"/>
      <c r="N627" s="55" t="str">
        <f>Table26[[#This Row],[po_number]]&amp;"-"&amp;Table26[[#This Row],[po_line]]</f>
        <v>-1</v>
      </c>
      <c r="O627" s="55">
        <v>1</v>
      </c>
      <c r="P627" s="234"/>
      <c r="Q627" s="90" t="s">
        <v>4041</v>
      </c>
      <c r="R627" s="90" t="s">
        <v>569</v>
      </c>
      <c r="S627" s="90" t="str">
        <f>IF(Table26[[#This Row],[customerSKU]]="","",_xlfn.XLOOKUP(Table26[[#This Row],[customerSKU]],customerSKU!G:G,customerSKU!N:N,"NOT FOUND",0,1))</f>
        <v>NOT FOUND</v>
      </c>
      <c r="T627" s="20">
        <v>45612</v>
      </c>
      <c r="U627" s="236">
        <f>6*150</f>
        <v>900</v>
      </c>
      <c r="V627" s="90" t="str">
        <f>IF(ISBLANK(Table26[[#This Row],[customerSKU]]),"",_xlfn.XLOOKUP(Table26[[#This Row],[customerSKU]],Table27[customer_SKU],Table27[case_size],"",0,1))</f>
        <v/>
      </c>
      <c r="W627" s="237" t="str">
        <f t="shared" si="24"/>
        <v/>
      </c>
      <c r="X627" s="90" t="str">
        <f t="shared" si="25"/>
        <v/>
      </c>
      <c r="Y627" s="90" t="str">
        <f>IF(Table26[[#This Row],[customerSKU]]="","",_xlfn.XLOOKUP(Table26[[#This Row],[customerSKU]],Table27[customer_SKU],Table27[product_GTIN],"",0,1))</f>
        <v/>
      </c>
      <c r="Z627" s="272" t="s">
        <v>4042</v>
      </c>
      <c r="AA627" s="18" t="str" cm="1">
        <f t="array" ref="AA627">IF(P627="", "", _xlfn.XLOOKUP(P627,#REF!,#REF!,NA,0,-1))</f>
        <v/>
      </c>
      <c r="AB627" s="90"/>
      <c r="AC627" s="55" t="str">
        <f>IF(Table26[[#This Row],[customerSKU]]="","",_xlfn.XLOOKUP(Table26[[#This Row],[customerSKU]],customerSKU!G:G,customerSKU!C:C,"",0,1))</f>
        <v/>
      </c>
      <c r="AD627" s="55" t="str">
        <f>IF($AC627="","",_xlfn.XLOOKUP($AC627,'[2]Client Info'!$C$2:$C$2535,'[2]Client Info'!$D$2:$D$2535,"",0,1))</f>
        <v/>
      </c>
      <c r="AE627" s="55" t="str">
        <f>IF($AC627="","",_xlfn.XLOOKUP($AC627,'[2]Client Info'!$C$2:$C$2715,'[2]Client Info'!$E$2:$E$2715,"",))</f>
        <v/>
      </c>
      <c r="AF627" s="55" t="str">
        <f>IF($AC627="","",_xlfn.XLOOKUP($AC627,'[2]Client Info'!$C$2:$C$2715,'[2]Client Info'!$F$2:$F$2715,"",0,1))</f>
        <v/>
      </c>
      <c r="AG627" s="55" t="str">
        <f>IF(ISBLANK(Table26[[#This Row],[customerSKU]]),"",_xlfn.XLOOKUP(Table26[[#This Row],[customerSKU]],Table27[customer_SKU],Table27[billto],"",0,1))</f>
        <v/>
      </c>
      <c r="AH627" s="245" t="str">
        <f>_xlfn.XLOOKUP(Table26[[#This Row],[customerSKU]],customerSKU!G:G,customerSKU!K:K,"NA",0,1)</f>
        <v>NA</v>
      </c>
      <c r="AI627" s="43" t="str">
        <f>_xlfn.XLOOKUP(Table26[[#This Row],[customerSKU]],customerSKU!G:G,customerSKU!O:O,"not found",0,1)</f>
        <v>not found</v>
      </c>
      <c r="AJ627" s="53" t="e">
        <f>Table26[[#This Row],[unitprice]]*Table26[[#This Row],[quantity_unit]]</f>
        <v>#VALUE!</v>
      </c>
      <c r="AK627" s="53" t="e" cm="1">
        <f t="array" ref="AK6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28" spans="1:37" ht="18" customHeight="1">
      <c r="A628" s="42">
        <v>1612</v>
      </c>
      <c r="B628" s="58" t="s">
        <v>3520</v>
      </c>
      <c r="C628" s="53" t="s">
        <v>203</v>
      </c>
      <c r="D628" s="51"/>
      <c r="E628" s="51"/>
      <c r="F62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28" s="46"/>
      <c r="H628" s="53"/>
      <c r="I628" s="53" t="s">
        <v>3818</v>
      </c>
      <c r="J628" s="53" t="str">
        <f>IF(Table26[[#This Row],[customerSKU]]="","",_xlfn.XLOOKUP(Table26[[#This Row],[customerSKU]],customerSKU!G:G,customerSKU!A:A,"",0,1))</f>
        <v/>
      </c>
      <c r="K628" s="48">
        <v>45615</v>
      </c>
      <c r="L628" s="49" t="str">
        <f>IF(Table26[[#This Row],[customerSKU]]="","",_xlfn.XLOOKUP(Table26[[#This Row],[customerSKU]],customerSKU!G:G,customerSKU!B:B,"",0,1))</f>
        <v/>
      </c>
      <c r="M628" s="53"/>
      <c r="N628" s="77" t="str">
        <f>Table26[[#This Row],[po_number]]&amp;"-"&amp;Table26[[#This Row],[po_line]]</f>
        <v>-1</v>
      </c>
      <c r="O628" s="77">
        <v>1</v>
      </c>
      <c r="P628" s="50"/>
      <c r="Q628" s="53" t="s">
        <v>934</v>
      </c>
      <c r="R628" s="53" t="s">
        <v>3559</v>
      </c>
      <c r="S628" s="53" t="s">
        <v>3344</v>
      </c>
      <c r="T628" s="20">
        <v>45596</v>
      </c>
      <c r="U628" s="52">
        <v>12</v>
      </c>
      <c r="V628" s="53" t="str">
        <f>IF(ISBLANK(Table26[[#This Row],[customerSKU]]),"",_xlfn.XLOOKUP(Table26[[#This Row],[customerSKU]],Table27[customer_SKU],Table27[case_size],"",0,1))</f>
        <v/>
      </c>
      <c r="W628" s="116" t="str">
        <f t="shared" si="24"/>
        <v/>
      </c>
      <c r="X628" s="53" t="str">
        <f t="shared" si="25"/>
        <v/>
      </c>
      <c r="Y628" s="53" t="str">
        <f>IF(Table26[[#This Row],[customerSKU]]="","",_xlfn.XLOOKUP(Table26[[#This Row],[customerSKU]],Table27[customer_SKU],Table27[product_GTIN],"",0,1))</f>
        <v/>
      </c>
      <c r="Z628" s="25" t="s">
        <v>3543</v>
      </c>
      <c r="AA628" s="18" t="str" cm="1">
        <f t="array" ref="AA628">IF(P628="", "", _xlfn.XLOOKUP(P628,#REF!,#REF!,NA,0,-1))</f>
        <v/>
      </c>
      <c r="AB628" s="53"/>
      <c r="AC628" s="55" t="s">
        <v>141</v>
      </c>
      <c r="AD628" s="55" t="str">
        <f>IF($AC628="","",_xlfn.XLOOKUP($AC628,'[2]Client Info'!$C$2:$C$2535,'[2]Client Info'!$D$2:$D$2535,"",0,1))</f>
        <v>8156 E PR 415&amp; HWY7</v>
      </c>
      <c r="AE628" s="55" t="str">
        <f>IF($AC628="","",_xlfn.XLOOKUP($AC628,'[2]Client Info'!$C$2:$C$2715,'[2]Client Info'!$E$2:$E$2715,"",))</f>
        <v>TEULON</v>
      </c>
      <c r="AF628" s="55" t="str">
        <f>IF($AC628="","",_xlfn.XLOOKUP($AC628,'[2]Client Info'!$C$2:$C$2715,'[2]Client Info'!$F$2:$F$2715,"",0,1))</f>
        <v>MB</v>
      </c>
      <c r="AG628" s="55" t="str">
        <f>IF(ISBLANK(Table26[[#This Row],[customerSKU]]),"",_xlfn.XLOOKUP(Table26[[#This Row],[customerSKU]],Table27[customer_SKU],Table27[billto],"",0,1))</f>
        <v/>
      </c>
      <c r="AH628" s="62" t="str">
        <f>_xlfn.XLOOKUP(Table26[[#This Row],[customerSKU]],customerSKU!G:G,customerSKU!K:K,"NA",0,1)</f>
        <v>NA</v>
      </c>
      <c r="AI628" s="43" t="str">
        <f>_xlfn.XLOOKUP(Table26[[#This Row],[customerSKU]],customerSKU!G:G,customerSKU!O:O,"not found",0,1)</f>
        <v>not found</v>
      </c>
      <c r="AJ628" s="53" t="e">
        <f>Table26[[#This Row],[unitprice]]*Table26[[#This Row],[quantity_unit]]</f>
        <v>#VALUE!</v>
      </c>
      <c r="AK628" s="53" t="e" cm="1">
        <f t="array" ref="AK6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29" spans="1:37" ht="18" customHeight="1">
      <c r="A629" s="42">
        <v>1613</v>
      </c>
      <c r="B629" s="249" t="s">
        <v>3520</v>
      </c>
      <c r="C629" s="90" t="s">
        <v>203</v>
      </c>
      <c r="D629" s="235"/>
      <c r="E629" s="235"/>
      <c r="F62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29" s="46"/>
      <c r="H629" s="90"/>
      <c r="I629" s="90" t="s">
        <v>3818</v>
      </c>
      <c r="J629" s="90" t="str">
        <f>IF(Table26[[#This Row],[customerSKU]]="","",_xlfn.XLOOKUP(Table26[[#This Row],[customerSKU]],customerSKU!G:G,customerSKU!A:A,"",0,1))</f>
        <v/>
      </c>
      <c r="K629" s="232">
        <v>45615</v>
      </c>
      <c r="L629" s="233" t="str">
        <f>IF(Table26[[#This Row],[customerSKU]]="","",_xlfn.XLOOKUP(Table26[[#This Row],[customerSKU]],customerSKU!G:G,customerSKU!B:B,"",0,1))</f>
        <v/>
      </c>
      <c r="M629" s="90"/>
      <c r="N629" s="55" t="str">
        <f>Table26[[#This Row],[po_number]]&amp;"-"&amp;Table26[[#This Row],[po_line]]</f>
        <v>-1</v>
      </c>
      <c r="O629" s="55">
        <v>1</v>
      </c>
      <c r="P629" s="234"/>
      <c r="Q629" s="90" t="s">
        <v>1306</v>
      </c>
      <c r="R629" s="90" t="s">
        <v>569</v>
      </c>
      <c r="S629" s="90" t="s">
        <v>114</v>
      </c>
      <c r="T629" s="20">
        <v>45576</v>
      </c>
      <c r="U629" s="236">
        <v>24</v>
      </c>
      <c r="V629" s="90" t="str">
        <f>IF(ISBLANK(Table26[[#This Row],[customerSKU]]),"",_xlfn.XLOOKUP(Table26[[#This Row],[customerSKU]],Table27[customer_SKU],Table27[case_size],"",0,1))</f>
        <v/>
      </c>
      <c r="W629" s="237" t="str">
        <f t="shared" si="24"/>
        <v/>
      </c>
      <c r="X629" s="90" t="str">
        <f t="shared" si="25"/>
        <v/>
      </c>
      <c r="Y629" s="90" t="str">
        <f>IF(Table26[[#This Row],[customerSKU]]="","",_xlfn.XLOOKUP(Table26[[#This Row],[customerSKU]],Table27[customer_SKU],Table27[product_GTIN],"",0,1))</f>
        <v/>
      </c>
      <c r="Z629" s="25" t="s">
        <v>3374</v>
      </c>
      <c r="AA629" s="18" t="str" cm="1">
        <f t="array" ref="AA629">IF(P629="", "", _xlfn.XLOOKUP(P629,#REF!,#REF!,NA,0,-1))</f>
        <v/>
      </c>
      <c r="AB629" s="90"/>
      <c r="AC629" s="55" t="s">
        <v>3861</v>
      </c>
      <c r="AD629" s="55" t="str">
        <f>IF($AC629="","",_xlfn.XLOOKUP($AC629,'[2]Client Info'!$C$2:$C$2535,'[2]Client Info'!$D$2:$D$2535,"",0,1))</f>
        <v>9750 Chemainus Road</v>
      </c>
      <c r="AE629" s="55" t="str">
        <f>IF($AC629="","",_xlfn.XLOOKUP($AC629,'[2]Client Info'!$C$2:$C$2715,'[2]Client Info'!$E$2:$E$2715,"",))</f>
        <v>Chemainus</v>
      </c>
      <c r="AF629" s="55" t="str">
        <f>IF($AC629="","",_xlfn.XLOOKUP($AC629,'[2]Client Info'!$C$2:$C$2715,'[2]Client Info'!$F$2:$F$2715,"",0,1))</f>
        <v xml:space="preserve">BC </v>
      </c>
      <c r="AG629" s="55" t="s">
        <v>3861</v>
      </c>
      <c r="AH629" s="245" t="str">
        <f>_xlfn.XLOOKUP(Table26[[#This Row],[customerSKU]],customerSKU!G:G,customerSKU!K:K,"NA",0,1)</f>
        <v>NA</v>
      </c>
      <c r="AI629" s="43" t="str">
        <f>_xlfn.XLOOKUP(Table26[[#This Row],[customerSKU]],customerSKU!G:G,customerSKU!O:O,"not found",0,1)</f>
        <v>not found</v>
      </c>
      <c r="AJ629" s="53" t="e">
        <f>Table26[[#This Row],[unitprice]]*Table26[[#This Row],[quantity_unit]]</f>
        <v>#VALUE!</v>
      </c>
      <c r="AK629" s="53" t="e" cm="1">
        <f t="array" ref="AK6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30" spans="1:37" ht="18" customHeight="1">
      <c r="A630" s="42">
        <v>1614</v>
      </c>
      <c r="B630" s="58" t="s">
        <v>3520</v>
      </c>
      <c r="C630" s="53" t="s">
        <v>203</v>
      </c>
      <c r="D630" s="51"/>
      <c r="E630" s="51"/>
      <c r="F63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0" s="46"/>
      <c r="H630" s="53"/>
      <c r="I630" s="53" t="s">
        <v>3862</v>
      </c>
      <c r="J630" s="53" t="s">
        <v>3964</v>
      </c>
      <c r="K630" s="48">
        <v>45615</v>
      </c>
      <c r="L630" s="49" t="s">
        <v>490</v>
      </c>
      <c r="M630" s="53"/>
      <c r="N630" s="77" t="str">
        <f>Table26[[#This Row],[po_number]]&amp;"-"&amp;Table26[[#This Row],[po_line]]</f>
        <v>-1</v>
      </c>
      <c r="O630" s="77">
        <v>1</v>
      </c>
      <c r="P630" s="50"/>
      <c r="Q630" s="53" t="s">
        <v>3953</v>
      </c>
      <c r="R630" s="53" t="s">
        <v>569</v>
      </c>
      <c r="S630" s="53" t="s">
        <v>135</v>
      </c>
      <c r="T630" s="20">
        <v>45587</v>
      </c>
      <c r="U630" s="52">
        <f>46*12</f>
        <v>552</v>
      </c>
      <c r="V630" s="53">
        <v>12</v>
      </c>
      <c r="W630" s="116">
        <f t="shared" si="24"/>
        <v>46</v>
      </c>
      <c r="X630" s="53" t="str">
        <f t="shared" si="25"/>
        <v/>
      </c>
      <c r="Y630" s="53" t="str">
        <f>IF(Table26[[#This Row],[customerSKU]]="","",_xlfn.XLOOKUP(Table26[[#This Row],[customerSKU]],Table27[customer_SKU],Table27[product_GTIN],"",0,1))</f>
        <v/>
      </c>
      <c r="Z630" s="60" t="s">
        <v>3965</v>
      </c>
      <c r="AA630" s="18" t="str" cm="1">
        <f t="array" ref="AA630">IF(P630="", "", _xlfn.XLOOKUP(P630,#REF!,#REF!,NA,0,-1))</f>
        <v/>
      </c>
      <c r="AB630" s="53"/>
      <c r="AC630" s="55" t="str">
        <f>IF(Table26[[#This Row],[customerSKU]]="","",_xlfn.XLOOKUP(Table26[[#This Row],[customerSKU]],customerSKU!G:G,customerSKU!C:C,"",0,1))</f>
        <v/>
      </c>
      <c r="AD630" s="55" t="str">
        <f>IF($AC630="","",_xlfn.XLOOKUP($AC630,'[2]Client Info'!$C$2:$C$2535,'[2]Client Info'!$D$2:$D$2535,"",0,1))</f>
        <v/>
      </c>
      <c r="AE630" s="55" t="str">
        <f>IF($AC630="","",_xlfn.XLOOKUP($AC630,'[2]Client Info'!$C$2:$C$2715,'[2]Client Info'!$E$2:$E$2715,"",))</f>
        <v/>
      </c>
      <c r="AF630" s="55" t="str">
        <f>IF($AC630="","",_xlfn.XLOOKUP($AC630,'[2]Client Info'!$C$2:$C$2715,'[2]Client Info'!$F$2:$F$2715,"",0,1))</f>
        <v/>
      </c>
      <c r="AG630" s="55" t="str">
        <f>IF(ISBLANK(Table26[[#This Row],[customerSKU]]),"",_xlfn.XLOOKUP(Table26[[#This Row],[customerSKU]],Table27[customer_SKU],Table27[billto],"",0,1))</f>
        <v/>
      </c>
      <c r="AH630" s="62" t="str">
        <f>_xlfn.XLOOKUP(Table26[[#This Row],[customerSKU]],customerSKU!G:G,customerSKU!K:K,"NA",0,1)</f>
        <v>NA</v>
      </c>
      <c r="AI630" s="43" t="str">
        <f>_xlfn.XLOOKUP(Table26[[#This Row],[customerSKU]],customerSKU!G:G,customerSKU!O:O,"not found",0,1)</f>
        <v>not found</v>
      </c>
      <c r="AJ630" s="53" t="e">
        <f>Table26[[#This Row],[unitprice]]*Table26[[#This Row],[quantity_unit]]</f>
        <v>#VALUE!</v>
      </c>
      <c r="AK630" s="53" t="e" cm="1">
        <f t="array" ref="AK6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31" spans="1:37" ht="18" customHeight="1">
      <c r="A631" s="42">
        <v>1615</v>
      </c>
      <c r="B631" s="58" t="s">
        <v>3520</v>
      </c>
      <c r="C631" s="53" t="s">
        <v>203</v>
      </c>
      <c r="D631" s="51"/>
      <c r="E631" s="51"/>
      <c r="F63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1" s="46"/>
      <c r="H631" s="53"/>
      <c r="I631" s="53" t="s">
        <v>3862</v>
      </c>
      <c r="J631" s="53" t="s">
        <v>3964</v>
      </c>
      <c r="K631" s="48">
        <v>45615</v>
      </c>
      <c r="L631" s="49" t="s">
        <v>490</v>
      </c>
      <c r="M631" s="53"/>
      <c r="N631" s="77" t="str">
        <f>Table26[[#This Row],[po_number]]&amp;"-"&amp;Table26[[#This Row],[po_line]]</f>
        <v>-2</v>
      </c>
      <c r="O631" s="77">
        <v>2</v>
      </c>
      <c r="P631" s="50"/>
      <c r="Q631" s="53" t="s">
        <v>3966</v>
      </c>
      <c r="R631" s="53" t="s">
        <v>569</v>
      </c>
      <c r="S631" s="53" t="s">
        <v>135</v>
      </c>
      <c r="T631" s="20">
        <v>45611</v>
      </c>
      <c r="U631" s="52">
        <v>48</v>
      </c>
      <c r="V631" s="53" t="str">
        <f>IF(ISBLANK(Table26[[#This Row],[customerSKU]]),"",_xlfn.XLOOKUP(Table26[[#This Row],[customerSKU]],Table27[customer_SKU],Table27[case_size],"",0,1))</f>
        <v/>
      </c>
      <c r="W631" s="116" t="str">
        <f t="shared" si="24"/>
        <v/>
      </c>
      <c r="X631" s="53" t="str">
        <f t="shared" si="25"/>
        <v/>
      </c>
      <c r="Y631" s="53" t="str">
        <f>IF(Table26[[#This Row],[customerSKU]]="","",_xlfn.XLOOKUP(Table26[[#This Row],[customerSKU]],Table27[customer_SKU],Table27[product_GTIN],"",0,1))</f>
        <v/>
      </c>
      <c r="Z631" s="60" t="s">
        <v>3965</v>
      </c>
      <c r="AA631" s="18" t="str" cm="1">
        <f t="array" ref="AA631">IF(P631="", "", _xlfn.XLOOKUP(P631,#REF!,#REF!,NA,0,-1))</f>
        <v/>
      </c>
      <c r="AB631" s="53"/>
      <c r="AC631" s="55" t="str">
        <f>IF(Table26[[#This Row],[customerSKU]]="","",_xlfn.XLOOKUP(Table26[[#This Row],[customerSKU]],customerSKU!G:G,customerSKU!C:C,"",0,1))</f>
        <v/>
      </c>
      <c r="AD631" s="55" t="str">
        <f>IF($AC631="","",_xlfn.XLOOKUP($AC631,'[2]Client Info'!$C$2:$C$2535,'[2]Client Info'!$D$2:$D$2535,"",0,1))</f>
        <v/>
      </c>
      <c r="AE631" s="55" t="str">
        <f>IF($AC631="","",_xlfn.XLOOKUP($AC631,'[2]Client Info'!$C$2:$C$2715,'[2]Client Info'!$E$2:$E$2715,"",))</f>
        <v/>
      </c>
      <c r="AF631" s="55" t="str">
        <f>IF($AC631="","",_xlfn.XLOOKUP($AC631,'[2]Client Info'!$C$2:$C$2715,'[2]Client Info'!$F$2:$F$2715,"",0,1))</f>
        <v/>
      </c>
      <c r="AG631" s="55" t="str">
        <f>IF(ISBLANK(Table26[[#This Row],[customerSKU]]),"",_xlfn.XLOOKUP(Table26[[#This Row],[customerSKU]],Table27[customer_SKU],Table27[billto],"",0,1))</f>
        <v/>
      </c>
      <c r="AH631" s="62" t="str">
        <f>_xlfn.XLOOKUP(Table26[[#This Row],[customerSKU]],customerSKU!G:G,customerSKU!K:K,"NA",0,1)</f>
        <v>NA</v>
      </c>
      <c r="AI631" s="43" t="str">
        <f>_xlfn.XLOOKUP(Table26[[#This Row],[customerSKU]],customerSKU!G:G,customerSKU!O:O,"not found",0,1)</f>
        <v>not found</v>
      </c>
      <c r="AJ631" s="53" t="e">
        <f>Table26[[#This Row],[unitprice]]*Table26[[#This Row],[quantity_unit]]</f>
        <v>#VALUE!</v>
      </c>
      <c r="AK631" s="53" t="e" cm="1">
        <f t="array" ref="AK6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32" spans="1:37" ht="18" customHeight="1">
      <c r="A632" s="42">
        <v>1616</v>
      </c>
      <c r="B632" s="58" t="s">
        <v>3520</v>
      </c>
      <c r="C632" s="53" t="s">
        <v>203</v>
      </c>
      <c r="D632" s="51"/>
      <c r="E632" s="51"/>
      <c r="F63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2" s="46"/>
      <c r="H632" s="53"/>
      <c r="I632" s="53" t="s">
        <v>3862</v>
      </c>
      <c r="J632" s="53" t="s">
        <v>3394</v>
      </c>
      <c r="K632" s="48">
        <v>45615</v>
      </c>
      <c r="L632" s="49" t="str">
        <f>IF(Table26[[#This Row],[customerSKU]]="","",_xlfn.XLOOKUP(Table26[[#This Row],[customerSKU]],customerSKU!G:G,customerSKU!B:B,"",0,1))</f>
        <v/>
      </c>
      <c r="M632" s="53"/>
      <c r="N632" s="77" t="str">
        <f>Table26[[#This Row],[po_number]]&amp;"-"&amp;Table26[[#This Row],[po_line]]</f>
        <v>-1</v>
      </c>
      <c r="O632" s="77">
        <v>1</v>
      </c>
      <c r="P632" s="50"/>
      <c r="Q632" s="53" t="s">
        <v>1172</v>
      </c>
      <c r="R632" s="53" t="s">
        <v>569</v>
      </c>
      <c r="S632" s="53" t="s">
        <v>132</v>
      </c>
      <c r="T632" s="20">
        <v>45587</v>
      </c>
      <c r="U632" s="52" t="str">
        <f>IF(ISBLANK(Table26[[#This Row],[customerSKU]]),"",_xlfn.XLOOKUP(Table26[[#This Row],[customerSKU]],Table27[customer_SKU],Table27[case_size],"",0,1))</f>
        <v/>
      </c>
      <c r="V632" s="53" t="str">
        <f>IF(ISBLANK(Table26[[#This Row],[customerSKU]]),"",_xlfn.XLOOKUP(Table26[[#This Row],[customerSKU]],Table27[customer_SKU],Table27[case_size],"",0,1))</f>
        <v/>
      </c>
      <c r="W632" s="116" t="str">
        <f t="shared" si="24"/>
        <v/>
      </c>
      <c r="X632" s="53" t="str">
        <f t="shared" ref="X632:X663" si="26">IFERROR($AA632*$U632, "")</f>
        <v/>
      </c>
      <c r="Y632" s="53" t="str">
        <f>IF(Table26[[#This Row],[customerSKU]]="","",_xlfn.XLOOKUP(Table26[[#This Row],[customerSKU]],Table27[customer_SKU],Table27[product_GTIN],"",0,1))</f>
        <v/>
      </c>
      <c r="Z632" s="25" t="s">
        <v>3455</v>
      </c>
      <c r="AA632" s="18" t="str" cm="1">
        <f t="array" ref="AA632">IF(P632="", "", _xlfn.XLOOKUP(P632,#REF!,#REF!,NA,0,-1))</f>
        <v/>
      </c>
      <c r="AB632" s="53"/>
      <c r="AC632" s="55" t="s">
        <v>142</v>
      </c>
      <c r="AD632" s="55" t="str">
        <f>IF($AC632="","",_xlfn.XLOOKUP($AC632,'[2]Client Info'!$C$2:$C$2535,'[2]Client Info'!$D$2:$D$2535,"",0,1))</f>
        <v xml:space="preserve">847 DUNNING ROAD EAST </v>
      </c>
      <c r="AE632" s="55" t="str">
        <f>IF($AC632="","",_xlfn.XLOOKUP($AC632,'[2]Client Info'!$C$2:$C$2715,'[2]Client Info'!$E$2:$E$2715,"",))</f>
        <v xml:space="preserve">WEST PINE RIDGE </v>
      </c>
      <c r="AF632" s="55" t="str">
        <f>IF($AC632="","",_xlfn.XLOOKUP($AC632,'[2]Client Info'!$C$2:$C$2715,'[2]Client Info'!$F$2:$F$2715,"",0,1))</f>
        <v>MB</v>
      </c>
      <c r="AG632" s="55" t="str">
        <f>IF(ISBLANK(Table26[[#This Row],[customerSKU]]),"",_xlfn.XLOOKUP(Table26[[#This Row],[customerSKU]],Table27[customer_SKU],Table27[billto],"",0,1))</f>
        <v/>
      </c>
      <c r="AH632" s="62" t="str">
        <f>_xlfn.XLOOKUP(Table26[[#This Row],[customerSKU]],customerSKU!G:G,customerSKU!K:K,"NA",0,1)</f>
        <v>NA</v>
      </c>
      <c r="AI632" s="43" t="str">
        <f>_xlfn.XLOOKUP(Table26[[#This Row],[customerSKU]],customerSKU!G:G,customerSKU!O:O,"not found",0,1)</f>
        <v>not found</v>
      </c>
      <c r="AJ632" s="53" t="e">
        <f>Table26[[#This Row],[unitprice]]*Table26[[#This Row],[quantity_unit]]</f>
        <v>#VALUE!</v>
      </c>
      <c r="AK632" s="53" t="e" cm="1">
        <f t="array" ref="AK6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33" spans="1:37" ht="18" customHeight="1">
      <c r="A633" s="42">
        <v>1617</v>
      </c>
      <c r="B633" s="58" t="s">
        <v>3520</v>
      </c>
      <c r="C633" s="53" t="s">
        <v>203</v>
      </c>
      <c r="D633" s="51"/>
      <c r="E633" s="51"/>
      <c r="F63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3" s="46"/>
      <c r="H633" s="53"/>
      <c r="I633" s="53" t="s">
        <v>3862</v>
      </c>
      <c r="J633" s="53" t="s">
        <v>3394</v>
      </c>
      <c r="K633" s="48">
        <v>45615</v>
      </c>
      <c r="L633" s="49" t="str">
        <f>IF(Table26[[#This Row],[customerSKU]]="","",_xlfn.XLOOKUP(Table26[[#This Row],[customerSKU]],customerSKU!G:G,customerSKU!B:B,"",0,1))</f>
        <v/>
      </c>
      <c r="M633" s="53"/>
      <c r="N633" s="77" t="str">
        <f>Table26[[#This Row],[po_number]]&amp;"-"&amp;Table26[[#This Row],[po_line]]</f>
        <v>-2</v>
      </c>
      <c r="O633" s="77">
        <v>2</v>
      </c>
      <c r="P633" s="50"/>
      <c r="Q633" s="53" t="s">
        <v>1311</v>
      </c>
      <c r="R633" s="53" t="s">
        <v>569</v>
      </c>
      <c r="S633" s="53" t="s">
        <v>132</v>
      </c>
      <c r="T633" s="20">
        <v>45588</v>
      </c>
      <c r="U633" s="52" t="str">
        <f>IF(ISBLANK(Table26[[#This Row],[customerSKU]]),"",_xlfn.XLOOKUP(Table26[[#This Row],[customerSKU]],Table27[customer_SKU],Table27[case_size],"",0,1))</f>
        <v/>
      </c>
      <c r="V633" s="53" t="str">
        <f>IF(ISBLANK(Table26[[#This Row],[customerSKU]]),"",_xlfn.XLOOKUP(Table26[[#This Row],[customerSKU]],Table27[customer_SKU],Table27[case_size],"",0,1))</f>
        <v/>
      </c>
      <c r="W633" s="116" t="str">
        <f t="shared" si="24"/>
        <v/>
      </c>
      <c r="X633" s="53" t="str">
        <f t="shared" si="26"/>
        <v/>
      </c>
      <c r="Y633" s="53" t="str">
        <f>IF(Table26[[#This Row],[customerSKU]]="","",_xlfn.XLOOKUP(Table26[[#This Row],[customerSKU]],Table27[customer_SKU],Table27[product_GTIN],"",0,1))</f>
        <v/>
      </c>
      <c r="Z633" s="60">
        <v>61621</v>
      </c>
      <c r="AA633" s="18" t="str" cm="1">
        <f t="array" ref="AA633">IF(P633="", "", _xlfn.XLOOKUP(P633,#REF!,#REF!,NA,0,-1))</f>
        <v/>
      </c>
      <c r="AB633" s="53"/>
      <c r="AC633" s="55" t="s">
        <v>142</v>
      </c>
      <c r="AD633" s="55" t="str">
        <f>IF($AC633="","",_xlfn.XLOOKUP($AC633,'[2]Client Info'!$C$2:$C$2535,'[2]Client Info'!$D$2:$D$2535,"",0,1))</f>
        <v xml:space="preserve">847 DUNNING ROAD EAST </v>
      </c>
      <c r="AE633" s="55" t="str">
        <f>IF($AC633="","",_xlfn.XLOOKUP($AC633,'[2]Client Info'!$C$2:$C$2715,'[2]Client Info'!$E$2:$E$2715,"",))</f>
        <v xml:space="preserve">WEST PINE RIDGE </v>
      </c>
      <c r="AF633" s="55" t="str">
        <f>IF($AC633="","",_xlfn.XLOOKUP($AC633,'[2]Client Info'!$C$2:$C$2715,'[2]Client Info'!$F$2:$F$2715,"",0,1))</f>
        <v>MB</v>
      </c>
      <c r="AG633" s="55" t="str">
        <f>IF(ISBLANK(Table26[[#This Row],[customerSKU]]),"",_xlfn.XLOOKUP(Table26[[#This Row],[customerSKU]],Table27[customer_SKU],Table27[billto],"",0,1))</f>
        <v/>
      </c>
      <c r="AH633" s="62" t="str">
        <f>_xlfn.XLOOKUP(Table26[[#This Row],[customerSKU]],customerSKU!G:G,customerSKU!K:K,"NA",0,1)</f>
        <v>NA</v>
      </c>
      <c r="AI633" s="43" t="str">
        <f>_xlfn.XLOOKUP(Table26[[#This Row],[customerSKU]],customerSKU!G:G,customerSKU!O:O,"not found",0,1)</f>
        <v>not found</v>
      </c>
      <c r="AJ633" s="53" t="e">
        <f>Table26[[#This Row],[unitprice]]*Table26[[#This Row],[quantity_unit]]</f>
        <v>#VALUE!</v>
      </c>
      <c r="AK633" s="53" t="e" cm="1">
        <f t="array" ref="AK6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34" spans="1:37" ht="18" customHeight="1">
      <c r="A634" s="42">
        <v>1618</v>
      </c>
      <c r="B634" s="58" t="s">
        <v>3520</v>
      </c>
      <c r="C634" s="53" t="s">
        <v>203</v>
      </c>
      <c r="D634" s="51"/>
      <c r="E634" s="51"/>
      <c r="F63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4" s="46"/>
      <c r="H634" s="53"/>
      <c r="I634" s="53" t="s">
        <v>3862</v>
      </c>
      <c r="J634" s="53" t="s">
        <v>3394</v>
      </c>
      <c r="K634" s="48">
        <v>45615</v>
      </c>
      <c r="L634" s="49" t="str">
        <f>IF(Table26[[#This Row],[customerSKU]]="","",_xlfn.XLOOKUP(Table26[[#This Row],[customerSKU]],customerSKU!G:G,customerSKU!B:B,"",0,1))</f>
        <v/>
      </c>
      <c r="M634" s="53"/>
      <c r="N634" s="77" t="str">
        <f>Table26[[#This Row],[po_number]]&amp;"-"&amp;Table26[[#This Row],[po_line]]</f>
        <v>-3</v>
      </c>
      <c r="O634" s="77">
        <v>3</v>
      </c>
      <c r="P634" s="50"/>
      <c r="Q634" s="53" t="s">
        <v>905</v>
      </c>
      <c r="R634" s="53" t="s">
        <v>569</v>
      </c>
      <c r="S634" s="53" t="s">
        <v>132</v>
      </c>
      <c r="T634" s="20">
        <v>45570</v>
      </c>
      <c r="U634" s="52" t="str">
        <f>IF(ISBLANK(Table26[[#This Row],[customerSKU]]),"",_xlfn.XLOOKUP(Table26[[#This Row],[customerSKU]],Table27[customer_SKU],Table27[case_size],"",0,1))</f>
        <v/>
      </c>
      <c r="V634" s="53" t="str">
        <f>IF(ISBLANK(Table26[[#This Row],[customerSKU]]),"",_xlfn.XLOOKUP(Table26[[#This Row],[customerSKU]],Table27[customer_SKU],Table27[case_size],"",0,1))</f>
        <v/>
      </c>
      <c r="W634" s="116" t="str">
        <f t="shared" ref="W634:W697" si="27">IFERROR(U634/V634, "")</f>
        <v/>
      </c>
      <c r="X634" s="53" t="str">
        <f t="shared" si="26"/>
        <v/>
      </c>
      <c r="Y634" s="53" t="str">
        <f>IF(Table26[[#This Row],[customerSKU]]="","",_xlfn.XLOOKUP(Table26[[#This Row],[customerSKU]],Table27[customer_SKU],Table27[product_GTIN],"",0,1))</f>
        <v/>
      </c>
      <c r="Z634" s="25" t="s">
        <v>3380</v>
      </c>
      <c r="AA634" s="18" t="str" cm="1">
        <f t="array" ref="AA634">IF(P634="", "", _xlfn.XLOOKUP(P634,#REF!,#REF!,NA,0,-1))</f>
        <v/>
      </c>
      <c r="AB634" s="53"/>
      <c r="AC634" s="55" t="s">
        <v>142</v>
      </c>
      <c r="AD634" s="55" t="str">
        <f>IF($AC634="","",_xlfn.XLOOKUP($AC634,'[2]Client Info'!$C$2:$C$2535,'[2]Client Info'!$D$2:$D$2535,"",0,1))</f>
        <v xml:space="preserve">847 DUNNING ROAD EAST </v>
      </c>
      <c r="AE634" s="55" t="str">
        <f>IF($AC634="","",_xlfn.XLOOKUP($AC634,'[2]Client Info'!$C$2:$C$2715,'[2]Client Info'!$E$2:$E$2715,"",))</f>
        <v xml:space="preserve">WEST PINE RIDGE </v>
      </c>
      <c r="AF634" s="55" t="str">
        <f>IF($AC634="","",_xlfn.XLOOKUP($AC634,'[2]Client Info'!$C$2:$C$2715,'[2]Client Info'!$F$2:$F$2715,"",0,1))</f>
        <v>MB</v>
      </c>
      <c r="AG634" s="55" t="str">
        <f>IF(ISBLANK(Table26[[#This Row],[customerSKU]]),"",_xlfn.XLOOKUP(Table26[[#This Row],[customerSKU]],Table27[customer_SKU],Table27[billto],"",0,1))</f>
        <v/>
      </c>
      <c r="AH634" s="62" t="str">
        <f>_xlfn.XLOOKUP(Table26[[#This Row],[customerSKU]],customerSKU!G:G,customerSKU!K:K,"NA",0,1)</f>
        <v>NA</v>
      </c>
      <c r="AI634" s="43" t="str">
        <f>_xlfn.XLOOKUP(Table26[[#This Row],[customerSKU]],customerSKU!G:G,customerSKU!O:O,"not found",0,1)</f>
        <v>not found</v>
      </c>
      <c r="AJ634" s="53" t="e">
        <f>Table26[[#This Row],[unitprice]]*Table26[[#This Row],[quantity_unit]]</f>
        <v>#VALUE!</v>
      </c>
      <c r="AK634" s="53" t="e" cm="1">
        <f t="array" ref="AK6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35" spans="1:37" ht="18" customHeight="1">
      <c r="A635" s="42">
        <v>1619</v>
      </c>
      <c r="B635" s="58" t="s">
        <v>3520</v>
      </c>
      <c r="C635" s="53" t="s">
        <v>203</v>
      </c>
      <c r="D635" s="51"/>
      <c r="E635" s="51"/>
      <c r="F63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5" s="46"/>
      <c r="H635" s="53"/>
      <c r="I635" s="53" t="s">
        <v>3862</v>
      </c>
      <c r="J635" s="53" t="s">
        <v>3394</v>
      </c>
      <c r="K635" s="48">
        <v>45615</v>
      </c>
      <c r="L635" s="49" t="str">
        <f>IF(Table26[[#This Row],[customerSKU]]="","",_xlfn.XLOOKUP(Table26[[#This Row],[customerSKU]],customerSKU!G:G,customerSKU!B:B,"",0,1))</f>
        <v/>
      </c>
      <c r="M635" s="53"/>
      <c r="N635" s="77" t="str">
        <f>Table26[[#This Row],[po_number]]&amp;"-"&amp;Table26[[#This Row],[po_line]]</f>
        <v>-4</v>
      </c>
      <c r="O635" s="77">
        <v>4</v>
      </c>
      <c r="P635" s="50"/>
      <c r="Q635" s="53" t="s">
        <v>1375</v>
      </c>
      <c r="R635" s="53" t="s">
        <v>569</v>
      </c>
      <c r="S635" s="53" t="s">
        <v>132</v>
      </c>
      <c r="T635" s="20">
        <v>45594</v>
      </c>
      <c r="U635" s="52" t="str">
        <f>IF(ISBLANK(Table26[[#This Row],[customerSKU]]),"",_xlfn.XLOOKUP(Table26[[#This Row],[customerSKU]],Table27[customer_SKU],Table27[case_size],"",0,1))</f>
        <v/>
      </c>
      <c r="V635" s="53" t="str">
        <f>IF(ISBLANK(Table26[[#This Row],[customerSKU]]),"",_xlfn.XLOOKUP(Table26[[#This Row],[customerSKU]],Table27[customer_SKU],Table27[case_size],"",0,1))</f>
        <v/>
      </c>
      <c r="W635" s="116" t="str">
        <f t="shared" si="27"/>
        <v/>
      </c>
      <c r="X635" s="53" t="str">
        <f t="shared" si="26"/>
        <v/>
      </c>
      <c r="Y635" s="53" t="str">
        <f>IF(Table26[[#This Row],[customerSKU]]="","",_xlfn.XLOOKUP(Table26[[#This Row],[customerSKU]],Table27[customer_SKU],Table27[product_GTIN],"",0,1))</f>
        <v/>
      </c>
      <c r="Z635" s="25" t="s">
        <v>3408</v>
      </c>
      <c r="AA635" s="18" t="str" cm="1">
        <f t="array" ref="AA635">IF(P635="", "", _xlfn.XLOOKUP(P635,#REF!,#REF!,NA,0,-1))</f>
        <v/>
      </c>
      <c r="AB635" s="53"/>
      <c r="AC635" s="55" t="s">
        <v>142</v>
      </c>
      <c r="AD635" s="55" t="str">
        <f>IF($AC635="","",_xlfn.XLOOKUP($AC635,'[2]Client Info'!$C$2:$C$2535,'[2]Client Info'!$D$2:$D$2535,"",0,1))</f>
        <v xml:space="preserve">847 DUNNING ROAD EAST </v>
      </c>
      <c r="AE635" s="55" t="str">
        <f>IF($AC635="","",_xlfn.XLOOKUP($AC635,'[2]Client Info'!$C$2:$C$2715,'[2]Client Info'!$E$2:$E$2715,"",))</f>
        <v xml:space="preserve">WEST PINE RIDGE </v>
      </c>
      <c r="AF635" s="55" t="str">
        <f>IF($AC635="","",_xlfn.XLOOKUP($AC635,'[2]Client Info'!$C$2:$C$2715,'[2]Client Info'!$F$2:$F$2715,"",0,1))</f>
        <v>MB</v>
      </c>
      <c r="AG635" s="55" t="str">
        <f>IF(ISBLANK(Table26[[#This Row],[customerSKU]]),"",_xlfn.XLOOKUP(Table26[[#This Row],[customerSKU]],Table27[customer_SKU],Table27[billto],"",0,1))</f>
        <v/>
      </c>
      <c r="AH635" s="62" t="str">
        <f>_xlfn.XLOOKUP(Table26[[#This Row],[customerSKU]],customerSKU!G:G,customerSKU!K:K,"NA",0,1)</f>
        <v>NA</v>
      </c>
      <c r="AI635" s="43" t="str">
        <f>_xlfn.XLOOKUP(Table26[[#This Row],[customerSKU]],customerSKU!G:G,customerSKU!O:O,"not found",0,1)</f>
        <v>not found</v>
      </c>
      <c r="AJ635" s="53" t="e">
        <f>Table26[[#This Row],[unitprice]]*Table26[[#This Row],[quantity_unit]]</f>
        <v>#VALUE!</v>
      </c>
      <c r="AK635" s="53" t="e" cm="1">
        <f t="array" ref="AK6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36" spans="1:37" ht="18" customHeight="1">
      <c r="A636" s="42">
        <v>1620</v>
      </c>
      <c r="B636" s="58" t="s">
        <v>3520</v>
      </c>
      <c r="C636" s="53" t="s">
        <v>203</v>
      </c>
      <c r="D636" s="51"/>
      <c r="E636" s="51"/>
      <c r="F63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6" s="46"/>
      <c r="H636" s="53"/>
      <c r="I636" s="53" t="s">
        <v>3862</v>
      </c>
      <c r="J636" s="53" t="s">
        <v>3394</v>
      </c>
      <c r="K636" s="48">
        <v>45615</v>
      </c>
      <c r="L636" s="49" t="str">
        <f>IF(Table26[[#This Row],[customerSKU]]="","",_xlfn.XLOOKUP(Table26[[#This Row],[customerSKU]],customerSKU!G:G,customerSKU!B:B,"",0,1))</f>
        <v/>
      </c>
      <c r="M636" s="53"/>
      <c r="N636" s="77" t="str">
        <f>Table26[[#This Row],[po_number]]&amp;"-"&amp;Table26[[#This Row],[po_line]]</f>
        <v>-5</v>
      </c>
      <c r="O636" s="77">
        <v>5</v>
      </c>
      <c r="P636" s="50"/>
      <c r="Q636" s="53" t="s">
        <v>622</v>
      </c>
      <c r="R636" s="53" t="s">
        <v>569</v>
      </c>
      <c r="S636" s="53" t="s">
        <v>132</v>
      </c>
      <c r="T636" s="20">
        <v>45603</v>
      </c>
      <c r="U636" s="52" t="str">
        <f>IF(ISBLANK(Table26[[#This Row],[customerSKU]]),"",_xlfn.XLOOKUP(Table26[[#This Row],[customerSKU]],Table27[customer_SKU],Table27[case_size],"",0,1))</f>
        <v/>
      </c>
      <c r="V636" s="53" t="str">
        <f>IF(ISBLANK(Table26[[#This Row],[customerSKU]]),"",_xlfn.XLOOKUP(Table26[[#This Row],[customerSKU]],Table27[customer_SKU],Table27[case_size],"",0,1))</f>
        <v/>
      </c>
      <c r="W636" s="116" t="str">
        <f t="shared" si="27"/>
        <v/>
      </c>
      <c r="X636" s="53" t="str">
        <f t="shared" si="26"/>
        <v/>
      </c>
      <c r="Y636" s="53" t="str">
        <f>IF(Table26[[#This Row],[customerSKU]]="","",_xlfn.XLOOKUP(Table26[[#This Row],[customerSKU]],Table27[customer_SKU],Table27[product_GTIN],"",0,1))</f>
        <v/>
      </c>
      <c r="Z636" s="25" t="s">
        <v>3495</v>
      </c>
      <c r="AA636" s="18" t="str" cm="1">
        <f t="array" ref="AA636">IF(P636="", "", _xlfn.XLOOKUP(P636,#REF!,#REF!,NA,0,-1))</f>
        <v/>
      </c>
      <c r="AB636" s="53"/>
      <c r="AC636" s="55" t="s">
        <v>142</v>
      </c>
      <c r="AD636" s="55" t="str">
        <f>IF($AC636="","",_xlfn.XLOOKUP($AC636,'[2]Client Info'!$C$2:$C$2535,'[2]Client Info'!$D$2:$D$2535,"",0,1))</f>
        <v xml:space="preserve">847 DUNNING ROAD EAST </v>
      </c>
      <c r="AE636" s="55" t="str">
        <f>IF($AC636="","",_xlfn.XLOOKUP($AC636,'[2]Client Info'!$C$2:$C$2715,'[2]Client Info'!$E$2:$E$2715,"",))</f>
        <v xml:space="preserve">WEST PINE RIDGE </v>
      </c>
      <c r="AF636" s="55" t="str">
        <f>IF($AC636="","",_xlfn.XLOOKUP($AC636,'[2]Client Info'!$C$2:$C$2715,'[2]Client Info'!$F$2:$F$2715,"",0,1))</f>
        <v>MB</v>
      </c>
      <c r="AG636" s="55" t="str">
        <f>IF(ISBLANK(Table26[[#This Row],[customerSKU]]),"",_xlfn.XLOOKUP(Table26[[#This Row],[customerSKU]],Table27[customer_SKU],Table27[billto],"",0,1))</f>
        <v/>
      </c>
      <c r="AH636" s="62" t="str">
        <f>_xlfn.XLOOKUP(Table26[[#This Row],[customerSKU]],customerSKU!G:G,customerSKU!K:K,"NA",0,1)</f>
        <v>NA</v>
      </c>
      <c r="AI636" s="43" t="str">
        <f>_xlfn.XLOOKUP(Table26[[#This Row],[customerSKU]],customerSKU!G:G,customerSKU!O:O,"not found",0,1)</f>
        <v>not found</v>
      </c>
      <c r="AJ636" s="53" t="e">
        <f>Table26[[#This Row],[unitprice]]*Table26[[#This Row],[quantity_unit]]</f>
        <v>#VALUE!</v>
      </c>
      <c r="AK636" s="53" t="e" cm="1">
        <f t="array" ref="AK6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37" spans="1:37" ht="24.6" customHeight="1">
      <c r="A637" s="42">
        <v>1621</v>
      </c>
      <c r="B637" s="58" t="s">
        <v>3520</v>
      </c>
      <c r="C637" s="53" t="s">
        <v>203</v>
      </c>
      <c r="D637" s="51"/>
      <c r="E637" s="51"/>
      <c r="F63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7" s="46"/>
      <c r="H637" s="53"/>
      <c r="I637" s="53"/>
      <c r="J637" s="53" t="s">
        <v>4083</v>
      </c>
      <c r="K637" s="48">
        <v>45615</v>
      </c>
      <c r="L637" s="49" t="s">
        <v>3417</v>
      </c>
      <c r="M637" s="53"/>
      <c r="N637" s="77" t="str">
        <f>Table26[[#This Row],[po_number]]&amp;"-"&amp;Table26[[#This Row],[po_line]]</f>
        <v>-1</v>
      </c>
      <c r="O637" s="77">
        <v>1</v>
      </c>
      <c r="P637" s="50"/>
      <c r="Q637" s="53" t="s">
        <v>4041</v>
      </c>
      <c r="R637" s="53" t="s">
        <v>3419</v>
      </c>
      <c r="S637" s="53" t="str">
        <f>IF(Table26[[#This Row],[customerSKU]]="","",_xlfn.XLOOKUP(Table26[[#This Row],[customerSKU]],customerSKU!G:G,customerSKU!N:N,"NOT FOUND",0,1))</f>
        <v/>
      </c>
      <c r="T637" s="51">
        <v>45612</v>
      </c>
      <c r="U637" s="52">
        <v>9</v>
      </c>
      <c r="V637" s="53" t="str">
        <f>IF(ISBLANK(Table26[[#This Row],[customerSKU]]),"",_xlfn.XLOOKUP(Table26[[#This Row],[customerSKU]],Table27[customer_SKU],Table27[case_size],"",0,1))</f>
        <v/>
      </c>
      <c r="W637" s="116" t="str">
        <f t="shared" si="27"/>
        <v/>
      </c>
      <c r="X637" s="53" t="str">
        <f t="shared" si="26"/>
        <v/>
      </c>
      <c r="Y637" s="53" t="str">
        <f>IF(Table26[[#This Row],[customerSKU]]="","",_xlfn.XLOOKUP(Table26[[#This Row],[customerSKU]],Table27[customer_SKU],Table27[product_GTIN],"",0,1))</f>
        <v/>
      </c>
      <c r="Z637" s="60"/>
      <c r="AA637" s="18" t="str" cm="1">
        <f t="array" ref="AA637">IF(P637="", "", _xlfn.XLOOKUP(P637,#REF!,#REF!,NA,0,-1))</f>
        <v/>
      </c>
      <c r="AB637" s="53"/>
      <c r="AC637" s="55" t="s">
        <v>3795</v>
      </c>
      <c r="AD637" s="55" t="str">
        <f>IF($AC637="","",_xlfn.XLOOKUP($AC637,'[2]Client Info'!$C$2:$C$2535,'[2]Client Info'!$D$2:$D$2535,"",0,1))</f>
        <v>#201 – 1420 Alpha Lake Road</v>
      </c>
      <c r="AE637" s="55" t="str">
        <f>IF($AC637="","",_xlfn.XLOOKUP($AC637,'[2]Client Info'!$C$2:$C$2715,'[2]Client Info'!$E$2:$E$2715,"",))</f>
        <v>Whistler</v>
      </c>
      <c r="AF637" s="55" t="str">
        <f>IF($AC637="","",_xlfn.XLOOKUP($AC637,'[2]Client Info'!$C$2:$C$2715,'[2]Client Info'!$F$2:$F$2715,"",0,1))</f>
        <v>BC</v>
      </c>
      <c r="AG637" s="55" t="s">
        <v>3420</v>
      </c>
      <c r="AH637" s="62" t="str">
        <f>_xlfn.XLOOKUP(Table26[[#This Row],[customerSKU]],customerSKU!G:G,customerSKU!K:K,"NA",0,1)</f>
        <v>NA</v>
      </c>
      <c r="AI637" s="43" t="str">
        <f>_xlfn.XLOOKUP(Table26[[#This Row],[customerSKU]],customerSKU!G:G,customerSKU!O:O,"not found",0,1)</f>
        <v>not found</v>
      </c>
      <c r="AJ637" s="53" t="e">
        <f>Table26[[#This Row],[unitprice]]*Table26[[#This Row],[quantity_unit]]</f>
        <v>#VALUE!</v>
      </c>
      <c r="AK637" s="53" t="e" cm="1">
        <f t="array" ref="AK6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38" spans="1:37" ht="24.6" customHeight="1">
      <c r="A638" s="42">
        <v>1622</v>
      </c>
      <c r="B638" s="58" t="s">
        <v>3520</v>
      </c>
      <c r="C638" s="53" t="s">
        <v>203</v>
      </c>
      <c r="D638" s="51"/>
      <c r="E638" s="51"/>
      <c r="F63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8" s="46"/>
      <c r="H638" s="53"/>
      <c r="I638" s="53"/>
      <c r="J638" s="53" t="s">
        <v>4083</v>
      </c>
      <c r="K638" s="48">
        <v>45615</v>
      </c>
      <c r="L638" s="49" t="s">
        <v>3417</v>
      </c>
      <c r="M638" s="53"/>
      <c r="N638" s="77" t="str">
        <f>Table26[[#This Row],[po_number]]&amp;"-"&amp;Table26[[#This Row],[po_line]]</f>
        <v>-2</v>
      </c>
      <c r="O638" s="77">
        <v>2</v>
      </c>
      <c r="P638" s="50"/>
      <c r="Q638" s="53" t="s">
        <v>4040</v>
      </c>
      <c r="R638" s="53" t="s">
        <v>3419</v>
      </c>
      <c r="S638" s="53" t="str">
        <f>IF(Table26[[#This Row],[customerSKU]]="","",_xlfn.XLOOKUP(Table26[[#This Row],[customerSKU]],customerSKU!G:G,customerSKU!N:N,"NOT FOUND",0,1))</f>
        <v/>
      </c>
      <c r="T638" s="51">
        <v>45543</v>
      </c>
      <c r="U638" s="52">
        <v>10</v>
      </c>
      <c r="V638" s="53" t="str">
        <f>IF(ISBLANK(Table26[[#This Row],[customerSKU]]),"",_xlfn.XLOOKUP(Table26[[#This Row],[customerSKU]],Table27[customer_SKU],Table27[case_size],"",0,1))</f>
        <v/>
      </c>
      <c r="W638" s="116" t="str">
        <f t="shared" si="27"/>
        <v/>
      </c>
      <c r="X638" s="53" t="str">
        <f t="shared" si="26"/>
        <v/>
      </c>
      <c r="Y638" s="53" t="str">
        <f>IF(Table26[[#This Row],[customerSKU]]="","",_xlfn.XLOOKUP(Table26[[#This Row],[customerSKU]],Table27[customer_SKU],Table27[product_GTIN],"",0,1))</f>
        <v/>
      </c>
      <c r="Z638" s="60"/>
      <c r="AA638" s="18" t="str" cm="1">
        <f t="array" ref="AA638">IF(P638="", "", _xlfn.XLOOKUP(P638,#REF!,#REF!,NA,0,-1))</f>
        <v/>
      </c>
      <c r="AB638" s="53"/>
      <c r="AC638" s="55" t="s">
        <v>3795</v>
      </c>
      <c r="AD638" s="55" t="str">
        <f>IF($AC638="","",_xlfn.XLOOKUP($AC638,'[2]Client Info'!$C$2:$C$2535,'[2]Client Info'!$D$2:$D$2535,"",0,1))</f>
        <v>#201 – 1420 Alpha Lake Road</v>
      </c>
      <c r="AE638" s="55" t="str">
        <f>IF($AC638="","",_xlfn.XLOOKUP($AC638,'[2]Client Info'!$C$2:$C$2715,'[2]Client Info'!$E$2:$E$2715,"",))</f>
        <v>Whistler</v>
      </c>
      <c r="AF638" s="55" t="str">
        <f>IF($AC638="","",_xlfn.XLOOKUP($AC638,'[2]Client Info'!$C$2:$C$2715,'[2]Client Info'!$F$2:$F$2715,"",0,1))</f>
        <v>BC</v>
      </c>
      <c r="AG638" s="55" t="s">
        <v>3420</v>
      </c>
      <c r="AH638" s="62" t="s">
        <v>204</v>
      </c>
      <c r="AI638" s="43" t="str">
        <f>_xlfn.XLOOKUP(Table26[[#This Row],[customerSKU]],customerSKU!G:G,customerSKU!O:O,"not found",0,1)</f>
        <v>not found</v>
      </c>
      <c r="AJ638" s="53" t="e">
        <f>Table26[[#This Row],[unitprice]]*Table26[[#This Row],[quantity_unit]]</f>
        <v>#VALUE!</v>
      </c>
      <c r="AK638" s="53" t="e" cm="1">
        <f t="array" ref="AK6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39" spans="1:37" ht="24.6" customHeight="1">
      <c r="A639" s="42">
        <v>1611</v>
      </c>
      <c r="B639" s="58" t="s">
        <v>3520</v>
      </c>
      <c r="C639" s="53" t="s">
        <v>203</v>
      </c>
      <c r="D639" s="51"/>
      <c r="E639" s="51"/>
      <c r="F63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39" s="46"/>
      <c r="H639" s="53"/>
      <c r="I639" s="53" t="s">
        <v>3862</v>
      </c>
      <c r="J639" s="53" t="s">
        <v>599</v>
      </c>
      <c r="K639" s="48">
        <v>45616</v>
      </c>
      <c r="L639" s="49" t="s">
        <v>201</v>
      </c>
      <c r="M639" s="53"/>
      <c r="N639" s="77" t="str">
        <f>Table26[[#This Row],[po_number]]&amp;"-"&amp;Table26[[#This Row],[po_line]]</f>
        <v>-1</v>
      </c>
      <c r="O639" s="77">
        <v>1</v>
      </c>
      <c r="P639" s="50"/>
      <c r="Q639" s="53" t="s">
        <v>3966</v>
      </c>
      <c r="R639" s="53" t="s">
        <v>569</v>
      </c>
      <c r="S639" s="53" t="s">
        <v>132</v>
      </c>
      <c r="T639" s="20">
        <v>45611</v>
      </c>
      <c r="U639" s="52">
        <f>21*12</f>
        <v>252</v>
      </c>
      <c r="V639" s="53">
        <v>12</v>
      </c>
      <c r="W639" s="116">
        <f t="shared" si="27"/>
        <v>21</v>
      </c>
      <c r="X639" s="53" t="str">
        <f t="shared" si="26"/>
        <v/>
      </c>
      <c r="Y639" s="53" t="str">
        <f>IF(Table26[[#This Row],[customerSKU]]="","",_xlfn.XLOOKUP(Table26[[#This Row],[customerSKU]],Table27[customer_SKU],Table27[product_GTIN],"",0,1))</f>
        <v/>
      </c>
      <c r="Z639" s="60"/>
      <c r="AA639" s="18" t="str" cm="1">
        <f t="array" ref="AA639">IF(P639="", "", _xlfn.XLOOKUP(P639,#REF!,#REF!,NA,0,-1))</f>
        <v/>
      </c>
      <c r="AB639" s="53"/>
      <c r="AC639" s="55" t="s">
        <v>9</v>
      </c>
      <c r="AD639" s="55" t="s">
        <v>10</v>
      </c>
      <c r="AE639" s="55" t="s">
        <v>11</v>
      </c>
      <c r="AF639" s="55" t="s">
        <v>12</v>
      </c>
      <c r="AG639" s="55" t="s">
        <v>9</v>
      </c>
      <c r="AH639" s="62" t="str">
        <f>_xlfn.XLOOKUP(Table26[[#This Row],[customerSKU]],customerSKU!G:G,customerSKU!K:K,"NA",0,1)</f>
        <v>NA</v>
      </c>
      <c r="AI639" s="43" t="str">
        <f>_xlfn.XLOOKUP(Table26[[#This Row],[customerSKU]],customerSKU!G:G,customerSKU!O:O,"not found",0,1)</f>
        <v>not found</v>
      </c>
      <c r="AJ639" s="53" t="e">
        <f>Table26[[#This Row],[unitprice]]*Table26[[#This Row],[quantity_unit]]</f>
        <v>#VALUE!</v>
      </c>
      <c r="AK639" s="53" t="e" cm="1">
        <f t="array" ref="AK6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0" spans="1:37" ht="24.6" customHeight="1">
      <c r="A640" s="42">
        <v>1605</v>
      </c>
      <c r="B640" s="58" t="s">
        <v>3520</v>
      </c>
      <c r="C640" s="53" t="s">
        <v>203</v>
      </c>
      <c r="D640" s="51">
        <v>45624</v>
      </c>
      <c r="E640" s="51"/>
      <c r="F640" s="53"/>
      <c r="G640" s="46"/>
      <c r="H640" s="53"/>
      <c r="I640" s="53" t="s">
        <v>3818</v>
      </c>
      <c r="J640" s="53" t="s">
        <v>497</v>
      </c>
      <c r="K640" s="48">
        <v>45617</v>
      </c>
      <c r="L640" s="49" t="s">
        <v>201</v>
      </c>
      <c r="M640" s="111"/>
      <c r="N640" s="363" t="str">
        <f>Table26[[#This Row],[po_number]]&amp;"-"&amp;Table26[[#This Row],[po_line]]</f>
        <v>-1</v>
      </c>
      <c r="O640" s="363">
        <v>1</v>
      </c>
      <c r="P640" s="50"/>
      <c r="Q640" s="53" t="s">
        <v>1172</v>
      </c>
      <c r="R640" s="53" t="s">
        <v>569</v>
      </c>
      <c r="S640" s="53" t="s">
        <v>12</v>
      </c>
      <c r="T640" s="51">
        <v>45588</v>
      </c>
      <c r="U640" s="52">
        <v>132</v>
      </c>
      <c r="V640" s="53" t="str">
        <f>IF(ISBLANK(Table26[[#This Row],[customerSKU]]),"",_xlfn.XLOOKUP(Table26[[#This Row],[customerSKU]],Table27[customer_SKU],Table27[case_size],"",0,1))</f>
        <v/>
      </c>
      <c r="W640" s="116" t="str">
        <f t="shared" si="27"/>
        <v/>
      </c>
      <c r="X640" s="53" t="str">
        <f t="shared" si="26"/>
        <v/>
      </c>
      <c r="Y640" s="53" t="str">
        <f>IF(Table26[[#This Row],[customerSKU]]="","",_xlfn.XLOOKUP(Table26[[#This Row],[customerSKU]],Table27[customer_SKU],Table27[product_GTIN],"",0,1))</f>
        <v/>
      </c>
      <c r="Z640" s="25" t="s">
        <v>3409</v>
      </c>
      <c r="AA640" s="18" t="str" cm="1">
        <f t="array" ref="AA640">IF(P640="", "", _xlfn.XLOOKUP(P640,#REF!,#REF!,NA,0,-1))</f>
        <v/>
      </c>
      <c r="AB640" s="53"/>
      <c r="AC640" s="55" t="s">
        <v>3819</v>
      </c>
      <c r="AD640" s="55" t="str">
        <f>IF($AC640="","",_xlfn.XLOOKUP($AC640,'[2]Client Info'!$C$2:$C$2535,'[2]Client Info'!$D$2:$D$2535,"",0,1))</f>
        <v>20 GRANITE RIDGE RD</v>
      </c>
      <c r="AE640" s="55" t="str">
        <f>IF($AC640="","",_xlfn.XLOOKUP($AC640,'[2]Client Info'!$C$2:$C$2715,'[2]Client Info'!$E$2:$E$2715,"",))</f>
        <v>CONCORD</v>
      </c>
      <c r="AF640" s="55" t="str">
        <f>IF($AC640="","",_xlfn.XLOOKUP($AC640,'[2]Client Info'!$C$2:$C$2715,'[2]Client Info'!$F$2:$F$2715,"",0,1))</f>
        <v>ON</v>
      </c>
      <c r="AG640" s="55" t="s">
        <v>3770</v>
      </c>
      <c r="AH640" s="62" t="s">
        <v>3770</v>
      </c>
      <c r="AI640" s="43" t="str">
        <f>_xlfn.XLOOKUP(Table26[[#This Row],[customerSKU]],customerSKU!G:G,customerSKU!O:O,"not found",0,1)</f>
        <v>not found</v>
      </c>
      <c r="AJ640" s="59" t="e">
        <f>Table26[[#This Row],[unitprice]]*Table26[[#This Row],[quantity_unit]]</f>
        <v>#VALUE!</v>
      </c>
      <c r="AK640" s="59" t="e" cm="1">
        <f t="array" ref="AK6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1" spans="1:37" ht="18" customHeight="1">
      <c r="A641" s="42">
        <v>1606</v>
      </c>
      <c r="B641" s="58" t="s">
        <v>3520</v>
      </c>
      <c r="C641" s="53" t="s">
        <v>203</v>
      </c>
      <c r="D641" s="51">
        <v>45624</v>
      </c>
      <c r="E641" s="51"/>
      <c r="F641" s="53"/>
      <c r="G641" s="46"/>
      <c r="H641" s="53"/>
      <c r="I641" s="53" t="s">
        <v>3818</v>
      </c>
      <c r="J641" s="53" t="s">
        <v>497</v>
      </c>
      <c r="K641" s="48">
        <v>45617</v>
      </c>
      <c r="L641" s="49" t="s">
        <v>201</v>
      </c>
      <c r="M641" s="111"/>
      <c r="N641" s="363" t="str">
        <f>Table26[[#This Row],[po_number]]&amp;"-"&amp;Table26[[#This Row],[po_line]]</f>
        <v>-2</v>
      </c>
      <c r="O641" s="363">
        <v>2</v>
      </c>
      <c r="P641" s="50"/>
      <c r="Q641" s="53" t="s">
        <v>3820</v>
      </c>
      <c r="R641" s="53" t="s">
        <v>569</v>
      </c>
      <c r="S641" s="53" t="str">
        <f>IF(Table26[[#This Row],[customerSKU]]="","",_xlfn.XLOOKUP(Table26[[#This Row],[customerSKU]],customerSKU!G:G,customerSKU!N:N,"NOT FOUND",0,1))</f>
        <v>NOT FOUND</v>
      </c>
      <c r="T641" s="51">
        <v>45594</v>
      </c>
      <c r="U641" s="52">
        <v>240</v>
      </c>
      <c r="V641" s="53" t="str">
        <f>IF(ISBLANK(Table26[[#This Row],[customerSKU]]),"",_xlfn.XLOOKUP(Table26[[#This Row],[customerSKU]],Table27[customer_SKU],Table27[case_size],"",0,1))</f>
        <v/>
      </c>
      <c r="W641" s="116" t="str">
        <f t="shared" si="27"/>
        <v/>
      </c>
      <c r="X641" s="53" t="str">
        <f t="shared" si="26"/>
        <v/>
      </c>
      <c r="Y641" s="53" t="str">
        <f>IF(Table26[[#This Row],[customerSKU]]="","",_xlfn.XLOOKUP(Table26[[#This Row],[customerSKU]],Table27[customer_SKU],Table27[product_GTIN],"",0,1))</f>
        <v/>
      </c>
      <c r="Z641" s="25" t="s">
        <v>3363</v>
      </c>
      <c r="AA641" s="18" t="str" cm="1">
        <f t="array" ref="AA641">IF(P641="", "", _xlfn.XLOOKUP(P641,#REF!,#REF!,NA,0,-1))</f>
        <v/>
      </c>
      <c r="AB641" s="53"/>
      <c r="AC641" s="55" t="s">
        <v>3819</v>
      </c>
      <c r="AD641" s="55" t="str">
        <f>IF($AC641="","",_xlfn.XLOOKUP($AC641,'[2]Client Info'!$C$2:$C$2535,'[2]Client Info'!$D$2:$D$2535,"",0,1))</f>
        <v>20 GRANITE RIDGE RD</v>
      </c>
      <c r="AE641" s="55" t="str">
        <f>IF($AC641="","",_xlfn.XLOOKUP($AC641,'[2]Client Info'!$C$2:$C$2715,'[2]Client Info'!$E$2:$E$2715,"",))</f>
        <v>CONCORD</v>
      </c>
      <c r="AF641" s="55" t="str">
        <f>IF($AC641="","",_xlfn.XLOOKUP($AC641,'[2]Client Info'!$C$2:$C$2715,'[2]Client Info'!$F$2:$F$2715,"",0,1))</f>
        <v>ON</v>
      </c>
      <c r="AG641" s="55" t="s">
        <v>3770</v>
      </c>
      <c r="AH641" s="62" t="s">
        <v>3770</v>
      </c>
      <c r="AI641" s="43" t="str">
        <f>_xlfn.XLOOKUP(Table26[[#This Row],[customerSKU]],customerSKU!G:G,customerSKU!O:O,"not found",0,1)</f>
        <v>not found</v>
      </c>
      <c r="AJ641" s="59" t="e">
        <f>Table26[[#This Row],[unitprice]]*Table26[[#This Row],[quantity_unit]]</f>
        <v>#VALUE!</v>
      </c>
      <c r="AK641" s="59" t="e" cm="1">
        <f t="array" ref="AK6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2" spans="1:37" ht="18" customHeight="1">
      <c r="A642" s="42">
        <v>1607</v>
      </c>
      <c r="B642" s="58" t="s">
        <v>3520</v>
      </c>
      <c r="C642" s="53" t="s">
        <v>3539</v>
      </c>
      <c r="D642" s="51">
        <v>45624</v>
      </c>
      <c r="E642" s="51" t="s">
        <v>3928</v>
      </c>
      <c r="F642" s="102">
        <v>55495</v>
      </c>
      <c r="G642" s="46"/>
      <c r="H642" s="53"/>
      <c r="I642" s="53" t="s">
        <v>3862</v>
      </c>
      <c r="J642" s="53" t="s">
        <v>497</v>
      </c>
      <c r="K642" s="48">
        <v>45617</v>
      </c>
      <c r="L642" s="49" t="str">
        <f>IF(Table26[[#This Row],[customerSKU]]="","",_xlfn.XLOOKUP(Table26[[#This Row],[customerSKU]],customerSKU!G:G,customerSKU!B:B,"",0,1))</f>
        <v/>
      </c>
      <c r="M642" s="114"/>
      <c r="N642" s="364" t="str">
        <f>Table26[[#This Row],[po_number]]&amp;"-"&amp;Table26[[#This Row],[po_line]]</f>
        <v>-1</v>
      </c>
      <c r="O642" s="364">
        <v>1</v>
      </c>
      <c r="P642" s="115"/>
      <c r="Q642" s="53" t="s">
        <v>1172</v>
      </c>
      <c r="R642" s="53" t="s">
        <v>569</v>
      </c>
      <c r="S642" s="53" t="s">
        <v>12</v>
      </c>
      <c r="T642" s="51">
        <v>45588</v>
      </c>
      <c r="U642" s="52">
        <v>12</v>
      </c>
      <c r="V642" s="53" t="str">
        <f>IF(ISBLANK(Table26[[#This Row],[customerSKU]]),"",_xlfn.XLOOKUP(Table26[[#This Row],[customerSKU]],Table27[customer_SKU],Table27[case_size],"",0,1))</f>
        <v/>
      </c>
      <c r="W642" s="116" t="str">
        <f t="shared" si="27"/>
        <v/>
      </c>
      <c r="X642" s="53" t="str">
        <f t="shared" si="26"/>
        <v/>
      </c>
      <c r="Y642" s="53" t="str">
        <f>IF(Table26[[#This Row],[customerSKU]]="","",_xlfn.XLOOKUP(Table26[[#This Row],[customerSKU]],Table27[customer_SKU],Table27[product_GTIN],"",0,1))</f>
        <v/>
      </c>
      <c r="Z642" s="25" t="s">
        <v>3409</v>
      </c>
      <c r="AA642" s="18" t="str" cm="1">
        <f t="array" ref="AA642">IF(P642="", "", _xlfn.XLOOKUP(P642,#REF!,#REF!,NA,0,-1))</f>
        <v/>
      </c>
      <c r="AB642" s="53"/>
      <c r="AC642" s="55" t="str">
        <f>IF(Table26[[#This Row],[customerSKU]]="","",_xlfn.XLOOKUP(Table26[[#This Row],[customerSKU]],customerSKU!G:G,customerSKU!C:C,"",0,1))</f>
        <v/>
      </c>
      <c r="AD642" s="55" t="str">
        <f>IF($AC642="","",_xlfn.XLOOKUP($AC642,'Client Info'!$C$2:$C$2497,'Client Info'!$D$2:$D$2497,"",0,1))</f>
        <v/>
      </c>
      <c r="AE642" s="55" t="str">
        <f>IF($AC642="","",_xlfn.XLOOKUP($AC642,'Client Info'!$C$2:$C$2677,'Client Info'!$E$2:$E$2677,"",))</f>
        <v/>
      </c>
      <c r="AF642" s="55" t="str">
        <f>IF($AC642="","",_xlfn.XLOOKUP($AC642,'Client Info'!$C$2:$C$2677,'Client Info'!$F$2:$F$2677,"",0,1))</f>
        <v/>
      </c>
      <c r="AG642" s="55" t="str">
        <f>IF(ISBLANK(Table26[[#This Row],[customerSKU]]),"",_xlfn.XLOOKUP(Table26[[#This Row],[customerSKU]],Table27[customer_SKU],Table27[billto],"",0,1))</f>
        <v/>
      </c>
      <c r="AH642" s="62" t="str">
        <f>_xlfn.XLOOKUP(Table26[[#This Row],[customerSKU]],customerSKU!G:G,customerSKU!K:K,"NA",0,1)</f>
        <v>NA</v>
      </c>
      <c r="AI642" s="43" t="str">
        <f>_xlfn.XLOOKUP(Table26[[#This Row],[customerSKU]],customerSKU!G:G,customerSKU!O:O,"not found",0,1)</f>
        <v>not found</v>
      </c>
      <c r="AJ642" s="59" t="e">
        <f>Table26[[#This Row],[unitprice]]*Table26[[#This Row],[quantity_unit]]</f>
        <v>#VALUE!</v>
      </c>
      <c r="AK642" s="59" t="e" cm="1">
        <f t="array" ref="AK6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3" spans="1:37" ht="18" customHeight="1">
      <c r="A643" s="42">
        <v>1608</v>
      </c>
      <c r="B643" s="58" t="s">
        <v>3520</v>
      </c>
      <c r="C643" s="53" t="s">
        <v>3539</v>
      </c>
      <c r="D643" s="51">
        <v>45624</v>
      </c>
      <c r="E643" s="51" t="s">
        <v>3929</v>
      </c>
      <c r="F643" s="102">
        <v>55495</v>
      </c>
      <c r="G643" s="46"/>
      <c r="H643" s="53"/>
      <c r="I643" s="53" t="s">
        <v>3862</v>
      </c>
      <c r="J643" s="53" t="s">
        <v>497</v>
      </c>
      <c r="K643" s="48">
        <v>45617</v>
      </c>
      <c r="L643" s="49" t="str">
        <f>IF(Table26[[#This Row],[customerSKU]]="","",_xlfn.XLOOKUP(Table26[[#This Row],[customerSKU]],customerSKU!G:G,customerSKU!B:B,"",0,1))</f>
        <v/>
      </c>
      <c r="M643" s="114"/>
      <c r="N643" s="364" t="str">
        <f>Table26[[#This Row],[po_number]]&amp;"-"&amp;Table26[[#This Row],[po_line]]</f>
        <v>-2</v>
      </c>
      <c r="O643" s="364">
        <v>2</v>
      </c>
      <c r="P643" s="115"/>
      <c r="Q643" s="53" t="s">
        <v>3820</v>
      </c>
      <c r="R643" s="53" t="s">
        <v>569</v>
      </c>
      <c r="S643" s="53" t="str">
        <f>IF(Table26[[#This Row],[customerSKU]]="","",_xlfn.XLOOKUP(Table26[[#This Row],[customerSKU]],customerSKU!G:G,customerSKU!N:N,"NOT FOUND",0,1))</f>
        <v>NOT FOUND</v>
      </c>
      <c r="T643" s="51">
        <v>45594</v>
      </c>
      <c r="U643" s="52">
        <v>240</v>
      </c>
      <c r="V643" s="53" t="str">
        <f>IF(ISBLANK(Table26[[#This Row],[customerSKU]]),"",_xlfn.XLOOKUP(Table26[[#This Row],[customerSKU]],Table27[customer_SKU],Table27[case_size],"",0,1))</f>
        <v/>
      </c>
      <c r="W643" s="116" t="str">
        <f t="shared" si="27"/>
        <v/>
      </c>
      <c r="X643" s="53" t="str">
        <f t="shared" si="26"/>
        <v/>
      </c>
      <c r="Y643" s="53" t="str">
        <f>IF(Table26[[#This Row],[customerSKU]]="","",_xlfn.XLOOKUP(Table26[[#This Row],[customerSKU]],Table27[customer_SKU],Table27[product_GTIN],"",0,1))</f>
        <v/>
      </c>
      <c r="Z643" s="25" t="s">
        <v>3363</v>
      </c>
      <c r="AA643" s="18" t="str" cm="1">
        <f t="array" ref="AA643">IF(P643="", "", _xlfn.XLOOKUP(P643,#REF!,#REF!,NA,0,-1))</f>
        <v/>
      </c>
      <c r="AB643" s="53"/>
      <c r="AC643" s="55" t="str">
        <f>IF(Table26[[#This Row],[customerSKU]]="","",_xlfn.XLOOKUP(Table26[[#This Row],[customerSKU]],customerSKU!G:G,customerSKU!C:C,"",0,1))</f>
        <v/>
      </c>
      <c r="AD643" s="55" t="str">
        <f>IF($AC643="","",_xlfn.XLOOKUP($AC643,'Client Info'!$C$2:$C$2497,'Client Info'!$D$2:$D$2497,"",0,1))</f>
        <v/>
      </c>
      <c r="AE643" s="55" t="str">
        <f>IF($AC643="","",_xlfn.XLOOKUP($AC643,'Client Info'!$C$2:$C$2677,'Client Info'!$E$2:$E$2677,"",))</f>
        <v/>
      </c>
      <c r="AF643" s="55" t="str">
        <f>IF($AC643="","",_xlfn.XLOOKUP($AC643,'Client Info'!$C$2:$C$2677,'Client Info'!$F$2:$F$2677,"",0,1))</f>
        <v/>
      </c>
      <c r="AG643" s="55" t="str">
        <f>IF(ISBLANK(Table26[[#This Row],[customerSKU]]),"",_xlfn.XLOOKUP(Table26[[#This Row],[customerSKU]],Table27[customer_SKU],Table27[billto],"",0,1))</f>
        <v/>
      </c>
      <c r="AH643" s="62" t="str">
        <f>_xlfn.XLOOKUP(Table26[[#This Row],[customerSKU]],customerSKU!G:G,customerSKU!K:K,"NA",0,1)</f>
        <v>NA</v>
      </c>
      <c r="AI643" s="43" t="str">
        <f>_xlfn.XLOOKUP(Table26[[#This Row],[customerSKU]],customerSKU!G:G,customerSKU!O:O,"not found",0,1)</f>
        <v>not found</v>
      </c>
      <c r="AJ643" s="59" t="e">
        <f>Table26[[#This Row],[unitprice]]*Table26[[#This Row],[quantity_unit]]</f>
        <v>#VALUE!</v>
      </c>
      <c r="AK643" s="59" t="e" cm="1">
        <f t="array" ref="AK6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4" spans="1:37" ht="18" customHeight="1">
      <c r="A644" s="42">
        <v>1609</v>
      </c>
      <c r="B644" s="58" t="s">
        <v>3520</v>
      </c>
      <c r="C644" s="53" t="s">
        <v>3360</v>
      </c>
      <c r="D644" s="51"/>
      <c r="E644" s="51"/>
      <c r="F64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44" s="46"/>
      <c r="H644" s="53"/>
      <c r="I644" s="53" t="s">
        <v>3862</v>
      </c>
      <c r="J644" s="53" t="s">
        <v>3811</v>
      </c>
      <c r="K644" s="48">
        <v>45617</v>
      </c>
      <c r="L644" s="49" t="str">
        <f>IF(Table26[[#This Row],[customerSKU]]="","",_xlfn.XLOOKUP(Table26[[#This Row],[customerSKU]],customerSKU!G:G,customerSKU!B:B,"",0,1))</f>
        <v/>
      </c>
      <c r="M644" s="53"/>
      <c r="N644" s="77" t="str">
        <f>Table26[[#This Row],[po_number]]&amp;"-"&amp;Table26[[#This Row],[po_line]]</f>
        <v>-1</v>
      </c>
      <c r="O644" s="77">
        <v>1</v>
      </c>
      <c r="P644" s="50"/>
      <c r="Q644" s="53"/>
      <c r="R644" s="53"/>
      <c r="S644" s="53" t="str">
        <f>IF(Table26[[#This Row],[customerSKU]]="","",_xlfn.XLOOKUP(Table26[[#This Row],[customerSKU]],customerSKU!G:G,customerSKU!N:N,"NOT FOUND",0,1))</f>
        <v>NOT FOUND</v>
      </c>
      <c r="T644" s="20"/>
      <c r="U644" s="52">
        <v>12</v>
      </c>
      <c r="V644" s="53" t="str">
        <f>IF(ISBLANK(Table26[[#This Row],[customerSKU]]),"",_xlfn.XLOOKUP(Table26[[#This Row],[customerSKU]],Table27[customer_SKU],Table27[case_size],"",0,1))</f>
        <v/>
      </c>
      <c r="W644" s="116" t="str">
        <f t="shared" si="27"/>
        <v/>
      </c>
      <c r="X644" s="53" t="str">
        <f t="shared" si="26"/>
        <v/>
      </c>
      <c r="Y644" s="53" t="str">
        <f>IF(Table26[[#This Row],[customerSKU]]="","",_xlfn.XLOOKUP(Table26[[#This Row],[customerSKU]],Table27[customer_SKU],Table27[product_GTIN],"",0,1))</f>
        <v/>
      </c>
      <c r="Z644" s="25" t="s">
        <v>3452</v>
      </c>
      <c r="AA644" s="18" t="str" cm="1">
        <f t="array" ref="AA644">IF(P644="", "", _xlfn.XLOOKUP(P644,#REF!,#REF!,NA,0,-1))</f>
        <v/>
      </c>
      <c r="AB644" s="53"/>
      <c r="AC644" s="55" t="str">
        <f>IF(Table26[[#This Row],[customerSKU]]="","",_xlfn.XLOOKUP(Table26[[#This Row],[customerSKU]],customerSKU!G:G,customerSKU!C:C,"",0,1))</f>
        <v/>
      </c>
      <c r="AD644" s="55" t="str">
        <f>IF($AC644="","",_xlfn.XLOOKUP($AC644,'[2]Client Info'!$C$2:$C$2535,'[2]Client Info'!$D$2:$D$2535,"",0,1))</f>
        <v/>
      </c>
      <c r="AE644" s="55" t="str">
        <f>IF($AC644="","",_xlfn.XLOOKUP($AC644,'[2]Client Info'!$C$2:$C$2715,'[2]Client Info'!$E$2:$E$2715,"",))</f>
        <v/>
      </c>
      <c r="AF644" s="55" t="str">
        <f>IF($AC644="","",_xlfn.XLOOKUP($AC644,'[2]Client Info'!$C$2:$C$2715,'[2]Client Info'!$F$2:$F$2715,"",0,1))</f>
        <v/>
      </c>
      <c r="AG644" s="55" t="str">
        <f>IF(ISBLANK(Table26[[#This Row],[customerSKU]]),"",_xlfn.XLOOKUP(Table26[[#This Row],[customerSKU]],Table27[customer_SKU],Table27[billto],"",0,1))</f>
        <v/>
      </c>
      <c r="AH644" s="62" t="str">
        <f>_xlfn.XLOOKUP(Table26[[#This Row],[customerSKU]],customerSKU!G:G,customerSKU!K:K,"NA",0,1)</f>
        <v>NA</v>
      </c>
      <c r="AI644" s="43" t="str">
        <f>_xlfn.XLOOKUP(Table26[[#This Row],[customerSKU]],customerSKU!G:G,customerSKU!O:O,"not found",0,1)</f>
        <v>not found</v>
      </c>
      <c r="AJ644" s="53" t="e">
        <f>Table26[[#This Row],[unitprice]]*Table26[[#This Row],[quantity_unit]]</f>
        <v>#VALUE!</v>
      </c>
      <c r="AK644" s="53" t="e" cm="1">
        <f t="array" ref="AK6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45" spans="1:37" ht="18" customHeight="1">
      <c r="A645" s="42">
        <v>1610</v>
      </c>
      <c r="B645" s="58" t="s">
        <v>3520</v>
      </c>
      <c r="C645" s="53" t="s">
        <v>3360</v>
      </c>
      <c r="D645" s="51"/>
      <c r="E645" s="51"/>
      <c r="F64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45" s="46"/>
      <c r="H645" s="53"/>
      <c r="I645" s="53" t="s">
        <v>3862</v>
      </c>
      <c r="J645" s="53" t="s">
        <v>3811</v>
      </c>
      <c r="K645" s="48">
        <v>45617</v>
      </c>
      <c r="L645" s="49" t="str">
        <f>IF(Table26[[#This Row],[customerSKU]]="","",_xlfn.XLOOKUP(Table26[[#This Row],[customerSKU]],customerSKU!G:G,customerSKU!B:B,"",0,1))</f>
        <v/>
      </c>
      <c r="M645" s="53"/>
      <c r="N645" s="77" t="str">
        <f>Table26[[#This Row],[po_number]]&amp;"-"&amp;Table26[[#This Row],[po_line]]</f>
        <v>-1</v>
      </c>
      <c r="O645" s="77">
        <v>1</v>
      </c>
      <c r="P645" s="50"/>
      <c r="Q645" s="53" t="s">
        <v>3859</v>
      </c>
      <c r="R645" s="53" t="s">
        <v>569</v>
      </c>
      <c r="S645" s="53" t="str">
        <f>IF(Table26[[#This Row],[customerSKU]]="","",_xlfn.XLOOKUP(Table26[[#This Row],[customerSKU]],customerSKU!G:G,customerSKU!N:N,"NOT FOUND",0,1))</f>
        <v>NOT FOUND</v>
      </c>
      <c r="T645" s="20">
        <v>45588</v>
      </c>
      <c r="U645" s="52">
        <v>12</v>
      </c>
      <c r="V645" s="53" t="str">
        <f>IF(ISBLANK(Table26[[#This Row],[customerSKU]]),"",_xlfn.XLOOKUP(Table26[[#This Row],[customerSKU]],Table27[customer_SKU],Table27[case_size],"",0,1))</f>
        <v/>
      </c>
      <c r="W645" s="116" t="str">
        <f t="shared" si="27"/>
        <v/>
      </c>
      <c r="X645" s="53" t="str">
        <f t="shared" si="26"/>
        <v/>
      </c>
      <c r="Y645" s="53" t="str">
        <f>IF(Table26[[#This Row],[customerSKU]]="","",_xlfn.XLOOKUP(Table26[[#This Row],[customerSKU]],Table27[customer_SKU],Table27[product_GTIN],"",0,1))</f>
        <v/>
      </c>
      <c r="Z645" s="25" t="s">
        <v>3381</v>
      </c>
      <c r="AA645" s="18" t="str" cm="1">
        <f t="array" ref="AA645">IF(P645="", "", _xlfn.XLOOKUP(P645,#REF!,#REF!,NA,0,-1))</f>
        <v/>
      </c>
      <c r="AB645" s="53"/>
      <c r="AC645" s="55" t="str">
        <f>IF(Table26[[#This Row],[customerSKU]]="","",_xlfn.XLOOKUP(Table26[[#This Row],[customerSKU]],customerSKU!G:G,customerSKU!C:C,"",0,1))</f>
        <v/>
      </c>
      <c r="AD645" s="55" t="str">
        <f>IF($AC645="","",_xlfn.XLOOKUP($AC645,'[2]Client Info'!$C$2:$C$2535,'[2]Client Info'!$D$2:$D$2535,"",0,1))</f>
        <v/>
      </c>
      <c r="AE645" s="55" t="str">
        <f>IF($AC645="","",_xlfn.XLOOKUP($AC645,'[2]Client Info'!$C$2:$C$2715,'[2]Client Info'!$E$2:$E$2715,"",))</f>
        <v/>
      </c>
      <c r="AF645" s="55" t="str">
        <f>IF($AC645="","",_xlfn.XLOOKUP($AC645,'[2]Client Info'!$C$2:$C$2715,'[2]Client Info'!$F$2:$F$2715,"",0,1))</f>
        <v/>
      </c>
      <c r="AG645" s="55" t="str">
        <f>IF(ISBLANK(Table26[[#This Row],[customerSKU]]),"",_xlfn.XLOOKUP(Table26[[#This Row],[customerSKU]],Table27[customer_SKU],Table27[billto],"",0,1))</f>
        <v/>
      </c>
      <c r="AH645" s="62" t="str">
        <f>_xlfn.XLOOKUP(Table26[[#This Row],[customerSKU]],customerSKU!G:G,customerSKU!K:K,"NA",0,1)</f>
        <v>NA</v>
      </c>
      <c r="AI645" s="43" t="str">
        <f>_xlfn.XLOOKUP(Table26[[#This Row],[customerSKU]],customerSKU!G:G,customerSKU!O:O,"not found",0,1)</f>
        <v>not found</v>
      </c>
      <c r="AJ645" s="53" t="e">
        <f>Table26[[#This Row],[unitprice]]*Table26[[#This Row],[quantity_unit]]</f>
        <v>#VALUE!</v>
      </c>
      <c r="AK645" s="53" t="e" cm="1">
        <f t="array" ref="AK6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46" spans="1:37" ht="18" customHeight="1">
      <c r="A646" s="42">
        <v>1602</v>
      </c>
      <c r="B646" s="249" t="s">
        <v>3520</v>
      </c>
      <c r="C646" s="90" t="s">
        <v>203</v>
      </c>
      <c r="D646" s="235"/>
      <c r="E646" s="235"/>
      <c r="F64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46" s="46"/>
      <c r="H646" s="90"/>
      <c r="I646" s="90" t="s">
        <v>3818</v>
      </c>
      <c r="J646" s="90" t="str">
        <f>IF(Table26[[#This Row],[customerSKU]]="","",_xlfn.XLOOKUP(Table26[[#This Row],[customerSKU]],customerSKU!G:G,customerSKU!A:A,"",0,1))</f>
        <v/>
      </c>
      <c r="K646" s="232">
        <v>45618</v>
      </c>
      <c r="L646" s="233" t="str">
        <f>IF(Table26[[#This Row],[customerSKU]]="","",_xlfn.XLOOKUP(Table26[[#This Row],[customerSKU]],customerSKU!G:G,customerSKU!B:B,"",0,1))</f>
        <v/>
      </c>
      <c r="M646" s="90"/>
      <c r="N646" s="55" t="str">
        <f>Table26[[#This Row],[po_number]]&amp;"-"&amp;Table26[[#This Row],[po_line]]</f>
        <v>-1</v>
      </c>
      <c r="O646" s="55">
        <v>1</v>
      </c>
      <c r="P646" s="234"/>
      <c r="Q646" s="90" t="s">
        <v>1680</v>
      </c>
      <c r="R646" s="90" t="s">
        <v>3302</v>
      </c>
      <c r="S646" s="90" t="str">
        <f>IF(Table26[[#This Row],[customerSKU]]="","",_xlfn.XLOOKUP(Table26[[#This Row],[customerSKU]],customerSKU!G:G,customerSKU!N:N,"NOT FOUND",0,1))</f>
        <v>NOT FOUND</v>
      </c>
      <c r="T646" s="20">
        <v>45498</v>
      </c>
      <c r="U646" s="236">
        <v>12</v>
      </c>
      <c r="V646" s="90" t="str">
        <f>IF(ISBLANK(Table26[[#This Row],[customerSKU]]),"",_xlfn.XLOOKUP(Table26[[#This Row],[customerSKU]],Table27[customer_SKU],Table27[case_size],"",0,1))</f>
        <v/>
      </c>
      <c r="W646" s="237" t="str">
        <f t="shared" si="27"/>
        <v/>
      </c>
      <c r="X646" s="90" t="str">
        <f t="shared" si="26"/>
        <v/>
      </c>
      <c r="Y646" s="90" t="str">
        <f>IF(Table26[[#This Row],[customerSKU]]="","",_xlfn.XLOOKUP(Table26[[#This Row],[customerSKU]],Table27[customer_SKU],Table27[product_GTIN],"",0,1))</f>
        <v/>
      </c>
      <c r="Z646" s="90" t="s">
        <v>3403</v>
      </c>
      <c r="AA646" s="18" t="str" cm="1">
        <f t="array" ref="AA646">IF(P646="", "", _xlfn.XLOOKUP(P646,#REF!,#REF!,NA,0,-1))</f>
        <v/>
      </c>
      <c r="AB646" s="90"/>
      <c r="AC646" s="55" t="s">
        <v>71</v>
      </c>
      <c r="AD646" s="55" t="str">
        <f>IF($AC646="","",_xlfn.XLOOKUP($AC646,'[2]Client Info'!$C$2:$C$2535,'[2]Client Info'!$D$2:$D$2535,"",0,1))</f>
        <v>2076 Kingsway</v>
      </c>
      <c r="AE646" s="55" t="str">
        <f>IF($AC646="","",_xlfn.XLOOKUP($AC646,'[2]Client Info'!$C$2:$C$2715,'[2]Client Info'!$E$2:$E$2715,"",))</f>
        <v>Vancouver</v>
      </c>
      <c r="AF646" s="55" t="str">
        <f>IF($AC646="","",_xlfn.XLOOKUP($AC646,'[2]Client Info'!$C$2:$C$2715,'[2]Client Info'!$F$2:$F$2715,"",0,1))</f>
        <v>BC</v>
      </c>
      <c r="AG646" s="55" t="s">
        <v>71</v>
      </c>
      <c r="AH646" s="245" t="str">
        <f>_xlfn.XLOOKUP(Table26[[#This Row],[customerSKU]],customerSKU!G:G,customerSKU!K:K,"NA",0,1)</f>
        <v>NA</v>
      </c>
      <c r="AI646" s="43" t="str">
        <f>_xlfn.XLOOKUP(Table26[[#This Row],[customerSKU]],customerSKU!G:G,customerSKU!O:O,"not found",0,1)</f>
        <v>not found</v>
      </c>
      <c r="AJ646" s="53" t="e">
        <f>Table26[[#This Row],[unitprice]]*Table26[[#This Row],[quantity_unit]]</f>
        <v>#VALUE!</v>
      </c>
      <c r="AK646" s="53" t="e" cm="1">
        <f t="array" ref="AK6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7" spans="1:37" ht="18" customHeight="1">
      <c r="A647" s="42">
        <v>1603</v>
      </c>
      <c r="B647" s="249" t="s">
        <v>3520</v>
      </c>
      <c r="C647" s="90" t="s">
        <v>203</v>
      </c>
      <c r="D647" s="235"/>
      <c r="E647" s="235"/>
      <c r="F64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47" s="46"/>
      <c r="H647" s="90"/>
      <c r="I647" s="90" t="s">
        <v>3818</v>
      </c>
      <c r="J647" s="90" t="str">
        <f>IF(Table26[[#This Row],[customerSKU]]="","",_xlfn.XLOOKUP(Table26[[#This Row],[customerSKU]],customerSKU!G:G,customerSKU!A:A,"",0,1))</f>
        <v/>
      </c>
      <c r="K647" s="232">
        <v>45618</v>
      </c>
      <c r="L647" s="233" t="str">
        <f>IF(Table26[[#This Row],[customerSKU]]="","",_xlfn.XLOOKUP(Table26[[#This Row],[customerSKU]],customerSKU!G:G,customerSKU!B:B,"",0,1))</f>
        <v/>
      </c>
      <c r="M647" s="90"/>
      <c r="N647" s="55" t="str">
        <f>Table26[[#This Row],[po_number]]&amp;"-"&amp;Table26[[#This Row],[po_line]]</f>
        <v>-2</v>
      </c>
      <c r="O647" s="55">
        <v>2</v>
      </c>
      <c r="P647" s="234"/>
      <c r="Q647" s="90" t="s">
        <v>1134</v>
      </c>
      <c r="R647" s="90" t="s">
        <v>3302</v>
      </c>
      <c r="S647" s="90" t="str">
        <f>IF(Table26[[#This Row],[customerSKU]]="","",_xlfn.XLOOKUP(Table26[[#This Row],[customerSKU]],customerSKU!G:G,customerSKU!N:N,"NOT FOUND",0,1))</f>
        <v>NOT FOUND</v>
      </c>
      <c r="T647" s="20">
        <v>45588</v>
      </c>
      <c r="U647" s="236">
        <v>12</v>
      </c>
      <c r="V647" s="90" t="str">
        <f>IF(ISBLANK(Table26[[#This Row],[customerSKU]]),"",_xlfn.XLOOKUP(Table26[[#This Row],[customerSKU]],Table27[customer_SKU],Table27[case_size],"",0,1))</f>
        <v/>
      </c>
      <c r="W647" s="237" t="str">
        <f t="shared" si="27"/>
        <v/>
      </c>
      <c r="X647" s="90" t="str">
        <f t="shared" si="26"/>
        <v/>
      </c>
      <c r="Y647" s="90" t="str">
        <f>IF(Table26[[#This Row],[customerSKU]]="","",_xlfn.XLOOKUP(Table26[[#This Row],[customerSKU]],Table27[customer_SKU],Table27[product_GTIN],"",0,1))</f>
        <v/>
      </c>
      <c r="Z647" s="25" t="s">
        <v>3406</v>
      </c>
      <c r="AA647" s="18" t="str" cm="1">
        <f t="array" ref="AA647">IF(P647="", "", _xlfn.XLOOKUP(P647,#REF!,#REF!,NA,0,-1))</f>
        <v/>
      </c>
      <c r="AB647" s="90"/>
      <c r="AC647" s="55" t="s">
        <v>71</v>
      </c>
      <c r="AD647" s="55" t="str">
        <f>IF($AC647="","",_xlfn.XLOOKUP($AC647,'[2]Client Info'!$C$2:$C$2535,'[2]Client Info'!$D$2:$D$2535,"",0,1))</f>
        <v>2076 Kingsway</v>
      </c>
      <c r="AE647" s="55" t="str">
        <f>IF($AC647="","",_xlfn.XLOOKUP($AC647,'[2]Client Info'!$C$2:$C$2715,'[2]Client Info'!$E$2:$E$2715,"",))</f>
        <v>Vancouver</v>
      </c>
      <c r="AF647" s="55" t="str">
        <f>IF($AC647="","",_xlfn.XLOOKUP($AC647,'[2]Client Info'!$C$2:$C$2715,'[2]Client Info'!$F$2:$F$2715,"",0,1))</f>
        <v>BC</v>
      </c>
      <c r="AG647" s="55" t="s">
        <v>71</v>
      </c>
      <c r="AH647" s="245" t="str">
        <f>_xlfn.XLOOKUP(Table26[[#This Row],[customerSKU]],customerSKU!G:G,customerSKU!K:K,"NA",0,1)</f>
        <v>NA</v>
      </c>
      <c r="AI647" s="43" t="str">
        <f>_xlfn.XLOOKUP(Table26[[#This Row],[customerSKU]],customerSKU!G:G,customerSKU!O:O,"not found",0,1)</f>
        <v>not found</v>
      </c>
      <c r="AJ647" s="53" t="e">
        <f>Table26[[#This Row],[unitprice]]*Table26[[#This Row],[quantity_unit]]</f>
        <v>#VALUE!</v>
      </c>
      <c r="AK647" s="53" t="e" cm="1">
        <f t="array" ref="AK6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8" spans="1:37" ht="18" customHeight="1">
      <c r="A648" s="42">
        <v>1604</v>
      </c>
      <c r="B648" s="249" t="s">
        <v>3520</v>
      </c>
      <c r="C648" s="90" t="s">
        <v>203</v>
      </c>
      <c r="D648" s="235"/>
      <c r="E648" s="235"/>
      <c r="F64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48" s="46"/>
      <c r="H648" s="90"/>
      <c r="I648" s="90" t="s">
        <v>3818</v>
      </c>
      <c r="J648" s="90" t="str">
        <f>IF(Table26[[#This Row],[customerSKU]]="","",_xlfn.XLOOKUP(Table26[[#This Row],[customerSKU]],customerSKU!G:G,customerSKU!A:A,"",0,1))</f>
        <v/>
      </c>
      <c r="K648" s="232">
        <v>45618</v>
      </c>
      <c r="L648" s="233" t="str">
        <f>IF(Table26[[#This Row],[customerSKU]]="","",_xlfn.XLOOKUP(Table26[[#This Row],[customerSKU]],customerSKU!G:G,customerSKU!B:B,"",0,1))</f>
        <v/>
      </c>
      <c r="M648" s="90"/>
      <c r="N648" s="55" t="str">
        <f>Table26[[#This Row],[po_number]]&amp;"-"&amp;Table26[[#This Row],[po_line]]</f>
        <v>-3</v>
      </c>
      <c r="O648" s="55">
        <v>3</v>
      </c>
      <c r="P648" s="234"/>
      <c r="Q648" s="90" t="s">
        <v>1375</v>
      </c>
      <c r="R648" s="90" t="s">
        <v>3302</v>
      </c>
      <c r="S648" s="90" t="str">
        <f>IF(Table26[[#This Row],[customerSKU]]="","",_xlfn.XLOOKUP(Table26[[#This Row],[customerSKU]],customerSKU!G:G,customerSKU!N:N,"NOT FOUND",0,1))</f>
        <v>NOT FOUND</v>
      </c>
      <c r="T648" s="20">
        <v>45594</v>
      </c>
      <c r="U648" s="236">
        <v>12</v>
      </c>
      <c r="V648" s="90" t="str">
        <f>IF(ISBLANK(Table26[[#This Row],[customerSKU]]),"",_xlfn.XLOOKUP(Table26[[#This Row],[customerSKU]],Table27[customer_SKU],Table27[case_size],"",0,1))</f>
        <v/>
      </c>
      <c r="W648" s="237" t="str">
        <f t="shared" si="27"/>
        <v/>
      </c>
      <c r="X648" s="90" t="str">
        <f t="shared" si="26"/>
        <v/>
      </c>
      <c r="Y648" s="90" t="str">
        <f>IF(Table26[[#This Row],[customerSKU]]="","",_xlfn.XLOOKUP(Table26[[#This Row],[customerSKU]],Table27[customer_SKU],Table27[product_GTIN],"",0,1))</f>
        <v/>
      </c>
      <c r="Z648" s="90">
        <v>1066359</v>
      </c>
      <c r="AA648" s="18" t="str" cm="1">
        <f t="array" ref="AA648">IF(P648="", "", _xlfn.XLOOKUP(P648,#REF!,#REF!,NA,0,-1))</f>
        <v/>
      </c>
      <c r="AB648" s="90"/>
      <c r="AC648" s="55" t="s">
        <v>71</v>
      </c>
      <c r="AD648" s="55" t="str">
        <f>IF($AC648="","",_xlfn.XLOOKUP($AC648,'[2]Client Info'!$C$2:$C$2535,'[2]Client Info'!$D$2:$D$2535,"",0,1))</f>
        <v>2076 Kingsway</v>
      </c>
      <c r="AE648" s="55" t="str">
        <f>IF($AC648="","",_xlfn.XLOOKUP($AC648,'[2]Client Info'!$C$2:$C$2715,'[2]Client Info'!$E$2:$E$2715,"",))</f>
        <v>Vancouver</v>
      </c>
      <c r="AF648" s="55" t="str">
        <f>IF($AC648="","",_xlfn.XLOOKUP($AC648,'[2]Client Info'!$C$2:$C$2715,'[2]Client Info'!$F$2:$F$2715,"",0,1))</f>
        <v>BC</v>
      </c>
      <c r="AG648" s="55" t="s">
        <v>71</v>
      </c>
      <c r="AH648" s="245" t="str">
        <f>_xlfn.XLOOKUP(Table26[[#This Row],[customerSKU]],customerSKU!G:G,customerSKU!K:K,"NA",0,1)</f>
        <v>NA</v>
      </c>
      <c r="AI648" s="43" t="str">
        <f>_xlfn.XLOOKUP(Table26[[#This Row],[customerSKU]],customerSKU!G:G,customerSKU!O:O,"not found",0,1)</f>
        <v>not found</v>
      </c>
      <c r="AJ648" s="53" t="e">
        <f>Table26[[#This Row],[unitprice]]*Table26[[#This Row],[quantity_unit]]</f>
        <v>#VALUE!</v>
      </c>
      <c r="AK648" s="53" t="e" cm="1">
        <f t="array" ref="AK6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49" spans="1:37" ht="18" customHeight="1">
      <c r="A649" s="42">
        <v>1600</v>
      </c>
      <c r="B649" s="249" t="s">
        <v>3520</v>
      </c>
      <c r="C649" s="90" t="s">
        <v>203</v>
      </c>
      <c r="D649" s="235">
        <v>45636</v>
      </c>
      <c r="E649" s="235"/>
      <c r="F649" s="90"/>
      <c r="G649" s="46"/>
      <c r="H649" s="90"/>
      <c r="I649" s="242" t="s">
        <v>3862</v>
      </c>
      <c r="J649" s="90" t="str">
        <f>IF(Table26[[#This Row],[customerSKU]]="","",_xlfn.XLOOKUP(Table26[[#This Row],[customerSKU]],customerSKU!G:G,customerSKU!A:A,"",0,1))</f>
        <v/>
      </c>
      <c r="K649" s="232">
        <v>45621</v>
      </c>
      <c r="L649" s="233" t="str">
        <f>IF(Table26[[#This Row],[customerSKU]]="","",_xlfn.XLOOKUP(Table26[[#This Row],[customerSKU]],customerSKU!G:G,customerSKU!B:B,"",0,1))</f>
        <v/>
      </c>
      <c r="M649" s="90"/>
      <c r="N649" s="55" t="str">
        <f>Table26[[#This Row],[po_number]]&amp;"-"&amp;Table26[[#This Row],[po_line]]</f>
        <v>-1</v>
      </c>
      <c r="O649" s="55">
        <v>1</v>
      </c>
      <c r="P649" s="234"/>
      <c r="Q649" s="90" t="s">
        <v>1311</v>
      </c>
      <c r="R649" s="90" t="s">
        <v>569</v>
      </c>
      <c r="S649" s="90" t="s">
        <v>114</v>
      </c>
      <c r="T649" s="20">
        <v>45588</v>
      </c>
      <c r="U649" s="236">
        <v>240</v>
      </c>
      <c r="V649" s="90" t="str">
        <f>IF(ISBLANK(Table26[[#This Row],[customerSKU]]),"",_xlfn.XLOOKUP(Table26[[#This Row],[customerSKU]],Table27[customer_SKU],Table27[case_size],"",0,1))</f>
        <v/>
      </c>
      <c r="W649" s="237" t="str">
        <f t="shared" si="27"/>
        <v/>
      </c>
      <c r="X649" s="90" t="str">
        <f t="shared" si="26"/>
        <v/>
      </c>
      <c r="Y649" s="90" t="str">
        <f>IF(Table26[[#This Row],[customerSKU]]="","",_xlfn.XLOOKUP(Table26[[#This Row],[customerSKU]],Table27[customer_SKU],Table27[product_GTIN],"",0,1))</f>
        <v/>
      </c>
      <c r="Z649" s="60" t="s">
        <v>4048</v>
      </c>
      <c r="AA649" s="18" t="str" cm="1">
        <f t="array" ref="AA649">IF(P649="", "", _xlfn.XLOOKUP(P649,#REF!,#REF!,NA,0,-1))</f>
        <v/>
      </c>
      <c r="AB649" s="90"/>
      <c r="AC649" s="55" t="str">
        <f>IF(Table26[[#This Row],[customerSKU]]="","",_xlfn.XLOOKUP(Table26[[#This Row],[customerSKU]],customerSKU!G:G,customerSKU!C:C,"",0,1))</f>
        <v/>
      </c>
      <c r="AD649" s="55" t="str">
        <f>IF($AC649="","",_xlfn.XLOOKUP($AC649,'[2]Client Info'!$C$2:$C$2535,'[2]Client Info'!$D$2:$D$2535,"",0,1))</f>
        <v/>
      </c>
      <c r="AE649" s="55" t="str">
        <f>IF($AC649="","",_xlfn.XLOOKUP($AC649,'[2]Client Info'!$C$2:$C$2715,'[2]Client Info'!$E$2:$E$2715,"",))</f>
        <v/>
      </c>
      <c r="AF649" s="55" t="str">
        <f>IF($AC649="","",_xlfn.XLOOKUP($AC649,'[2]Client Info'!$C$2:$C$2715,'[2]Client Info'!$F$2:$F$2715,"",0,1))</f>
        <v/>
      </c>
      <c r="AG649" s="55" t="str">
        <f>IF(ISBLANK(Table26[[#This Row],[customerSKU]]),"",_xlfn.XLOOKUP(Table26[[#This Row],[customerSKU]],Table27[customer_SKU],Table27[billto],"",0,1))</f>
        <v/>
      </c>
      <c r="AH649" s="245" t="str">
        <f>_xlfn.XLOOKUP(Table26[[#This Row],[customerSKU]],customerSKU!G:G,customerSKU!K:K,"NA",0,1)</f>
        <v>NA</v>
      </c>
      <c r="AI649" s="43" t="str">
        <f>_xlfn.XLOOKUP(Table26[[#This Row],[customerSKU]],customerSKU!G:G,customerSKU!O:O,"not found",0,1)</f>
        <v>not found</v>
      </c>
      <c r="AJ649" s="53" t="e">
        <f>Table26[[#This Row],[unitprice]]*Table26[[#This Row],[quantity_unit]]</f>
        <v>#VALUE!</v>
      </c>
      <c r="AK649" s="53" t="e" cm="1">
        <f t="array" ref="AK6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0" spans="1:37" ht="18" customHeight="1">
      <c r="A650" s="42">
        <v>1601</v>
      </c>
      <c r="B650" s="249" t="s">
        <v>3520</v>
      </c>
      <c r="C650" s="90" t="s">
        <v>203</v>
      </c>
      <c r="D650" s="235">
        <v>45636</v>
      </c>
      <c r="E650" s="235"/>
      <c r="F650" s="90"/>
      <c r="G650" s="46"/>
      <c r="H650" s="90"/>
      <c r="I650" s="242" t="s">
        <v>3862</v>
      </c>
      <c r="J650" s="90" t="str">
        <f>IF(Table26[[#This Row],[customerSKU]]="","",_xlfn.XLOOKUP(Table26[[#This Row],[customerSKU]],customerSKU!G:G,customerSKU!A:A,"",0,1))</f>
        <v/>
      </c>
      <c r="K650" s="232">
        <v>45621</v>
      </c>
      <c r="L650" s="233" t="str">
        <f>IF(Table26[[#This Row],[customerSKU]]="","",_xlfn.XLOOKUP(Table26[[#This Row],[customerSKU]],customerSKU!G:G,customerSKU!B:B,"",0,1))</f>
        <v/>
      </c>
      <c r="M650" s="90"/>
      <c r="N650" s="55" t="str">
        <f>Table26[[#This Row],[po_number]]&amp;"-"&amp;Table26[[#This Row],[po_line]]</f>
        <v>-2</v>
      </c>
      <c r="O650" s="55">
        <v>2</v>
      </c>
      <c r="P650" s="234"/>
      <c r="Q650" s="90" t="s">
        <v>1311</v>
      </c>
      <c r="R650" s="90" t="s">
        <v>569</v>
      </c>
      <c r="S650" s="90" t="str">
        <f>IF(Table26[[#This Row],[customerSKU]]="","",_xlfn.XLOOKUP(Table26[[#This Row],[customerSKU]],customerSKU!G:G,customerSKU!N:N,"NOT FOUND",0,1))</f>
        <v>NOT FOUND</v>
      </c>
      <c r="T650" s="20">
        <v>45616</v>
      </c>
      <c r="U650" s="236">
        <f>960-240</f>
        <v>720</v>
      </c>
      <c r="V650" s="90" t="str">
        <f>IF(ISBLANK(Table26[[#This Row],[customerSKU]]),"",_xlfn.XLOOKUP(Table26[[#This Row],[customerSKU]],Table27[customer_SKU],Table27[case_size],"",0,1))</f>
        <v/>
      </c>
      <c r="W650" s="237" t="str">
        <f t="shared" si="27"/>
        <v/>
      </c>
      <c r="X650" s="90" t="str">
        <f t="shared" si="26"/>
        <v/>
      </c>
      <c r="Y650" s="90" t="str">
        <f>IF(Table26[[#This Row],[customerSKU]]="","",_xlfn.XLOOKUP(Table26[[#This Row],[customerSKU]],Table27[customer_SKU],Table27[product_GTIN],"",0,1))</f>
        <v/>
      </c>
      <c r="Z650" s="60" t="s">
        <v>4048</v>
      </c>
      <c r="AA650" s="18" t="str" cm="1">
        <f t="array" ref="AA650">IF(P650="", "", _xlfn.XLOOKUP(P650,#REF!,#REF!,NA,0,-1))</f>
        <v/>
      </c>
      <c r="AB650" s="90"/>
      <c r="AC650" s="55" t="str">
        <f>IF(Table26[[#This Row],[customerSKU]]="","",_xlfn.XLOOKUP(Table26[[#This Row],[customerSKU]],customerSKU!G:G,customerSKU!C:C,"",0,1))</f>
        <v/>
      </c>
      <c r="AD650" s="55" t="str">
        <f>IF($AC650="","",_xlfn.XLOOKUP($AC650,'[2]Client Info'!$C$2:$C$2535,'[2]Client Info'!$D$2:$D$2535,"",0,1))</f>
        <v/>
      </c>
      <c r="AE650" s="55" t="str">
        <f>IF($AC650="","",_xlfn.XLOOKUP($AC650,'[2]Client Info'!$C$2:$C$2715,'[2]Client Info'!$E$2:$E$2715,"",))</f>
        <v/>
      </c>
      <c r="AF650" s="55" t="str">
        <f>IF($AC650="","",_xlfn.XLOOKUP($AC650,'[2]Client Info'!$C$2:$C$2715,'[2]Client Info'!$F$2:$F$2715,"",0,1))</f>
        <v/>
      </c>
      <c r="AG650" s="55" t="str">
        <f>IF(ISBLANK(Table26[[#This Row],[customerSKU]]),"",_xlfn.XLOOKUP(Table26[[#This Row],[customerSKU]],Table27[customer_SKU],Table27[billto],"",0,1))</f>
        <v/>
      </c>
      <c r="AH650" s="245" t="str">
        <f>_xlfn.XLOOKUP(Table26[[#This Row],[customerSKU]],customerSKU!G:G,customerSKU!K:K,"NA",0,1)</f>
        <v>NA</v>
      </c>
      <c r="AI650" s="43" t="str">
        <f>_xlfn.XLOOKUP(Table26[[#This Row],[customerSKU]],customerSKU!G:G,customerSKU!O:O,"not found",0,1)</f>
        <v>not found</v>
      </c>
      <c r="AJ650" s="53" t="e">
        <f>Table26[[#This Row],[unitprice]]*Table26[[#This Row],[quantity_unit]]</f>
        <v>#VALUE!</v>
      </c>
      <c r="AK650" s="53" t="e" cm="1">
        <f t="array" ref="AK6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1" spans="1:37" ht="18" customHeight="1">
      <c r="A651" s="42">
        <v>1598</v>
      </c>
      <c r="B651" s="58" t="s">
        <v>3520</v>
      </c>
      <c r="C651" s="53" t="s">
        <v>3360</v>
      </c>
      <c r="D651" s="51"/>
      <c r="E651" s="51"/>
      <c r="F65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51" s="46"/>
      <c r="H651" s="53"/>
      <c r="I651" s="53" t="s">
        <v>3862</v>
      </c>
      <c r="J651" s="53" t="s">
        <v>3811</v>
      </c>
      <c r="K651" s="48">
        <v>45622</v>
      </c>
      <c r="L651" s="49" t="str">
        <f>IF(Table26[[#This Row],[customerSKU]]="","",_xlfn.XLOOKUP(Table26[[#This Row],[customerSKU]],customerSKU!G:G,customerSKU!B:B,"",0,1))</f>
        <v/>
      </c>
      <c r="M651" s="53"/>
      <c r="N651" s="77" t="str">
        <f>Table26[[#This Row],[po_number]]&amp;"-"&amp;Table26[[#This Row],[po_line]]</f>
        <v>-1</v>
      </c>
      <c r="O651" s="77">
        <v>1</v>
      </c>
      <c r="P651" s="50"/>
      <c r="Q651" s="53" t="s">
        <v>3847</v>
      </c>
      <c r="R651" s="53" t="s">
        <v>569</v>
      </c>
      <c r="S651" s="53" t="str">
        <f>IF(Table26[[#This Row],[customerSKU]]="","",_xlfn.XLOOKUP(Table26[[#This Row],[customerSKU]],customerSKU!G:G,customerSKU!N:N,"NOT FOUND",0,1))</f>
        <v>NOT FOUND</v>
      </c>
      <c r="T651" s="20">
        <v>45569</v>
      </c>
      <c r="U651" s="52">
        <v>12</v>
      </c>
      <c r="V651" s="53" t="str">
        <f>IF(ISBLANK(Table26[[#This Row],[customerSKU]]),"",_xlfn.XLOOKUP(Table26[[#This Row],[customerSKU]],Table27[customer_SKU],Table27[case_size],"",0,1))</f>
        <v/>
      </c>
      <c r="W651" s="116" t="str">
        <f t="shared" si="27"/>
        <v/>
      </c>
      <c r="X651" s="53" t="str">
        <f t="shared" si="26"/>
        <v/>
      </c>
      <c r="Y651" s="53" t="str">
        <f>IF(Table26[[#This Row],[customerSKU]]="","",_xlfn.XLOOKUP(Table26[[#This Row],[customerSKU]],Table27[customer_SKU],Table27[product_GTIN],"",0,1))</f>
        <v/>
      </c>
      <c r="Z651" s="60">
        <v>61619</v>
      </c>
      <c r="AA651" s="18" t="str" cm="1">
        <f t="array" ref="AA651">IF(P651="", "", _xlfn.XLOOKUP(P651,#REF!,#REF!,NA,0,-1))</f>
        <v/>
      </c>
      <c r="AB651" s="53"/>
      <c r="AC651" s="55" t="str">
        <f>IF(Table26[[#This Row],[customerSKU]]="","",_xlfn.XLOOKUP(Table26[[#This Row],[customerSKU]],customerSKU!G:G,customerSKU!C:C,"",0,1))</f>
        <v/>
      </c>
      <c r="AD651" s="55" t="str">
        <f>IF($AC651="","",_xlfn.XLOOKUP($AC651,'[2]Client Info'!$C$2:$C$2535,'[2]Client Info'!$D$2:$D$2535,"",0,1))</f>
        <v/>
      </c>
      <c r="AE651" s="55" t="str">
        <f>IF($AC651="","",_xlfn.XLOOKUP($AC651,'[2]Client Info'!$C$2:$C$2715,'[2]Client Info'!$E$2:$E$2715,"",))</f>
        <v/>
      </c>
      <c r="AF651" s="55" t="str">
        <f>IF($AC651="","",_xlfn.XLOOKUP($AC651,'[2]Client Info'!$C$2:$C$2715,'[2]Client Info'!$F$2:$F$2715,"",0,1))</f>
        <v/>
      </c>
      <c r="AG651" s="55" t="str">
        <f>IF(ISBLANK(Table26[[#This Row],[customerSKU]]),"",_xlfn.XLOOKUP(Table26[[#This Row],[customerSKU]],Table27[customer_SKU],Table27[billto],"",0,1))</f>
        <v/>
      </c>
      <c r="AH651" s="62" t="str">
        <f>_xlfn.XLOOKUP(Table26[[#This Row],[customerSKU]],customerSKU!G:G,customerSKU!K:K,"NA",0,1)</f>
        <v>NA</v>
      </c>
      <c r="AI651" s="43" t="str">
        <f>_xlfn.XLOOKUP(Table26[[#This Row],[customerSKU]],customerSKU!G:G,customerSKU!O:O,"not found",0,1)</f>
        <v>not found</v>
      </c>
      <c r="AJ651" s="53" t="e">
        <f>Table26[[#This Row],[unitprice]]*Table26[[#This Row],[quantity_unit]]</f>
        <v>#VALUE!</v>
      </c>
      <c r="AK651" s="53" t="e" cm="1">
        <f t="array" ref="AK6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52" spans="1:37" ht="18" customHeight="1">
      <c r="A652" s="42">
        <v>1599</v>
      </c>
      <c r="B652" s="58" t="s">
        <v>3520</v>
      </c>
      <c r="C652" s="53" t="s">
        <v>3360</v>
      </c>
      <c r="D652" s="51"/>
      <c r="E652" s="51"/>
      <c r="F65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52" s="46"/>
      <c r="H652" s="53"/>
      <c r="I652" s="53" t="s">
        <v>3862</v>
      </c>
      <c r="J652" s="53" t="s">
        <v>3811</v>
      </c>
      <c r="K652" s="48">
        <v>45622</v>
      </c>
      <c r="L652" s="49" t="str">
        <f>IF(Table26[[#This Row],[customerSKU]]="","",_xlfn.XLOOKUP(Table26[[#This Row],[customerSKU]],customerSKU!G:G,customerSKU!B:B,"",0,1))</f>
        <v/>
      </c>
      <c r="M652" s="53"/>
      <c r="N652" s="77" t="str">
        <f>Table26[[#This Row],[po_number]]&amp;"-"&amp;Table26[[#This Row],[po_line]]</f>
        <v>-1</v>
      </c>
      <c r="O652" s="77">
        <v>1</v>
      </c>
      <c r="P652" s="50"/>
      <c r="Q652" s="53"/>
      <c r="R652" s="53"/>
      <c r="S652" s="53" t="str">
        <f>IF(Table26[[#This Row],[customerSKU]]="","",_xlfn.XLOOKUP(Table26[[#This Row],[customerSKU]],customerSKU!G:G,customerSKU!N:N,"NOT FOUND",0,1))</f>
        <v>NOT FOUND</v>
      </c>
      <c r="T652" s="20"/>
      <c r="U652" s="52">
        <v>12</v>
      </c>
      <c r="V652" s="53" t="str">
        <f>IF(ISBLANK(Table26[[#This Row],[customerSKU]]),"",_xlfn.XLOOKUP(Table26[[#This Row],[customerSKU]],Table27[customer_SKU],Table27[case_size],"",0,1))</f>
        <v/>
      </c>
      <c r="W652" s="116" t="str">
        <f t="shared" si="27"/>
        <v/>
      </c>
      <c r="X652" s="53" t="str">
        <f t="shared" si="26"/>
        <v/>
      </c>
      <c r="Y652" s="53" t="str">
        <f>IF(Table26[[#This Row],[customerSKU]]="","",_xlfn.XLOOKUP(Table26[[#This Row],[customerSKU]],Table27[customer_SKU],Table27[product_GTIN],"",0,1))</f>
        <v/>
      </c>
      <c r="Z652" s="25" t="s">
        <v>3452</v>
      </c>
      <c r="AA652" s="18" t="str" cm="1">
        <f t="array" ref="AA652">IF(P652="", "", _xlfn.XLOOKUP(P652,#REF!,#REF!,NA,0,-1))</f>
        <v/>
      </c>
      <c r="AB652" s="53"/>
      <c r="AC652" s="55" t="str">
        <f>IF(Table26[[#This Row],[customerSKU]]="","",_xlfn.XLOOKUP(Table26[[#This Row],[customerSKU]],customerSKU!G:G,customerSKU!C:C,"",0,1))</f>
        <v/>
      </c>
      <c r="AD652" s="55" t="str">
        <f>IF($AC652="","",_xlfn.XLOOKUP($AC652,'[2]Client Info'!$C$2:$C$2535,'[2]Client Info'!$D$2:$D$2535,"",0,1))</f>
        <v/>
      </c>
      <c r="AE652" s="55" t="str">
        <f>IF($AC652="","",_xlfn.XLOOKUP($AC652,'[2]Client Info'!$C$2:$C$2715,'[2]Client Info'!$E$2:$E$2715,"",))</f>
        <v/>
      </c>
      <c r="AF652" s="55" t="str">
        <f>IF($AC652="","",_xlfn.XLOOKUP($AC652,'[2]Client Info'!$C$2:$C$2715,'[2]Client Info'!$F$2:$F$2715,"",0,1))</f>
        <v/>
      </c>
      <c r="AG652" s="55" t="str">
        <f>IF(ISBLANK(Table26[[#This Row],[customerSKU]]),"",_xlfn.XLOOKUP(Table26[[#This Row],[customerSKU]],Table27[customer_SKU],Table27[billto],"",0,1))</f>
        <v/>
      </c>
      <c r="AH652" s="62" t="str">
        <f>_xlfn.XLOOKUP(Table26[[#This Row],[customerSKU]],customerSKU!G:G,customerSKU!K:K,"NA",0,1)</f>
        <v>NA</v>
      </c>
      <c r="AI652" s="43" t="str">
        <f>_xlfn.XLOOKUP(Table26[[#This Row],[customerSKU]],customerSKU!G:G,customerSKU!O:O,"not found",0,1)</f>
        <v>not found</v>
      </c>
      <c r="AJ652" s="53" t="e">
        <f>Table26[[#This Row],[unitprice]]*Table26[[#This Row],[quantity_unit]]</f>
        <v>#VALUE!</v>
      </c>
      <c r="AK652" s="53" t="e" cm="1">
        <f t="array" ref="AK6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53" spans="1:37" ht="18" customHeight="1">
      <c r="A653" s="42">
        <v>1568</v>
      </c>
      <c r="B653" s="249" t="s">
        <v>3520</v>
      </c>
      <c r="C653" s="90" t="s">
        <v>203</v>
      </c>
      <c r="D653" s="235"/>
      <c r="E653" s="235"/>
      <c r="F65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3" s="46"/>
      <c r="H653" s="90"/>
      <c r="I653" s="90" t="s">
        <v>3818</v>
      </c>
      <c r="J653" s="90" t="str">
        <f>IF(Table26[[#This Row],[customerSKU]]="","",_xlfn.XLOOKUP(Table26[[#This Row],[customerSKU]],customerSKU!G:G,customerSKU!A:A,"",0,1))</f>
        <v/>
      </c>
      <c r="K653" s="232">
        <v>45623</v>
      </c>
      <c r="L653" s="233" t="str">
        <f>IF(Table26[[#This Row],[customerSKU]]="","",_xlfn.XLOOKUP(Table26[[#This Row],[customerSKU]],customerSKU!G:G,customerSKU!B:B,"",0,1))</f>
        <v/>
      </c>
      <c r="M653" s="90"/>
      <c r="N653" s="55" t="str">
        <f>Table26[[#This Row],[po_number]]&amp;"-"&amp;Table26[[#This Row],[po_line]]</f>
        <v>-1</v>
      </c>
      <c r="O653" s="55">
        <v>1</v>
      </c>
      <c r="P653" s="234"/>
      <c r="Q653" s="90" t="s">
        <v>934</v>
      </c>
      <c r="R653" s="90" t="s">
        <v>3419</v>
      </c>
      <c r="S653" s="90" t="s">
        <v>3420</v>
      </c>
      <c r="T653" s="20">
        <v>45596</v>
      </c>
      <c r="U653" s="236">
        <v>12</v>
      </c>
      <c r="V653" s="90" t="str">
        <f>IF(ISBLANK(Table26[[#This Row],[customerSKU]]),"",_xlfn.XLOOKUP(Table26[[#This Row],[customerSKU]],Table27[customer_SKU],Table27[case_size],"",0,1))</f>
        <v/>
      </c>
      <c r="W653" s="237" t="str">
        <f t="shared" si="27"/>
        <v/>
      </c>
      <c r="X653" s="90" t="str">
        <f t="shared" si="26"/>
        <v/>
      </c>
      <c r="Y653" s="90" t="str">
        <f>IF(Table26[[#This Row],[customerSKU]]="","",_xlfn.XLOOKUP(Table26[[#This Row],[customerSKU]],Table27[customer_SKU],Table27[product_GTIN],"",0,1))</f>
        <v/>
      </c>
      <c r="Z653" s="25" t="s">
        <v>3547</v>
      </c>
      <c r="AA653" s="18" t="str" cm="1">
        <f t="array" ref="AA653">IF(P653="", "", _xlfn.XLOOKUP(P653,#REF!,#REF!,NA,0,-1))</f>
        <v/>
      </c>
      <c r="AB653" s="90"/>
      <c r="AC653" s="55" t="s">
        <v>143</v>
      </c>
      <c r="AD653" s="55" t="str">
        <f>IF($AC653="","",_xlfn.XLOOKUP($AC653,'[2]Client Info'!$C$2:$C$2535,'[2]Client Info'!$D$2:$D$2535,"",0,1))</f>
        <v>38243 Cleveland Ave, PO Box 276</v>
      </c>
      <c r="AE653" s="55" t="str">
        <f>IF($AC653="","",_xlfn.XLOOKUP($AC653,'[2]Client Info'!$C$2:$C$2715,'[2]Client Info'!$E$2:$E$2715,"",))</f>
        <v>Squamish</v>
      </c>
      <c r="AF653" s="55" t="str">
        <f>IF($AC653="","",_xlfn.XLOOKUP($AC653,'[2]Client Info'!$C$2:$C$2715,'[2]Client Info'!$F$2:$F$2715,"",0,1))</f>
        <v xml:space="preserve">BC </v>
      </c>
      <c r="AG653" s="55" t="s">
        <v>143</v>
      </c>
      <c r="AH653" s="245" t="str">
        <f>_xlfn.XLOOKUP(Table26[[#This Row],[customerSKU]],customerSKU!G:G,customerSKU!K:K,"NA",0,1)</f>
        <v>NA</v>
      </c>
      <c r="AI653" s="43" t="str">
        <f>_xlfn.XLOOKUP(Table26[[#This Row],[customerSKU]],customerSKU!G:G,customerSKU!O:O,"not found",0,1)</f>
        <v>not found</v>
      </c>
      <c r="AJ653" s="53" t="e">
        <f>Table26[[#This Row],[unitprice]]*Table26[[#This Row],[quantity_unit]]</f>
        <v>#VALUE!</v>
      </c>
      <c r="AK653" s="53" t="e" cm="1">
        <f t="array" ref="AK6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4" spans="1:37" ht="18" customHeight="1">
      <c r="A654" s="42">
        <v>1569</v>
      </c>
      <c r="B654" s="249" t="s">
        <v>3520</v>
      </c>
      <c r="C654" s="90" t="s">
        <v>203</v>
      </c>
      <c r="D654" s="235"/>
      <c r="E654" s="235"/>
      <c r="F65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4" s="46"/>
      <c r="H654" s="90"/>
      <c r="I654" s="90" t="s">
        <v>3818</v>
      </c>
      <c r="J654" s="90" t="str">
        <f>IF(Table26[[#This Row],[customerSKU]]="","",_xlfn.XLOOKUP(Table26[[#This Row],[customerSKU]],customerSKU!G:G,customerSKU!A:A,"",0,1))</f>
        <v/>
      </c>
      <c r="K654" s="232">
        <v>45623</v>
      </c>
      <c r="L654" s="233" t="str">
        <f>IF(Table26[[#This Row],[customerSKU]]="","",_xlfn.XLOOKUP(Table26[[#This Row],[customerSKU]],customerSKU!G:G,customerSKU!B:B,"",0,1))</f>
        <v/>
      </c>
      <c r="M654" s="90"/>
      <c r="N654" s="55" t="str">
        <f>Table26[[#This Row],[po_number]]&amp;"-"&amp;Table26[[#This Row],[po_line]]</f>
        <v>-2</v>
      </c>
      <c r="O654" s="55">
        <v>2</v>
      </c>
      <c r="P654" s="234"/>
      <c r="Q654" s="90" t="s">
        <v>1134</v>
      </c>
      <c r="R654" s="90" t="s">
        <v>569</v>
      </c>
      <c r="S654" s="90" t="s">
        <v>114</v>
      </c>
      <c r="T654" s="20">
        <v>45588</v>
      </c>
      <c r="U654" s="236">
        <v>36</v>
      </c>
      <c r="V654" s="90" t="str">
        <f>IF(ISBLANK(Table26[[#This Row],[customerSKU]]),"",_xlfn.XLOOKUP(Table26[[#This Row],[customerSKU]],Table27[customer_SKU],Table27[case_size],"",0,1))</f>
        <v/>
      </c>
      <c r="W654" s="237" t="str">
        <f t="shared" si="27"/>
        <v/>
      </c>
      <c r="X654" s="90" t="str">
        <f t="shared" si="26"/>
        <v/>
      </c>
      <c r="Y654" s="90" t="str">
        <f>IF(Table26[[#This Row],[customerSKU]]="","",_xlfn.XLOOKUP(Table26[[#This Row],[customerSKU]],Table27[customer_SKU],Table27[product_GTIN],"",0,1))</f>
        <v/>
      </c>
      <c r="Z654" s="25" t="s">
        <v>3406</v>
      </c>
      <c r="AA654" s="18" t="str" cm="1">
        <f t="array" ref="AA654">IF(P654="", "", _xlfn.XLOOKUP(P654,#REF!,#REF!,NA,0,-1))</f>
        <v/>
      </c>
      <c r="AB654" s="90"/>
      <c r="AC654" s="55" t="s">
        <v>143</v>
      </c>
      <c r="AD654" s="55" t="str">
        <f>IF($AC654="","",_xlfn.XLOOKUP($AC654,'[2]Client Info'!$C$2:$C$2535,'[2]Client Info'!$D$2:$D$2535,"",0,1))</f>
        <v>38243 Cleveland Ave, PO Box 276</v>
      </c>
      <c r="AE654" s="55" t="str">
        <f>IF($AC654="","",_xlfn.XLOOKUP($AC654,'[2]Client Info'!$C$2:$C$2715,'[2]Client Info'!$E$2:$E$2715,"",))</f>
        <v>Squamish</v>
      </c>
      <c r="AF654" s="55" t="str">
        <f>IF($AC654="","",_xlfn.XLOOKUP($AC654,'[2]Client Info'!$C$2:$C$2715,'[2]Client Info'!$F$2:$F$2715,"",0,1))</f>
        <v xml:space="preserve">BC </v>
      </c>
      <c r="AG654" s="55" t="s">
        <v>143</v>
      </c>
      <c r="AH654" s="245" t="str">
        <f>_xlfn.XLOOKUP(Table26[[#This Row],[customerSKU]],customerSKU!G:G,customerSKU!K:K,"NA",0,1)</f>
        <v>NA</v>
      </c>
      <c r="AI654" s="43" t="str">
        <f>_xlfn.XLOOKUP(Table26[[#This Row],[customerSKU]],customerSKU!G:G,customerSKU!O:O,"not found",0,1)</f>
        <v>not found</v>
      </c>
      <c r="AJ654" s="53" t="e">
        <f>Table26[[#This Row],[unitprice]]*Table26[[#This Row],[quantity_unit]]</f>
        <v>#VALUE!</v>
      </c>
      <c r="AK654" s="53" t="e" cm="1">
        <f t="array" ref="AK6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5" spans="1:37" ht="18" customHeight="1">
      <c r="A655" s="42">
        <v>1570</v>
      </c>
      <c r="B655" s="249" t="s">
        <v>3520</v>
      </c>
      <c r="C655" s="90" t="s">
        <v>203</v>
      </c>
      <c r="D655" s="235"/>
      <c r="E655" s="235"/>
      <c r="F65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5" s="46"/>
      <c r="H655" s="90"/>
      <c r="I655" s="90" t="s">
        <v>3818</v>
      </c>
      <c r="J655" s="90" t="str">
        <f>IF(Table26[[#This Row],[customerSKU]]="","",_xlfn.XLOOKUP(Table26[[#This Row],[customerSKU]],customerSKU!G:G,customerSKU!A:A,"",0,1))</f>
        <v/>
      </c>
      <c r="K655" s="232">
        <v>45623</v>
      </c>
      <c r="L655" s="233" t="str">
        <f>IF(Table26[[#This Row],[customerSKU]]="","",_xlfn.XLOOKUP(Table26[[#This Row],[customerSKU]],customerSKU!G:G,customerSKU!B:B,"",0,1))</f>
        <v/>
      </c>
      <c r="M655" s="90"/>
      <c r="N655" s="55" t="str">
        <f>Table26[[#This Row],[po_number]]&amp;"-"&amp;Table26[[#This Row],[po_line]]</f>
        <v>-3</v>
      </c>
      <c r="O655" s="55">
        <v>3</v>
      </c>
      <c r="P655" s="234"/>
      <c r="Q655" s="90" t="s">
        <v>1862</v>
      </c>
      <c r="R655" s="90" t="s">
        <v>569</v>
      </c>
      <c r="S655" s="90" t="s">
        <v>114</v>
      </c>
      <c r="T655" s="20">
        <v>45594</v>
      </c>
      <c r="U655" s="236">
        <v>36</v>
      </c>
      <c r="V655" s="90" t="str">
        <f>IF(ISBLANK(Table26[[#This Row],[customerSKU]]),"",_xlfn.XLOOKUP(Table26[[#This Row],[customerSKU]],Table27[customer_SKU],Table27[case_size],"",0,1))</f>
        <v/>
      </c>
      <c r="W655" s="237" t="str">
        <f t="shared" si="27"/>
        <v/>
      </c>
      <c r="X655" s="90" t="str">
        <f t="shared" si="26"/>
        <v/>
      </c>
      <c r="Y655" s="90" t="str">
        <f>IF(Table26[[#This Row],[customerSKU]]="","",_xlfn.XLOOKUP(Table26[[#This Row],[customerSKU]],Table27[customer_SKU],Table27[product_GTIN],"",0,1))</f>
        <v/>
      </c>
      <c r="Z655" s="25" t="s">
        <v>3367</v>
      </c>
      <c r="AA655" s="18" t="str" cm="1">
        <f t="array" ref="AA655">IF(P655="", "", _xlfn.XLOOKUP(P655,#REF!,#REF!,NA,0,-1))</f>
        <v/>
      </c>
      <c r="AB655" s="90"/>
      <c r="AC655" s="55" t="s">
        <v>143</v>
      </c>
      <c r="AD655" s="55" t="str">
        <f>IF($AC655="","",_xlfn.XLOOKUP($AC655,'[2]Client Info'!$C$2:$C$2535,'[2]Client Info'!$D$2:$D$2535,"",0,1))</f>
        <v>38243 Cleveland Ave, PO Box 276</v>
      </c>
      <c r="AE655" s="55" t="str">
        <f>IF($AC655="","",_xlfn.XLOOKUP($AC655,'[2]Client Info'!$C$2:$C$2715,'[2]Client Info'!$E$2:$E$2715,"",))</f>
        <v>Squamish</v>
      </c>
      <c r="AF655" s="55" t="str">
        <f>IF($AC655="","",_xlfn.XLOOKUP($AC655,'[2]Client Info'!$C$2:$C$2715,'[2]Client Info'!$F$2:$F$2715,"",0,1))</f>
        <v xml:space="preserve">BC </v>
      </c>
      <c r="AG655" s="55" t="s">
        <v>143</v>
      </c>
      <c r="AH655" s="245" t="str">
        <f>_xlfn.XLOOKUP(Table26[[#This Row],[customerSKU]],customerSKU!G:G,customerSKU!K:K,"NA",0,1)</f>
        <v>NA</v>
      </c>
      <c r="AI655" s="43" t="str">
        <f>_xlfn.XLOOKUP(Table26[[#This Row],[customerSKU]],customerSKU!G:G,customerSKU!O:O,"not found",0,1)</f>
        <v>not found</v>
      </c>
      <c r="AJ655" s="53" t="e">
        <f>Table26[[#This Row],[unitprice]]*Table26[[#This Row],[quantity_unit]]</f>
        <v>#VALUE!</v>
      </c>
      <c r="AK655" s="53" t="e" cm="1">
        <f t="array" ref="AK6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6" spans="1:37" ht="18" customHeight="1">
      <c r="A656" s="42">
        <v>1571</v>
      </c>
      <c r="B656" s="249" t="s">
        <v>3520</v>
      </c>
      <c r="C656" s="90" t="s">
        <v>203</v>
      </c>
      <c r="D656" s="235"/>
      <c r="E656" s="235"/>
      <c r="F65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6" s="46"/>
      <c r="H656" s="90"/>
      <c r="I656" s="90" t="s">
        <v>3818</v>
      </c>
      <c r="J656" s="90" t="str">
        <f>IF(Table26[[#This Row],[customerSKU]]="","",_xlfn.XLOOKUP(Table26[[#This Row],[customerSKU]],customerSKU!G:G,customerSKU!A:A,"",0,1))</f>
        <v/>
      </c>
      <c r="K656" s="232">
        <v>45623</v>
      </c>
      <c r="L656" s="233" t="str">
        <f>IF(Table26[[#This Row],[customerSKU]]="","",_xlfn.XLOOKUP(Table26[[#This Row],[customerSKU]],customerSKU!G:G,customerSKU!B:B,"",0,1))</f>
        <v/>
      </c>
      <c r="M656" s="90"/>
      <c r="N656" s="55" t="str">
        <f>Table26[[#This Row],[po_number]]&amp;"-"&amp;Table26[[#This Row],[po_line]]</f>
        <v>-1</v>
      </c>
      <c r="O656" s="55">
        <v>1</v>
      </c>
      <c r="P656" s="234"/>
      <c r="Q656" s="90" t="s">
        <v>905</v>
      </c>
      <c r="R656" s="90" t="s">
        <v>569</v>
      </c>
      <c r="S656" s="90" t="s">
        <v>114</v>
      </c>
      <c r="T656" s="20">
        <v>45570</v>
      </c>
      <c r="U656" s="236">
        <v>12</v>
      </c>
      <c r="V656" s="90" t="str">
        <f>IF(ISBLANK(Table26[[#This Row],[customerSKU]]),"",_xlfn.XLOOKUP(Table26[[#This Row],[customerSKU]],Table27[customer_SKU],Table27[case_size],"",0,1))</f>
        <v/>
      </c>
      <c r="W656" s="237" t="str">
        <f t="shared" si="27"/>
        <v/>
      </c>
      <c r="X656" s="90" t="str">
        <f t="shared" si="26"/>
        <v/>
      </c>
      <c r="Y656" s="90" t="str">
        <f>IF(Table26[[#This Row],[customerSKU]]="","",_xlfn.XLOOKUP(Table26[[#This Row],[customerSKU]],Table27[customer_SKU],Table27[product_GTIN],"",0,1))</f>
        <v/>
      </c>
      <c r="Z656" s="25" t="s">
        <v>3377</v>
      </c>
      <c r="AA656" s="18" t="str" cm="1">
        <f t="array" ref="AA656">IF(P656="", "", _xlfn.XLOOKUP(P656,#REF!,#REF!,NA,0,-1))</f>
        <v/>
      </c>
      <c r="AB656" s="90"/>
      <c r="AC656" s="55" t="s">
        <v>3846</v>
      </c>
      <c r="AD656" s="55" t="str">
        <f>IF($AC656="","",_xlfn.XLOOKUP($AC656,'[2]Client Info'!$C$2:$C$2535,'[2]Client Info'!$D$2:$D$2535,"",0,1))</f>
        <v>115 1st St. E</v>
      </c>
      <c r="AE656" s="55" t="str">
        <f>IF($AC656="","",_xlfn.XLOOKUP($AC656,'[2]Client Info'!$C$2:$C$2715,'[2]Client Info'!$E$2:$E$2715,"",))</f>
        <v>North Vancouver</v>
      </c>
      <c r="AF656" s="55" t="str">
        <f>IF($AC656="","",_xlfn.XLOOKUP($AC656,'[2]Client Info'!$C$2:$C$2715,'[2]Client Info'!$F$2:$F$2715,"",0,1))</f>
        <v xml:space="preserve">BC </v>
      </c>
      <c r="AG656" s="55" t="s">
        <v>3846</v>
      </c>
      <c r="AH656" s="245" t="str">
        <f>_xlfn.XLOOKUP(Table26[[#This Row],[customerSKU]],customerSKU!G:G,customerSKU!K:K,"NA",0,1)</f>
        <v>NA</v>
      </c>
      <c r="AI656" s="43" t="str">
        <f>_xlfn.XLOOKUP(Table26[[#This Row],[customerSKU]],customerSKU!G:G,customerSKU!O:O,"not found",0,1)</f>
        <v>not found</v>
      </c>
      <c r="AJ656" s="53" t="e">
        <f>Table26[[#This Row],[unitprice]]*Table26[[#This Row],[quantity_unit]]</f>
        <v>#VALUE!</v>
      </c>
      <c r="AK656" s="53" t="e" cm="1">
        <f t="array" ref="AK6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7" spans="1:37" ht="18" customHeight="1">
      <c r="A657" s="42">
        <v>1572</v>
      </c>
      <c r="B657" s="249" t="s">
        <v>3520</v>
      </c>
      <c r="C657" s="90" t="s">
        <v>203</v>
      </c>
      <c r="D657" s="235"/>
      <c r="E657" s="235"/>
      <c r="F65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7" s="46"/>
      <c r="H657" s="90"/>
      <c r="I657" s="90" t="s">
        <v>3818</v>
      </c>
      <c r="J657" s="90" t="str">
        <f>IF(Table26[[#This Row],[customerSKU]]="","",_xlfn.XLOOKUP(Table26[[#This Row],[customerSKU]],customerSKU!G:G,customerSKU!A:A,"",0,1))</f>
        <v/>
      </c>
      <c r="K657" s="232">
        <v>45623</v>
      </c>
      <c r="L657" s="233" t="str">
        <f>IF(Table26[[#This Row],[customerSKU]]="","",_xlfn.XLOOKUP(Table26[[#This Row],[customerSKU]],customerSKU!G:G,customerSKU!B:B,"",0,1))</f>
        <v/>
      </c>
      <c r="M657" s="90"/>
      <c r="N657" s="55" t="str">
        <f>Table26[[#This Row],[po_number]]&amp;"-"&amp;Table26[[#This Row],[po_line]]</f>
        <v>-2</v>
      </c>
      <c r="O657" s="55">
        <v>2</v>
      </c>
      <c r="P657" s="234"/>
      <c r="Q657" s="90" t="s">
        <v>1134</v>
      </c>
      <c r="R657" s="90" t="s">
        <v>569</v>
      </c>
      <c r="S657" s="90" t="s">
        <v>114</v>
      </c>
      <c r="T657" s="20">
        <v>45588</v>
      </c>
      <c r="U657" s="236">
        <v>12</v>
      </c>
      <c r="V657" s="90" t="str">
        <f>IF(ISBLANK(Table26[[#This Row],[customerSKU]]),"",_xlfn.XLOOKUP(Table26[[#This Row],[customerSKU]],Table27[customer_SKU],Table27[case_size],"",0,1))</f>
        <v/>
      </c>
      <c r="W657" s="237" t="str">
        <f t="shared" si="27"/>
        <v/>
      </c>
      <c r="X657" s="90" t="str">
        <f t="shared" si="26"/>
        <v/>
      </c>
      <c r="Y657" s="90" t="str">
        <f>IF(Table26[[#This Row],[customerSKU]]="","",_xlfn.XLOOKUP(Table26[[#This Row],[customerSKU]],Table27[customer_SKU],Table27[product_GTIN],"",0,1))</f>
        <v/>
      </c>
      <c r="Z657" s="25" t="s">
        <v>3406</v>
      </c>
      <c r="AA657" s="18" t="str" cm="1">
        <f t="array" ref="AA657">IF(P657="", "", _xlfn.XLOOKUP(P657,#REF!,#REF!,NA,0,-1))</f>
        <v/>
      </c>
      <c r="AB657" s="90"/>
      <c r="AC657" s="55" t="s">
        <v>3846</v>
      </c>
      <c r="AD657" s="55" t="str">
        <f>IF($AC657="","",_xlfn.XLOOKUP($AC657,'[2]Client Info'!$C$2:$C$2535,'[2]Client Info'!$D$2:$D$2535,"",0,1))</f>
        <v>115 1st St. E</v>
      </c>
      <c r="AE657" s="55" t="str">
        <f>IF($AC657="","",_xlfn.XLOOKUP($AC657,'[2]Client Info'!$C$2:$C$2715,'[2]Client Info'!$E$2:$E$2715,"",))</f>
        <v>North Vancouver</v>
      </c>
      <c r="AF657" s="55" t="str">
        <f>IF($AC657="","",_xlfn.XLOOKUP($AC657,'[2]Client Info'!$C$2:$C$2715,'[2]Client Info'!$F$2:$F$2715,"",0,1))</f>
        <v xml:space="preserve">BC </v>
      </c>
      <c r="AG657" s="55" t="s">
        <v>3846</v>
      </c>
      <c r="AH657" s="245" t="str">
        <f>_xlfn.XLOOKUP(Table26[[#This Row],[customerSKU]],customerSKU!G:G,customerSKU!K:K,"NA",0,1)</f>
        <v>NA</v>
      </c>
      <c r="AI657" s="43" t="str">
        <f>_xlfn.XLOOKUP(Table26[[#This Row],[customerSKU]],customerSKU!G:G,customerSKU!O:O,"not found",0,1)</f>
        <v>not found</v>
      </c>
      <c r="AJ657" s="53" t="e">
        <f>Table26[[#This Row],[unitprice]]*Table26[[#This Row],[quantity_unit]]</f>
        <v>#VALUE!</v>
      </c>
      <c r="AK657" s="53" t="e" cm="1">
        <f t="array" ref="AK6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8" spans="1:37" ht="18" customHeight="1">
      <c r="A658" s="42">
        <v>1573</v>
      </c>
      <c r="B658" s="249" t="s">
        <v>3520</v>
      </c>
      <c r="C658" s="90" t="s">
        <v>203</v>
      </c>
      <c r="D658" s="235"/>
      <c r="E658" s="235"/>
      <c r="F65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58" s="46"/>
      <c r="H658" s="90"/>
      <c r="I658" s="90" t="s">
        <v>3818</v>
      </c>
      <c r="J658" s="90" t="str">
        <f>IF(Table26[[#This Row],[customerSKU]]="","",_xlfn.XLOOKUP(Table26[[#This Row],[customerSKU]],customerSKU!G:G,customerSKU!A:A,"",0,1))</f>
        <v/>
      </c>
      <c r="K658" s="232">
        <v>45623</v>
      </c>
      <c r="L658" s="233" t="str">
        <f>IF(Table26[[#This Row],[customerSKU]]="","",_xlfn.XLOOKUP(Table26[[#This Row],[customerSKU]],customerSKU!G:G,customerSKU!B:B,"",0,1))</f>
        <v/>
      </c>
      <c r="M658" s="90"/>
      <c r="N658" s="55" t="str">
        <f>Table26[[#This Row],[po_number]]&amp;"-"&amp;Table26[[#This Row],[po_line]]</f>
        <v>-3</v>
      </c>
      <c r="O658" s="55">
        <v>3</v>
      </c>
      <c r="P658" s="234"/>
      <c r="Q658" s="90" t="s">
        <v>1862</v>
      </c>
      <c r="R658" s="90" t="s">
        <v>569</v>
      </c>
      <c r="S658" s="90" t="s">
        <v>114</v>
      </c>
      <c r="T658" s="20">
        <v>45594</v>
      </c>
      <c r="U658" s="236">
        <v>12</v>
      </c>
      <c r="V658" s="90" t="str">
        <f>IF(ISBLANK(Table26[[#This Row],[customerSKU]]),"",_xlfn.XLOOKUP(Table26[[#This Row],[customerSKU]],Table27[customer_SKU],Table27[case_size],"",0,1))</f>
        <v/>
      </c>
      <c r="W658" s="237" t="str">
        <f t="shared" si="27"/>
        <v/>
      </c>
      <c r="X658" s="90" t="str">
        <f t="shared" si="26"/>
        <v/>
      </c>
      <c r="Y658" s="90" t="str">
        <f>IF(Table26[[#This Row],[customerSKU]]="","",_xlfn.XLOOKUP(Table26[[#This Row],[customerSKU]],Table27[customer_SKU],Table27[product_GTIN],"",0,1))</f>
        <v/>
      </c>
      <c r="Z658" s="25" t="s">
        <v>3367</v>
      </c>
      <c r="AA658" s="18" t="str" cm="1">
        <f t="array" ref="AA658">IF(P658="", "", _xlfn.XLOOKUP(P658,#REF!,#REF!,NA,0,-1))</f>
        <v/>
      </c>
      <c r="AB658" s="90"/>
      <c r="AC658" s="55" t="s">
        <v>3846</v>
      </c>
      <c r="AD658" s="55" t="str">
        <f>IF($AC658="","",_xlfn.XLOOKUP($AC658,'[2]Client Info'!$C$2:$C$2535,'[2]Client Info'!$D$2:$D$2535,"",0,1))</f>
        <v>115 1st St. E</v>
      </c>
      <c r="AE658" s="55" t="str">
        <f>IF($AC658="","",_xlfn.XLOOKUP($AC658,'[2]Client Info'!$C$2:$C$2715,'[2]Client Info'!$E$2:$E$2715,"",))</f>
        <v>North Vancouver</v>
      </c>
      <c r="AF658" s="55" t="str">
        <f>IF($AC658="","",_xlfn.XLOOKUP($AC658,'[2]Client Info'!$C$2:$C$2715,'[2]Client Info'!$F$2:$F$2715,"",0,1))</f>
        <v xml:space="preserve">BC </v>
      </c>
      <c r="AG658" s="55" t="s">
        <v>3846</v>
      </c>
      <c r="AH658" s="245" t="str">
        <f>_xlfn.XLOOKUP(Table26[[#This Row],[customerSKU]],customerSKU!G:G,customerSKU!K:K,"NA",0,1)</f>
        <v>NA</v>
      </c>
      <c r="AI658" s="43" t="str">
        <f>_xlfn.XLOOKUP(Table26[[#This Row],[customerSKU]],customerSKU!G:G,customerSKU!O:O,"not found",0,1)</f>
        <v>not found</v>
      </c>
      <c r="AJ658" s="53" t="e">
        <f>Table26[[#This Row],[unitprice]]*Table26[[#This Row],[quantity_unit]]</f>
        <v>#VALUE!</v>
      </c>
      <c r="AK658" s="53" t="e" cm="1">
        <f t="array" ref="AK6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59" spans="1:37" ht="18" customHeight="1">
      <c r="A659" s="42">
        <v>1574</v>
      </c>
      <c r="B659" s="58" t="s">
        <v>3520</v>
      </c>
      <c r="C659" s="53" t="s">
        <v>203</v>
      </c>
      <c r="D659" s="51">
        <v>45624</v>
      </c>
      <c r="E659" s="101" t="s">
        <v>3863</v>
      </c>
      <c r="F659" s="53">
        <v>55844</v>
      </c>
      <c r="G659" s="46"/>
      <c r="H659" s="53"/>
      <c r="I659" s="53" t="s">
        <v>3862</v>
      </c>
      <c r="J659" s="53" t="s">
        <v>497</v>
      </c>
      <c r="K659" s="48">
        <v>45623</v>
      </c>
      <c r="L659" s="49" t="s">
        <v>201</v>
      </c>
      <c r="M659" s="53"/>
      <c r="N659" s="77" t="str">
        <f>Table26[[#This Row],[po_number]]&amp;"-"&amp;Table26[[#This Row],[po_line]]</f>
        <v>-1</v>
      </c>
      <c r="O659" s="77">
        <v>1</v>
      </c>
      <c r="P659" s="50"/>
      <c r="Q659" s="53" t="s">
        <v>630</v>
      </c>
      <c r="R659" s="53" t="s">
        <v>3302</v>
      </c>
      <c r="S659" s="53" t="str">
        <f>IF(Table26[[#This Row],[customerSKU]]="","",_xlfn.XLOOKUP(Table26[[#This Row],[customerSKU]],customerSKU!G:G,customerSKU!N:N,"NOT FOUND",0,1))</f>
        <v>NOT FOUND</v>
      </c>
      <c r="T659" s="51">
        <v>45574</v>
      </c>
      <c r="U659" s="52">
        <v>36</v>
      </c>
      <c r="V659" s="53" t="str">
        <f>IF(ISBLANK(Table26[[#This Row],[customerSKU]]),"",_xlfn.XLOOKUP(Table26[[#This Row],[customerSKU]],Table27[customer_SKU],Table27[case_size],"",0,1))</f>
        <v/>
      </c>
      <c r="W659" s="116" t="str">
        <f t="shared" si="27"/>
        <v/>
      </c>
      <c r="X659" s="53" t="str">
        <f t="shared" si="26"/>
        <v/>
      </c>
      <c r="Y659" s="53" t="str">
        <f>IF(Table26[[#This Row],[customerSKU]]="","",_xlfn.XLOOKUP(Table26[[#This Row],[customerSKU]],Table27[customer_SKU],Table27[product_GTIN],"",0,1))</f>
        <v/>
      </c>
      <c r="Z659" s="60">
        <v>110722</v>
      </c>
      <c r="AA659" s="18" t="str" cm="1">
        <f t="array" ref="AA659">IF(P659="", "", _xlfn.XLOOKUP(P659,#REF!,#REF!,NA,0,-1))</f>
        <v/>
      </c>
      <c r="AB659" s="53"/>
      <c r="AC659" s="55" t="str">
        <f>IF(Table26[[#This Row],[customerSKU]]="","",_xlfn.XLOOKUP(Table26[[#This Row],[customerSKU]],customerSKU!G:G,customerSKU!C:C,"",0,1))</f>
        <v/>
      </c>
      <c r="AD659" s="55" t="str">
        <f>IF($AC659="","",_xlfn.XLOOKUP($AC659,'[2]Client Info'!$C$2:$C$2535,'[2]Client Info'!$D$2:$D$2535,"",0,1))</f>
        <v/>
      </c>
      <c r="AE659" s="55" t="str">
        <f>IF($AC659="","",_xlfn.XLOOKUP($AC659,'[2]Client Info'!$C$2:$C$2715,'[2]Client Info'!$E$2:$E$2715,"",))</f>
        <v/>
      </c>
      <c r="AF659" s="55" t="str">
        <f>IF($AC659="","",_xlfn.XLOOKUP($AC659,'[2]Client Info'!$C$2:$C$2715,'[2]Client Info'!$F$2:$F$2715,"",0,1))</f>
        <v/>
      </c>
      <c r="AG659" s="55" t="str">
        <f>IF(ISBLANK(Table26[[#This Row],[customerSKU]]),"",_xlfn.XLOOKUP(Table26[[#This Row],[customerSKU]],Table27[customer_SKU],Table27[billto],"",0,1))</f>
        <v/>
      </c>
      <c r="AH659" s="62" t="str">
        <f>_xlfn.XLOOKUP(Table26[[#This Row],[customerSKU]],customerSKU!G:G,customerSKU!K:K,"NA",0,1)</f>
        <v>NA</v>
      </c>
      <c r="AI659" s="43" t="str">
        <f>_xlfn.XLOOKUP(Table26[[#This Row],[customerSKU]],customerSKU!G:G,customerSKU!O:O,"not found",0,1)</f>
        <v>not found</v>
      </c>
      <c r="AJ659" s="59" t="e">
        <f>Table26[[#This Row],[unitprice]]*Table26[[#This Row],[quantity_unit]]</f>
        <v>#VALUE!</v>
      </c>
      <c r="AK659" s="59" t="e" cm="1">
        <f t="array" ref="AK6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0" spans="1:37" ht="18" customHeight="1">
      <c r="A660" s="42">
        <v>1575</v>
      </c>
      <c r="B660" s="58" t="s">
        <v>3520</v>
      </c>
      <c r="C660" s="53" t="s">
        <v>203</v>
      </c>
      <c r="D660" s="51">
        <v>45624</v>
      </c>
      <c r="E660" s="51"/>
      <c r="F660" s="53">
        <v>55844</v>
      </c>
      <c r="G660" s="46"/>
      <c r="H660" s="53"/>
      <c r="I660" s="53" t="s">
        <v>3862</v>
      </c>
      <c r="J660" s="53" t="s">
        <v>497</v>
      </c>
      <c r="K660" s="48">
        <v>45623</v>
      </c>
      <c r="L660" s="49" t="str">
        <f>IF(Table26[[#This Row],[customerSKU]]="","",_xlfn.XLOOKUP(Table26[[#This Row],[customerSKU]],customerSKU!G:G,customerSKU!B:B,"",0,1))</f>
        <v/>
      </c>
      <c r="M660" s="53"/>
      <c r="N660" s="77" t="str">
        <f>Table26[[#This Row],[po_number]]&amp;"-"&amp;Table26[[#This Row],[po_line]]</f>
        <v>-1</v>
      </c>
      <c r="O660" s="77">
        <v>1</v>
      </c>
      <c r="P660" s="50"/>
      <c r="Q660" s="53" t="s">
        <v>630</v>
      </c>
      <c r="R660" s="53" t="s">
        <v>3302</v>
      </c>
      <c r="S660" s="53" t="str">
        <f>IF(Table26[[#This Row],[customerSKU]]="","",_xlfn.XLOOKUP(Table26[[#This Row],[customerSKU]],customerSKU!G:G,customerSKU!N:N,"NOT FOUND",0,1))</f>
        <v>NOT FOUND</v>
      </c>
      <c r="T660" s="51">
        <v>45574</v>
      </c>
      <c r="U660" s="52">
        <v>36</v>
      </c>
      <c r="V660" s="53" t="str">
        <f>IF(ISBLANK(Table26[[#This Row],[customerSKU]]),"",_xlfn.XLOOKUP(Table26[[#This Row],[customerSKU]],Table27[customer_SKU],Table27[case_size],"",0,1))</f>
        <v/>
      </c>
      <c r="W660" s="116" t="str">
        <f t="shared" si="27"/>
        <v/>
      </c>
      <c r="X660" s="53" t="str">
        <f t="shared" si="26"/>
        <v/>
      </c>
      <c r="Y660" s="53" t="str">
        <f>IF(Table26[[#This Row],[customerSKU]]="","",_xlfn.XLOOKUP(Table26[[#This Row],[customerSKU]],Table27[customer_SKU],Table27[product_GTIN],"",0,1))</f>
        <v/>
      </c>
      <c r="Z660" s="60">
        <v>110722</v>
      </c>
      <c r="AA660" s="18" t="str" cm="1">
        <f t="array" ref="AA660">IF(P660="", "", _xlfn.XLOOKUP(P660,#REF!,#REF!,NA,0,-1))</f>
        <v/>
      </c>
      <c r="AB660" s="53"/>
      <c r="AC660" s="55" t="s">
        <v>3819</v>
      </c>
      <c r="AD660" s="55" t="str">
        <f>IF($AC660="","",_xlfn.XLOOKUP($AC660,'[2]Client Info'!$C$2:$C$2535,'[2]Client Info'!$D$2:$D$2535,"",0,1))</f>
        <v>20 GRANITE RIDGE RD</v>
      </c>
      <c r="AE660" s="55" t="str">
        <f>IF($AC660="","",_xlfn.XLOOKUP($AC660,'[2]Client Info'!$C$2:$C$2715,'[2]Client Info'!$E$2:$E$2715,"",))</f>
        <v>CONCORD</v>
      </c>
      <c r="AF660" s="55" t="str">
        <f>IF($AC660="","",_xlfn.XLOOKUP($AC660,'[2]Client Info'!$C$2:$C$2715,'[2]Client Info'!$F$2:$F$2715,"",0,1))</f>
        <v>ON</v>
      </c>
      <c r="AG660" s="55" t="s">
        <v>3770</v>
      </c>
      <c r="AH660" s="62" t="s">
        <v>3770</v>
      </c>
      <c r="AI660" s="43" t="str">
        <f>_xlfn.XLOOKUP(Table26[[#This Row],[customerSKU]],customerSKU!G:G,customerSKU!O:O,"not found",0,1)</f>
        <v>not found</v>
      </c>
      <c r="AJ660" s="59" t="e">
        <f>Table26[[#This Row],[unitprice]]*Table26[[#This Row],[quantity_unit]]</f>
        <v>#VALUE!</v>
      </c>
      <c r="AK660" s="59" t="e" cm="1">
        <f t="array" ref="AK6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1" spans="1:37" ht="24.6" customHeight="1">
      <c r="A661" s="42">
        <v>1576</v>
      </c>
      <c r="B661" s="249" t="s">
        <v>3520</v>
      </c>
      <c r="C661" s="90" t="s">
        <v>203</v>
      </c>
      <c r="D661" s="235"/>
      <c r="E661" s="235"/>
      <c r="F66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1" s="46"/>
      <c r="H661" s="90"/>
      <c r="I661" s="90" t="s">
        <v>3862</v>
      </c>
      <c r="J661" s="90" t="str">
        <f>IF(Table26[[#This Row],[customerSKU]]="","",_xlfn.XLOOKUP(Table26[[#This Row],[customerSKU]],customerSKU!G:G,customerSKU!A:A,"",0,1))</f>
        <v/>
      </c>
      <c r="K661" s="232">
        <v>45623</v>
      </c>
      <c r="L661" s="233" t="str">
        <f>IF(Table26[[#This Row],[customerSKU]]="","",_xlfn.XLOOKUP(Table26[[#This Row],[customerSKU]],customerSKU!G:G,customerSKU!B:B,"",0,1))</f>
        <v/>
      </c>
      <c r="M661" s="90"/>
      <c r="N661" s="55" t="str">
        <f>Table26[[#This Row],[po_number]]&amp;"-"&amp;Table26[[#This Row],[po_line]]</f>
        <v>-1</v>
      </c>
      <c r="O661" s="55">
        <v>1</v>
      </c>
      <c r="P661" s="234"/>
      <c r="Q661" s="90" t="s">
        <v>1134</v>
      </c>
      <c r="R661" s="90" t="s">
        <v>569</v>
      </c>
      <c r="S661" s="90" t="s">
        <v>114</v>
      </c>
      <c r="T661" s="20">
        <v>45588</v>
      </c>
      <c r="U661" s="236">
        <v>12</v>
      </c>
      <c r="V661" s="90" t="str">
        <f>IF(ISBLANK(Table26[[#This Row],[customerSKU]]),"",_xlfn.XLOOKUP(Table26[[#This Row],[customerSKU]],Table27[customer_SKU],Table27[case_size],"",0,1))</f>
        <v/>
      </c>
      <c r="W661" s="237" t="str">
        <f t="shared" si="27"/>
        <v/>
      </c>
      <c r="X661" s="90" t="str">
        <f t="shared" si="26"/>
        <v/>
      </c>
      <c r="Y661" s="90" t="str">
        <f>IF(Table26[[#This Row],[customerSKU]]="","",_xlfn.XLOOKUP(Table26[[#This Row],[customerSKU]],Table27[customer_SKU],Table27[product_GTIN],"",0,1))</f>
        <v/>
      </c>
      <c r="Z661" s="25" t="s">
        <v>3406</v>
      </c>
      <c r="AA661" s="18" t="str" cm="1">
        <f t="array" ref="AA661">IF(P661="", "", _xlfn.XLOOKUP(P661,#REF!,#REF!,NA,0,-1))</f>
        <v/>
      </c>
      <c r="AB661" s="90"/>
      <c r="AC661" s="55" t="s">
        <v>43</v>
      </c>
      <c r="AD661" s="55" t="str">
        <f>IF($AC661="","",_xlfn.XLOOKUP($AC661,'[2]Client Info'!$C$2:$C$2535,'[2]Client Info'!$D$2:$D$2535,"",0,1))</f>
        <v>725 NELSON STREET</v>
      </c>
      <c r="AE661" s="55" t="str">
        <f>IF($AC661="","",_xlfn.XLOOKUP($AC661,'[2]Client Info'!$C$2:$C$2715,'[2]Client Info'!$E$2:$E$2715,"",))</f>
        <v>VANCOUVER</v>
      </c>
      <c r="AF661" s="55" t="str">
        <f>IF($AC661="","",_xlfn.XLOOKUP($AC661,'[2]Client Info'!$C$2:$C$2715,'[2]Client Info'!$F$2:$F$2715,"",0,1))</f>
        <v xml:space="preserve">BC </v>
      </c>
      <c r="AG661" s="55" t="s">
        <v>43</v>
      </c>
      <c r="AH661" s="245" t="str">
        <f>_xlfn.XLOOKUP(Table26[[#This Row],[customerSKU]],customerSKU!G:G,customerSKU!K:K,"NA",0,1)</f>
        <v>NA</v>
      </c>
      <c r="AI661" s="43" t="str">
        <f>_xlfn.XLOOKUP(Table26[[#This Row],[customerSKU]],customerSKU!G:G,customerSKU!O:O,"not found",0,1)</f>
        <v>not found</v>
      </c>
      <c r="AJ661" s="53" t="e">
        <f>Table26[[#This Row],[unitprice]]*Table26[[#This Row],[quantity_unit]]</f>
        <v>#VALUE!</v>
      </c>
      <c r="AK661" s="53" t="e" cm="1">
        <f t="array" ref="AK6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2" spans="1:37" ht="18" customHeight="1">
      <c r="A662" s="42">
        <v>1577</v>
      </c>
      <c r="B662" s="249" t="s">
        <v>3520</v>
      </c>
      <c r="C662" s="90" t="s">
        <v>203</v>
      </c>
      <c r="D662" s="235"/>
      <c r="E662" s="235"/>
      <c r="F66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2" s="46"/>
      <c r="H662" s="90"/>
      <c r="I662" s="90" t="s">
        <v>3862</v>
      </c>
      <c r="J662" s="90" t="str">
        <f>IF(Table26[[#This Row],[customerSKU]]="","",_xlfn.XLOOKUP(Table26[[#This Row],[customerSKU]],customerSKU!G:G,customerSKU!A:A,"",0,1))</f>
        <v/>
      </c>
      <c r="K662" s="232">
        <v>45623</v>
      </c>
      <c r="L662" s="233" t="str">
        <f>IF(Table26[[#This Row],[customerSKU]]="","",_xlfn.XLOOKUP(Table26[[#This Row],[customerSKU]],customerSKU!G:G,customerSKU!B:B,"",0,1))</f>
        <v/>
      </c>
      <c r="M662" s="90"/>
      <c r="N662" s="55" t="str">
        <f>Table26[[#This Row],[po_number]]&amp;"-"&amp;Table26[[#This Row],[po_line]]</f>
        <v>-2</v>
      </c>
      <c r="O662" s="55">
        <v>2</v>
      </c>
      <c r="P662" s="234"/>
      <c r="Q662" s="90" t="s">
        <v>1862</v>
      </c>
      <c r="R662" s="90" t="s">
        <v>569</v>
      </c>
      <c r="S662" s="90" t="s">
        <v>114</v>
      </c>
      <c r="T662" s="20">
        <v>45594</v>
      </c>
      <c r="U662" s="236">
        <v>12</v>
      </c>
      <c r="V662" s="90" t="str">
        <f>IF(ISBLANK(Table26[[#This Row],[customerSKU]]),"",_xlfn.XLOOKUP(Table26[[#This Row],[customerSKU]],Table27[customer_SKU],Table27[case_size],"",0,1))</f>
        <v/>
      </c>
      <c r="W662" s="237" t="str">
        <f t="shared" si="27"/>
        <v/>
      </c>
      <c r="X662" s="90" t="str">
        <f t="shared" si="26"/>
        <v/>
      </c>
      <c r="Y662" s="90" t="str">
        <f>IF(Table26[[#This Row],[customerSKU]]="","",_xlfn.XLOOKUP(Table26[[#This Row],[customerSKU]],Table27[customer_SKU],Table27[product_GTIN],"",0,1))</f>
        <v/>
      </c>
      <c r="Z662" s="25" t="s">
        <v>3367</v>
      </c>
      <c r="AA662" s="18" t="str" cm="1">
        <f t="array" ref="AA662">IF(P662="", "", _xlfn.XLOOKUP(P662,#REF!,#REF!,NA,0,-1))</f>
        <v/>
      </c>
      <c r="AB662" s="90"/>
      <c r="AC662" s="55" t="s">
        <v>43</v>
      </c>
      <c r="AD662" s="55" t="str">
        <f>IF($AC662="","",_xlfn.XLOOKUP($AC662,'[2]Client Info'!$C$2:$C$2535,'[2]Client Info'!$D$2:$D$2535,"",0,1))</f>
        <v>725 NELSON STREET</v>
      </c>
      <c r="AE662" s="55" t="str">
        <f>IF($AC662="","",_xlfn.XLOOKUP($AC662,'[2]Client Info'!$C$2:$C$2715,'[2]Client Info'!$E$2:$E$2715,"",))</f>
        <v>VANCOUVER</v>
      </c>
      <c r="AF662" s="55" t="str">
        <f>IF($AC662="","",_xlfn.XLOOKUP($AC662,'[2]Client Info'!$C$2:$C$2715,'[2]Client Info'!$F$2:$F$2715,"",0,1))</f>
        <v xml:space="preserve">BC </v>
      </c>
      <c r="AG662" s="55" t="s">
        <v>43</v>
      </c>
      <c r="AH662" s="245" t="str">
        <f>_xlfn.XLOOKUP(Table26[[#This Row],[customerSKU]],customerSKU!G:G,customerSKU!K:K,"NA",0,1)</f>
        <v>NA</v>
      </c>
      <c r="AI662" s="43" t="str">
        <f>_xlfn.XLOOKUP(Table26[[#This Row],[customerSKU]],customerSKU!G:G,customerSKU!O:O,"not found",0,1)</f>
        <v>not found</v>
      </c>
      <c r="AJ662" s="53" t="e">
        <f>Table26[[#This Row],[unitprice]]*Table26[[#This Row],[quantity_unit]]</f>
        <v>#VALUE!</v>
      </c>
      <c r="AK662" s="53" t="e" cm="1">
        <f t="array" ref="AK6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3" spans="1:37" ht="18" customHeight="1">
      <c r="A663" s="42">
        <v>1578</v>
      </c>
      <c r="B663" s="249" t="s">
        <v>3520</v>
      </c>
      <c r="C663" s="90" t="s">
        <v>203</v>
      </c>
      <c r="D663" s="235"/>
      <c r="E663" s="235"/>
      <c r="F66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3" s="46"/>
      <c r="H663" s="90"/>
      <c r="I663" s="90" t="s">
        <v>3862</v>
      </c>
      <c r="J663" s="90" t="str">
        <f>IF(Table26[[#This Row],[customerSKU]]="","",_xlfn.XLOOKUP(Table26[[#This Row],[customerSKU]],customerSKU!G:G,customerSKU!A:A,"",0,1))</f>
        <v/>
      </c>
      <c r="K663" s="232">
        <v>45623</v>
      </c>
      <c r="L663" s="233" t="str">
        <f>IF(Table26[[#This Row],[customerSKU]]="","",_xlfn.XLOOKUP(Table26[[#This Row],[customerSKU]],customerSKU!G:G,customerSKU!B:B,"",0,1))</f>
        <v/>
      </c>
      <c r="M663" s="90"/>
      <c r="N663" s="55" t="str">
        <f>Table26[[#This Row],[po_number]]&amp;"-"&amp;Table26[[#This Row],[po_line]]</f>
        <v>-1</v>
      </c>
      <c r="O663" s="55">
        <v>1</v>
      </c>
      <c r="P663" s="234"/>
      <c r="Q663" s="90" t="s">
        <v>934</v>
      </c>
      <c r="R663" s="90" t="s">
        <v>3419</v>
      </c>
      <c r="S663" s="90" t="s">
        <v>3770</v>
      </c>
      <c r="T663" s="20">
        <v>45596</v>
      </c>
      <c r="U663" s="236">
        <v>12</v>
      </c>
      <c r="V663" s="90" t="str">
        <f>IF(ISBLANK(Table26[[#This Row],[customerSKU]]),"",_xlfn.XLOOKUP(Table26[[#This Row],[customerSKU]],Table27[customer_SKU],Table27[case_size],"",0,1))</f>
        <v/>
      </c>
      <c r="W663" s="237" t="str">
        <f t="shared" si="27"/>
        <v/>
      </c>
      <c r="X663" s="90" t="str">
        <f t="shared" si="26"/>
        <v/>
      </c>
      <c r="Y663" s="90" t="str">
        <f>IF(Table26[[#This Row],[customerSKU]]="","",_xlfn.XLOOKUP(Table26[[#This Row],[customerSKU]],Table27[customer_SKU],Table27[product_GTIN],"",0,1))</f>
        <v/>
      </c>
      <c r="Z663" s="25" t="s">
        <v>3547</v>
      </c>
      <c r="AA663" s="18" t="str" cm="1">
        <f t="array" ref="AA663">IF(P663="", "", _xlfn.XLOOKUP(P663,#REF!,#REF!,NA,0,-1))</f>
        <v/>
      </c>
      <c r="AB663" s="90"/>
      <c r="AC663" s="55" t="s">
        <v>3496</v>
      </c>
      <c r="AD663" s="55" t="str">
        <f>IF($AC663="","",_xlfn.XLOOKUP($AC663,'[2]Client Info'!$C$2:$C$2535,'[2]Client Info'!$D$2:$D$2535,"",0,1))</f>
        <v>11939 240th Street</v>
      </c>
      <c r="AE663" s="55" t="str">
        <f>IF($AC663="","",_xlfn.XLOOKUP($AC663,'[2]Client Info'!$C$2:$C$2715,'[2]Client Info'!$E$2:$E$2715,"",))</f>
        <v>Maple Ridge</v>
      </c>
      <c r="AF663" s="55" t="str">
        <f>IF($AC663="","",_xlfn.XLOOKUP($AC663,'[2]Client Info'!$C$2:$C$2715,'[2]Client Info'!$F$2:$F$2715,"",0,1))</f>
        <v xml:space="preserve">BC </v>
      </c>
      <c r="AG663" s="55" t="s">
        <v>3496</v>
      </c>
      <c r="AH663" s="245" t="str">
        <f>_xlfn.XLOOKUP(Table26[[#This Row],[customerSKU]],customerSKU!G:G,customerSKU!K:K,"NA",0,1)</f>
        <v>NA</v>
      </c>
      <c r="AI663" s="43" t="str">
        <f>_xlfn.XLOOKUP(Table26[[#This Row],[customerSKU]],customerSKU!G:G,customerSKU!O:O,"not found",0,1)</f>
        <v>not found</v>
      </c>
      <c r="AJ663" s="53" t="e">
        <f>Table26[[#This Row],[unitprice]]*Table26[[#This Row],[quantity_unit]]</f>
        <v>#VALUE!</v>
      </c>
      <c r="AK663" s="53" t="e" cm="1">
        <f t="array" ref="AK6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4" spans="1:37" ht="18" customHeight="1">
      <c r="A664" s="42">
        <v>1579</v>
      </c>
      <c r="B664" s="249" t="s">
        <v>3520</v>
      </c>
      <c r="C664" s="90" t="s">
        <v>203</v>
      </c>
      <c r="D664" s="235"/>
      <c r="E664" s="235"/>
      <c r="F66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4" s="46"/>
      <c r="H664" s="90"/>
      <c r="I664" s="90" t="s">
        <v>3862</v>
      </c>
      <c r="J664" s="90" t="str">
        <f>IF(Table26[[#This Row],[customerSKU]]="","",_xlfn.XLOOKUP(Table26[[#This Row],[customerSKU]],customerSKU!G:G,customerSKU!A:A,"",0,1))</f>
        <v/>
      </c>
      <c r="K664" s="232">
        <v>45623</v>
      </c>
      <c r="L664" s="233" t="str">
        <f>IF(Table26[[#This Row],[customerSKU]]="","",_xlfn.XLOOKUP(Table26[[#This Row],[customerSKU]],customerSKU!G:G,customerSKU!B:B,"",0,1))</f>
        <v/>
      </c>
      <c r="M664" s="90"/>
      <c r="N664" s="55" t="str">
        <f>Table26[[#This Row],[po_number]]&amp;"-"&amp;Table26[[#This Row],[po_line]]</f>
        <v>-2</v>
      </c>
      <c r="O664" s="55">
        <v>2</v>
      </c>
      <c r="P664" s="234"/>
      <c r="Q664" s="90" t="s">
        <v>682</v>
      </c>
      <c r="R664" s="90" t="s">
        <v>569</v>
      </c>
      <c r="S664" s="90" t="str">
        <f>IF(Table26[[#This Row],[customerSKU]]="","",_xlfn.XLOOKUP(Table26[[#This Row],[customerSKU]],customerSKU!G:G,customerSKU!N:N,"NOT FOUND",0,1))</f>
        <v>NOT FOUND</v>
      </c>
      <c r="T664" s="20">
        <v>45588</v>
      </c>
      <c r="U664" s="236">
        <v>12</v>
      </c>
      <c r="V664" s="90" t="str">
        <f>IF(ISBLANK(Table26[[#This Row],[customerSKU]]),"",_xlfn.XLOOKUP(Table26[[#This Row],[customerSKU]],Table27[customer_SKU],Table27[case_size],"",0,1))</f>
        <v/>
      </c>
      <c r="W664" s="237" t="str">
        <f t="shared" si="27"/>
        <v/>
      </c>
      <c r="X664" s="90" t="str">
        <f t="shared" ref="X664:X676" si="28">IFERROR($AA664*$U664, "")</f>
        <v/>
      </c>
      <c r="Y664" s="90" t="str">
        <f>IF(Table26[[#This Row],[customerSKU]]="","",_xlfn.XLOOKUP(Table26[[#This Row],[customerSKU]],Table27[customer_SKU],Table27[product_GTIN],"",0,1))</f>
        <v/>
      </c>
      <c r="Z664" s="25" t="s">
        <v>3392</v>
      </c>
      <c r="AA664" s="18" t="str" cm="1">
        <f t="array" ref="AA664">IF(P664="", "", _xlfn.XLOOKUP(P664,#REF!,#REF!,NA,0,-1))</f>
        <v/>
      </c>
      <c r="AB664" s="90"/>
      <c r="AC664" s="55" t="s">
        <v>3496</v>
      </c>
      <c r="AD664" s="55" t="str">
        <f>IF($AC664="","",_xlfn.XLOOKUP($AC664,'[2]Client Info'!$C$2:$C$2535,'[2]Client Info'!$D$2:$D$2535,"",0,1))</f>
        <v>11939 240th Street</v>
      </c>
      <c r="AE664" s="55" t="str">
        <f>IF($AC664="","",_xlfn.XLOOKUP($AC664,'[2]Client Info'!$C$2:$C$2715,'[2]Client Info'!$E$2:$E$2715,"",))</f>
        <v>Maple Ridge</v>
      </c>
      <c r="AF664" s="55" t="str">
        <f>IF($AC664="","",_xlfn.XLOOKUP($AC664,'[2]Client Info'!$C$2:$C$2715,'[2]Client Info'!$F$2:$F$2715,"",0,1))</f>
        <v xml:space="preserve">BC </v>
      </c>
      <c r="AG664" s="55" t="s">
        <v>3496</v>
      </c>
      <c r="AH664" s="245" t="str">
        <f>_xlfn.XLOOKUP(Table26[[#This Row],[customerSKU]],customerSKU!G:G,customerSKU!K:K,"NA",0,1)</f>
        <v>NA</v>
      </c>
      <c r="AI664" s="43" t="str">
        <f>_xlfn.XLOOKUP(Table26[[#This Row],[customerSKU]],customerSKU!G:G,customerSKU!O:O,"not found",0,1)</f>
        <v>not found</v>
      </c>
      <c r="AJ664" s="53" t="e">
        <f>Table26[[#This Row],[unitprice]]*Table26[[#This Row],[quantity_unit]]</f>
        <v>#VALUE!</v>
      </c>
      <c r="AK664" s="53" t="e" cm="1">
        <f t="array" ref="AK6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5" spans="1:37" ht="18" customHeight="1">
      <c r="A665" s="42">
        <v>1580</v>
      </c>
      <c r="B665" s="249" t="s">
        <v>3520</v>
      </c>
      <c r="C665" s="90" t="s">
        <v>203</v>
      </c>
      <c r="D665" s="235"/>
      <c r="E665" s="235"/>
      <c r="F66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5" s="46"/>
      <c r="H665" s="90"/>
      <c r="I665" s="90" t="s">
        <v>3862</v>
      </c>
      <c r="J665" s="90" t="str">
        <f>IF(Table26[[#This Row],[customerSKU]]="","",_xlfn.XLOOKUP(Table26[[#This Row],[customerSKU]],customerSKU!G:G,customerSKU!A:A,"",0,1))</f>
        <v/>
      </c>
      <c r="K665" s="232">
        <v>45623</v>
      </c>
      <c r="L665" s="233" t="str">
        <f>IF(Table26[[#This Row],[customerSKU]]="","",_xlfn.XLOOKUP(Table26[[#This Row],[customerSKU]],customerSKU!G:G,customerSKU!B:B,"",0,1))</f>
        <v/>
      </c>
      <c r="M665" s="90"/>
      <c r="N665" s="55" t="str">
        <f>Table26[[#This Row],[po_number]]&amp;"-"&amp;Table26[[#This Row],[po_line]]</f>
        <v>-3</v>
      </c>
      <c r="O665" s="55">
        <v>3</v>
      </c>
      <c r="P665" s="234"/>
      <c r="Q665" s="90" t="s">
        <v>828</v>
      </c>
      <c r="R665" s="90" t="s">
        <v>569</v>
      </c>
      <c r="S665" s="90" t="s">
        <v>114</v>
      </c>
      <c r="T665" s="20">
        <v>45593</v>
      </c>
      <c r="U665" s="236">
        <v>12</v>
      </c>
      <c r="V665" s="90" t="str">
        <f>IF(ISBLANK(Table26[[#This Row],[customerSKU]]),"",_xlfn.XLOOKUP(Table26[[#This Row],[customerSKU]],Table27[customer_SKU],Table27[case_size],"",0,1))</f>
        <v/>
      </c>
      <c r="W665" s="237" t="str">
        <f t="shared" si="27"/>
        <v/>
      </c>
      <c r="X665" s="90" t="str">
        <f t="shared" si="28"/>
        <v/>
      </c>
      <c r="Y665" s="90" t="str">
        <f>IF(Table26[[#This Row],[customerSKU]]="","",_xlfn.XLOOKUP(Table26[[#This Row],[customerSKU]],Table27[customer_SKU],Table27[product_GTIN],"",0,1))</f>
        <v/>
      </c>
      <c r="Z665" s="25" t="s">
        <v>3364</v>
      </c>
      <c r="AA665" s="18" t="str" cm="1">
        <f t="array" ref="AA665">IF(P665="", "", _xlfn.XLOOKUP(P665,#REF!,#REF!,NA,0,-1))</f>
        <v/>
      </c>
      <c r="AB665" s="90"/>
      <c r="AC665" s="55" t="s">
        <v>3496</v>
      </c>
      <c r="AD665" s="55" t="str">
        <f>IF($AC665="","",_xlfn.XLOOKUP($AC665,'[2]Client Info'!$C$2:$C$2535,'[2]Client Info'!$D$2:$D$2535,"",0,1))</f>
        <v>11939 240th Street</v>
      </c>
      <c r="AE665" s="55" t="str">
        <f>IF($AC665="","",_xlfn.XLOOKUP($AC665,'[2]Client Info'!$C$2:$C$2715,'[2]Client Info'!$E$2:$E$2715,"",))</f>
        <v>Maple Ridge</v>
      </c>
      <c r="AF665" s="55" t="str">
        <f>IF($AC665="","",_xlfn.XLOOKUP($AC665,'[2]Client Info'!$C$2:$C$2715,'[2]Client Info'!$F$2:$F$2715,"",0,1))</f>
        <v xml:space="preserve">BC </v>
      </c>
      <c r="AG665" s="55" t="s">
        <v>3496</v>
      </c>
      <c r="AH665" s="245" t="str">
        <f>_xlfn.XLOOKUP(Table26[[#This Row],[customerSKU]],customerSKU!G:G,customerSKU!K:K,"NA",0,1)</f>
        <v>NA</v>
      </c>
      <c r="AI665" s="43" t="str">
        <f>_xlfn.XLOOKUP(Table26[[#This Row],[customerSKU]],customerSKU!G:G,customerSKU!O:O,"not found",0,1)</f>
        <v>not found</v>
      </c>
      <c r="AJ665" s="53" t="e">
        <f>Table26[[#This Row],[unitprice]]*Table26[[#This Row],[quantity_unit]]</f>
        <v>#VALUE!</v>
      </c>
      <c r="AK665" s="53" t="e" cm="1">
        <f t="array" ref="AK6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6" spans="1:37" ht="18" customHeight="1">
      <c r="A666" s="42">
        <v>1581</v>
      </c>
      <c r="B666" s="249" t="s">
        <v>3520</v>
      </c>
      <c r="C666" s="90" t="s">
        <v>203</v>
      </c>
      <c r="D666" s="235"/>
      <c r="E666" s="235"/>
      <c r="F66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6" s="46"/>
      <c r="H666" s="90"/>
      <c r="I666" s="90" t="s">
        <v>3862</v>
      </c>
      <c r="J666" s="90" t="str">
        <f>IF(Table26[[#This Row],[customerSKU]]="","",_xlfn.XLOOKUP(Table26[[#This Row],[customerSKU]],customerSKU!G:G,customerSKU!A:A,"",0,1))</f>
        <v/>
      </c>
      <c r="K666" s="232">
        <v>45623</v>
      </c>
      <c r="L666" s="233" t="str">
        <f>IF(Table26[[#This Row],[customerSKU]]="","",_xlfn.XLOOKUP(Table26[[#This Row],[customerSKU]],customerSKU!G:G,customerSKU!B:B,"",0,1))</f>
        <v/>
      </c>
      <c r="M666" s="90"/>
      <c r="N666" s="55" t="str">
        <f>Table26[[#This Row],[po_number]]&amp;"-"&amp;Table26[[#This Row],[po_line]]</f>
        <v>-4</v>
      </c>
      <c r="O666" s="55">
        <v>4</v>
      </c>
      <c r="P666" s="234"/>
      <c r="Q666" s="90" t="s">
        <v>869</v>
      </c>
      <c r="R666" s="90" t="s">
        <v>569</v>
      </c>
      <c r="S666" s="90" t="s">
        <v>114</v>
      </c>
      <c r="T666" s="20">
        <v>45498</v>
      </c>
      <c r="U666" s="236">
        <v>12</v>
      </c>
      <c r="V666" s="90" t="str">
        <f>IF(ISBLANK(Table26[[#This Row],[customerSKU]]),"",_xlfn.XLOOKUP(Table26[[#This Row],[customerSKU]],Table27[customer_SKU],Table27[case_size],"",0,1))</f>
        <v/>
      </c>
      <c r="W666" s="237" t="str">
        <f t="shared" si="27"/>
        <v/>
      </c>
      <c r="X666" s="90" t="str">
        <f t="shared" si="28"/>
        <v/>
      </c>
      <c r="Y666" s="90" t="str">
        <f>IF(Table26[[#This Row],[customerSKU]]="","",_xlfn.XLOOKUP(Table26[[#This Row],[customerSKU]],Table27[customer_SKU],Table27[product_GTIN],"",0,1))</f>
        <v/>
      </c>
      <c r="Z666" s="25" t="s">
        <v>3376</v>
      </c>
      <c r="AA666" s="18" t="str" cm="1">
        <f t="array" ref="AA666">IF(P666="", "", _xlfn.XLOOKUP(P666,#REF!,#REF!,NA,0,-1))</f>
        <v/>
      </c>
      <c r="AB666" s="90"/>
      <c r="AC666" s="55" t="s">
        <v>3496</v>
      </c>
      <c r="AD666" s="55" t="str">
        <f>IF($AC666="","",_xlfn.XLOOKUP($AC666,'[2]Client Info'!$C$2:$C$2535,'[2]Client Info'!$D$2:$D$2535,"",0,1))</f>
        <v>11939 240th Street</v>
      </c>
      <c r="AE666" s="55" t="str">
        <f>IF($AC666="","",_xlfn.XLOOKUP($AC666,'[2]Client Info'!$C$2:$C$2715,'[2]Client Info'!$E$2:$E$2715,"",))</f>
        <v>Maple Ridge</v>
      </c>
      <c r="AF666" s="55" t="str">
        <f>IF($AC666="","",_xlfn.XLOOKUP($AC666,'[2]Client Info'!$C$2:$C$2715,'[2]Client Info'!$F$2:$F$2715,"",0,1))</f>
        <v xml:space="preserve">BC </v>
      </c>
      <c r="AG666" s="55" t="s">
        <v>3496</v>
      </c>
      <c r="AH666" s="245" t="str">
        <f>_xlfn.XLOOKUP(Table26[[#This Row],[customerSKU]],customerSKU!G:G,customerSKU!K:K,"NA",0,1)</f>
        <v>NA</v>
      </c>
      <c r="AI666" s="43" t="str">
        <f>_xlfn.XLOOKUP(Table26[[#This Row],[customerSKU]],customerSKU!G:G,customerSKU!O:O,"not found",0,1)</f>
        <v>not found</v>
      </c>
      <c r="AJ666" s="53" t="e">
        <f>Table26[[#This Row],[unitprice]]*Table26[[#This Row],[quantity_unit]]</f>
        <v>#VALUE!</v>
      </c>
      <c r="AK666" s="53" t="e" cm="1">
        <f t="array" ref="AK6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7" spans="1:37" ht="18" customHeight="1">
      <c r="A667" s="42">
        <v>1582</v>
      </c>
      <c r="B667" s="249" t="s">
        <v>3520</v>
      </c>
      <c r="C667" s="90" t="s">
        <v>203</v>
      </c>
      <c r="D667" s="235"/>
      <c r="E667" s="235"/>
      <c r="F66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7" s="46"/>
      <c r="H667" s="90"/>
      <c r="I667" s="90" t="s">
        <v>3862</v>
      </c>
      <c r="J667" s="90" t="str">
        <f>IF(Table26[[#This Row],[customerSKU]]="","",_xlfn.XLOOKUP(Table26[[#This Row],[customerSKU]],customerSKU!G:G,customerSKU!A:A,"",0,1))</f>
        <v/>
      </c>
      <c r="K667" s="232">
        <v>45623</v>
      </c>
      <c r="L667" s="233" t="str">
        <f>IF(Table26[[#This Row],[customerSKU]]="","",_xlfn.XLOOKUP(Table26[[#This Row],[customerSKU]],customerSKU!G:G,customerSKU!B:B,"",0,1))</f>
        <v/>
      </c>
      <c r="M667" s="90"/>
      <c r="N667" s="55" t="str">
        <f>Table26[[#This Row],[po_number]]&amp;"-"&amp;Table26[[#This Row],[po_line]]</f>
        <v>-5</v>
      </c>
      <c r="O667" s="55">
        <v>5</v>
      </c>
      <c r="P667" s="234"/>
      <c r="Q667" s="90" t="s">
        <v>1313</v>
      </c>
      <c r="R667" s="90" t="s">
        <v>569</v>
      </c>
      <c r="S667" s="90" t="s">
        <v>114</v>
      </c>
      <c r="T667" s="20">
        <v>45575</v>
      </c>
      <c r="U667" s="236">
        <v>12</v>
      </c>
      <c r="V667" s="90" t="str">
        <f>IF(ISBLANK(Table26[[#This Row],[customerSKU]]),"",_xlfn.XLOOKUP(Table26[[#This Row],[customerSKU]],Table27[customer_SKU],Table27[case_size],"",0,1))</f>
        <v/>
      </c>
      <c r="W667" s="237" t="str">
        <f t="shared" si="27"/>
        <v/>
      </c>
      <c r="X667" s="90" t="str">
        <f t="shared" si="28"/>
        <v/>
      </c>
      <c r="Y667" s="90" t="str">
        <f>IF(Table26[[#This Row],[customerSKU]]="","",_xlfn.XLOOKUP(Table26[[#This Row],[customerSKU]],Table27[customer_SKU],Table27[product_GTIN],"",0,1))</f>
        <v/>
      </c>
      <c r="Z667" s="25" t="s">
        <v>3432</v>
      </c>
      <c r="AA667" s="18" t="str" cm="1">
        <f t="array" ref="AA667">IF(P667="", "", _xlfn.XLOOKUP(P667,#REF!,#REF!,NA,0,-1))</f>
        <v/>
      </c>
      <c r="AB667" s="90"/>
      <c r="AC667" s="55" t="s">
        <v>3496</v>
      </c>
      <c r="AD667" s="55" t="str">
        <f>IF($AC667="","",_xlfn.XLOOKUP($AC667,'[2]Client Info'!$C$2:$C$2535,'[2]Client Info'!$D$2:$D$2535,"",0,1))</f>
        <v>11939 240th Street</v>
      </c>
      <c r="AE667" s="55" t="str">
        <f>IF($AC667="","",_xlfn.XLOOKUP($AC667,'[2]Client Info'!$C$2:$C$2715,'[2]Client Info'!$E$2:$E$2715,"",))</f>
        <v>Maple Ridge</v>
      </c>
      <c r="AF667" s="55" t="str">
        <f>IF($AC667="","",_xlfn.XLOOKUP($AC667,'[2]Client Info'!$C$2:$C$2715,'[2]Client Info'!$F$2:$F$2715,"",0,1))</f>
        <v xml:space="preserve">BC </v>
      </c>
      <c r="AG667" s="55" t="s">
        <v>3496</v>
      </c>
      <c r="AH667" s="245" t="str">
        <f>_xlfn.XLOOKUP(Table26[[#This Row],[customerSKU]],customerSKU!G:G,customerSKU!K:K,"NA",0,1)</f>
        <v>NA</v>
      </c>
      <c r="AI667" s="43" t="str">
        <f>_xlfn.XLOOKUP(Table26[[#This Row],[customerSKU]],customerSKU!G:G,customerSKU!O:O,"not found",0,1)</f>
        <v>not found</v>
      </c>
      <c r="AJ667" s="53" t="e">
        <f>Table26[[#This Row],[unitprice]]*Table26[[#This Row],[quantity_unit]]</f>
        <v>#VALUE!</v>
      </c>
      <c r="AK667" s="53" t="e" cm="1">
        <f t="array" ref="AK6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8" spans="1:37" ht="18" customHeight="1">
      <c r="A668" s="42">
        <v>1583</v>
      </c>
      <c r="B668" s="249" t="s">
        <v>3520</v>
      </c>
      <c r="C668" s="90" t="s">
        <v>203</v>
      </c>
      <c r="D668" s="235"/>
      <c r="E668" s="235"/>
      <c r="F66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8" s="46"/>
      <c r="H668" s="90"/>
      <c r="I668" s="90" t="s">
        <v>3862</v>
      </c>
      <c r="J668" s="90" t="str">
        <f>IF(Table26[[#This Row],[customerSKU]]="","",_xlfn.XLOOKUP(Table26[[#This Row],[customerSKU]],customerSKU!G:G,customerSKU!A:A,"",0,1))</f>
        <v/>
      </c>
      <c r="K668" s="232">
        <v>45623</v>
      </c>
      <c r="L668" s="233" t="str">
        <f>IF(Table26[[#This Row],[customerSKU]]="","",_xlfn.XLOOKUP(Table26[[#This Row],[customerSKU]],customerSKU!G:G,customerSKU!B:B,"",0,1))</f>
        <v/>
      </c>
      <c r="M668" s="90"/>
      <c r="N668" s="55" t="str">
        <f>Table26[[#This Row],[po_number]]&amp;"-"&amp;Table26[[#This Row],[po_line]]</f>
        <v>-6</v>
      </c>
      <c r="O668" s="55">
        <v>6</v>
      </c>
      <c r="P668" s="234"/>
      <c r="Q668" s="90" t="s">
        <v>630</v>
      </c>
      <c r="R668" s="90" t="s">
        <v>569</v>
      </c>
      <c r="S668" s="90" t="s">
        <v>114</v>
      </c>
      <c r="T668" s="20">
        <v>45574</v>
      </c>
      <c r="U668" s="236">
        <v>12</v>
      </c>
      <c r="V668" s="90" t="str">
        <f>IF(ISBLANK(Table26[[#This Row],[customerSKU]]),"",_xlfn.XLOOKUP(Table26[[#This Row],[customerSKU]],Table27[customer_SKU],Table27[case_size],"",0,1))</f>
        <v/>
      </c>
      <c r="W668" s="237" t="str">
        <f t="shared" si="27"/>
        <v/>
      </c>
      <c r="X668" s="90" t="str">
        <f t="shared" si="28"/>
        <v/>
      </c>
      <c r="Y668" s="90" t="str">
        <f>IF(Table26[[#This Row],[customerSKU]]="","",_xlfn.XLOOKUP(Table26[[#This Row],[customerSKU]],Table27[customer_SKU],Table27[product_GTIN],"",0,1))</f>
        <v/>
      </c>
      <c r="Z668" s="25" t="s">
        <v>3386</v>
      </c>
      <c r="AA668" s="18" t="str" cm="1">
        <f t="array" ref="AA668">IF(P668="", "", _xlfn.XLOOKUP(P668,#REF!,#REF!,NA,0,-1))</f>
        <v/>
      </c>
      <c r="AB668" s="90"/>
      <c r="AC668" s="55" t="s">
        <v>3496</v>
      </c>
      <c r="AD668" s="55" t="str">
        <f>IF($AC668="","",_xlfn.XLOOKUP($AC668,'[2]Client Info'!$C$2:$C$2535,'[2]Client Info'!$D$2:$D$2535,"",0,1))</f>
        <v>11939 240th Street</v>
      </c>
      <c r="AE668" s="55" t="str">
        <f>IF($AC668="","",_xlfn.XLOOKUP($AC668,'[2]Client Info'!$C$2:$C$2715,'[2]Client Info'!$E$2:$E$2715,"",))</f>
        <v>Maple Ridge</v>
      </c>
      <c r="AF668" s="55" t="str">
        <f>IF($AC668="","",_xlfn.XLOOKUP($AC668,'[2]Client Info'!$C$2:$C$2715,'[2]Client Info'!$F$2:$F$2715,"",0,1))</f>
        <v xml:space="preserve">BC </v>
      </c>
      <c r="AG668" s="55" t="s">
        <v>3496</v>
      </c>
      <c r="AH668" s="245" t="str">
        <f>_xlfn.XLOOKUP(Table26[[#This Row],[customerSKU]],customerSKU!G:G,customerSKU!K:K,"NA",0,1)</f>
        <v>NA</v>
      </c>
      <c r="AI668" s="43" t="str">
        <f>_xlfn.XLOOKUP(Table26[[#This Row],[customerSKU]],customerSKU!G:G,customerSKU!O:O,"not found",0,1)</f>
        <v>not found</v>
      </c>
      <c r="AJ668" s="53" t="e">
        <f>Table26[[#This Row],[unitprice]]*Table26[[#This Row],[quantity_unit]]</f>
        <v>#VALUE!</v>
      </c>
      <c r="AK668" s="53" t="e" cm="1">
        <f t="array" ref="AK6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69" spans="1:37" ht="18" customHeight="1">
      <c r="A669" s="42">
        <v>1584</v>
      </c>
      <c r="B669" s="249" t="s">
        <v>3520</v>
      </c>
      <c r="C669" s="90" t="s">
        <v>203</v>
      </c>
      <c r="D669" s="235"/>
      <c r="E669" s="235"/>
      <c r="F66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69" s="46"/>
      <c r="H669" s="90"/>
      <c r="I669" s="90" t="s">
        <v>3862</v>
      </c>
      <c r="J669" s="90" t="str">
        <f>IF(Table26[[#This Row],[customerSKU]]="","",_xlfn.XLOOKUP(Table26[[#This Row],[customerSKU]],customerSKU!G:G,customerSKU!A:A,"",0,1))</f>
        <v/>
      </c>
      <c r="K669" s="232">
        <v>45623</v>
      </c>
      <c r="L669" s="233" t="str">
        <f>IF(Table26[[#This Row],[customerSKU]]="","",_xlfn.XLOOKUP(Table26[[#This Row],[customerSKU]],customerSKU!G:G,customerSKU!B:B,"",0,1))</f>
        <v/>
      </c>
      <c r="M669" s="90"/>
      <c r="N669" s="55" t="str">
        <f>Table26[[#This Row],[po_number]]&amp;"-"&amp;Table26[[#This Row],[po_line]]</f>
        <v>-7</v>
      </c>
      <c r="O669" s="55">
        <v>7</v>
      </c>
      <c r="P669" s="234"/>
      <c r="Q669" s="90" t="s">
        <v>1312</v>
      </c>
      <c r="R669" s="90" t="s">
        <v>569</v>
      </c>
      <c r="S669" s="90" t="s">
        <v>114</v>
      </c>
      <c r="T669" s="20">
        <v>45575</v>
      </c>
      <c r="U669" s="236">
        <v>12</v>
      </c>
      <c r="V669" s="90" t="str">
        <f>IF(ISBLANK(Table26[[#This Row],[customerSKU]]),"",_xlfn.XLOOKUP(Table26[[#This Row],[customerSKU]],Table27[customer_SKU],Table27[case_size],"",0,1))</f>
        <v/>
      </c>
      <c r="W669" s="237" t="str">
        <f t="shared" si="27"/>
        <v/>
      </c>
      <c r="X669" s="90" t="str">
        <f t="shared" si="28"/>
        <v/>
      </c>
      <c r="Y669" s="90" t="str">
        <f>IF(Table26[[#This Row],[customerSKU]]="","",_xlfn.XLOOKUP(Table26[[#This Row],[customerSKU]],Table27[customer_SKU],Table27[product_GTIN],"",0,1))</f>
        <v/>
      </c>
      <c r="Z669" s="25" t="s">
        <v>3387</v>
      </c>
      <c r="AA669" s="18" t="str" cm="1">
        <f t="array" ref="AA669">IF(P669="", "", _xlfn.XLOOKUP(P669,#REF!,#REF!,NA,0,-1))</f>
        <v/>
      </c>
      <c r="AB669" s="90"/>
      <c r="AC669" s="55" t="s">
        <v>3496</v>
      </c>
      <c r="AD669" s="55" t="str">
        <f>IF($AC669="","",_xlfn.XLOOKUP($AC669,'[2]Client Info'!$C$2:$C$2535,'[2]Client Info'!$D$2:$D$2535,"",0,1))</f>
        <v>11939 240th Street</v>
      </c>
      <c r="AE669" s="55" t="str">
        <f>IF($AC669="","",_xlfn.XLOOKUP($AC669,'[2]Client Info'!$C$2:$C$2715,'[2]Client Info'!$E$2:$E$2715,"",))</f>
        <v>Maple Ridge</v>
      </c>
      <c r="AF669" s="55" t="str">
        <f>IF($AC669="","",_xlfn.XLOOKUP($AC669,'[2]Client Info'!$C$2:$C$2715,'[2]Client Info'!$F$2:$F$2715,"",0,1))</f>
        <v xml:space="preserve">BC </v>
      </c>
      <c r="AG669" s="55" t="s">
        <v>3496</v>
      </c>
      <c r="AH669" s="245" t="str">
        <f>_xlfn.XLOOKUP(Table26[[#This Row],[customerSKU]],customerSKU!G:G,customerSKU!K:K,"NA",0,1)</f>
        <v>NA</v>
      </c>
      <c r="AI669" s="43" t="str">
        <f>_xlfn.XLOOKUP(Table26[[#This Row],[customerSKU]],customerSKU!G:G,customerSKU!O:O,"not found",0,1)</f>
        <v>not found</v>
      </c>
      <c r="AJ669" s="53" t="e">
        <f>Table26[[#This Row],[unitprice]]*Table26[[#This Row],[quantity_unit]]</f>
        <v>#VALUE!</v>
      </c>
      <c r="AK669" s="53" t="e" cm="1">
        <f t="array" ref="AK6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0" spans="1:37" ht="18" customHeight="1">
      <c r="A670" s="42">
        <v>1585</v>
      </c>
      <c r="B670" s="249" t="s">
        <v>3520</v>
      </c>
      <c r="C670" s="90" t="s">
        <v>203</v>
      </c>
      <c r="D670" s="235"/>
      <c r="E670" s="235"/>
      <c r="F67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0" s="46"/>
      <c r="H670" s="90"/>
      <c r="I670" s="90" t="s">
        <v>3862</v>
      </c>
      <c r="J670" s="90" t="str">
        <f>IF(Table26[[#This Row],[customerSKU]]="","",_xlfn.XLOOKUP(Table26[[#This Row],[customerSKU]],customerSKU!G:G,customerSKU!A:A,"",0,1))</f>
        <v/>
      </c>
      <c r="K670" s="232">
        <v>45623</v>
      </c>
      <c r="L670" s="233" t="str">
        <f>IF(Table26[[#This Row],[customerSKU]]="","",_xlfn.XLOOKUP(Table26[[#This Row],[customerSKU]],customerSKU!G:G,customerSKU!B:B,"",0,1))</f>
        <v/>
      </c>
      <c r="M670" s="90"/>
      <c r="N670" s="55" t="str">
        <f>Table26[[#This Row],[po_number]]&amp;"-"&amp;Table26[[#This Row],[po_line]]</f>
        <v>-8</v>
      </c>
      <c r="O670" s="55">
        <v>8</v>
      </c>
      <c r="P670" s="234"/>
      <c r="Q670" s="90" t="s">
        <v>535</v>
      </c>
      <c r="R670" s="90" t="s">
        <v>569</v>
      </c>
      <c r="S670" s="90" t="s">
        <v>114</v>
      </c>
      <c r="T670" s="20">
        <v>45588</v>
      </c>
      <c r="U670" s="236">
        <v>12</v>
      </c>
      <c r="V670" s="90" t="str">
        <f>IF(ISBLANK(Table26[[#This Row],[customerSKU]]),"",_xlfn.XLOOKUP(Table26[[#This Row],[customerSKU]],Table27[customer_SKU],Table27[case_size],"",0,1))</f>
        <v/>
      </c>
      <c r="W670" s="237" t="str">
        <f t="shared" si="27"/>
        <v/>
      </c>
      <c r="X670" s="90" t="str">
        <f t="shared" si="28"/>
        <v/>
      </c>
      <c r="Y670" s="90" t="str">
        <f>IF(Table26[[#This Row],[customerSKU]]="","",_xlfn.XLOOKUP(Table26[[#This Row],[customerSKU]],Table27[customer_SKU],Table27[product_GTIN],"",0,1))</f>
        <v/>
      </c>
      <c r="Z670" s="25" t="s">
        <v>3433</v>
      </c>
      <c r="AA670" s="18" t="str" cm="1">
        <f t="array" ref="AA670">IF(P670="", "", _xlfn.XLOOKUP(P670,#REF!,#REF!,NA,0,-1))</f>
        <v/>
      </c>
      <c r="AB670" s="90"/>
      <c r="AC670" s="55" t="s">
        <v>3496</v>
      </c>
      <c r="AD670" s="55" t="str">
        <f>IF($AC670="","",_xlfn.XLOOKUP($AC670,'[2]Client Info'!$C$2:$C$2535,'[2]Client Info'!$D$2:$D$2535,"",0,1))</f>
        <v>11939 240th Street</v>
      </c>
      <c r="AE670" s="55" t="str">
        <f>IF($AC670="","",_xlfn.XLOOKUP($AC670,'[2]Client Info'!$C$2:$C$2715,'[2]Client Info'!$E$2:$E$2715,"",))</f>
        <v>Maple Ridge</v>
      </c>
      <c r="AF670" s="55" t="str">
        <f>IF($AC670="","",_xlfn.XLOOKUP($AC670,'[2]Client Info'!$C$2:$C$2715,'[2]Client Info'!$F$2:$F$2715,"",0,1))</f>
        <v xml:space="preserve">BC </v>
      </c>
      <c r="AG670" s="55" t="s">
        <v>3496</v>
      </c>
      <c r="AH670" s="245" t="str">
        <f>_xlfn.XLOOKUP(Table26[[#This Row],[customerSKU]],customerSKU!G:G,customerSKU!K:K,"NA",0,1)</f>
        <v>NA</v>
      </c>
      <c r="AI670" s="43" t="str">
        <f>_xlfn.XLOOKUP(Table26[[#This Row],[customerSKU]],customerSKU!G:G,customerSKU!O:O,"not found",0,1)</f>
        <v>not found</v>
      </c>
      <c r="AJ670" s="53" t="e">
        <f>Table26[[#This Row],[unitprice]]*Table26[[#This Row],[quantity_unit]]</f>
        <v>#VALUE!</v>
      </c>
      <c r="AK670" s="53" t="e" cm="1">
        <f t="array" ref="AK6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1" spans="1:37" ht="18" customHeight="1">
      <c r="A671" s="42">
        <v>1586</v>
      </c>
      <c r="B671" s="249" t="s">
        <v>3520</v>
      </c>
      <c r="C671" s="90" t="s">
        <v>203</v>
      </c>
      <c r="D671" s="235"/>
      <c r="E671" s="235"/>
      <c r="F67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1" s="46"/>
      <c r="H671" s="90"/>
      <c r="I671" s="90" t="s">
        <v>3862</v>
      </c>
      <c r="J671" s="90" t="str">
        <f>IF(Table26[[#This Row],[customerSKU]]="","",_xlfn.XLOOKUP(Table26[[#This Row],[customerSKU]],customerSKU!G:G,customerSKU!A:A,"",0,1))</f>
        <v/>
      </c>
      <c r="K671" s="232">
        <v>45623</v>
      </c>
      <c r="L671" s="233" t="str">
        <f>IF(Table26[[#This Row],[customerSKU]]="","",_xlfn.XLOOKUP(Table26[[#This Row],[customerSKU]],customerSKU!G:G,customerSKU!B:B,"",0,1))</f>
        <v/>
      </c>
      <c r="M671" s="90"/>
      <c r="N671" s="55" t="str">
        <f>Table26[[#This Row],[po_number]]&amp;"-"&amp;Table26[[#This Row],[po_line]]</f>
        <v>-9</v>
      </c>
      <c r="O671" s="55">
        <v>9</v>
      </c>
      <c r="P671" s="234"/>
      <c r="Q671" s="90" t="s">
        <v>1134</v>
      </c>
      <c r="R671" s="90" t="s">
        <v>569</v>
      </c>
      <c r="S671" s="90" t="s">
        <v>114</v>
      </c>
      <c r="T671" s="20">
        <v>45588</v>
      </c>
      <c r="U671" s="236">
        <v>12</v>
      </c>
      <c r="V671" s="90" t="str">
        <f>IF(ISBLANK(Table26[[#This Row],[customerSKU]]),"",_xlfn.XLOOKUP(Table26[[#This Row],[customerSKU]],Table27[customer_SKU],Table27[case_size],"",0,1))</f>
        <v/>
      </c>
      <c r="W671" s="237" t="str">
        <f t="shared" si="27"/>
        <v/>
      </c>
      <c r="X671" s="90" t="str">
        <f t="shared" si="28"/>
        <v/>
      </c>
      <c r="Y671" s="90" t="str">
        <f>IF(Table26[[#This Row],[customerSKU]]="","",_xlfn.XLOOKUP(Table26[[#This Row],[customerSKU]],Table27[customer_SKU],Table27[product_GTIN],"",0,1))</f>
        <v/>
      </c>
      <c r="Z671" s="25" t="s">
        <v>3406</v>
      </c>
      <c r="AA671" s="18" t="str" cm="1">
        <f t="array" ref="AA671">IF(P671="", "", _xlfn.XLOOKUP(P671,#REF!,#REF!,NA,0,-1))</f>
        <v/>
      </c>
      <c r="AB671" s="90"/>
      <c r="AC671" s="55" t="s">
        <v>3496</v>
      </c>
      <c r="AD671" s="55" t="str">
        <f>IF($AC671="","",_xlfn.XLOOKUP($AC671,'[2]Client Info'!$C$2:$C$2535,'[2]Client Info'!$D$2:$D$2535,"",0,1))</f>
        <v>11939 240th Street</v>
      </c>
      <c r="AE671" s="55" t="str">
        <f>IF($AC671="","",_xlfn.XLOOKUP($AC671,'[2]Client Info'!$C$2:$C$2715,'[2]Client Info'!$E$2:$E$2715,"",))</f>
        <v>Maple Ridge</v>
      </c>
      <c r="AF671" s="55" t="str">
        <f>IF($AC671="","",_xlfn.XLOOKUP($AC671,'[2]Client Info'!$C$2:$C$2715,'[2]Client Info'!$F$2:$F$2715,"",0,1))</f>
        <v xml:space="preserve">BC </v>
      </c>
      <c r="AG671" s="55" t="s">
        <v>3496</v>
      </c>
      <c r="AH671" s="245" t="str">
        <f>_xlfn.XLOOKUP(Table26[[#This Row],[customerSKU]],customerSKU!G:G,customerSKU!K:K,"NA",0,1)</f>
        <v>NA</v>
      </c>
      <c r="AI671" s="43" t="str">
        <f>_xlfn.XLOOKUP(Table26[[#This Row],[customerSKU]],customerSKU!G:G,customerSKU!O:O,"not found",0,1)</f>
        <v>not found</v>
      </c>
      <c r="AJ671" s="53" t="e">
        <f>Table26[[#This Row],[unitprice]]*Table26[[#This Row],[quantity_unit]]</f>
        <v>#VALUE!</v>
      </c>
      <c r="AK671" s="53" t="e" cm="1">
        <f t="array" ref="AK6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2" spans="1:37" ht="18" customHeight="1">
      <c r="A672" s="42">
        <v>1587</v>
      </c>
      <c r="B672" s="249" t="s">
        <v>3520</v>
      </c>
      <c r="C672" s="90" t="s">
        <v>203</v>
      </c>
      <c r="D672" s="235"/>
      <c r="E672" s="235"/>
      <c r="F67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2" s="46"/>
      <c r="H672" s="90"/>
      <c r="I672" s="90" t="s">
        <v>3862</v>
      </c>
      <c r="J672" s="90" t="str">
        <f>IF(Table26[[#This Row],[customerSKU]]="","",_xlfn.XLOOKUP(Table26[[#This Row],[customerSKU]],customerSKU!G:G,customerSKU!A:A,"",0,1))</f>
        <v/>
      </c>
      <c r="K672" s="232">
        <v>45623</v>
      </c>
      <c r="L672" s="233" t="str">
        <f>IF(Table26[[#This Row],[customerSKU]]="","",_xlfn.XLOOKUP(Table26[[#This Row],[customerSKU]],customerSKU!G:G,customerSKU!B:B,"",0,1))</f>
        <v/>
      </c>
      <c r="M672" s="90"/>
      <c r="N672" s="55" t="str">
        <f>Table26[[#This Row],[po_number]]&amp;"-"&amp;Table26[[#This Row],[po_line]]</f>
        <v>-10</v>
      </c>
      <c r="O672" s="55">
        <v>10</v>
      </c>
      <c r="P672" s="234"/>
      <c r="Q672" s="90" t="s">
        <v>1862</v>
      </c>
      <c r="R672" s="90" t="s">
        <v>569</v>
      </c>
      <c r="S672" s="90" t="s">
        <v>114</v>
      </c>
      <c r="T672" s="20">
        <v>45594</v>
      </c>
      <c r="U672" s="236">
        <v>12</v>
      </c>
      <c r="V672" s="90" t="str">
        <f>IF(ISBLANK(Table26[[#This Row],[customerSKU]]),"",_xlfn.XLOOKUP(Table26[[#This Row],[customerSKU]],Table27[customer_SKU],Table27[case_size],"",0,1))</f>
        <v/>
      </c>
      <c r="W672" s="237" t="str">
        <f t="shared" si="27"/>
        <v/>
      </c>
      <c r="X672" s="90" t="str">
        <f t="shared" si="28"/>
        <v/>
      </c>
      <c r="Y672" s="90" t="str">
        <f>IF(Table26[[#This Row],[customerSKU]]="","",_xlfn.XLOOKUP(Table26[[#This Row],[customerSKU]],Table27[customer_SKU],Table27[product_GTIN],"",0,1))</f>
        <v/>
      </c>
      <c r="Z672" s="25" t="s">
        <v>3367</v>
      </c>
      <c r="AA672" s="18" t="str" cm="1">
        <f t="array" ref="AA672">IF(P672="", "", _xlfn.XLOOKUP(P672,#REF!,#REF!,NA,0,-1))</f>
        <v/>
      </c>
      <c r="AB672" s="90"/>
      <c r="AC672" s="55" t="s">
        <v>3496</v>
      </c>
      <c r="AD672" s="55" t="str">
        <f>IF($AC672="","",_xlfn.XLOOKUP($AC672,'[2]Client Info'!$C$2:$C$2535,'[2]Client Info'!$D$2:$D$2535,"",0,1))</f>
        <v>11939 240th Street</v>
      </c>
      <c r="AE672" s="55" t="str">
        <f>IF($AC672="","",_xlfn.XLOOKUP($AC672,'[2]Client Info'!$C$2:$C$2715,'[2]Client Info'!$E$2:$E$2715,"",))</f>
        <v>Maple Ridge</v>
      </c>
      <c r="AF672" s="55" t="str">
        <f>IF($AC672="","",_xlfn.XLOOKUP($AC672,'[2]Client Info'!$C$2:$C$2715,'[2]Client Info'!$F$2:$F$2715,"",0,1))</f>
        <v xml:space="preserve">BC </v>
      </c>
      <c r="AG672" s="55" t="s">
        <v>3496</v>
      </c>
      <c r="AH672" s="245" t="str">
        <f>_xlfn.XLOOKUP(Table26[[#This Row],[customerSKU]],customerSKU!G:G,customerSKU!K:K,"NA",0,1)</f>
        <v>NA</v>
      </c>
      <c r="AI672" s="43" t="str">
        <f>_xlfn.XLOOKUP(Table26[[#This Row],[customerSKU]],customerSKU!G:G,customerSKU!O:O,"not found",0,1)</f>
        <v>not found</v>
      </c>
      <c r="AJ672" s="53" t="e">
        <f>Table26[[#This Row],[unitprice]]*Table26[[#This Row],[quantity_unit]]</f>
        <v>#VALUE!</v>
      </c>
      <c r="AK672" s="53" t="e" cm="1">
        <f t="array" ref="AK6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3" spans="1:37" ht="18" customHeight="1">
      <c r="A673" s="42">
        <v>1588</v>
      </c>
      <c r="B673" s="249" t="s">
        <v>3520</v>
      </c>
      <c r="C673" s="90" t="s">
        <v>203</v>
      </c>
      <c r="D673" s="235"/>
      <c r="E673" s="235"/>
      <c r="F67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3" s="46"/>
      <c r="H673" s="90"/>
      <c r="I673" s="90" t="s">
        <v>3862</v>
      </c>
      <c r="J673" s="90" t="str">
        <f>IF(Table26[[#This Row],[customerSKU]]="","",_xlfn.XLOOKUP(Table26[[#This Row],[customerSKU]],customerSKU!G:G,customerSKU!A:A,"",0,1))</f>
        <v/>
      </c>
      <c r="K673" s="232">
        <v>45623</v>
      </c>
      <c r="L673" s="233" t="str">
        <f>IF(Table26[[#This Row],[customerSKU]]="","",_xlfn.XLOOKUP(Table26[[#This Row],[customerSKU]],customerSKU!G:G,customerSKU!B:B,"",0,1))</f>
        <v/>
      </c>
      <c r="M673" s="90"/>
      <c r="N673" s="55" t="str">
        <f>Table26[[#This Row],[po_number]]&amp;"-"&amp;Table26[[#This Row],[po_line]]</f>
        <v>-11</v>
      </c>
      <c r="O673" s="55">
        <v>11</v>
      </c>
      <c r="P673" s="234"/>
      <c r="Q673" s="90" t="s">
        <v>622</v>
      </c>
      <c r="R673" s="90" t="s">
        <v>569</v>
      </c>
      <c r="S673" s="90" t="s">
        <v>114</v>
      </c>
      <c r="T673" s="20">
        <v>45603</v>
      </c>
      <c r="U673" s="236">
        <v>12</v>
      </c>
      <c r="V673" s="90" t="str">
        <f>IF(ISBLANK(Table26[[#This Row],[customerSKU]]),"",_xlfn.XLOOKUP(Table26[[#This Row],[customerSKU]],Table27[customer_SKU],Table27[case_size],"",0,1))</f>
        <v/>
      </c>
      <c r="W673" s="237" t="str">
        <f t="shared" si="27"/>
        <v/>
      </c>
      <c r="X673" s="90" t="str">
        <f t="shared" si="28"/>
        <v/>
      </c>
      <c r="Y673" s="90" t="str">
        <f>IF(Table26[[#This Row],[customerSKU]]="","",_xlfn.XLOOKUP(Table26[[#This Row],[customerSKU]],Table27[customer_SKU],Table27[product_GTIN],"",0,1))</f>
        <v/>
      </c>
      <c r="Z673" s="25" t="s">
        <v>3434</v>
      </c>
      <c r="AA673" s="18" t="str" cm="1">
        <f t="array" ref="AA673">IF(P673="", "", _xlfn.XLOOKUP(P673,#REF!,#REF!,NA,0,-1))</f>
        <v/>
      </c>
      <c r="AB673" s="90"/>
      <c r="AC673" s="55" t="s">
        <v>3496</v>
      </c>
      <c r="AD673" s="55" t="str">
        <f>IF($AC673="","",_xlfn.XLOOKUP($AC673,'[2]Client Info'!$C$2:$C$2535,'[2]Client Info'!$D$2:$D$2535,"",0,1))</f>
        <v>11939 240th Street</v>
      </c>
      <c r="AE673" s="55" t="str">
        <f>IF($AC673="","",_xlfn.XLOOKUP($AC673,'[2]Client Info'!$C$2:$C$2715,'[2]Client Info'!$E$2:$E$2715,"",))</f>
        <v>Maple Ridge</v>
      </c>
      <c r="AF673" s="55" t="str">
        <f>IF($AC673="","",_xlfn.XLOOKUP($AC673,'[2]Client Info'!$C$2:$C$2715,'[2]Client Info'!$F$2:$F$2715,"",0,1))</f>
        <v xml:space="preserve">BC </v>
      </c>
      <c r="AG673" s="55" t="s">
        <v>3496</v>
      </c>
      <c r="AH673" s="245" t="str">
        <f>_xlfn.XLOOKUP(Table26[[#This Row],[customerSKU]],customerSKU!G:G,customerSKU!K:K,"NA",0,1)</f>
        <v>NA</v>
      </c>
      <c r="AI673" s="43" t="str">
        <f>_xlfn.XLOOKUP(Table26[[#This Row],[customerSKU]],customerSKU!G:G,customerSKU!O:O,"not found",0,1)</f>
        <v>not found</v>
      </c>
      <c r="AJ673" s="53" t="e">
        <f>Table26[[#This Row],[unitprice]]*Table26[[#This Row],[quantity_unit]]</f>
        <v>#VALUE!</v>
      </c>
      <c r="AK673" s="53" t="e" cm="1">
        <f t="array" ref="AK6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4" spans="1:37" ht="18" customHeight="1">
      <c r="A674" s="42">
        <v>1589</v>
      </c>
      <c r="B674" s="249" t="s">
        <v>3520</v>
      </c>
      <c r="C674" s="90" t="s">
        <v>203</v>
      </c>
      <c r="D674" s="235"/>
      <c r="E674" s="235"/>
      <c r="F67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4" s="46"/>
      <c r="H674" s="90"/>
      <c r="I674" s="90" t="s">
        <v>3862</v>
      </c>
      <c r="J674" s="90" t="str">
        <f>IF(Table26[[#This Row],[customerSKU]]="","",_xlfn.XLOOKUP(Table26[[#This Row],[customerSKU]],customerSKU!G:G,customerSKU!A:A,"",0,1))</f>
        <v/>
      </c>
      <c r="K674" s="232">
        <v>45623</v>
      </c>
      <c r="L674" s="233" t="str">
        <f>IF(Table26[[#This Row],[customerSKU]]="","",_xlfn.XLOOKUP(Table26[[#This Row],[customerSKU]],customerSKU!G:G,customerSKU!B:B,"",0,1))</f>
        <v/>
      </c>
      <c r="M674" s="90"/>
      <c r="N674" s="55" t="str">
        <f>Table26[[#This Row],[po_number]]&amp;"-"&amp;Table26[[#This Row],[po_line]]</f>
        <v>-12</v>
      </c>
      <c r="O674" s="55">
        <v>12</v>
      </c>
      <c r="P674" s="234"/>
      <c r="Q674" s="90" t="s">
        <v>525</v>
      </c>
      <c r="R674" s="90" t="s">
        <v>569</v>
      </c>
      <c r="S674" s="90" t="s">
        <v>114</v>
      </c>
      <c r="T674" s="20">
        <v>45588</v>
      </c>
      <c r="U674" s="236">
        <v>12</v>
      </c>
      <c r="V674" s="90" t="str">
        <f>IF(ISBLANK(Table26[[#This Row],[customerSKU]]),"",_xlfn.XLOOKUP(Table26[[#This Row],[customerSKU]],Table27[customer_SKU],Table27[case_size],"",0,1))</f>
        <v/>
      </c>
      <c r="W674" s="237" t="str">
        <f t="shared" si="27"/>
        <v/>
      </c>
      <c r="X674" s="90" t="str">
        <f t="shared" si="28"/>
        <v/>
      </c>
      <c r="Y674" s="90" t="str">
        <f>IF(Table26[[#This Row],[customerSKU]]="","",_xlfn.XLOOKUP(Table26[[#This Row],[customerSKU]],Table27[customer_SKU],Table27[product_GTIN],"",0,1))</f>
        <v/>
      </c>
      <c r="Z674" s="25" t="s">
        <v>3462</v>
      </c>
      <c r="AA674" s="18" t="str" cm="1">
        <f t="array" ref="AA674">IF(P674="", "", _xlfn.XLOOKUP(P674,#REF!,#REF!,NA,0,-1))</f>
        <v/>
      </c>
      <c r="AB674" s="90"/>
      <c r="AC674" s="55" t="s">
        <v>3496</v>
      </c>
      <c r="AD674" s="55" t="str">
        <f>IF($AC674="","",_xlfn.XLOOKUP($AC674,'[2]Client Info'!$C$2:$C$2535,'[2]Client Info'!$D$2:$D$2535,"",0,1))</f>
        <v>11939 240th Street</v>
      </c>
      <c r="AE674" s="55" t="str">
        <f>IF($AC674="","",_xlfn.XLOOKUP($AC674,'[2]Client Info'!$C$2:$C$2715,'[2]Client Info'!$E$2:$E$2715,"",))</f>
        <v>Maple Ridge</v>
      </c>
      <c r="AF674" s="55" t="str">
        <f>IF($AC674="","",_xlfn.XLOOKUP($AC674,'[2]Client Info'!$C$2:$C$2715,'[2]Client Info'!$F$2:$F$2715,"",0,1))</f>
        <v xml:space="preserve">BC </v>
      </c>
      <c r="AG674" s="55" t="s">
        <v>3496</v>
      </c>
      <c r="AH674" s="245" t="str">
        <f>_xlfn.XLOOKUP(Table26[[#This Row],[customerSKU]],customerSKU!G:G,customerSKU!K:K,"NA",0,1)</f>
        <v>NA</v>
      </c>
      <c r="AI674" s="43" t="str">
        <f>_xlfn.XLOOKUP(Table26[[#This Row],[customerSKU]],customerSKU!G:G,customerSKU!O:O,"not found",0,1)</f>
        <v>not found</v>
      </c>
      <c r="AJ674" s="53" t="e">
        <f>Table26[[#This Row],[unitprice]]*Table26[[#This Row],[quantity_unit]]</f>
        <v>#VALUE!</v>
      </c>
      <c r="AK674" s="53" t="e" cm="1">
        <f t="array" ref="AK6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5" spans="1:37" ht="18" customHeight="1">
      <c r="A675" s="42">
        <v>1590</v>
      </c>
      <c r="B675" s="249" t="s">
        <v>3520</v>
      </c>
      <c r="C675" s="90" t="s">
        <v>203</v>
      </c>
      <c r="D675" s="235"/>
      <c r="E675" s="235"/>
      <c r="F67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5" s="46"/>
      <c r="H675" s="90"/>
      <c r="I675" s="90" t="s">
        <v>3862</v>
      </c>
      <c r="J675" s="90" t="str">
        <f>IF(Table26[[#This Row],[customerSKU]]="","",_xlfn.XLOOKUP(Table26[[#This Row],[customerSKU]],customerSKU!G:G,customerSKU!A:A,"",0,1))</f>
        <v/>
      </c>
      <c r="K675" s="232">
        <v>45623</v>
      </c>
      <c r="L675" s="233" t="str">
        <f>IF(Table26[[#This Row],[customerSKU]]="","",_xlfn.XLOOKUP(Table26[[#This Row],[customerSKU]],customerSKU!G:G,customerSKU!B:B,"",0,1))</f>
        <v/>
      </c>
      <c r="M675" s="90"/>
      <c r="N675" s="55" t="str">
        <f>Table26[[#This Row],[po_number]]&amp;"-"&amp;Table26[[#This Row],[po_line]]</f>
        <v>-1</v>
      </c>
      <c r="O675" s="55">
        <v>1</v>
      </c>
      <c r="P675" s="234"/>
      <c r="Q675" s="90" t="s">
        <v>1134</v>
      </c>
      <c r="R675" s="90" t="s">
        <v>569</v>
      </c>
      <c r="S675" s="90" t="s">
        <v>114</v>
      </c>
      <c r="T675" s="20">
        <v>45588</v>
      </c>
      <c r="U675" s="236">
        <v>24</v>
      </c>
      <c r="V675" s="90" t="str">
        <f>IF(ISBLANK(Table26[[#This Row],[customerSKU]]),"",_xlfn.XLOOKUP(Table26[[#This Row],[customerSKU]],Table27[customer_SKU],Table27[case_size],"",0,1))</f>
        <v/>
      </c>
      <c r="W675" s="237" t="str">
        <f t="shared" si="27"/>
        <v/>
      </c>
      <c r="X675" s="90" t="str">
        <f t="shared" si="28"/>
        <v/>
      </c>
      <c r="Y675" s="90" t="str">
        <f>IF(Table26[[#This Row],[customerSKU]]="","",_xlfn.XLOOKUP(Table26[[#This Row],[customerSKU]],Table27[customer_SKU],Table27[product_GTIN],"",0,1))</f>
        <v/>
      </c>
      <c r="Z675" s="25" t="s">
        <v>3406</v>
      </c>
      <c r="AA675" s="18" t="str" cm="1">
        <f t="array" ref="AA675">IF(P675="", "", _xlfn.XLOOKUP(P675,#REF!,#REF!,NA,0,-1))</f>
        <v/>
      </c>
      <c r="AB675" s="90"/>
      <c r="AC675" s="55" t="s">
        <v>3978</v>
      </c>
      <c r="AD675" s="55" t="str">
        <f>IF($AC675="","",_xlfn.XLOOKUP($AC675,'[2]Client Info'!$C$2:$C$2535,'[2]Client Info'!$D$2:$D$2535,"",0,1))</f>
        <v>6416 Main Street</v>
      </c>
      <c r="AE675" s="55" t="str">
        <f>IF($AC675="","",_xlfn.XLOOKUP($AC675,'[2]Client Info'!$C$2:$C$2715,'[2]Client Info'!$E$2:$E$2715,"",))</f>
        <v>Vancouver</v>
      </c>
      <c r="AF675" s="55" t="str">
        <f>IF($AC675="","",_xlfn.XLOOKUP($AC675,'[2]Client Info'!$C$2:$C$2715,'[2]Client Info'!$F$2:$F$2715,"",0,1))</f>
        <v xml:space="preserve">BC </v>
      </c>
      <c r="AG675" s="55" t="s">
        <v>3978</v>
      </c>
      <c r="AH675" s="245" t="str">
        <f>_xlfn.XLOOKUP(Table26[[#This Row],[customerSKU]],customerSKU!G:G,customerSKU!K:K,"NA",0,1)</f>
        <v>NA</v>
      </c>
      <c r="AI675" s="43" t="str">
        <f>_xlfn.XLOOKUP(Table26[[#This Row],[customerSKU]],customerSKU!G:G,customerSKU!O:O,"not found",0,1)</f>
        <v>not found</v>
      </c>
      <c r="AJ675" s="53" t="e">
        <f>Table26[[#This Row],[unitprice]]*Table26[[#This Row],[quantity_unit]]</f>
        <v>#VALUE!</v>
      </c>
      <c r="AK675" s="53" t="e" cm="1">
        <f t="array" ref="AK6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6" spans="1:37" ht="18" customHeight="1">
      <c r="A676" s="42">
        <v>1591</v>
      </c>
      <c r="B676" s="249" t="s">
        <v>3520</v>
      </c>
      <c r="C676" s="90" t="s">
        <v>203</v>
      </c>
      <c r="D676" s="235"/>
      <c r="E676" s="235"/>
      <c r="F67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676" s="46"/>
      <c r="H676" s="90"/>
      <c r="I676" s="90" t="s">
        <v>3862</v>
      </c>
      <c r="J676" s="90" t="str">
        <f>IF(Table26[[#This Row],[customerSKU]]="","",_xlfn.XLOOKUP(Table26[[#This Row],[customerSKU]],customerSKU!G:G,customerSKU!A:A,"",0,1))</f>
        <v/>
      </c>
      <c r="K676" s="232">
        <v>45623</v>
      </c>
      <c r="L676" s="233" t="str">
        <f>IF(Table26[[#This Row],[customerSKU]]="","",_xlfn.XLOOKUP(Table26[[#This Row],[customerSKU]],customerSKU!G:G,customerSKU!B:B,"",0,1))</f>
        <v/>
      </c>
      <c r="M676" s="90"/>
      <c r="N676" s="55" t="str">
        <f>Table26[[#This Row],[po_number]]&amp;"-"&amp;Table26[[#This Row],[po_line]]</f>
        <v>-2</v>
      </c>
      <c r="O676" s="55">
        <v>2</v>
      </c>
      <c r="P676" s="234"/>
      <c r="Q676" s="90" t="s">
        <v>1862</v>
      </c>
      <c r="R676" s="90" t="s">
        <v>569</v>
      </c>
      <c r="S676" s="90" t="s">
        <v>114</v>
      </c>
      <c r="T676" s="20">
        <v>45594</v>
      </c>
      <c r="U676" s="236">
        <v>24</v>
      </c>
      <c r="V676" s="90" t="str">
        <f>IF(ISBLANK(Table26[[#This Row],[customerSKU]]),"",_xlfn.XLOOKUP(Table26[[#This Row],[customerSKU]],Table27[customer_SKU],Table27[case_size],"",0,1))</f>
        <v/>
      </c>
      <c r="W676" s="237" t="str">
        <f t="shared" si="27"/>
        <v/>
      </c>
      <c r="X676" s="90" t="str">
        <f t="shared" si="28"/>
        <v/>
      </c>
      <c r="Y676" s="90" t="str">
        <f>IF(Table26[[#This Row],[customerSKU]]="","",_xlfn.XLOOKUP(Table26[[#This Row],[customerSKU]],Table27[customer_SKU],Table27[product_GTIN],"",0,1))</f>
        <v/>
      </c>
      <c r="Z676" s="25" t="s">
        <v>3367</v>
      </c>
      <c r="AA676" s="18" t="str" cm="1">
        <f t="array" ref="AA676">IF(P676="", "", _xlfn.XLOOKUP(P676,#REF!,#REF!,NA,0,-1))</f>
        <v/>
      </c>
      <c r="AB676" s="90"/>
      <c r="AC676" s="55" t="s">
        <v>3978</v>
      </c>
      <c r="AD676" s="55" t="str">
        <f>IF($AC676="","",_xlfn.XLOOKUP($AC676,'[2]Client Info'!$C$2:$C$2535,'[2]Client Info'!$D$2:$D$2535,"",0,1))</f>
        <v>6416 Main Street</v>
      </c>
      <c r="AE676" s="55" t="str">
        <f>IF($AC676="","",_xlfn.XLOOKUP($AC676,'[2]Client Info'!$C$2:$C$2715,'[2]Client Info'!$E$2:$E$2715,"",))</f>
        <v>Vancouver</v>
      </c>
      <c r="AF676" s="55" t="str">
        <f>IF($AC676="","",_xlfn.XLOOKUP($AC676,'[2]Client Info'!$C$2:$C$2715,'[2]Client Info'!$F$2:$F$2715,"",0,1))</f>
        <v xml:space="preserve">BC </v>
      </c>
      <c r="AG676" s="55" t="s">
        <v>3978</v>
      </c>
      <c r="AH676" s="245" t="str">
        <f>_xlfn.XLOOKUP(Table26[[#This Row],[customerSKU]],customerSKU!G:G,customerSKU!K:K,"NA",0,1)</f>
        <v>NA</v>
      </c>
      <c r="AI676" s="43" t="str">
        <f>_xlfn.XLOOKUP(Table26[[#This Row],[customerSKU]],customerSKU!G:G,customerSKU!O:O,"not found",0,1)</f>
        <v>not found</v>
      </c>
      <c r="AJ676" s="53" t="e">
        <f>Table26[[#This Row],[unitprice]]*Table26[[#This Row],[quantity_unit]]</f>
        <v>#VALUE!</v>
      </c>
      <c r="AK676" s="53" t="e" cm="1">
        <f t="array" ref="AK6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7" spans="1:37" ht="18" customHeight="1">
      <c r="A677" s="42">
        <v>1592</v>
      </c>
      <c r="B677" s="58" t="s">
        <v>3520</v>
      </c>
      <c r="C677" s="53" t="s">
        <v>203</v>
      </c>
      <c r="E677" s="20"/>
      <c r="F677" s="53"/>
      <c r="G677" s="46"/>
      <c r="J677" s="53" t="s">
        <v>4085</v>
      </c>
      <c r="K677" s="19">
        <v>45623</v>
      </c>
      <c r="L677" s="31" t="s">
        <v>3417</v>
      </c>
      <c r="M677" s="22"/>
      <c r="N677" s="15" t="str">
        <f>Table26[[#This Row],[po_number]]&amp;"-"&amp;Table26[[#This Row],[po_line]]</f>
        <v>-1</v>
      </c>
      <c r="O677" s="15">
        <v>1</v>
      </c>
      <c r="P677" s="29"/>
      <c r="Q677" s="22" t="s">
        <v>971</v>
      </c>
      <c r="R677" s="22" t="s">
        <v>3419</v>
      </c>
      <c r="S677" s="22" t="s">
        <v>3420</v>
      </c>
      <c r="T677" s="20">
        <v>45467</v>
      </c>
      <c r="U677" s="94">
        <v>1</v>
      </c>
      <c r="W677" s="117" t="str">
        <f t="shared" si="27"/>
        <v/>
      </c>
      <c r="X677" s="22"/>
      <c r="Y677" s="25"/>
      <c r="Z677" s="90"/>
      <c r="AA677" s="18" t="str" cm="1">
        <f t="array" ref="AA677">IF(P677="", "", _xlfn.XLOOKUP(P677,#REF!,#REF!,NA,0,-1))</f>
        <v/>
      </c>
      <c r="AB677" s="53"/>
      <c r="AC677" s="55" t="s">
        <v>3798</v>
      </c>
      <c r="AD677" s="55" t="str">
        <f>IF($AC677="","",_xlfn.XLOOKUP($AC677,'[2]Client Info'!$C$2:$C$2535,'[2]Client Info'!$D$2:$D$2535,"",0,1))</f>
        <v/>
      </c>
      <c r="AE677" s="55" t="str">
        <f>IF($AC677="","",_xlfn.XLOOKUP($AC677,'[2]Client Info'!$C$2:$C$2715,'[2]Client Info'!$E$2:$E$2715,"",))</f>
        <v/>
      </c>
      <c r="AF677" s="55" t="str">
        <f>IF($AC677="","",_xlfn.XLOOKUP($AC677,'[2]Client Info'!$C$2:$C$2715,'[2]Client Info'!$F$2:$F$2715,"",0,1))</f>
        <v/>
      </c>
      <c r="AG677" s="55" t="str">
        <f>IF(ISBLANK(Table26[[#This Row],[customerSKU]]),"",_xlfn.XLOOKUP(Table26[[#This Row],[customerSKU]],Table27[customer_SKU],Table27[billto],"",0,1))</f>
        <v/>
      </c>
      <c r="AH677" s="62" t="str">
        <f>_xlfn.XLOOKUP(Table26[[#This Row],[customerSKU]],customerSKU!G:G,customerSKU!K:K,"NA",0,1)</f>
        <v>NA</v>
      </c>
      <c r="AI677" s="43" t="str">
        <f>_xlfn.XLOOKUP(Table26[[#This Row],[customerSKU]],customerSKU!G:G,customerSKU!O:O,"not found",0,1)</f>
        <v>not found</v>
      </c>
      <c r="AJ677" s="53" t="e">
        <f>Table26[[#This Row],[unitprice]]*Table26[[#This Row],[quantity_unit]]</f>
        <v>#VALUE!</v>
      </c>
      <c r="AK677" s="53" t="e" cm="1">
        <f t="array" ref="AK6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8" spans="1:37" ht="18" customHeight="1">
      <c r="A678" s="42">
        <v>1593</v>
      </c>
      <c r="B678" s="58" t="s">
        <v>3520</v>
      </c>
      <c r="C678" s="53" t="s">
        <v>203</v>
      </c>
      <c r="E678" s="20"/>
      <c r="F678" s="53"/>
      <c r="G678" s="46"/>
      <c r="J678" s="53" t="s">
        <v>4085</v>
      </c>
      <c r="K678" s="19">
        <v>45623</v>
      </c>
      <c r="L678" s="31" t="s">
        <v>3417</v>
      </c>
      <c r="M678" s="22"/>
      <c r="N678" s="15" t="str">
        <f>Table26[[#This Row],[po_number]]&amp;"-"&amp;Table26[[#This Row],[po_line]]</f>
        <v>-2</v>
      </c>
      <c r="O678" s="15">
        <v>2</v>
      </c>
      <c r="P678" s="50"/>
      <c r="Q678" s="22" t="s">
        <v>1134</v>
      </c>
      <c r="R678" s="22" t="s">
        <v>3419</v>
      </c>
      <c r="S678" s="22" t="s">
        <v>3420</v>
      </c>
      <c r="T678" s="51">
        <v>45588</v>
      </c>
      <c r="U678" s="94">
        <v>4</v>
      </c>
      <c r="W678" s="117" t="str">
        <f t="shared" si="27"/>
        <v/>
      </c>
      <c r="X678" s="22"/>
      <c r="Y678" s="25"/>
      <c r="Z678" s="90"/>
      <c r="AA678" s="18" t="str" cm="1">
        <f t="array" ref="AA678">IF(P678="", "", _xlfn.XLOOKUP(P678,#REF!,#REF!,NA,0,-1))</f>
        <v/>
      </c>
      <c r="AB678" s="53"/>
      <c r="AC678" s="55" t="s">
        <v>3798</v>
      </c>
      <c r="AD678" s="55" t="str">
        <f>IF($AC678="","",_xlfn.XLOOKUP($AC678,'[2]Client Info'!$C$2:$C$2535,'[2]Client Info'!$D$2:$D$2535,"",0,1))</f>
        <v/>
      </c>
      <c r="AE678" s="55" t="str">
        <f>IF($AC678="","",_xlfn.XLOOKUP($AC678,'[2]Client Info'!$C$2:$C$2715,'[2]Client Info'!$E$2:$E$2715,"",))</f>
        <v/>
      </c>
      <c r="AF678" s="55" t="str">
        <f>IF($AC678="","",_xlfn.XLOOKUP($AC678,'[2]Client Info'!$C$2:$C$2715,'[2]Client Info'!$F$2:$F$2715,"",0,1))</f>
        <v/>
      </c>
      <c r="AG678" s="55" t="str">
        <f>IF(ISBLANK(Table26[[#This Row],[customerSKU]]),"",_xlfn.XLOOKUP(Table26[[#This Row],[customerSKU]],Table27[customer_SKU],Table27[billto],"",0,1))</f>
        <v/>
      </c>
      <c r="AH678" s="62" t="str">
        <f>_xlfn.XLOOKUP(Table26[[#This Row],[customerSKU]],customerSKU!G:G,customerSKU!K:K,"NA",0,1)</f>
        <v>NA</v>
      </c>
      <c r="AI678" s="43" t="str">
        <f>_xlfn.XLOOKUP(Table26[[#This Row],[customerSKU]],customerSKU!G:G,customerSKU!O:O,"not found",0,1)</f>
        <v>not found</v>
      </c>
      <c r="AJ678" s="53" t="e">
        <f>Table26[[#This Row],[unitprice]]*Table26[[#This Row],[quantity_unit]]</f>
        <v>#VALUE!</v>
      </c>
      <c r="AK678" s="53" t="e" cm="1">
        <f t="array" ref="AK6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79" spans="1:37" ht="18" customHeight="1">
      <c r="A679" s="42">
        <v>1594</v>
      </c>
      <c r="B679" s="58" t="s">
        <v>3520</v>
      </c>
      <c r="C679" s="53" t="s">
        <v>203</v>
      </c>
      <c r="E679" s="20"/>
      <c r="F679" s="53"/>
      <c r="G679" s="46"/>
      <c r="J679" s="53" t="s">
        <v>4085</v>
      </c>
      <c r="K679" s="19">
        <v>45623</v>
      </c>
      <c r="L679" s="31" t="s">
        <v>3417</v>
      </c>
      <c r="M679" s="22"/>
      <c r="N679" s="15" t="str">
        <f>Table26[[#This Row],[po_number]]&amp;"-"&amp;Table26[[#This Row],[po_line]]</f>
        <v>-3</v>
      </c>
      <c r="O679" s="15">
        <v>3</v>
      </c>
      <c r="P679" s="29"/>
      <c r="Q679" s="22" t="s">
        <v>1862</v>
      </c>
      <c r="R679" s="22" t="s">
        <v>3419</v>
      </c>
      <c r="S679" s="22" t="s">
        <v>3420</v>
      </c>
      <c r="T679" s="20">
        <v>45594</v>
      </c>
      <c r="U679" s="94">
        <v>2</v>
      </c>
      <c r="W679" s="117" t="str">
        <f t="shared" si="27"/>
        <v/>
      </c>
      <c r="X679" s="22"/>
      <c r="Y679" s="25"/>
      <c r="Z679" s="90"/>
      <c r="AA679" s="18" t="str" cm="1">
        <f t="array" ref="AA679">IF(P679="", "", _xlfn.XLOOKUP(P679,#REF!,#REF!,NA,0,-1))</f>
        <v/>
      </c>
      <c r="AB679" s="53"/>
      <c r="AC679" s="55" t="s">
        <v>3798</v>
      </c>
      <c r="AD679" s="55" t="str">
        <f>IF($AC679="","",_xlfn.XLOOKUP($AC679,'[2]Client Info'!$C$2:$C$2535,'[2]Client Info'!$D$2:$D$2535,"",0,1))</f>
        <v/>
      </c>
      <c r="AE679" s="55" t="str">
        <f>IF($AC679="","",_xlfn.XLOOKUP($AC679,'[2]Client Info'!$C$2:$C$2715,'[2]Client Info'!$E$2:$E$2715,"",))</f>
        <v/>
      </c>
      <c r="AF679" s="55" t="str">
        <f>IF($AC679="","",_xlfn.XLOOKUP($AC679,'[2]Client Info'!$C$2:$C$2715,'[2]Client Info'!$F$2:$F$2715,"",0,1))</f>
        <v/>
      </c>
      <c r="AG679" s="55" t="str">
        <f>IF(ISBLANK(Table26[[#This Row],[customerSKU]]),"",_xlfn.XLOOKUP(Table26[[#This Row],[customerSKU]],Table27[customer_SKU],Table27[billto],"",0,1))</f>
        <v/>
      </c>
      <c r="AH679" s="62" t="str">
        <f>_xlfn.XLOOKUP(Table26[[#This Row],[customerSKU]],customerSKU!G:G,customerSKU!K:K,"NA",0,1)</f>
        <v>NA</v>
      </c>
      <c r="AI679" s="43" t="str">
        <f>_xlfn.XLOOKUP(Table26[[#This Row],[customerSKU]],customerSKU!G:G,customerSKU!O:O,"not found",0,1)</f>
        <v>not found</v>
      </c>
      <c r="AJ679" s="53" t="e">
        <f>Table26[[#This Row],[unitprice]]*Table26[[#This Row],[quantity_unit]]</f>
        <v>#VALUE!</v>
      </c>
      <c r="AK679" s="53" t="e" cm="1">
        <f t="array" ref="AK6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0" spans="1:37" ht="18" customHeight="1">
      <c r="A680" s="42">
        <v>1595</v>
      </c>
      <c r="B680" s="58" t="s">
        <v>3520</v>
      </c>
      <c r="C680" s="53" t="s">
        <v>203</v>
      </c>
      <c r="E680" s="20"/>
      <c r="F680" s="53"/>
      <c r="G680" s="46"/>
      <c r="J680" s="53" t="s">
        <v>4085</v>
      </c>
      <c r="K680" s="19">
        <v>45623</v>
      </c>
      <c r="L680" s="31" t="s">
        <v>3417</v>
      </c>
      <c r="M680" s="22"/>
      <c r="N680" s="15" t="str">
        <f>Table26[[#This Row],[po_number]]&amp;"-"&amp;Table26[[#This Row],[po_line]]</f>
        <v>-4</v>
      </c>
      <c r="O680" s="15">
        <v>4</v>
      </c>
      <c r="P680" s="29"/>
      <c r="Q680" s="22" t="s">
        <v>2096</v>
      </c>
      <c r="R680" s="22" t="s">
        <v>3419</v>
      </c>
      <c r="S680" s="22" t="s">
        <v>3420</v>
      </c>
      <c r="T680" s="20">
        <v>45569</v>
      </c>
      <c r="U680" s="94">
        <v>2</v>
      </c>
      <c r="W680" s="117" t="str">
        <f t="shared" si="27"/>
        <v/>
      </c>
      <c r="X680" s="22"/>
      <c r="Y680" s="25"/>
      <c r="Z680" s="90"/>
      <c r="AA680" s="18" t="str" cm="1">
        <f t="array" ref="AA680">IF(P680="", "", _xlfn.XLOOKUP(P680,#REF!,#REF!,NA,0,-1))</f>
        <v/>
      </c>
      <c r="AB680" s="53"/>
      <c r="AC680" s="55" t="s">
        <v>3798</v>
      </c>
      <c r="AD680" s="55" t="str">
        <f>IF($AC680="","",_xlfn.XLOOKUP($AC680,'[2]Client Info'!$C$2:$C$2535,'[2]Client Info'!$D$2:$D$2535,"",0,1))</f>
        <v/>
      </c>
      <c r="AE680" s="55" t="str">
        <f>IF($AC680="","",_xlfn.XLOOKUP($AC680,'[2]Client Info'!$C$2:$C$2715,'[2]Client Info'!$E$2:$E$2715,"",))</f>
        <v/>
      </c>
      <c r="AF680" s="55" t="str">
        <f>IF($AC680="","",_xlfn.XLOOKUP($AC680,'[2]Client Info'!$C$2:$C$2715,'[2]Client Info'!$F$2:$F$2715,"",0,1))</f>
        <v/>
      </c>
      <c r="AG680" s="55" t="str">
        <f>IF(ISBLANK(Table26[[#This Row],[customerSKU]]),"",_xlfn.XLOOKUP(Table26[[#This Row],[customerSKU]],Table27[customer_SKU],Table27[billto],"",0,1))</f>
        <v/>
      </c>
      <c r="AH680" s="62" t="str">
        <f>_xlfn.XLOOKUP(Table26[[#This Row],[customerSKU]],customerSKU!G:G,customerSKU!K:K,"NA",0,1)</f>
        <v>NA</v>
      </c>
      <c r="AI680" s="43" t="str">
        <f>_xlfn.XLOOKUP(Table26[[#This Row],[customerSKU]],customerSKU!G:G,customerSKU!O:O,"not found",0,1)</f>
        <v>not found</v>
      </c>
      <c r="AJ680" s="53" t="e">
        <f>Table26[[#This Row],[unitprice]]*Table26[[#This Row],[quantity_unit]]</f>
        <v>#VALUE!</v>
      </c>
      <c r="AK680" s="53" t="e" cm="1">
        <f t="array" ref="AK6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1" spans="1:37" ht="18" customHeight="1">
      <c r="A681" s="42">
        <v>1596</v>
      </c>
      <c r="B681" s="58" t="s">
        <v>3520</v>
      </c>
      <c r="C681" s="53" t="s">
        <v>203</v>
      </c>
      <c r="E681" s="20"/>
      <c r="F681" s="53"/>
      <c r="G681" s="46"/>
      <c r="J681" s="53" t="s">
        <v>4085</v>
      </c>
      <c r="K681" s="19">
        <v>45623</v>
      </c>
      <c r="L681" s="31" t="s">
        <v>3417</v>
      </c>
      <c r="M681" s="22"/>
      <c r="N681" s="15" t="str">
        <f>Table26[[#This Row],[po_number]]&amp;"-"&amp;Table26[[#This Row],[po_line]]</f>
        <v>-5</v>
      </c>
      <c r="O681" s="15">
        <v>5</v>
      </c>
      <c r="P681" s="29"/>
      <c r="Q681" s="22" t="s">
        <v>1375</v>
      </c>
      <c r="R681" s="22" t="s">
        <v>3419</v>
      </c>
      <c r="S681" s="22" t="s">
        <v>3420</v>
      </c>
      <c r="T681" s="20">
        <v>45594</v>
      </c>
      <c r="U681" s="94">
        <v>3</v>
      </c>
      <c r="W681" s="117" t="str">
        <f t="shared" si="27"/>
        <v/>
      </c>
      <c r="X681" s="22"/>
      <c r="Y681" s="25"/>
      <c r="Z681" s="90"/>
      <c r="AA681" s="18" t="str" cm="1">
        <f t="array" ref="AA681">IF(P681="", "", _xlfn.XLOOKUP(P681,#REF!,#REF!,NA,0,-1))</f>
        <v/>
      </c>
      <c r="AB681" s="53"/>
      <c r="AC681" s="55" t="s">
        <v>3798</v>
      </c>
      <c r="AD681" s="55" t="str">
        <f>IF($AC681="","",_xlfn.XLOOKUP($AC681,'[2]Client Info'!$C$2:$C$2535,'[2]Client Info'!$D$2:$D$2535,"",0,1))</f>
        <v/>
      </c>
      <c r="AE681" s="55" t="str">
        <f>IF($AC681="","",_xlfn.XLOOKUP($AC681,'[2]Client Info'!$C$2:$C$2715,'[2]Client Info'!$E$2:$E$2715,"",))</f>
        <v/>
      </c>
      <c r="AF681" s="55" t="str">
        <f>IF($AC681="","",_xlfn.XLOOKUP($AC681,'[2]Client Info'!$C$2:$C$2715,'[2]Client Info'!$F$2:$F$2715,"",0,1))</f>
        <v/>
      </c>
      <c r="AG681" s="55" t="str">
        <f>IF(ISBLANK(Table26[[#This Row],[customerSKU]]),"",_xlfn.XLOOKUP(Table26[[#This Row],[customerSKU]],Table27[customer_SKU],Table27[billto],"",0,1))</f>
        <v/>
      </c>
      <c r="AH681" s="62" t="str">
        <f>_xlfn.XLOOKUP(Table26[[#This Row],[customerSKU]],customerSKU!G:G,customerSKU!K:K,"NA",0,1)</f>
        <v>NA</v>
      </c>
      <c r="AI681" s="43" t="str">
        <f>_xlfn.XLOOKUP(Table26[[#This Row],[customerSKU]],customerSKU!G:G,customerSKU!O:O,"not found",0,1)</f>
        <v>not found</v>
      </c>
      <c r="AJ681" s="53" t="e">
        <f>Table26[[#This Row],[unitprice]]*Table26[[#This Row],[quantity_unit]]</f>
        <v>#VALUE!</v>
      </c>
      <c r="AK681" s="53" t="e" cm="1">
        <f t="array" ref="AK6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2" spans="1:37" ht="18" customHeight="1">
      <c r="A682" s="42">
        <v>1597</v>
      </c>
      <c r="B682" s="58" t="s">
        <v>3520</v>
      </c>
      <c r="C682" s="53" t="s">
        <v>203</v>
      </c>
      <c r="E682" s="20"/>
      <c r="F682" s="53"/>
      <c r="G682" s="46"/>
      <c r="J682" s="53" t="s">
        <v>4085</v>
      </c>
      <c r="K682" s="19">
        <v>45623</v>
      </c>
      <c r="L682" s="31" t="s">
        <v>3417</v>
      </c>
      <c r="M682" s="22"/>
      <c r="N682" s="15" t="str">
        <f>Table26[[#This Row],[po_number]]&amp;"-"&amp;Table26[[#This Row],[po_line]]</f>
        <v>-6</v>
      </c>
      <c r="O682" s="15">
        <v>6</v>
      </c>
      <c r="P682" s="29"/>
      <c r="Q682" s="22" t="s">
        <v>622</v>
      </c>
      <c r="R682" s="22" t="s">
        <v>3419</v>
      </c>
      <c r="S682" s="22" t="s">
        <v>3420</v>
      </c>
      <c r="T682" s="20">
        <v>45603</v>
      </c>
      <c r="U682" s="94">
        <v>2</v>
      </c>
      <c r="W682" s="117" t="str">
        <f t="shared" si="27"/>
        <v/>
      </c>
      <c r="X682" s="22"/>
      <c r="Y682" s="25"/>
      <c r="Z682" s="90"/>
      <c r="AA682" s="18" t="str" cm="1">
        <f t="array" ref="AA682">IF(P682="", "", _xlfn.XLOOKUP(P682,#REF!,#REF!,NA,0,-1))</f>
        <v/>
      </c>
      <c r="AB682" s="53"/>
      <c r="AC682" s="55" t="s">
        <v>3798</v>
      </c>
      <c r="AD682" s="55" t="str">
        <f>IF($AC682="","",_xlfn.XLOOKUP($AC682,'[2]Client Info'!$C$2:$C$2535,'[2]Client Info'!$D$2:$D$2535,"",0,1))</f>
        <v/>
      </c>
      <c r="AE682" s="55" t="str">
        <f>IF($AC682="","",_xlfn.XLOOKUP($AC682,'[2]Client Info'!$C$2:$C$2715,'[2]Client Info'!$E$2:$E$2715,"",))</f>
        <v/>
      </c>
      <c r="AF682" s="55" t="str">
        <f>IF($AC682="","",_xlfn.XLOOKUP($AC682,'[2]Client Info'!$C$2:$C$2715,'[2]Client Info'!$F$2:$F$2715,"",0,1))</f>
        <v/>
      </c>
      <c r="AG682" s="55" t="str">
        <f>IF(ISBLANK(Table26[[#This Row],[customerSKU]]),"",_xlfn.XLOOKUP(Table26[[#This Row],[customerSKU]],Table27[customer_SKU],Table27[billto],"",0,1))</f>
        <v/>
      </c>
      <c r="AH682" s="62" t="str">
        <f>_xlfn.XLOOKUP(Table26[[#This Row],[customerSKU]],customerSKU!G:G,customerSKU!K:K,"NA",0,1)</f>
        <v>NA</v>
      </c>
      <c r="AI682" s="43" t="str">
        <f>_xlfn.XLOOKUP(Table26[[#This Row],[customerSKU]],customerSKU!G:G,customerSKU!O:O,"not found",0,1)</f>
        <v>not found</v>
      </c>
      <c r="AJ682" s="53" t="e">
        <f>Table26[[#This Row],[unitprice]]*Table26[[#This Row],[quantity_unit]]</f>
        <v>#VALUE!</v>
      </c>
      <c r="AK682" s="53" t="e" cm="1">
        <f t="array" ref="AK6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3" spans="1:37" ht="24.6" customHeight="1">
      <c r="A683" s="42">
        <v>1564</v>
      </c>
      <c r="B683" s="58" t="s">
        <v>3520</v>
      </c>
      <c r="C683" s="53" t="s">
        <v>203</v>
      </c>
      <c r="D683" s="51"/>
      <c r="E683" s="51"/>
      <c r="F683" s="53"/>
      <c r="G683" s="46"/>
      <c r="H683" s="53"/>
      <c r="I683" s="53" t="s">
        <v>3862</v>
      </c>
      <c r="J683" s="53" t="s">
        <v>497</v>
      </c>
      <c r="K683" s="48">
        <v>45624</v>
      </c>
      <c r="L683" s="49" t="s">
        <v>201</v>
      </c>
      <c r="M683" s="53"/>
      <c r="N683" s="77" t="str">
        <f>Table26[[#This Row],[po_number]]&amp;"-"&amp;Table26[[#This Row],[po_line]]</f>
        <v>-1</v>
      </c>
      <c r="O683" s="77">
        <v>1</v>
      </c>
      <c r="P683" s="50"/>
      <c r="Q683" s="53" t="s">
        <v>3362</v>
      </c>
      <c r="R683" s="53" t="s">
        <v>532</v>
      </c>
      <c r="S683" s="53" t="str">
        <f>IF(Table26[[#This Row],[customerSKU]]="","",_xlfn.XLOOKUP(Table26[[#This Row],[customerSKU]],customerSKU!G:G,customerSKU!N:N,"NOT FOUND",0,1))</f>
        <v>NOT FOUND</v>
      </c>
      <c r="T683" s="51">
        <v>45624</v>
      </c>
      <c r="U683" s="52">
        <v>84</v>
      </c>
      <c r="V683" s="53" t="str">
        <f>IF(ISBLANK(Table26[[#This Row],[customerSKU]]),"",_xlfn.XLOOKUP(Table26[[#This Row],[customerSKU]],Table27[customer_SKU],Table27[case_size],"",0,1))</f>
        <v/>
      </c>
      <c r="W683" s="116" t="str">
        <f t="shared" si="27"/>
        <v/>
      </c>
      <c r="X683" s="53" t="str">
        <f t="shared" ref="X683:X714" si="29">IFERROR($AA683*$U683, "")</f>
        <v/>
      </c>
      <c r="Y683" s="53" t="str">
        <f>IF(Table26[[#This Row],[customerSKU]]="","",_xlfn.XLOOKUP(Table26[[#This Row],[customerSKU]],Table27[customer_SKU],Table27[product_GTIN],"",0,1))</f>
        <v/>
      </c>
      <c r="Z683" s="25" t="s">
        <v>3363</v>
      </c>
      <c r="AA683" s="18" t="str" cm="1">
        <f t="array" ref="AA683">IF(P683="", "", _xlfn.XLOOKUP(P683,#REF!,#REF!,NA,0,-1))</f>
        <v/>
      </c>
      <c r="AB683" s="53"/>
      <c r="AC683" s="55" t="s">
        <v>3819</v>
      </c>
      <c r="AD683" s="55" t="str">
        <f>IF($AC683="","",_xlfn.XLOOKUP($AC683,'[2]Client Info'!$C$2:$C$2535,'[2]Client Info'!$D$2:$D$2535,"",0,1))</f>
        <v>20 GRANITE RIDGE RD</v>
      </c>
      <c r="AE683" s="55" t="str">
        <f>IF($AC683="","",_xlfn.XLOOKUP($AC683,'[2]Client Info'!$C$2:$C$2715,'[2]Client Info'!$E$2:$E$2715,"",))</f>
        <v>CONCORD</v>
      </c>
      <c r="AF683" s="55" t="str">
        <f>IF($AC683="","",_xlfn.XLOOKUP($AC683,'[2]Client Info'!$C$2:$C$2715,'[2]Client Info'!$F$2:$F$2715,"",0,1))</f>
        <v>ON</v>
      </c>
      <c r="AG683" s="55" t="s">
        <v>3770</v>
      </c>
      <c r="AH683" s="62" t="s">
        <v>220</v>
      </c>
      <c r="AI683" s="43" t="str">
        <f>_xlfn.XLOOKUP(Table26[[#This Row],[customerSKU]],customerSKU!G:G,customerSKU!O:O,"not found",0,1)</f>
        <v>not found</v>
      </c>
      <c r="AJ683" s="59" t="e">
        <f>Table26[[#This Row],[unitprice]]*Table26[[#This Row],[quantity_unit]]</f>
        <v>#VALUE!</v>
      </c>
      <c r="AK683" s="59" t="e" cm="1">
        <f t="array" ref="AK6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4" spans="1:37" ht="18" customHeight="1">
      <c r="A684" s="42">
        <v>1565</v>
      </c>
      <c r="B684" s="58" t="s">
        <v>3520</v>
      </c>
      <c r="C684" s="53" t="s">
        <v>3539</v>
      </c>
      <c r="D684" s="51">
        <v>45631</v>
      </c>
      <c r="E684" s="51" t="s">
        <v>3930</v>
      </c>
      <c r="F684" s="53">
        <v>55902</v>
      </c>
      <c r="G684" s="46"/>
      <c r="H684" s="53"/>
      <c r="I684" s="53" t="s">
        <v>3862</v>
      </c>
      <c r="J684" s="53" t="s">
        <v>497</v>
      </c>
      <c r="K684" s="48">
        <v>45624</v>
      </c>
      <c r="L684" s="49" t="str">
        <f>IF(Table26[[#This Row],[customerSKU]]="","",_xlfn.XLOOKUP(Table26[[#This Row],[customerSKU]],customerSKU!G:G,customerSKU!B:B,"",0,1))</f>
        <v/>
      </c>
      <c r="M684" s="114"/>
      <c r="N684" s="364" t="str">
        <f>Table26[[#This Row],[po_number]]&amp;"-"&amp;Table26[[#This Row],[po_line]]</f>
        <v>-1</v>
      </c>
      <c r="O684" s="364">
        <v>1</v>
      </c>
      <c r="P684" s="115"/>
      <c r="Q684" s="53" t="s">
        <v>3362</v>
      </c>
      <c r="R684" s="53" t="s">
        <v>532</v>
      </c>
      <c r="S684" s="53" t="str">
        <f>IF(Table26[[#This Row],[customerSKU]]="","",_xlfn.XLOOKUP(Table26[[#This Row],[customerSKU]],customerSKU!G:G,customerSKU!N:N,"NOT FOUND",0,1))</f>
        <v>NOT FOUND</v>
      </c>
      <c r="T684" s="51">
        <v>45624</v>
      </c>
      <c r="U684" s="52">
        <v>84</v>
      </c>
      <c r="V684" s="53" t="str">
        <f>IF(ISBLANK(Table26[[#This Row],[customerSKU]]),"",_xlfn.XLOOKUP(Table26[[#This Row],[customerSKU]],Table27[customer_SKU],Table27[case_size],"",0,1))</f>
        <v/>
      </c>
      <c r="W684" s="116" t="str">
        <f t="shared" si="27"/>
        <v/>
      </c>
      <c r="X684" s="53" t="str">
        <f t="shared" si="29"/>
        <v/>
      </c>
      <c r="Y684" s="53" t="str">
        <f>IF(Table26[[#This Row],[customerSKU]]="","",_xlfn.XLOOKUP(Table26[[#This Row],[customerSKU]],Table27[customer_SKU],Table27[product_GTIN],"",0,1))</f>
        <v/>
      </c>
      <c r="Z684" s="25" t="s">
        <v>3363</v>
      </c>
      <c r="AA684" s="18" t="str" cm="1">
        <f t="array" ref="AA684">IF(P684="", "", _xlfn.XLOOKUP(P684,#REF!,#REF!,NA,0,-1))</f>
        <v/>
      </c>
      <c r="AB684" s="53"/>
      <c r="AC684" s="55" t="str">
        <f>IF(Table26[[#This Row],[customerSKU]]="","",_xlfn.XLOOKUP(Table26[[#This Row],[customerSKU]],customerSKU!G:G,customerSKU!C:C,"",0,1))</f>
        <v/>
      </c>
      <c r="AD684" s="55" t="str">
        <f>IF($AC684="","",_xlfn.XLOOKUP($AC684,'Client Info'!$C$2:$C$2497,'Client Info'!$D$2:$D$2497,"",0,1))</f>
        <v/>
      </c>
      <c r="AE684" s="55" t="str">
        <f>IF($AC684="","",_xlfn.XLOOKUP($AC684,'Client Info'!$C$2:$C$2677,'Client Info'!$E$2:$E$2677,"",))</f>
        <v/>
      </c>
      <c r="AF684" s="55" t="str">
        <f>IF($AC684="","",_xlfn.XLOOKUP($AC684,'Client Info'!$C$2:$C$2677,'Client Info'!$F$2:$F$2677,"",0,1))</f>
        <v/>
      </c>
      <c r="AG684" s="55" t="str">
        <f>IF(ISBLANK(Table26[[#This Row],[customerSKU]]),"",_xlfn.XLOOKUP(Table26[[#This Row],[customerSKU]],Table27[customer_SKU],Table27[billto],"",0,1))</f>
        <v/>
      </c>
      <c r="AH684" s="62" t="str">
        <f>_xlfn.XLOOKUP(Table26[[#This Row],[customerSKU]],customerSKU!G:G,customerSKU!K:K,"NA",0,1)</f>
        <v>NA</v>
      </c>
      <c r="AI684" s="43" t="str">
        <f>_xlfn.XLOOKUP(Table26[[#This Row],[customerSKU]],customerSKU!G:G,customerSKU!O:O,"not found",0,1)</f>
        <v>not found</v>
      </c>
      <c r="AJ684" s="59" t="e">
        <f>Table26[[#This Row],[unitprice]]*Table26[[#This Row],[quantity_unit]]</f>
        <v>#VALUE!</v>
      </c>
      <c r="AK684" s="59" t="e" cm="1">
        <f t="array" ref="AK6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5" spans="1:37" ht="18" customHeight="1">
      <c r="A685" s="42">
        <v>1566</v>
      </c>
      <c r="B685" s="249" t="s">
        <v>3520</v>
      </c>
      <c r="C685" s="90" t="s">
        <v>203</v>
      </c>
      <c r="D685" s="235"/>
      <c r="E685" s="235"/>
      <c r="F685" s="90">
        <v>335092630441</v>
      </c>
      <c r="G685" s="46"/>
      <c r="H685" s="90"/>
      <c r="I685" s="90" t="s">
        <v>3862</v>
      </c>
      <c r="J685" s="90" t="str">
        <f>IF(Table26[[#This Row],[customerSKU]]="","",_xlfn.XLOOKUP(Table26[[#This Row],[customerSKU]],customerSKU!G:G,customerSKU!A:A,"",0,1))</f>
        <v/>
      </c>
      <c r="K685" s="232">
        <v>45624</v>
      </c>
      <c r="L685" s="233" t="str">
        <f>IF(Table26[[#This Row],[customerSKU]]="","",_xlfn.XLOOKUP(Table26[[#This Row],[customerSKU]],customerSKU!G:G,customerSKU!B:B,"",0,1))</f>
        <v/>
      </c>
      <c r="M685" s="90"/>
      <c r="N685" s="55" t="str">
        <f>Table26[[#This Row],[po_number]]&amp;"-"&amp;Table26[[#This Row],[po_line]]</f>
        <v>-1</v>
      </c>
      <c r="O685" s="55">
        <v>1</v>
      </c>
      <c r="P685" s="234"/>
      <c r="Q685" s="90" t="s">
        <v>1306</v>
      </c>
      <c r="R685" s="90" t="s">
        <v>569</v>
      </c>
      <c r="S685" s="90" t="s">
        <v>114</v>
      </c>
      <c r="T685" s="20">
        <v>45576</v>
      </c>
      <c r="U685" s="255">
        <v>36</v>
      </c>
      <c r="V685" s="90" t="str">
        <f>IF(ISBLANK(Table26[[#This Row],[customerSKU]]),"",_xlfn.XLOOKUP(Table26[[#This Row],[customerSKU]],Table27[customer_SKU],Table27[case_size],"",0,1))</f>
        <v/>
      </c>
      <c r="W685" s="237" t="str">
        <f t="shared" si="27"/>
        <v/>
      </c>
      <c r="X685" s="90" t="str">
        <f t="shared" si="29"/>
        <v/>
      </c>
      <c r="Y685" s="90" t="str">
        <f>IF(Table26[[#This Row],[customerSKU]]="","",_xlfn.XLOOKUP(Table26[[#This Row],[customerSKU]],Table27[customer_SKU],Table27[product_GTIN],"",0,1))</f>
        <v/>
      </c>
      <c r="Z685" s="25" t="s">
        <v>3374</v>
      </c>
      <c r="AA685" s="18" t="str" cm="1">
        <f t="array" ref="AA685">IF(P685="", "", _xlfn.XLOOKUP(P685,#REF!,#REF!,NA,0,-1))</f>
        <v/>
      </c>
      <c r="AB685" s="90"/>
      <c r="AC685" s="55" t="s">
        <v>3496</v>
      </c>
      <c r="AD685" s="55" t="str">
        <f>IF($AC685="","",_xlfn.XLOOKUP($AC685,'[2]Client Info'!$C$2:$C$2535,'[2]Client Info'!$D$2:$D$2535,"",0,1))</f>
        <v>11939 240th Street</v>
      </c>
      <c r="AE685" s="55" t="str">
        <f>IF($AC685="","",_xlfn.XLOOKUP($AC685,'[2]Client Info'!$C$2:$C$2715,'[2]Client Info'!$E$2:$E$2715,"",))</f>
        <v>Maple Ridge</v>
      </c>
      <c r="AF685" s="55" t="str">
        <f>IF($AC685="","",_xlfn.XLOOKUP($AC685,'[2]Client Info'!$C$2:$C$2715,'[2]Client Info'!$F$2:$F$2715,"",0,1))</f>
        <v xml:space="preserve">BC </v>
      </c>
      <c r="AG685" s="55" t="s">
        <v>3496</v>
      </c>
      <c r="AH685" s="245" t="str">
        <f>_xlfn.XLOOKUP(Table26[[#This Row],[customerSKU]],customerSKU!G:G,customerSKU!K:K,"NA",0,1)</f>
        <v>NA</v>
      </c>
      <c r="AI685" s="43" t="str">
        <f>_xlfn.XLOOKUP(Table26[[#This Row],[customerSKU]],customerSKU!G:G,customerSKU!O:O,"not found",0,1)</f>
        <v>not found</v>
      </c>
      <c r="AJ685" s="53" t="e">
        <f>Table26[[#This Row],[unitprice]]*Table26[[#This Row],[quantity_unit]]</f>
        <v>#VALUE!</v>
      </c>
      <c r="AK685" s="53" t="e" cm="1">
        <f t="array" ref="AK6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6" spans="1:37" ht="18" customHeight="1">
      <c r="A686" s="42">
        <v>1567</v>
      </c>
      <c r="B686" s="249" t="s">
        <v>3520</v>
      </c>
      <c r="C686" s="90" t="s">
        <v>203</v>
      </c>
      <c r="D686" s="235"/>
      <c r="E686" s="235"/>
      <c r="F686" s="90">
        <v>335092630441</v>
      </c>
      <c r="G686" s="46"/>
      <c r="H686" s="90"/>
      <c r="I686" s="90" t="s">
        <v>3862</v>
      </c>
      <c r="J686" s="90" t="str">
        <f>IF(Table26[[#This Row],[customerSKU]]="","",_xlfn.XLOOKUP(Table26[[#This Row],[customerSKU]],customerSKU!G:G,customerSKU!A:A,"",0,1))</f>
        <v/>
      </c>
      <c r="K686" s="232">
        <v>45624</v>
      </c>
      <c r="L686" s="233" t="str">
        <f>IF(Table26[[#This Row],[customerSKU]]="","",_xlfn.XLOOKUP(Table26[[#This Row],[customerSKU]],customerSKU!G:G,customerSKU!B:B,"",0,1))</f>
        <v/>
      </c>
      <c r="M686" s="90"/>
      <c r="N686" s="55" t="str">
        <f>Table26[[#This Row],[po_number]]&amp;"-"&amp;Table26[[#This Row],[po_line]]</f>
        <v>-2</v>
      </c>
      <c r="O686" s="55">
        <v>2</v>
      </c>
      <c r="P686" s="234"/>
      <c r="Q686" s="90" t="s">
        <v>3423</v>
      </c>
      <c r="R686" s="90" t="s">
        <v>569</v>
      </c>
      <c r="S686" s="90" t="s">
        <v>114</v>
      </c>
      <c r="T686" s="20">
        <v>45624</v>
      </c>
      <c r="U686" s="255">
        <v>36</v>
      </c>
      <c r="V686" s="90" t="str">
        <f>IF(ISBLANK(Table26[[#This Row],[customerSKU]]),"",_xlfn.XLOOKUP(Table26[[#This Row],[customerSKU]],Table27[customer_SKU],Table27[case_size],"",0,1))</f>
        <v/>
      </c>
      <c r="W686" s="237" t="str">
        <f t="shared" si="27"/>
        <v/>
      </c>
      <c r="X686" s="90" t="str">
        <f t="shared" si="29"/>
        <v/>
      </c>
      <c r="Y686" s="90" t="str">
        <f>IF(Table26[[#This Row],[customerSKU]]="","",_xlfn.XLOOKUP(Table26[[#This Row],[customerSKU]],Table27[customer_SKU],Table27[product_GTIN],"",0,1))</f>
        <v/>
      </c>
      <c r="Z686" s="25" t="s">
        <v>3448</v>
      </c>
      <c r="AA686" s="18" t="str" cm="1">
        <f t="array" ref="AA686">IF(P686="", "", _xlfn.XLOOKUP(P686,#REF!,#REF!,NA,0,-1))</f>
        <v/>
      </c>
      <c r="AB686" s="90"/>
      <c r="AC686" s="55" t="s">
        <v>3496</v>
      </c>
      <c r="AD686" s="55" t="str">
        <f>IF($AC686="","",_xlfn.XLOOKUP($AC686,'[2]Client Info'!$C$2:$C$2535,'[2]Client Info'!$D$2:$D$2535,"",0,1))</f>
        <v>11939 240th Street</v>
      </c>
      <c r="AE686" s="55" t="str">
        <f>IF($AC686="","",_xlfn.XLOOKUP($AC686,'[2]Client Info'!$C$2:$C$2715,'[2]Client Info'!$E$2:$E$2715,"",))</f>
        <v>Maple Ridge</v>
      </c>
      <c r="AF686" s="55" t="str">
        <f>IF($AC686="","",_xlfn.XLOOKUP($AC686,'[2]Client Info'!$C$2:$C$2715,'[2]Client Info'!$F$2:$F$2715,"",0,1))</f>
        <v xml:space="preserve">BC </v>
      </c>
      <c r="AG686" s="55" t="s">
        <v>3496</v>
      </c>
      <c r="AH686" s="245" t="str">
        <f>_xlfn.XLOOKUP(Table26[[#This Row],[customerSKU]],customerSKU!G:G,customerSKU!K:K,"NA",0,1)</f>
        <v>NA</v>
      </c>
      <c r="AI686" s="43" t="str">
        <f>_xlfn.XLOOKUP(Table26[[#This Row],[customerSKU]],customerSKU!G:G,customerSKU!O:O,"not found",0,1)</f>
        <v>not found</v>
      </c>
      <c r="AJ686" s="53" t="e">
        <f>Table26[[#This Row],[unitprice]]*Table26[[#This Row],[quantity_unit]]</f>
        <v>#VALUE!</v>
      </c>
      <c r="AK686" s="53" t="e" cm="1">
        <f t="array" ref="AK6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687" spans="1:37" ht="18" customHeight="1">
      <c r="A687" s="42">
        <v>1529</v>
      </c>
      <c r="B687" s="58" t="s">
        <v>3520</v>
      </c>
      <c r="C687" s="53" t="s">
        <v>203</v>
      </c>
      <c r="D687" s="51"/>
      <c r="E687" s="51"/>
      <c r="F68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87" s="46"/>
      <c r="H687" s="53"/>
      <c r="I687" s="53" t="s">
        <v>3775</v>
      </c>
      <c r="J687" s="53" t="s">
        <v>3811</v>
      </c>
      <c r="K687" s="48">
        <v>45625</v>
      </c>
      <c r="L687" s="49" t="s">
        <v>201</v>
      </c>
      <c r="M687" s="53"/>
      <c r="N687" s="77" t="str">
        <f>Table26[[#This Row],[po_number]]&amp;"-"&amp;Table26[[#This Row],[po_line]]</f>
        <v>-1</v>
      </c>
      <c r="O687" s="77">
        <v>1</v>
      </c>
      <c r="P687" s="50"/>
      <c r="Q687" s="53" t="s">
        <v>934</v>
      </c>
      <c r="R687" s="53" t="s">
        <v>3419</v>
      </c>
      <c r="S687" s="53" t="str">
        <f>IF(Table26[[#This Row],[customerSKU]]="","",_xlfn.XLOOKUP(Table26[[#This Row],[customerSKU]],customerSKU!G:G,customerSKU!N:N,"NOT FOUND",0,1))</f>
        <v>NOT FOUND</v>
      </c>
      <c r="T687" s="51">
        <v>45596</v>
      </c>
      <c r="U687" s="52">
        <v>120</v>
      </c>
      <c r="V687" s="53" t="str">
        <f>IF(ISBLANK(Table26[[#This Row],[customerSKU]]),"",_xlfn.XLOOKUP(Table26[[#This Row],[customerSKU]],Table27[customer_SKU],Table27[case_size],"",0,1))</f>
        <v/>
      </c>
      <c r="W687" s="116" t="str">
        <f t="shared" si="27"/>
        <v/>
      </c>
      <c r="X687" s="53" t="str">
        <f t="shared" si="29"/>
        <v/>
      </c>
      <c r="Y687" s="53" t="str">
        <f>IF(Table26[[#This Row],[customerSKU]]="","",_xlfn.XLOOKUP(Table26[[#This Row],[customerSKU]],Table27[customer_SKU],Table27[product_GTIN],"",0,1))</f>
        <v/>
      </c>
      <c r="Z687" s="25" t="s">
        <v>3543</v>
      </c>
      <c r="AA687" s="18" t="str" cm="1">
        <f t="array" ref="AA687">IF(P687="", "", _xlfn.XLOOKUP(P687,#REF!,#REF!,NA,0,-1))</f>
        <v/>
      </c>
      <c r="AB687" s="53"/>
      <c r="AC687" s="55" t="s">
        <v>79</v>
      </c>
      <c r="AD687" s="55" t="str">
        <f>IF($AC687="","",_xlfn.XLOOKUP($AC687,'[2]Client Info'!$C$2:$C$2535,'[2]Client Info'!$D$2:$D$2535,"",0,1))</f>
        <v>4-1832 King Edward St.</v>
      </c>
      <c r="AE687" s="55" t="str">
        <f>IF($AC687="","",_xlfn.XLOOKUP($AC687,'[2]Client Info'!$C$2:$C$2715,'[2]Client Info'!$E$2:$E$2715,"",))</f>
        <v>WINNIPEG</v>
      </c>
      <c r="AF687" s="55" t="str">
        <f>IF($AC687="","",_xlfn.XLOOKUP($AC687,'[2]Client Info'!$C$2:$C$2715,'[2]Client Info'!$F$2:$F$2715,"",0,1))</f>
        <v>MB</v>
      </c>
      <c r="AG687" s="55" t="s">
        <v>3420</v>
      </c>
      <c r="AH687" s="62" t="str">
        <f>_xlfn.XLOOKUP(Table26[[#This Row],[customerSKU]],customerSKU!G:G,customerSKU!K:K,"NA",0,1)</f>
        <v>NA</v>
      </c>
      <c r="AI687" s="43" t="str">
        <f>_xlfn.XLOOKUP(Table26[[#This Row],[customerSKU]],customerSKU!G:G,customerSKU!O:O,"not found",0,1)</f>
        <v>not found</v>
      </c>
      <c r="AJ687" s="53" t="e">
        <f>Table26[[#This Row],[unitprice]]*Table26[[#This Row],[quantity_unit]]</f>
        <v>#VALUE!</v>
      </c>
      <c r="AK687" s="53" t="e" cm="1">
        <f t="array" ref="AK6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88" spans="1:37" ht="18" customHeight="1">
      <c r="A688" s="42">
        <v>1530</v>
      </c>
      <c r="B688" s="58" t="s">
        <v>3520</v>
      </c>
      <c r="C688" s="53" t="s">
        <v>203</v>
      </c>
      <c r="D688" s="51"/>
      <c r="E688" s="51"/>
      <c r="F68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88" s="46"/>
      <c r="H688" s="53"/>
      <c r="I688" s="53" t="s">
        <v>3775</v>
      </c>
      <c r="J688" s="53" t="s">
        <v>3811</v>
      </c>
      <c r="K688" s="48">
        <v>45625</v>
      </c>
      <c r="L688" s="49" t="s">
        <v>201</v>
      </c>
      <c r="M688" s="53"/>
      <c r="N688" s="77" t="str">
        <f>Table26[[#This Row],[po_number]]&amp;"-"&amp;Table26[[#This Row],[po_line]]</f>
        <v>-2</v>
      </c>
      <c r="O688" s="77">
        <v>2</v>
      </c>
      <c r="P688" s="50"/>
      <c r="Q688" s="53" t="s">
        <v>3461</v>
      </c>
      <c r="R688" s="53" t="s">
        <v>569</v>
      </c>
      <c r="S688" s="53" t="str">
        <f>IF(Table26[[#This Row],[customerSKU]]="","",_xlfn.XLOOKUP(Table26[[#This Row],[customerSKU]],customerSKU!G:G,customerSKU!N:N,"NOT FOUND",0,1))</f>
        <v>NOT FOUND</v>
      </c>
      <c r="T688" s="51">
        <v>45588</v>
      </c>
      <c r="U688" s="52">
        <v>48</v>
      </c>
      <c r="V688" s="53" t="str">
        <f>IF(ISBLANK(Table26[[#This Row],[customerSKU]]),"",_xlfn.XLOOKUP(Table26[[#This Row],[customerSKU]],Table27[customer_SKU],Table27[case_size],"",0,1))</f>
        <v/>
      </c>
      <c r="W688" s="116" t="str">
        <f t="shared" si="27"/>
        <v/>
      </c>
      <c r="X688" s="53" t="str">
        <f t="shared" si="29"/>
        <v/>
      </c>
      <c r="Y688" s="53" t="str">
        <f>IF(Table26[[#This Row],[customerSKU]]="","",_xlfn.XLOOKUP(Table26[[#This Row],[customerSKU]],Table27[customer_SKU],Table27[product_GTIN],"",0,1))</f>
        <v/>
      </c>
      <c r="Z688" s="25" t="s">
        <v>3497</v>
      </c>
      <c r="AA688" s="18" t="str" cm="1">
        <f t="array" ref="AA688">IF(P688="", "", _xlfn.XLOOKUP(P688,#REF!,#REF!,NA,0,-1))</f>
        <v/>
      </c>
      <c r="AB688" s="53"/>
      <c r="AC688" s="55" t="s">
        <v>79</v>
      </c>
      <c r="AD688" s="55" t="str">
        <f>IF($AC688="","",_xlfn.XLOOKUP($AC688,'[2]Client Info'!$C$2:$C$2535,'[2]Client Info'!$D$2:$D$2535,"",0,1))</f>
        <v>4-1832 King Edward St.</v>
      </c>
      <c r="AE688" s="55" t="str">
        <f>IF($AC688="","",_xlfn.XLOOKUP($AC688,'[2]Client Info'!$C$2:$C$2715,'[2]Client Info'!$E$2:$E$2715,"",))</f>
        <v>WINNIPEG</v>
      </c>
      <c r="AF688" s="55" t="str">
        <f>IF($AC688="","",_xlfn.XLOOKUP($AC688,'[2]Client Info'!$C$2:$C$2715,'[2]Client Info'!$F$2:$F$2715,"",0,1))</f>
        <v>MB</v>
      </c>
      <c r="AG688" s="55" t="s">
        <v>3420</v>
      </c>
      <c r="AH688" s="62" t="str">
        <f>_xlfn.XLOOKUP(Table26[[#This Row],[customerSKU]],customerSKU!G:G,customerSKU!K:K,"NA",0,1)</f>
        <v>NA</v>
      </c>
      <c r="AI688" s="43" t="str">
        <f>_xlfn.XLOOKUP(Table26[[#This Row],[customerSKU]],customerSKU!G:G,customerSKU!O:O,"not found",0,1)</f>
        <v>not found</v>
      </c>
      <c r="AJ688" s="53" t="e">
        <f>Table26[[#This Row],[unitprice]]*Table26[[#This Row],[quantity_unit]]</f>
        <v>#VALUE!</v>
      </c>
      <c r="AK688" s="53" t="e" cm="1">
        <f t="array" ref="AK6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89" spans="1:37" ht="18" customHeight="1">
      <c r="A689" s="42">
        <v>1531</v>
      </c>
      <c r="B689" s="58" t="s">
        <v>3520</v>
      </c>
      <c r="C689" s="53" t="s">
        <v>203</v>
      </c>
      <c r="D689" s="51"/>
      <c r="E689" s="51"/>
      <c r="F68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89" s="46"/>
      <c r="H689" s="53"/>
      <c r="I689" s="53" t="s">
        <v>3775</v>
      </c>
      <c r="J689" s="53" t="s">
        <v>3811</v>
      </c>
      <c r="K689" s="48">
        <v>45625</v>
      </c>
      <c r="L689" s="49" t="s">
        <v>201</v>
      </c>
      <c r="M689" s="53"/>
      <c r="N689" s="77" t="str">
        <f>Table26[[#This Row],[po_number]]&amp;"-"&amp;Table26[[#This Row],[po_line]]</f>
        <v>-3</v>
      </c>
      <c r="O689" s="77">
        <v>3</v>
      </c>
      <c r="P689" s="50"/>
      <c r="Q689" s="53" t="s">
        <v>869</v>
      </c>
      <c r="R689" s="53" t="s">
        <v>569</v>
      </c>
      <c r="S689" s="53" t="str">
        <f>IF(Table26[[#This Row],[customerSKU]]="","",_xlfn.XLOOKUP(Table26[[#This Row],[customerSKU]],customerSKU!G:G,customerSKU!N:N,"NOT FOUND",0,1))</f>
        <v>NOT FOUND</v>
      </c>
      <c r="T689" s="51">
        <v>45447</v>
      </c>
      <c r="U689" s="52">
        <v>120</v>
      </c>
      <c r="V689" s="53" t="str">
        <f>IF(ISBLANK(Table26[[#This Row],[customerSKU]]),"",_xlfn.XLOOKUP(Table26[[#This Row],[customerSKU]],Table27[customer_SKU],Table27[case_size],"",0,1))</f>
        <v/>
      </c>
      <c r="W689" s="116" t="str">
        <f t="shared" si="27"/>
        <v/>
      </c>
      <c r="X689" s="53" t="str">
        <f t="shared" si="29"/>
        <v/>
      </c>
      <c r="Y689" s="53" t="str">
        <f>IF(Table26[[#This Row],[customerSKU]]="","",_xlfn.XLOOKUP(Table26[[#This Row],[customerSKU]],Table27[customer_SKU],Table27[product_GTIN],"",0,1))</f>
        <v/>
      </c>
      <c r="Z689" s="25" t="s">
        <v>3538</v>
      </c>
      <c r="AA689" s="18" t="str" cm="1">
        <f t="array" ref="AA689">IF(P689="", "", _xlfn.XLOOKUP(P689,#REF!,#REF!,NA,0,-1))</f>
        <v/>
      </c>
      <c r="AB689" s="53"/>
      <c r="AC689" s="55" t="s">
        <v>79</v>
      </c>
      <c r="AD689" s="55" t="str">
        <f>IF($AC689="","",_xlfn.XLOOKUP($AC689,'[2]Client Info'!$C$2:$C$2535,'[2]Client Info'!$D$2:$D$2535,"",0,1))</f>
        <v>4-1832 King Edward St.</v>
      </c>
      <c r="AE689" s="55" t="str">
        <f>IF($AC689="","",_xlfn.XLOOKUP($AC689,'[2]Client Info'!$C$2:$C$2715,'[2]Client Info'!$E$2:$E$2715,"",))</f>
        <v>WINNIPEG</v>
      </c>
      <c r="AF689" s="55" t="str">
        <f>IF($AC689="","",_xlfn.XLOOKUP($AC689,'[2]Client Info'!$C$2:$C$2715,'[2]Client Info'!$F$2:$F$2715,"",0,1))</f>
        <v>MB</v>
      </c>
      <c r="AG689" s="55" t="s">
        <v>3420</v>
      </c>
      <c r="AH689" s="62" t="str">
        <f>_xlfn.XLOOKUP(Table26[[#This Row],[customerSKU]],customerSKU!G:G,customerSKU!K:K,"NA",0,1)</f>
        <v>NA</v>
      </c>
      <c r="AI689" s="43" t="str">
        <f>_xlfn.XLOOKUP(Table26[[#This Row],[customerSKU]],customerSKU!G:G,customerSKU!O:O,"not found",0,1)</f>
        <v>not found</v>
      </c>
      <c r="AJ689" s="53" t="e">
        <f>Table26[[#This Row],[unitprice]]*Table26[[#This Row],[quantity_unit]]</f>
        <v>#VALUE!</v>
      </c>
      <c r="AK689" s="53" t="e" cm="1">
        <f t="array" ref="AK6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0" spans="1:37" ht="18" customHeight="1">
      <c r="A690" s="42">
        <v>1532</v>
      </c>
      <c r="B690" s="58" t="s">
        <v>3520</v>
      </c>
      <c r="C690" s="53" t="s">
        <v>203</v>
      </c>
      <c r="D690" s="51"/>
      <c r="E690" s="51"/>
      <c r="F69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0" s="46"/>
      <c r="H690" s="53"/>
      <c r="I690" s="53" t="s">
        <v>3775</v>
      </c>
      <c r="J690" s="53" t="s">
        <v>3811</v>
      </c>
      <c r="K690" s="48">
        <v>45625</v>
      </c>
      <c r="L690" s="49" t="s">
        <v>201</v>
      </c>
      <c r="M690" s="53"/>
      <c r="N690" s="77" t="str">
        <f>Table26[[#This Row],[po_number]]&amp;"-"&amp;Table26[[#This Row],[po_line]]</f>
        <v>-4</v>
      </c>
      <c r="O690" s="77">
        <v>4</v>
      </c>
      <c r="P690" s="50"/>
      <c r="Q690" s="53" t="s">
        <v>1313</v>
      </c>
      <c r="R690" s="53" t="s">
        <v>569</v>
      </c>
      <c r="S690" s="53" t="str">
        <f>IF(Table26[[#This Row],[customerSKU]]="","",_xlfn.XLOOKUP(Table26[[#This Row],[customerSKU]],customerSKU!G:G,customerSKU!N:N,"NOT FOUND",0,1))</f>
        <v>NOT FOUND</v>
      </c>
      <c r="T690" s="51">
        <v>45575</v>
      </c>
      <c r="U690" s="52">
        <v>60</v>
      </c>
      <c r="V690" s="53" t="str">
        <f>IF(ISBLANK(Table26[[#This Row],[customerSKU]]),"",_xlfn.XLOOKUP(Table26[[#This Row],[customerSKU]],Table27[customer_SKU],Table27[case_size],"",0,1))</f>
        <v/>
      </c>
      <c r="W690" s="116" t="str">
        <f t="shared" si="27"/>
        <v/>
      </c>
      <c r="X690" s="53" t="str">
        <f t="shared" si="29"/>
        <v/>
      </c>
      <c r="Y690" s="53" t="str">
        <f>IF(Table26[[#This Row],[customerSKU]]="","",_xlfn.XLOOKUP(Table26[[#This Row],[customerSKU]],Table27[customer_SKU],Table27[product_GTIN],"",0,1))</f>
        <v/>
      </c>
      <c r="Z690" s="25" t="s">
        <v>3390</v>
      </c>
      <c r="AA690" s="18" t="str" cm="1">
        <f t="array" ref="AA690">IF(P690="", "", _xlfn.XLOOKUP(P690,#REF!,#REF!,NA,0,-1))</f>
        <v/>
      </c>
      <c r="AB690" s="53"/>
      <c r="AC690" s="55" t="s">
        <v>79</v>
      </c>
      <c r="AD690" s="55" t="str">
        <f>IF($AC690="","",_xlfn.XLOOKUP($AC690,'[2]Client Info'!$C$2:$C$2535,'[2]Client Info'!$D$2:$D$2535,"",0,1))</f>
        <v>4-1832 King Edward St.</v>
      </c>
      <c r="AE690" s="55" t="str">
        <f>IF($AC690="","",_xlfn.XLOOKUP($AC690,'[2]Client Info'!$C$2:$C$2715,'[2]Client Info'!$E$2:$E$2715,"",))</f>
        <v>WINNIPEG</v>
      </c>
      <c r="AF690" s="55" t="str">
        <f>IF($AC690="","",_xlfn.XLOOKUP($AC690,'[2]Client Info'!$C$2:$C$2715,'[2]Client Info'!$F$2:$F$2715,"",0,1))</f>
        <v>MB</v>
      </c>
      <c r="AG690" s="55" t="s">
        <v>3420</v>
      </c>
      <c r="AH690" s="62" t="str">
        <f>_xlfn.XLOOKUP(Table26[[#This Row],[customerSKU]],customerSKU!G:G,customerSKU!K:K,"NA",0,1)</f>
        <v>NA</v>
      </c>
      <c r="AI690" s="43" t="str">
        <f>_xlfn.XLOOKUP(Table26[[#This Row],[customerSKU]],customerSKU!G:G,customerSKU!O:O,"not found",0,1)</f>
        <v>not found</v>
      </c>
      <c r="AJ690" s="53" t="e">
        <f>Table26[[#This Row],[unitprice]]*Table26[[#This Row],[quantity_unit]]</f>
        <v>#VALUE!</v>
      </c>
      <c r="AK690" s="53" t="e" cm="1">
        <f t="array" ref="AK6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1" spans="1:37" ht="18" customHeight="1">
      <c r="A691" s="42">
        <v>1533</v>
      </c>
      <c r="B691" s="58" t="s">
        <v>3520</v>
      </c>
      <c r="C691" s="53" t="s">
        <v>203</v>
      </c>
      <c r="D691" s="51"/>
      <c r="E691" s="51"/>
      <c r="F69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1" s="46"/>
      <c r="H691" s="53"/>
      <c r="I691" s="53" t="s">
        <v>3775</v>
      </c>
      <c r="J691" s="53" t="s">
        <v>3811</v>
      </c>
      <c r="K691" s="48">
        <v>45625</v>
      </c>
      <c r="L691" s="49" t="s">
        <v>201</v>
      </c>
      <c r="M691" s="53"/>
      <c r="N691" s="77" t="str">
        <f>Table26[[#This Row],[po_number]]&amp;"-"&amp;Table26[[#This Row],[po_line]]</f>
        <v>-5</v>
      </c>
      <c r="O691" s="77">
        <v>5</v>
      </c>
      <c r="P691" s="50"/>
      <c r="Q691" s="53" t="s">
        <v>630</v>
      </c>
      <c r="R691" s="53" t="s">
        <v>569</v>
      </c>
      <c r="S691" s="53" t="str">
        <f>IF(Table26[[#This Row],[customerSKU]]="","",_xlfn.XLOOKUP(Table26[[#This Row],[customerSKU]],customerSKU!G:G,customerSKU!N:N,"NOT FOUND",0,1))</f>
        <v>NOT FOUND</v>
      </c>
      <c r="T691" s="51">
        <v>45574</v>
      </c>
      <c r="U691" s="52">
        <v>120</v>
      </c>
      <c r="V691" s="53" t="str">
        <f>IF(ISBLANK(Table26[[#This Row],[customerSKU]]),"",_xlfn.XLOOKUP(Table26[[#This Row],[customerSKU]],Table27[customer_SKU],Table27[case_size],"",0,1))</f>
        <v/>
      </c>
      <c r="W691" s="116" t="str">
        <f t="shared" si="27"/>
        <v/>
      </c>
      <c r="X691" s="53" t="str">
        <f t="shared" si="29"/>
        <v/>
      </c>
      <c r="Y691" s="53" t="str">
        <f>IF(Table26[[#This Row],[customerSKU]]="","",_xlfn.XLOOKUP(Table26[[#This Row],[customerSKU]],Table27[customer_SKU],Table27[product_GTIN],"",0,1))</f>
        <v/>
      </c>
      <c r="Z691" s="25" t="s">
        <v>3395</v>
      </c>
      <c r="AA691" s="18" t="str" cm="1">
        <f t="array" ref="AA691">IF(P691="", "", _xlfn.XLOOKUP(P691,#REF!,#REF!,NA,0,-1))</f>
        <v/>
      </c>
      <c r="AB691" s="53"/>
      <c r="AC691" s="55" t="s">
        <v>79</v>
      </c>
      <c r="AD691" s="55" t="str">
        <f>IF($AC691="","",_xlfn.XLOOKUP($AC691,'[2]Client Info'!$C$2:$C$2535,'[2]Client Info'!$D$2:$D$2535,"",0,1))</f>
        <v>4-1832 King Edward St.</v>
      </c>
      <c r="AE691" s="55" t="str">
        <f>IF($AC691="","",_xlfn.XLOOKUP($AC691,'[2]Client Info'!$C$2:$C$2715,'[2]Client Info'!$E$2:$E$2715,"",))</f>
        <v>WINNIPEG</v>
      </c>
      <c r="AF691" s="55" t="str">
        <f>IF($AC691="","",_xlfn.XLOOKUP($AC691,'[2]Client Info'!$C$2:$C$2715,'[2]Client Info'!$F$2:$F$2715,"",0,1))</f>
        <v>MB</v>
      </c>
      <c r="AG691" s="55" t="s">
        <v>3420</v>
      </c>
      <c r="AH691" s="62" t="str">
        <f>_xlfn.XLOOKUP(Table26[[#This Row],[customerSKU]],customerSKU!G:G,customerSKU!K:K,"NA",0,1)</f>
        <v>NA</v>
      </c>
      <c r="AI691" s="43" t="str">
        <f>_xlfn.XLOOKUP(Table26[[#This Row],[customerSKU]],customerSKU!G:G,customerSKU!O:O,"not found",0,1)</f>
        <v>not found</v>
      </c>
      <c r="AJ691" s="53" t="e">
        <f>Table26[[#This Row],[unitprice]]*Table26[[#This Row],[quantity_unit]]</f>
        <v>#VALUE!</v>
      </c>
      <c r="AK691" s="53" t="e" cm="1">
        <f t="array" ref="AK6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2" spans="1:37" ht="24.6" customHeight="1">
      <c r="A692" s="42">
        <v>1534</v>
      </c>
      <c r="B692" s="58" t="s">
        <v>3520</v>
      </c>
      <c r="C692" s="53" t="s">
        <v>203</v>
      </c>
      <c r="D692" s="51"/>
      <c r="E692" s="51"/>
      <c r="F69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2" s="46"/>
      <c r="H692" s="53"/>
      <c r="I692" s="53" t="s">
        <v>3775</v>
      </c>
      <c r="J692" s="53" t="s">
        <v>3811</v>
      </c>
      <c r="K692" s="48">
        <v>45625</v>
      </c>
      <c r="L692" s="49" t="s">
        <v>201</v>
      </c>
      <c r="M692" s="53"/>
      <c r="N692" s="77" t="str">
        <f>Table26[[#This Row],[po_number]]&amp;"-"&amp;Table26[[#This Row],[po_line]]</f>
        <v>-6</v>
      </c>
      <c r="O692" s="77">
        <v>6</v>
      </c>
      <c r="P692" s="50"/>
      <c r="Q692" s="53" t="s">
        <v>1312</v>
      </c>
      <c r="R692" s="53" t="s">
        <v>569</v>
      </c>
      <c r="S692" s="53" t="str">
        <f>IF(Table26[[#This Row],[customerSKU]]="","",_xlfn.XLOOKUP(Table26[[#This Row],[customerSKU]],customerSKU!G:G,customerSKU!N:N,"NOT FOUND",0,1))</f>
        <v>NOT FOUND</v>
      </c>
      <c r="T692" s="51">
        <v>45604</v>
      </c>
      <c r="U692" s="52">
        <v>60</v>
      </c>
      <c r="V692" s="53" t="str">
        <f>IF(ISBLANK(Table26[[#This Row],[customerSKU]]),"",_xlfn.XLOOKUP(Table26[[#This Row],[customerSKU]],Table27[customer_SKU],Table27[case_size],"",0,1))</f>
        <v/>
      </c>
      <c r="W692" s="116" t="str">
        <f t="shared" si="27"/>
        <v/>
      </c>
      <c r="X692" s="53" t="str">
        <f t="shared" si="29"/>
        <v/>
      </c>
      <c r="Y692" s="53" t="str">
        <f>IF(Table26[[#This Row],[customerSKU]]="","",_xlfn.XLOOKUP(Table26[[#This Row],[customerSKU]],Table27[customer_SKU],Table27[product_GTIN],"",0,1))</f>
        <v/>
      </c>
      <c r="Z692" s="25" t="s">
        <v>3528</v>
      </c>
      <c r="AA692" s="18" t="str" cm="1">
        <f t="array" ref="AA692">IF(P692="", "", _xlfn.XLOOKUP(P692,#REF!,#REF!,NA,0,-1))</f>
        <v/>
      </c>
      <c r="AB692" s="53"/>
      <c r="AC692" s="55" t="s">
        <v>79</v>
      </c>
      <c r="AD692" s="55" t="str">
        <f>IF($AC692="","",_xlfn.XLOOKUP($AC692,'[2]Client Info'!$C$2:$C$2535,'[2]Client Info'!$D$2:$D$2535,"",0,1))</f>
        <v>4-1832 King Edward St.</v>
      </c>
      <c r="AE692" s="55" t="str">
        <f>IF($AC692="","",_xlfn.XLOOKUP($AC692,'[2]Client Info'!$C$2:$C$2715,'[2]Client Info'!$E$2:$E$2715,"",))</f>
        <v>WINNIPEG</v>
      </c>
      <c r="AF692" s="55" t="str">
        <f>IF($AC692="","",_xlfn.XLOOKUP($AC692,'[2]Client Info'!$C$2:$C$2715,'[2]Client Info'!$F$2:$F$2715,"",0,1))</f>
        <v>MB</v>
      </c>
      <c r="AG692" s="55" t="s">
        <v>3420</v>
      </c>
      <c r="AH692" s="62" t="str">
        <f>_xlfn.XLOOKUP(Table26[[#This Row],[customerSKU]],customerSKU!G:G,customerSKU!K:K,"NA",0,1)</f>
        <v>NA</v>
      </c>
      <c r="AI692" s="43" t="str">
        <f>_xlfn.XLOOKUP(Table26[[#This Row],[customerSKU]],customerSKU!G:G,customerSKU!O:O,"not found",0,1)</f>
        <v>not found</v>
      </c>
      <c r="AJ692" s="53" t="e">
        <f>Table26[[#This Row],[unitprice]]*Table26[[#This Row],[quantity_unit]]</f>
        <v>#VALUE!</v>
      </c>
      <c r="AK692" s="53" t="e" cm="1">
        <f t="array" ref="AK6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3" spans="1:37" ht="18" customHeight="1">
      <c r="A693" s="42">
        <v>1535</v>
      </c>
      <c r="B693" s="58" t="s">
        <v>3520</v>
      </c>
      <c r="C693" s="53" t="s">
        <v>203</v>
      </c>
      <c r="D693" s="51"/>
      <c r="E693" s="51"/>
      <c r="F69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3" s="46"/>
      <c r="H693" s="53"/>
      <c r="I693" s="53" t="s">
        <v>3775</v>
      </c>
      <c r="J693" s="53" t="s">
        <v>3811</v>
      </c>
      <c r="K693" s="48">
        <v>45625</v>
      </c>
      <c r="L693" s="49" t="s">
        <v>201</v>
      </c>
      <c r="M693" s="53"/>
      <c r="N693" s="77" t="str">
        <f>Table26[[#This Row],[po_number]]&amp;"-"&amp;Table26[[#This Row],[po_line]]</f>
        <v>-7</v>
      </c>
      <c r="O693" s="77">
        <v>7</v>
      </c>
      <c r="P693" s="50"/>
      <c r="Q693" s="53" t="s">
        <v>1312</v>
      </c>
      <c r="R693" s="53" t="s">
        <v>569</v>
      </c>
      <c r="S693" s="53" t="str">
        <f>IF(Table26[[#This Row],[customerSKU]]="","",_xlfn.XLOOKUP(Table26[[#This Row],[customerSKU]],customerSKU!G:G,customerSKU!N:N,"NOT FOUND",0,1))</f>
        <v>NOT FOUND</v>
      </c>
      <c r="T693" s="51">
        <v>45575</v>
      </c>
      <c r="U693" s="52">
        <v>60</v>
      </c>
      <c r="V693" s="53" t="str">
        <f>IF(ISBLANK(Table26[[#This Row],[customerSKU]]),"",_xlfn.XLOOKUP(Table26[[#This Row],[customerSKU]],Table27[customer_SKU],Table27[case_size],"",0,1))</f>
        <v/>
      </c>
      <c r="W693" s="116" t="str">
        <f t="shared" si="27"/>
        <v/>
      </c>
      <c r="X693" s="53" t="str">
        <f t="shared" si="29"/>
        <v/>
      </c>
      <c r="Y693" s="53" t="str">
        <f>IF(Table26[[#This Row],[customerSKU]]="","",_xlfn.XLOOKUP(Table26[[#This Row],[customerSKU]],Table27[customer_SKU],Table27[product_GTIN],"",0,1))</f>
        <v/>
      </c>
      <c r="Z693" s="25" t="s">
        <v>3528</v>
      </c>
      <c r="AA693" s="18" t="str" cm="1">
        <f t="array" ref="AA693">IF(P693="", "", _xlfn.XLOOKUP(P693,#REF!,#REF!,NA,0,-1))</f>
        <v/>
      </c>
      <c r="AB693" s="53"/>
      <c r="AC693" s="55" t="s">
        <v>79</v>
      </c>
      <c r="AD693" s="55" t="str">
        <f>IF($AC693="","",_xlfn.XLOOKUP($AC693,'[2]Client Info'!$C$2:$C$2535,'[2]Client Info'!$D$2:$D$2535,"",0,1))</f>
        <v>4-1832 King Edward St.</v>
      </c>
      <c r="AE693" s="55" t="str">
        <f>IF($AC693="","",_xlfn.XLOOKUP($AC693,'[2]Client Info'!$C$2:$C$2715,'[2]Client Info'!$E$2:$E$2715,"",))</f>
        <v>WINNIPEG</v>
      </c>
      <c r="AF693" s="55" t="str">
        <f>IF($AC693="","",_xlfn.XLOOKUP($AC693,'[2]Client Info'!$C$2:$C$2715,'[2]Client Info'!$F$2:$F$2715,"",0,1))</f>
        <v>MB</v>
      </c>
      <c r="AG693" s="55" t="s">
        <v>3420</v>
      </c>
      <c r="AH693" s="62" t="str">
        <f>_xlfn.XLOOKUP(Table26[[#This Row],[customerSKU]],customerSKU!G:G,customerSKU!K:K,"NA",0,1)</f>
        <v>NA</v>
      </c>
      <c r="AI693" s="43" t="str">
        <f>_xlfn.XLOOKUP(Table26[[#This Row],[customerSKU]],customerSKU!G:G,customerSKU!O:O,"not found",0,1)</f>
        <v>not found</v>
      </c>
      <c r="AJ693" s="53" t="e">
        <f>Table26[[#This Row],[unitprice]]*Table26[[#This Row],[quantity_unit]]</f>
        <v>#VALUE!</v>
      </c>
      <c r="AK693" s="53" t="e" cm="1">
        <f t="array" ref="AK6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4" spans="1:37" ht="24.6" customHeight="1">
      <c r="A694" s="42">
        <v>1536</v>
      </c>
      <c r="B694" s="58" t="s">
        <v>3520</v>
      </c>
      <c r="C694" s="53" t="s">
        <v>203</v>
      </c>
      <c r="D694" s="51"/>
      <c r="E694" s="51"/>
      <c r="F69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4" s="46"/>
      <c r="H694" s="53"/>
      <c r="I694" s="53" t="s">
        <v>3775</v>
      </c>
      <c r="J694" s="53" t="s">
        <v>3811</v>
      </c>
      <c r="K694" s="48">
        <v>45625</v>
      </c>
      <c r="L694" s="49" t="s">
        <v>201</v>
      </c>
      <c r="M694" s="53"/>
      <c r="N694" s="77" t="str">
        <f>Table26[[#This Row],[po_number]]&amp;"-"&amp;Table26[[#This Row],[po_line]]</f>
        <v>-8</v>
      </c>
      <c r="O694" s="77">
        <v>8</v>
      </c>
      <c r="P694" s="50"/>
      <c r="Q694" s="53" t="s">
        <v>1311</v>
      </c>
      <c r="R694" s="53" t="s">
        <v>569</v>
      </c>
      <c r="S694" s="53" t="str">
        <f>IF(Table26[[#This Row],[customerSKU]]="","",_xlfn.XLOOKUP(Table26[[#This Row],[customerSKU]],customerSKU!G:G,customerSKU!N:N,"NOT FOUND",0,1))</f>
        <v>NOT FOUND</v>
      </c>
      <c r="T694" s="51">
        <v>45588</v>
      </c>
      <c r="U694" s="52">
        <v>120</v>
      </c>
      <c r="V694" s="53" t="str">
        <f>IF(ISBLANK(Table26[[#This Row],[customerSKU]]),"",_xlfn.XLOOKUP(Table26[[#This Row],[customerSKU]],Table27[customer_SKU],Table27[case_size],"",0,1))</f>
        <v/>
      </c>
      <c r="W694" s="116" t="str">
        <f t="shared" si="27"/>
        <v/>
      </c>
      <c r="X694" s="53" t="str">
        <f t="shared" si="29"/>
        <v/>
      </c>
      <c r="Y694" s="53" t="str">
        <f>IF(Table26[[#This Row],[customerSKU]]="","",_xlfn.XLOOKUP(Table26[[#This Row],[customerSKU]],Table27[customer_SKU],Table27[product_GTIN],"",0,1))</f>
        <v/>
      </c>
      <c r="Z694" s="60">
        <v>61621</v>
      </c>
      <c r="AA694" s="18" t="str" cm="1">
        <f t="array" ref="AA694">IF(P694="", "", _xlfn.XLOOKUP(P694,#REF!,#REF!,NA,0,-1))</f>
        <v/>
      </c>
      <c r="AB694" s="53"/>
      <c r="AC694" s="55" t="s">
        <v>79</v>
      </c>
      <c r="AD694" s="55" t="str">
        <f>IF($AC694="","",_xlfn.XLOOKUP($AC694,'[2]Client Info'!$C$2:$C$2535,'[2]Client Info'!$D$2:$D$2535,"",0,1))</f>
        <v>4-1832 King Edward St.</v>
      </c>
      <c r="AE694" s="55" t="str">
        <f>IF($AC694="","",_xlfn.XLOOKUP($AC694,'[2]Client Info'!$C$2:$C$2715,'[2]Client Info'!$E$2:$E$2715,"",))</f>
        <v>WINNIPEG</v>
      </c>
      <c r="AF694" s="55" t="str">
        <f>IF($AC694="","",_xlfn.XLOOKUP($AC694,'[2]Client Info'!$C$2:$C$2715,'[2]Client Info'!$F$2:$F$2715,"",0,1))</f>
        <v>MB</v>
      </c>
      <c r="AG694" s="55" t="s">
        <v>3420</v>
      </c>
      <c r="AH694" s="62" t="str">
        <f>_xlfn.XLOOKUP(Table26[[#This Row],[customerSKU]],customerSKU!G:G,customerSKU!K:K,"NA",0,1)</f>
        <v>NA</v>
      </c>
      <c r="AI694" s="43" t="str">
        <f>_xlfn.XLOOKUP(Table26[[#This Row],[customerSKU]],customerSKU!G:G,customerSKU!O:O,"not found",0,1)</f>
        <v>not found</v>
      </c>
      <c r="AJ694" s="53" t="e">
        <f>Table26[[#This Row],[unitprice]]*Table26[[#This Row],[quantity_unit]]</f>
        <v>#VALUE!</v>
      </c>
      <c r="AK694" s="53" t="e" cm="1">
        <f t="array" ref="AK6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5" spans="1:37" ht="24.6" customHeight="1">
      <c r="A695" s="42">
        <v>1537</v>
      </c>
      <c r="B695" s="58" t="s">
        <v>3520</v>
      </c>
      <c r="C695" s="53" t="s">
        <v>203</v>
      </c>
      <c r="D695" s="51"/>
      <c r="E695" s="51"/>
      <c r="F69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5" s="46"/>
      <c r="H695" s="53"/>
      <c r="I695" s="53" t="s">
        <v>3775</v>
      </c>
      <c r="J695" s="53" t="s">
        <v>3811</v>
      </c>
      <c r="K695" s="48">
        <v>45625</v>
      </c>
      <c r="L695" s="49" t="s">
        <v>201</v>
      </c>
      <c r="M695" s="53"/>
      <c r="N695" s="77" t="str">
        <f>Table26[[#This Row],[po_number]]&amp;"-"&amp;Table26[[#This Row],[po_line]]</f>
        <v>-9</v>
      </c>
      <c r="O695" s="77">
        <v>9</v>
      </c>
      <c r="P695" s="50"/>
      <c r="Q695" s="53" t="s">
        <v>535</v>
      </c>
      <c r="R695" s="53" t="s">
        <v>569</v>
      </c>
      <c r="S695" s="53" t="str">
        <f>IF(Table26[[#This Row],[customerSKU]]="","",_xlfn.XLOOKUP(Table26[[#This Row],[customerSKU]],customerSKU!G:G,customerSKU!N:N,"NOT FOUND",0,1))</f>
        <v>NOT FOUND</v>
      </c>
      <c r="T695" s="51">
        <v>45588</v>
      </c>
      <c r="U695" s="52">
        <v>120</v>
      </c>
      <c r="V695" s="53" t="str">
        <f>IF(ISBLANK(Table26[[#This Row],[customerSKU]]),"",_xlfn.XLOOKUP(Table26[[#This Row],[customerSKU]],Table27[customer_SKU],Table27[case_size],"",0,1))</f>
        <v/>
      </c>
      <c r="W695" s="116" t="str">
        <f t="shared" si="27"/>
        <v/>
      </c>
      <c r="X695" s="53" t="str">
        <f t="shared" si="29"/>
        <v/>
      </c>
      <c r="Y695" s="53" t="str">
        <f>IF(Table26[[#This Row],[customerSKU]]="","",_xlfn.XLOOKUP(Table26[[#This Row],[customerSKU]],Table27[customer_SKU],Table27[product_GTIN],"",0,1))</f>
        <v/>
      </c>
      <c r="Z695" s="25" t="s">
        <v>3381</v>
      </c>
      <c r="AA695" s="18" t="str" cm="1">
        <f t="array" ref="AA695">IF(P695="", "", _xlfn.XLOOKUP(P695,#REF!,#REF!,NA,0,-1))</f>
        <v/>
      </c>
      <c r="AB695" s="53"/>
      <c r="AC695" s="55" t="s">
        <v>79</v>
      </c>
      <c r="AD695" s="55" t="str">
        <f>IF($AC695="","",_xlfn.XLOOKUP($AC695,'[2]Client Info'!$C$2:$C$2535,'[2]Client Info'!$D$2:$D$2535,"",0,1))</f>
        <v>4-1832 King Edward St.</v>
      </c>
      <c r="AE695" s="55" t="str">
        <f>IF($AC695="","",_xlfn.XLOOKUP($AC695,'[2]Client Info'!$C$2:$C$2715,'[2]Client Info'!$E$2:$E$2715,"",))</f>
        <v>WINNIPEG</v>
      </c>
      <c r="AF695" s="55" t="str">
        <f>IF($AC695="","",_xlfn.XLOOKUP($AC695,'[2]Client Info'!$C$2:$C$2715,'[2]Client Info'!$F$2:$F$2715,"",0,1))</f>
        <v>MB</v>
      </c>
      <c r="AG695" s="55" t="s">
        <v>3420</v>
      </c>
      <c r="AH695" s="62" t="str">
        <f>_xlfn.XLOOKUP(Table26[[#This Row],[customerSKU]],customerSKU!G:G,customerSKU!K:K,"NA",0,1)</f>
        <v>NA</v>
      </c>
      <c r="AI695" s="43" t="str">
        <f>_xlfn.XLOOKUP(Table26[[#This Row],[customerSKU]],customerSKU!G:G,customerSKU!O:O,"not found",0,1)</f>
        <v>not found</v>
      </c>
      <c r="AJ695" s="53" t="e">
        <f>Table26[[#This Row],[unitprice]]*Table26[[#This Row],[quantity_unit]]</f>
        <v>#VALUE!</v>
      </c>
      <c r="AK695" s="53" t="e" cm="1">
        <f t="array" ref="AK6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6" spans="1:37" ht="18" customHeight="1">
      <c r="A696" s="42">
        <v>1538</v>
      </c>
      <c r="B696" s="58" t="s">
        <v>3520</v>
      </c>
      <c r="C696" s="53" t="s">
        <v>203</v>
      </c>
      <c r="D696" s="51"/>
      <c r="E696" s="51"/>
      <c r="F69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6" s="46"/>
      <c r="H696" s="53"/>
      <c r="I696" s="53" t="s">
        <v>3775</v>
      </c>
      <c r="J696" s="53" t="s">
        <v>3811</v>
      </c>
      <c r="K696" s="48">
        <v>45625</v>
      </c>
      <c r="L696" s="49" t="s">
        <v>201</v>
      </c>
      <c r="M696" s="53"/>
      <c r="N696" s="77" t="str">
        <f>Table26[[#This Row],[po_number]]&amp;"-"&amp;Table26[[#This Row],[po_line]]</f>
        <v>-10</v>
      </c>
      <c r="O696" s="77">
        <v>10</v>
      </c>
      <c r="P696" s="50"/>
      <c r="Q696" s="53" t="s">
        <v>1310</v>
      </c>
      <c r="R696" s="53" t="s">
        <v>569</v>
      </c>
      <c r="S696" s="53" t="str">
        <f>IF(Table26[[#This Row],[customerSKU]]="","",_xlfn.XLOOKUP(Table26[[#This Row],[customerSKU]],customerSKU!G:G,customerSKU!N:N,"NOT FOUND",0,1))</f>
        <v>NOT FOUND</v>
      </c>
      <c r="T696" s="51">
        <v>45623</v>
      </c>
      <c r="U696" s="52">
        <v>120</v>
      </c>
      <c r="V696" s="53" t="str">
        <f>IF(ISBLANK(Table26[[#This Row],[customerSKU]]),"",_xlfn.XLOOKUP(Table26[[#This Row],[customerSKU]],Table27[customer_SKU],Table27[case_size],"",0,1))</f>
        <v/>
      </c>
      <c r="W696" s="116" t="str">
        <f t="shared" si="27"/>
        <v/>
      </c>
      <c r="X696" s="53" t="str">
        <f t="shared" si="29"/>
        <v/>
      </c>
      <c r="Y696" s="53" t="str">
        <f>IF(Table26[[#This Row],[customerSKU]]="","",_xlfn.XLOOKUP(Table26[[#This Row],[customerSKU]],Table27[customer_SKU],Table27[product_GTIN],"",0,1))</f>
        <v/>
      </c>
      <c r="Z696" s="60">
        <v>61622</v>
      </c>
      <c r="AA696" s="18" t="str" cm="1">
        <f t="array" ref="AA696">IF(P696="", "", _xlfn.XLOOKUP(P696,#REF!,#REF!,NA,0,-1))</f>
        <v/>
      </c>
      <c r="AB696" s="53"/>
      <c r="AC696" s="55" t="s">
        <v>79</v>
      </c>
      <c r="AD696" s="55" t="str">
        <f>IF($AC696="","",_xlfn.XLOOKUP($AC696,'[2]Client Info'!$C$2:$C$2535,'[2]Client Info'!$D$2:$D$2535,"",0,1))</f>
        <v>4-1832 King Edward St.</v>
      </c>
      <c r="AE696" s="55" t="str">
        <f>IF($AC696="","",_xlfn.XLOOKUP($AC696,'[2]Client Info'!$C$2:$C$2715,'[2]Client Info'!$E$2:$E$2715,"",))</f>
        <v>WINNIPEG</v>
      </c>
      <c r="AF696" s="55" t="str">
        <f>IF($AC696="","",_xlfn.XLOOKUP($AC696,'[2]Client Info'!$C$2:$C$2715,'[2]Client Info'!$F$2:$F$2715,"",0,1))</f>
        <v>MB</v>
      </c>
      <c r="AG696" s="55" t="s">
        <v>3420</v>
      </c>
      <c r="AH696" s="62" t="str">
        <f>_xlfn.XLOOKUP(Table26[[#This Row],[customerSKU]],customerSKU!G:G,customerSKU!K:K,"NA",0,1)</f>
        <v>NA</v>
      </c>
      <c r="AI696" s="43" t="str">
        <f>_xlfn.XLOOKUP(Table26[[#This Row],[customerSKU]],customerSKU!G:G,customerSKU!O:O,"not found",0,1)</f>
        <v>not found</v>
      </c>
      <c r="AJ696" s="53" t="e">
        <f>Table26[[#This Row],[unitprice]]*Table26[[#This Row],[quantity_unit]]</f>
        <v>#VALUE!</v>
      </c>
      <c r="AK696" s="53" t="e" cm="1">
        <f t="array" ref="AK6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7" spans="1:37" ht="18" customHeight="1">
      <c r="A697" s="42">
        <v>1539</v>
      </c>
      <c r="B697" s="58" t="s">
        <v>3520</v>
      </c>
      <c r="C697" s="53" t="s">
        <v>203</v>
      </c>
      <c r="D697" s="51"/>
      <c r="E697" s="51"/>
      <c r="F69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7" s="46"/>
      <c r="H697" s="53"/>
      <c r="I697" s="53" t="s">
        <v>3775</v>
      </c>
      <c r="J697" s="53" t="s">
        <v>3811</v>
      </c>
      <c r="K697" s="48">
        <v>45625</v>
      </c>
      <c r="L697" s="49" t="s">
        <v>201</v>
      </c>
      <c r="M697" s="53"/>
      <c r="N697" s="77" t="str">
        <f>Table26[[#This Row],[po_number]]&amp;"-"&amp;Table26[[#This Row],[po_line]]</f>
        <v>-11</v>
      </c>
      <c r="O697" s="77">
        <v>11</v>
      </c>
      <c r="P697" s="50"/>
      <c r="Q697" s="377" t="s">
        <v>1309</v>
      </c>
      <c r="R697" s="53" t="s">
        <v>532</v>
      </c>
      <c r="S697" s="53" t="str">
        <f>IF(Table26[[#This Row],[customerSKU]]="","",_xlfn.XLOOKUP(Table26[[#This Row],[customerSKU]],customerSKU!G:G,customerSKU!N:N,"NOT FOUND",0,1))</f>
        <v>NOT FOUND</v>
      </c>
      <c r="T697" s="51">
        <v>45623</v>
      </c>
      <c r="U697" s="52">
        <v>120</v>
      </c>
      <c r="V697" s="53" t="str">
        <f>IF(ISBLANK(Table26[[#This Row],[customerSKU]]),"",_xlfn.XLOOKUP(Table26[[#This Row],[customerSKU]],Table27[customer_SKU],Table27[case_size],"",0,1))</f>
        <v/>
      </c>
      <c r="W697" s="116" t="str">
        <f t="shared" si="27"/>
        <v/>
      </c>
      <c r="X697" s="53" t="str">
        <f t="shared" si="29"/>
        <v/>
      </c>
      <c r="Y697" s="53" t="str">
        <f>IF(Table26[[#This Row],[customerSKU]]="","",_xlfn.XLOOKUP(Table26[[#This Row],[customerSKU]],Table27[customer_SKU],Table27[product_GTIN],"",0,1))</f>
        <v/>
      </c>
      <c r="Z697" s="25" t="s">
        <v>3625</v>
      </c>
      <c r="AA697" s="18" t="str" cm="1">
        <f t="array" ref="AA697">IF(P697="", "", _xlfn.XLOOKUP(P697,#REF!,#REF!,NA,0,-1))</f>
        <v/>
      </c>
      <c r="AB697" s="53"/>
      <c r="AC697" s="55" t="s">
        <v>79</v>
      </c>
      <c r="AD697" s="55" t="str">
        <f>IF($AC697="","",_xlfn.XLOOKUP($AC697,'[2]Client Info'!$C$2:$C$2535,'[2]Client Info'!$D$2:$D$2535,"",0,1))</f>
        <v>4-1832 King Edward St.</v>
      </c>
      <c r="AE697" s="55" t="str">
        <f>IF($AC697="","",_xlfn.XLOOKUP($AC697,'[2]Client Info'!$C$2:$C$2715,'[2]Client Info'!$E$2:$E$2715,"",))</f>
        <v>WINNIPEG</v>
      </c>
      <c r="AF697" s="55" t="str">
        <f>IF($AC697="","",_xlfn.XLOOKUP($AC697,'[2]Client Info'!$C$2:$C$2715,'[2]Client Info'!$F$2:$F$2715,"",0,1))</f>
        <v>MB</v>
      </c>
      <c r="AG697" s="55" t="s">
        <v>3420</v>
      </c>
      <c r="AH697" s="62" t="str">
        <f>_xlfn.XLOOKUP(Table26[[#This Row],[customerSKU]],customerSKU!G:G,customerSKU!K:K,"NA",0,1)</f>
        <v>NA</v>
      </c>
      <c r="AI697" s="43" t="str">
        <f>_xlfn.XLOOKUP(Table26[[#This Row],[customerSKU]],customerSKU!G:G,customerSKU!O:O,"not found",0,1)</f>
        <v>not found</v>
      </c>
      <c r="AJ697" s="53" t="e">
        <f>Table26[[#This Row],[unitprice]]*Table26[[#This Row],[quantity_unit]]</f>
        <v>#VALUE!</v>
      </c>
      <c r="AK697" s="53" t="e" cm="1">
        <f t="array" ref="AK6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8" spans="1:37" ht="18" customHeight="1">
      <c r="A698" s="42">
        <v>1540</v>
      </c>
      <c r="B698" s="58" t="s">
        <v>3520</v>
      </c>
      <c r="C698" s="53" t="s">
        <v>203</v>
      </c>
      <c r="D698" s="51"/>
      <c r="E698" s="51"/>
      <c r="F69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8" s="46"/>
      <c r="H698" s="53"/>
      <c r="I698" s="53" t="s">
        <v>3775</v>
      </c>
      <c r="J698" s="53" t="s">
        <v>3811</v>
      </c>
      <c r="K698" s="48">
        <v>45625</v>
      </c>
      <c r="L698" s="49" t="s">
        <v>201</v>
      </c>
      <c r="M698" s="53"/>
      <c r="N698" s="77" t="str">
        <f>Table26[[#This Row],[po_number]]&amp;"-"&amp;Table26[[#This Row],[po_line]]</f>
        <v>-12</v>
      </c>
      <c r="O698" s="77">
        <v>12</v>
      </c>
      <c r="P698" s="50"/>
      <c r="Q698" s="53" t="s">
        <v>1375</v>
      </c>
      <c r="R698" s="53" t="s">
        <v>569</v>
      </c>
      <c r="S698" s="53" t="str">
        <f>IF(Table26[[#This Row],[customerSKU]]="","",_xlfn.XLOOKUP(Table26[[#This Row],[customerSKU]],customerSKU!G:G,customerSKU!N:N,"NOT FOUND",0,1))</f>
        <v>NOT FOUND</v>
      </c>
      <c r="T698" s="51">
        <v>45594</v>
      </c>
      <c r="U698" s="52">
        <v>120</v>
      </c>
      <c r="V698" s="53" t="str">
        <f>IF(ISBLANK(Table26[[#This Row],[customerSKU]]),"",_xlfn.XLOOKUP(Table26[[#This Row],[customerSKU]],Table27[customer_SKU],Table27[case_size],"",0,1))</f>
        <v/>
      </c>
      <c r="W698" s="116" t="str">
        <f t="shared" ref="W698:W756" si="30">IFERROR(U698/V698, "")</f>
        <v/>
      </c>
      <c r="X698" s="53" t="str">
        <f t="shared" si="29"/>
        <v/>
      </c>
      <c r="Y698" s="53" t="str">
        <f>IF(Table26[[#This Row],[customerSKU]]="","",_xlfn.XLOOKUP(Table26[[#This Row],[customerSKU]],Table27[customer_SKU],Table27[product_GTIN],"",0,1))</f>
        <v/>
      </c>
      <c r="Z698" s="25" t="s">
        <v>3408</v>
      </c>
      <c r="AA698" s="18" t="str" cm="1">
        <f t="array" ref="AA698">IF(P698="", "", _xlfn.XLOOKUP(P698,#REF!,#REF!,NA,0,-1))</f>
        <v/>
      </c>
      <c r="AB698" s="53"/>
      <c r="AC698" s="55" t="s">
        <v>79</v>
      </c>
      <c r="AD698" s="55" t="str">
        <f>IF($AC698="","",_xlfn.XLOOKUP($AC698,'[2]Client Info'!$C$2:$C$2535,'[2]Client Info'!$D$2:$D$2535,"",0,1))</f>
        <v>4-1832 King Edward St.</v>
      </c>
      <c r="AE698" s="55" t="str">
        <f>IF($AC698="","",_xlfn.XLOOKUP($AC698,'[2]Client Info'!$C$2:$C$2715,'[2]Client Info'!$E$2:$E$2715,"",))</f>
        <v>WINNIPEG</v>
      </c>
      <c r="AF698" s="55" t="str">
        <f>IF($AC698="","",_xlfn.XLOOKUP($AC698,'[2]Client Info'!$C$2:$C$2715,'[2]Client Info'!$F$2:$F$2715,"",0,1))</f>
        <v>MB</v>
      </c>
      <c r="AG698" s="55" t="s">
        <v>3420</v>
      </c>
      <c r="AH698" s="62" t="str">
        <f>_xlfn.XLOOKUP(Table26[[#This Row],[customerSKU]],customerSKU!G:G,customerSKU!K:K,"NA",0,1)</f>
        <v>NA</v>
      </c>
      <c r="AI698" s="43" t="str">
        <f>_xlfn.XLOOKUP(Table26[[#This Row],[customerSKU]],customerSKU!G:G,customerSKU!O:O,"not found",0,1)</f>
        <v>not found</v>
      </c>
      <c r="AJ698" s="53" t="e">
        <f>Table26[[#This Row],[unitprice]]*Table26[[#This Row],[quantity_unit]]</f>
        <v>#VALUE!</v>
      </c>
      <c r="AK698" s="53" t="e" cm="1">
        <f t="array" ref="AK6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699" spans="1:37" ht="18" customHeight="1">
      <c r="A699" s="42">
        <v>1541</v>
      </c>
      <c r="B699" s="58" t="s">
        <v>3520</v>
      </c>
      <c r="C699" s="53" t="s">
        <v>203</v>
      </c>
      <c r="D699" s="51"/>
      <c r="E699" s="51"/>
      <c r="F69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699" s="46"/>
      <c r="H699" s="53"/>
      <c r="I699" s="53" t="s">
        <v>3775</v>
      </c>
      <c r="J699" s="53" t="s">
        <v>3811</v>
      </c>
      <c r="K699" s="48">
        <v>45625</v>
      </c>
      <c r="L699" s="49" t="s">
        <v>201</v>
      </c>
      <c r="M699" s="53"/>
      <c r="N699" s="77" t="str">
        <f>Table26[[#This Row],[po_number]]&amp;"-"&amp;Table26[[#This Row],[po_line]]</f>
        <v>-13</v>
      </c>
      <c r="O699" s="77">
        <v>13</v>
      </c>
      <c r="P699" s="50"/>
      <c r="Q699" s="53" t="s">
        <v>622</v>
      </c>
      <c r="R699" s="53" t="s">
        <v>569</v>
      </c>
      <c r="S699" s="53" t="str">
        <f>IF(Table26[[#This Row],[customerSKU]]="","",_xlfn.XLOOKUP(Table26[[#This Row],[customerSKU]],customerSKU!G:G,customerSKU!N:N,"NOT FOUND",0,1))</f>
        <v>NOT FOUND</v>
      </c>
      <c r="T699" s="51">
        <v>45603</v>
      </c>
      <c r="U699" s="52">
        <v>120</v>
      </c>
      <c r="V699" s="53" t="str">
        <f>IF(ISBLANK(Table26[[#This Row],[customerSKU]]),"",_xlfn.XLOOKUP(Table26[[#This Row],[customerSKU]],Table27[customer_SKU],Table27[case_size],"",0,1))</f>
        <v/>
      </c>
      <c r="W699" s="116" t="str">
        <f t="shared" si="30"/>
        <v/>
      </c>
      <c r="X699" s="53" t="str">
        <f t="shared" si="29"/>
        <v/>
      </c>
      <c r="Y699" s="53" t="str">
        <f>IF(Table26[[#This Row],[customerSKU]]="","",_xlfn.XLOOKUP(Table26[[#This Row],[customerSKU]],Table27[customer_SKU],Table27[product_GTIN],"",0,1))</f>
        <v/>
      </c>
      <c r="Z699" s="25" t="s">
        <v>3495</v>
      </c>
      <c r="AA699" s="18" t="str" cm="1">
        <f t="array" ref="AA699">IF(P699="", "", _xlfn.XLOOKUP(P699,#REF!,#REF!,NA,0,-1))</f>
        <v/>
      </c>
      <c r="AB699" s="53"/>
      <c r="AC699" s="55" t="s">
        <v>79</v>
      </c>
      <c r="AD699" s="55" t="str">
        <f>IF($AC699="","",_xlfn.XLOOKUP($AC699,'[2]Client Info'!$C$2:$C$2535,'[2]Client Info'!$D$2:$D$2535,"",0,1))</f>
        <v>4-1832 King Edward St.</v>
      </c>
      <c r="AE699" s="55" t="str">
        <f>IF($AC699="","",_xlfn.XLOOKUP($AC699,'[2]Client Info'!$C$2:$C$2715,'[2]Client Info'!$E$2:$E$2715,"",))</f>
        <v>WINNIPEG</v>
      </c>
      <c r="AF699" s="55" t="str">
        <f>IF($AC699="","",_xlfn.XLOOKUP($AC699,'[2]Client Info'!$C$2:$C$2715,'[2]Client Info'!$F$2:$F$2715,"",0,1))</f>
        <v>MB</v>
      </c>
      <c r="AG699" s="55" t="s">
        <v>3420</v>
      </c>
      <c r="AH699" s="62" t="str">
        <f>_xlfn.XLOOKUP(Table26[[#This Row],[customerSKU]],customerSKU!G:G,customerSKU!K:K,"NA",0,1)</f>
        <v>NA</v>
      </c>
      <c r="AI699" s="43" t="str">
        <f>_xlfn.XLOOKUP(Table26[[#This Row],[customerSKU]],customerSKU!G:G,customerSKU!O:O,"not found",0,1)</f>
        <v>not found</v>
      </c>
      <c r="AJ699" s="53" t="e">
        <f>Table26[[#This Row],[unitprice]]*Table26[[#This Row],[quantity_unit]]</f>
        <v>#VALUE!</v>
      </c>
      <c r="AK699" s="53" t="e" cm="1">
        <f t="array" ref="AK6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00" spans="1:37" ht="18" customHeight="1">
      <c r="A700" s="42">
        <v>1542</v>
      </c>
      <c r="B700" s="58" t="s">
        <v>3520</v>
      </c>
      <c r="C700" s="53" t="s">
        <v>203</v>
      </c>
      <c r="D700" s="51"/>
      <c r="E700" s="51"/>
      <c r="F70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0" s="46"/>
      <c r="H700" s="53"/>
      <c r="I700" s="53" t="s">
        <v>3775</v>
      </c>
      <c r="J700" s="53" t="s">
        <v>3811</v>
      </c>
      <c r="K700" s="48">
        <v>45625</v>
      </c>
      <c r="L700" s="49" t="s">
        <v>201</v>
      </c>
      <c r="M700" s="53"/>
      <c r="N700" s="77" t="str">
        <f>Table26[[#This Row],[po_number]]&amp;"-"&amp;Table26[[#This Row],[po_line]]</f>
        <v>-14</v>
      </c>
      <c r="O700" s="77">
        <v>14</v>
      </c>
      <c r="P700" s="50"/>
      <c r="Q700" s="53" t="s">
        <v>3812</v>
      </c>
      <c r="R700" s="53" t="s">
        <v>569</v>
      </c>
      <c r="S700" s="53" t="str">
        <f>IF(Table26[[#This Row],[customerSKU]]="","",_xlfn.XLOOKUP(Table26[[#This Row],[customerSKU]],customerSKU!G:G,customerSKU!N:N,"NOT FOUND",0,1))</f>
        <v>NOT FOUND</v>
      </c>
      <c r="T700" s="51">
        <v>45588</v>
      </c>
      <c r="U700" s="52">
        <v>60</v>
      </c>
      <c r="V700" s="53" t="str">
        <f>IF(ISBLANK(Table26[[#This Row],[customerSKU]]),"",_xlfn.XLOOKUP(Table26[[#This Row],[customerSKU]],Table27[customer_SKU],Table27[case_size],"",0,1))</f>
        <v/>
      </c>
      <c r="W700" s="116" t="str">
        <f t="shared" si="30"/>
        <v/>
      </c>
      <c r="X700" s="53" t="str">
        <f t="shared" si="29"/>
        <v/>
      </c>
      <c r="Y700" s="53" t="str">
        <f>IF(Table26[[#This Row],[customerSKU]]="","",_xlfn.XLOOKUP(Table26[[#This Row],[customerSKU]],Table27[customer_SKU],Table27[product_GTIN],"",0,1))</f>
        <v/>
      </c>
      <c r="Z700" s="60">
        <v>61616</v>
      </c>
      <c r="AA700" s="18" t="str" cm="1">
        <f t="array" ref="AA700">IF(P700="", "", _xlfn.XLOOKUP(P700,#REF!,#REF!,NA,0,-1))</f>
        <v/>
      </c>
      <c r="AB700" s="53"/>
      <c r="AC700" s="55" t="s">
        <v>79</v>
      </c>
      <c r="AD700" s="55" t="str">
        <f>IF($AC700="","",_xlfn.XLOOKUP($AC700,'[2]Client Info'!$C$2:$C$2535,'[2]Client Info'!$D$2:$D$2535,"",0,1))</f>
        <v>4-1832 King Edward St.</v>
      </c>
      <c r="AE700" s="55" t="str">
        <f>IF($AC700="","",_xlfn.XLOOKUP($AC700,'[2]Client Info'!$C$2:$C$2715,'[2]Client Info'!$E$2:$E$2715,"",))</f>
        <v>WINNIPEG</v>
      </c>
      <c r="AF700" s="55" t="str">
        <f>IF($AC700="","",_xlfn.XLOOKUP($AC700,'[2]Client Info'!$C$2:$C$2715,'[2]Client Info'!$F$2:$F$2715,"",0,1))</f>
        <v>MB</v>
      </c>
      <c r="AG700" s="55" t="s">
        <v>3420</v>
      </c>
      <c r="AH700" s="62" t="str">
        <f>_xlfn.XLOOKUP(Table26[[#This Row],[customerSKU]],customerSKU!G:G,customerSKU!K:K,"NA",0,1)</f>
        <v>NA</v>
      </c>
      <c r="AI700" s="43" t="str">
        <f>_xlfn.XLOOKUP(Table26[[#This Row],[customerSKU]],customerSKU!G:G,customerSKU!O:O,"not found",0,1)</f>
        <v>not found</v>
      </c>
      <c r="AJ700" s="53" t="e">
        <f>Table26[[#This Row],[unitprice]]*Table26[[#This Row],[quantity_unit]]</f>
        <v>#VALUE!</v>
      </c>
      <c r="AK700" s="53" t="e" cm="1">
        <f t="array" ref="AK7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01" spans="1:37" ht="18" customHeight="1">
      <c r="A701" s="42">
        <v>1543</v>
      </c>
      <c r="B701" s="58" t="s">
        <v>3520</v>
      </c>
      <c r="C701" s="53" t="s">
        <v>203</v>
      </c>
      <c r="D701" s="51"/>
      <c r="E701" s="51"/>
      <c r="F70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1" s="46"/>
      <c r="H701" s="53"/>
      <c r="I701" s="53" t="s">
        <v>3862</v>
      </c>
      <c r="J701" s="53" t="str">
        <f>IF(Table26[[#This Row],[customerSKU]]="","",_xlfn.XLOOKUP(Table26[[#This Row],[customerSKU]],customerSKU!G:G,customerSKU!A:A,"",0,1))</f>
        <v/>
      </c>
      <c r="K701" s="48">
        <v>45625</v>
      </c>
      <c r="L701" s="49" t="str">
        <f>IF(Table26[[#This Row],[customerSKU]]="","",_xlfn.XLOOKUP(Table26[[#This Row],[customerSKU]],customerSKU!G:G,customerSKU!B:B,"",0,1))</f>
        <v/>
      </c>
      <c r="M701" s="53"/>
      <c r="N701" s="77" t="str">
        <f>Table26[[#This Row],[po_number]]&amp;"-"&amp;Table26[[#This Row],[po_line]]</f>
        <v>-1</v>
      </c>
      <c r="O701" s="77">
        <v>1</v>
      </c>
      <c r="P701" s="50"/>
      <c r="Q701" s="53" t="s">
        <v>3566</v>
      </c>
      <c r="R701" s="53" t="s">
        <v>569</v>
      </c>
      <c r="S701" s="53" t="str">
        <f>IF(Table26[[#This Row],[customerSKU]]="","",_xlfn.XLOOKUP(Table26[[#This Row],[customerSKU]],customerSKU!G:G,customerSKU!N:N,"NOT FOUND",0,1))</f>
        <v>NOT FOUND</v>
      </c>
      <c r="T701" s="51">
        <v>45597</v>
      </c>
      <c r="U701" s="52">
        <v>36</v>
      </c>
      <c r="V701" s="53" t="str">
        <f>IF(ISBLANK(Table26[[#This Row],[customerSKU]]),"",_xlfn.XLOOKUP(Table26[[#This Row],[customerSKU]],Table27[customer_SKU],Table27[case_size],"",0,1))</f>
        <v/>
      </c>
      <c r="W701" s="116" t="str">
        <f t="shared" si="30"/>
        <v/>
      </c>
      <c r="X701" s="53" t="str">
        <f t="shared" si="29"/>
        <v/>
      </c>
      <c r="Y701" s="53" t="str">
        <f>IF(Table26[[#This Row],[customerSKU]]="","",_xlfn.XLOOKUP(Table26[[#This Row],[customerSKU]],Table27[customer_SKU],Table27[product_GTIN],"",0,1))</f>
        <v/>
      </c>
      <c r="Z701" s="60">
        <v>992356</v>
      </c>
      <c r="AA701" s="18" t="str" cm="1">
        <f t="array" ref="AA701">IF(P701="", "", _xlfn.XLOOKUP(P701,#REF!,#REF!,NA,0,-1))</f>
        <v/>
      </c>
      <c r="AB701" s="53"/>
      <c r="AC701" s="55" t="str">
        <f>IF(Table26[[#This Row],[customerSKU]]="","",_xlfn.XLOOKUP(Table26[[#This Row],[customerSKU]],customerSKU!G:G,customerSKU!C:C,"",0,1))</f>
        <v/>
      </c>
      <c r="AD701" s="55" t="str">
        <f>IF($AC701="","",_xlfn.XLOOKUP($AC701,'[2]Client Info'!$C$2:$C$2535,'[2]Client Info'!$D$2:$D$2535,"",0,1))</f>
        <v/>
      </c>
      <c r="AE701" s="55" t="str">
        <f>IF($AC701="","",_xlfn.XLOOKUP($AC701,'[2]Client Info'!$C$2:$C$2715,'[2]Client Info'!$E$2:$E$2715,"",))</f>
        <v/>
      </c>
      <c r="AF701" s="55" t="str">
        <f>IF($AC701="","",_xlfn.XLOOKUP($AC701,'[2]Client Info'!$C$2:$C$2715,'[2]Client Info'!$F$2:$F$2715,"",0,1))</f>
        <v/>
      </c>
      <c r="AG701" s="55" t="str">
        <f>IF(ISBLANK(Table26[[#This Row],[customerSKU]]),"",_xlfn.XLOOKUP(Table26[[#This Row],[customerSKU]],Table27[customer_SKU],Table27[billto],"",0,1))</f>
        <v/>
      </c>
      <c r="AH701" s="62" t="str">
        <f>_xlfn.XLOOKUP(Table26[[#This Row],[customerSKU]],customerSKU!G:G,customerSKU!K:K,"NA",0,1)</f>
        <v>NA</v>
      </c>
      <c r="AI701" s="43" t="str">
        <f>_xlfn.XLOOKUP(Table26[[#This Row],[customerSKU]],customerSKU!G:G,customerSKU!O:O,"not found",0,1)</f>
        <v>not found</v>
      </c>
      <c r="AJ701" s="59" t="e">
        <f>Table26[[#This Row],[unitprice]]*Table26[[#This Row],[quantity_unit]]</f>
        <v>#VALUE!</v>
      </c>
      <c r="AK701" s="59" t="e" cm="1">
        <f t="array" ref="AK7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2" spans="1:37" ht="18" customHeight="1">
      <c r="A702" s="42">
        <v>1544</v>
      </c>
      <c r="B702" s="58" t="s">
        <v>3520</v>
      </c>
      <c r="C702" s="53" t="s">
        <v>203</v>
      </c>
      <c r="D702" s="51"/>
      <c r="E702" s="51"/>
      <c r="F70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2" s="46"/>
      <c r="H702" s="53"/>
      <c r="I702" s="53" t="s">
        <v>3862</v>
      </c>
      <c r="J702" s="53" t="str">
        <f>IF(Table26[[#This Row],[customerSKU]]="","",_xlfn.XLOOKUP(Table26[[#This Row],[customerSKU]],customerSKU!G:G,customerSKU!A:A,"",0,1))</f>
        <v/>
      </c>
      <c r="K702" s="48">
        <v>45625</v>
      </c>
      <c r="L702" s="49" t="str">
        <f>IF(Table26[[#This Row],[customerSKU]]="","",_xlfn.XLOOKUP(Table26[[#This Row],[customerSKU]],customerSKU!G:G,customerSKU!B:B,"",0,1))</f>
        <v/>
      </c>
      <c r="M702" s="53"/>
      <c r="N702" s="77" t="str">
        <f>Table26[[#This Row],[po_number]]&amp;"-"&amp;Table26[[#This Row],[po_line]]</f>
        <v>-2</v>
      </c>
      <c r="O702" s="77">
        <v>2</v>
      </c>
      <c r="P702" s="50"/>
      <c r="Q702" s="53" t="s">
        <v>1382</v>
      </c>
      <c r="R702" s="53" t="s">
        <v>569</v>
      </c>
      <c r="S702" s="53" t="str">
        <f>IF(Table26[[#This Row],[customerSKU]]="","",_xlfn.XLOOKUP(Table26[[#This Row],[customerSKU]],customerSKU!G:G,customerSKU!N:N,"NOT FOUND",0,1))</f>
        <v>NOT FOUND</v>
      </c>
      <c r="T702" s="51">
        <v>45594</v>
      </c>
      <c r="U702" s="52">
        <v>60</v>
      </c>
      <c r="V702" s="53" t="str">
        <f>IF(ISBLANK(Table26[[#This Row],[customerSKU]]),"",_xlfn.XLOOKUP(Table26[[#This Row],[customerSKU]],Table27[customer_SKU],Table27[case_size],"",0,1))</f>
        <v/>
      </c>
      <c r="W702" s="116" t="str">
        <f t="shared" si="30"/>
        <v/>
      </c>
      <c r="X702" s="53" t="str">
        <f t="shared" si="29"/>
        <v/>
      </c>
      <c r="Y702" s="53" t="str">
        <f>IF(Table26[[#This Row],[customerSKU]]="","",_xlfn.XLOOKUP(Table26[[#This Row],[customerSKU]],Table27[customer_SKU],Table27[product_GTIN],"",0,1))</f>
        <v/>
      </c>
      <c r="Z702" s="60" t="s">
        <v>3888</v>
      </c>
      <c r="AA702" s="18" t="str" cm="1">
        <f t="array" ref="AA702">IF(P702="", "", _xlfn.XLOOKUP(P702,#REF!,#REF!,NA,0,-1))</f>
        <v/>
      </c>
      <c r="AB702" s="53"/>
      <c r="AC702" s="55" t="str">
        <f>IF(Table26[[#This Row],[customerSKU]]="","",_xlfn.XLOOKUP(Table26[[#This Row],[customerSKU]],customerSKU!G:G,customerSKU!C:C,"",0,1))</f>
        <v/>
      </c>
      <c r="AD702" s="55" t="str">
        <f>IF($AC702="","",_xlfn.XLOOKUP($AC702,'[2]Client Info'!$C$2:$C$2535,'[2]Client Info'!$D$2:$D$2535,"",0,1))</f>
        <v/>
      </c>
      <c r="AE702" s="55" t="str">
        <f>IF($AC702="","",_xlfn.XLOOKUP($AC702,'[2]Client Info'!$C$2:$C$2715,'[2]Client Info'!$E$2:$E$2715,"",))</f>
        <v/>
      </c>
      <c r="AF702" s="55" t="str">
        <f>IF($AC702="","",_xlfn.XLOOKUP($AC702,'[2]Client Info'!$C$2:$C$2715,'[2]Client Info'!$F$2:$F$2715,"",0,1))</f>
        <v/>
      </c>
      <c r="AG702" s="55" t="str">
        <f>IF(ISBLANK(Table26[[#This Row],[customerSKU]]),"",_xlfn.XLOOKUP(Table26[[#This Row],[customerSKU]],Table27[customer_SKU],Table27[billto],"",0,1))</f>
        <v/>
      </c>
      <c r="AH702" s="62" t="str">
        <f>_xlfn.XLOOKUP(Table26[[#This Row],[customerSKU]],customerSKU!G:G,customerSKU!K:K,"NA",0,1)</f>
        <v>NA</v>
      </c>
      <c r="AI702" s="43" t="str">
        <f>_xlfn.XLOOKUP(Table26[[#This Row],[customerSKU]],customerSKU!G:G,customerSKU!O:O,"not found",0,1)</f>
        <v>not found</v>
      </c>
      <c r="AJ702" s="59" t="e">
        <f>Table26[[#This Row],[unitprice]]*Table26[[#This Row],[quantity_unit]]</f>
        <v>#VALUE!</v>
      </c>
      <c r="AK702" s="59" t="e" cm="1">
        <f t="array" ref="AK7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3" spans="1:37" ht="18" customHeight="1">
      <c r="A703" s="42">
        <v>1545</v>
      </c>
      <c r="B703" s="58" t="s">
        <v>3520</v>
      </c>
      <c r="C703" s="53" t="s">
        <v>203</v>
      </c>
      <c r="D703" s="51"/>
      <c r="E703" s="51"/>
      <c r="F70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3" s="46"/>
      <c r="H703" s="53"/>
      <c r="I703" s="53" t="s">
        <v>3862</v>
      </c>
      <c r="J703" s="53" t="str">
        <f>IF(Table26[[#This Row],[customerSKU]]="","",_xlfn.XLOOKUP(Table26[[#This Row],[customerSKU]],customerSKU!G:G,customerSKU!A:A,"",0,1))</f>
        <v/>
      </c>
      <c r="K703" s="48">
        <v>45625</v>
      </c>
      <c r="L703" s="49" t="str">
        <f>IF(Table26[[#This Row],[customerSKU]]="","",_xlfn.XLOOKUP(Table26[[#This Row],[customerSKU]],customerSKU!G:G,customerSKU!B:B,"",0,1))</f>
        <v/>
      </c>
      <c r="M703" s="53"/>
      <c r="N703" s="77" t="str">
        <f>Table26[[#This Row],[po_number]]&amp;"-"&amp;Table26[[#This Row],[po_line]]</f>
        <v>-3</v>
      </c>
      <c r="O703" s="77">
        <v>3</v>
      </c>
      <c r="P703" s="50"/>
      <c r="Q703" s="53" t="s">
        <v>1849</v>
      </c>
      <c r="R703" s="53" t="s">
        <v>569</v>
      </c>
      <c r="S703" s="53" t="str">
        <f>IF(Table26[[#This Row],[customerSKU]]="","",_xlfn.XLOOKUP(Table26[[#This Row],[customerSKU]],customerSKU!G:G,customerSKU!N:N,"NOT FOUND",0,1))</f>
        <v>NOT FOUND</v>
      </c>
      <c r="T703" s="51">
        <v>45447</v>
      </c>
      <c r="U703" s="52">
        <v>12</v>
      </c>
      <c r="V703" s="53" t="str">
        <f>IF(ISBLANK(Table26[[#This Row],[customerSKU]]),"",_xlfn.XLOOKUP(Table26[[#This Row],[customerSKU]],Table27[customer_SKU],Table27[case_size],"",0,1))</f>
        <v/>
      </c>
      <c r="W703" s="116" t="str">
        <f t="shared" si="30"/>
        <v/>
      </c>
      <c r="X703" s="53" t="str">
        <f t="shared" si="29"/>
        <v/>
      </c>
      <c r="Y703" s="53" t="str">
        <f>IF(Table26[[#This Row],[customerSKU]]="","",_xlfn.XLOOKUP(Table26[[#This Row],[customerSKU]],Table27[customer_SKU],Table27[product_GTIN],"",0,1))</f>
        <v/>
      </c>
      <c r="Z703" s="60">
        <v>990828</v>
      </c>
      <c r="AA703" s="18" t="str" cm="1">
        <f t="array" ref="AA703">IF(P703="", "", _xlfn.XLOOKUP(P703,#REF!,#REF!,NA,0,-1))</f>
        <v/>
      </c>
      <c r="AB703" s="53"/>
      <c r="AC703" s="55" t="str">
        <f>IF(Table26[[#This Row],[customerSKU]]="","",_xlfn.XLOOKUP(Table26[[#This Row],[customerSKU]],customerSKU!G:G,customerSKU!C:C,"",0,1))</f>
        <v/>
      </c>
      <c r="AD703" s="55" t="str">
        <f>IF($AC703="","",_xlfn.XLOOKUP($AC703,'[2]Client Info'!$C$2:$C$2535,'[2]Client Info'!$D$2:$D$2535,"",0,1))</f>
        <v/>
      </c>
      <c r="AE703" s="55" t="str">
        <f>IF($AC703="","",_xlfn.XLOOKUP($AC703,'[2]Client Info'!$C$2:$C$2715,'[2]Client Info'!$E$2:$E$2715,"",))</f>
        <v/>
      </c>
      <c r="AF703" s="55" t="str">
        <f>IF($AC703="","",_xlfn.XLOOKUP($AC703,'[2]Client Info'!$C$2:$C$2715,'[2]Client Info'!$F$2:$F$2715,"",0,1))</f>
        <v/>
      </c>
      <c r="AG703" s="55" t="str">
        <f>IF(ISBLANK(Table26[[#This Row],[customerSKU]]),"",_xlfn.XLOOKUP(Table26[[#This Row],[customerSKU]],Table27[customer_SKU],Table27[billto],"",0,1))</f>
        <v/>
      </c>
      <c r="AH703" s="62" t="str">
        <f>_xlfn.XLOOKUP(Table26[[#This Row],[customerSKU]],customerSKU!G:G,customerSKU!K:K,"NA",0,1)</f>
        <v>NA</v>
      </c>
      <c r="AI703" s="43" t="str">
        <f>_xlfn.XLOOKUP(Table26[[#This Row],[customerSKU]],customerSKU!G:G,customerSKU!O:O,"not found",0,1)</f>
        <v>not found</v>
      </c>
      <c r="AJ703" s="53" t="e">
        <f>Table26[[#This Row],[unitprice]]*Table26[[#This Row],[quantity_unit]]</f>
        <v>#VALUE!</v>
      </c>
      <c r="AK703" s="53" t="e" cm="1">
        <f t="array" ref="AK7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4" spans="1:37" ht="18" customHeight="1">
      <c r="A704" s="42">
        <v>1546</v>
      </c>
      <c r="B704" s="58" t="s">
        <v>3520</v>
      </c>
      <c r="C704" s="53" t="s">
        <v>203</v>
      </c>
      <c r="D704" s="51"/>
      <c r="E704" s="51"/>
      <c r="F70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4" s="46"/>
      <c r="H704" s="53"/>
      <c r="I704" s="53" t="s">
        <v>3862</v>
      </c>
      <c r="J704" s="53" t="str">
        <f>IF(Table26[[#This Row],[customerSKU]]="","",_xlfn.XLOOKUP(Table26[[#This Row],[customerSKU]],customerSKU!G:G,customerSKU!A:A,"",0,1))</f>
        <v/>
      </c>
      <c r="K704" s="48">
        <v>45625</v>
      </c>
      <c r="L704" s="49" t="str">
        <f>IF(Table26[[#This Row],[customerSKU]]="","",_xlfn.XLOOKUP(Table26[[#This Row],[customerSKU]],customerSKU!G:G,customerSKU!B:B,"",0,1))</f>
        <v/>
      </c>
      <c r="M704" s="53"/>
      <c r="N704" s="77" t="str">
        <f>Table26[[#This Row],[po_number]]&amp;"-"&amp;Table26[[#This Row],[po_line]]</f>
        <v>-4</v>
      </c>
      <c r="O704" s="77">
        <v>4</v>
      </c>
      <c r="P704" s="50"/>
      <c r="Q704" s="53" t="s">
        <v>1849</v>
      </c>
      <c r="R704" s="53" t="s">
        <v>569</v>
      </c>
      <c r="S704" s="53" t="str">
        <f>IF(Table26[[#This Row],[customerSKU]]="","",_xlfn.XLOOKUP(Table26[[#This Row],[customerSKU]],customerSKU!G:G,customerSKU!N:N,"NOT FOUND",0,1))</f>
        <v>NOT FOUND</v>
      </c>
      <c r="T704" s="51">
        <v>45616</v>
      </c>
      <c r="U704" s="67">
        <v>24</v>
      </c>
      <c r="V704" s="53" t="str">
        <f>IF(ISBLANK(Table26[[#This Row],[customerSKU]]),"",_xlfn.XLOOKUP(Table26[[#This Row],[customerSKU]],Table27[customer_SKU],Table27[case_size],"",0,1))</f>
        <v/>
      </c>
      <c r="W704" s="116" t="str">
        <f t="shared" si="30"/>
        <v/>
      </c>
      <c r="X704" s="53" t="str">
        <f t="shared" si="29"/>
        <v/>
      </c>
      <c r="Y704" s="53" t="str">
        <f>IF(Table26[[#This Row],[customerSKU]]="","",_xlfn.XLOOKUP(Table26[[#This Row],[customerSKU]],Table27[customer_SKU],Table27[product_GTIN],"",0,1))</f>
        <v/>
      </c>
      <c r="Z704" s="60">
        <v>990828</v>
      </c>
      <c r="AA704" s="18" t="str" cm="1">
        <f t="array" ref="AA704">IF(P704="", "", _xlfn.XLOOKUP(P704,#REF!,#REF!,NA,0,-1))</f>
        <v/>
      </c>
      <c r="AB704" s="53"/>
      <c r="AC704" s="55" t="str">
        <f>IF(Table26[[#This Row],[customerSKU]]="","",_xlfn.XLOOKUP(Table26[[#This Row],[customerSKU]],customerSKU!G:G,customerSKU!C:C,"",0,1))</f>
        <v/>
      </c>
      <c r="AD704" s="55" t="str">
        <f>IF($AC704="","",_xlfn.XLOOKUP($AC704,'[2]Client Info'!$C$2:$C$2535,'[2]Client Info'!$D$2:$D$2535,"",0,1))</f>
        <v/>
      </c>
      <c r="AE704" s="55" t="str">
        <f>IF($AC704="","",_xlfn.XLOOKUP($AC704,'[2]Client Info'!$C$2:$C$2715,'[2]Client Info'!$E$2:$E$2715,"",))</f>
        <v/>
      </c>
      <c r="AF704" s="55" t="str">
        <f>IF($AC704="","",_xlfn.XLOOKUP($AC704,'[2]Client Info'!$C$2:$C$2715,'[2]Client Info'!$F$2:$F$2715,"",0,1))</f>
        <v/>
      </c>
      <c r="AG704" s="55" t="str">
        <f>IF(ISBLANK(Table26[[#This Row],[customerSKU]]),"",_xlfn.XLOOKUP(Table26[[#This Row],[customerSKU]],Table27[customer_SKU],Table27[billto],"",0,1))</f>
        <v/>
      </c>
      <c r="AH704" s="62" t="str">
        <f>_xlfn.XLOOKUP(Table26[[#This Row],[customerSKU]],customerSKU!G:G,customerSKU!K:K,"NA",0,1)</f>
        <v>NA</v>
      </c>
      <c r="AI704" s="43" t="str">
        <f>_xlfn.XLOOKUP(Table26[[#This Row],[customerSKU]],customerSKU!G:G,customerSKU!O:O,"not found",0,1)</f>
        <v>not found</v>
      </c>
      <c r="AJ704" s="53" t="e">
        <f>Table26[[#This Row],[unitprice]]*Table26[[#This Row],[quantity_unit]]</f>
        <v>#VALUE!</v>
      </c>
      <c r="AK704" s="53" t="e" cm="1">
        <f t="array" ref="AK7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5" spans="1:37" ht="24.6" customHeight="1">
      <c r="A705" s="42">
        <v>1547</v>
      </c>
      <c r="B705" s="58" t="s">
        <v>3520</v>
      </c>
      <c r="C705" s="53" t="s">
        <v>203</v>
      </c>
      <c r="D705" s="51"/>
      <c r="E705" s="51"/>
      <c r="F70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5" s="46"/>
      <c r="H705" s="53"/>
      <c r="I705" s="53" t="s">
        <v>3862</v>
      </c>
      <c r="J705" s="53" t="str">
        <f>IF(Table26[[#This Row],[customerSKU]]="","",_xlfn.XLOOKUP(Table26[[#This Row],[customerSKU]],customerSKU!G:G,customerSKU!A:A,"",0,1))</f>
        <v/>
      </c>
      <c r="K705" s="48">
        <v>45625</v>
      </c>
      <c r="L705" s="49" t="str">
        <f>IF(Table26[[#This Row],[customerSKU]]="","",_xlfn.XLOOKUP(Table26[[#This Row],[customerSKU]],customerSKU!G:G,customerSKU!B:B,"",0,1))</f>
        <v/>
      </c>
      <c r="M705" s="53"/>
      <c r="N705" s="77" t="str">
        <f>Table26[[#This Row],[po_number]]&amp;"-"&amp;Table26[[#This Row],[po_line]]</f>
        <v>-5</v>
      </c>
      <c r="O705" s="77">
        <v>5</v>
      </c>
      <c r="P705" s="50"/>
      <c r="Q705" s="53" t="s">
        <v>3889</v>
      </c>
      <c r="R705" s="53" t="s">
        <v>569</v>
      </c>
      <c r="S705" s="53" t="str">
        <f>IF(Table26[[#This Row],[customerSKU]]="","",_xlfn.XLOOKUP(Table26[[#This Row],[customerSKU]],customerSKU!G:G,customerSKU!N:N,"NOT FOUND",0,1))</f>
        <v>NOT FOUND</v>
      </c>
      <c r="T705" s="51">
        <v>45510</v>
      </c>
      <c r="U705" s="52">
        <v>12</v>
      </c>
      <c r="V705" s="53" t="str">
        <f>IF(ISBLANK(Table26[[#This Row],[customerSKU]]),"",_xlfn.XLOOKUP(Table26[[#This Row],[customerSKU]],Table27[customer_SKU],Table27[case_size],"",0,1))</f>
        <v/>
      </c>
      <c r="W705" s="116" t="str">
        <f t="shared" si="30"/>
        <v/>
      </c>
      <c r="X705" s="53" t="str">
        <f t="shared" si="29"/>
        <v/>
      </c>
      <c r="Y705" s="53" t="str">
        <f>IF(Table26[[#This Row],[customerSKU]]="","",_xlfn.XLOOKUP(Table26[[#This Row],[customerSKU]],Table27[customer_SKU],Table27[product_GTIN],"",0,1))</f>
        <v/>
      </c>
      <c r="Z705" s="25" t="s">
        <v>3570</v>
      </c>
      <c r="AA705" s="18" t="str" cm="1">
        <f t="array" ref="AA705">IF(P705="", "", _xlfn.XLOOKUP(P705,#REF!,#REF!,NA,0,-1))</f>
        <v/>
      </c>
      <c r="AB705" s="53"/>
      <c r="AC705" s="55" t="str">
        <f>IF(Table26[[#This Row],[customerSKU]]="","",_xlfn.XLOOKUP(Table26[[#This Row],[customerSKU]],customerSKU!G:G,customerSKU!C:C,"",0,1))</f>
        <v/>
      </c>
      <c r="AD705" s="55" t="str">
        <f>IF($AC705="","",_xlfn.XLOOKUP($AC705,'[2]Client Info'!$C$2:$C$2535,'[2]Client Info'!$D$2:$D$2535,"",0,1))</f>
        <v/>
      </c>
      <c r="AE705" s="55" t="str">
        <f>IF($AC705="","",_xlfn.XLOOKUP($AC705,'[2]Client Info'!$C$2:$C$2715,'[2]Client Info'!$E$2:$E$2715,"",))</f>
        <v/>
      </c>
      <c r="AF705" s="55" t="str">
        <f>IF($AC705="","",_xlfn.XLOOKUP($AC705,'[2]Client Info'!$C$2:$C$2715,'[2]Client Info'!$F$2:$F$2715,"",0,1))</f>
        <v/>
      </c>
      <c r="AG705" s="55" t="str">
        <f>IF(ISBLANK(Table26[[#This Row],[customerSKU]]),"",_xlfn.XLOOKUP(Table26[[#This Row],[customerSKU]],Table27[customer_SKU],Table27[billto],"",0,1))</f>
        <v/>
      </c>
      <c r="AH705" s="62" t="str">
        <f>_xlfn.XLOOKUP(Table26[[#This Row],[customerSKU]],customerSKU!G:G,customerSKU!K:K,"NA",0,1)</f>
        <v>NA</v>
      </c>
      <c r="AI705" s="43" t="str">
        <f>_xlfn.XLOOKUP(Table26[[#This Row],[customerSKU]],customerSKU!G:G,customerSKU!O:O,"not found",0,1)</f>
        <v>not found</v>
      </c>
      <c r="AJ705" s="53" t="e">
        <f>Table26[[#This Row],[unitprice]]*Table26[[#This Row],[quantity_unit]]</f>
        <v>#VALUE!</v>
      </c>
      <c r="AK705" s="53" t="e" cm="1">
        <f t="array" ref="AK7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6" spans="1:37" ht="24.6" customHeight="1">
      <c r="A706" s="42">
        <v>1548</v>
      </c>
      <c r="B706" s="58" t="s">
        <v>3520</v>
      </c>
      <c r="C706" s="53" t="s">
        <v>203</v>
      </c>
      <c r="D706" s="51"/>
      <c r="E706" s="51"/>
      <c r="F70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6" s="46"/>
      <c r="H706" s="53"/>
      <c r="I706" s="53" t="s">
        <v>3862</v>
      </c>
      <c r="J706" s="53" t="str">
        <f>IF(Table26[[#This Row],[customerSKU]]="","",_xlfn.XLOOKUP(Table26[[#This Row],[customerSKU]],customerSKU!G:G,customerSKU!A:A,"",0,1))</f>
        <v/>
      </c>
      <c r="K706" s="48">
        <v>45625</v>
      </c>
      <c r="L706" s="49" t="str">
        <f>IF(Table26[[#This Row],[customerSKU]]="","",_xlfn.XLOOKUP(Table26[[#This Row],[customerSKU]],customerSKU!G:G,customerSKU!B:B,"",0,1))</f>
        <v/>
      </c>
      <c r="M706" s="53"/>
      <c r="N706" s="77" t="str">
        <f>Table26[[#This Row],[po_number]]&amp;"-"&amp;Table26[[#This Row],[po_line]]</f>
        <v>-6</v>
      </c>
      <c r="O706" s="77">
        <v>6</v>
      </c>
      <c r="P706" s="50"/>
      <c r="Q706" s="53" t="s">
        <v>1313</v>
      </c>
      <c r="R706" s="53" t="s">
        <v>569</v>
      </c>
      <c r="S706" s="53" t="str">
        <f>IF(Table26[[#This Row],[customerSKU]]="","",_xlfn.XLOOKUP(Table26[[#This Row],[customerSKU]],customerSKU!G:G,customerSKU!N:N,"NOT FOUND",0,1))</f>
        <v>NOT FOUND</v>
      </c>
      <c r="T706" s="51">
        <v>45575</v>
      </c>
      <c r="U706" s="52">
        <v>24</v>
      </c>
      <c r="V706" s="53" t="str">
        <f>IF(ISBLANK(Table26[[#This Row],[customerSKU]]),"",_xlfn.XLOOKUP(Table26[[#This Row],[customerSKU]],Table27[customer_SKU],Table27[case_size],"",0,1))</f>
        <v/>
      </c>
      <c r="W706" s="116" t="str">
        <f t="shared" si="30"/>
        <v/>
      </c>
      <c r="X706" s="53" t="str">
        <f t="shared" si="29"/>
        <v/>
      </c>
      <c r="Y706" s="53" t="str">
        <f>IF(Table26[[#This Row],[customerSKU]]="","",_xlfn.XLOOKUP(Table26[[#This Row],[customerSKU]],Table27[customer_SKU],Table27[product_GTIN],"",0,1))</f>
        <v/>
      </c>
      <c r="Z706" s="60">
        <v>994667</v>
      </c>
      <c r="AA706" s="18" t="str" cm="1">
        <f t="array" ref="AA706">IF(P706="", "", _xlfn.XLOOKUP(P706,#REF!,#REF!,NA,0,-1))</f>
        <v/>
      </c>
      <c r="AB706" s="53"/>
      <c r="AC706" s="55" t="str">
        <f>IF(Table26[[#This Row],[customerSKU]]="","",_xlfn.XLOOKUP(Table26[[#This Row],[customerSKU]],customerSKU!G:G,customerSKU!C:C,"",0,1))</f>
        <v/>
      </c>
      <c r="AD706" s="55" t="str">
        <f>IF($AC706="","",_xlfn.XLOOKUP($AC706,'[2]Client Info'!$C$2:$C$2535,'[2]Client Info'!$D$2:$D$2535,"",0,1))</f>
        <v/>
      </c>
      <c r="AE706" s="55" t="str">
        <f>IF($AC706="","",_xlfn.XLOOKUP($AC706,'[2]Client Info'!$C$2:$C$2715,'[2]Client Info'!$E$2:$E$2715,"",))</f>
        <v/>
      </c>
      <c r="AF706" s="55" t="str">
        <f>IF($AC706="","",_xlfn.XLOOKUP($AC706,'[2]Client Info'!$C$2:$C$2715,'[2]Client Info'!$F$2:$F$2715,"",0,1))</f>
        <v/>
      </c>
      <c r="AG706" s="55" t="str">
        <f>IF(ISBLANK(Table26[[#This Row],[customerSKU]]),"",_xlfn.XLOOKUP(Table26[[#This Row],[customerSKU]],Table27[customer_SKU],Table27[billto],"",0,1))</f>
        <v/>
      </c>
      <c r="AH706" s="62" t="str">
        <f>_xlfn.XLOOKUP(Table26[[#This Row],[customerSKU]],customerSKU!G:G,customerSKU!K:K,"NA",0,1)</f>
        <v>NA</v>
      </c>
      <c r="AI706" s="43" t="str">
        <f>_xlfn.XLOOKUP(Table26[[#This Row],[customerSKU]],customerSKU!G:G,customerSKU!O:O,"not found",0,1)</f>
        <v>not found</v>
      </c>
      <c r="AJ706" s="53" t="e">
        <f>Table26[[#This Row],[unitprice]]*Table26[[#This Row],[quantity_unit]]</f>
        <v>#VALUE!</v>
      </c>
      <c r="AK706" s="53" t="e" cm="1">
        <f t="array" ref="AK7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7" spans="1:37" ht="24.6" customHeight="1">
      <c r="A707" s="42">
        <v>1549</v>
      </c>
      <c r="B707" s="58" t="s">
        <v>3520</v>
      </c>
      <c r="C707" s="53" t="s">
        <v>203</v>
      </c>
      <c r="D707" s="51"/>
      <c r="E707" s="51"/>
      <c r="F70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7" s="46"/>
      <c r="H707" s="53"/>
      <c r="I707" s="53" t="s">
        <v>3862</v>
      </c>
      <c r="J707" s="53" t="str">
        <f>IF(Table26[[#This Row],[customerSKU]]="","",_xlfn.XLOOKUP(Table26[[#This Row],[customerSKU]],customerSKU!G:G,customerSKU!A:A,"",0,1))</f>
        <v/>
      </c>
      <c r="K707" s="48">
        <v>45625</v>
      </c>
      <c r="L707" s="49" t="str">
        <f>IF(Table26[[#This Row],[customerSKU]]="","",_xlfn.XLOOKUP(Table26[[#This Row],[customerSKU]],customerSKU!G:G,customerSKU!B:B,"",0,1))</f>
        <v/>
      </c>
      <c r="M707" s="53"/>
      <c r="N707" s="77" t="str">
        <f>Table26[[#This Row],[po_number]]&amp;"-"&amp;Table26[[#This Row],[po_line]]</f>
        <v>-7</v>
      </c>
      <c r="O707" s="77">
        <v>7</v>
      </c>
      <c r="P707" s="50"/>
      <c r="Q707" s="53" t="s">
        <v>630</v>
      </c>
      <c r="R707" s="53" t="s">
        <v>569</v>
      </c>
      <c r="S707" s="53" t="str">
        <f>IF(Table26[[#This Row],[customerSKU]]="","",_xlfn.XLOOKUP(Table26[[#This Row],[customerSKU]],customerSKU!G:G,customerSKU!N:N,"NOT FOUND",0,1))</f>
        <v>NOT FOUND</v>
      </c>
      <c r="T707" s="51">
        <v>45581</v>
      </c>
      <c r="U707" s="52">
        <v>24</v>
      </c>
      <c r="V707" s="53" t="str">
        <f>IF(ISBLANK(Table26[[#This Row],[customerSKU]]),"",_xlfn.XLOOKUP(Table26[[#This Row],[customerSKU]],Table27[customer_SKU],Table27[case_size],"",0,1))</f>
        <v/>
      </c>
      <c r="W707" s="116" t="str">
        <f t="shared" si="30"/>
        <v/>
      </c>
      <c r="X707" s="53" t="str">
        <f t="shared" si="29"/>
        <v/>
      </c>
      <c r="Y707" s="53" t="str">
        <f>IF(Table26[[#This Row],[customerSKU]]="","",_xlfn.XLOOKUP(Table26[[#This Row],[customerSKU]],Table27[customer_SKU],Table27[product_GTIN],"",0,1))</f>
        <v/>
      </c>
      <c r="Z707" s="60">
        <v>994668</v>
      </c>
      <c r="AA707" s="18" t="str" cm="1">
        <f t="array" ref="AA707">IF(P707="", "", _xlfn.XLOOKUP(P707,#REF!,#REF!,NA,0,-1))</f>
        <v/>
      </c>
      <c r="AB707" s="53"/>
      <c r="AC707" s="55" t="str">
        <f>IF(Table26[[#This Row],[customerSKU]]="","",_xlfn.XLOOKUP(Table26[[#This Row],[customerSKU]],customerSKU!G:G,customerSKU!C:C,"",0,1))</f>
        <v/>
      </c>
      <c r="AD707" s="55" t="str">
        <f>IF($AC707="","",_xlfn.XLOOKUP($AC707,'[2]Client Info'!$C$2:$C$2535,'[2]Client Info'!$D$2:$D$2535,"",0,1))</f>
        <v/>
      </c>
      <c r="AE707" s="55" t="str">
        <f>IF($AC707="","",_xlfn.XLOOKUP($AC707,'[2]Client Info'!$C$2:$C$2715,'[2]Client Info'!$E$2:$E$2715,"",))</f>
        <v/>
      </c>
      <c r="AF707" s="55" t="str">
        <f>IF($AC707="","",_xlfn.XLOOKUP($AC707,'[2]Client Info'!$C$2:$C$2715,'[2]Client Info'!$F$2:$F$2715,"",0,1))</f>
        <v/>
      </c>
      <c r="AG707" s="55" t="str">
        <f>IF(ISBLANK(Table26[[#This Row],[customerSKU]]),"",_xlfn.XLOOKUP(Table26[[#This Row],[customerSKU]],Table27[customer_SKU],Table27[billto],"",0,1))</f>
        <v/>
      </c>
      <c r="AH707" s="62" t="str">
        <f>_xlfn.XLOOKUP(Table26[[#This Row],[customerSKU]],customerSKU!G:G,customerSKU!K:K,"NA",0,1)</f>
        <v>NA</v>
      </c>
      <c r="AI707" s="43" t="str">
        <f>_xlfn.XLOOKUP(Table26[[#This Row],[customerSKU]],customerSKU!G:G,customerSKU!O:O,"not found",0,1)</f>
        <v>not found</v>
      </c>
      <c r="AJ707" s="53" t="e">
        <f>Table26[[#This Row],[unitprice]]*Table26[[#This Row],[quantity_unit]]</f>
        <v>#VALUE!</v>
      </c>
      <c r="AK707" s="53" t="e" cm="1">
        <f t="array" ref="AK7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8" spans="1:37" ht="18" customHeight="1">
      <c r="A708" s="42">
        <v>1550</v>
      </c>
      <c r="B708" s="58" t="s">
        <v>3520</v>
      </c>
      <c r="C708" s="53" t="s">
        <v>203</v>
      </c>
      <c r="D708" s="51"/>
      <c r="E708" s="51"/>
      <c r="F70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8" s="46"/>
      <c r="H708" s="53"/>
      <c r="I708" s="53" t="s">
        <v>3862</v>
      </c>
      <c r="J708" s="53" t="str">
        <f>IF(Table26[[#This Row],[customerSKU]]="","",_xlfn.XLOOKUP(Table26[[#This Row],[customerSKU]],customerSKU!G:G,customerSKU!A:A,"",0,1))</f>
        <v/>
      </c>
      <c r="K708" s="48">
        <v>45625</v>
      </c>
      <c r="L708" s="49" t="str">
        <f>IF(Table26[[#This Row],[customerSKU]]="","",_xlfn.XLOOKUP(Table26[[#This Row],[customerSKU]],customerSKU!G:G,customerSKU!B:B,"",0,1))</f>
        <v/>
      </c>
      <c r="M708" s="53"/>
      <c r="N708" s="77" t="str">
        <f>Table26[[#This Row],[po_number]]&amp;"-"&amp;Table26[[#This Row],[po_line]]</f>
        <v>-8</v>
      </c>
      <c r="O708" s="77">
        <v>8</v>
      </c>
      <c r="P708" s="50"/>
      <c r="Q708" s="53" t="s">
        <v>866</v>
      </c>
      <c r="R708" s="53" t="s">
        <v>569</v>
      </c>
      <c r="S708" s="53" t="str">
        <f>IF(Table26[[#This Row],[customerSKU]]="","",_xlfn.XLOOKUP(Table26[[#This Row],[customerSKU]],customerSKU!G:G,customerSKU!N:N,"NOT FOUND",0,1))</f>
        <v>NOT FOUND</v>
      </c>
      <c r="T708" s="51">
        <v>45567</v>
      </c>
      <c r="U708" s="52">
        <v>24</v>
      </c>
      <c r="V708" s="53" t="str">
        <f>IF(ISBLANK(Table26[[#This Row],[customerSKU]]),"",_xlfn.XLOOKUP(Table26[[#This Row],[customerSKU]],Table27[customer_SKU],Table27[case_size],"",0,1))</f>
        <v/>
      </c>
      <c r="W708" s="116" t="str">
        <f t="shared" si="30"/>
        <v/>
      </c>
      <c r="X708" s="53" t="str">
        <f t="shared" si="29"/>
        <v/>
      </c>
      <c r="Y708" s="53" t="str">
        <f>IF(Table26[[#This Row],[customerSKU]]="","",_xlfn.XLOOKUP(Table26[[#This Row],[customerSKU]],Table27[customer_SKU],Table27[product_GTIN],"",0,1))</f>
        <v/>
      </c>
      <c r="Z708" s="60">
        <v>994666</v>
      </c>
      <c r="AA708" s="18" t="str" cm="1">
        <f t="array" ref="AA708">IF(P708="", "", _xlfn.XLOOKUP(P708,#REF!,#REF!,NA,0,-1))</f>
        <v/>
      </c>
      <c r="AB708" s="53"/>
      <c r="AC708" s="55" t="str">
        <f>IF(Table26[[#This Row],[customerSKU]]="","",_xlfn.XLOOKUP(Table26[[#This Row],[customerSKU]],customerSKU!G:G,customerSKU!C:C,"",0,1))</f>
        <v/>
      </c>
      <c r="AD708" s="55" t="str">
        <f>IF($AC708="","",_xlfn.XLOOKUP($AC708,'[2]Client Info'!$C$2:$C$2535,'[2]Client Info'!$D$2:$D$2535,"",0,1))</f>
        <v/>
      </c>
      <c r="AE708" s="55" t="str">
        <f>IF($AC708="","",_xlfn.XLOOKUP($AC708,'[2]Client Info'!$C$2:$C$2715,'[2]Client Info'!$E$2:$E$2715,"",))</f>
        <v/>
      </c>
      <c r="AF708" s="55" t="str">
        <f>IF($AC708="","",_xlfn.XLOOKUP($AC708,'[2]Client Info'!$C$2:$C$2715,'[2]Client Info'!$F$2:$F$2715,"",0,1))</f>
        <v/>
      </c>
      <c r="AG708" s="55" t="str">
        <f>IF(ISBLANK(Table26[[#This Row],[customerSKU]]),"",_xlfn.XLOOKUP(Table26[[#This Row],[customerSKU]],Table27[customer_SKU],Table27[billto],"",0,1))</f>
        <v/>
      </c>
      <c r="AH708" s="62" t="str">
        <f>_xlfn.XLOOKUP(Table26[[#This Row],[customerSKU]],customerSKU!G:G,customerSKU!K:K,"NA",0,1)</f>
        <v>NA</v>
      </c>
      <c r="AI708" s="43" t="str">
        <f>_xlfn.XLOOKUP(Table26[[#This Row],[customerSKU]],customerSKU!G:G,customerSKU!O:O,"not found",0,1)</f>
        <v>not found</v>
      </c>
      <c r="AJ708" s="53" t="e">
        <f>Table26[[#This Row],[unitprice]]*Table26[[#This Row],[quantity_unit]]</f>
        <v>#VALUE!</v>
      </c>
      <c r="AK708" s="53" t="e" cm="1">
        <f t="array" ref="AK7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09" spans="1:37" ht="18" customHeight="1">
      <c r="A709" s="42">
        <v>1551</v>
      </c>
      <c r="B709" s="58" t="s">
        <v>3520</v>
      </c>
      <c r="C709" s="53" t="s">
        <v>203</v>
      </c>
      <c r="D709" s="51"/>
      <c r="E709" s="51"/>
      <c r="F70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09" s="46"/>
      <c r="H709" s="53"/>
      <c r="I709" s="53" t="s">
        <v>3862</v>
      </c>
      <c r="J709" s="53" t="str">
        <f>IF(Table26[[#This Row],[customerSKU]]="","",_xlfn.XLOOKUP(Table26[[#This Row],[customerSKU]],customerSKU!G:G,customerSKU!A:A,"",0,1))</f>
        <v/>
      </c>
      <c r="K709" s="48">
        <v>45625</v>
      </c>
      <c r="L709" s="49" t="str">
        <f>IF(Table26[[#This Row],[customerSKU]]="","",_xlfn.XLOOKUP(Table26[[#This Row],[customerSKU]],customerSKU!G:G,customerSKU!B:B,"",0,1))</f>
        <v/>
      </c>
      <c r="M709" s="53"/>
      <c r="N709" s="77" t="str">
        <f>Table26[[#This Row],[po_number]]&amp;"-"&amp;Table26[[#This Row],[po_line]]</f>
        <v>-9</v>
      </c>
      <c r="O709" s="77">
        <v>9</v>
      </c>
      <c r="P709" s="50"/>
      <c r="Q709" s="53" t="s">
        <v>905</v>
      </c>
      <c r="R709" s="53" t="s">
        <v>569</v>
      </c>
      <c r="S709" s="53" t="str">
        <f>IF(Table26[[#This Row],[customerSKU]]="","",_xlfn.XLOOKUP(Table26[[#This Row],[customerSKU]],customerSKU!G:G,customerSKU!N:N,"NOT FOUND",0,1))</f>
        <v>NOT FOUND</v>
      </c>
      <c r="T709" s="51">
        <v>45570</v>
      </c>
      <c r="U709" s="52">
        <v>24</v>
      </c>
      <c r="V709" s="53" t="str">
        <f>IF(ISBLANK(Table26[[#This Row],[customerSKU]]),"",_xlfn.XLOOKUP(Table26[[#This Row],[customerSKU]],Table27[customer_SKU],Table27[case_size],"",0,1))</f>
        <v/>
      </c>
      <c r="W709" s="116" t="str">
        <f t="shared" si="30"/>
        <v/>
      </c>
      <c r="X709" s="53" t="str">
        <f t="shared" si="29"/>
        <v/>
      </c>
      <c r="Y709" s="53" t="str">
        <f>IF(Table26[[#This Row],[customerSKU]]="","",_xlfn.XLOOKUP(Table26[[#This Row],[customerSKU]],Table27[customer_SKU],Table27[product_GTIN],"",0,1))</f>
        <v/>
      </c>
      <c r="Z709" s="25" t="s">
        <v>3485</v>
      </c>
      <c r="AA709" s="18" t="str" cm="1">
        <f t="array" ref="AA709">IF(P709="", "", _xlfn.XLOOKUP(P709,#REF!,#REF!,NA,0,-1))</f>
        <v/>
      </c>
      <c r="AB709" s="53"/>
      <c r="AC709" s="55" t="str">
        <f>IF(Table26[[#This Row],[customerSKU]]="","",_xlfn.XLOOKUP(Table26[[#This Row],[customerSKU]],customerSKU!G:G,customerSKU!C:C,"",0,1))</f>
        <v/>
      </c>
      <c r="AD709" s="55" t="str">
        <f>IF($AC709="","",_xlfn.XLOOKUP($AC709,'[2]Client Info'!$C$2:$C$2535,'[2]Client Info'!$D$2:$D$2535,"",0,1))</f>
        <v/>
      </c>
      <c r="AE709" s="55" t="str">
        <f>IF($AC709="","",_xlfn.XLOOKUP($AC709,'[2]Client Info'!$C$2:$C$2715,'[2]Client Info'!$E$2:$E$2715,"",))</f>
        <v/>
      </c>
      <c r="AF709" s="55" t="str">
        <f>IF($AC709="","",_xlfn.XLOOKUP($AC709,'[2]Client Info'!$C$2:$C$2715,'[2]Client Info'!$F$2:$F$2715,"",0,1))</f>
        <v/>
      </c>
      <c r="AG709" s="55" t="str">
        <f>IF(ISBLANK(Table26[[#This Row],[customerSKU]]),"",_xlfn.XLOOKUP(Table26[[#This Row],[customerSKU]],Table27[customer_SKU],Table27[billto],"",0,1))</f>
        <v/>
      </c>
      <c r="AH709" s="62" t="str">
        <f>_xlfn.XLOOKUP(Table26[[#This Row],[customerSKU]],customerSKU!G:G,customerSKU!K:K,"NA",0,1)</f>
        <v>NA</v>
      </c>
      <c r="AI709" s="43" t="str">
        <f>_xlfn.XLOOKUP(Table26[[#This Row],[customerSKU]],customerSKU!G:G,customerSKU!O:O,"not found",0,1)</f>
        <v>not found</v>
      </c>
      <c r="AJ709" s="53" t="e">
        <f>Table26[[#This Row],[unitprice]]*Table26[[#This Row],[quantity_unit]]</f>
        <v>#VALUE!</v>
      </c>
      <c r="AK709" s="53" t="e" cm="1">
        <f t="array" ref="AK7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0" spans="1:37" ht="18" customHeight="1">
      <c r="A710" s="42">
        <v>1552</v>
      </c>
      <c r="B710" s="58" t="s">
        <v>3520</v>
      </c>
      <c r="C710" s="53" t="s">
        <v>203</v>
      </c>
      <c r="D710" s="51"/>
      <c r="E710" s="51"/>
      <c r="F71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0" s="46"/>
      <c r="H710" s="53"/>
      <c r="I710" s="53" t="s">
        <v>3862</v>
      </c>
      <c r="J710" s="53" t="str">
        <f>IF(Table26[[#This Row],[customerSKU]]="","",_xlfn.XLOOKUP(Table26[[#This Row],[customerSKU]],customerSKU!G:G,customerSKU!A:A,"",0,1))</f>
        <v/>
      </c>
      <c r="K710" s="48">
        <v>45625</v>
      </c>
      <c r="L710" s="49" t="str">
        <f>IF(Table26[[#This Row],[customerSKU]]="","",_xlfn.XLOOKUP(Table26[[#This Row],[customerSKU]],customerSKU!G:G,customerSKU!B:B,"",0,1))</f>
        <v/>
      </c>
      <c r="M710" s="53"/>
      <c r="N710" s="77" t="str">
        <f>Table26[[#This Row],[po_number]]&amp;"-"&amp;Table26[[#This Row],[po_line]]</f>
        <v>-10</v>
      </c>
      <c r="O710" s="77">
        <v>10</v>
      </c>
      <c r="P710" s="50"/>
      <c r="Q710" s="53" t="s">
        <v>1134</v>
      </c>
      <c r="R710" s="53" t="s">
        <v>569</v>
      </c>
      <c r="S710" s="53" t="str">
        <f>IF(Table26[[#This Row],[customerSKU]]="","",_xlfn.XLOOKUP(Table26[[#This Row],[customerSKU]],customerSKU!G:G,customerSKU!N:N,"NOT FOUND",0,1))</f>
        <v>NOT FOUND</v>
      </c>
      <c r="T710" s="51">
        <v>45588</v>
      </c>
      <c r="U710" s="52">
        <v>24</v>
      </c>
      <c r="V710" s="53" t="str">
        <f>IF(ISBLANK(Table26[[#This Row],[customerSKU]]),"",_xlfn.XLOOKUP(Table26[[#This Row],[customerSKU]],Table27[customer_SKU],Table27[case_size],"",0,1))</f>
        <v/>
      </c>
      <c r="W710" s="116" t="str">
        <f t="shared" si="30"/>
        <v/>
      </c>
      <c r="X710" s="53" t="str">
        <f t="shared" si="29"/>
        <v/>
      </c>
      <c r="Y710" s="53" t="str">
        <f>IF(Table26[[#This Row],[customerSKU]]="","",_xlfn.XLOOKUP(Table26[[#This Row],[customerSKU]],Table27[customer_SKU],Table27[product_GTIN],"",0,1))</f>
        <v/>
      </c>
      <c r="Z710" s="60">
        <v>995024</v>
      </c>
      <c r="AA710" s="18" t="str" cm="1">
        <f t="array" ref="AA710">IF(P710="", "", _xlfn.XLOOKUP(P710,#REF!,#REF!,NA,0,-1))</f>
        <v/>
      </c>
      <c r="AB710" s="53"/>
      <c r="AC710" s="55" t="str">
        <f>IF(Table26[[#This Row],[customerSKU]]="","",_xlfn.XLOOKUP(Table26[[#This Row],[customerSKU]],customerSKU!G:G,customerSKU!C:C,"",0,1))</f>
        <v/>
      </c>
      <c r="AD710" s="55" t="str">
        <f>IF($AC710="","",_xlfn.XLOOKUP($AC710,'[2]Client Info'!$C$2:$C$2535,'[2]Client Info'!$D$2:$D$2535,"",0,1))</f>
        <v/>
      </c>
      <c r="AE710" s="55" t="str">
        <f>IF($AC710="","",_xlfn.XLOOKUP($AC710,'[2]Client Info'!$C$2:$C$2715,'[2]Client Info'!$E$2:$E$2715,"",))</f>
        <v/>
      </c>
      <c r="AF710" s="55" t="str">
        <f>IF($AC710="","",_xlfn.XLOOKUP($AC710,'[2]Client Info'!$C$2:$C$2715,'[2]Client Info'!$F$2:$F$2715,"",0,1))</f>
        <v/>
      </c>
      <c r="AG710" s="55" t="str">
        <f>IF(ISBLANK(Table26[[#This Row],[customerSKU]]),"",_xlfn.XLOOKUP(Table26[[#This Row],[customerSKU]],Table27[customer_SKU],Table27[billto],"",0,1))</f>
        <v/>
      </c>
      <c r="AH710" s="62" t="str">
        <f>_xlfn.XLOOKUP(Table26[[#This Row],[customerSKU]],customerSKU!G:G,customerSKU!K:K,"NA",0,1)</f>
        <v>NA</v>
      </c>
      <c r="AI710" s="43" t="str">
        <f>_xlfn.XLOOKUP(Table26[[#This Row],[customerSKU]],customerSKU!G:G,customerSKU!O:O,"not found",0,1)</f>
        <v>not found</v>
      </c>
      <c r="AJ710" s="53" t="e">
        <f>Table26[[#This Row],[unitprice]]*Table26[[#This Row],[quantity_unit]]</f>
        <v>#VALUE!</v>
      </c>
      <c r="AK710" s="53" t="e" cm="1">
        <f t="array" ref="AK7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1" spans="1:37" ht="18" customHeight="1">
      <c r="A711" s="42">
        <v>1553</v>
      </c>
      <c r="B711" s="58" t="s">
        <v>3520</v>
      </c>
      <c r="C711" s="53" t="s">
        <v>203</v>
      </c>
      <c r="D711" s="51"/>
      <c r="E711" s="51"/>
      <c r="F711" s="53"/>
      <c r="G711" s="46"/>
      <c r="H711" s="53"/>
      <c r="I711" s="53" t="s">
        <v>3862</v>
      </c>
      <c r="J711" s="53" t="str">
        <f>IF(Table26[[#This Row],[customerSKU]]="","",_xlfn.XLOOKUP(Table26[[#This Row],[customerSKU]],customerSKU!G:G,customerSKU!A:A,"",0,1))</f>
        <v/>
      </c>
      <c r="K711" s="48">
        <v>45625</v>
      </c>
      <c r="L711" s="49" t="str">
        <f>IF(Table26[[#This Row],[customerSKU]]="","",_xlfn.XLOOKUP(Table26[[#This Row],[customerSKU]],customerSKU!G:G,customerSKU!B:B,"",0,1))</f>
        <v/>
      </c>
      <c r="M711" s="53"/>
      <c r="N711" s="77" t="str">
        <f>Table26[[#This Row],[po_number]]&amp;"-"&amp;Table26[[#This Row],[po_line]]</f>
        <v>-11</v>
      </c>
      <c r="O711" s="77">
        <v>11</v>
      </c>
      <c r="P711" s="50"/>
      <c r="Q711" s="377" t="s">
        <v>1734</v>
      </c>
      <c r="R711" s="53" t="s">
        <v>569</v>
      </c>
      <c r="S711" s="53" t="str">
        <f>IF(Table26[[#This Row],[customerSKU]]="","",_xlfn.XLOOKUP(Table26[[#This Row],[customerSKU]],customerSKU!G:G,customerSKU!N:N,"NOT FOUND",0,1))</f>
        <v>NOT FOUND</v>
      </c>
      <c r="T711" s="51">
        <v>45618</v>
      </c>
      <c r="U711" s="67">
        <v>12</v>
      </c>
      <c r="V711" s="53" t="str">
        <f>IF(ISBLANK(Table26[[#This Row],[customerSKU]]),"",_xlfn.XLOOKUP(Table26[[#This Row],[customerSKU]],Table27[customer_SKU],Table27[case_size],"",0,1))</f>
        <v/>
      </c>
      <c r="W711" s="116" t="str">
        <f t="shared" si="30"/>
        <v/>
      </c>
      <c r="X711" s="53" t="str">
        <f t="shared" si="29"/>
        <v/>
      </c>
      <c r="Y711" s="53" t="str">
        <f>IF(Table26[[#This Row],[customerSKU]]="","",_xlfn.XLOOKUP(Table26[[#This Row],[customerSKU]],Table27[customer_SKU],Table27[product_GTIN],"",0,1))</f>
        <v/>
      </c>
      <c r="Z711" s="25" t="s">
        <v>3646</v>
      </c>
      <c r="AA711" s="18" t="str" cm="1">
        <f t="array" ref="AA711">IF(P711="", "", _xlfn.XLOOKUP(P711,#REF!,#REF!,NA,0,-1))</f>
        <v/>
      </c>
      <c r="AB711" s="53"/>
      <c r="AC711" s="55" t="str">
        <f>IF(Table26[[#This Row],[customerSKU]]="","",_xlfn.XLOOKUP(Table26[[#This Row],[customerSKU]],customerSKU!G:G,customerSKU!C:C,"",0,1))</f>
        <v/>
      </c>
      <c r="AD711" s="55" t="str">
        <f>IF($AC711="","",_xlfn.XLOOKUP($AC711,'[2]Client Info'!$C$2:$C$2535,'[2]Client Info'!$D$2:$D$2535,"",0,1))</f>
        <v/>
      </c>
      <c r="AE711" s="55" t="str">
        <f>IF($AC711="","",_xlfn.XLOOKUP($AC711,'[2]Client Info'!$C$2:$C$2715,'[2]Client Info'!$E$2:$E$2715,"",))</f>
        <v/>
      </c>
      <c r="AF711" s="55" t="str">
        <f>IF($AC711="","",_xlfn.XLOOKUP($AC711,'[2]Client Info'!$C$2:$C$2715,'[2]Client Info'!$F$2:$F$2715,"",0,1))</f>
        <v/>
      </c>
      <c r="AG711" s="55" t="str">
        <f>IF(ISBLANK(Table26[[#This Row],[customerSKU]]),"",_xlfn.XLOOKUP(Table26[[#This Row],[customerSKU]],Table27[customer_SKU],Table27[billto],"",0,1))</f>
        <v/>
      </c>
      <c r="AH711" s="62" t="str">
        <f>_xlfn.XLOOKUP(Table26[[#This Row],[customerSKU]],customerSKU!G:G,customerSKU!K:K,"NA",0,1)</f>
        <v>NA</v>
      </c>
      <c r="AI711" s="43" t="str">
        <f>_xlfn.XLOOKUP(Table26[[#This Row],[customerSKU]],customerSKU!G:G,customerSKU!O:O,"not found",0,1)</f>
        <v>not found</v>
      </c>
      <c r="AJ711" s="53" t="e">
        <f>Table26[[#This Row],[unitprice]]*Table26[[#This Row],[quantity_unit]]</f>
        <v>#VALUE!</v>
      </c>
      <c r="AK711" s="53" t="e" cm="1">
        <f t="array" ref="AK7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2" spans="1:37" ht="18" customHeight="1">
      <c r="A712" s="42">
        <v>1554</v>
      </c>
      <c r="B712" s="58" t="s">
        <v>3520</v>
      </c>
      <c r="C712" s="53" t="s">
        <v>203</v>
      </c>
      <c r="D712" s="51"/>
      <c r="E712" s="51"/>
      <c r="F71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2" s="46"/>
      <c r="H712" s="53"/>
      <c r="I712" s="53" t="s">
        <v>3862</v>
      </c>
      <c r="J712" s="53" t="str">
        <f>IF(Table26[[#This Row],[customerSKU]]="","",_xlfn.XLOOKUP(Table26[[#This Row],[customerSKU]],customerSKU!G:G,customerSKU!A:A,"",0,1))</f>
        <v/>
      </c>
      <c r="K712" s="48">
        <v>45625</v>
      </c>
      <c r="L712" s="49" t="str">
        <f>IF(Table26[[#This Row],[customerSKU]]="","",_xlfn.XLOOKUP(Table26[[#This Row],[customerSKU]],customerSKU!G:G,customerSKU!B:B,"",0,1))</f>
        <v/>
      </c>
      <c r="M712" s="53"/>
      <c r="N712" s="77" t="str">
        <f>Table26[[#This Row],[po_number]]&amp;"-"&amp;Table26[[#This Row],[po_line]]</f>
        <v>-12</v>
      </c>
      <c r="O712" s="77">
        <v>12</v>
      </c>
      <c r="P712" s="50"/>
      <c r="Q712" s="53" t="s">
        <v>1862</v>
      </c>
      <c r="R712" s="53" t="s">
        <v>569</v>
      </c>
      <c r="S712" s="53" t="str">
        <f>IF(Table26[[#This Row],[customerSKU]]="","",_xlfn.XLOOKUP(Table26[[#This Row],[customerSKU]],customerSKU!G:G,customerSKU!N:N,"NOT FOUND",0,1))</f>
        <v>NOT FOUND</v>
      </c>
      <c r="T712" s="51">
        <v>45594</v>
      </c>
      <c r="U712" s="52">
        <v>12</v>
      </c>
      <c r="V712" s="53" t="str">
        <f>IF(ISBLANK(Table26[[#This Row],[customerSKU]]),"",_xlfn.XLOOKUP(Table26[[#This Row],[customerSKU]],Table27[customer_SKU],Table27[case_size],"",0,1))</f>
        <v/>
      </c>
      <c r="W712" s="116" t="str">
        <f t="shared" si="30"/>
        <v/>
      </c>
      <c r="X712" s="53" t="str">
        <f t="shared" si="29"/>
        <v/>
      </c>
      <c r="Y712" s="53" t="str">
        <f>IF(Table26[[#This Row],[customerSKU]]="","",_xlfn.XLOOKUP(Table26[[#This Row],[customerSKU]],Table27[customer_SKU],Table27[product_GTIN],"",0,1))</f>
        <v/>
      </c>
      <c r="Z712" s="25" t="s">
        <v>3646</v>
      </c>
      <c r="AA712" s="18" t="str" cm="1">
        <f t="array" ref="AA712">IF(P712="", "", _xlfn.XLOOKUP(P712,#REF!,#REF!,NA,0,-1))</f>
        <v/>
      </c>
      <c r="AB712" s="53"/>
      <c r="AC712" s="55" t="str">
        <f>IF(Table26[[#This Row],[customerSKU]]="","",_xlfn.XLOOKUP(Table26[[#This Row],[customerSKU]],customerSKU!G:G,customerSKU!C:C,"",0,1))</f>
        <v/>
      </c>
      <c r="AD712" s="55" t="str">
        <f>IF($AC712="","",_xlfn.XLOOKUP($AC712,'[2]Client Info'!$C$2:$C$2535,'[2]Client Info'!$D$2:$D$2535,"",0,1))</f>
        <v/>
      </c>
      <c r="AE712" s="55" t="str">
        <f>IF($AC712="","",_xlfn.XLOOKUP($AC712,'[2]Client Info'!$C$2:$C$2715,'[2]Client Info'!$E$2:$E$2715,"",))</f>
        <v/>
      </c>
      <c r="AF712" s="55" t="str">
        <f>IF($AC712="","",_xlfn.XLOOKUP($AC712,'[2]Client Info'!$C$2:$C$2715,'[2]Client Info'!$F$2:$F$2715,"",0,1))</f>
        <v/>
      </c>
      <c r="AG712" s="55" t="str">
        <f>IF(ISBLANK(Table26[[#This Row],[customerSKU]]),"",_xlfn.XLOOKUP(Table26[[#This Row],[customerSKU]],Table27[customer_SKU],Table27[billto],"",0,1))</f>
        <v/>
      </c>
      <c r="AH712" s="62" t="str">
        <f>_xlfn.XLOOKUP(Table26[[#This Row],[customerSKU]],customerSKU!G:G,customerSKU!K:K,"NA",0,1)</f>
        <v>NA</v>
      </c>
      <c r="AI712" s="43" t="str">
        <f>_xlfn.XLOOKUP(Table26[[#This Row],[customerSKU]],customerSKU!G:G,customerSKU!O:O,"not found",0,1)</f>
        <v>not found</v>
      </c>
      <c r="AJ712" s="53" t="e">
        <f>Table26[[#This Row],[unitprice]]*Table26[[#This Row],[quantity_unit]]</f>
        <v>#VALUE!</v>
      </c>
      <c r="AK712" s="53" t="e" cm="1">
        <f t="array" ref="AK7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3" spans="1:37" ht="18" customHeight="1">
      <c r="A713" s="42">
        <v>1555</v>
      </c>
      <c r="B713" s="58" t="s">
        <v>3520</v>
      </c>
      <c r="C713" s="53" t="s">
        <v>203</v>
      </c>
      <c r="D713" s="51"/>
      <c r="E713" s="51"/>
      <c r="F71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3" s="46"/>
      <c r="H713" s="53"/>
      <c r="I713" s="53" t="s">
        <v>3862</v>
      </c>
      <c r="J713" s="53" t="str">
        <f>IF(Table26[[#This Row],[customerSKU]]="","",_xlfn.XLOOKUP(Table26[[#This Row],[customerSKU]],customerSKU!G:G,customerSKU!A:A,"",0,1))</f>
        <v/>
      </c>
      <c r="K713" s="48">
        <v>45625</v>
      </c>
      <c r="L713" s="49" t="str">
        <f>IF(Table26[[#This Row],[customerSKU]]="","",_xlfn.XLOOKUP(Table26[[#This Row],[customerSKU]],customerSKU!G:G,customerSKU!B:B,"",0,1))</f>
        <v/>
      </c>
      <c r="M713" s="53"/>
      <c r="N713" s="77" t="str">
        <f>Table26[[#This Row],[po_number]]&amp;"-"&amp;Table26[[#This Row],[po_line]]</f>
        <v>-13</v>
      </c>
      <c r="O713" s="77">
        <v>13</v>
      </c>
      <c r="P713" s="50"/>
      <c r="Q713" s="53" t="s">
        <v>1735</v>
      </c>
      <c r="R713" s="53" t="s">
        <v>569</v>
      </c>
      <c r="S713" s="53" t="str">
        <f>IF(Table26[[#This Row],[customerSKU]]="","",_xlfn.XLOOKUP(Table26[[#This Row],[customerSKU]],customerSKU!G:G,customerSKU!N:N,"NOT FOUND",0,1))</f>
        <v>NOT FOUND</v>
      </c>
      <c r="T713" s="51">
        <v>45623</v>
      </c>
      <c r="U713" s="52">
        <v>12</v>
      </c>
      <c r="V713" s="53" t="str">
        <f>IF(ISBLANK(Table26[[#This Row],[customerSKU]]),"",_xlfn.XLOOKUP(Table26[[#This Row],[customerSKU]],Table27[customer_SKU],Table27[case_size],"",0,1))</f>
        <v/>
      </c>
      <c r="W713" s="116" t="str">
        <f t="shared" si="30"/>
        <v/>
      </c>
      <c r="X713" s="53" t="str">
        <f t="shared" si="29"/>
        <v/>
      </c>
      <c r="Y713" s="53" t="str">
        <f>IF(Table26[[#This Row],[customerSKU]]="","",_xlfn.XLOOKUP(Table26[[#This Row],[customerSKU]],Table27[customer_SKU],Table27[product_GTIN],"",0,1))</f>
        <v/>
      </c>
      <c r="Z713" s="60">
        <v>994673</v>
      </c>
      <c r="AA713" s="18" t="str" cm="1">
        <f t="array" ref="AA713">IF(P713="", "", _xlfn.XLOOKUP(P713,#REF!,#REF!,NA,0,-1))</f>
        <v/>
      </c>
      <c r="AB713" s="53"/>
      <c r="AC713" s="55" t="str">
        <f>IF(Table26[[#This Row],[customerSKU]]="","",_xlfn.XLOOKUP(Table26[[#This Row],[customerSKU]],customerSKU!G:G,customerSKU!C:C,"",0,1))</f>
        <v/>
      </c>
      <c r="AD713" s="55" t="str">
        <f>IF($AC713="","",_xlfn.XLOOKUP($AC713,'[2]Client Info'!$C$2:$C$2535,'[2]Client Info'!$D$2:$D$2535,"",0,1))</f>
        <v/>
      </c>
      <c r="AE713" s="55" t="str">
        <f>IF($AC713="","",_xlfn.XLOOKUP($AC713,'[2]Client Info'!$C$2:$C$2715,'[2]Client Info'!$E$2:$E$2715,"",))</f>
        <v/>
      </c>
      <c r="AF713" s="55" t="str">
        <f>IF($AC713="","",_xlfn.XLOOKUP($AC713,'[2]Client Info'!$C$2:$C$2715,'[2]Client Info'!$F$2:$F$2715,"",0,1))</f>
        <v/>
      </c>
      <c r="AG713" s="55" t="str">
        <f>IF(ISBLANK(Table26[[#This Row],[customerSKU]]),"",_xlfn.XLOOKUP(Table26[[#This Row],[customerSKU]],Table27[customer_SKU],Table27[billto],"",0,1))</f>
        <v/>
      </c>
      <c r="AH713" s="62" t="str">
        <f>_xlfn.XLOOKUP(Table26[[#This Row],[customerSKU]],customerSKU!G:G,customerSKU!K:K,"NA",0,1)</f>
        <v>NA</v>
      </c>
      <c r="AI713" s="43" t="str">
        <f>_xlfn.XLOOKUP(Table26[[#This Row],[customerSKU]],customerSKU!G:G,customerSKU!O:O,"not found",0,1)</f>
        <v>not found</v>
      </c>
      <c r="AJ713" s="53" t="e">
        <f>Table26[[#This Row],[unitprice]]*Table26[[#This Row],[quantity_unit]]</f>
        <v>#VALUE!</v>
      </c>
      <c r="AK713" s="53" t="e" cm="1">
        <f t="array" ref="AK7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4" spans="1:37" ht="18" customHeight="1">
      <c r="A714" s="42">
        <v>1556</v>
      </c>
      <c r="B714" s="58" t="s">
        <v>3520</v>
      </c>
      <c r="C714" s="53" t="s">
        <v>203</v>
      </c>
      <c r="D714" s="51"/>
      <c r="E714" s="51"/>
      <c r="F71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4" s="46"/>
      <c r="H714" s="53"/>
      <c r="I714" s="53" t="s">
        <v>3862</v>
      </c>
      <c r="J714" s="53" t="str">
        <f>IF(Table26[[#This Row],[customerSKU]]="","",_xlfn.XLOOKUP(Table26[[#This Row],[customerSKU]],customerSKU!G:G,customerSKU!A:A,"",0,1))</f>
        <v/>
      </c>
      <c r="K714" s="48">
        <v>45625</v>
      </c>
      <c r="L714" s="49" t="str">
        <f>IF(Table26[[#This Row],[customerSKU]]="","",_xlfn.XLOOKUP(Table26[[#This Row],[customerSKU]],customerSKU!G:G,customerSKU!B:B,"",0,1))</f>
        <v/>
      </c>
      <c r="M714" s="53"/>
      <c r="N714" s="77" t="str">
        <f>Table26[[#This Row],[po_number]]&amp;"-"&amp;Table26[[#This Row],[po_line]]</f>
        <v>-14</v>
      </c>
      <c r="O714" s="77">
        <v>14</v>
      </c>
      <c r="P714" s="50"/>
      <c r="Q714" s="53" t="s">
        <v>1315</v>
      </c>
      <c r="R714" s="53" t="s">
        <v>569</v>
      </c>
      <c r="S714" s="53" t="str">
        <f>IF(Table26[[#This Row],[customerSKU]]="","",_xlfn.XLOOKUP(Table26[[#This Row],[customerSKU]],customerSKU!G:G,customerSKU!N:N,"NOT FOUND",0,1))</f>
        <v>NOT FOUND</v>
      </c>
      <c r="T714" s="51">
        <v>45555</v>
      </c>
      <c r="U714" s="52">
        <v>12</v>
      </c>
      <c r="V714" s="53" t="str">
        <f>IF(ISBLANK(Table26[[#This Row],[customerSKU]]),"",_xlfn.XLOOKUP(Table26[[#This Row],[customerSKU]],Table27[customer_SKU],Table27[case_size],"",0,1))</f>
        <v/>
      </c>
      <c r="W714" s="116" t="str">
        <f t="shared" si="30"/>
        <v/>
      </c>
      <c r="X714" s="53" t="str">
        <f t="shared" si="29"/>
        <v/>
      </c>
      <c r="Y714" s="53" t="str">
        <f>IF(Table26[[#This Row],[customerSKU]]="","",_xlfn.XLOOKUP(Table26[[#This Row],[customerSKU]],Table27[customer_SKU],Table27[product_GTIN],"",0,1))</f>
        <v/>
      </c>
      <c r="Z714" s="60">
        <v>994675</v>
      </c>
      <c r="AA714" s="18" t="str" cm="1">
        <f t="array" ref="AA714">IF(P714="", "", _xlfn.XLOOKUP(P714,#REF!,#REF!,NA,0,-1))</f>
        <v/>
      </c>
      <c r="AB714" s="53"/>
      <c r="AC714" s="55" t="str">
        <f>IF(Table26[[#This Row],[customerSKU]]="","",_xlfn.XLOOKUP(Table26[[#This Row],[customerSKU]],customerSKU!G:G,customerSKU!C:C,"",0,1))</f>
        <v/>
      </c>
      <c r="AD714" s="55" t="str">
        <f>IF($AC714="","",_xlfn.XLOOKUP($AC714,'[2]Client Info'!$C$2:$C$2535,'[2]Client Info'!$D$2:$D$2535,"",0,1))</f>
        <v/>
      </c>
      <c r="AE714" s="55" t="str">
        <f>IF($AC714="","",_xlfn.XLOOKUP($AC714,'[2]Client Info'!$C$2:$C$2715,'[2]Client Info'!$E$2:$E$2715,"",))</f>
        <v/>
      </c>
      <c r="AF714" s="55" t="str">
        <f>IF($AC714="","",_xlfn.XLOOKUP($AC714,'[2]Client Info'!$C$2:$C$2715,'[2]Client Info'!$F$2:$F$2715,"",0,1))</f>
        <v/>
      </c>
      <c r="AG714" s="55" t="str">
        <f>IF(ISBLANK(Table26[[#This Row],[customerSKU]]),"",_xlfn.XLOOKUP(Table26[[#This Row],[customerSKU]],Table27[customer_SKU],Table27[billto],"",0,1))</f>
        <v/>
      </c>
      <c r="AH714" s="62" t="str">
        <f>_xlfn.XLOOKUP(Table26[[#This Row],[customerSKU]],customerSKU!G:G,customerSKU!K:K,"NA",0,1)</f>
        <v>NA</v>
      </c>
      <c r="AI714" s="43" t="str">
        <f>_xlfn.XLOOKUP(Table26[[#This Row],[customerSKU]],customerSKU!G:G,customerSKU!O:O,"not found",0,1)</f>
        <v>not found</v>
      </c>
      <c r="AJ714" s="53" t="e">
        <f>Table26[[#This Row],[unitprice]]*Table26[[#This Row],[quantity_unit]]</f>
        <v>#VALUE!</v>
      </c>
      <c r="AK714" s="53" t="e" cm="1">
        <f t="array" ref="AK7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5" spans="1:37" ht="18" customHeight="1">
      <c r="A715" s="42">
        <v>1557</v>
      </c>
      <c r="B715" s="58" t="s">
        <v>3520</v>
      </c>
      <c r="C715" s="53" t="s">
        <v>203</v>
      </c>
      <c r="D715" s="51"/>
      <c r="E715" s="51"/>
      <c r="F71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5" s="46"/>
      <c r="H715" s="53"/>
      <c r="I715" s="53" t="s">
        <v>3862</v>
      </c>
      <c r="J715" s="53" t="str">
        <f>IF(Table26[[#This Row],[customerSKU]]="","",_xlfn.XLOOKUP(Table26[[#This Row],[customerSKU]],customerSKU!G:G,customerSKU!A:A,"",0,1))</f>
        <v/>
      </c>
      <c r="K715" s="48">
        <v>45625</v>
      </c>
      <c r="L715" s="49" t="str">
        <f>IF(Table26[[#This Row],[customerSKU]]="","",_xlfn.XLOOKUP(Table26[[#This Row],[customerSKU]],customerSKU!G:G,customerSKU!B:B,"",0,1))</f>
        <v/>
      </c>
      <c r="M715" s="53"/>
      <c r="N715" s="77" t="str">
        <f>Table26[[#This Row],[po_number]]&amp;"-"&amp;Table26[[#This Row],[po_line]]</f>
        <v>-15</v>
      </c>
      <c r="O715" s="77">
        <v>15</v>
      </c>
      <c r="P715" s="50"/>
      <c r="Q715" s="53" t="s">
        <v>1375</v>
      </c>
      <c r="R715" s="53" t="s">
        <v>569</v>
      </c>
      <c r="S715" s="53" t="str">
        <f>IF(Table26[[#This Row],[customerSKU]]="","",_xlfn.XLOOKUP(Table26[[#This Row],[customerSKU]],customerSKU!G:G,customerSKU!N:N,"NOT FOUND",0,1))</f>
        <v>NOT FOUND</v>
      </c>
      <c r="T715" s="51">
        <v>45594</v>
      </c>
      <c r="U715" s="52">
        <v>12</v>
      </c>
      <c r="V715" s="53" t="str">
        <f>IF(ISBLANK(Table26[[#This Row],[customerSKU]]),"",_xlfn.XLOOKUP(Table26[[#This Row],[customerSKU]],Table27[customer_SKU],Table27[case_size],"",0,1))</f>
        <v/>
      </c>
      <c r="W715" s="116" t="str">
        <f t="shared" si="30"/>
        <v/>
      </c>
      <c r="X715" s="53" t="str">
        <f t="shared" ref="X715:X746" si="31">IFERROR($AA715*$U715, "")</f>
        <v/>
      </c>
      <c r="Y715" s="53" t="str">
        <f>IF(Table26[[#This Row],[customerSKU]]="","",_xlfn.XLOOKUP(Table26[[#This Row],[customerSKU]],Table27[customer_SKU],Table27[product_GTIN],"",0,1))</f>
        <v/>
      </c>
      <c r="Z715" s="60">
        <v>994676</v>
      </c>
      <c r="AA715" s="18" t="str" cm="1">
        <f t="array" ref="AA715">IF(P715="", "", _xlfn.XLOOKUP(P715,#REF!,#REF!,NA,0,-1))</f>
        <v/>
      </c>
      <c r="AB715" s="53"/>
      <c r="AC715" s="55" t="str">
        <f>IF(Table26[[#This Row],[customerSKU]]="","",_xlfn.XLOOKUP(Table26[[#This Row],[customerSKU]],customerSKU!G:G,customerSKU!C:C,"",0,1))</f>
        <v/>
      </c>
      <c r="AD715" s="55" t="str">
        <f>IF($AC715="","",_xlfn.XLOOKUP($AC715,'[2]Client Info'!$C$2:$C$2535,'[2]Client Info'!$D$2:$D$2535,"",0,1))</f>
        <v/>
      </c>
      <c r="AE715" s="55" t="str">
        <f>IF($AC715="","",_xlfn.XLOOKUP($AC715,'[2]Client Info'!$C$2:$C$2715,'[2]Client Info'!$E$2:$E$2715,"",))</f>
        <v/>
      </c>
      <c r="AF715" s="55" t="str">
        <f>IF($AC715="","",_xlfn.XLOOKUP($AC715,'[2]Client Info'!$C$2:$C$2715,'[2]Client Info'!$F$2:$F$2715,"",0,1))</f>
        <v/>
      </c>
      <c r="AG715" s="55" t="str">
        <f>IF(ISBLANK(Table26[[#This Row],[customerSKU]]),"",_xlfn.XLOOKUP(Table26[[#This Row],[customerSKU]],Table27[customer_SKU],Table27[billto],"",0,1))</f>
        <v/>
      </c>
      <c r="AH715" s="62" t="str">
        <f>_xlfn.XLOOKUP(Table26[[#This Row],[customerSKU]],customerSKU!G:G,customerSKU!K:K,"NA",0,1)</f>
        <v>NA</v>
      </c>
      <c r="AI715" s="43" t="str">
        <f>_xlfn.XLOOKUP(Table26[[#This Row],[customerSKU]],customerSKU!G:G,customerSKU!O:O,"not found",0,1)</f>
        <v>not found</v>
      </c>
      <c r="AJ715" s="53" t="e">
        <f>Table26[[#This Row],[unitprice]]*Table26[[#This Row],[quantity_unit]]</f>
        <v>#VALUE!</v>
      </c>
      <c r="AK715" s="53" t="e" cm="1">
        <f t="array" ref="AK7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6" spans="1:37" ht="18" customHeight="1">
      <c r="A716" s="42">
        <v>1558</v>
      </c>
      <c r="B716" s="58" t="s">
        <v>3520</v>
      </c>
      <c r="C716" s="53" t="s">
        <v>203</v>
      </c>
      <c r="D716" s="51"/>
      <c r="E716" s="51"/>
      <c r="F71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6" s="46"/>
      <c r="H716" s="53"/>
      <c r="I716" s="53" t="s">
        <v>3862</v>
      </c>
      <c r="J716" s="53" t="str">
        <f>IF(Table26[[#This Row],[customerSKU]]="","",_xlfn.XLOOKUP(Table26[[#This Row],[customerSKU]],customerSKU!G:G,customerSKU!A:A,"",0,1))</f>
        <v/>
      </c>
      <c r="K716" s="48">
        <v>45625</v>
      </c>
      <c r="L716" s="49" t="str">
        <f>IF(Table26[[#This Row],[customerSKU]]="","",_xlfn.XLOOKUP(Table26[[#This Row],[customerSKU]],customerSKU!G:G,customerSKU!B:B,"",0,1))</f>
        <v/>
      </c>
      <c r="M716" s="53"/>
      <c r="N716" s="77" t="str">
        <f>Table26[[#This Row],[po_number]]&amp;"-"&amp;Table26[[#This Row],[po_line]]</f>
        <v>-16</v>
      </c>
      <c r="O716" s="77">
        <v>16</v>
      </c>
      <c r="P716" s="50"/>
      <c r="Q716" s="53" t="s">
        <v>622</v>
      </c>
      <c r="R716" s="53" t="s">
        <v>569</v>
      </c>
      <c r="S716" s="53" t="str">
        <f>IF(Table26[[#This Row],[customerSKU]]="","",_xlfn.XLOOKUP(Table26[[#This Row],[customerSKU]],customerSKU!G:G,customerSKU!N:N,"NOT FOUND",0,1))</f>
        <v>NOT FOUND</v>
      </c>
      <c r="T716" s="51">
        <v>45603</v>
      </c>
      <c r="U716" s="52">
        <v>24</v>
      </c>
      <c r="V716" s="53" t="str">
        <f>IF(ISBLANK(Table26[[#This Row],[customerSKU]]),"",_xlfn.XLOOKUP(Table26[[#This Row],[customerSKU]],Table27[customer_SKU],Table27[case_size],"",0,1))</f>
        <v/>
      </c>
      <c r="W716" s="116" t="str">
        <f t="shared" si="30"/>
        <v/>
      </c>
      <c r="X716" s="53" t="str">
        <f t="shared" si="31"/>
        <v/>
      </c>
      <c r="Y716" s="53" t="str">
        <f>IF(Table26[[#This Row],[customerSKU]]="","",_xlfn.XLOOKUP(Table26[[#This Row],[customerSKU]],Table27[customer_SKU],Table27[product_GTIN],"",0,1))</f>
        <v/>
      </c>
      <c r="Z716" s="60">
        <v>994674</v>
      </c>
      <c r="AA716" s="18" t="str" cm="1">
        <f t="array" ref="AA716">IF(P716="", "", _xlfn.XLOOKUP(P716,#REF!,#REF!,NA,0,-1))</f>
        <v/>
      </c>
      <c r="AB716" s="53"/>
      <c r="AC716" s="55" t="str">
        <f>IF(Table26[[#This Row],[customerSKU]]="","",_xlfn.XLOOKUP(Table26[[#This Row],[customerSKU]],customerSKU!G:G,customerSKU!C:C,"",0,1))</f>
        <v/>
      </c>
      <c r="AD716" s="55" t="str">
        <f>IF($AC716="","",_xlfn.XLOOKUP($AC716,'[2]Client Info'!$C$2:$C$2535,'[2]Client Info'!$D$2:$D$2535,"",0,1))</f>
        <v/>
      </c>
      <c r="AE716" s="55" t="str">
        <f>IF($AC716="","",_xlfn.XLOOKUP($AC716,'[2]Client Info'!$C$2:$C$2715,'[2]Client Info'!$E$2:$E$2715,"",))</f>
        <v/>
      </c>
      <c r="AF716" s="55" t="str">
        <f>IF($AC716="","",_xlfn.XLOOKUP($AC716,'[2]Client Info'!$C$2:$C$2715,'[2]Client Info'!$F$2:$F$2715,"",0,1))</f>
        <v/>
      </c>
      <c r="AG716" s="55" t="str">
        <f>IF(ISBLANK(Table26[[#This Row],[customerSKU]]),"",_xlfn.XLOOKUP(Table26[[#This Row],[customerSKU]],Table27[customer_SKU],Table27[billto],"",0,1))</f>
        <v/>
      </c>
      <c r="AH716" s="62" t="str">
        <f>_xlfn.XLOOKUP(Table26[[#This Row],[customerSKU]],customerSKU!G:G,customerSKU!K:K,"NA",0,1)</f>
        <v>NA</v>
      </c>
      <c r="AI716" s="43" t="str">
        <f>_xlfn.XLOOKUP(Table26[[#This Row],[customerSKU]],customerSKU!G:G,customerSKU!O:O,"not found",0,1)</f>
        <v>not found</v>
      </c>
      <c r="AJ716" s="53" t="e">
        <f>Table26[[#This Row],[unitprice]]*Table26[[#This Row],[quantity_unit]]</f>
        <v>#VALUE!</v>
      </c>
      <c r="AK716" s="53" t="e" cm="1">
        <f t="array" ref="AK7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7" spans="1:37" ht="18" customHeight="1">
      <c r="A717" s="42">
        <v>1559</v>
      </c>
      <c r="B717" s="58" t="s">
        <v>3520</v>
      </c>
      <c r="C717" s="53" t="s">
        <v>203</v>
      </c>
      <c r="D717" s="51"/>
      <c r="E717" s="51"/>
      <c r="F71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7" s="46"/>
      <c r="H717" s="53"/>
      <c r="I717" s="53" t="s">
        <v>3862</v>
      </c>
      <c r="J717" s="53" t="str">
        <f>IF(Table26[[#This Row],[customerSKU]]="","",_xlfn.XLOOKUP(Table26[[#This Row],[customerSKU]],customerSKU!G:G,customerSKU!A:A,"",0,1))</f>
        <v/>
      </c>
      <c r="K717" s="48">
        <v>45625</v>
      </c>
      <c r="L717" s="49" t="str">
        <f>IF(Table26[[#This Row],[customerSKU]]="","",_xlfn.XLOOKUP(Table26[[#This Row],[customerSKU]],customerSKU!G:G,customerSKU!B:B,"",0,1))</f>
        <v/>
      </c>
      <c r="M717" s="53"/>
      <c r="N717" s="77" t="str">
        <f>Table26[[#This Row],[po_number]]&amp;"-"&amp;Table26[[#This Row],[po_line]]</f>
        <v>-17</v>
      </c>
      <c r="O717" s="77">
        <v>17</v>
      </c>
      <c r="P717" s="50"/>
      <c r="Q717" s="53" t="s">
        <v>775</v>
      </c>
      <c r="R717" s="53" t="s">
        <v>569</v>
      </c>
      <c r="S717" s="53" t="str">
        <f>IF(Table26[[#This Row],[customerSKU]]="","",_xlfn.XLOOKUP(Table26[[#This Row],[customerSKU]],customerSKU!G:G,customerSKU!N:N,"NOT FOUND",0,1))</f>
        <v>NOT FOUND</v>
      </c>
      <c r="T717" s="51">
        <v>45523</v>
      </c>
      <c r="U717" s="52">
        <v>6</v>
      </c>
      <c r="V717" s="53" t="str">
        <f>IF(ISBLANK(Table26[[#This Row],[customerSKU]]),"",_xlfn.XLOOKUP(Table26[[#This Row],[customerSKU]],Table27[customer_SKU],Table27[case_size],"",0,1))</f>
        <v/>
      </c>
      <c r="W717" s="116" t="str">
        <f t="shared" si="30"/>
        <v/>
      </c>
      <c r="X717" s="53" t="str">
        <f t="shared" si="31"/>
        <v/>
      </c>
      <c r="Y717" s="53" t="str">
        <f>IF(Table26[[#This Row],[customerSKU]]="","",_xlfn.XLOOKUP(Table26[[#This Row],[customerSKU]],Table27[customer_SKU],Table27[product_GTIN],"",0,1))</f>
        <v/>
      </c>
      <c r="Z717" s="60">
        <v>992357</v>
      </c>
      <c r="AA717" s="18" t="str" cm="1">
        <f t="array" ref="AA717">IF(P717="", "", _xlfn.XLOOKUP(P717,#REF!,#REF!,NA,0,-1))</f>
        <v/>
      </c>
      <c r="AB717" s="53"/>
      <c r="AC717" s="55" t="str">
        <f>IF(Table26[[#This Row],[customerSKU]]="","",_xlfn.XLOOKUP(Table26[[#This Row],[customerSKU]],customerSKU!G:G,customerSKU!C:C,"",0,1))</f>
        <v/>
      </c>
      <c r="AD717" s="55" t="str">
        <f>IF($AC717="","",_xlfn.XLOOKUP($AC717,'[2]Client Info'!$C$2:$C$2535,'[2]Client Info'!$D$2:$D$2535,"",0,1))</f>
        <v/>
      </c>
      <c r="AE717" s="55" t="str">
        <f>IF($AC717="","",_xlfn.XLOOKUP($AC717,'[2]Client Info'!$C$2:$C$2715,'[2]Client Info'!$E$2:$E$2715,"",))</f>
        <v/>
      </c>
      <c r="AF717" s="55" t="str">
        <f>IF($AC717="","",_xlfn.XLOOKUP($AC717,'[2]Client Info'!$C$2:$C$2715,'[2]Client Info'!$F$2:$F$2715,"",0,1))</f>
        <v/>
      </c>
      <c r="AG717" s="55" t="str">
        <f>IF(ISBLANK(Table26[[#This Row],[customerSKU]]),"",_xlfn.XLOOKUP(Table26[[#This Row],[customerSKU]],Table27[customer_SKU],Table27[billto],"",0,1))</f>
        <v/>
      </c>
      <c r="AH717" s="62" t="str">
        <f>_xlfn.XLOOKUP(Table26[[#This Row],[customerSKU]],customerSKU!G:G,customerSKU!K:K,"NA",0,1)</f>
        <v>NA</v>
      </c>
      <c r="AI717" s="43" t="str">
        <f>_xlfn.XLOOKUP(Table26[[#This Row],[customerSKU]],customerSKU!G:G,customerSKU!O:O,"not found",0,1)</f>
        <v>not found</v>
      </c>
      <c r="AJ717" s="53" t="e">
        <f>Table26[[#This Row],[unitprice]]*Table26[[#This Row],[quantity_unit]]</f>
        <v>#VALUE!</v>
      </c>
      <c r="AK717" s="53" t="e" cm="1">
        <f t="array" ref="AK7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8" spans="1:37" ht="18" customHeight="1">
      <c r="A718" s="42">
        <v>1560</v>
      </c>
      <c r="B718" s="58" t="s">
        <v>3520</v>
      </c>
      <c r="C718" s="53" t="s">
        <v>203</v>
      </c>
      <c r="D718" s="51" t="str">
        <f>IF(Table26[[#This Row],[customerSKU]]="","","null")</f>
        <v>null</v>
      </c>
      <c r="E718" s="51"/>
      <c r="F71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8" s="46"/>
      <c r="H718" s="53"/>
      <c r="I718" s="53" t="s">
        <v>3862</v>
      </c>
      <c r="J718" s="53" t="str">
        <f>IF(Table26[[#This Row],[customerSKU]]="","",_xlfn.XLOOKUP(Table26[[#This Row],[customerSKU]],customerSKU!G:G,customerSKU!A:A,"",0,1))</f>
        <v/>
      </c>
      <c r="K718" s="48">
        <v>45625</v>
      </c>
      <c r="L718" s="49" t="str">
        <f>IF(Table26[[#This Row],[customerSKU]]="","",_xlfn.XLOOKUP(Table26[[#This Row],[customerSKU]],customerSKU!G:G,customerSKU!B:B,"",0,1))</f>
        <v/>
      </c>
      <c r="M718" s="53"/>
      <c r="N718" s="77" t="str">
        <f>Table26[[#This Row],[po_number]]&amp;"-"&amp;Table26[[#This Row],[po_line]]</f>
        <v>-1</v>
      </c>
      <c r="O718" s="77">
        <v>1</v>
      </c>
      <c r="P718" s="50"/>
      <c r="Q718" s="53" t="s">
        <v>1310</v>
      </c>
      <c r="R718" s="53" t="s">
        <v>569</v>
      </c>
      <c r="S718" s="53" t="str">
        <f>IF(Table26[[#This Row],[customerSKU]]="","",_xlfn.XLOOKUP(Table26[[#This Row],[customerSKU]],customerSKU!G:G,customerSKU!N:N,"NOT FOUND",0,1))</f>
        <v>NOT FOUND</v>
      </c>
      <c r="T718" s="51">
        <v>45623</v>
      </c>
      <c r="U718" s="52">
        <v>120</v>
      </c>
      <c r="V718" s="53" t="str">
        <f>IF(ISBLANK(Table26[[#This Row],[customerSKU]]),"",_xlfn.XLOOKUP(Table26[[#This Row],[customerSKU]],Table27[customer_SKU],Table27[case_size],"",0,1))</f>
        <v/>
      </c>
      <c r="W718" s="116" t="str">
        <f t="shared" si="30"/>
        <v/>
      </c>
      <c r="X718" s="53" t="str">
        <f t="shared" si="31"/>
        <v/>
      </c>
      <c r="Y718" s="53" t="str">
        <f>IF(Table26[[#This Row],[customerSKU]]="","",_xlfn.XLOOKUP(Table26[[#This Row],[customerSKU]],Table27[customer_SKU],Table27[product_GTIN],"",0,1))</f>
        <v/>
      </c>
      <c r="Z718" s="60" t="s">
        <v>3905</v>
      </c>
      <c r="AA718" s="18" t="str" cm="1">
        <f t="array" ref="AA718">IF(P718="", "", _xlfn.XLOOKUP(P718,#REF!,#REF!,NA,0,-1))</f>
        <v/>
      </c>
      <c r="AB718" s="53"/>
      <c r="AC718" s="55" t="str">
        <f>IF(Table26[[#This Row],[customerSKU]]="","",_xlfn.XLOOKUP(Table26[[#This Row],[customerSKU]],customerSKU!G:G,customerSKU!C:C,"",0,1))</f>
        <v/>
      </c>
      <c r="AD718" s="55" t="str">
        <f>IF($AC718="","",_xlfn.XLOOKUP($AC718,'[2]Client Info'!$C$2:$C$2535,'[2]Client Info'!$D$2:$D$2535,"",0,1))</f>
        <v/>
      </c>
      <c r="AE718" s="55" t="str">
        <f>IF($AC718="","",_xlfn.XLOOKUP($AC718,'[2]Client Info'!$C$2:$C$2715,'[2]Client Info'!$E$2:$E$2715,"",))</f>
        <v/>
      </c>
      <c r="AF718" s="55" t="str">
        <f>IF($AC718="","",_xlfn.XLOOKUP($AC718,'[2]Client Info'!$C$2:$C$2715,'[2]Client Info'!$F$2:$F$2715,"",0,1))</f>
        <v/>
      </c>
      <c r="AG718" s="55" t="str">
        <f>IF(ISBLANK(Table26[[#This Row],[customerSKU]]),"",_xlfn.XLOOKUP(Table26[[#This Row],[customerSKU]],Table27[customer_SKU],Table27[billto],"",0,1))</f>
        <v/>
      </c>
      <c r="AH718" s="62" t="str">
        <f>_xlfn.XLOOKUP(Table26[[#This Row],[customerSKU]],customerSKU!G:G,customerSKU!K:K,"NA",0,1)</f>
        <v>NA</v>
      </c>
      <c r="AI718" s="43" t="str">
        <f>_xlfn.XLOOKUP(Table26[[#This Row],[customerSKU]],customerSKU!G:G,customerSKU!O:O,"not found",0,1)</f>
        <v>not found</v>
      </c>
      <c r="AJ718" s="59" t="e">
        <f>Table26[[#This Row],[unitprice]]*Table26[[#This Row],[quantity_unit]]</f>
        <v>#VALUE!</v>
      </c>
      <c r="AK718" s="59" t="e" cm="1">
        <f t="array" ref="AK7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19" spans="1:37" ht="18" customHeight="1">
      <c r="A719" s="42">
        <v>1561</v>
      </c>
      <c r="B719" s="58" t="s">
        <v>3520</v>
      </c>
      <c r="C719" s="53" t="s">
        <v>203</v>
      </c>
      <c r="D719" s="51" t="str">
        <f>IF(Table26[[#This Row],[customerSKU]]="","","null")</f>
        <v>null</v>
      </c>
      <c r="E719" s="51"/>
      <c r="F71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19" s="46"/>
      <c r="H719" s="53"/>
      <c r="I719" s="53" t="s">
        <v>3862</v>
      </c>
      <c r="J719" s="53" t="str">
        <f>IF(Table26[[#This Row],[customerSKU]]="","",_xlfn.XLOOKUP(Table26[[#This Row],[customerSKU]],customerSKU!G:G,customerSKU!A:A,"",0,1))</f>
        <v/>
      </c>
      <c r="K719" s="48">
        <v>45625</v>
      </c>
      <c r="L719" s="49" t="str">
        <f>IF(Table26[[#This Row],[customerSKU]]="","",_xlfn.XLOOKUP(Table26[[#This Row],[customerSKU]],customerSKU!G:G,customerSKU!B:B,"",0,1))</f>
        <v/>
      </c>
      <c r="M719" s="53"/>
      <c r="N719" s="77" t="str">
        <f>Table26[[#This Row],[po_number]]&amp;"-"&amp;Table26[[#This Row],[po_line]]</f>
        <v>-2</v>
      </c>
      <c r="O719" s="77">
        <v>2</v>
      </c>
      <c r="P719" s="50"/>
      <c r="Q719" s="53" t="s">
        <v>1735</v>
      </c>
      <c r="R719" s="53" t="s">
        <v>569</v>
      </c>
      <c r="S719" s="53" t="str">
        <f>IF(Table26[[#This Row],[customerSKU]]="","",_xlfn.XLOOKUP(Table26[[#This Row],[customerSKU]],customerSKU!G:G,customerSKU!N:N,"NOT FOUND",0,1))</f>
        <v>NOT FOUND</v>
      </c>
      <c r="T719" s="51">
        <v>45623</v>
      </c>
      <c r="U719" s="52">
        <v>120</v>
      </c>
      <c r="V719" s="53" t="str">
        <f>IF(ISBLANK(Table26[[#This Row],[customerSKU]]),"",_xlfn.XLOOKUP(Table26[[#This Row],[customerSKU]],Table27[customer_SKU],Table27[case_size],"",0,1))</f>
        <v/>
      </c>
      <c r="W719" s="116" t="str">
        <f t="shared" si="30"/>
        <v/>
      </c>
      <c r="X719" s="53" t="str">
        <f t="shared" si="31"/>
        <v/>
      </c>
      <c r="Y719" s="53" t="str">
        <f>IF(Table26[[#This Row],[customerSKU]]="","",_xlfn.XLOOKUP(Table26[[#This Row],[customerSKU]],Table27[customer_SKU],Table27[product_GTIN],"",0,1))</f>
        <v/>
      </c>
      <c r="Z719" s="60" t="s">
        <v>3906</v>
      </c>
      <c r="AA719" s="18" t="str" cm="1">
        <f t="array" ref="AA719">IF(P719="", "", _xlfn.XLOOKUP(P719,#REF!,#REF!,NA,0,-1))</f>
        <v/>
      </c>
      <c r="AB719" s="53"/>
      <c r="AC719" s="55" t="str">
        <f>IF(Table26[[#This Row],[customerSKU]]="","",_xlfn.XLOOKUP(Table26[[#This Row],[customerSKU]],customerSKU!G:G,customerSKU!C:C,"",0,1))</f>
        <v/>
      </c>
      <c r="AD719" s="55" t="str">
        <f>IF($AC719="","",_xlfn.XLOOKUP($AC719,'[2]Client Info'!$C$2:$C$2535,'[2]Client Info'!$D$2:$D$2535,"",0,1))</f>
        <v/>
      </c>
      <c r="AE719" s="55" t="str">
        <f>IF($AC719="","",_xlfn.XLOOKUP($AC719,'[2]Client Info'!$C$2:$C$2715,'[2]Client Info'!$E$2:$E$2715,"",))</f>
        <v/>
      </c>
      <c r="AF719" s="55" t="str">
        <f>IF($AC719="","",_xlfn.XLOOKUP($AC719,'[2]Client Info'!$C$2:$C$2715,'[2]Client Info'!$F$2:$F$2715,"",0,1))</f>
        <v/>
      </c>
      <c r="AG719" s="55" t="str">
        <f>IF(ISBLANK(Table26[[#This Row],[customerSKU]]),"",_xlfn.XLOOKUP(Table26[[#This Row],[customerSKU]],Table27[customer_SKU],Table27[billto],"",0,1))</f>
        <v/>
      </c>
      <c r="AH719" s="62" t="str">
        <f>_xlfn.XLOOKUP(Table26[[#This Row],[customerSKU]],customerSKU!G:G,customerSKU!K:K,"NA",0,1)</f>
        <v>NA</v>
      </c>
      <c r="AI719" s="43" t="str">
        <f>_xlfn.XLOOKUP(Table26[[#This Row],[customerSKU]],customerSKU!G:G,customerSKU!O:O,"not found",0,1)</f>
        <v>not found</v>
      </c>
      <c r="AJ719" s="59" t="e">
        <f>Table26[[#This Row],[unitprice]]*Table26[[#This Row],[quantity_unit]]</f>
        <v>#VALUE!</v>
      </c>
      <c r="AK719" s="59" t="e" cm="1">
        <f t="array" ref="AK7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0" spans="1:37" ht="18" customHeight="1">
      <c r="A720" s="42">
        <v>1562</v>
      </c>
      <c r="B720" s="249" t="s">
        <v>3520</v>
      </c>
      <c r="C720" s="90" t="s">
        <v>203</v>
      </c>
      <c r="D720" s="235"/>
      <c r="E720" s="235"/>
      <c r="F72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20" s="46"/>
      <c r="H720" s="90"/>
      <c r="I720" s="90" t="s">
        <v>3862</v>
      </c>
      <c r="J720" s="90" t="str">
        <f>IF(Table26[[#This Row],[customerSKU]]="","",_xlfn.XLOOKUP(Table26[[#This Row],[customerSKU]],customerSKU!G:G,customerSKU!A:A,"",0,1))</f>
        <v/>
      </c>
      <c r="K720" s="232">
        <v>45625</v>
      </c>
      <c r="L720" s="233" t="str">
        <f>IF(Table26[[#This Row],[customerSKU]]="","",_xlfn.XLOOKUP(Table26[[#This Row],[customerSKU]],customerSKU!G:G,customerSKU!B:B,"",0,1))</f>
        <v/>
      </c>
      <c r="M720" s="90"/>
      <c r="N720" s="55" t="str">
        <f>Table26[[#This Row],[po_number]]&amp;"-"&amp;Table26[[#This Row],[po_line]]</f>
        <v>-1</v>
      </c>
      <c r="O720" s="55">
        <v>1</v>
      </c>
      <c r="P720" s="50"/>
      <c r="Q720" s="90" t="s">
        <v>1735</v>
      </c>
      <c r="R720" s="90" t="s">
        <v>569</v>
      </c>
      <c r="S720" s="90" t="str">
        <f>IF(Table26[[#This Row],[customerSKU]]="","",_xlfn.XLOOKUP(Table26[[#This Row],[customerSKU]],customerSKU!G:G,customerSKU!N:N,"NOT FOUND",0,1))</f>
        <v>NOT FOUND</v>
      </c>
      <c r="T720" s="20">
        <v>45623</v>
      </c>
      <c r="U720" s="236">
        <v>12</v>
      </c>
      <c r="V720" s="90" t="str">
        <f>IF(ISBLANK(Table26[[#This Row],[customerSKU]]),"",_xlfn.XLOOKUP(Table26[[#This Row],[customerSKU]],Table27[customer_SKU],Table27[case_size],"",0,1))</f>
        <v/>
      </c>
      <c r="W720" s="237" t="str">
        <f t="shared" si="30"/>
        <v/>
      </c>
      <c r="X720" s="90" t="str">
        <f t="shared" si="31"/>
        <v/>
      </c>
      <c r="Y720" s="90" t="str">
        <f>IF(Table26[[#This Row],[customerSKU]]="","",_xlfn.XLOOKUP(Table26[[#This Row],[customerSKU]],Table27[customer_SKU],Table27[product_GTIN],"",0,1))</f>
        <v/>
      </c>
      <c r="Z720" s="28" t="s">
        <v>3447</v>
      </c>
      <c r="AA720" s="18" t="str" cm="1">
        <f t="array" ref="AA720">IF(P720="", "", _xlfn.XLOOKUP(P720,#REF!,#REF!,NA,0,-1))</f>
        <v/>
      </c>
      <c r="AB720" s="90"/>
      <c r="AC720" s="55" t="s">
        <v>143</v>
      </c>
      <c r="AD720" s="55" t="str">
        <f>IF($AC720="","",_xlfn.XLOOKUP($AC720,'[2]Client Info'!$C$2:$C$2535,'[2]Client Info'!$D$2:$D$2535,"",0,1))</f>
        <v>38243 Cleveland Ave, PO Box 276</v>
      </c>
      <c r="AE720" s="55" t="str">
        <f>IF($AC720="","",_xlfn.XLOOKUP($AC720,'[2]Client Info'!$C$2:$C$2715,'[2]Client Info'!$E$2:$E$2715,"",))</f>
        <v>Squamish</v>
      </c>
      <c r="AF720" s="55" t="str">
        <f>IF($AC720="","",_xlfn.XLOOKUP($AC720,'[2]Client Info'!$C$2:$C$2715,'[2]Client Info'!$F$2:$F$2715,"",0,1))</f>
        <v xml:space="preserve">BC </v>
      </c>
      <c r="AG720" s="55" t="s">
        <v>143</v>
      </c>
      <c r="AH720" s="245" t="str">
        <f>_xlfn.XLOOKUP(Table26[[#This Row],[customerSKU]],customerSKU!G:G,customerSKU!K:K,"NA",0,1)</f>
        <v>NA</v>
      </c>
      <c r="AI720" s="43" t="str">
        <f>_xlfn.XLOOKUP(Table26[[#This Row],[customerSKU]],customerSKU!G:G,customerSKU!O:O,"not found",0,1)</f>
        <v>not found</v>
      </c>
      <c r="AJ720" s="53" t="e">
        <f>Table26[[#This Row],[unitprice]]*Table26[[#This Row],[quantity_unit]]</f>
        <v>#VALUE!</v>
      </c>
      <c r="AK720" s="53" t="e" cm="1">
        <f t="array" ref="AK7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1" spans="1:37" ht="18" customHeight="1">
      <c r="A721" s="42">
        <v>1563</v>
      </c>
      <c r="B721" s="42" t="s">
        <v>3520</v>
      </c>
      <c r="C721" s="53" t="s">
        <v>203</v>
      </c>
      <c r="D721" s="51"/>
      <c r="E721" s="51"/>
      <c r="F72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1" s="46"/>
      <c r="H721" s="53"/>
      <c r="I721" s="53" t="s">
        <v>3862</v>
      </c>
      <c r="J721" s="53" t="s">
        <v>3811</v>
      </c>
      <c r="K721" s="48">
        <v>45625</v>
      </c>
      <c r="L721" s="49" t="str">
        <f>IF(Table26[[#This Row],[customerSKU]]="","",_xlfn.XLOOKUP(Table26[[#This Row],[customerSKU]],customerSKU!G:G,customerSKU!B:B,"",0,1))</f>
        <v/>
      </c>
      <c r="M721" s="53"/>
      <c r="N721" s="77" t="str">
        <f>Table26[[#This Row],[po_number]]&amp;"-"&amp;Table26[[#This Row],[po_line]]</f>
        <v>-1</v>
      </c>
      <c r="O721" s="77">
        <v>1</v>
      </c>
      <c r="P721" s="50"/>
      <c r="Q721" s="53" t="s">
        <v>3859</v>
      </c>
      <c r="R721" s="53" t="s">
        <v>569</v>
      </c>
      <c r="S721" s="53" t="str">
        <f>IF(Table26[[#This Row],[customerSKU]]="","",_xlfn.XLOOKUP(Table26[[#This Row],[customerSKU]],customerSKU!G:G,customerSKU!N:N,"NOT FOUND",0,1))</f>
        <v>NOT FOUND</v>
      </c>
      <c r="T721" s="20">
        <v>45588</v>
      </c>
      <c r="U721" s="52">
        <v>12</v>
      </c>
      <c r="V721" s="53" t="str">
        <f>IF(ISBLANK(Table26[[#This Row],[customerSKU]]),"",_xlfn.XLOOKUP(Table26[[#This Row],[customerSKU]],Table27[customer_SKU],Table27[case_size],"",0,1))</f>
        <v/>
      </c>
      <c r="W721" s="116" t="str">
        <f t="shared" si="30"/>
        <v/>
      </c>
      <c r="X721" s="53" t="str">
        <f t="shared" si="31"/>
        <v/>
      </c>
      <c r="Y721" s="53" t="str">
        <f>IF(Table26[[#This Row],[customerSKU]]="","",_xlfn.XLOOKUP(Table26[[#This Row],[customerSKU]],Table27[customer_SKU],Table27[product_GTIN],"",0,1))</f>
        <v/>
      </c>
      <c r="Z721" s="25" t="s">
        <v>3381</v>
      </c>
      <c r="AA721" s="18" t="str" cm="1">
        <f t="array" ref="AA721">IF(P721="", "", _xlfn.XLOOKUP(P721,#REF!,#REF!,NA,0,-1))</f>
        <v/>
      </c>
      <c r="AB721" s="53"/>
      <c r="AC721" s="55" t="str">
        <f>IF(Table26[[#This Row],[customerSKU]]="","",_xlfn.XLOOKUP(Table26[[#This Row],[customerSKU]],customerSKU!G:G,customerSKU!C:C,"",0,1))</f>
        <v/>
      </c>
      <c r="AD721" s="55" t="str">
        <f>IF($AC721="","",_xlfn.XLOOKUP($AC721,'[2]Client Info'!$C$2:$C$2535,'[2]Client Info'!$D$2:$D$2535,"",0,1))</f>
        <v/>
      </c>
      <c r="AE721" s="55" t="str">
        <f>IF($AC721="","",_xlfn.XLOOKUP($AC721,'[2]Client Info'!$C$2:$C$2715,'[2]Client Info'!$E$2:$E$2715,"",))</f>
        <v/>
      </c>
      <c r="AF721" s="55" t="str">
        <f>IF($AC721="","",_xlfn.XLOOKUP($AC721,'[2]Client Info'!$C$2:$C$2715,'[2]Client Info'!$F$2:$F$2715,"",0,1))</f>
        <v/>
      </c>
      <c r="AG721" s="55" t="str">
        <f>IF(ISBLANK(Table26[[#This Row],[customerSKU]]),"",_xlfn.XLOOKUP(Table26[[#This Row],[customerSKU]],Table27[customer_SKU],Table27[billto],"",0,1))</f>
        <v/>
      </c>
      <c r="AH721" s="62" t="str">
        <f>_xlfn.XLOOKUP(Table26[[#This Row],[customerSKU]],customerSKU!G:G,customerSKU!K:K,"NA",0,1)</f>
        <v>NA</v>
      </c>
      <c r="AI721" s="43" t="str">
        <f>_xlfn.XLOOKUP(Table26[[#This Row],[customerSKU]],customerSKU!G:G,customerSKU!O:O,"not found",0,1)</f>
        <v>not found</v>
      </c>
      <c r="AJ721" s="53" t="e">
        <f>Table26[[#This Row],[unitprice]]*Table26[[#This Row],[quantity_unit]]</f>
        <v>#VALUE!</v>
      </c>
      <c r="AK721" s="53" t="e" cm="1">
        <f t="array" ref="AK7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22" spans="1:37" ht="18" customHeight="1">
      <c r="A722" s="42">
        <v>1528</v>
      </c>
      <c r="B722" s="42" t="s">
        <v>3520</v>
      </c>
      <c r="C722" s="53" t="s">
        <v>203</v>
      </c>
      <c r="D722" s="51"/>
      <c r="E722" s="51"/>
      <c r="F72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2" s="46"/>
      <c r="H722" s="53"/>
      <c r="I722" s="53" t="s">
        <v>3818</v>
      </c>
      <c r="J722" s="53" t="str">
        <f>IF(Table26[[#This Row],[customerSKU]]="","",_xlfn.XLOOKUP(Table26[[#This Row],[customerSKU]],customerSKU!G:G,customerSKU!A:A,"",0,1))</f>
        <v/>
      </c>
      <c r="K722" s="48">
        <v>45628</v>
      </c>
      <c r="L722" s="49" t="str">
        <f>IF(Table26[[#This Row],[customerSKU]]="","",_xlfn.XLOOKUP(Table26[[#This Row],[customerSKU]],customerSKU!G:G,customerSKU!B:B,"",0,1))</f>
        <v/>
      </c>
      <c r="M722" s="24"/>
      <c r="N722" s="305" t="str">
        <f>Table26[[#This Row],[po_number]]&amp;"-"&amp;Table26[[#This Row],[po_line]]</f>
        <v>-1</v>
      </c>
      <c r="O722" s="305">
        <v>1</v>
      </c>
      <c r="P722" s="50"/>
      <c r="Q722" s="53" t="s">
        <v>1377</v>
      </c>
      <c r="R722" s="53" t="s">
        <v>3302</v>
      </c>
      <c r="S722" s="53" t="str">
        <f>IF(Table26[[#This Row],[customerSKU]]="","",_xlfn.XLOOKUP(Table26[[#This Row],[customerSKU]],customerSKU!G:G,customerSKU!N:N,"NOT FOUND",0,1))</f>
        <v>NOT FOUND</v>
      </c>
      <c r="T722" s="20">
        <v>45569</v>
      </c>
      <c r="U722" s="52">
        <v>120</v>
      </c>
      <c r="V722" s="53" t="str">
        <f>IF(ISBLANK(Table26[[#This Row],[customerSKU]]),"",_xlfn.XLOOKUP(Table26[[#This Row],[customerSKU]],Table27[customer_SKU],Table27[case_size],"",0,1))</f>
        <v/>
      </c>
      <c r="W722" s="116" t="str">
        <f t="shared" si="30"/>
        <v/>
      </c>
      <c r="X722" s="53" t="str">
        <f t="shared" si="31"/>
        <v/>
      </c>
      <c r="Y722" s="53" t="str">
        <f>IF(Table26[[#This Row],[customerSKU]]="","",_xlfn.XLOOKUP(Table26[[#This Row],[customerSKU]],Table27[customer_SKU],Table27[product_GTIN],"",0,1))</f>
        <v/>
      </c>
      <c r="Z722" s="60" t="s">
        <v>3849</v>
      </c>
      <c r="AA722" s="18" t="str" cm="1">
        <f t="array" ref="AA722">IF(P722="", "", _xlfn.XLOOKUP(P722,#REF!,#REF!,NA,0,-1))</f>
        <v/>
      </c>
      <c r="AB722" s="53"/>
      <c r="AC722" s="55" t="str">
        <f>IF(Table26[[#This Row],[customerSKU]]="","",_xlfn.XLOOKUP(Table26[[#This Row],[customerSKU]],customerSKU!G:G,customerSKU!C:C,"",0,1))</f>
        <v/>
      </c>
      <c r="AD722" s="55" t="str">
        <f>IF($AC722="","",_xlfn.XLOOKUP($AC722,'[2]Client Info'!$C$2:$C$2535,'[2]Client Info'!$D$2:$D$2535,"",0,1))</f>
        <v/>
      </c>
      <c r="AE722" s="55" t="str">
        <f>IF($AC722="","",_xlfn.XLOOKUP($AC722,'[2]Client Info'!$C$2:$C$2715,'[2]Client Info'!$E$2:$E$2715,"",))</f>
        <v/>
      </c>
      <c r="AF722" s="55" t="str">
        <f>IF($AC722="","",_xlfn.XLOOKUP($AC722,'[2]Client Info'!$C$2:$C$2715,'[2]Client Info'!$F$2:$F$2715,"",0,1))</f>
        <v/>
      </c>
      <c r="AG722" s="55" t="str">
        <f>IF(ISBLANK(Table26[[#This Row],[customerSKU]]),"",_xlfn.XLOOKUP(Table26[[#This Row],[customerSKU]],Table27[customer_SKU],Table27[billto],"",0,1))</f>
        <v/>
      </c>
      <c r="AH722" s="62" t="str">
        <f>_xlfn.XLOOKUP(Table26[[#This Row],[customerSKU]],customerSKU!G:G,customerSKU!K:K,"NA",0,1)</f>
        <v>NA</v>
      </c>
      <c r="AI722" s="43" t="str">
        <f>_xlfn.XLOOKUP(Table26[[#This Row],[customerSKU]],customerSKU!G:G,customerSKU!O:O,"not found",0,1)</f>
        <v>not found</v>
      </c>
      <c r="AJ722" s="53" t="e">
        <f>Table26[[#This Row],[unitprice]]*Table26[[#This Row],[quantity_unit]]</f>
        <v>#VALUE!</v>
      </c>
      <c r="AK722" s="53" t="e" cm="1">
        <f t="array" ref="AK7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3" spans="1:37" ht="18" customHeight="1">
      <c r="A723" s="42">
        <v>1523</v>
      </c>
      <c r="B723" s="228" t="s">
        <v>3520</v>
      </c>
      <c r="C723" s="90" t="s">
        <v>203</v>
      </c>
      <c r="D723" s="235">
        <v>45629</v>
      </c>
      <c r="E723" s="235"/>
      <c r="F72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23" s="46"/>
      <c r="H723" s="90"/>
      <c r="I723" s="90" t="s">
        <v>3818</v>
      </c>
      <c r="J723" s="90" t="str">
        <f>IF(Table26[[#This Row],[customerSKU]]="","",_xlfn.XLOOKUP(Table26[[#This Row],[customerSKU]],customerSKU!G:G,customerSKU!A:A,"",0,1))</f>
        <v/>
      </c>
      <c r="K723" s="232">
        <v>45629</v>
      </c>
      <c r="L723" s="233" t="str">
        <f>IF(Table26[[#This Row],[customerSKU]]="","",_xlfn.XLOOKUP(Table26[[#This Row],[customerSKU]],customerSKU!G:G,customerSKU!B:B,"",0,1))</f>
        <v/>
      </c>
      <c r="M723" s="90"/>
      <c r="N723" s="55" t="str">
        <f>Table26[[#This Row],[po_number]]&amp;"-"&amp;Table26[[#This Row],[po_line]]</f>
        <v>-1</v>
      </c>
      <c r="O723" s="55">
        <v>1</v>
      </c>
      <c r="P723" s="234"/>
      <c r="Q723" s="90" t="s">
        <v>3423</v>
      </c>
      <c r="R723" s="90" t="s">
        <v>569</v>
      </c>
      <c r="S723" s="90" t="str">
        <f>IF(Table26[[#This Row],[customerSKU]]="","",_xlfn.XLOOKUP(Table26[[#This Row],[customerSKU]],customerSKU!G:G,customerSKU!N:N,"NOT FOUND",0,1))</f>
        <v>NOT FOUND</v>
      </c>
      <c r="T723" s="20">
        <v>45624</v>
      </c>
      <c r="U723" s="236">
        <v>24</v>
      </c>
      <c r="V723" s="90" t="str">
        <f>IF(ISBLANK(Table26[[#This Row],[customerSKU]]),"",_xlfn.XLOOKUP(Table26[[#This Row],[customerSKU]],Table27[customer_SKU],Table27[case_size],"",0,1))</f>
        <v/>
      </c>
      <c r="W723" s="237" t="str">
        <f t="shared" si="30"/>
        <v/>
      </c>
      <c r="X723" s="90" t="str">
        <f t="shared" si="31"/>
        <v/>
      </c>
      <c r="Y723" s="90" t="str">
        <f>IF(Table26[[#This Row],[customerSKU]]="","",_xlfn.XLOOKUP(Table26[[#This Row],[customerSKU]],Table27[customer_SKU],Table27[product_GTIN],"",0,1))</f>
        <v/>
      </c>
      <c r="Z723" s="25" t="s">
        <v>3448</v>
      </c>
      <c r="AA723" s="18" t="str" cm="1">
        <f t="array" ref="AA723">IF(P723="", "", _xlfn.XLOOKUP(P723,#REF!,#REF!,NA,0,-1))</f>
        <v/>
      </c>
      <c r="AB723" s="90"/>
      <c r="AC723" s="55" t="s">
        <v>3424</v>
      </c>
      <c r="AD723" s="55" t="str">
        <f>IF($AC723="","",_xlfn.XLOOKUP($AC723,'[2]Client Info'!$C$2:$C$2535,'[2]Client Info'!$D$2:$D$2535,"",0,1))</f>
        <v>3695 W 4TH AVENUE</v>
      </c>
      <c r="AE723" s="55" t="str">
        <f>IF($AC723="","",_xlfn.XLOOKUP($AC723,'[2]Client Info'!$C$2:$C$2715,'[2]Client Info'!$E$2:$E$2715,"",))</f>
        <v>Vancouver</v>
      </c>
      <c r="AF723" s="55" t="str">
        <f>IF($AC723="","",_xlfn.XLOOKUP($AC723,'[2]Client Info'!$C$2:$C$2715,'[2]Client Info'!$F$2:$F$2715,"",0,1))</f>
        <v xml:space="preserve">BC </v>
      </c>
      <c r="AG723" s="55" t="s">
        <v>3424</v>
      </c>
      <c r="AH723" s="245" t="str">
        <f>_xlfn.XLOOKUP(Table26[[#This Row],[customerSKU]],customerSKU!G:G,customerSKU!K:K,"NA",0,1)</f>
        <v>NA</v>
      </c>
      <c r="AI723" s="43" t="str">
        <f>_xlfn.XLOOKUP(Table26[[#This Row],[customerSKU]],customerSKU!G:G,customerSKU!O:O,"not found",0,1)</f>
        <v>not found</v>
      </c>
      <c r="AJ723" s="53" t="e">
        <f>Table26[[#This Row],[unitprice]]*Table26[[#This Row],[quantity_unit]]</f>
        <v>#VALUE!</v>
      </c>
      <c r="AK723" s="53" t="e" cm="1">
        <f t="array" ref="AK7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4" spans="1:37" ht="18" customHeight="1">
      <c r="A724" s="42">
        <v>1524</v>
      </c>
      <c r="B724" s="58" t="s">
        <v>3520</v>
      </c>
      <c r="C724" s="53" t="s">
        <v>3360</v>
      </c>
      <c r="D724" s="51"/>
      <c r="E724" s="51"/>
      <c r="F72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4" s="46"/>
      <c r="H724" s="53"/>
      <c r="I724" s="53" t="s">
        <v>3862</v>
      </c>
      <c r="J724" s="53" t="s">
        <v>3811</v>
      </c>
      <c r="K724" s="48">
        <v>45629</v>
      </c>
      <c r="L724" s="49" t="str">
        <f>IF(Table26[[#This Row],[customerSKU]]="","",_xlfn.XLOOKUP(Table26[[#This Row],[customerSKU]],customerSKU!G:G,customerSKU!B:B,"",0,1))</f>
        <v/>
      </c>
      <c r="M724" s="53"/>
      <c r="N724" s="77" t="str">
        <f>Table26[[#This Row],[po_number]]&amp;"-"&amp;Table26[[#This Row],[po_line]]</f>
        <v>-1</v>
      </c>
      <c r="O724" s="77">
        <v>1</v>
      </c>
      <c r="P724" s="50"/>
      <c r="Q724" s="53" t="s">
        <v>3847</v>
      </c>
      <c r="R724" s="53" t="s">
        <v>569</v>
      </c>
      <c r="S724" s="53" t="str">
        <f>IF(Table26[[#This Row],[customerSKU]]="","",_xlfn.XLOOKUP(Table26[[#This Row],[customerSKU]],customerSKU!G:G,customerSKU!N:N,"NOT FOUND",0,1))</f>
        <v>NOT FOUND</v>
      </c>
      <c r="T724" s="20">
        <v>45569</v>
      </c>
      <c r="U724" s="52">
        <v>12</v>
      </c>
      <c r="V724" s="53" t="str">
        <f>IF(ISBLANK(Table26[[#This Row],[customerSKU]]),"",_xlfn.XLOOKUP(Table26[[#This Row],[customerSKU]],Table27[customer_SKU],Table27[case_size],"",0,1))</f>
        <v/>
      </c>
      <c r="W724" s="116" t="str">
        <f t="shared" si="30"/>
        <v/>
      </c>
      <c r="X724" s="53" t="str">
        <f t="shared" si="31"/>
        <v/>
      </c>
      <c r="Y724" s="53" t="str">
        <f>IF(Table26[[#This Row],[customerSKU]]="","",_xlfn.XLOOKUP(Table26[[#This Row],[customerSKU]],Table27[customer_SKU],Table27[product_GTIN],"",0,1))</f>
        <v/>
      </c>
      <c r="Z724" s="90">
        <v>61619</v>
      </c>
      <c r="AA724" s="18" t="str" cm="1">
        <f t="array" ref="AA724">IF(P724="", "", _xlfn.XLOOKUP(P724,#REF!,#REF!,NA,0,-1))</f>
        <v/>
      </c>
      <c r="AB724" s="53"/>
      <c r="AC724" s="55" t="str">
        <f>IF(Table26[[#This Row],[customerSKU]]="","",_xlfn.XLOOKUP(Table26[[#This Row],[customerSKU]],customerSKU!G:G,customerSKU!C:C,"",0,1))</f>
        <v/>
      </c>
      <c r="AD724" s="55" t="str">
        <f>IF($AC724="","",_xlfn.XLOOKUP($AC724,'[2]Client Info'!$C$2:$C$2535,'[2]Client Info'!$D$2:$D$2535,"",0,1))</f>
        <v/>
      </c>
      <c r="AE724" s="55" t="str">
        <f>IF($AC724="","",_xlfn.XLOOKUP($AC724,'[2]Client Info'!$C$2:$C$2715,'[2]Client Info'!$E$2:$E$2715,"",))</f>
        <v/>
      </c>
      <c r="AF724" s="55" t="str">
        <f>IF($AC724="","",_xlfn.XLOOKUP($AC724,'[2]Client Info'!$C$2:$C$2715,'[2]Client Info'!$F$2:$F$2715,"",0,1))</f>
        <v/>
      </c>
      <c r="AG724" s="55" t="str">
        <f>IF(ISBLANK(Table26[[#This Row],[customerSKU]]),"",_xlfn.XLOOKUP(Table26[[#This Row],[customerSKU]],Table27[customer_SKU],Table27[billto],"",0,1))</f>
        <v/>
      </c>
      <c r="AH724" s="62" t="str">
        <f>_xlfn.XLOOKUP(Table26[[#This Row],[customerSKU]],customerSKU!G:G,customerSKU!K:K,"NA",0,1)</f>
        <v>NA</v>
      </c>
      <c r="AI724" s="43" t="str">
        <f>_xlfn.XLOOKUP(Table26[[#This Row],[customerSKU]],customerSKU!G:G,customerSKU!O:O,"not found",0,1)</f>
        <v>not found</v>
      </c>
      <c r="AJ724" s="53" t="e">
        <f>Table26[[#This Row],[unitprice]]*Table26[[#This Row],[quantity_unit]]</f>
        <v>#VALUE!</v>
      </c>
      <c r="AK724" s="53" t="e" cm="1">
        <f t="array" ref="AK7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25" spans="1:37" ht="18" customHeight="1">
      <c r="A725" s="42">
        <v>1525</v>
      </c>
      <c r="B725" s="58" t="s">
        <v>3520</v>
      </c>
      <c r="C725" s="53" t="s">
        <v>3360</v>
      </c>
      <c r="D725" s="51"/>
      <c r="E725" s="51"/>
      <c r="F72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5" s="46"/>
      <c r="H725" s="53"/>
      <c r="I725" s="53" t="s">
        <v>3862</v>
      </c>
      <c r="J725" s="53" t="s">
        <v>3811</v>
      </c>
      <c r="K725" s="48">
        <v>45629</v>
      </c>
      <c r="L725" s="49" t="str">
        <f>IF(Table26[[#This Row],[customerSKU]]="","",_xlfn.XLOOKUP(Table26[[#This Row],[customerSKU]],customerSKU!G:G,customerSKU!B:B,"",0,1))</f>
        <v/>
      </c>
      <c r="M725" s="53"/>
      <c r="N725" s="77" t="str">
        <f>Table26[[#This Row],[po_number]]&amp;"-"&amp;Table26[[#This Row],[po_line]]</f>
        <v>-1</v>
      </c>
      <c r="O725" s="77">
        <v>1</v>
      </c>
      <c r="P725" s="50"/>
      <c r="Q725" s="53" t="s">
        <v>1375</v>
      </c>
      <c r="R725" s="53" t="s">
        <v>569</v>
      </c>
      <c r="S725" s="53" t="str">
        <f>IF(Table26[[#This Row],[customerSKU]]="","",_xlfn.XLOOKUP(Table26[[#This Row],[customerSKU]],customerSKU!G:G,customerSKU!N:N,"NOT FOUND",0,1))</f>
        <v>NOT FOUND</v>
      </c>
      <c r="T725" s="20">
        <v>45594</v>
      </c>
      <c r="U725" s="52">
        <v>12</v>
      </c>
      <c r="V725" s="53" t="str">
        <f>IF(ISBLANK(Table26[[#This Row],[customerSKU]]),"",_xlfn.XLOOKUP(Table26[[#This Row],[customerSKU]],Table27[customer_SKU],Table27[case_size],"",0,1))</f>
        <v/>
      </c>
      <c r="W725" s="116" t="str">
        <f t="shared" si="30"/>
        <v/>
      </c>
      <c r="X725" s="53" t="str">
        <f t="shared" si="31"/>
        <v/>
      </c>
      <c r="Y725" s="53" t="str">
        <f>IF(Table26[[#This Row],[customerSKU]]="","",_xlfn.XLOOKUP(Table26[[#This Row],[customerSKU]],Table27[customer_SKU],Table27[product_GTIN],"",0,1))</f>
        <v/>
      </c>
      <c r="Z725" s="25" t="s">
        <v>3408</v>
      </c>
      <c r="AA725" s="18" t="str" cm="1">
        <f t="array" ref="AA725">IF(P725="", "", _xlfn.XLOOKUP(P725,#REF!,#REF!,NA,0,-1))</f>
        <v/>
      </c>
      <c r="AB725" s="53"/>
      <c r="AC725" s="55" t="str">
        <f>IF(Table26[[#This Row],[customerSKU]]="","",_xlfn.XLOOKUP(Table26[[#This Row],[customerSKU]],customerSKU!G:G,customerSKU!C:C,"",0,1))</f>
        <v/>
      </c>
      <c r="AD725" s="55" t="str">
        <f>IF($AC725="","",_xlfn.XLOOKUP($AC725,'[2]Client Info'!$C$2:$C$2535,'[2]Client Info'!$D$2:$D$2535,"",0,1))</f>
        <v/>
      </c>
      <c r="AE725" s="55" t="str">
        <f>IF($AC725="","",_xlfn.XLOOKUP($AC725,'[2]Client Info'!$C$2:$C$2715,'[2]Client Info'!$E$2:$E$2715,"",))</f>
        <v/>
      </c>
      <c r="AF725" s="55" t="str">
        <f>IF($AC725="","",_xlfn.XLOOKUP($AC725,'[2]Client Info'!$C$2:$C$2715,'[2]Client Info'!$F$2:$F$2715,"",0,1))</f>
        <v/>
      </c>
      <c r="AG725" s="55" t="str">
        <f>IF(ISBLANK(Table26[[#This Row],[customerSKU]]),"",_xlfn.XLOOKUP(Table26[[#This Row],[customerSKU]],Table27[customer_SKU],Table27[billto],"",0,1))</f>
        <v/>
      </c>
      <c r="AH725" s="62" t="str">
        <f>_xlfn.XLOOKUP(Table26[[#This Row],[customerSKU]],customerSKU!G:G,customerSKU!K:K,"NA",0,1)</f>
        <v>NA</v>
      </c>
      <c r="AI725" s="43" t="str">
        <f>_xlfn.XLOOKUP(Table26[[#This Row],[customerSKU]],customerSKU!G:G,customerSKU!O:O,"not found",0,1)</f>
        <v>not found</v>
      </c>
      <c r="AJ725" s="53" t="e">
        <f>Table26[[#This Row],[unitprice]]*Table26[[#This Row],[quantity_unit]]</f>
        <v>#VALUE!</v>
      </c>
      <c r="AK725" s="53" t="e" cm="1">
        <f t="array" ref="AK7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26" spans="1:37" ht="18" customHeight="1">
      <c r="A726" s="42">
        <v>1526</v>
      </c>
      <c r="B726" s="58" t="s">
        <v>3520</v>
      </c>
      <c r="C726" s="53" t="s">
        <v>3360</v>
      </c>
      <c r="D726" s="51"/>
      <c r="E726" s="51"/>
      <c r="F72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6" s="46"/>
      <c r="H726" s="53"/>
      <c r="I726" s="53" t="s">
        <v>3862</v>
      </c>
      <c r="J726" s="53" t="s">
        <v>3811</v>
      </c>
      <c r="K726" s="48">
        <v>45629</v>
      </c>
      <c r="L726" s="49" t="str">
        <f>IF(Table26[[#This Row],[customerSKU]]="","",_xlfn.XLOOKUP(Table26[[#This Row],[customerSKU]],customerSKU!G:G,customerSKU!B:B,"",0,1))</f>
        <v/>
      </c>
      <c r="M726" s="53"/>
      <c r="N726" s="77" t="str">
        <f>Table26[[#This Row],[po_number]]&amp;"-"&amp;Table26[[#This Row],[po_line]]</f>
        <v>-2</v>
      </c>
      <c r="O726" s="77">
        <v>2</v>
      </c>
      <c r="P726" s="50"/>
      <c r="Q726" s="53" t="s">
        <v>622</v>
      </c>
      <c r="R726" s="53" t="s">
        <v>569</v>
      </c>
      <c r="S726" s="53" t="str">
        <f>IF(Table26[[#This Row],[customerSKU]]="","",_xlfn.XLOOKUP(Table26[[#This Row],[customerSKU]],customerSKU!G:G,customerSKU!N:N,"NOT FOUND",0,1))</f>
        <v>NOT FOUND</v>
      </c>
      <c r="T726" s="20">
        <v>45603</v>
      </c>
      <c r="U726" s="52">
        <v>12</v>
      </c>
      <c r="V726" s="53" t="str">
        <f>IF(ISBLANK(Table26[[#This Row],[customerSKU]]),"",_xlfn.XLOOKUP(Table26[[#This Row],[customerSKU]],Table27[customer_SKU],Table27[case_size],"",0,1))</f>
        <v/>
      </c>
      <c r="W726" s="116" t="str">
        <f t="shared" si="30"/>
        <v/>
      </c>
      <c r="X726" s="53" t="str">
        <f t="shared" si="31"/>
        <v/>
      </c>
      <c r="Y726" s="53" t="str">
        <f>IF(Table26[[#This Row],[customerSKU]]="","",_xlfn.XLOOKUP(Table26[[#This Row],[customerSKU]],Table27[customer_SKU],Table27[product_GTIN],"",0,1))</f>
        <v/>
      </c>
      <c r="Z726" s="25" t="s">
        <v>3495</v>
      </c>
      <c r="AA726" s="18" t="str" cm="1">
        <f t="array" ref="AA726">IF(P726="", "", _xlfn.XLOOKUP(P726,#REF!,#REF!,NA,0,-1))</f>
        <v/>
      </c>
      <c r="AB726" s="53"/>
      <c r="AC726" s="55" t="str">
        <f>IF(Table26[[#This Row],[customerSKU]]="","",_xlfn.XLOOKUP(Table26[[#This Row],[customerSKU]],customerSKU!G:G,customerSKU!C:C,"",0,1))</f>
        <v/>
      </c>
      <c r="AD726" s="55" t="str">
        <f>IF($AC726="","",_xlfn.XLOOKUP($AC726,'[2]Client Info'!$C$2:$C$2535,'[2]Client Info'!$D$2:$D$2535,"",0,1))</f>
        <v/>
      </c>
      <c r="AE726" s="55" t="str">
        <f>IF($AC726="","",_xlfn.XLOOKUP($AC726,'[2]Client Info'!$C$2:$C$2715,'[2]Client Info'!$E$2:$E$2715,"",))</f>
        <v/>
      </c>
      <c r="AF726" s="55" t="str">
        <f>IF($AC726="","",_xlfn.XLOOKUP($AC726,'[2]Client Info'!$C$2:$C$2715,'[2]Client Info'!$F$2:$F$2715,"",0,1))</f>
        <v/>
      </c>
      <c r="AG726" s="55" t="str">
        <f>IF(ISBLANK(Table26[[#This Row],[customerSKU]]),"",_xlfn.XLOOKUP(Table26[[#This Row],[customerSKU]],Table27[customer_SKU],Table27[billto],"",0,1))</f>
        <v/>
      </c>
      <c r="AH726" s="62" t="str">
        <f>_xlfn.XLOOKUP(Table26[[#This Row],[customerSKU]],customerSKU!G:G,customerSKU!K:K,"NA",0,1)</f>
        <v>NA</v>
      </c>
      <c r="AI726" s="43" t="str">
        <f>_xlfn.XLOOKUP(Table26[[#This Row],[customerSKU]],customerSKU!G:G,customerSKU!O:O,"not found",0,1)</f>
        <v>not found</v>
      </c>
      <c r="AJ726" s="53" t="e">
        <f>Table26[[#This Row],[unitprice]]*Table26[[#This Row],[quantity_unit]]</f>
        <v>#VALUE!</v>
      </c>
      <c r="AK726" s="53" t="e" cm="1">
        <f t="array" ref="AK7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27" spans="1:37" ht="18" customHeight="1">
      <c r="A727" s="42">
        <v>1527</v>
      </c>
      <c r="B727" s="58" t="s">
        <v>3520</v>
      </c>
      <c r="C727" s="53" t="s">
        <v>3360</v>
      </c>
      <c r="D727" s="51"/>
      <c r="E727" s="51"/>
      <c r="F72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27" s="46"/>
      <c r="H727" s="53"/>
      <c r="I727" s="53" t="s">
        <v>3862</v>
      </c>
      <c r="J727" s="53" t="s">
        <v>3811</v>
      </c>
      <c r="K727" s="48">
        <v>45629</v>
      </c>
      <c r="L727" s="49" t="str">
        <f>IF(Table26[[#This Row],[customerSKU]]="","",_xlfn.XLOOKUP(Table26[[#This Row],[customerSKU]],customerSKU!G:G,customerSKU!B:B,"",0,1))</f>
        <v/>
      </c>
      <c r="M727" s="53"/>
      <c r="N727" s="77" t="str">
        <f>Table26[[#This Row],[po_number]]&amp;"-"&amp;Table26[[#This Row],[po_line]]</f>
        <v>-1</v>
      </c>
      <c r="O727" s="77">
        <v>1</v>
      </c>
      <c r="P727" s="50"/>
      <c r="Q727" s="53" t="s">
        <v>1376</v>
      </c>
      <c r="R727" s="53" t="s">
        <v>569</v>
      </c>
      <c r="S727" s="53" t="str">
        <f>IF(Table26[[#This Row],[customerSKU]]="","",_xlfn.XLOOKUP(Table26[[#This Row],[customerSKU]],customerSKU!G:G,customerSKU!N:N,"NOT FOUND",0,1))</f>
        <v>NOT FOUND</v>
      </c>
      <c r="T727" s="20">
        <v>45588</v>
      </c>
      <c r="U727" s="52">
        <v>12</v>
      </c>
      <c r="V727" s="53" t="str">
        <f>IF(ISBLANK(Table26[[#This Row],[customerSKU]]),"",_xlfn.XLOOKUP(Table26[[#This Row],[customerSKU]],Table27[customer_SKU],Table27[case_size],"",0,1))</f>
        <v/>
      </c>
      <c r="W727" s="116" t="str">
        <f t="shared" si="30"/>
        <v/>
      </c>
      <c r="X727" s="53" t="str">
        <f t="shared" si="31"/>
        <v/>
      </c>
      <c r="Y727" s="53" t="str">
        <f>IF(Table26[[#This Row],[customerSKU]]="","",_xlfn.XLOOKUP(Table26[[#This Row],[customerSKU]],Table27[customer_SKU],Table27[product_GTIN],"",0,1))</f>
        <v/>
      </c>
      <c r="Z727" s="25" t="s">
        <v>3455</v>
      </c>
      <c r="AA727" s="18" t="str" cm="1">
        <f t="array" ref="AA727">IF(P727="", "", _xlfn.XLOOKUP(P727,#REF!,#REF!,NA,0,-1))</f>
        <v/>
      </c>
      <c r="AB727" s="53"/>
      <c r="AC727" s="55" t="str">
        <f>IF(Table26[[#This Row],[customerSKU]]="","",_xlfn.XLOOKUP(Table26[[#This Row],[customerSKU]],customerSKU!G:G,customerSKU!C:C,"",0,1))</f>
        <v/>
      </c>
      <c r="AD727" s="55" t="str">
        <f>IF($AC727="","",_xlfn.XLOOKUP($AC727,'[2]Client Info'!$C$2:$C$2535,'[2]Client Info'!$D$2:$D$2535,"",0,1))</f>
        <v/>
      </c>
      <c r="AE727" s="55" t="str">
        <f>IF($AC727="","",_xlfn.XLOOKUP($AC727,'[2]Client Info'!$C$2:$C$2715,'[2]Client Info'!$E$2:$E$2715,"",))</f>
        <v/>
      </c>
      <c r="AF727" s="55" t="str">
        <f>IF($AC727="","",_xlfn.XLOOKUP($AC727,'[2]Client Info'!$C$2:$C$2715,'[2]Client Info'!$F$2:$F$2715,"",0,1))</f>
        <v/>
      </c>
      <c r="AG727" s="55" t="str">
        <f>IF(ISBLANK(Table26[[#This Row],[customerSKU]]),"",_xlfn.XLOOKUP(Table26[[#This Row],[customerSKU]],Table27[customer_SKU],Table27[billto],"",0,1))</f>
        <v/>
      </c>
      <c r="AH727" s="62" t="str">
        <f>_xlfn.XLOOKUP(Table26[[#This Row],[customerSKU]],customerSKU!G:G,customerSKU!K:K,"NA",0,1)</f>
        <v>NA</v>
      </c>
      <c r="AI727" s="43" t="str">
        <f>_xlfn.XLOOKUP(Table26[[#This Row],[customerSKU]],customerSKU!G:G,customerSKU!O:O,"not found",0,1)</f>
        <v>not found</v>
      </c>
      <c r="AJ727" s="53" t="e">
        <f>Table26[[#This Row],[unitprice]]*Table26[[#This Row],[quantity_unit]]</f>
        <v>#VALUE!</v>
      </c>
      <c r="AK727" s="53" t="e" cm="1">
        <f t="array" ref="AK7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#VALUE!</v>
      </c>
    </row>
    <row r="728" spans="1:37" ht="18" customHeight="1">
      <c r="A728" s="42">
        <v>1505</v>
      </c>
      <c r="B728" s="249" t="s">
        <v>3520</v>
      </c>
      <c r="C728" s="90" t="s">
        <v>203</v>
      </c>
      <c r="D728" s="235"/>
      <c r="E728" s="235"/>
      <c r="F72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28" s="46"/>
      <c r="H728" s="90"/>
      <c r="I728" s="90" t="s">
        <v>3862</v>
      </c>
      <c r="J728" s="90" t="str">
        <f>IF(Table26[[#This Row],[customerSKU]]="","",_xlfn.XLOOKUP(Table26[[#This Row],[customerSKU]],customerSKU!G:G,customerSKU!A:A,"",0,1))</f>
        <v/>
      </c>
      <c r="K728" s="232">
        <v>45630</v>
      </c>
      <c r="L728" s="233" t="str">
        <f>IF(Table26[[#This Row],[customerSKU]]="","",_xlfn.XLOOKUP(Table26[[#This Row],[customerSKU]],customerSKU!G:G,customerSKU!B:B,"",0,1))</f>
        <v/>
      </c>
      <c r="M728" s="90"/>
      <c r="N728" s="55" t="str">
        <f>Table26[[#This Row],[po_number]]&amp;"-"&amp;Table26[[#This Row],[po_line]]</f>
        <v>-1</v>
      </c>
      <c r="O728" s="55">
        <v>1</v>
      </c>
      <c r="P728" s="234"/>
      <c r="Q728" s="90" t="s">
        <v>1134</v>
      </c>
      <c r="R728" s="90" t="s">
        <v>569</v>
      </c>
      <c r="S728" s="90" t="s">
        <v>114</v>
      </c>
      <c r="T728" s="20">
        <v>45574</v>
      </c>
      <c r="U728" s="236">
        <v>24</v>
      </c>
      <c r="V728" s="90" t="str">
        <f>IF(ISBLANK(Table26[[#This Row],[customerSKU]]),"",_xlfn.XLOOKUP(Table26[[#This Row],[customerSKU]],Table27[customer_SKU],Table27[case_size],"",0,1))</f>
        <v/>
      </c>
      <c r="W728" s="237" t="str">
        <f t="shared" si="30"/>
        <v/>
      </c>
      <c r="X728" s="90" t="str">
        <f t="shared" si="31"/>
        <v/>
      </c>
      <c r="Y728" s="90" t="str">
        <f>IF(Table26[[#This Row],[customerSKU]]="","",_xlfn.XLOOKUP(Table26[[#This Row],[customerSKU]],Table27[customer_SKU],Table27[product_GTIN],"",0,1))</f>
        <v/>
      </c>
      <c r="Z728" s="25" t="s">
        <v>3406</v>
      </c>
      <c r="AA728" s="18" t="str" cm="1">
        <f t="array" ref="AA728">IF(P728="", "", _xlfn.XLOOKUP(P728,#REF!,#REF!,NA,0,-1))</f>
        <v/>
      </c>
      <c r="AB728" s="90"/>
      <c r="AC728" s="55" t="s">
        <v>3978</v>
      </c>
      <c r="AD728" s="55" t="str">
        <f>IF($AC728="","",_xlfn.XLOOKUP($AC728,'[2]Client Info'!$C$2:$C$2535,'[2]Client Info'!$D$2:$D$2535,"",0,1))</f>
        <v>6416 Main Street</v>
      </c>
      <c r="AE728" s="55" t="str">
        <f>IF($AC728="","",_xlfn.XLOOKUP($AC728,'[2]Client Info'!$C$2:$C$2715,'[2]Client Info'!$E$2:$E$2715,"",))</f>
        <v>Vancouver</v>
      </c>
      <c r="AF728" s="55" t="str">
        <f>IF($AC728="","",_xlfn.XLOOKUP($AC728,'[2]Client Info'!$C$2:$C$2715,'[2]Client Info'!$F$2:$F$2715,"",0,1))</f>
        <v xml:space="preserve">BC </v>
      </c>
      <c r="AG728" s="55" t="s">
        <v>3978</v>
      </c>
      <c r="AH728" s="245" t="str">
        <f>_xlfn.XLOOKUP(Table26[[#This Row],[customerSKU]],customerSKU!G:G,customerSKU!K:K,"NA",0,1)</f>
        <v>NA</v>
      </c>
      <c r="AI728" s="43" t="str">
        <f>_xlfn.XLOOKUP(Table26[[#This Row],[customerSKU]],customerSKU!G:G,customerSKU!O:O,"not found",0,1)</f>
        <v>not found</v>
      </c>
      <c r="AJ728" s="53" t="e">
        <f>Table26[[#This Row],[unitprice]]*Table26[[#This Row],[quantity_unit]]</f>
        <v>#VALUE!</v>
      </c>
      <c r="AK728" s="53" t="e" cm="1">
        <f t="array" ref="AK7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29" spans="1:37" ht="18" customHeight="1">
      <c r="A729" s="42">
        <v>1506</v>
      </c>
      <c r="B729" s="249" t="s">
        <v>3520</v>
      </c>
      <c r="C729" s="90" t="s">
        <v>203</v>
      </c>
      <c r="D729" s="235">
        <v>45641</v>
      </c>
      <c r="E729" s="235">
        <v>45635</v>
      </c>
      <c r="F729" s="90"/>
      <c r="G729" s="46"/>
      <c r="H729" s="90"/>
      <c r="I729" s="242" t="s">
        <v>3862</v>
      </c>
      <c r="J729" s="90" t="str">
        <f>IF(Table26[[#This Row],[customerSKU]]="","",_xlfn.XLOOKUP(Table26[[#This Row],[customerSKU]],customerSKU!G:G,customerSKU!A:A,"",0,1))</f>
        <v/>
      </c>
      <c r="K729" s="232">
        <v>45630</v>
      </c>
      <c r="L729" s="233" t="str">
        <f>IF(Table26[[#This Row],[customerSKU]]="","",_xlfn.XLOOKUP(Table26[[#This Row],[customerSKU]],customerSKU!G:G,customerSKU!B:B,"",0,1))</f>
        <v/>
      </c>
      <c r="M729" s="90"/>
      <c r="N729" s="55" t="str">
        <f>Table26[[#This Row],[po_number]]&amp;"-"&amp;Table26[[#This Row],[po_line]]</f>
        <v>-1</v>
      </c>
      <c r="O729" s="55">
        <v>1</v>
      </c>
      <c r="P729" s="234"/>
      <c r="Q729" s="90" t="s">
        <v>4043</v>
      </c>
      <c r="R729" s="90" t="s">
        <v>569</v>
      </c>
      <c r="S729" s="90" t="str">
        <f>IF(Table26[[#This Row],[customerSKU]]="","",_xlfn.XLOOKUP(Table26[[#This Row],[customerSKU]],customerSKU!G:G,customerSKU!N:N,"NOT FOUND",0,1))</f>
        <v>NOT FOUND</v>
      </c>
      <c r="T729" s="20">
        <v>45623</v>
      </c>
      <c r="U729" s="236">
        <v>720</v>
      </c>
      <c r="V729" s="90" t="str">
        <f>IF(ISBLANK(Table26[[#This Row],[customerSKU]]),"",_xlfn.XLOOKUP(Table26[[#This Row],[customerSKU]],Table27[customer_SKU],Table27[case_size],"",0,1))</f>
        <v/>
      </c>
      <c r="W729" s="237" t="str">
        <f t="shared" si="30"/>
        <v/>
      </c>
      <c r="X729" s="90" t="str">
        <f t="shared" si="31"/>
        <v/>
      </c>
      <c r="Y729" s="90" t="str">
        <f>IF(Table26[[#This Row],[customerSKU]]="","",_xlfn.XLOOKUP(Table26[[#This Row],[customerSKU]],Table27[customer_SKU],Table27[product_GTIN],"",0,1))</f>
        <v/>
      </c>
      <c r="Z729" s="60" t="s">
        <v>4044</v>
      </c>
      <c r="AA729" s="18" t="str" cm="1">
        <f t="array" ref="AA729">IF(P729="", "", _xlfn.XLOOKUP(P729,#REF!,#REF!,NA,0,-1))</f>
        <v/>
      </c>
      <c r="AB729" s="90"/>
      <c r="AC729" s="55" t="str">
        <f>IF(Table26[[#This Row],[customerSKU]]="","",_xlfn.XLOOKUP(Table26[[#This Row],[customerSKU]],customerSKU!G:G,customerSKU!C:C,"",0,1))</f>
        <v/>
      </c>
      <c r="AD729" s="55" t="str">
        <f>IF($AC729="","",_xlfn.XLOOKUP($AC729,'[2]Client Info'!$C$2:$C$2535,'[2]Client Info'!$D$2:$D$2535,"",0,1))</f>
        <v/>
      </c>
      <c r="AE729" s="55" t="str">
        <f>IF($AC729="","",_xlfn.XLOOKUP($AC729,'[2]Client Info'!$C$2:$C$2715,'[2]Client Info'!$E$2:$E$2715,"",))</f>
        <v/>
      </c>
      <c r="AF729" s="55" t="str">
        <f>IF($AC729="","",_xlfn.XLOOKUP($AC729,'[2]Client Info'!$C$2:$C$2715,'[2]Client Info'!$F$2:$F$2715,"",0,1))</f>
        <v/>
      </c>
      <c r="AG729" s="55" t="str">
        <f>IF(ISBLANK(Table26[[#This Row],[customerSKU]]),"",_xlfn.XLOOKUP(Table26[[#This Row],[customerSKU]],Table27[customer_SKU],Table27[billto],"",0,1))</f>
        <v/>
      </c>
      <c r="AH729" s="245" t="str">
        <f>_xlfn.XLOOKUP(Table26[[#This Row],[customerSKU]],customerSKU!G:G,customerSKU!K:K,"NA",0,1)</f>
        <v>NA</v>
      </c>
      <c r="AI729" s="43" t="str">
        <f>_xlfn.XLOOKUP(Table26[[#This Row],[customerSKU]],customerSKU!G:G,customerSKU!O:O,"not found",0,1)</f>
        <v>not found</v>
      </c>
      <c r="AJ729" s="53" t="e">
        <f>Table26[[#This Row],[unitprice]]*Table26[[#This Row],[quantity_unit]]</f>
        <v>#VALUE!</v>
      </c>
      <c r="AK729" s="53" t="e" cm="1">
        <f t="array" ref="AK7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0" spans="1:37" ht="18" customHeight="1">
      <c r="A730" s="42">
        <v>1507</v>
      </c>
      <c r="B730" s="249" t="s">
        <v>3520</v>
      </c>
      <c r="C730" s="90" t="s">
        <v>203</v>
      </c>
      <c r="D730" s="235">
        <v>45641</v>
      </c>
      <c r="E730" s="235">
        <v>45635</v>
      </c>
      <c r="F730" s="90"/>
      <c r="G730" s="46"/>
      <c r="H730" s="90"/>
      <c r="I730" s="242" t="s">
        <v>3862</v>
      </c>
      <c r="J730" s="90" t="str">
        <f>IF(Table26[[#This Row],[customerSKU]]="","",_xlfn.XLOOKUP(Table26[[#This Row],[customerSKU]],customerSKU!G:G,customerSKU!A:A,"",0,1))</f>
        <v/>
      </c>
      <c r="K730" s="232">
        <v>45630</v>
      </c>
      <c r="L730" s="233" t="str">
        <f>IF(Table26[[#This Row],[customerSKU]]="","",_xlfn.XLOOKUP(Table26[[#This Row],[customerSKU]],customerSKU!G:G,customerSKU!B:B,"",0,1))</f>
        <v/>
      </c>
      <c r="M730" s="90"/>
      <c r="N730" s="55" t="str">
        <f>Table26[[#This Row],[po_number]]&amp;"-"&amp;Table26[[#This Row],[po_line]]</f>
        <v>-2</v>
      </c>
      <c r="O730" s="55">
        <v>2</v>
      </c>
      <c r="P730" s="234"/>
      <c r="Q730" s="90" t="s">
        <v>4045</v>
      </c>
      <c r="R730" s="90" t="s">
        <v>569</v>
      </c>
      <c r="S730" s="90" t="str">
        <f>IF(Table26[[#This Row],[customerSKU]]="","",_xlfn.XLOOKUP(Table26[[#This Row],[customerSKU]],customerSKU!G:G,customerSKU!N:N,"NOT FOUND",0,1))</f>
        <v>NOT FOUND</v>
      </c>
      <c r="T730" s="20">
        <v>45622</v>
      </c>
      <c r="U730" s="236">
        <v>2880</v>
      </c>
      <c r="V730" s="90" t="str">
        <f>IF(ISBLANK(Table26[[#This Row],[customerSKU]]),"",_xlfn.XLOOKUP(Table26[[#This Row],[customerSKU]],Table27[customer_SKU],Table27[case_size],"",0,1))</f>
        <v/>
      </c>
      <c r="W730" s="237" t="str">
        <f t="shared" si="30"/>
        <v/>
      </c>
      <c r="X730" s="90" t="str">
        <f t="shared" si="31"/>
        <v/>
      </c>
      <c r="Y730" s="90" t="str">
        <f>IF(Table26[[#This Row],[customerSKU]]="","",_xlfn.XLOOKUP(Table26[[#This Row],[customerSKU]],Table27[customer_SKU],Table27[product_GTIN],"",0,1))</f>
        <v/>
      </c>
      <c r="Z730" s="60" t="s">
        <v>4044</v>
      </c>
      <c r="AA730" s="18" t="str" cm="1">
        <f t="array" ref="AA730">IF(P730="", "", _xlfn.XLOOKUP(P730,#REF!,#REF!,NA,0,-1))</f>
        <v/>
      </c>
      <c r="AB730" s="90"/>
      <c r="AC730" s="55" t="str">
        <f>IF(Table26[[#This Row],[customerSKU]]="","",_xlfn.XLOOKUP(Table26[[#This Row],[customerSKU]],customerSKU!G:G,customerSKU!C:C,"",0,1))</f>
        <v/>
      </c>
      <c r="AD730" s="55" t="str">
        <f>IF($AC730="","",_xlfn.XLOOKUP($AC730,'[2]Client Info'!$C$2:$C$2535,'[2]Client Info'!$D$2:$D$2535,"",0,1))</f>
        <v/>
      </c>
      <c r="AE730" s="55" t="str">
        <f>IF($AC730="","",_xlfn.XLOOKUP($AC730,'[2]Client Info'!$C$2:$C$2715,'[2]Client Info'!$E$2:$E$2715,"",))</f>
        <v/>
      </c>
      <c r="AF730" s="55" t="str">
        <f>IF($AC730="","",_xlfn.XLOOKUP($AC730,'[2]Client Info'!$C$2:$C$2715,'[2]Client Info'!$F$2:$F$2715,"",0,1))</f>
        <v/>
      </c>
      <c r="AG730" s="55" t="str">
        <f>IF(ISBLANK(Table26[[#This Row],[customerSKU]]),"",_xlfn.XLOOKUP(Table26[[#This Row],[customerSKU]],Table27[customer_SKU],Table27[billto],"",0,1))</f>
        <v/>
      </c>
      <c r="AH730" s="245" t="str">
        <f>_xlfn.XLOOKUP(Table26[[#This Row],[customerSKU]],customerSKU!G:G,customerSKU!K:K,"NA",0,1)</f>
        <v>NA</v>
      </c>
      <c r="AI730" s="43" t="str">
        <f>_xlfn.XLOOKUP(Table26[[#This Row],[customerSKU]],customerSKU!G:G,customerSKU!O:O,"not found",0,1)</f>
        <v>not found</v>
      </c>
      <c r="AJ730" s="53" t="e">
        <f>Table26[[#This Row],[unitprice]]*Table26[[#This Row],[quantity_unit]]</f>
        <v>#VALUE!</v>
      </c>
      <c r="AK730" s="53" t="e" cm="1">
        <f t="array" ref="AK7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1" spans="1:37" ht="18" customHeight="1">
      <c r="A731" s="42">
        <v>1508</v>
      </c>
      <c r="B731" s="249" t="s">
        <v>3520</v>
      </c>
      <c r="C731" s="90" t="s">
        <v>203</v>
      </c>
      <c r="D731" s="235">
        <v>45641</v>
      </c>
      <c r="E731" s="235">
        <v>45635</v>
      </c>
      <c r="F731" s="90"/>
      <c r="G731" s="46"/>
      <c r="H731" s="90"/>
      <c r="I731" s="242" t="s">
        <v>3862</v>
      </c>
      <c r="J731" s="90" t="str">
        <f>IF(Table26[[#This Row],[customerSKU]]="","",_xlfn.XLOOKUP(Table26[[#This Row],[customerSKU]],customerSKU!G:G,customerSKU!A:A,"",0,1))</f>
        <v/>
      </c>
      <c r="K731" s="232">
        <v>45630</v>
      </c>
      <c r="L731" s="233" t="str">
        <f>IF(Table26[[#This Row],[customerSKU]]="","",_xlfn.XLOOKUP(Table26[[#This Row],[customerSKU]],customerSKU!G:G,customerSKU!B:B,"",0,1))</f>
        <v/>
      </c>
      <c r="M731" s="90"/>
      <c r="N731" s="55" t="str">
        <f>Table26[[#This Row],[po_number]]&amp;"-"&amp;Table26[[#This Row],[po_line]]</f>
        <v>-3</v>
      </c>
      <c r="O731" s="55">
        <v>3</v>
      </c>
      <c r="P731" s="234"/>
      <c r="Q731" s="90" t="s">
        <v>3902</v>
      </c>
      <c r="R731" s="90" t="s">
        <v>569</v>
      </c>
      <c r="S731" s="90" t="str">
        <f>IF(Table26[[#This Row],[customerSKU]]="","",_xlfn.XLOOKUP(Table26[[#This Row],[customerSKU]],customerSKU!G:G,customerSKU!N:N,"NOT FOUND",0,1))</f>
        <v>NOT FOUND</v>
      </c>
      <c r="T731" s="20">
        <v>45623</v>
      </c>
      <c r="U731" s="236">
        <v>588</v>
      </c>
      <c r="V731" s="90" t="str">
        <f>IF(ISBLANK(Table26[[#This Row],[customerSKU]]),"",_xlfn.XLOOKUP(Table26[[#This Row],[customerSKU]],Table27[customer_SKU],Table27[case_size],"",0,1))</f>
        <v/>
      </c>
      <c r="W731" s="237" t="str">
        <f t="shared" si="30"/>
        <v/>
      </c>
      <c r="X731" s="90" t="str">
        <f t="shared" si="31"/>
        <v/>
      </c>
      <c r="Y731" s="90" t="str">
        <f>IF(Table26[[#This Row],[customerSKU]]="","",_xlfn.XLOOKUP(Table26[[#This Row],[customerSKU]],Table27[customer_SKU],Table27[product_GTIN],"",0,1))</f>
        <v/>
      </c>
      <c r="Z731" s="60" t="s">
        <v>4046</v>
      </c>
      <c r="AA731" s="18" t="str" cm="1">
        <f t="array" ref="AA731">IF(P731="", "", _xlfn.XLOOKUP(P731,#REF!,#REF!,NA,0,-1))</f>
        <v/>
      </c>
      <c r="AB731" s="90"/>
      <c r="AC731" s="55" t="str">
        <f>IF(Table26[[#This Row],[customerSKU]]="","",_xlfn.XLOOKUP(Table26[[#This Row],[customerSKU]],customerSKU!G:G,customerSKU!C:C,"",0,1))</f>
        <v/>
      </c>
      <c r="AD731" s="55" t="str">
        <f>IF($AC731="","",_xlfn.XLOOKUP($AC731,'[2]Client Info'!$C$2:$C$2535,'[2]Client Info'!$D$2:$D$2535,"",0,1))</f>
        <v/>
      </c>
      <c r="AE731" s="55" t="str">
        <f>IF($AC731="","",_xlfn.XLOOKUP($AC731,'[2]Client Info'!$C$2:$C$2715,'[2]Client Info'!$E$2:$E$2715,"",))</f>
        <v/>
      </c>
      <c r="AF731" s="55" t="str">
        <f>IF($AC731="","",_xlfn.XLOOKUP($AC731,'[2]Client Info'!$C$2:$C$2715,'[2]Client Info'!$F$2:$F$2715,"",0,1))</f>
        <v/>
      </c>
      <c r="AG731" s="55" t="str">
        <f>IF(ISBLANK(Table26[[#This Row],[customerSKU]]),"",_xlfn.XLOOKUP(Table26[[#This Row],[customerSKU]],Table27[customer_SKU],Table27[billto],"",0,1))</f>
        <v/>
      </c>
      <c r="AH731" s="245" t="str">
        <f>_xlfn.XLOOKUP(Table26[[#This Row],[customerSKU]],customerSKU!G:G,customerSKU!K:K,"NA",0,1)</f>
        <v>NA</v>
      </c>
      <c r="AI731" s="43" t="str">
        <f>_xlfn.XLOOKUP(Table26[[#This Row],[customerSKU]],customerSKU!G:G,customerSKU!O:O,"not found",0,1)</f>
        <v>not found</v>
      </c>
      <c r="AJ731" s="53" t="e">
        <f>Table26[[#This Row],[unitprice]]*Table26[[#This Row],[quantity_unit]]</f>
        <v>#VALUE!</v>
      </c>
      <c r="AK731" s="53" t="e" cm="1">
        <f t="array" ref="AK7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2" spans="1:37" ht="18" customHeight="1">
      <c r="A732" s="42">
        <v>1509</v>
      </c>
      <c r="B732" s="249" t="s">
        <v>3520</v>
      </c>
      <c r="C732" s="90" t="s">
        <v>203</v>
      </c>
      <c r="D732" s="235">
        <v>45641</v>
      </c>
      <c r="E732" s="235">
        <v>45635</v>
      </c>
      <c r="F732" s="90"/>
      <c r="G732" s="46"/>
      <c r="H732" s="90"/>
      <c r="I732" s="242" t="s">
        <v>3862</v>
      </c>
      <c r="J732" s="90" t="str">
        <f>IF(Table26[[#This Row],[customerSKU]]="","",_xlfn.XLOOKUP(Table26[[#This Row],[customerSKU]],customerSKU!G:G,customerSKU!A:A,"",0,1))</f>
        <v/>
      </c>
      <c r="K732" s="232">
        <v>45630</v>
      </c>
      <c r="L732" s="233" t="str">
        <f>IF(Table26[[#This Row],[customerSKU]]="","",_xlfn.XLOOKUP(Table26[[#This Row],[customerSKU]],customerSKU!G:G,customerSKU!B:B,"",0,1))</f>
        <v/>
      </c>
      <c r="M732" s="90"/>
      <c r="N732" s="55" t="str">
        <f>Table26[[#This Row],[po_number]]&amp;"-"&amp;Table26[[#This Row],[po_line]]</f>
        <v>-4</v>
      </c>
      <c r="O732" s="55">
        <v>4</v>
      </c>
      <c r="P732" s="234"/>
      <c r="Q732" s="90" t="s">
        <v>4047</v>
      </c>
      <c r="R732" s="90" t="s">
        <v>569</v>
      </c>
      <c r="S732" s="90" t="str">
        <f>IF(Table26[[#This Row],[customerSKU]]="","",_xlfn.XLOOKUP(Table26[[#This Row],[customerSKU]],customerSKU!G:G,customerSKU!N:N,"NOT FOUND",0,1))</f>
        <v>NOT FOUND</v>
      </c>
      <c r="T732" s="20">
        <v>45622</v>
      </c>
      <c r="U732" s="236">
        <v>3012</v>
      </c>
      <c r="V732" s="90" t="str">
        <f>IF(ISBLANK(Table26[[#This Row],[customerSKU]]),"",_xlfn.XLOOKUP(Table26[[#This Row],[customerSKU]],Table27[customer_SKU],Table27[case_size],"",0,1))</f>
        <v/>
      </c>
      <c r="W732" s="237" t="str">
        <f t="shared" si="30"/>
        <v/>
      </c>
      <c r="X732" s="90" t="str">
        <f t="shared" si="31"/>
        <v/>
      </c>
      <c r="Y732" s="90" t="str">
        <f>IF(Table26[[#This Row],[customerSKU]]="","",_xlfn.XLOOKUP(Table26[[#This Row],[customerSKU]],Table27[customer_SKU],Table27[product_GTIN],"",0,1))</f>
        <v/>
      </c>
      <c r="Z732" s="60" t="s">
        <v>4046</v>
      </c>
      <c r="AA732" s="18" t="str" cm="1">
        <f t="array" ref="AA732">IF(P732="", "", _xlfn.XLOOKUP(P732,#REF!,#REF!,NA,0,-1))</f>
        <v/>
      </c>
      <c r="AB732" s="90"/>
      <c r="AC732" s="55" t="str">
        <f>IF(Table26[[#This Row],[customerSKU]]="","",_xlfn.XLOOKUP(Table26[[#This Row],[customerSKU]],customerSKU!G:G,customerSKU!C:C,"",0,1))</f>
        <v/>
      </c>
      <c r="AD732" s="55" t="str">
        <f>IF($AC732="","",_xlfn.XLOOKUP($AC732,'[2]Client Info'!$C$2:$C$2535,'[2]Client Info'!$D$2:$D$2535,"",0,1))</f>
        <v/>
      </c>
      <c r="AE732" s="55" t="str">
        <f>IF($AC732="","",_xlfn.XLOOKUP($AC732,'[2]Client Info'!$C$2:$C$2715,'[2]Client Info'!$E$2:$E$2715,"",))</f>
        <v/>
      </c>
      <c r="AF732" s="55" t="str">
        <f>IF($AC732="","",_xlfn.XLOOKUP($AC732,'[2]Client Info'!$C$2:$C$2715,'[2]Client Info'!$F$2:$F$2715,"",0,1))</f>
        <v/>
      </c>
      <c r="AG732" s="55" t="str">
        <f>IF(ISBLANK(Table26[[#This Row],[customerSKU]]),"",_xlfn.XLOOKUP(Table26[[#This Row],[customerSKU]],Table27[customer_SKU],Table27[billto],"",0,1))</f>
        <v/>
      </c>
      <c r="AH732" s="245" t="str">
        <f>_xlfn.XLOOKUP(Table26[[#This Row],[customerSKU]],customerSKU!G:G,customerSKU!K:K,"NA",0,1)</f>
        <v>NA</v>
      </c>
      <c r="AI732" s="43" t="str">
        <f>_xlfn.XLOOKUP(Table26[[#This Row],[customerSKU]],customerSKU!G:G,customerSKU!O:O,"not found",0,1)</f>
        <v>not found</v>
      </c>
      <c r="AJ732" s="53" t="e">
        <f>Table26[[#This Row],[unitprice]]*Table26[[#This Row],[quantity_unit]]</f>
        <v>#VALUE!</v>
      </c>
      <c r="AK732" s="53" t="e" cm="1">
        <f t="array" ref="AK7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3" spans="1:37" ht="18" customHeight="1">
      <c r="A733" s="42">
        <v>1510</v>
      </c>
      <c r="B733" s="249" t="s">
        <v>3520</v>
      </c>
      <c r="C733" s="90" t="s">
        <v>203</v>
      </c>
      <c r="D733" s="235"/>
      <c r="E733" s="235"/>
      <c r="F73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3" s="46"/>
      <c r="H733" s="90"/>
      <c r="I733" s="90"/>
      <c r="J733" s="90" t="str">
        <f>IF(Table26[[#This Row],[customerSKU]]="","",_xlfn.XLOOKUP(Table26[[#This Row],[customerSKU]],customerSKU!G:G,customerSKU!A:A,"",0,1))</f>
        <v/>
      </c>
      <c r="K733" s="232">
        <v>45630</v>
      </c>
      <c r="L733" s="233" t="str">
        <f>IF(Table26[[#This Row],[customerSKU]]="","",_xlfn.XLOOKUP(Table26[[#This Row],[customerSKU]],customerSKU!G:G,customerSKU!B:B,"",0,1))</f>
        <v/>
      </c>
      <c r="M733" s="90"/>
      <c r="N733" s="55" t="str">
        <f>Table26[[#This Row],[po_number]]&amp;"-"&amp;Table26[[#This Row],[po_line]]</f>
        <v>-1</v>
      </c>
      <c r="O733" s="55">
        <v>1</v>
      </c>
      <c r="P733" s="234"/>
      <c r="Q733" s="90" t="s">
        <v>1377</v>
      </c>
      <c r="R733" s="90" t="s">
        <v>569</v>
      </c>
      <c r="S733" s="90" t="s">
        <v>114</v>
      </c>
      <c r="T733" s="20">
        <v>45569</v>
      </c>
      <c r="U733" s="236">
        <v>12</v>
      </c>
      <c r="V733" s="90" t="str">
        <f>IF(ISBLANK(Table26[[#This Row],[customerSKU]]),"",_xlfn.XLOOKUP(Table26[[#This Row],[customerSKU]],Table27[customer_SKU],Table27[case_size],"",0,1))</f>
        <v/>
      </c>
      <c r="W733" s="237" t="str">
        <f t="shared" si="30"/>
        <v/>
      </c>
      <c r="X733" s="90" t="str">
        <f t="shared" si="31"/>
        <v/>
      </c>
      <c r="Y733" s="90" t="str">
        <f>IF(Table26[[#This Row],[customerSKU]]="","",_xlfn.XLOOKUP(Table26[[#This Row],[customerSKU]],Table27[customer_SKU],Table27[product_GTIN],"",0,1))</f>
        <v/>
      </c>
      <c r="Z733" s="90">
        <v>1054766</v>
      </c>
      <c r="AA733" s="18" t="str" cm="1">
        <f t="array" ref="AA733">IF(P733="", "", _xlfn.XLOOKUP(P733,#REF!,#REF!,NA,0,-1))</f>
        <v/>
      </c>
      <c r="AB733" s="90"/>
      <c r="AC733" s="55" t="s">
        <v>4126</v>
      </c>
      <c r="AD733" s="55" t="str">
        <f>IF($AC733="","",_xlfn.XLOOKUP($AC733,'[2]Client Info'!$C$2:$C$2535,'[2]Client Info'!$D$2:$D$2535,"",0,1))</f>
        <v>#102-935 Brunette Ave</v>
      </c>
      <c r="AE733" s="55" t="str">
        <f>IF($AC733="","",_xlfn.XLOOKUP($AC733,'[2]Client Info'!$C$2:$C$2715,'[2]Client Info'!$E$2:$E$2715,"",))</f>
        <v>Coquitlam</v>
      </c>
      <c r="AF733" s="55" t="str">
        <f>IF($AC733="","",_xlfn.XLOOKUP($AC733,'[2]Client Info'!$C$2:$C$2715,'[2]Client Info'!$F$2:$F$2715,"",0,1))</f>
        <v>BC</v>
      </c>
      <c r="AG733" s="55" t="s">
        <v>4126</v>
      </c>
      <c r="AH733" s="245" t="str">
        <f>_xlfn.XLOOKUP(Table26[[#This Row],[customerSKU]],customerSKU!G:G,customerSKU!K:K,"NA",0,1)</f>
        <v>NA</v>
      </c>
      <c r="AI733" s="43" t="str">
        <f>_xlfn.XLOOKUP(Table26[[#This Row],[customerSKU]],customerSKU!G:G,customerSKU!O:O,"not found",0,1)</f>
        <v>not found</v>
      </c>
      <c r="AJ733" s="53" t="e">
        <f>Table26[[#This Row],[unitprice]]*Table26[[#This Row],[quantity_unit]]</f>
        <v>#VALUE!</v>
      </c>
      <c r="AK733" s="53" t="e" cm="1">
        <f t="array" ref="AK7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4" spans="1:37" ht="18" customHeight="1">
      <c r="A734" s="42">
        <v>1511</v>
      </c>
      <c r="B734" s="249" t="s">
        <v>3520</v>
      </c>
      <c r="C734" s="90" t="s">
        <v>203</v>
      </c>
      <c r="D734" s="235"/>
      <c r="E734" s="235"/>
      <c r="F73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4" s="46"/>
      <c r="H734" s="90"/>
      <c r="I734" s="90"/>
      <c r="J734" s="90" t="str">
        <f>IF(Table26[[#This Row],[customerSKU]]="","",_xlfn.XLOOKUP(Table26[[#This Row],[customerSKU]],customerSKU!G:G,customerSKU!A:A,"",0,1))</f>
        <v/>
      </c>
      <c r="K734" s="232">
        <v>45630</v>
      </c>
      <c r="L734" s="233" t="str">
        <f>IF(Table26[[#This Row],[customerSKU]]="","",_xlfn.XLOOKUP(Table26[[#This Row],[customerSKU]],customerSKU!G:G,customerSKU!B:B,"",0,1))</f>
        <v/>
      </c>
      <c r="M734" s="90"/>
      <c r="N734" s="55" t="str">
        <f>Table26[[#This Row],[po_number]]&amp;"-"&amp;Table26[[#This Row],[po_line]]</f>
        <v>-2</v>
      </c>
      <c r="O734" s="55">
        <v>2</v>
      </c>
      <c r="P734" s="234"/>
      <c r="Q734" s="90" t="s">
        <v>1609</v>
      </c>
      <c r="R734" s="90" t="s">
        <v>569</v>
      </c>
      <c r="S734" s="90" t="s">
        <v>114</v>
      </c>
      <c r="T734" s="20">
        <v>45462</v>
      </c>
      <c r="U734" s="236">
        <v>24</v>
      </c>
      <c r="V734" s="90" t="str">
        <f>IF(ISBLANK(Table26[[#This Row],[customerSKU]]),"",_xlfn.XLOOKUP(Table26[[#This Row],[customerSKU]],Table27[customer_SKU],Table27[case_size],"",0,1))</f>
        <v/>
      </c>
      <c r="W734" s="237" t="str">
        <f t="shared" si="30"/>
        <v/>
      </c>
      <c r="X734" s="90" t="str">
        <f t="shared" si="31"/>
        <v/>
      </c>
      <c r="Y734" s="90" t="str">
        <f>IF(Table26[[#This Row],[customerSKU]]="","",_xlfn.XLOOKUP(Table26[[#This Row],[customerSKU]],Table27[customer_SKU],Table27[product_GTIN],"",0,1))</f>
        <v/>
      </c>
      <c r="Z734" s="25" t="s">
        <v>3416</v>
      </c>
      <c r="AA734" s="18" t="str" cm="1">
        <f t="array" ref="AA734">IF(P734="", "", _xlfn.XLOOKUP(P734,#REF!,#REF!,NA,0,-1))</f>
        <v/>
      </c>
      <c r="AB734" s="90"/>
      <c r="AC734" s="55" t="s">
        <v>4126</v>
      </c>
      <c r="AD734" s="55" t="str">
        <f>IF($AC734="","",_xlfn.XLOOKUP($AC734,'[2]Client Info'!$C$2:$C$2535,'[2]Client Info'!$D$2:$D$2535,"",0,1))</f>
        <v>#102-935 Brunette Ave</v>
      </c>
      <c r="AE734" s="55" t="str">
        <f>IF($AC734="","",_xlfn.XLOOKUP($AC734,'[2]Client Info'!$C$2:$C$2715,'[2]Client Info'!$E$2:$E$2715,"",))</f>
        <v>Coquitlam</v>
      </c>
      <c r="AF734" s="55" t="str">
        <f>IF($AC734="","",_xlfn.XLOOKUP($AC734,'[2]Client Info'!$C$2:$C$2715,'[2]Client Info'!$F$2:$F$2715,"",0,1))</f>
        <v>BC</v>
      </c>
      <c r="AG734" s="55" t="s">
        <v>4126</v>
      </c>
      <c r="AH734" s="245" t="str">
        <f>_xlfn.XLOOKUP(Table26[[#This Row],[customerSKU]],customerSKU!G:G,customerSKU!K:K,"NA",0,1)</f>
        <v>NA</v>
      </c>
      <c r="AI734" s="43" t="str">
        <f>_xlfn.XLOOKUP(Table26[[#This Row],[customerSKU]],customerSKU!G:G,customerSKU!O:O,"not found",0,1)</f>
        <v>not found</v>
      </c>
      <c r="AJ734" s="53" t="e">
        <f>Table26[[#This Row],[unitprice]]*Table26[[#This Row],[quantity_unit]]</f>
        <v>#VALUE!</v>
      </c>
      <c r="AK734" s="53" t="e" cm="1">
        <f t="array" ref="AK7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5" spans="1:37" ht="18" customHeight="1">
      <c r="A735" s="42">
        <v>1512</v>
      </c>
      <c r="B735" s="249" t="s">
        <v>3520</v>
      </c>
      <c r="C735" s="90" t="s">
        <v>203</v>
      </c>
      <c r="D735" s="235"/>
      <c r="E735" s="235"/>
      <c r="F73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5" s="46"/>
      <c r="H735" s="90"/>
      <c r="I735" s="90"/>
      <c r="J735" s="90" t="str">
        <f>IF(Table26[[#This Row],[customerSKU]]="","",_xlfn.XLOOKUP(Table26[[#This Row],[customerSKU]],customerSKU!G:G,customerSKU!A:A,"",0,1))</f>
        <v/>
      </c>
      <c r="K735" s="232">
        <v>45630</v>
      </c>
      <c r="L735" s="233" t="str">
        <f>IF(Table26[[#This Row],[customerSKU]]="","",_xlfn.XLOOKUP(Table26[[#This Row],[customerSKU]],customerSKU!G:G,customerSKU!B:B,"",0,1))</f>
        <v/>
      </c>
      <c r="M735" s="90"/>
      <c r="N735" s="55" t="str">
        <f>Table26[[#This Row],[po_number]]&amp;"-"&amp;Table26[[#This Row],[po_line]]</f>
        <v>-3</v>
      </c>
      <c r="O735" s="55">
        <v>3</v>
      </c>
      <c r="P735" s="234"/>
      <c r="Q735" s="90" t="s">
        <v>1575</v>
      </c>
      <c r="R735" s="90" t="s">
        <v>569</v>
      </c>
      <c r="S735" s="90" t="s">
        <v>114</v>
      </c>
      <c r="T735" s="20">
        <v>45457</v>
      </c>
      <c r="U735" s="236">
        <v>24</v>
      </c>
      <c r="V735" s="90" t="str">
        <f>IF(ISBLANK(Table26[[#This Row],[customerSKU]]),"",_xlfn.XLOOKUP(Table26[[#This Row],[customerSKU]],Table27[customer_SKU],Table27[case_size],"",0,1))</f>
        <v/>
      </c>
      <c r="W735" s="237" t="str">
        <f t="shared" si="30"/>
        <v/>
      </c>
      <c r="X735" s="90" t="str">
        <f t="shared" si="31"/>
        <v/>
      </c>
      <c r="Y735" s="90" t="str">
        <f>IF(Table26[[#This Row],[customerSKU]]="","",_xlfn.XLOOKUP(Table26[[#This Row],[customerSKU]],Table27[customer_SKU],Table27[product_GTIN],"",0,1))</f>
        <v/>
      </c>
      <c r="Z735" s="25" t="s">
        <v>3609</v>
      </c>
      <c r="AA735" s="18" t="str" cm="1">
        <f t="array" ref="AA735">IF(P735="", "", _xlfn.XLOOKUP(P735,#REF!,#REF!,NA,0,-1))</f>
        <v/>
      </c>
      <c r="AB735" s="90"/>
      <c r="AC735" s="55" t="s">
        <v>4126</v>
      </c>
      <c r="AD735" s="55" t="str">
        <f>IF($AC735="","",_xlfn.XLOOKUP($AC735,'[2]Client Info'!$C$2:$C$2535,'[2]Client Info'!$D$2:$D$2535,"",0,1))</f>
        <v>#102-935 Brunette Ave</v>
      </c>
      <c r="AE735" s="55" t="str">
        <f>IF($AC735="","",_xlfn.XLOOKUP($AC735,'[2]Client Info'!$C$2:$C$2715,'[2]Client Info'!$E$2:$E$2715,"",))</f>
        <v>Coquitlam</v>
      </c>
      <c r="AF735" s="55" t="str">
        <f>IF($AC735="","",_xlfn.XLOOKUP($AC735,'[2]Client Info'!$C$2:$C$2715,'[2]Client Info'!$F$2:$F$2715,"",0,1))</f>
        <v>BC</v>
      </c>
      <c r="AG735" s="55" t="s">
        <v>4126</v>
      </c>
      <c r="AH735" s="245" t="str">
        <f>_xlfn.XLOOKUP(Table26[[#This Row],[customerSKU]],customerSKU!G:G,customerSKU!K:K,"NA",0,1)</f>
        <v>NA</v>
      </c>
      <c r="AI735" s="43" t="str">
        <f>_xlfn.XLOOKUP(Table26[[#This Row],[customerSKU]],customerSKU!G:G,customerSKU!O:O,"not found",0,1)</f>
        <v>not found</v>
      </c>
      <c r="AJ735" s="53" t="e">
        <f>Table26[[#This Row],[unitprice]]*Table26[[#This Row],[quantity_unit]]</f>
        <v>#VALUE!</v>
      </c>
      <c r="AK735" s="53" t="e" cm="1">
        <f t="array" ref="AK7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6" spans="1:37" ht="24.6" customHeight="1">
      <c r="A736" s="42">
        <v>1513</v>
      </c>
      <c r="B736" s="249" t="s">
        <v>3520</v>
      </c>
      <c r="C736" s="90" t="s">
        <v>203</v>
      </c>
      <c r="D736" s="235"/>
      <c r="E736" s="235"/>
      <c r="F73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6" s="46"/>
      <c r="H736" s="90"/>
      <c r="I736" s="90"/>
      <c r="J736" s="90" t="str">
        <f>IF(Table26[[#This Row],[customerSKU]]="","",_xlfn.XLOOKUP(Table26[[#This Row],[customerSKU]],customerSKU!G:G,customerSKU!A:A,"",0,1))</f>
        <v/>
      </c>
      <c r="K736" s="232">
        <v>45630</v>
      </c>
      <c r="L736" s="233" t="str">
        <f>IF(Table26[[#This Row],[customerSKU]]="","",_xlfn.XLOOKUP(Table26[[#This Row],[customerSKU]],customerSKU!G:G,customerSKU!B:B,"",0,1))</f>
        <v/>
      </c>
      <c r="M736" s="90"/>
      <c r="N736" s="55" t="str">
        <f>Table26[[#This Row],[po_number]]&amp;"-"&amp;Table26[[#This Row],[po_line]]</f>
        <v>-4</v>
      </c>
      <c r="O736" s="55">
        <v>4</v>
      </c>
      <c r="P736" s="234"/>
      <c r="Q736" s="90" t="s">
        <v>828</v>
      </c>
      <c r="R736" s="90" t="s">
        <v>569</v>
      </c>
      <c r="S736" s="90" t="s">
        <v>114</v>
      </c>
      <c r="T736" s="20">
        <v>45593</v>
      </c>
      <c r="U736" s="236">
        <v>24</v>
      </c>
      <c r="V736" s="90" t="str">
        <f>IF(ISBLANK(Table26[[#This Row],[customerSKU]]),"",_xlfn.XLOOKUP(Table26[[#This Row],[customerSKU]],Table27[customer_SKU],Table27[case_size],"",0,1))</f>
        <v/>
      </c>
      <c r="W736" s="237" t="str">
        <f t="shared" si="30"/>
        <v/>
      </c>
      <c r="X736" s="90" t="str">
        <f t="shared" si="31"/>
        <v/>
      </c>
      <c r="Y736" s="90" t="str">
        <f>IF(Table26[[#This Row],[customerSKU]]="","",_xlfn.XLOOKUP(Table26[[#This Row],[customerSKU]],Table27[customer_SKU],Table27[product_GTIN],"",0,1))</f>
        <v/>
      </c>
      <c r="Z736" s="25" t="s">
        <v>3364</v>
      </c>
      <c r="AA736" s="18" t="str" cm="1">
        <f t="array" ref="AA736">IF(P736="", "", _xlfn.XLOOKUP(P736,#REF!,#REF!,NA,0,-1))</f>
        <v/>
      </c>
      <c r="AB736" s="90"/>
      <c r="AC736" s="55" t="s">
        <v>4126</v>
      </c>
      <c r="AD736" s="55" t="str">
        <f>IF($AC736="","",_xlfn.XLOOKUP($AC736,'[2]Client Info'!$C$2:$C$2535,'[2]Client Info'!$D$2:$D$2535,"",0,1))</f>
        <v>#102-935 Brunette Ave</v>
      </c>
      <c r="AE736" s="55" t="str">
        <f>IF($AC736="","",_xlfn.XLOOKUP($AC736,'[2]Client Info'!$C$2:$C$2715,'[2]Client Info'!$E$2:$E$2715,"",))</f>
        <v>Coquitlam</v>
      </c>
      <c r="AF736" s="55" t="str">
        <f>IF($AC736="","",_xlfn.XLOOKUP($AC736,'[2]Client Info'!$C$2:$C$2715,'[2]Client Info'!$F$2:$F$2715,"",0,1))</f>
        <v>BC</v>
      </c>
      <c r="AG736" s="55" t="s">
        <v>4126</v>
      </c>
      <c r="AH736" s="245" t="str">
        <f>_xlfn.XLOOKUP(Table26[[#This Row],[customerSKU]],customerSKU!G:G,customerSKU!K:K,"NA",0,1)</f>
        <v>NA</v>
      </c>
      <c r="AI736" s="43" t="str">
        <f>_xlfn.XLOOKUP(Table26[[#This Row],[customerSKU]],customerSKU!G:G,customerSKU!O:O,"not found",0,1)</f>
        <v>not found</v>
      </c>
      <c r="AJ736" s="53" t="e">
        <f>Table26[[#This Row],[unitprice]]*Table26[[#This Row],[quantity_unit]]</f>
        <v>#VALUE!</v>
      </c>
      <c r="AK736" s="53" t="e" cm="1">
        <f t="array" ref="AK7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7" spans="1:37" ht="24.6" customHeight="1">
      <c r="A737" s="42">
        <v>1514</v>
      </c>
      <c r="B737" s="249" t="s">
        <v>3520</v>
      </c>
      <c r="C737" s="90" t="s">
        <v>203</v>
      </c>
      <c r="D737" s="235"/>
      <c r="E737" s="235"/>
      <c r="F73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7" s="46"/>
      <c r="H737" s="90"/>
      <c r="I737" s="90"/>
      <c r="J737" s="90" t="str">
        <f>IF(Table26[[#This Row],[customerSKU]]="","",_xlfn.XLOOKUP(Table26[[#This Row],[customerSKU]],customerSKU!G:G,customerSKU!A:A,"",0,1))</f>
        <v/>
      </c>
      <c r="K737" s="232">
        <v>45630</v>
      </c>
      <c r="L737" s="233" t="str">
        <f>IF(Table26[[#This Row],[customerSKU]]="","",_xlfn.XLOOKUP(Table26[[#This Row],[customerSKU]],customerSKU!G:G,customerSKU!B:B,"",0,1))</f>
        <v/>
      </c>
      <c r="M737" s="90"/>
      <c r="N737" s="55" t="str">
        <f>Table26[[#This Row],[po_number]]&amp;"-"&amp;Table26[[#This Row],[po_line]]</f>
        <v>-5</v>
      </c>
      <c r="O737" s="55">
        <v>5</v>
      </c>
      <c r="P737" s="234"/>
      <c r="Q737" s="90" t="s">
        <v>587</v>
      </c>
      <c r="R737" s="90" t="s">
        <v>569</v>
      </c>
      <c r="S737" s="90" t="s">
        <v>114</v>
      </c>
      <c r="T737" s="20">
        <v>45457</v>
      </c>
      <c r="U737" s="236">
        <v>24</v>
      </c>
      <c r="V737" s="90" t="str">
        <f>IF(ISBLANK(Table26[[#This Row],[customerSKU]]),"",_xlfn.XLOOKUP(Table26[[#This Row],[customerSKU]],Table27[customer_SKU],Table27[case_size],"",0,1))</f>
        <v/>
      </c>
      <c r="W737" s="237" t="str">
        <f t="shared" si="30"/>
        <v/>
      </c>
      <c r="X737" s="90" t="str">
        <f t="shared" si="31"/>
        <v/>
      </c>
      <c r="Y737" s="90" t="str">
        <f>IF(Table26[[#This Row],[customerSKU]]="","",_xlfn.XLOOKUP(Table26[[#This Row],[customerSKU]],Table27[customer_SKU],Table27[product_GTIN],"",0,1))</f>
        <v/>
      </c>
      <c r="Z737" s="90" t="s">
        <v>3403</v>
      </c>
      <c r="AA737" s="18" t="str" cm="1">
        <f t="array" ref="AA737">IF(P737="", "", _xlfn.XLOOKUP(P737,#REF!,#REF!,NA,0,-1))</f>
        <v/>
      </c>
      <c r="AB737" s="90"/>
      <c r="AC737" s="55" t="s">
        <v>4126</v>
      </c>
      <c r="AD737" s="55" t="str">
        <f>IF($AC737="","",_xlfn.XLOOKUP($AC737,'[2]Client Info'!$C$2:$C$2535,'[2]Client Info'!$D$2:$D$2535,"",0,1))</f>
        <v>#102-935 Brunette Ave</v>
      </c>
      <c r="AE737" s="55" t="str">
        <f>IF($AC737="","",_xlfn.XLOOKUP($AC737,'[2]Client Info'!$C$2:$C$2715,'[2]Client Info'!$E$2:$E$2715,"",))</f>
        <v>Coquitlam</v>
      </c>
      <c r="AF737" s="55" t="str">
        <f>IF($AC737="","",_xlfn.XLOOKUP($AC737,'[2]Client Info'!$C$2:$C$2715,'[2]Client Info'!$F$2:$F$2715,"",0,1))</f>
        <v>BC</v>
      </c>
      <c r="AG737" s="55" t="s">
        <v>4126</v>
      </c>
      <c r="AH737" s="245" t="str">
        <f>_xlfn.XLOOKUP(Table26[[#This Row],[customerSKU]],customerSKU!G:G,customerSKU!K:K,"NA",0,1)</f>
        <v>NA</v>
      </c>
      <c r="AI737" s="43" t="str">
        <f>_xlfn.XLOOKUP(Table26[[#This Row],[customerSKU]],customerSKU!G:G,customerSKU!O:O,"not found",0,1)</f>
        <v>not found</v>
      </c>
      <c r="AJ737" s="53" t="e">
        <f>Table26[[#This Row],[unitprice]]*Table26[[#This Row],[quantity_unit]]</f>
        <v>#VALUE!</v>
      </c>
      <c r="AK737" s="53" t="e" cm="1">
        <f t="array" ref="AK7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8" spans="1:37" ht="18" customHeight="1">
      <c r="A738" s="42">
        <v>1515</v>
      </c>
      <c r="B738" s="249" t="s">
        <v>3520</v>
      </c>
      <c r="C738" s="90" t="s">
        <v>203</v>
      </c>
      <c r="D738" s="235"/>
      <c r="E738" s="235"/>
      <c r="F73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8" s="46"/>
      <c r="H738" s="90"/>
      <c r="I738" s="90"/>
      <c r="J738" s="90" t="str">
        <f>IF(Table26[[#This Row],[customerSKU]]="","",_xlfn.XLOOKUP(Table26[[#This Row],[customerSKU]],customerSKU!G:G,customerSKU!A:A,"",0,1))</f>
        <v/>
      </c>
      <c r="K738" s="232">
        <v>45630</v>
      </c>
      <c r="L738" s="233" t="str">
        <f>IF(Table26[[#This Row],[customerSKU]]="","",_xlfn.XLOOKUP(Table26[[#This Row],[customerSKU]],customerSKU!G:G,customerSKU!B:B,"",0,1))</f>
        <v/>
      </c>
      <c r="M738" s="90"/>
      <c r="N738" s="55" t="str">
        <f>Table26[[#This Row],[po_number]]&amp;"-"&amp;Table26[[#This Row],[po_line]]</f>
        <v>-6</v>
      </c>
      <c r="O738" s="55">
        <v>6</v>
      </c>
      <c r="P738" s="234"/>
      <c r="Q738" s="90" t="s">
        <v>869</v>
      </c>
      <c r="R738" s="90" t="s">
        <v>569</v>
      </c>
      <c r="S738" s="90" t="s">
        <v>114</v>
      </c>
      <c r="T738" s="20">
        <v>45498</v>
      </c>
      <c r="U738" s="236">
        <v>24</v>
      </c>
      <c r="V738" s="90" t="str">
        <f>IF(ISBLANK(Table26[[#This Row],[customerSKU]]),"",_xlfn.XLOOKUP(Table26[[#This Row],[customerSKU]],Table27[customer_SKU],Table27[case_size],"",0,1))</f>
        <v/>
      </c>
      <c r="W738" s="237" t="str">
        <f t="shared" si="30"/>
        <v/>
      </c>
      <c r="X738" s="90" t="str">
        <f t="shared" si="31"/>
        <v/>
      </c>
      <c r="Y738" s="90" t="str">
        <f>IF(Table26[[#This Row],[customerSKU]]="","",_xlfn.XLOOKUP(Table26[[#This Row],[customerSKU]],Table27[customer_SKU],Table27[product_GTIN],"",0,1))</f>
        <v/>
      </c>
      <c r="Z738" s="25" t="s">
        <v>3376</v>
      </c>
      <c r="AA738" s="18" t="str" cm="1">
        <f t="array" ref="AA738">IF(P738="", "", _xlfn.XLOOKUP(P738,#REF!,#REF!,NA,0,-1))</f>
        <v/>
      </c>
      <c r="AB738" s="90"/>
      <c r="AC738" s="55" t="s">
        <v>4126</v>
      </c>
      <c r="AD738" s="55" t="str">
        <f>IF($AC738="","",_xlfn.XLOOKUP($AC738,'[2]Client Info'!$C$2:$C$2535,'[2]Client Info'!$D$2:$D$2535,"",0,1))</f>
        <v>#102-935 Brunette Ave</v>
      </c>
      <c r="AE738" s="55" t="str">
        <f>IF($AC738="","",_xlfn.XLOOKUP($AC738,'[2]Client Info'!$C$2:$C$2715,'[2]Client Info'!$E$2:$E$2715,"",))</f>
        <v>Coquitlam</v>
      </c>
      <c r="AF738" s="55" t="str">
        <f>IF($AC738="","",_xlfn.XLOOKUP($AC738,'[2]Client Info'!$C$2:$C$2715,'[2]Client Info'!$F$2:$F$2715,"",0,1))</f>
        <v>BC</v>
      </c>
      <c r="AG738" s="55" t="s">
        <v>4126</v>
      </c>
      <c r="AH738" s="245" t="str">
        <f>_xlfn.XLOOKUP(Table26[[#This Row],[customerSKU]],customerSKU!G:G,customerSKU!K:K,"NA",0,1)</f>
        <v>NA</v>
      </c>
      <c r="AI738" s="43" t="str">
        <f>_xlfn.XLOOKUP(Table26[[#This Row],[customerSKU]],customerSKU!G:G,customerSKU!O:O,"not found",0,1)</f>
        <v>not found</v>
      </c>
      <c r="AJ738" s="53" t="e">
        <f>Table26[[#This Row],[unitprice]]*Table26[[#This Row],[quantity_unit]]</f>
        <v>#VALUE!</v>
      </c>
      <c r="AK738" s="53" t="e" cm="1">
        <f t="array" ref="AK7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39" spans="1:37" ht="18" customHeight="1">
      <c r="A739" s="42">
        <v>1516</v>
      </c>
      <c r="B739" s="249" t="s">
        <v>3520</v>
      </c>
      <c r="C739" s="90" t="s">
        <v>203</v>
      </c>
      <c r="D739" s="235"/>
      <c r="E739" s="235"/>
      <c r="F73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39" s="46"/>
      <c r="H739" s="90"/>
      <c r="I739" s="90"/>
      <c r="J739" s="90" t="str">
        <f>IF(Table26[[#This Row],[customerSKU]]="","",_xlfn.XLOOKUP(Table26[[#This Row],[customerSKU]],customerSKU!G:G,customerSKU!A:A,"",0,1))</f>
        <v/>
      </c>
      <c r="K739" s="232">
        <v>45630</v>
      </c>
      <c r="L739" s="233" t="str">
        <f>IF(Table26[[#This Row],[customerSKU]]="","",_xlfn.XLOOKUP(Table26[[#This Row],[customerSKU]],customerSKU!G:G,customerSKU!B:B,"",0,1))</f>
        <v/>
      </c>
      <c r="M739" s="90"/>
      <c r="N739" s="55" t="str">
        <f>Table26[[#This Row],[po_number]]&amp;"-"&amp;Table26[[#This Row],[po_line]]</f>
        <v>-7</v>
      </c>
      <c r="O739" s="55">
        <v>7</v>
      </c>
      <c r="P739" s="234"/>
      <c r="Q739" s="90" t="s">
        <v>1172</v>
      </c>
      <c r="R739" s="90" t="s">
        <v>569</v>
      </c>
      <c r="S739" s="90" t="s">
        <v>114</v>
      </c>
      <c r="T739" s="20">
        <v>45588</v>
      </c>
      <c r="U739" s="236">
        <v>12</v>
      </c>
      <c r="V739" s="90" t="str">
        <f>IF(ISBLANK(Table26[[#This Row],[customerSKU]]),"",_xlfn.XLOOKUP(Table26[[#This Row],[customerSKU]],Table27[customer_SKU],Table27[case_size],"",0,1))</f>
        <v/>
      </c>
      <c r="W739" s="237" t="str">
        <f t="shared" si="30"/>
        <v/>
      </c>
      <c r="X739" s="90" t="str">
        <f t="shared" si="31"/>
        <v/>
      </c>
      <c r="Y739" s="90" t="str">
        <f>IF(Table26[[#This Row],[customerSKU]]="","",_xlfn.XLOOKUP(Table26[[#This Row],[customerSKU]],Table27[customer_SKU],Table27[product_GTIN],"",0,1))</f>
        <v/>
      </c>
      <c r="Z739" s="25" t="s">
        <v>3464</v>
      </c>
      <c r="AA739" s="18" t="str" cm="1">
        <f t="array" ref="AA739">IF(P739="", "", _xlfn.XLOOKUP(P739,#REF!,#REF!,NA,0,-1))</f>
        <v/>
      </c>
      <c r="AB739" s="90"/>
      <c r="AC739" s="55" t="s">
        <v>4126</v>
      </c>
      <c r="AD739" s="55" t="str">
        <f>IF($AC739="","",_xlfn.XLOOKUP($AC739,'[2]Client Info'!$C$2:$C$2535,'[2]Client Info'!$D$2:$D$2535,"",0,1))</f>
        <v>#102-935 Brunette Ave</v>
      </c>
      <c r="AE739" s="55" t="str">
        <f>IF($AC739="","",_xlfn.XLOOKUP($AC739,'[2]Client Info'!$C$2:$C$2715,'[2]Client Info'!$E$2:$E$2715,"",))</f>
        <v>Coquitlam</v>
      </c>
      <c r="AF739" s="55" t="str">
        <f>IF($AC739="","",_xlfn.XLOOKUP($AC739,'[2]Client Info'!$C$2:$C$2715,'[2]Client Info'!$F$2:$F$2715,"",0,1))</f>
        <v>BC</v>
      </c>
      <c r="AG739" s="55" t="s">
        <v>4126</v>
      </c>
      <c r="AH739" s="245" t="str">
        <f>_xlfn.XLOOKUP(Table26[[#This Row],[customerSKU]],customerSKU!G:G,customerSKU!K:K,"NA",0,1)</f>
        <v>NA</v>
      </c>
      <c r="AI739" s="43" t="str">
        <f>_xlfn.XLOOKUP(Table26[[#This Row],[customerSKU]],customerSKU!G:G,customerSKU!O:O,"not found",0,1)</f>
        <v>not found</v>
      </c>
      <c r="AJ739" s="53" t="e">
        <f>Table26[[#This Row],[unitprice]]*Table26[[#This Row],[quantity_unit]]</f>
        <v>#VALUE!</v>
      </c>
      <c r="AK739" s="53" t="e" cm="1">
        <f t="array" ref="AK7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0" spans="1:37" ht="18" customHeight="1">
      <c r="A740" s="42">
        <v>1517</v>
      </c>
      <c r="B740" s="249" t="s">
        <v>3520</v>
      </c>
      <c r="C740" s="90" t="s">
        <v>203</v>
      </c>
      <c r="D740" s="235"/>
      <c r="E740" s="235"/>
      <c r="F74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0" s="46"/>
      <c r="H740" s="90"/>
      <c r="I740" s="90"/>
      <c r="J740" s="90" t="str">
        <f>IF(Table26[[#This Row],[customerSKU]]="","",_xlfn.XLOOKUP(Table26[[#This Row],[customerSKU]],customerSKU!G:G,customerSKU!A:A,"",0,1))</f>
        <v/>
      </c>
      <c r="K740" s="232">
        <v>45630</v>
      </c>
      <c r="L740" s="233" t="str">
        <f>IF(Table26[[#This Row],[customerSKU]]="","",_xlfn.XLOOKUP(Table26[[#This Row],[customerSKU]],customerSKU!G:G,customerSKU!B:B,"",0,1))</f>
        <v/>
      </c>
      <c r="M740" s="90"/>
      <c r="N740" s="55" t="str">
        <f>Table26[[#This Row],[po_number]]&amp;"-"&amp;Table26[[#This Row],[po_line]]</f>
        <v>-8</v>
      </c>
      <c r="O740" s="55">
        <v>8</v>
      </c>
      <c r="P740" s="50"/>
      <c r="Q740" s="90" t="s">
        <v>1309</v>
      </c>
      <c r="R740" s="90" t="s">
        <v>569</v>
      </c>
      <c r="S740" s="90" t="s">
        <v>114</v>
      </c>
      <c r="T740" s="20">
        <v>45623</v>
      </c>
      <c r="U740" s="236">
        <v>12</v>
      </c>
      <c r="V740" s="90" t="str">
        <f>IF(ISBLANK(Table26[[#This Row],[customerSKU]]),"",_xlfn.XLOOKUP(Table26[[#This Row],[customerSKU]],Table27[customer_SKU],Table27[case_size],"",0,1))</f>
        <v/>
      </c>
      <c r="W740" s="237" t="str">
        <f t="shared" si="30"/>
        <v/>
      </c>
      <c r="X740" s="90" t="str">
        <f t="shared" si="31"/>
        <v/>
      </c>
      <c r="Y740" s="90" t="str">
        <f>IF(Table26[[#This Row],[customerSKU]]="","",_xlfn.XLOOKUP(Table26[[#This Row],[customerSKU]],Table27[customer_SKU],Table27[product_GTIN],"",0,1))</f>
        <v/>
      </c>
      <c r="Z740" s="25" t="s">
        <v>3447</v>
      </c>
      <c r="AA740" s="18" t="str" cm="1">
        <f t="array" ref="AA740">IF(P740="", "", _xlfn.XLOOKUP(P740,#REF!,#REF!,NA,0,-1))</f>
        <v/>
      </c>
      <c r="AB740" s="90"/>
      <c r="AC740" s="55" t="s">
        <v>4126</v>
      </c>
      <c r="AD740" s="55" t="str">
        <f>IF($AC740="","",_xlfn.XLOOKUP($AC740,'[2]Client Info'!$C$2:$C$2535,'[2]Client Info'!$D$2:$D$2535,"",0,1))</f>
        <v>#102-935 Brunette Ave</v>
      </c>
      <c r="AE740" s="55" t="str">
        <f>IF($AC740="","",_xlfn.XLOOKUP($AC740,'[2]Client Info'!$C$2:$C$2715,'[2]Client Info'!$E$2:$E$2715,"",))</f>
        <v>Coquitlam</v>
      </c>
      <c r="AF740" s="55" t="str">
        <f>IF($AC740="","",_xlfn.XLOOKUP($AC740,'[2]Client Info'!$C$2:$C$2715,'[2]Client Info'!$F$2:$F$2715,"",0,1))</f>
        <v>BC</v>
      </c>
      <c r="AG740" s="55" t="s">
        <v>4126</v>
      </c>
      <c r="AH740" s="245" t="str">
        <f>_xlfn.XLOOKUP(Table26[[#This Row],[customerSKU]],customerSKU!G:G,customerSKU!K:K,"NA",0,1)</f>
        <v>NA</v>
      </c>
      <c r="AI740" s="43" t="str">
        <f>_xlfn.XLOOKUP(Table26[[#This Row],[customerSKU]],customerSKU!G:G,customerSKU!O:O,"not found",0,1)</f>
        <v>not found</v>
      </c>
      <c r="AJ740" s="53" t="e">
        <f>Table26[[#This Row],[unitprice]]*Table26[[#This Row],[quantity_unit]]</f>
        <v>#VALUE!</v>
      </c>
      <c r="AK740" s="53" t="e" cm="1">
        <f t="array" ref="AK7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1" spans="1:37" ht="18" customHeight="1">
      <c r="A741" s="42">
        <v>1518</v>
      </c>
      <c r="B741" s="249" t="s">
        <v>3520</v>
      </c>
      <c r="C741" s="90" t="s">
        <v>203</v>
      </c>
      <c r="D741" s="235"/>
      <c r="E741" s="235"/>
      <c r="F74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1" s="46"/>
      <c r="H741" s="90"/>
      <c r="I741" s="90"/>
      <c r="J741" s="90" t="str">
        <f>IF(Table26[[#This Row],[customerSKU]]="","",_xlfn.XLOOKUP(Table26[[#This Row],[customerSKU]],customerSKU!G:G,customerSKU!A:A,"",0,1))</f>
        <v/>
      </c>
      <c r="K741" s="232">
        <v>45630</v>
      </c>
      <c r="L741" s="233" t="str">
        <f>IF(Table26[[#This Row],[customerSKU]]="","",_xlfn.XLOOKUP(Table26[[#This Row],[customerSKU]],customerSKU!G:G,customerSKU!B:B,"",0,1))</f>
        <v/>
      </c>
      <c r="M741" s="90"/>
      <c r="N741" s="55" t="str">
        <f>Table26[[#This Row],[po_number]]&amp;"-"&amp;Table26[[#This Row],[po_line]]</f>
        <v>-9</v>
      </c>
      <c r="O741" s="55">
        <v>9</v>
      </c>
      <c r="P741" s="234"/>
      <c r="Q741" s="90" t="s">
        <v>1315</v>
      </c>
      <c r="R741" s="90" t="s">
        <v>569</v>
      </c>
      <c r="S741" s="90" t="s">
        <v>114</v>
      </c>
      <c r="T741" s="20">
        <v>45555</v>
      </c>
      <c r="U741" s="236">
        <v>12</v>
      </c>
      <c r="V741" s="90" t="str">
        <f>IF(ISBLANK(Table26[[#This Row],[customerSKU]]),"",_xlfn.XLOOKUP(Table26[[#This Row],[customerSKU]],Table27[customer_SKU],Table27[case_size],"",0,1))</f>
        <v/>
      </c>
      <c r="W741" s="237" t="str">
        <f t="shared" si="30"/>
        <v/>
      </c>
      <c r="X741" s="90" t="str">
        <f t="shared" si="31"/>
        <v/>
      </c>
      <c r="Y741" s="90" t="str">
        <f>IF(Table26[[#This Row],[customerSKU]]="","",_xlfn.XLOOKUP(Table26[[#This Row],[customerSKU]],Table27[customer_SKU],Table27[product_GTIN],"",0,1))</f>
        <v/>
      </c>
      <c r="Z741" s="25" t="s">
        <v>3719</v>
      </c>
      <c r="AA741" s="18" t="str" cm="1">
        <f t="array" ref="AA741">IF(P741="", "", _xlfn.XLOOKUP(P741,#REF!,#REF!,NA,0,-1))</f>
        <v/>
      </c>
      <c r="AB741" s="90"/>
      <c r="AC741" s="55" t="s">
        <v>4126</v>
      </c>
      <c r="AD741" s="55" t="str">
        <f>IF($AC741="","",_xlfn.XLOOKUP($AC741,'[2]Client Info'!$C$2:$C$2535,'[2]Client Info'!$D$2:$D$2535,"",0,1))</f>
        <v>#102-935 Brunette Ave</v>
      </c>
      <c r="AE741" s="55" t="str">
        <f>IF($AC741="","",_xlfn.XLOOKUP($AC741,'[2]Client Info'!$C$2:$C$2715,'[2]Client Info'!$E$2:$E$2715,"",))</f>
        <v>Coquitlam</v>
      </c>
      <c r="AF741" s="55" t="str">
        <f>IF($AC741="","",_xlfn.XLOOKUP($AC741,'[2]Client Info'!$C$2:$C$2715,'[2]Client Info'!$F$2:$F$2715,"",0,1))</f>
        <v>BC</v>
      </c>
      <c r="AG741" s="55" t="s">
        <v>4126</v>
      </c>
      <c r="AH741" s="245" t="str">
        <f>_xlfn.XLOOKUP(Table26[[#This Row],[customerSKU]],customerSKU!G:G,customerSKU!K:K,"NA",0,1)</f>
        <v>NA</v>
      </c>
      <c r="AI741" s="43" t="str">
        <f>_xlfn.XLOOKUP(Table26[[#This Row],[customerSKU]],customerSKU!G:G,customerSKU!O:O,"not found",0,1)</f>
        <v>not found</v>
      </c>
      <c r="AJ741" s="53" t="e">
        <f>Table26[[#This Row],[unitprice]]*Table26[[#This Row],[quantity_unit]]</f>
        <v>#VALUE!</v>
      </c>
      <c r="AK741" s="53" t="e" cm="1">
        <f t="array" ref="AK7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2" spans="1:37" ht="18" customHeight="1">
      <c r="A742" s="42">
        <v>1519</v>
      </c>
      <c r="B742" s="249" t="s">
        <v>3520</v>
      </c>
      <c r="C742" s="90" t="s">
        <v>203</v>
      </c>
      <c r="D742" s="235"/>
      <c r="E742" s="235"/>
      <c r="F74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2" s="46"/>
      <c r="H742" s="90"/>
      <c r="I742" s="90"/>
      <c r="J742" s="90" t="str">
        <f>IF(Table26[[#This Row],[customerSKU]]="","",_xlfn.XLOOKUP(Table26[[#This Row],[customerSKU]],customerSKU!G:G,customerSKU!A:A,"",0,1))</f>
        <v/>
      </c>
      <c r="K742" s="232">
        <v>45630</v>
      </c>
      <c r="L742" s="233" t="str">
        <f>IF(Table26[[#This Row],[customerSKU]]="","",_xlfn.XLOOKUP(Table26[[#This Row],[customerSKU]],customerSKU!G:G,customerSKU!B:B,"",0,1))</f>
        <v/>
      </c>
      <c r="M742" s="90"/>
      <c r="N742" s="55" t="str">
        <f>Table26[[#This Row],[po_number]]&amp;"-"&amp;Table26[[#This Row],[po_line]]</f>
        <v>-10</v>
      </c>
      <c r="O742" s="55">
        <v>10</v>
      </c>
      <c r="P742" s="234"/>
      <c r="Q742" s="348" t="s">
        <v>1375</v>
      </c>
      <c r="R742" s="90" t="s">
        <v>569</v>
      </c>
      <c r="S742" s="90" t="s">
        <v>114</v>
      </c>
      <c r="T742" s="20">
        <v>45594</v>
      </c>
      <c r="U742" s="236">
        <v>12</v>
      </c>
      <c r="V742" s="90" t="str">
        <f>IF(ISBLANK(Table26[[#This Row],[customerSKU]]),"",_xlfn.XLOOKUP(Table26[[#This Row],[customerSKU]],Table27[customer_SKU],Table27[case_size],"",0,1))</f>
        <v/>
      </c>
      <c r="W742" s="237" t="str">
        <f t="shared" si="30"/>
        <v/>
      </c>
      <c r="X742" s="90" t="str">
        <f t="shared" si="31"/>
        <v/>
      </c>
      <c r="Y742" s="90" t="str">
        <f>IF(Table26[[#This Row],[customerSKU]]="","",_xlfn.XLOOKUP(Table26[[#This Row],[customerSKU]],Table27[customer_SKU],Table27[product_GTIN],"",0,1))</f>
        <v/>
      </c>
      <c r="Z742" s="90">
        <v>1066359</v>
      </c>
      <c r="AA742" s="18" t="str" cm="1">
        <f t="array" ref="AA742">IF(P742="", "", _xlfn.XLOOKUP(P742,#REF!,#REF!,NA,0,-1))</f>
        <v/>
      </c>
      <c r="AB742" s="90"/>
      <c r="AC742" s="55" t="s">
        <v>4126</v>
      </c>
      <c r="AD742" s="55" t="str">
        <f>IF($AC742="","",_xlfn.XLOOKUP($AC742,'[2]Client Info'!$C$2:$C$2535,'[2]Client Info'!$D$2:$D$2535,"",0,1))</f>
        <v>#102-935 Brunette Ave</v>
      </c>
      <c r="AE742" s="55" t="str">
        <f>IF($AC742="","",_xlfn.XLOOKUP($AC742,'[2]Client Info'!$C$2:$C$2715,'[2]Client Info'!$E$2:$E$2715,"",))</f>
        <v>Coquitlam</v>
      </c>
      <c r="AF742" s="55" t="str">
        <f>IF($AC742="","",_xlfn.XLOOKUP($AC742,'[2]Client Info'!$C$2:$C$2715,'[2]Client Info'!$F$2:$F$2715,"",0,1))</f>
        <v>BC</v>
      </c>
      <c r="AG742" s="55" t="s">
        <v>4126</v>
      </c>
      <c r="AH742" s="245" t="str">
        <f>_xlfn.XLOOKUP(Table26[[#This Row],[customerSKU]],customerSKU!G:G,customerSKU!K:K,"NA",0,1)</f>
        <v>NA</v>
      </c>
      <c r="AI742" s="43" t="str">
        <f>_xlfn.XLOOKUP(Table26[[#This Row],[customerSKU]],customerSKU!G:G,customerSKU!O:O,"not found",0,1)</f>
        <v>not found</v>
      </c>
      <c r="AJ742" s="53" t="e">
        <f>Table26[[#This Row],[unitprice]]*Table26[[#This Row],[quantity_unit]]</f>
        <v>#VALUE!</v>
      </c>
      <c r="AK742" s="53" t="e" cm="1">
        <f t="array" ref="AK7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3" spans="1:37" ht="18" customHeight="1">
      <c r="A743" s="42">
        <v>1520</v>
      </c>
      <c r="B743" s="249" t="s">
        <v>3520</v>
      </c>
      <c r="C743" s="90" t="s">
        <v>203</v>
      </c>
      <c r="D743" s="235"/>
      <c r="E743" s="235"/>
      <c r="F74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3" s="46"/>
      <c r="H743" s="90"/>
      <c r="I743" s="90"/>
      <c r="J743" s="90" t="str">
        <f>IF(Table26[[#This Row],[customerSKU]]="","",_xlfn.XLOOKUP(Table26[[#This Row],[customerSKU]],customerSKU!G:G,customerSKU!A:A,"",0,1))</f>
        <v/>
      </c>
      <c r="K743" s="232">
        <v>45630</v>
      </c>
      <c r="L743" s="233" t="str">
        <f>IF(Table26[[#This Row],[customerSKU]]="","",_xlfn.XLOOKUP(Table26[[#This Row],[customerSKU]],customerSKU!G:G,customerSKU!B:B,"",0,1))</f>
        <v/>
      </c>
      <c r="M743" s="90"/>
      <c r="N743" s="55" t="str">
        <f>Table26[[#This Row],[po_number]]&amp;"-"&amp;Table26[[#This Row],[po_line]]</f>
        <v>-11</v>
      </c>
      <c r="O743" s="55">
        <v>11</v>
      </c>
      <c r="P743" s="234"/>
      <c r="Q743" s="90" t="s">
        <v>622</v>
      </c>
      <c r="R743" s="90" t="s">
        <v>569</v>
      </c>
      <c r="S743" s="90" t="s">
        <v>114</v>
      </c>
      <c r="T743" s="20">
        <v>45603</v>
      </c>
      <c r="U743" s="236">
        <v>12</v>
      </c>
      <c r="V743" s="90" t="str">
        <f>IF(ISBLANK(Table26[[#This Row],[customerSKU]]),"",_xlfn.XLOOKUP(Table26[[#This Row],[customerSKU]],Table27[customer_SKU],Table27[case_size],"",0,1))</f>
        <v/>
      </c>
      <c r="W743" s="237" t="str">
        <f t="shared" si="30"/>
        <v/>
      </c>
      <c r="X743" s="90" t="str">
        <f t="shared" si="31"/>
        <v/>
      </c>
      <c r="Y743" s="90" t="str">
        <f>IF(Table26[[#This Row],[customerSKU]]="","",_xlfn.XLOOKUP(Table26[[#This Row],[customerSKU]],Table27[customer_SKU],Table27[product_GTIN],"",0,1))</f>
        <v/>
      </c>
      <c r="Z743" s="25" t="s">
        <v>3434</v>
      </c>
      <c r="AA743" s="18" t="str" cm="1">
        <f t="array" ref="AA743">IF(P743="", "", _xlfn.XLOOKUP(P743,#REF!,#REF!,NA,0,-1))</f>
        <v/>
      </c>
      <c r="AB743" s="90"/>
      <c r="AC743" s="55" t="s">
        <v>4126</v>
      </c>
      <c r="AD743" s="55" t="str">
        <f>IF($AC743="","",_xlfn.XLOOKUP($AC743,'[2]Client Info'!$C$2:$C$2535,'[2]Client Info'!$D$2:$D$2535,"",0,1))</f>
        <v>#102-935 Brunette Ave</v>
      </c>
      <c r="AE743" s="55" t="str">
        <f>IF($AC743="","",_xlfn.XLOOKUP($AC743,'[2]Client Info'!$C$2:$C$2715,'[2]Client Info'!$E$2:$E$2715,"",))</f>
        <v>Coquitlam</v>
      </c>
      <c r="AF743" s="55" t="str">
        <f>IF($AC743="","",_xlfn.XLOOKUP($AC743,'[2]Client Info'!$C$2:$C$2715,'[2]Client Info'!$F$2:$F$2715,"",0,1))</f>
        <v>BC</v>
      </c>
      <c r="AG743" s="55" t="s">
        <v>4126</v>
      </c>
      <c r="AH743" s="245" t="str">
        <f>_xlfn.XLOOKUP(Table26[[#This Row],[customerSKU]],customerSKU!G:G,customerSKU!K:K,"NA",0,1)</f>
        <v>NA</v>
      </c>
      <c r="AI743" s="43" t="str">
        <f>_xlfn.XLOOKUP(Table26[[#This Row],[customerSKU]],customerSKU!G:G,customerSKU!O:O,"not found",0,1)</f>
        <v>not found</v>
      </c>
      <c r="AJ743" s="53" t="e">
        <f>Table26[[#This Row],[unitprice]]*Table26[[#This Row],[quantity_unit]]</f>
        <v>#VALUE!</v>
      </c>
      <c r="AK743" s="53" t="e" cm="1">
        <f t="array" ref="AK7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4" spans="1:37" ht="18" customHeight="1">
      <c r="A744" s="42">
        <v>1521</v>
      </c>
      <c r="B744" s="249" t="s">
        <v>3520</v>
      </c>
      <c r="C744" s="90" t="s">
        <v>203</v>
      </c>
      <c r="D744" s="235"/>
      <c r="E744" s="235"/>
      <c r="F74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4" s="46"/>
      <c r="H744" s="90"/>
      <c r="I744" s="90"/>
      <c r="J744" s="90" t="str">
        <f>IF(Table26[[#This Row],[customerSKU]]="","",_xlfn.XLOOKUP(Table26[[#This Row],[customerSKU]],customerSKU!G:G,customerSKU!A:A,"",0,1))</f>
        <v/>
      </c>
      <c r="K744" s="232">
        <v>45630</v>
      </c>
      <c r="L744" s="233" t="str">
        <f>IF(Table26[[#This Row],[customerSKU]]="","",_xlfn.XLOOKUP(Table26[[#This Row],[customerSKU]],customerSKU!G:G,customerSKU!B:B,"",0,1))</f>
        <v/>
      </c>
      <c r="M744" s="90"/>
      <c r="N744" s="55" t="str">
        <f>Table26[[#This Row],[po_number]]&amp;"-"&amp;Table26[[#This Row],[po_line]]</f>
        <v>-2</v>
      </c>
      <c r="O744" s="55">
        <v>2</v>
      </c>
      <c r="P744" s="234"/>
      <c r="Q744" s="90" t="s">
        <v>1862</v>
      </c>
      <c r="R744" s="90" t="s">
        <v>569</v>
      </c>
      <c r="S744" s="90" t="s">
        <v>114</v>
      </c>
      <c r="T744" s="20">
        <v>45618</v>
      </c>
      <c r="U744" s="236">
        <v>24</v>
      </c>
      <c r="V744" s="90" t="str">
        <f>IF(ISBLANK(Table26[[#This Row],[customerSKU]]),"",_xlfn.XLOOKUP(Table26[[#This Row],[customerSKU]],Table27[customer_SKU],Table27[case_size],"",0,1))</f>
        <v/>
      </c>
      <c r="W744" s="237" t="str">
        <f t="shared" si="30"/>
        <v/>
      </c>
      <c r="X744" s="90" t="str">
        <f t="shared" si="31"/>
        <v/>
      </c>
      <c r="Y744" s="90" t="str">
        <f>IF(Table26[[#This Row],[customerSKU]]="","",_xlfn.XLOOKUP(Table26[[#This Row],[customerSKU]],Table27[customer_SKU],Table27[product_GTIN],"",0,1))</f>
        <v/>
      </c>
      <c r="Z744" s="25" t="s">
        <v>3367</v>
      </c>
      <c r="AA744" s="18" t="str" cm="1">
        <f t="array" ref="AA744">IF(P744="", "", _xlfn.XLOOKUP(P744,#REF!,#REF!,NA,0,-1))</f>
        <v/>
      </c>
      <c r="AB744" s="90"/>
      <c r="AC744" s="55" t="s">
        <v>3978</v>
      </c>
      <c r="AD744" s="55" t="str">
        <f>IF($AC744="","",_xlfn.XLOOKUP($AC744,'[2]Client Info'!$C$2:$C$2535,'[2]Client Info'!$D$2:$D$2535,"",0,1))</f>
        <v>6416 Main Street</v>
      </c>
      <c r="AE744" s="55" t="str">
        <f>IF($AC744="","",_xlfn.XLOOKUP($AC744,'[2]Client Info'!$C$2:$C$2715,'[2]Client Info'!$E$2:$E$2715,"",))</f>
        <v>Vancouver</v>
      </c>
      <c r="AF744" s="55" t="str">
        <f>IF($AC744="","",_xlfn.XLOOKUP($AC744,'[2]Client Info'!$C$2:$C$2715,'[2]Client Info'!$F$2:$F$2715,"",0,1))</f>
        <v xml:space="preserve">BC </v>
      </c>
      <c r="AG744" s="55" t="s">
        <v>3978</v>
      </c>
      <c r="AH744" s="245" t="str">
        <f>_xlfn.XLOOKUP(Table26[[#This Row],[customerSKU]],customerSKU!G:G,customerSKU!K:K,"NA",0,1)</f>
        <v>NA</v>
      </c>
      <c r="AI744" s="43" t="str">
        <f>_xlfn.XLOOKUP(Table26[[#This Row],[customerSKU]],customerSKU!G:G,customerSKU!O:O,"not found",0,1)</f>
        <v>not found</v>
      </c>
      <c r="AJ744" s="53" t="e">
        <f>Table26[[#This Row],[unitprice]]*Table26[[#This Row],[quantity_unit]]</f>
        <v>#VALUE!</v>
      </c>
      <c r="AK744" s="53" t="e" cm="1">
        <f t="array" ref="AK7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5" spans="1:37" ht="18" customHeight="1">
      <c r="A745" s="42">
        <v>1522</v>
      </c>
      <c r="B745" s="249" t="s">
        <v>3520</v>
      </c>
      <c r="C745" s="90" t="s">
        <v>203</v>
      </c>
      <c r="D745" s="235"/>
      <c r="E745" s="235"/>
      <c r="F74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45" s="46"/>
      <c r="H745" s="90"/>
      <c r="I745" s="90"/>
      <c r="J745" s="90" t="str">
        <f>IF(Table26[[#This Row],[customerSKU]]="","",_xlfn.XLOOKUP(Table26[[#This Row],[customerSKU]],customerSKU!G:G,customerSKU!A:A,"",0,1))</f>
        <v/>
      </c>
      <c r="K745" s="232">
        <v>45630</v>
      </c>
      <c r="L745" s="233" t="str">
        <f>IF(Table26[[#This Row],[customerSKU]]="","",_xlfn.XLOOKUP(Table26[[#This Row],[customerSKU]],customerSKU!G:G,customerSKU!B:B,"",0,1))</f>
        <v/>
      </c>
      <c r="M745" s="90"/>
      <c r="N745" s="55" t="str">
        <f>Table26[[#This Row],[po_number]]&amp;"-"&amp;Table26[[#This Row],[po_line]]</f>
        <v>-3</v>
      </c>
      <c r="O745" s="55">
        <v>3</v>
      </c>
      <c r="P745" s="50"/>
      <c r="Q745" s="348" t="s">
        <v>1309</v>
      </c>
      <c r="R745" s="90" t="s">
        <v>569</v>
      </c>
      <c r="S745" s="90" t="s">
        <v>114</v>
      </c>
      <c r="T745" s="20">
        <v>45623</v>
      </c>
      <c r="U745" s="236">
        <v>24</v>
      </c>
      <c r="V745" s="90" t="str">
        <f>IF(ISBLANK(Table26[[#This Row],[customerSKU]]),"",_xlfn.XLOOKUP(Table26[[#This Row],[customerSKU]],Table27[customer_SKU],Table27[case_size],"",0,1))</f>
        <v/>
      </c>
      <c r="W745" s="237" t="str">
        <f t="shared" si="30"/>
        <v/>
      </c>
      <c r="X745" s="90" t="str">
        <f t="shared" si="31"/>
        <v/>
      </c>
      <c r="Y745" s="90" t="str">
        <f>IF(Table26[[#This Row],[customerSKU]]="","",_xlfn.XLOOKUP(Table26[[#This Row],[customerSKU]],Table27[customer_SKU],Table27[product_GTIN],"",0,1))</f>
        <v/>
      </c>
      <c r="Z745" s="25" t="s">
        <v>3447</v>
      </c>
      <c r="AA745" s="18" t="str" cm="1">
        <f t="array" ref="AA745">IF(P745="", "", _xlfn.XLOOKUP(P745,#REF!,#REF!,NA,0,-1))</f>
        <v/>
      </c>
      <c r="AB745" s="90"/>
      <c r="AC745" s="55" t="s">
        <v>3978</v>
      </c>
      <c r="AD745" s="55" t="str">
        <f>IF($AC745="","",_xlfn.XLOOKUP($AC745,'[2]Client Info'!$C$2:$C$2535,'[2]Client Info'!$D$2:$D$2535,"",0,1))</f>
        <v>6416 Main Street</v>
      </c>
      <c r="AE745" s="55" t="str">
        <f>IF($AC745="","",_xlfn.XLOOKUP($AC745,'[2]Client Info'!$C$2:$C$2715,'[2]Client Info'!$E$2:$E$2715,"",))</f>
        <v>Vancouver</v>
      </c>
      <c r="AF745" s="55" t="str">
        <f>IF($AC745="","",_xlfn.XLOOKUP($AC745,'[2]Client Info'!$C$2:$C$2715,'[2]Client Info'!$F$2:$F$2715,"",0,1))</f>
        <v xml:space="preserve">BC </v>
      </c>
      <c r="AG745" s="55" t="s">
        <v>3978</v>
      </c>
      <c r="AH745" s="245" t="str">
        <f>_xlfn.XLOOKUP(Table26[[#This Row],[customerSKU]],customerSKU!G:G,customerSKU!K:K,"NA",0,1)</f>
        <v>NA</v>
      </c>
      <c r="AI745" s="43" t="str">
        <f>_xlfn.XLOOKUP(Table26[[#This Row],[customerSKU]],customerSKU!G:G,customerSKU!O:O,"not found",0,1)</f>
        <v>not found</v>
      </c>
      <c r="AJ745" s="53" t="e">
        <f>Table26[[#This Row],[unitprice]]*Table26[[#This Row],[quantity_unit]]</f>
        <v>#VALUE!</v>
      </c>
      <c r="AK745" s="53" t="e" cm="1">
        <f t="array" ref="AK7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6" spans="1:37" ht="18" customHeight="1">
      <c r="A746" s="42">
        <v>1497</v>
      </c>
      <c r="B746" s="58" t="s">
        <v>3520</v>
      </c>
      <c r="C746" s="53" t="s">
        <v>3360</v>
      </c>
      <c r="D746" s="51">
        <v>45638</v>
      </c>
      <c r="E746" s="51" t="s">
        <v>3828</v>
      </c>
      <c r="F746" s="256">
        <v>56252</v>
      </c>
      <c r="G746" s="46"/>
      <c r="H746" s="53"/>
      <c r="I746" s="53" t="s">
        <v>3818</v>
      </c>
      <c r="J746" s="53" t="str">
        <f>IF(Table26[[#This Row],[customerSKU]]="","",_xlfn.XLOOKUP(Table26[[#This Row],[customerSKU]],customerSKU!G:G,customerSKU!A:A,"",0,1))</f>
        <v/>
      </c>
      <c r="K746" s="48">
        <v>45631</v>
      </c>
      <c r="L746" s="49" t="str">
        <f>IF(Table26[[#This Row],[customerSKU]]="","",_xlfn.XLOOKUP(Table26[[#This Row],[customerSKU]],customerSKU!G:G,customerSKU!B:B,"",0,1))</f>
        <v/>
      </c>
      <c r="M746" s="53"/>
      <c r="N746" s="77" t="str">
        <f>Table26[[#This Row],[po_number]]&amp;"-"&amp;Table26[[#This Row],[po_line]]</f>
        <v>-1</v>
      </c>
      <c r="O746" s="77">
        <v>1</v>
      </c>
      <c r="P746" s="50"/>
      <c r="Q746" s="377" t="s">
        <v>3423</v>
      </c>
      <c r="R746" s="53" t="s">
        <v>569</v>
      </c>
      <c r="S746" s="53" t="str">
        <f>IF(Table26[[#This Row],[customerSKU]]="","",_xlfn.XLOOKUP(Table26[[#This Row],[customerSKU]],customerSKU!G:G,customerSKU!N:N,"NOT FOUND",0,1))</f>
        <v>NOT FOUND</v>
      </c>
      <c r="T746" s="51">
        <v>45625</v>
      </c>
      <c r="U746" s="52">
        <v>156</v>
      </c>
      <c r="V746" s="53" t="str">
        <f>IF(ISBLANK(Table26[[#This Row],[customerSKU]]),"",_xlfn.XLOOKUP(Table26[[#This Row],[customerSKU]],Table27[customer_SKU],Table27[case_size],"",0,1))</f>
        <v/>
      </c>
      <c r="W746" s="116" t="str">
        <f t="shared" si="30"/>
        <v/>
      </c>
      <c r="X746" s="53" t="str">
        <f t="shared" si="31"/>
        <v/>
      </c>
      <c r="Y746" s="53" t="str">
        <f>IF(Table26[[#This Row],[customerSKU]]="","",_xlfn.XLOOKUP(Table26[[#This Row],[customerSKU]],Table27[customer_SKU],Table27[product_GTIN],"",0,1))</f>
        <v/>
      </c>
      <c r="Z746" s="25" t="s">
        <v>3363</v>
      </c>
      <c r="AA746" s="18" t="str" cm="1">
        <f t="array" ref="AA746">IF(P746="", "", _xlfn.XLOOKUP(P746,#REF!,#REF!,NA,0,-1))</f>
        <v/>
      </c>
      <c r="AB746" s="53"/>
      <c r="AC746" s="55" t="str">
        <f>IF(Table26[[#This Row],[customerSKU]]="","",_xlfn.XLOOKUP(Table26[[#This Row],[customerSKU]],customerSKU!G:G,customerSKU!C:C,"",0,1))</f>
        <v/>
      </c>
      <c r="AD746" s="55" t="str">
        <f>IF($AC746="","",_xlfn.XLOOKUP($AC746,'[2]Client Info'!$C$2:$C$2535,'[2]Client Info'!$D$2:$D$2535,"",0,1))</f>
        <v/>
      </c>
      <c r="AE746" s="55" t="str">
        <f>IF($AC746="","",_xlfn.XLOOKUP($AC746,'[2]Client Info'!$C$2:$C$2715,'[2]Client Info'!$E$2:$E$2715,"",))</f>
        <v/>
      </c>
      <c r="AF746" s="55" t="str">
        <f>IF($AC746="","",_xlfn.XLOOKUP($AC746,'[2]Client Info'!$C$2:$C$2715,'[2]Client Info'!$F$2:$F$2715,"",0,1))</f>
        <v/>
      </c>
      <c r="AG746" s="55" t="str">
        <f>IF(ISBLANK(Table26[[#This Row],[customerSKU]]),"",_xlfn.XLOOKUP(Table26[[#This Row],[customerSKU]],Table27[customer_SKU],Table27[billto],"",0,1))</f>
        <v/>
      </c>
      <c r="AH746" s="62" t="str">
        <f>_xlfn.XLOOKUP(Table26[[#This Row],[customerSKU]],customerSKU!G:G,customerSKU!K:K,"NA",0,1)</f>
        <v>NA</v>
      </c>
      <c r="AI746" s="43" t="str">
        <f>_xlfn.XLOOKUP(Table26[[#This Row],[customerSKU]],customerSKU!G:G,customerSKU!O:O,"not found",0,1)</f>
        <v>not found</v>
      </c>
      <c r="AJ746" s="53" t="e">
        <f>Table26[[#This Row],[unitprice]]*Table26[[#This Row],[quantity_unit]]</f>
        <v>#VALUE!</v>
      </c>
      <c r="AK746" s="53" t="e" cm="1">
        <f t="array" ref="AK7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7" spans="1:37" ht="18" customHeight="1">
      <c r="A747" s="42">
        <v>1498</v>
      </c>
      <c r="B747" s="58" t="s">
        <v>3520</v>
      </c>
      <c r="C747" s="53" t="s">
        <v>3360</v>
      </c>
      <c r="D747" s="51">
        <v>45638</v>
      </c>
      <c r="E747" s="51" t="s">
        <v>3828</v>
      </c>
      <c r="F747" s="256">
        <v>56252</v>
      </c>
      <c r="G747" s="46"/>
      <c r="H747" s="53"/>
      <c r="I747" s="53" t="s">
        <v>3818</v>
      </c>
      <c r="J747" s="53" t="str">
        <f>IF(Table26[[#This Row],[customerSKU]]="","",_xlfn.XLOOKUP(Table26[[#This Row],[customerSKU]],customerSKU!G:G,customerSKU!A:A,"",0,1))</f>
        <v/>
      </c>
      <c r="K747" s="48">
        <v>45631</v>
      </c>
      <c r="L747" s="49" t="str">
        <f>IF(Table26[[#This Row],[customerSKU]]="","",_xlfn.XLOOKUP(Table26[[#This Row],[customerSKU]],customerSKU!G:G,customerSKU!B:B,"",0,1))</f>
        <v/>
      </c>
      <c r="M747" s="53"/>
      <c r="N747" s="77" t="str">
        <f>Table26[[#This Row],[po_number]]&amp;"-"&amp;Table26[[#This Row],[po_line]]</f>
        <v>-1</v>
      </c>
      <c r="O747" s="77">
        <v>1</v>
      </c>
      <c r="P747" s="50"/>
      <c r="Q747" s="377" t="s">
        <v>1172</v>
      </c>
      <c r="R747" s="53" t="s">
        <v>569</v>
      </c>
      <c r="S747" s="53" t="str">
        <f>IF(Table26[[#This Row],[customerSKU]]="","",_xlfn.XLOOKUP(Table26[[#This Row],[customerSKU]],customerSKU!G:G,customerSKU!N:N,"NOT FOUND",0,1))</f>
        <v>NOT FOUND</v>
      </c>
      <c r="T747" s="51">
        <v>45588</v>
      </c>
      <c r="U747" s="52">
        <v>48</v>
      </c>
      <c r="V747" s="53" t="str">
        <f>IF(ISBLANK(Table26[[#This Row],[customerSKU]]),"",_xlfn.XLOOKUP(Table26[[#This Row],[customerSKU]],Table27[customer_SKU],Table27[case_size],"",0,1))</f>
        <v/>
      </c>
      <c r="W747" s="116" t="str">
        <f t="shared" si="30"/>
        <v/>
      </c>
      <c r="X747" s="53" t="str">
        <f t="shared" ref="X747:X756" si="32">IFERROR($AA747*$U747, "")</f>
        <v/>
      </c>
      <c r="Y747" s="53" t="str">
        <f>IF(Table26[[#This Row],[customerSKU]]="","",_xlfn.XLOOKUP(Table26[[#This Row],[customerSKU]],Table27[customer_SKU],Table27[product_GTIN],"",0,1))</f>
        <v/>
      </c>
      <c r="Z747" s="25" t="s">
        <v>3409</v>
      </c>
      <c r="AA747" s="18" t="str" cm="1">
        <f t="array" ref="AA747">IF(P747="", "", _xlfn.XLOOKUP(P747,#REF!,#REF!,NA,0,-1))</f>
        <v/>
      </c>
      <c r="AB747" s="53"/>
      <c r="AC747" s="55" t="str">
        <f>IF(Table26[[#This Row],[customerSKU]]="","",_xlfn.XLOOKUP(Table26[[#This Row],[customerSKU]],customerSKU!G:G,customerSKU!C:C,"",0,1))</f>
        <v/>
      </c>
      <c r="AD747" s="55" t="str">
        <f>IF($AC747="","",_xlfn.XLOOKUP($AC747,'[2]Client Info'!$C$2:$C$2535,'[2]Client Info'!$D$2:$D$2535,"",0,1))</f>
        <v/>
      </c>
      <c r="AE747" s="55" t="str">
        <f>IF($AC747="","",_xlfn.XLOOKUP($AC747,'[2]Client Info'!$C$2:$C$2715,'[2]Client Info'!$E$2:$E$2715,"",))</f>
        <v/>
      </c>
      <c r="AF747" s="55" t="str">
        <f>IF($AC747="","",_xlfn.XLOOKUP($AC747,'[2]Client Info'!$C$2:$C$2715,'[2]Client Info'!$F$2:$F$2715,"",0,1))</f>
        <v/>
      </c>
      <c r="AG747" s="55" t="str">
        <f>IF(ISBLANK(Table26[[#This Row],[customerSKU]]),"",_xlfn.XLOOKUP(Table26[[#This Row],[customerSKU]],Table27[customer_SKU],Table27[billto],"",0,1))</f>
        <v/>
      </c>
      <c r="AH747" s="62" t="str">
        <f>_xlfn.XLOOKUP(Table26[[#This Row],[customerSKU]],customerSKU!G:G,customerSKU!K:K,"NA",0,1)</f>
        <v>NA</v>
      </c>
      <c r="AI747" s="43" t="str">
        <f>_xlfn.XLOOKUP(Table26[[#This Row],[customerSKU]],customerSKU!G:G,customerSKU!O:O,"not found",0,1)</f>
        <v>not found</v>
      </c>
      <c r="AJ747" s="53" t="e">
        <f>Table26[[#This Row],[unitprice]]*Table26[[#This Row],[quantity_unit]]</f>
        <v>#VALUE!</v>
      </c>
      <c r="AK747" s="53" t="e" cm="1">
        <f t="array" ref="AK7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8" spans="1:37" ht="18" customHeight="1">
      <c r="A748" s="42">
        <v>1499</v>
      </c>
      <c r="B748" s="58" t="s">
        <v>3520</v>
      </c>
      <c r="C748" s="53" t="s">
        <v>203</v>
      </c>
      <c r="D748" s="51">
        <v>45645</v>
      </c>
      <c r="E748" s="51"/>
      <c r="F748" s="53"/>
      <c r="G748" s="46"/>
      <c r="H748" s="53"/>
      <c r="I748" s="53" t="s">
        <v>3818</v>
      </c>
      <c r="J748" s="53" t="str">
        <f>IF(Table26[[#This Row],[customerSKU]]="","",_xlfn.XLOOKUP(Table26[[#This Row],[customerSKU]],customerSKU!G:G,customerSKU!A:A,"",0,1))</f>
        <v/>
      </c>
      <c r="K748" s="48">
        <v>45631</v>
      </c>
      <c r="L748" s="49" t="str">
        <f>IF(Table26[[#This Row],[customerSKU]]="","",_xlfn.XLOOKUP(Table26[[#This Row],[customerSKU]],customerSKU!G:G,customerSKU!B:B,"",0,1))</f>
        <v/>
      </c>
      <c r="M748" s="53"/>
      <c r="N748" s="77" t="str">
        <f>Table26[[#This Row],[po_number]]&amp;"-"&amp;Table26[[#This Row],[po_line]]</f>
        <v>-1</v>
      </c>
      <c r="O748" s="77">
        <v>1</v>
      </c>
      <c r="P748" s="50"/>
      <c r="Q748" s="377" t="s">
        <v>1172</v>
      </c>
      <c r="R748" s="53" t="s">
        <v>569</v>
      </c>
      <c r="S748" s="53" t="str">
        <f>IF(Table26[[#This Row],[customerSKU]]="","",_xlfn.XLOOKUP(Table26[[#This Row],[customerSKU]],customerSKU!G:G,customerSKU!N:N,"NOT FOUND",0,1))</f>
        <v>NOT FOUND</v>
      </c>
      <c r="T748" s="51">
        <v>45588</v>
      </c>
      <c r="U748" s="52">
        <v>72</v>
      </c>
      <c r="V748" s="53" t="str">
        <f>IF(ISBLANK(Table26[[#This Row],[customerSKU]]),"",_xlfn.XLOOKUP(Table26[[#This Row],[customerSKU]],Table27[customer_SKU],Table27[case_size],"",0,1))</f>
        <v/>
      </c>
      <c r="W748" s="116" t="str">
        <f t="shared" si="30"/>
        <v/>
      </c>
      <c r="X748" s="53" t="str">
        <f t="shared" si="32"/>
        <v/>
      </c>
      <c r="Y748" s="53" t="str">
        <f>IF(Table26[[#This Row],[customerSKU]]="","",_xlfn.XLOOKUP(Table26[[#This Row],[customerSKU]],Table27[customer_SKU],Table27[product_GTIN],"",0,1))</f>
        <v/>
      </c>
      <c r="Z748" s="25" t="s">
        <v>3409</v>
      </c>
      <c r="AA748" s="18" t="str" cm="1">
        <f t="array" ref="AA748">IF(P748="", "", _xlfn.XLOOKUP(P748,#REF!,#REF!,NA,0,-1))</f>
        <v/>
      </c>
      <c r="AB748" s="53"/>
      <c r="AC748" s="55" t="str">
        <f>IF(Table26[[#This Row],[customerSKU]]="","",_xlfn.XLOOKUP(Table26[[#This Row],[customerSKU]],customerSKU!G:G,customerSKU!C:C,"",0,1))</f>
        <v/>
      </c>
      <c r="AD748" s="55" t="str">
        <f>IF($AC748="","",_xlfn.XLOOKUP($AC748,'[2]Client Info'!$C$2:$C$2535,'[2]Client Info'!$D$2:$D$2535,"",0,1))</f>
        <v/>
      </c>
      <c r="AE748" s="55" t="str">
        <f>IF($AC748="","",_xlfn.XLOOKUP($AC748,'[2]Client Info'!$C$2:$C$2715,'[2]Client Info'!$E$2:$E$2715,"",))</f>
        <v/>
      </c>
      <c r="AF748" s="55" t="str">
        <f>IF($AC748="","",_xlfn.XLOOKUP($AC748,'[2]Client Info'!$C$2:$C$2715,'[2]Client Info'!$F$2:$F$2715,"",0,1))</f>
        <v/>
      </c>
      <c r="AG748" s="55" t="str">
        <f>IF(ISBLANK(Table26[[#This Row],[customerSKU]]),"",_xlfn.XLOOKUP(Table26[[#This Row],[customerSKU]],Table27[customer_SKU],Table27[billto],"",0,1))</f>
        <v/>
      </c>
      <c r="AH748" s="62" t="str">
        <f>_xlfn.XLOOKUP(Table26[[#This Row],[customerSKU]],customerSKU!G:G,customerSKU!K:K,"NA",0,1)</f>
        <v>NA</v>
      </c>
      <c r="AI748" s="43" t="str">
        <f>_xlfn.XLOOKUP(Table26[[#This Row],[customerSKU]],customerSKU!G:G,customerSKU!O:O,"not found",0,1)</f>
        <v>not found</v>
      </c>
      <c r="AJ748" s="53" t="e">
        <f>Table26[[#This Row],[unitprice]]*Table26[[#This Row],[quantity_unit]]</f>
        <v>#VALUE!</v>
      </c>
      <c r="AK748" s="53" t="e" cm="1">
        <f t="array" ref="AK7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49" spans="1:37" ht="18" customHeight="1">
      <c r="A749" s="42">
        <v>1500</v>
      </c>
      <c r="B749" s="58" t="s">
        <v>3520</v>
      </c>
      <c r="C749" s="53" t="s">
        <v>203</v>
      </c>
      <c r="D749" s="51">
        <v>45645</v>
      </c>
      <c r="E749" s="264"/>
      <c r="F749" s="53"/>
      <c r="G749" s="46"/>
      <c r="H749" s="53"/>
      <c r="I749" s="53" t="s">
        <v>3818</v>
      </c>
      <c r="J749" s="53" t="str">
        <f>IF(Table26[[#This Row],[customerSKU]]="","",_xlfn.XLOOKUP(Table26[[#This Row],[customerSKU]],customerSKU!G:G,customerSKU!A:A,"",0,1))</f>
        <v/>
      </c>
      <c r="K749" s="48">
        <v>45631</v>
      </c>
      <c r="L749" s="49" t="str">
        <f>IF(Table26[[#This Row],[customerSKU]]="","",_xlfn.XLOOKUP(Table26[[#This Row],[customerSKU]],customerSKU!G:G,customerSKU!B:B,"",0,1))</f>
        <v/>
      </c>
      <c r="M749" s="53"/>
      <c r="N749" s="77" t="str">
        <f>Table26[[#This Row],[po_number]]&amp;"-"&amp;Table26[[#This Row],[po_line]]</f>
        <v>-2</v>
      </c>
      <c r="O749" s="77">
        <v>2</v>
      </c>
      <c r="P749" s="50"/>
      <c r="Q749" s="377" t="s">
        <v>3423</v>
      </c>
      <c r="R749" s="53" t="s">
        <v>569</v>
      </c>
      <c r="S749" s="53" t="str">
        <f>IF(Table26[[#This Row],[customerSKU]]="","",_xlfn.XLOOKUP(Table26[[#This Row],[customerSKU]],customerSKU!G:G,customerSKU!N:N,"NOT FOUND",0,1))</f>
        <v>NOT FOUND</v>
      </c>
      <c r="T749" s="51">
        <v>45625</v>
      </c>
      <c r="U749" s="52">
        <v>120</v>
      </c>
      <c r="V749" s="53" t="str">
        <f>IF(ISBLANK(Table26[[#This Row],[customerSKU]]),"",_xlfn.XLOOKUP(Table26[[#This Row],[customerSKU]],Table27[customer_SKU],Table27[case_size],"",0,1))</f>
        <v/>
      </c>
      <c r="W749" s="116" t="str">
        <f t="shared" si="30"/>
        <v/>
      </c>
      <c r="X749" s="53" t="str">
        <f t="shared" si="32"/>
        <v/>
      </c>
      <c r="Y749" s="53" t="str">
        <f>IF(Table26[[#This Row],[customerSKU]]="","",_xlfn.XLOOKUP(Table26[[#This Row],[customerSKU]],Table27[customer_SKU],Table27[product_GTIN],"",0,1))</f>
        <v/>
      </c>
      <c r="Z749" s="25" t="s">
        <v>3363</v>
      </c>
      <c r="AA749" s="18" t="str" cm="1">
        <f t="array" ref="AA749">IF(P749="", "", _xlfn.XLOOKUP(P749,#REF!,#REF!,NA,0,-1))</f>
        <v/>
      </c>
      <c r="AB749" s="53"/>
      <c r="AC749" s="55" t="str">
        <f>IF(Table26[[#This Row],[customerSKU]]="","",_xlfn.XLOOKUP(Table26[[#This Row],[customerSKU]],customerSKU!G:G,customerSKU!C:C,"",0,1))</f>
        <v/>
      </c>
      <c r="AD749" s="55" t="str">
        <f>IF($AC749="","",_xlfn.XLOOKUP($AC749,'[2]Client Info'!$C$2:$C$2535,'[2]Client Info'!$D$2:$D$2535,"",0,1))</f>
        <v/>
      </c>
      <c r="AE749" s="55" t="str">
        <f>IF($AC749="","",_xlfn.XLOOKUP($AC749,'[2]Client Info'!$C$2:$C$2715,'[2]Client Info'!$E$2:$E$2715,"",))</f>
        <v/>
      </c>
      <c r="AF749" s="55" t="str">
        <f>IF($AC749="","",_xlfn.XLOOKUP($AC749,'[2]Client Info'!$C$2:$C$2715,'[2]Client Info'!$F$2:$F$2715,"",0,1))</f>
        <v/>
      </c>
      <c r="AG749" s="55" t="str">
        <f>IF(ISBLANK(Table26[[#This Row],[customerSKU]]),"",_xlfn.XLOOKUP(Table26[[#This Row],[customerSKU]],Table27[customer_SKU],Table27[billto],"",0,1))</f>
        <v/>
      </c>
      <c r="AH749" s="62" t="str">
        <f>_xlfn.XLOOKUP(Table26[[#This Row],[customerSKU]],customerSKU!G:G,customerSKU!K:K,"NA",0,1)</f>
        <v>NA</v>
      </c>
      <c r="AI749" s="43" t="str">
        <f>_xlfn.XLOOKUP(Table26[[#This Row],[customerSKU]],customerSKU!G:G,customerSKU!O:O,"not found",0,1)</f>
        <v>not found</v>
      </c>
      <c r="AJ749" s="53" t="e">
        <f>Table26[[#This Row],[unitprice]]*Table26[[#This Row],[quantity_unit]]</f>
        <v>#VALUE!</v>
      </c>
      <c r="AK749" s="53" t="e" cm="1">
        <f t="array" ref="AK7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0" spans="1:37" ht="24.6" customHeight="1">
      <c r="A750" s="42">
        <v>1501</v>
      </c>
      <c r="B750" s="58" t="s">
        <v>3520</v>
      </c>
      <c r="C750" s="53" t="s">
        <v>203</v>
      </c>
      <c r="D750" s="51">
        <v>45652</v>
      </c>
      <c r="E750" s="51"/>
      <c r="F750" s="53"/>
      <c r="G750" s="46"/>
      <c r="H750" s="53"/>
      <c r="I750" s="53" t="s">
        <v>3818</v>
      </c>
      <c r="J750" s="53" t="str">
        <f>IF(Table26[[#This Row],[customerSKU]]="","",_xlfn.XLOOKUP(Table26[[#This Row],[customerSKU]],customerSKU!G:G,customerSKU!A:A,"",0,1))</f>
        <v/>
      </c>
      <c r="K750" s="48">
        <v>45631</v>
      </c>
      <c r="L750" s="49" t="str">
        <f>IF(Table26[[#This Row],[customerSKU]]="","",_xlfn.XLOOKUP(Table26[[#This Row],[customerSKU]],customerSKU!G:G,customerSKU!B:B,"",0,1))</f>
        <v/>
      </c>
      <c r="M750" s="53"/>
      <c r="N750" s="77" t="str">
        <f>Table26[[#This Row],[po_number]]&amp;"-"&amp;Table26[[#This Row],[po_line]]</f>
        <v>-1</v>
      </c>
      <c r="O750" s="77">
        <v>1</v>
      </c>
      <c r="P750" s="50"/>
      <c r="Q750" s="53" t="s">
        <v>1172</v>
      </c>
      <c r="R750" s="53" t="s">
        <v>569</v>
      </c>
      <c r="S750" s="53" t="str">
        <f>IF(Table26[[#This Row],[customerSKU]]="","",_xlfn.XLOOKUP(Table26[[#This Row],[customerSKU]],customerSKU!G:G,customerSKU!N:N,"NOT FOUND",0,1))</f>
        <v>NOT FOUND</v>
      </c>
      <c r="T750" s="51">
        <v>45588</v>
      </c>
      <c r="U750" s="52">
        <v>24</v>
      </c>
      <c r="V750" s="53" t="str">
        <f>IF(ISBLANK(Table26[[#This Row],[customerSKU]]),"",_xlfn.XLOOKUP(Table26[[#This Row],[customerSKU]],Table27[customer_SKU],Table27[case_size],"",0,1))</f>
        <v/>
      </c>
      <c r="W750" s="116" t="str">
        <f t="shared" si="30"/>
        <v/>
      </c>
      <c r="X750" s="53" t="str">
        <f t="shared" si="32"/>
        <v/>
      </c>
      <c r="Y750" s="53" t="str">
        <f>IF(Table26[[#This Row],[customerSKU]]="","",_xlfn.XLOOKUP(Table26[[#This Row],[customerSKU]],Table27[customer_SKU],Table27[product_GTIN],"",0,1))</f>
        <v/>
      </c>
      <c r="Z750" s="25" t="s">
        <v>3409</v>
      </c>
      <c r="AA750" s="18" t="str" cm="1">
        <f t="array" ref="AA750">IF(P750="", "", _xlfn.XLOOKUP(P750,#REF!,#REF!,NA,0,-1))</f>
        <v/>
      </c>
      <c r="AB750" s="53"/>
      <c r="AC750" s="55" t="str">
        <f>IF(Table26[[#This Row],[customerSKU]]="","",_xlfn.XLOOKUP(Table26[[#This Row],[customerSKU]],customerSKU!G:G,customerSKU!C:C,"",0,1))</f>
        <v/>
      </c>
      <c r="AD750" s="55" t="str">
        <f>IF($AC750="","",_xlfn.XLOOKUP($AC750,'[2]Client Info'!$C$2:$C$2535,'[2]Client Info'!$D$2:$D$2535,"",0,1))</f>
        <v/>
      </c>
      <c r="AE750" s="55" t="str">
        <f>IF($AC750="","",_xlfn.XLOOKUP($AC750,'[2]Client Info'!$C$2:$C$2715,'[2]Client Info'!$E$2:$E$2715,"",))</f>
        <v/>
      </c>
      <c r="AF750" s="55" t="str">
        <f>IF($AC750="","",_xlfn.XLOOKUP($AC750,'[2]Client Info'!$C$2:$C$2715,'[2]Client Info'!$F$2:$F$2715,"",0,1))</f>
        <v/>
      </c>
      <c r="AG750" s="55" t="str">
        <f>IF(ISBLANK(Table26[[#This Row],[customerSKU]]),"",_xlfn.XLOOKUP(Table26[[#This Row],[customerSKU]],Table27[customer_SKU],Table27[billto],"",0,1))</f>
        <v/>
      </c>
      <c r="AH750" s="62" t="str">
        <f>_xlfn.XLOOKUP(Table26[[#This Row],[customerSKU]],customerSKU!G:G,customerSKU!K:K,"NA",0,1)</f>
        <v>NA</v>
      </c>
      <c r="AI750" s="43" t="str">
        <f>_xlfn.XLOOKUP(Table26[[#This Row],[customerSKU]],customerSKU!G:G,customerSKU!O:O,"not found",0,1)</f>
        <v>not found</v>
      </c>
      <c r="AJ750" s="59" t="e">
        <f>Table26[[#This Row],[unitprice]]*Table26[[#This Row],[quantity_unit]]</f>
        <v>#VALUE!</v>
      </c>
      <c r="AK750" s="59" t="e" cm="1">
        <f t="array" ref="AK7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1" spans="1:37" ht="18" customHeight="1">
      <c r="A751" s="42">
        <v>1502</v>
      </c>
      <c r="B751" s="58" t="s">
        <v>3520</v>
      </c>
      <c r="C751" s="53" t="s">
        <v>203</v>
      </c>
      <c r="D751" s="51">
        <v>45652</v>
      </c>
      <c r="E751" s="51"/>
      <c r="F751" s="53"/>
      <c r="G751" s="46"/>
      <c r="H751" s="53"/>
      <c r="I751" s="53" t="s">
        <v>3818</v>
      </c>
      <c r="J751" s="53" t="str">
        <f>IF(Table26[[#This Row],[customerSKU]]="","",_xlfn.XLOOKUP(Table26[[#This Row],[customerSKU]],customerSKU!G:G,customerSKU!A:A,"",0,1))</f>
        <v/>
      </c>
      <c r="K751" s="48">
        <v>45631</v>
      </c>
      <c r="L751" s="49" t="str">
        <f>IF(Table26[[#This Row],[customerSKU]]="","",_xlfn.XLOOKUP(Table26[[#This Row],[customerSKU]],customerSKU!G:G,customerSKU!B:B,"",0,1))</f>
        <v/>
      </c>
      <c r="M751" s="53"/>
      <c r="N751" s="77" t="str">
        <f>Table26[[#This Row],[po_number]]&amp;"-"&amp;Table26[[#This Row],[po_line]]</f>
        <v>-2</v>
      </c>
      <c r="O751" s="77">
        <v>2</v>
      </c>
      <c r="P751" s="50"/>
      <c r="Q751" s="53" t="s">
        <v>3423</v>
      </c>
      <c r="R751" s="53" t="s">
        <v>569</v>
      </c>
      <c r="S751" s="53" t="str">
        <f>IF(Table26[[#This Row],[customerSKU]]="","",_xlfn.XLOOKUP(Table26[[#This Row],[customerSKU]],customerSKU!G:G,customerSKU!N:N,"NOT FOUND",0,1))</f>
        <v>NOT FOUND</v>
      </c>
      <c r="T751" s="51">
        <v>45625</v>
      </c>
      <c r="U751" s="52">
        <v>120</v>
      </c>
      <c r="V751" s="53" t="str">
        <f>IF(ISBLANK(Table26[[#This Row],[customerSKU]]),"",_xlfn.XLOOKUP(Table26[[#This Row],[customerSKU]],Table27[customer_SKU],Table27[case_size],"",0,1))</f>
        <v/>
      </c>
      <c r="W751" s="116" t="str">
        <f t="shared" si="30"/>
        <v/>
      </c>
      <c r="X751" s="53" t="str">
        <f t="shared" si="32"/>
        <v/>
      </c>
      <c r="Y751" s="53" t="str">
        <f>IF(Table26[[#This Row],[customerSKU]]="","",_xlfn.XLOOKUP(Table26[[#This Row],[customerSKU]],Table27[customer_SKU],Table27[product_GTIN],"",0,1))</f>
        <v/>
      </c>
      <c r="Z751" s="25" t="s">
        <v>3363</v>
      </c>
      <c r="AA751" s="18" t="str" cm="1">
        <f t="array" ref="AA751">IF(P751="", "", _xlfn.XLOOKUP(P751,#REF!,#REF!,NA,0,-1))</f>
        <v/>
      </c>
      <c r="AB751" s="53"/>
      <c r="AC751" s="55" t="str">
        <f>IF(Table26[[#This Row],[customerSKU]]="","",_xlfn.XLOOKUP(Table26[[#This Row],[customerSKU]],customerSKU!G:G,customerSKU!C:C,"",0,1))</f>
        <v/>
      </c>
      <c r="AD751" s="55" t="str">
        <f>IF($AC751="","",_xlfn.XLOOKUP($AC751,'[2]Client Info'!$C$2:$C$2535,'[2]Client Info'!$D$2:$D$2535,"",0,1))</f>
        <v/>
      </c>
      <c r="AE751" s="55" t="str">
        <f>IF($AC751="","",_xlfn.XLOOKUP($AC751,'[2]Client Info'!$C$2:$C$2715,'[2]Client Info'!$E$2:$E$2715,"",))</f>
        <v/>
      </c>
      <c r="AF751" s="55" t="str">
        <f>IF($AC751="","",_xlfn.XLOOKUP($AC751,'[2]Client Info'!$C$2:$C$2715,'[2]Client Info'!$F$2:$F$2715,"",0,1))</f>
        <v/>
      </c>
      <c r="AG751" s="55" t="str">
        <f>IF(ISBLANK(Table26[[#This Row],[customerSKU]]),"",_xlfn.XLOOKUP(Table26[[#This Row],[customerSKU]],Table27[customer_SKU],Table27[billto],"",0,1))</f>
        <v/>
      </c>
      <c r="AH751" s="62" t="str">
        <f>_xlfn.XLOOKUP(Table26[[#This Row],[customerSKU]],customerSKU!G:G,customerSKU!K:K,"NA",0,1)</f>
        <v>NA</v>
      </c>
      <c r="AI751" s="43" t="str">
        <f>_xlfn.XLOOKUP(Table26[[#This Row],[customerSKU]],customerSKU!G:G,customerSKU!O:O,"not found",0,1)</f>
        <v>not found</v>
      </c>
      <c r="AJ751" s="53" t="e">
        <f>Table26[[#This Row],[unitprice]]*Table26[[#This Row],[quantity_unit]]</f>
        <v>#VALUE!</v>
      </c>
      <c r="AK751" s="53" t="e" cm="1">
        <f t="array" ref="AK7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2" spans="1:37" ht="18" customHeight="1">
      <c r="A752" s="42">
        <v>1503</v>
      </c>
      <c r="B752" s="58" t="s">
        <v>3520</v>
      </c>
      <c r="C752" s="53" t="s">
        <v>203</v>
      </c>
      <c r="D752" s="53"/>
      <c r="E752" s="51"/>
      <c r="F752" s="102"/>
      <c r="G752" s="46"/>
      <c r="H752" s="53"/>
      <c r="I752" s="53"/>
      <c r="J752" s="53" t="s">
        <v>3361</v>
      </c>
      <c r="K752" s="48">
        <v>45631</v>
      </c>
      <c r="L752" s="49" t="s">
        <v>201</v>
      </c>
      <c r="M752" s="53"/>
      <c r="N752" s="77" t="str">
        <f>Table26[[#This Row],[po_number]]&amp;"-"&amp;Table26[[#This Row],[po_line]]</f>
        <v>-1</v>
      </c>
      <c r="O752" s="77">
        <v>1</v>
      </c>
      <c r="P752" s="50"/>
      <c r="Q752" s="53" t="s">
        <v>1172</v>
      </c>
      <c r="R752" s="53" t="s">
        <v>569</v>
      </c>
      <c r="S752" s="53" t="str">
        <f>IF(Table26[[#This Row],[customerSKU]]="","",_xlfn.XLOOKUP(Table26[[#This Row],[customerSKU]],customerSKU!G:G,customerSKU!N:N,"NOT FOUND",0,1))</f>
        <v>NOT FOUND</v>
      </c>
      <c r="T752" s="51">
        <v>45588</v>
      </c>
      <c r="U752" s="67">
        <v>144</v>
      </c>
      <c r="V752" s="53" t="str">
        <f>IF(ISBLANK(Table26[[#This Row],[customerSKU]]),"",_xlfn.XLOOKUP(Table26[[#This Row],[customerSKU]],Table27[customer_SKU],Table27[case_size],"",0,1))</f>
        <v/>
      </c>
      <c r="W752" s="116" t="str">
        <f t="shared" si="30"/>
        <v/>
      </c>
      <c r="X752" s="53" t="str">
        <f t="shared" si="32"/>
        <v/>
      </c>
      <c r="Y752" s="53" t="str">
        <f>IF(Table26[[#This Row],[customerSKU]]="","",_xlfn.XLOOKUP(Table26[[#This Row],[customerSKU]],Table27[customer_SKU],Table27[product_GTIN],"",0,1))</f>
        <v/>
      </c>
      <c r="Z752" s="25" t="s">
        <v>3409</v>
      </c>
      <c r="AA752" s="18" t="str" cm="1">
        <f t="array" ref="AA752">IF(P752="", "", _xlfn.XLOOKUP(P752,#REF!,#REF!,NA,0,-1))</f>
        <v/>
      </c>
      <c r="AB752" s="53"/>
      <c r="AC752" s="55" t="s">
        <v>3819</v>
      </c>
      <c r="AD752" s="55" t="str">
        <f>IF($AC752="","",_xlfn.XLOOKUP($AC752,'[2]Client Info'!$C$2:$C$2535,'[2]Client Info'!$D$2:$D$2535))</f>
        <v>20 GRANITE RIDGE RD</v>
      </c>
      <c r="AE752" s="55" t="str">
        <f>IF($AC752="","",_xlfn.XLOOKUP($AC752,'[2]Client Info'!$C$2:$C$2715,'[2]Client Info'!$E$2:$E$2715,"",))</f>
        <v>CONCORD</v>
      </c>
      <c r="AF752" s="55" t="str">
        <f>IF($AC752="","",_xlfn.XLOOKUP($AC752,'[2]Client Info'!$C$2:$C$2715,'[2]Client Info'!$F$2:$F$2715,"",0,1))</f>
        <v>ON</v>
      </c>
      <c r="AG752" s="55" t="s">
        <v>3770</v>
      </c>
      <c r="AH752" s="62" t="s">
        <v>3770</v>
      </c>
      <c r="AI752" s="43" t="str">
        <f>_xlfn.XLOOKUP(Table26[[#This Row],[customerSKU]],customerSKU!G:G,customerSKU!O:O,"not found",0,1)</f>
        <v>not found</v>
      </c>
      <c r="AJ752" s="53" t="e">
        <f>Table26[[#This Row],[unitprice]]*Table26[[#This Row],[quantity_unit]]</f>
        <v>#VALUE!</v>
      </c>
      <c r="AK752" s="53" t="e" cm="1">
        <f t="array" ref="AK7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3" spans="1:37" ht="18" customHeight="1">
      <c r="A753" s="42">
        <v>1504</v>
      </c>
      <c r="B753" s="58" t="s">
        <v>3520</v>
      </c>
      <c r="C753" s="53" t="s">
        <v>203</v>
      </c>
      <c r="D753" s="51"/>
      <c r="E753" s="51"/>
      <c r="F753" s="102"/>
      <c r="G753" s="46"/>
      <c r="H753" s="53"/>
      <c r="I753" s="53"/>
      <c r="J753" s="53" t="s">
        <v>3361</v>
      </c>
      <c r="K753" s="48">
        <v>45631</v>
      </c>
      <c r="L753" s="49" t="s">
        <v>201</v>
      </c>
      <c r="M753" s="53"/>
      <c r="N753" s="77" t="str">
        <f>Table26[[#This Row],[po_number]]&amp;"-"&amp;Table26[[#This Row],[po_line]]</f>
        <v>-2</v>
      </c>
      <c r="O753" s="77">
        <v>2</v>
      </c>
      <c r="P753" s="50"/>
      <c r="Q753" s="53" t="s">
        <v>3423</v>
      </c>
      <c r="R753" s="53" t="s">
        <v>569</v>
      </c>
      <c r="S753" s="53" t="str">
        <f>IF(Table26[[#This Row],[customerSKU]]="","",_xlfn.XLOOKUP(Table26[[#This Row],[customerSKU]],customerSKU!G:G,customerSKU!N:N,"NOT FOUND",0,1))</f>
        <v>NOT FOUND</v>
      </c>
      <c r="T753" s="51">
        <v>45625</v>
      </c>
      <c r="U753" s="67">
        <f>33*12</f>
        <v>396</v>
      </c>
      <c r="V753" s="53" t="str">
        <f>IF(ISBLANK(Table26[[#This Row],[customerSKU]]),"",_xlfn.XLOOKUP(Table26[[#This Row],[customerSKU]],Table27[customer_SKU],Table27[case_size],"",0,1))</f>
        <v/>
      </c>
      <c r="W753" s="116" t="str">
        <f t="shared" si="30"/>
        <v/>
      </c>
      <c r="X753" s="53" t="str">
        <f t="shared" si="32"/>
        <v/>
      </c>
      <c r="Y753" s="53" t="str">
        <f>IF(Table26[[#This Row],[customerSKU]]="","",_xlfn.XLOOKUP(Table26[[#This Row],[customerSKU]],Table27[customer_SKU],Table27[product_GTIN],"",0,1))</f>
        <v/>
      </c>
      <c r="Z753" s="25" t="s">
        <v>3363</v>
      </c>
      <c r="AA753" s="18" t="str" cm="1">
        <f t="array" ref="AA753">IF(P753="", "", _xlfn.XLOOKUP(P753,#REF!,#REF!,NA,0,-1))</f>
        <v/>
      </c>
      <c r="AB753" s="53"/>
      <c r="AC753" s="55" t="s">
        <v>3819</v>
      </c>
      <c r="AD753" s="55" t="str">
        <f>IF($AC753="","",_xlfn.XLOOKUP($AC753,'[2]Client Info'!$C$2:$C$2535,'[2]Client Info'!$D$2:$D$2535))</f>
        <v>20 GRANITE RIDGE RD</v>
      </c>
      <c r="AE753" s="55" t="str">
        <f>IF($AC753="","",_xlfn.XLOOKUP($AC753,'[2]Client Info'!$C$2:$C$2715,'[2]Client Info'!$E$2:$E$2715,"",))</f>
        <v>CONCORD</v>
      </c>
      <c r="AF753" s="55" t="str">
        <f>IF($AC753="","",_xlfn.XLOOKUP($AC753,'[2]Client Info'!$C$2:$C$2715,'[2]Client Info'!$F$2:$F$2715,"",0,1))</f>
        <v>ON</v>
      </c>
      <c r="AG753" s="55" t="s">
        <v>3770</v>
      </c>
      <c r="AH753" s="62" t="s">
        <v>3770</v>
      </c>
      <c r="AI753" s="43" t="str">
        <f>_xlfn.XLOOKUP(Table26[[#This Row],[customerSKU]],customerSKU!G:G,customerSKU!O:O,"not found",0,1)</f>
        <v>not found</v>
      </c>
      <c r="AJ753" s="53" t="e">
        <f>Table26[[#This Row],[unitprice]]*Table26[[#This Row],[quantity_unit]]</f>
        <v>#VALUE!</v>
      </c>
      <c r="AK753" s="53" t="e" cm="1">
        <f t="array" ref="AK7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4" spans="1:37" ht="18" customHeight="1">
      <c r="A754" s="42">
        <v>1492</v>
      </c>
      <c r="B754" s="58" t="s">
        <v>3520</v>
      </c>
      <c r="C754" s="53" t="s">
        <v>3360</v>
      </c>
      <c r="D754" s="51"/>
      <c r="E754" s="51"/>
      <c r="F75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54" s="46"/>
      <c r="H754" s="53"/>
      <c r="I754" s="53" t="s">
        <v>3862</v>
      </c>
      <c r="J754" s="90" t="str">
        <f>IF(Table26[[#This Row],[customerSKU]]="","",_xlfn.XLOOKUP(Table26[[#This Row],[customerSKU]],customerSKU!G:G,customerSKU!A:A,"",0,1))</f>
        <v/>
      </c>
      <c r="K754" s="48">
        <v>45636</v>
      </c>
      <c r="L754" s="49" t="str">
        <f>IF(Table26[[#This Row],[customerSKU]]="","",_xlfn.XLOOKUP(Table26[[#This Row],[customerSKU]],customerSKU!G:G,customerSKU!B:B,"",0,1))</f>
        <v/>
      </c>
      <c r="M754" s="53"/>
      <c r="N754" s="77" t="str">
        <f>Table26[[#This Row],[po_number]]&amp;"-"&amp;Table26[[#This Row],[po_line]]</f>
        <v>-1</v>
      </c>
      <c r="O754" s="77">
        <v>1</v>
      </c>
      <c r="P754" s="50"/>
      <c r="Q754" s="53" t="s">
        <v>630</v>
      </c>
      <c r="R754" s="53" t="s">
        <v>3830</v>
      </c>
      <c r="S754" s="53" t="s">
        <v>57</v>
      </c>
      <c r="T754" s="20">
        <v>45543</v>
      </c>
      <c r="U754" s="52">
        <v>12</v>
      </c>
      <c r="V754" s="53" t="str">
        <f>IF(ISBLANK(Table26[[#This Row],[customerSKU]]),"",_xlfn.XLOOKUP(Table26[[#This Row],[customerSKU]],Table27[customer_SKU],Table27[case_size],"",0,1))</f>
        <v/>
      </c>
      <c r="W754" s="116" t="str">
        <f t="shared" si="30"/>
        <v/>
      </c>
      <c r="X754" s="53" t="str">
        <f t="shared" si="32"/>
        <v/>
      </c>
      <c r="Y754" s="53" t="str">
        <f>IF(Table26[[#This Row],[customerSKU]]="","",_xlfn.XLOOKUP(Table26[[#This Row],[customerSKU]],Table27[customer_SKU],Table27[product_GTIN],"",0,1))</f>
        <v/>
      </c>
      <c r="Z754" s="25" t="s">
        <v>3395</v>
      </c>
      <c r="AA754" s="18" t="str" cm="1">
        <f t="array" ref="AA754">IF(P754="", "", _xlfn.XLOOKUP(P754,#REF!,#REF!,NA,0,-1))</f>
        <v/>
      </c>
      <c r="AB754" s="53"/>
      <c r="AC754" s="55" t="str">
        <f>IF(Table26[[#This Row],[customerSKU]]="","",_xlfn.XLOOKUP(Table26[[#This Row],[customerSKU]],customerSKU!G:G,customerSKU!C:C,"",0,1))</f>
        <v/>
      </c>
      <c r="AD754" s="55" t="str">
        <f>IF($AC754="","",_xlfn.XLOOKUP($AC754,'[2]Client Info'!$C$2:$C$2535,'[2]Client Info'!$D$2:$D$2535,"",0,1))</f>
        <v/>
      </c>
      <c r="AE754" s="55" t="str">
        <f>IF($AC754="","",_xlfn.XLOOKUP($AC754,'[2]Client Info'!$C$2:$C$2715,'[2]Client Info'!$E$2:$E$2715,"",))</f>
        <v/>
      </c>
      <c r="AF754" s="55" t="str">
        <f>IF($AC754="","",_xlfn.XLOOKUP($AC754,'[2]Client Info'!$C$2:$C$2715,'[2]Client Info'!$F$2:$F$2715,"",0,1))</f>
        <v/>
      </c>
      <c r="AG754" s="55" t="str">
        <f>IF(ISBLANK(Table26[[#This Row],[customerSKU]]),"",_xlfn.XLOOKUP(Table26[[#This Row],[customerSKU]],Table27[customer_SKU],Table27[billto],"",0,1))</f>
        <v/>
      </c>
      <c r="AH754" s="62" t="str">
        <f>_xlfn.XLOOKUP(Table26[[#This Row],[customerSKU]],customerSKU!G:G,customerSKU!K:K,"NA",0,1)</f>
        <v>NA</v>
      </c>
      <c r="AI754" s="43" t="str">
        <f>_xlfn.XLOOKUP(Table26[[#This Row],[customerSKU]],customerSKU!G:G,customerSKU!O:O,"not found",0,1)</f>
        <v>not found</v>
      </c>
      <c r="AJ754" s="53" t="e">
        <f>Table26[[#This Row],[unitprice]]*Table26[[#This Row],[quantity_unit]]</f>
        <v>#VALUE!</v>
      </c>
      <c r="AK754" s="53" t="e" cm="1">
        <f t="array" ref="AK7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5" spans="1:37" ht="18" customHeight="1">
      <c r="A755" s="42">
        <v>1493</v>
      </c>
      <c r="B755" s="58" t="s">
        <v>3520</v>
      </c>
      <c r="C755" s="53" t="s">
        <v>3360</v>
      </c>
      <c r="D755" s="51"/>
      <c r="E755" s="51"/>
      <c r="F75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55" s="46"/>
      <c r="H755" s="53"/>
      <c r="I755" s="53" t="s">
        <v>3862</v>
      </c>
      <c r="J755" s="90" t="str">
        <f>IF(Table26[[#This Row],[customerSKU]]="","",_xlfn.XLOOKUP(Table26[[#This Row],[customerSKU]],customerSKU!G:G,customerSKU!A:A,"",0,1))</f>
        <v/>
      </c>
      <c r="K755" s="48">
        <v>45636</v>
      </c>
      <c r="L755" s="49" t="str">
        <f>IF(Table26[[#This Row],[customerSKU]]="","",_xlfn.XLOOKUP(Table26[[#This Row],[customerSKU]],customerSKU!G:G,customerSKU!B:B,"",0,1))</f>
        <v/>
      </c>
      <c r="M755" s="53"/>
      <c r="N755" s="77" t="str">
        <f>Table26[[#This Row],[po_number]]&amp;"-"&amp;Table26[[#This Row],[po_line]]</f>
        <v>-2</v>
      </c>
      <c r="O755" s="77">
        <v>2</v>
      </c>
      <c r="P755" s="50"/>
      <c r="Q755" s="377" t="s">
        <v>866</v>
      </c>
      <c r="R755" s="53" t="s">
        <v>3830</v>
      </c>
      <c r="S755" s="53" t="s">
        <v>57</v>
      </c>
      <c r="T755" s="20">
        <v>45523</v>
      </c>
      <c r="U755" s="52">
        <v>12</v>
      </c>
      <c r="V755" s="53" t="str">
        <f>IF(ISBLANK(Table26[[#This Row],[customerSKU]]),"",_xlfn.XLOOKUP(Table26[[#This Row],[customerSKU]],Table27[customer_SKU],Table27[case_size],"",0,1))</f>
        <v/>
      </c>
      <c r="W755" s="116" t="str">
        <f t="shared" si="30"/>
        <v/>
      </c>
      <c r="X755" s="53" t="str">
        <f t="shared" si="32"/>
        <v/>
      </c>
      <c r="Y755" s="53" t="str">
        <f>IF(Table26[[#This Row],[customerSKU]]="","",_xlfn.XLOOKUP(Table26[[#This Row],[customerSKU]],Table27[customer_SKU],Table27[product_GTIN],"",0,1))</f>
        <v/>
      </c>
      <c r="Z755" s="25" t="s">
        <v>3528</v>
      </c>
      <c r="AA755" s="18" t="str" cm="1">
        <f t="array" ref="AA755">IF(P755="", "", _xlfn.XLOOKUP(P755,#REF!,#REF!,NA,0,-1))</f>
        <v/>
      </c>
      <c r="AB755" s="53"/>
      <c r="AC755" s="55" t="str">
        <f>IF(Table26[[#This Row],[customerSKU]]="","",_xlfn.XLOOKUP(Table26[[#This Row],[customerSKU]],customerSKU!G:G,customerSKU!C:C,"",0,1))</f>
        <v/>
      </c>
      <c r="AD755" s="55" t="str">
        <f>IF($AC755="","",_xlfn.XLOOKUP($AC755,'[2]Client Info'!$C$2:$C$2535,'[2]Client Info'!$D$2:$D$2535,"",0,1))</f>
        <v/>
      </c>
      <c r="AE755" s="55" t="str">
        <f>IF($AC755="","",_xlfn.XLOOKUP($AC755,'[2]Client Info'!$C$2:$C$2715,'[2]Client Info'!$E$2:$E$2715,"",))</f>
        <v/>
      </c>
      <c r="AF755" s="55" t="str">
        <f>IF($AC755="","",_xlfn.XLOOKUP($AC755,'[2]Client Info'!$C$2:$C$2715,'[2]Client Info'!$F$2:$F$2715,"",0,1))</f>
        <v/>
      </c>
      <c r="AG755" s="55" t="str">
        <f>IF(ISBLANK(Table26[[#This Row],[customerSKU]]),"",_xlfn.XLOOKUP(Table26[[#This Row],[customerSKU]],Table27[customer_SKU],Table27[billto],"",0,1))</f>
        <v/>
      </c>
      <c r="AH755" s="62" t="str">
        <f>_xlfn.XLOOKUP(Table26[[#This Row],[customerSKU]],customerSKU!G:G,customerSKU!K:K,"NA",0,1)</f>
        <v>NA</v>
      </c>
      <c r="AI755" s="43" t="str">
        <f>_xlfn.XLOOKUP(Table26[[#This Row],[customerSKU]],customerSKU!G:G,customerSKU!O:O,"not found",0,1)</f>
        <v>not found</v>
      </c>
      <c r="AJ755" s="53" t="e">
        <f>Table26[[#This Row],[unitprice]]*Table26[[#This Row],[quantity_unit]]</f>
        <v>#VALUE!</v>
      </c>
      <c r="AK755" s="53" t="e" cm="1">
        <f t="array" ref="AK7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6" spans="1:37" ht="18" customHeight="1">
      <c r="A756" s="42">
        <v>1494</v>
      </c>
      <c r="B756" s="58" t="s">
        <v>3520</v>
      </c>
      <c r="C756" s="53" t="s">
        <v>3360</v>
      </c>
      <c r="D756" s="51"/>
      <c r="E756" s="51"/>
      <c r="F75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56" s="46"/>
      <c r="H756" s="53"/>
      <c r="I756" s="53" t="s">
        <v>3862</v>
      </c>
      <c r="J756" s="90" t="str">
        <f>IF(Table26[[#This Row],[customerSKU]]="","",_xlfn.XLOOKUP(Table26[[#This Row],[customerSKU]],customerSKU!G:G,customerSKU!A:A,"",0,1))</f>
        <v/>
      </c>
      <c r="K756" s="48">
        <v>45636</v>
      </c>
      <c r="L756" s="49" t="str">
        <f>IF(Table26[[#This Row],[customerSKU]]="","",_xlfn.XLOOKUP(Table26[[#This Row],[customerSKU]],customerSKU!G:G,customerSKU!B:B,"",0,1))</f>
        <v/>
      </c>
      <c r="M756" s="53"/>
      <c r="N756" s="77" t="str">
        <f>Table26[[#This Row],[po_number]]&amp;"-"&amp;Table26[[#This Row],[po_line]]</f>
        <v>-1</v>
      </c>
      <c r="O756" s="77">
        <v>1</v>
      </c>
      <c r="P756" s="50"/>
      <c r="Q756" s="53" t="s">
        <v>1311</v>
      </c>
      <c r="R756" s="53" t="s">
        <v>3830</v>
      </c>
      <c r="S756" s="53" t="s">
        <v>57</v>
      </c>
      <c r="T756" s="20">
        <v>45532</v>
      </c>
      <c r="U756" s="52">
        <v>12</v>
      </c>
      <c r="V756" s="53" t="str">
        <f>IF(ISBLANK(Table26[[#This Row],[customerSKU]]),"",_xlfn.XLOOKUP(Table26[[#This Row],[customerSKU]],Table27[customer_SKU],Table27[case_size],"",0,1))</f>
        <v/>
      </c>
      <c r="W756" s="116" t="str">
        <f t="shared" si="30"/>
        <v/>
      </c>
      <c r="X756" s="53" t="str">
        <f t="shared" si="32"/>
        <v/>
      </c>
      <c r="Y756" s="53" t="str">
        <f>IF(Table26[[#This Row],[customerSKU]]="","",_xlfn.XLOOKUP(Table26[[#This Row],[customerSKU]],Table27[customer_SKU],Table27[product_GTIN],"",0,1))</f>
        <v/>
      </c>
      <c r="Z756" s="90">
        <v>61621</v>
      </c>
      <c r="AA756" s="18" t="str" cm="1">
        <f t="array" ref="AA756">IF(P756="", "", _xlfn.XLOOKUP(P756,#REF!,#REF!,NA,0,-1))</f>
        <v/>
      </c>
      <c r="AB756" s="53"/>
      <c r="AC756" s="55" t="str">
        <f>IF(Table26[[#This Row],[customerSKU]]="","",_xlfn.XLOOKUP(Table26[[#This Row],[customerSKU]],customerSKU!G:G,customerSKU!C:C,"",0,1))</f>
        <v/>
      </c>
      <c r="AD756" s="55" t="str">
        <f>IF($AC756="","",_xlfn.XLOOKUP($AC756,'[2]Client Info'!$C$2:$C$2535,'[2]Client Info'!$D$2:$D$2535,"",0,1))</f>
        <v/>
      </c>
      <c r="AE756" s="55" t="str">
        <f>IF($AC756="","",_xlfn.XLOOKUP($AC756,'[2]Client Info'!$C$2:$C$2715,'[2]Client Info'!$E$2:$E$2715,"",))</f>
        <v/>
      </c>
      <c r="AF756" s="55" t="str">
        <f>IF($AC756="","",_xlfn.XLOOKUP($AC756,'[2]Client Info'!$C$2:$C$2715,'[2]Client Info'!$F$2:$F$2715,"",0,1))</f>
        <v/>
      </c>
      <c r="AG756" s="55" t="str">
        <f>IF(ISBLANK(Table26[[#This Row],[customerSKU]]),"",_xlfn.XLOOKUP(Table26[[#This Row],[customerSKU]],Table27[customer_SKU],Table27[billto],"",0,1))</f>
        <v/>
      </c>
      <c r="AH756" s="62" t="str">
        <f>_xlfn.XLOOKUP(Table26[[#This Row],[customerSKU]],customerSKU!G:G,customerSKU!K:K,"NA",0,1)</f>
        <v>NA</v>
      </c>
      <c r="AI756" s="43" t="str">
        <f>_xlfn.XLOOKUP(Table26[[#This Row],[customerSKU]],customerSKU!G:G,customerSKU!O:O,"not found",0,1)</f>
        <v>not found</v>
      </c>
      <c r="AJ756" s="53" t="e">
        <f>Table26[[#This Row],[unitprice]]*Table26[[#This Row],[quantity_unit]]</f>
        <v>#VALUE!</v>
      </c>
      <c r="AK756" s="53" t="e" cm="1">
        <f t="array" ref="AK7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7" spans="1:37" ht="18" customHeight="1">
      <c r="A757" s="42">
        <v>1495</v>
      </c>
      <c r="B757" s="58" t="s">
        <v>3520</v>
      </c>
      <c r="C757" s="53" t="s">
        <v>203</v>
      </c>
      <c r="D757" s="51"/>
      <c r="E757" s="51"/>
      <c r="F757" s="53"/>
      <c r="G757" s="46"/>
      <c r="H757" s="53"/>
      <c r="I757" s="53"/>
      <c r="J757" s="90" t="str">
        <f>IF(Table26[[#This Row],[customerSKU]]="","",_xlfn.XLOOKUP(Table26[[#This Row],[customerSKU]],customerSKU!G:G,customerSKU!A:A,"",0,1))</f>
        <v/>
      </c>
      <c r="K757" s="48">
        <v>45636</v>
      </c>
      <c r="L757" s="49" t="s">
        <v>201</v>
      </c>
      <c r="M757" s="53"/>
      <c r="N757" s="77" t="str">
        <f>Table26[[#This Row],[po_number]]&amp;"-"&amp;Table26[[#This Row],[po_line]]</f>
        <v>-1</v>
      </c>
      <c r="O757" s="77">
        <v>1</v>
      </c>
      <c r="P757" s="50"/>
      <c r="Q757" s="53" t="s">
        <v>3368</v>
      </c>
      <c r="R757" s="53" t="s">
        <v>3559</v>
      </c>
      <c r="S757" s="53" t="s">
        <v>220</v>
      </c>
      <c r="T757" s="51">
        <v>45590</v>
      </c>
      <c r="U757" s="52">
        <v>24</v>
      </c>
      <c r="V757" s="53">
        <v>12</v>
      </c>
      <c r="W757" s="116">
        <v>2</v>
      </c>
      <c r="X757" s="53">
        <v>655.20000000000005</v>
      </c>
      <c r="Y757" s="53" t="s">
        <v>237</v>
      </c>
      <c r="Z757" s="90">
        <v>110184</v>
      </c>
      <c r="AA757" s="18" t="str" cm="1">
        <f t="array" ref="AA757">IF(P757="", "", _xlfn.XLOOKUP(P757,#REF!,#REF!,NA,0,-1))</f>
        <v/>
      </c>
      <c r="AB757" s="53"/>
      <c r="AC757" s="55" t="s">
        <v>3819</v>
      </c>
      <c r="AD757" s="55" t="str">
        <f>IF($AC757="","",_xlfn.XLOOKUP($AC757,'[2]Client Info'!$C$2:$C$2535,'[2]Client Info'!$D$2:$D$2535,"",0,1))</f>
        <v>20 GRANITE RIDGE RD</v>
      </c>
      <c r="AE757" s="55" t="str">
        <f>IF($AC757="","",_xlfn.XLOOKUP($AC757,'[2]Client Info'!$C$2:$C$2715,'[2]Client Info'!$E$2:$E$2715,"",))</f>
        <v>CONCORD</v>
      </c>
      <c r="AF757" s="55" t="str">
        <f>IF($AC757="","",_xlfn.XLOOKUP($AC757,'[2]Client Info'!$C$2:$C$2715,'[2]Client Info'!$F$2:$F$2715,"",0,1))</f>
        <v>ON</v>
      </c>
      <c r="AG757" s="55" t="s">
        <v>3420</v>
      </c>
      <c r="AH757" s="62" t="s">
        <v>3420</v>
      </c>
      <c r="AI757" s="43" t="str">
        <f>_xlfn.XLOOKUP(Table26[[#This Row],[customerSKU]],customerSKU!G:G,customerSKU!O:O,"not found",0,1)</f>
        <v>not found</v>
      </c>
      <c r="AJ757" s="53" t="e">
        <f>Table26[[#This Row],[unitprice]]*Table26[[#This Row],[quantity_unit]]</f>
        <v>#VALUE!</v>
      </c>
      <c r="AK757" s="53" t="e" cm="1">
        <f t="array" ref="AK7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8" spans="1:37" ht="18" customHeight="1">
      <c r="A758" s="42">
        <v>1496</v>
      </c>
      <c r="B758" s="58" t="s">
        <v>3520</v>
      </c>
      <c r="C758" s="53" t="s">
        <v>3360</v>
      </c>
      <c r="D758" s="51"/>
      <c r="E758" s="51"/>
      <c r="F758" s="53"/>
      <c r="G758" s="46"/>
      <c r="H758" s="53"/>
      <c r="I758" s="53"/>
      <c r="J758" s="90" t="str">
        <f>IF(Table26[[#This Row],[customerSKU]]="","",_xlfn.XLOOKUP(Table26[[#This Row],[customerSKU]],customerSKU!G:G,customerSKU!A:A,"",0,1))</f>
        <v/>
      </c>
      <c r="K758" s="48">
        <v>45636</v>
      </c>
      <c r="L758" s="49" t="str">
        <f>IF(Table26[[#This Row],[customerSKU]]="","",_xlfn.XLOOKUP(Table26[[#This Row],[customerSKU]],customerSKU!G:G,customerSKU!B:B,"",0,1))</f>
        <v/>
      </c>
      <c r="M758" s="53"/>
      <c r="N758" s="77" t="str">
        <f>Table26[[#This Row],[po_number]]&amp;"-"&amp;Table26[[#This Row],[po_line]]</f>
        <v>-1</v>
      </c>
      <c r="O758" s="77">
        <v>1</v>
      </c>
      <c r="P758" s="50"/>
      <c r="Q758" s="53" t="s">
        <v>3368</v>
      </c>
      <c r="R758" s="53" t="s">
        <v>3419</v>
      </c>
      <c r="S758" s="53" t="str">
        <f>IF(Table26[[#This Row],[customerSKU]]="","",_xlfn.XLOOKUP(Table26[[#This Row],[customerSKU]],customerSKU!G:G,customerSKU!N:N,"NOT FOUND",0,1))</f>
        <v>NOT FOUND</v>
      </c>
      <c r="T758" s="51">
        <v>45590</v>
      </c>
      <c r="U758" s="52">
        <v>24</v>
      </c>
      <c r="V758" s="53" t="str">
        <f>IF(ISBLANK(Table26[[#This Row],[customerSKU]]),"",_xlfn.XLOOKUP(Table26[[#This Row],[customerSKU]],Table27[customer_SKU],Table27[case_size],"",0,1))</f>
        <v/>
      </c>
      <c r="W758" s="116" t="str">
        <f t="shared" ref="W758:W789" si="33">IFERROR(U758/V758, "")</f>
        <v/>
      </c>
      <c r="X758" s="53" t="str">
        <f t="shared" ref="X758:X773" si="34">IFERROR($AA758*$U758, "")</f>
        <v/>
      </c>
      <c r="Y758" s="53" t="str">
        <f>IF(Table26[[#This Row],[customerSKU]]="","",_xlfn.XLOOKUP(Table26[[#This Row],[customerSKU]],Table27[customer_SKU],Table27[product_GTIN],"",0,1))</f>
        <v/>
      </c>
      <c r="Z758" s="90">
        <v>110184</v>
      </c>
      <c r="AA758" s="18" t="str" cm="1">
        <f t="array" ref="AA758">IF(P758="", "", _xlfn.XLOOKUP(P758,#REF!,#REF!,NA,0,-1))</f>
        <v/>
      </c>
      <c r="AB758" s="53"/>
      <c r="AC758" s="55" t="str">
        <f>IF(Table26[[#This Row],[customerSKU]]="","",_xlfn.XLOOKUP(Table26[[#This Row],[customerSKU]],customerSKU!G:G,customerSKU!C:C,"",0,1))</f>
        <v/>
      </c>
      <c r="AD758" s="55" t="str">
        <f>IF($AC758="","",_xlfn.XLOOKUP($AC758,'[2]Client Info'!$C$2:$C$2535,'[2]Client Info'!$D$2:$D$2535,"",0,1))</f>
        <v/>
      </c>
      <c r="AE758" s="55" t="str">
        <f>IF($AC758="","",_xlfn.XLOOKUP($AC758,'[2]Client Info'!$C$2:$C$2715,'[2]Client Info'!$E$2:$E$2715,"",))</f>
        <v/>
      </c>
      <c r="AF758" s="55" t="str">
        <f>IF($AC758="","",_xlfn.XLOOKUP($AC758,'[2]Client Info'!$C$2:$C$2715,'[2]Client Info'!$F$2:$F$2715,"",0,1))</f>
        <v/>
      </c>
      <c r="AG758" s="55" t="str">
        <f>IF(ISBLANK(Table26[[#This Row],[customerSKU]]),"",_xlfn.XLOOKUP(Table26[[#This Row],[customerSKU]],Table27[customer_SKU],Table27[billto],"",0,1))</f>
        <v/>
      </c>
      <c r="AH758" s="62" t="str">
        <f>_xlfn.XLOOKUP(Table26[[#This Row],[customerSKU]],customerSKU!G:G,customerSKU!K:K,"NA",0,1)</f>
        <v>NA</v>
      </c>
      <c r="AI758" s="43" t="str">
        <f>_xlfn.XLOOKUP(Table26[[#This Row],[customerSKU]],customerSKU!G:G,customerSKU!O:O,"not found",0,1)</f>
        <v>not found</v>
      </c>
      <c r="AJ758" s="53" t="e">
        <f>Table26[[#This Row],[unitprice]]*Table26[[#This Row],[quantity_unit]]</f>
        <v>#VALUE!</v>
      </c>
      <c r="AK758" s="53" t="e" cm="1">
        <f t="array" ref="AK7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59" spans="1:37" ht="18" customHeight="1">
      <c r="A759" s="42">
        <v>1489</v>
      </c>
      <c r="B759" s="58" t="s">
        <v>3520</v>
      </c>
      <c r="C759" s="53" t="s">
        <v>203</v>
      </c>
      <c r="D759" s="51"/>
      <c r="E759" s="51"/>
      <c r="F759" s="53"/>
      <c r="G759" s="46"/>
      <c r="H759" s="53"/>
      <c r="I759" s="53" t="s">
        <v>3818</v>
      </c>
      <c r="J759" s="53" t="str">
        <f>IF(Table26[[#This Row],[customerSKU]]="","",_xlfn.XLOOKUP(Table26[[#This Row],[customerSKU]],customerSKU!G:G,customerSKU!A:A,"",0,1))</f>
        <v/>
      </c>
      <c r="K759" s="48">
        <v>45637</v>
      </c>
      <c r="L759" s="49" t="str">
        <f>IF(Table26[[#This Row],[customerSKU]]="","",_xlfn.XLOOKUP(Table26[[#This Row],[customerSKU]],customerSKU!G:G,customerSKU!B:B,"",0,1))</f>
        <v/>
      </c>
      <c r="M759" s="53"/>
      <c r="N759" s="77" t="str">
        <f>Table26[[#This Row],[po_number]]&amp;"-"&amp;Table26[[#This Row],[po_line]]</f>
        <v>-1</v>
      </c>
      <c r="O759" s="77">
        <v>1</v>
      </c>
      <c r="P759" s="50"/>
      <c r="Q759" s="53" t="s">
        <v>3821</v>
      </c>
      <c r="R759" s="53" t="s">
        <v>3428</v>
      </c>
      <c r="S759" s="53" t="str">
        <f>IF(Table26[[#This Row],[customerSKU]]="","",_xlfn.XLOOKUP(Table26[[#This Row],[customerSKU]],customerSKU!G:G,customerSKU!N:N,"NOT FOUND",0,1))</f>
        <v>NOT FOUND</v>
      </c>
      <c r="T759" s="51">
        <v>45629</v>
      </c>
      <c r="U759" s="52">
        <v>12</v>
      </c>
      <c r="V759" s="53" t="str">
        <f>IF(ISBLANK(Table26[[#This Row],[customerSKU]]),"",_xlfn.XLOOKUP(Table26[[#This Row],[customerSKU]],Table27[customer_SKU],Table27[case_size],"",0,1))</f>
        <v/>
      </c>
      <c r="W759" s="116" t="str">
        <f t="shared" si="33"/>
        <v/>
      </c>
      <c r="X759" s="53" t="str">
        <f t="shared" si="34"/>
        <v/>
      </c>
      <c r="Y759" s="53" t="str">
        <f>IF(Table26[[#This Row],[customerSKU]]="","",_xlfn.XLOOKUP(Table26[[#This Row],[customerSKU]],Table27[customer_SKU],Table27[product_GTIN],"",0,1))</f>
        <v/>
      </c>
      <c r="Z759" s="60" t="s">
        <v>3822</v>
      </c>
      <c r="AA759" s="18" t="str" cm="1">
        <f t="array" ref="AA759">IF(P759="", "", _xlfn.XLOOKUP(P759,#REF!,#REF!,NA,0,-1))</f>
        <v/>
      </c>
      <c r="AB759" s="53"/>
      <c r="AC759" s="55" t="str">
        <f>IF(Table26[[#This Row],[customerSKU]]="","",_xlfn.XLOOKUP(Table26[[#This Row],[customerSKU]],customerSKU!G:G,customerSKU!C:C,"",0,1))</f>
        <v/>
      </c>
      <c r="AD759" s="55" t="str">
        <f>IF($AC759="","",_xlfn.XLOOKUP($AC759,'[2]Client Info'!$C$2:$C$2535,'[2]Client Info'!$D$2:$D$2535,"",0,1))</f>
        <v/>
      </c>
      <c r="AE759" s="55" t="str">
        <f>IF($AC759="","",_xlfn.XLOOKUP($AC759,'[2]Client Info'!$C$2:$C$2715,'[2]Client Info'!$E$2:$E$2715,"",))</f>
        <v/>
      </c>
      <c r="AF759" s="55" t="str">
        <f>IF($AC759="","",_xlfn.XLOOKUP($AC759,'[2]Client Info'!$C$2:$C$2715,'[2]Client Info'!$F$2:$F$2715,"",0,1))</f>
        <v/>
      </c>
      <c r="AG759" s="55" t="str">
        <f>IF(ISBLANK(Table26[[#This Row],[customerSKU]]),"",_xlfn.XLOOKUP(Table26[[#This Row],[customerSKU]],Table27[customer_SKU],Table27[billto],"",0,1))</f>
        <v/>
      </c>
      <c r="AH759" s="62">
        <v>23</v>
      </c>
      <c r="AI759" s="43" t="str">
        <f>_xlfn.XLOOKUP(Table26[[#This Row],[customerSKU]],customerSKU!G:G,customerSKU!O:O,"not found",0,1)</f>
        <v>not found</v>
      </c>
      <c r="AJ759" s="59">
        <f>Table26[[#This Row],[unitprice]]*Table26[[#This Row],[quantity_unit]]</f>
        <v>276</v>
      </c>
      <c r="AK759" s="59" t="e" cm="1">
        <f t="array" ref="AK7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0" spans="1:37" ht="18" customHeight="1">
      <c r="A760" s="42">
        <v>1490</v>
      </c>
      <c r="B760" s="58" t="s">
        <v>3520</v>
      </c>
      <c r="C760" s="53" t="s">
        <v>203</v>
      </c>
      <c r="D760" s="51"/>
      <c r="E760" s="51"/>
      <c r="F76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0" s="46"/>
      <c r="H760" s="53"/>
      <c r="I760" s="53" t="s">
        <v>3818</v>
      </c>
      <c r="J760" s="53" t="str">
        <f>IF(Table26[[#This Row],[customerSKU]]="","",_xlfn.XLOOKUP(Table26[[#This Row],[customerSKU]],customerSKU!G:G,customerSKU!A:A,"",0,1))</f>
        <v/>
      </c>
      <c r="K760" s="48">
        <v>45637</v>
      </c>
      <c r="L760" s="49" t="str">
        <f>IF(Table26[[#This Row],[customerSKU]]="","",_xlfn.XLOOKUP(Table26[[#This Row],[customerSKU]],customerSKU!G:G,customerSKU!B:B,"",0,1))</f>
        <v/>
      </c>
      <c r="M760" s="53"/>
      <c r="N760" s="77" t="str">
        <f>Table26[[#This Row],[po_number]]&amp;"-"&amp;Table26[[#This Row],[po_line]]</f>
        <v>-2</v>
      </c>
      <c r="O760" s="77">
        <v>2</v>
      </c>
      <c r="P760" s="50"/>
      <c r="Q760" s="53" t="s">
        <v>1256</v>
      </c>
      <c r="R760" s="53" t="s">
        <v>3428</v>
      </c>
      <c r="S760" s="53" t="str">
        <f>IF(Table26[[#This Row],[customerSKU]]="","",_xlfn.XLOOKUP(Table26[[#This Row],[customerSKU]],customerSKU!G:G,customerSKU!N:N,"NOT FOUND",0,1))</f>
        <v>NOT FOUND</v>
      </c>
      <c r="T760" s="51">
        <v>45630</v>
      </c>
      <c r="U760" s="52">
        <f>300-12</f>
        <v>288</v>
      </c>
      <c r="V760" s="53" t="str">
        <f>IF(ISBLANK(Table26[[#This Row],[customerSKU]]),"",_xlfn.XLOOKUP(Table26[[#This Row],[customerSKU]],Table27[customer_SKU],Table27[case_size],"",0,1))</f>
        <v/>
      </c>
      <c r="W760" s="116" t="str">
        <f t="shared" si="33"/>
        <v/>
      </c>
      <c r="X760" s="53" t="str">
        <f t="shared" si="34"/>
        <v/>
      </c>
      <c r="Y760" s="53" t="str">
        <f>IF(Table26[[#This Row],[customerSKU]]="","",_xlfn.XLOOKUP(Table26[[#This Row],[customerSKU]],Table27[customer_SKU],Table27[product_GTIN],"",0,1))</f>
        <v/>
      </c>
      <c r="Z760" s="60" t="s">
        <v>3823</v>
      </c>
      <c r="AA760" s="18" t="str" cm="1">
        <f t="array" ref="AA760">IF(P760="", "", _xlfn.XLOOKUP(P760,#REF!,#REF!,NA,0,-1))</f>
        <v/>
      </c>
      <c r="AB760" s="53"/>
      <c r="AC760" s="55" t="str">
        <f>IF(Table26[[#This Row],[customerSKU]]="","",_xlfn.XLOOKUP(Table26[[#This Row],[customerSKU]],customerSKU!G:G,customerSKU!C:C,"",0,1))</f>
        <v/>
      </c>
      <c r="AD760" s="55" t="str">
        <f>IF($AC760="","",_xlfn.XLOOKUP($AC760,'[2]Client Info'!$C$2:$C$2535,'[2]Client Info'!$D$2:$D$2535,"",0,1))</f>
        <v/>
      </c>
      <c r="AE760" s="55" t="str">
        <f>IF($AC760="","",_xlfn.XLOOKUP($AC760,'[2]Client Info'!$C$2:$C$2715,'[2]Client Info'!$E$2:$E$2715,"",))</f>
        <v/>
      </c>
      <c r="AF760" s="55" t="str">
        <f>IF($AC760="","",_xlfn.XLOOKUP($AC760,'[2]Client Info'!$C$2:$C$2715,'[2]Client Info'!$F$2:$F$2715,"",0,1))</f>
        <v/>
      </c>
      <c r="AG760" s="55" t="str">
        <f>IF(ISBLANK(Table26[[#This Row],[customerSKU]]),"",_xlfn.XLOOKUP(Table26[[#This Row],[customerSKU]],Table27[customer_SKU],Table27[billto],"",0,1))</f>
        <v/>
      </c>
      <c r="AH760" s="62" t="str">
        <f>_xlfn.XLOOKUP(Table26[[#This Row],[customerSKU]],customerSKU!G:G,customerSKU!K:K,"NA",0,1)</f>
        <v>NA</v>
      </c>
      <c r="AI760" s="43" t="str">
        <f>_xlfn.XLOOKUP(Table26[[#This Row],[customerSKU]],customerSKU!G:G,customerSKU!O:O,"not found",0,1)</f>
        <v>not found</v>
      </c>
      <c r="AJ760" s="59" t="e">
        <f>Table26[[#This Row],[unitprice]]*Table26[[#This Row],[quantity_unit]]</f>
        <v>#VALUE!</v>
      </c>
      <c r="AK760" s="59" t="e" cm="1">
        <f t="array" ref="AK7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1" spans="1:37" ht="18" customHeight="1">
      <c r="A761" s="42">
        <v>1491</v>
      </c>
      <c r="B761" s="58" t="s">
        <v>3520</v>
      </c>
      <c r="C761" s="53" t="s">
        <v>203</v>
      </c>
      <c r="D761" s="51"/>
      <c r="E761" s="51"/>
      <c r="F76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1" s="46"/>
      <c r="H761" s="53"/>
      <c r="I761" s="53" t="s">
        <v>3818</v>
      </c>
      <c r="J761" s="53" t="str">
        <f>IF(Table26[[#This Row],[customerSKU]]="","",_xlfn.XLOOKUP(Table26[[#This Row],[customerSKU]],customerSKU!G:G,customerSKU!A:A,"",0,1))</f>
        <v/>
      </c>
      <c r="K761" s="48">
        <v>45637</v>
      </c>
      <c r="L761" s="49" t="str">
        <f>IF(Table26[[#This Row],[customerSKU]]="","",_xlfn.XLOOKUP(Table26[[#This Row],[customerSKU]],customerSKU!G:G,customerSKU!B:B,"",0,1))</f>
        <v/>
      </c>
      <c r="M761" s="53"/>
      <c r="N761" s="77" t="str">
        <f>Table26[[#This Row],[po_number]]&amp;"-"&amp;Table26[[#This Row],[po_line]]</f>
        <v>-3</v>
      </c>
      <c r="O761" s="77">
        <v>3</v>
      </c>
      <c r="P761" s="50"/>
      <c r="Q761" s="53" t="s">
        <v>775</v>
      </c>
      <c r="R761" s="53" t="s">
        <v>3428</v>
      </c>
      <c r="S761" s="53" t="str">
        <f>IF(Table26[[#This Row],[customerSKU]]="","",_xlfn.XLOOKUP(Table26[[#This Row],[customerSKU]],customerSKU!G:G,customerSKU!N:N,"NOT FOUND",0,1))</f>
        <v>NOT FOUND</v>
      </c>
      <c r="T761" s="51">
        <v>45630</v>
      </c>
      <c r="U761" s="52">
        <v>300</v>
      </c>
      <c r="V761" s="53" t="str">
        <f>IF(ISBLANK(Table26[[#This Row],[customerSKU]]),"",_xlfn.XLOOKUP(Table26[[#This Row],[customerSKU]],Table27[customer_SKU],Table27[case_size],"",0,1))</f>
        <v/>
      </c>
      <c r="W761" s="116" t="str">
        <f t="shared" si="33"/>
        <v/>
      </c>
      <c r="X761" s="53" t="str">
        <f t="shared" si="34"/>
        <v/>
      </c>
      <c r="Y761" s="53" t="str">
        <f>IF(Table26[[#This Row],[customerSKU]]="","",_xlfn.XLOOKUP(Table26[[#This Row],[customerSKU]],Table27[customer_SKU],Table27[product_GTIN],"",0,1))</f>
        <v/>
      </c>
      <c r="Z761" s="60" t="s">
        <v>3824</v>
      </c>
      <c r="AA761" s="18" t="str" cm="1">
        <f t="array" ref="AA761">IF(P761="", "", _xlfn.XLOOKUP(P761,#REF!,#REF!,NA,0,-1))</f>
        <v/>
      </c>
      <c r="AB761" s="53"/>
      <c r="AC761" s="55" t="str">
        <f>IF(Table26[[#This Row],[customerSKU]]="","",_xlfn.XLOOKUP(Table26[[#This Row],[customerSKU]],customerSKU!G:G,customerSKU!C:C,"",0,1))</f>
        <v/>
      </c>
      <c r="AD761" s="55" t="str">
        <f>IF($AC761="","",_xlfn.XLOOKUP($AC761,'[2]Client Info'!$C$2:$C$2535,'[2]Client Info'!$D$2:$D$2535,"",0,1))</f>
        <v/>
      </c>
      <c r="AE761" s="55" t="str">
        <f>IF($AC761="","",_xlfn.XLOOKUP($AC761,'[2]Client Info'!$C$2:$C$2715,'[2]Client Info'!$E$2:$E$2715,"",))</f>
        <v/>
      </c>
      <c r="AF761" s="55" t="str">
        <f>IF($AC761="","",_xlfn.XLOOKUP($AC761,'[2]Client Info'!$C$2:$C$2715,'[2]Client Info'!$F$2:$F$2715,"",0,1))</f>
        <v/>
      </c>
      <c r="AG761" s="55" t="str">
        <f>IF(ISBLANK(Table26[[#This Row],[customerSKU]]),"",_xlfn.XLOOKUP(Table26[[#This Row],[customerSKU]],Table27[customer_SKU],Table27[billto],"",0,1))</f>
        <v/>
      </c>
      <c r="AH761" s="62" t="str">
        <f>_xlfn.XLOOKUP(Table26[[#This Row],[customerSKU]],customerSKU!G:G,customerSKU!K:K,"NA",0,1)</f>
        <v>NA</v>
      </c>
      <c r="AI761" s="43" t="str">
        <f>_xlfn.XLOOKUP(Table26[[#This Row],[customerSKU]],customerSKU!G:G,customerSKU!O:O,"not found",0,1)</f>
        <v>not found</v>
      </c>
      <c r="AJ761" s="59" t="e">
        <f>Table26[[#This Row],[unitprice]]*Table26[[#This Row],[quantity_unit]]</f>
        <v>#VALUE!</v>
      </c>
      <c r="AK761" s="59" t="e" cm="1">
        <f t="array" ref="AK7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2" spans="1:37" ht="18" customHeight="1">
      <c r="A762" s="42">
        <v>1480</v>
      </c>
      <c r="B762" s="58" t="s">
        <v>3520</v>
      </c>
      <c r="C762" s="53" t="s">
        <v>203</v>
      </c>
      <c r="D762" s="51"/>
      <c r="E762" s="51"/>
      <c r="F76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2" s="46"/>
      <c r="H762" s="53"/>
      <c r="I762" s="53" t="s">
        <v>3775</v>
      </c>
      <c r="J762" s="90" t="str">
        <f>IF(Table26[[#This Row],[customerSKU]]="","",_xlfn.XLOOKUP(Table26[[#This Row],[customerSKU]],customerSKU!G:G,customerSKU!A:A,"",0,1))</f>
        <v/>
      </c>
      <c r="K762" s="48">
        <v>45638</v>
      </c>
      <c r="L762" s="49" t="s">
        <v>201</v>
      </c>
      <c r="M762" s="53"/>
      <c r="N762" s="77" t="str">
        <f>Table26[[#This Row],[po_number]]&amp;"-"&amp;Table26[[#This Row],[po_line]]</f>
        <v>-1</v>
      </c>
      <c r="O762" s="77">
        <v>1</v>
      </c>
      <c r="P762" s="50"/>
      <c r="Q762" s="53" t="s">
        <v>3796</v>
      </c>
      <c r="R762" s="53" t="s">
        <v>3419</v>
      </c>
      <c r="S762" s="53" t="s">
        <v>3420</v>
      </c>
      <c r="T762" s="51">
        <v>45626</v>
      </c>
      <c r="U762" s="52">
        <v>691</v>
      </c>
      <c r="V762" s="53" t="str">
        <f>IF(ISBLANK(Table26[[#This Row],[customerSKU]]),"",_xlfn.XLOOKUP(Table26[[#This Row],[customerSKU]],Table27[customer_SKU],Table27[case_size],"",0,1))</f>
        <v/>
      </c>
      <c r="W762" s="116" t="str">
        <f t="shared" si="33"/>
        <v/>
      </c>
      <c r="X762" s="53" t="str">
        <f t="shared" si="34"/>
        <v/>
      </c>
      <c r="Y762" s="53" t="str">
        <f>IF(Table26[[#This Row],[customerSKU]]="","",_xlfn.XLOOKUP(Table26[[#This Row],[customerSKU]],Table27[customer_SKU],Table27[product_GTIN],"",0,1))</f>
        <v/>
      </c>
      <c r="Z762" s="90"/>
      <c r="AA762" s="18" t="str" cm="1">
        <f t="array" ref="AA762">IF(P762="", "", _xlfn.XLOOKUP(P762,#REF!,#REF!,NA,0,-1))</f>
        <v/>
      </c>
      <c r="AB762" s="53"/>
      <c r="AC762" s="55" t="s">
        <v>3509</v>
      </c>
      <c r="AD762" s="55" t="str">
        <f>IF($AC762="","",_xlfn.XLOOKUP($AC762,'[2]Client Info'!$C$2:$C$2535,'[2]Client Info'!$D$2:$D$2535,"",0,1))</f>
        <v>#201 – 1420 Alpha Lake Road</v>
      </c>
      <c r="AE762" s="55" t="str">
        <f>IF($AC762="","",_xlfn.XLOOKUP($AC762,'[2]Client Info'!$C$2:$C$2715,'[2]Client Info'!$E$2:$E$2715,"",))</f>
        <v>Whistler</v>
      </c>
      <c r="AF762" s="55" t="str">
        <f>IF($AC762="","",_xlfn.XLOOKUP($AC762,'[2]Client Info'!$C$2:$C$2715,'[2]Client Info'!$F$2:$F$2715,"",0,1))</f>
        <v>BC</v>
      </c>
      <c r="AG762" s="55" t="s">
        <v>3770</v>
      </c>
      <c r="AH762" s="62" t="str">
        <f>_xlfn.XLOOKUP(Table26[[#This Row],[customerSKU]],customerSKU!G:G,customerSKU!K:K,"NA",0,1)</f>
        <v>NA</v>
      </c>
      <c r="AI762" s="43" t="str">
        <f>_xlfn.XLOOKUP(Table26[[#This Row],[customerSKU]],customerSKU!G:G,customerSKU!O:O,"not found",0,1)</f>
        <v>not found</v>
      </c>
      <c r="AJ762" s="53" t="e">
        <f>Table26[[#This Row],[unitprice]]*Table26[[#This Row],[quantity_unit]]</f>
        <v>#VALUE!</v>
      </c>
      <c r="AK762" s="53" t="e" cm="1">
        <f t="array" ref="AK7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3" spans="1:37" ht="18" customHeight="1">
      <c r="A763" s="42">
        <v>1481</v>
      </c>
      <c r="B763" s="58" t="s">
        <v>3520</v>
      </c>
      <c r="C763" s="53" t="s">
        <v>3360</v>
      </c>
      <c r="D763" s="51"/>
      <c r="E763" s="51"/>
      <c r="F76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3" s="46"/>
      <c r="H763" s="53"/>
      <c r="I763" s="53" t="s">
        <v>3862</v>
      </c>
      <c r="J763" s="90" t="str">
        <f>IF(Table26[[#This Row],[customerSKU]]="","",_xlfn.XLOOKUP(Table26[[#This Row],[customerSKU]],customerSKU!G:G,customerSKU!A:A,"",0,1))</f>
        <v/>
      </c>
      <c r="K763" s="48">
        <v>45638</v>
      </c>
      <c r="L763" s="49" t="str">
        <f>IF(Table26[[#This Row],[customerSKU]]="","",_xlfn.XLOOKUP(Table26[[#This Row],[customerSKU]],customerSKU!G:G,customerSKU!B:B,"",0,1))</f>
        <v/>
      </c>
      <c r="M763" s="53"/>
      <c r="N763" s="77" t="str">
        <f>Table26[[#This Row],[po_number]]&amp;"-"&amp;Table26[[#This Row],[po_line]]</f>
        <v>-1</v>
      </c>
      <c r="O763" s="77">
        <v>1</v>
      </c>
      <c r="P763" s="50"/>
      <c r="Q763" s="53"/>
      <c r="R763" s="53"/>
      <c r="S763" s="53" t="str">
        <f>IF(Table26[[#This Row],[customerSKU]]="","",_xlfn.XLOOKUP(Table26[[#This Row],[customerSKU]],customerSKU!G:G,customerSKU!N:N,"NOT FOUND",0,1))</f>
        <v>NOT FOUND</v>
      </c>
      <c r="T763" s="20"/>
      <c r="U763" s="52">
        <v>12</v>
      </c>
      <c r="V763" s="53" t="str">
        <f>IF(ISBLANK(Table26[[#This Row],[customerSKU]]),"",_xlfn.XLOOKUP(Table26[[#This Row],[customerSKU]],Table27[customer_SKU],Table27[case_size],"",0,1))</f>
        <v/>
      </c>
      <c r="W763" s="116" t="str">
        <f t="shared" si="33"/>
        <v/>
      </c>
      <c r="X763" s="53" t="str">
        <f t="shared" si="34"/>
        <v/>
      </c>
      <c r="Y763" s="53" t="str">
        <f>IF(Table26[[#This Row],[customerSKU]]="","",_xlfn.XLOOKUP(Table26[[#This Row],[customerSKU]],Table27[customer_SKU],Table27[product_GTIN],"",0,1))</f>
        <v/>
      </c>
      <c r="Z763" s="25" t="s">
        <v>3381</v>
      </c>
      <c r="AA763" s="18" t="str" cm="1">
        <f t="array" ref="AA763">IF(P763="", "", _xlfn.XLOOKUP(P763,#REF!,#REF!,NA,0,-1))</f>
        <v/>
      </c>
      <c r="AB763" s="53"/>
      <c r="AC763" s="55" t="str">
        <f>IF(Table26[[#This Row],[customerSKU]]="","",_xlfn.XLOOKUP(Table26[[#This Row],[customerSKU]],customerSKU!G:G,customerSKU!C:C,"",0,1))</f>
        <v/>
      </c>
      <c r="AD763" s="55" t="str">
        <f>IF($AC763="","",_xlfn.XLOOKUP($AC763,'[2]Client Info'!$C$2:$C$2535,'[2]Client Info'!$D$2:$D$2535,"",0,1))</f>
        <v/>
      </c>
      <c r="AE763" s="55" t="str">
        <f>IF($AC763="","",_xlfn.XLOOKUP($AC763,'[2]Client Info'!$C$2:$C$2715,'[2]Client Info'!$E$2:$E$2715,"",))</f>
        <v/>
      </c>
      <c r="AF763" s="55" t="str">
        <f>IF($AC763="","",_xlfn.XLOOKUP($AC763,'[2]Client Info'!$C$2:$C$2715,'[2]Client Info'!$F$2:$F$2715,"",0,1))</f>
        <v/>
      </c>
      <c r="AG763" s="55" t="str">
        <f>IF(ISBLANK(Table26[[#This Row],[customerSKU]]),"",_xlfn.XLOOKUP(Table26[[#This Row],[customerSKU]],Table27[customer_SKU],Table27[billto],"",0,1))</f>
        <v/>
      </c>
      <c r="AH763" s="62" t="str">
        <f>_xlfn.XLOOKUP(Table26[[#This Row],[customerSKU]],customerSKU!G:G,customerSKU!K:K,"NA",0,1)</f>
        <v>NA</v>
      </c>
      <c r="AI763" s="43" t="str">
        <f>_xlfn.XLOOKUP(Table26[[#This Row],[customerSKU]],customerSKU!G:G,customerSKU!O:O,"not found",0,1)</f>
        <v>not found</v>
      </c>
      <c r="AJ763" s="53" t="e">
        <f>Table26[[#This Row],[unitprice]]*Table26[[#This Row],[quantity_unit]]</f>
        <v>#VALUE!</v>
      </c>
      <c r="AK763" s="53" t="e" cm="1">
        <f t="array" ref="AK7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4" spans="1:37" ht="18" customHeight="1">
      <c r="A764" s="42">
        <v>1482</v>
      </c>
      <c r="B764" s="58" t="s">
        <v>3520</v>
      </c>
      <c r="C764" s="53" t="s">
        <v>3360</v>
      </c>
      <c r="D764" s="51"/>
      <c r="E764" s="51"/>
      <c r="F76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4" s="46"/>
      <c r="H764" s="53"/>
      <c r="I764" s="53" t="s">
        <v>3862</v>
      </c>
      <c r="J764" s="90" t="str">
        <f>IF(Table26[[#This Row],[customerSKU]]="","",_xlfn.XLOOKUP(Table26[[#This Row],[customerSKU]],customerSKU!G:G,customerSKU!A:A,"",0,1))</f>
        <v/>
      </c>
      <c r="K764" s="48">
        <v>45638</v>
      </c>
      <c r="L764" s="49" t="str">
        <f>IF(Table26[[#This Row],[customerSKU]]="","",_xlfn.XLOOKUP(Table26[[#This Row],[customerSKU]],customerSKU!G:G,customerSKU!B:B,"",0,1))</f>
        <v/>
      </c>
      <c r="M764" s="53"/>
      <c r="N764" s="77" t="str">
        <f>Table26[[#This Row],[po_number]]&amp;"-"&amp;Table26[[#This Row],[po_line]]</f>
        <v>-1</v>
      </c>
      <c r="O764" s="77">
        <v>1</v>
      </c>
      <c r="P764" s="50"/>
      <c r="Q764" s="53"/>
      <c r="R764" s="53"/>
      <c r="S764" s="53" t="str">
        <f>IF(Table26[[#This Row],[customerSKU]]="","",_xlfn.XLOOKUP(Table26[[#This Row],[customerSKU]],customerSKU!G:G,customerSKU!N:N,"NOT FOUND",0,1))</f>
        <v>NOT FOUND</v>
      </c>
      <c r="T764" s="20"/>
      <c r="U764" s="52">
        <v>12</v>
      </c>
      <c r="V764" s="53" t="str">
        <f>IF(ISBLANK(Table26[[#This Row],[customerSKU]]),"",_xlfn.XLOOKUP(Table26[[#This Row],[customerSKU]],Table27[customer_SKU],Table27[case_size],"",0,1))</f>
        <v/>
      </c>
      <c r="W764" s="116" t="str">
        <f t="shared" si="33"/>
        <v/>
      </c>
      <c r="X764" s="53" t="str">
        <f t="shared" si="34"/>
        <v/>
      </c>
      <c r="Y764" s="53" t="str">
        <f>IF(Table26[[#This Row],[customerSKU]]="","",_xlfn.XLOOKUP(Table26[[#This Row],[customerSKU]],Table27[customer_SKU],Table27[product_GTIN],"",0,1))</f>
        <v/>
      </c>
      <c r="Z764" s="90">
        <v>61619</v>
      </c>
      <c r="AA764" s="18" t="str" cm="1">
        <f t="array" ref="AA764">IF(P764="", "", _xlfn.XLOOKUP(P764,#REF!,#REF!,NA,0,-1))</f>
        <v/>
      </c>
      <c r="AB764" s="53"/>
      <c r="AC764" s="55" t="str">
        <f>IF(Table26[[#This Row],[customerSKU]]="","",_xlfn.XLOOKUP(Table26[[#This Row],[customerSKU]],customerSKU!G:G,customerSKU!C:C,"",0,1))</f>
        <v/>
      </c>
      <c r="AD764" s="55" t="str">
        <f>IF($AC764="","",_xlfn.XLOOKUP($AC764,'[2]Client Info'!$C$2:$C$2535,'[2]Client Info'!$D$2:$D$2535,"",0,1))</f>
        <v/>
      </c>
      <c r="AE764" s="55" t="str">
        <f>IF($AC764="","",_xlfn.XLOOKUP($AC764,'[2]Client Info'!$C$2:$C$2715,'[2]Client Info'!$E$2:$E$2715,"",))</f>
        <v/>
      </c>
      <c r="AF764" s="55" t="str">
        <f>IF($AC764="","",_xlfn.XLOOKUP($AC764,'[2]Client Info'!$C$2:$C$2715,'[2]Client Info'!$F$2:$F$2715,"",0,1))</f>
        <v/>
      </c>
      <c r="AG764" s="55" t="str">
        <f>IF(ISBLANK(Table26[[#This Row],[customerSKU]]),"",_xlfn.XLOOKUP(Table26[[#This Row],[customerSKU]],Table27[customer_SKU],Table27[billto],"",0,1))</f>
        <v/>
      </c>
      <c r="AH764" s="62" t="str">
        <f>_xlfn.XLOOKUP(Table26[[#This Row],[customerSKU]],customerSKU!G:G,customerSKU!K:K,"NA",0,1)</f>
        <v>NA</v>
      </c>
      <c r="AI764" s="43" t="str">
        <f>_xlfn.XLOOKUP(Table26[[#This Row],[customerSKU]],customerSKU!G:G,customerSKU!O:O,"not found",0,1)</f>
        <v>not found</v>
      </c>
      <c r="AJ764" s="53" t="e">
        <f>Table26[[#This Row],[unitprice]]*Table26[[#This Row],[quantity_unit]]</f>
        <v>#VALUE!</v>
      </c>
      <c r="AK764" s="53" t="e" cm="1">
        <f t="array" ref="AK7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5" spans="1:37" ht="24.6" customHeight="1">
      <c r="A765" s="42">
        <v>1483</v>
      </c>
      <c r="B765" s="58" t="s">
        <v>3520</v>
      </c>
      <c r="C765" s="53" t="s">
        <v>3360</v>
      </c>
      <c r="D765" s="51"/>
      <c r="E765" s="51"/>
      <c r="F76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65" s="46"/>
      <c r="H765" s="53"/>
      <c r="I765" s="53" t="s">
        <v>3862</v>
      </c>
      <c r="J765" s="90" t="str">
        <f>IF(Table26[[#This Row],[customerSKU]]="","",_xlfn.XLOOKUP(Table26[[#This Row],[customerSKU]],customerSKU!G:G,customerSKU!A:A,"",0,1))</f>
        <v/>
      </c>
      <c r="K765" s="48">
        <v>45638</v>
      </c>
      <c r="L765" s="49" t="str">
        <f>IF(Table26[[#This Row],[customerSKU]]="","",_xlfn.XLOOKUP(Table26[[#This Row],[customerSKU]],customerSKU!G:G,customerSKU!B:B,"",0,1))</f>
        <v/>
      </c>
      <c r="M765" s="53"/>
      <c r="N765" s="77" t="str">
        <f>Table26[[#This Row],[po_number]]&amp;"-"&amp;Table26[[#This Row],[po_line]]</f>
        <v>-2</v>
      </c>
      <c r="O765" s="77">
        <v>2</v>
      </c>
      <c r="P765" s="50"/>
      <c r="Q765" s="53"/>
      <c r="R765" s="53"/>
      <c r="S765" s="53" t="str">
        <f>IF(Table26[[#This Row],[customerSKU]]="","",_xlfn.XLOOKUP(Table26[[#This Row],[customerSKU]],customerSKU!G:G,customerSKU!N:N,"NOT FOUND",0,1))</f>
        <v>NOT FOUND</v>
      </c>
      <c r="T765" s="20"/>
      <c r="U765" s="52">
        <v>12</v>
      </c>
      <c r="V765" s="53" t="str">
        <f>IF(ISBLANK(Table26[[#This Row],[customerSKU]]),"",_xlfn.XLOOKUP(Table26[[#This Row],[customerSKU]],Table27[customer_SKU],Table27[case_size],"",0,1))</f>
        <v/>
      </c>
      <c r="W765" s="116" t="str">
        <f t="shared" si="33"/>
        <v/>
      </c>
      <c r="X765" s="53" t="str">
        <f t="shared" si="34"/>
        <v/>
      </c>
      <c r="Y765" s="53" t="str">
        <f>IF(Table26[[#This Row],[customerSKU]]="","",_xlfn.XLOOKUP(Table26[[#This Row],[customerSKU]],Table27[customer_SKU],Table27[product_GTIN],"",0,1))</f>
        <v/>
      </c>
      <c r="Z765" s="25" t="s">
        <v>3538</v>
      </c>
      <c r="AA765" s="18" t="str" cm="1">
        <f t="array" ref="AA765">IF(P765="", "", _xlfn.XLOOKUP(P765,#REF!,#REF!,NA,0,-1))</f>
        <v/>
      </c>
      <c r="AB765" s="53"/>
      <c r="AC765" s="55" t="str">
        <f>IF(Table26[[#This Row],[customerSKU]]="","",_xlfn.XLOOKUP(Table26[[#This Row],[customerSKU]],customerSKU!G:G,customerSKU!C:C,"",0,1))</f>
        <v/>
      </c>
      <c r="AD765" s="55" t="str">
        <f>IF($AC765="","",_xlfn.XLOOKUP($AC765,'[2]Client Info'!$C$2:$C$2535,'[2]Client Info'!$D$2:$D$2535,"",0,1))</f>
        <v/>
      </c>
      <c r="AE765" s="55" t="str">
        <f>IF($AC765="","",_xlfn.XLOOKUP($AC765,'[2]Client Info'!$C$2:$C$2715,'[2]Client Info'!$E$2:$E$2715,"",))</f>
        <v/>
      </c>
      <c r="AF765" s="55" t="str">
        <f>IF($AC765="","",_xlfn.XLOOKUP($AC765,'[2]Client Info'!$C$2:$C$2715,'[2]Client Info'!$F$2:$F$2715,"",0,1))</f>
        <v/>
      </c>
      <c r="AG765" s="55" t="str">
        <f>IF(ISBLANK(Table26[[#This Row],[customerSKU]]),"",_xlfn.XLOOKUP(Table26[[#This Row],[customerSKU]],Table27[customer_SKU],Table27[billto],"",0,1))</f>
        <v/>
      </c>
      <c r="AH765" s="62" t="str">
        <f>_xlfn.XLOOKUP(Table26[[#This Row],[customerSKU]],customerSKU!G:G,customerSKU!K:K,"NA",0,1)</f>
        <v>NA</v>
      </c>
      <c r="AI765" s="43" t="str">
        <f>_xlfn.XLOOKUP(Table26[[#This Row],[customerSKU]],customerSKU!G:G,customerSKU!O:O,"not found",0,1)</f>
        <v>not found</v>
      </c>
      <c r="AJ765" s="53" t="e">
        <f>Table26[[#This Row],[unitprice]]*Table26[[#This Row],[quantity_unit]]</f>
        <v>#VALUE!</v>
      </c>
      <c r="AK765" s="53" t="e" cm="1">
        <f t="array" ref="AK7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6" spans="1:37" ht="24.6" customHeight="1">
      <c r="A766" s="42">
        <v>1484</v>
      </c>
      <c r="B766" s="58" t="s">
        <v>3520</v>
      </c>
      <c r="C766" s="53" t="s">
        <v>203</v>
      </c>
      <c r="D766" s="51"/>
      <c r="E766" s="51"/>
      <c r="F766" s="53"/>
      <c r="G766" s="46"/>
      <c r="H766" s="53"/>
      <c r="I766" s="53"/>
      <c r="J766" s="90" t="str">
        <f>IF(Table26[[#This Row],[customerSKU]]="","",_xlfn.XLOOKUP(Table26[[#This Row],[customerSKU]],customerSKU!G:G,customerSKU!A:A,"",0,1))</f>
        <v/>
      </c>
      <c r="K766" s="48">
        <v>45638</v>
      </c>
      <c r="L766" s="49" t="s">
        <v>201</v>
      </c>
      <c r="M766" s="53"/>
      <c r="N766" s="77" t="str">
        <f>Table26[[#This Row],[po_number]]&amp;"-"&amp;Table26[[#This Row],[po_line]]</f>
        <v>-1</v>
      </c>
      <c r="O766" s="77">
        <v>1</v>
      </c>
      <c r="P766" s="50"/>
      <c r="Q766" s="24" t="s">
        <v>1172</v>
      </c>
      <c r="R766" s="53" t="s">
        <v>532</v>
      </c>
      <c r="S766" s="53" t="str">
        <f>IF(Table26[[#This Row],[customerSKU]]="","",_xlfn.XLOOKUP(Table26[[#This Row],[customerSKU]],customerSKU!G:G,customerSKU!N:N,"NOT FOUND",0,1))</f>
        <v>NOT FOUND</v>
      </c>
      <c r="T766" s="20">
        <v>45588</v>
      </c>
      <c r="U766" s="52">
        <v>48</v>
      </c>
      <c r="V766" s="53" t="str">
        <f>IF(ISBLANK(Table26[[#This Row],[customerSKU]]),"",_xlfn.XLOOKUP(Table26[[#This Row],[customerSKU]],Table27[customer_SKU],Table27[case_size],"",0,1))</f>
        <v/>
      </c>
      <c r="W766" s="116" t="str">
        <f t="shared" si="33"/>
        <v/>
      </c>
      <c r="X766" s="53" t="str">
        <f t="shared" si="34"/>
        <v/>
      </c>
      <c r="Y766" s="53" t="str">
        <f>IF(Table26[[#This Row],[customerSKU]]="","",_xlfn.XLOOKUP(Table26[[#This Row],[customerSKU]],Table27[customer_SKU],Table27[product_GTIN],"",0,1))</f>
        <v/>
      </c>
      <c r="Z766" s="25" t="s">
        <v>3409</v>
      </c>
      <c r="AA766" s="18" t="str" cm="1">
        <f t="array" ref="AA766">IF(P766="", "", _xlfn.XLOOKUP(P766,#REF!,#REF!,NA,0,-1))</f>
        <v/>
      </c>
      <c r="AB766" s="53"/>
      <c r="AC766" s="55" t="s">
        <v>3819</v>
      </c>
      <c r="AD766" s="55" t="str">
        <f>IF($AC766="","",_xlfn.XLOOKUP($AC766,'[2]Client Info'!$C$2:$C$2535,'[2]Client Info'!$D$2:$D$2535,"",0,1))</f>
        <v>20 GRANITE RIDGE RD</v>
      </c>
      <c r="AE766" s="55" t="str">
        <f>IF($AC766="","",_xlfn.XLOOKUP($AC766,'[2]Client Info'!$C$2:$C$2715,'[2]Client Info'!$E$2:$E$2715,"",))</f>
        <v>CONCORD</v>
      </c>
      <c r="AF766" s="55" t="str">
        <f>IF($AC766="","",_xlfn.XLOOKUP($AC766,'[2]Client Info'!$C$2:$C$2715,'[2]Client Info'!$F$2:$F$2715,"",0,1))</f>
        <v>ON</v>
      </c>
      <c r="AG766" s="55" t="s">
        <v>3420</v>
      </c>
      <c r="AH766" s="62" t="s">
        <v>3770</v>
      </c>
      <c r="AI766" s="43" t="str">
        <f>_xlfn.XLOOKUP(Table26[[#This Row],[customerSKU]],customerSKU!G:G,customerSKU!O:O,"not found",0,1)</f>
        <v>not found</v>
      </c>
      <c r="AJ766" s="53" t="e">
        <f>Table26[[#This Row],[unitprice]]*Table26[[#This Row],[quantity_unit]]</f>
        <v>#VALUE!</v>
      </c>
      <c r="AK766" s="53" t="e" cm="1">
        <f t="array" ref="AK7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7" spans="1:37" ht="18" customHeight="1">
      <c r="A767" s="42">
        <v>1485</v>
      </c>
      <c r="B767" s="58" t="s">
        <v>3520</v>
      </c>
      <c r="C767" s="53" t="s">
        <v>203</v>
      </c>
      <c r="D767" s="51"/>
      <c r="E767" s="51"/>
      <c r="F767" s="53"/>
      <c r="G767" s="46"/>
      <c r="H767" s="53"/>
      <c r="I767" s="53"/>
      <c r="J767" s="90" t="str">
        <f>IF(Table26[[#This Row],[customerSKU]]="","",_xlfn.XLOOKUP(Table26[[#This Row],[customerSKU]],customerSKU!G:G,customerSKU!A:A,"",0,1))</f>
        <v/>
      </c>
      <c r="K767" s="48">
        <v>45638</v>
      </c>
      <c r="L767" s="49" t="s">
        <v>201</v>
      </c>
      <c r="M767" s="53"/>
      <c r="N767" s="77" t="str">
        <f>Table26[[#This Row],[po_number]]&amp;"-"&amp;Table26[[#This Row],[po_line]]</f>
        <v>-2</v>
      </c>
      <c r="O767" s="77">
        <v>2</v>
      </c>
      <c r="P767" s="50"/>
      <c r="Q767" s="53" t="s">
        <v>3362</v>
      </c>
      <c r="R767" s="53" t="s">
        <v>532</v>
      </c>
      <c r="S767" s="53" t="str">
        <f>IF(Table26[[#This Row],[customerSKU]]="","",_xlfn.XLOOKUP(Table26[[#This Row],[customerSKU]],customerSKU!G:G,customerSKU!N:N,"NOT FOUND",0,1))</f>
        <v>NOT FOUND</v>
      </c>
      <c r="T767" s="51">
        <v>45624</v>
      </c>
      <c r="U767" s="52">
        <v>72</v>
      </c>
      <c r="V767" s="53" t="str">
        <f>IF(ISBLANK(Table26[[#This Row],[customerSKU]]),"",_xlfn.XLOOKUP(Table26[[#This Row],[customerSKU]],Table27[customer_SKU],Table27[case_size],"",0,1))</f>
        <v/>
      </c>
      <c r="W767" s="116" t="str">
        <f t="shared" si="33"/>
        <v/>
      </c>
      <c r="X767" s="53" t="str">
        <f t="shared" si="34"/>
        <v/>
      </c>
      <c r="Y767" s="53" t="str">
        <f>IF(Table26[[#This Row],[customerSKU]]="","",_xlfn.XLOOKUP(Table26[[#This Row],[customerSKU]],Table27[customer_SKU],Table27[product_GTIN],"",0,1))</f>
        <v/>
      </c>
      <c r="Z767" s="25" t="s">
        <v>3363</v>
      </c>
      <c r="AA767" s="18" t="str" cm="1">
        <f t="array" ref="AA767">IF(P767="", "", _xlfn.XLOOKUP(P767,#REF!,#REF!,NA,0,-1))</f>
        <v/>
      </c>
      <c r="AB767" s="53"/>
      <c r="AC767" s="55" t="s">
        <v>3819</v>
      </c>
      <c r="AD767" s="55" t="str">
        <f>IF($AC767="","",_xlfn.XLOOKUP($AC767,'[2]Client Info'!$C$2:$C$2535,'[2]Client Info'!$D$2:$D$2535,"",0,1))</f>
        <v>20 GRANITE RIDGE RD</v>
      </c>
      <c r="AE767" s="55" t="str">
        <f>IF($AC767="","",_xlfn.XLOOKUP($AC767,'[2]Client Info'!$C$2:$C$2715,'[2]Client Info'!$E$2:$E$2715,"",))</f>
        <v>CONCORD</v>
      </c>
      <c r="AF767" s="55" t="str">
        <f>IF($AC767="","",_xlfn.XLOOKUP($AC767,'[2]Client Info'!$C$2:$C$2715,'[2]Client Info'!$F$2:$F$2715,"",0,1))</f>
        <v>ON</v>
      </c>
      <c r="AG767" s="55" t="s">
        <v>3420</v>
      </c>
      <c r="AH767" s="62" t="s">
        <v>3420</v>
      </c>
      <c r="AI767" s="43" t="str">
        <f>_xlfn.XLOOKUP(Table26[[#This Row],[customerSKU]],customerSKU!G:G,customerSKU!O:O,"not found",0,1)</f>
        <v>not found</v>
      </c>
      <c r="AJ767" s="53" t="e">
        <f>Table26[[#This Row],[unitprice]]*Table26[[#This Row],[quantity_unit]]</f>
        <v>#VALUE!</v>
      </c>
      <c r="AK767" s="53" t="e" cm="1">
        <f t="array" ref="AK7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8" spans="1:37" ht="18" customHeight="1">
      <c r="A768" s="42">
        <v>1486</v>
      </c>
      <c r="B768" s="58" t="s">
        <v>3520</v>
      </c>
      <c r="C768" s="53" t="s">
        <v>3539</v>
      </c>
      <c r="D768" s="51"/>
      <c r="E768" s="51"/>
      <c r="F768" s="53"/>
      <c r="G768" s="46"/>
      <c r="H768" s="53"/>
      <c r="I768" s="53"/>
      <c r="J768" s="90" t="str">
        <f>IF(Table26[[#This Row],[customerSKU]]="","",_xlfn.XLOOKUP(Table26[[#This Row],[customerSKU]],customerSKU!G:G,customerSKU!A:A,"",0,1))</f>
        <v/>
      </c>
      <c r="K768" s="48">
        <v>45638</v>
      </c>
      <c r="L768" s="49" t="str">
        <f>IF(Table26[[#This Row],[customerSKU]]="","",_xlfn.XLOOKUP(Table26[[#This Row],[customerSKU]],customerSKU!G:G,customerSKU!B:B,"",0,1))</f>
        <v/>
      </c>
      <c r="M768" s="114"/>
      <c r="N768" s="364" t="str">
        <f>Table26[[#This Row],[po_number]]&amp;"-"&amp;Table26[[#This Row],[po_line]]</f>
        <v>-1</v>
      </c>
      <c r="O768" s="364">
        <v>1</v>
      </c>
      <c r="P768" s="50"/>
      <c r="Q768" s="24" t="s">
        <v>1172</v>
      </c>
      <c r="R768" s="53" t="s">
        <v>532</v>
      </c>
      <c r="S768" s="53" t="str">
        <f>IF(Table26[[#This Row],[customerSKU]]="","",_xlfn.XLOOKUP(Table26[[#This Row],[customerSKU]],customerSKU!G:G,customerSKU!N:N,"NOT FOUND",0,1))</f>
        <v>NOT FOUND</v>
      </c>
      <c r="T768" s="20">
        <v>45588</v>
      </c>
      <c r="U768" s="52">
        <v>48</v>
      </c>
      <c r="V768" s="53" t="str">
        <f>IF(ISBLANK(Table26[[#This Row],[customerSKU]]),"",_xlfn.XLOOKUP(Table26[[#This Row],[customerSKU]],Table27[customer_SKU],Table27[case_size],"",0,1))</f>
        <v/>
      </c>
      <c r="W768" s="116" t="str">
        <f t="shared" si="33"/>
        <v/>
      </c>
      <c r="X768" s="53" t="str">
        <f t="shared" si="34"/>
        <v/>
      </c>
      <c r="Y768" s="53" t="str">
        <f>IF(Table26[[#This Row],[customerSKU]]="","",_xlfn.XLOOKUP(Table26[[#This Row],[customerSKU]],Table27[customer_SKU],Table27[product_GTIN],"",0,1))</f>
        <v/>
      </c>
      <c r="Z768" s="25" t="s">
        <v>3409</v>
      </c>
      <c r="AA768" s="18" t="str" cm="1">
        <f t="array" ref="AA768">IF(P768="", "", _xlfn.XLOOKUP(P768,#REF!,#REF!,NA,0,-1))</f>
        <v/>
      </c>
      <c r="AB768" s="53"/>
      <c r="AC768" s="55" t="str">
        <f>IF(Table26[[#This Row],[customerSKU]]="","",_xlfn.XLOOKUP(Table26[[#This Row],[customerSKU]],customerSKU!G:G,customerSKU!C:C,"",0,1))</f>
        <v/>
      </c>
      <c r="AD768" s="55" t="str">
        <f>IF($AC768="","",_xlfn.XLOOKUP($AC768,'Client Info'!$C$2:$C$2497,'Client Info'!$D$2:$D$2497,"",0,1))</f>
        <v/>
      </c>
      <c r="AE768" s="55" t="str">
        <f>IF($AC768="","",_xlfn.XLOOKUP($AC768,'Client Info'!$C$2:$C$2677,'Client Info'!$E$2:$E$2677,"",))</f>
        <v/>
      </c>
      <c r="AF768" s="55" t="str">
        <f>IF($AC768="","",_xlfn.XLOOKUP($AC768,'Client Info'!$C$2:$C$2677,'Client Info'!$F$2:$F$2677,"",0,1))</f>
        <v/>
      </c>
      <c r="AG768" s="55" t="str">
        <f>IF(ISBLANK(Table26[[#This Row],[customerSKU]]),"",_xlfn.XLOOKUP(Table26[[#This Row],[customerSKU]],Table27[customer_SKU],Table27[billto],"",0,1))</f>
        <v/>
      </c>
      <c r="AH768" s="62" t="str">
        <f>_xlfn.XLOOKUP(Table26[[#This Row],[customerSKU]],customerSKU!G:G,customerSKU!K:K,"NA",0,1)</f>
        <v>NA</v>
      </c>
      <c r="AI768" s="43" t="str">
        <f>_xlfn.XLOOKUP(Table26[[#This Row],[customerSKU]],customerSKU!G:G,customerSKU!O:O,"not found",0,1)</f>
        <v>not found</v>
      </c>
      <c r="AJ768" s="53" t="e">
        <f>Table26[[#This Row],[unitprice]]*Table26[[#This Row],[quantity_unit]]</f>
        <v>#VALUE!</v>
      </c>
      <c r="AK768" s="53" t="e" cm="1">
        <f t="array" ref="AK7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69" spans="1:37" ht="18" customHeight="1">
      <c r="A769" s="42">
        <v>1487</v>
      </c>
      <c r="B769" s="58" t="s">
        <v>3520</v>
      </c>
      <c r="C769" s="53" t="s">
        <v>3539</v>
      </c>
      <c r="D769" s="51"/>
      <c r="E769" s="51"/>
      <c r="F769" s="53"/>
      <c r="G769" s="46"/>
      <c r="H769" s="53"/>
      <c r="I769" s="53"/>
      <c r="J769" s="90" t="str">
        <f>IF(Table26[[#This Row],[customerSKU]]="","",_xlfn.XLOOKUP(Table26[[#This Row],[customerSKU]],customerSKU!G:G,customerSKU!A:A,"",0,1))</f>
        <v/>
      </c>
      <c r="K769" s="48">
        <v>45638</v>
      </c>
      <c r="L769" s="49" t="str">
        <f>IF(Table26[[#This Row],[customerSKU]]="","",_xlfn.XLOOKUP(Table26[[#This Row],[customerSKU]],customerSKU!G:G,customerSKU!B:B,"",0,1))</f>
        <v/>
      </c>
      <c r="M769" s="114"/>
      <c r="N769" s="364" t="str">
        <f>Table26[[#This Row],[po_number]]&amp;"-"&amp;Table26[[#This Row],[po_line]]</f>
        <v>-2</v>
      </c>
      <c r="O769" s="364">
        <v>2</v>
      </c>
      <c r="P769" s="50"/>
      <c r="Q769" s="53" t="s">
        <v>3362</v>
      </c>
      <c r="R769" s="53" t="s">
        <v>532</v>
      </c>
      <c r="S769" s="53" t="str">
        <f>IF(Table26[[#This Row],[customerSKU]]="","",_xlfn.XLOOKUP(Table26[[#This Row],[customerSKU]],customerSKU!G:G,customerSKU!N:N,"NOT FOUND",0,1))</f>
        <v>NOT FOUND</v>
      </c>
      <c r="T769" s="51">
        <v>45624</v>
      </c>
      <c r="U769" s="52">
        <f>13*12</f>
        <v>156</v>
      </c>
      <c r="V769" s="53" t="str">
        <f>IF(ISBLANK(Table26[[#This Row],[customerSKU]]),"",_xlfn.XLOOKUP(Table26[[#This Row],[customerSKU]],Table27[customer_SKU],Table27[case_size],"",0,1))</f>
        <v/>
      </c>
      <c r="W769" s="116" t="str">
        <f t="shared" si="33"/>
        <v/>
      </c>
      <c r="X769" s="53" t="str">
        <f t="shared" si="34"/>
        <v/>
      </c>
      <c r="Y769" s="53" t="str">
        <f>IF(Table26[[#This Row],[customerSKU]]="","",_xlfn.XLOOKUP(Table26[[#This Row],[customerSKU]],Table27[customer_SKU],Table27[product_GTIN],"",0,1))</f>
        <v/>
      </c>
      <c r="Z769" s="25" t="s">
        <v>3363</v>
      </c>
      <c r="AA769" s="18" t="str" cm="1">
        <f t="array" ref="AA769">IF(P769="", "", _xlfn.XLOOKUP(P769,#REF!,#REF!,NA,0,-1))</f>
        <v/>
      </c>
      <c r="AB769" s="53"/>
      <c r="AC769" s="55" t="str">
        <f>IF(Table26[[#This Row],[customerSKU]]="","",_xlfn.XLOOKUP(Table26[[#This Row],[customerSKU]],customerSKU!G:G,customerSKU!C:C,"",0,1))</f>
        <v/>
      </c>
      <c r="AD769" s="55" t="str">
        <f>IF($AC769="","",_xlfn.XLOOKUP($AC769,'Client Info'!$C$2:$C$2497,'Client Info'!$D$2:$D$2497,"",0,1))</f>
        <v/>
      </c>
      <c r="AE769" s="55" t="str">
        <f>IF($AC769="","",_xlfn.XLOOKUP($AC769,'Client Info'!$C$2:$C$2677,'Client Info'!$E$2:$E$2677,"",))</f>
        <v/>
      </c>
      <c r="AF769" s="55" t="str">
        <f>IF($AC769="","",_xlfn.XLOOKUP($AC769,'Client Info'!$C$2:$C$2677,'Client Info'!$F$2:$F$2677,"",0,1))</f>
        <v/>
      </c>
      <c r="AG769" s="55" t="str">
        <f>IF(ISBLANK(Table26[[#This Row],[customerSKU]]),"",_xlfn.XLOOKUP(Table26[[#This Row],[customerSKU]],Table27[customer_SKU],Table27[billto],"",0,1))</f>
        <v/>
      </c>
      <c r="AH769" s="62" t="str">
        <f>_xlfn.XLOOKUP(Table26[[#This Row],[customerSKU]],customerSKU!G:G,customerSKU!K:K,"NA",0,1)</f>
        <v>NA</v>
      </c>
      <c r="AI769" s="43" t="str">
        <f>_xlfn.XLOOKUP(Table26[[#This Row],[customerSKU]],customerSKU!G:G,customerSKU!O:O,"not found",0,1)</f>
        <v>not found</v>
      </c>
      <c r="AJ769" s="53" t="e">
        <f>Table26[[#This Row],[unitprice]]*Table26[[#This Row],[quantity_unit]]</f>
        <v>#VALUE!</v>
      </c>
      <c r="AK769" s="53" t="e" cm="1">
        <f t="array" ref="AK7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0" spans="1:37" ht="18" customHeight="1">
      <c r="A770" s="42">
        <v>1488</v>
      </c>
      <c r="B770" s="58" t="s">
        <v>3520</v>
      </c>
      <c r="C770" s="53" t="s">
        <v>3360</v>
      </c>
      <c r="D770" s="51"/>
      <c r="E770" s="51"/>
      <c r="F770" s="53"/>
      <c r="G770" s="46"/>
      <c r="H770" s="53"/>
      <c r="I770" s="53"/>
      <c r="J770" s="90" t="str">
        <f>IF(Table26[[#This Row],[customerSKU]]="","",_xlfn.XLOOKUP(Table26[[#This Row],[customerSKU]],customerSKU!G:G,customerSKU!A:A,"",0,1))</f>
        <v/>
      </c>
      <c r="K770" s="48">
        <v>45638</v>
      </c>
      <c r="L770" s="49" t="str">
        <f>IF(Table26[[#This Row],[customerSKU]]="","",_xlfn.XLOOKUP(Table26[[#This Row],[customerSKU]],customerSKU!G:G,customerSKU!B:B,"",0,1))</f>
        <v/>
      </c>
      <c r="M770" s="53"/>
      <c r="N770" s="77" t="str">
        <f>Table26[[#This Row],[po_number]]&amp;"-"&amp;Table26[[#This Row],[po_line]]</f>
        <v>-1</v>
      </c>
      <c r="O770" s="77">
        <v>1</v>
      </c>
      <c r="P770" s="50"/>
      <c r="Q770" s="24" t="s">
        <v>1172</v>
      </c>
      <c r="R770" s="53" t="s">
        <v>532</v>
      </c>
      <c r="S770" s="53" t="str">
        <f>IF(Table26[[#This Row],[customerSKU]]="","",_xlfn.XLOOKUP(Table26[[#This Row],[customerSKU]],customerSKU!G:G,customerSKU!N:N,"NOT FOUND",0,1))</f>
        <v>NOT FOUND</v>
      </c>
      <c r="T770" s="20">
        <v>45588</v>
      </c>
      <c r="U770" s="52">
        <v>48</v>
      </c>
      <c r="V770" s="53" t="str">
        <f>IF(ISBLANK(Table26[[#This Row],[customerSKU]]),"",_xlfn.XLOOKUP(Table26[[#This Row],[customerSKU]],Table27[customer_SKU],Table27[case_size],"",0,1))</f>
        <v/>
      </c>
      <c r="W770" s="116" t="str">
        <f t="shared" si="33"/>
        <v/>
      </c>
      <c r="X770" s="53" t="str">
        <f t="shared" si="34"/>
        <v/>
      </c>
      <c r="Y770" s="53" t="str">
        <f>IF(Table26[[#This Row],[customerSKU]]="","",_xlfn.XLOOKUP(Table26[[#This Row],[customerSKU]],Table27[customer_SKU],Table27[product_GTIN],"",0,1))</f>
        <v/>
      </c>
      <c r="Z770" s="25" t="s">
        <v>3409</v>
      </c>
      <c r="AA770" s="18" t="str" cm="1">
        <f t="array" ref="AA770">IF(P770="", "", _xlfn.XLOOKUP(P770,#REF!,#REF!,NA,0,-1))</f>
        <v/>
      </c>
      <c r="AB770" s="53"/>
      <c r="AC770" s="55" t="str">
        <f>IF(Table26[[#This Row],[customerSKU]]="","",_xlfn.XLOOKUP(Table26[[#This Row],[customerSKU]],customerSKU!G:G,customerSKU!C:C,"",0,1))</f>
        <v/>
      </c>
      <c r="AD770" s="55" t="str">
        <f>IF($AC770="","",_xlfn.XLOOKUP($AC770,'[2]Client Info'!$C$2:$C$2535,'[2]Client Info'!$D$2:$D$2535,"",0,1))</f>
        <v/>
      </c>
      <c r="AE770" s="55" t="str">
        <f>IF($AC770="","",_xlfn.XLOOKUP($AC770,'[2]Client Info'!$C$2:$C$2715,'[2]Client Info'!$E$2:$E$2715,"",))</f>
        <v/>
      </c>
      <c r="AF770" s="55" t="str">
        <f>IF($AC770="","",_xlfn.XLOOKUP($AC770,'[2]Client Info'!$C$2:$C$2715,'[2]Client Info'!$F$2:$F$2715,"",0,1))</f>
        <v/>
      </c>
      <c r="AG770" s="55" t="str">
        <f>IF(ISBLANK(Table26[[#This Row],[customerSKU]]),"",_xlfn.XLOOKUP(Table26[[#This Row],[customerSKU]],Table27[customer_SKU],Table27[billto],"",0,1))</f>
        <v/>
      </c>
      <c r="AH770" s="62" t="str">
        <f>_xlfn.XLOOKUP(Table26[[#This Row],[customerSKU]],customerSKU!G:G,customerSKU!K:K,"NA",0,1)</f>
        <v>NA</v>
      </c>
      <c r="AI770" s="43" t="str">
        <f>_xlfn.XLOOKUP(Table26[[#This Row],[customerSKU]],customerSKU!G:G,customerSKU!O:O,"not found",0,1)</f>
        <v>not found</v>
      </c>
      <c r="AJ770" s="53" t="e">
        <f>Table26[[#This Row],[unitprice]]*Table26[[#This Row],[quantity_unit]]</f>
        <v>#VALUE!</v>
      </c>
      <c r="AK770" s="53" t="e" cm="1">
        <f t="array" ref="AK7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1" spans="1:37" ht="18" customHeight="1">
      <c r="A771" s="42">
        <v>1477</v>
      </c>
      <c r="B771" s="249" t="s">
        <v>3520</v>
      </c>
      <c r="C771" s="90" t="s">
        <v>203</v>
      </c>
      <c r="D771" s="235">
        <v>45642</v>
      </c>
      <c r="E771" s="235">
        <v>45642</v>
      </c>
      <c r="F771" s="90"/>
      <c r="G771" s="46"/>
      <c r="H771" s="90"/>
      <c r="I771" s="242" t="s">
        <v>3862</v>
      </c>
      <c r="J771" s="90" t="str">
        <f>IF(Table26[[#This Row],[customerSKU]]="","",_xlfn.XLOOKUP(Table26[[#This Row],[customerSKU]],customerSKU!G:G,customerSKU!A:A,"",0,1))</f>
        <v/>
      </c>
      <c r="K771" s="232">
        <v>45639</v>
      </c>
      <c r="L771" s="233" t="str">
        <f>IF(Table26[[#This Row],[customerSKU]]="","",_xlfn.XLOOKUP(Table26[[#This Row],[customerSKU]],customerSKU!G:G,customerSKU!B:B,"",0,1))</f>
        <v/>
      </c>
      <c r="M771" s="90"/>
      <c r="N771" s="55" t="str">
        <f>Table26[[#This Row],[po_number]]&amp;"-"&amp;Table26[[#This Row],[po_line]]</f>
        <v>-1</v>
      </c>
      <c r="O771" s="55">
        <v>1</v>
      </c>
      <c r="P771" s="234"/>
      <c r="Q771" s="90" t="s">
        <v>4049</v>
      </c>
      <c r="R771" s="90" t="s">
        <v>569</v>
      </c>
      <c r="S771" s="90" t="str">
        <f>IF(Table26[[#This Row],[customerSKU]]="","",_xlfn.XLOOKUP(Table26[[#This Row],[customerSKU]],customerSKU!G:G,customerSKU!N:N,"NOT FOUND",0,1))</f>
        <v>NOT FOUND</v>
      </c>
      <c r="T771" s="20">
        <v>45564</v>
      </c>
      <c r="U771" s="236">
        <v>240</v>
      </c>
      <c r="V771" s="90" t="str">
        <f>IF(ISBLANK(Table26[[#This Row],[customerSKU]]),"",_xlfn.XLOOKUP(Table26[[#This Row],[customerSKU]],Table27[customer_SKU],Table27[case_size],"",0,1))</f>
        <v/>
      </c>
      <c r="W771" s="237" t="str">
        <f t="shared" si="33"/>
        <v/>
      </c>
      <c r="X771" s="90" t="str">
        <f t="shared" si="34"/>
        <v/>
      </c>
      <c r="Y771" s="90" t="str">
        <f>IF(Table26[[#This Row],[customerSKU]]="","",_xlfn.XLOOKUP(Table26[[#This Row],[customerSKU]],Table27[customer_SKU],Table27[product_GTIN],"",0,1))</f>
        <v/>
      </c>
      <c r="Z771" s="272" t="s">
        <v>3457</v>
      </c>
      <c r="AA771" s="18" t="str" cm="1">
        <f t="array" ref="AA771">IF(P771="", "", _xlfn.XLOOKUP(P771,#REF!,#REF!,NA,0,-1))</f>
        <v/>
      </c>
      <c r="AB771" s="90"/>
      <c r="AC771" s="55" t="str">
        <f>IF(Table26[[#This Row],[customerSKU]]="","",_xlfn.XLOOKUP(Table26[[#This Row],[customerSKU]],customerSKU!G:G,customerSKU!C:C,"",0,1))</f>
        <v/>
      </c>
      <c r="AD771" s="55" t="str">
        <f>IF($AC771="","",_xlfn.XLOOKUP($AC771,'[2]Client Info'!$C$2:$C$2535,'[2]Client Info'!$D$2:$D$2535,"",0,1))</f>
        <v/>
      </c>
      <c r="AE771" s="55" t="str">
        <f>IF($AC771="","",_xlfn.XLOOKUP($AC771,'[2]Client Info'!$C$2:$C$2715,'[2]Client Info'!$E$2:$E$2715,"",))</f>
        <v/>
      </c>
      <c r="AF771" s="55" t="str">
        <f>IF($AC771="","",_xlfn.XLOOKUP($AC771,'[2]Client Info'!$C$2:$C$2715,'[2]Client Info'!$F$2:$F$2715,"",0,1))</f>
        <v/>
      </c>
      <c r="AG771" s="55" t="str">
        <f>IF(ISBLANK(Table26[[#This Row],[customerSKU]]),"",_xlfn.XLOOKUP(Table26[[#This Row],[customerSKU]],Table27[customer_SKU],Table27[billto],"",0,1))</f>
        <v/>
      </c>
      <c r="AH771" s="245" t="str">
        <f>_xlfn.XLOOKUP(Table26[[#This Row],[customerSKU]],customerSKU!G:G,customerSKU!K:K,"NA",0,1)</f>
        <v>NA</v>
      </c>
      <c r="AI771" s="43" t="str">
        <f>_xlfn.XLOOKUP(Table26[[#This Row],[customerSKU]],customerSKU!G:G,customerSKU!O:O,"not found",0,1)</f>
        <v>not found</v>
      </c>
      <c r="AJ771" s="53" t="e">
        <f>Table26[[#This Row],[unitprice]]*Table26[[#This Row],[quantity_unit]]</f>
        <v>#VALUE!</v>
      </c>
      <c r="AK771" s="53" t="e" cm="1">
        <f t="array" ref="AK7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2" spans="1:37" ht="18" customHeight="1">
      <c r="A772" s="42">
        <v>1478</v>
      </c>
      <c r="B772" s="249" t="s">
        <v>3520</v>
      </c>
      <c r="C772" s="90" t="s">
        <v>203</v>
      </c>
      <c r="D772" s="235">
        <v>45642</v>
      </c>
      <c r="E772" s="235">
        <v>45642</v>
      </c>
      <c r="F772" s="90"/>
      <c r="G772" s="46"/>
      <c r="H772" s="90"/>
      <c r="I772" s="242" t="s">
        <v>3862</v>
      </c>
      <c r="J772" s="90" t="str">
        <f>IF(Table26[[#This Row],[customerSKU]]="","",_xlfn.XLOOKUP(Table26[[#This Row],[customerSKU]],customerSKU!G:G,customerSKU!A:A,"",0,1))</f>
        <v/>
      </c>
      <c r="K772" s="232">
        <v>45639</v>
      </c>
      <c r="L772" s="233" t="str">
        <f>IF(Table26[[#This Row],[customerSKU]]="","",_xlfn.XLOOKUP(Table26[[#This Row],[customerSKU]],customerSKU!G:G,customerSKU!B:B,"",0,1))</f>
        <v/>
      </c>
      <c r="M772" s="90"/>
      <c r="N772" s="55" t="str">
        <f>Table26[[#This Row],[po_number]]&amp;"-"&amp;Table26[[#This Row],[po_line]]</f>
        <v>-2</v>
      </c>
      <c r="O772" s="55">
        <v>2</v>
      </c>
      <c r="P772" s="234"/>
      <c r="Q772" s="90" t="s">
        <v>3796</v>
      </c>
      <c r="R772" s="90" t="s">
        <v>569</v>
      </c>
      <c r="S772" s="90" t="str">
        <f>IF(Table26[[#This Row],[customerSKU]]="","",_xlfn.XLOOKUP(Table26[[#This Row],[customerSKU]],customerSKU!G:G,customerSKU!N:N,"NOT FOUND",0,1))</f>
        <v>NOT FOUND</v>
      </c>
      <c r="T772" s="20">
        <v>45626</v>
      </c>
      <c r="U772" s="236">
        <v>240</v>
      </c>
      <c r="V772" s="90" t="str">
        <f>IF(ISBLANK(Table26[[#This Row],[customerSKU]]),"",_xlfn.XLOOKUP(Table26[[#This Row],[customerSKU]],Table27[customer_SKU],Table27[case_size],"",0,1))</f>
        <v/>
      </c>
      <c r="W772" s="237" t="str">
        <f t="shared" si="33"/>
        <v/>
      </c>
      <c r="X772" s="90" t="str">
        <f t="shared" si="34"/>
        <v/>
      </c>
      <c r="Y772" s="90" t="str">
        <f>IF(Table26[[#This Row],[customerSKU]]="","",_xlfn.XLOOKUP(Table26[[#This Row],[customerSKU]],Table27[customer_SKU],Table27[product_GTIN],"",0,1))</f>
        <v/>
      </c>
      <c r="Z772" s="272" t="s">
        <v>4050</v>
      </c>
      <c r="AA772" s="18" t="str" cm="1">
        <f t="array" ref="AA772">IF(P772="", "", _xlfn.XLOOKUP(P772,#REF!,#REF!,NA,0,-1))</f>
        <v/>
      </c>
      <c r="AB772" s="90"/>
      <c r="AC772" s="55" t="str">
        <f>IF(Table26[[#This Row],[customerSKU]]="","",_xlfn.XLOOKUP(Table26[[#This Row],[customerSKU]],customerSKU!G:G,customerSKU!C:C,"",0,1))</f>
        <v/>
      </c>
      <c r="AD772" s="55" t="str">
        <f>IF($AC772="","",_xlfn.XLOOKUP($AC772,'[2]Client Info'!$C$2:$C$2535,'[2]Client Info'!$D$2:$D$2535,"",0,1))</f>
        <v/>
      </c>
      <c r="AE772" s="55" t="str">
        <f>IF($AC772="","",_xlfn.XLOOKUP($AC772,'[2]Client Info'!$C$2:$C$2715,'[2]Client Info'!$E$2:$E$2715,"",))</f>
        <v/>
      </c>
      <c r="AF772" s="55" t="str">
        <f>IF($AC772="","",_xlfn.XLOOKUP($AC772,'[2]Client Info'!$C$2:$C$2715,'[2]Client Info'!$F$2:$F$2715,"",0,1))</f>
        <v/>
      </c>
      <c r="AG772" s="55" t="str">
        <f>IF(ISBLANK(Table26[[#This Row],[customerSKU]]),"",_xlfn.XLOOKUP(Table26[[#This Row],[customerSKU]],Table27[customer_SKU],Table27[billto],"",0,1))</f>
        <v/>
      </c>
      <c r="AH772" s="245" t="str">
        <f>_xlfn.XLOOKUP(Table26[[#This Row],[customerSKU]],customerSKU!G:G,customerSKU!K:K,"NA",0,1)</f>
        <v>NA</v>
      </c>
      <c r="AI772" s="43" t="str">
        <f>_xlfn.XLOOKUP(Table26[[#This Row],[customerSKU]],customerSKU!G:G,customerSKU!O:O,"not found",0,1)</f>
        <v>not found</v>
      </c>
      <c r="AJ772" s="53" t="e">
        <f>Table26[[#This Row],[unitprice]]*Table26[[#This Row],[quantity_unit]]</f>
        <v>#VALUE!</v>
      </c>
      <c r="AK772" s="53" t="e" cm="1">
        <f t="array" ref="AK7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3" spans="1:37" ht="18" customHeight="1">
      <c r="A773" s="42">
        <v>1479</v>
      </c>
      <c r="B773" s="58" t="s">
        <v>3520</v>
      </c>
      <c r="C773" s="53" t="s">
        <v>3360</v>
      </c>
      <c r="D773" s="51"/>
      <c r="E773" s="51"/>
      <c r="F77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73" s="46"/>
      <c r="H773" s="53"/>
      <c r="I773" s="53"/>
      <c r="J773" s="90" t="str">
        <f>IF(Table26[[#This Row],[customerSKU]]="","",_xlfn.XLOOKUP(Table26[[#This Row],[customerSKU]],customerSKU!G:G,customerSKU!A:A,"",0,1))</f>
        <v/>
      </c>
      <c r="K773" s="48">
        <v>45639</v>
      </c>
      <c r="L773" s="49" t="str">
        <f>IF(Table26[[#This Row],[customerSKU]]="","",_xlfn.XLOOKUP(Table26[[#This Row],[customerSKU]],customerSKU!G:G,customerSKU!B:B,"",0,1))</f>
        <v/>
      </c>
      <c r="M773" s="53"/>
      <c r="N773" s="77" t="str">
        <f>Table26[[#This Row],[po_number]]&amp;"-"&amp;Table26[[#This Row],[po_line]]</f>
        <v>-1</v>
      </c>
      <c r="O773" s="77">
        <v>1</v>
      </c>
      <c r="P773" s="50"/>
      <c r="Q773" s="53"/>
      <c r="R773" s="53"/>
      <c r="S773" s="53" t="str">
        <f>IF(Table26[[#This Row],[customerSKU]]="","",_xlfn.XLOOKUP(Table26[[#This Row],[customerSKU]],customerSKU!G:G,customerSKU!N:N,"NOT FOUND",0,1))</f>
        <v>NOT FOUND</v>
      </c>
      <c r="T773" s="20"/>
      <c r="U773" s="52">
        <v>24</v>
      </c>
      <c r="V773" s="53" t="str">
        <f>IF(ISBLANK(Table26[[#This Row],[customerSKU]]),"",_xlfn.XLOOKUP(Table26[[#This Row],[customerSKU]],Table27[customer_SKU],Table27[case_size],"",0,1))</f>
        <v/>
      </c>
      <c r="W773" s="116" t="str">
        <f t="shared" si="33"/>
        <v/>
      </c>
      <c r="X773" s="53" t="str">
        <f t="shared" si="34"/>
        <v/>
      </c>
      <c r="Y773" s="53" t="str">
        <f>IF(Table26[[#This Row],[customerSKU]]="","",_xlfn.XLOOKUP(Table26[[#This Row],[customerSKU]],Table27[customer_SKU],Table27[product_GTIN],"",0,1))</f>
        <v/>
      </c>
      <c r="Z773" s="25" t="s">
        <v>3455</v>
      </c>
      <c r="AA773" s="18" t="str" cm="1">
        <f t="array" ref="AA773">IF(P773="", "", _xlfn.XLOOKUP(P773,#REF!,#REF!,NA,0,-1))</f>
        <v/>
      </c>
      <c r="AB773" s="53"/>
      <c r="AC773" s="55" t="str">
        <f>IF(Table26[[#This Row],[customerSKU]]="","",_xlfn.XLOOKUP(Table26[[#This Row],[customerSKU]],customerSKU!G:G,customerSKU!C:C,"",0,1))</f>
        <v/>
      </c>
      <c r="AD773" s="55" t="str">
        <f>IF($AC773="","",_xlfn.XLOOKUP($AC773,'[2]Client Info'!$C$2:$C$2535,'[2]Client Info'!$D$2:$D$2535,"",0,1))</f>
        <v/>
      </c>
      <c r="AE773" s="55" t="str">
        <f>IF($AC773="","",_xlfn.XLOOKUP($AC773,'[2]Client Info'!$C$2:$C$2715,'[2]Client Info'!$E$2:$E$2715,"",))</f>
        <v/>
      </c>
      <c r="AF773" s="55" t="str">
        <f>IF($AC773="","",_xlfn.XLOOKUP($AC773,'[2]Client Info'!$C$2:$C$2715,'[2]Client Info'!$F$2:$F$2715,"",0,1))</f>
        <v/>
      </c>
      <c r="AG773" s="55" t="str">
        <f>IF(ISBLANK(Table26[[#This Row],[customerSKU]]),"",_xlfn.XLOOKUP(Table26[[#This Row],[customerSKU]],Table27[customer_SKU],Table27[billto],"",0,1))</f>
        <v/>
      </c>
      <c r="AH773" s="62" t="str">
        <f>_xlfn.XLOOKUP(Table26[[#This Row],[customerSKU]],customerSKU!G:G,customerSKU!K:K,"NA",0,1)</f>
        <v>NA</v>
      </c>
      <c r="AI773" s="43" t="str">
        <f>_xlfn.XLOOKUP(Table26[[#This Row],[customerSKU]],customerSKU!G:G,customerSKU!O:O,"not found",0,1)</f>
        <v>not found</v>
      </c>
      <c r="AJ773" s="53" t="e">
        <f>Table26[[#This Row],[unitprice]]*Table26[[#This Row],[quantity_unit]]</f>
        <v>#VALUE!</v>
      </c>
      <c r="AK773" s="53" t="e" cm="1">
        <f t="array" ref="AK7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4" spans="1:37" ht="18" customHeight="1">
      <c r="A774" s="42">
        <v>1459</v>
      </c>
      <c r="B774" s="58" t="s">
        <v>3520</v>
      </c>
      <c r="C774" s="53" t="s">
        <v>203</v>
      </c>
      <c r="D774" s="51" t="str">
        <f>IF(Table26[[#This Row],[customerSKU]]="","","null")</f>
        <v>null</v>
      </c>
      <c r="E774" s="51"/>
      <c r="F77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74" s="46"/>
      <c r="H774" s="53"/>
      <c r="I774" s="53" t="s">
        <v>3818</v>
      </c>
      <c r="J774" s="53" t="str">
        <f>IF(Table26[[#This Row],[customerSKU]]="","",_xlfn.XLOOKUP(Table26[[#This Row],[customerSKU]],customerSKU!G:G,customerSKU!A:A,"",0,1))</f>
        <v/>
      </c>
      <c r="K774" s="48">
        <v>45643</v>
      </c>
      <c r="L774" s="49" t="str">
        <f>IF(Table26[[#This Row],[customerSKU]]="","",_xlfn.XLOOKUP(Table26[[#This Row],[customerSKU]],customerSKU!G:G,customerSKU!B:B,"",0,1))</f>
        <v/>
      </c>
      <c r="M774" s="53"/>
      <c r="N774" s="77" t="str">
        <f>Table26[[#This Row],[po_number]]&amp;"-"&amp;Table26[[#This Row],[po_line]]</f>
        <v>-1</v>
      </c>
      <c r="O774" s="77">
        <v>1</v>
      </c>
      <c r="P774" s="50"/>
      <c r="Q774" s="53" t="s">
        <v>3840</v>
      </c>
      <c r="R774" s="53" t="s">
        <v>569</v>
      </c>
      <c r="S774" s="53" t="str">
        <f>IF(Table26[[#This Row],[customerSKU]]="","",_xlfn.XLOOKUP(Table26[[#This Row],[customerSKU]],customerSKU!G:G,customerSKU!N:N,"NOT FOUND",0,1))</f>
        <v>NOT FOUND</v>
      </c>
      <c r="T774" s="20">
        <v>45623</v>
      </c>
      <c r="U774" s="52">
        <v>1200</v>
      </c>
      <c r="V774" s="53" t="str">
        <f>IF(ISBLANK(Table26[[#This Row],[customerSKU]]),"",_xlfn.XLOOKUP(Table26[[#This Row],[customerSKU]],Table27[customer_SKU],Table27[case_size],"",0,1))</f>
        <v/>
      </c>
      <c r="W774" s="116" t="str">
        <f t="shared" si="33"/>
        <v/>
      </c>
      <c r="X774" s="53" t="str">
        <f>IFERROR($AA769*$U769, "")</f>
        <v/>
      </c>
      <c r="Y774" s="53" t="str">
        <f>IF(Table26[[#This Row],[customerSKU]]="","",_xlfn.XLOOKUP(Table26[[#This Row],[customerSKU]],Table27[customer_SKU],Table27[product_GTIN],"",0,1))</f>
        <v/>
      </c>
      <c r="Z774" s="60" t="s">
        <v>3841</v>
      </c>
      <c r="AA774" s="18" t="str" cm="1">
        <f t="array" ref="AA774">IF(P774="", "", _xlfn.XLOOKUP(P774,#REF!,#REF!,NA,0,-1))</f>
        <v/>
      </c>
      <c r="AB774" s="53"/>
      <c r="AC774" s="55" t="s">
        <v>2362</v>
      </c>
      <c r="AD774" s="55" t="str">
        <f>IF($AC774="","",_xlfn.XLOOKUP($AC774,'[2]Client Info'!$C$2:$C$2535,'[2]Client Info'!$D$2:$D$2535,"",0,1))</f>
        <v>12622-184 Street NW</v>
      </c>
      <c r="AE774" s="55" t="str">
        <f>IF($AC774="","",_xlfn.XLOOKUP($AC774,'[2]Client Info'!$C$2:$C$2715,'[2]Client Info'!$E$2:$E$2715,"",))</f>
        <v>Edmonton</v>
      </c>
      <c r="AF774" s="55" t="str">
        <f>IF($AC774="","",_xlfn.XLOOKUP($AC774,'[2]Client Info'!$C$2:$C$2715,'[2]Client Info'!$F$2:$F$2715,"",0,1))</f>
        <v>AB</v>
      </c>
      <c r="AG774" s="55" t="str">
        <f>IF(ISBLANK(Table26[[#This Row],[customerSKU]]),"",_xlfn.XLOOKUP(Table26[[#This Row],[customerSKU]],Table27[customer_SKU],Table27[billto],"",0,1))</f>
        <v/>
      </c>
      <c r="AH774" s="62" t="str">
        <f>_xlfn.XLOOKUP(Table26[[#This Row],[customerSKU]],customerSKU!G:G,customerSKU!K:K,"NA",0,1)</f>
        <v>NA</v>
      </c>
      <c r="AI774" s="43" t="str">
        <f>_xlfn.XLOOKUP(Table26[[#This Row],[customerSKU]],customerSKU!G:G,customerSKU!O:O,"not found",0,1)</f>
        <v>not found</v>
      </c>
      <c r="AJ774" s="53" t="e">
        <f>Table26[[#This Row],[unitprice]]*Table26[[#This Row],[quantity_unit]]</f>
        <v>#VALUE!</v>
      </c>
      <c r="AK774" s="53" t="e" cm="1">
        <f t="array" ref="AK7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5" spans="1:37" ht="18" customHeight="1">
      <c r="A775" s="42">
        <v>1460</v>
      </c>
      <c r="B775" s="58" t="s">
        <v>3520</v>
      </c>
      <c r="C775" s="53" t="s">
        <v>203</v>
      </c>
      <c r="D775" s="51" t="str">
        <f>IF(Table26[[#This Row],[customerSKU]]="","","null")</f>
        <v>null</v>
      </c>
      <c r="E775" s="51"/>
      <c r="F775" s="53"/>
      <c r="G775" s="46"/>
      <c r="H775" s="53"/>
      <c r="I775" s="53" t="s">
        <v>3818</v>
      </c>
      <c r="J775" s="53" t="str">
        <f>IF(Table26[[#This Row],[customerSKU]]="","",_xlfn.XLOOKUP(Table26[[#This Row],[customerSKU]],customerSKU!G:G,customerSKU!A:A,"",0,1))</f>
        <v/>
      </c>
      <c r="K775" s="48">
        <v>45643</v>
      </c>
      <c r="L775" s="49" t="str">
        <f>IF(Table26[[#This Row],[customerSKU]]="","",_xlfn.XLOOKUP(Table26[[#This Row],[customerSKU]],customerSKU!G:G,customerSKU!B:B,"",0,1))</f>
        <v/>
      </c>
      <c r="M775" s="53"/>
      <c r="N775" s="77" t="str">
        <f>Table26[[#This Row],[po_number]]&amp;"-"&amp;Table26[[#This Row],[po_line]]</f>
        <v>-2</v>
      </c>
      <c r="O775" s="77">
        <v>2</v>
      </c>
      <c r="P775" s="50"/>
      <c r="Q775" s="53" t="s">
        <v>3842</v>
      </c>
      <c r="R775" s="53" t="s">
        <v>569</v>
      </c>
      <c r="S775" s="53" t="str">
        <f>IF(Table26[[#This Row],[customerSKU]]="","",_xlfn.XLOOKUP(Table26[[#This Row],[customerSKU]],customerSKU!G:G,customerSKU!N:N,"NOT FOUND",0,1))</f>
        <v>NOT FOUND</v>
      </c>
      <c r="T775" s="20">
        <v>45623</v>
      </c>
      <c r="U775" s="52">
        <v>1200</v>
      </c>
      <c r="V775" s="53" t="str">
        <f>IF(ISBLANK(Table26[[#This Row],[customerSKU]]),"",_xlfn.XLOOKUP(Table26[[#This Row],[customerSKU]],Table27[customer_SKU],Table27[case_size],"",0,1))</f>
        <v/>
      </c>
      <c r="W775" s="116" t="str">
        <f t="shared" si="33"/>
        <v/>
      </c>
      <c r="X775" s="53" t="str">
        <f>IFERROR($AA770*$U770, "")</f>
        <v/>
      </c>
      <c r="Y775" s="53" t="str">
        <f>IF(Table26[[#This Row],[customerSKU]]="","",_xlfn.XLOOKUP(Table26[[#This Row],[customerSKU]],Table27[customer_SKU],Table27[product_GTIN],"",0,1))</f>
        <v/>
      </c>
      <c r="Z775" s="60" t="s">
        <v>3459</v>
      </c>
      <c r="AA775" s="18" t="str" cm="1">
        <f t="array" ref="AA775">IF(P775="", "", _xlfn.XLOOKUP(P775,#REF!,#REF!,NA,0,-1))</f>
        <v/>
      </c>
      <c r="AB775" s="53"/>
      <c r="AC775" s="55" t="s">
        <v>2362</v>
      </c>
      <c r="AD775" s="55" t="str">
        <f>IF($AC775="","",_xlfn.XLOOKUP($AC775,'[2]Client Info'!$C$2:$C$2535,'[2]Client Info'!$D$2:$D$2535,"",0,1))</f>
        <v>12622-184 Street NW</v>
      </c>
      <c r="AE775" s="55" t="str">
        <f>IF($AC775="","",_xlfn.XLOOKUP($AC775,'[2]Client Info'!$C$2:$C$2715,'[2]Client Info'!$E$2:$E$2715,"",))</f>
        <v>Edmonton</v>
      </c>
      <c r="AF775" s="55" t="str">
        <f>IF($AC775="","",_xlfn.XLOOKUP($AC775,'[2]Client Info'!$C$2:$C$2715,'[2]Client Info'!$F$2:$F$2715,"",0,1))</f>
        <v>AB</v>
      </c>
      <c r="AG775" s="55" t="str">
        <f>IF(ISBLANK(Table26[[#This Row],[customerSKU]]),"",_xlfn.XLOOKUP(Table26[[#This Row],[customerSKU]],Table27[customer_SKU],Table27[billto],"",0,1))</f>
        <v/>
      </c>
      <c r="AH775" s="62" t="str">
        <f>_xlfn.XLOOKUP(Table26[[#This Row],[customerSKU]],customerSKU!G:G,customerSKU!K:K,"NA",0,1)</f>
        <v>NA</v>
      </c>
      <c r="AI775" s="43" t="str">
        <f>_xlfn.XLOOKUP(Table26[[#This Row],[customerSKU]],customerSKU!G:G,customerSKU!O:O,"not found",0,1)</f>
        <v>not found</v>
      </c>
      <c r="AJ775" s="53" t="e">
        <f>Table26[[#This Row],[unitprice]]*Table26[[#This Row],[quantity_unit]]</f>
        <v>#VALUE!</v>
      </c>
      <c r="AK775" s="53" t="e" cm="1">
        <f t="array" ref="AK7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6" spans="1:37" ht="18" customHeight="1">
      <c r="A776" s="42">
        <v>1461</v>
      </c>
      <c r="B776" s="58" t="s">
        <v>3520</v>
      </c>
      <c r="C776" s="53" t="s">
        <v>203</v>
      </c>
      <c r="D776" s="51"/>
      <c r="E776" s="51"/>
      <c r="F776" s="53"/>
      <c r="G776" s="46"/>
      <c r="H776" s="53"/>
      <c r="I776" s="53"/>
      <c r="J776" s="90" t="str">
        <f>IF(Table26[[#This Row],[customerSKU]]="","",_xlfn.XLOOKUP(Table26[[#This Row],[customerSKU]],customerSKU!G:G,customerSKU!A:A,"",0,1))</f>
        <v/>
      </c>
      <c r="K776" s="48">
        <v>45643</v>
      </c>
      <c r="L776" s="49" t="str">
        <f>IF(Table26[[#This Row],[customerSKU]]="","",_xlfn.XLOOKUP(Table26[[#This Row],[customerSKU]],customerSKU!G:G,customerSKU!B:B,"",0,1))</f>
        <v/>
      </c>
      <c r="M776" s="53"/>
      <c r="N776" s="77" t="str">
        <f>Table26[[#This Row],[po_number]]&amp;"-"&amp;Table26[[#This Row],[po_line]]</f>
        <v>-1</v>
      </c>
      <c r="O776" s="77">
        <v>1</v>
      </c>
      <c r="P776" s="50"/>
      <c r="Q776" s="53" t="s">
        <v>3368</v>
      </c>
      <c r="R776" s="53" t="s">
        <v>3419</v>
      </c>
      <c r="S776" s="53" t="str">
        <f>IF(Table26[[#This Row],[customerSKU]]="","",_xlfn.XLOOKUP(Table26[[#This Row],[customerSKU]],customerSKU!G:G,customerSKU!N:N,"NOT FOUND",0,1))</f>
        <v>NOT FOUND</v>
      </c>
      <c r="T776" s="51">
        <v>45590</v>
      </c>
      <c r="U776" s="52">
        <v>12</v>
      </c>
      <c r="V776" s="53" t="str">
        <f>IF(ISBLANK(Table26[[#This Row],[customerSKU]]),"",_xlfn.XLOOKUP(Table26[[#This Row],[customerSKU]],Table27[customer_SKU],Table27[case_size],"",0,1))</f>
        <v/>
      </c>
      <c r="W776" s="116" t="str">
        <f t="shared" si="33"/>
        <v/>
      </c>
      <c r="X776" s="53" t="str">
        <f t="shared" ref="X776:X807" si="35">IFERROR($AA776*$U776, "")</f>
        <v/>
      </c>
      <c r="Y776" s="53" t="str">
        <f>IF(Table26[[#This Row],[customerSKU]]="","",_xlfn.XLOOKUP(Table26[[#This Row],[customerSKU]],Table27[customer_SKU],Table27[product_GTIN],"",0,1))</f>
        <v/>
      </c>
      <c r="Z776" s="90">
        <v>110184</v>
      </c>
      <c r="AA776" s="18" t="str" cm="1">
        <f t="array" ref="AA776">IF(P776="", "", _xlfn.XLOOKUP(P776,#REF!,#REF!,NA,0,-1))</f>
        <v/>
      </c>
      <c r="AB776" s="53"/>
      <c r="AC776" s="55" t="s">
        <v>137</v>
      </c>
      <c r="AD776" s="55" t="str">
        <f>IF($AC776="","",_xlfn.XLOOKUP($AC776,'[2]Client Info'!$C$2:$C$2535,'[2]Client Info'!$D$2:$D$2535,"",0,1))</f>
        <v>20 GRANITE RIDGE RD</v>
      </c>
      <c r="AE776" s="55" t="str">
        <f>IF($AC776="","",_xlfn.XLOOKUP($AC776,'[2]Client Info'!$C$2:$C$2715,'[2]Client Info'!$E$2:$E$2715,"",))</f>
        <v>CONCORD</v>
      </c>
      <c r="AF776" s="55" t="str">
        <f>IF($AC776="","",_xlfn.XLOOKUP($AC776,'[2]Client Info'!$C$2:$C$2715,'[2]Client Info'!$F$2:$F$2715,"",0,1))</f>
        <v>ON</v>
      </c>
      <c r="AG776" s="55" t="s">
        <v>3344</v>
      </c>
      <c r="AH776" s="62" t="str">
        <f>_xlfn.XLOOKUP(Table26[[#This Row],[customerSKU]],customerSKU!G:G,customerSKU!K:K,"NA",0,1)</f>
        <v>NA</v>
      </c>
      <c r="AI776" s="43" t="str">
        <f>_xlfn.XLOOKUP(Table26[[#This Row],[customerSKU]],customerSKU!G:G,customerSKU!O:O,"not found",0,1)</f>
        <v>not found</v>
      </c>
      <c r="AJ776" s="53" t="e">
        <f>Table26[[#This Row],[unitprice]]*Table26[[#This Row],[quantity_unit]]</f>
        <v>#VALUE!</v>
      </c>
      <c r="AK776" s="53" t="e" cm="1">
        <f t="array" ref="AK7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7" spans="1:37" ht="18" customHeight="1">
      <c r="A777" s="42">
        <v>1462</v>
      </c>
      <c r="B777" s="58" t="s">
        <v>3520</v>
      </c>
      <c r="C777" s="53" t="s">
        <v>203</v>
      </c>
      <c r="D777" s="51"/>
      <c r="E777" s="51"/>
      <c r="F777" s="53"/>
      <c r="G777" s="46"/>
      <c r="H777" s="53"/>
      <c r="I777" s="53"/>
      <c r="J777" s="90" t="str">
        <f>IF(Table26[[#This Row],[customerSKU]]="","",_xlfn.XLOOKUP(Table26[[#This Row],[customerSKU]],customerSKU!G:G,customerSKU!A:A,"",0,1))</f>
        <v/>
      </c>
      <c r="K777" s="48">
        <v>45643</v>
      </c>
      <c r="L777" s="49" t="str">
        <f>IF(Table26[[#This Row],[customerSKU]]="","",_xlfn.XLOOKUP(Table26[[#This Row],[customerSKU]],customerSKU!G:G,customerSKU!B:B,"",0,1))</f>
        <v/>
      </c>
      <c r="M777" s="53"/>
      <c r="N777" s="77" t="str">
        <f>Table26[[#This Row],[po_number]]&amp;"-"&amp;Table26[[#This Row],[po_line]]</f>
        <v>-2</v>
      </c>
      <c r="O777" s="77">
        <v>2</v>
      </c>
      <c r="P777" s="50"/>
      <c r="Q777" s="53" t="s">
        <v>630</v>
      </c>
      <c r="R777" s="53" t="s">
        <v>569</v>
      </c>
      <c r="S777" s="53" t="str">
        <f>IF(Table26[[#This Row],[customerSKU]]="","",_xlfn.XLOOKUP(Table26[[#This Row],[customerSKU]],customerSKU!G:G,customerSKU!N:N,"NOT FOUND",0,1))</f>
        <v>NOT FOUND</v>
      </c>
      <c r="T777" s="51">
        <v>45574</v>
      </c>
      <c r="U777" s="52">
        <v>12</v>
      </c>
      <c r="V777" s="53" t="str">
        <f>IF(ISBLANK(Table26[[#This Row],[customerSKU]]),"",_xlfn.XLOOKUP(Table26[[#This Row],[customerSKU]],Table27[customer_SKU],Table27[case_size],"",0,1))</f>
        <v/>
      </c>
      <c r="W777" s="116" t="str">
        <f t="shared" si="33"/>
        <v/>
      </c>
      <c r="X777" s="53" t="str">
        <f t="shared" si="35"/>
        <v/>
      </c>
      <c r="Y777" s="53" t="str">
        <f>IF(Table26[[#This Row],[customerSKU]]="","",_xlfn.XLOOKUP(Table26[[#This Row],[customerSKU]],Table27[customer_SKU],Table27[product_GTIN],"",0,1))</f>
        <v/>
      </c>
      <c r="Z777" s="90">
        <v>110722</v>
      </c>
      <c r="AA777" s="18" t="str" cm="1">
        <f t="array" ref="AA777">IF(P777="", "", _xlfn.XLOOKUP(P777,#REF!,#REF!,NA,0,-1))</f>
        <v/>
      </c>
      <c r="AB777" s="53"/>
      <c r="AC777" s="55" t="s">
        <v>137</v>
      </c>
      <c r="AD777" s="55" t="str">
        <f>IF($AC777="","",_xlfn.XLOOKUP($AC777,'[2]Client Info'!$C$2:$C$2535,'[2]Client Info'!$D$2:$D$2535,"",0,1))</f>
        <v>20 GRANITE RIDGE RD</v>
      </c>
      <c r="AE777" s="55" t="str">
        <f>IF($AC777="","",_xlfn.XLOOKUP($AC777,'[2]Client Info'!$C$2:$C$2715,'[2]Client Info'!$E$2:$E$2715,"",))</f>
        <v>CONCORD</v>
      </c>
      <c r="AF777" s="55" t="str">
        <f>IF($AC777="","",_xlfn.XLOOKUP($AC777,'[2]Client Info'!$C$2:$C$2715,'[2]Client Info'!$F$2:$F$2715,"",0,1))</f>
        <v>ON</v>
      </c>
      <c r="AG777" s="55" t="s">
        <v>3344</v>
      </c>
      <c r="AH777" s="62" t="str">
        <f>_xlfn.XLOOKUP(Table26[[#This Row],[customerSKU]],customerSKU!G:G,customerSKU!K:K,"NA",0,1)</f>
        <v>NA</v>
      </c>
      <c r="AI777" s="43" t="str">
        <f>_xlfn.XLOOKUP(Table26[[#This Row],[customerSKU]],customerSKU!G:G,customerSKU!O:O,"not found",0,1)</f>
        <v>not found</v>
      </c>
      <c r="AJ777" s="53" t="e">
        <f>Table26[[#This Row],[unitprice]]*Table26[[#This Row],[quantity_unit]]</f>
        <v>#VALUE!</v>
      </c>
      <c r="AK777" s="53" t="e" cm="1">
        <f t="array" ref="AK7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8" spans="1:37" ht="18" customHeight="1">
      <c r="A778" s="42">
        <v>1463</v>
      </c>
      <c r="B778" s="58" t="s">
        <v>3520</v>
      </c>
      <c r="C778" s="53" t="s">
        <v>203</v>
      </c>
      <c r="D778" s="51"/>
      <c r="E778" s="51"/>
      <c r="F778" s="53"/>
      <c r="G778" s="46"/>
      <c r="H778" s="53"/>
      <c r="I778" s="53"/>
      <c r="J778" s="90" t="str">
        <f>IF(Table26[[#This Row],[customerSKU]]="","",_xlfn.XLOOKUP(Table26[[#This Row],[customerSKU]],customerSKU!G:G,customerSKU!A:A,"",0,1))</f>
        <v/>
      </c>
      <c r="K778" s="48">
        <v>45643</v>
      </c>
      <c r="L778" s="49" t="str">
        <f>IF(Table26[[#This Row],[customerSKU]]="","",_xlfn.XLOOKUP(Table26[[#This Row],[customerSKU]],customerSKU!G:G,customerSKU!B:B,"",0,1))</f>
        <v/>
      </c>
      <c r="M778" s="53"/>
      <c r="N778" s="77" t="str">
        <f>Table26[[#This Row],[po_number]]&amp;"-"&amp;Table26[[#This Row],[po_line]]</f>
        <v>-1</v>
      </c>
      <c r="O778" s="77">
        <v>1</v>
      </c>
      <c r="P778" s="50"/>
      <c r="Q778" s="53" t="s">
        <v>3368</v>
      </c>
      <c r="R778" s="53" t="s">
        <v>3419</v>
      </c>
      <c r="S778" s="53" t="str">
        <f>IF(Table26[[#This Row],[customerSKU]]="","",_xlfn.XLOOKUP(Table26[[#This Row],[customerSKU]],customerSKU!G:G,customerSKU!N:N,"NOT FOUND",0,1))</f>
        <v>NOT FOUND</v>
      </c>
      <c r="T778" s="51">
        <v>45590</v>
      </c>
      <c r="U778" s="52">
        <v>12</v>
      </c>
      <c r="V778" s="53" t="str">
        <f>IF(ISBLANK(Table26[[#This Row],[customerSKU]]),"",_xlfn.XLOOKUP(Table26[[#This Row],[customerSKU]],Table27[customer_SKU],Table27[case_size],"",0,1))</f>
        <v/>
      </c>
      <c r="W778" s="116" t="str">
        <f t="shared" si="33"/>
        <v/>
      </c>
      <c r="X778" s="53" t="str">
        <f t="shared" si="35"/>
        <v/>
      </c>
      <c r="Y778" s="53" t="str">
        <f>IF(Table26[[#This Row],[customerSKU]]="","",_xlfn.XLOOKUP(Table26[[#This Row],[customerSKU]],Table27[customer_SKU],Table27[product_GTIN],"",0,1))</f>
        <v/>
      </c>
      <c r="Z778" s="90">
        <v>110184</v>
      </c>
      <c r="AA778" s="18" t="str" cm="1">
        <f t="array" ref="AA778">IF(P778="", "", _xlfn.XLOOKUP(P778,#REF!,#REF!,NA,0,-1))</f>
        <v/>
      </c>
      <c r="AB778" s="53"/>
      <c r="AC778" s="55" t="str">
        <f>IF(Table26[[#This Row],[customerSKU]]="","",_xlfn.XLOOKUP(Table26[[#This Row],[customerSKU]],customerSKU!G:G,customerSKU!C:C,"",0,1))</f>
        <v/>
      </c>
      <c r="AD778" s="55" t="str">
        <f>IF($AC778="","",_xlfn.XLOOKUP($AC778,'[2]Client Info'!$C$2:$C$2535,'[2]Client Info'!$D$2:$D$2535,"",0,1))</f>
        <v/>
      </c>
      <c r="AE778" s="55" t="str">
        <f>IF($AC778="","",_xlfn.XLOOKUP($AC778,'[2]Client Info'!$C$2:$C$2715,'[2]Client Info'!$E$2:$E$2715,"",))</f>
        <v/>
      </c>
      <c r="AF778" s="55" t="str">
        <f>IF($AC778="","",_xlfn.XLOOKUP($AC778,'[2]Client Info'!$C$2:$C$2715,'[2]Client Info'!$F$2:$F$2715,"",0,1))</f>
        <v/>
      </c>
      <c r="AG778" s="55" t="str">
        <f>IF(ISBLANK(Table26[[#This Row],[customerSKU]]),"",_xlfn.XLOOKUP(Table26[[#This Row],[customerSKU]],Table27[customer_SKU],Table27[billto],"",0,1))</f>
        <v/>
      </c>
      <c r="AH778" s="62" t="str">
        <f>_xlfn.XLOOKUP(Table26[[#This Row],[customerSKU]],customerSKU!G:G,customerSKU!K:K,"NA",0,1)</f>
        <v>NA</v>
      </c>
      <c r="AI778" s="43" t="str">
        <f>_xlfn.XLOOKUP(Table26[[#This Row],[customerSKU]],customerSKU!G:G,customerSKU!O:O,"not found",0,1)</f>
        <v>not found</v>
      </c>
      <c r="AJ778" s="53" t="e">
        <f>Table26[[#This Row],[unitprice]]*Table26[[#This Row],[quantity_unit]]</f>
        <v>#VALUE!</v>
      </c>
      <c r="AK778" s="53" t="e" cm="1">
        <f t="array" ref="AK7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79" spans="1:37" ht="18" customHeight="1">
      <c r="A779" s="42">
        <v>1464</v>
      </c>
      <c r="B779" s="58" t="s">
        <v>3520</v>
      </c>
      <c r="C779" s="53" t="s">
        <v>203</v>
      </c>
      <c r="D779" s="51"/>
      <c r="E779" s="51"/>
      <c r="F779" s="53"/>
      <c r="G779" s="46"/>
      <c r="H779" s="53"/>
      <c r="I779" s="53"/>
      <c r="J779" s="90" t="str">
        <f>IF(Table26[[#This Row],[customerSKU]]="","",_xlfn.XLOOKUP(Table26[[#This Row],[customerSKU]],customerSKU!G:G,customerSKU!A:A,"",0,1))</f>
        <v/>
      </c>
      <c r="K779" s="48">
        <v>45643</v>
      </c>
      <c r="L779" s="49" t="str">
        <f>IF(Table26[[#This Row],[customerSKU]]="","",_xlfn.XLOOKUP(Table26[[#This Row],[customerSKU]],customerSKU!G:G,customerSKU!B:B,"",0,1))</f>
        <v/>
      </c>
      <c r="M779" s="53"/>
      <c r="N779" s="77" t="str">
        <f>Table26[[#This Row],[po_number]]&amp;"-"&amp;Table26[[#This Row],[po_line]]</f>
        <v>-2</v>
      </c>
      <c r="O779" s="77">
        <v>2</v>
      </c>
      <c r="P779" s="50"/>
      <c r="Q779" s="53" t="s">
        <v>630</v>
      </c>
      <c r="R779" s="53" t="s">
        <v>569</v>
      </c>
      <c r="S779" s="53" t="str">
        <f>IF(Table26[[#This Row],[customerSKU]]="","",_xlfn.XLOOKUP(Table26[[#This Row],[customerSKU]],customerSKU!G:G,customerSKU!N:N,"NOT FOUND",0,1))</f>
        <v>NOT FOUND</v>
      </c>
      <c r="T779" s="51">
        <v>45574</v>
      </c>
      <c r="U779" s="52">
        <v>12</v>
      </c>
      <c r="V779" s="53" t="str">
        <f>IF(ISBLANK(Table26[[#This Row],[customerSKU]]),"",_xlfn.XLOOKUP(Table26[[#This Row],[customerSKU]],Table27[customer_SKU],Table27[case_size],"",0,1))</f>
        <v/>
      </c>
      <c r="W779" s="116" t="str">
        <f t="shared" si="33"/>
        <v/>
      </c>
      <c r="X779" s="53" t="str">
        <f t="shared" si="35"/>
        <v/>
      </c>
      <c r="Y779" s="53" t="str">
        <f>IF(Table26[[#This Row],[customerSKU]]="","",_xlfn.XLOOKUP(Table26[[#This Row],[customerSKU]],Table27[customer_SKU],Table27[product_GTIN],"",0,1))</f>
        <v/>
      </c>
      <c r="Z779" s="90">
        <v>110722</v>
      </c>
      <c r="AA779" s="18" t="str" cm="1">
        <f t="array" ref="AA779">IF(P779="", "", _xlfn.XLOOKUP(P779,#REF!,#REF!,NA,0,-1))</f>
        <v/>
      </c>
      <c r="AB779" s="53"/>
      <c r="AC779" s="55" t="str">
        <f>IF(Table26[[#This Row],[customerSKU]]="","",_xlfn.XLOOKUP(Table26[[#This Row],[customerSKU]],customerSKU!G:G,customerSKU!C:C,"",0,1))</f>
        <v/>
      </c>
      <c r="AD779" s="55" t="str">
        <f>IF($AC779="","",_xlfn.XLOOKUP($AC779,'[2]Client Info'!$C$2:$C$2535,'[2]Client Info'!$D$2:$D$2535,"",0,1))</f>
        <v/>
      </c>
      <c r="AE779" s="55" t="str">
        <f>IF($AC779="","",_xlfn.XLOOKUP($AC779,'[2]Client Info'!$C$2:$C$2715,'[2]Client Info'!$E$2:$E$2715,"",))</f>
        <v/>
      </c>
      <c r="AF779" s="55" t="str">
        <f>IF($AC779="","",_xlfn.XLOOKUP($AC779,'[2]Client Info'!$C$2:$C$2715,'[2]Client Info'!$F$2:$F$2715,"",0,1))</f>
        <v/>
      </c>
      <c r="AG779" s="55" t="str">
        <f>IF(ISBLANK(Table26[[#This Row],[customerSKU]]),"",_xlfn.XLOOKUP(Table26[[#This Row],[customerSKU]],Table27[customer_SKU],Table27[billto],"",0,1))</f>
        <v/>
      </c>
      <c r="AH779" s="62" t="str">
        <f>_xlfn.XLOOKUP(Table26[[#This Row],[customerSKU]],customerSKU!G:G,customerSKU!K:K,"NA",0,1)</f>
        <v>NA</v>
      </c>
      <c r="AI779" s="43" t="str">
        <f>_xlfn.XLOOKUP(Table26[[#This Row],[customerSKU]],customerSKU!G:G,customerSKU!O:O,"not found",0,1)</f>
        <v>not found</v>
      </c>
      <c r="AJ779" s="53" t="e">
        <f>Table26[[#This Row],[unitprice]]*Table26[[#This Row],[quantity_unit]]</f>
        <v>#VALUE!</v>
      </c>
      <c r="AK779" s="53" t="e" cm="1">
        <f t="array" ref="AK7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0" spans="1:37" ht="18" customHeight="1">
      <c r="A780" s="42">
        <v>1465</v>
      </c>
      <c r="B780" s="58" t="s">
        <v>3520</v>
      </c>
      <c r="C780" s="53" t="s">
        <v>203</v>
      </c>
      <c r="D780" s="51"/>
      <c r="E780" s="51"/>
      <c r="F78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80" s="46"/>
      <c r="H780" s="53"/>
      <c r="I780" s="53"/>
      <c r="J780" s="90" t="str">
        <f>IF(Table26[[#This Row],[customerSKU]]="","",_xlfn.XLOOKUP(Table26[[#This Row],[customerSKU]],customerSKU!G:G,customerSKU!A:A,"",0,1))</f>
        <v/>
      </c>
      <c r="K780" s="48">
        <v>45643</v>
      </c>
      <c r="L780" s="49" t="str">
        <f>IF(Table26[[#This Row],[customerSKU]]="","",_xlfn.XLOOKUP(Table26[[#This Row],[customerSKU]],customerSKU!G:G,customerSKU!B:B,"",0,1))</f>
        <v/>
      </c>
      <c r="M780" s="53"/>
      <c r="N780" s="77" t="str">
        <f>Table26[[#This Row],[po_number]]&amp;"-"&amp;Table26[[#This Row],[po_line]]</f>
        <v>-1</v>
      </c>
      <c r="O780" s="77">
        <v>1</v>
      </c>
      <c r="P780" s="50"/>
      <c r="Q780" s="53" t="s">
        <v>3398</v>
      </c>
      <c r="R780" s="53" t="s">
        <v>569</v>
      </c>
      <c r="S780" s="53" t="str">
        <f>IF(Table26[[#This Row],[customerSKU]]="","",_xlfn.XLOOKUP(Table26[[#This Row],[customerSKU]],customerSKU!G:G,customerSKU!N:N,"NOT FOUND",0,1))</f>
        <v>NOT FOUND</v>
      </c>
      <c r="T780" s="20">
        <v>45639</v>
      </c>
      <c r="U780" s="52">
        <v>1200</v>
      </c>
      <c r="V780" s="53" t="str">
        <f>IF(ISBLANK(Table26[[#This Row],[customerSKU]]),"",_xlfn.XLOOKUP(Table26[[#This Row],[customerSKU]],Table27[customer_SKU],Table27[case_size],"",0,1))</f>
        <v/>
      </c>
      <c r="W780" s="116" t="str">
        <f t="shared" si="33"/>
        <v/>
      </c>
      <c r="X780" s="53" t="str">
        <f t="shared" si="35"/>
        <v/>
      </c>
      <c r="Y780" s="53" t="str">
        <f>IF(Table26[[#This Row],[customerSKU]]="","",_xlfn.XLOOKUP(Table26[[#This Row],[customerSKU]],Table27[customer_SKU],Table27[product_GTIN],"",0,1))</f>
        <v/>
      </c>
      <c r="Z780" s="90" t="s">
        <v>3965</v>
      </c>
      <c r="AA780" s="18" t="str" cm="1">
        <f t="array" ref="AA780">IF(P780="", "", _xlfn.XLOOKUP(P780,#REF!,#REF!,NA,0,-1))</f>
        <v/>
      </c>
      <c r="AB780" s="53"/>
      <c r="AC780" s="55" t="s">
        <v>2362</v>
      </c>
      <c r="AD780" s="55" t="str">
        <f>IF($AC780="","",_xlfn.XLOOKUP($AC780,'[2]Client Info'!$C$2:$C$2535,'[2]Client Info'!$D$2:$D$2535,"",0,1))</f>
        <v>12622-184 Street NW</v>
      </c>
      <c r="AE780" s="55" t="str">
        <f>IF($AC780="","",_xlfn.XLOOKUP($AC780,'[2]Client Info'!$C$2:$C$2715,'[2]Client Info'!$E$2:$E$2715,"",))</f>
        <v>Edmonton</v>
      </c>
      <c r="AF780" s="55" t="str">
        <f>IF($AC780="","",_xlfn.XLOOKUP($AC780,'[2]Client Info'!$C$2:$C$2715,'[2]Client Info'!$F$2:$F$2715,"",0,1))</f>
        <v>AB</v>
      </c>
      <c r="AG780" s="55" t="str">
        <f>IF(ISBLANK(Table26[[#This Row],[customerSKU]]),"",_xlfn.XLOOKUP(Table26[[#This Row],[customerSKU]],Table27[customer_SKU],Table27[billto],"",0,1))</f>
        <v/>
      </c>
      <c r="AH780" s="62" t="str">
        <f>_xlfn.XLOOKUP(Table26[[#This Row],[customerSKU]],customerSKU!G:G,customerSKU!K:K,"NA",0,1)</f>
        <v>NA</v>
      </c>
      <c r="AI780" s="43" t="str">
        <f>_xlfn.XLOOKUP(Table26[[#This Row],[customerSKU]],customerSKU!G:G,customerSKU!O:O,"not found",0,1)</f>
        <v>not found</v>
      </c>
      <c r="AJ780" s="53" t="e">
        <f>Table26[[#This Row],[unitprice]]*Table26[[#This Row],[quantity_unit]]</f>
        <v>#VALUE!</v>
      </c>
      <c r="AK780" s="53" t="e" cm="1">
        <f t="array" ref="AK7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1" spans="1:37" ht="18" customHeight="1">
      <c r="A781" s="42">
        <v>1466</v>
      </c>
      <c r="B781" s="249" t="s">
        <v>3520</v>
      </c>
      <c r="C781" s="90" t="s">
        <v>203</v>
      </c>
      <c r="D781" s="235"/>
      <c r="E781" s="235"/>
      <c r="F78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1" s="46"/>
      <c r="H781" s="90"/>
      <c r="I781" s="90"/>
      <c r="J781" s="90" t="str">
        <f>IF(Table26[[#This Row],[customerSKU]]="","",_xlfn.XLOOKUP(Table26[[#This Row],[customerSKU]],customerSKU!G:G,customerSKU!A:A,"",0,1))</f>
        <v/>
      </c>
      <c r="K781" s="232">
        <v>45643</v>
      </c>
      <c r="L781" s="233" t="str">
        <f>IF(Table26[[#This Row],[customerSKU]]="","",_xlfn.XLOOKUP(Table26[[#This Row],[customerSKU]],customerSKU!G:G,customerSKU!B:B,"",0,1))</f>
        <v/>
      </c>
      <c r="M781" s="90"/>
      <c r="N781" s="55" t="str">
        <f>Table26[[#This Row],[po_number]]&amp;"-"&amp;Table26[[#This Row],[po_line]]</f>
        <v>-1</v>
      </c>
      <c r="O781" s="55">
        <v>1</v>
      </c>
      <c r="P781" s="234"/>
      <c r="Q781" s="90" t="s">
        <v>1134</v>
      </c>
      <c r="R781" s="90" t="s">
        <v>569</v>
      </c>
      <c r="S781" s="90" t="s">
        <v>114</v>
      </c>
      <c r="T781" s="20">
        <v>45588</v>
      </c>
      <c r="U781" s="236">
        <v>12</v>
      </c>
      <c r="V781" s="90" t="str">
        <f>IF(ISBLANK(Table26[[#This Row],[customerSKU]]),"",_xlfn.XLOOKUP(Table26[[#This Row],[customerSKU]],Table27[customer_SKU],Table27[case_size],"",0,1))</f>
        <v/>
      </c>
      <c r="W781" s="237" t="str">
        <f t="shared" si="33"/>
        <v/>
      </c>
      <c r="X781" s="90" t="str">
        <f t="shared" si="35"/>
        <v/>
      </c>
      <c r="Y781" s="90" t="str">
        <f>IF(Table26[[#This Row],[customerSKU]]="","",_xlfn.XLOOKUP(Table26[[#This Row],[customerSKU]],Table27[customer_SKU],Table27[product_GTIN],"",0,1))</f>
        <v/>
      </c>
      <c r="Z781" s="25" t="s">
        <v>3406</v>
      </c>
      <c r="AA781" s="18" t="str" cm="1">
        <f t="array" ref="AA781">IF(P781="", "", _xlfn.XLOOKUP(P781,#REF!,#REF!,NA,0,-1))</f>
        <v/>
      </c>
      <c r="AB781" s="90"/>
      <c r="AC781" s="55" t="s">
        <v>92</v>
      </c>
      <c r="AD781" s="55" t="str">
        <f>IF($AC781="","",_xlfn.XLOOKUP($AC781,'[2]Client Info'!$C$2:$C$2535,'[2]Client Info'!$D$2:$D$2535,"",0,1))</f>
        <v>137F Dyke Rd</v>
      </c>
      <c r="AE781" s="55" t="str">
        <f>IF($AC781="","",_xlfn.XLOOKUP($AC781,'[2]Client Info'!$C$2:$C$2715,'[2]Client Info'!$E$2:$E$2715,"",))</f>
        <v>Chilliwack</v>
      </c>
      <c r="AF781" s="55" t="str">
        <f>IF($AC781="","",_xlfn.XLOOKUP($AC781,'[2]Client Info'!$C$2:$C$2715,'[2]Client Info'!$F$2:$F$2715,"",0,1))</f>
        <v xml:space="preserve">BC </v>
      </c>
      <c r="AG781" s="55" t="s">
        <v>92</v>
      </c>
      <c r="AH781" s="245" t="str">
        <f>_xlfn.XLOOKUP(Table26[[#This Row],[customerSKU]],customerSKU!G:G,customerSKU!K:K,"NA",0,1)</f>
        <v>NA</v>
      </c>
      <c r="AI781" s="43" t="str">
        <f>_xlfn.XLOOKUP(Table26[[#This Row],[customerSKU]],customerSKU!G:G,customerSKU!O:O,"not found",0,1)</f>
        <v>not found</v>
      </c>
      <c r="AJ781" s="53" t="e">
        <f>Table26[[#This Row],[unitprice]]*Table26[[#This Row],[quantity_unit]]</f>
        <v>#VALUE!</v>
      </c>
      <c r="AK781" s="53" t="e" cm="1">
        <f t="array" ref="AK7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2" spans="1:37" ht="18" customHeight="1">
      <c r="A782" s="42">
        <v>1467</v>
      </c>
      <c r="B782" s="249" t="s">
        <v>3520</v>
      </c>
      <c r="C782" s="90" t="s">
        <v>203</v>
      </c>
      <c r="D782" s="235"/>
      <c r="E782" s="235"/>
      <c r="F78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2" s="46"/>
      <c r="H782" s="90"/>
      <c r="I782" s="90"/>
      <c r="J782" s="90" t="str">
        <f>IF(Table26[[#This Row],[customerSKU]]="","",_xlfn.XLOOKUP(Table26[[#This Row],[customerSKU]],customerSKU!G:G,customerSKU!A:A,"",0,1))</f>
        <v/>
      </c>
      <c r="K782" s="232">
        <v>45643</v>
      </c>
      <c r="L782" s="233" t="str">
        <f>IF(Table26[[#This Row],[customerSKU]]="","",_xlfn.XLOOKUP(Table26[[#This Row],[customerSKU]],customerSKU!G:G,customerSKU!B:B,"",0,1))</f>
        <v/>
      </c>
      <c r="M782" s="90"/>
      <c r="N782" s="55" t="str">
        <f>Table26[[#This Row],[po_number]]&amp;"-"&amp;Table26[[#This Row],[po_line]]</f>
        <v>-2</v>
      </c>
      <c r="O782" s="55">
        <v>2</v>
      </c>
      <c r="P782" s="234"/>
      <c r="Q782" s="90" t="s">
        <v>1862</v>
      </c>
      <c r="R782" s="90" t="s">
        <v>569</v>
      </c>
      <c r="S782" s="90" t="s">
        <v>114</v>
      </c>
      <c r="T782" s="20">
        <v>45594</v>
      </c>
      <c r="U782" s="236">
        <v>3</v>
      </c>
      <c r="V782" s="90" t="str">
        <f>IF(ISBLANK(Table26[[#This Row],[customerSKU]]),"",_xlfn.XLOOKUP(Table26[[#This Row],[customerSKU]],Table27[customer_SKU],Table27[case_size],"",0,1))</f>
        <v/>
      </c>
      <c r="W782" s="237" t="str">
        <f t="shared" si="33"/>
        <v/>
      </c>
      <c r="X782" s="90" t="str">
        <f t="shared" si="35"/>
        <v/>
      </c>
      <c r="Y782" s="90" t="str">
        <f>IF(Table26[[#This Row],[customerSKU]]="","",_xlfn.XLOOKUP(Table26[[#This Row],[customerSKU]],Table27[customer_SKU],Table27[product_GTIN],"",0,1))</f>
        <v/>
      </c>
      <c r="Z782" s="25" t="s">
        <v>3367</v>
      </c>
      <c r="AA782" s="18" t="str" cm="1">
        <f t="array" ref="AA782">IF(P782="", "", _xlfn.XLOOKUP(P782,#REF!,#REF!,NA,0,-1))</f>
        <v/>
      </c>
      <c r="AB782" s="90"/>
      <c r="AC782" s="55" t="s">
        <v>92</v>
      </c>
      <c r="AD782" s="55" t="str">
        <f>IF($AC782="","",_xlfn.XLOOKUP($AC782,'[2]Client Info'!$C$2:$C$2535,'[2]Client Info'!$D$2:$D$2535,"",0,1))</f>
        <v>137F Dyke Rd</v>
      </c>
      <c r="AE782" s="55" t="str">
        <f>IF($AC782="","",_xlfn.XLOOKUP($AC782,'[2]Client Info'!$C$2:$C$2715,'[2]Client Info'!$E$2:$E$2715,"",))</f>
        <v>Chilliwack</v>
      </c>
      <c r="AF782" s="55" t="str">
        <f>IF($AC782="","",_xlfn.XLOOKUP($AC782,'[2]Client Info'!$C$2:$C$2715,'[2]Client Info'!$F$2:$F$2715,"",0,1))</f>
        <v xml:space="preserve">BC </v>
      </c>
      <c r="AG782" s="55" t="s">
        <v>92</v>
      </c>
      <c r="AH782" s="245" t="str">
        <f>_xlfn.XLOOKUP(Table26[[#This Row],[customerSKU]],customerSKU!G:G,customerSKU!K:K,"NA",0,1)</f>
        <v>NA</v>
      </c>
      <c r="AI782" s="43" t="str">
        <f>_xlfn.XLOOKUP(Table26[[#This Row],[customerSKU]],customerSKU!G:G,customerSKU!O:O,"not found",0,1)</f>
        <v>not found</v>
      </c>
      <c r="AJ782" s="53" t="e">
        <f>Table26[[#This Row],[unitprice]]*Table26[[#This Row],[quantity_unit]]</f>
        <v>#VALUE!</v>
      </c>
      <c r="AK782" s="53" t="e" cm="1">
        <f t="array" ref="AK7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3" spans="1:37" ht="18" customHeight="1">
      <c r="A783" s="42">
        <v>1468</v>
      </c>
      <c r="B783" s="249" t="s">
        <v>3520</v>
      </c>
      <c r="C783" s="90" t="s">
        <v>203</v>
      </c>
      <c r="D783" s="235"/>
      <c r="E783" s="235"/>
      <c r="F78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3" s="46"/>
      <c r="H783" s="90"/>
      <c r="I783" s="90"/>
      <c r="J783" s="90" t="str">
        <f>IF(Table26[[#This Row],[customerSKU]]="","",_xlfn.XLOOKUP(Table26[[#This Row],[customerSKU]],customerSKU!G:G,customerSKU!A:A,"",0,1))</f>
        <v/>
      </c>
      <c r="K783" s="232">
        <v>45643</v>
      </c>
      <c r="L783" s="233" t="str">
        <f>IF(Table26[[#This Row],[customerSKU]]="","",_xlfn.XLOOKUP(Table26[[#This Row],[customerSKU]],customerSKU!G:G,customerSKU!B:B,"",0,1))</f>
        <v/>
      </c>
      <c r="M783" s="90"/>
      <c r="N783" s="55" t="str">
        <f>Table26[[#This Row],[po_number]]&amp;"-"&amp;Table26[[#This Row],[po_line]]</f>
        <v>-3</v>
      </c>
      <c r="O783" s="55">
        <v>3</v>
      </c>
      <c r="P783" s="234"/>
      <c r="Q783" s="90" t="s">
        <v>1862</v>
      </c>
      <c r="R783" s="90" t="s">
        <v>569</v>
      </c>
      <c r="S783" s="90" t="s">
        <v>114</v>
      </c>
      <c r="T783" s="20">
        <v>45618</v>
      </c>
      <c r="U783" s="236">
        <v>9</v>
      </c>
      <c r="V783" s="90" t="str">
        <f>IF(ISBLANK(Table26[[#This Row],[customerSKU]]),"",_xlfn.XLOOKUP(Table26[[#This Row],[customerSKU]],Table27[customer_SKU],Table27[case_size],"",0,1))</f>
        <v/>
      </c>
      <c r="W783" s="237" t="str">
        <f t="shared" si="33"/>
        <v/>
      </c>
      <c r="X783" s="90" t="str">
        <f t="shared" si="35"/>
        <v/>
      </c>
      <c r="Y783" s="90" t="str">
        <f>IF(Table26[[#This Row],[customerSKU]]="","",_xlfn.XLOOKUP(Table26[[#This Row],[customerSKU]],Table27[customer_SKU],Table27[product_GTIN],"",0,1))</f>
        <v/>
      </c>
      <c r="Z783" s="25" t="s">
        <v>3367</v>
      </c>
      <c r="AA783" s="18" t="str" cm="1">
        <f t="array" ref="AA783">IF(P783="", "", _xlfn.XLOOKUP(P783,#REF!,#REF!,NA,0,-1))</f>
        <v/>
      </c>
      <c r="AB783" s="90"/>
      <c r="AC783" s="55" t="s">
        <v>92</v>
      </c>
      <c r="AD783" s="55" t="str">
        <f>IF($AC783="","",_xlfn.XLOOKUP($AC783,'[2]Client Info'!$C$2:$C$2535,'[2]Client Info'!$D$2:$D$2535,"",0,1))</f>
        <v>137F Dyke Rd</v>
      </c>
      <c r="AE783" s="55" t="str">
        <f>IF($AC783="","",_xlfn.XLOOKUP($AC783,'[2]Client Info'!$C$2:$C$2715,'[2]Client Info'!$E$2:$E$2715,"",))</f>
        <v>Chilliwack</v>
      </c>
      <c r="AF783" s="55" t="str">
        <f>IF($AC783="","",_xlfn.XLOOKUP($AC783,'[2]Client Info'!$C$2:$C$2715,'[2]Client Info'!$F$2:$F$2715,"",0,1))</f>
        <v xml:space="preserve">BC </v>
      </c>
      <c r="AG783" s="55" t="s">
        <v>92</v>
      </c>
      <c r="AH783" s="245" t="str">
        <f>_xlfn.XLOOKUP(Table26[[#This Row],[customerSKU]],customerSKU!G:G,customerSKU!K:K,"NA",0,1)</f>
        <v>NA</v>
      </c>
      <c r="AI783" s="43" t="str">
        <f>_xlfn.XLOOKUP(Table26[[#This Row],[customerSKU]],customerSKU!G:G,customerSKU!O:O,"not found",0,1)</f>
        <v>not found</v>
      </c>
      <c r="AJ783" s="53" t="e">
        <f>Table26[[#This Row],[unitprice]]*Table26[[#This Row],[quantity_unit]]</f>
        <v>#VALUE!</v>
      </c>
      <c r="AK783" s="53" t="e" cm="1">
        <f t="array" ref="AK7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4" spans="1:37" ht="18" customHeight="1">
      <c r="A784" s="42">
        <v>1469</v>
      </c>
      <c r="B784" s="249" t="s">
        <v>3520</v>
      </c>
      <c r="C784" s="90" t="s">
        <v>203</v>
      </c>
      <c r="D784" s="235"/>
      <c r="E784" s="235"/>
      <c r="F78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4" s="46"/>
      <c r="H784" s="90"/>
      <c r="I784" s="90"/>
      <c r="J784" s="90" t="str">
        <f>IF(Table26[[#This Row],[customerSKU]]="","",_xlfn.XLOOKUP(Table26[[#This Row],[customerSKU]],customerSKU!G:G,customerSKU!A:A,"",0,1))</f>
        <v/>
      </c>
      <c r="K784" s="232">
        <v>45643</v>
      </c>
      <c r="L784" s="233" t="str">
        <f>IF(Table26[[#This Row],[customerSKU]]="","",_xlfn.XLOOKUP(Table26[[#This Row],[customerSKU]],customerSKU!G:G,customerSKU!B:B,"",0,1))</f>
        <v/>
      </c>
      <c r="M784" s="90"/>
      <c r="N784" s="55" t="str">
        <f>Table26[[#This Row],[po_number]]&amp;"-"&amp;Table26[[#This Row],[po_line]]</f>
        <v>-4</v>
      </c>
      <c r="O784" s="55">
        <v>4</v>
      </c>
      <c r="P784" s="50"/>
      <c r="Q784" s="90" t="s">
        <v>1309</v>
      </c>
      <c r="R784" s="90" t="s">
        <v>569</v>
      </c>
      <c r="S784" s="90" t="s">
        <v>114</v>
      </c>
      <c r="T784" s="20">
        <v>45623</v>
      </c>
      <c r="U784" s="236">
        <v>12</v>
      </c>
      <c r="V784" s="90" t="str">
        <f>IF(ISBLANK(Table26[[#This Row],[customerSKU]]),"",_xlfn.XLOOKUP(Table26[[#This Row],[customerSKU]],Table27[customer_SKU],Table27[case_size],"",0,1))</f>
        <v/>
      </c>
      <c r="W784" s="237" t="str">
        <f t="shared" si="33"/>
        <v/>
      </c>
      <c r="X784" s="90" t="str">
        <f t="shared" si="35"/>
        <v/>
      </c>
      <c r="Y784" s="90" t="str">
        <f>IF(Table26[[#This Row],[customerSKU]]="","",_xlfn.XLOOKUP(Table26[[#This Row],[customerSKU]],Table27[customer_SKU],Table27[product_GTIN],"",0,1))</f>
        <v/>
      </c>
      <c r="Z784" s="25" t="s">
        <v>3447</v>
      </c>
      <c r="AA784" s="18" t="str" cm="1">
        <f t="array" ref="AA784">IF(P784="", "", _xlfn.XLOOKUP(P784,#REF!,#REF!,NA,0,-1))</f>
        <v/>
      </c>
      <c r="AB784" s="90"/>
      <c r="AC784" s="55" t="s">
        <v>92</v>
      </c>
      <c r="AD784" s="55" t="str">
        <f>IF($AC784="","",_xlfn.XLOOKUP($AC784,'[2]Client Info'!$C$2:$C$2535,'[2]Client Info'!$D$2:$D$2535,"",0,1))</f>
        <v>137F Dyke Rd</v>
      </c>
      <c r="AE784" s="55" t="str">
        <f>IF($AC784="","",_xlfn.XLOOKUP($AC784,'[2]Client Info'!$C$2:$C$2715,'[2]Client Info'!$E$2:$E$2715,"",))</f>
        <v>Chilliwack</v>
      </c>
      <c r="AF784" s="55" t="str">
        <f>IF($AC784="","",_xlfn.XLOOKUP($AC784,'[2]Client Info'!$C$2:$C$2715,'[2]Client Info'!$F$2:$F$2715,"",0,1))</f>
        <v xml:space="preserve">BC </v>
      </c>
      <c r="AG784" s="55" t="s">
        <v>92</v>
      </c>
      <c r="AH784" s="245" t="str">
        <f>_xlfn.XLOOKUP(Table26[[#This Row],[customerSKU]],customerSKU!G:G,customerSKU!K:K,"NA",0,1)</f>
        <v>NA</v>
      </c>
      <c r="AI784" s="43" t="str">
        <f>_xlfn.XLOOKUP(Table26[[#This Row],[customerSKU]],customerSKU!G:G,customerSKU!O:O,"not found",0,1)</f>
        <v>not found</v>
      </c>
      <c r="AJ784" s="53" t="e">
        <f>Table26[[#This Row],[unitprice]]*Table26[[#This Row],[quantity_unit]]</f>
        <v>#VALUE!</v>
      </c>
      <c r="AK784" s="53" t="e" cm="1">
        <f t="array" ref="AK7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5" spans="1:37" ht="18" customHeight="1">
      <c r="A785" s="42">
        <v>1470</v>
      </c>
      <c r="B785" s="249" t="s">
        <v>3520</v>
      </c>
      <c r="C785" s="90" t="s">
        <v>203</v>
      </c>
      <c r="D785" s="235"/>
      <c r="E785" s="235"/>
      <c r="F78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5" s="46"/>
      <c r="H785" s="90"/>
      <c r="I785" s="90"/>
      <c r="J785" s="90" t="str">
        <f>IF(Table26[[#This Row],[customerSKU]]="","",_xlfn.XLOOKUP(Table26[[#This Row],[customerSKU]],customerSKU!G:G,customerSKU!A:A,"",0,1))</f>
        <v/>
      </c>
      <c r="K785" s="232">
        <v>45643</v>
      </c>
      <c r="L785" s="233" t="str">
        <f>IF(Table26[[#This Row],[customerSKU]]="","",_xlfn.XLOOKUP(Table26[[#This Row],[customerSKU]],customerSKU!G:G,customerSKU!B:B,"",0,1))</f>
        <v/>
      </c>
      <c r="M785" s="90"/>
      <c r="N785" s="55" t="str">
        <f>Table26[[#This Row],[po_number]]&amp;"-"&amp;Table26[[#This Row],[po_line]]</f>
        <v>-1</v>
      </c>
      <c r="O785" s="55">
        <v>1</v>
      </c>
      <c r="P785" s="234"/>
      <c r="Q785" s="242" t="s">
        <v>1134</v>
      </c>
      <c r="R785" s="90" t="s">
        <v>569</v>
      </c>
      <c r="S785" s="90" t="s">
        <v>114</v>
      </c>
      <c r="T785" s="20">
        <v>45588</v>
      </c>
      <c r="U785" s="236">
        <v>24</v>
      </c>
      <c r="V785" s="90" t="str">
        <f>IF(ISBLANK(Table26[[#This Row],[customerSKU]]),"",_xlfn.XLOOKUP(Table26[[#This Row],[customerSKU]],Table27[customer_SKU],Table27[case_size],"",0,1))</f>
        <v/>
      </c>
      <c r="W785" s="237" t="str">
        <f t="shared" si="33"/>
        <v/>
      </c>
      <c r="X785" s="90" t="str">
        <f t="shared" si="35"/>
        <v/>
      </c>
      <c r="Y785" s="90" t="str">
        <f>IF(Table26[[#This Row],[customerSKU]]="","",_xlfn.XLOOKUP(Table26[[#This Row],[customerSKU]],Table27[customer_SKU],Table27[product_GTIN],"",0,1))</f>
        <v/>
      </c>
      <c r="Z785" s="25" t="s">
        <v>3406</v>
      </c>
      <c r="AA785" s="18" t="str" cm="1">
        <f t="array" ref="AA785">IF(P785="", "", _xlfn.XLOOKUP(P785,#REF!,#REF!,NA,0,-1))</f>
        <v/>
      </c>
      <c r="AB785" s="90"/>
      <c r="AC785" s="55" t="s">
        <v>43</v>
      </c>
      <c r="AD785" s="55" t="str">
        <f>IF($AC785="","",_xlfn.XLOOKUP($AC785,'[2]Client Info'!$C$2:$C$2535,'[2]Client Info'!$D$2:$D$2535,"",0,1))</f>
        <v>725 NELSON STREET</v>
      </c>
      <c r="AE785" s="55" t="str">
        <f>IF($AC785="","",_xlfn.XLOOKUP($AC785,'[2]Client Info'!$C$2:$C$2715,'[2]Client Info'!$E$2:$E$2715,"",))</f>
        <v>VANCOUVER</v>
      </c>
      <c r="AF785" s="55" t="str">
        <f>IF($AC785="","",_xlfn.XLOOKUP($AC785,'[2]Client Info'!$C$2:$C$2715,'[2]Client Info'!$F$2:$F$2715,"",0,1))</f>
        <v xml:space="preserve">BC </v>
      </c>
      <c r="AG785" s="55" t="s">
        <v>43</v>
      </c>
      <c r="AH785" s="245" t="str">
        <f>_xlfn.XLOOKUP(Table26[[#This Row],[customerSKU]],customerSKU!G:G,customerSKU!K:K,"NA",0,1)</f>
        <v>NA</v>
      </c>
      <c r="AI785" s="43" t="str">
        <f>_xlfn.XLOOKUP(Table26[[#This Row],[customerSKU]],customerSKU!G:G,customerSKU!O:O,"not found",0,1)</f>
        <v>not found</v>
      </c>
      <c r="AJ785" s="53" t="e">
        <f>Table26[[#This Row],[unitprice]]*Table26[[#This Row],[quantity_unit]]</f>
        <v>#VALUE!</v>
      </c>
      <c r="AK785" s="53" t="e" cm="1">
        <f t="array" ref="AK7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6" spans="1:37" ht="18" customHeight="1">
      <c r="A786" s="42">
        <v>1471</v>
      </c>
      <c r="B786" s="249" t="s">
        <v>3520</v>
      </c>
      <c r="C786" s="90" t="s">
        <v>203</v>
      </c>
      <c r="D786" s="235"/>
      <c r="E786" s="235"/>
      <c r="F78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6" s="46"/>
      <c r="H786" s="90"/>
      <c r="I786" s="90"/>
      <c r="J786" s="90" t="str">
        <f>IF(Table26[[#This Row],[customerSKU]]="","",_xlfn.XLOOKUP(Table26[[#This Row],[customerSKU]],customerSKU!G:G,customerSKU!A:A,"",0,1))</f>
        <v/>
      </c>
      <c r="K786" s="232">
        <v>45643</v>
      </c>
      <c r="L786" s="233" t="str">
        <f>IF(Table26[[#This Row],[customerSKU]]="","",_xlfn.XLOOKUP(Table26[[#This Row],[customerSKU]],customerSKU!G:G,customerSKU!B:B,"",0,1))</f>
        <v/>
      </c>
      <c r="M786" s="90"/>
      <c r="N786" s="55" t="str">
        <f>Table26[[#This Row],[po_number]]&amp;"-"&amp;Table26[[#This Row],[po_line]]</f>
        <v>-2</v>
      </c>
      <c r="O786" s="55">
        <v>2</v>
      </c>
      <c r="P786" s="234"/>
      <c r="Q786" s="90" t="s">
        <v>1862</v>
      </c>
      <c r="R786" s="90" t="s">
        <v>569</v>
      </c>
      <c r="S786" s="90" t="s">
        <v>114</v>
      </c>
      <c r="T786" s="20">
        <v>45618</v>
      </c>
      <c r="U786" s="236">
        <v>24</v>
      </c>
      <c r="V786" s="90" t="str">
        <f>IF(ISBLANK(Table26[[#This Row],[customerSKU]]),"",_xlfn.XLOOKUP(Table26[[#This Row],[customerSKU]],Table27[customer_SKU],Table27[case_size],"",0,1))</f>
        <v/>
      </c>
      <c r="W786" s="237" t="str">
        <f t="shared" si="33"/>
        <v/>
      </c>
      <c r="X786" s="90" t="str">
        <f t="shared" si="35"/>
        <v/>
      </c>
      <c r="Y786" s="90" t="str">
        <f>IF(Table26[[#This Row],[customerSKU]]="","",_xlfn.XLOOKUP(Table26[[#This Row],[customerSKU]],Table27[customer_SKU],Table27[product_GTIN],"",0,1))</f>
        <v/>
      </c>
      <c r="Z786" s="25" t="s">
        <v>3367</v>
      </c>
      <c r="AA786" s="18" t="str" cm="1">
        <f t="array" ref="AA786">IF(P786="", "", _xlfn.XLOOKUP(P786,#REF!,#REF!,NA,0,-1))</f>
        <v/>
      </c>
      <c r="AB786" s="90"/>
      <c r="AC786" s="55" t="s">
        <v>43</v>
      </c>
      <c r="AD786" s="55" t="str">
        <f>IF($AC786="","",_xlfn.XLOOKUP($AC786,'[2]Client Info'!$C$2:$C$2535,'[2]Client Info'!$D$2:$D$2535,"",0,1))</f>
        <v>725 NELSON STREET</v>
      </c>
      <c r="AE786" s="55" t="str">
        <f>IF($AC786="","",_xlfn.XLOOKUP($AC786,'[2]Client Info'!$C$2:$C$2715,'[2]Client Info'!$E$2:$E$2715,"",))</f>
        <v>VANCOUVER</v>
      </c>
      <c r="AF786" s="55" t="str">
        <f>IF($AC786="","",_xlfn.XLOOKUP($AC786,'[2]Client Info'!$C$2:$C$2715,'[2]Client Info'!$F$2:$F$2715,"",0,1))</f>
        <v xml:space="preserve">BC </v>
      </c>
      <c r="AG786" s="55" t="s">
        <v>43</v>
      </c>
      <c r="AH786" s="245" t="str">
        <f>_xlfn.XLOOKUP(Table26[[#This Row],[customerSKU]],customerSKU!G:G,customerSKU!K:K,"NA",0,1)</f>
        <v>NA</v>
      </c>
      <c r="AI786" s="43" t="str">
        <f>_xlfn.XLOOKUP(Table26[[#This Row],[customerSKU]],customerSKU!G:G,customerSKU!O:O,"not found",0,1)</f>
        <v>not found</v>
      </c>
      <c r="AJ786" s="53" t="e">
        <f>Table26[[#This Row],[unitprice]]*Table26[[#This Row],[quantity_unit]]</f>
        <v>#VALUE!</v>
      </c>
      <c r="AK786" s="53" t="e" cm="1">
        <f t="array" ref="AK7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7" spans="1:37" ht="18" customHeight="1">
      <c r="A787" s="42">
        <v>1472</v>
      </c>
      <c r="B787" s="249" t="s">
        <v>3520</v>
      </c>
      <c r="C787" s="90" t="s">
        <v>203</v>
      </c>
      <c r="D787" s="235"/>
      <c r="E787" s="235"/>
      <c r="F78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7" s="46"/>
      <c r="H787" s="90"/>
      <c r="I787" s="90"/>
      <c r="J787" s="90" t="str">
        <f>IF(Table26[[#This Row],[customerSKU]]="","",_xlfn.XLOOKUP(Table26[[#This Row],[customerSKU]],customerSKU!G:G,customerSKU!A:A,"",0,1))</f>
        <v/>
      </c>
      <c r="K787" s="232">
        <v>45643</v>
      </c>
      <c r="L787" s="233" t="str">
        <f>IF(Table26[[#This Row],[customerSKU]]="","",_xlfn.XLOOKUP(Table26[[#This Row],[customerSKU]],customerSKU!G:G,customerSKU!B:B,"",0,1))</f>
        <v/>
      </c>
      <c r="M787" s="90"/>
      <c r="N787" s="55" t="str">
        <f>Table26[[#This Row],[po_number]]&amp;"-"&amp;Table26[[#This Row],[po_line]]</f>
        <v>-3</v>
      </c>
      <c r="O787" s="55">
        <v>3</v>
      </c>
      <c r="P787" s="50"/>
      <c r="Q787" s="242" t="s">
        <v>1309</v>
      </c>
      <c r="R787" s="90" t="s">
        <v>569</v>
      </c>
      <c r="S787" s="90" t="s">
        <v>114</v>
      </c>
      <c r="T787" s="20">
        <v>45623</v>
      </c>
      <c r="U787" s="236">
        <v>24</v>
      </c>
      <c r="V787" s="90" t="str">
        <f>IF(ISBLANK(Table26[[#This Row],[customerSKU]]),"",_xlfn.XLOOKUP(Table26[[#This Row],[customerSKU]],Table27[customer_SKU],Table27[case_size],"",0,1))</f>
        <v/>
      </c>
      <c r="W787" s="237" t="str">
        <f t="shared" si="33"/>
        <v/>
      </c>
      <c r="X787" s="90" t="str">
        <f t="shared" si="35"/>
        <v/>
      </c>
      <c r="Y787" s="90" t="str">
        <f>IF(Table26[[#This Row],[customerSKU]]="","",_xlfn.XLOOKUP(Table26[[#This Row],[customerSKU]],Table27[customer_SKU],Table27[product_GTIN],"",0,1))</f>
        <v/>
      </c>
      <c r="Z787" s="25" t="s">
        <v>3447</v>
      </c>
      <c r="AA787" s="18" t="str" cm="1">
        <f t="array" ref="AA787">IF(P787="", "", _xlfn.XLOOKUP(P787,#REF!,#REF!,NA,0,-1))</f>
        <v/>
      </c>
      <c r="AB787" s="90"/>
      <c r="AC787" s="55" t="s">
        <v>43</v>
      </c>
      <c r="AD787" s="55" t="str">
        <f>IF($AC787="","",_xlfn.XLOOKUP($AC787,'[2]Client Info'!$C$2:$C$2535,'[2]Client Info'!$D$2:$D$2535,"",0,1))</f>
        <v>725 NELSON STREET</v>
      </c>
      <c r="AE787" s="55" t="str">
        <f>IF($AC787="","",_xlfn.XLOOKUP($AC787,'[2]Client Info'!$C$2:$C$2715,'[2]Client Info'!$E$2:$E$2715,"",))</f>
        <v>VANCOUVER</v>
      </c>
      <c r="AF787" s="55" t="str">
        <f>IF($AC787="","",_xlfn.XLOOKUP($AC787,'[2]Client Info'!$C$2:$C$2715,'[2]Client Info'!$F$2:$F$2715,"",0,1))</f>
        <v xml:space="preserve">BC </v>
      </c>
      <c r="AG787" s="55" t="s">
        <v>43</v>
      </c>
      <c r="AH787" s="245" t="str">
        <f>_xlfn.XLOOKUP(Table26[[#This Row],[customerSKU]],customerSKU!G:G,customerSKU!K:K,"NA",0,1)</f>
        <v>NA</v>
      </c>
      <c r="AI787" s="43" t="str">
        <f>_xlfn.XLOOKUP(Table26[[#This Row],[customerSKU]],customerSKU!G:G,customerSKU!O:O,"not found",0,1)</f>
        <v>not found</v>
      </c>
      <c r="AJ787" s="53" t="e">
        <f>Table26[[#This Row],[unitprice]]*Table26[[#This Row],[quantity_unit]]</f>
        <v>#VALUE!</v>
      </c>
      <c r="AK787" s="53" t="e" cm="1">
        <f t="array" ref="AK7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8" spans="1:37" ht="18" customHeight="1">
      <c r="A788" s="42">
        <v>1473</v>
      </c>
      <c r="B788" s="249" t="s">
        <v>3520</v>
      </c>
      <c r="C788" s="90" t="s">
        <v>203</v>
      </c>
      <c r="D788" s="235"/>
      <c r="E788" s="235"/>
      <c r="F78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8" s="46"/>
      <c r="H788" s="90"/>
      <c r="I788" s="90"/>
      <c r="J788" s="90" t="str">
        <f>IF(Table26[[#This Row],[customerSKU]]="","",_xlfn.XLOOKUP(Table26[[#This Row],[customerSKU]],customerSKU!G:G,customerSKU!A:A,"",0,1))</f>
        <v/>
      </c>
      <c r="K788" s="232">
        <v>45643</v>
      </c>
      <c r="L788" s="233" t="str">
        <f>IF(Table26[[#This Row],[customerSKU]]="","",_xlfn.XLOOKUP(Table26[[#This Row],[customerSKU]],customerSKU!G:G,customerSKU!B:B,"",0,1))</f>
        <v/>
      </c>
      <c r="M788" s="90"/>
      <c r="N788" s="55" t="str">
        <f>Table26[[#This Row],[po_number]]&amp;"-"&amp;Table26[[#This Row],[po_line]]</f>
        <v>-1</v>
      </c>
      <c r="O788" s="55">
        <v>1</v>
      </c>
      <c r="P788" s="234"/>
      <c r="Q788" s="90" t="s">
        <v>3368</v>
      </c>
      <c r="R788" s="90" t="s">
        <v>569</v>
      </c>
      <c r="S788" s="90" t="s">
        <v>114</v>
      </c>
      <c r="T788" s="20">
        <v>45590</v>
      </c>
      <c r="U788" s="236">
        <v>12</v>
      </c>
      <c r="V788" s="90" t="str">
        <f>IF(ISBLANK(Table26[[#This Row],[customerSKU]]),"",_xlfn.XLOOKUP(Table26[[#This Row],[customerSKU]],Table27[customer_SKU],Table27[case_size],"",0,1))</f>
        <v/>
      </c>
      <c r="W788" s="237" t="str">
        <f t="shared" si="33"/>
        <v/>
      </c>
      <c r="X788" s="90" t="str">
        <f t="shared" si="35"/>
        <v/>
      </c>
      <c r="Y788" s="90" t="str">
        <f>IF(Table26[[#This Row],[customerSKU]]="","",_xlfn.XLOOKUP(Table26[[#This Row],[customerSKU]],Table27[customer_SKU],Table27[product_GTIN],"",0,1))</f>
        <v/>
      </c>
      <c r="Z788" s="25" t="s">
        <v>3370</v>
      </c>
      <c r="AA788" s="18" t="str" cm="1">
        <f t="array" ref="AA788">IF(P788="", "", _xlfn.XLOOKUP(P788,#REF!,#REF!,NA,0,-1))</f>
        <v/>
      </c>
      <c r="AB788" s="90"/>
      <c r="AC788" s="55" t="s">
        <v>3365</v>
      </c>
      <c r="AD788" s="55" t="str">
        <f>IF($AC788="","",_xlfn.XLOOKUP($AC788,'[2]Client Info'!$C$2:$C$2535,'[2]Client Info'!$D$2:$D$2535,"",0,1))</f>
        <v>Unit 101, 3596 Kingsway</v>
      </c>
      <c r="AE788" s="55" t="str">
        <f>IF($AC788="","",_xlfn.XLOOKUP($AC788,'[2]Client Info'!$C$2:$C$2715,'[2]Client Info'!$E$2:$E$2715,"",))</f>
        <v>Vancouver</v>
      </c>
      <c r="AF788" s="55" t="str">
        <f>IF($AC788="","",_xlfn.XLOOKUP($AC788,'[2]Client Info'!$C$2:$C$2715,'[2]Client Info'!$F$2:$F$2715,"",0,1))</f>
        <v xml:space="preserve">BC </v>
      </c>
      <c r="AG788" s="55" t="s">
        <v>3365</v>
      </c>
      <c r="AH788" s="245" t="str">
        <f>_xlfn.XLOOKUP(Table26[[#This Row],[customerSKU]],customerSKU!G:G,customerSKU!K:K,"NA",0,1)</f>
        <v>NA</v>
      </c>
      <c r="AI788" s="43" t="str">
        <f>_xlfn.XLOOKUP(Table26[[#This Row],[customerSKU]],customerSKU!G:G,customerSKU!O:O,"not found",0,1)</f>
        <v>not found</v>
      </c>
      <c r="AJ788" s="53" t="e">
        <f>Table26[[#This Row],[unitprice]]*Table26[[#This Row],[quantity_unit]]</f>
        <v>#VALUE!</v>
      </c>
      <c r="AK788" s="53" t="e" cm="1">
        <f t="array" ref="AK7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89" spans="1:37" ht="18" customHeight="1">
      <c r="A789" s="42">
        <v>1474</v>
      </c>
      <c r="B789" s="249" t="s">
        <v>3520</v>
      </c>
      <c r="C789" s="90" t="s">
        <v>203</v>
      </c>
      <c r="D789" s="235"/>
      <c r="E789" s="235"/>
      <c r="F78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89" s="46"/>
      <c r="H789" s="90"/>
      <c r="I789" s="90"/>
      <c r="J789" s="90" t="str">
        <f>IF(Table26[[#This Row],[customerSKU]]="","",_xlfn.XLOOKUP(Table26[[#This Row],[customerSKU]],customerSKU!G:G,customerSKU!A:A,"",0,1))</f>
        <v/>
      </c>
      <c r="K789" s="232">
        <v>45643</v>
      </c>
      <c r="L789" s="233" t="str">
        <f>IF(Table26[[#This Row],[customerSKU]]="","",_xlfn.XLOOKUP(Table26[[#This Row],[customerSKU]],customerSKU!G:G,customerSKU!B:B,"",0,1))</f>
        <v/>
      </c>
      <c r="M789" s="90"/>
      <c r="N789" s="55" t="str">
        <f>Table26[[#This Row],[po_number]]&amp;"-"&amp;Table26[[#This Row],[po_line]]</f>
        <v>-2</v>
      </c>
      <c r="O789" s="55">
        <v>2</v>
      </c>
      <c r="P789" s="234"/>
      <c r="Q789" s="90" t="s">
        <v>1134</v>
      </c>
      <c r="R789" s="90" t="s">
        <v>569</v>
      </c>
      <c r="S789" s="90" t="s">
        <v>114</v>
      </c>
      <c r="T789" s="20">
        <v>45588</v>
      </c>
      <c r="U789" s="236">
        <v>12</v>
      </c>
      <c r="V789" s="90" t="str">
        <f>IF(ISBLANK(Table26[[#This Row],[customerSKU]]),"",_xlfn.XLOOKUP(Table26[[#This Row],[customerSKU]],Table27[customer_SKU],Table27[case_size],"",0,1))</f>
        <v/>
      </c>
      <c r="W789" s="237" t="str">
        <f t="shared" si="33"/>
        <v/>
      </c>
      <c r="X789" s="90" t="str">
        <f t="shared" si="35"/>
        <v/>
      </c>
      <c r="Y789" s="90" t="str">
        <f>IF(Table26[[#This Row],[customerSKU]]="","",_xlfn.XLOOKUP(Table26[[#This Row],[customerSKU]],Table27[customer_SKU],Table27[product_GTIN],"",0,1))</f>
        <v/>
      </c>
      <c r="Z789" s="25" t="s">
        <v>3406</v>
      </c>
      <c r="AA789" s="18" t="str" cm="1">
        <f t="array" ref="AA789">IF(P789="", "", _xlfn.XLOOKUP(P789,#REF!,#REF!,NA,0,-1))</f>
        <v/>
      </c>
      <c r="AB789" s="90"/>
      <c r="AC789" s="55" t="s">
        <v>3365</v>
      </c>
      <c r="AD789" s="55" t="str">
        <f>IF($AC789="","",_xlfn.XLOOKUP($AC789,'[2]Client Info'!$C$2:$C$2535,'[2]Client Info'!$D$2:$D$2535,"",0,1))</f>
        <v>Unit 101, 3596 Kingsway</v>
      </c>
      <c r="AE789" s="55" t="str">
        <f>IF($AC789="","",_xlfn.XLOOKUP($AC789,'[2]Client Info'!$C$2:$C$2715,'[2]Client Info'!$E$2:$E$2715,"",))</f>
        <v>Vancouver</v>
      </c>
      <c r="AF789" s="55" t="str">
        <f>IF($AC789="","",_xlfn.XLOOKUP($AC789,'[2]Client Info'!$C$2:$C$2715,'[2]Client Info'!$F$2:$F$2715,"",0,1))</f>
        <v xml:space="preserve">BC </v>
      </c>
      <c r="AG789" s="55" t="s">
        <v>3365</v>
      </c>
      <c r="AH789" s="245" t="str">
        <f>_xlfn.XLOOKUP(Table26[[#This Row],[customerSKU]],customerSKU!G:G,customerSKU!K:K,"NA",0,1)</f>
        <v>NA</v>
      </c>
      <c r="AI789" s="43" t="str">
        <f>_xlfn.XLOOKUP(Table26[[#This Row],[customerSKU]],customerSKU!G:G,customerSKU!O:O,"not found",0,1)</f>
        <v>not found</v>
      </c>
      <c r="AJ789" s="53" t="e">
        <f>Table26[[#This Row],[unitprice]]*Table26[[#This Row],[quantity_unit]]</f>
        <v>#VALUE!</v>
      </c>
      <c r="AK789" s="53" t="e" cm="1">
        <f t="array" ref="AK7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0" spans="1:37" ht="18" customHeight="1">
      <c r="A790" s="42">
        <v>1475</v>
      </c>
      <c r="B790" s="249" t="s">
        <v>3520</v>
      </c>
      <c r="C790" s="90" t="s">
        <v>203</v>
      </c>
      <c r="D790" s="235"/>
      <c r="E790" s="235"/>
      <c r="F79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790" s="46"/>
      <c r="H790" s="90"/>
      <c r="I790" s="90"/>
      <c r="J790" s="90" t="str">
        <f>IF(Table26[[#This Row],[customerSKU]]="","",_xlfn.XLOOKUP(Table26[[#This Row],[customerSKU]],customerSKU!G:G,customerSKU!A:A,"",0,1))</f>
        <v/>
      </c>
      <c r="K790" s="232">
        <v>45643</v>
      </c>
      <c r="L790" s="233" t="str">
        <f>IF(Table26[[#This Row],[customerSKU]]="","",_xlfn.XLOOKUP(Table26[[#This Row],[customerSKU]],customerSKU!G:G,customerSKU!B:B,"",0,1))</f>
        <v/>
      </c>
      <c r="M790" s="90"/>
      <c r="N790" s="55" t="str">
        <f>Table26[[#This Row],[po_number]]&amp;"-"&amp;Table26[[#This Row],[po_line]]</f>
        <v>-3</v>
      </c>
      <c r="O790" s="55">
        <v>3</v>
      </c>
      <c r="P790" s="234"/>
      <c r="Q790" s="90" t="s">
        <v>622</v>
      </c>
      <c r="R790" s="90" t="s">
        <v>569</v>
      </c>
      <c r="S790" s="90" t="s">
        <v>114</v>
      </c>
      <c r="T790" s="20">
        <v>45603</v>
      </c>
      <c r="U790" s="236">
        <v>12</v>
      </c>
      <c r="V790" s="90" t="str">
        <f>IF(ISBLANK(Table26[[#This Row],[customerSKU]]),"",_xlfn.XLOOKUP(Table26[[#This Row],[customerSKU]],Table27[customer_SKU],Table27[case_size],"",0,1))</f>
        <v/>
      </c>
      <c r="W790" s="237" t="str">
        <f t="shared" ref="W790:W821" si="36">IFERROR(U790/V790, "")</f>
        <v/>
      </c>
      <c r="X790" s="90" t="str">
        <f t="shared" si="35"/>
        <v/>
      </c>
      <c r="Y790" s="90" t="str">
        <f>IF(Table26[[#This Row],[customerSKU]]="","",_xlfn.XLOOKUP(Table26[[#This Row],[customerSKU]],Table27[customer_SKU],Table27[product_GTIN],"",0,1))</f>
        <v/>
      </c>
      <c r="Z790" s="25" t="s">
        <v>3434</v>
      </c>
      <c r="AA790" s="18" t="str" cm="1">
        <f t="array" ref="AA790">IF(P790="", "", _xlfn.XLOOKUP(P790,#REF!,#REF!,NA,0,-1))</f>
        <v/>
      </c>
      <c r="AB790" s="90"/>
      <c r="AC790" s="55" t="s">
        <v>3365</v>
      </c>
      <c r="AD790" s="55" t="str">
        <f>IF($AC790="","",_xlfn.XLOOKUP($AC790,'[2]Client Info'!$C$2:$C$2535,'[2]Client Info'!$D$2:$D$2535,"",0,1))</f>
        <v>Unit 101, 3596 Kingsway</v>
      </c>
      <c r="AE790" s="55" t="str">
        <f>IF($AC790="","",_xlfn.XLOOKUP($AC790,'[2]Client Info'!$C$2:$C$2715,'[2]Client Info'!$E$2:$E$2715,"",))</f>
        <v>Vancouver</v>
      </c>
      <c r="AF790" s="55" t="str">
        <f>IF($AC790="","",_xlfn.XLOOKUP($AC790,'[2]Client Info'!$C$2:$C$2715,'[2]Client Info'!$F$2:$F$2715,"",0,1))</f>
        <v xml:space="preserve">BC </v>
      </c>
      <c r="AG790" s="55" t="s">
        <v>3365</v>
      </c>
      <c r="AH790" s="245" t="str">
        <f>_xlfn.XLOOKUP(Table26[[#This Row],[customerSKU]],customerSKU!G:G,customerSKU!K:K,"NA",0,1)</f>
        <v>NA</v>
      </c>
      <c r="AI790" s="43" t="str">
        <f>_xlfn.XLOOKUP(Table26[[#This Row],[customerSKU]],customerSKU!G:G,customerSKU!O:O,"not found",0,1)</f>
        <v>not found</v>
      </c>
      <c r="AJ790" s="53" t="e">
        <f>Table26[[#This Row],[unitprice]]*Table26[[#This Row],[quantity_unit]]</f>
        <v>#VALUE!</v>
      </c>
      <c r="AK790" s="53" t="e" cm="1">
        <f t="array" ref="AK7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1" spans="1:37" ht="18" customHeight="1">
      <c r="A791" s="42">
        <v>1476</v>
      </c>
      <c r="B791" s="58" t="s">
        <v>3520</v>
      </c>
      <c r="C791" s="53" t="s">
        <v>3360</v>
      </c>
      <c r="D791" s="51"/>
      <c r="E791" s="51"/>
      <c r="F79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91" s="46"/>
      <c r="H791" s="53"/>
      <c r="I791" s="53"/>
      <c r="J791" s="90" t="str">
        <f>IF(Table26[[#This Row],[customerSKU]]="","",_xlfn.XLOOKUP(Table26[[#This Row],[customerSKU]],customerSKU!G:G,customerSKU!A:A,"",0,1))</f>
        <v/>
      </c>
      <c r="K791" s="48">
        <v>45643</v>
      </c>
      <c r="L791" s="49" t="str">
        <f>IF(Table26[[#This Row],[customerSKU]]="","",_xlfn.XLOOKUP(Table26[[#This Row],[customerSKU]],customerSKU!G:G,customerSKU!B:B,"",0,1))</f>
        <v/>
      </c>
      <c r="M791" s="53"/>
      <c r="N791" s="77" t="str">
        <f>Table26[[#This Row],[po_number]]&amp;"-"&amp;Table26[[#This Row],[po_line]]</f>
        <v>-1</v>
      </c>
      <c r="O791" s="77">
        <v>1</v>
      </c>
      <c r="P791" s="50"/>
      <c r="Q791" s="53"/>
      <c r="R791" s="53"/>
      <c r="S791" s="53" t="str">
        <f>IF(Table26[[#This Row],[customerSKU]]="","",_xlfn.XLOOKUP(Table26[[#This Row],[customerSKU]],customerSKU!G:G,customerSKU!N:N,"NOT FOUND",0,1))</f>
        <v>NOT FOUND</v>
      </c>
      <c r="T791" s="20"/>
      <c r="U791" s="52">
        <v>12</v>
      </c>
      <c r="V791" s="53" t="str">
        <f>IF(ISBLANK(Table26[[#This Row],[customerSKU]]),"",_xlfn.XLOOKUP(Table26[[#This Row],[customerSKU]],Table27[customer_SKU],Table27[case_size],"",0,1))</f>
        <v/>
      </c>
      <c r="W791" s="116" t="str">
        <f t="shared" si="36"/>
        <v/>
      </c>
      <c r="X791" s="53" t="str">
        <f t="shared" si="35"/>
        <v/>
      </c>
      <c r="Y791" s="53" t="str">
        <f>IF(Table26[[#This Row],[customerSKU]]="","",_xlfn.XLOOKUP(Table26[[#This Row],[customerSKU]],Table27[customer_SKU],Table27[product_GTIN],"",0,1))</f>
        <v/>
      </c>
      <c r="Z791" s="25" t="s">
        <v>3452</v>
      </c>
      <c r="AA791" s="18" t="str" cm="1">
        <f t="array" ref="AA791">IF(P791="", "", _xlfn.XLOOKUP(P791,#REF!,#REF!,NA,0,-1))</f>
        <v/>
      </c>
      <c r="AB791" s="53"/>
      <c r="AC791" s="55" t="str">
        <f>IF(Table26[[#This Row],[customerSKU]]="","",_xlfn.XLOOKUP(Table26[[#This Row],[customerSKU]],customerSKU!G:G,customerSKU!C:C,"",0,1))</f>
        <v/>
      </c>
      <c r="AD791" s="55" t="str">
        <f>IF($AC791="","",_xlfn.XLOOKUP($AC791,'[2]Client Info'!$C$2:$C$2535,'[2]Client Info'!$D$2:$D$2535,"",0,1))</f>
        <v/>
      </c>
      <c r="AE791" s="55" t="str">
        <f>IF($AC791="","",_xlfn.XLOOKUP($AC791,'[2]Client Info'!$C$2:$C$2715,'[2]Client Info'!$E$2:$E$2715,"",))</f>
        <v/>
      </c>
      <c r="AF791" s="55" t="str">
        <f>IF($AC791="","",_xlfn.XLOOKUP($AC791,'[2]Client Info'!$C$2:$C$2715,'[2]Client Info'!$F$2:$F$2715,"",0,1))</f>
        <v/>
      </c>
      <c r="AG791" s="55" t="str">
        <f>IF(ISBLANK(Table26[[#This Row],[customerSKU]]),"",_xlfn.XLOOKUP(Table26[[#This Row],[customerSKU]],Table27[customer_SKU],Table27[billto],"",0,1))</f>
        <v/>
      </c>
      <c r="AH791" s="62" t="str">
        <f>_xlfn.XLOOKUP(Table26[[#This Row],[customerSKU]],customerSKU!G:G,customerSKU!K:K,"NA",0,1)</f>
        <v>NA</v>
      </c>
      <c r="AI791" s="43" t="str">
        <f>_xlfn.XLOOKUP(Table26[[#This Row],[customerSKU]],customerSKU!G:G,customerSKU!O:O,"not found",0,1)</f>
        <v>not found</v>
      </c>
      <c r="AJ791" s="53" t="e">
        <f>Table26[[#This Row],[unitprice]]*Table26[[#This Row],[quantity_unit]]</f>
        <v>#VALUE!</v>
      </c>
      <c r="AK791" s="53" t="e" cm="1">
        <f t="array" ref="AK7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2" spans="1:37" ht="18" customHeight="1">
      <c r="A792" s="42">
        <v>1440</v>
      </c>
      <c r="B792" s="58" t="s">
        <v>3520</v>
      </c>
      <c r="C792" s="53" t="s">
        <v>203</v>
      </c>
      <c r="D792" s="51">
        <v>45636</v>
      </c>
      <c r="E792" s="51">
        <v>45653</v>
      </c>
      <c r="F792" s="53">
        <v>230921</v>
      </c>
      <c r="G792" s="46"/>
      <c r="H792" s="53"/>
      <c r="I792" s="53" t="s">
        <v>3818</v>
      </c>
      <c r="J792" s="53" t="str">
        <f>IF(Table26[[#This Row],[customerSKU]]="","",_xlfn.XLOOKUP(Table26[[#This Row],[customerSKU]],customerSKU!G:G,customerSKU!A:A,"",0,1))</f>
        <v/>
      </c>
      <c r="K792" s="48">
        <v>45645</v>
      </c>
      <c r="L792" s="49" t="str">
        <f>IF(Table26[[#This Row],[customerSKU]]="","",_xlfn.XLOOKUP(Table26[[#This Row],[customerSKU]],customerSKU!G:G,customerSKU!B:B,"",0,1))</f>
        <v/>
      </c>
      <c r="M792" s="53"/>
      <c r="N792" s="77" t="str">
        <f>Table26[[#This Row],[po_number]]&amp;"-"&amp;Table26[[#This Row],[po_line]]</f>
        <v>-1</v>
      </c>
      <c r="O792" s="77">
        <v>1</v>
      </c>
      <c r="P792" s="50"/>
      <c r="Q792" s="53" t="s">
        <v>659</v>
      </c>
      <c r="R792" s="53" t="s">
        <v>569</v>
      </c>
      <c r="S792" s="53" t="str">
        <f>IF(Table26[[#This Row],[customerSKU]]="","",_xlfn.XLOOKUP(Table26[[#This Row],[customerSKU]],customerSKU!G:G,customerSKU!N:N,"NOT FOUND",0,1))</f>
        <v>NOT FOUND</v>
      </c>
      <c r="T792" s="20">
        <v>45638</v>
      </c>
      <c r="U792" s="52">
        <v>1200</v>
      </c>
      <c r="V792" s="53" t="str">
        <f>IF(ISBLANK(Table26[[#This Row],[customerSKU]]),"",_xlfn.XLOOKUP(Table26[[#This Row],[customerSKU]],Table27[customer_SKU],Table27[case_size],"",0,1))</f>
        <v/>
      </c>
      <c r="W792" s="116" t="str">
        <f t="shared" si="36"/>
        <v/>
      </c>
      <c r="X792" s="53" t="str">
        <f t="shared" si="35"/>
        <v/>
      </c>
      <c r="Y792" s="53" t="str">
        <f>IF(Table26[[#This Row],[customerSKU]]="","",_xlfn.XLOOKUP(Table26[[#This Row],[customerSKU]],Table27[customer_SKU],Table27[product_GTIN],"",0,1))</f>
        <v/>
      </c>
      <c r="Z792" s="90" t="s">
        <v>3596</v>
      </c>
      <c r="AA792" s="18" t="str" cm="1">
        <f t="array" ref="AA792">IF(P792="", "", _xlfn.XLOOKUP(P792,#REF!,#REF!,NA,0,-1))</f>
        <v/>
      </c>
      <c r="AB792" s="53"/>
      <c r="AC792" s="55" t="str">
        <f>IF(Table26[[#This Row],[customerSKU]]="","",_xlfn.XLOOKUP(Table26[[#This Row],[customerSKU]],customerSKU!G:G,customerSKU!C:C,"",0,1))</f>
        <v/>
      </c>
      <c r="AD792" s="55" t="str">
        <f>IF($AC792="","",_xlfn.XLOOKUP($AC792,'[2]Client Info'!$C$2:$C$2535,'[2]Client Info'!$D$2:$D$2535,"",0,1))</f>
        <v/>
      </c>
      <c r="AE792" s="55" t="str">
        <f>IF($AC792="","",_xlfn.XLOOKUP($AC792,'[2]Client Info'!$C$2:$C$2715,'[2]Client Info'!$E$2:$E$2715,"",))</f>
        <v/>
      </c>
      <c r="AF792" s="55" t="str">
        <f>IF($AC792="","",_xlfn.XLOOKUP($AC792,'[2]Client Info'!$C$2:$C$2715,'[2]Client Info'!$F$2:$F$2715,"",0,1))</f>
        <v/>
      </c>
      <c r="AG792" s="55" t="str">
        <f>IF(ISBLANK(Table26[[#This Row],[customerSKU]]),"",_xlfn.XLOOKUP(Table26[[#This Row],[customerSKU]],Table27[customer_SKU],Table27[billto],"",0,1))</f>
        <v/>
      </c>
      <c r="AH792" s="62" t="str">
        <f>_xlfn.XLOOKUP(Table26[[#This Row],[customerSKU]],customerSKU!G:G,customerSKU!K:K,"NA",0,1)</f>
        <v>NA</v>
      </c>
      <c r="AI792" s="43" t="str">
        <f>_xlfn.XLOOKUP(Table26[[#This Row],[customerSKU]],customerSKU!G:G,customerSKU!O:O,"not found",0,1)</f>
        <v>not found</v>
      </c>
      <c r="AJ792" s="53" t="e">
        <f>Table26[[#This Row],[unitprice]]*Table26[[#This Row],[quantity_unit]]</f>
        <v>#VALUE!</v>
      </c>
      <c r="AK792" s="53" t="e" cm="1">
        <f t="array" ref="AK7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3" spans="1:37" ht="18" customHeight="1">
      <c r="A793" s="42">
        <v>1441</v>
      </c>
      <c r="B793" s="58" t="s">
        <v>3520</v>
      </c>
      <c r="C793" s="53" t="s">
        <v>203</v>
      </c>
      <c r="D793" s="51">
        <v>45636</v>
      </c>
      <c r="E793" s="51">
        <v>45653</v>
      </c>
      <c r="F793" s="53">
        <v>230921</v>
      </c>
      <c r="G793" s="46"/>
      <c r="H793" s="53"/>
      <c r="I793" s="53" t="s">
        <v>3818</v>
      </c>
      <c r="J793" s="53" t="str">
        <f>IF(Table26[[#This Row],[customerSKU]]="","",_xlfn.XLOOKUP(Table26[[#This Row],[customerSKU]],customerSKU!G:G,customerSKU!A:A,"",0,1))</f>
        <v/>
      </c>
      <c r="K793" s="48">
        <v>45645</v>
      </c>
      <c r="L793" s="49" t="str">
        <f>IF(Table26[[#This Row],[customerSKU]]="","",_xlfn.XLOOKUP(Table26[[#This Row],[customerSKU]],customerSKU!G:G,customerSKU!B:B,"",0,1))</f>
        <v/>
      </c>
      <c r="M793" s="53"/>
      <c r="N793" s="77" t="str">
        <f>Table26[[#This Row],[po_number]]&amp;"-"&amp;Table26[[#This Row],[po_line]]</f>
        <v>-2</v>
      </c>
      <c r="O793" s="77">
        <v>2</v>
      </c>
      <c r="P793" s="50"/>
      <c r="Q793" s="53" t="s">
        <v>3856</v>
      </c>
      <c r="R793" s="53" t="s">
        <v>569</v>
      </c>
      <c r="S793" s="53" t="str">
        <f>IF(Table26[[#This Row],[customerSKU]]="","",_xlfn.XLOOKUP(Table26[[#This Row],[customerSKU]],customerSKU!G:G,customerSKU!N:N,"NOT FOUND",0,1))</f>
        <v>NOT FOUND</v>
      </c>
      <c r="T793" s="20">
        <v>45618</v>
      </c>
      <c r="U793" s="52">
        <v>240</v>
      </c>
      <c r="V793" s="53" t="str">
        <f>IF(ISBLANK(Table26[[#This Row],[customerSKU]]),"",_xlfn.XLOOKUP(Table26[[#This Row],[customerSKU]],Table27[customer_SKU],Table27[case_size],"",0,1))</f>
        <v/>
      </c>
      <c r="W793" s="116" t="str">
        <f t="shared" si="36"/>
        <v/>
      </c>
      <c r="X793" s="53" t="str">
        <f t="shared" si="35"/>
        <v/>
      </c>
      <c r="Y793" s="53" t="str">
        <f>IF(Table26[[#This Row],[customerSKU]]="","",_xlfn.XLOOKUP(Table26[[#This Row],[customerSKU]],Table27[customer_SKU],Table27[product_GTIN],"",0,1))</f>
        <v/>
      </c>
      <c r="Z793" s="90" t="s">
        <v>3382</v>
      </c>
      <c r="AA793" s="18" t="str" cm="1">
        <f t="array" ref="AA793">IF(P793="", "", _xlfn.XLOOKUP(P793,#REF!,#REF!,NA,0,-1))</f>
        <v/>
      </c>
      <c r="AB793" s="53"/>
      <c r="AC793" s="55" t="str">
        <f>IF(Table26[[#This Row],[customerSKU]]="","",_xlfn.XLOOKUP(Table26[[#This Row],[customerSKU]],customerSKU!G:G,customerSKU!C:C,"",0,1))</f>
        <v/>
      </c>
      <c r="AD793" s="55" t="str">
        <f>IF($AC793="","",_xlfn.XLOOKUP($AC793,'[2]Client Info'!$C$2:$C$2535,'[2]Client Info'!$D$2:$D$2535,"",0,1))</f>
        <v/>
      </c>
      <c r="AE793" s="55" t="str">
        <f>IF($AC793="","",_xlfn.XLOOKUP($AC793,'[2]Client Info'!$C$2:$C$2715,'[2]Client Info'!$E$2:$E$2715,"",))</f>
        <v/>
      </c>
      <c r="AF793" s="55" t="str">
        <f>IF($AC793="","",_xlfn.XLOOKUP($AC793,'[2]Client Info'!$C$2:$C$2715,'[2]Client Info'!$F$2:$F$2715,"",0,1))</f>
        <v/>
      </c>
      <c r="AG793" s="55" t="str">
        <f>IF(ISBLANK(Table26[[#This Row],[customerSKU]]),"",_xlfn.XLOOKUP(Table26[[#This Row],[customerSKU]],Table27[customer_SKU],Table27[billto],"",0,1))</f>
        <v/>
      </c>
      <c r="AH793" s="62" t="str">
        <f>_xlfn.XLOOKUP(Table26[[#This Row],[customerSKU]],customerSKU!G:G,customerSKU!K:K,"NA",0,1)</f>
        <v>NA</v>
      </c>
      <c r="AI793" s="43" t="str">
        <f>_xlfn.XLOOKUP(Table26[[#This Row],[customerSKU]],customerSKU!G:G,customerSKU!O:O,"not found",0,1)</f>
        <v>not found</v>
      </c>
      <c r="AJ793" s="53" t="e">
        <f>Table26[[#This Row],[unitprice]]*Table26[[#This Row],[quantity_unit]]</f>
        <v>#VALUE!</v>
      </c>
      <c r="AK793" s="53" t="e" cm="1">
        <f t="array" ref="AK7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4" spans="1:37" ht="18" customHeight="1">
      <c r="A794" s="42">
        <v>1442</v>
      </c>
      <c r="B794" s="58" t="s">
        <v>3520</v>
      </c>
      <c r="C794" s="53" t="s">
        <v>203</v>
      </c>
      <c r="D794" s="51">
        <v>45636</v>
      </c>
      <c r="E794" s="51">
        <v>45653</v>
      </c>
      <c r="F794" s="53">
        <v>230921</v>
      </c>
      <c r="G794" s="46"/>
      <c r="H794" s="53"/>
      <c r="I794" s="53" t="s">
        <v>3818</v>
      </c>
      <c r="J794" s="53" t="str">
        <f>IF(Table26[[#This Row],[customerSKU]]="","",_xlfn.XLOOKUP(Table26[[#This Row],[customerSKU]],customerSKU!G:G,customerSKU!A:A,"",0,1))</f>
        <v/>
      </c>
      <c r="K794" s="48">
        <v>45645</v>
      </c>
      <c r="L794" s="49" t="str">
        <f>IF(Table26[[#This Row],[customerSKU]]="","",_xlfn.XLOOKUP(Table26[[#This Row],[customerSKU]],customerSKU!G:G,customerSKU!B:B,"",0,1))</f>
        <v/>
      </c>
      <c r="M794" s="53"/>
      <c r="N794" s="77" t="str">
        <f>Table26[[#This Row],[po_number]]&amp;"-"&amp;Table26[[#This Row],[po_line]]</f>
        <v>-3</v>
      </c>
      <c r="O794" s="77">
        <v>3</v>
      </c>
      <c r="P794" s="50"/>
      <c r="Q794" s="53" t="s">
        <v>612</v>
      </c>
      <c r="R794" s="53" t="s">
        <v>569</v>
      </c>
      <c r="S794" s="53" t="str">
        <f>IF(Table26[[#This Row],[customerSKU]]="","",_xlfn.XLOOKUP(Table26[[#This Row],[customerSKU]],customerSKU!G:G,customerSKU!N:N,"NOT FOUND",0,1))</f>
        <v>NOT FOUND</v>
      </c>
      <c r="T794" s="20">
        <v>45615</v>
      </c>
      <c r="U794" s="52">
        <v>240</v>
      </c>
      <c r="V794" s="53" t="str">
        <f>IF(ISBLANK(Table26[[#This Row],[customerSKU]]),"",_xlfn.XLOOKUP(Table26[[#This Row],[customerSKU]],Table27[customer_SKU],Table27[case_size],"",0,1))</f>
        <v/>
      </c>
      <c r="W794" s="116" t="str">
        <f t="shared" si="36"/>
        <v/>
      </c>
      <c r="X794" s="53" t="str">
        <f t="shared" si="35"/>
        <v/>
      </c>
      <c r="Y794" s="53" t="str">
        <f>IF(Table26[[#This Row],[customerSKU]]="","",_xlfn.XLOOKUP(Table26[[#This Row],[customerSKU]],Table27[customer_SKU],Table27[product_GTIN],"",0,1))</f>
        <v/>
      </c>
      <c r="Z794" s="90" t="s">
        <v>3472</v>
      </c>
      <c r="AA794" s="18" t="str" cm="1">
        <f t="array" ref="AA794">IF(P794="", "", _xlfn.XLOOKUP(P794,#REF!,#REF!,NA,0,-1))</f>
        <v/>
      </c>
      <c r="AB794" s="53"/>
      <c r="AC794" s="55" t="str">
        <f>IF(Table26[[#This Row],[customerSKU]]="","",_xlfn.XLOOKUP(Table26[[#This Row],[customerSKU]],customerSKU!G:G,customerSKU!C:C,"",0,1))</f>
        <v/>
      </c>
      <c r="AD794" s="55" t="str">
        <f>IF($AC794="","",_xlfn.XLOOKUP($AC794,'[2]Client Info'!$C$2:$C$2535,'[2]Client Info'!$D$2:$D$2535,"",0,1))</f>
        <v/>
      </c>
      <c r="AE794" s="55" t="str">
        <f>IF($AC794="","",_xlfn.XLOOKUP($AC794,'[2]Client Info'!$C$2:$C$2715,'[2]Client Info'!$E$2:$E$2715,"",))</f>
        <v/>
      </c>
      <c r="AF794" s="55" t="str">
        <f>IF($AC794="","",_xlfn.XLOOKUP($AC794,'[2]Client Info'!$C$2:$C$2715,'[2]Client Info'!$F$2:$F$2715,"",0,1))</f>
        <v/>
      </c>
      <c r="AG794" s="55" t="str">
        <f>IF(ISBLANK(Table26[[#This Row],[customerSKU]]),"",_xlfn.XLOOKUP(Table26[[#This Row],[customerSKU]],Table27[customer_SKU],Table27[billto],"",0,1))</f>
        <v/>
      </c>
      <c r="AH794" s="62" t="str">
        <f>_xlfn.XLOOKUP(Table26[[#This Row],[customerSKU]],customerSKU!G:G,customerSKU!K:K,"NA",0,1)</f>
        <v>NA</v>
      </c>
      <c r="AI794" s="43" t="str">
        <f>_xlfn.XLOOKUP(Table26[[#This Row],[customerSKU]],customerSKU!G:G,customerSKU!O:O,"not found",0,1)</f>
        <v>not found</v>
      </c>
      <c r="AJ794" s="53" t="e">
        <f>Table26[[#This Row],[unitprice]]*Table26[[#This Row],[quantity_unit]]</f>
        <v>#VALUE!</v>
      </c>
      <c r="AK794" s="53" t="e" cm="1">
        <f t="array" ref="AK7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5" spans="1:37" ht="18" customHeight="1">
      <c r="A795" s="42">
        <v>1443</v>
      </c>
      <c r="B795" s="58" t="s">
        <v>3520</v>
      </c>
      <c r="C795" s="53" t="s">
        <v>203</v>
      </c>
      <c r="D795" s="51"/>
      <c r="E795" s="51"/>
      <c r="F795" s="53"/>
      <c r="G795" s="46"/>
      <c r="H795" s="53"/>
      <c r="I795" s="53"/>
      <c r="J795" s="90" t="str">
        <f>IF(Table26[[#This Row],[customerSKU]]="","",_xlfn.XLOOKUP(Table26[[#This Row],[customerSKU]],customerSKU!G:G,customerSKU!A:A,"",0,1))</f>
        <v/>
      </c>
      <c r="K795" s="48">
        <v>45645</v>
      </c>
      <c r="L795" s="49" t="str">
        <f>IF(Table26[[#This Row],[customerSKU]]="","",_xlfn.XLOOKUP(Table26[[#This Row],[customerSKU]],customerSKU!G:G,customerSKU!B:B,"",0,1))</f>
        <v/>
      </c>
      <c r="M795" s="53"/>
      <c r="N795" s="77" t="str">
        <f>Table26[[#This Row],[po_number]]&amp;"-"&amp;Table26[[#This Row],[po_line]]</f>
        <v>-1</v>
      </c>
      <c r="O795" s="77">
        <v>1</v>
      </c>
      <c r="P795" s="50"/>
      <c r="Q795" s="53" t="s">
        <v>1172</v>
      </c>
      <c r="R795" s="53" t="s">
        <v>3302</v>
      </c>
      <c r="S795" s="53" t="str">
        <f>IF(Table26[[#This Row],[customerSKU]]="","",_xlfn.XLOOKUP(Table26[[#This Row],[customerSKU]],customerSKU!G:G,customerSKU!N:N,"NOT FOUND",0,1))</f>
        <v>NOT FOUND</v>
      </c>
      <c r="T795" s="51">
        <v>45588</v>
      </c>
      <c r="U795" s="52">
        <v>60</v>
      </c>
      <c r="V795" s="53" t="str">
        <f>IF(ISBLANK(Table26[[#This Row],[customerSKU]]),"",_xlfn.XLOOKUP(Table26[[#This Row],[customerSKU]],Table27[customer_SKU],Table27[case_size],"",0,1))</f>
        <v/>
      </c>
      <c r="W795" s="116" t="str">
        <f t="shared" si="36"/>
        <v/>
      </c>
      <c r="X795" s="53" t="str">
        <f t="shared" si="35"/>
        <v/>
      </c>
      <c r="Y795" s="53" t="str">
        <f>IF(Table26[[#This Row],[customerSKU]]="","",_xlfn.XLOOKUP(Table26[[#This Row],[customerSKU]],Table27[customer_SKU],Table27[product_GTIN],"",0,1))</f>
        <v/>
      </c>
      <c r="Z795" s="25" t="s">
        <v>3409</v>
      </c>
      <c r="AA795" s="18" t="str" cm="1">
        <f t="array" ref="AA795">IF(P795="", "", _xlfn.XLOOKUP(P795,#REF!,#REF!,NA,0,-1))</f>
        <v/>
      </c>
      <c r="AB795" s="53"/>
      <c r="AC795" s="55" t="s">
        <v>3819</v>
      </c>
      <c r="AD795" s="55" t="str">
        <f>IF($AC795="","",_xlfn.XLOOKUP($AC795,'[2]Client Info'!$C$2:$C$2535,'[2]Client Info'!$D$2:$D$2535))</f>
        <v>20 GRANITE RIDGE RD</v>
      </c>
      <c r="AE795" s="55" t="str">
        <f>IF($AC795="","",_xlfn.XLOOKUP($AC795,'[2]Client Info'!$C$2:$C$2715,'[2]Client Info'!$E$2:$E$2715,"",))</f>
        <v>CONCORD</v>
      </c>
      <c r="AF795" s="55" t="str">
        <f>IF($AC795="","",_xlfn.XLOOKUP($AC795,'[2]Client Info'!$C$2:$C$2715,'[2]Client Info'!$F$2:$F$2715,"",0,1))</f>
        <v>ON</v>
      </c>
      <c r="AG795" s="55" t="s">
        <v>3420</v>
      </c>
      <c r="AH795" s="62" t="s">
        <v>3770</v>
      </c>
      <c r="AI795" s="43" t="str">
        <f>_xlfn.XLOOKUP(Table26[[#This Row],[customerSKU]],customerSKU!G:G,customerSKU!O:O,"not found",0,1)</f>
        <v>not found</v>
      </c>
      <c r="AJ795" s="53" t="e">
        <f>Table26[[#This Row],[unitprice]]*Table26[[#This Row],[quantity_unit]]</f>
        <v>#VALUE!</v>
      </c>
      <c r="AK795" s="53" t="e" cm="1">
        <f t="array" ref="AK7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6" spans="1:37" ht="18" customHeight="1">
      <c r="A796" s="42">
        <v>1444</v>
      </c>
      <c r="B796" s="58" t="s">
        <v>3520</v>
      </c>
      <c r="C796" s="53" t="s">
        <v>203</v>
      </c>
      <c r="D796" s="51"/>
      <c r="E796" s="51"/>
      <c r="F796" s="53"/>
      <c r="G796" s="46"/>
      <c r="H796" s="53"/>
      <c r="I796" s="53"/>
      <c r="J796" s="90" t="str">
        <f>IF(Table26[[#This Row],[customerSKU]]="","",_xlfn.XLOOKUP(Table26[[#This Row],[customerSKU]],customerSKU!G:G,customerSKU!A:A,"",0,1))</f>
        <v/>
      </c>
      <c r="K796" s="48">
        <v>45645</v>
      </c>
      <c r="L796" s="49" t="str">
        <f>IF(Table26[[#This Row],[customerSKU]]="","",_xlfn.XLOOKUP(Table26[[#This Row],[customerSKU]],customerSKU!G:G,customerSKU!B:B,"",0,1))</f>
        <v/>
      </c>
      <c r="M796" s="53"/>
      <c r="N796" s="77" t="str">
        <f>Table26[[#This Row],[po_number]]&amp;"-"&amp;Table26[[#This Row],[po_line]]</f>
        <v>-2</v>
      </c>
      <c r="O796" s="77">
        <v>2</v>
      </c>
      <c r="P796" s="50"/>
      <c r="Q796" s="53" t="s">
        <v>3362</v>
      </c>
      <c r="R796" s="53" t="s">
        <v>3302</v>
      </c>
      <c r="S796" s="53" t="str">
        <f>IF(Table26[[#This Row],[customerSKU]]="","",_xlfn.XLOOKUP(Table26[[#This Row],[customerSKU]],customerSKU!G:G,customerSKU!N:N,"NOT FOUND",0,1))</f>
        <v>NOT FOUND</v>
      </c>
      <c r="T796" s="51">
        <v>45624</v>
      </c>
      <c r="U796" s="52">
        <v>204</v>
      </c>
      <c r="V796" s="53" t="str">
        <f>IF(ISBLANK(Table26[[#This Row],[customerSKU]]),"",_xlfn.XLOOKUP(Table26[[#This Row],[customerSKU]],Table27[customer_SKU],Table27[case_size],"",0,1))</f>
        <v/>
      </c>
      <c r="W796" s="116" t="str">
        <f t="shared" si="36"/>
        <v/>
      </c>
      <c r="X796" s="53" t="str">
        <f t="shared" si="35"/>
        <v/>
      </c>
      <c r="Y796" s="53" t="str">
        <f>IF(Table26[[#This Row],[customerSKU]]="","",_xlfn.XLOOKUP(Table26[[#This Row],[customerSKU]],Table27[customer_SKU],Table27[product_GTIN],"",0,1))</f>
        <v/>
      </c>
      <c r="Z796" s="25" t="s">
        <v>3363</v>
      </c>
      <c r="AA796" s="18" t="str" cm="1">
        <f t="array" ref="AA796">IF(P796="", "", _xlfn.XLOOKUP(P796,#REF!,#REF!,NA,0,-1))</f>
        <v/>
      </c>
      <c r="AB796" s="53"/>
      <c r="AC796" s="55" t="s">
        <v>3819</v>
      </c>
      <c r="AD796" s="55" t="str">
        <f>IF($AC796="","",_xlfn.XLOOKUP($AC796,'[2]Client Info'!$C$2:$C$2535,'[2]Client Info'!$D$2:$D$2535))</f>
        <v>20 GRANITE RIDGE RD</v>
      </c>
      <c r="AE796" s="55" t="str">
        <f>IF($AC796="","",_xlfn.XLOOKUP($AC796,'[2]Client Info'!$C$2:$C$2715,'[2]Client Info'!$E$2:$E$2715,"",))</f>
        <v>CONCORD</v>
      </c>
      <c r="AF796" s="55" t="str">
        <f>IF($AC796="","",_xlfn.XLOOKUP($AC796,'[2]Client Info'!$C$2:$C$2715,'[2]Client Info'!$F$2:$F$2715,"",0,1))</f>
        <v>ON</v>
      </c>
      <c r="AG796" s="55" t="s">
        <v>3420</v>
      </c>
      <c r="AH796" s="62" t="s">
        <v>3770</v>
      </c>
      <c r="AI796" s="43" t="str">
        <f>_xlfn.XLOOKUP(Table26[[#This Row],[customerSKU]],customerSKU!G:G,customerSKU!O:O,"not found",0,1)</f>
        <v>not found</v>
      </c>
      <c r="AJ796" s="53" t="e">
        <f>Table26[[#This Row],[unitprice]]*Table26[[#This Row],[quantity_unit]]</f>
        <v>#VALUE!</v>
      </c>
      <c r="AK796" s="53" t="e" cm="1">
        <f t="array" ref="AK7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7" spans="1:37" ht="18" customHeight="1">
      <c r="A797" s="42">
        <v>1445</v>
      </c>
      <c r="B797" s="58" t="s">
        <v>3837</v>
      </c>
      <c r="C797" s="53" t="s">
        <v>203</v>
      </c>
      <c r="D797" s="51"/>
      <c r="E797" s="51"/>
      <c r="F79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97" s="46"/>
      <c r="H797" s="53"/>
      <c r="I797" s="53"/>
      <c r="J797" s="90" t="str">
        <f>IF(Table26[[#This Row],[customerSKU]]="","",_xlfn.XLOOKUP(Table26[[#This Row],[customerSKU]],customerSKU!G:G,customerSKU!A:A,"",0,1))</f>
        <v/>
      </c>
      <c r="K797" s="48">
        <v>45645</v>
      </c>
      <c r="L797" s="49" t="str">
        <f>IF(Table26[[#This Row],[customerSKU]]="","",_xlfn.XLOOKUP(Table26[[#This Row],[customerSKU]],customerSKU!G:G,customerSKU!B:B,"",0,1))</f>
        <v/>
      </c>
      <c r="M797" s="53"/>
      <c r="N797" s="77" t="str">
        <f>Table26[[#This Row],[po_number]]&amp;"-"&amp;Table26[[#This Row],[po_line]]</f>
        <v>-1</v>
      </c>
      <c r="O797" s="77">
        <v>1</v>
      </c>
      <c r="P797" s="50"/>
      <c r="Q797" s="53" t="s">
        <v>3398</v>
      </c>
      <c r="R797" s="53" t="s">
        <v>569</v>
      </c>
      <c r="S797" s="53" t="s">
        <v>132</v>
      </c>
      <c r="T797" s="20">
        <v>45639</v>
      </c>
      <c r="U797" s="52">
        <v>240</v>
      </c>
      <c r="V797" s="53" t="str">
        <f>IF(ISBLANK(Table26[[#This Row],[customerSKU]]),"",_xlfn.XLOOKUP(Table26[[#This Row],[customerSKU]],Table27[customer_SKU],Table27[case_size],"",0,1))</f>
        <v/>
      </c>
      <c r="W797" s="116" t="str">
        <f t="shared" si="36"/>
        <v/>
      </c>
      <c r="X797" s="53" t="str">
        <f t="shared" si="35"/>
        <v/>
      </c>
      <c r="Y797" s="53" t="str">
        <f>IF(Table26[[#This Row],[customerSKU]]="","",_xlfn.XLOOKUP(Table26[[#This Row],[customerSKU]],Table27[customer_SKU],Table27[product_GTIN],"",0,1))</f>
        <v/>
      </c>
      <c r="Z797" s="90" t="s">
        <v>3965</v>
      </c>
      <c r="AA797" s="18" t="str" cm="1">
        <f t="array" ref="AA797">IF(P797="", "", _xlfn.XLOOKUP(P797,#REF!,#REF!,NA,0,-1))</f>
        <v/>
      </c>
      <c r="AB797" s="53"/>
      <c r="AC797" s="55" t="str">
        <f>IF(Table26[[#This Row],[customerSKU]]="","",_xlfn.XLOOKUP(Table26[[#This Row],[customerSKU]],customerSKU!G:G,customerSKU!C:C,"",0,1))</f>
        <v/>
      </c>
      <c r="AD797" s="55" t="str">
        <f>IF($AC797="","",_xlfn.XLOOKUP($AC797,'[2]Client Info'!$C$2:$C$2535,'[2]Client Info'!$D$2:$D$2535,"",0,1))</f>
        <v/>
      </c>
      <c r="AE797" s="55" t="str">
        <f>IF($AC797="","",_xlfn.XLOOKUP($AC797,'[2]Client Info'!$C$2:$C$2715,'[2]Client Info'!$E$2:$E$2715,"",))</f>
        <v/>
      </c>
      <c r="AF797" s="55" t="str">
        <f>IF($AC797="","",_xlfn.XLOOKUP($AC797,'[2]Client Info'!$C$2:$C$2715,'[2]Client Info'!$F$2:$F$2715,"",0,1))</f>
        <v/>
      </c>
      <c r="AG797" s="55" t="str">
        <f>IF(ISBLANK(Table26[[#This Row],[customerSKU]]),"",_xlfn.XLOOKUP(Table26[[#This Row],[customerSKU]],Table27[customer_SKU],Table27[billto],"",0,1))</f>
        <v/>
      </c>
      <c r="AH797" s="62" t="str">
        <f>_xlfn.XLOOKUP(Table26[[#This Row],[customerSKU]],customerSKU!G:G,customerSKU!K:K,"NA",0,1)</f>
        <v>NA</v>
      </c>
      <c r="AI797" s="43" t="str">
        <f>_xlfn.XLOOKUP(Table26[[#This Row],[customerSKU]],customerSKU!G:G,customerSKU!O:O,"not found",0,1)</f>
        <v>not found</v>
      </c>
      <c r="AJ797" s="53" t="e">
        <f>Table26[[#This Row],[unitprice]]*Table26[[#This Row],[quantity_unit]]</f>
        <v>#VALUE!</v>
      </c>
      <c r="AK797" s="53" t="e" cm="1">
        <f t="array" ref="AK7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8" spans="1:37" ht="18" customHeight="1">
      <c r="A798" s="42">
        <v>1446</v>
      </c>
      <c r="B798" s="58" t="s">
        <v>3837</v>
      </c>
      <c r="C798" s="53" t="s">
        <v>203</v>
      </c>
      <c r="D798" s="51"/>
      <c r="E798" s="51"/>
      <c r="F79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98" s="46"/>
      <c r="H798" s="53"/>
      <c r="I798" s="53"/>
      <c r="J798" s="90" t="str">
        <f>IF(Table26[[#This Row],[customerSKU]]="","",_xlfn.XLOOKUP(Table26[[#This Row],[customerSKU]],customerSKU!G:G,customerSKU!A:A,"",0,1))</f>
        <v/>
      </c>
      <c r="K798" s="48">
        <v>45645</v>
      </c>
      <c r="L798" s="49" t="str">
        <f>IF(Table26[[#This Row],[customerSKU]]="","",_xlfn.XLOOKUP(Table26[[#This Row],[customerSKU]],customerSKU!G:G,customerSKU!B:B,"",0,1))</f>
        <v/>
      </c>
      <c r="M798" s="53"/>
      <c r="N798" s="77" t="str">
        <f>Table26[[#This Row],[po_number]]&amp;"-"&amp;Table26[[#This Row],[po_line]]</f>
        <v>-2</v>
      </c>
      <c r="O798" s="77">
        <v>2</v>
      </c>
      <c r="P798" s="50"/>
      <c r="Q798" s="53" t="s">
        <v>3398</v>
      </c>
      <c r="R798" s="53" t="s">
        <v>569</v>
      </c>
      <c r="S798" s="53" t="s">
        <v>134</v>
      </c>
      <c r="T798" s="20">
        <v>45639</v>
      </c>
      <c r="U798" s="52">
        <v>240</v>
      </c>
      <c r="V798" s="53" t="str">
        <f>IF(ISBLANK(Table26[[#This Row],[customerSKU]]),"",_xlfn.XLOOKUP(Table26[[#This Row],[customerSKU]],Table27[customer_SKU],Table27[case_size],"",0,1))</f>
        <v/>
      </c>
      <c r="W798" s="116" t="str">
        <f t="shared" si="36"/>
        <v/>
      </c>
      <c r="X798" s="53" t="str">
        <f t="shared" si="35"/>
        <v/>
      </c>
      <c r="Y798" s="53" t="str">
        <f>IF(Table26[[#This Row],[customerSKU]]="","",_xlfn.XLOOKUP(Table26[[#This Row],[customerSKU]],Table27[customer_SKU],Table27[product_GTIN],"",0,1))</f>
        <v/>
      </c>
      <c r="Z798" s="90" t="s">
        <v>3965</v>
      </c>
      <c r="AA798" s="18" t="str" cm="1">
        <f t="array" ref="AA798">IF(P798="", "", _xlfn.XLOOKUP(P798,#REF!,#REF!,NA,0,-1))</f>
        <v/>
      </c>
      <c r="AB798" s="53"/>
      <c r="AC798" s="55" t="str">
        <f>IF(Table26[[#This Row],[customerSKU]]="","",_xlfn.XLOOKUP(Table26[[#This Row],[customerSKU]],customerSKU!G:G,customerSKU!C:C,"",0,1))</f>
        <v/>
      </c>
      <c r="AD798" s="55" t="str">
        <f>IF($AC798="","",_xlfn.XLOOKUP($AC798,'[2]Client Info'!$C$2:$C$2535,'[2]Client Info'!$D$2:$D$2535,"",0,1))</f>
        <v/>
      </c>
      <c r="AE798" s="55" t="str">
        <f>IF($AC798="","",_xlfn.XLOOKUP($AC798,'[2]Client Info'!$C$2:$C$2715,'[2]Client Info'!$E$2:$E$2715,"",))</f>
        <v/>
      </c>
      <c r="AF798" s="55" t="str">
        <f>IF($AC798="","",_xlfn.XLOOKUP($AC798,'[2]Client Info'!$C$2:$C$2715,'[2]Client Info'!$F$2:$F$2715,"",0,1))</f>
        <v/>
      </c>
      <c r="AG798" s="55" t="str">
        <f>IF(ISBLANK(Table26[[#This Row],[customerSKU]]),"",_xlfn.XLOOKUP(Table26[[#This Row],[customerSKU]],Table27[customer_SKU],Table27[billto],"",0,1))</f>
        <v/>
      </c>
      <c r="AH798" s="62" t="str">
        <f>_xlfn.XLOOKUP(Table26[[#This Row],[customerSKU]],customerSKU!G:G,customerSKU!K:K,"NA",0,1)</f>
        <v>NA</v>
      </c>
      <c r="AI798" s="43" t="str">
        <f>_xlfn.XLOOKUP(Table26[[#This Row],[customerSKU]],customerSKU!G:G,customerSKU!O:O,"not found",0,1)</f>
        <v>not found</v>
      </c>
      <c r="AJ798" s="53" t="e">
        <f>Table26[[#This Row],[unitprice]]*Table26[[#This Row],[quantity_unit]]</f>
        <v>#VALUE!</v>
      </c>
      <c r="AK798" s="53" t="e" cm="1">
        <f t="array" ref="AK7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799" spans="1:37" ht="18" customHeight="1">
      <c r="A799" s="42">
        <v>1447</v>
      </c>
      <c r="B799" s="58" t="s">
        <v>3837</v>
      </c>
      <c r="C799" s="53" t="s">
        <v>203</v>
      </c>
      <c r="D799" s="51"/>
      <c r="E799" s="51"/>
      <c r="F79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799" s="46"/>
      <c r="H799" s="53"/>
      <c r="I799" s="53"/>
      <c r="J799" s="90" t="str">
        <f>IF(Table26[[#This Row],[customerSKU]]="","",_xlfn.XLOOKUP(Table26[[#This Row],[customerSKU]],customerSKU!G:G,customerSKU!A:A,"",0,1))</f>
        <v/>
      </c>
      <c r="K799" s="48">
        <v>45645</v>
      </c>
      <c r="L799" s="49" t="str">
        <f>IF(Table26[[#This Row],[customerSKU]]="","",_xlfn.XLOOKUP(Table26[[#This Row],[customerSKU]],customerSKU!G:G,customerSKU!B:B,"",0,1))</f>
        <v/>
      </c>
      <c r="M799" s="53"/>
      <c r="N799" s="77" t="str">
        <f>Table26[[#This Row],[po_number]]&amp;"-"&amp;Table26[[#This Row],[po_line]]</f>
        <v>-1</v>
      </c>
      <c r="O799" s="77">
        <v>1</v>
      </c>
      <c r="P799" s="50"/>
      <c r="Q799" s="53" t="s">
        <v>3398</v>
      </c>
      <c r="R799" s="53" t="s">
        <v>569</v>
      </c>
      <c r="S799" s="53" t="str">
        <f>IF(Table26[[#This Row],[customerSKU]]="","",_xlfn.XLOOKUP(Table26[[#This Row],[customerSKU]],customerSKU!G:G,customerSKU!N:N,"NOT FOUND",0,1))</f>
        <v>NOT FOUND</v>
      </c>
      <c r="T799" s="20">
        <v>45639</v>
      </c>
      <c r="U799" s="52">
        <v>60</v>
      </c>
      <c r="V799" s="53" t="str">
        <f>IF(ISBLANK(Table26[[#This Row],[customerSKU]]),"",_xlfn.XLOOKUP(Table26[[#This Row],[customerSKU]],Table27[customer_SKU],Table27[case_size],"",0,1))</f>
        <v/>
      </c>
      <c r="W799" s="116" t="str">
        <f t="shared" si="36"/>
        <v/>
      </c>
      <c r="X799" s="53" t="str">
        <f t="shared" si="35"/>
        <v/>
      </c>
      <c r="Y799" s="53" t="str">
        <f>IF(Table26[[#This Row],[customerSKU]]="","",_xlfn.XLOOKUP(Table26[[#This Row],[customerSKU]],Table27[customer_SKU],Table27[product_GTIN],"",0,1))</f>
        <v/>
      </c>
      <c r="Z799" s="90" t="s">
        <v>3399</v>
      </c>
      <c r="AA799" s="18" t="str" cm="1">
        <f t="array" ref="AA799">IF(P799="", "", _xlfn.XLOOKUP(P799,#REF!,#REF!,NA,0,-1))</f>
        <v/>
      </c>
      <c r="AB799" s="53"/>
      <c r="AC799" s="55" t="s">
        <v>4108</v>
      </c>
      <c r="AD799" s="55" t="str">
        <f>IF($AC799="","",_xlfn.XLOOKUP($AC799,'[2]Client Info'!$C$2:$C$2535,'[2]Client Info'!$D$2:$D$2535,"",0,1))</f>
        <v>9031 Quartz Road</v>
      </c>
      <c r="AE799" s="55" t="str">
        <f>IF($AC799="","",_xlfn.XLOOKUP($AC799,'[2]Client Info'!$C$2:$C$2715,'[2]Client Info'!$E$2:$E$2715,"",))</f>
        <v>White Horse</v>
      </c>
      <c r="AF799" s="55" t="str">
        <f>IF($AC799="","",_xlfn.XLOOKUP($AC799,'[2]Client Info'!$C$2:$C$2715,'[2]Client Info'!$F$2:$F$2715,"",0,1))</f>
        <v>YT</v>
      </c>
      <c r="AG799" s="55" t="str">
        <f>IF(ISBLANK(Table26[[#This Row],[customerSKU]]),"",_xlfn.XLOOKUP(Table26[[#This Row],[customerSKU]],Table27[customer_SKU],Table27[billto],"",0,1))</f>
        <v/>
      </c>
      <c r="AH799" s="62" t="str">
        <f>_xlfn.XLOOKUP(Table26[[#This Row],[customerSKU]],customerSKU!G:G,customerSKU!K:K,"NA",0,1)</f>
        <v>NA</v>
      </c>
      <c r="AI799" s="43" t="str">
        <f>_xlfn.XLOOKUP(Table26[[#This Row],[customerSKU]],customerSKU!G:G,customerSKU!O:O,"not found",0,1)</f>
        <v>not found</v>
      </c>
      <c r="AJ799" s="53" t="e">
        <f>Table26[[#This Row],[unitprice]]*Table26[[#This Row],[quantity_unit]]</f>
        <v>#VALUE!</v>
      </c>
      <c r="AK799" s="53" t="e" cm="1">
        <f t="array" ref="AK7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0" spans="1:37" ht="18" customHeight="1">
      <c r="A800" s="42">
        <v>1448</v>
      </c>
      <c r="B800" s="58" t="s">
        <v>3837</v>
      </c>
      <c r="C800" s="53" t="s">
        <v>203</v>
      </c>
      <c r="D800" s="51"/>
      <c r="E800" s="51"/>
      <c r="F80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0" s="46"/>
      <c r="H800" s="53"/>
      <c r="I800" s="53"/>
      <c r="J800" s="90" t="str">
        <f>IF(Table26[[#This Row],[customerSKU]]="","",_xlfn.XLOOKUP(Table26[[#This Row],[customerSKU]],customerSKU!G:G,customerSKU!A:A,"",0,1))</f>
        <v/>
      </c>
      <c r="K800" s="48">
        <v>45645</v>
      </c>
      <c r="L800" s="49" t="str">
        <f>IF(Table26[[#This Row],[customerSKU]]="","",_xlfn.XLOOKUP(Table26[[#This Row],[customerSKU]],customerSKU!G:G,customerSKU!B:B,"",0,1))</f>
        <v/>
      </c>
      <c r="M800" s="53"/>
      <c r="N800" s="77" t="str">
        <f>Table26[[#This Row],[po_number]]&amp;"-"&amp;Table26[[#This Row],[po_line]]</f>
        <v>-2</v>
      </c>
      <c r="O800" s="77">
        <v>2</v>
      </c>
      <c r="P800" s="50"/>
      <c r="Q800" s="53" t="s">
        <v>4109</v>
      </c>
      <c r="R800" s="53" t="s">
        <v>569</v>
      </c>
      <c r="S800" s="53" t="str">
        <f>IF(Table26[[#This Row],[customerSKU]]="","",_xlfn.XLOOKUP(Table26[[#This Row],[customerSKU]],customerSKU!G:G,customerSKU!N:N,"NOT FOUND",0,1))</f>
        <v>NOT FOUND</v>
      </c>
      <c r="T800" s="20">
        <v>45499</v>
      </c>
      <c r="U800" s="52">
        <v>60</v>
      </c>
      <c r="V800" s="53" t="str">
        <f>IF(ISBLANK(Table26[[#This Row],[customerSKU]]),"",_xlfn.XLOOKUP(Table26[[#This Row],[customerSKU]],Table27[customer_SKU],Table27[case_size],"",0,1))</f>
        <v/>
      </c>
      <c r="W800" s="116" t="str">
        <f t="shared" si="36"/>
        <v/>
      </c>
      <c r="X800" s="53" t="str">
        <f t="shared" si="35"/>
        <v/>
      </c>
      <c r="Y800" s="53" t="str">
        <f>IF(Table26[[#This Row],[customerSKU]]="","",_xlfn.XLOOKUP(Table26[[#This Row],[customerSKU]],Table27[customer_SKU],Table27[product_GTIN],"",0,1))</f>
        <v/>
      </c>
      <c r="Z800" s="90" t="s">
        <v>3963</v>
      </c>
      <c r="AA800" s="18" t="str" cm="1">
        <f t="array" ref="AA800">IF(P800="", "", _xlfn.XLOOKUP(P800,#REF!,#REF!,NA,0,-1))</f>
        <v/>
      </c>
      <c r="AB800" s="53" t="s">
        <v>4081</v>
      </c>
      <c r="AC800" s="55" t="s">
        <v>4108</v>
      </c>
      <c r="AD800" s="55" t="str">
        <f>IF($AC800="","",_xlfn.XLOOKUP($AC800,'[2]Client Info'!$C$2:$C$2535,'[2]Client Info'!$D$2:$D$2535,"",0,1))</f>
        <v>9031 Quartz Road</v>
      </c>
      <c r="AE800" s="55" t="str">
        <f>IF($AC800="","",_xlfn.XLOOKUP($AC800,'[2]Client Info'!$C$2:$C$2715,'[2]Client Info'!$E$2:$E$2715,"",))</f>
        <v>White Horse</v>
      </c>
      <c r="AF800" s="55" t="str">
        <f>IF($AC800="","",_xlfn.XLOOKUP($AC800,'[2]Client Info'!$C$2:$C$2715,'[2]Client Info'!$F$2:$F$2715,"",0,1))</f>
        <v>YT</v>
      </c>
      <c r="AG800" s="55" t="str">
        <f>IF(ISBLANK(Table26[[#This Row],[customerSKU]]),"",_xlfn.XLOOKUP(Table26[[#This Row],[customerSKU]],Table27[customer_SKU],Table27[billto],"",0,1))</f>
        <v/>
      </c>
      <c r="AH800" s="62" t="str">
        <f>_xlfn.XLOOKUP(Table26[[#This Row],[customerSKU]],customerSKU!G:G,customerSKU!K:K,"NA",0,1)</f>
        <v>NA</v>
      </c>
      <c r="AI800" s="43" t="str">
        <f>_xlfn.XLOOKUP(Table26[[#This Row],[customerSKU]],customerSKU!G:G,customerSKU!O:O,"not found",0,1)</f>
        <v>not found</v>
      </c>
      <c r="AJ800" s="53" t="e">
        <f>Table26[[#This Row],[unitprice]]*Table26[[#This Row],[quantity_unit]]</f>
        <v>#VALUE!</v>
      </c>
      <c r="AK800" s="53" t="e" cm="1">
        <f t="array" ref="AK8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1" spans="1:37" ht="18" customHeight="1">
      <c r="A801" s="42">
        <v>1449</v>
      </c>
      <c r="B801" s="58" t="s">
        <v>3520</v>
      </c>
      <c r="C801" s="53" t="s">
        <v>3360</v>
      </c>
      <c r="D801" s="51"/>
      <c r="E801" s="51"/>
      <c r="F80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1" s="46"/>
      <c r="H801" s="53"/>
      <c r="I801" s="53"/>
      <c r="J801" s="90" t="str">
        <f>IF(Table26[[#This Row],[customerSKU]]="","",_xlfn.XLOOKUP(Table26[[#This Row],[customerSKU]],customerSKU!G:G,customerSKU!A:A,"",0,1))</f>
        <v/>
      </c>
      <c r="K801" s="48">
        <v>45645</v>
      </c>
      <c r="L801" s="49" t="str">
        <f>IF(Table26[[#This Row],[customerSKU]]="","",_xlfn.XLOOKUP(Table26[[#This Row],[customerSKU]],customerSKU!G:G,customerSKU!B:B,"",0,1))</f>
        <v/>
      </c>
      <c r="M801" s="53"/>
      <c r="N801" s="77" t="str">
        <f>Table26[[#This Row],[po_number]]&amp;"-"&amp;Table26[[#This Row],[po_line]]</f>
        <v>-1</v>
      </c>
      <c r="O801" s="77">
        <v>1</v>
      </c>
      <c r="P801" s="50"/>
      <c r="Q801" s="53"/>
      <c r="R801" s="53"/>
      <c r="S801" s="53" t="str">
        <f>IF(Table26[[#This Row],[customerSKU]]="","",_xlfn.XLOOKUP(Table26[[#This Row],[customerSKU]],customerSKU!G:G,customerSKU!N:N,"NOT FOUND",0,1))</f>
        <v>NOT FOUND</v>
      </c>
      <c r="T801" s="20"/>
      <c r="U801" s="52">
        <v>12</v>
      </c>
      <c r="V801" s="53" t="str">
        <f>IF(ISBLANK(Table26[[#This Row],[customerSKU]]),"",_xlfn.XLOOKUP(Table26[[#This Row],[customerSKU]],Table27[customer_SKU],Table27[case_size],"",0,1))</f>
        <v/>
      </c>
      <c r="W801" s="116" t="str">
        <f t="shared" si="36"/>
        <v/>
      </c>
      <c r="X801" s="53" t="str">
        <f t="shared" si="35"/>
        <v/>
      </c>
      <c r="Y801" s="53" t="str">
        <f>IF(Table26[[#This Row],[customerSKU]]="","",_xlfn.XLOOKUP(Table26[[#This Row],[customerSKU]],Table27[customer_SKU],Table27[product_GTIN],"",0,1))</f>
        <v/>
      </c>
      <c r="Z801" s="90">
        <v>61619</v>
      </c>
      <c r="AA801" s="18" t="str" cm="1">
        <f t="array" ref="AA801">IF(P801="", "", _xlfn.XLOOKUP(P801,#REF!,#REF!,NA,0,-1))</f>
        <v/>
      </c>
      <c r="AB801" s="53"/>
      <c r="AC801" s="55" t="str">
        <f>IF(Table26[[#This Row],[customerSKU]]="","",_xlfn.XLOOKUP(Table26[[#This Row],[customerSKU]],customerSKU!G:G,customerSKU!C:C,"",0,1))</f>
        <v/>
      </c>
      <c r="AD801" s="55" t="str">
        <f>IF($AC801="","",_xlfn.XLOOKUP($AC801,'[2]Client Info'!$C$2:$C$2535,'[2]Client Info'!$D$2:$D$2535,"",0,1))</f>
        <v/>
      </c>
      <c r="AE801" s="55" t="str">
        <f>IF($AC801="","",_xlfn.XLOOKUP($AC801,'[2]Client Info'!$C$2:$C$2715,'[2]Client Info'!$E$2:$E$2715,"",))</f>
        <v/>
      </c>
      <c r="AF801" s="55" t="str">
        <f>IF($AC801="","",_xlfn.XLOOKUP($AC801,'[2]Client Info'!$C$2:$C$2715,'[2]Client Info'!$F$2:$F$2715,"",0,1))</f>
        <v/>
      </c>
      <c r="AG801" s="55" t="str">
        <f>IF(ISBLANK(Table26[[#This Row],[customerSKU]]),"",_xlfn.XLOOKUP(Table26[[#This Row],[customerSKU]],Table27[customer_SKU],Table27[billto],"",0,1))</f>
        <v/>
      </c>
      <c r="AH801" s="62" t="str">
        <f>_xlfn.XLOOKUP(Table26[[#This Row],[customerSKU]],customerSKU!G:G,customerSKU!K:K,"NA",0,1)</f>
        <v>NA</v>
      </c>
      <c r="AI801" s="43" t="str">
        <f>_xlfn.XLOOKUP(Table26[[#This Row],[customerSKU]],customerSKU!G:G,customerSKU!O:O,"not found",0,1)</f>
        <v>not found</v>
      </c>
      <c r="AJ801" s="53" t="e">
        <f>Table26[[#This Row],[unitprice]]*Table26[[#This Row],[quantity_unit]]</f>
        <v>#VALUE!</v>
      </c>
      <c r="AK801" s="53" t="e" cm="1">
        <f t="array" ref="AK8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2" spans="1:37" ht="18" customHeight="1">
      <c r="A802" s="42">
        <v>1450</v>
      </c>
      <c r="B802" s="58" t="s">
        <v>3520</v>
      </c>
      <c r="C802" s="53" t="s">
        <v>3360</v>
      </c>
      <c r="D802" s="51"/>
      <c r="E802" s="51"/>
      <c r="F80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2" s="46"/>
      <c r="H802" s="53"/>
      <c r="I802" s="53"/>
      <c r="J802" s="90" t="str">
        <f>IF(Table26[[#This Row],[customerSKU]]="","",_xlfn.XLOOKUP(Table26[[#This Row],[customerSKU]],customerSKU!G:G,customerSKU!A:A,"",0,1))</f>
        <v/>
      </c>
      <c r="K802" s="48">
        <v>45645</v>
      </c>
      <c r="L802" s="49" t="str">
        <f>IF(Table26[[#This Row],[customerSKU]]="","",_xlfn.XLOOKUP(Table26[[#This Row],[customerSKU]],customerSKU!G:G,customerSKU!B:B,"",0,1))</f>
        <v/>
      </c>
      <c r="M802" s="53"/>
      <c r="N802" s="77" t="str">
        <f>Table26[[#This Row],[po_number]]&amp;"-"&amp;Table26[[#This Row],[po_line]]</f>
        <v>-2</v>
      </c>
      <c r="O802" s="77">
        <v>2</v>
      </c>
      <c r="P802" s="50"/>
      <c r="Q802" s="53"/>
      <c r="R802" s="53"/>
      <c r="S802" s="53" t="str">
        <f>IF(Table26[[#This Row],[customerSKU]]="","",_xlfn.XLOOKUP(Table26[[#This Row],[customerSKU]],customerSKU!G:G,customerSKU!N:N,"NOT FOUND",0,1))</f>
        <v>NOT FOUND</v>
      </c>
      <c r="T802" s="20"/>
      <c r="U802" s="52">
        <v>12</v>
      </c>
      <c r="V802" s="53" t="str">
        <f>IF(ISBLANK(Table26[[#This Row],[customerSKU]]),"",_xlfn.XLOOKUP(Table26[[#This Row],[customerSKU]],Table27[customer_SKU],Table27[case_size],"",0,1))</f>
        <v/>
      </c>
      <c r="W802" s="116" t="str">
        <f t="shared" si="36"/>
        <v/>
      </c>
      <c r="X802" s="53" t="str">
        <f t="shared" si="35"/>
        <v/>
      </c>
      <c r="Y802" s="53" t="str">
        <f>IF(Table26[[#This Row],[customerSKU]]="","",_xlfn.XLOOKUP(Table26[[#This Row],[customerSKU]],Table27[customer_SKU],Table27[product_GTIN],"",0,1))</f>
        <v/>
      </c>
      <c r="Z802" s="25" t="s">
        <v>3455</v>
      </c>
      <c r="AA802" s="18" t="str" cm="1">
        <f t="array" ref="AA802">IF(P802="", "", _xlfn.XLOOKUP(P802,#REF!,#REF!,NA,0,-1))</f>
        <v/>
      </c>
      <c r="AB802" s="53"/>
      <c r="AC802" s="55" t="str">
        <f>IF(Table26[[#This Row],[customerSKU]]="","",_xlfn.XLOOKUP(Table26[[#This Row],[customerSKU]],customerSKU!G:G,customerSKU!C:C,"",0,1))</f>
        <v/>
      </c>
      <c r="AD802" s="55" t="str">
        <f>IF($AC802="","",_xlfn.XLOOKUP($AC802,'[2]Client Info'!$C$2:$C$2535,'[2]Client Info'!$D$2:$D$2535,"",0,1))</f>
        <v/>
      </c>
      <c r="AE802" s="55" t="str">
        <f>IF($AC802="","",_xlfn.XLOOKUP($AC802,'[2]Client Info'!$C$2:$C$2715,'[2]Client Info'!$E$2:$E$2715,"",))</f>
        <v/>
      </c>
      <c r="AF802" s="55" t="str">
        <f>IF($AC802="","",_xlfn.XLOOKUP($AC802,'[2]Client Info'!$C$2:$C$2715,'[2]Client Info'!$F$2:$F$2715,"",0,1))</f>
        <v/>
      </c>
      <c r="AG802" s="55" t="str">
        <f>IF(ISBLANK(Table26[[#This Row],[customerSKU]]),"",_xlfn.XLOOKUP(Table26[[#This Row],[customerSKU]],Table27[customer_SKU],Table27[billto],"",0,1))</f>
        <v/>
      </c>
      <c r="AH802" s="62" t="str">
        <f>_xlfn.XLOOKUP(Table26[[#This Row],[customerSKU]],customerSKU!G:G,customerSKU!K:K,"NA",0,1)</f>
        <v>NA</v>
      </c>
      <c r="AI802" s="43" t="str">
        <f>_xlfn.XLOOKUP(Table26[[#This Row],[customerSKU]],customerSKU!G:G,customerSKU!O:O,"not found",0,1)</f>
        <v>not found</v>
      </c>
      <c r="AJ802" s="53" t="e">
        <f>Table26[[#This Row],[unitprice]]*Table26[[#This Row],[quantity_unit]]</f>
        <v>#VALUE!</v>
      </c>
      <c r="AK802" s="53" t="e" cm="1">
        <f t="array" ref="AK8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3" spans="1:37" ht="18" customHeight="1">
      <c r="A803" s="42">
        <v>1451</v>
      </c>
      <c r="B803" s="27" t="s">
        <v>3520</v>
      </c>
      <c r="C803" s="22" t="s">
        <v>203</v>
      </c>
      <c r="E803" s="20"/>
      <c r="F80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03" s="46"/>
      <c r="J803" s="90" t="str">
        <f>IF(Table26[[#This Row],[customerSKU]]="","",_xlfn.XLOOKUP(Table26[[#This Row],[customerSKU]],customerSKU!G:G,customerSKU!A:A,"",0,1))</f>
        <v/>
      </c>
      <c r="K803" s="48">
        <v>45645</v>
      </c>
      <c r="L803" s="49" t="s">
        <v>504</v>
      </c>
      <c r="M803" s="22"/>
      <c r="N803" s="15" t="str">
        <f>Table26[[#This Row],[po_number]]&amp;"-"&amp;Table26[[#This Row],[po_line]]</f>
        <v>-1</v>
      </c>
      <c r="O803" s="15">
        <v>1</v>
      </c>
      <c r="P803" s="29"/>
      <c r="S803" s="22" t="s">
        <v>134</v>
      </c>
      <c r="T803" s="20"/>
      <c r="U803" s="21">
        <v>48</v>
      </c>
      <c r="V803" s="22">
        <v>12</v>
      </c>
      <c r="W803" s="117">
        <f t="shared" si="36"/>
        <v>4</v>
      </c>
      <c r="X803" s="22" t="str">
        <f t="shared" si="35"/>
        <v/>
      </c>
      <c r="Y803" s="22" t="str">
        <f>IF(Table26[[#This Row],[customerSKU]]="","",_xlfn.XLOOKUP(Table26[[#This Row],[customerSKU]],Table27[customer_SKU],Table27[product_GTIN],"",0,1))</f>
        <v/>
      </c>
      <c r="Z803" s="90"/>
      <c r="AA803" s="18" t="str" cm="1">
        <f t="array" ref="AA803">IF(P803="", "", _xlfn.XLOOKUP(P803,#REF!,#REF!,NA,0,-1))</f>
        <v/>
      </c>
      <c r="AB803" s="22"/>
      <c r="AC803" s="55" t="s">
        <v>146</v>
      </c>
      <c r="AD803" s="55" t="str">
        <f>IF($AC803="","",_xlfn.XLOOKUP($AC803,'[2]Client Info'!$C$2:$C$2535,'[2]Client Info'!$D$2:$D$2535,"",0,1))</f>
        <v>4-604 22nd Street West</v>
      </c>
      <c r="AE803" s="55" t="str">
        <f>IF($AC803="","",_xlfn.XLOOKUP($AC803,'[2]Client Info'!$C$2:$C$2715,'[2]Client Info'!$E$2:$E$2715,"",))</f>
        <v>SASKATOON</v>
      </c>
      <c r="AF803" s="55" t="str">
        <f>IF($AC803="","",_xlfn.XLOOKUP($AC803,'[2]Client Info'!$C$2:$C$2715,'[2]Client Info'!$F$2:$F$2715,"",0,1))</f>
        <v>SK</v>
      </c>
      <c r="AG803" s="55" t="s">
        <v>146</v>
      </c>
      <c r="AH803" s="26" t="str">
        <f>_xlfn.XLOOKUP(Table26[[#This Row],[customerSKU]],customerSKU!G:G,customerSKU!K:K,"NA",0,1)</f>
        <v>NA</v>
      </c>
      <c r="AI803" s="43" t="str">
        <f>_xlfn.XLOOKUP(Table26[[#This Row],[customerSKU]],customerSKU!G:G,customerSKU!O:O,"not found",0,1)</f>
        <v>not found</v>
      </c>
      <c r="AJ803" s="22" t="e">
        <f>Table26[[#This Row],[unitprice]]*Table26[[#This Row],[quantity_unit]]</f>
        <v>#VALUE!</v>
      </c>
      <c r="AK803" s="22" t="e" cm="1">
        <f t="array" ref="AK8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4" spans="1:37" ht="18" customHeight="1">
      <c r="A804" s="42">
        <v>1452</v>
      </c>
      <c r="B804" s="27" t="s">
        <v>3520</v>
      </c>
      <c r="C804" s="22" t="s">
        <v>203</v>
      </c>
      <c r="E804" s="20"/>
      <c r="F80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04" s="46"/>
      <c r="J804" s="90" t="str">
        <f>IF(Table26[[#This Row],[customerSKU]]="","",_xlfn.XLOOKUP(Table26[[#This Row],[customerSKU]],customerSKU!G:G,customerSKU!A:A,"",0,1))</f>
        <v/>
      </c>
      <c r="K804" s="48">
        <v>45645</v>
      </c>
      <c r="L804" s="49" t="s">
        <v>504</v>
      </c>
      <c r="M804" s="22"/>
      <c r="N804" s="15" t="str">
        <f>Table26[[#This Row],[po_number]]&amp;"-"&amp;Table26[[#This Row],[po_line]]</f>
        <v>-2</v>
      </c>
      <c r="O804" s="15">
        <v>2</v>
      </c>
      <c r="P804" s="29"/>
      <c r="S804" s="22" t="s">
        <v>134</v>
      </c>
      <c r="T804" s="20"/>
      <c r="U804" s="21">
        <f>16*12</f>
        <v>192</v>
      </c>
      <c r="V804" s="22">
        <v>16</v>
      </c>
      <c r="W804" s="117">
        <f t="shared" si="36"/>
        <v>12</v>
      </c>
      <c r="X804" s="22" t="str">
        <f t="shared" si="35"/>
        <v/>
      </c>
      <c r="Y804" s="22" t="str">
        <f>IF(Table26[[#This Row],[customerSKU]]="","",_xlfn.XLOOKUP(Table26[[#This Row],[customerSKU]],Table27[customer_SKU],Table27[product_GTIN],"",0,1))</f>
        <v/>
      </c>
      <c r="Z804" s="90"/>
      <c r="AA804" s="18" t="str" cm="1">
        <f t="array" ref="AA804">IF(P804="", "", _xlfn.XLOOKUP(P804,#REF!,#REF!,NA,0,-1))</f>
        <v/>
      </c>
      <c r="AB804" s="22"/>
      <c r="AC804" s="55" t="s">
        <v>146</v>
      </c>
      <c r="AD804" s="55" t="str">
        <f>IF($AC804="","",_xlfn.XLOOKUP($AC804,'[2]Client Info'!$C$2:$C$2535,'[2]Client Info'!$D$2:$D$2535,"",0,1))</f>
        <v>4-604 22nd Street West</v>
      </c>
      <c r="AE804" s="55" t="str">
        <f>IF($AC804="","",_xlfn.XLOOKUP($AC804,'[2]Client Info'!$C$2:$C$2715,'[2]Client Info'!$E$2:$E$2715,"",))</f>
        <v>SASKATOON</v>
      </c>
      <c r="AF804" s="55" t="str">
        <f>IF($AC804="","",_xlfn.XLOOKUP($AC804,'[2]Client Info'!$C$2:$C$2715,'[2]Client Info'!$F$2:$F$2715,"",0,1))</f>
        <v>SK</v>
      </c>
      <c r="AG804" s="55" t="s">
        <v>146</v>
      </c>
      <c r="AH804" s="26" t="str">
        <f>_xlfn.XLOOKUP(Table26[[#This Row],[customerSKU]],customerSKU!G:G,customerSKU!K:K,"NA",0,1)</f>
        <v>NA</v>
      </c>
      <c r="AI804" s="43" t="str">
        <f>_xlfn.XLOOKUP(Table26[[#This Row],[customerSKU]],customerSKU!G:G,customerSKU!O:O,"not found",0,1)</f>
        <v>not found</v>
      </c>
      <c r="AJ804" s="22" t="e">
        <f>Table26[[#This Row],[unitprice]]*Table26[[#This Row],[quantity_unit]]</f>
        <v>#VALUE!</v>
      </c>
      <c r="AK804" s="22" t="e" cm="1">
        <f t="array" ref="AK8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5" spans="1:37" ht="18" customHeight="1">
      <c r="A805" s="42">
        <v>1453</v>
      </c>
      <c r="B805" s="27" t="s">
        <v>3520</v>
      </c>
      <c r="C805" s="22" t="s">
        <v>203</v>
      </c>
      <c r="E805" s="20"/>
      <c r="F80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05" s="46"/>
      <c r="J805" s="90" t="str">
        <f>IF(Table26[[#This Row],[customerSKU]]="","",_xlfn.XLOOKUP(Table26[[#This Row],[customerSKU]],customerSKU!G:G,customerSKU!A:A,"",0,1))</f>
        <v/>
      </c>
      <c r="K805" s="48">
        <v>45645</v>
      </c>
      <c r="L805" s="49" t="s">
        <v>504</v>
      </c>
      <c r="M805" s="22"/>
      <c r="N805" s="15" t="str">
        <f>Table26[[#This Row],[po_number]]&amp;"-"&amp;Table26[[#This Row],[po_line]]</f>
        <v>-3</v>
      </c>
      <c r="O805" s="15">
        <v>3</v>
      </c>
      <c r="P805" s="29"/>
      <c r="S805" s="22" t="s">
        <v>134</v>
      </c>
      <c r="T805" s="20"/>
      <c r="U805" s="21">
        <v>12</v>
      </c>
      <c r="V805" s="22">
        <v>12</v>
      </c>
      <c r="W805" s="117">
        <f t="shared" si="36"/>
        <v>1</v>
      </c>
      <c r="X805" s="22" t="str">
        <f t="shared" si="35"/>
        <v/>
      </c>
      <c r="Y805" s="22" t="str">
        <f>IF(Table26[[#This Row],[customerSKU]]="","",_xlfn.XLOOKUP(Table26[[#This Row],[customerSKU]],Table27[customer_SKU],Table27[product_GTIN],"",0,1))</f>
        <v/>
      </c>
      <c r="Z805" s="90"/>
      <c r="AA805" s="18" t="str" cm="1">
        <f t="array" ref="AA805">IF(P805="", "", _xlfn.XLOOKUP(P805,#REF!,#REF!,NA,0,-1))</f>
        <v/>
      </c>
      <c r="AB805" s="22"/>
      <c r="AC805" s="55" t="s">
        <v>146</v>
      </c>
      <c r="AD805" s="55" t="str">
        <f>IF($AC805="","",_xlfn.XLOOKUP($AC805,'[2]Client Info'!$C$2:$C$2535,'[2]Client Info'!$D$2:$D$2535,"",0,1))</f>
        <v>4-604 22nd Street West</v>
      </c>
      <c r="AE805" s="55" t="str">
        <f>IF($AC805="","",_xlfn.XLOOKUP($AC805,'[2]Client Info'!$C$2:$C$2715,'[2]Client Info'!$E$2:$E$2715,"",))</f>
        <v>SASKATOON</v>
      </c>
      <c r="AF805" s="55" t="str">
        <f>IF($AC805="","",_xlfn.XLOOKUP($AC805,'[2]Client Info'!$C$2:$C$2715,'[2]Client Info'!$F$2:$F$2715,"",0,1))</f>
        <v>SK</v>
      </c>
      <c r="AG805" s="55" t="s">
        <v>146</v>
      </c>
      <c r="AH805" s="26" t="str">
        <f>_xlfn.XLOOKUP(Table26[[#This Row],[customerSKU]],customerSKU!G:G,customerSKU!K:K,"NA",0,1)</f>
        <v>NA</v>
      </c>
      <c r="AI805" s="43" t="str">
        <f>_xlfn.XLOOKUP(Table26[[#This Row],[customerSKU]],customerSKU!G:G,customerSKU!O:O,"not found",0,1)</f>
        <v>not found</v>
      </c>
      <c r="AJ805" s="22" t="e">
        <f>Table26[[#This Row],[unitprice]]*Table26[[#This Row],[quantity_unit]]</f>
        <v>#VALUE!</v>
      </c>
      <c r="AK805" s="22" t="e" cm="1">
        <f t="array" ref="AK8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6" spans="1:37" ht="18" customHeight="1">
      <c r="A806" s="42">
        <v>1454</v>
      </c>
      <c r="B806" s="27" t="s">
        <v>3520</v>
      </c>
      <c r="C806" s="22" t="s">
        <v>203</v>
      </c>
      <c r="E806" s="20"/>
      <c r="F80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06" s="46"/>
      <c r="J806" s="90" t="str">
        <f>IF(Table26[[#This Row],[customerSKU]]="","",_xlfn.XLOOKUP(Table26[[#This Row],[customerSKU]],customerSKU!G:G,customerSKU!A:A,"",0,1))</f>
        <v/>
      </c>
      <c r="K806" s="48">
        <v>45645</v>
      </c>
      <c r="L806" s="49" t="s">
        <v>504</v>
      </c>
      <c r="M806" s="22"/>
      <c r="N806" s="15" t="str">
        <f>Table26[[#This Row],[po_number]]&amp;"-"&amp;Table26[[#This Row],[po_line]]</f>
        <v>-4</v>
      </c>
      <c r="O806" s="15">
        <v>4</v>
      </c>
      <c r="P806" s="29"/>
      <c r="S806" s="22" t="s">
        <v>134</v>
      </c>
      <c r="T806" s="20"/>
      <c r="U806" s="21">
        <f>18*12</f>
        <v>216</v>
      </c>
      <c r="V806" s="22">
        <v>12</v>
      </c>
      <c r="W806" s="117">
        <f t="shared" si="36"/>
        <v>18</v>
      </c>
      <c r="X806" s="22" t="str">
        <f t="shared" si="35"/>
        <v/>
      </c>
      <c r="Y806" s="22" t="str">
        <f>IF(Table26[[#This Row],[customerSKU]]="","",_xlfn.XLOOKUP(Table26[[#This Row],[customerSKU]],Table27[customer_SKU],Table27[product_GTIN],"",0,1))</f>
        <v/>
      </c>
      <c r="Z806" s="90"/>
      <c r="AA806" s="18" t="str" cm="1">
        <f t="array" ref="AA806">IF(P806="", "", _xlfn.XLOOKUP(P806,#REF!,#REF!,NA,0,-1))</f>
        <v/>
      </c>
      <c r="AB806" s="22"/>
      <c r="AC806" s="55" t="s">
        <v>146</v>
      </c>
      <c r="AD806" s="55" t="str">
        <f>IF($AC806="","",_xlfn.XLOOKUP($AC806,'[2]Client Info'!$C$2:$C$2535,'[2]Client Info'!$D$2:$D$2535,"",0,1))</f>
        <v>4-604 22nd Street West</v>
      </c>
      <c r="AE806" s="55" t="str">
        <f>IF($AC806="","",_xlfn.XLOOKUP($AC806,'[2]Client Info'!$C$2:$C$2715,'[2]Client Info'!$E$2:$E$2715,"",))</f>
        <v>SASKATOON</v>
      </c>
      <c r="AF806" s="55" t="str">
        <f>IF($AC806="","",_xlfn.XLOOKUP($AC806,'[2]Client Info'!$C$2:$C$2715,'[2]Client Info'!$F$2:$F$2715,"",0,1))</f>
        <v>SK</v>
      </c>
      <c r="AG806" s="55" t="s">
        <v>146</v>
      </c>
      <c r="AH806" s="26" t="str">
        <f>_xlfn.XLOOKUP(Table26[[#This Row],[customerSKU]],customerSKU!G:G,customerSKU!K:K,"NA",0,1)</f>
        <v>NA</v>
      </c>
      <c r="AI806" s="43" t="str">
        <f>_xlfn.XLOOKUP(Table26[[#This Row],[customerSKU]],customerSKU!G:G,customerSKU!O:O,"not found",0,1)</f>
        <v>not found</v>
      </c>
      <c r="AJ806" s="22" t="e">
        <f>Table26[[#This Row],[unitprice]]*Table26[[#This Row],[quantity_unit]]</f>
        <v>#VALUE!</v>
      </c>
      <c r="AK806" s="22" t="e" cm="1">
        <f t="array" ref="AK8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7" spans="1:37" ht="18" customHeight="1">
      <c r="A807" s="42">
        <v>1455</v>
      </c>
      <c r="B807" s="58" t="s">
        <v>3520</v>
      </c>
      <c r="C807" s="53" t="s">
        <v>203</v>
      </c>
      <c r="D807" s="51"/>
      <c r="E807" s="51"/>
      <c r="F80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7" s="46"/>
      <c r="H807" s="53"/>
      <c r="I807" s="53"/>
      <c r="J807" s="90" t="str">
        <f>IF(Table26[[#This Row],[customerSKU]]="","",_xlfn.XLOOKUP(Table26[[#This Row],[customerSKU]],customerSKU!G:G,customerSKU!A:A,"",0,1))</f>
        <v/>
      </c>
      <c r="K807" s="48">
        <v>45645</v>
      </c>
      <c r="L807" s="49" t="s">
        <v>201</v>
      </c>
      <c r="M807" s="53"/>
      <c r="N807" s="77" t="str">
        <f>Table26[[#This Row],[po_number]]&amp;"-"&amp;Table26[[#This Row],[po_line]]</f>
        <v>-1</v>
      </c>
      <c r="O807" s="77">
        <v>1</v>
      </c>
      <c r="P807" s="50"/>
      <c r="Q807" s="53" t="s">
        <v>4041</v>
      </c>
      <c r="R807" s="53" t="s">
        <v>569</v>
      </c>
      <c r="S807" s="53" t="s">
        <v>134</v>
      </c>
      <c r="T807" s="20">
        <v>45612</v>
      </c>
      <c r="U807" s="52">
        <v>24</v>
      </c>
      <c r="V807" s="53">
        <v>6</v>
      </c>
      <c r="W807" s="116">
        <f t="shared" si="36"/>
        <v>4</v>
      </c>
      <c r="X807" s="53" t="str">
        <f t="shared" si="35"/>
        <v/>
      </c>
      <c r="Y807" s="53" t="str">
        <f>IF(Table26[[#This Row],[customerSKU]]="","",_xlfn.XLOOKUP(Table26[[#This Row],[customerSKU]],Table27[customer_SKU],Table27[product_GTIN],"",0,1))</f>
        <v/>
      </c>
      <c r="Z807" s="90"/>
      <c r="AA807" s="18" t="str" cm="1">
        <f t="array" ref="AA807">IF(P807="", "", _xlfn.XLOOKUP(P807,#REF!,#REF!,NA,0,-1))</f>
        <v/>
      </c>
      <c r="AB807" s="53"/>
      <c r="AC807" s="55" t="s">
        <v>3509</v>
      </c>
      <c r="AD807" s="55" t="str">
        <f>IF($AC807="","",_xlfn.XLOOKUP($AC807,'[2]Client Info'!$C$2:$C$2535,'[2]Client Info'!$D$2:$D$2535,"",0,1))</f>
        <v>#201 – 1420 Alpha Lake Road</v>
      </c>
      <c r="AE807" s="55" t="str">
        <f>IF($AC807="","",_xlfn.XLOOKUP($AC807,'[2]Client Info'!$C$2:$C$2715,'[2]Client Info'!$E$2:$E$2715,"",))</f>
        <v>Whistler</v>
      </c>
      <c r="AF807" s="55" t="str">
        <f>IF($AC807="","",_xlfn.XLOOKUP($AC807,'[2]Client Info'!$C$2:$C$2715,'[2]Client Info'!$F$2:$F$2715,"",0,1))</f>
        <v>BC</v>
      </c>
      <c r="AG807" s="55" t="s">
        <v>3509</v>
      </c>
      <c r="AH807" s="62">
        <f>109.08/6</f>
        <v>18.18</v>
      </c>
      <c r="AI807" s="43" t="str">
        <f>_xlfn.XLOOKUP(Table26[[#This Row],[customerSKU]],customerSKU!G:G,customerSKU!O:O,"not found",0,1)</f>
        <v>not found</v>
      </c>
      <c r="AJ807" s="53">
        <f>Table26[[#This Row],[unitprice]]*Table26[[#This Row],[quantity_unit]]</f>
        <v>436.32</v>
      </c>
      <c r="AK807" s="53" t="e" cm="1">
        <f t="array" ref="AK8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8" spans="1:37" ht="18" customHeight="1">
      <c r="A808" s="42">
        <v>1456</v>
      </c>
      <c r="B808" s="58" t="s">
        <v>3520</v>
      </c>
      <c r="C808" s="53" t="s">
        <v>203</v>
      </c>
      <c r="D808" s="51"/>
      <c r="E808" s="51"/>
      <c r="F80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8" s="46"/>
      <c r="H808" s="53"/>
      <c r="I808" s="53"/>
      <c r="J808" s="90" t="str">
        <f>IF(Table26[[#This Row],[customerSKU]]="","",_xlfn.XLOOKUP(Table26[[#This Row],[customerSKU]],customerSKU!G:G,customerSKU!A:A,"",0,1))</f>
        <v/>
      </c>
      <c r="K808" s="48">
        <v>45645</v>
      </c>
      <c r="L808" s="49" t="s">
        <v>201</v>
      </c>
      <c r="M808" s="53"/>
      <c r="N808" s="77" t="str">
        <f>Table26[[#This Row],[po_number]]&amp;"-"&amp;Table26[[#This Row],[po_line]]</f>
        <v>-2</v>
      </c>
      <c r="O808" s="77">
        <v>2</v>
      </c>
      <c r="P808" s="50"/>
      <c r="Q808" s="53" t="s">
        <v>4049</v>
      </c>
      <c r="R808" s="53" t="s">
        <v>569</v>
      </c>
      <c r="S808" s="53" t="s">
        <v>134</v>
      </c>
      <c r="T808" s="20">
        <v>45564</v>
      </c>
      <c r="U808" s="52">
        <f>6*16</f>
        <v>96</v>
      </c>
      <c r="V808" s="53">
        <v>6</v>
      </c>
      <c r="W808" s="116">
        <f t="shared" si="36"/>
        <v>16</v>
      </c>
      <c r="X808" s="53" t="str">
        <f t="shared" ref="X808:X835" si="37">IFERROR($AA808*$U808, "")</f>
        <v/>
      </c>
      <c r="Y808" s="53" t="str">
        <f>IF(Table26[[#This Row],[customerSKU]]="","",_xlfn.XLOOKUP(Table26[[#This Row],[customerSKU]],Table27[customer_SKU],Table27[product_GTIN],"",0,1))</f>
        <v/>
      </c>
      <c r="Z808" s="90"/>
      <c r="AA808" s="18" t="str" cm="1">
        <f t="array" ref="AA808">IF(P808="", "", _xlfn.XLOOKUP(P808,#REF!,#REF!,NA,0,-1))</f>
        <v/>
      </c>
      <c r="AB808" s="53"/>
      <c r="AC808" s="55" t="s">
        <v>3509</v>
      </c>
      <c r="AD808" s="55" t="str">
        <f>IF($AC808="","",_xlfn.XLOOKUP($AC808,'[2]Client Info'!$C$2:$C$2535,'[2]Client Info'!$D$2:$D$2535,"",0,1))</f>
        <v>#201 – 1420 Alpha Lake Road</v>
      </c>
      <c r="AE808" s="55" t="str">
        <f>IF($AC808="","",_xlfn.XLOOKUP($AC808,'[2]Client Info'!$C$2:$C$2715,'[2]Client Info'!$E$2:$E$2715,"",))</f>
        <v>Whistler</v>
      </c>
      <c r="AF808" s="55" t="str">
        <f>IF($AC808="","",_xlfn.XLOOKUP($AC808,'[2]Client Info'!$C$2:$C$2715,'[2]Client Info'!$F$2:$F$2715,"",0,1))</f>
        <v>BC</v>
      </c>
      <c r="AG808" s="55" t="s">
        <v>3509</v>
      </c>
      <c r="AH808" s="62">
        <f>148.62/6</f>
        <v>24.77</v>
      </c>
      <c r="AI808" s="43" t="str">
        <f>_xlfn.XLOOKUP(Table26[[#This Row],[customerSKU]],customerSKU!G:G,customerSKU!O:O,"not found",0,1)</f>
        <v>not found</v>
      </c>
      <c r="AJ808" s="53">
        <f>Table26[[#This Row],[unitprice]]*Table26[[#This Row],[quantity_unit]]</f>
        <v>2377.92</v>
      </c>
      <c r="AK808" s="53" t="e" cm="1">
        <f t="array" ref="AK8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09" spans="1:37" ht="18" customHeight="1">
      <c r="A809" s="42">
        <v>1457</v>
      </c>
      <c r="B809" s="58" t="s">
        <v>3520</v>
      </c>
      <c r="C809" s="53" t="s">
        <v>203</v>
      </c>
      <c r="D809" s="51"/>
      <c r="E809" s="51"/>
      <c r="F80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09" s="46"/>
      <c r="H809" s="53"/>
      <c r="I809" s="53"/>
      <c r="J809" s="90" t="str">
        <f>IF(Table26[[#This Row],[customerSKU]]="","",_xlfn.XLOOKUP(Table26[[#This Row],[customerSKU]],customerSKU!G:G,customerSKU!A:A,"",0,1))</f>
        <v/>
      </c>
      <c r="K809" s="48">
        <v>45645</v>
      </c>
      <c r="L809" s="49" t="s">
        <v>201</v>
      </c>
      <c r="M809" s="53"/>
      <c r="N809" s="77" t="str">
        <f>Table26[[#This Row],[po_number]]&amp;"-"&amp;Table26[[#This Row],[po_line]]</f>
        <v>-3</v>
      </c>
      <c r="O809" s="77">
        <v>3</v>
      </c>
      <c r="P809" s="50"/>
      <c r="Q809" s="53" t="s">
        <v>4040</v>
      </c>
      <c r="R809" s="53" t="s">
        <v>569</v>
      </c>
      <c r="S809" s="53" t="s">
        <v>134</v>
      </c>
      <c r="T809" s="20">
        <v>45605</v>
      </c>
      <c r="U809" s="52">
        <v>6</v>
      </c>
      <c r="V809" s="53">
        <v>6</v>
      </c>
      <c r="W809" s="116">
        <f t="shared" si="36"/>
        <v>1</v>
      </c>
      <c r="X809" s="53" t="str">
        <f t="shared" si="37"/>
        <v/>
      </c>
      <c r="Y809" s="53" t="str">
        <f>IF(Table26[[#This Row],[customerSKU]]="","",_xlfn.XLOOKUP(Table26[[#This Row],[customerSKU]],Table27[customer_SKU],Table27[product_GTIN],"",0,1))</f>
        <v/>
      </c>
      <c r="Z809" s="90"/>
      <c r="AA809" s="18" t="str" cm="1">
        <f t="array" ref="AA809">IF(P809="", "", _xlfn.XLOOKUP(P809,#REF!,#REF!,NA,0,-1))</f>
        <v/>
      </c>
      <c r="AB809" s="53"/>
      <c r="AC809" s="55" t="s">
        <v>3509</v>
      </c>
      <c r="AD809" s="55" t="str">
        <f>IF($AC809="","",_xlfn.XLOOKUP($AC809,'[2]Client Info'!$C$2:$C$2535,'[2]Client Info'!$D$2:$D$2535,"",0,1))</f>
        <v>#201 – 1420 Alpha Lake Road</v>
      </c>
      <c r="AE809" s="55" t="str">
        <f>IF($AC809="","",_xlfn.XLOOKUP($AC809,'[2]Client Info'!$C$2:$C$2715,'[2]Client Info'!$E$2:$E$2715,"",))</f>
        <v>Whistler</v>
      </c>
      <c r="AF809" s="55" t="str">
        <f>IF($AC809="","",_xlfn.XLOOKUP($AC809,'[2]Client Info'!$C$2:$C$2715,'[2]Client Info'!$F$2:$F$2715,"",0,1))</f>
        <v>BC</v>
      </c>
      <c r="AG809" s="55" t="s">
        <v>3509</v>
      </c>
      <c r="AH809" s="62">
        <f>188.16/6</f>
        <v>31.36</v>
      </c>
      <c r="AI809" s="43" t="str">
        <f>_xlfn.XLOOKUP(Table26[[#This Row],[customerSKU]],customerSKU!G:G,customerSKU!O:O,"not found",0,1)</f>
        <v>not found</v>
      </c>
      <c r="AJ809" s="53">
        <f>Table26[[#This Row],[unitprice]]*Table26[[#This Row],[quantity_unit]]</f>
        <v>188.16</v>
      </c>
      <c r="AK809" s="53" t="e" cm="1">
        <f t="array" ref="AK8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0" spans="1:37" ht="18" customHeight="1">
      <c r="A810" s="42">
        <v>1458</v>
      </c>
      <c r="B810" s="58" t="s">
        <v>3520</v>
      </c>
      <c r="C810" s="53" t="s">
        <v>203</v>
      </c>
      <c r="D810" s="51"/>
      <c r="E810" s="51"/>
      <c r="F81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0" s="46"/>
      <c r="H810" s="53"/>
      <c r="I810" s="53"/>
      <c r="J810" s="90" t="str">
        <f>IF(Table26[[#This Row],[customerSKU]]="","",_xlfn.XLOOKUP(Table26[[#This Row],[customerSKU]],customerSKU!G:G,customerSKU!A:A,"",0,1))</f>
        <v/>
      </c>
      <c r="K810" s="48">
        <v>45645</v>
      </c>
      <c r="L810" s="49" t="s">
        <v>201</v>
      </c>
      <c r="M810" s="53"/>
      <c r="N810" s="77" t="str">
        <f>Table26[[#This Row],[po_number]]&amp;"-"&amp;Table26[[#This Row],[po_line]]</f>
        <v>-4</v>
      </c>
      <c r="O810" s="77">
        <v>4</v>
      </c>
      <c r="P810" s="50"/>
      <c r="Q810" s="53" t="s">
        <v>3796</v>
      </c>
      <c r="R810" s="53" t="s">
        <v>569</v>
      </c>
      <c r="S810" s="53" t="s">
        <v>134</v>
      </c>
      <c r="T810" s="20">
        <v>45626</v>
      </c>
      <c r="U810" s="52">
        <f>6*18</f>
        <v>108</v>
      </c>
      <c r="V810" s="53">
        <v>6</v>
      </c>
      <c r="W810" s="116">
        <f t="shared" si="36"/>
        <v>18</v>
      </c>
      <c r="X810" s="53" t="str">
        <f t="shared" si="37"/>
        <v/>
      </c>
      <c r="Y810" s="53" t="str">
        <f>IF(Table26[[#This Row],[customerSKU]]="","",_xlfn.XLOOKUP(Table26[[#This Row],[customerSKU]],Table27[customer_SKU],Table27[product_GTIN],"",0,1))</f>
        <v/>
      </c>
      <c r="Z810" s="90"/>
      <c r="AA810" s="18" t="str" cm="1">
        <f t="array" ref="AA810">IF(P810="", "", _xlfn.XLOOKUP(P810,#REF!,#REF!,NA,0,-1))</f>
        <v/>
      </c>
      <c r="AB810" s="53"/>
      <c r="AC810" s="55" t="s">
        <v>3509</v>
      </c>
      <c r="AD810" s="55" t="str">
        <f>IF($AC810="","",_xlfn.XLOOKUP($AC810,'[2]Client Info'!$C$2:$C$2535,'[2]Client Info'!$D$2:$D$2535,"",0,1))</f>
        <v>#201 – 1420 Alpha Lake Road</v>
      </c>
      <c r="AE810" s="55" t="str">
        <f>IF($AC810="","",_xlfn.XLOOKUP($AC810,'[2]Client Info'!$C$2:$C$2715,'[2]Client Info'!$E$2:$E$2715,"",))</f>
        <v>Whistler</v>
      </c>
      <c r="AF810" s="55" t="str">
        <f>IF($AC810="","",_xlfn.XLOOKUP($AC810,'[2]Client Info'!$C$2:$C$2715,'[2]Client Info'!$F$2:$F$2715,"",0,1))</f>
        <v>BC</v>
      </c>
      <c r="AG810" s="55" t="s">
        <v>3509</v>
      </c>
      <c r="AH810" s="62">
        <f>148.62/6</f>
        <v>24.77</v>
      </c>
      <c r="AI810" s="43" t="str">
        <f>_xlfn.XLOOKUP(Table26[[#This Row],[customerSKU]],customerSKU!G:G,customerSKU!O:O,"not found",0,1)</f>
        <v>not found</v>
      </c>
      <c r="AJ810" s="53">
        <f>Table26[[#This Row],[unitprice]]*Table26[[#This Row],[quantity_unit]]</f>
        <v>2675.16</v>
      </c>
      <c r="AK810" s="53" t="e" cm="1">
        <f t="array" ref="AK8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1" spans="1:37" ht="18" customHeight="1">
      <c r="A811" s="42">
        <v>1416</v>
      </c>
      <c r="B811" s="58" t="s">
        <v>3520</v>
      </c>
      <c r="C811" s="53" t="s">
        <v>203</v>
      </c>
      <c r="D811" s="51"/>
      <c r="E811" s="51"/>
      <c r="F81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1" s="46"/>
      <c r="H811" s="53"/>
      <c r="I811" s="53"/>
      <c r="J811" s="90" t="str">
        <f>IF(Table26[[#This Row],[customerSKU]]="","",_xlfn.XLOOKUP(Table26[[#This Row],[customerSKU]],customerSKU!G:G,customerSKU!A:A,"",0,1))</f>
        <v/>
      </c>
      <c r="K811" s="48">
        <v>45646</v>
      </c>
      <c r="L811" s="49" t="s">
        <v>201</v>
      </c>
      <c r="M811" s="53"/>
      <c r="N811" s="77" t="str">
        <f>Table26[[#This Row],[po_number]]&amp;"-"&amp;Table26[[#This Row],[po_line]]</f>
        <v>-1</v>
      </c>
      <c r="O811" s="77">
        <v>1</v>
      </c>
      <c r="P811" s="50"/>
      <c r="Q811" s="53" t="s">
        <v>4080</v>
      </c>
      <c r="R811" s="53" t="s">
        <v>569</v>
      </c>
      <c r="S811" s="53" t="s">
        <v>135</v>
      </c>
      <c r="T811" s="51">
        <v>45510</v>
      </c>
      <c r="U811" s="52">
        <v>135</v>
      </c>
      <c r="V811" s="53" t="str">
        <f>IF(ISBLANK(Table26[[#This Row],[customerSKU]]),"",_xlfn.XLOOKUP(Table26[[#This Row],[customerSKU]],Table27[customer_SKU],Table27[case_size],"",0,1))</f>
        <v/>
      </c>
      <c r="W811" s="116" t="str">
        <f t="shared" si="36"/>
        <v/>
      </c>
      <c r="X811" s="53" t="str">
        <f t="shared" si="37"/>
        <v/>
      </c>
      <c r="Y811" s="53" t="str">
        <f>IF(Table26[[#This Row],[customerSKU]]="","",_xlfn.XLOOKUP(Table26[[#This Row],[customerSKU]],Table27[customer_SKU],Table27[product_GTIN],"",0,1))</f>
        <v/>
      </c>
      <c r="Z811" s="90"/>
      <c r="AA811" s="18" t="str" cm="1">
        <f t="array" ref="AA811">IF(P811="", "", _xlfn.XLOOKUP(P811,#REF!,#REF!,NA,0,-1))</f>
        <v/>
      </c>
      <c r="AB811" s="53" t="s">
        <v>4081</v>
      </c>
      <c r="AC811" s="55" t="s">
        <v>3509</v>
      </c>
      <c r="AD811" s="55" t="str">
        <f>IF($AC811="","",_xlfn.XLOOKUP($AC811,'[2]Client Info'!$C$2:$C$2535,'[2]Client Info'!$D$2:$D$2535,"",0,1))</f>
        <v>#201 – 1420 Alpha Lake Road</v>
      </c>
      <c r="AE811" s="55" t="str">
        <f>IF($AC811="","",_xlfn.XLOOKUP($AC811,'[2]Client Info'!$C$2:$C$2715,'[2]Client Info'!$E$2:$E$2715,"",))</f>
        <v>Whistler</v>
      </c>
      <c r="AF811" s="55" t="str">
        <f>IF($AC811="","",_xlfn.XLOOKUP($AC811,'[2]Client Info'!$C$2:$C$2715,'[2]Client Info'!$F$2:$F$2715,"",0,1))</f>
        <v>BC</v>
      </c>
      <c r="AG811" s="55" t="s">
        <v>3772</v>
      </c>
      <c r="AH811" s="62" t="str">
        <f>_xlfn.XLOOKUP(Table26[[#This Row],[customerSKU]],customerSKU!G:G,customerSKU!K:K,"NA",0,1)</f>
        <v>NA</v>
      </c>
      <c r="AI811" s="43" t="str">
        <f>_xlfn.XLOOKUP(Table26[[#This Row],[customerSKU]],customerSKU!G:G,customerSKU!O:O,"not found",0,1)</f>
        <v>not found</v>
      </c>
      <c r="AJ811" s="53" t="e">
        <f>Table26[[#This Row],[unitprice]]*Table26[[#This Row],[quantity_unit]]</f>
        <v>#VALUE!</v>
      </c>
      <c r="AK811" s="53" t="e" cm="1">
        <f t="array" ref="AK8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2" spans="1:37" ht="18" customHeight="1">
      <c r="A812" s="42">
        <v>1417</v>
      </c>
      <c r="B812" s="58" t="s">
        <v>3520</v>
      </c>
      <c r="C812" s="53" t="s">
        <v>203</v>
      </c>
      <c r="D812" s="51"/>
      <c r="E812" s="51"/>
      <c r="F81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2" s="46"/>
      <c r="H812" s="53"/>
      <c r="I812" s="53"/>
      <c r="J812" s="90" t="str">
        <f>IF(Table26[[#This Row],[customerSKU]]="","",_xlfn.XLOOKUP(Table26[[#This Row],[customerSKU]],customerSKU!G:G,customerSKU!A:A,"",0,1))</f>
        <v/>
      </c>
      <c r="K812" s="48">
        <v>45646</v>
      </c>
      <c r="L812" s="49" t="s">
        <v>201</v>
      </c>
      <c r="M812" s="53"/>
      <c r="N812" s="77" t="str">
        <f>Table26[[#This Row],[po_number]]&amp;"-"&amp;Table26[[#This Row],[po_line]]</f>
        <v>-2</v>
      </c>
      <c r="O812" s="77">
        <v>2</v>
      </c>
      <c r="P812" s="50"/>
      <c r="Q812" s="53" t="s">
        <v>4082</v>
      </c>
      <c r="R812" s="53" t="s">
        <v>3419</v>
      </c>
      <c r="S812" s="53" t="s">
        <v>3420</v>
      </c>
      <c r="T812" s="51">
        <v>45633</v>
      </c>
      <c r="U812" s="52">
        <v>309</v>
      </c>
      <c r="V812" s="53" t="str">
        <f>IF(ISBLANK(Table26[[#This Row],[customerSKU]]),"",_xlfn.XLOOKUP(Table26[[#This Row],[customerSKU]],Table27[customer_SKU],Table27[case_size],"",0,1))</f>
        <v/>
      </c>
      <c r="W812" s="116" t="str">
        <f t="shared" si="36"/>
        <v/>
      </c>
      <c r="X812" s="53" t="str">
        <f t="shared" si="37"/>
        <v/>
      </c>
      <c r="Y812" s="53" t="str">
        <f>IF(Table26[[#This Row],[customerSKU]]="","",_xlfn.XLOOKUP(Table26[[#This Row],[customerSKU]],Table27[customer_SKU],Table27[product_GTIN],"",0,1))</f>
        <v/>
      </c>
      <c r="Z812" s="90"/>
      <c r="AA812" s="18" t="str" cm="1">
        <f t="array" ref="AA812">IF(P812="", "", _xlfn.XLOOKUP(P812,#REF!,#REF!,NA,0,-1))</f>
        <v/>
      </c>
      <c r="AB812" s="53"/>
      <c r="AC812" s="55" t="s">
        <v>3509</v>
      </c>
      <c r="AD812" s="55" t="str">
        <f>IF($AC812="","",_xlfn.XLOOKUP($AC812,'[2]Client Info'!$C$2:$C$2535,'[2]Client Info'!$D$2:$D$2535,"",0,1))</f>
        <v>#201 – 1420 Alpha Lake Road</v>
      </c>
      <c r="AE812" s="55" t="str">
        <f>IF($AC812="","",_xlfn.XLOOKUP($AC812,'[2]Client Info'!$C$2:$C$2715,'[2]Client Info'!$E$2:$E$2715,"",))</f>
        <v>Whistler</v>
      </c>
      <c r="AF812" s="55" t="str">
        <f>IF($AC812="","",_xlfn.XLOOKUP($AC812,'[2]Client Info'!$C$2:$C$2715,'[2]Client Info'!$F$2:$F$2715,"",0,1))</f>
        <v>BC</v>
      </c>
      <c r="AG812" s="55" t="s">
        <v>3772</v>
      </c>
      <c r="AH812" s="62" t="str">
        <f>_xlfn.XLOOKUP(Table26[[#This Row],[customerSKU]],customerSKU!G:G,customerSKU!K:K,"NA",0,1)</f>
        <v>NA</v>
      </c>
      <c r="AI812" s="43" t="str">
        <f>_xlfn.XLOOKUP(Table26[[#This Row],[customerSKU]],customerSKU!G:G,customerSKU!O:O,"not found",0,1)</f>
        <v>not found</v>
      </c>
      <c r="AJ812" s="53" t="e">
        <f>Table26[[#This Row],[unitprice]]*Table26[[#This Row],[quantity_unit]]</f>
        <v>#VALUE!</v>
      </c>
      <c r="AK812" s="53" t="e" cm="1">
        <f t="array" ref="AK8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3" spans="1:37" ht="18" customHeight="1">
      <c r="A813" s="42">
        <v>1418</v>
      </c>
      <c r="B813" s="58" t="s">
        <v>3520</v>
      </c>
      <c r="C813" s="53" t="s">
        <v>203</v>
      </c>
      <c r="D813" s="51"/>
      <c r="E813" s="51"/>
      <c r="F813" s="53"/>
      <c r="G813" s="46"/>
      <c r="H813" s="53"/>
      <c r="I813" s="53"/>
      <c r="J813" s="90" t="str">
        <f>IF(Table26[[#This Row],[customerSKU]]="","",_xlfn.XLOOKUP(Table26[[#This Row],[customerSKU]],customerSKU!G:G,customerSKU!A:A,"",0,1))</f>
        <v/>
      </c>
      <c r="K813" s="48">
        <v>45646</v>
      </c>
      <c r="L813" s="49" t="str">
        <f>IF(Table26[[#This Row],[customerSKU]]="","",_xlfn.XLOOKUP(Table26[[#This Row],[customerSKU]],customerSKU!G:G,customerSKU!B:B,"",0,1))</f>
        <v/>
      </c>
      <c r="M813" s="53"/>
      <c r="N813" s="77" t="str">
        <f>Table26[[#This Row],[po_number]]&amp;"-"&amp;Table26[[#This Row],[po_line]]</f>
        <v>-1</v>
      </c>
      <c r="O813" s="77">
        <v>1</v>
      </c>
      <c r="P813" s="50"/>
      <c r="Q813" s="53" t="s">
        <v>1172</v>
      </c>
      <c r="R813" s="53" t="s">
        <v>3302</v>
      </c>
      <c r="S813" s="53" t="str">
        <f>IF(Table26[[#This Row],[customerSKU]]="","",_xlfn.XLOOKUP(Table26[[#This Row],[customerSKU]],customerSKU!G:G,customerSKU!N:N,"NOT FOUND",0,1))</f>
        <v>NOT FOUND</v>
      </c>
      <c r="T813" s="51">
        <v>45588</v>
      </c>
      <c r="U813" s="52">
        <v>24</v>
      </c>
      <c r="V813" s="53" t="str">
        <f>IF(ISBLANK(Table26[[#This Row],[customerSKU]]),"",_xlfn.XLOOKUP(Table26[[#This Row],[customerSKU]],Table27[customer_SKU],Table27[case_size],"",0,1))</f>
        <v/>
      </c>
      <c r="W813" s="116" t="str">
        <f t="shared" si="36"/>
        <v/>
      </c>
      <c r="X813" s="53" t="str">
        <f t="shared" si="37"/>
        <v/>
      </c>
      <c r="Y813" s="53" t="str">
        <f>IF(Table26[[#This Row],[customerSKU]]="","",_xlfn.XLOOKUP(Table26[[#This Row],[customerSKU]],Table27[customer_SKU],Table27[product_GTIN],"",0,1))</f>
        <v/>
      </c>
      <c r="Z813" s="25" t="s">
        <v>3409</v>
      </c>
      <c r="AA813" s="18" t="str" cm="1">
        <f t="array" ref="AA813">IF(P813="", "", _xlfn.XLOOKUP(P813,#REF!,#REF!,NA,0,-1))</f>
        <v/>
      </c>
      <c r="AB813" s="53"/>
      <c r="AC813" s="55" t="s">
        <v>3819</v>
      </c>
      <c r="AD813" s="55" t="s">
        <v>138</v>
      </c>
      <c r="AE813" s="55" t="s">
        <v>139</v>
      </c>
      <c r="AF813" s="55" t="s">
        <v>12</v>
      </c>
      <c r="AG813" s="55" t="s">
        <v>3420</v>
      </c>
      <c r="AH813" s="62" t="s">
        <v>3420</v>
      </c>
      <c r="AI813" s="43" t="str">
        <f>_xlfn.XLOOKUP(Table26[[#This Row],[customerSKU]],customerSKU!G:G,customerSKU!O:O,"not found",0,1)</f>
        <v>not found</v>
      </c>
      <c r="AJ813" s="53" t="e">
        <f>Table26[[#This Row],[unitprice]]*Table26[[#This Row],[quantity_unit]]</f>
        <v>#VALUE!</v>
      </c>
      <c r="AK813" s="53" t="e" cm="1">
        <f t="array" ref="AK8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4" spans="1:37" ht="24.6" customHeight="1">
      <c r="A814" s="42">
        <v>1419</v>
      </c>
      <c r="B814" s="58" t="s">
        <v>3520</v>
      </c>
      <c r="C814" s="53" t="s">
        <v>203</v>
      </c>
      <c r="D814" s="51"/>
      <c r="E814" s="51"/>
      <c r="F814" s="53"/>
      <c r="G814" s="46"/>
      <c r="H814" s="53"/>
      <c r="I814" s="53"/>
      <c r="J814" s="90" t="str">
        <f>IF(Table26[[#This Row],[customerSKU]]="","",_xlfn.XLOOKUP(Table26[[#This Row],[customerSKU]],customerSKU!G:G,customerSKU!A:A,"",0,1))</f>
        <v/>
      </c>
      <c r="K814" s="48">
        <v>45646</v>
      </c>
      <c r="L814" s="49" t="str">
        <f>IF(Table26[[#This Row],[customerSKU]]="","",_xlfn.XLOOKUP(Table26[[#This Row],[customerSKU]],customerSKU!G:G,customerSKU!B:B,"",0,1))</f>
        <v/>
      </c>
      <c r="M814" s="53"/>
      <c r="N814" s="77" t="str">
        <f>Table26[[#This Row],[po_number]]&amp;"-"&amp;Table26[[#This Row],[po_line]]</f>
        <v>-2</v>
      </c>
      <c r="O814" s="77">
        <v>2</v>
      </c>
      <c r="P814" s="50"/>
      <c r="Q814" s="24" t="s">
        <v>1195</v>
      </c>
      <c r="R814" s="53" t="s">
        <v>3302</v>
      </c>
      <c r="S814" s="53" t="str">
        <f>IF(Table26[[#This Row],[customerSKU]]="","",_xlfn.XLOOKUP(Table26[[#This Row],[customerSKU]],customerSKU!G:G,customerSKU!N:N,"NOT FOUND",0,1))</f>
        <v>NOT FOUND</v>
      </c>
      <c r="T814" s="20">
        <v>45594</v>
      </c>
      <c r="U814" s="52">
        <v>12</v>
      </c>
      <c r="V814" s="53" t="str">
        <f>IF(ISBLANK(Table26[[#This Row],[customerSKU]]),"",_xlfn.XLOOKUP(Table26[[#This Row],[customerSKU]],Table27[customer_SKU],Table27[case_size],"",0,1))</f>
        <v/>
      </c>
      <c r="W814" s="116" t="str">
        <f t="shared" si="36"/>
        <v/>
      </c>
      <c r="X814" s="53" t="str">
        <f t="shared" si="37"/>
        <v/>
      </c>
      <c r="Y814" s="53" t="str">
        <f>IF(Table26[[#This Row],[customerSKU]]="","",_xlfn.XLOOKUP(Table26[[#This Row],[customerSKU]],Table27[customer_SKU],Table27[product_GTIN],"",0,1))</f>
        <v/>
      </c>
      <c r="Z814" s="25" t="s">
        <v>3363</v>
      </c>
      <c r="AA814" s="18" t="str" cm="1">
        <f t="array" ref="AA814">IF(P814="", "", _xlfn.XLOOKUP(P814,#REF!,#REF!,NA,0,-1))</f>
        <v/>
      </c>
      <c r="AB814" s="53"/>
      <c r="AC814" s="55" t="s">
        <v>3819</v>
      </c>
      <c r="AD814" s="55" t="s">
        <v>138</v>
      </c>
      <c r="AE814" s="55" t="s">
        <v>139</v>
      </c>
      <c r="AF814" s="55" t="s">
        <v>12</v>
      </c>
      <c r="AG814" s="55" t="s">
        <v>3420</v>
      </c>
      <c r="AH814" s="62" t="s">
        <v>3420</v>
      </c>
      <c r="AI814" s="43" t="str">
        <f>_xlfn.XLOOKUP(Table26[[#This Row],[customerSKU]],customerSKU!G:G,customerSKU!O:O,"not found",0,1)</f>
        <v>not found</v>
      </c>
      <c r="AJ814" s="53" t="e">
        <f>Table26[[#This Row],[unitprice]]*Table26[[#This Row],[quantity_unit]]</f>
        <v>#VALUE!</v>
      </c>
      <c r="AK814" s="53" t="e" cm="1">
        <f t="array" ref="AK8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5" spans="1:37" ht="24.6" customHeight="1">
      <c r="A815" s="42">
        <v>1420</v>
      </c>
      <c r="B815" s="58" t="s">
        <v>3520</v>
      </c>
      <c r="C815" s="53" t="s">
        <v>203</v>
      </c>
      <c r="D815" s="51"/>
      <c r="E815" s="51"/>
      <c r="F81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5" s="46"/>
      <c r="H815" s="53"/>
      <c r="I815" s="53"/>
      <c r="J815" s="90" t="str">
        <f>IF(Table26[[#This Row],[customerSKU]]="","",_xlfn.XLOOKUP(Table26[[#This Row],[customerSKU]],customerSKU!G:G,customerSKU!A:A,"",0,1))</f>
        <v/>
      </c>
      <c r="K815" s="48">
        <v>45646</v>
      </c>
      <c r="L815" s="49" t="s">
        <v>3417</v>
      </c>
      <c r="M815" s="53"/>
      <c r="N815" s="77" t="str">
        <f>Table26[[#This Row],[po_number]]&amp;"-"&amp;Table26[[#This Row],[po_line]]</f>
        <v>-1</v>
      </c>
      <c r="O815" s="77">
        <v>1</v>
      </c>
      <c r="P815" s="50"/>
      <c r="Q815" s="53" t="s">
        <v>659</v>
      </c>
      <c r="R815" s="53" t="s">
        <v>3369</v>
      </c>
      <c r="S815" s="53" t="s">
        <v>3770</v>
      </c>
      <c r="T815" s="51">
        <v>45638</v>
      </c>
      <c r="U815" s="52">
        <v>2</v>
      </c>
      <c r="V815" s="53" t="str">
        <f>IF(ISBLANK(Table26[[#This Row],[customerSKU]]),"",_xlfn.XLOOKUP(Table26[[#This Row],[customerSKU]],Table27[customer_SKU],Table27[case_size],"",0,1))</f>
        <v/>
      </c>
      <c r="W815" s="116" t="str">
        <f t="shared" si="36"/>
        <v/>
      </c>
      <c r="X815" s="53" t="str">
        <f t="shared" si="37"/>
        <v/>
      </c>
      <c r="Y815" s="53" t="str">
        <f>IF(Table26[[#This Row],[customerSKU]]="","",_xlfn.XLOOKUP(Table26[[#This Row],[customerSKU]],Table27[customer_SKU],Table27[product_GTIN],"",0,1))</f>
        <v/>
      </c>
      <c r="Z815" s="90"/>
      <c r="AA815" s="18" t="str" cm="1">
        <f t="array" ref="AA815">IF(P815="", "", _xlfn.XLOOKUP(P815,#REF!,#REF!,NA,0,-1))</f>
        <v/>
      </c>
      <c r="AB815" s="53"/>
      <c r="AC815" s="55" t="str">
        <f>IF(Table26[[#This Row],[customerSKU]]="","",_xlfn.XLOOKUP(Table26[[#This Row],[customerSKU]],customerSKU!G:G,customerSKU!C:C,"",0,1))</f>
        <v/>
      </c>
      <c r="AD815" s="55" t="str">
        <f>IF($AC815="","",_xlfn.XLOOKUP($AC815,'[2]Client Info'!$C$2:$C$2535,'[2]Client Info'!$D$2:$D$2535,"",0,1))</f>
        <v/>
      </c>
      <c r="AE815" s="55" t="str">
        <f>IF($AC815="","",_xlfn.XLOOKUP($AC815,'[2]Client Info'!$C$2:$C$2715,'[2]Client Info'!$E$2:$E$2715,"",))</f>
        <v/>
      </c>
      <c r="AF815" s="55" t="str">
        <f>IF($AC815="","",_xlfn.XLOOKUP($AC815,'[2]Client Info'!$C$2:$C$2715,'[2]Client Info'!$F$2:$F$2715,"",0,1))</f>
        <v/>
      </c>
      <c r="AG815" s="55" t="str">
        <f>IF(ISBLANK(Table26[[#This Row],[customerSKU]]),"",_xlfn.XLOOKUP(Table26[[#This Row],[customerSKU]],Table27[customer_SKU],Table27[billto],"",0,1))</f>
        <v/>
      </c>
      <c r="AH815" s="62" t="str">
        <f>_xlfn.XLOOKUP(Table26[[#This Row],[customerSKU]],customerSKU!G:G,customerSKU!K:K,"NA",0,1)</f>
        <v>NA</v>
      </c>
      <c r="AI815" s="43" t="str">
        <f>_xlfn.XLOOKUP(Table26[[#This Row],[customerSKU]],customerSKU!G:G,customerSKU!O:O,"not found",0,1)</f>
        <v>not found</v>
      </c>
      <c r="AJ815" s="53" t="e">
        <f>Table26[[#This Row],[unitprice]]*Table26[[#This Row],[quantity_unit]]</f>
        <v>#VALUE!</v>
      </c>
      <c r="AK815" s="53" t="e" cm="1">
        <f t="array" ref="AK8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6" spans="1:37" ht="24.6" customHeight="1">
      <c r="A816" s="42">
        <v>1421</v>
      </c>
      <c r="B816" s="58" t="s">
        <v>3520</v>
      </c>
      <c r="C816" s="53" t="s">
        <v>203</v>
      </c>
      <c r="D816" s="51"/>
      <c r="E816" s="51"/>
      <c r="F81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6" s="46"/>
      <c r="H816" s="53"/>
      <c r="I816" s="53"/>
      <c r="J816" s="90" t="str">
        <f>IF(Table26[[#This Row],[customerSKU]]="","",_xlfn.XLOOKUP(Table26[[#This Row],[customerSKU]],customerSKU!G:G,customerSKU!A:A,"",0,1))</f>
        <v/>
      </c>
      <c r="K816" s="48">
        <v>45646</v>
      </c>
      <c r="L816" s="49" t="s">
        <v>3417</v>
      </c>
      <c r="M816" s="53"/>
      <c r="N816" s="77" t="str">
        <f>Table26[[#This Row],[po_number]]&amp;"-"&amp;Table26[[#This Row],[po_line]]</f>
        <v>-2</v>
      </c>
      <c r="O816" s="77">
        <v>2</v>
      </c>
      <c r="P816" s="50"/>
      <c r="Q816" s="53" t="s">
        <v>775</v>
      </c>
      <c r="R816" s="53" t="s">
        <v>3369</v>
      </c>
      <c r="S816" s="53" t="s">
        <v>3770</v>
      </c>
      <c r="T816" s="51">
        <v>45523</v>
      </c>
      <c r="U816" s="52">
        <v>2</v>
      </c>
      <c r="V816" s="53" t="str">
        <f>IF(ISBLANK(Table26[[#This Row],[customerSKU]]),"",_xlfn.XLOOKUP(Table26[[#This Row],[customerSKU]],Table27[customer_SKU],Table27[case_size],"",0,1))</f>
        <v/>
      </c>
      <c r="W816" s="116" t="str">
        <f t="shared" si="36"/>
        <v/>
      </c>
      <c r="X816" s="53" t="str">
        <f t="shared" si="37"/>
        <v/>
      </c>
      <c r="Y816" s="53" t="str">
        <f>IF(Table26[[#This Row],[customerSKU]]="","",_xlfn.XLOOKUP(Table26[[#This Row],[customerSKU]],Table27[customer_SKU],Table27[product_GTIN],"",0,1))</f>
        <v/>
      </c>
      <c r="Z816" s="90"/>
      <c r="AA816" s="18" t="str" cm="1">
        <f t="array" ref="AA816">IF(P816="", "", _xlfn.XLOOKUP(P816,#REF!,#REF!,NA,0,-1))</f>
        <v/>
      </c>
      <c r="AB816" s="53"/>
      <c r="AC816" s="55" t="str">
        <f>IF(Table26[[#This Row],[customerSKU]]="","",_xlfn.XLOOKUP(Table26[[#This Row],[customerSKU]],customerSKU!G:G,customerSKU!C:C,"",0,1))</f>
        <v/>
      </c>
      <c r="AD816" s="55" t="str">
        <f>IF($AC816="","",_xlfn.XLOOKUP($AC816,'[2]Client Info'!$C$2:$C$2535,'[2]Client Info'!$D$2:$D$2535,"",0,1))</f>
        <v/>
      </c>
      <c r="AE816" s="55" t="str">
        <f>IF($AC816="","",_xlfn.XLOOKUP($AC816,'[2]Client Info'!$C$2:$C$2715,'[2]Client Info'!$E$2:$E$2715,"",))</f>
        <v/>
      </c>
      <c r="AF816" s="55" t="str">
        <f>IF($AC816="","",_xlfn.XLOOKUP($AC816,'[2]Client Info'!$C$2:$C$2715,'[2]Client Info'!$F$2:$F$2715,"",0,1))</f>
        <v/>
      </c>
      <c r="AG816" s="55" t="str">
        <f>IF(ISBLANK(Table26[[#This Row],[customerSKU]]),"",_xlfn.XLOOKUP(Table26[[#This Row],[customerSKU]],Table27[customer_SKU],Table27[billto],"",0,1))</f>
        <v/>
      </c>
      <c r="AH816" s="62" t="str">
        <f>_xlfn.XLOOKUP(Table26[[#This Row],[customerSKU]],customerSKU!G:G,customerSKU!K:K,"NA",0,1)</f>
        <v>NA</v>
      </c>
      <c r="AI816" s="43" t="str">
        <f>_xlfn.XLOOKUP(Table26[[#This Row],[customerSKU]],customerSKU!G:G,customerSKU!O:O,"not found",0,1)</f>
        <v>not found</v>
      </c>
      <c r="AJ816" s="53" t="e">
        <f>Table26[[#This Row],[unitprice]]*Table26[[#This Row],[quantity_unit]]</f>
        <v>#VALUE!</v>
      </c>
      <c r="AK816" s="53" t="e" cm="1">
        <f t="array" ref="AK8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7" spans="1:37" ht="18" customHeight="1">
      <c r="A817" s="42">
        <v>1422</v>
      </c>
      <c r="B817" s="58" t="s">
        <v>3520</v>
      </c>
      <c r="C817" s="53" t="s">
        <v>203</v>
      </c>
      <c r="D817" s="51"/>
      <c r="E817" s="51"/>
      <c r="F81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7" s="46"/>
      <c r="H817" s="53"/>
      <c r="I817" s="53"/>
      <c r="J817" s="90" t="str">
        <f>IF(Table26[[#This Row],[customerSKU]]="","",_xlfn.XLOOKUP(Table26[[#This Row],[customerSKU]],customerSKU!G:G,customerSKU!A:A,"",0,1))</f>
        <v/>
      </c>
      <c r="K817" s="48">
        <v>45646</v>
      </c>
      <c r="L817" s="49" t="str">
        <f>IF(Table26[[#This Row],[customerSKU]]="","",_xlfn.XLOOKUP(Table26[[#This Row],[customerSKU]],customerSKU!G:G,customerSKU!B:B,"",0,1))</f>
        <v/>
      </c>
      <c r="M817" s="53"/>
      <c r="N817" s="77" t="str">
        <f>Table26[[#This Row],[po_number]]&amp;"-"&amp;Table26[[#This Row],[po_line]]</f>
        <v>-1</v>
      </c>
      <c r="O817" s="77">
        <v>1</v>
      </c>
      <c r="P817" s="50"/>
      <c r="Q817" s="53" t="s">
        <v>3566</v>
      </c>
      <c r="R817" s="53" t="s">
        <v>569</v>
      </c>
      <c r="S817" s="53" t="s">
        <v>4091</v>
      </c>
      <c r="T817" s="51">
        <v>45649</v>
      </c>
      <c r="U817" s="52">
        <v>36</v>
      </c>
      <c r="V817" s="53" t="str">
        <f>IF(ISBLANK(Table26[[#This Row],[customerSKU]]),"",_xlfn.XLOOKUP(Table26[[#This Row],[customerSKU]],Table27[customer_SKU],Table27[case_size],"",0,1))</f>
        <v/>
      </c>
      <c r="W817" s="116" t="str">
        <f t="shared" si="36"/>
        <v/>
      </c>
      <c r="X817" s="53" t="str">
        <f t="shared" si="37"/>
        <v/>
      </c>
      <c r="Y817" s="53" t="str">
        <f>IF(Table26[[#This Row],[customerSKU]]="","",_xlfn.XLOOKUP(Table26[[#This Row],[customerSKU]],Table27[customer_SKU],Table27[product_GTIN],"",0,1))</f>
        <v/>
      </c>
      <c r="Z817" s="90">
        <v>992356</v>
      </c>
      <c r="AA817" s="18" t="str" cm="1">
        <f t="array" ref="AA817">IF(P817="", "", _xlfn.XLOOKUP(P817,#REF!,#REF!,NA,0,-1))</f>
        <v/>
      </c>
      <c r="AB817" s="53"/>
      <c r="AC817" s="55" t="str">
        <f>IF(Table26[[#This Row],[customerSKU]]="","",_xlfn.XLOOKUP(Table26[[#This Row],[customerSKU]],customerSKU!G:G,customerSKU!C:C,"",0,1))</f>
        <v/>
      </c>
      <c r="AD817" s="55" t="str">
        <f>IF($AC817="","",_xlfn.XLOOKUP($AC817,'[2]Client Info'!$C$2:$C$2535,'[2]Client Info'!$D$2:$D$2535,"",0,1))</f>
        <v/>
      </c>
      <c r="AE817" s="55" t="str">
        <f>IF($AC817="","",_xlfn.XLOOKUP($AC817,'[2]Client Info'!$C$2:$C$2715,'[2]Client Info'!$E$2:$E$2715,"",))</f>
        <v/>
      </c>
      <c r="AF817" s="55" t="str">
        <f>IF($AC817="","",_xlfn.XLOOKUP($AC817,'[2]Client Info'!$C$2:$C$2715,'[2]Client Info'!$F$2:$F$2715,"",0,1))</f>
        <v/>
      </c>
      <c r="AG817" s="55" t="str">
        <f>IF(ISBLANK(Table26[[#This Row],[customerSKU]]),"",_xlfn.XLOOKUP(Table26[[#This Row],[customerSKU]],Table27[customer_SKU],Table27[billto],"",0,1))</f>
        <v/>
      </c>
      <c r="AH817" s="62" t="str">
        <f>_xlfn.XLOOKUP(Table26[[#This Row],[customerSKU]],customerSKU!G:G,customerSKU!K:K,"NA",0,1)</f>
        <v>NA</v>
      </c>
      <c r="AI817" s="43" t="str">
        <f>_xlfn.XLOOKUP(Table26[[#This Row],[customerSKU]],customerSKU!G:G,customerSKU!O:O,"not found",0,1)</f>
        <v>not found</v>
      </c>
      <c r="AJ817" s="53" t="e">
        <f>Table26[[#This Row],[unitprice]]*Table26[[#This Row],[quantity_unit]]</f>
        <v>#VALUE!</v>
      </c>
      <c r="AK817" s="53" t="e" cm="1">
        <f t="array" ref="AK8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8" spans="1:37" ht="18" customHeight="1">
      <c r="A818" s="42">
        <v>1423</v>
      </c>
      <c r="B818" s="58" t="s">
        <v>3520</v>
      </c>
      <c r="C818" s="53" t="s">
        <v>203</v>
      </c>
      <c r="D818" s="51"/>
      <c r="E818" s="51"/>
      <c r="F81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8" s="46"/>
      <c r="H818" s="53"/>
      <c r="I818" s="53"/>
      <c r="J818" s="90" t="str">
        <f>IF(Table26[[#This Row],[customerSKU]]="","",_xlfn.XLOOKUP(Table26[[#This Row],[customerSKU]],customerSKU!G:G,customerSKU!A:A,"",0,1))</f>
        <v/>
      </c>
      <c r="K818" s="48">
        <v>45646</v>
      </c>
      <c r="L818" s="49" t="str">
        <f>IF(Table26[[#This Row],[customerSKU]]="","",_xlfn.XLOOKUP(Table26[[#This Row],[customerSKU]],customerSKU!G:G,customerSKU!B:B,"",0,1))</f>
        <v/>
      </c>
      <c r="M818" s="53"/>
      <c r="N818" s="77" t="str">
        <f>Table26[[#This Row],[po_number]]&amp;"-"&amp;Table26[[#This Row],[po_line]]</f>
        <v>-2</v>
      </c>
      <c r="O818" s="77">
        <v>2</v>
      </c>
      <c r="P818" s="50"/>
      <c r="Q818" s="53" t="s">
        <v>3368</v>
      </c>
      <c r="R818" s="53" t="s">
        <v>4092</v>
      </c>
      <c r="S818" s="53" t="s">
        <v>3770</v>
      </c>
      <c r="T818" s="51">
        <v>45590</v>
      </c>
      <c r="U818" s="52">
        <v>36</v>
      </c>
      <c r="V818" s="53" t="str">
        <f>IF(ISBLANK(Table26[[#This Row],[customerSKU]]),"",_xlfn.XLOOKUP(Table26[[#This Row],[customerSKU]],Table27[customer_SKU],Table27[case_size],"",0,1))</f>
        <v/>
      </c>
      <c r="W818" s="116" t="str">
        <f t="shared" si="36"/>
        <v/>
      </c>
      <c r="X818" s="53" t="str">
        <f t="shared" si="37"/>
        <v/>
      </c>
      <c r="Y818" s="53" t="str">
        <f>IF(Table26[[#This Row],[customerSKU]]="","",_xlfn.XLOOKUP(Table26[[#This Row],[customerSKU]],Table27[customer_SKU],Table27[product_GTIN],"",0,1))</f>
        <v/>
      </c>
      <c r="Z818" s="90">
        <v>991969</v>
      </c>
      <c r="AA818" s="18" t="str" cm="1">
        <f t="array" ref="AA818">IF(P818="", "", _xlfn.XLOOKUP(P818,#REF!,#REF!,NA,0,-1))</f>
        <v/>
      </c>
      <c r="AB818" s="53"/>
      <c r="AC818" s="55" t="str">
        <f>IF(Table26[[#This Row],[customerSKU]]="","",_xlfn.XLOOKUP(Table26[[#This Row],[customerSKU]],customerSKU!G:G,customerSKU!C:C,"",0,1))</f>
        <v/>
      </c>
      <c r="AD818" s="55" t="str">
        <f>IF($AC818="","",_xlfn.XLOOKUP($AC818,'[2]Client Info'!$C$2:$C$2535,'[2]Client Info'!$D$2:$D$2535,"",0,1))</f>
        <v/>
      </c>
      <c r="AE818" s="55" t="str">
        <f>IF($AC818="","",_xlfn.XLOOKUP($AC818,'[2]Client Info'!$C$2:$C$2715,'[2]Client Info'!$E$2:$E$2715,"",))</f>
        <v/>
      </c>
      <c r="AF818" s="55" t="str">
        <f>IF($AC818="","",_xlfn.XLOOKUP($AC818,'[2]Client Info'!$C$2:$C$2715,'[2]Client Info'!$F$2:$F$2715,"",0,1))</f>
        <v/>
      </c>
      <c r="AG818" s="55" t="str">
        <f>IF(ISBLANK(Table26[[#This Row],[customerSKU]]),"",_xlfn.XLOOKUP(Table26[[#This Row],[customerSKU]],Table27[customer_SKU],Table27[billto],"",0,1))</f>
        <v/>
      </c>
      <c r="AH818" s="62" t="str">
        <f>_xlfn.XLOOKUP(Table26[[#This Row],[customerSKU]],customerSKU!G:G,customerSKU!K:K,"NA",0,1)</f>
        <v>NA</v>
      </c>
      <c r="AI818" s="43" t="str">
        <f>_xlfn.XLOOKUP(Table26[[#This Row],[customerSKU]],customerSKU!G:G,customerSKU!O:O,"not found",0,1)</f>
        <v>not found</v>
      </c>
      <c r="AJ818" s="53" t="e">
        <f>Table26[[#This Row],[unitprice]]*Table26[[#This Row],[quantity_unit]]</f>
        <v>#VALUE!</v>
      </c>
      <c r="AK818" s="53" t="e" cm="1">
        <f t="array" ref="AK8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19" spans="1:37" ht="18" customHeight="1">
      <c r="A819" s="42">
        <v>1424</v>
      </c>
      <c r="B819" s="58" t="s">
        <v>3520</v>
      </c>
      <c r="C819" s="53" t="s">
        <v>203</v>
      </c>
      <c r="D819" s="51"/>
      <c r="E819" s="51"/>
      <c r="F81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19" s="46"/>
      <c r="H819" s="53"/>
      <c r="I819" s="53"/>
      <c r="J819" s="90" t="str">
        <f>IF(Table26[[#This Row],[customerSKU]]="","",_xlfn.XLOOKUP(Table26[[#This Row],[customerSKU]],customerSKU!G:G,customerSKU!A:A,"",0,1))</f>
        <v/>
      </c>
      <c r="K819" s="48">
        <v>45646</v>
      </c>
      <c r="L819" s="49" t="str">
        <f>IF(Table26[[#This Row],[customerSKU]]="","",_xlfn.XLOOKUP(Table26[[#This Row],[customerSKU]],customerSKU!G:G,customerSKU!B:B,"",0,1))</f>
        <v/>
      </c>
      <c r="M819" s="53"/>
      <c r="N819" s="77" t="str">
        <f>Table26[[#This Row],[po_number]]&amp;"-"&amp;Table26[[#This Row],[po_line]]</f>
        <v>-3</v>
      </c>
      <c r="O819" s="77">
        <v>3</v>
      </c>
      <c r="P819" s="50"/>
      <c r="Q819" s="53" t="s">
        <v>862</v>
      </c>
      <c r="R819" s="53" t="s">
        <v>4092</v>
      </c>
      <c r="S819" s="53" t="s">
        <v>3770</v>
      </c>
      <c r="T819" s="51">
        <v>45488</v>
      </c>
      <c r="U819" s="52">
        <v>36</v>
      </c>
      <c r="V819" s="53" t="str">
        <f>IF(ISBLANK(Table26[[#This Row],[customerSKU]]),"",_xlfn.XLOOKUP(Table26[[#This Row],[customerSKU]],Table27[customer_SKU],Table27[case_size],"",0,1))</f>
        <v/>
      </c>
      <c r="W819" s="116" t="str">
        <f t="shared" si="36"/>
        <v/>
      </c>
      <c r="X819" s="53" t="str">
        <f t="shared" si="37"/>
        <v/>
      </c>
      <c r="Y819" s="53" t="str">
        <f>IF(Table26[[#This Row],[customerSKU]]="","",_xlfn.XLOOKUP(Table26[[#This Row],[customerSKU]],Table27[customer_SKU],Table27[product_GTIN],"",0,1))</f>
        <v/>
      </c>
      <c r="Z819" s="90">
        <v>990835</v>
      </c>
      <c r="AA819" s="18" t="str" cm="1">
        <f t="array" ref="AA819">IF(P819="", "", _xlfn.XLOOKUP(P819,#REF!,#REF!,NA,0,-1))</f>
        <v/>
      </c>
      <c r="AB819" s="53"/>
      <c r="AC819" s="55" t="str">
        <f>IF(Table26[[#This Row],[customerSKU]]="","",_xlfn.XLOOKUP(Table26[[#This Row],[customerSKU]],customerSKU!G:G,customerSKU!C:C,"",0,1))</f>
        <v/>
      </c>
      <c r="AD819" s="55" t="str">
        <f>IF($AC819="","",_xlfn.XLOOKUP($AC819,'[2]Client Info'!$C$2:$C$2535,'[2]Client Info'!$D$2:$D$2535,"",0,1))</f>
        <v/>
      </c>
      <c r="AE819" s="55" t="str">
        <f>IF($AC819="","",_xlfn.XLOOKUP($AC819,'[2]Client Info'!$C$2:$C$2715,'[2]Client Info'!$E$2:$E$2715,"",))</f>
        <v/>
      </c>
      <c r="AF819" s="55" t="str">
        <f>IF($AC819="","",_xlfn.XLOOKUP($AC819,'[2]Client Info'!$C$2:$C$2715,'[2]Client Info'!$F$2:$F$2715,"",0,1))</f>
        <v/>
      </c>
      <c r="AG819" s="55" t="str">
        <f>IF(ISBLANK(Table26[[#This Row],[customerSKU]]),"",_xlfn.XLOOKUP(Table26[[#This Row],[customerSKU]],Table27[customer_SKU],Table27[billto],"",0,1))</f>
        <v/>
      </c>
      <c r="AH819" s="62" t="str">
        <f>_xlfn.XLOOKUP(Table26[[#This Row],[customerSKU]],customerSKU!G:G,customerSKU!K:K,"NA",0,1)</f>
        <v>NA</v>
      </c>
      <c r="AI819" s="43" t="str">
        <f>_xlfn.XLOOKUP(Table26[[#This Row],[customerSKU]],customerSKU!G:G,customerSKU!O:O,"not found",0,1)</f>
        <v>not found</v>
      </c>
      <c r="AJ819" s="53" t="e">
        <f>Table26[[#This Row],[unitprice]]*Table26[[#This Row],[quantity_unit]]</f>
        <v>#VALUE!</v>
      </c>
      <c r="AK819" s="53" t="e" cm="1">
        <f t="array" ref="AK8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0" spans="1:37" ht="18" customHeight="1">
      <c r="A820" s="42">
        <v>1425</v>
      </c>
      <c r="B820" s="58" t="s">
        <v>3520</v>
      </c>
      <c r="C820" s="53" t="s">
        <v>203</v>
      </c>
      <c r="D820" s="51"/>
      <c r="E820" s="51"/>
      <c r="F82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0" s="46"/>
      <c r="H820" s="53"/>
      <c r="I820" s="53"/>
      <c r="J820" s="90" t="str">
        <f>IF(Table26[[#This Row],[customerSKU]]="","",_xlfn.XLOOKUP(Table26[[#This Row],[customerSKU]],customerSKU!G:G,customerSKU!A:A,"",0,1))</f>
        <v/>
      </c>
      <c r="K820" s="48">
        <v>45646</v>
      </c>
      <c r="L820" s="49" t="str">
        <f>IF(Table26[[#This Row],[customerSKU]]="","",_xlfn.XLOOKUP(Table26[[#This Row],[customerSKU]],customerSKU!G:G,customerSKU!B:B,"",0,1))</f>
        <v/>
      </c>
      <c r="M820" s="53"/>
      <c r="N820" s="77" t="str">
        <f>Table26[[#This Row],[po_number]]&amp;"-"&amp;Table26[[#This Row],[po_line]]</f>
        <v>-4</v>
      </c>
      <c r="O820" s="77">
        <v>4</v>
      </c>
      <c r="P820" s="50"/>
      <c r="Q820" s="53" t="s">
        <v>1386</v>
      </c>
      <c r="R820" s="53" t="s">
        <v>569</v>
      </c>
      <c r="S820" s="53" t="s">
        <v>4091</v>
      </c>
      <c r="T820" s="51">
        <v>45649</v>
      </c>
      <c r="U820" s="52">
        <v>12</v>
      </c>
      <c r="V820" s="53" t="str">
        <f>IF(ISBLANK(Table26[[#This Row],[customerSKU]]),"",_xlfn.XLOOKUP(Table26[[#This Row],[customerSKU]],Table27[customer_SKU],Table27[case_size],"",0,1))</f>
        <v/>
      </c>
      <c r="W820" s="116" t="str">
        <f t="shared" si="36"/>
        <v/>
      </c>
      <c r="X820" s="53" t="str">
        <f t="shared" si="37"/>
        <v/>
      </c>
      <c r="Y820" s="53" t="str">
        <f>IF(Table26[[#This Row],[customerSKU]]="","",_xlfn.XLOOKUP(Table26[[#This Row],[customerSKU]],Table27[customer_SKU],Table27[product_GTIN],"",0,1))</f>
        <v/>
      </c>
      <c r="Z820" s="90">
        <v>991976</v>
      </c>
      <c r="AA820" s="18" t="str" cm="1">
        <f t="array" ref="AA820">IF(P820="", "", _xlfn.XLOOKUP(P820,#REF!,#REF!,NA,0,-1))</f>
        <v/>
      </c>
      <c r="AB820" s="53"/>
      <c r="AC820" s="55" t="str">
        <f>IF(Table26[[#This Row],[customerSKU]]="","",_xlfn.XLOOKUP(Table26[[#This Row],[customerSKU]],customerSKU!G:G,customerSKU!C:C,"",0,1))</f>
        <v/>
      </c>
      <c r="AD820" s="55" t="str">
        <f>IF($AC820="","",_xlfn.XLOOKUP($AC820,'[2]Client Info'!$C$2:$C$2535,'[2]Client Info'!$D$2:$D$2535,"",0,1))</f>
        <v/>
      </c>
      <c r="AE820" s="55" t="str">
        <f>IF($AC820="","",_xlfn.XLOOKUP($AC820,'[2]Client Info'!$C$2:$C$2715,'[2]Client Info'!$E$2:$E$2715,"",))</f>
        <v/>
      </c>
      <c r="AF820" s="55" t="str">
        <f>IF($AC820="","",_xlfn.XLOOKUP($AC820,'[2]Client Info'!$C$2:$C$2715,'[2]Client Info'!$F$2:$F$2715,"",0,1))</f>
        <v/>
      </c>
      <c r="AG820" s="55" t="str">
        <f>IF(ISBLANK(Table26[[#This Row],[customerSKU]]),"",_xlfn.XLOOKUP(Table26[[#This Row],[customerSKU]],Table27[customer_SKU],Table27[billto],"",0,1))</f>
        <v/>
      </c>
      <c r="AH820" s="62" t="str">
        <f>_xlfn.XLOOKUP(Table26[[#This Row],[customerSKU]],customerSKU!G:G,customerSKU!K:K,"NA",0,1)</f>
        <v>NA</v>
      </c>
      <c r="AI820" s="43" t="str">
        <f>_xlfn.XLOOKUP(Table26[[#This Row],[customerSKU]],customerSKU!G:G,customerSKU!O:O,"not found",0,1)</f>
        <v>not found</v>
      </c>
      <c r="AJ820" s="53" t="e">
        <f>Table26[[#This Row],[unitprice]]*Table26[[#This Row],[quantity_unit]]</f>
        <v>#VALUE!</v>
      </c>
      <c r="AK820" s="53" t="e" cm="1">
        <f t="array" ref="AK8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1" spans="1:37" ht="18" customHeight="1">
      <c r="A821" s="42">
        <v>1426</v>
      </c>
      <c r="B821" s="58" t="s">
        <v>3520</v>
      </c>
      <c r="C821" s="53" t="s">
        <v>203</v>
      </c>
      <c r="D821" s="51"/>
      <c r="E821" s="51"/>
      <c r="F82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1" s="46"/>
      <c r="H821" s="53"/>
      <c r="I821" s="53"/>
      <c r="J821" s="90" t="str">
        <f>IF(Table26[[#This Row],[customerSKU]]="","",_xlfn.XLOOKUP(Table26[[#This Row],[customerSKU]],customerSKU!G:G,customerSKU!A:A,"",0,1))</f>
        <v/>
      </c>
      <c r="K821" s="48">
        <v>45646</v>
      </c>
      <c r="L821" s="49" t="str">
        <f>IF(Table26[[#This Row],[customerSKU]]="","",_xlfn.XLOOKUP(Table26[[#This Row],[customerSKU]],customerSKU!G:G,customerSKU!B:B,"",0,1))</f>
        <v/>
      </c>
      <c r="M821" s="53"/>
      <c r="N821" s="77" t="str">
        <f>Table26[[#This Row],[po_number]]&amp;"-"&amp;Table26[[#This Row],[po_line]]</f>
        <v>-5</v>
      </c>
      <c r="O821" s="77">
        <v>5</v>
      </c>
      <c r="P821" s="50"/>
      <c r="Q821" s="53" t="s">
        <v>4093</v>
      </c>
      <c r="R821" s="53" t="s">
        <v>569</v>
      </c>
      <c r="S821" s="53" t="s">
        <v>4091</v>
      </c>
      <c r="T821" s="51">
        <v>45649</v>
      </c>
      <c r="U821" s="52">
        <v>12</v>
      </c>
      <c r="V821" s="53" t="str">
        <f>IF(ISBLANK(Table26[[#This Row],[customerSKU]]),"",_xlfn.XLOOKUP(Table26[[#This Row],[customerSKU]],Table27[customer_SKU],Table27[case_size],"",0,1))</f>
        <v/>
      </c>
      <c r="W821" s="116" t="str">
        <f t="shared" si="36"/>
        <v/>
      </c>
      <c r="X821" s="53" t="str">
        <f t="shared" si="37"/>
        <v/>
      </c>
      <c r="Y821" s="53" t="str">
        <f>IF(Table26[[#This Row],[customerSKU]]="","",_xlfn.XLOOKUP(Table26[[#This Row],[customerSKU]],Table27[customer_SKU],Table27[product_GTIN],"",0,1))</f>
        <v/>
      </c>
      <c r="Z821" s="25" t="s">
        <v>3568</v>
      </c>
      <c r="AA821" s="18" t="str" cm="1">
        <f t="array" ref="AA821">IF(P821="", "", _xlfn.XLOOKUP(P821,#REF!,#REF!,NA,0,-1))</f>
        <v/>
      </c>
      <c r="AB821" s="53"/>
      <c r="AC821" s="55" t="str">
        <f>IF(Table26[[#This Row],[customerSKU]]="","",_xlfn.XLOOKUP(Table26[[#This Row],[customerSKU]],customerSKU!G:G,customerSKU!C:C,"",0,1))</f>
        <v/>
      </c>
      <c r="AD821" s="55" t="str">
        <f>IF($AC821="","",_xlfn.XLOOKUP($AC821,'[2]Client Info'!$C$2:$C$2535,'[2]Client Info'!$D$2:$D$2535,"",0,1))</f>
        <v/>
      </c>
      <c r="AE821" s="55" t="str">
        <f>IF($AC821="","",_xlfn.XLOOKUP($AC821,'[2]Client Info'!$C$2:$C$2715,'[2]Client Info'!$E$2:$E$2715,"",))</f>
        <v/>
      </c>
      <c r="AF821" s="55" t="str">
        <f>IF($AC821="","",_xlfn.XLOOKUP($AC821,'[2]Client Info'!$C$2:$C$2715,'[2]Client Info'!$F$2:$F$2715,"",0,1))</f>
        <v/>
      </c>
      <c r="AG821" s="55" t="str">
        <f>IF(ISBLANK(Table26[[#This Row],[customerSKU]]),"",_xlfn.XLOOKUP(Table26[[#This Row],[customerSKU]],Table27[customer_SKU],Table27[billto],"",0,1))</f>
        <v/>
      </c>
      <c r="AH821" s="62" t="str">
        <f>_xlfn.XLOOKUP(Table26[[#This Row],[customerSKU]],customerSKU!G:G,customerSKU!K:K,"NA",0,1)</f>
        <v>NA</v>
      </c>
      <c r="AI821" s="43" t="str">
        <f>_xlfn.XLOOKUP(Table26[[#This Row],[customerSKU]],customerSKU!G:G,customerSKU!O:O,"not found",0,1)</f>
        <v>not found</v>
      </c>
      <c r="AJ821" s="53" t="e">
        <f>Table26[[#This Row],[unitprice]]*Table26[[#This Row],[quantity_unit]]</f>
        <v>#VALUE!</v>
      </c>
      <c r="AK821" s="53" t="e" cm="1">
        <f t="array" ref="AK8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2" spans="1:37" ht="18" customHeight="1">
      <c r="A822" s="42">
        <v>1427</v>
      </c>
      <c r="B822" s="58" t="s">
        <v>3520</v>
      </c>
      <c r="C822" s="53" t="s">
        <v>203</v>
      </c>
      <c r="D822" s="51"/>
      <c r="E822" s="51"/>
      <c r="F82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2" s="46"/>
      <c r="H822" s="53"/>
      <c r="I822" s="53"/>
      <c r="J822" s="90" t="str">
        <f>IF(Table26[[#This Row],[customerSKU]]="","",_xlfn.XLOOKUP(Table26[[#This Row],[customerSKU]],customerSKU!G:G,customerSKU!A:A,"",0,1))</f>
        <v/>
      </c>
      <c r="K822" s="48">
        <v>45646</v>
      </c>
      <c r="L822" s="49" t="str">
        <f>IF(Table26[[#This Row],[customerSKU]]="","",_xlfn.XLOOKUP(Table26[[#This Row],[customerSKU]],customerSKU!G:G,customerSKU!B:B,"",0,1))</f>
        <v/>
      </c>
      <c r="M822" s="53"/>
      <c r="N822" s="77" t="str">
        <f>Table26[[#This Row],[po_number]]&amp;"-"&amp;Table26[[#This Row],[po_line]]</f>
        <v>-6</v>
      </c>
      <c r="O822" s="77">
        <v>6</v>
      </c>
      <c r="P822" s="50"/>
      <c r="Q822" s="53" t="s">
        <v>3569</v>
      </c>
      <c r="R822" s="53" t="s">
        <v>569</v>
      </c>
      <c r="S822" s="53" t="s">
        <v>4091</v>
      </c>
      <c r="T822" s="51">
        <v>45510</v>
      </c>
      <c r="U822" s="52">
        <v>12</v>
      </c>
      <c r="V822" s="53" t="str">
        <f>IF(ISBLANK(Table26[[#This Row],[customerSKU]]),"",_xlfn.XLOOKUP(Table26[[#This Row],[customerSKU]],Table27[customer_SKU],Table27[case_size],"",0,1))</f>
        <v/>
      </c>
      <c r="W822" s="116" t="str">
        <f t="shared" ref="W822:W835" si="38">IFERROR(U822/V822, "")</f>
        <v/>
      </c>
      <c r="X822" s="53" t="str">
        <f t="shared" si="37"/>
        <v/>
      </c>
      <c r="Y822" s="53" t="str">
        <f>IF(Table26[[#This Row],[customerSKU]]="","",_xlfn.XLOOKUP(Table26[[#This Row],[customerSKU]],Table27[customer_SKU],Table27[product_GTIN],"",0,1))</f>
        <v/>
      </c>
      <c r="Z822" s="25" t="s">
        <v>3570</v>
      </c>
      <c r="AA822" s="18" t="str" cm="1">
        <f t="array" ref="AA822">IF(P822="", "", _xlfn.XLOOKUP(P822,#REF!,#REF!,NA,0,-1))</f>
        <v/>
      </c>
      <c r="AB822" s="53"/>
      <c r="AC822" s="55" t="str">
        <f>IF(Table26[[#This Row],[customerSKU]]="","",_xlfn.XLOOKUP(Table26[[#This Row],[customerSKU]],customerSKU!G:G,customerSKU!C:C,"",0,1))</f>
        <v/>
      </c>
      <c r="AD822" s="55" t="str">
        <f>IF($AC822="","",_xlfn.XLOOKUP($AC822,'[2]Client Info'!$C$2:$C$2535,'[2]Client Info'!$D$2:$D$2535,"",0,1))</f>
        <v/>
      </c>
      <c r="AE822" s="55" t="str">
        <f>IF($AC822="","",_xlfn.XLOOKUP($AC822,'[2]Client Info'!$C$2:$C$2715,'[2]Client Info'!$E$2:$E$2715,"",))</f>
        <v/>
      </c>
      <c r="AF822" s="55" t="str">
        <f>IF($AC822="","",_xlfn.XLOOKUP($AC822,'[2]Client Info'!$C$2:$C$2715,'[2]Client Info'!$F$2:$F$2715,"",0,1))</f>
        <v/>
      </c>
      <c r="AG822" s="55" t="str">
        <f>IF(ISBLANK(Table26[[#This Row],[customerSKU]]),"",_xlfn.XLOOKUP(Table26[[#This Row],[customerSKU]],Table27[customer_SKU],Table27[billto],"",0,1))</f>
        <v/>
      </c>
      <c r="AH822" s="62" t="str">
        <f>_xlfn.XLOOKUP(Table26[[#This Row],[customerSKU]],customerSKU!G:G,customerSKU!K:K,"NA",0,1)</f>
        <v>NA</v>
      </c>
      <c r="AI822" s="43" t="str">
        <f>_xlfn.XLOOKUP(Table26[[#This Row],[customerSKU]],customerSKU!G:G,customerSKU!O:O,"not found",0,1)</f>
        <v>not found</v>
      </c>
      <c r="AJ822" s="53" t="e">
        <f>Table26[[#This Row],[unitprice]]*Table26[[#This Row],[quantity_unit]]</f>
        <v>#VALUE!</v>
      </c>
      <c r="AK822" s="53" t="e" cm="1">
        <f t="array" ref="AK8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3" spans="1:37" ht="18" customHeight="1">
      <c r="A823" s="42">
        <v>1428</v>
      </c>
      <c r="B823" s="58" t="s">
        <v>3520</v>
      </c>
      <c r="C823" s="53" t="s">
        <v>203</v>
      </c>
      <c r="D823" s="51"/>
      <c r="E823" s="51"/>
      <c r="F82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3" s="46"/>
      <c r="H823" s="53"/>
      <c r="I823" s="53"/>
      <c r="J823" s="90" t="str">
        <f>IF(Table26[[#This Row],[customerSKU]]="","",_xlfn.XLOOKUP(Table26[[#This Row],[customerSKU]],customerSKU!G:G,customerSKU!A:A,"",0,1))</f>
        <v/>
      </c>
      <c r="K823" s="48">
        <v>45646</v>
      </c>
      <c r="L823" s="49" t="str">
        <f>IF(Table26[[#This Row],[customerSKU]]="","",_xlfn.XLOOKUP(Table26[[#This Row],[customerSKU]],customerSKU!G:G,customerSKU!B:B,"",0,1))</f>
        <v/>
      </c>
      <c r="M823" s="53"/>
      <c r="N823" s="77" t="str">
        <f>Table26[[#This Row],[po_number]]&amp;"-"&amp;Table26[[#This Row],[po_line]]</f>
        <v>-7</v>
      </c>
      <c r="O823" s="77">
        <v>7</v>
      </c>
      <c r="P823" s="50"/>
      <c r="Q823" s="53" t="s">
        <v>3648</v>
      </c>
      <c r="R823" s="53" t="s">
        <v>569</v>
      </c>
      <c r="S823" s="53" t="s">
        <v>4091</v>
      </c>
      <c r="T823" s="51">
        <v>45649</v>
      </c>
      <c r="U823" s="52">
        <v>12</v>
      </c>
      <c r="V823" s="53" t="str">
        <f>IF(ISBLANK(Table26[[#This Row],[customerSKU]]),"",_xlfn.XLOOKUP(Table26[[#This Row],[customerSKU]],Table27[customer_SKU],Table27[case_size],"",0,1))</f>
        <v/>
      </c>
      <c r="W823" s="116" t="str">
        <f t="shared" si="38"/>
        <v/>
      </c>
      <c r="X823" s="53" t="str">
        <f t="shared" si="37"/>
        <v/>
      </c>
      <c r="Y823" s="53" t="str">
        <f>IF(Table26[[#This Row],[customerSKU]]="","",_xlfn.XLOOKUP(Table26[[#This Row],[customerSKU]],Table27[customer_SKU],Table27[product_GTIN],"",0,1))</f>
        <v/>
      </c>
      <c r="Z823" s="90">
        <v>991977</v>
      </c>
      <c r="AA823" s="18" t="str" cm="1">
        <f t="array" ref="AA823">IF(P823="", "", _xlfn.XLOOKUP(P823,#REF!,#REF!,NA,0,-1))</f>
        <v/>
      </c>
      <c r="AB823" s="53"/>
      <c r="AC823" s="55" t="str">
        <f>IF(Table26[[#This Row],[customerSKU]]="","",_xlfn.XLOOKUP(Table26[[#This Row],[customerSKU]],customerSKU!G:G,customerSKU!C:C,"",0,1))</f>
        <v/>
      </c>
      <c r="AD823" s="55" t="str">
        <f>IF($AC823="","",_xlfn.XLOOKUP($AC823,'[2]Client Info'!$C$2:$C$2535,'[2]Client Info'!$D$2:$D$2535,"",0,1))</f>
        <v/>
      </c>
      <c r="AE823" s="55" t="str">
        <f>IF($AC823="","",_xlfn.XLOOKUP($AC823,'[2]Client Info'!$C$2:$C$2715,'[2]Client Info'!$E$2:$E$2715,"",))</f>
        <v/>
      </c>
      <c r="AF823" s="55" t="str">
        <f>IF($AC823="","",_xlfn.XLOOKUP($AC823,'[2]Client Info'!$C$2:$C$2715,'[2]Client Info'!$F$2:$F$2715,"",0,1))</f>
        <v/>
      </c>
      <c r="AG823" s="55" t="str">
        <f>IF(ISBLANK(Table26[[#This Row],[customerSKU]]),"",_xlfn.XLOOKUP(Table26[[#This Row],[customerSKU]],Table27[customer_SKU],Table27[billto],"",0,1))</f>
        <v/>
      </c>
      <c r="AH823" s="62" t="str">
        <f>_xlfn.XLOOKUP(Table26[[#This Row],[customerSKU]],customerSKU!G:G,customerSKU!K:K,"NA",0,1)</f>
        <v>NA</v>
      </c>
      <c r="AI823" s="43" t="str">
        <f>_xlfn.XLOOKUP(Table26[[#This Row],[customerSKU]],customerSKU!G:G,customerSKU!O:O,"not found",0,1)</f>
        <v>not found</v>
      </c>
      <c r="AJ823" s="53" t="e">
        <f>Table26[[#This Row],[unitprice]]*Table26[[#This Row],[quantity_unit]]</f>
        <v>#VALUE!</v>
      </c>
      <c r="AK823" s="53" t="e" cm="1">
        <f t="array" ref="AK8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4" spans="1:37" ht="18" customHeight="1">
      <c r="A824" s="42">
        <v>1429</v>
      </c>
      <c r="B824" s="58" t="s">
        <v>3520</v>
      </c>
      <c r="C824" s="53" t="s">
        <v>203</v>
      </c>
      <c r="D824" s="51"/>
      <c r="E824" s="51"/>
      <c r="F82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4" s="46"/>
      <c r="H824" s="53"/>
      <c r="I824" s="53"/>
      <c r="J824" s="90" t="str">
        <f>IF(Table26[[#This Row],[customerSKU]]="","",_xlfn.XLOOKUP(Table26[[#This Row],[customerSKU]],customerSKU!G:G,customerSKU!A:A,"",0,1))</f>
        <v/>
      </c>
      <c r="K824" s="48">
        <v>45646</v>
      </c>
      <c r="L824" s="49" t="str">
        <f>IF(Table26[[#This Row],[customerSKU]]="","",_xlfn.XLOOKUP(Table26[[#This Row],[customerSKU]],customerSKU!G:G,customerSKU!B:B,"",0,1))</f>
        <v/>
      </c>
      <c r="M824" s="53"/>
      <c r="N824" s="77" t="str">
        <f>Table26[[#This Row],[po_number]]&amp;"-"&amp;Table26[[#This Row],[po_line]]</f>
        <v>-8</v>
      </c>
      <c r="O824" s="77">
        <v>8</v>
      </c>
      <c r="P824" s="50"/>
      <c r="Q824" s="53" t="s">
        <v>1313</v>
      </c>
      <c r="R824" s="53" t="s">
        <v>569</v>
      </c>
      <c r="S824" s="53" t="s">
        <v>4091</v>
      </c>
      <c r="T824" s="51">
        <v>45575</v>
      </c>
      <c r="U824" s="52">
        <v>48</v>
      </c>
      <c r="V824" s="53" t="str">
        <f>IF(ISBLANK(Table26[[#This Row],[customerSKU]]),"",_xlfn.XLOOKUP(Table26[[#This Row],[customerSKU]],Table27[customer_SKU],Table27[case_size],"",0,1))</f>
        <v/>
      </c>
      <c r="W824" s="116" t="str">
        <f t="shared" si="38"/>
        <v/>
      </c>
      <c r="X824" s="53" t="str">
        <f t="shared" si="37"/>
        <v/>
      </c>
      <c r="Y824" s="53" t="str">
        <f>IF(Table26[[#This Row],[customerSKU]]="","",_xlfn.XLOOKUP(Table26[[#This Row],[customerSKU]],Table27[customer_SKU],Table27[product_GTIN],"",0,1))</f>
        <v/>
      </c>
      <c r="Z824" s="90">
        <v>994667</v>
      </c>
      <c r="AA824" s="18" t="str" cm="1">
        <f t="array" ref="AA824">IF(P824="", "", _xlfn.XLOOKUP(P824,#REF!,#REF!,NA,0,-1))</f>
        <v/>
      </c>
      <c r="AB824" s="53"/>
      <c r="AC824" s="55" t="str">
        <f>IF(Table26[[#This Row],[customerSKU]]="","",_xlfn.XLOOKUP(Table26[[#This Row],[customerSKU]],customerSKU!G:G,customerSKU!C:C,"",0,1))</f>
        <v/>
      </c>
      <c r="AD824" s="55" t="str">
        <f>IF($AC824="","",_xlfn.XLOOKUP($AC824,'[2]Client Info'!$C$2:$C$2535,'[2]Client Info'!$D$2:$D$2535,"",0,1))</f>
        <v/>
      </c>
      <c r="AE824" s="55" t="str">
        <f>IF($AC824="","",_xlfn.XLOOKUP($AC824,'[2]Client Info'!$C$2:$C$2715,'[2]Client Info'!$E$2:$E$2715,"",))</f>
        <v/>
      </c>
      <c r="AF824" s="55" t="str">
        <f>IF($AC824="","",_xlfn.XLOOKUP($AC824,'[2]Client Info'!$C$2:$C$2715,'[2]Client Info'!$F$2:$F$2715,"",0,1))</f>
        <v/>
      </c>
      <c r="AG824" s="55" t="str">
        <f>IF(ISBLANK(Table26[[#This Row],[customerSKU]]),"",_xlfn.XLOOKUP(Table26[[#This Row],[customerSKU]],Table27[customer_SKU],Table27[billto],"",0,1))</f>
        <v/>
      </c>
      <c r="AH824" s="62" t="str">
        <f>_xlfn.XLOOKUP(Table26[[#This Row],[customerSKU]],customerSKU!G:G,customerSKU!K:K,"NA",0,1)</f>
        <v>NA</v>
      </c>
      <c r="AI824" s="43" t="str">
        <f>_xlfn.XLOOKUP(Table26[[#This Row],[customerSKU]],customerSKU!G:G,customerSKU!O:O,"not found",0,1)</f>
        <v>not found</v>
      </c>
      <c r="AJ824" s="53" t="e">
        <f>Table26[[#This Row],[unitprice]]*Table26[[#This Row],[quantity_unit]]</f>
        <v>#VALUE!</v>
      </c>
      <c r="AK824" s="53" t="e" cm="1">
        <f t="array" ref="AK8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5" spans="1:37" ht="18" customHeight="1">
      <c r="A825" s="42">
        <v>1430</v>
      </c>
      <c r="B825" s="58" t="s">
        <v>3520</v>
      </c>
      <c r="C825" s="53" t="s">
        <v>203</v>
      </c>
      <c r="D825" s="51"/>
      <c r="E825" s="51"/>
      <c r="F82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5" s="46"/>
      <c r="H825" s="53"/>
      <c r="I825" s="53"/>
      <c r="J825" s="90" t="str">
        <f>IF(Table26[[#This Row],[customerSKU]]="","",_xlfn.XLOOKUP(Table26[[#This Row],[customerSKU]],customerSKU!G:G,customerSKU!A:A,"",0,1))</f>
        <v/>
      </c>
      <c r="K825" s="48">
        <v>45646</v>
      </c>
      <c r="L825" s="49" t="str">
        <f>IF(Table26[[#This Row],[customerSKU]]="","",_xlfn.XLOOKUP(Table26[[#This Row],[customerSKU]],customerSKU!G:G,customerSKU!B:B,"",0,1))</f>
        <v/>
      </c>
      <c r="M825" s="53"/>
      <c r="N825" s="77" t="str">
        <f>Table26[[#This Row],[po_number]]&amp;"-"&amp;Table26[[#This Row],[po_line]]</f>
        <v>-9</v>
      </c>
      <c r="O825" s="77">
        <v>9</v>
      </c>
      <c r="P825" s="50"/>
      <c r="Q825" s="53" t="s">
        <v>630</v>
      </c>
      <c r="R825" s="53" t="s">
        <v>569</v>
      </c>
      <c r="S825" s="53" t="s">
        <v>4091</v>
      </c>
      <c r="T825" s="51">
        <v>45581</v>
      </c>
      <c r="U825" s="52">
        <v>24</v>
      </c>
      <c r="V825" s="53" t="str">
        <f>IF(ISBLANK(Table26[[#This Row],[customerSKU]]),"",_xlfn.XLOOKUP(Table26[[#This Row],[customerSKU]],Table27[customer_SKU],Table27[case_size],"",0,1))</f>
        <v/>
      </c>
      <c r="W825" s="116" t="str">
        <f t="shared" si="38"/>
        <v/>
      </c>
      <c r="X825" s="53" t="str">
        <f t="shared" si="37"/>
        <v/>
      </c>
      <c r="Y825" s="53" t="str">
        <f>IF(Table26[[#This Row],[customerSKU]]="","",_xlfn.XLOOKUP(Table26[[#This Row],[customerSKU]],Table27[customer_SKU],Table27[product_GTIN],"",0,1))</f>
        <v/>
      </c>
      <c r="Z825" s="90">
        <v>994668</v>
      </c>
      <c r="AA825" s="18" t="str" cm="1">
        <f t="array" ref="AA825">IF(P825="", "", _xlfn.XLOOKUP(P825,#REF!,#REF!,NA,0,-1))</f>
        <v/>
      </c>
      <c r="AB825" s="53"/>
      <c r="AC825" s="55" t="str">
        <f>IF(Table26[[#This Row],[customerSKU]]="","",_xlfn.XLOOKUP(Table26[[#This Row],[customerSKU]],customerSKU!G:G,customerSKU!C:C,"",0,1))</f>
        <v/>
      </c>
      <c r="AD825" s="55" t="str">
        <f>IF($AC825="","",_xlfn.XLOOKUP($AC825,'[2]Client Info'!$C$2:$C$2535,'[2]Client Info'!$D$2:$D$2535,"",0,1))</f>
        <v/>
      </c>
      <c r="AE825" s="55" t="str">
        <f>IF($AC825="","",_xlfn.XLOOKUP($AC825,'[2]Client Info'!$C$2:$C$2715,'[2]Client Info'!$E$2:$E$2715,"",))</f>
        <v/>
      </c>
      <c r="AF825" s="55" t="str">
        <f>IF($AC825="","",_xlfn.XLOOKUP($AC825,'[2]Client Info'!$C$2:$C$2715,'[2]Client Info'!$F$2:$F$2715,"",0,1))</f>
        <v/>
      </c>
      <c r="AG825" s="55" t="str">
        <f>IF(ISBLANK(Table26[[#This Row],[customerSKU]]),"",_xlfn.XLOOKUP(Table26[[#This Row],[customerSKU]],Table27[customer_SKU],Table27[billto],"",0,1))</f>
        <v/>
      </c>
      <c r="AH825" s="62" t="str">
        <f>_xlfn.XLOOKUP(Table26[[#This Row],[customerSKU]],customerSKU!G:G,customerSKU!K:K,"NA",0,1)</f>
        <v>NA</v>
      </c>
      <c r="AI825" s="43" t="str">
        <f>_xlfn.XLOOKUP(Table26[[#This Row],[customerSKU]],customerSKU!G:G,customerSKU!O:O,"not found",0,1)</f>
        <v>not found</v>
      </c>
      <c r="AJ825" s="53" t="e">
        <f>Table26[[#This Row],[unitprice]]*Table26[[#This Row],[quantity_unit]]</f>
        <v>#VALUE!</v>
      </c>
      <c r="AK825" s="53" t="e" cm="1">
        <f t="array" ref="AK8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6" spans="1:37" ht="18" customHeight="1">
      <c r="A826" s="42">
        <v>1431</v>
      </c>
      <c r="B826" s="58" t="s">
        <v>3520</v>
      </c>
      <c r="C826" s="53" t="s">
        <v>203</v>
      </c>
      <c r="D826" s="51"/>
      <c r="E826" s="51"/>
      <c r="F82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6" s="46"/>
      <c r="H826" s="53"/>
      <c r="I826" s="53"/>
      <c r="J826" s="90" t="str">
        <f>IF(Table26[[#This Row],[customerSKU]]="","",_xlfn.XLOOKUP(Table26[[#This Row],[customerSKU]],customerSKU!G:G,customerSKU!A:A,"",0,1))</f>
        <v/>
      </c>
      <c r="K826" s="48">
        <v>45646</v>
      </c>
      <c r="L826" s="49" t="str">
        <f>IF(Table26[[#This Row],[customerSKU]]="","",_xlfn.XLOOKUP(Table26[[#This Row],[customerSKU]],customerSKU!G:G,customerSKU!B:B,"",0,1))</f>
        <v/>
      </c>
      <c r="M826" s="53"/>
      <c r="N826" s="77" t="str">
        <f>Table26[[#This Row],[po_number]]&amp;"-"&amp;Table26[[#This Row],[po_line]]</f>
        <v>-10</v>
      </c>
      <c r="O826" s="77">
        <v>10</v>
      </c>
      <c r="P826" s="50"/>
      <c r="Q826" s="53" t="s">
        <v>1312</v>
      </c>
      <c r="R826" s="53" t="s">
        <v>569</v>
      </c>
      <c r="S826" s="53" t="s">
        <v>4091</v>
      </c>
      <c r="T826" s="51">
        <v>45575</v>
      </c>
      <c r="U826" s="52">
        <v>24</v>
      </c>
      <c r="V826" s="53" t="str">
        <f>IF(ISBLANK(Table26[[#This Row],[customerSKU]]),"",_xlfn.XLOOKUP(Table26[[#This Row],[customerSKU]],Table27[customer_SKU],Table27[case_size],"",0,1))</f>
        <v/>
      </c>
      <c r="W826" s="116" t="str">
        <f t="shared" si="38"/>
        <v/>
      </c>
      <c r="X826" s="53" t="str">
        <f t="shared" si="37"/>
        <v/>
      </c>
      <c r="Y826" s="53" t="str">
        <f>IF(Table26[[#This Row],[customerSKU]]="","",_xlfn.XLOOKUP(Table26[[#This Row],[customerSKU]],Table27[customer_SKU],Table27[product_GTIN],"",0,1))</f>
        <v/>
      </c>
      <c r="Z826" s="90">
        <v>994666</v>
      </c>
      <c r="AA826" s="18" t="str" cm="1">
        <f t="array" ref="AA826">IF(P826="", "", _xlfn.XLOOKUP(P826,#REF!,#REF!,NA,0,-1))</f>
        <v/>
      </c>
      <c r="AB826" s="53"/>
      <c r="AC826" s="55" t="str">
        <f>IF(Table26[[#This Row],[customerSKU]]="","",_xlfn.XLOOKUP(Table26[[#This Row],[customerSKU]],customerSKU!G:G,customerSKU!C:C,"",0,1))</f>
        <v/>
      </c>
      <c r="AD826" s="55" t="str">
        <f>IF($AC826="","",_xlfn.XLOOKUP($AC826,'[2]Client Info'!$C$2:$C$2535,'[2]Client Info'!$D$2:$D$2535,"",0,1))</f>
        <v/>
      </c>
      <c r="AE826" s="55" t="str">
        <f>IF($AC826="","",_xlfn.XLOOKUP($AC826,'[2]Client Info'!$C$2:$C$2715,'[2]Client Info'!$E$2:$E$2715,"",))</f>
        <v/>
      </c>
      <c r="AF826" s="55" t="str">
        <f>IF($AC826="","",_xlfn.XLOOKUP($AC826,'[2]Client Info'!$C$2:$C$2715,'[2]Client Info'!$F$2:$F$2715,"",0,1))</f>
        <v/>
      </c>
      <c r="AG826" s="55" t="str">
        <f>IF(ISBLANK(Table26[[#This Row],[customerSKU]]),"",_xlfn.XLOOKUP(Table26[[#This Row],[customerSKU]],Table27[customer_SKU],Table27[billto],"",0,1))</f>
        <v/>
      </c>
      <c r="AH826" s="62" t="str">
        <f>_xlfn.XLOOKUP(Table26[[#This Row],[customerSKU]],customerSKU!G:G,customerSKU!K:K,"NA",0,1)</f>
        <v>NA</v>
      </c>
      <c r="AI826" s="43" t="str">
        <f>_xlfn.XLOOKUP(Table26[[#This Row],[customerSKU]],customerSKU!G:G,customerSKU!O:O,"not found",0,1)</f>
        <v>not found</v>
      </c>
      <c r="AJ826" s="53" t="e">
        <f>Table26[[#This Row],[unitprice]]*Table26[[#This Row],[quantity_unit]]</f>
        <v>#VALUE!</v>
      </c>
      <c r="AK826" s="53" t="e" cm="1">
        <f t="array" ref="AK8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7" spans="1:37" ht="18" customHeight="1">
      <c r="A827" s="42">
        <v>1432</v>
      </c>
      <c r="B827" s="58" t="s">
        <v>3520</v>
      </c>
      <c r="C827" s="53" t="s">
        <v>203</v>
      </c>
      <c r="D827" s="51"/>
      <c r="E827" s="51"/>
      <c r="F82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7" s="46"/>
      <c r="H827" s="53"/>
      <c r="I827" s="53"/>
      <c r="J827" s="90" t="str">
        <f>IF(Table26[[#This Row],[customerSKU]]="","",_xlfn.XLOOKUP(Table26[[#This Row],[customerSKU]],customerSKU!G:G,customerSKU!A:A,"",0,1))</f>
        <v/>
      </c>
      <c r="K827" s="48">
        <v>45646</v>
      </c>
      <c r="L827" s="49" t="str">
        <f>IF(Table26[[#This Row],[customerSKU]]="","",_xlfn.XLOOKUP(Table26[[#This Row],[customerSKU]],customerSKU!G:G,customerSKU!B:B,"",0,1))</f>
        <v/>
      </c>
      <c r="M827" s="53"/>
      <c r="N827" s="77" t="str">
        <f>Table26[[#This Row],[po_number]]&amp;"-"&amp;Table26[[#This Row],[po_line]]</f>
        <v>-11</v>
      </c>
      <c r="O827" s="77">
        <v>11</v>
      </c>
      <c r="P827" s="50"/>
      <c r="Q827" s="53" t="s">
        <v>905</v>
      </c>
      <c r="R827" s="53" t="s">
        <v>569</v>
      </c>
      <c r="S827" s="53" t="s">
        <v>4091</v>
      </c>
      <c r="T827" s="51">
        <v>45575</v>
      </c>
      <c r="U827" s="52">
        <v>24</v>
      </c>
      <c r="V827" s="53" t="str">
        <f>IF(ISBLANK(Table26[[#This Row],[customerSKU]]),"",_xlfn.XLOOKUP(Table26[[#This Row],[customerSKU]],Table27[customer_SKU],Table27[case_size],"",0,1))</f>
        <v/>
      </c>
      <c r="W827" s="116" t="str">
        <f t="shared" si="38"/>
        <v/>
      </c>
      <c r="X827" s="53" t="str">
        <f t="shared" si="37"/>
        <v/>
      </c>
      <c r="Y827" s="53" t="str">
        <f>IF(Table26[[#This Row],[customerSKU]]="","",_xlfn.XLOOKUP(Table26[[#This Row],[customerSKU]],Table27[customer_SKU],Table27[product_GTIN],"",0,1))</f>
        <v/>
      </c>
      <c r="Z827" s="25" t="s">
        <v>3485</v>
      </c>
      <c r="AA827" s="18" t="str" cm="1">
        <f t="array" ref="AA827">IF(P827="", "", _xlfn.XLOOKUP(P827,#REF!,#REF!,NA,0,-1))</f>
        <v/>
      </c>
      <c r="AB827" s="53"/>
      <c r="AC827" s="55" t="str">
        <f>IF(Table26[[#This Row],[customerSKU]]="","",_xlfn.XLOOKUP(Table26[[#This Row],[customerSKU]],customerSKU!G:G,customerSKU!C:C,"",0,1))</f>
        <v/>
      </c>
      <c r="AD827" s="55" t="str">
        <f>IF($AC827="","",_xlfn.XLOOKUP($AC827,'[2]Client Info'!$C$2:$C$2535,'[2]Client Info'!$D$2:$D$2535,"",0,1))</f>
        <v/>
      </c>
      <c r="AE827" s="55" t="str">
        <f>IF($AC827="","",_xlfn.XLOOKUP($AC827,'[2]Client Info'!$C$2:$C$2715,'[2]Client Info'!$E$2:$E$2715,"",))</f>
        <v/>
      </c>
      <c r="AF827" s="55" t="str">
        <f>IF($AC827="","",_xlfn.XLOOKUP($AC827,'[2]Client Info'!$C$2:$C$2715,'[2]Client Info'!$F$2:$F$2715,"",0,1))</f>
        <v/>
      </c>
      <c r="AG827" s="55" t="str">
        <f>IF(ISBLANK(Table26[[#This Row],[customerSKU]]),"",_xlfn.XLOOKUP(Table26[[#This Row],[customerSKU]],Table27[customer_SKU],Table27[billto],"",0,1))</f>
        <v/>
      </c>
      <c r="AH827" s="62" t="str">
        <f>_xlfn.XLOOKUP(Table26[[#This Row],[customerSKU]],customerSKU!G:G,customerSKU!K:K,"NA",0,1)</f>
        <v>NA</v>
      </c>
      <c r="AI827" s="43" t="str">
        <f>_xlfn.XLOOKUP(Table26[[#This Row],[customerSKU]],customerSKU!G:G,customerSKU!O:O,"not found",0,1)</f>
        <v>not found</v>
      </c>
      <c r="AJ827" s="53" t="e">
        <f>Table26[[#This Row],[unitprice]]*Table26[[#This Row],[quantity_unit]]</f>
        <v>#VALUE!</v>
      </c>
      <c r="AK827" s="53" t="e" cm="1">
        <f t="array" ref="AK8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8" spans="1:37" ht="18" customHeight="1">
      <c r="A828" s="42">
        <v>1433</v>
      </c>
      <c r="B828" s="58" t="s">
        <v>3520</v>
      </c>
      <c r="C828" s="53" t="s">
        <v>203</v>
      </c>
      <c r="D828" s="51"/>
      <c r="E828" s="51"/>
      <c r="F82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28" s="46"/>
      <c r="H828" s="53"/>
      <c r="I828" s="53"/>
      <c r="J828" s="90" t="str">
        <f>IF(Table26[[#This Row],[customerSKU]]="","",_xlfn.XLOOKUP(Table26[[#This Row],[customerSKU]],customerSKU!G:G,customerSKU!A:A,"",0,1))</f>
        <v/>
      </c>
      <c r="K828" s="48">
        <v>45646</v>
      </c>
      <c r="L828" s="49" t="str">
        <f>IF(Table26[[#This Row],[customerSKU]]="","",_xlfn.XLOOKUP(Table26[[#This Row],[customerSKU]],customerSKU!G:G,customerSKU!B:B,"",0,1))</f>
        <v/>
      </c>
      <c r="M828" s="53"/>
      <c r="N828" s="77" t="str">
        <f>Table26[[#This Row],[po_number]]&amp;"-"&amp;Table26[[#This Row],[po_line]]</f>
        <v>-12</v>
      </c>
      <c r="O828" s="77">
        <v>12</v>
      </c>
      <c r="P828" s="50"/>
      <c r="Q828" s="53" t="s">
        <v>775</v>
      </c>
      <c r="R828" s="53" t="s">
        <v>569</v>
      </c>
      <c r="S828" s="53" t="s">
        <v>4091</v>
      </c>
      <c r="T828" s="51">
        <v>45523</v>
      </c>
      <c r="U828" s="52">
        <v>6</v>
      </c>
      <c r="V828" s="53" t="str">
        <f>IF(ISBLANK(Table26[[#This Row],[customerSKU]]),"",_xlfn.XLOOKUP(Table26[[#This Row],[customerSKU]],Table27[customer_SKU],Table27[case_size],"",0,1))</f>
        <v/>
      </c>
      <c r="W828" s="116" t="str">
        <f t="shared" si="38"/>
        <v/>
      </c>
      <c r="X828" s="53" t="str">
        <f t="shared" si="37"/>
        <v/>
      </c>
      <c r="Y828" s="53" t="str">
        <f>IF(Table26[[#This Row],[customerSKU]]="","",_xlfn.XLOOKUP(Table26[[#This Row],[customerSKU]],Table27[customer_SKU],Table27[product_GTIN],"",0,1))</f>
        <v/>
      </c>
      <c r="Z828" s="90">
        <v>992357</v>
      </c>
      <c r="AA828" s="18" t="str" cm="1">
        <f t="array" ref="AA828">IF(P828="", "", _xlfn.XLOOKUP(P828,#REF!,#REF!,NA,0,-1))</f>
        <v/>
      </c>
      <c r="AB828" s="53"/>
      <c r="AC828" s="55" t="str">
        <f>IF(Table26[[#This Row],[customerSKU]]="","",_xlfn.XLOOKUP(Table26[[#This Row],[customerSKU]],customerSKU!G:G,customerSKU!C:C,"",0,1))</f>
        <v/>
      </c>
      <c r="AD828" s="55" t="str">
        <f>IF($AC828="","",_xlfn.XLOOKUP($AC828,'[2]Client Info'!$C$2:$C$2535,'[2]Client Info'!$D$2:$D$2535,"",0,1))</f>
        <v/>
      </c>
      <c r="AE828" s="55" t="str">
        <f>IF($AC828="","",_xlfn.XLOOKUP($AC828,'[2]Client Info'!$C$2:$C$2715,'[2]Client Info'!$E$2:$E$2715,"",))</f>
        <v/>
      </c>
      <c r="AF828" s="55" t="str">
        <f>IF($AC828="","",_xlfn.XLOOKUP($AC828,'[2]Client Info'!$C$2:$C$2715,'[2]Client Info'!$F$2:$F$2715,"",0,1))</f>
        <v/>
      </c>
      <c r="AG828" s="55" t="str">
        <f>IF(ISBLANK(Table26[[#This Row],[customerSKU]]),"",_xlfn.XLOOKUP(Table26[[#This Row],[customerSKU]],Table27[customer_SKU],Table27[billto],"",0,1))</f>
        <v/>
      </c>
      <c r="AH828" s="62" t="str">
        <f>_xlfn.XLOOKUP(Table26[[#This Row],[customerSKU]],customerSKU!G:G,customerSKU!K:K,"NA",0,1)</f>
        <v>NA</v>
      </c>
      <c r="AI828" s="43" t="str">
        <f>_xlfn.XLOOKUP(Table26[[#This Row],[customerSKU]],customerSKU!G:G,customerSKU!O:O,"not found",0,1)</f>
        <v>not found</v>
      </c>
      <c r="AJ828" s="53" t="e">
        <f>Table26[[#This Row],[unitprice]]*Table26[[#This Row],[quantity_unit]]</f>
        <v>#VALUE!</v>
      </c>
      <c r="AK828" s="53" t="e" cm="1">
        <f t="array" ref="AK8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29" spans="1:37" ht="18" customHeight="1">
      <c r="A829" s="42">
        <v>1434</v>
      </c>
      <c r="B829" s="58" t="s">
        <v>3520</v>
      </c>
      <c r="C829" s="53" t="s">
        <v>3360</v>
      </c>
      <c r="D829" s="51">
        <v>45659</v>
      </c>
      <c r="E829" s="51"/>
      <c r="F829" s="53"/>
      <c r="G829" s="46"/>
      <c r="H829" s="53"/>
      <c r="I829" s="53"/>
      <c r="J829" s="90" t="str">
        <f>IF(Table26[[#This Row],[customerSKU]]="","",_xlfn.XLOOKUP(Table26[[#This Row],[customerSKU]],customerSKU!G:G,customerSKU!A:A,"",0,1))</f>
        <v/>
      </c>
      <c r="K829" s="48">
        <v>45646</v>
      </c>
      <c r="L829" s="49" t="str">
        <f>IF(Table26[[#This Row],[customerSKU]]="","",_xlfn.XLOOKUP(Table26[[#This Row],[customerSKU]],customerSKU!G:G,customerSKU!B:B,"",0,1))</f>
        <v/>
      </c>
      <c r="M829" s="53"/>
      <c r="N829" s="77" t="str">
        <f>Table26[[#This Row],[po_number]]&amp;"-"&amp;Table26[[#This Row],[po_line]]</f>
        <v>-1</v>
      </c>
      <c r="O829" s="77">
        <v>1</v>
      </c>
      <c r="P829" s="50"/>
      <c r="Q829" s="53" t="s">
        <v>1172</v>
      </c>
      <c r="R829" s="53" t="s">
        <v>3302</v>
      </c>
      <c r="S829" s="53" t="str">
        <f>IF(Table26[[#This Row],[customerSKU]]="","",_xlfn.XLOOKUP(Table26[[#This Row],[customerSKU]],customerSKU!G:G,customerSKU!N:N,"NOT FOUND",0,1))</f>
        <v>NOT FOUND</v>
      </c>
      <c r="T829" s="51">
        <v>45588</v>
      </c>
      <c r="U829" s="52">
        <v>60</v>
      </c>
      <c r="V829" s="53" t="str">
        <f>IF(ISBLANK(Table26[[#This Row],[customerSKU]]),"",_xlfn.XLOOKUP(Table26[[#This Row],[customerSKU]],Table27[customer_SKU],Table27[case_size],"",0,1))</f>
        <v/>
      </c>
      <c r="W829" s="116" t="str">
        <f t="shared" si="38"/>
        <v/>
      </c>
      <c r="X829" s="53" t="str">
        <f t="shared" si="37"/>
        <v/>
      </c>
      <c r="Y829" s="53" t="str">
        <f>IF(Table26[[#This Row],[customerSKU]]="","",_xlfn.XLOOKUP(Table26[[#This Row],[customerSKU]],Table27[customer_SKU],Table27[product_GTIN],"",0,1))</f>
        <v/>
      </c>
      <c r="Z829" s="25" t="s">
        <v>3409</v>
      </c>
      <c r="AA829" s="18" t="str" cm="1">
        <f t="array" ref="AA829">IF(P829="", "", _xlfn.XLOOKUP(P829,#REF!,#REF!,NA,0,-1))</f>
        <v/>
      </c>
      <c r="AB829" s="53"/>
      <c r="AC829" s="55" t="str">
        <f>IF(Table26[[#This Row],[customerSKU]]="","",_xlfn.XLOOKUP(Table26[[#This Row],[customerSKU]],customerSKU!G:G,customerSKU!C:C,"",0,1))</f>
        <v/>
      </c>
      <c r="AD829" s="55" t="str">
        <f>IF($AC829="","",_xlfn.XLOOKUP($AC829,'[2]Client Info'!$C$2:$C$2535,'[2]Client Info'!$D$2:$D$2535,"",0,1))</f>
        <v/>
      </c>
      <c r="AE829" s="55" t="str">
        <f>IF($AC829="","",_xlfn.XLOOKUP($AC829,'[2]Client Info'!$C$2:$C$2715,'[2]Client Info'!$E$2:$E$2715,"",))</f>
        <v/>
      </c>
      <c r="AF829" s="55" t="str">
        <f>IF($AC829="","",_xlfn.XLOOKUP($AC829,'[2]Client Info'!$C$2:$C$2715,'[2]Client Info'!$F$2:$F$2715,"",0,1))</f>
        <v/>
      </c>
      <c r="AG829" s="55" t="str">
        <f>IF(ISBLANK(Table26[[#This Row],[customerSKU]]),"",_xlfn.XLOOKUP(Table26[[#This Row],[customerSKU]],Table27[customer_SKU],Table27[billto],"",0,1))</f>
        <v/>
      </c>
      <c r="AH829" s="62" t="str">
        <f>_xlfn.XLOOKUP(Table26[[#This Row],[customerSKU]],customerSKU!G:G,customerSKU!K:K,"NA",0,1)</f>
        <v>NA</v>
      </c>
      <c r="AI829" s="43" t="str">
        <f>_xlfn.XLOOKUP(Table26[[#This Row],[customerSKU]],customerSKU!G:G,customerSKU!O:O,"not found",0,1)</f>
        <v>not found</v>
      </c>
      <c r="AJ829" s="53" t="e">
        <f>Table26[[#This Row],[unitprice]]*Table26[[#This Row],[quantity_unit]]</f>
        <v>#VALUE!</v>
      </c>
      <c r="AK829" s="53" t="e" cm="1">
        <f t="array" ref="AK8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0" spans="1:37" ht="18" customHeight="1">
      <c r="A830" s="42">
        <v>1435</v>
      </c>
      <c r="B830" s="58" t="s">
        <v>3520</v>
      </c>
      <c r="C830" s="53" t="s">
        <v>3360</v>
      </c>
      <c r="D830" s="51">
        <v>45659</v>
      </c>
      <c r="E830" s="51"/>
      <c r="F830" s="53"/>
      <c r="G830" s="46"/>
      <c r="H830" s="53"/>
      <c r="I830" s="53"/>
      <c r="J830" s="90" t="str">
        <f>IF(Table26[[#This Row],[customerSKU]]="","",_xlfn.XLOOKUP(Table26[[#This Row],[customerSKU]],customerSKU!G:G,customerSKU!A:A,"",0,1))</f>
        <v/>
      </c>
      <c r="K830" s="48">
        <v>45646</v>
      </c>
      <c r="L830" s="49" t="str">
        <f>IF(Table26[[#This Row],[customerSKU]]="","",_xlfn.XLOOKUP(Table26[[#This Row],[customerSKU]],customerSKU!G:G,customerSKU!B:B,"",0,1))</f>
        <v/>
      </c>
      <c r="M830" s="53"/>
      <c r="N830" s="77" t="str">
        <f>Table26[[#This Row],[po_number]]&amp;"-"&amp;Table26[[#This Row],[po_line]]</f>
        <v>-2</v>
      </c>
      <c r="O830" s="77">
        <v>2</v>
      </c>
      <c r="P830" s="50"/>
      <c r="Q830" s="53" t="s">
        <v>3362</v>
      </c>
      <c r="R830" s="53" t="s">
        <v>3302</v>
      </c>
      <c r="S830" s="53" t="str">
        <f>IF(Table26[[#This Row],[customerSKU]]="","",_xlfn.XLOOKUP(Table26[[#This Row],[customerSKU]],customerSKU!G:G,customerSKU!N:N,"NOT FOUND",0,1))</f>
        <v>NOT FOUND</v>
      </c>
      <c r="T830" s="51">
        <v>45624</v>
      </c>
      <c r="U830" s="52">
        <v>204</v>
      </c>
      <c r="V830" s="53" t="str">
        <f>IF(ISBLANK(Table26[[#This Row],[customerSKU]]),"",_xlfn.XLOOKUP(Table26[[#This Row],[customerSKU]],Table27[customer_SKU],Table27[case_size],"",0,1))</f>
        <v/>
      </c>
      <c r="W830" s="116" t="str">
        <f t="shared" si="38"/>
        <v/>
      </c>
      <c r="X830" s="53" t="str">
        <f t="shared" si="37"/>
        <v/>
      </c>
      <c r="Y830" s="53" t="str">
        <f>IF(Table26[[#This Row],[customerSKU]]="","",_xlfn.XLOOKUP(Table26[[#This Row],[customerSKU]],Table27[customer_SKU],Table27[product_GTIN],"",0,1))</f>
        <v/>
      </c>
      <c r="Z830" s="25" t="s">
        <v>3363</v>
      </c>
      <c r="AA830" s="18" t="str" cm="1">
        <f t="array" ref="AA830">IF(P830="", "", _xlfn.XLOOKUP(P830,#REF!,#REF!,NA,0,-1))</f>
        <v/>
      </c>
      <c r="AB830" s="53"/>
      <c r="AC830" s="55" t="str">
        <f>IF(Table26[[#This Row],[customerSKU]]="","",_xlfn.XLOOKUP(Table26[[#This Row],[customerSKU]],customerSKU!G:G,customerSKU!C:C,"",0,1))</f>
        <v/>
      </c>
      <c r="AD830" s="55" t="str">
        <f>IF($AC830="","",_xlfn.XLOOKUP($AC830,'[2]Client Info'!$C$2:$C$2535,'[2]Client Info'!$D$2:$D$2535,"",0,1))</f>
        <v/>
      </c>
      <c r="AE830" s="55" t="str">
        <f>IF($AC830="","",_xlfn.XLOOKUP($AC830,'[2]Client Info'!$C$2:$C$2715,'[2]Client Info'!$E$2:$E$2715,"",))</f>
        <v/>
      </c>
      <c r="AF830" s="55" t="str">
        <f>IF($AC830="","",_xlfn.XLOOKUP($AC830,'[2]Client Info'!$C$2:$C$2715,'[2]Client Info'!$F$2:$F$2715,"",0,1))</f>
        <v/>
      </c>
      <c r="AG830" s="55" t="str">
        <f>IF(ISBLANK(Table26[[#This Row],[customerSKU]]),"",_xlfn.XLOOKUP(Table26[[#This Row],[customerSKU]],Table27[customer_SKU],Table27[billto],"",0,1))</f>
        <v/>
      </c>
      <c r="AH830" s="62" t="str">
        <f>_xlfn.XLOOKUP(Table26[[#This Row],[customerSKU]],customerSKU!G:G,customerSKU!K:K,"NA",0,1)</f>
        <v>NA</v>
      </c>
      <c r="AI830" s="43" t="str">
        <f>_xlfn.XLOOKUP(Table26[[#This Row],[customerSKU]],customerSKU!G:G,customerSKU!O:O,"not found",0,1)</f>
        <v>not found</v>
      </c>
      <c r="AJ830" s="53" t="e">
        <f>Table26[[#This Row],[unitprice]]*Table26[[#This Row],[quantity_unit]]</f>
        <v>#VALUE!</v>
      </c>
      <c r="AK830" s="53" t="e" cm="1">
        <f t="array" ref="AK8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1" spans="1:37" ht="18" customHeight="1">
      <c r="A831" s="42">
        <v>1436</v>
      </c>
      <c r="B831" s="58" t="s">
        <v>3520</v>
      </c>
      <c r="C831" s="53" t="s">
        <v>203</v>
      </c>
      <c r="D831" s="51">
        <v>45300</v>
      </c>
      <c r="E831" s="51"/>
      <c r="F831" s="53"/>
      <c r="G831" s="46"/>
      <c r="H831" s="53"/>
      <c r="I831" s="53"/>
      <c r="J831" s="90" t="str">
        <f>IF(Table26[[#This Row],[customerSKU]]="","",_xlfn.XLOOKUP(Table26[[#This Row],[customerSKU]],customerSKU!G:G,customerSKU!A:A,"",0,1))</f>
        <v/>
      </c>
      <c r="K831" s="48">
        <v>45646</v>
      </c>
      <c r="L831" s="49" t="str">
        <f>IF(Table26[[#This Row],[customerSKU]]="","",_xlfn.XLOOKUP(Table26[[#This Row],[customerSKU]],customerSKU!G:G,customerSKU!B:B,"",0,1))</f>
        <v/>
      </c>
      <c r="M831" s="53"/>
      <c r="N831" s="77" t="str">
        <f>Table26[[#This Row],[po_number]]&amp;"-"&amp;Table26[[#This Row],[po_line]]</f>
        <v>-1</v>
      </c>
      <c r="O831" s="77">
        <v>1</v>
      </c>
      <c r="P831" s="50"/>
      <c r="Q831" s="53" t="s">
        <v>1172</v>
      </c>
      <c r="R831" s="53" t="s">
        <v>3428</v>
      </c>
      <c r="S831" s="53" t="str">
        <f>IF(Table26[[#This Row],[customerSKU]]="","",_xlfn.XLOOKUP(Table26[[#This Row],[customerSKU]],customerSKU!G:G,customerSKU!N:N,"NOT FOUND",0,1))</f>
        <v>NOT FOUND</v>
      </c>
      <c r="T831" s="51">
        <v>45588</v>
      </c>
      <c r="U831" s="52">
        <v>24</v>
      </c>
      <c r="V831" s="53" t="str">
        <f>IF(ISBLANK(Table26[[#This Row],[customerSKU]]),"",_xlfn.XLOOKUP(Table26[[#This Row],[customerSKU]],Table27[customer_SKU],Table27[case_size],"",0,1))</f>
        <v/>
      </c>
      <c r="W831" s="116" t="str">
        <f t="shared" si="38"/>
        <v/>
      </c>
      <c r="X831" s="53" t="str">
        <f t="shared" si="37"/>
        <v/>
      </c>
      <c r="Y831" s="53" t="str">
        <f>IF(Table26[[#This Row],[customerSKU]]="","",_xlfn.XLOOKUP(Table26[[#This Row],[customerSKU]],Table27[customer_SKU],Table27[product_GTIN],"",0,1))</f>
        <v/>
      </c>
      <c r="Z831" s="25" t="s">
        <v>3409</v>
      </c>
      <c r="AA831" s="18" t="str" cm="1">
        <f t="array" ref="AA831">IF(P831="", "", _xlfn.XLOOKUP(P831,#REF!,#REF!,NA,0,-1))</f>
        <v/>
      </c>
      <c r="AB831" s="53"/>
      <c r="AC831" s="55" t="str">
        <f>IF(Table26[[#This Row],[customerSKU]]="","",_xlfn.XLOOKUP(Table26[[#This Row],[customerSKU]],customerSKU!G:G,customerSKU!C:C,"",0,1))</f>
        <v/>
      </c>
      <c r="AD831" s="55" t="str">
        <f>IF($AC831="","",_xlfn.XLOOKUP($AC831,'[2]Client Info'!$C$2:$C$2535,'[2]Client Info'!$D$2:$D$2535,"",0,1))</f>
        <v/>
      </c>
      <c r="AE831" s="55" t="str">
        <f>IF($AC831="","",_xlfn.XLOOKUP($AC831,'[2]Client Info'!$C$2:$C$2715,'[2]Client Info'!$E$2:$E$2715,"",))</f>
        <v/>
      </c>
      <c r="AF831" s="55" t="str">
        <f>IF($AC831="","",_xlfn.XLOOKUP($AC831,'[2]Client Info'!$C$2:$C$2715,'[2]Client Info'!$F$2:$F$2715,"",0,1))</f>
        <v/>
      </c>
      <c r="AG831" s="55" t="str">
        <f>IF(ISBLANK(Table26[[#This Row],[customerSKU]]),"",_xlfn.XLOOKUP(Table26[[#This Row],[customerSKU]],Table27[customer_SKU],Table27[billto],"",0,1))</f>
        <v/>
      </c>
      <c r="AH831" s="62" t="str">
        <f>_xlfn.XLOOKUP(Table26[[#This Row],[customerSKU]],customerSKU!G:G,customerSKU!K:K,"NA",0,1)</f>
        <v>NA</v>
      </c>
      <c r="AI831" s="43" t="str">
        <f>_xlfn.XLOOKUP(Table26[[#This Row],[customerSKU]],customerSKU!G:G,customerSKU!O:O,"not found",0,1)</f>
        <v>not found</v>
      </c>
      <c r="AJ831" s="53" t="e">
        <f>Table26[[#This Row],[unitprice]]*Table26[[#This Row],[quantity_unit]]</f>
        <v>#VALUE!</v>
      </c>
      <c r="AK831" s="53" t="e" cm="1">
        <f t="array" ref="AK8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2" spans="1:37" ht="18" customHeight="1">
      <c r="A832" s="42">
        <v>1437</v>
      </c>
      <c r="B832" s="58" t="s">
        <v>3520</v>
      </c>
      <c r="C832" s="53" t="s">
        <v>203</v>
      </c>
      <c r="D832" s="51">
        <v>45300</v>
      </c>
      <c r="E832" s="51"/>
      <c r="F832" s="53"/>
      <c r="G832" s="46"/>
      <c r="H832" s="53"/>
      <c r="I832" s="53"/>
      <c r="J832" s="90" t="str">
        <f>IF(Table26[[#This Row],[customerSKU]]="","",_xlfn.XLOOKUP(Table26[[#This Row],[customerSKU]],customerSKU!G:G,customerSKU!A:A,"",0,1))</f>
        <v/>
      </c>
      <c r="K832" s="48">
        <v>45646</v>
      </c>
      <c r="L832" s="49" t="str">
        <f>IF(Table26[[#This Row],[customerSKU]]="","",_xlfn.XLOOKUP(Table26[[#This Row],[customerSKU]],customerSKU!G:G,customerSKU!B:B,"",0,1))</f>
        <v/>
      </c>
      <c r="M832" s="53"/>
      <c r="N832" s="77" t="str">
        <f>Table26[[#This Row],[po_number]]&amp;"-"&amp;Table26[[#This Row],[po_line]]</f>
        <v>-2</v>
      </c>
      <c r="O832" s="77">
        <v>2</v>
      </c>
      <c r="P832" s="50"/>
      <c r="Q832" s="24" t="s">
        <v>1195</v>
      </c>
      <c r="R832" s="53" t="s">
        <v>3428</v>
      </c>
      <c r="S832" s="53" t="str">
        <f>IF(Table26[[#This Row],[customerSKU]]="","",_xlfn.XLOOKUP(Table26[[#This Row],[customerSKU]],customerSKU!G:G,customerSKU!N:N,"NOT FOUND",0,1))</f>
        <v>NOT FOUND</v>
      </c>
      <c r="T832" s="51">
        <v>45594</v>
      </c>
      <c r="U832" s="52">
        <v>12</v>
      </c>
      <c r="V832" s="53" t="str">
        <f>IF(ISBLANK(Table26[[#This Row],[customerSKU]]),"",_xlfn.XLOOKUP(Table26[[#This Row],[customerSKU]],Table27[customer_SKU],Table27[case_size],"",0,1))</f>
        <v/>
      </c>
      <c r="W832" s="116" t="str">
        <f t="shared" si="38"/>
        <v/>
      </c>
      <c r="X832" s="53" t="str">
        <f t="shared" si="37"/>
        <v/>
      </c>
      <c r="Y832" s="53" t="str">
        <f>IF(Table26[[#This Row],[customerSKU]]="","",_xlfn.XLOOKUP(Table26[[#This Row],[customerSKU]],Table27[customer_SKU],Table27[product_GTIN],"",0,1))</f>
        <v/>
      </c>
      <c r="Z832" s="25" t="s">
        <v>3363</v>
      </c>
      <c r="AA832" s="18" t="str" cm="1">
        <f t="array" ref="AA832">IF(P832="", "", _xlfn.XLOOKUP(P832,#REF!,#REF!,NA,0,-1))</f>
        <v/>
      </c>
      <c r="AB832" s="53"/>
      <c r="AC832" s="55" t="str">
        <f>IF(Table26[[#This Row],[customerSKU]]="","",_xlfn.XLOOKUP(Table26[[#This Row],[customerSKU]],customerSKU!G:G,customerSKU!C:C,"",0,1))</f>
        <v/>
      </c>
      <c r="AD832" s="55" t="str">
        <f>IF($AC832="","",_xlfn.XLOOKUP($AC832,'[2]Client Info'!$C$2:$C$2535,'[2]Client Info'!$D$2:$D$2535,"",0,1))</f>
        <v/>
      </c>
      <c r="AE832" s="55" t="str">
        <f>IF($AC832="","",_xlfn.XLOOKUP($AC832,'[2]Client Info'!$C$2:$C$2715,'[2]Client Info'!$E$2:$E$2715,"",))</f>
        <v/>
      </c>
      <c r="AF832" s="55" t="str">
        <f>IF($AC832="","",_xlfn.XLOOKUP($AC832,'[2]Client Info'!$C$2:$C$2715,'[2]Client Info'!$F$2:$F$2715,"",0,1))</f>
        <v/>
      </c>
      <c r="AG832" s="55" t="str">
        <f>IF(ISBLANK(Table26[[#This Row],[customerSKU]]),"",_xlfn.XLOOKUP(Table26[[#This Row],[customerSKU]],Table27[customer_SKU],Table27[billto],"",0,1))</f>
        <v/>
      </c>
      <c r="AH832" s="62" t="str">
        <f>_xlfn.XLOOKUP(Table26[[#This Row],[customerSKU]],customerSKU!G:G,customerSKU!K:K,"NA",0,1)</f>
        <v>NA</v>
      </c>
      <c r="AI832" s="43" t="str">
        <f>_xlfn.XLOOKUP(Table26[[#This Row],[customerSKU]],customerSKU!G:G,customerSKU!O:O,"not found",0,1)</f>
        <v>not found</v>
      </c>
      <c r="AJ832" s="53" t="e">
        <f>Table26[[#This Row],[unitprice]]*Table26[[#This Row],[quantity_unit]]</f>
        <v>#VALUE!</v>
      </c>
      <c r="AK832" s="53" t="e" cm="1">
        <f t="array" ref="AK8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3" spans="1:37" ht="18" customHeight="1">
      <c r="A833" s="42">
        <v>1438</v>
      </c>
      <c r="B833" s="58" t="s">
        <v>3520</v>
      </c>
      <c r="C833" s="53" t="s">
        <v>203</v>
      </c>
      <c r="D833" s="51"/>
      <c r="E833" s="51"/>
      <c r="F83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33" s="46"/>
      <c r="H833" s="53"/>
      <c r="I833" s="53"/>
      <c r="J833" s="90" t="str">
        <f>IF(Table26[[#This Row],[customerSKU]]="","",_xlfn.XLOOKUP(Table26[[#This Row],[customerSKU]],customerSKU!G:G,customerSKU!A:A,"",0,1))</f>
        <v/>
      </c>
      <c r="K833" s="48">
        <v>45646</v>
      </c>
      <c r="L833" s="49" t="str">
        <f>IF(Table26[[#This Row],[customerSKU]]="","",_xlfn.XLOOKUP(Table26[[#This Row],[customerSKU]],customerSKU!G:G,customerSKU!B:B,"",0,1))</f>
        <v/>
      </c>
      <c r="M833" s="53"/>
      <c r="N833" s="77" t="str">
        <f>Table26[[#This Row],[po_number]]&amp;"-"&amp;Table26[[#This Row],[po_line]]</f>
        <v>-1</v>
      </c>
      <c r="O833" s="77">
        <v>1</v>
      </c>
      <c r="P833" s="50"/>
      <c r="Q833" s="53" t="s">
        <v>4109</v>
      </c>
      <c r="R833" s="53" t="s">
        <v>569</v>
      </c>
      <c r="S833" s="53" t="str">
        <f>IF(Table26[[#This Row],[customerSKU]]="","",_xlfn.XLOOKUP(Table26[[#This Row],[customerSKU]],customerSKU!G:G,customerSKU!N:N,"NOT FOUND",0,1))</f>
        <v>NOT FOUND</v>
      </c>
      <c r="T833" s="20">
        <v>45499</v>
      </c>
      <c r="U833" s="52">
        <v>240</v>
      </c>
      <c r="V833" s="53" t="str">
        <f>IF(ISBLANK(Table26[[#This Row],[customerSKU]]),"",_xlfn.XLOOKUP(Table26[[#This Row],[customerSKU]],Table27[customer_SKU],Table27[case_size],"",0,1))</f>
        <v/>
      </c>
      <c r="W833" s="116" t="str">
        <f t="shared" si="38"/>
        <v/>
      </c>
      <c r="X833" s="53" t="str">
        <f t="shared" si="37"/>
        <v/>
      </c>
      <c r="Y833" s="53" t="str">
        <f>IF(Table26[[#This Row],[customerSKU]]="","",_xlfn.XLOOKUP(Table26[[#This Row],[customerSKU]],Table27[customer_SKU],Table27[product_GTIN],"",0,1))</f>
        <v/>
      </c>
      <c r="Z833" s="90" t="s">
        <v>3438</v>
      </c>
      <c r="AA833" s="18" t="str" cm="1">
        <f t="array" ref="AA833">IF(P833="", "", _xlfn.XLOOKUP(P833,#REF!,#REF!,NA,0,-1))</f>
        <v/>
      </c>
      <c r="AB833" s="53" t="s">
        <v>4081</v>
      </c>
      <c r="AC833" s="55" t="str">
        <f>IF(Table26[[#This Row],[customerSKU]]="","",_xlfn.XLOOKUP(Table26[[#This Row],[customerSKU]],customerSKU!G:G,customerSKU!C:C,"",0,1))</f>
        <v/>
      </c>
      <c r="AD833" s="55" t="str">
        <f>IF($AC833="","",_xlfn.XLOOKUP($AC833,'[2]Client Info'!$C$2:$C$2535,'[2]Client Info'!$D$2:$D$2535,"",0,1))</f>
        <v/>
      </c>
      <c r="AE833" s="55" t="str">
        <f>IF($AC833="","",_xlfn.XLOOKUP($AC833,'[2]Client Info'!$C$2:$C$2715,'[2]Client Info'!$E$2:$E$2715,"",))</f>
        <v/>
      </c>
      <c r="AF833" s="55" t="str">
        <f>IF($AC833="","",_xlfn.XLOOKUP($AC833,'[2]Client Info'!$C$2:$C$2715,'[2]Client Info'!$F$2:$F$2715,"",0,1))</f>
        <v/>
      </c>
      <c r="AG833" s="55" t="str">
        <f>IF(ISBLANK(Table26[[#This Row],[customerSKU]]),"",_xlfn.XLOOKUP(Table26[[#This Row],[customerSKU]],Table27[customer_SKU],Table27[billto],"",0,1))</f>
        <v/>
      </c>
      <c r="AH833" s="62" t="str">
        <f>_xlfn.XLOOKUP(Table26[[#This Row],[customerSKU]],customerSKU!G:G,customerSKU!K:K,"NA",0,1)</f>
        <v>NA</v>
      </c>
      <c r="AI833" s="43" t="str">
        <f>_xlfn.XLOOKUP(Table26[[#This Row],[customerSKU]],customerSKU!G:G,customerSKU!O:O,"not found",0,1)</f>
        <v>not found</v>
      </c>
      <c r="AJ833" s="53" t="e">
        <f>Table26[[#This Row],[unitprice]]*Table26[[#This Row],[quantity_unit]]</f>
        <v>#VALUE!</v>
      </c>
      <c r="AK833" s="53" t="e" cm="1">
        <f t="array" ref="AK8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4" spans="1:37" ht="18" customHeight="1">
      <c r="A834" s="42">
        <v>1439</v>
      </c>
      <c r="B834" s="58" t="s">
        <v>3520</v>
      </c>
      <c r="C834" s="53" t="s">
        <v>3360</v>
      </c>
      <c r="D834" s="51"/>
      <c r="E834" s="51"/>
      <c r="F83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34" s="46"/>
      <c r="H834" s="53"/>
      <c r="I834" s="53"/>
      <c r="J834" s="90" t="str">
        <f>IF(Table26[[#This Row],[customerSKU]]="","",_xlfn.XLOOKUP(Table26[[#This Row],[customerSKU]],customerSKU!G:G,customerSKU!A:A,"",0,1))</f>
        <v/>
      </c>
      <c r="K834" s="48">
        <v>45646</v>
      </c>
      <c r="L834" s="49" t="str">
        <f>IF(Table26[[#This Row],[customerSKU]]="","",_xlfn.XLOOKUP(Table26[[#This Row],[customerSKU]],customerSKU!G:G,customerSKU!B:B,"",0,1))</f>
        <v/>
      </c>
      <c r="M834" s="53"/>
      <c r="N834" s="77" t="str">
        <f>Table26[[#This Row],[po_number]]&amp;"-"&amp;Table26[[#This Row],[po_line]]</f>
        <v>-1</v>
      </c>
      <c r="O834" s="77">
        <v>1</v>
      </c>
      <c r="P834" s="50"/>
      <c r="Q834" s="53"/>
      <c r="R834" s="53"/>
      <c r="S834" s="53" t="str">
        <f>IF(Table26[[#This Row],[customerSKU]]="","",_xlfn.XLOOKUP(Table26[[#This Row],[customerSKU]],customerSKU!G:G,customerSKU!N:N,"NOT FOUND",0,1))</f>
        <v>NOT FOUND</v>
      </c>
      <c r="T834" s="20"/>
      <c r="U834" s="52">
        <v>12</v>
      </c>
      <c r="V834" s="53" t="str">
        <f>IF(ISBLANK(Table26[[#This Row],[customerSKU]]),"",_xlfn.XLOOKUP(Table26[[#This Row],[customerSKU]],Table27[customer_SKU],Table27[case_size],"",0,1))</f>
        <v/>
      </c>
      <c r="W834" s="116" t="str">
        <f t="shared" si="38"/>
        <v/>
      </c>
      <c r="X834" s="53" t="str">
        <f t="shared" si="37"/>
        <v/>
      </c>
      <c r="Y834" s="53" t="str">
        <f>IF(Table26[[#This Row],[customerSKU]]="","",_xlfn.XLOOKUP(Table26[[#This Row],[customerSKU]],Table27[customer_SKU],Table27[product_GTIN],"",0,1))</f>
        <v/>
      </c>
      <c r="Z834" s="90">
        <v>61619</v>
      </c>
      <c r="AA834" s="18" t="str" cm="1">
        <f t="array" ref="AA834">IF(P834="", "", _xlfn.XLOOKUP(P834,#REF!,#REF!,NA,0,-1))</f>
        <v/>
      </c>
      <c r="AB834" s="53"/>
      <c r="AC834" s="55" t="str">
        <f>IF(Table26[[#This Row],[customerSKU]]="","",_xlfn.XLOOKUP(Table26[[#This Row],[customerSKU]],customerSKU!G:G,customerSKU!C:C,"",0,1))</f>
        <v/>
      </c>
      <c r="AD834" s="55" t="str">
        <f>IF($AC834="","",_xlfn.XLOOKUP($AC834,'[2]Client Info'!$C$2:$C$2535,'[2]Client Info'!$D$2:$D$2535,"",0,1))</f>
        <v/>
      </c>
      <c r="AE834" s="55" t="str">
        <f>IF($AC834="","",_xlfn.XLOOKUP($AC834,'[2]Client Info'!$C$2:$C$2715,'[2]Client Info'!$E$2:$E$2715,"",))</f>
        <v/>
      </c>
      <c r="AF834" s="55" t="str">
        <f>IF($AC834="","",_xlfn.XLOOKUP($AC834,'[2]Client Info'!$C$2:$C$2715,'[2]Client Info'!$F$2:$F$2715,"",0,1))</f>
        <v/>
      </c>
      <c r="AG834" s="55" t="str">
        <f>IF(ISBLANK(Table26[[#This Row],[customerSKU]]),"",_xlfn.XLOOKUP(Table26[[#This Row],[customerSKU]],Table27[customer_SKU],Table27[billto],"",0,1))</f>
        <v/>
      </c>
      <c r="AH834" s="62" t="str">
        <f>_xlfn.XLOOKUP(Table26[[#This Row],[customerSKU]],customerSKU!G:G,customerSKU!K:K,"NA",0,1)</f>
        <v>NA</v>
      </c>
      <c r="AI834" s="43" t="str">
        <f>_xlfn.XLOOKUP(Table26[[#This Row],[customerSKU]],customerSKU!G:G,customerSKU!O:O,"not found",0,1)</f>
        <v>not found</v>
      </c>
      <c r="AJ834" s="53" t="e">
        <f>Table26[[#This Row],[unitprice]]*Table26[[#This Row],[quantity_unit]]</f>
        <v>#VALUE!</v>
      </c>
      <c r="AK834" s="53" t="e" cm="1">
        <f t="array" ref="AK8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5" spans="1:37" ht="18" customHeight="1">
      <c r="A835" s="42">
        <v>1415</v>
      </c>
      <c r="B835" s="58" t="s">
        <v>3520</v>
      </c>
      <c r="C835" s="53" t="s">
        <v>3360</v>
      </c>
      <c r="D835" s="51"/>
      <c r="E835" s="51"/>
      <c r="F83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35" s="46"/>
      <c r="H835" s="53"/>
      <c r="I835" s="53"/>
      <c r="J835" s="90" t="str">
        <f>IF(Table26[[#This Row],[customerSKU]]="","",_xlfn.XLOOKUP(Table26[[#This Row],[customerSKU]],customerSKU!G:G,customerSKU!A:A,"",0,1))</f>
        <v/>
      </c>
      <c r="K835" s="48">
        <v>45649</v>
      </c>
      <c r="L835" s="49" t="str">
        <f>IF(Table26[[#This Row],[customerSKU]]="","",_xlfn.XLOOKUP(Table26[[#This Row],[customerSKU]],customerSKU!G:G,customerSKU!B:B,"",0,1))</f>
        <v/>
      </c>
      <c r="M835" s="53"/>
      <c r="N835" s="77" t="str">
        <f>Table26[[#This Row],[po_number]]&amp;"-"&amp;Table26[[#This Row],[po_line]]</f>
        <v>-1</v>
      </c>
      <c r="O835" s="77">
        <v>1</v>
      </c>
      <c r="P835" s="50"/>
      <c r="Q835" s="53"/>
      <c r="R835" s="53"/>
      <c r="S835" s="53" t="str">
        <f>IF(Table26[[#This Row],[customerSKU]]="","",_xlfn.XLOOKUP(Table26[[#This Row],[customerSKU]],customerSKU!G:G,customerSKU!N:N,"NOT FOUND",0,1))</f>
        <v>NOT FOUND</v>
      </c>
      <c r="T835" s="20"/>
      <c r="U835" s="52">
        <v>12</v>
      </c>
      <c r="V835" s="53" t="str">
        <f>IF(ISBLANK(Table26[[#This Row],[customerSKU]]),"",_xlfn.XLOOKUP(Table26[[#This Row],[customerSKU]],Table27[customer_SKU],Table27[case_size],"",0,1))</f>
        <v/>
      </c>
      <c r="W835" s="116" t="str">
        <f t="shared" si="38"/>
        <v/>
      </c>
      <c r="X835" s="53" t="str">
        <f t="shared" si="37"/>
        <v/>
      </c>
      <c r="Y835" s="53" t="str">
        <f>IF(Table26[[#This Row],[customerSKU]]="","",_xlfn.XLOOKUP(Table26[[#This Row],[customerSKU]],Table27[customer_SKU],Table27[product_GTIN],"",0,1))</f>
        <v/>
      </c>
      <c r="Z835" s="25" t="s">
        <v>3455</v>
      </c>
      <c r="AA835" s="18" t="str" cm="1">
        <f t="array" ref="AA835">IF(P835="", "", _xlfn.XLOOKUP(P835,#REF!,#REF!,NA,0,-1))</f>
        <v/>
      </c>
      <c r="AB835" s="53"/>
      <c r="AC835" s="55" t="str">
        <f>IF(Table26[[#This Row],[customerSKU]]="","",_xlfn.XLOOKUP(Table26[[#This Row],[customerSKU]],customerSKU!G:G,customerSKU!C:C,"",0,1))</f>
        <v/>
      </c>
      <c r="AD835" s="55" t="str">
        <f>IF($AC835="","",_xlfn.XLOOKUP($AC835,'[2]Client Info'!$C$2:$C$2535,'[2]Client Info'!$D$2:$D$2535,"",0,1))</f>
        <v/>
      </c>
      <c r="AE835" s="55" t="str">
        <f>IF($AC835="","",_xlfn.XLOOKUP($AC835,'[2]Client Info'!$C$2:$C$2715,'[2]Client Info'!$E$2:$E$2715,"",))</f>
        <v/>
      </c>
      <c r="AF835" s="55" t="str">
        <f>IF($AC835="","",_xlfn.XLOOKUP($AC835,'[2]Client Info'!$C$2:$C$2715,'[2]Client Info'!$F$2:$F$2715,"",0,1))</f>
        <v/>
      </c>
      <c r="AG835" s="55" t="str">
        <f>IF(ISBLANK(Table26[[#This Row],[customerSKU]]),"",_xlfn.XLOOKUP(Table26[[#This Row],[customerSKU]],Table27[customer_SKU],Table27[billto],"",0,1))</f>
        <v/>
      </c>
      <c r="AH835" s="62" t="str">
        <f>_xlfn.XLOOKUP(Table26[[#This Row],[customerSKU]],customerSKU!G:G,customerSKU!K:K,"NA",0,1)</f>
        <v>NA</v>
      </c>
      <c r="AI835" s="43" t="str">
        <f>_xlfn.XLOOKUP(Table26[[#This Row],[customerSKU]],customerSKU!G:G,customerSKU!O:O,"not found",0,1)</f>
        <v>not found</v>
      </c>
      <c r="AJ835" s="53" t="e">
        <f>Table26[[#This Row],[unitprice]]*Table26[[#This Row],[quantity_unit]]</f>
        <v>#VALUE!</v>
      </c>
      <c r="AK835" s="53" t="e" cm="1">
        <f t="array" ref="AK8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6" spans="1:37" ht="18" customHeight="1">
      <c r="A836" s="42">
        <v>1410</v>
      </c>
      <c r="B836" s="58" t="s">
        <v>3520</v>
      </c>
      <c r="C836" s="22" t="s">
        <v>203</v>
      </c>
      <c r="E836" s="20"/>
      <c r="F836" s="22" t="s">
        <v>210</v>
      </c>
      <c r="G836" s="46"/>
      <c r="J836" s="90" t="str">
        <f>IF(Table26[[#This Row],[customerSKU]]="","",_xlfn.XLOOKUP(Table26[[#This Row],[customerSKU]],customerSKU!G:G,customerSKU!A:A,"",0,1))</f>
        <v/>
      </c>
      <c r="K836" s="48">
        <v>45659</v>
      </c>
      <c r="L836" s="31" t="s">
        <v>201</v>
      </c>
      <c r="M836" s="22"/>
      <c r="N836" s="15" t="str">
        <f>Table26[[#This Row],[po_number]]&amp;"-"&amp;Table26[[#This Row],[po_line]]</f>
        <v>-1</v>
      </c>
      <c r="O836" s="15">
        <v>1</v>
      </c>
      <c r="P836" s="29"/>
      <c r="Q836" s="22" t="s">
        <v>4106</v>
      </c>
      <c r="R836" s="22" t="s">
        <v>532</v>
      </c>
      <c r="S836" s="22" t="s">
        <v>14</v>
      </c>
      <c r="T836" s="20">
        <v>45639</v>
      </c>
      <c r="U836" s="21">
        <v>240</v>
      </c>
      <c r="V836" s="22">
        <v>12</v>
      </c>
      <c r="W836" s="117">
        <v>20</v>
      </c>
      <c r="X836" s="22">
        <v>504</v>
      </c>
      <c r="Y836" s="22" t="s">
        <v>3932</v>
      </c>
      <c r="Z836" s="90" t="s">
        <v>4107</v>
      </c>
      <c r="AA836" s="18" t="str" cm="1">
        <f t="array" ref="AA836">IF(P836="", "", _xlfn.XLOOKUP(P836,#REF!,#REF!,NA,0,-1))</f>
        <v/>
      </c>
      <c r="AB836" s="22"/>
      <c r="AC836" s="55" t="s">
        <v>9</v>
      </c>
      <c r="AD836" s="55" t="s">
        <v>10</v>
      </c>
      <c r="AE836" s="55" t="s">
        <v>11</v>
      </c>
      <c r="AF836" s="55" t="s">
        <v>12</v>
      </c>
      <c r="AG836" s="55" t="s">
        <v>9</v>
      </c>
      <c r="AH836" s="26">
        <v>11.340000000000002</v>
      </c>
      <c r="AI836" s="43" t="str">
        <f>_xlfn.XLOOKUP(Table26[[#This Row],[customerSKU]],customerSKU!G:G,customerSKU!O:O,"not found",0,1)</f>
        <v>not found</v>
      </c>
      <c r="AJ836" s="22">
        <f>Table26[[#This Row],[unitprice]]*Table26[[#This Row],[quantity_unit]]</f>
        <v>2721.6000000000004</v>
      </c>
      <c r="AK836" s="22" t="e" cm="1">
        <f t="array" ref="AK8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7" spans="1:37" ht="18" customHeight="1">
      <c r="A837" s="42">
        <v>1411</v>
      </c>
      <c r="B837" s="27" t="s">
        <v>3520</v>
      </c>
      <c r="C837" s="22" t="s">
        <v>203</v>
      </c>
      <c r="E837" s="20"/>
      <c r="F837" s="22" t="s">
        <v>210</v>
      </c>
      <c r="G837" s="46"/>
      <c r="J837" s="90" t="str">
        <f>IF(Table26[[#This Row],[customerSKU]]="","",_xlfn.XLOOKUP(Table26[[#This Row],[customerSKU]],customerSKU!G:G,customerSKU!A:A,"",0,1))</f>
        <v/>
      </c>
      <c r="K837" s="48">
        <v>45659</v>
      </c>
      <c r="L837" s="31" t="s">
        <v>201</v>
      </c>
      <c r="M837" s="22"/>
      <c r="N837" s="15" t="str">
        <f>Table26[[#This Row],[po_number]]&amp;"-"&amp;Table26[[#This Row],[po_line]]</f>
        <v>-1</v>
      </c>
      <c r="O837" s="15">
        <v>1</v>
      </c>
      <c r="P837" s="29"/>
      <c r="Q837" s="22" t="s">
        <v>3941</v>
      </c>
      <c r="R837" s="22" t="s">
        <v>532</v>
      </c>
      <c r="S837" s="22" t="s">
        <v>21</v>
      </c>
      <c r="T837" s="20">
        <v>45499</v>
      </c>
      <c r="U837" s="21">
        <v>240</v>
      </c>
      <c r="V837" s="22">
        <v>12</v>
      </c>
      <c r="W837" s="117">
        <v>20</v>
      </c>
      <c r="X837" s="22">
        <v>504</v>
      </c>
      <c r="Y837" s="22" t="s">
        <v>4110</v>
      </c>
      <c r="Z837" s="90" t="s">
        <v>3689</v>
      </c>
      <c r="AA837" s="18" t="str" cm="1">
        <f t="array" ref="AA837">IF(P837="", "", _xlfn.XLOOKUP(P837,#REF!,#REF!,NA,0,-1))</f>
        <v/>
      </c>
      <c r="AB837" s="22" t="s">
        <v>4081</v>
      </c>
      <c r="AC837" s="55" t="s">
        <v>9</v>
      </c>
      <c r="AD837" s="55" t="s">
        <v>10</v>
      </c>
      <c r="AE837" s="55" t="s">
        <v>11</v>
      </c>
      <c r="AF837" s="55" t="s">
        <v>12</v>
      </c>
      <c r="AG837" s="55" t="s">
        <v>9</v>
      </c>
      <c r="AH837" s="26">
        <v>10.48</v>
      </c>
      <c r="AI837" s="43" t="str">
        <f>_xlfn.XLOOKUP(Table26[[#This Row],[customerSKU]],customerSKU!G:G,customerSKU!O:O,"not found",0,1)</f>
        <v>not found</v>
      </c>
      <c r="AJ837" s="22">
        <f>Table26[[#This Row],[unitprice]]*Table26[[#This Row],[quantity_unit]]</f>
        <v>2515.2000000000003</v>
      </c>
      <c r="AK837" s="22" t="e" cm="1">
        <f t="array" ref="AK8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8" spans="1:37" ht="18" customHeight="1">
      <c r="A838" s="42">
        <v>1412</v>
      </c>
      <c r="B838" s="58" t="s">
        <v>3520</v>
      </c>
      <c r="C838" s="53" t="s">
        <v>3360</v>
      </c>
      <c r="E838" s="20"/>
      <c r="F83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38" s="46"/>
      <c r="J838" s="90" t="str">
        <f>IF(Table26[[#This Row],[customerSKU]]="","",_xlfn.XLOOKUP(Table26[[#This Row],[customerSKU]],customerSKU!G:G,customerSKU!A:A,"",0,1))</f>
        <v/>
      </c>
      <c r="K838" s="48">
        <v>45659</v>
      </c>
      <c r="L838" s="31" t="str">
        <f>IF(Table26[[#This Row],[customerSKU]]="","",_xlfn.XLOOKUP(Table26[[#This Row],[customerSKU]],customerSKU!G:G,customerSKU!B:B,"",0,1))</f>
        <v/>
      </c>
      <c r="M838" s="53"/>
      <c r="N838" s="77" t="str">
        <f>Table26[[#This Row],[po_number]]&amp;"-"&amp;Table26[[#This Row],[po_line]]</f>
        <v>-1</v>
      </c>
      <c r="O838" s="77">
        <v>1</v>
      </c>
      <c r="P838" s="29"/>
      <c r="S838" s="22" t="str">
        <f>IF(Table26[[#This Row],[customerSKU]]="","",_xlfn.XLOOKUP(Table26[[#This Row],[customerSKU]],customerSKU!G:G,customerSKU!N:N,"NOT FOUND",0,1))</f>
        <v>NOT FOUND</v>
      </c>
      <c r="T838" s="20"/>
      <c r="U838" s="21">
        <v>12</v>
      </c>
      <c r="V838" s="22" t="str">
        <f>IF(ISBLANK(Table26[[#This Row],[customerSKU]]),"",_xlfn.XLOOKUP(Table26[[#This Row],[customerSKU]],Table27[customer_SKU],Table27[case_size],"",0,1))</f>
        <v/>
      </c>
      <c r="W838" s="117" t="str">
        <f t="shared" ref="W838:W869" si="39">IFERROR(U838/V838, "")</f>
        <v/>
      </c>
      <c r="X838" s="22" t="str">
        <f t="shared" ref="X838:X901" si="40">IFERROR($AA838*$U838, "")</f>
        <v/>
      </c>
      <c r="Y838" s="22" t="str">
        <f>IF(Table26[[#This Row],[customerSKU]]="","",_xlfn.XLOOKUP(Table26[[#This Row],[customerSKU]],Table27[customer_SKU],Table27[product_GTIN],"",0,1))</f>
        <v/>
      </c>
      <c r="Z838" s="90">
        <v>61619</v>
      </c>
      <c r="AA838" s="18" t="str" cm="1">
        <f t="array" ref="AA838">IF(P838="", "", _xlfn.XLOOKUP(P838,#REF!,#REF!,NA,0,-1))</f>
        <v/>
      </c>
      <c r="AB838" s="22"/>
      <c r="AC838" s="55" t="str">
        <f>IF(Table26[[#This Row],[customerSKU]]="","",_xlfn.XLOOKUP(Table26[[#This Row],[customerSKU]],customerSKU!G:G,customerSKU!C:C,"",0,1))</f>
        <v/>
      </c>
      <c r="AD838" s="55" t="str">
        <f>IF($AC838="","",_xlfn.XLOOKUP($AC838,'[2]Client Info'!$C$2:$C$2535,'[2]Client Info'!$D$2:$D$2535,"",0,1))</f>
        <v/>
      </c>
      <c r="AE838" s="55" t="str">
        <f>IF($AC838="","",_xlfn.XLOOKUP($AC838,'[2]Client Info'!$C$2:$C$2715,'[2]Client Info'!$E$2:$E$2715,"",))</f>
        <v/>
      </c>
      <c r="AF838" s="55" t="str">
        <f>IF($AC838="","",_xlfn.XLOOKUP($AC838,'[2]Client Info'!$C$2:$C$2715,'[2]Client Info'!$F$2:$F$2715,"",0,1))</f>
        <v/>
      </c>
      <c r="AG838" s="55" t="str">
        <f>IF(ISBLANK(Table26[[#This Row],[customerSKU]]),"",_xlfn.XLOOKUP(Table26[[#This Row],[customerSKU]],Table27[customer_SKU],Table27[billto],"",0,1))</f>
        <v/>
      </c>
      <c r="AH838" s="26" t="str">
        <f>_xlfn.XLOOKUP(Table26[[#This Row],[customerSKU]],customerSKU!G:G,customerSKU!K:K,"NA",0,1)</f>
        <v>NA</v>
      </c>
      <c r="AI838" s="43" t="str">
        <f>_xlfn.XLOOKUP(Table26[[#This Row],[customerSKU]],customerSKU!G:G,customerSKU!O:O,"not found",0,1)</f>
        <v>not found</v>
      </c>
      <c r="AJ838" s="53" t="e">
        <f>Table26[[#This Row],[unitprice]]*Table26[[#This Row],[quantity_unit]]</f>
        <v>#VALUE!</v>
      </c>
      <c r="AK838" s="53" t="e" cm="1">
        <f t="array" ref="AK8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39" spans="1:37" ht="18" customHeight="1">
      <c r="A839" s="42">
        <v>1413</v>
      </c>
      <c r="B839" s="58" t="s">
        <v>3520</v>
      </c>
      <c r="C839" s="53" t="s">
        <v>3360</v>
      </c>
      <c r="D839" s="51"/>
      <c r="E839" s="51"/>
      <c r="F83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39" s="46"/>
      <c r="H839" s="53"/>
      <c r="I839" s="53"/>
      <c r="J839" s="90" t="str">
        <f>IF(Table26[[#This Row],[customerSKU]]="","",_xlfn.XLOOKUP(Table26[[#This Row],[customerSKU]],customerSKU!G:G,customerSKU!A:A,"",0,1))</f>
        <v/>
      </c>
      <c r="K839" s="48">
        <v>45659</v>
      </c>
      <c r="L839" s="49" t="str">
        <f>IF(Table26[[#This Row],[customerSKU]]="","",_xlfn.XLOOKUP(Table26[[#This Row],[customerSKU]],customerSKU!G:G,customerSKU!B:B,"",0,1))</f>
        <v/>
      </c>
      <c r="M839" s="53"/>
      <c r="N839" s="77" t="str">
        <f>Table26[[#This Row],[po_number]]&amp;"-"&amp;Table26[[#This Row],[po_line]]</f>
        <v>-1</v>
      </c>
      <c r="O839" s="77">
        <v>1</v>
      </c>
      <c r="P839" s="50"/>
      <c r="Q839" s="53"/>
      <c r="R839" s="53"/>
      <c r="S839" s="53" t="str">
        <f>IF(Table26[[#This Row],[customerSKU]]="","",_xlfn.XLOOKUP(Table26[[#This Row],[customerSKU]],customerSKU!G:G,customerSKU!N:N,"NOT FOUND",0,1))</f>
        <v>NOT FOUND</v>
      </c>
      <c r="T839" s="20"/>
      <c r="U839" s="52">
        <v>12</v>
      </c>
      <c r="V839" s="53" t="str">
        <f>IF(ISBLANK(Table26[[#This Row],[customerSKU]]),"",_xlfn.XLOOKUP(Table26[[#This Row],[customerSKU]],Table27[customer_SKU],Table27[case_size],"",0,1))</f>
        <v/>
      </c>
      <c r="W839" s="116" t="str">
        <f t="shared" si="39"/>
        <v/>
      </c>
      <c r="X839" s="53" t="str">
        <f t="shared" si="40"/>
        <v/>
      </c>
      <c r="Y839" s="53" t="str">
        <f>IF(Table26[[#This Row],[customerSKU]]="","",_xlfn.XLOOKUP(Table26[[#This Row],[customerSKU]],Table27[customer_SKU],Table27[product_GTIN],"",0,1))</f>
        <v/>
      </c>
      <c r="Z839" s="25" t="s">
        <v>3455</v>
      </c>
      <c r="AA839" s="18" t="str" cm="1">
        <f t="array" ref="AA839">IF(P839="", "", _xlfn.XLOOKUP(P839,#REF!,#REF!,NA,0,-1))</f>
        <v/>
      </c>
      <c r="AB839" s="53"/>
      <c r="AC839" s="55" t="str">
        <f>IF(Table26[[#This Row],[customerSKU]]="","",_xlfn.XLOOKUP(Table26[[#This Row],[customerSKU]],customerSKU!G:G,customerSKU!C:C,"",0,1))</f>
        <v/>
      </c>
      <c r="AD839" s="55" t="str">
        <f>IF($AC839="","",_xlfn.XLOOKUP($AC839,'[2]Client Info'!$C$2:$C$2535,'[2]Client Info'!$D$2:$D$2535,"",0,1))</f>
        <v/>
      </c>
      <c r="AE839" s="55" t="str">
        <f>IF($AC839="","",_xlfn.XLOOKUP($AC839,'[2]Client Info'!$C$2:$C$2715,'[2]Client Info'!$E$2:$E$2715,"",))</f>
        <v/>
      </c>
      <c r="AF839" s="55" t="str">
        <f>IF($AC839="","",_xlfn.XLOOKUP($AC839,'[2]Client Info'!$C$2:$C$2715,'[2]Client Info'!$F$2:$F$2715,"",0,1))</f>
        <v/>
      </c>
      <c r="AG839" s="55" t="str">
        <f>IF(ISBLANK(Table26[[#This Row],[customerSKU]]),"",_xlfn.XLOOKUP(Table26[[#This Row],[customerSKU]],Table27[customer_SKU],Table27[billto],"",0,1))</f>
        <v/>
      </c>
      <c r="AH839" s="62" t="str">
        <f>_xlfn.XLOOKUP(Table26[[#This Row],[customerSKU]],customerSKU!G:G,customerSKU!K:K,"NA",0,1)</f>
        <v>NA</v>
      </c>
      <c r="AI839" s="43" t="str">
        <f>_xlfn.XLOOKUP(Table26[[#This Row],[customerSKU]],customerSKU!G:G,customerSKU!O:O,"not found",0,1)</f>
        <v>not found</v>
      </c>
      <c r="AJ839" s="53" t="e">
        <f>Table26[[#This Row],[unitprice]]*Table26[[#This Row],[quantity_unit]]</f>
        <v>#VALUE!</v>
      </c>
      <c r="AK839" s="53" t="e" cm="1">
        <f t="array" ref="AK8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0" spans="1:37" ht="18" customHeight="1">
      <c r="A840" s="42">
        <v>1414</v>
      </c>
      <c r="B840" s="58" t="s">
        <v>3520</v>
      </c>
      <c r="C840" s="53" t="s">
        <v>3360</v>
      </c>
      <c r="E840" s="20"/>
      <c r="F84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40" s="46"/>
      <c r="J840" s="90" t="str">
        <f>IF(Table26[[#This Row],[customerSKU]]="","",_xlfn.XLOOKUP(Table26[[#This Row],[customerSKU]],customerSKU!G:G,customerSKU!A:A,"",0,1))</f>
        <v/>
      </c>
      <c r="K840" s="48">
        <v>45659</v>
      </c>
      <c r="L840" s="31" t="str">
        <f>IF(Table26[[#This Row],[customerSKU]]="","",_xlfn.XLOOKUP(Table26[[#This Row],[customerSKU]],customerSKU!G:G,customerSKU!B:B,"",0,1))</f>
        <v/>
      </c>
      <c r="M840" s="22"/>
      <c r="N840" s="15" t="str">
        <f>Table26[[#This Row],[po_number]]&amp;"-"&amp;Table26[[#This Row],[po_line]]</f>
        <v>-1</v>
      </c>
      <c r="O840" s="15">
        <v>1</v>
      </c>
      <c r="P840" s="29"/>
      <c r="S840" s="22" t="str">
        <f>IF(Table26[[#This Row],[customerSKU]]="","",_xlfn.XLOOKUP(Table26[[#This Row],[customerSKU]],customerSKU!G:G,customerSKU!N:N,"NOT FOUND",0,1))</f>
        <v>NOT FOUND</v>
      </c>
      <c r="T840" s="20"/>
      <c r="U840" s="21">
        <v>12</v>
      </c>
      <c r="V840" s="22" t="str">
        <f>IF(ISBLANK(Table26[[#This Row],[customerSKU]]),"",_xlfn.XLOOKUP(Table26[[#This Row],[customerSKU]],Table27[customer_SKU],Table27[case_size],"",0,1))</f>
        <v/>
      </c>
      <c r="W840" s="117" t="str">
        <f t="shared" si="39"/>
        <v/>
      </c>
      <c r="X840" s="22" t="str">
        <f t="shared" si="40"/>
        <v/>
      </c>
      <c r="Y840" s="22" t="str">
        <f>IF(Table26[[#This Row],[customerSKU]]="","",_xlfn.XLOOKUP(Table26[[#This Row],[customerSKU]],Table27[customer_SKU],Table27[product_GTIN],"",0,1))</f>
        <v/>
      </c>
      <c r="Z840" s="25" t="s">
        <v>3381</v>
      </c>
      <c r="AA840" s="18" t="str" cm="1">
        <f t="array" ref="AA840">IF(P840="", "", _xlfn.XLOOKUP(P840,#REF!,#REF!,NA,0,-1))</f>
        <v/>
      </c>
      <c r="AB840" s="22"/>
      <c r="AC840" s="55" t="str">
        <f>IF(Table26[[#This Row],[customerSKU]]="","",_xlfn.XLOOKUP(Table26[[#This Row],[customerSKU]],customerSKU!G:G,customerSKU!C:C,"",0,1))</f>
        <v/>
      </c>
      <c r="AD840" s="55" t="str">
        <f>IF($AC840="","",_xlfn.XLOOKUP($AC840,'[2]Client Info'!$C$2:$C$2535,'[2]Client Info'!$D$2:$D$2535,"",0,1))</f>
        <v/>
      </c>
      <c r="AE840" s="55" t="str">
        <f>IF($AC840="","",_xlfn.XLOOKUP($AC840,'[2]Client Info'!$C$2:$C$2715,'[2]Client Info'!$E$2:$E$2715,"",))</f>
        <v/>
      </c>
      <c r="AF840" s="55" t="str">
        <f>IF($AC840="","",_xlfn.XLOOKUP($AC840,'[2]Client Info'!$C$2:$C$2715,'[2]Client Info'!$F$2:$F$2715,"",0,1))</f>
        <v/>
      </c>
      <c r="AG840" s="55" t="str">
        <f>IF(ISBLANK(Table26[[#This Row],[customerSKU]]),"",_xlfn.XLOOKUP(Table26[[#This Row],[customerSKU]],Table27[customer_SKU],Table27[billto],"",0,1))</f>
        <v/>
      </c>
      <c r="AH840" s="26" t="str">
        <f>_xlfn.XLOOKUP(Table26[[#This Row],[customerSKU]],customerSKU!G:G,customerSKU!K:K,"NA",0,1)</f>
        <v>NA</v>
      </c>
      <c r="AI840" s="43" t="str">
        <f>_xlfn.XLOOKUP(Table26[[#This Row],[customerSKU]],customerSKU!G:G,customerSKU!O:O,"not found",0,1)</f>
        <v>not found</v>
      </c>
      <c r="AJ840" s="22" t="e">
        <f>Table26[[#This Row],[unitprice]]*Table26[[#This Row],[quantity_unit]]</f>
        <v>#VALUE!</v>
      </c>
      <c r="AK840" s="22" t="e" cm="1">
        <f t="array" ref="AK8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1" spans="1:37" ht="18" customHeight="1">
      <c r="A841" s="42">
        <v>1400</v>
      </c>
      <c r="B841" s="58" t="s">
        <v>3520</v>
      </c>
      <c r="C841" s="22" t="s">
        <v>203</v>
      </c>
      <c r="D841" s="51">
        <v>45310</v>
      </c>
      <c r="E841" s="51"/>
      <c r="F84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41" s="46"/>
      <c r="H841" s="53"/>
      <c r="I841" s="53"/>
      <c r="J841" s="90" t="str">
        <f>IF(Table26[[#This Row],[customerSKU]]="","",_xlfn.XLOOKUP(Table26[[#This Row],[customerSKU]],customerSKU!G:G,customerSKU!A:A,"",0,1))</f>
        <v/>
      </c>
      <c r="K841" s="48">
        <v>45663</v>
      </c>
      <c r="L841" s="49" t="str">
        <f>IF(Table26[[#This Row],[customerSKU]]="","",_xlfn.XLOOKUP(Table26[[#This Row],[customerSKU]],customerSKU!G:G,customerSKU!B:B,"",0,1))</f>
        <v/>
      </c>
      <c r="M841" s="53"/>
      <c r="N841" s="77" t="str">
        <f>Table26[[#This Row],[po_number]]&amp;"-"&amp;Table26[[#This Row],[po_line]]</f>
        <v>-1</v>
      </c>
      <c r="O841" s="77">
        <v>1</v>
      </c>
      <c r="P841" s="50"/>
      <c r="Q841" s="24" t="s">
        <v>905</v>
      </c>
      <c r="R841" s="53" t="s">
        <v>569</v>
      </c>
      <c r="S841" s="53" t="str">
        <f>IF(Table26[[#This Row],[customerSKU]]="","",_xlfn.XLOOKUP(Table26[[#This Row],[customerSKU]],customerSKU!G:G,customerSKU!N:N,"NOT FOUND",0,1))</f>
        <v>NOT FOUND</v>
      </c>
      <c r="T841" s="20">
        <v>45570</v>
      </c>
      <c r="U841" s="52">
        <v>48</v>
      </c>
      <c r="V841" s="53" t="str">
        <f>IF(ISBLANK(Table26[[#This Row],[customerSKU]]),"",_xlfn.XLOOKUP(Table26[[#This Row],[customerSKU]],Table27[customer_SKU],Table27[case_size],"",0,1))</f>
        <v/>
      </c>
      <c r="W841" s="116" t="str">
        <f t="shared" si="39"/>
        <v/>
      </c>
      <c r="X841" s="53" t="str">
        <f t="shared" si="40"/>
        <v/>
      </c>
      <c r="Y841" s="53" t="str">
        <f>IF(Table26[[#This Row],[customerSKU]]="","",_xlfn.XLOOKUP(Table26[[#This Row],[customerSKU]],Table27[customer_SKU],Table27[product_GTIN],"",0,1))</f>
        <v/>
      </c>
      <c r="Z841" s="90">
        <v>7900386</v>
      </c>
      <c r="AA841" s="18" t="str" cm="1">
        <f t="array" ref="AA841">IF(P841="", "", _xlfn.XLOOKUP(P841,#REF!,#REF!,NA,0,-1))</f>
        <v/>
      </c>
      <c r="AB841" s="53"/>
      <c r="AC841" s="55" t="str">
        <f>IF(Table26[[#This Row],[customerSKU]]="","",_xlfn.XLOOKUP(Table26[[#This Row],[customerSKU]],customerSKU!G:G,customerSKU!C:C,"",0,1))</f>
        <v/>
      </c>
      <c r="AD841" s="55" t="str">
        <f>IF($AC841="","",_xlfn.XLOOKUP($AC841,'[2]Client Info'!$C$2:$C$2535,'[2]Client Info'!$D$2:$D$2535,"",0,1))</f>
        <v/>
      </c>
      <c r="AE841" s="55" t="str">
        <f>IF($AC841="","",_xlfn.XLOOKUP($AC841,'[2]Client Info'!$C$2:$C$2715,'[2]Client Info'!$E$2:$E$2715,"",))</f>
        <v/>
      </c>
      <c r="AF841" s="55" t="str">
        <f>IF($AC841="","",_xlfn.XLOOKUP($AC841,'[2]Client Info'!$C$2:$C$2715,'[2]Client Info'!$F$2:$F$2715,"",0,1))</f>
        <v/>
      </c>
      <c r="AG841" s="55" t="str">
        <f>IF(ISBLANK(Table26[[#This Row],[customerSKU]]),"",_xlfn.XLOOKUP(Table26[[#This Row],[customerSKU]],Table27[customer_SKU],Table27[billto],"",0,1))</f>
        <v/>
      </c>
      <c r="AH841" s="62" t="str">
        <f>_xlfn.XLOOKUP(Table26[[#This Row],[customerSKU]],customerSKU!G:G,customerSKU!K:K,"NA",0,1)</f>
        <v>NA</v>
      </c>
      <c r="AI841" s="43" t="str">
        <f>_xlfn.XLOOKUP(Table26[[#This Row],[customerSKU]],customerSKU!G:G,customerSKU!O:O,"not found",0,1)</f>
        <v>not found</v>
      </c>
      <c r="AJ841" s="53" t="e">
        <f>Table26[[#This Row],[unitprice]]*Table26[[#This Row],[quantity_unit]]</f>
        <v>#VALUE!</v>
      </c>
      <c r="AK841" s="53" t="e" cm="1">
        <f t="array" ref="AK8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2" spans="1:37" ht="18" customHeight="1">
      <c r="A842" s="42">
        <v>1401</v>
      </c>
      <c r="B842" s="58" t="s">
        <v>3520</v>
      </c>
      <c r="C842" s="22" t="s">
        <v>203</v>
      </c>
      <c r="D842" s="51">
        <v>45310</v>
      </c>
      <c r="E842" s="51"/>
      <c r="F84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42" s="46"/>
      <c r="H842" s="53"/>
      <c r="I842" s="53"/>
      <c r="J842" s="90" t="str">
        <f>IF(Table26[[#This Row],[customerSKU]]="","",_xlfn.XLOOKUP(Table26[[#This Row],[customerSKU]],customerSKU!G:G,customerSKU!A:A,"",0,1))</f>
        <v/>
      </c>
      <c r="K842" s="48">
        <v>45663</v>
      </c>
      <c r="L842" s="49" t="str">
        <f>IF(Table26[[#This Row],[customerSKU]]="","",_xlfn.XLOOKUP(Table26[[#This Row],[customerSKU]],customerSKU!G:G,customerSKU!B:B,"",0,1))</f>
        <v/>
      </c>
      <c r="M842" s="53"/>
      <c r="N842" s="77" t="str">
        <f>Table26[[#This Row],[po_number]]&amp;"-"&amp;Table26[[#This Row],[po_line]]</f>
        <v>-2</v>
      </c>
      <c r="O842" s="77">
        <v>2</v>
      </c>
      <c r="P842" s="50"/>
      <c r="Q842" s="53" t="s">
        <v>1312</v>
      </c>
      <c r="R842" s="53" t="s">
        <v>569</v>
      </c>
      <c r="S842" s="53" t="str">
        <f>IF(Table26[[#This Row],[customerSKU]]="","",_xlfn.XLOOKUP(Table26[[#This Row],[customerSKU]],customerSKU!G:G,customerSKU!N:N,"NOT FOUND",0,1))</f>
        <v>NOT FOUND</v>
      </c>
      <c r="T842" s="20">
        <v>45575</v>
      </c>
      <c r="U842" s="67">
        <v>84</v>
      </c>
      <c r="V842" s="53" t="str">
        <f>IF(ISBLANK(Table26[[#This Row],[customerSKU]]),"",_xlfn.XLOOKUP(Table26[[#This Row],[customerSKU]],Table27[customer_SKU],Table27[case_size],"",0,1))</f>
        <v/>
      </c>
      <c r="W842" s="116" t="str">
        <f t="shared" si="39"/>
        <v/>
      </c>
      <c r="X842" s="53" t="str">
        <f t="shared" si="40"/>
        <v/>
      </c>
      <c r="Y842" s="53" t="str">
        <f>IF(Table26[[#This Row],[customerSKU]]="","",_xlfn.XLOOKUP(Table26[[#This Row],[customerSKU]],Table27[customer_SKU],Table27[product_GTIN],"",0,1))</f>
        <v/>
      </c>
      <c r="Z842" s="90">
        <v>7900384</v>
      </c>
      <c r="AA842" s="18" t="str" cm="1">
        <f t="array" ref="AA842">IF(P842="", "", _xlfn.XLOOKUP(P842,#REF!,#REF!,NA,0,-1))</f>
        <v/>
      </c>
      <c r="AB842" s="53"/>
      <c r="AC842" s="55" t="str">
        <f>IF(Table26[[#This Row],[customerSKU]]="","",_xlfn.XLOOKUP(Table26[[#This Row],[customerSKU]],customerSKU!G:G,customerSKU!C:C,"",0,1))</f>
        <v/>
      </c>
      <c r="AD842" s="55" t="str">
        <f>IF($AC842="","",_xlfn.XLOOKUP($AC842,'[2]Client Info'!$C$2:$C$2535,'[2]Client Info'!$D$2:$D$2535,"",0,1))</f>
        <v/>
      </c>
      <c r="AE842" s="55" t="str">
        <f>IF($AC842="","",_xlfn.XLOOKUP($AC842,'[2]Client Info'!$C$2:$C$2715,'[2]Client Info'!$E$2:$E$2715,"",))</f>
        <v/>
      </c>
      <c r="AF842" s="55" t="str">
        <f>IF($AC842="","",_xlfn.XLOOKUP($AC842,'[2]Client Info'!$C$2:$C$2715,'[2]Client Info'!$F$2:$F$2715,"",0,1))</f>
        <v/>
      </c>
      <c r="AG842" s="55" t="str">
        <f>IF(ISBLANK(Table26[[#This Row],[customerSKU]]),"",_xlfn.XLOOKUP(Table26[[#This Row],[customerSKU]],Table27[customer_SKU],Table27[billto],"",0,1))</f>
        <v/>
      </c>
      <c r="AH842" s="62" t="str">
        <f>_xlfn.XLOOKUP(Table26[[#This Row],[customerSKU]],customerSKU!G:G,customerSKU!K:K,"NA",0,1)</f>
        <v>NA</v>
      </c>
      <c r="AI842" s="43" t="str">
        <f>_xlfn.XLOOKUP(Table26[[#This Row],[customerSKU]],customerSKU!G:G,customerSKU!O:O,"not found",0,1)</f>
        <v>not found</v>
      </c>
      <c r="AJ842" s="53" t="e">
        <f>Table26[[#This Row],[unitprice]]*Table26[[#This Row],[quantity_unit]]</f>
        <v>#VALUE!</v>
      </c>
      <c r="AK842" s="53" t="e" cm="1">
        <f t="array" ref="AK8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3" spans="1:37" ht="18" customHeight="1">
      <c r="A843" s="42">
        <v>1402</v>
      </c>
      <c r="B843" s="58" t="s">
        <v>3520</v>
      </c>
      <c r="C843" s="22" t="s">
        <v>203</v>
      </c>
      <c r="D843" s="51">
        <v>45310</v>
      </c>
      <c r="E843" s="51"/>
      <c r="F84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43" s="46"/>
      <c r="H843" s="53"/>
      <c r="I843" s="53"/>
      <c r="J843" s="90" t="str">
        <f>IF(Table26[[#This Row],[customerSKU]]="","",_xlfn.XLOOKUP(Table26[[#This Row],[customerSKU]],customerSKU!G:G,customerSKU!A:A,"",0,1))</f>
        <v/>
      </c>
      <c r="K843" s="48">
        <v>45663</v>
      </c>
      <c r="L843" s="49" t="str">
        <f>IF(Table26[[#This Row],[customerSKU]]="","",_xlfn.XLOOKUP(Table26[[#This Row],[customerSKU]],customerSKU!G:G,customerSKU!B:B,"",0,1))</f>
        <v/>
      </c>
      <c r="M843" s="53"/>
      <c r="N843" s="77" t="str">
        <f>Table26[[#This Row],[po_number]]&amp;"-"&amp;Table26[[#This Row],[po_line]]</f>
        <v>-3</v>
      </c>
      <c r="O843" s="77">
        <v>3</v>
      </c>
      <c r="P843" s="50"/>
      <c r="Q843" s="53" t="s">
        <v>1312</v>
      </c>
      <c r="R843" s="53" t="s">
        <v>569</v>
      </c>
      <c r="S843" s="53" t="str">
        <f>IF(Table26[[#This Row],[customerSKU]]="","",_xlfn.XLOOKUP(Table26[[#This Row],[customerSKU]],customerSKU!G:G,customerSKU!N:N,"NOT FOUND",0,1))</f>
        <v>NOT FOUND</v>
      </c>
      <c r="T843" s="20">
        <v>45660</v>
      </c>
      <c r="U843" s="52">
        <f>108-84</f>
        <v>24</v>
      </c>
      <c r="V843" s="53" t="str">
        <f>IF(ISBLANK(Table26[[#This Row],[customerSKU]]),"",_xlfn.XLOOKUP(Table26[[#This Row],[customerSKU]],Table27[customer_SKU],Table27[case_size],"",0,1))</f>
        <v/>
      </c>
      <c r="W843" s="116" t="str">
        <f t="shared" si="39"/>
        <v/>
      </c>
      <c r="X843" s="53" t="str">
        <f t="shared" si="40"/>
        <v/>
      </c>
      <c r="Y843" s="53" t="str">
        <f>IF(Table26[[#This Row],[customerSKU]]="","",_xlfn.XLOOKUP(Table26[[#This Row],[customerSKU]],Table27[customer_SKU],Table27[product_GTIN],"",0,1))</f>
        <v/>
      </c>
      <c r="Z843" s="90">
        <v>7900384</v>
      </c>
      <c r="AA843" s="18" t="str" cm="1">
        <f t="array" ref="AA843">IF(P843="", "", _xlfn.XLOOKUP(P843,#REF!,#REF!,NA,0,-1))</f>
        <v/>
      </c>
      <c r="AB843" s="53"/>
      <c r="AC843" s="55" t="str">
        <f>IF(Table26[[#This Row],[customerSKU]]="","",_xlfn.XLOOKUP(Table26[[#This Row],[customerSKU]],customerSKU!G:G,customerSKU!C:C,"",0,1))</f>
        <v/>
      </c>
      <c r="AD843" s="55" t="str">
        <f>IF($AC843="","",_xlfn.XLOOKUP($AC843,'[2]Client Info'!$C$2:$C$2535,'[2]Client Info'!$D$2:$D$2535,"",0,1))</f>
        <v/>
      </c>
      <c r="AE843" s="55" t="str">
        <f>IF($AC843="","",_xlfn.XLOOKUP($AC843,'[2]Client Info'!$C$2:$C$2715,'[2]Client Info'!$E$2:$E$2715,"",))</f>
        <v/>
      </c>
      <c r="AF843" s="55" t="str">
        <f>IF($AC843="","",_xlfn.XLOOKUP($AC843,'[2]Client Info'!$C$2:$C$2715,'[2]Client Info'!$F$2:$F$2715,"",0,1))</f>
        <v/>
      </c>
      <c r="AG843" s="55" t="str">
        <f>IF(ISBLANK(Table26[[#This Row],[customerSKU]]),"",_xlfn.XLOOKUP(Table26[[#This Row],[customerSKU]],Table27[customer_SKU],Table27[billto],"",0,1))</f>
        <v/>
      </c>
      <c r="AH843" s="62" t="str">
        <f>_xlfn.XLOOKUP(Table26[[#This Row],[customerSKU]],customerSKU!G:G,customerSKU!K:K,"NA",0,1)</f>
        <v>NA</v>
      </c>
      <c r="AI843" s="43" t="str">
        <f>_xlfn.XLOOKUP(Table26[[#This Row],[customerSKU]],customerSKU!G:G,customerSKU!O:O,"not found",0,1)</f>
        <v>not found</v>
      </c>
      <c r="AJ843" s="53" t="e">
        <f>Table26[[#This Row],[unitprice]]*Table26[[#This Row],[quantity_unit]]</f>
        <v>#VALUE!</v>
      </c>
      <c r="AK843" s="53" t="e" cm="1">
        <f t="array" ref="AK8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4" spans="1:37" ht="18" customHeight="1">
      <c r="A844" s="42">
        <v>1403</v>
      </c>
      <c r="B844" s="58" t="s">
        <v>3520</v>
      </c>
      <c r="C844" s="22" t="s">
        <v>203</v>
      </c>
      <c r="D844" s="51">
        <v>45310</v>
      </c>
      <c r="E844" s="51"/>
      <c r="F84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44" s="46"/>
      <c r="H844" s="53"/>
      <c r="I844" s="53"/>
      <c r="J844" s="90" t="str">
        <f>IF(Table26[[#This Row],[customerSKU]]="","",_xlfn.XLOOKUP(Table26[[#This Row],[customerSKU]],customerSKU!G:G,customerSKU!A:A,"",0,1))</f>
        <v/>
      </c>
      <c r="K844" s="48">
        <v>45663</v>
      </c>
      <c r="L844" s="49" t="str">
        <f>IF(Table26[[#This Row],[customerSKU]]="","",_xlfn.XLOOKUP(Table26[[#This Row],[customerSKU]],customerSKU!G:G,customerSKU!B:B,"",0,1))</f>
        <v/>
      </c>
      <c r="M844" s="53"/>
      <c r="N844" s="77" t="str">
        <f>Table26[[#This Row],[po_number]]&amp;"-"&amp;Table26[[#This Row],[po_line]]</f>
        <v>-4</v>
      </c>
      <c r="O844" s="77">
        <v>4</v>
      </c>
      <c r="P844" s="50"/>
      <c r="Q844" s="53" t="s">
        <v>1172</v>
      </c>
      <c r="R844" s="53" t="s">
        <v>569</v>
      </c>
      <c r="S844" s="53" t="str">
        <f>IF(Table26[[#This Row],[customerSKU]]="","",_xlfn.XLOOKUP(Table26[[#This Row],[customerSKU]],customerSKU!G:G,customerSKU!N:N,"NOT FOUND",0,1))</f>
        <v>NOT FOUND</v>
      </c>
      <c r="T844" s="20">
        <v>45588</v>
      </c>
      <c r="U844" s="52">
        <v>120</v>
      </c>
      <c r="V844" s="53" t="str">
        <f>IF(ISBLANK(Table26[[#This Row],[customerSKU]]),"",_xlfn.XLOOKUP(Table26[[#This Row],[customerSKU]],Table27[customer_SKU],Table27[case_size],"",0,1))</f>
        <v/>
      </c>
      <c r="W844" s="116" t="str">
        <f t="shared" si="39"/>
        <v/>
      </c>
      <c r="X844" s="53" t="str">
        <f t="shared" si="40"/>
        <v/>
      </c>
      <c r="Y844" s="53" t="str">
        <f>IF(Table26[[#This Row],[customerSKU]]="","",_xlfn.XLOOKUP(Table26[[#This Row],[customerSKU]],Table27[customer_SKU],Table27[product_GTIN],"",0,1))</f>
        <v/>
      </c>
      <c r="Z844" s="90">
        <v>7900375</v>
      </c>
      <c r="AA844" s="18" t="str" cm="1">
        <f t="array" ref="AA844">IF(P844="", "", _xlfn.XLOOKUP(P844,#REF!,#REF!,NA,0,-1))</f>
        <v/>
      </c>
      <c r="AB844" s="53"/>
      <c r="AC844" s="55" t="str">
        <f>IF(Table26[[#This Row],[customerSKU]]="","",_xlfn.XLOOKUP(Table26[[#This Row],[customerSKU]],customerSKU!G:G,customerSKU!C:C,"",0,1))</f>
        <v/>
      </c>
      <c r="AD844" s="55" t="str">
        <f>IF($AC844="","",_xlfn.XLOOKUP($AC844,'[2]Client Info'!$C$2:$C$2535,'[2]Client Info'!$D$2:$D$2535,"",0,1))</f>
        <v/>
      </c>
      <c r="AE844" s="55" t="str">
        <f>IF($AC844="","",_xlfn.XLOOKUP($AC844,'[2]Client Info'!$C$2:$C$2715,'[2]Client Info'!$E$2:$E$2715,"",))</f>
        <v/>
      </c>
      <c r="AF844" s="55" t="str">
        <f>IF($AC844="","",_xlfn.XLOOKUP($AC844,'[2]Client Info'!$C$2:$C$2715,'[2]Client Info'!$F$2:$F$2715,"",0,1))</f>
        <v/>
      </c>
      <c r="AG844" s="55" t="str">
        <f>IF(ISBLANK(Table26[[#This Row],[customerSKU]]),"",_xlfn.XLOOKUP(Table26[[#This Row],[customerSKU]],Table27[customer_SKU],Table27[billto],"",0,1))</f>
        <v/>
      </c>
      <c r="AH844" s="62" t="str">
        <f>_xlfn.XLOOKUP(Table26[[#This Row],[customerSKU]],customerSKU!G:G,customerSKU!K:K,"NA",0,1)</f>
        <v>NA</v>
      </c>
      <c r="AI844" s="43" t="str">
        <f>_xlfn.XLOOKUP(Table26[[#This Row],[customerSKU]],customerSKU!G:G,customerSKU!O:O,"not found",0,1)</f>
        <v>not found</v>
      </c>
      <c r="AJ844" s="53" t="e">
        <f>Table26[[#This Row],[unitprice]]*Table26[[#This Row],[quantity_unit]]</f>
        <v>#VALUE!</v>
      </c>
      <c r="AK844" s="53" t="e" cm="1">
        <f t="array" ref="AK8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5" spans="1:37" ht="18" customHeight="1">
      <c r="A845" s="42">
        <v>1404</v>
      </c>
      <c r="B845" s="58" t="s">
        <v>3520</v>
      </c>
      <c r="C845" s="22" t="s">
        <v>203</v>
      </c>
      <c r="D845" s="51">
        <v>45310</v>
      </c>
      <c r="E845" s="51"/>
      <c r="F84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45" s="46"/>
      <c r="H845" s="53"/>
      <c r="I845" s="53"/>
      <c r="J845" s="90" t="str">
        <f>IF(Table26[[#This Row],[customerSKU]]="","",_xlfn.XLOOKUP(Table26[[#This Row],[customerSKU]],customerSKU!G:G,customerSKU!A:A,"",0,1))</f>
        <v/>
      </c>
      <c r="K845" s="48">
        <v>45663</v>
      </c>
      <c r="L845" s="49" t="str">
        <f>IF(Table26[[#This Row],[customerSKU]]="","",_xlfn.XLOOKUP(Table26[[#This Row],[customerSKU]],customerSKU!G:G,customerSKU!B:B,"",0,1))</f>
        <v/>
      </c>
      <c r="M845" s="53"/>
      <c r="N845" s="77" t="str">
        <f>Table26[[#This Row],[po_number]]&amp;"-"&amp;Table26[[#This Row],[po_line]]</f>
        <v>-5</v>
      </c>
      <c r="O845" s="77">
        <v>5</v>
      </c>
      <c r="P845" s="50"/>
      <c r="Q845" s="53" t="s">
        <v>589</v>
      </c>
      <c r="R845" s="53" t="s">
        <v>569</v>
      </c>
      <c r="S845" s="53" t="str">
        <f>IF(Table26[[#This Row],[customerSKU]]="","",_xlfn.XLOOKUP(Table26[[#This Row],[customerSKU]],customerSKU!G:G,customerSKU!N:N,"NOT FOUND",0,1))</f>
        <v>NOT FOUND</v>
      </c>
      <c r="T845" s="20">
        <v>45615</v>
      </c>
      <c r="U845" s="52">
        <f>12*9</f>
        <v>108</v>
      </c>
      <c r="V845" s="53" t="str">
        <f>IF(ISBLANK(Table26[[#This Row],[customerSKU]]),"",_xlfn.XLOOKUP(Table26[[#This Row],[customerSKU]],Table27[customer_SKU],Table27[case_size],"",0,1))</f>
        <v/>
      </c>
      <c r="W845" s="116" t="str">
        <f t="shared" si="39"/>
        <v/>
      </c>
      <c r="X845" s="53" t="str">
        <f t="shared" si="40"/>
        <v/>
      </c>
      <c r="Y845" s="53" t="str">
        <f>IF(Table26[[#This Row],[customerSKU]]="","",_xlfn.XLOOKUP(Table26[[#This Row],[customerSKU]],Table27[customer_SKU],Table27[product_GTIN],"",0,1))</f>
        <v/>
      </c>
      <c r="Z845" s="90" t="s">
        <v>3970</v>
      </c>
      <c r="AA845" s="18" t="str" cm="1">
        <f t="array" ref="AA845">IF(P845="", "", _xlfn.XLOOKUP(P845,#REF!,#REF!,NA,0,-1))</f>
        <v/>
      </c>
      <c r="AB845" s="53"/>
      <c r="AC845" s="55" t="str">
        <f>IF(Table26[[#This Row],[customerSKU]]="","",_xlfn.XLOOKUP(Table26[[#This Row],[customerSKU]],customerSKU!G:G,customerSKU!C:C,"",0,1))</f>
        <v/>
      </c>
      <c r="AD845" s="55" t="str">
        <f>IF($AC845="","",_xlfn.XLOOKUP($AC845,'[2]Client Info'!$C$2:$C$2535,'[2]Client Info'!$D$2:$D$2535,"",0,1))</f>
        <v/>
      </c>
      <c r="AE845" s="55" t="str">
        <f>IF($AC845="","",_xlfn.XLOOKUP($AC845,'[2]Client Info'!$C$2:$C$2715,'[2]Client Info'!$E$2:$E$2715,"",))</f>
        <v/>
      </c>
      <c r="AF845" s="55" t="str">
        <f>IF($AC845="","",_xlfn.XLOOKUP($AC845,'[2]Client Info'!$C$2:$C$2715,'[2]Client Info'!$F$2:$F$2715,"",0,1))</f>
        <v/>
      </c>
      <c r="AG845" s="55" t="str">
        <f>IF(ISBLANK(Table26[[#This Row],[customerSKU]]),"",_xlfn.XLOOKUP(Table26[[#This Row],[customerSKU]],Table27[customer_SKU],Table27[billto],"",0,1))</f>
        <v/>
      </c>
      <c r="AH845" s="62" t="str">
        <f>_xlfn.XLOOKUP(Table26[[#This Row],[customerSKU]],customerSKU!G:G,customerSKU!K:K,"NA",0,1)</f>
        <v>NA</v>
      </c>
      <c r="AI845" s="43" t="str">
        <f>_xlfn.XLOOKUP(Table26[[#This Row],[customerSKU]],customerSKU!G:G,customerSKU!O:O,"not found",0,1)</f>
        <v>not found</v>
      </c>
      <c r="AJ845" s="53" t="e">
        <f>Table26[[#This Row],[unitprice]]*Table26[[#This Row],[quantity_unit]]</f>
        <v>#VALUE!</v>
      </c>
      <c r="AK845" s="53" t="e" cm="1">
        <f t="array" ref="AK8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6" spans="1:37" ht="18" customHeight="1">
      <c r="A846" s="42">
        <v>1405</v>
      </c>
      <c r="B846" s="58" t="s">
        <v>3520</v>
      </c>
      <c r="C846" s="53" t="s">
        <v>3360</v>
      </c>
      <c r="E846" s="20"/>
      <c r="F84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46" s="46"/>
      <c r="J846" s="90" t="str">
        <f>IF(Table26[[#This Row],[customerSKU]]="","",_xlfn.XLOOKUP(Table26[[#This Row],[customerSKU]],customerSKU!G:G,customerSKU!A:A,"",0,1))</f>
        <v/>
      </c>
      <c r="K846" s="48">
        <v>45663</v>
      </c>
      <c r="L846" s="31" t="str">
        <f>IF(Table26[[#This Row],[customerSKU]]="","",_xlfn.XLOOKUP(Table26[[#This Row],[customerSKU]],customerSKU!G:G,customerSKU!B:B,"",0,1))</f>
        <v/>
      </c>
      <c r="M846" s="22"/>
      <c r="N846" s="15" t="str">
        <f>Table26[[#This Row],[po_number]]&amp;"-"&amp;Table26[[#This Row],[po_line]]</f>
        <v>-1</v>
      </c>
      <c r="O846" s="15">
        <v>1</v>
      </c>
      <c r="P846" s="29"/>
      <c r="S846" s="22" t="str">
        <f>IF(Table26[[#This Row],[customerSKU]]="","",_xlfn.XLOOKUP(Table26[[#This Row],[customerSKU]],customerSKU!G:G,customerSKU!N:N,"NOT FOUND",0,1))</f>
        <v>NOT FOUND</v>
      </c>
      <c r="T846" s="20"/>
      <c r="U846" s="21">
        <v>12</v>
      </c>
      <c r="V846" s="22" t="str">
        <f>IF(ISBLANK(Table26[[#This Row],[customerSKU]]),"",_xlfn.XLOOKUP(Table26[[#This Row],[customerSKU]],Table27[customer_SKU],Table27[case_size],"",0,1))</f>
        <v/>
      </c>
      <c r="W846" s="117" t="str">
        <f t="shared" si="39"/>
        <v/>
      </c>
      <c r="X846" s="22" t="str">
        <f t="shared" si="40"/>
        <v/>
      </c>
      <c r="Y846" s="22" t="str">
        <f>IF(Table26[[#This Row],[customerSKU]]="","",_xlfn.XLOOKUP(Table26[[#This Row],[customerSKU]],Table27[customer_SKU],Table27[product_GTIN],"",0,1))</f>
        <v/>
      </c>
      <c r="Z846" s="25" t="s">
        <v>3497</v>
      </c>
      <c r="AA846" s="18" t="str" cm="1">
        <f t="array" ref="AA846">IF(P846="", "", _xlfn.XLOOKUP(P846,#REF!,#REF!,NA,0,-1))</f>
        <v/>
      </c>
      <c r="AB846" s="22" t="s">
        <v>3393</v>
      </c>
      <c r="AC846" s="55" t="str">
        <f>IF(Table26[[#This Row],[customerSKU]]="","",_xlfn.XLOOKUP(Table26[[#This Row],[customerSKU]],customerSKU!G:G,customerSKU!C:C,"",0,1))</f>
        <v/>
      </c>
      <c r="AD846" s="55" t="str">
        <f>IF($AC846="","",_xlfn.XLOOKUP($AC846,'[2]Client Info'!$C$2:$C$2535,'[2]Client Info'!$D$2:$D$2535,"",0,1))</f>
        <v/>
      </c>
      <c r="AE846" s="55" t="str">
        <f>IF($AC846="","",_xlfn.XLOOKUP($AC846,'[2]Client Info'!$C$2:$C$2715,'[2]Client Info'!$E$2:$E$2715,"",))</f>
        <v/>
      </c>
      <c r="AF846" s="55" t="str">
        <f>IF($AC846="","",_xlfn.XLOOKUP($AC846,'[2]Client Info'!$C$2:$C$2715,'[2]Client Info'!$F$2:$F$2715,"",0,1))</f>
        <v/>
      </c>
      <c r="AG846" s="55" t="str">
        <f>IF(ISBLANK(Table26[[#This Row],[customerSKU]]),"",_xlfn.XLOOKUP(Table26[[#This Row],[customerSKU]],Table27[customer_SKU],Table27[billto],"",0,1))</f>
        <v/>
      </c>
      <c r="AH846" s="26" t="str">
        <f>_xlfn.XLOOKUP(Table26[[#This Row],[customerSKU]],customerSKU!G:G,customerSKU!K:K,"NA",0,1)</f>
        <v>NA</v>
      </c>
      <c r="AI846" s="43" t="str">
        <f>_xlfn.XLOOKUP(Table26[[#This Row],[customerSKU]],customerSKU!G:G,customerSKU!O:O,"not found",0,1)</f>
        <v>not found</v>
      </c>
      <c r="AJ846" s="22" t="e">
        <f>Table26[[#This Row],[unitprice]]*Table26[[#This Row],[quantity_unit]]</f>
        <v>#VALUE!</v>
      </c>
      <c r="AK846" s="22" t="e" cm="1">
        <f t="array" ref="AK8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7" spans="1:37" ht="24.6" customHeight="1">
      <c r="A847" s="42">
        <v>1406</v>
      </c>
      <c r="B847" s="249" t="s">
        <v>3520</v>
      </c>
      <c r="C847" s="90" t="s">
        <v>203</v>
      </c>
      <c r="D847" s="235"/>
      <c r="E847" s="235"/>
      <c r="F84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47" s="46"/>
      <c r="H847" s="90"/>
      <c r="I847" s="90"/>
      <c r="J847" s="90" t="str">
        <f>IF(Table26[[#This Row],[customerSKU]]="","",_xlfn.XLOOKUP(Table26[[#This Row],[customerSKU]],customerSKU!G:G,customerSKU!A:A,"",0,1))</f>
        <v/>
      </c>
      <c r="K847" s="48">
        <v>45663</v>
      </c>
      <c r="L847" s="233" t="str">
        <f>IF(Table26[[#This Row],[customerSKU]]="","",_xlfn.XLOOKUP(Table26[[#This Row],[customerSKU]],customerSKU!G:G,customerSKU!B:B,"",0,1))</f>
        <v/>
      </c>
      <c r="M847" s="90"/>
      <c r="N847" s="55" t="str">
        <f>Table26[[#This Row],[po_number]]&amp;"-"&amp;Table26[[#This Row],[po_line]]</f>
        <v>-1</v>
      </c>
      <c r="O847" s="55">
        <v>1</v>
      </c>
      <c r="P847" s="234"/>
      <c r="Q847" s="90" t="s">
        <v>4168</v>
      </c>
      <c r="R847" s="257" t="s">
        <v>3302</v>
      </c>
      <c r="S847" s="90" t="str">
        <f>IF(Table26[[#This Row],[customerSKU]]="","",_xlfn.XLOOKUP(Table26[[#This Row],[customerSKU]],customerSKU!G:G,customerSKU!N:N,"NOT FOUND",0,1))</f>
        <v>NOT FOUND</v>
      </c>
      <c r="T847" s="20">
        <v>45668</v>
      </c>
      <c r="U847" s="236">
        <v>18</v>
      </c>
      <c r="V847" s="90" t="str">
        <f>IF(ISBLANK(Table26[[#This Row],[customerSKU]]),"",_xlfn.XLOOKUP(Table26[[#This Row],[customerSKU]],Table27[customer_SKU],Table27[case_size],"",0,1))</f>
        <v/>
      </c>
      <c r="W847" s="237" t="str">
        <f t="shared" si="39"/>
        <v/>
      </c>
      <c r="X847" s="90" t="str">
        <f t="shared" si="40"/>
        <v/>
      </c>
      <c r="Y847" s="90" t="str">
        <f>IF(Table26[[#This Row],[customerSKU]]="","",_xlfn.XLOOKUP(Table26[[#This Row],[customerSKU]],Table27[customer_SKU],Table27[product_GTIN],"",0,1))</f>
        <v/>
      </c>
      <c r="Z847" s="90" t="s">
        <v>4169</v>
      </c>
      <c r="AA847" s="18" t="str" cm="1">
        <f t="array" ref="AA847">IF(P847="", "", _xlfn.XLOOKUP(P847,#REF!,#REF!,NA,0,-1))</f>
        <v/>
      </c>
      <c r="AB847" s="90"/>
      <c r="AC847" s="55" t="s">
        <v>59</v>
      </c>
      <c r="AD847" s="55" t="str">
        <f>IF($AC847="","",_xlfn.XLOOKUP($AC847,'[2]Client Info'!$C$2:$C$2535,'[2]Client Info'!$D$2:$D$2535,"",0,1))</f>
        <v>726 Kingsway</v>
      </c>
      <c r="AE847" s="55" t="str">
        <f>IF($AC847="","",_xlfn.XLOOKUP($AC847,'[2]Client Info'!$C$2:$C$2715,'[2]Client Info'!$E$2:$E$2715,"",))</f>
        <v>Vancouver</v>
      </c>
      <c r="AF847" s="55" t="str">
        <f>IF($AC847="","",_xlfn.XLOOKUP($AC847,'[2]Client Info'!$C$2:$C$2715,'[2]Client Info'!$F$2:$F$2715,"",0,1))</f>
        <v xml:space="preserve">BC </v>
      </c>
      <c r="AG847" s="55" t="s">
        <v>59</v>
      </c>
      <c r="AH847" s="245" t="str">
        <f>_xlfn.XLOOKUP(Table26[[#This Row],[customerSKU]],customerSKU!G:G,customerSKU!K:K,"NA",0,1)</f>
        <v>NA</v>
      </c>
      <c r="AI847" s="43" t="str">
        <f>_xlfn.XLOOKUP(Table26[[#This Row],[customerSKU]],customerSKU!G:G,customerSKU!O:O,"not found",0,1)</f>
        <v>not found</v>
      </c>
      <c r="AJ847" s="22" t="e">
        <f>Table26[[#This Row],[unitprice]]*Table26[[#This Row],[quantity_unit]]</f>
        <v>#VALUE!</v>
      </c>
      <c r="AK847" s="22" t="e" cm="1">
        <f t="array" ref="AK8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8" spans="1:37" ht="24.6" customHeight="1">
      <c r="A848" s="42">
        <v>1407</v>
      </c>
      <c r="B848" s="249" t="s">
        <v>3520</v>
      </c>
      <c r="C848" s="90" t="s">
        <v>203</v>
      </c>
      <c r="D848" s="235"/>
      <c r="E848" s="235"/>
      <c r="F84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48" s="46"/>
      <c r="H848" s="90"/>
      <c r="I848" s="90"/>
      <c r="J848" s="90" t="str">
        <f>IF(Table26[[#This Row],[customerSKU]]="","",_xlfn.XLOOKUP(Table26[[#This Row],[customerSKU]],customerSKU!G:G,customerSKU!A:A,"",0,1))</f>
        <v/>
      </c>
      <c r="K848" s="48">
        <v>45663</v>
      </c>
      <c r="L848" s="233" t="str">
        <f>IF(Table26[[#This Row],[customerSKU]]="","",_xlfn.XLOOKUP(Table26[[#This Row],[customerSKU]],customerSKU!G:G,customerSKU!B:B,"",0,1))</f>
        <v/>
      </c>
      <c r="M848" s="90"/>
      <c r="N848" s="55" t="str">
        <f>Table26[[#This Row],[po_number]]&amp;"-"&amp;Table26[[#This Row],[po_line]]</f>
        <v>-2</v>
      </c>
      <c r="O848" s="55">
        <v>2</v>
      </c>
      <c r="P848" s="234"/>
      <c r="Q848" s="90" t="s">
        <v>4170</v>
      </c>
      <c r="R848" s="257" t="s">
        <v>3302</v>
      </c>
      <c r="S848" s="90" t="str">
        <f>IF(Table26[[#This Row],[customerSKU]]="","",_xlfn.XLOOKUP(Table26[[#This Row],[customerSKU]],customerSKU!G:G,customerSKU!N:N,"NOT FOUND",0,1))</f>
        <v>NOT FOUND</v>
      </c>
      <c r="T848" s="20">
        <v>45668</v>
      </c>
      <c r="U848" s="236">
        <v>30</v>
      </c>
      <c r="V848" s="90" t="str">
        <f>IF(ISBLANK(Table26[[#This Row],[customerSKU]]),"",_xlfn.XLOOKUP(Table26[[#This Row],[customerSKU]],Table27[customer_SKU],Table27[case_size],"",0,1))</f>
        <v/>
      </c>
      <c r="W848" s="237" t="str">
        <f t="shared" si="39"/>
        <v/>
      </c>
      <c r="X848" s="90" t="str">
        <f t="shared" si="40"/>
        <v/>
      </c>
      <c r="Y848" s="90" t="str">
        <f>IF(Table26[[#This Row],[customerSKU]]="","",_xlfn.XLOOKUP(Table26[[#This Row],[customerSKU]],Table27[customer_SKU],Table27[product_GTIN],"",0,1))</f>
        <v/>
      </c>
      <c r="Z848" s="90" t="s">
        <v>3384</v>
      </c>
      <c r="AA848" s="18" t="str" cm="1">
        <f t="array" ref="AA848">IF(P848="", "", _xlfn.XLOOKUP(P848,#REF!,#REF!,NA,0,-1))</f>
        <v/>
      </c>
      <c r="AB848" s="90"/>
      <c r="AC848" s="55" t="s">
        <v>59</v>
      </c>
      <c r="AD848" s="55" t="str">
        <f>IF($AC848="","",_xlfn.XLOOKUP($AC848,'[2]Client Info'!$C$2:$C$2535,'[2]Client Info'!$D$2:$D$2535,"",0,1))</f>
        <v>726 Kingsway</v>
      </c>
      <c r="AE848" s="55" t="str">
        <f>IF($AC848="","",_xlfn.XLOOKUP($AC848,'[2]Client Info'!$C$2:$C$2715,'[2]Client Info'!$E$2:$E$2715,"",))</f>
        <v>Vancouver</v>
      </c>
      <c r="AF848" s="55" t="str">
        <f>IF($AC848="","",_xlfn.XLOOKUP($AC848,'[2]Client Info'!$C$2:$C$2715,'[2]Client Info'!$F$2:$F$2715,"",0,1))</f>
        <v xml:space="preserve">BC </v>
      </c>
      <c r="AG848" s="55" t="s">
        <v>59</v>
      </c>
      <c r="AH848" s="245" t="str">
        <f>_xlfn.XLOOKUP(Table26[[#This Row],[customerSKU]],customerSKU!G:G,customerSKU!K:K,"NA",0,1)</f>
        <v>NA</v>
      </c>
      <c r="AI848" s="43" t="str">
        <f>_xlfn.XLOOKUP(Table26[[#This Row],[customerSKU]],customerSKU!G:G,customerSKU!O:O,"not found",0,1)</f>
        <v>not found</v>
      </c>
      <c r="AJ848" s="22" t="e">
        <f>Table26[[#This Row],[unitprice]]*Table26[[#This Row],[quantity_unit]]</f>
        <v>#VALUE!</v>
      </c>
      <c r="AK848" s="22" t="e" cm="1">
        <f t="array" ref="AK8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49" spans="1:37" ht="18" customHeight="1">
      <c r="A849" s="42">
        <v>1408</v>
      </c>
      <c r="B849" s="249" t="s">
        <v>3520</v>
      </c>
      <c r="C849" s="90" t="s">
        <v>203</v>
      </c>
      <c r="D849" s="235"/>
      <c r="E849" s="235"/>
      <c r="F84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49" s="46"/>
      <c r="H849" s="90"/>
      <c r="I849" s="90"/>
      <c r="J849" s="90" t="str">
        <f>IF(Table26[[#This Row],[customerSKU]]="","",_xlfn.XLOOKUP(Table26[[#This Row],[customerSKU]],customerSKU!G:G,customerSKU!A:A,"",0,1))</f>
        <v/>
      </c>
      <c r="K849" s="48">
        <v>45663</v>
      </c>
      <c r="L849" s="233" t="str">
        <f>IF(Table26[[#This Row],[customerSKU]]="","",_xlfn.XLOOKUP(Table26[[#This Row],[customerSKU]],customerSKU!G:G,customerSKU!B:B,"",0,1))</f>
        <v/>
      </c>
      <c r="M849" s="90"/>
      <c r="N849" s="55" t="str">
        <f>Table26[[#This Row],[po_number]]&amp;"-"&amp;Table26[[#This Row],[po_line]]</f>
        <v>-1</v>
      </c>
      <c r="O849" s="55">
        <v>1</v>
      </c>
      <c r="P849" s="234"/>
      <c r="Q849" s="90" t="s">
        <v>4170</v>
      </c>
      <c r="R849" s="257" t="s">
        <v>3302</v>
      </c>
      <c r="S849" s="90" t="str">
        <f>IF(Table26[[#This Row],[customerSKU]]="","",_xlfn.XLOOKUP(Table26[[#This Row],[customerSKU]],customerSKU!G:G,customerSKU!N:N,"NOT FOUND",0,1))</f>
        <v>NOT FOUND</v>
      </c>
      <c r="T849" s="20">
        <v>45668</v>
      </c>
      <c r="U849" s="236">
        <v>30</v>
      </c>
      <c r="V849" s="90" t="str">
        <f>IF(ISBLANK(Table26[[#This Row],[customerSKU]]),"",_xlfn.XLOOKUP(Table26[[#This Row],[customerSKU]],Table27[customer_SKU],Table27[case_size],"",0,1))</f>
        <v/>
      </c>
      <c r="W849" s="237" t="str">
        <f t="shared" si="39"/>
        <v/>
      </c>
      <c r="X849" s="90" t="str">
        <f t="shared" si="40"/>
        <v/>
      </c>
      <c r="Y849" s="90" t="str">
        <f>IF(Table26[[#This Row],[customerSKU]]="","",_xlfn.XLOOKUP(Table26[[#This Row],[customerSKU]],Table27[customer_SKU],Table27[product_GTIN],"",0,1))</f>
        <v/>
      </c>
      <c r="Z849" s="90" t="s">
        <v>3384</v>
      </c>
      <c r="AA849" s="18" t="str" cm="1">
        <f t="array" ref="AA849">IF(P849="", "", _xlfn.XLOOKUP(P849,#REF!,#REF!,NA,0,-1))</f>
        <v/>
      </c>
      <c r="AB849" s="90"/>
      <c r="AC849" s="55" t="s">
        <v>4113</v>
      </c>
      <c r="AD849" s="55" t="str">
        <f>IF($AC849="","",_xlfn.XLOOKUP($AC849,'[2]Client Info'!$C$2:$C$2535,'[2]Client Info'!$D$2:$D$2535,"",0,1))</f>
        <v xml:space="preserve">3055a Scott street </v>
      </c>
      <c r="AE849" s="55" t="str">
        <f>IF($AC849="","",_xlfn.XLOOKUP($AC849,'[2]Client Info'!$C$2:$C$2715,'[2]Client Info'!$E$2:$E$2715,"",))</f>
        <v>Victoria</v>
      </c>
      <c r="AF849" s="55" t="str">
        <f>IF($AC849="","",_xlfn.XLOOKUP($AC849,'[2]Client Info'!$C$2:$C$2715,'[2]Client Info'!$F$2:$F$2715,"",0,1))</f>
        <v xml:space="preserve">BC </v>
      </c>
      <c r="AG849" s="55" t="s">
        <v>4113</v>
      </c>
      <c r="AH849" s="245" t="str">
        <f>_xlfn.XLOOKUP(Table26[[#This Row],[customerSKU]],customerSKU!G:G,customerSKU!K:K,"NA",0,1)</f>
        <v>NA</v>
      </c>
      <c r="AI849" s="43" t="str">
        <f>_xlfn.XLOOKUP(Table26[[#This Row],[customerSKU]],customerSKU!G:G,customerSKU!O:O,"not found",0,1)</f>
        <v>not found</v>
      </c>
      <c r="AJ849" s="22" t="e">
        <f>Table26[[#This Row],[unitprice]]*Table26[[#This Row],[quantity_unit]]</f>
        <v>#VALUE!</v>
      </c>
      <c r="AK849" s="22" t="e" cm="1">
        <f t="array" ref="AK8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0" spans="1:37" ht="18" customHeight="1">
      <c r="A850" s="42">
        <v>1409</v>
      </c>
      <c r="B850" s="249" t="s">
        <v>3520</v>
      </c>
      <c r="C850" s="90" t="s">
        <v>203</v>
      </c>
      <c r="D850" s="235"/>
      <c r="E850" s="235"/>
      <c r="F85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0" s="46"/>
      <c r="H850" s="90"/>
      <c r="I850" s="90"/>
      <c r="J850" s="90" t="str">
        <f>IF(Table26[[#This Row],[customerSKU]]="","",_xlfn.XLOOKUP(Table26[[#This Row],[customerSKU]],customerSKU!G:G,customerSKU!A:A,"",0,1))</f>
        <v/>
      </c>
      <c r="K850" s="48">
        <v>45663</v>
      </c>
      <c r="L850" s="233" t="str">
        <f>IF(Table26[[#This Row],[customerSKU]]="","",_xlfn.XLOOKUP(Table26[[#This Row],[customerSKU]],customerSKU!G:G,customerSKU!B:B,"",0,1))</f>
        <v/>
      </c>
      <c r="M850" s="90"/>
      <c r="N850" s="55" t="str">
        <f>Table26[[#This Row],[po_number]]&amp;"-"&amp;Table26[[#This Row],[po_line]]</f>
        <v>-1</v>
      </c>
      <c r="O850" s="55">
        <v>1</v>
      </c>
      <c r="P850" s="234"/>
      <c r="Q850" s="90" t="s">
        <v>4170</v>
      </c>
      <c r="R850" s="257" t="s">
        <v>3302</v>
      </c>
      <c r="S850" s="90" t="str">
        <f>IF(Table26[[#This Row],[customerSKU]]="","",_xlfn.XLOOKUP(Table26[[#This Row],[customerSKU]],customerSKU!G:G,customerSKU!N:N,"NOT FOUND",0,1))</f>
        <v>NOT FOUND</v>
      </c>
      <c r="T850" s="20">
        <v>45668</v>
      </c>
      <c r="U850" s="236">
        <v>24</v>
      </c>
      <c r="V850" s="90" t="str">
        <f>IF(ISBLANK(Table26[[#This Row],[customerSKU]]),"",_xlfn.XLOOKUP(Table26[[#This Row],[customerSKU]],Table27[customer_SKU],Table27[case_size],"",0,1))</f>
        <v/>
      </c>
      <c r="W850" s="237" t="str">
        <f t="shared" si="39"/>
        <v/>
      </c>
      <c r="X850" s="90" t="str">
        <f t="shared" si="40"/>
        <v/>
      </c>
      <c r="Y850" s="90" t="str">
        <f>IF(Table26[[#This Row],[customerSKU]]="","",_xlfn.XLOOKUP(Table26[[#This Row],[customerSKU]],Table27[customer_SKU],Table27[product_GTIN],"",0,1))</f>
        <v/>
      </c>
      <c r="Z850" s="90" t="s">
        <v>3384</v>
      </c>
      <c r="AA850" s="18" t="str" cm="1">
        <f t="array" ref="AA850">IF(P850="", "", _xlfn.XLOOKUP(P850,#REF!,#REF!,NA,0,-1))</f>
        <v/>
      </c>
      <c r="AB850" s="90"/>
      <c r="AC850" s="55" t="s">
        <v>4176</v>
      </c>
      <c r="AD850" s="55" t="str">
        <f>IF($AC850="","",_xlfn.XLOOKUP($AC850,'[2]Client Info'!$C$2:$C$2535,'[2]Client Info'!$D$2:$D$2535,"",0,1))</f>
        <v/>
      </c>
      <c r="AE850" s="55" t="str">
        <f>IF($AC850="","",_xlfn.XLOOKUP($AC850,'[2]Client Info'!$C$2:$C$2715,'[2]Client Info'!$E$2:$E$2715,"",))</f>
        <v/>
      </c>
      <c r="AF850" s="55" t="str">
        <f>IF($AC850="","",_xlfn.XLOOKUP($AC850,'[2]Client Info'!$C$2:$C$2715,'[2]Client Info'!$F$2:$F$2715,"",0,1))</f>
        <v/>
      </c>
      <c r="AG850" s="55" t="s">
        <v>4176</v>
      </c>
      <c r="AH850" s="245" t="str">
        <f>_xlfn.XLOOKUP(Table26[[#This Row],[customerSKU]],customerSKU!G:G,customerSKU!K:K,"NA",0,1)</f>
        <v>NA</v>
      </c>
      <c r="AI850" s="43" t="str">
        <f>_xlfn.XLOOKUP(Table26[[#This Row],[customerSKU]],customerSKU!G:G,customerSKU!O:O,"not found",0,1)</f>
        <v>not found</v>
      </c>
      <c r="AJ850" s="22" t="e">
        <f>Table26[[#This Row],[unitprice]]*Table26[[#This Row],[quantity_unit]]</f>
        <v>#VALUE!</v>
      </c>
      <c r="AK850" s="22" t="e" cm="1">
        <f t="array" ref="AK8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1" spans="1:37" ht="18" customHeight="1">
      <c r="A851" s="42">
        <v>1386</v>
      </c>
      <c r="B851" s="58" t="s">
        <v>3520</v>
      </c>
      <c r="C851" s="22" t="s">
        <v>203</v>
      </c>
      <c r="D851" s="51">
        <v>45673</v>
      </c>
      <c r="E851" s="51"/>
      <c r="F851" s="53"/>
      <c r="G851" s="46"/>
      <c r="H851" s="53"/>
      <c r="I851" s="53"/>
      <c r="J851" s="90" t="str">
        <f>IF(Table26[[#This Row],[customerSKU]]="","",_xlfn.XLOOKUP(Table26[[#This Row],[customerSKU]],customerSKU!G:G,customerSKU!A:A,"",0,1))</f>
        <v/>
      </c>
      <c r="K851" s="232">
        <v>45664</v>
      </c>
      <c r="L851" s="49" t="str">
        <f>IF(Table26[[#This Row],[customerSKU]]="","",_xlfn.XLOOKUP(Table26[[#This Row],[customerSKU]],customerSKU!G:G,customerSKU!B:B,"",0,1))</f>
        <v/>
      </c>
      <c r="M851" s="53"/>
      <c r="N851" s="77" t="str">
        <f>Table26[[#This Row],[po_number]]&amp;"-"&amp;Table26[[#This Row],[po_line]]</f>
        <v>-1</v>
      </c>
      <c r="O851" s="77">
        <v>1</v>
      </c>
      <c r="P851" s="50"/>
      <c r="Q851" s="53" t="s">
        <v>3362</v>
      </c>
      <c r="R851" s="53" t="s">
        <v>569</v>
      </c>
      <c r="S851" s="53" t="str">
        <f>IF(Table26[[#This Row],[customerSKU]]="","",_xlfn.XLOOKUP(Table26[[#This Row],[customerSKU]],customerSKU!G:G,customerSKU!N:N,"NOT FOUND",0,1))</f>
        <v>NOT FOUND</v>
      </c>
      <c r="T851" s="51">
        <v>45624</v>
      </c>
      <c r="U851" s="52">
        <v>144</v>
      </c>
      <c r="V851" s="53" t="str">
        <f>IF(ISBLANK(Table26[[#This Row],[customerSKU]]),"",_xlfn.XLOOKUP(Table26[[#This Row],[customerSKU]],Table27[customer_SKU],Table27[case_size],"",0,1))</f>
        <v/>
      </c>
      <c r="W851" s="116" t="str">
        <f t="shared" si="39"/>
        <v/>
      </c>
      <c r="X851" s="53" t="str">
        <f t="shared" si="40"/>
        <v/>
      </c>
      <c r="Y851" s="53" t="str">
        <f>IF(Table26[[#This Row],[customerSKU]]="","",_xlfn.XLOOKUP(Table26[[#This Row],[customerSKU]],Table27[customer_SKU],Table27[product_GTIN],"",0,1))</f>
        <v/>
      </c>
      <c r="Z851" s="25" t="s">
        <v>3363</v>
      </c>
      <c r="AA851" s="18" t="str" cm="1">
        <f t="array" ref="AA851">IF(P851="", "", _xlfn.XLOOKUP(P851,#REF!,#REF!,NA,0,-1))</f>
        <v/>
      </c>
      <c r="AB851" s="53"/>
      <c r="AC851" s="55" t="str">
        <f>IF(Table26[[#This Row],[customerSKU]]="","",_xlfn.XLOOKUP(Table26[[#This Row],[customerSKU]],customerSKU!G:G,customerSKU!C:C,"",0,1))</f>
        <v/>
      </c>
      <c r="AD851" s="55" t="str">
        <f>IF($AC851="","",_xlfn.XLOOKUP($AC851,'[2]Client Info'!$C$2:$C$2535,'[2]Client Info'!$D$2:$D$2535,"",0,1))</f>
        <v/>
      </c>
      <c r="AE851" s="55" t="str">
        <f>IF($AC851="","",_xlfn.XLOOKUP($AC851,'[2]Client Info'!$C$2:$C$2715,'[2]Client Info'!$E$2:$E$2715,"",))</f>
        <v/>
      </c>
      <c r="AF851" s="55" t="str">
        <f>IF($AC851="","",_xlfn.XLOOKUP($AC851,'[2]Client Info'!$C$2:$C$2715,'[2]Client Info'!$F$2:$F$2715,"",0,1))</f>
        <v/>
      </c>
      <c r="AG851" s="55" t="str">
        <f>IF(ISBLANK(Table26[[#This Row],[customerSKU]]),"",_xlfn.XLOOKUP(Table26[[#This Row],[customerSKU]],Table27[customer_SKU],Table27[billto],"",0,1))</f>
        <v/>
      </c>
      <c r="AH851" s="62" t="str">
        <f>_xlfn.XLOOKUP(Table26[[#This Row],[customerSKU]],customerSKU!G:G,customerSKU!K:K,"NA",0,1)</f>
        <v>NA</v>
      </c>
      <c r="AI851" s="43" t="str">
        <f>_xlfn.XLOOKUP(Table26[[#This Row],[customerSKU]],customerSKU!G:G,customerSKU!O:O,"not found",0,1)</f>
        <v>not found</v>
      </c>
      <c r="AJ851" s="53" t="e">
        <f>Table26[[#This Row],[unitprice]]*Table26[[#This Row],[quantity_unit]]</f>
        <v>#VALUE!</v>
      </c>
      <c r="AK851" s="53" t="e" cm="1">
        <f t="array" ref="AK8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2" spans="1:37" ht="18" customHeight="1">
      <c r="A852" s="42">
        <v>1387</v>
      </c>
      <c r="B852" s="58" t="s">
        <v>3520</v>
      </c>
      <c r="C852" s="53" t="s">
        <v>3360</v>
      </c>
      <c r="D852" s="51">
        <v>45687</v>
      </c>
      <c r="E852" s="20"/>
      <c r="F852" s="53"/>
      <c r="G852" s="46"/>
      <c r="J852" s="90" t="str">
        <f>IF(Table26[[#This Row],[customerSKU]]="","",_xlfn.XLOOKUP(Table26[[#This Row],[customerSKU]],customerSKU!G:G,customerSKU!A:A,"",0,1))</f>
        <v/>
      </c>
      <c r="K852" s="232">
        <v>45664</v>
      </c>
      <c r="L852" s="31" t="str">
        <f>IF(Table26[[#This Row],[customerSKU]]="","",_xlfn.XLOOKUP(Table26[[#This Row],[customerSKU]],customerSKU!G:G,customerSKU!B:B,"",0,1))</f>
        <v/>
      </c>
      <c r="M852" s="53"/>
      <c r="N852" s="77" t="str">
        <f>Table26[[#This Row],[po_number]]&amp;"-"&amp;Table26[[#This Row],[po_line]]</f>
        <v>-1</v>
      </c>
      <c r="O852" s="77">
        <v>1</v>
      </c>
      <c r="P852" s="29"/>
      <c r="Q852" s="22" t="s">
        <v>1172</v>
      </c>
      <c r="R852" s="53" t="s">
        <v>569</v>
      </c>
      <c r="S852" s="53" t="str">
        <f>IF(Table26[[#This Row],[customerSKU]]="","",_xlfn.XLOOKUP(Table26[[#This Row],[customerSKU]],customerSKU!G:G,customerSKU!N:N,"NOT FOUND",0,1))</f>
        <v>NOT FOUND</v>
      </c>
      <c r="T852" s="20">
        <v>45588</v>
      </c>
      <c r="U852" s="21">
        <v>120</v>
      </c>
      <c r="V852" s="22" t="str">
        <f>IF(ISBLANK(Table26[[#This Row],[customerSKU]]),"",_xlfn.XLOOKUP(Table26[[#This Row],[customerSKU]],Table27[customer_SKU],Table27[case_size],"",0,1))</f>
        <v/>
      </c>
      <c r="W852" s="117" t="str">
        <f t="shared" si="39"/>
        <v/>
      </c>
      <c r="X852" s="22" t="str">
        <f t="shared" si="40"/>
        <v/>
      </c>
      <c r="Y852" s="22" t="str">
        <f>IF(Table26[[#This Row],[customerSKU]]="","",_xlfn.XLOOKUP(Table26[[#This Row],[customerSKU]],Table27[customer_SKU],Table27[product_GTIN],"",0,1))</f>
        <v/>
      </c>
      <c r="Z852" s="25" t="s">
        <v>3409</v>
      </c>
      <c r="AA852" s="18" t="str" cm="1">
        <f t="array" ref="AA852">IF(P852="", "", _xlfn.XLOOKUP(P852,#REF!,#REF!,NA,0,-1))</f>
        <v/>
      </c>
      <c r="AB852" s="22"/>
      <c r="AC852" s="55" t="str">
        <f>IF(Table26[[#This Row],[customerSKU]]="","",_xlfn.XLOOKUP(Table26[[#This Row],[customerSKU]],customerSKU!G:G,customerSKU!C:C,"",0,1))</f>
        <v/>
      </c>
      <c r="AD852" s="55" t="str">
        <f>IF($AC852="","",_xlfn.XLOOKUP($AC852,'[2]Client Info'!$C$2:$C$2535,'[2]Client Info'!$D$2:$D$2535,"",0,1))</f>
        <v/>
      </c>
      <c r="AE852" s="55" t="str">
        <f>IF($AC852="","",_xlfn.XLOOKUP($AC852,'[2]Client Info'!$C$2:$C$2715,'[2]Client Info'!$E$2:$E$2715,"",))</f>
        <v/>
      </c>
      <c r="AF852" s="55" t="str">
        <f>IF($AC852="","",_xlfn.XLOOKUP($AC852,'[2]Client Info'!$C$2:$C$2715,'[2]Client Info'!$F$2:$F$2715,"",0,1))</f>
        <v/>
      </c>
      <c r="AG852" s="55" t="str">
        <f>IF(ISBLANK(Table26[[#This Row],[customerSKU]]),"",_xlfn.XLOOKUP(Table26[[#This Row],[customerSKU]],Table27[customer_SKU],Table27[billto],"",0,1))</f>
        <v/>
      </c>
      <c r="AH852" s="26" t="str">
        <f>_xlfn.XLOOKUP(Table26[[#This Row],[customerSKU]],customerSKU!G:G,customerSKU!K:K,"NA",0,1)</f>
        <v>NA</v>
      </c>
      <c r="AI852" s="43" t="str">
        <f>_xlfn.XLOOKUP(Table26[[#This Row],[customerSKU]],customerSKU!G:G,customerSKU!O:O,"not found",0,1)</f>
        <v>not found</v>
      </c>
      <c r="AJ852" s="22" t="e">
        <f>Table26[[#This Row],[unitprice]]*Table26[[#This Row],[quantity_unit]]</f>
        <v>#VALUE!</v>
      </c>
      <c r="AK852" s="22" t="e" cm="1">
        <f t="array" ref="AK8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3" spans="1:37" ht="18" customHeight="1">
      <c r="A853" s="42">
        <v>1388</v>
      </c>
      <c r="B853" s="249" t="s">
        <v>3520</v>
      </c>
      <c r="C853" s="90" t="s">
        <v>203</v>
      </c>
      <c r="D853" s="235"/>
      <c r="E853" s="235"/>
      <c r="F85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3" s="46"/>
      <c r="H853" s="90"/>
      <c r="I853" s="90"/>
      <c r="J853" s="90" t="str">
        <f>IF(Table26[[#This Row],[customerSKU]]="","",_xlfn.XLOOKUP(Table26[[#This Row],[customerSKU]],customerSKU!G:G,customerSKU!A:A,"",0,1))</f>
        <v/>
      </c>
      <c r="K853" s="232">
        <v>45664</v>
      </c>
      <c r="L853" s="233" t="str">
        <f>IF(Table26[[#This Row],[customerSKU]]="","",_xlfn.XLOOKUP(Table26[[#This Row],[customerSKU]],customerSKU!G:G,customerSKU!B:B,"",0,1))</f>
        <v/>
      </c>
      <c r="M853" s="90"/>
      <c r="N853" s="55" t="str">
        <f>Table26[[#This Row],[po_number]]&amp;"-"&amp;Table26[[#This Row],[po_line]]</f>
        <v>-1</v>
      </c>
      <c r="O853" s="55">
        <v>1</v>
      </c>
      <c r="P853" s="234"/>
      <c r="Q853" s="90" t="s">
        <v>934</v>
      </c>
      <c r="R853" s="90" t="s">
        <v>3419</v>
      </c>
      <c r="S853" s="90" t="str">
        <f>IF(Table26[[#This Row],[customerSKU]]="","",_xlfn.XLOOKUP(Table26[[#This Row],[customerSKU]],customerSKU!G:G,customerSKU!N:N,"NOT FOUND",0,1))</f>
        <v>NOT FOUND</v>
      </c>
      <c r="T853" s="20">
        <v>45596</v>
      </c>
      <c r="U853" s="236">
        <v>12</v>
      </c>
      <c r="V853" s="90" t="str">
        <f>IF(ISBLANK(Table26[[#This Row],[customerSKU]]),"",_xlfn.XLOOKUP(Table26[[#This Row],[customerSKU]],Table27[customer_SKU],Table27[case_size],"",0,1))</f>
        <v/>
      </c>
      <c r="W853" s="237" t="str">
        <f t="shared" si="39"/>
        <v/>
      </c>
      <c r="X853" s="90" t="str">
        <f t="shared" si="40"/>
        <v/>
      </c>
      <c r="Y853" s="90" t="str">
        <f>IF(Table26[[#This Row],[customerSKU]]="","",_xlfn.XLOOKUP(Table26[[#This Row],[customerSKU]],Table27[customer_SKU],Table27[product_GTIN],"",0,1))</f>
        <v/>
      </c>
      <c r="Z853" s="25" t="s">
        <v>3547</v>
      </c>
      <c r="AA853" s="18" t="str" cm="1">
        <f t="array" ref="AA853">IF(P853="", "", _xlfn.XLOOKUP(P853,#REF!,#REF!,NA,0,-1))</f>
        <v/>
      </c>
      <c r="AB853" s="90"/>
      <c r="AC853" s="55" t="s">
        <v>3496</v>
      </c>
      <c r="AD853" s="55" t="str">
        <f>IF($AC853="","",_xlfn.XLOOKUP($AC853,'[2]Client Info'!$C$2:$C$2535,'[2]Client Info'!$D$2:$D$2535,"",0,1))</f>
        <v>11939 240th Street</v>
      </c>
      <c r="AE853" s="55" t="str">
        <f>IF($AC853="","",_xlfn.XLOOKUP($AC853,'[2]Client Info'!$C$2:$C$2715,'[2]Client Info'!$E$2:$E$2715,"",))</f>
        <v>Maple Ridge</v>
      </c>
      <c r="AF853" s="55" t="str">
        <f>IF($AC853="","",_xlfn.XLOOKUP($AC853,'[2]Client Info'!$C$2:$C$2715,'[2]Client Info'!$F$2:$F$2715,"",0,1))</f>
        <v xml:space="preserve">BC </v>
      </c>
      <c r="AG853" s="55" t="s">
        <v>3496</v>
      </c>
      <c r="AH853" s="245" t="str">
        <f>_xlfn.XLOOKUP(Table26[[#This Row],[customerSKU]],customerSKU!G:G,customerSKU!K:K,"NA",0,1)</f>
        <v>NA</v>
      </c>
      <c r="AI853" s="43" t="str">
        <f>_xlfn.XLOOKUP(Table26[[#This Row],[customerSKU]],customerSKU!G:G,customerSKU!O:O,"not found",0,1)</f>
        <v>not found</v>
      </c>
      <c r="AJ853" s="22" t="e">
        <f>Table26[[#This Row],[unitprice]]*Table26[[#This Row],[quantity_unit]]</f>
        <v>#VALUE!</v>
      </c>
      <c r="AK853" s="22" t="e" cm="1">
        <f t="array" ref="AK8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4" spans="1:37" ht="18" customHeight="1">
      <c r="A854" s="42">
        <v>1389</v>
      </c>
      <c r="B854" s="249" t="s">
        <v>3520</v>
      </c>
      <c r="C854" s="90" t="s">
        <v>203</v>
      </c>
      <c r="D854" s="235"/>
      <c r="E854" s="235"/>
      <c r="F85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4" s="46"/>
      <c r="H854" s="90"/>
      <c r="I854" s="90"/>
      <c r="J854" s="90" t="str">
        <f>IF(Table26[[#This Row],[customerSKU]]="","",_xlfn.XLOOKUP(Table26[[#This Row],[customerSKU]],customerSKU!G:G,customerSKU!A:A,"",0,1))</f>
        <v/>
      </c>
      <c r="K854" s="232">
        <v>45664</v>
      </c>
      <c r="L854" s="233" t="str">
        <f>IF(Table26[[#This Row],[customerSKU]]="","",_xlfn.XLOOKUP(Table26[[#This Row],[customerSKU]],customerSKU!G:G,customerSKU!B:B,"",0,1))</f>
        <v/>
      </c>
      <c r="M854" s="90"/>
      <c r="N854" s="55" t="str">
        <f>Table26[[#This Row],[po_number]]&amp;"-"&amp;Table26[[#This Row],[po_line]]</f>
        <v>-2</v>
      </c>
      <c r="O854" s="55">
        <v>2</v>
      </c>
      <c r="P854" s="234"/>
      <c r="Q854" s="90" t="s">
        <v>862</v>
      </c>
      <c r="R854" s="90" t="s">
        <v>3419</v>
      </c>
      <c r="S854" s="90" t="str">
        <f>IF(Table26[[#This Row],[customerSKU]]="","",_xlfn.XLOOKUP(Table26[[#This Row],[customerSKU]],customerSKU!G:G,customerSKU!N:N,"NOT FOUND",0,1))</f>
        <v>NOT FOUND</v>
      </c>
      <c r="T854" s="20">
        <v>45488</v>
      </c>
      <c r="U854" s="236">
        <v>12</v>
      </c>
      <c r="V854" s="90" t="str">
        <f>IF(ISBLANK(Table26[[#This Row],[customerSKU]]),"",_xlfn.XLOOKUP(Table26[[#This Row],[customerSKU]],Table27[customer_SKU],Table27[case_size],"",0,1))</f>
        <v/>
      </c>
      <c r="W854" s="237" t="str">
        <f t="shared" si="39"/>
        <v/>
      </c>
      <c r="X854" s="90" t="str">
        <f t="shared" si="40"/>
        <v/>
      </c>
      <c r="Y854" s="90" t="str">
        <f>IF(Table26[[#This Row],[customerSKU]]="","",_xlfn.XLOOKUP(Table26[[#This Row],[customerSKU]],Table27[customer_SKU],Table27[product_GTIN],"",0,1))</f>
        <v/>
      </c>
      <c r="Z854" s="90" t="s">
        <v>4075</v>
      </c>
      <c r="AA854" s="18" t="str" cm="1">
        <f t="array" ref="AA854">IF(P854="", "", _xlfn.XLOOKUP(P854,#REF!,#REF!,NA,0,-1))</f>
        <v/>
      </c>
      <c r="AB854" s="90"/>
      <c r="AC854" s="55" t="s">
        <v>3496</v>
      </c>
      <c r="AD854" s="55" t="str">
        <f>IF($AC854="","",_xlfn.XLOOKUP($AC854,'[2]Client Info'!$C$2:$C$2535,'[2]Client Info'!$D$2:$D$2535,"",0,1))</f>
        <v>11939 240th Street</v>
      </c>
      <c r="AE854" s="55" t="str">
        <f>IF($AC854="","",_xlfn.XLOOKUP($AC854,'[2]Client Info'!$C$2:$C$2715,'[2]Client Info'!$E$2:$E$2715,"",))</f>
        <v>Maple Ridge</v>
      </c>
      <c r="AF854" s="55" t="str">
        <f>IF($AC854="","",_xlfn.XLOOKUP($AC854,'[2]Client Info'!$C$2:$C$2715,'[2]Client Info'!$F$2:$F$2715,"",0,1))</f>
        <v xml:space="preserve">BC </v>
      </c>
      <c r="AG854" s="55" t="s">
        <v>3496</v>
      </c>
      <c r="AH854" s="245" t="str">
        <f>_xlfn.XLOOKUP(Table26[[#This Row],[customerSKU]],customerSKU!G:G,customerSKU!K:K,"NA",0,1)</f>
        <v>NA</v>
      </c>
      <c r="AI854" s="43" t="str">
        <f>_xlfn.XLOOKUP(Table26[[#This Row],[customerSKU]],customerSKU!G:G,customerSKU!O:O,"not found",0,1)</f>
        <v>not found</v>
      </c>
      <c r="AJ854" s="22" t="e">
        <f>Table26[[#This Row],[unitprice]]*Table26[[#This Row],[quantity_unit]]</f>
        <v>#VALUE!</v>
      </c>
      <c r="AK854" s="22" t="e" cm="1">
        <f t="array" ref="AK8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5" spans="1:37" ht="18" customHeight="1">
      <c r="A855" s="42">
        <v>1390</v>
      </c>
      <c r="B855" s="249" t="s">
        <v>3520</v>
      </c>
      <c r="C855" s="90" t="s">
        <v>203</v>
      </c>
      <c r="D855" s="235"/>
      <c r="E855" s="235"/>
      <c r="F85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5" s="46"/>
      <c r="H855" s="90"/>
      <c r="I855" s="90"/>
      <c r="J855" s="90" t="str">
        <f>IF(Table26[[#This Row],[customerSKU]]="","",_xlfn.XLOOKUP(Table26[[#This Row],[customerSKU]],customerSKU!G:G,customerSKU!A:A,"",0,1))</f>
        <v/>
      </c>
      <c r="K855" s="232">
        <v>45664</v>
      </c>
      <c r="L855" s="233" t="str">
        <f>IF(Table26[[#This Row],[customerSKU]]="","",_xlfn.XLOOKUP(Table26[[#This Row],[customerSKU]],customerSKU!G:G,customerSKU!B:B,"",0,1))</f>
        <v/>
      </c>
      <c r="M855" s="90"/>
      <c r="N855" s="55" t="str">
        <f>Table26[[#This Row],[po_number]]&amp;"-"&amp;Table26[[#This Row],[po_line]]</f>
        <v>-3</v>
      </c>
      <c r="O855" s="55">
        <v>3</v>
      </c>
      <c r="P855" s="234"/>
      <c r="Q855" s="90" t="s">
        <v>828</v>
      </c>
      <c r="R855" s="90" t="s">
        <v>569</v>
      </c>
      <c r="S855" s="90" t="s">
        <v>114</v>
      </c>
      <c r="T855" s="20">
        <v>45593</v>
      </c>
      <c r="U855" s="236">
        <v>12</v>
      </c>
      <c r="V855" s="90" t="str">
        <f>IF(ISBLANK(Table26[[#This Row],[customerSKU]]),"",_xlfn.XLOOKUP(Table26[[#This Row],[customerSKU]],Table27[customer_SKU],Table27[case_size],"",0,1))</f>
        <v/>
      </c>
      <c r="W855" s="237" t="str">
        <f t="shared" si="39"/>
        <v/>
      </c>
      <c r="X855" s="90" t="str">
        <f t="shared" si="40"/>
        <v/>
      </c>
      <c r="Y855" s="90" t="str">
        <f>IF(Table26[[#This Row],[customerSKU]]="","",_xlfn.XLOOKUP(Table26[[#This Row],[customerSKU]],Table27[customer_SKU],Table27[product_GTIN],"",0,1))</f>
        <v/>
      </c>
      <c r="Z855" s="25" t="s">
        <v>3364</v>
      </c>
      <c r="AA855" s="18" t="str" cm="1">
        <f t="array" ref="AA855">IF(P855="", "", _xlfn.XLOOKUP(P855,#REF!,#REF!,NA,0,-1))</f>
        <v/>
      </c>
      <c r="AB855" s="90"/>
      <c r="AC855" s="55" t="s">
        <v>3496</v>
      </c>
      <c r="AD855" s="55" t="str">
        <f>IF($AC855="","",_xlfn.XLOOKUP($AC855,'[2]Client Info'!$C$2:$C$2535,'[2]Client Info'!$D$2:$D$2535,"",0,1))</f>
        <v>11939 240th Street</v>
      </c>
      <c r="AE855" s="55" t="str">
        <f>IF($AC855="","",_xlfn.XLOOKUP($AC855,'[2]Client Info'!$C$2:$C$2715,'[2]Client Info'!$E$2:$E$2715,"",))</f>
        <v>Maple Ridge</v>
      </c>
      <c r="AF855" s="55" t="str">
        <f>IF($AC855="","",_xlfn.XLOOKUP($AC855,'[2]Client Info'!$C$2:$C$2715,'[2]Client Info'!$F$2:$F$2715,"",0,1))</f>
        <v xml:space="preserve">BC </v>
      </c>
      <c r="AG855" s="55" t="s">
        <v>3496</v>
      </c>
      <c r="AH855" s="245" t="str">
        <f>_xlfn.XLOOKUP(Table26[[#This Row],[customerSKU]],customerSKU!G:G,customerSKU!K:K,"NA",0,1)</f>
        <v>NA</v>
      </c>
      <c r="AI855" s="43" t="str">
        <f>_xlfn.XLOOKUP(Table26[[#This Row],[customerSKU]],customerSKU!G:G,customerSKU!O:O,"not found",0,1)</f>
        <v>not found</v>
      </c>
      <c r="AJ855" s="22" t="e">
        <f>Table26[[#This Row],[unitprice]]*Table26[[#This Row],[quantity_unit]]</f>
        <v>#VALUE!</v>
      </c>
      <c r="AK855" s="22" t="e" cm="1">
        <f t="array" ref="AK8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6" spans="1:37" ht="18" customHeight="1">
      <c r="A856" s="42">
        <v>1391</v>
      </c>
      <c r="B856" s="249" t="s">
        <v>3520</v>
      </c>
      <c r="C856" s="90" t="s">
        <v>203</v>
      </c>
      <c r="D856" s="235"/>
      <c r="E856" s="235"/>
      <c r="F85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6" s="46"/>
      <c r="H856" s="90"/>
      <c r="I856" s="90"/>
      <c r="J856" s="90" t="str">
        <f>IF(Table26[[#This Row],[customerSKU]]="","",_xlfn.XLOOKUP(Table26[[#This Row],[customerSKU]],customerSKU!G:G,customerSKU!A:A,"",0,1))</f>
        <v/>
      </c>
      <c r="K856" s="232">
        <v>45664</v>
      </c>
      <c r="L856" s="233" t="str">
        <f>IF(Table26[[#This Row],[customerSKU]]="","",_xlfn.XLOOKUP(Table26[[#This Row],[customerSKU]],customerSKU!G:G,customerSKU!B:B,"",0,1))</f>
        <v/>
      </c>
      <c r="M856" s="90"/>
      <c r="N856" s="55" t="str">
        <f>Table26[[#This Row],[po_number]]&amp;"-"&amp;Table26[[#This Row],[po_line]]</f>
        <v>-4</v>
      </c>
      <c r="O856" s="55">
        <v>4</v>
      </c>
      <c r="P856" s="234"/>
      <c r="Q856" s="90" t="s">
        <v>1313</v>
      </c>
      <c r="R856" s="90" t="s">
        <v>569</v>
      </c>
      <c r="S856" s="90" t="s">
        <v>114</v>
      </c>
      <c r="T856" s="20">
        <v>45575</v>
      </c>
      <c r="U856" s="236">
        <v>12</v>
      </c>
      <c r="V856" s="90" t="str">
        <f>IF(ISBLANK(Table26[[#This Row],[customerSKU]]),"",_xlfn.XLOOKUP(Table26[[#This Row],[customerSKU]],Table27[customer_SKU],Table27[case_size],"",0,1))</f>
        <v/>
      </c>
      <c r="W856" s="237" t="str">
        <f t="shared" si="39"/>
        <v/>
      </c>
      <c r="X856" s="90" t="str">
        <f t="shared" si="40"/>
        <v/>
      </c>
      <c r="Y856" s="90" t="str">
        <f>IF(Table26[[#This Row],[customerSKU]]="","",_xlfn.XLOOKUP(Table26[[#This Row],[customerSKU]],Table27[customer_SKU],Table27[product_GTIN],"",0,1))</f>
        <v/>
      </c>
      <c r="Z856" s="25" t="s">
        <v>3432</v>
      </c>
      <c r="AA856" s="18" t="str" cm="1">
        <f t="array" ref="AA856">IF(P856="", "", _xlfn.XLOOKUP(P856,#REF!,#REF!,NA,0,-1))</f>
        <v/>
      </c>
      <c r="AB856" s="90"/>
      <c r="AC856" s="55" t="s">
        <v>3496</v>
      </c>
      <c r="AD856" s="55" t="str">
        <f>IF($AC856="","",_xlfn.XLOOKUP($AC856,'[2]Client Info'!$C$2:$C$2535,'[2]Client Info'!$D$2:$D$2535,"",0,1))</f>
        <v>11939 240th Street</v>
      </c>
      <c r="AE856" s="55" t="str">
        <f>IF($AC856="","",_xlfn.XLOOKUP($AC856,'[2]Client Info'!$C$2:$C$2715,'[2]Client Info'!$E$2:$E$2715,"",))</f>
        <v>Maple Ridge</v>
      </c>
      <c r="AF856" s="55" t="str">
        <f>IF($AC856="","",_xlfn.XLOOKUP($AC856,'[2]Client Info'!$C$2:$C$2715,'[2]Client Info'!$F$2:$F$2715,"",0,1))</f>
        <v xml:space="preserve">BC </v>
      </c>
      <c r="AG856" s="55" t="s">
        <v>3496</v>
      </c>
      <c r="AH856" s="245" t="str">
        <f>_xlfn.XLOOKUP(Table26[[#This Row],[customerSKU]],customerSKU!G:G,customerSKU!K:K,"NA",0,1)</f>
        <v>NA</v>
      </c>
      <c r="AI856" s="43" t="str">
        <f>_xlfn.XLOOKUP(Table26[[#This Row],[customerSKU]],customerSKU!G:G,customerSKU!O:O,"not found",0,1)</f>
        <v>not found</v>
      </c>
      <c r="AJ856" s="22" t="e">
        <f>Table26[[#This Row],[unitprice]]*Table26[[#This Row],[quantity_unit]]</f>
        <v>#VALUE!</v>
      </c>
      <c r="AK856" s="22" t="e" cm="1">
        <f t="array" ref="AK8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7" spans="1:37" ht="18" customHeight="1">
      <c r="A857" s="42">
        <v>1392</v>
      </c>
      <c r="B857" s="249" t="s">
        <v>3520</v>
      </c>
      <c r="C857" s="90" t="s">
        <v>203</v>
      </c>
      <c r="D857" s="235"/>
      <c r="E857" s="235"/>
      <c r="F85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7" s="46"/>
      <c r="H857" s="90"/>
      <c r="I857" s="90"/>
      <c r="J857" s="90" t="str">
        <f>IF(Table26[[#This Row],[customerSKU]]="","",_xlfn.XLOOKUP(Table26[[#This Row],[customerSKU]],customerSKU!G:G,customerSKU!A:A,"",0,1))</f>
        <v/>
      </c>
      <c r="K857" s="232">
        <v>45664</v>
      </c>
      <c r="L857" s="233" t="str">
        <f>IF(Table26[[#This Row],[customerSKU]]="","",_xlfn.XLOOKUP(Table26[[#This Row],[customerSKU]],customerSKU!G:G,customerSKU!B:B,"",0,1))</f>
        <v/>
      </c>
      <c r="M857" s="90"/>
      <c r="N857" s="55" t="str">
        <f>Table26[[#This Row],[po_number]]&amp;"-"&amp;Table26[[#This Row],[po_line]]</f>
        <v>-5</v>
      </c>
      <c r="O857" s="55">
        <v>5</v>
      </c>
      <c r="P857" s="234"/>
      <c r="Q857" s="90" t="s">
        <v>630</v>
      </c>
      <c r="R857" s="90" t="s">
        <v>569</v>
      </c>
      <c r="S857" s="90" t="s">
        <v>114</v>
      </c>
      <c r="T857" s="20">
        <v>45581</v>
      </c>
      <c r="U857" s="236">
        <v>12</v>
      </c>
      <c r="V857" s="90" t="str">
        <f>IF(ISBLANK(Table26[[#This Row],[customerSKU]]),"",_xlfn.XLOOKUP(Table26[[#This Row],[customerSKU]],Table27[customer_SKU],Table27[case_size],"",0,1))</f>
        <v/>
      </c>
      <c r="W857" s="237" t="str">
        <f t="shared" si="39"/>
        <v/>
      </c>
      <c r="X857" s="90" t="str">
        <f t="shared" si="40"/>
        <v/>
      </c>
      <c r="Y857" s="90" t="str">
        <f>IF(Table26[[#This Row],[customerSKU]]="","",_xlfn.XLOOKUP(Table26[[#This Row],[customerSKU]],Table27[customer_SKU],Table27[product_GTIN],"",0,1))</f>
        <v/>
      </c>
      <c r="Z857" s="25" t="s">
        <v>3386</v>
      </c>
      <c r="AA857" s="18" t="str" cm="1">
        <f t="array" ref="AA857">IF(P857="", "", _xlfn.XLOOKUP(P857,#REF!,#REF!,NA,0,-1))</f>
        <v/>
      </c>
      <c r="AB857" s="90"/>
      <c r="AC857" s="55" t="s">
        <v>3496</v>
      </c>
      <c r="AD857" s="55" t="str">
        <f>IF($AC857="","",_xlfn.XLOOKUP($AC857,'[2]Client Info'!$C$2:$C$2535,'[2]Client Info'!$D$2:$D$2535,"",0,1))</f>
        <v>11939 240th Street</v>
      </c>
      <c r="AE857" s="55" t="str">
        <f>IF($AC857="","",_xlfn.XLOOKUP($AC857,'[2]Client Info'!$C$2:$C$2715,'[2]Client Info'!$E$2:$E$2715,"",))</f>
        <v>Maple Ridge</v>
      </c>
      <c r="AF857" s="55" t="str">
        <f>IF($AC857="","",_xlfn.XLOOKUP($AC857,'[2]Client Info'!$C$2:$C$2715,'[2]Client Info'!$F$2:$F$2715,"",0,1))</f>
        <v xml:space="preserve">BC </v>
      </c>
      <c r="AG857" s="55" t="s">
        <v>3496</v>
      </c>
      <c r="AH857" s="245" t="str">
        <f>_xlfn.XLOOKUP(Table26[[#This Row],[customerSKU]],customerSKU!G:G,customerSKU!K:K,"NA",0,1)</f>
        <v>NA</v>
      </c>
      <c r="AI857" s="43" t="str">
        <f>_xlfn.XLOOKUP(Table26[[#This Row],[customerSKU]],customerSKU!G:G,customerSKU!O:O,"not found",0,1)</f>
        <v>not found</v>
      </c>
      <c r="AJ857" s="22" t="e">
        <f>Table26[[#This Row],[unitprice]]*Table26[[#This Row],[quantity_unit]]</f>
        <v>#VALUE!</v>
      </c>
      <c r="AK857" s="22" t="e" cm="1">
        <f t="array" ref="AK8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8" spans="1:37" ht="18" customHeight="1">
      <c r="A858" s="42">
        <v>1393</v>
      </c>
      <c r="B858" s="249" t="s">
        <v>3520</v>
      </c>
      <c r="C858" s="90" t="s">
        <v>203</v>
      </c>
      <c r="D858" s="235"/>
      <c r="E858" s="235"/>
      <c r="F85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8" s="46"/>
      <c r="H858" s="90"/>
      <c r="I858" s="90"/>
      <c r="J858" s="90" t="str">
        <f>IF(Table26[[#This Row],[customerSKU]]="","",_xlfn.XLOOKUP(Table26[[#This Row],[customerSKU]],customerSKU!G:G,customerSKU!A:A,"",0,1))</f>
        <v/>
      </c>
      <c r="K858" s="232">
        <v>45664</v>
      </c>
      <c r="L858" s="233" t="str">
        <f>IF(Table26[[#This Row],[customerSKU]]="","",_xlfn.XLOOKUP(Table26[[#This Row],[customerSKU]],customerSKU!G:G,customerSKU!B:B,"",0,1))</f>
        <v/>
      </c>
      <c r="M858" s="90"/>
      <c r="N858" s="55" t="str">
        <f>Table26[[#This Row],[po_number]]&amp;"-"&amp;Table26[[#This Row],[po_line]]</f>
        <v>-6</v>
      </c>
      <c r="O858" s="55">
        <v>6</v>
      </c>
      <c r="P858" s="234"/>
      <c r="Q858" s="90" t="s">
        <v>535</v>
      </c>
      <c r="R858" s="90" t="s">
        <v>569</v>
      </c>
      <c r="S858" s="90" t="s">
        <v>114</v>
      </c>
      <c r="T858" s="20">
        <v>45630</v>
      </c>
      <c r="U858" s="236">
        <v>12</v>
      </c>
      <c r="V858" s="90" t="str">
        <f>IF(ISBLANK(Table26[[#This Row],[customerSKU]]),"",_xlfn.XLOOKUP(Table26[[#This Row],[customerSKU]],Table27[customer_SKU],Table27[case_size],"",0,1))</f>
        <v/>
      </c>
      <c r="W858" s="237" t="str">
        <f t="shared" si="39"/>
        <v/>
      </c>
      <c r="X858" s="90" t="str">
        <f t="shared" si="40"/>
        <v/>
      </c>
      <c r="Y858" s="90" t="str">
        <f>IF(Table26[[#This Row],[customerSKU]]="","",_xlfn.XLOOKUP(Table26[[#This Row],[customerSKU]],Table27[customer_SKU],Table27[product_GTIN],"",0,1))</f>
        <v/>
      </c>
      <c r="Z858" s="25" t="s">
        <v>3433</v>
      </c>
      <c r="AA858" s="18" t="str" cm="1">
        <f t="array" ref="AA858">IF(P858="", "", _xlfn.XLOOKUP(P858,#REF!,#REF!,NA,0,-1))</f>
        <v/>
      </c>
      <c r="AB858" s="90"/>
      <c r="AC858" s="55" t="s">
        <v>3496</v>
      </c>
      <c r="AD858" s="55" t="str">
        <f>IF($AC858="","",_xlfn.XLOOKUP($AC858,'[2]Client Info'!$C$2:$C$2535,'[2]Client Info'!$D$2:$D$2535,"",0,1))</f>
        <v>11939 240th Street</v>
      </c>
      <c r="AE858" s="55" t="str">
        <f>IF($AC858="","",_xlfn.XLOOKUP($AC858,'[2]Client Info'!$C$2:$C$2715,'[2]Client Info'!$E$2:$E$2715,"",))</f>
        <v>Maple Ridge</v>
      </c>
      <c r="AF858" s="55" t="str">
        <f>IF($AC858="","",_xlfn.XLOOKUP($AC858,'[2]Client Info'!$C$2:$C$2715,'[2]Client Info'!$F$2:$F$2715,"",0,1))</f>
        <v xml:space="preserve">BC </v>
      </c>
      <c r="AG858" s="55" t="s">
        <v>3496</v>
      </c>
      <c r="AH858" s="245" t="str">
        <f>_xlfn.XLOOKUP(Table26[[#This Row],[customerSKU]],customerSKU!G:G,customerSKU!K:K,"NA",0,1)</f>
        <v>NA</v>
      </c>
      <c r="AI858" s="43" t="str">
        <f>_xlfn.XLOOKUP(Table26[[#This Row],[customerSKU]],customerSKU!G:G,customerSKU!O:O,"not found",0,1)</f>
        <v>not found</v>
      </c>
      <c r="AJ858" s="22" t="e">
        <f>Table26[[#This Row],[unitprice]]*Table26[[#This Row],[quantity_unit]]</f>
        <v>#VALUE!</v>
      </c>
      <c r="AK858" s="22" t="e" cm="1">
        <f t="array" ref="AK8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59" spans="1:37" ht="18" customHeight="1">
      <c r="A859" s="42">
        <v>1394</v>
      </c>
      <c r="B859" s="249" t="s">
        <v>3520</v>
      </c>
      <c r="C859" s="90" t="s">
        <v>203</v>
      </c>
      <c r="D859" s="235"/>
      <c r="E859" s="235"/>
      <c r="F85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59" s="46"/>
      <c r="H859" s="90"/>
      <c r="I859" s="90"/>
      <c r="J859" s="90" t="str">
        <f>IF(Table26[[#This Row],[customerSKU]]="","",_xlfn.XLOOKUP(Table26[[#This Row],[customerSKU]],customerSKU!G:G,customerSKU!A:A,"",0,1))</f>
        <v/>
      </c>
      <c r="K859" s="232">
        <v>45664</v>
      </c>
      <c r="L859" s="233" t="str">
        <f>IF(Table26[[#This Row],[customerSKU]]="","",_xlfn.XLOOKUP(Table26[[#This Row],[customerSKU]],customerSKU!G:G,customerSKU!B:B,"",0,1))</f>
        <v/>
      </c>
      <c r="M859" s="90"/>
      <c r="N859" s="55" t="str">
        <f>Table26[[#This Row],[po_number]]&amp;"-"&amp;Table26[[#This Row],[po_line]]</f>
        <v>-7</v>
      </c>
      <c r="O859" s="55">
        <v>7</v>
      </c>
      <c r="P859" s="234"/>
      <c r="Q859" s="90" t="s">
        <v>1134</v>
      </c>
      <c r="R859" s="90" t="s">
        <v>569</v>
      </c>
      <c r="S859" s="90" t="s">
        <v>114</v>
      </c>
      <c r="T859" s="20">
        <v>45588</v>
      </c>
      <c r="U859" s="236">
        <v>8</v>
      </c>
      <c r="V859" s="90" t="str">
        <f>IF(ISBLANK(Table26[[#This Row],[customerSKU]]),"",_xlfn.XLOOKUP(Table26[[#This Row],[customerSKU]],Table27[customer_SKU],Table27[case_size],"",0,1))</f>
        <v/>
      </c>
      <c r="W859" s="237" t="str">
        <f t="shared" si="39"/>
        <v/>
      </c>
      <c r="X859" s="90" t="str">
        <f t="shared" si="40"/>
        <v/>
      </c>
      <c r="Y859" s="90" t="str">
        <f>IF(Table26[[#This Row],[customerSKU]]="","",_xlfn.XLOOKUP(Table26[[#This Row],[customerSKU]],Table27[customer_SKU],Table27[product_GTIN],"",0,1))</f>
        <v/>
      </c>
      <c r="Z859" s="25" t="s">
        <v>3406</v>
      </c>
      <c r="AA859" s="18" t="str" cm="1">
        <f t="array" ref="AA859">IF(P859="", "", _xlfn.XLOOKUP(P859,#REF!,#REF!,NA,0,-1))</f>
        <v/>
      </c>
      <c r="AB859" s="90"/>
      <c r="AC859" s="55" t="s">
        <v>3496</v>
      </c>
      <c r="AD859" s="55" t="str">
        <f>IF($AC859="","",_xlfn.XLOOKUP($AC859,'[2]Client Info'!$C$2:$C$2535,'[2]Client Info'!$D$2:$D$2535,"",0,1))</f>
        <v>11939 240th Street</v>
      </c>
      <c r="AE859" s="55" t="str">
        <f>IF($AC859="","",_xlfn.XLOOKUP($AC859,'[2]Client Info'!$C$2:$C$2715,'[2]Client Info'!$E$2:$E$2715,"",))</f>
        <v>Maple Ridge</v>
      </c>
      <c r="AF859" s="55" t="str">
        <f>IF($AC859="","",_xlfn.XLOOKUP($AC859,'[2]Client Info'!$C$2:$C$2715,'[2]Client Info'!$F$2:$F$2715,"",0,1))</f>
        <v xml:space="preserve">BC </v>
      </c>
      <c r="AG859" s="55" t="s">
        <v>3496</v>
      </c>
      <c r="AH859" s="245" t="str">
        <f>_xlfn.XLOOKUP(Table26[[#This Row],[customerSKU]],customerSKU!G:G,customerSKU!K:K,"NA",0,1)</f>
        <v>NA</v>
      </c>
      <c r="AI859" s="43" t="str">
        <f>_xlfn.XLOOKUP(Table26[[#This Row],[customerSKU]],customerSKU!G:G,customerSKU!O:O,"not found",0,1)</f>
        <v>not found</v>
      </c>
      <c r="AJ859" s="22" t="e">
        <f>Table26[[#This Row],[unitprice]]*Table26[[#This Row],[quantity_unit]]</f>
        <v>#VALUE!</v>
      </c>
      <c r="AK859" s="22" t="e" cm="1">
        <f t="array" ref="AK8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0" spans="1:37" ht="18" customHeight="1">
      <c r="A860" s="42">
        <v>1395</v>
      </c>
      <c r="B860" s="249" t="s">
        <v>3520</v>
      </c>
      <c r="C860" s="90" t="s">
        <v>203</v>
      </c>
      <c r="D860" s="235"/>
      <c r="E860" s="235"/>
      <c r="F86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60" s="46"/>
      <c r="H860" s="90"/>
      <c r="I860" s="90"/>
      <c r="J860" s="90" t="str">
        <f>IF(Table26[[#This Row],[customerSKU]]="","",_xlfn.XLOOKUP(Table26[[#This Row],[customerSKU]],customerSKU!G:G,customerSKU!A:A,"",0,1))</f>
        <v/>
      </c>
      <c r="K860" s="232">
        <v>45664</v>
      </c>
      <c r="L860" s="233" t="str">
        <f>IF(Table26[[#This Row],[customerSKU]]="","",_xlfn.XLOOKUP(Table26[[#This Row],[customerSKU]],customerSKU!G:G,customerSKU!B:B,"",0,1))</f>
        <v/>
      </c>
      <c r="M860" s="90"/>
      <c r="N860" s="55" t="str">
        <f>Table26[[#This Row],[po_number]]&amp;"-"&amp;Table26[[#This Row],[po_line]]</f>
        <v>-8</v>
      </c>
      <c r="O860" s="55">
        <v>8</v>
      </c>
      <c r="P860" s="234"/>
      <c r="Q860" s="90" t="s">
        <v>1134</v>
      </c>
      <c r="R860" s="90" t="s">
        <v>569</v>
      </c>
      <c r="S860" s="90" t="s">
        <v>114</v>
      </c>
      <c r="T860" s="20">
        <v>45574</v>
      </c>
      <c r="U860" s="236">
        <v>4</v>
      </c>
      <c r="V860" s="90" t="str">
        <f>IF(ISBLANK(Table26[[#This Row],[customerSKU]]),"",_xlfn.XLOOKUP(Table26[[#This Row],[customerSKU]],Table27[customer_SKU],Table27[case_size],"",0,1))</f>
        <v/>
      </c>
      <c r="W860" s="237" t="str">
        <f t="shared" si="39"/>
        <v/>
      </c>
      <c r="X860" s="90" t="str">
        <f t="shared" si="40"/>
        <v/>
      </c>
      <c r="Y860" s="90" t="str">
        <f>IF(Table26[[#This Row],[customerSKU]]="","",_xlfn.XLOOKUP(Table26[[#This Row],[customerSKU]],Table27[customer_SKU],Table27[product_GTIN],"",0,1))</f>
        <v/>
      </c>
      <c r="Z860" s="25" t="s">
        <v>3406</v>
      </c>
      <c r="AA860" s="18" t="str" cm="1">
        <f t="array" ref="AA860">IF(P860="", "", _xlfn.XLOOKUP(P860,#REF!,#REF!,NA,0,-1))</f>
        <v/>
      </c>
      <c r="AB860" s="90"/>
      <c r="AC860" s="55" t="s">
        <v>3496</v>
      </c>
      <c r="AD860" s="55" t="str">
        <f>IF($AC860="","",_xlfn.XLOOKUP($AC860,'[2]Client Info'!$C$2:$C$2535,'[2]Client Info'!$D$2:$D$2535,"",0,1))</f>
        <v>11939 240th Street</v>
      </c>
      <c r="AE860" s="55" t="str">
        <f>IF($AC860="","",_xlfn.XLOOKUP($AC860,'[2]Client Info'!$C$2:$C$2715,'[2]Client Info'!$E$2:$E$2715,"",))</f>
        <v>Maple Ridge</v>
      </c>
      <c r="AF860" s="55" t="str">
        <f>IF($AC860="","",_xlfn.XLOOKUP($AC860,'[2]Client Info'!$C$2:$C$2715,'[2]Client Info'!$F$2:$F$2715,"",0,1))</f>
        <v xml:space="preserve">BC </v>
      </c>
      <c r="AG860" s="55" t="s">
        <v>3496</v>
      </c>
      <c r="AH860" s="245" t="str">
        <f>_xlfn.XLOOKUP(Table26[[#This Row],[customerSKU]],customerSKU!G:G,customerSKU!K:K,"NA",0,1)</f>
        <v>NA</v>
      </c>
      <c r="AI860" s="43" t="str">
        <f>_xlfn.XLOOKUP(Table26[[#This Row],[customerSKU]],customerSKU!G:G,customerSKU!O:O,"not found",0,1)</f>
        <v>not found</v>
      </c>
      <c r="AJ860" s="22" t="e">
        <f>Table26[[#This Row],[unitprice]]*Table26[[#This Row],[quantity_unit]]</f>
        <v>#VALUE!</v>
      </c>
      <c r="AK860" s="22" t="e" cm="1">
        <f t="array" ref="AK8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1" spans="1:37" ht="18" customHeight="1">
      <c r="A861" s="42">
        <v>1396</v>
      </c>
      <c r="B861" s="249" t="s">
        <v>3520</v>
      </c>
      <c r="C861" s="90" t="s">
        <v>203</v>
      </c>
      <c r="D861" s="235"/>
      <c r="E861" s="235"/>
      <c r="F86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61" s="46"/>
      <c r="H861" s="90"/>
      <c r="I861" s="90"/>
      <c r="J861" s="90" t="str">
        <f>IF(Table26[[#This Row],[customerSKU]]="","",_xlfn.XLOOKUP(Table26[[#This Row],[customerSKU]],customerSKU!G:G,customerSKU!A:A,"",0,1))</f>
        <v/>
      </c>
      <c r="K861" s="232">
        <v>45664</v>
      </c>
      <c r="L861" s="233" t="str">
        <f>IF(Table26[[#This Row],[customerSKU]]="","",_xlfn.XLOOKUP(Table26[[#This Row],[customerSKU]],customerSKU!G:G,customerSKU!B:B,"",0,1))</f>
        <v/>
      </c>
      <c r="M861" s="90"/>
      <c r="N861" s="55" t="str">
        <f>Table26[[#This Row],[po_number]]&amp;"-"&amp;Table26[[#This Row],[po_line]]</f>
        <v>-9</v>
      </c>
      <c r="O861" s="55">
        <v>9</v>
      </c>
      <c r="P861" s="234"/>
      <c r="Q861" s="90" t="s">
        <v>1862</v>
      </c>
      <c r="R861" s="90" t="s">
        <v>569</v>
      </c>
      <c r="S861" s="90" t="s">
        <v>114</v>
      </c>
      <c r="T861" s="20">
        <v>45618</v>
      </c>
      <c r="U861" s="236">
        <v>12</v>
      </c>
      <c r="V861" s="90" t="str">
        <f>IF(ISBLANK(Table26[[#This Row],[customerSKU]]),"",_xlfn.XLOOKUP(Table26[[#This Row],[customerSKU]],Table27[customer_SKU],Table27[case_size],"",0,1))</f>
        <v/>
      </c>
      <c r="W861" s="237" t="str">
        <f t="shared" si="39"/>
        <v/>
      </c>
      <c r="X861" s="90" t="str">
        <f t="shared" si="40"/>
        <v/>
      </c>
      <c r="Y861" s="90" t="str">
        <f>IF(Table26[[#This Row],[customerSKU]]="","",_xlfn.XLOOKUP(Table26[[#This Row],[customerSKU]],Table27[customer_SKU],Table27[product_GTIN],"",0,1))</f>
        <v/>
      </c>
      <c r="Z861" s="25" t="s">
        <v>3367</v>
      </c>
      <c r="AA861" s="18" t="str" cm="1">
        <f t="array" ref="AA861">IF(P861="", "", _xlfn.XLOOKUP(P861,#REF!,#REF!,NA,0,-1))</f>
        <v/>
      </c>
      <c r="AB861" s="90"/>
      <c r="AC861" s="55" t="s">
        <v>3496</v>
      </c>
      <c r="AD861" s="55" t="str">
        <f>IF($AC861="","",_xlfn.XLOOKUP($AC861,'[2]Client Info'!$C$2:$C$2535,'[2]Client Info'!$D$2:$D$2535,"",0,1))</f>
        <v>11939 240th Street</v>
      </c>
      <c r="AE861" s="55" t="str">
        <f>IF($AC861="","",_xlfn.XLOOKUP($AC861,'[2]Client Info'!$C$2:$C$2715,'[2]Client Info'!$E$2:$E$2715,"",))</f>
        <v>Maple Ridge</v>
      </c>
      <c r="AF861" s="55" t="str">
        <f>IF($AC861="","",_xlfn.XLOOKUP($AC861,'[2]Client Info'!$C$2:$C$2715,'[2]Client Info'!$F$2:$F$2715,"",0,1))</f>
        <v xml:space="preserve">BC </v>
      </c>
      <c r="AG861" s="55" t="s">
        <v>3496</v>
      </c>
      <c r="AH861" s="245" t="str">
        <f>_xlfn.XLOOKUP(Table26[[#This Row],[customerSKU]],customerSKU!G:G,customerSKU!K:K,"NA",0,1)</f>
        <v>NA</v>
      </c>
      <c r="AI861" s="43" t="str">
        <f>_xlfn.XLOOKUP(Table26[[#This Row],[customerSKU]],customerSKU!G:G,customerSKU!O:O,"not found",0,1)</f>
        <v>not found</v>
      </c>
      <c r="AJ861" s="22" t="e">
        <f>Table26[[#This Row],[unitprice]]*Table26[[#This Row],[quantity_unit]]</f>
        <v>#VALUE!</v>
      </c>
      <c r="AK861" s="22" t="e" cm="1">
        <f t="array" ref="AK8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2" spans="1:37" ht="18" customHeight="1">
      <c r="A862" s="42">
        <v>1397</v>
      </c>
      <c r="B862" s="249" t="s">
        <v>3520</v>
      </c>
      <c r="C862" s="90" t="s">
        <v>203</v>
      </c>
      <c r="D862" s="235"/>
      <c r="E862" s="235"/>
      <c r="F86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62" s="46"/>
      <c r="H862" s="90"/>
      <c r="I862" s="90"/>
      <c r="J862" s="90" t="str">
        <f>IF(Table26[[#This Row],[customerSKU]]="","",_xlfn.XLOOKUP(Table26[[#This Row],[customerSKU]],customerSKU!G:G,customerSKU!A:A,"",0,1))</f>
        <v/>
      </c>
      <c r="K862" s="232">
        <v>45664</v>
      </c>
      <c r="L862" s="233" t="str">
        <f>IF(Table26[[#This Row],[customerSKU]]="","",_xlfn.XLOOKUP(Table26[[#This Row],[customerSKU]],customerSKU!G:G,customerSKU!B:B,"",0,1))</f>
        <v/>
      </c>
      <c r="M862" s="90"/>
      <c r="N862" s="55" t="str">
        <f>Table26[[#This Row],[po_number]]&amp;"-"&amp;Table26[[#This Row],[po_line]]</f>
        <v>-10</v>
      </c>
      <c r="O862" s="55">
        <v>10</v>
      </c>
      <c r="P862" s="50"/>
      <c r="Q862" s="90" t="s">
        <v>1309</v>
      </c>
      <c r="R862" s="90" t="s">
        <v>569</v>
      </c>
      <c r="S862" s="90" t="s">
        <v>114</v>
      </c>
      <c r="T862" s="20">
        <v>45623</v>
      </c>
      <c r="U862" s="236">
        <v>24</v>
      </c>
      <c r="V862" s="90" t="str">
        <f>IF(ISBLANK(Table26[[#This Row],[customerSKU]]),"",_xlfn.XLOOKUP(Table26[[#This Row],[customerSKU]],Table27[customer_SKU],Table27[case_size],"",0,1))</f>
        <v/>
      </c>
      <c r="W862" s="237" t="str">
        <f t="shared" si="39"/>
        <v/>
      </c>
      <c r="X862" s="90" t="str">
        <f t="shared" si="40"/>
        <v/>
      </c>
      <c r="Y862" s="90" t="str">
        <f>IF(Table26[[#This Row],[customerSKU]]="","",_xlfn.XLOOKUP(Table26[[#This Row],[customerSKU]],Table27[customer_SKU],Table27[product_GTIN],"",0,1))</f>
        <v/>
      </c>
      <c r="Z862" s="25" t="s">
        <v>3447</v>
      </c>
      <c r="AA862" s="18" t="str" cm="1">
        <f t="array" ref="AA862">IF(P862="", "", _xlfn.XLOOKUP(P862,#REF!,#REF!,NA,0,-1))</f>
        <v/>
      </c>
      <c r="AB862" s="90"/>
      <c r="AC862" s="55" t="s">
        <v>3496</v>
      </c>
      <c r="AD862" s="55" t="str">
        <f>IF($AC862="","",_xlfn.XLOOKUP($AC862,'[2]Client Info'!$C$2:$C$2535,'[2]Client Info'!$D$2:$D$2535,"",0,1))</f>
        <v>11939 240th Street</v>
      </c>
      <c r="AE862" s="55" t="str">
        <f>IF($AC862="","",_xlfn.XLOOKUP($AC862,'[2]Client Info'!$C$2:$C$2715,'[2]Client Info'!$E$2:$E$2715,"",))</f>
        <v>Maple Ridge</v>
      </c>
      <c r="AF862" s="55" t="str">
        <f>IF($AC862="","",_xlfn.XLOOKUP($AC862,'[2]Client Info'!$C$2:$C$2715,'[2]Client Info'!$F$2:$F$2715,"",0,1))</f>
        <v xml:space="preserve">BC </v>
      </c>
      <c r="AG862" s="55" t="s">
        <v>3496</v>
      </c>
      <c r="AH862" s="245" t="str">
        <f>_xlfn.XLOOKUP(Table26[[#This Row],[customerSKU]],customerSKU!G:G,customerSKU!K:K,"NA",0,1)</f>
        <v>NA</v>
      </c>
      <c r="AI862" s="43" t="str">
        <f>_xlfn.XLOOKUP(Table26[[#This Row],[customerSKU]],customerSKU!G:G,customerSKU!O:O,"not found",0,1)</f>
        <v>not found</v>
      </c>
      <c r="AJ862" s="22" t="e">
        <f>Table26[[#This Row],[unitprice]]*Table26[[#This Row],[quantity_unit]]</f>
        <v>#VALUE!</v>
      </c>
      <c r="AK862" s="22" t="e" cm="1">
        <f t="array" ref="AK8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3" spans="1:37" ht="18" customHeight="1">
      <c r="A863" s="42">
        <v>1398</v>
      </c>
      <c r="B863" s="58" t="s">
        <v>3520</v>
      </c>
      <c r="C863" s="22" t="s">
        <v>3360</v>
      </c>
      <c r="E863" s="20"/>
      <c r="F86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3" s="46"/>
      <c r="J863" s="90" t="str">
        <f>IF(Table26[[#This Row],[customerSKU]]="","",_xlfn.XLOOKUP(Table26[[#This Row],[customerSKU]],customerSKU!G:G,customerSKU!A:A,"",0,1))</f>
        <v/>
      </c>
      <c r="K863" s="232">
        <v>45664</v>
      </c>
      <c r="L863" s="31" t="str">
        <f>IF(Table26[[#This Row],[customerSKU]]="","",_xlfn.XLOOKUP(Table26[[#This Row],[customerSKU]],customerSKU!G:G,customerSKU!B:B,"",0,1))</f>
        <v/>
      </c>
      <c r="M863" s="22"/>
      <c r="N863" s="15" t="str">
        <f>Table26[[#This Row],[po_number]]&amp;"-"&amp;Table26[[#This Row],[po_line]]</f>
        <v>-1</v>
      </c>
      <c r="O863" s="15">
        <v>1</v>
      </c>
      <c r="P863" s="29"/>
      <c r="S863" s="22" t="str">
        <f>IF(Table26[[#This Row],[customerSKU]]="","",_xlfn.XLOOKUP(Table26[[#This Row],[customerSKU]],customerSKU!G:G,customerSKU!N:N,"NOT FOUND",0,1))</f>
        <v>NOT FOUND</v>
      </c>
      <c r="T863" s="20"/>
      <c r="U863" s="21">
        <v>12</v>
      </c>
      <c r="V863" s="22" t="str">
        <f>IF(ISBLANK(Table26[[#This Row],[customerSKU]]),"",_xlfn.XLOOKUP(Table26[[#This Row],[customerSKU]],Table27[customer_SKU],Table27[case_size],"",0,1))</f>
        <v/>
      </c>
      <c r="W863" s="117" t="str">
        <f t="shared" si="39"/>
        <v/>
      </c>
      <c r="X863" s="22" t="str">
        <f t="shared" si="40"/>
        <v/>
      </c>
      <c r="Y863" s="22" t="str">
        <f>IF(Table26[[#This Row],[customerSKU]]="","",_xlfn.XLOOKUP(Table26[[#This Row],[customerSKU]],Table27[customer_SKU],Table27[product_GTIN],"",0,1))</f>
        <v/>
      </c>
      <c r="Z863" s="25" t="s">
        <v>3452</v>
      </c>
      <c r="AA863" s="18" t="str" cm="1">
        <f t="array" ref="AA863">IF(P863="", "", _xlfn.XLOOKUP(P863,#REF!,#REF!,NA,0,-1))</f>
        <v/>
      </c>
      <c r="AB863" s="22"/>
      <c r="AC863" s="55" t="str">
        <f>IF(Table26[[#This Row],[customerSKU]]="","",_xlfn.XLOOKUP(Table26[[#This Row],[customerSKU]],customerSKU!G:G,customerSKU!C:C,"",0,1))</f>
        <v/>
      </c>
      <c r="AD863" s="55" t="str">
        <f>IF($AC863="","",_xlfn.XLOOKUP($AC863,'[2]Client Info'!$C$2:$C$2535,'[2]Client Info'!$D$2:$D$2535,"",0,1))</f>
        <v/>
      </c>
      <c r="AE863" s="55" t="str">
        <f>IF($AC863="","",_xlfn.XLOOKUP($AC863,'[2]Client Info'!$C$2:$C$2715,'[2]Client Info'!$E$2:$E$2715,"",))</f>
        <v/>
      </c>
      <c r="AF863" s="55" t="str">
        <f>IF($AC863="","",_xlfn.XLOOKUP($AC863,'[2]Client Info'!$C$2:$C$2715,'[2]Client Info'!$F$2:$F$2715,"",0,1))</f>
        <v/>
      </c>
      <c r="AG863" s="55" t="str">
        <f>IF(ISBLANK(Table26[[#This Row],[customerSKU]]),"",_xlfn.XLOOKUP(Table26[[#This Row],[customerSKU]],Table27[customer_SKU],Table27[billto],"",0,1))</f>
        <v/>
      </c>
      <c r="AH863" s="26" t="str">
        <f>_xlfn.XLOOKUP(Table26[[#This Row],[customerSKU]],customerSKU!G:G,customerSKU!K:K,"NA",0,1)</f>
        <v>NA</v>
      </c>
      <c r="AI863" s="43" t="str">
        <f>_xlfn.XLOOKUP(Table26[[#This Row],[customerSKU]],customerSKU!G:G,customerSKU!O:O,"not found",0,1)</f>
        <v>not found</v>
      </c>
      <c r="AJ863" s="22" t="e">
        <f>Table26[[#This Row],[unitprice]]*Table26[[#This Row],[quantity_unit]]</f>
        <v>#VALUE!</v>
      </c>
      <c r="AK863" s="22" t="e" cm="1">
        <f t="array" ref="AK8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4" spans="1:37" ht="18" customHeight="1">
      <c r="A864" s="42">
        <v>1399</v>
      </c>
      <c r="B864" s="58" t="s">
        <v>3520</v>
      </c>
      <c r="C864" s="22" t="s">
        <v>3360</v>
      </c>
      <c r="E864" s="20"/>
      <c r="F86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4" s="46"/>
      <c r="J864" s="90" t="str">
        <f>IF(Table26[[#This Row],[customerSKU]]="","",_xlfn.XLOOKUP(Table26[[#This Row],[customerSKU]],customerSKU!G:G,customerSKU!A:A,"",0,1))</f>
        <v/>
      </c>
      <c r="K864" s="232">
        <v>45664</v>
      </c>
      <c r="L864" s="31" t="str">
        <f>IF(Table26[[#This Row],[customerSKU]]="","",_xlfn.XLOOKUP(Table26[[#This Row],[customerSKU]],customerSKU!G:G,customerSKU!B:B,"",0,1))</f>
        <v/>
      </c>
      <c r="M864" s="22"/>
      <c r="N864" s="15" t="str">
        <f>Table26[[#This Row],[po_number]]&amp;"-"&amp;Table26[[#This Row],[po_line]]</f>
        <v>-1</v>
      </c>
      <c r="O864" s="15">
        <v>1</v>
      </c>
      <c r="P864" s="29"/>
      <c r="S864" s="22" t="str">
        <f>IF(Table26[[#This Row],[customerSKU]]="","",_xlfn.XLOOKUP(Table26[[#This Row],[customerSKU]],customerSKU!G:G,customerSKU!N:N,"NOT FOUND",0,1))</f>
        <v>NOT FOUND</v>
      </c>
      <c r="T864" s="20"/>
      <c r="U864" s="21">
        <v>12</v>
      </c>
      <c r="V864" s="22" t="str">
        <f>IF(ISBLANK(Table26[[#This Row],[customerSKU]]),"",_xlfn.XLOOKUP(Table26[[#This Row],[customerSKU]],Table27[customer_SKU],Table27[case_size],"",0,1))</f>
        <v/>
      </c>
      <c r="W864" s="117" t="str">
        <f t="shared" si="39"/>
        <v/>
      </c>
      <c r="X864" s="22" t="str">
        <f t="shared" si="40"/>
        <v/>
      </c>
      <c r="Y864" s="22" t="str">
        <f>IF(Table26[[#This Row],[customerSKU]]="","",_xlfn.XLOOKUP(Table26[[#This Row],[customerSKU]],Table27[customer_SKU],Table27[product_GTIN],"",0,1))</f>
        <v/>
      </c>
      <c r="Z864" s="25" t="s">
        <v>3538</v>
      </c>
      <c r="AA864" s="18" t="str" cm="1">
        <f t="array" ref="AA864">IF(P864="", "", _xlfn.XLOOKUP(P864,#REF!,#REF!,NA,0,-1))</f>
        <v/>
      </c>
      <c r="AB864" s="22"/>
      <c r="AC864" s="55" t="str">
        <f>IF(Table26[[#This Row],[customerSKU]]="","",_xlfn.XLOOKUP(Table26[[#This Row],[customerSKU]],customerSKU!G:G,customerSKU!C:C,"",0,1))</f>
        <v/>
      </c>
      <c r="AD864" s="55" t="str">
        <f>IF($AC864="","",_xlfn.XLOOKUP($AC864,'[2]Client Info'!$C$2:$C$2535,'[2]Client Info'!$D$2:$D$2535,"",0,1))</f>
        <v/>
      </c>
      <c r="AE864" s="55" t="str">
        <f>IF($AC864="","",_xlfn.XLOOKUP($AC864,'[2]Client Info'!$C$2:$C$2715,'[2]Client Info'!$E$2:$E$2715,"",))</f>
        <v/>
      </c>
      <c r="AF864" s="55" t="str">
        <f>IF($AC864="","",_xlfn.XLOOKUP($AC864,'[2]Client Info'!$C$2:$C$2715,'[2]Client Info'!$F$2:$F$2715,"",0,1))</f>
        <v/>
      </c>
      <c r="AG864" s="55" t="str">
        <f>IF(ISBLANK(Table26[[#This Row],[customerSKU]]),"",_xlfn.XLOOKUP(Table26[[#This Row],[customerSKU]],Table27[customer_SKU],Table27[billto],"",0,1))</f>
        <v/>
      </c>
      <c r="AH864" s="26" t="str">
        <f>_xlfn.XLOOKUP(Table26[[#This Row],[customerSKU]],customerSKU!G:G,customerSKU!K:K,"NA",0,1)</f>
        <v>NA</v>
      </c>
      <c r="AI864" s="43" t="str">
        <f>_xlfn.XLOOKUP(Table26[[#This Row],[customerSKU]],customerSKU!G:G,customerSKU!O:O,"not found",0,1)</f>
        <v>not found</v>
      </c>
      <c r="AJ864" s="22" t="e">
        <f>Table26[[#This Row],[unitprice]]*Table26[[#This Row],[quantity_unit]]</f>
        <v>#VALUE!</v>
      </c>
      <c r="AK864" s="22" t="e" cm="1">
        <f t="array" ref="AK8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5" spans="1:37" ht="18" customHeight="1">
      <c r="A865" s="42">
        <v>1379</v>
      </c>
      <c r="B865" s="58" t="s">
        <v>3520</v>
      </c>
      <c r="C865" s="22" t="s">
        <v>3360</v>
      </c>
      <c r="E865" s="20"/>
      <c r="F86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5" s="46"/>
      <c r="J865" s="90" t="str">
        <f>IF(Table26[[#This Row],[customerSKU]]="","",_xlfn.XLOOKUP(Table26[[#This Row],[customerSKU]],customerSKU!G:G,customerSKU!A:A,"",0,1))</f>
        <v/>
      </c>
      <c r="K865" s="232">
        <v>45665</v>
      </c>
      <c r="L865" s="31" t="str">
        <f>IF(Table26[[#This Row],[customerSKU]]="","",_xlfn.XLOOKUP(Table26[[#This Row],[customerSKU]],customerSKU!G:G,customerSKU!B:B,"",0,1))</f>
        <v/>
      </c>
      <c r="M865" s="22"/>
      <c r="N865" s="15" t="str">
        <f>Table26[[#This Row],[po_number]]&amp;"-"&amp;Table26[[#This Row],[po_line]]</f>
        <v>-1</v>
      </c>
      <c r="O865" s="15">
        <v>1</v>
      </c>
      <c r="P865" s="29"/>
      <c r="S865" s="22" t="str">
        <f>IF(Table26[[#This Row],[customerSKU]]="","",_xlfn.XLOOKUP(Table26[[#This Row],[customerSKU]],customerSKU!G:G,customerSKU!N:N,"NOT FOUND",0,1))</f>
        <v>NOT FOUND</v>
      </c>
      <c r="T865" s="20"/>
      <c r="U865" s="21">
        <v>12</v>
      </c>
      <c r="V865" s="22" t="str">
        <f>IF(ISBLANK(Table26[[#This Row],[customerSKU]]),"",_xlfn.XLOOKUP(Table26[[#This Row],[customerSKU]],Table27[customer_SKU],Table27[case_size],"",0,1))</f>
        <v/>
      </c>
      <c r="W865" s="117" t="str">
        <f t="shared" si="39"/>
        <v/>
      </c>
      <c r="X865" s="22" t="str">
        <f t="shared" si="40"/>
        <v/>
      </c>
      <c r="Y865" s="22" t="str">
        <f>IF(Table26[[#This Row],[customerSKU]]="","",_xlfn.XLOOKUP(Table26[[#This Row],[customerSKU]],Table27[customer_SKU],Table27[product_GTIN],"",0,1))</f>
        <v/>
      </c>
      <c r="Z865" s="25" t="s">
        <v>3455</v>
      </c>
      <c r="AA865" s="18" t="str" cm="1">
        <f t="array" ref="AA865">IF(P865="", "", _xlfn.XLOOKUP(P865,#REF!,#REF!,NA,0,-1))</f>
        <v/>
      </c>
      <c r="AB865" s="22"/>
      <c r="AC865" s="55" t="str">
        <f>IF(Table26[[#This Row],[customerSKU]]="","",_xlfn.XLOOKUP(Table26[[#This Row],[customerSKU]],customerSKU!G:G,customerSKU!C:C,"",0,1))</f>
        <v/>
      </c>
      <c r="AD865" s="55" t="str">
        <f>IF($AC865="","",_xlfn.XLOOKUP($AC865,'[2]Client Info'!$C$2:$C$2535,'[2]Client Info'!$D$2:$D$2535,"",0,1))</f>
        <v/>
      </c>
      <c r="AE865" s="55" t="str">
        <f>IF($AC865="","",_xlfn.XLOOKUP($AC865,'[2]Client Info'!$C$2:$C$2715,'[2]Client Info'!$E$2:$E$2715,"",))</f>
        <v/>
      </c>
      <c r="AF865" s="55" t="str">
        <f>IF($AC865="","",_xlfn.XLOOKUP($AC865,'[2]Client Info'!$C$2:$C$2715,'[2]Client Info'!$F$2:$F$2715,"",0,1))</f>
        <v/>
      </c>
      <c r="AG865" s="55" t="str">
        <f>IF(ISBLANK(Table26[[#This Row],[customerSKU]]),"",_xlfn.XLOOKUP(Table26[[#This Row],[customerSKU]],Table27[customer_SKU],Table27[billto],"",0,1))</f>
        <v/>
      </c>
      <c r="AH865" s="26" t="str">
        <f>_xlfn.XLOOKUP(Table26[[#This Row],[customerSKU]],customerSKU!G:G,customerSKU!K:K,"NA",0,1)</f>
        <v>NA</v>
      </c>
      <c r="AI865" s="43" t="str">
        <f>_xlfn.XLOOKUP(Table26[[#This Row],[customerSKU]],customerSKU!G:G,customerSKU!O:O,"not found",0,1)</f>
        <v>not found</v>
      </c>
      <c r="AJ865" s="22" t="e">
        <f>Table26[[#This Row],[unitprice]]*Table26[[#This Row],[quantity_unit]]</f>
        <v>#VALUE!</v>
      </c>
      <c r="AK865" s="22" t="e" cm="1">
        <f t="array" ref="AK8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6" spans="1:37" ht="24.6" customHeight="1">
      <c r="A866" s="42">
        <v>1380</v>
      </c>
      <c r="B866" s="58" t="s">
        <v>3520</v>
      </c>
      <c r="C866" s="22" t="s">
        <v>3360</v>
      </c>
      <c r="E866" s="20"/>
      <c r="F86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6" s="46"/>
      <c r="J866" s="90" t="str">
        <f>IF(Table26[[#This Row],[customerSKU]]="","",_xlfn.XLOOKUP(Table26[[#This Row],[customerSKU]],customerSKU!G:G,customerSKU!A:A,"",0,1))</f>
        <v/>
      </c>
      <c r="K866" s="232">
        <v>45665</v>
      </c>
      <c r="L866" s="31" t="str">
        <f>IF(Table26[[#This Row],[customerSKU]]="","",_xlfn.XLOOKUP(Table26[[#This Row],[customerSKU]],customerSKU!G:G,customerSKU!B:B,"",0,1))</f>
        <v/>
      </c>
      <c r="M866" s="22"/>
      <c r="N866" s="15" t="str">
        <f>Table26[[#This Row],[po_number]]&amp;"-"&amp;Table26[[#This Row],[po_line]]</f>
        <v>-1</v>
      </c>
      <c r="O866" s="15">
        <v>1</v>
      </c>
      <c r="P866" s="29"/>
      <c r="S866" s="22" t="str">
        <f>IF(Table26[[#This Row],[customerSKU]]="","",_xlfn.XLOOKUP(Table26[[#This Row],[customerSKU]],customerSKU!G:G,customerSKU!N:N,"NOT FOUND",0,1))</f>
        <v>NOT FOUND</v>
      </c>
      <c r="T866" s="20"/>
      <c r="U866" s="21">
        <v>12</v>
      </c>
      <c r="V866" s="22" t="str">
        <f>IF(ISBLANK(Table26[[#This Row],[customerSKU]]),"",_xlfn.XLOOKUP(Table26[[#This Row],[customerSKU]],Table27[customer_SKU],Table27[case_size],"",0,1))</f>
        <v/>
      </c>
      <c r="W866" s="117" t="str">
        <f t="shared" si="39"/>
        <v/>
      </c>
      <c r="X866" s="22" t="str">
        <f t="shared" si="40"/>
        <v/>
      </c>
      <c r="Y866" s="22" t="str">
        <f>IF(Table26[[#This Row],[customerSKU]]="","",_xlfn.XLOOKUP(Table26[[#This Row],[customerSKU]],Table27[customer_SKU],Table27[product_GTIN],"",0,1))</f>
        <v/>
      </c>
      <c r="Z866" s="25" t="s">
        <v>3455</v>
      </c>
      <c r="AA866" s="18" t="str" cm="1">
        <f t="array" ref="AA866">IF(P866="", "", _xlfn.XLOOKUP(P866,#REF!,#REF!,NA,0,-1))</f>
        <v/>
      </c>
      <c r="AB866" s="22"/>
      <c r="AC866" s="55" t="str">
        <f>IF(Table26[[#This Row],[customerSKU]]="","",_xlfn.XLOOKUP(Table26[[#This Row],[customerSKU]],customerSKU!G:G,customerSKU!C:C,"",0,1))</f>
        <v/>
      </c>
      <c r="AD866" s="55" t="str">
        <f>IF($AC866="","",_xlfn.XLOOKUP($AC866,'[2]Client Info'!$C$2:$C$2535,'[2]Client Info'!$D$2:$D$2535,"",0,1))</f>
        <v/>
      </c>
      <c r="AE866" s="55" t="str">
        <f>IF($AC866="","",_xlfn.XLOOKUP($AC866,'[2]Client Info'!$C$2:$C$2715,'[2]Client Info'!$E$2:$E$2715,"",))</f>
        <v/>
      </c>
      <c r="AF866" s="55" t="str">
        <f>IF($AC866="","",_xlfn.XLOOKUP($AC866,'[2]Client Info'!$C$2:$C$2715,'[2]Client Info'!$F$2:$F$2715,"",0,1))</f>
        <v/>
      </c>
      <c r="AG866" s="55" t="str">
        <f>IF(ISBLANK(Table26[[#This Row],[customerSKU]]),"",_xlfn.XLOOKUP(Table26[[#This Row],[customerSKU]],Table27[customer_SKU],Table27[billto],"",0,1))</f>
        <v/>
      </c>
      <c r="AH866" s="26" t="str">
        <f>_xlfn.XLOOKUP(Table26[[#This Row],[customerSKU]],customerSKU!G:G,customerSKU!K:K,"NA",0,1)</f>
        <v>NA</v>
      </c>
      <c r="AI866" s="43" t="str">
        <f>_xlfn.XLOOKUP(Table26[[#This Row],[customerSKU]],customerSKU!G:G,customerSKU!O:O,"not found",0,1)</f>
        <v>not found</v>
      </c>
      <c r="AJ866" s="22" t="e">
        <f>Table26[[#This Row],[unitprice]]*Table26[[#This Row],[quantity_unit]]</f>
        <v>#VALUE!</v>
      </c>
      <c r="AK866" s="22" t="e" cm="1">
        <f t="array" ref="AK8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7" spans="1:37" ht="24.6" customHeight="1">
      <c r="A867" s="42">
        <v>1381</v>
      </c>
      <c r="B867" s="58" t="s">
        <v>3520</v>
      </c>
      <c r="C867" s="22" t="s">
        <v>3360</v>
      </c>
      <c r="E867" s="20"/>
      <c r="F86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7" s="46"/>
      <c r="J867" s="90" t="str">
        <f>IF(Table26[[#This Row],[customerSKU]]="","",_xlfn.XLOOKUP(Table26[[#This Row],[customerSKU]],customerSKU!G:G,customerSKU!A:A,"",0,1))</f>
        <v/>
      </c>
      <c r="K867" s="232">
        <v>45665</v>
      </c>
      <c r="L867" s="31" t="str">
        <f>IF(Table26[[#This Row],[customerSKU]]="","",_xlfn.XLOOKUP(Table26[[#This Row],[customerSKU]],customerSKU!G:G,customerSKU!B:B,"",0,1))</f>
        <v/>
      </c>
      <c r="M867" s="22"/>
      <c r="N867" s="15" t="str">
        <f>Table26[[#This Row],[po_number]]&amp;"-"&amp;Table26[[#This Row],[po_line]]</f>
        <v>-1</v>
      </c>
      <c r="O867" s="15">
        <v>1</v>
      </c>
      <c r="P867" s="29"/>
      <c r="S867" s="22" t="str">
        <f>IF(Table26[[#This Row],[customerSKU]]="","",_xlfn.XLOOKUP(Table26[[#This Row],[customerSKU]],customerSKU!G:G,customerSKU!N:N,"NOT FOUND",0,1))</f>
        <v>NOT FOUND</v>
      </c>
      <c r="T867" s="20"/>
      <c r="U867" s="21">
        <v>12</v>
      </c>
      <c r="V867" s="22" t="str">
        <f>IF(ISBLANK(Table26[[#This Row],[customerSKU]]),"",_xlfn.XLOOKUP(Table26[[#This Row],[customerSKU]],Table27[customer_SKU],Table27[case_size],"",0,1))</f>
        <v/>
      </c>
      <c r="W867" s="117" t="str">
        <f t="shared" si="39"/>
        <v/>
      </c>
      <c r="X867" s="22" t="str">
        <f t="shared" si="40"/>
        <v/>
      </c>
      <c r="Y867" s="22" t="str">
        <f>IF(Table26[[#This Row],[customerSKU]]="","",_xlfn.XLOOKUP(Table26[[#This Row],[customerSKU]],Table27[customer_SKU],Table27[product_GTIN],"",0,1))</f>
        <v/>
      </c>
      <c r="Z867" s="25" t="s">
        <v>3455</v>
      </c>
      <c r="AA867" s="18" t="str" cm="1">
        <f t="array" ref="AA867">IF(P867="", "", _xlfn.XLOOKUP(P867,#REF!,#REF!,NA,0,-1))</f>
        <v/>
      </c>
      <c r="AB867" s="22"/>
      <c r="AC867" s="55" t="str">
        <f>IF(Table26[[#This Row],[customerSKU]]="","",_xlfn.XLOOKUP(Table26[[#This Row],[customerSKU]],customerSKU!G:G,customerSKU!C:C,"",0,1))</f>
        <v/>
      </c>
      <c r="AD867" s="55" t="str">
        <f>IF($AC867="","",_xlfn.XLOOKUP($AC867,'[2]Client Info'!$C$2:$C$2535,'[2]Client Info'!$D$2:$D$2535,"",0,1))</f>
        <v/>
      </c>
      <c r="AE867" s="55" t="str">
        <f>IF($AC867="","",_xlfn.XLOOKUP($AC867,'[2]Client Info'!$C$2:$C$2715,'[2]Client Info'!$E$2:$E$2715,"",))</f>
        <v/>
      </c>
      <c r="AF867" s="55" t="str">
        <f>IF($AC867="","",_xlfn.XLOOKUP($AC867,'[2]Client Info'!$C$2:$C$2715,'[2]Client Info'!$F$2:$F$2715,"",0,1))</f>
        <v/>
      </c>
      <c r="AG867" s="55" t="str">
        <f>IF(ISBLANK(Table26[[#This Row],[customerSKU]]),"",_xlfn.XLOOKUP(Table26[[#This Row],[customerSKU]],Table27[customer_SKU],Table27[billto],"",0,1))</f>
        <v/>
      </c>
      <c r="AH867" s="26" t="str">
        <f>_xlfn.XLOOKUP(Table26[[#This Row],[customerSKU]],customerSKU!G:G,customerSKU!K:K,"NA",0,1)</f>
        <v>NA</v>
      </c>
      <c r="AI867" s="43" t="str">
        <f>_xlfn.XLOOKUP(Table26[[#This Row],[customerSKU]],customerSKU!G:G,customerSKU!O:O,"not found",0,1)</f>
        <v>not found</v>
      </c>
      <c r="AJ867" s="22" t="e">
        <f>Table26[[#This Row],[unitprice]]*Table26[[#This Row],[quantity_unit]]</f>
        <v>#VALUE!</v>
      </c>
      <c r="AK867" s="22" t="e" cm="1">
        <f t="array" ref="AK8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8" spans="1:37" ht="24.6" customHeight="1">
      <c r="A868" s="42">
        <v>1382</v>
      </c>
      <c r="B868" s="58" t="s">
        <v>3520</v>
      </c>
      <c r="C868" s="22" t="s">
        <v>3360</v>
      </c>
      <c r="E868" s="20"/>
      <c r="F86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8" s="46"/>
      <c r="J868" s="90" t="str">
        <f>IF(Table26[[#This Row],[customerSKU]]="","",_xlfn.XLOOKUP(Table26[[#This Row],[customerSKU]],customerSKU!G:G,customerSKU!A:A,"",0,1))</f>
        <v/>
      </c>
      <c r="K868" s="232">
        <v>45665</v>
      </c>
      <c r="L868" s="31" t="str">
        <f>IF(Table26[[#This Row],[customerSKU]]="","",_xlfn.XLOOKUP(Table26[[#This Row],[customerSKU]],customerSKU!G:G,customerSKU!B:B,"",0,1))</f>
        <v/>
      </c>
      <c r="M868" s="22"/>
      <c r="N868" s="15" t="str">
        <f>Table26[[#This Row],[po_number]]&amp;"-"&amp;Table26[[#This Row],[po_line]]</f>
        <v>-1</v>
      </c>
      <c r="O868" s="15">
        <v>1</v>
      </c>
      <c r="P868" s="29"/>
      <c r="S868" s="22" t="str">
        <f>IF(Table26[[#This Row],[customerSKU]]="","",_xlfn.XLOOKUP(Table26[[#This Row],[customerSKU]],customerSKU!G:G,customerSKU!N:N,"NOT FOUND",0,1))</f>
        <v>NOT FOUND</v>
      </c>
      <c r="T868" s="20"/>
      <c r="U868" s="21">
        <v>12</v>
      </c>
      <c r="V868" s="22" t="str">
        <f>IF(ISBLANK(Table26[[#This Row],[customerSKU]]),"",_xlfn.XLOOKUP(Table26[[#This Row],[customerSKU]],Table27[customer_SKU],Table27[case_size],"",0,1))</f>
        <v/>
      </c>
      <c r="W868" s="117" t="str">
        <f t="shared" si="39"/>
        <v/>
      </c>
      <c r="X868" s="22" t="str">
        <f t="shared" si="40"/>
        <v/>
      </c>
      <c r="Y868" s="22" t="str">
        <f>IF(Table26[[#This Row],[customerSKU]]="","",_xlfn.XLOOKUP(Table26[[#This Row],[customerSKU]],Table27[customer_SKU],Table27[product_GTIN],"",0,1))</f>
        <v/>
      </c>
      <c r="Z868" s="25" t="s">
        <v>3455</v>
      </c>
      <c r="AA868" s="18" t="str" cm="1">
        <f t="array" ref="AA868">IF(P868="", "", _xlfn.XLOOKUP(P868,#REF!,#REF!,NA,0,-1))</f>
        <v/>
      </c>
      <c r="AB868" s="22"/>
      <c r="AC868" s="55" t="str">
        <f>IF(Table26[[#This Row],[customerSKU]]="","",_xlfn.XLOOKUP(Table26[[#This Row],[customerSKU]],customerSKU!G:G,customerSKU!C:C,"",0,1))</f>
        <v/>
      </c>
      <c r="AD868" s="55" t="str">
        <f>IF($AC868="","",_xlfn.XLOOKUP($AC868,'[2]Client Info'!$C$2:$C$2535,'[2]Client Info'!$D$2:$D$2535,"",0,1))</f>
        <v/>
      </c>
      <c r="AE868" s="55" t="str">
        <f>IF($AC868="","",_xlfn.XLOOKUP($AC868,'[2]Client Info'!$C$2:$C$2715,'[2]Client Info'!$E$2:$E$2715,"",))</f>
        <v/>
      </c>
      <c r="AF868" s="55" t="str">
        <f>IF($AC868="","",_xlfn.XLOOKUP($AC868,'[2]Client Info'!$C$2:$C$2715,'[2]Client Info'!$F$2:$F$2715,"",0,1))</f>
        <v/>
      </c>
      <c r="AG868" s="55" t="str">
        <f>IF(ISBLANK(Table26[[#This Row],[customerSKU]]),"",_xlfn.XLOOKUP(Table26[[#This Row],[customerSKU]],Table27[customer_SKU],Table27[billto],"",0,1))</f>
        <v/>
      </c>
      <c r="AH868" s="26" t="str">
        <f>_xlfn.XLOOKUP(Table26[[#This Row],[customerSKU]],customerSKU!G:G,customerSKU!K:K,"NA",0,1)</f>
        <v>NA</v>
      </c>
      <c r="AI868" s="43" t="str">
        <f>_xlfn.XLOOKUP(Table26[[#This Row],[customerSKU]],customerSKU!G:G,customerSKU!O:O,"not found",0,1)</f>
        <v>not found</v>
      </c>
      <c r="AJ868" s="22" t="e">
        <f>Table26[[#This Row],[unitprice]]*Table26[[#This Row],[quantity_unit]]</f>
        <v>#VALUE!</v>
      </c>
      <c r="AK868" s="22" t="e" cm="1">
        <f t="array" ref="AK8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69" spans="1:37" ht="18" customHeight="1">
      <c r="A869" s="42">
        <v>1383</v>
      </c>
      <c r="B869" s="58" t="s">
        <v>3520</v>
      </c>
      <c r="C869" s="22" t="s">
        <v>3360</v>
      </c>
      <c r="E869" s="20"/>
      <c r="F86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69" s="46"/>
      <c r="J869" s="90" t="str">
        <f>IF(Table26[[#This Row],[customerSKU]]="","",_xlfn.XLOOKUP(Table26[[#This Row],[customerSKU]],customerSKU!G:G,customerSKU!A:A,"",0,1))</f>
        <v/>
      </c>
      <c r="K869" s="232">
        <v>45665</v>
      </c>
      <c r="L869" s="31" t="str">
        <f>IF(Table26[[#This Row],[customerSKU]]="","",_xlfn.XLOOKUP(Table26[[#This Row],[customerSKU]],customerSKU!G:G,customerSKU!B:B,"",0,1))</f>
        <v/>
      </c>
      <c r="M869" s="22"/>
      <c r="N869" s="15" t="str">
        <f>Table26[[#This Row],[po_number]]&amp;"-"&amp;Table26[[#This Row],[po_line]]</f>
        <v>-1</v>
      </c>
      <c r="O869" s="15">
        <v>1</v>
      </c>
      <c r="P869" s="29"/>
      <c r="S869" s="22" t="str">
        <f>IF(Table26[[#This Row],[customerSKU]]="","",_xlfn.XLOOKUP(Table26[[#This Row],[customerSKU]],customerSKU!G:G,customerSKU!N:N,"NOT FOUND",0,1))</f>
        <v>NOT FOUND</v>
      </c>
      <c r="T869" s="20"/>
      <c r="U869" s="21">
        <v>12</v>
      </c>
      <c r="V869" s="22" t="str">
        <f>IF(ISBLANK(Table26[[#This Row],[customerSKU]]),"",_xlfn.XLOOKUP(Table26[[#This Row],[customerSKU]],Table27[customer_SKU],Table27[case_size],"",0,1))</f>
        <v/>
      </c>
      <c r="W869" s="117" t="str">
        <f t="shared" si="39"/>
        <v/>
      </c>
      <c r="X869" s="22" t="str">
        <f t="shared" si="40"/>
        <v/>
      </c>
      <c r="Y869" s="22" t="str">
        <f>IF(Table26[[#This Row],[customerSKU]]="","",_xlfn.XLOOKUP(Table26[[#This Row],[customerSKU]],Table27[customer_SKU],Table27[product_GTIN],"",0,1))</f>
        <v/>
      </c>
      <c r="Z869" s="25" t="s">
        <v>3455</v>
      </c>
      <c r="AA869" s="18" t="str" cm="1">
        <f t="array" ref="AA869">IF(P869="", "", _xlfn.XLOOKUP(P869,#REF!,#REF!,NA,0,-1))</f>
        <v/>
      </c>
      <c r="AB869" s="22"/>
      <c r="AC869" s="55" t="str">
        <f>IF(Table26[[#This Row],[customerSKU]]="","",_xlfn.XLOOKUP(Table26[[#This Row],[customerSKU]],customerSKU!G:G,customerSKU!C:C,"",0,1))</f>
        <v/>
      </c>
      <c r="AD869" s="55" t="str">
        <f>IF($AC869="","",_xlfn.XLOOKUP($AC869,'[2]Client Info'!$C$2:$C$2535,'[2]Client Info'!$D$2:$D$2535,"",0,1))</f>
        <v/>
      </c>
      <c r="AE869" s="55" t="str">
        <f>IF($AC869="","",_xlfn.XLOOKUP($AC869,'[2]Client Info'!$C$2:$C$2715,'[2]Client Info'!$E$2:$E$2715,"",))</f>
        <v/>
      </c>
      <c r="AF869" s="55" t="str">
        <f>IF($AC869="","",_xlfn.XLOOKUP($AC869,'[2]Client Info'!$C$2:$C$2715,'[2]Client Info'!$F$2:$F$2715,"",0,1))</f>
        <v/>
      </c>
      <c r="AG869" s="55" t="str">
        <f>IF(ISBLANK(Table26[[#This Row],[customerSKU]]),"",_xlfn.XLOOKUP(Table26[[#This Row],[customerSKU]],Table27[customer_SKU],Table27[billto],"",0,1))</f>
        <v/>
      </c>
      <c r="AH869" s="26" t="str">
        <f>_xlfn.XLOOKUP(Table26[[#This Row],[customerSKU]],customerSKU!G:G,customerSKU!K:K,"NA",0,1)</f>
        <v>NA</v>
      </c>
      <c r="AI869" s="43" t="str">
        <f>_xlfn.XLOOKUP(Table26[[#This Row],[customerSKU]],customerSKU!G:G,customerSKU!O:O,"not found",0,1)</f>
        <v>not found</v>
      </c>
      <c r="AJ869" s="22" t="e">
        <f>Table26[[#This Row],[unitprice]]*Table26[[#This Row],[quantity_unit]]</f>
        <v>#VALUE!</v>
      </c>
      <c r="AK869" s="22" t="e" cm="1">
        <f t="array" ref="AK8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0" spans="1:37" ht="18" customHeight="1">
      <c r="A870" s="42">
        <v>1384</v>
      </c>
      <c r="B870" s="58" t="s">
        <v>3520</v>
      </c>
      <c r="C870" s="22" t="s">
        <v>3360</v>
      </c>
      <c r="E870" s="20"/>
      <c r="F87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0" s="46"/>
      <c r="J870" s="90" t="str">
        <f>IF(Table26[[#This Row],[customerSKU]]="","",_xlfn.XLOOKUP(Table26[[#This Row],[customerSKU]],customerSKU!G:G,customerSKU!A:A,"",0,1))</f>
        <v/>
      </c>
      <c r="K870" s="232">
        <v>45665</v>
      </c>
      <c r="L870" s="31" t="str">
        <f>IF(Table26[[#This Row],[customerSKU]]="","",_xlfn.XLOOKUP(Table26[[#This Row],[customerSKU]],customerSKU!G:G,customerSKU!B:B,"",0,1))</f>
        <v/>
      </c>
      <c r="M870" s="22"/>
      <c r="N870" s="15" t="str">
        <f>Table26[[#This Row],[po_number]]&amp;"-"&amp;Table26[[#This Row],[po_line]]</f>
        <v>-1</v>
      </c>
      <c r="O870" s="15">
        <v>1</v>
      </c>
      <c r="P870" s="29"/>
      <c r="S870" s="22" t="str">
        <f>IF(Table26[[#This Row],[customerSKU]]="","",_xlfn.XLOOKUP(Table26[[#This Row],[customerSKU]],customerSKU!G:G,customerSKU!N:N,"NOT FOUND",0,1))</f>
        <v>NOT FOUND</v>
      </c>
      <c r="T870" s="20"/>
      <c r="U870" s="21">
        <v>12</v>
      </c>
      <c r="V870" s="22" t="str">
        <f>IF(ISBLANK(Table26[[#This Row],[customerSKU]]),"",_xlfn.XLOOKUP(Table26[[#This Row],[customerSKU]],Table27[customer_SKU],Table27[case_size],"",0,1))</f>
        <v/>
      </c>
      <c r="W870" s="117" t="str">
        <f t="shared" ref="W870:W901" si="41">IFERROR(U870/V870, "")</f>
        <v/>
      </c>
      <c r="X870" s="22" t="str">
        <f t="shared" si="40"/>
        <v/>
      </c>
      <c r="Y870" s="22" t="str">
        <f>IF(Table26[[#This Row],[customerSKU]]="","",_xlfn.XLOOKUP(Table26[[#This Row],[customerSKU]],Table27[customer_SKU],Table27[product_GTIN],"",0,1))</f>
        <v/>
      </c>
      <c r="Z870" s="25" t="s">
        <v>3455</v>
      </c>
      <c r="AA870" s="18" t="str" cm="1">
        <f t="array" ref="AA870">IF(P870="", "", _xlfn.XLOOKUP(P870,#REF!,#REF!,NA,0,-1))</f>
        <v/>
      </c>
      <c r="AB870" s="22"/>
      <c r="AC870" s="55" t="str">
        <f>IF(Table26[[#This Row],[customerSKU]]="","",_xlfn.XLOOKUP(Table26[[#This Row],[customerSKU]],customerSKU!G:G,customerSKU!C:C,"",0,1))</f>
        <v/>
      </c>
      <c r="AD870" s="55" t="str">
        <f>IF($AC870="","",_xlfn.XLOOKUP($AC870,'[2]Client Info'!$C$2:$C$2535,'[2]Client Info'!$D$2:$D$2535,"",0,1))</f>
        <v/>
      </c>
      <c r="AE870" s="55" t="str">
        <f>IF($AC870="","",_xlfn.XLOOKUP($AC870,'[2]Client Info'!$C$2:$C$2715,'[2]Client Info'!$E$2:$E$2715,"",))</f>
        <v/>
      </c>
      <c r="AF870" s="55" t="str">
        <f>IF($AC870="","",_xlfn.XLOOKUP($AC870,'[2]Client Info'!$C$2:$C$2715,'[2]Client Info'!$F$2:$F$2715,"",0,1))</f>
        <v/>
      </c>
      <c r="AG870" s="55" t="str">
        <f>IF(ISBLANK(Table26[[#This Row],[customerSKU]]),"",_xlfn.XLOOKUP(Table26[[#This Row],[customerSKU]],Table27[customer_SKU],Table27[billto],"",0,1))</f>
        <v/>
      </c>
      <c r="AH870" s="26" t="str">
        <f>_xlfn.XLOOKUP(Table26[[#This Row],[customerSKU]],customerSKU!G:G,customerSKU!K:K,"NA",0,1)</f>
        <v>NA</v>
      </c>
      <c r="AI870" s="43" t="str">
        <f>_xlfn.XLOOKUP(Table26[[#This Row],[customerSKU]],customerSKU!G:G,customerSKU!O:O,"not found",0,1)</f>
        <v>not found</v>
      </c>
      <c r="AJ870" s="22" t="e">
        <f>Table26[[#This Row],[unitprice]]*Table26[[#This Row],[quantity_unit]]</f>
        <v>#VALUE!</v>
      </c>
      <c r="AK870" s="22" t="e" cm="1">
        <f t="array" ref="AK8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1" spans="1:37" ht="18" customHeight="1">
      <c r="A871" s="42">
        <v>1385</v>
      </c>
      <c r="B871" s="58" t="s">
        <v>3520</v>
      </c>
      <c r="C871" s="22" t="s">
        <v>3360</v>
      </c>
      <c r="E871" s="20"/>
      <c r="F87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1" s="46"/>
      <c r="J871" s="90" t="str">
        <f>IF(Table26[[#This Row],[customerSKU]]="","",_xlfn.XLOOKUP(Table26[[#This Row],[customerSKU]],customerSKU!G:G,customerSKU!A:A,"",0,1))</f>
        <v/>
      </c>
      <c r="K871" s="232">
        <v>45665</v>
      </c>
      <c r="L871" s="31" t="str">
        <f>IF(Table26[[#This Row],[customerSKU]]="","",_xlfn.XLOOKUP(Table26[[#This Row],[customerSKU]],customerSKU!G:G,customerSKU!B:B,"",0,1))</f>
        <v/>
      </c>
      <c r="M871" s="22"/>
      <c r="N871" s="15" t="str">
        <f>Table26[[#This Row],[po_number]]&amp;"-"&amp;Table26[[#This Row],[po_line]]</f>
        <v>-1</v>
      </c>
      <c r="O871" s="15">
        <v>1</v>
      </c>
      <c r="P871" s="29"/>
      <c r="S871" s="22" t="str">
        <f>IF(Table26[[#This Row],[customerSKU]]="","",_xlfn.XLOOKUP(Table26[[#This Row],[customerSKU]],customerSKU!G:G,customerSKU!N:N,"NOT FOUND",0,1))</f>
        <v>NOT FOUND</v>
      </c>
      <c r="T871" s="20"/>
      <c r="U871" s="21">
        <v>12</v>
      </c>
      <c r="V871" s="22" t="str">
        <f>IF(ISBLANK(Table26[[#This Row],[customerSKU]]),"",_xlfn.XLOOKUP(Table26[[#This Row],[customerSKU]],Table27[customer_SKU],Table27[case_size],"",0,1))</f>
        <v/>
      </c>
      <c r="W871" s="117" t="str">
        <f t="shared" si="41"/>
        <v/>
      </c>
      <c r="X871" s="22" t="str">
        <f t="shared" si="40"/>
        <v/>
      </c>
      <c r="Y871" s="22" t="str">
        <f>IF(Table26[[#This Row],[customerSKU]]="","",_xlfn.XLOOKUP(Table26[[#This Row],[customerSKU]],Table27[customer_SKU],Table27[product_GTIN],"",0,1))</f>
        <v/>
      </c>
      <c r="Z871" s="25" t="s">
        <v>3455</v>
      </c>
      <c r="AA871" s="18" t="str" cm="1">
        <f t="array" ref="AA871">IF(P871="", "", _xlfn.XLOOKUP(P871,#REF!,#REF!,NA,0,-1))</f>
        <v/>
      </c>
      <c r="AB871" s="22"/>
      <c r="AC871" s="55" t="str">
        <f>IF(Table26[[#This Row],[customerSKU]]="","",_xlfn.XLOOKUP(Table26[[#This Row],[customerSKU]],customerSKU!G:G,customerSKU!C:C,"",0,1))</f>
        <v/>
      </c>
      <c r="AD871" s="55" t="str">
        <f>IF($AC871="","",_xlfn.XLOOKUP($AC871,'[2]Client Info'!$C$2:$C$2535,'[2]Client Info'!$D$2:$D$2535,"",0,1))</f>
        <v/>
      </c>
      <c r="AE871" s="55" t="str">
        <f>IF($AC871="","",_xlfn.XLOOKUP($AC871,'[2]Client Info'!$C$2:$C$2715,'[2]Client Info'!$E$2:$E$2715,"",))</f>
        <v/>
      </c>
      <c r="AF871" s="55" t="str">
        <f>IF($AC871="","",_xlfn.XLOOKUP($AC871,'[2]Client Info'!$C$2:$C$2715,'[2]Client Info'!$F$2:$F$2715,"",0,1))</f>
        <v/>
      </c>
      <c r="AG871" s="55" t="str">
        <f>IF(ISBLANK(Table26[[#This Row],[customerSKU]]),"",_xlfn.XLOOKUP(Table26[[#This Row],[customerSKU]],Table27[customer_SKU],Table27[billto],"",0,1))</f>
        <v/>
      </c>
      <c r="AH871" s="26" t="str">
        <f>_xlfn.XLOOKUP(Table26[[#This Row],[customerSKU]],customerSKU!G:G,customerSKU!K:K,"NA",0,1)</f>
        <v>NA</v>
      </c>
      <c r="AI871" s="43" t="str">
        <f>_xlfn.XLOOKUP(Table26[[#This Row],[customerSKU]],customerSKU!G:G,customerSKU!O:O,"not found",0,1)</f>
        <v>not found</v>
      </c>
      <c r="AJ871" s="22" t="e">
        <f>Table26[[#This Row],[unitprice]]*Table26[[#This Row],[quantity_unit]]</f>
        <v>#VALUE!</v>
      </c>
      <c r="AK871" s="22" t="e" cm="1">
        <f t="array" ref="AK8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2" spans="1:37" ht="18" customHeight="1">
      <c r="A872" s="42">
        <v>1374</v>
      </c>
      <c r="B872" s="58" t="s">
        <v>3520</v>
      </c>
      <c r="C872" s="22" t="s">
        <v>203</v>
      </c>
      <c r="E872" s="20"/>
      <c r="F87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2" s="46"/>
      <c r="J872" s="90" t="str">
        <f>IF(Table26[[#This Row],[customerSKU]]="","",_xlfn.XLOOKUP(Table26[[#This Row],[customerSKU]],customerSKU!G:G,customerSKU!A:A,"",0,1))</f>
        <v/>
      </c>
      <c r="K872" s="232">
        <v>45666</v>
      </c>
      <c r="L872" s="31" t="str">
        <f>IF(Table26[[#This Row],[customerSKU]]="","",_xlfn.XLOOKUP(Table26[[#This Row],[customerSKU]],customerSKU!G:G,customerSKU!B:B,"",0,1))</f>
        <v/>
      </c>
      <c r="M872" s="22"/>
      <c r="N872" s="15" t="str">
        <f>Table26[[#This Row],[po_number]]&amp;"-"&amp;Table26[[#This Row],[po_line]]</f>
        <v>-1</v>
      </c>
      <c r="O872" s="15">
        <v>1</v>
      </c>
      <c r="P872" s="29"/>
      <c r="Q872" s="22" t="s">
        <v>4111</v>
      </c>
      <c r="R872" s="22" t="s">
        <v>569</v>
      </c>
      <c r="S872" s="22" t="s">
        <v>4112</v>
      </c>
      <c r="T872" s="20">
        <v>45663</v>
      </c>
      <c r="U872" s="21">
        <v>2400</v>
      </c>
      <c r="V872" s="22" t="str">
        <f>IF(ISBLANK(Table26[[#This Row],[customerSKU]]),"",_xlfn.XLOOKUP(Table26[[#This Row],[customerSKU]],Table27[customer_SKU],Table27[case_size],"",0,1))</f>
        <v/>
      </c>
      <c r="W872" s="117" t="str">
        <f t="shared" si="41"/>
        <v/>
      </c>
      <c r="X872" s="22" t="str">
        <f t="shared" si="40"/>
        <v/>
      </c>
      <c r="Y872" s="22" t="str">
        <f>IF(Table26[[#This Row],[customerSKU]]="","",_xlfn.XLOOKUP(Table26[[#This Row],[customerSKU]],Table27[customer_SKU],Table27[product_GTIN],"",0,1))</f>
        <v/>
      </c>
      <c r="Z872" s="25" t="s">
        <v>3413</v>
      </c>
      <c r="AA872" s="18" t="str" cm="1">
        <f t="array" ref="AA872">IF(P872="", "", _xlfn.XLOOKUP(P872,#REF!,#REF!,NA,0,-1))</f>
        <v/>
      </c>
      <c r="AB872" s="22"/>
      <c r="AC872" s="55" t="str">
        <f>IF(Table26[[#This Row],[customerSKU]]="","",_xlfn.XLOOKUP(Table26[[#This Row],[customerSKU]],customerSKU!G:G,customerSKU!C:C,"",0,1))</f>
        <v/>
      </c>
      <c r="AD872" s="55" t="str">
        <f>IF($AC872="","",_xlfn.XLOOKUP($AC872,'[2]Client Info'!$C$2:$C$2535,'[2]Client Info'!$D$2:$D$2535,"",0,1))</f>
        <v/>
      </c>
      <c r="AE872" s="55" t="str">
        <f>IF($AC872="","",_xlfn.XLOOKUP($AC872,'[2]Client Info'!$C$2:$C$2715,'[2]Client Info'!$E$2:$E$2715,"",))</f>
        <v/>
      </c>
      <c r="AF872" s="55" t="str">
        <f>IF($AC872="","",_xlfn.XLOOKUP($AC872,'[2]Client Info'!$C$2:$C$2715,'[2]Client Info'!$F$2:$F$2715,"",0,1))</f>
        <v/>
      </c>
      <c r="AG872" s="55" t="s">
        <v>4113</v>
      </c>
      <c r="AH872" s="26" t="str">
        <f>_xlfn.XLOOKUP(Table26[[#This Row],[customerSKU]],customerSKU!G:G,customerSKU!K:K,"NA",0,1)</f>
        <v>NA</v>
      </c>
      <c r="AI872" s="43" t="str">
        <f>_xlfn.XLOOKUP(Table26[[#This Row],[customerSKU]],customerSKU!G:G,customerSKU!O:O,"not found",0,1)</f>
        <v>not found</v>
      </c>
      <c r="AJ872" s="22" t="e">
        <f>Table26[[#This Row],[unitprice]]*Table26[[#This Row],[quantity_unit]]</f>
        <v>#VALUE!</v>
      </c>
      <c r="AK872" s="22" t="e" cm="1">
        <f t="array" ref="AK8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3" spans="1:37" ht="18" customHeight="1">
      <c r="A873" s="42">
        <v>1375</v>
      </c>
      <c r="B873" s="58" t="s">
        <v>3520</v>
      </c>
      <c r="C873" s="22" t="s">
        <v>203</v>
      </c>
      <c r="E873" s="20"/>
      <c r="F87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3" s="46"/>
      <c r="J873" s="90" t="str">
        <f>IF(Table26[[#This Row],[customerSKU]]="","",_xlfn.XLOOKUP(Table26[[#This Row],[customerSKU]],customerSKU!G:G,customerSKU!A:A,"",0,1))</f>
        <v/>
      </c>
      <c r="K873" s="232">
        <v>45666</v>
      </c>
      <c r="L873" s="31" t="str">
        <f>IF(Table26[[#This Row],[customerSKU]]="","",_xlfn.XLOOKUP(Table26[[#This Row],[customerSKU]],customerSKU!G:G,customerSKU!B:B,"",0,1))</f>
        <v/>
      </c>
      <c r="M873" s="22"/>
      <c r="N873" s="15" t="str">
        <f>Table26[[#This Row],[po_number]]&amp;"-"&amp;Table26[[#This Row],[po_line]]</f>
        <v>-1</v>
      </c>
      <c r="O873" s="15">
        <v>1</v>
      </c>
      <c r="P873" s="29"/>
      <c r="Q873" s="22" t="s">
        <v>4114</v>
      </c>
      <c r="R873" s="22" t="s">
        <v>569</v>
      </c>
      <c r="S873" s="22" t="str">
        <f>IF(Table26[[#This Row],[customerSKU]]="","",_xlfn.XLOOKUP(Table26[[#This Row],[customerSKU]],customerSKU!G:G,customerSKU!N:N,"NOT FOUND",0,1))</f>
        <v>NOT FOUND</v>
      </c>
      <c r="T873" s="20">
        <v>45662</v>
      </c>
      <c r="U873" s="21">
        <f>163*12</f>
        <v>1956</v>
      </c>
      <c r="V873" s="22" t="str">
        <f>IF(ISBLANK(Table26[[#This Row],[customerSKU]]),"",_xlfn.XLOOKUP(Table26[[#This Row],[customerSKU]],Table27[customer_SKU],Table27[case_size],"",0,1))</f>
        <v/>
      </c>
      <c r="W873" s="117" t="str">
        <f t="shared" si="41"/>
        <v/>
      </c>
      <c r="X873" s="22" t="str">
        <f t="shared" si="40"/>
        <v/>
      </c>
      <c r="Y873" s="22" t="str">
        <f>IF(Table26[[#This Row],[customerSKU]]="","",_xlfn.XLOOKUP(Table26[[#This Row],[customerSKU]],Table27[customer_SKU],Table27[product_GTIN],"",0,1))</f>
        <v/>
      </c>
      <c r="Z873" s="25" t="s">
        <v>3411</v>
      </c>
      <c r="AA873" s="18" t="str" cm="1">
        <f t="array" ref="AA873">IF(P873="", "", _xlfn.XLOOKUP(P873,#REF!,#REF!,NA,0,-1))</f>
        <v/>
      </c>
      <c r="AB873" s="22"/>
      <c r="AC873" s="55" t="str">
        <f>IF(Table26[[#This Row],[customerSKU]]="","",_xlfn.XLOOKUP(Table26[[#This Row],[customerSKU]],customerSKU!G:G,customerSKU!C:C,"",0,1))</f>
        <v/>
      </c>
      <c r="AD873" s="55" t="str">
        <f>IF($AC873="","",_xlfn.XLOOKUP($AC873,'[2]Client Info'!$C$2:$C$2535,'[2]Client Info'!$D$2:$D$2535,"",0,1))</f>
        <v/>
      </c>
      <c r="AE873" s="55" t="str">
        <f>IF($AC873="","",_xlfn.XLOOKUP($AC873,'[2]Client Info'!$C$2:$C$2715,'[2]Client Info'!$E$2:$E$2715,"",))</f>
        <v/>
      </c>
      <c r="AF873" s="55" t="str">
        <f>IF($AC873="","",_xlfn.XLOOKUP($AC873,'[2]Client Info'!$C$2:$C$2715,'[2]Client Info'!$F$2:$F$2715,"",0,1))</f>
        <v/>
      </c>
      <c r="AG873" s="55" t="s">
        <v>145</v>
      </c>
      <c r="AH873" s="26" t="str">
        <f>_xlfn.XLOOKUP(Table26[[#This Row],[customerSKU]],customerSKU!G:G,customerSKU!K:K,"NA",0,1)</f>
        <v>NA</v>
      </c>
      <c r="AI873" s="43" t="str">
        <f>_xlfn.XLOOKUP(Table26[[#This Row],[customerSKU]],customerSKU!G:G,customerSKU!O:O,"not found",0,1)</f>
        <v>not found</v>
      </c>
      <c r="AJ873" s="22" t="e">
        <f>Table26[[#This Row],[unitprice]]*Table26[[#This Row],[quantity_unit]]</f>
        <v>#VALUE!</v>
      </c>
      <c r="AK873" s="22" t="e" cm="1">
        <f t="array" ref="AK8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4" spans="1:37" ht="18" customHeight="1">
      <c r="A874" s="42">
        <v>1376</v>
      </c>
      <c r="B874" s="249" t="s">
        <v>3520</v>
      </c>
      <c r="C874" s="90" t="s">
        <v>203</v>
      </c>
      <c r="D874" s="235"/>
      <c r="E874" s="235"/>
      <c r="F87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74" s="46"/>
      <c r="H874" s="90"/>
      <c r="I874" s="90"/>
      <c r="J874" s="90" t="str">
        <f>IF(Table26[[#This Row],[customerSKU]]="","",_xlfn.XLOOKUP(Table26[[#This Row],[customerSKU]],customerSKU!G:G,customerSKU!A:A,"",0,1))</f>
        <v/>
      </c>
      <c r="K874" s="232">
        <v>45666</v>
      </c>
      <c r="L874" s="233" t="str">
        <f>IF(Table26[[#This Row],[customerSKU]]="","",_xlfn.XLOOKUP(Table26[[#This Row],[customerSKU]],customerSKU!G:G,customerSKU!B:B,"",0,1))</f>
        <v/>
      </c>
      <c r="M874" s="90"/>
      <c r="N874" s="55" t="str">
        <f>Table26[[#This Row],[po_number]]&amp;"-"&amp;Table26[[#This Row],[po_line]]</f>
        <v>-1</v>
      </c>
      <c r="O874" s="55">
        <v>1</v>
      </c>
      <c r="P874" s="234"/>
      <c r="Q874" s="90" t="s">
        <v>659</v>
      </c>
      <c r="R874" s="90" t="s">
        <v>532</v>
      </c>
      <c r="S874" s="90" t="str">
        <f>IF(Table26[[#This Row],[customerSKU]]="","",_xlfn.XLOOKUP(Table26[[#This Row],[customerSKU]],customerSKU!G:G,customerSKU!N:N,"NOT FOUND",0,1))</f>
        <v>NOT FOUND</v>
      </c>
      <c r="T874" s="20">
        <v>45638</v>
      </c>
      <c r="U874" s="236">
        <v>12</v>
      </c>
      <c r="V874" s="90" t="str">
        <f>IF(ISBLANK(Table26[[#This Row],[customerSKU]]),"",_xlfn.XLOOKUP(Table26[[#This Row],[customerSKU]],Table27[customer_SKU],Table27[case_size],"",0,1))</f>
        <v/>
      </c>
      <c r="W874" s="237" t="str">
        <f t="shared" si="41"/>
        <v/>
      </c>
      <c r="X874" s="90" t="str">
        <f t="shared" si="40"/>
        <v/>
      </c>
      <c r="Y874" s="90" t="str">
        <f>IF(Table26[[#This Row],[customerSKU]]="","",_xlfn.XLOOKUP(Table26[[#This Row],[customerSKU]],Table27[customer_SKU],Table27[product_GTIN],"",0,1))</f>
        <v/>
      </c>
      <c r="Z874" s="25" t="s">
        <v>3391</v>
      </c>
      <c r="AA874" s="18" t="str" cm="1">
        <f t="array" ref="AA874">IF(P874="", "", _xlfn.XLOOKUP(P874,#REF!,#REF!,NA,0,-1))</f>
        <v/>
      </c>
      <c r="AB874" s="90"/>
      <c r="AC874" s="55" t="s">
        <v>3496</v>
      </c>
      <c r="AD874" s="55" t="str">
        <f>IF($AC874="","",_xlfn.XLOOKUP($AC874,'[2]Client Info'!$C$2:$C$2535,'[2]Client Info'!$D$2:$D$2535,"",0,1))</f>
        <v>11939 240th Street</v>
      </c>
      <c r="AE874" s="55" t="str">
        <f>IF($AC874="","",_xlfn.XLOOKUP($AC874,'[2]Client Info'!$C$2:$C$2715,'[2]Client Info'!$E$2:$E$2715,"",))</f>
        <v>Maple Ridge</v>
      </c>
      <c r="AF874" s="55" t="str">
        <f>IF($AC874="","",_xlfn.XLOOKUP($AC874,'[2]Client Info'!$C$2:$C$2715,'[2]Client Info'!$F$2:$F$2715,"",0,1))</f>
        <v xml:space="preserve">BC </v>
      </c>
      <c r="AG874" s="55" t="s">
        <v>3496</v>
      </c>
      <c r="AH874" s="245" t="str">
        <f>_xlfn.XLOOKUP(Table26[[#This Row],[customerSKU]],customerSKU!G:G,customerSKU!K:K,"NA",0,1)</f>
        <v>NA</v>
      </c>
      <c r="AI874" s="43" t="str">
        <f>_xlfn.XLOOKUP(Table26[[#This Row],[customerSKU]],customerSKU!G:G,customerSKU!O:O,"not found",0,1)</f>
        <v>not found</v>
      </c>
      <c r="AJ874" s="22" t="e">
        <f>Table26[[#This Row],[unitprice]]*Table26[[#This Row],[quantity_unit]]</f>
        <v>#VALUE!</v>
      </c>
      <c r="AK874" s="22" t="e" cm="1">
        <f t="array" ref="AK8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5" spans="1:37" ht="18" customHeight="1">
      <c r="A875" s="42">
        <v>1377</v>
      </c>
      <c r="B875" s="249" t="s">
        <v>3520</v>
      </c>
      <c r="C875" s="90" t="s">
        <v>203</v>
      </c>
      <c r="D875" s="235"/>
      <c r="E875" s="235"/>
      <c r="F87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75" s="46"/>
      <c r="H875" s="90"/>
      <c r="I875" s="90"/>
      <c r="J875" s="90" t="str">
        <f>IF(Table26[[#This Row],[customerSKU]]="","",_xlfn.XLOOKUP(Table26[[#This Row],[customerSKU]],customerSKU!G:G,customerSKU!A:A,"",0,1))</f>
        <v/>
      </c>
      <c r="K875" s="232">
        <v>45666</v>
      </c>
      <c r="L875" s="233" t="str">
        <f>IF(Table26[[#This Row],[customerSKU]]="","",_xlfn.XLOOKUP(Table26[[#This Row],[customerSKU]],customerSKU!G:G,customerSKU!B:B,"",0,1))</f>
        <v/>
      </c>
      <c r="M875" s="90"/>
      <c r="N875" s="55" t="str">
        <f>Table26[[#This Row],[po_number]]&amp;"-"&amp;Table26[[#This Row],[po_line]]</f>
        <v>-2</v>
      </c>
      <c r="O875" s="55">
        <v>2</v>
      </c>
      <c r="P875" s="234"/>
      <c r="Q875" s="90" t="s">
        <v>1625</v>
      </c>
      <c r="R875" s="90" t="s">
        <v>532</v>
      </c>
      <c r="S875" s="90" t="str">
        <f>IF(Table26[[#This Row],[customerSKU]]="","",_xlfn.XLOOKUP(Table26[[#This Row],[customerSKU]],customerSKU!G:G,customerSKU!N:N,"NOT FOUND",0,1))</f>
        <v>NOT FOUND</v>
      </c>
      <c r="T875" s="20">
        <v>45666</v>
      </c>
      <c r="U875" s="236">
        <v>12</v>
      </c>
      <c r="V875" s="90" t="str">
        <f>IF(ISBLANK(Table26[[#This Row],[customerSKU]]),"",_xlfn.XLOOKUP(Table26[[#This Row],[customerSKU]],Table27[customer_SKU],Table27[case_size],"",0,1))</f>
        <v/>
      </c>
      <c r="W875" s="237" t="str">
        <f t="shared" si="41"/>
        <v/>
      </c>
      <c r="X875" s="90" t="str">
        <f t="shared" si="40"/>
        <v/>
      </c>
      <c r="Y875" s="90" t="str">
        <f>IF(Table26[[#This Row],[customerSKU]]="","",_xlfn.XLOOKUP(Table26[[#This Row],[customerSKU]],Table27[customer_SKU],Table27[product_GTIN],"",0,1))</f>
        <v/>
      </c>
      <c r="Z875" s="25" t="s">
        <v>3373</v>
      </c>
      <c r="AA875" s="18" t="str" cm="1">
        <f t="array" ref="AA875">IF(P875="", "", _xlfn.XLOOKUP(P875,#REF!,#REF!,NA,0,-1))</f>
        <v/>
      </c>
      <c r="AB875" s="90"/>
      <c r="AC875" s="55" t="s">
        <v>3496</v>
      </c>
      <c r="AD875" s="55" t="str">
        <f>IF($AC875="","",_xlfn.XLOOKUP($AC875,'[2]Client Info'!$C$2:$C$2535,'[2]Client Info'!$D$2:$D$2535,"",0,1))</f>
        <v>11939 240th Street</v>
      </c>
      <c r="AE875" s="55" t="str">
        <f>IF($AC875="","",_xlfn.XLOOKUP($AC875,'[2]Client Info'!$C$2:$C$2715,'[2]Client Info'!$E$2:$E$2715,"",))</f>
        <v>Maple Ridge</v>
      </c>
      <c r="AF875" s="55" t="str">
        <f>IF($AC875="","",_xlfn.XLOOKUP($AC875,'[2]Client Info'!$C$2:$C$2715,'[2]Client Info'!$F$2:$F$2715,"",0,1))</f>
        <v xml:space="preserve">BC </v>
      </c>
      <c r="AG875" s="55" t="s">
        <v>3496</v>
      </c>
      <c r="AH875" s="245" t="str">
        <f>_xlfn.XLOOKUP(Table26[[#This Row],[customerSKU]],customerSKU!G:G,customerSKU!K:K,"NA",0,1)</f>
        <v>NA</v>
      </c>
      <c r="AI875" s="43" t="str">
        <f>_xlfn.XLOOKUP(Table26[[#This Row],[customerSKU]],customerSKU!G:G,customerSKU!O:O,"not found",0,1)</f>
        <v>not found</v>
      </c>
      <c r="AJ875" s="22" t="e">
        <f>Table26[[#This Row],[unitprice]]*Table26[[#This Row],[quantity_unit]]</f>
        <v>#VALUE!</v>
      </c>
      <c r="AK875" s="22" t="e" cm="1">
        <f t="array" ref="AK8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6" spans="1:37" ht="18" customHeight="1">
      <c r="A876" s="42">
        <v>1378</v>
      </c>
      <c r="B876" s="249" t="s">
        <v>3520</v>
      </c>
      <c r="C876" s="90" t="s">
        <v>203</v>
      </c>
      <c r="D876" s="235"/>
      <c r="E876" s="235"/>
      <c r="F87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76" s="46"/>
      <c r="H876" s="90"/>
      <c r="I876" s="90"/>
      <c r="J876" s="90" t="str">
        <f>IF(Table26[[#This Row],[customerSKU]]="","",_xlfn.XLOOKUP(Table26[[#This Row],[customerSKU]],customerSKU!G:G,customerSKU!A:A,"",0,1))</f>
        <v/>
      </c>
      <c r="K876" s="232">
        <v>45666</v>
      </c>
      <c r="L876" s="233" t="str">
        <f>IF(Table26[[#This Row],[customerSKU]]="","",_xlfn.XLOOKUP(Table26[[#This Row],[customerSKU]],customerSKU!G:G,customerSKU!B:B,"",0,1))</f>
        <v/>
      </c>
      <c r="M876" s="90"/>
      <c r="N876" s="55" t="str">
        <f>Table26[[#This Row],[po_number]]&amp;"-"&amp;Table26[[#This Row],[po_line]]</f>
        <v>-3</v>
      </c>
      <c r="O876" s="55">
        <v>3</v>
      </c>
      <c r="P876" s="234"/>
      <c r="Q876" s="90" t="s">
        <v>3378</v>
      </c>
      <c r="R876" s="90" t="s">
        <v>532</v>
      </c>
      <c r="S876" s="90" t="str">
        <f>IF(Table26[[#This Row],[customerSKU]]="","",_xlfn.XLOOKUP(Table26[[#This Row],[customerSKU]],customerSKU!G:G,customerSKU!N:N,"NOT FOUND",0,1))</f>
        <v>NOT FOUND</v>
      </c>
      <c r="T876" s="20">
        <v>45642</v>
      </c>
      <c r="U876" s="236">
        <v>12</v>
      </c>
      <c r="V876" s="90" t="str">
        <f>IF(ISBLANK(Table26[[#This Row],[customerSKU]]),"",_xlfn.XLOOKUP(Table26[[#This Row],[customerSKU]],Table27[customer_SKU],Table27[case_size],"",0,1))</f>
        <v/>
      </c>
      <c r="W876" s="237" t="str">
        <f t="shared" si="41"/>
        <v/>
      </c>
      <c r="X876" s="90" t="str">
        <f t="shared" si="40"/>
        <v/>
      </c>
      <c r="Y876" s="90" t="str">
        <f>IF(Table26[[#This Row],[customerSKU]]="","",_xlfn.XLOOKUP(Table26[[#This Row],[customerSKU]],Table27[customer_SKU],Table27[product_GTIN],"",0,1))</f>
        <v/>
      </c>
      <c r="Z876" s="25" t="s">
        <v>3379</v>
      </c>
      <c r="AA876" s="18" t="str" cm="1">
        <f t="array" ref="AA876">IF(P876="", "", _xlfn.XLOOKUP(P876,#REF!,#REF!,NA,0,-1))</f>
        <v/>
      </c>
      <c r="AB876" s="90"/>
      <c r="AC876" s="55" t="s">
        <v>3496</v>
      </c>
      <c r="AD876" s="55" t="str">
        <f>IF($AC876="","",_xlfn.XLOOKUP($AC876,'[2]Client Info'!$C$2:$C$2535,'[2]Client Info'!$D$2:$D$2535,"",0,1))</f>
        <v>11939 240th Street</v>
      </c>
      <c r="AE876" s="55" t="str">
        <f>IF($AC876="","",_xlfn.XLOOKUP($AC876,'[2]Client Info'!$C$2:$C$2715,'[2]Client Info'!$E$2:$E$2715,"",))</f>
        <v>Maple Ridge</v>
      </c>
      <c r="AF876" s="55" t="str">
        <f>IF($AC876="","",_xlfn.XLOOKUP($AC876,'[2]Client Info'!$C$2:$C$2715,'[2]Client Info'!$F$2:$F$2715,"",0,1))</f>
        <v xml:space="preserve">BC </v>
      </c>
      <c r="AG876" s="55" t="s">
        <v>3496</v>
      </c>
      <c r="AH876" s="245" t="str">
        <f>_xlfn.XLOOKUP(Table26[[#This Row],[customerSKU]],customerSKU!G:G,customerSKU!K:K,"NA",0,1)</f>
        <v>NA</v>
      </c>
      <c r="AI876" s="43" t="str">
        <f>_xlfn.XLOOKUP(Table26[[#This Row],[customerSKU]],customerSKU!G:G,customerSKU!O:O,"not found",0,1)</f>
        <v>not found</v>
      </c>
      <c r="AJ876" s="22" t="e">
        <f>Table26[[#This Row],[unitprice]]*Table26[[#This Row],[quantity_unit]]</f>
        <v>#VALUE!</v>
      </c>
      <c r="AK876" s="22" t="e" cm="1">
        <f t="array" ref="AK8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7" spans="1:37" ht="18" customHeight="1">
      <c r="A877" s="42">
        <v>2285</v>
      </c>
      <c r="B877" s="42" t="s">
        <v>3357</v>
      </c>
      <c r="C877" s="53" t="s">
        <v>203</v>
      </c>
      <c r="E877" s="20"/>
      <c r="F877" s="25"/>
      <c r="G877" s="93"/>
      <c r="I877" s="19">
        <v>45666</v>
      </c>
      <c r="J877" s="90" t="str">
        <f>IF(Table26[[#This Row],[customerSKU]]="","",_xlfn.XLOOKUP(Table26[[#This Row],[customerSKU]],customerSKU!G:G,customerSKU!A:A,"",0,1))</f>
        <v/>
      </c>
      <c r="K877" s="19">
        <v>45666</v>
      </c>
      <c r="L877" s="49" t="str">
        <f>IF(Table26[[#This Row],[customerSKU]]="","",_xlfn.XLOOKUP(Table26[[#This Row],[customerSKU]],customerSKU!G:G,customerSKU!B:B,"",0,1))</f>
        <v/>
      </c>
      <c r="M877" s="22"/>
      <c r="N877" s="15" t="str">
        <f>Table26[[#This Row],[po_number]]&amp;"-"&amp;Table26[[#This Row],[po_line]]</f>
        <v>-1</v>
      </c>
      <c r="O877" s="15">
        <v>1</v>
      </c>
      <c r="P877" s="50"/>
      <c r="Q877" s="22" t="s">
        <v>3378</v>
      </c>
      <c r="R877" s="22" t="s">
        <v>3559</v>
      </c>
      <c r="S877" s="90" t="str">
        <f>IF(Table26[[#This Row],[customerSKU]]="","",_xlfn.XLOOKUP(Table26[[#This Row],[customerSKU]],customerSKU!G:G,customerSKU!N:N,"NOT FOUND",0,1))</f>
        <v>NOT FOUND</v>
      </c>
      <c r="T877" s="20">
        <v>45666</v>
      </c>
      <c r="U877" s="94">
        <v>2</v>
      </c>
      <c r="V877" s="22" t="str">
        <f>IF(ISBLANK(Table26[[#This Row],[customerSKU]]),"",_xlfn.XLOOKUP(Table26[[#This Row],[customerSKU]],Table27[customer_SKU],Table27[case_size],"",0,1))</f>
        <v/>
      </c>
      <c r="W877" s="117" t="str">
        <f t="shared" si="41"/>
        <v/>
      </c>
      <c r="X877" s="22" t="str">
        <f t="shared" si="40"/>
        <v/>
      </c>
      <c r="Y877" s="25" t="str">
        <f>IF(Table26[[#This Row],[customerSKU]]="","",_xlfn.XLOOKUP(Table26[[#This Row],[customerSKU]],Table27[customer_SKU],Table27[product_GTIN],"",0,1))</f>
        <v/>
      </c>
      <c r="Z877" s="90" t="s">
        <v>4180</v>
      </c>
      <c r="AA877" s="18" t="str" cm="1">
        <f t="array" ref="AA877">IF(P877="", "", _xlfn.XLOOKUP(P877,#REF!,#REF!,NA,0,-1))</f>
        <v/>
      </c>
      <c r="AB877" s="22"/>
      <c r="AC877" s="55"/>
      <c r="AD877" s="55" t="str">
        <f>IF($AC877="","",_xlfn.XLOOKUP($AC877,'[2]Client Info'!$C$2:$C$2535,'[2]Client Info'!$D$2:$D$2535,"",0,1))</f>
        <v/>
      </c>
      <c r="AE877" s="55" t="str">
        <f>IF($AC877="","",_xlfn.XLOOKUP($AC877,'[2]Client Info'!$C$2:$C$2715,'[2]Client Info'!$E$2:$E$2715,"",))</f>
        <v/>
      </c>
      <c r="AF877" s="55" t="str">
        <f>IF($AC877="","",_xlfn.XLOOKUP($AC877,'[2]Client Info'!$C$2:$C$2715,'[2]Client Info'!$F$2:$F$2715,"",0,1))</f>
        <v/>
      </c>
      <c r="AG877" s="55" t="str">
        <f>IF(ISBLANK(Table26[[#This Row],[customerSKU]]),"",_xlfn.XLOOKUP(Table26[[#This Row],[customerSKU]],Table27[customer_SKU],Table27[billto],"",0,1))</f>
        <v/>
      </c>
      <c r="AH877" s="26" t="str">
        <f>_xlfn.XLOOKUP(Table26[[#This Row],[customerSKU]],customerSKU!G:G,customerSKU!K:K,"NA",0,1)</f>
        <v>NA</v>
      </c>
      <c r="AI877" s="43" t="str">
        <f>_xlfn.XLOOKUP(Table26[[#This Row],[customerSKU]],customerSKU!G:G,customerSKU!O:O,"not found",0,1)</f>
        <v>not found</v>
      </c>
      <c r="AJ877" s="22" t="e">
        <f>Table26[[#This Row],[unitprice]]*Table26[[#This Row],[quantity_unit]]</f>
        <v>#VALUE!</v>
      </c>
      <c r="AK877" s="22" t="e" cm="1">
        <f t="array" ref="AK8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8" spans="1:37" ht="18" customHeight="1">
      <c r="A878" s="42">
        <v>1369</v>
      </c>
      <c r="B878" s="58" t="s">
        <v>3520</v>
      </c>
      <c r="C878" s="22" t="s">
        <v>203</v>
      </c>
      <c r="E878" s="20"/>
      <c r="F87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8" s="46"/>
      <c r="J878" s="90" t="str">
        <f>IF(Table26[[#This Row],[customerSKU]]="","",_xlfn.XLOOKUP(Table26[[#This Row],[customerSKU]],customerSKU!G:G,customerSKU!A:A,"",0,1))</f>
        <v/>
      </c>
      <c r="K878" s="232">
        <v>45667</v>
      </c>
      <c r="L878" s="31" t="str">
        <f>IF(Table26[[#This Row],[customerSKU]]="","",_xlfn.XLOOKUP(Table26[[#This Row],[customerSKU]],customerSKU!G:G,customerSKU!B:B,"",0,1))</f>
        <v/>
      </c>
      <c r="M878" s="22"/>
      <c r="N878" s="15" t="str">
        <f>Table26[[#This Row],[po_number]]&amp;"-"&amp;Table26[[#This Row],[po_line]]</f>
        <v>-1</v>
      </c>
      <c r="O878" s="15">
        <v>1</v>
      </c>
      <c r="P878" s="29"/>
      <c r="Q878" s="22" t="s">
        <v>1377</v>
      </c>
      <c r="R878" s="22" t="s">
        <v>569</v>
      </c>
      <c r="S878" s="22" t="s">
        <v>4150</v>
      </c>
      <c r="T878" s="20">
        <v>45569</v>
      </c>
      <c r="U878" s="21">
        <v>120</v>
      </c>
      <c r="V878" s="22" t="str">
        <f>IF(ISBLANK(Table26[[#This Row],[customerSKU]]),"",_xlfn.XLOOKUP(Table26[[#This Row],[customerSKU]],Table27[customer_SKU],Table27[case_size],"",0,1))</f>
        <v/>
      </c>
      <c r="W878" s="117" t="str">
        <f t="shared" si="41"/>
        <v/>
      </c>
      <c r="X878" s="22" t="str">
        <f t="shared" si="40"/>
        <v/>
      </c>
      <c r="Y878" s="22" t="str">
        <f>IF(Table26[[#This Row],[customerSKU]]="","",_xlfn.XLOOKUP(Table26[[#This Row],[customerSKU]],Table27[customer_SKU],Table27[product_GTIN],"",0,1))</f>
        <v/>
      </c>
      <c r="Z878" s="25" t="s">
        <v>287</v>
      </c>
      <c r="AA878" s="18" t="str" cm="1">
        <f t="array" ref="AA878">IF(P878="", "", _xlfn.XLOOKUP(P878,#REF!,#REF!,NA,0,-1))</f>
        <v/>
      </c>
      <c r="AB878" s="22"/>
      <c r="AC878" s="55" t="str">
        <f>IF(Table26[[#This Row],[customerSKU]]="","",_xlfn.XLOOKUP(Table26[[#This Row],[customerSKU]],customerSKU!G:G,customerSKU!C:C,"",0,1))</f>
        <v/>
      </c>
      <c r="AD878" s="55" t="str">
        <f>IF($AC878="","",_xlfn.XLOOKUP($AC878,'[2]Client Info'!$C$2:$C$2535,'[2]Client Info'!$D$2:$D$2535,"",0,1))</f>
        <v/>
      </c>
      <c r="AE878" s="55" t="str">
        <f>IF($AC878="","",_xlfn.XLOOKUP($AC878,'[2]Client Info'!$C$2:$C$2715,'[2]Client Info'!$E$2:$E$2715,"",))</f>
        <v/>
      </c>
      <c r="AF878" s="55" t="str">
        <f>IF($AC878="","",_xlfn.XLOOKUP($AC878,'[2]Client Info'!$C$2:$C$2715,'[2]Client Info'!$F$2:$F$2715,"",0,1))</f>
        <v/>
      </c>
      <c r="AG878" s="55" t="str">
        <f>IF(ISBLANK(Table26[[#This Row],[customerSKU]]),"",_xlfn.XLOOKUP(Table26[[#This Row],[customerSKU]],Table27[customer_SKU],Table27[billto],"",0,1))</f>
        <v/>
      </c>
      <c r="AH878" s="26" t="str">
        <f>_xlfn.XLOOKUP(Table26[[#This Row],[customerSKU]],customerSKU!G:G,customerSKU!K:K,"NA",0,1)</f>
        <v>NA</v>
      </c>
      <c r="AI878" s="43" t="str">
        <f>_xlfn.XLOOKUP(Table26[[#This Row],[customerSKU]],customerSKU!G:G,customerSKU!O:O,"not found",0,1)</f>
        <v>not found</v>
      </c>
      <c r="AJ878" s="22" t="e">
        <f>Table26[[#This Row],[unitprice]]*Table26[[#This Row],[quantity_unit]]</f>
        <v>#VALUE!</v>
      </c>
      <c r="AK878" s="22" t="e" cm="1">
        <f t="array" ref="AK8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79" spans="1:37" ht="18" customHeight="1">
      <c r="A879" s="42">
        <v>1370</v>
      </c>
      <c r="B879" s="58" t="s">
        <v>3520</v>
      </c>
      <c r="C879" s="22" t="s">
        <v>203</v>
      </c>
      <c r="E879" s="20"/>
      <c r="F87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79" s="46"/>
      <c r="J879" s="90" t="str">
        <f>IF(Table26[[#This Row],[customerSKU]]="","",_xlfn.XLOOKUP(Table26[[#This Row],[customerSKU]],customerSKU!G:G,customerSKU!A:A,"",0,1))</f>
        <v/>
      </c>
      <c r="K879" s="232">
        <v>45667</v>
      </c>
      <c r="L879" s="31" t="str">
        <f>IF(Table26[[#This Row],[customerSKU]]="","",_xlfn.XLOOKUP(Table26[[#This Row],[customerSKU]],customerSKU!G:G,customerSKU!B:B,"",0,1))</f>
        <v/>
      </c>
      <c r="M879" s="22"/>
      <c r="N879" s="15" t="str">
        <f>Table26[[#This Row],[po_number]]&amp;"-"&amp;Table26[[#This Row],[po_line]]</f>
        <v>-2</v>
      </c>
      <c r="O879" s="15">
        <v>2</v>
      </c>
      <c r="P879" s="29"/>
      <c r="Q879" s="22" t="s">
        <v>1324</v>
      </c>
      <c r="R879" s="22" t="s">
        <v>569</v>
      </c>
      <c r="S879" s="22" t="s">
        <v>4150</v>
      </c>
      <c r="T879" s="20">
        <v>45629</v>
      </c>
      <c r="U879" s="21">
        <v>30</v>
      </c>
      <c r="V879" s="22" t="str">
        <f>IF(ISBLANK(Table26[[#This Row],[customerSKU]]),"",_xlfn.XLOOKUP(Table26[[#This Row],[customerSKU]],Table27[customer_SKU],Table27[case_size],"",0,1))</f>
        <v/>
      </c>
      <c r="W879" s="117" t="str">
        <f t="shared" si="41"/>
        <v/>
      </c>
      <c r="X879" s="22" t="str">
        <f t="shared" si="40"/>
        <v/>
      </c>
      <c r="Y879" s="22" t="str">
        <f>IF(Table26[[#This Row],[customerSKU]]="","",_xlfn.XLOOKUP(Table26[[#This Row],[customerSKU]],Table27[customer_SKU],Table27[product_GTIN],"",0,1))</f>
        <v/>
      </c>
      <c r="Z879" s="25" t="s">
        <v>4027</v>
      </c>
      <c r="AA879" s="18" t="str" cm="1">
        <f t="array" ref="AA879">IF(P879="", "", _xlfn.XLOOKUP(P879,#REF!,#REF!,NA,0,-1))</f>
        <v/>
      </c>
      <c r="AB879" s="22"/>
      <c r="AC879" s="55" t="str">
        <f>IF(Table26[[#This Row],[customerSKU]]="","",_xlfn.XLOOKUP(Table26[[#This Row],[customerSKU]],customerSKU!G:G,customerSKU!C:C,"",0,1))</f>
        <v/>
      </c>
      <c r="AD879" s="55" t="str">
        <f>IF($AC879="","",_xlfn.XLOOKUP($AC879,'[2]Client Info'!$C$2:$C$2535,'[2]Client Info'!$D$2:$D$2535,"",0,1))</f>
        <v/>
      </c>
      <c r="AE879" s="55" t="str">
        <f>IF($AC879="","",_xlfn.XLOOKUP($AC879,'[2]Client Info'!$C$2:$C$2715,'[2]Client Info'!$E$2:$E$2715,"",))</f>
        <v/>
      </c>
      <c r="AF879" s="55" t="str">
        <f>IF($AC879="","",_xlfn.XLOOKUP($AC879,'[2]Client Info'!$C$2:$C$2715,'[2]Client Info'!$F$2:$F$2715,"",0,1))</f>
        <v/>
      </c>
      <c r="AG879" s="55" t="str">
        <f>IF(ISBLANK(Table26[[#This Row],[customerSKU]]),"",_xlfn.XLOOKUP(Table26[[#This Row],[customerSKU]],Table27[customer_SKU],Table27[billto],"",0,1))</f>
        <v/>
      </c>
      <c r="AH879" s="26" t="str">
        <f>_xlfn.XLOOKUP(Table26[[#This Row],[customerSKU]],customerSKU!G:G,customerSKU!K:K,"NA",0,1)</f>
        <v>NA</v>
      </c>
      <c r="AI879" s="43" t="str">
        <f>_xlfn.XLOOKUP(Table26[[#This Row],[customerSKU]],customerSKU!G:G,customerSKU!O:O,"not found",0,1)</f>
        <v>not found</v>
      </c>
      <c r="AJ879" s="22" t="e">
        <f>Table26[[#This Row],[unitprice]]*Table26[[#This Row],[quantity_unit]]</f>
        <v>#VALUE!</v>
      </c>
      <c r="AK879" s="22" t="e" cm="1">
        <f t="array" ref="AK8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80" spans="1:37" ht="18" customHeight="1">
      <c r="A880" s="42">
        <v>1371</v>
      </c>
      <c r="B880" s="249" t="s">
        <v>3520</v>
      </c>
      <c r="C880" s="90" t="s">
        <v>203</v>
      </c>
      <c r="D880" s="235"/>
      <c r="E880" s="235"/>
      <c r="F88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80" s="46"/>
      <c r="H880" s="90"/>
      <c r="I880" s="90"/>
      <c r="J880" s="90" t="str">
        <f>IF(Table26[[#This Row],[customerSKU]]="","",_xlfn.XLOOKUP(Table26[[#This Row],[customerSKU]],customerSKU!G:G,customerSKU!A:A,"",0,1))</f>
        <v/>
      </c>
      <c r="K880" s="232">
        <v>45667</v>
      </c>
      <c r="L880" s="233" t="str">
        <f>IF(Table26[[#This Row],[customerSKU]]="","",_xlfn.XLOOKUP(Table26[[#This Row],[customerSKU]],customerSKU!G:G,customerSKU!B:B,"",0,1))</f>
        <v/>
      </c>
      <c r="M880" s="90"/>
      <c r="N880" s="55" t="str">
        <f>Table26[[#This Row],[po_number]]&amp;"-"&amp;Table26[[#This Row],[po_line]]</f>
        <v>-1</v>
      </c>
      <c r="O880" s="55">
        <v>1</v>
      </c>
      <c r="P880" s="234"/>
      <c r="Q880" s="90" t="s">
        <v>4168</v>
      </c>
      <c r="R880" s="257" t="s">
        <v>3302</v>
      </c>
      <c r="S880" s="90" t="str">
        <f>IF(Table26[[#This Row],[customerSKU]]="","",_xlfn.XLOOKUP(Table26[[#This Row],[customerSKU]],customerSKU!G:G,customerSKU!N:N,"NOT FOUND",0,1))</f>
        <v>NOT FOUND</v>
      </c>
      <c r="T880" s="20">
        <v>45668</v>
      </c>
      <c r="U880" s="236">
        <v>6</v>
      </c>
      <c r="V880" s="90" t="str">
        <f>IF(ISBLANK(Table26[[#This Row],[customerSKU]]),"",_xlfn.XLOOKUP(Table26[[#This Row],[customerSKU]],Table27[customer_SKU],Table27[case_size],"",0,1))</f>
        <v/>
      </c>
      <c r="W880" s="237" t="str">
        <f t="shared" si="41"/>
        <v/>
      </c>
      <c r="X880" s="90" t="str">
        <f t="shared" si="40"/>
        <v/>
      </c>
      <c r="Y880" s="90" t="str">
        <f>IF(Table26[[#This Row],[customerSKU]]="","",_xlfn.XLOOKUP(Table26[[#This Row],[customerSKU]],Table27[customer_SKU],Table27[product_GTIN],"",0,1))</f>
        <v/>
      </c>
      <c r="Z880" s="25" t="s">
        <v>4169</v>
      </c>
      <c r="AA880" s="18" t="str" cm="1">
        <f t="array" ref="AA880">IF(P880="", "", _xlfn.XLOOKUP(P880,#REF!,#REF!,NA,0,-1))</f>
        <v/>
      </c>
      <c r="AB880" s="90"/>
      <c r="AC880" s="55" t="s">
        <v>3425</v>
      </c>
      <c r="AD880" s="55" t="str">
        <f>IF($AC880="","",_xlfn.XLOOKUP($AC880,'[2]Client Info'!$C$2:$C$2535,'[2]Client Info'!$D$2:$D$2535,"",0,1))</f>
        <v>1453 Bellevue Ave</v>
      </c>
      <c r="AE880" s="55" t="str">
        <f>IF($AC880="","",_xlfn.XLOOKUP($AC880,'[2]Client Info'!$C$2:$C$2715,'[2]Client Info'!$E$2:$E$2715,"",))</f>
        <v>West Vancouver</v>
      </c>
      <c r="AF880" s="55" t="str">
        <f>IF($AC880="","",_xlfn.XLOOKUP($AC880,'[2]Client Info'!$C$2:$C$2715,'[2]Client Info'!$F$2:$F$2715,"",0,1))</f>
        <v xml:space="preserve">BC </v>
      </c>
      <c r="AG880" s="55" t="s">
        <v>3425</v>
      </c>
      <c r="AH880" s="245" t="str">
        <f>_xlfn.XLOOKUP(Table26[[#This Row],[customerSKU]],customerSKU!G:G,customerSKU!K:K,"NA",0,1)</f>
        <v>NA</v>
      </c>
      <c r="AI880" s="43" t="str">
        <f>_xlfn.XLOOKUP(Table26[[#This Row],[customerSKU]],customerSKU!G:G,customerSKU!O:O,"not found",0,1)</f>
        <v>not found</v>
      </c>
      <c r="AJ880" s="22" t="e">
        <f>Table26[[#This Row],[unitprice]]*Table26[[#This Row],[quantity_unit]]</f>
        <v>#VALUE!</v>
      </c>
      <c r="AK880" s="22" t="e" cm="1">
        <f t="array" ref="AK8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81" spans="1:37" ht="18" customHeight="1">
      <c r="A881" s="42">
        <v>1372</v>
      </c>
      <c r="B881" s="249" t="s">
        <v>3520</v>
      </c>
      <c r="C881" s="90" t="s">
        <v>203</v>
      </c>
      <c r="D881" s="235"/>
      <c r="E881" s="235"/>
      <c r="F881" s="90"/>
      <c r="G881" s="46"/>
      <c r="H881" s="90"/>
      <c r="I881" s="90"/>
      <c r="J881" s="90" t="str">
        <f>IF(Table26[[#This Row],[customerSKU]]="","",_xlfn.XLOOKUP(Table26[[#This Row],[customerSKU]],customerSKU!G:G,customerSKU!A:A,"",0,1))</f>
        <v/>
      </c>
      <c r="K881" s="232">
        <v>45667</v>
      </c>
      <c r="L881" s="233" t="str">
        <f>IF(Table26[[#This Row],[customerSKU]]="","",_xlfn.XLOOKUP(Table26[[#This Row],[customerSKU]],customerSKU!G:G,customerSKU!B:B,"",0,1))</f>
        <v/>
      </c>
      <c r="M881" s="90"/>
      <c r="N881" s="55" t="str">
        <f>Table26[[#This Row],[po_number]]&amp;"-"&amp;Table26[[#This Row],[po_line]]</f>
        <v>-2</v>
      </c>
      <c r="O881" s="55">
        <v>2</v>
      </c>
      <c r="P881" s="234"/>
      <c r="Q881" s="90" t="s">
        <v>4170</v>
      </c>
      <c r="R881" s="257" t="s">
        <v>3302</v>
      </c>
      <c r="S881" s="90" t="str">
        <f>IF(Table26[[#This Row],[customerSKU]]="","",_xlfn.XLOOKUP(Table26[[#This Row],[customerSKU]],customerSKU!G:G,customerSKU!N:N,"NOT FOUND",0,1))</f>
        <v>NOT FOUND</v>
      </c>
      <c r="T881" s="20">
        <v>45668</v>
      </c>
      <c r="U881" s="236">
        <v>12</v>
      </c>
      <c r="V881" s="90" t="str">
        <f>IF(ISBLANK(Table26[[#This Row],[customerSKU]]),"",_xlfn.XLOOKUP(Table26[[#This Row],[customerSKU]],Table27[customer_SKU],Table27[case_size],"",0,1))</f>
        <v/>
      </c>
      <c r="W881" s="237" t="str">
        <f t="shared" si="41"/>
        <v/>
      </c>
      <c r="X881" s="90" t="str">
        <f t="shared" si="40"/>
        <v/>
      </c>
      <c r="Y881" s="90" t="str">
        <f>IF(Table26[[#This Row],[customerSKU]]="","",_xlfn.XLOOKUP(Table26[[#This Row],[customerSKU]],Table27[customer_SKU],Table27[product_GTIN],"",0,1))</f>
        <v/>
      </c>
      <c r="Z881" s="25" t="s">
        <v>3384</v>
      </c>
      <c r="AA881" s="18" t="str" cm="1">
        <f t="array" ref="AA881">IF(P881="", "", _xlfn.XLOOKUP(P881,#REF!,#REF!,NA,0,-1))</f>
        <v/>
      </c>
      <c r="AB881" s="90"/>
      <c r="AC881" s="55" t="s">
        <v>3425</v>
      </c>
      <c r="AD881" s="55" t="str">
        <f>IF($AC881="","",_xlfn.XLOOKUP($AC881,'[2]Client Info'!$C$2:$C$2535,'[2]Client Info'!$D$2:$D$2535))</f>
        <v>1453 Bellevue Ave</v>
      </c>
      <c r="AE881" s="55" t="str">
        <f>IF($AC881="","",_xlfn.XLOOKUP($AC881,'[2]Client Info'!$C$2:$C$2715,'[2]Client Info'!$E$2:$E$2715,"",))</f>
        <v>West Vancouver</v>
      </c>
      <c r="AF881" s="55" t="str">
        <f>IF($AC881="","",_xlfn.XLOOKUP($AC881,'[2]Client Info'!$C$2:$C$2715,'[2]Client Info'!$F$2:$F$2715,"",0,1))</f>
        <v xml:space="preserve">BC </v>
      </c>
      <c r="AG881" s="55" t="s">
        <v>3425</v>
      </c>
      <c r="AH881" s="245" t="str">
        <f>_xlfn.XLOOKUP(Table26[[#This Row],[customerSKU]],customerSKU!G:G,customerSKU!K:K,"NA",0,1)</f>
        <v>NA</v>
      </c>
      <c r="AI881" s="43" t="str">
        <f>_xlfn.XLOOKUP(Table26[[#This Row],[customerSKU]],customerSKU!G:G,customerSKU!O:O,"not found",0,1)</f>
        <v>not found</v>
      </c>
      <c r="AJ881" s="22" t="e">
        <f>Table26[[#This Row],[unitprice]]*Table26[[#This Row],[quantity_unit]]</f>
        <v>#VALUE!</v>
      </c>
      <c r="AK881" s="22" t="e" cm="1">
        <f t="array" ref="AK8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82" spans="1:37" ht="18" customHeight="1">
      <c r="A882" s="42">
        <v>1373</v>
      </c>
      <c r="B882" s="249" t="s">
        <v>3520</v>
      </c>
      <c r="C882" s="90" t="s">
        <v>203</v>
      </c>
      <c r="D882" s="235"/>
      <c r="E882" s="235"/>
      <c r="F88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82" s="46"/>
      <c r="H882" s="90"/>
      <c r="I882" s="90"/>
      <c r="J882" s="90" t="str">
        <f>IF(Table26[[#This Row],[customerSKU]]="","",_xlfn.XLOOKUP(Table26[[#This Row],[customerSKU]],customerSKU!G:G,customerSKU!A:A,"",0,1))</f>
        <v/>
      </c>
      <c r="K882" s="232">
        <v>45667</v>
      </c>
      <c r="L882" s="233" t="str">
        <f>IF(Table26[[#This Row],[customerSKU]]="","",_xlfn.XLOOKUP(Table26[[#This Row],[customerSKU]],customerSKU!G:G,customerSKU!B:B,"",0,1))</f>
        <v/>
      </c>
      <c r="M882" s="90"/>
      <c r="N882" s="55" t="str">
        <f>Table26[[#This Row],[po_number]]&amp;"-"&amp;Table26[[#This Row],[po_line]]</f>
        <v>-1</v>
      </c>
      <c r="O882" s="55">
        <v>1</v>
      </c>
      <c r="P882" s="234"/>
      <c r="Q882" s="90" t="s">
        <v>4168</v>
      </c>
      <c r="R882" s="257" t="s">
        <v>3302</v>
      </c>
      <c r="S882" s="90" t="str">
        <f>IF(Table26[[#This Row],[customerSKU]]="","",_xlfn.XLOOKUP(Table26[[#This Row],[customerSKU]],customerSKU!G:G,customerSKU!N:N,"NOT FOUND",0,1))</f>
        <v>NOT FOUND</v>
      </c>
      <c r="T882" s="20">
        <v>45668</v>
      </c>
      <c r="U882" s="236">
        <v>0</v>
      </c>
      <c r="V882" s="90" t="str">
        <f>IF(ISBLANK(Table26[[#This Row],[customerSKU]]),"",_xlfn.XLOOKUP(Table26[[#This Row],[customerSKU]],Table27[customer_SKU],Table27[case_size],"",0,1))</f>
        <v/>
      </c>
      <c r="W882" s="237" t="str">
        <f t="shared" si="41"/>
        <v/>
      </c>
      <c r="X882" s="90" t="str">
        <f t="shared" si="40"/>
        <v/>
      </c>
      <c r="Y882" s="90" t="str">
        <f>IF(Table26[[#This Row],[customerSKU]]="","",_xlfn.XLOOKUP(Table26[[#This Row],[customerSKU]],Table27[customer_SKU],Table27[product_GTIN],"",0,1))</f>
        <v/>
      </c>
      <c r="Z882" s="25" t="s">
        <v>4169</v>
      </c>
      <c r="AA882" s="18" t="str" cm="1">
        <f t="array" ref="AA882">IF(P882="", "", _xlfn.XLOOKUP(P882,#REF!,#REF!,NA,0,-1))</f>
        <v/>
      </c>
      <c r="AB882" s="90"/>
      <c r="AC882" s="55" t="s">
        <v>3365</v>
      </c>
      <c r="AD882" s="55" t="str">
        <f>IF($AC882="","",_xlfn.XLOOKUP($AC882,'[2]Client Info'!$C$2:$C$2535,'[2]Client Info'!$D$2:$D$2535,"",0,1))</f>
        <v>Unit 101, 3596 Kingsway</v>
      </c>
      <c r="AE882" s="55" t="str">
        <f>IF($AC882="","",_xlfn.XLOOKUP($AC882,'[2]Client Info'!$C$2:$C$2715,'[2]Client Info'!$E$2:$E$2715,"",))</f>
        <v>Vancouver</v>
      </c>
      <c r="AF882" s="55" t="str">
        <f>IF($AC882="","",_xlfn.XLOOKUP($AC882,'[2]Client Info'!$C$2:$C$2715,'[2]Client Info'!$F$2:$F$2715,"",0,1))</f>
        <v xml:space="preserve">BC </v>
      </c>
      <c r="AG882" s="55" t="s">
        <v>3365</v>
      </c>
      <c r="AH882" s="245" t="str">
        <f>_xlfn.XLOOKUP(Table26[[#This Row],[customerSKU]],customerSKU!G:G,customerSKU!K:K,"NA",0,1)</f>
        <v>NA</v>
      </c>
      <c r="AI882" s="43" t="str">
        <f>_xlfn.XLOOKUP(Table26[[#This Row],[customerSKU]],customerSKU!G:G,customerSKU!O:O,"not found",0,1)</f>
        <v>not found</v>
      </c>
      <c r="AJ882" s="22" t="e">
        <f>Table26[[#This Row],[unitprice]]*Table26[[#This Row],[quantity_unit]]</f>
        <v>#VALUE!</v>
      </c>
      <c r="AK882" s="22" t="e" cm="1">
        <f t="array" ref="AK8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83" spans="1:37" ht="18" customHeight="1">
      <c r="A883" s="42">
        <v>1355</v>
      </c>
      <c r="B883" s="58" t="s">
        <v>3520</v>
      </c>
      <c r="C883" s="22" t="s">
        <v>203</v>
      </c>
      <c r="D883" s="51">
        <v>45672</v>
      </c>
      <c r="E883" s="51"/>
      <c r="F883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3" s="46"/>
      <c r="H883" s="53"/>
      <c r="I883" s="53"/>
      <c r="J883" s="90" t="str">
        <f>IF(Table26[[#This Row],[customerSKU]]="","",_xlfn.XLOOKUP(Table26[[#This Row],[customerSKU]],customerSKU!G:G,customerSKU!A:A,"",0,1))</f>
        <v/>
      </c>
      <c r="K883" s="232">
        <v>45670</v>
      </c>
      <c r="L883" s="49" t="str">
        <f>IF(Table26[[#This Row],[customerSKU]]="","",_xlfn.XLOOKUP(Table26[[#This Row],[customerSKU]],customerSKU!G:G,customerSKU!B:B,"",0,1))</f>
        <v/>
      </c>
      <c r="M883" s="53"/>
      <c r="N883" s="77" t="str">
        <f>Table26[[#This Row],[po_number]]&amp;"-"&amp;Table26[[#This Row],[po_line]]</f>
        <v>-1</v>
      </c>
      <c r="O883" s="77">
        <v>1</v>
      </c>
      <c r="P883" s="50"/>
      <c r="Q883" s="53" t="s">
        <v>3368</v>
      </c>
      <c r="R883" s="53" t="s">
        <v>3428</v>
      </c>
      <c r="S883" s="53" t="s">
        <v>134</v>
      </c>
      <c r="T883" s="20">
        <v>45590</v>
      </c>
      <c r="U883" s="52">
        <v>180</v>
      </c>
      <c r="V883" s="53" t="str">
        <f>IF(ISBLANK(Table26[[#This Row],[customerSKU]]),"",_xlfn.XLOOKUP(Table26[[#This Row],[customerSKU]],Table27[customer_SKU],Table27[case_size],"",0,1))</f>
        <v/>
      </c>
      <c r="W883" s="116" t="str">
        <f t="shared" si="41"/>
        <v/>
      </c>
      <c r="X883" s="53" t="str">
        <f t="shared" si="40"/>
        <v/>
      </c>
      <c r="Y883" s="53" t="str">
        <f>IF(Table26[[#This Row],[customerSKU]]="","",_xlfn.XLOOKUP(Table26[[#This Row],[customerSKU]],Table27[customer_SKU],Table27[product_GTIN],"",0,1))</f>
        <v/>
      </c>
      <c r="Z883" s="25" t="s">
        <v>3829</v>
      </c>
      <c r="AA883" s="18" t="str" cm="1">
        <f t="array" ref="AA883">IF(P883="", "", _xlfn.XLOOKUP(P883,#REF!,#REF!,NA,0,-1))</f>
        <v/>
      </c>
      <c r="AB883" s="53"/>
      <c r="AC883" s="55" t="str">
        <f>IF(Table26[[#This Row],[customerSKU]]="","",_xlfn.XLOOKUP(Table26[[#This Row],[customerSKU]],customerSKU!G:G,customerSKU!C:C,"",0,1))</f>
        <v/>
      </c>
      <c r="AD883" s="55" t="str">
        <f>IF($AC883="","",_xlfn.XLOOKUP($AC883,'[2]Client Info'!$C$2:$C$2535,'[2]Client Info'!$D$2:$D$2535,"",0,1))</f>
        <v/>
      </c>
      <c r="AE883" s="55" t="str">
        <f>IF($AC883="","",_xlfn.XLOOKUP($AC883,'[2]Client Info'!$C$2:$C$2715,'[2]Client Info'!$E$2:$E$2715,"",))</f>
        <v/>
      </c>
      <c r="AF883" s="55" t="str">
        <f>IF($AC883="","",_xlfn.XLOOKUP($AC883,'[2]Client Info'!$C$2:$C$2715,'[2]Client Info'!$F$2:$F$2715,"",0,1))</f>
        <v/>
      </c>
      <c r="AG883" s="55" t="str">
        <f>IF(ISBLANK(Table26[[#This Row],[customerSKU]]),"",_xlfn.XLOOKUP(Table26[[#This Row],[customerSKU]],Table27[customer_SKU],Table27[billto],"",0,1))</f>
        <v/>
      </c>
      <c r="AH883" s="62" t="str">
        <f>_xlfn.XLOOKUP(Table26[[#This Row],[customerSKU]],customerSKU!G:G,customerSKU!K:K,"NA",0,1)</f>
        <v>NA</v>
      </c>
      <c r="AI883" s="43" t="str">
        <f>_xlfn.XLOOKUP(Table26[[#This Row],[customerSKU]],customerSKU!G:G,customerSKU!O:O,"not found",0,1)</f>
        <v>not found</v>
      </c>
      <c r="AJ883" s="53" t="e">
        <f>Table26[[#This Row],[unitprice]]*Table26[[#This Row],[quantity_unit]]</f>
        <v>#VALUE!</v>
      </c>
      <c r="AK883" s="53" t="e" cm="1">
        <f t="array" ref="AK8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84" spans="1:37" ht="18" customHeight="1">
      <c r="A884" s="42">
        <v>1356</v>
      </c>
      <c r="B884" s="58" t="s">
        <v>3520</v>
      </c>
      <c r="C884" s="22" t="s">
        <v>203</v>
      </c>
      <c r="D884" s="51">
        <v>45672</v>
      </c>
      <c r="E884" s="51"/>
      <c r="F884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4" s="46"/>
      <c r="H884" s="53"/>
      <c r="I884" s="53"/>
      <c r="J884" s="90" t="str">
        <f>IF(Table26[[#This Row],[customerSKU]]="","",_xlfn.XLOOKUP(Table26[[#This Row],[customerSKU]],customerSKU!G:G,customerSKU!A:A,"",0,1))</f>
        <v/>
      </c>
      <c r="K884" s="232">
        <v>45670</v>
      </c>
      <c r="L884" s="49" t="str">
        <f>IF(Table26[[#This Row],[customerSKU]]="","",_xlfn.XLOOKUP(Table26[[#This Row],[customerSKU]],customerSKU!G:G,customerSKU!B:B,"",0,1))</f>
        <v/>
      </c>
      <c r="M884" s="53"/>
      <c r="N884" s="77" t="str">
        <f>Table26[[#This Row],[po_number]]&amp;"-"&amp;Table26[[#This Row],[po_line]]</f>
        <v>-2</v>
      </c>
      <c r="O884" s="77">
        <v>2</v>
      </c>
      <c r="P884" s="50"/>
      <c r="Q884" s="53" t="s">
        <v>1172</v>
      </c>
      <c r="R884" s="53" t="s">
        <v>3428</v>
      </c>
      <c r="S884" s="53" t="s">
        <v>134</v>
      </c>
      <c r="T884" s="20">
        <v>45588</v>
      </c>
      <c r="U884" s="52">
        <v>180</v>
      </c>
      <c r="V884" s="53" t="str">
        <f>IF(ISBLANK(Table26[[#This Row],[customerSKU]]),"",_xlfn.XLOOKUP(Table26[[#This Row],[customerSKU]],Table27[customer_SKU],Table27[case_size],"",0,1))</f>
        <v/>
      </c>
      <c r="W884" s="116" t="str">
        <f t="shared" si="41"/>
        <v/>
      </c>
      <c r="X884" s="53" t="str">
        <f t="shared" si="40"/>
        <v/>
      </c>
      <c r="Y884" s="53" t="str">
        <f>IF(Table26[[#This Row],[customerSKU]]="","",_xlfn.XLOOKUP(Table26[[#This Row],[customerSKU]],Table27[customer_SKU],Table27[product_GTIN],"",0,1))</f>
        <v/>
      </c>
      <c r="Z884" s="25" t="s">
        <v>3619</v>
      </c>
      <c r="AA884" s="18" t="str" cm="1">
        <f t="array" ref="AA884">IF(P884="", "", _xlfn.XLOOKUP(P884,#REF!,#REF!,NA,0,-1))</f>
        <v/>
      </c>
      <c r="AB884" s="53"/>
      <c r="AC884" s="55" t="str">
        <f>IF(Table26[[#This Row],[customerSKU]]="","",_xlfn.XLOOKUP(Table26[[#This Row],[customerSKU]],customerSKU!G:G,customerSKU!C:C,"",0,1))</f>
        <v/>
      </c>
      <c r="AD884" s="55" t="str">
        <f>IF($AC884="","",_xlfn.XLOOKUP($AC884,'[2]Client Info'!$C$2:$C$2535,'[2]Client Info'!$D$2:$D$2535,"",0,1))</f>
        <v/>
      </c>
      <c r="AE884" s="55" t="str">
        <f>IF($AC884="","",_xlfn.XLOOKUP($AC884,'[2]Client Info'!$C$2:$C$2715,'[2]Client Info'!$E$2:$E$2715,"",))</f>
        <v/>
      </c>
      <c r="AF884" s="55" t="str">
        <f>IF($AC884="","",_xlfn.XLOOKUP($AC884,'[2]Client Info'!$C$2:$C$2715,'[2]Client Info'!$F$2:$F$2715,"",0,1))</f>
        <v/>
      </c>
      <c r="AG884" s="55" t="str">
        <f>IF(ISBLANK(Table26[[#This Row],[customerSKU]]),"",_xlfn.XLOOKUP(Table26[[#This Row],[customerSKU]],Table27[customer_SKU],Table27[billto],"",0,1))</f>
        <v/>
      </c>
      <c r="AH884" s="62" t="str">
        <f>_xlfn.XLOOKUP(Table26[[#This Row],[customerSKU]],customerSKU!G:G,customerSKU!K:K,"NA",0,1)</f>
        <v>NA</v>
      </c>
      <c r="AI884" s="43" t="str">
        <f>_xlfn.XLOOKUP(Table26[[#This Row],[customerSKU]],customerSKU!G:G,customerSKU!O:O,"not found",0,1)</f>
        <v>not found</v>
      </c>
      <c r="AJ884" s="53" t="e">
        <f>Table26[[#This Row],[unitprice]]*Table26[[#This Row],[quantity_unit]]</f>
        <v>#VALUE!</v>
      </c>
      <c r="AK884" s="227" t="e" cm="1">
        <f t="array" ref="AK8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85" spans="1:37" ht="18" customHeight="1">
      <c r="A885" s="42">
        <v>1357</v>
      </c>
      <c r="B885" s="58" t="s">
        <v>3520</v>
      </c>
      <c r="C885" s="22" t="s">
        <v>203</v>
      </c>
      <c r="D885" s="51">
        <v>45672</v>
      </c>
      <c r="E885" s="51"/>
      <c r="F885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5" s="46"/>
      <c r="H885" s="53"/>
      <c r="I885" s="53"/>
      <c r="J885" s="90" t="str">
        <f>IF(Table26[[#This Row],[customerSKU]]="","",_xlfn.XLOOKUP(Table26[[#This Row],[customerSKU]],customerSKU!G:G,customerSKU!A:A,"",0,1))</f>
        <v/>
      </c>
      <c r="K885" s="232">
        <v>45670</v>
      </c>
      <c r="L885" s="49" t="str">
        <f>IF(Table26[[#This Row],[customerSKU]]="","",_xlfn.XLOOKUP(Table26[[#This Row],[customerSKU]],customerSKU!G:G,customerSKU!B:B,"",0,1))</f>
        <v/>
      </c>
      <c r="M885" s="53"/>
      <c r="N885" s="77" t="str">
        <f>Table26[[#This Row],[po_number]]&amp;"-"&amp;Table26[[#This Row],[po_line]]</f>
        <v>-3</v>
      </c>
      <c r="O885" s="77">
        <v>3</v>
      </c>
      <c r="P885" s="50"/>
      <c r="Q885" s="53" t="s">
        <v>4101</v>
      </c>
      <c r="R885" s="53" t="s">
        <v>3428</v>
      </c>
      <c r="S885" s="53" t="s">
        <v>134</v>
      </c>
      <c r="T885" s="20">
        <v>45642</v>
      </c>
      <c r="U885" s="52">
        <v>120</v>
      </c>
      <c r="V885" s="53" t="str">
        <f>IF(ISBLANK(Table26[[#This Row],[customerSKU]]),"",_xlfn.XLOOKUP(Table26[[#This Row],[customerSKU]],Table27[customer_SKU],Table27[case_size],"",0,1))</f>
        <v/>
      </c>
      <c r="W885" s="116" t="str">
        <f t="shared" si="41"/>
        <v/>
      </c>
      <c r="X885" s="53" t="str">
        <f t="shared" si="40"/>
        <v/>
      </c>
      <c r="Y885" s="53" t="str">
        <f>IF(Table26[[#This Row],[customerSKU]]="","",_xlfn.XLOOKUP(Table26[[#This Row],[customerSKU]],Table27[customer_SKU],Table27[product_GTIN],"",0,1))</f>
        <v/>
      </c>
      <c r="Z885" s="25" t="s">
        <v>3442</v>
      </c>
      <c r="AA885" s="18" t="str" cm="1">
        <f t="array" ref="AA885">IF(P885="", "", _xlfn.XLOOKUP(P885,#REF!,#REF!,NA,0,-1))</f>
        <v/>
      </c>
      <c r="AB885" s="53"/>
      <c r="AC885" s="55" t="str">
        <f>IF(Table26[[#This Row],[customerSKU]]="","",_xlfn.XLOOKUP(Table26[[#This Row],[customerSKU]],customerSKU!G:G,customerSKU!C:C,"",0,1))</f>
        <v/>
      </c>
      <c r="AD885" s="55" t="str">
        <f>IF($AC885="","",_xlfn.XLOOKUP($AC885,'[2]Client Info'!$C$2:$C$2535,'[2]Client Info'!$D$2:$D$2535,"",0,1))</f>
        <v/>
      </c>
      <c r="AE885" s="55" t="str">
        <f>IF($AC885="","",_xlfn.XLOOKUP($AC885,'[2]Client Info'!$C$2:$C$2715,'[2]Client Info'!$E$2:$E$2715,"",))</f>
        <v/>
      </c>
      <c r="AF885" s="55" t="str">
        <f>IF($AC885="","",_xlfn.XLOOKUP($AC885,'[2]Client Info'!$C$2:$C$2715,'[2]Client Info'!$F$2:$F$2715,"",0,1))</f>
        <v/>
      </c>
      <c r="AG885" s="55" t="str">
        <f>IF(ISBLANK(Table26[[#This Row],[customerSKU]]),"",_xlfn.XLOOKUP(Table26[[#This Row],[customerSKU]],Table27[customer_SKU],Table27[billto],"",0,1))</f>
        <v/>
      </c>
      <c r="AH885" s="62">
        <v>19</v>
      </c>
      <c r="AI885" s="43" t="str">
        <f>_xlfn.XLOOKUP(Table26[[#This Row],[customerSKU]],customerSKU!G:G,customerSKU!O:O,"not found",0,1)</f>
        <v>not found</v>
      </c>
      <c r="AJ885" s="53">
        <f>Table26[[#This Row],[unitprice]]*Table26[[#This Row],[quantity_unit]]</f>
        <v>2280</v>
      </c>
      <c r="AK885" s="227" t="e" cm="1">
        <f t="array" ref="AK8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86" spans="1:37" ht="18" customHeight="1">
      <c r="A886" s="42">
        <v>1358</v>
      </c>
      <c r="B886" s="58" t="s">
        <v>3520</v>
      </c>
      <c r="C886" s="22" t="s">
        <v>203</v>
      </c>
      <c r="D886" s="51">
        <v>45672</v>
      </c>
      <c r="E886" s="51"/>
      <c r="F886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6" s="46"/>
      <c r="H886" s="53"/>
      <c r="I886" s="53"/>
      <c r="J886" s="90" t="str">
        <f>IF(Table26[[#This Row],[customerSKU]]="","",_xlfn.XLOOKUP(Table26[[#This Row],[customerSKU]],customerSKU!G:G,customerSKU!A:A,"",0,1))</f>
        <v/>
      </c>
      <c r="K886" s="232">
        <v>45670</v>
      </c>
      <c r="L886" s="49" t="str">
        <f>IF(Table26[[#This Row],[customerSKU]]="","",_xlfn.XLOOKUP(Table26[[#This Row],[customerSKU]],customerSKU!G:G,customerSKU!B:B,"",0,1))</f>
        <v/>
      </c>
      <c r="M886" s="53"/>
      <c r="N886" s="77" t="str">
        <f>Table26[[#This Row],[po_number]]&amp;"-"&amp;Table26[[#This Row],[po_line]]</f>
        <v>-4</v>
      </c>
      <c r="O886" s="77">
        <v>4</v>
      </c>
      <c r="P886" s="50"/>
      <c r="Q886" s="53" t="s">
        <v>4102</v>
      </c>
      <c r="R886" s="53" t="s">
        <v>3428</v>
      </c>
      <c r="S886" s="90" t="str">
        <f>IF(Table26[[#This Row],[customerSKU]]="","",_xlfn.XLOOKUP(Table26[[#This Row],[customerSKU]],customerSKU!G:G,customerSKU!N:N,"NOT FOUND",0,1))</f>
        <v>NOT FOUND</v>
      </c>
      <c r="T886" s="20">
        <v>45631</v>
      </c>
      <c r="U886" s="52">
        <v>300</v>
      </c>
      <c r="V886" s="53" t="str">
        <f>IF(ISBLANK(Table26[[#This Row],[customerSKU]]),"",_xlfn.XLOOKUP(Table26[[#This Row],[customerSKU]],Table27[customer_SKU],Table27[case_size],"",0,1))</f>
        <v/>
      </c>
      <c r="W886" s="116" t="str">
        <f t="shared" si="41"/>
        <v/>
      </c>
      <c r="X886" s="53" t="str">
        <f t="shared" si="40"/>
        <v/>
      </c>
      <c r="Y886" s="53" t="str">
        <f>IF(Table26[[#This Row],[customerSKU]]="","",_xlfn.XLOOKUP(Table26[[#This Row],[customerSKU]],Table27[customer_SKU],Table27[product_GTIN],"",0,1))</f>
        <v/>
      </c>
      <c r="Z886" s="25" t="s">
        <v>3443</v>
      </c>
      <c r="AA886" s="18" t="str" cm="1">
        <f t="array" ref="AA886">IF(P886="", "", _xlfn.XLOOKUP(P886,#REF!,#REF!,NA,0,-1))</f>
        <v/>
      </c>
      <c r="AB886" s="53"/>
      <c r="AC886" s="55" t="str">
        <f>IF(Table26[[#This Row],[customerSKU]]="","",_xlfn.XLOOKUP(Table26[[#This Row],[customerSKU]],customerSKU!G:G,customerSKU!C:C,"",0,1))</f>
        <v/>
      </c>
      <c r="AD886" s="55" t="str">
        <f>IF($AC886="","",_xlfn.XLOOKUP($AC886,'[2]Client Info'!$C$2:$C$2535,'[2]Client Info'!$D$2:$D$2535,"",0,1))</f>
        <v/>
      </c>
      <c r="AE886" s="55" t="str">
        <f>IF($AC886="","",_xlfn.XLOOKUP($AC886,'[2]Client Info'!$C$2:$C$2715,'[2]Client Info'!$E$2:$E$2715,"",))</f>
        <v/>
      </c>
      <c r="AF886" s="55" t="str">
        <f>IF($AC886="","",_xlfn.XLOOKUP($AC886,'[2]Client Info'!$C$2:$C$2715,'[2]Client Info'!$F$2:$F$2715,"",0,1))</f>
        <v/>
      </c>
      <c r="AG886" s="55" t="str">
        <f>IF(ISBLANK(Table26[[#This Row],[customerSKU]]),"",_xlfn.XLOOKUP(Table26[[#This Row],[customerSKU]],Table27[customer_SKU],Table27[billto],"",0,1))</f>
        <v/>
      </c>
      <c r="AH886" s="62">
        <v>19</v>
      </c>
      <c r="AI886" s="43" t="str">
        <f>_xlfn.XLOOKUP(Table26[[#This Row],[customerSKU]],customerSKU!G:G,customerSKU!O:O,"not found",0,1)</f>
        <v>not found</v>
      </c>
      <c r="AJ886" s="53">
        <f>Table26[[#This Row],[unitprice]]*Table26[[#This Row],[quantity_unit]]</f>
        <v>5700</v>
      </c>
      <c r="AK886" s="227" t="e" cm="1">
        <f t="array" ref="AK8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887" spans="1:37" ht="18" customHeight="1">
      <c r="A887" s="42">
        <v>1359</v>
      </c>
      <c r="B887" s="58" t="s">
        <v>3520</v>
      </c>
      <c r="C887" s="22" t="s">
        <v>203</v>
      </c>
      <c r="D887" s="51">
        <v>45672</v>
      </c>
      <c r="E887" s="51"/>
      <c r="F887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7" s="46"/>
      <c r="H887" s="53"/>
      <c r="I887" s="53"/>
      <c r="J887" s="90" t="str">
        <f>IF(Table26[[#This Row],[customerSKU]]="","",_xlfn.XLOOKUP(Table26[[#This Row],[customerSKU]],customerSKU!G:G,customerSKU!A:A,"",0,1))</f>
        <v/>
      </c>
      <c r="K887" s="232">
        <v>45670</v>
      </c>
      <c r="L887" s="49" t="str">
        <f>IF(Table26[[#This Row],[customerSKU]]="","",_xlfn.XLOOKUP(Table26[[#This Row],[customerSKU]],customerSKU!G:G,customerSKU!B:B,"",0,1))</f>
        <v/>
      </c>
      <c r="M887" s="53"/>
      <c r="N887" s="77" t="str">
        <f>Table26[[#This Row],[po_number]]&amp;"-"&amp;Table26[[#This Row],[po_line]]</f>
        <v>-5</v>
      </c>
      <c r="O887" s="77">
        <v>5</v>
      </c>
      <c r="P887" s="50"/>
      <c r="Q887" s="53" t="s">
        <v>1862</v>
      </c>
      <c r="R887" s="53" t="s">
        <v>3428</v>
      </c>
      <c r="S887" s="53" t="s">
        <v>134</v>
      </c>
      <c r="T887" s="20">
        <v>45618</v>
      </c>
      <c r="U887" s="52">
        <v>180</v>
      </c>
      <c r="V887" s="53" t="str">
        <f>IF(ISBLANK(Table26[[#This Row],[customerSKU]]),"",_xlfn.XLOOKUP(Table26[[#This Row],[customerSKU]],Table27[customer_SKU],Table27[case_size],"",0,1))</f>
        <v/>
      </c>
      <c r="W887" s="116" t="str">
        <f t="shared" si="41"/>
        <v/>
      </c>
      <c r="X887" s="53" t="str">
        <f t="shared" si="40"/>
        <v/>
      </c>
      <c r="Y887" s="53" t="str">
        <f>IF(Table26[[#This Row],[customerSKU]]="","",_xlfn.XLOOKUP(Table26[[#This Row],[customerSKU]],Table27[customer_SKU],Table27[product_GTIN],"",0,1))</f>
        <v/>
      </c>
      <c r="Z887" s="25" t="s">
        <v>3834</v>
      </c>
      <c r="AA887" s="18" t="str" cm="1">
        <f t="array" ref="AA887">IF(P887="", "", _xlfn.XLOOKUP(P887,#REF!,#REF!,NA,0,-1))</f>
        <v/>
      </c>
      <c r="AB887" s="53"/>
      <c r="AC887" s="55" t="str">
        <f>IF(Table26[[#This Row],[customerSKU]]="","",_xlfn.XLOOKUP(Table26[[#This Row],[customerSKU]],customerSKU!G:G,customerSKU!C:C,"",0,1))</f>
        <v/>
      </c>
      <c r="AD887" s="55" t="str">
        <f>IF($AC887="","",_xlfn.XLOOKUP($AC887,'[2]Client Info'!$C$2:$C$2535,'[2]Client Info'!$D$2:$D$2535,"",0,1))</f>
        <v/>
      </c>
      <c r="AE887" s="55" t="str">
        <f>IF($AC887="","",_xlfn.XLOOKUP($AC887,'[2]Client Info'!$C$2:$C$2715,'[2]Client Info'!$E$2:$E$2715,"",))</f>
        <v/>
      </c>
      <c r="AF887" s="55" t="str">
        <f>IF($AC887="","",_xlfn.XLOOKUP($AC887,'[2]Client Info'!$C$2:$C$2715,'[2]Client Info'!$F$2:$F$2715,"",0,1))</f>
        <v/>
      </c>
      <c r="AG887" s="55" t="str">
        <f>IF(ISBLANK(Table26[[#This Row],[customerSKU]]),"",_xlfn.XLOOKUP(Table26[[#This Row],[customerSKU]],Table27[customer_SKU],Table27[billto],"",0,1))</f>
        <v/>
      </c>
      <c r="AH887" s="62" t="str">
        <f>_xlfn.XLOOKUP(Table26[[#This Row],[customerSKU]],customerSKU!G:G,customerSKU!K:K,"NA",0,1)</f>
        <v>NA</v>
      </c>
      <c r="AI887" s="43" t="str">
        <f>_xlfn.XLOOKUP(Table26[[#This Row],[customerSKU]],customerSKU!G:G,customerSKU!O:O,"not found",0,1)</f>
        <v>not found</v>
      </c>
      <c r="AJ887" s="53" t="e">
        <f>Table26[[#This Row],[unitprice]]*Table26[[#This Row],[quantity_unit]]</f>
        <v>#VALUE!</v>
      </c>
      <c r="AK887" s="227" t="e" cm="1">
        <f t="array" ref="AK8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88" spans="1:37" ht="18" customHeight="1">
      <c r="A888" s="42">
        <v>1360</v>
      </c>
      <c r="B888" s="58" t="s">
        <v>3520</v>
      </c>
      <c r="C888" s="22" t="s">
        <v>203</v>
      </c>
      <c r="D888" s="51">
        <v>45672</v>
      </c>
      <c r="E888" s="51"/>
      <c r="F888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8" s="46"/>
      <c r="H888" s="53"/>
      <c r="I888" s="53"/>
      <c r="J888" s="90" t="str">
        <f>IF(Table26[[#This Row],[customerSKU]]="","",_xlfn.XLOOKUP(Table26[[#This Row],[customerSKU]],customerSKU!G:G,customerSKU!A:A,"",0,1))</f>
        <v/>
      </c>
      <c r="K888" s="232">
        <v>45670</v>
      </c>
      <c r="L888" s="49" t="str">
        <f>IF(Table26[[#This Row],[customerSKU]]="","",_xlfn.XLOOKUP(Table26[[#This Row],[customerSKU]],customerSKU!G:G,customerSKU!B:B,"",0,1))</f>
        <v/>
      </c>
      <c r="M888" s="53"/>
      <c r="N888" s="77" t="str">
        <f>Table26[[#This Row],[po_number]]&amp;"-"&amp;Table26[[#This Row],[po_line]]</f>
        <v>-6</v>
      </c>
      <c r="O888" s="77">
        <v>6</v>
      </c>
      <c r="P888" s="50"/>
      <c r="Q888" s="53" t="s">
        <v>1309</v>
      </c>
      <c r="R888" s="53" t="s">
        <v>3428</v>
      </c>
      <c r="S888" s="53" t="s">
        <v>134</v>
      </c>
      <c r="T888" s="20">
        <v>45623</v>
      </c>
      <c r="U888" s="52">
        <v>180</v>
      </c>
      <c r="V888" s="53" t="str">
        <f>IF(ISBLANK(Table26[[#This Row],[customerSKU]]),"",_xlfn.XLOOKUP(Table26[[#This Row],[customerSKU]],Table27[customer_SKU],Table27[case_size],"",0,1))</f>
        <v/>
      </c>
      <c r="W888" s="116" t="str">
        <f t="shared" si="41"/>
        <v/>
      </c>
      <c r="X888" s="53" t="str">
        <f t="shared" si="40"/>
        <v/>
      </c>
      <c r="Y888" s="53" t="str">
        <f>IF(Table26[[#This Row],[customerSKU]]="","",_xlfn.XLOOKUP(Table26[[#This Row],[customerSKU]],Table27[customer_SKU],Table27[product_GTIN],"",0,1))</f>
        <v/>
      </c>
      <c r="Z888" s="25" t="s">
        <v>4103</v>
      </c>
      <c r="AA888" s="18" t="str" cm="1">
        <f t="array" ref="AA888">IF(P888="", "", _xlfn.XLOOKUP(P888,#REF!,#REF!,NA,0,-1))</f>
        <v/>
      </c>
      <c r="AB888" s="53"/>
      <c r="AC888" s="55" t="str">
        <f>IF(Table26[[#This Row],[customerSKU]]="","",_xlfn.XLOOKUP(Table26[[#This Row],[customerSKU]],customerSKU!G:G,customerSKU!C:C,"",0,1))</f>
        <v/>
      </c>
      <c r="AD888" s="55" t="str">
        <f>IF($AC888="","",_xlfn.XLOOKUP($AC888,'[2]Client Info'!$C$2:$C$2535,'[2]Client Info'!$D$2:$D$2535,"",0,1))</f>
        <v/>
      </c>
      <c r="AE888" s="55" t="str">
        <f>IF($AC888="","",_xlfn.XLOOKUP($AC888,'[2]Client Info'!$C$2:$C$2715,'[2]Client Info'!$E$2:$E$2715,"",))</f>
        <v/>
      </c>
      <c r="AF888" s="55" t="str">
        <f>IF($AC888="","",_xlfn.XLOOKUP($AC888,'[2]Client Info'!$C$2:$C$2715,'[2]Client Info'!$F$2:$F$2715,"",0,1))</f>
        <v/>
      </c>
      <c r="AG888" s="55" t="str">
        <f>IF(ISBLANK(Table26[[#This Row],[customerSKU]]),"",_xlfn.XLOOKUP(Table26[[#This Row],[customerSKU]],Table27[customer_SKU],Table27[billto],"",0,1))</f>
        <v/>
      </c>
      <c r="AH888" s="62" t="str">
        <f>_xlfn.XLOOKUP(Table26[[#This Row],[customerSKU]],customerSKU!G:G,customerSKU!K:K,"NA",0,1)</f>
        <v>NA</v>
      </c>
      <c r="AI888" s="43" t="str">
        <f>_xlfn.XLOOKUP(Table26[[#This Row],[customerSKU]],customerSKU!G:G,customerSKU!O:O,"not found",0,1)</f>
        <v>not found</v>
      </c>
      <c r="AJ888" s="53" t="e">
        <f>Table26[[#This Row],[unitprice]]*Table26[[#This Row],[quantity_unit]]</f>
        <v>#VALUE!</v>
      </c>
      <c r="AK888" s="227" t="e" cm="1">
        <f t="array" ref="AK8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89" spans="1:37" ht="18" customHeight="1">
      <c r="A889" s="42">
        <v>1361</v>
      </c>
      <c r="B889" s="58" t="s">
        <v>3520</v>
      </c>
      <c r="C889" s="22" t="s">
        <v>203</v>
      </c>
      <c r="D889" s="51">
        <v>45672</v>
      </c>
      <c r="E889" s="51"/>
      <c r="F889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89" s="46"/>
      <c r="H889" s="53"/>
      <c r="I889" s="53"/>
      <c r="J889" s="90" t="str">
        <f>IF(Table26[[#This Row],[customerSKU]]="","",_xlfn.XLOOKUP(Table26[[#This Row],[customerSKU]],customerSKU!G:G,customerSKU!A:A,"",0,1))</f>
        <v/>
      </c>
      <c r="K889" s="232">
        <v>45670</v>
      </c>
      <c r="L889" s="49" t="str">
        <f>IF(Table26[[#This Row],[customerSKU]]="","",_xlfn.XLOOKUP(Table26[[#This Row],[customerSKU]],customerSKU!G:G,customerSKU!B:B,"",0,1))</f>
        <v/>
      </c>
      <c r="M889" s="53"/>
      <c r="N889" s="77" t="str">
        <f>Table26[[#This Row],[po_number]]&amp;"-"&amp;Table26[[#This Row],[po_line]]</f>
        <v>-7</v>
      </c>
      <c r="O889" s="77">
        <v>7</v>
      </c>
      <c r="P889" s="50"/>
      <c r="Q889" s="53" t="s">
        <v>4043</v>
      </c>
      <c r="R889" s="53" t="s">
        <v>3428</v>
      </c>
      <c r="S889" s="53" t="s">
        <v>134</v>
      </c>
      <c r="T889" s="20">
        <v>45631</v>
      </c>
      <c r="U889" s="52">
        <v>180</v>
      </c>
      <c r="V889" s="53" t="str">
        <f>IF(ISBLANK(Table26[[#This Row],[customerSKU]]),"",_xlfn.XLOOKUP(Table26[[#This Row],[customerSKU]],Table27[customer_SKU],Table27[case_size],"",0,1))</f>
        <v/>
      </c>
      <c r="W889" s="116" t="str">
        <f t="shared" si="41"/>
        <v/>
      </c>
      <c r="X889" s="53" t="str">
        <f t="shared" si="40"/>
        <v/>
      </c>
      <c r="Y889" s="53" t="str">
        <f>IF(Table26[[#This Row],[customerSKU]]="","",_xlfn.XLOOKUP(Table26[[#This Row],[customerSKU]],Table27[customer_SKU],Table27[product_GTIN],"",0,1))</f>
        <v/>
      </c>
      <c r="Z889" s="25" t="s">
        <v>4104</v>
      </c>
      <c r="AA889" s="18" t="str" cm="1">
        <f t="array" ref="AA889">IF(P889="", "", _xlfn.XLOOKUP(P889,#REF!,#REF!,NA,0,-1))</f>
        <v/>
      </c>
      <c r="AB889" s="53"/>
      <c r="AC889" s="55" t="str">
        <f>IF(Table26[[#This Row],[customerSKU]]="","",_xlfn.XLOOKUP(Table26[[#This Row],[customerSKU]],customerSKU!G:G,customerSKU!C:C,"",0,1))</f>
        <v/>
      </c>
      <c r="AD889" s="55" t="str">
        <f>IF($AC889="","",_xlfn.XLOOKUP($AC889,'[2]Client Info'!$C$2:$C$2535,'[2]Client Info'!$D$2:$D$2535,"",0,1))</f>
        <v/>
      </c>
      <c r="AE889" s="55" t="str">
        <f>IF($AC889="","",_xlfn.XLOOKUP($AC889,'[2]Client Info'!$C$2:$C$2715,'[2]Client Info'!$E$2:$E$2715,"",))</f>
        <v/>
      </c>
      <c r="AF889" s="55" t="str">
        <f>IF($AC889="","",_xlfn.XLOOKUP($AC889,'[2]Client Info'!$C$2:$C$2715,'[2]Client Info'!$F$2:$F$2715,"",0,1))</f>
        <v/>
      </c>
      <c r="AG889" s="55" t="str">
        <f>IF(ISBLANK(Table26[[#This Row],[customerSKU]]),"",_xlfn.XLOOKUP(Table26[[#This Row],[customerSKU]],Table27[customer_SKU],Table27[billto],"",0,1))</f>
        <v/>
      </c>
      <c r="AH889" s="62" t="str">
        <f>_xlfn.XLOOKUP(Table26[[#This Row],[customerSKU]],customerSKU!G:G,customerSKU!K:K,"NA",0,1)</f>
        <v>NA</v>
      </c>
      <c r="AI889" s="43" t="str">
        <f>_xlfn.XLOOKUP(Table26[[#This Row],[customerSKU]],customerSKU!G:G,customerSKU!O:O,"not found",0,1)</f>
        <v>not found</v>
      </c>
      <c r="AJ889" s="53" t="e">
        <f>Table26[[#This Row],[unitprice]]*Table26[[#This Row],[quantity_unit]]</f>
        <v>#VALUE!</v>
      </c>
      <c r="AK889" s="227" t="e" cm="1">
        <f t="array" ref="AK8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90" spans="1:37" ht="18" customHeight="1">
      <c r="A890" s="42">
        <v>1362</v>
      </c>
      <c r="B890" s="58" t="s">
        <v>3520</v>
      </c>
      <c r="C890" s="22" t="s">
        <v>203</v>
      </c>
      <c r="D890" s="51">
        <v>45672</v>
      </c>
      <c r="E890" s="51"/>
      <c r="F890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90" s="46"/>
      <c r="H890" s="53"/>
      <c r="I890" s="53"/>
      <c r="J890" s="90" t="str">
        <f>IF(Table26[[#This Row],[customerSKU]]="","",_xlfn.XLOOKUP(Table26[[#This Row],[customerSKU]],customerSKU!G:G,customerSKU!A:A,"",0,1))</f>
        <v/>
      </c>
      <c r="K890" s="232">
        <v>45670</v>
      </c>
      <c r="L890" s="49" t="str">
        <f>IF(Table26[[#This Row],[customerSKU]]="","",_xlfn.XLOOKUP(Table26[[#This Row],[customerSKU]],customerSKU!G:G,customerSKU!B:B,"",0,1))</f>
        <v/>
      </c>
      <c r="M890" s="53"/>
      <c r="N890" s="77" t="str">
        <f>Table26[[#This Row],[po_number]]&amp;"-"&amp;Table26[[#This Row],[po_line]]</f>
        <v>-8</v>
      </c>
      <c r="O890" s="77">
        <v>8</v>
      </c>
      <c r="P890" s="50"/>
      <c r="Q890" s="53" t="s">
        <v>3902</v>
      </c>
      <c r="R890" s="53" t="s">
        <v>3428</v>
      </c>
      <c r="S890" s="53" t="s">
        <v>134</v>
      </c>
      <c r="T890" s="20">
        <v>45629</v>
      </c>
      <c r="U890" s="52">
        <v>180</v>
      </c>
      <c r="V890" s="53" t="str">
        <f>IF(ISBLANK(Table26[[#This Row],[customerSKU]]),"",_xlfn.XLOOKUP(Table26[[#This Row],[customerSKU]],Table27[customer_SKU],Table27[case_size],"",0,1))</f>
        <v/>
      </c>
      <c r="W890" s="116" t="str">
        <f t="shared" si="41"/>
        <v/>
      </c>
      <c r="X890" s="53" t="str">
        <f t="shared" si="40"/>
        <v/>
      </c>
      <c r="Y890" s="53" t="str">
        <f>IF(Table26[[#This Row],[customerSKU]]="","",_xlfn.XLOOKUP(Table26[[#This Row],[customerSKU]],Table27[customer_SKU],Table27[product_GTIN],"",0,1))</f>
        <v/>
      </c>
      <c r="Z890" s="25" t="s">
        <v>3835</v>
      </c>
      <c r="AA890" s="18" t="str" cm="1">
        <f t="array" ref="AA890">IF(P890="", "", _xlfn.XLOOKUP(P890,#REF!,#REF!,NA,0,-1))</f>
        <v/>
      </c>
      <c r="AB890" s="53"/>
      <c r="AC890" s="55" t="str">
        <f>IF(Table26[[#This Row],[customerSKU]]="","",_xlfn.XLOOKUP(Table26[[#This Row],[customerSKU]],customerSKU!G:G,customerSKU!C:C,"",0,1))</f>
        <v/>
      </c>
      <c r="AD890" s="55" t="str">
        <f>IF($AC890="","",_xlfn.XLOOKUP($AC890,'[2]Client Info'!$C$2:$C$2535,'[2]Client Info'!$D$2:$D$2535,"",0,1))</f>
        <v/>
      </c>
      <c r="AE890" s="55" t="str">
        <f>IF($AC890="","",_xlfn.XLOOKUP($AC890,'[2]Client Info'!$C$2:$C$2715,'[2]Client Info'!$E$2:$E$2715,"",))</f>
        <v/>
      </c>
      <c r="AF890" s="55" t="str">
        <f>IF($AC890="","",_xlfn.XLOOKUP($AC890,'[2]Client Info'!$C$2:$C$2715,'[2]Client Info'!$F$2:$F$2715,"",0,1))</f>
        <v/>
      </c>
      <c r="AG890" s="55" t="str">
        <f>IF(ISBLANK(Table26[[#This Row],[customerSKU]]),"",_xlfn.XLOOKUP(Table26[[#This Row],[customerSKU]],Table27[customer_SKU],Table27[billto],"",0,1))</f>
        <v/>
      </c>
      <c r="AH890" s="62" t="str">
        <f>_xlfn.XLOOKUP(Table26[[#This Row],[customerSKU]],customerSKU!G:G,customerSKU!K:K,"NA",0,1)</f>
        <v>NA</v>
      </c>
      <c r="AI890" s="43" t="str">
        <f>_xlfn.XLOOKUP(Table26[[#This Row],[customerSKU]],customerSKU!G:G,customerSKU!O:O,"not found",0,1)</f>
        <v>not found</v>
      </c>
      <c r="AJ890" s="53" t="e">
        <f>Table26[[#This Row],[unitprice]]*Table26[[#This Row],[quantity_unit]]</f>
        <v>#VALUE!</v>
      </c>
      <c r="AK890" s="227" t="e" cm="1">
        <f t="array" ref="AK8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91" spans="1:37" ht="18" customHeight="1">
      <c r="A891" s="42">
        <v>1363</v>
      </c>
      <c r="B891" s="58" t="s">
        <v>3520</v>
      </c>
      <c r="C891" s="22" t="s">
        <v>203</v>
      </c>
      <c r="D891" s="51">
        <v>45672</v>
      </c>
      <c r="E891" s="51"/>
      <c r="F891" s="53" t="str">
        <f>IF(OR(ISNUMBER(SEARCH("OCS",Table26[[#This Row],[sales_stream]])),ISNUMBER(SEARCH("AGLC",Table26[[#This Row],[sales_stream]])),ISNUMBER(SEARCH("BCLDB",Table26[[#This Row],[sales_stream]]))),"NEED BOOKING","")</f>
        <v/>
      </c>
      <c r="G891" s="46"/>
      <c r="H891" s="53"/>
      <c r="I891" s="53"/>
      <c r="J891" s="90" t="str">
        <f>IF(Table26[[#This Row],[customerSKU]]="","",_xlfn.XLOOKUP(Table26[[#This Row],[customerSKU]],customerSKU!G:G,customerSKU!A:A,"",0,1))</f>
        <v/>
      </c>
      <c r="K891" s="232">
        <v>45670</v>
      </c>
      <c r="L891" s="49" t="str">
        <f>IF(Table26[[#This Row],[customerSKU]]="","",_xlfn.XLOOKUP(Table26[[#This Row],[customerSKU]],customerSKU!G:G,customerSKU!B:B,"",0,1))</f>
        <v/>
      </c>
      <c r="M891" s="53"/>
      <c r="N891" s="77" t="str">
        <f>Table26[[#This Row],[po_number]]&amp;"-"&amp;Table26[[#This Row],[po_line]]</f>
        <v>-9</v>
      </c>
      <c r="O891" s="77">
        <v>9</v>
      </c>
      <c r="P891" s="50"/>
      <c r="Q891" s="53" t="s">
        <v>622</v>
      </c>
      <c r="R891" s="53" t="s">
        <v>3428</v>
      </c>
      <c r="S891" s="53" t="s">
        <v>134</v>
      </c>
      <c r="T891" s="20">
        <v>45603</v>
      </c>
      <c r="U891" s="52">
        <v>180</v>
      </c>
      <c r="V891" s="53" t="str">
        <f>IF(ISBLANK(Table26[[#This Row],[customerSKU]]),"",_xlfn.XLOOKUP(Table26[[#This Row],[customerSKU]],Table27[customer_SKU],Table27[case_size],"",0,1))</f>
        <v/>
      </c>
      <c r="W891" s="116" t="str">
        <f t="shared" si="41"/>
        <v/>
      </c>
      <c r="X891" s="53" t="str">
        <f t="shared" si="40"/>
        <v/>
      </c>
      <c r="Y891" s="53" t="str">
        <f>IF(Table26[[#This Row],[customerSKU]]="","",_xlfn.XLOOKUP(Table26[[#This Row],[customerSKU]],Table27[customer_SKU],Table27[product_GTIN],"",0,1))</f>
        <v/>
      </c>
      <c r="Z891" s="25" t="s">
        <v>4105</v>
      </c>
      <c r="AA891" s="18" t="str" cm="1">
        <f t="array" ref="AA891">IF(P891="", "", _xlfn.XLOOKUP(P891,#REF!,#REF!,NA,0,-1))</f>
        <v/>
      </c>
      <c r="AB891" s="53"/>
      <c r="AC891" s="55" t="str">
        <f>IF(Table26[[#This Row],[customerSKU]]="","",_xlfn.XLOOKUP(Table26[[#This Row],[customerSKU]],customerSKU!G:G,customerSKU!C:C,"",0,1))</f>
        <v/>
      </c>
      <c r="AD891" s="55" t="str">
        <f>IF($AC891="","",_xlfn.XLOOKUP($AC891,'[2]Client Info'!$C$2:$C$2535,'[2]Client Info'!$D$2:$D$2535,"",0,1))</f>
        <v/>
      </c>
      <c r="AE891" s="55" t="str">
        <f>IF($AC891="","",_xlfn.XLOOKUP($AC891,'[2]Client Info'!$C$2:$C$2715,'[2]Client Info'!$E$2:$E$2715,"",))</f>
        <v/>
      </c>
      <c r="AF891" s="55" t="str">
        <f>IF($AC891="","",_xlfn.XLOOKUP($AC891,'[2]Client Info'!$C$2:$C$2715,'[2]Client Info'!$F$2:$F$2715,"",0,1))</f>
        <v/>
      </c>
      <c r="AG891" s="55" t="str">
        <f>IF(ISBLANK(Table26[[#This Row],[customerSKU]]),"",_xlfn.XLOOKUP(Table26[[#This Row],[customerSKU]],Table27[customer_SKU],Table27[billto],"",0,1))</f>
        <v/>
      </c>
      <c r="AH891" s="62" t="str">
        <f>_xlfn.XLOOKUP(Table26[[#This Row],[customerSKU]],customerSKU!G:G,customerSKU!K:K,"NA",0,1)</f>
        <v>NA</v>
      </c>
      <c r="AI891" s="43" t="str">
        <f>_xlfn.XLOOKUP(Table26[[#This Row],[customerSKU]],customerSKU!G:G,customerSKU!O:O,"not found",0,1)</f>
        <v>not found</v>
      </c>
      <c r="AJ891" s="53" t="e">
        <f>Table26[[#This Row],[unitprice]]*Table26[[#This Row],[quantity_unit]]</f>
        <v>#VALUE!</v>
      </c>
      <c r="AK891" s="227" t="e" cm="1">
        <f t="array" ref="AK8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892" spans="1:37" ht="18" customHeight="1">
      <c r="A892" s="42">
        <v>1364</v>
      </c>
      <c r="B892" s="58" t="s">
        <v>3520</v>
      </c>
      <c r="C892" s="22" t="s">
        <v>3360</v>
      </c>
      <c r="E892" s="20"/>
      <c r="F89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92" s="46"/>
      <c r="J892" s="90" t="str">
        <f>IF(Table26[[#This Row],[customerSKU]]="","",_xlfn.XLOOKUP(Table26[[#This Row],[customerSKU]],customerSKU!G:G,customerSKU!A:A,"",0,1))</f>
        <v/>
      </c>
      <c r="K892" s="232">
        <v>45670</v>
      </c>
      <c r="L892" s="31" t="str">
        <f>IF(Table26[[#This Row],[customerSKU]]="","",_xlfn.XLOOKUP(Table26[[#This Row],[customerSKU]],customerSKU!G:G,customerSKU!B:B,"",0,1))</f>
        <v/>
      </c>
      <c r="M892" s="22"/>
      <c r="N892" s="15" t="str">
        <f>Table26[[#This Row],[po_number]]&amp;"-"&amp;Table26[[#This Row],[po_line]]</f>
        <v>-1</v>
      </c>
      <c r="O892" s="15">
        <v>1</v>
      </c>
      <c r="P892" s="29"/>
      <c r="S892" s="22" t="str">
        <f>IF(Table26[[#This Row],[customerSKU]]="","",_xlfn.XLOOKUP(Table26[[#This Row],[customerSKU]],customerSKU!G:G,customerSKU!N:N,"NOT FOUND",0,1))</f>
        <v>NOT FOUND</v>
      </c>
      <c r="T892" s="20"/>
      <c r="U892" s="21">
        <v>12</v>
      </c>
      <c r="V892" s="22" t="str">
        <f>IF(ISBLANK(Table26[[#This Row],[customerSKU]]),"",_xlfn.XLOOKUP(Table26[[#This Row],[customerSKU]],Table27[customer_SKU],Table27[case_size],"",0,1))</f>
        <v/>
      </c>
      <c r="W892" s="117" t="str">
        <f t="shared" si="41"/>
        <v/>
      </c>
      <c r="X892" s="22" t="str">
        <f t="shared" si="40"/>
        <v/>
      </c>
      <c r="Y892" s="22" t="str">
        <f>IF(Table26[[#This Row],[customerSKU]]="","",_xlfn.XLOOKUP(Table26[[#This Row],[customerSKU]],Table27[customer_SKU],Table27[product_GTIN],"",0,1))</f>
        <v/>
      </c>
      <c r="Z892" s="25" t="s">
        <v>3455</v>
      </c>
      <c r="AA892" s="18" t="str" cm="1">
        <f t="array" ref="AA892">IF(P892="", "", _xlfn.XLOOKUP(P892,#REF!,#REF!,NA,0,-1))</f>
        <v/>
      </c>
      <c r="AB892" s="22"/>
      <c r="AC892" s="55" t="str">
        <f>IF(Table26[[#This Row],[customerSKU]]="","",_xlfn.XLOOKUP(Table26[[#This Row],[customerSKU]],customerSKU!G:G,customerSKU!C:C,"",0,1))</f>
        <v/>
      </c>
      <c r="AD892" s="55" t="str">
        <f>IF($AC892="","",_xlfn.XLOOKUP($AC892,'[2]Client Info'!$C$2:$C$2535,'[2]Client Info'!$D$2:$D$2535,"",0,1))</f>
        <v/>
      </c>
      <c r="AE892" s="55" t="str">
        <f>IF($AC892="","",_xlfn.XLOOKUP($AC892,'[2]Client Info'!$C$2:$C$2715,'[2]Client Info'!$E$2:$E$2715,"",))</f>
        <v/>
      </c>
      <c r="AF892" s="55" t="str">
        <f>IF($AC892="","",_xlfn.XLOOKUP($AC892,'[2]Client Info'!$C$2:$C$2715,'[2]Client Info'!$F$2:$F$2715,"",0,1))</f>
        <v/>
      </c>
      <c r="AG892" s="55" t="s">
        <v>4145</v>
      </c>
      <c r="AH892" s="26" t="str">
        <f>_xlfn.XLOOKUP(Table26[[#This Row],[customerSKU]],customerSKU!G:G,customerSKU!K:K,"NA",0,1)</f>
        <v>NA</v>
      </c>
      <c r="AI892" s="43" t="str">
        <f>_xlfn.XLOOKUP(Table26[[#This Row],[customerSKU]],customerSKU!G:G,customerSKU!O:O,"not found",0,1)</f>
        <v>not found</v>
      </c>
      <c r="AJ892" s="22" t="e">
        <f>Table26[[#This Row],[unitprice]]*Table26[[#This Row],[quantity_unit]]</f>
        <v>#VALUE!</v>
      </c>
      <c r="AK892" s="22" t="e" cm="1">
        <f t="array" ref="AK8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3" spans="1:37" ht="18" customHeight="1">
      <c r="A893" s="42">
        <v>1365</v>
      </c>
      <c r="B893" s="58" t="s">
        <v>3520</v>
      </c>
      <c r="C893" s="22" t="s">
        <v>3360</v>
      </c>
      <c r="E893" s="20"/>
      <c r="F89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93" s="46"/>
      <c r="J893" s="90" t="str">
        <f>IF(Table26[[#This Row],[customerSKU]]="","",_xlfn.XLOOKUP(Table26[[#This Row],[customerSKU]],customerSKU!G:G,customerSKU!A:A,"",0,1))</f>
        <v/>
      </c>
      <c r="K893" s="232">
        <v>45670</v>
      </c>
      <c r="L893" s="31" t="str">
        <f>IF(Table26[[#This Row],[customerSKU]]="","",_xlfn.XLOOKUP(Table26[[#This Row],[customerSKU]],customerSKU!G:G,customerSKU!B:B,"",0,1))</f>
        <v/>
      </c>
      <c r="M893" s="22"/>
      <c r="N893" s="15" t="str">
        <f>Table26[[#This Row],[po_number]]&amp;"-"&amp;Table26[[#This Row],[po_line]]</f>
        <v>-1</v>
      </c>
      <c r="O893" s="15">
        <v>1</v>
      </c>
      <c r="P893" s="29"/>
      <c r="S893" s="22" t="str">
        <f>IF(Table26[[#This Row],[customerSKU]]="","",_xlfn.XLOOKUP(Table26[[#This Row],[customerSKU]],customerSKU!G:G,customerSKU!N:N,"NOT FOUND",0,1))</f>
        <v>NOT FOUND</v>
      </c>
      <c r="T893" s="20"/>
      <c r="U893" s="21">
        <v>12</v>
      </c>
      <c r="V893" s="22" t="str">
        <f>IF(ISBLANK(Table26[[#This Row],[customerSKU]]),"",_xlfn.XLOOKUP(Table26[[#This Row],[customerSKU]],Table27[customer_SKU],Table27[case_size],"",0,1))</f>
        <v/>
      </c>
      <c r="W893" s="117" t="str">
        <f t="shared" si="41"/>
        <v/>
      </c>
      <c r="X893" s="22" t="str">
        <f t="shared" si="40"/>
        <v/>
      </c>
      <c r="Y893" s="22" t="str">
        <f>IF(Table26[[#This Row],[customerSKU]]="","",_xlfn.XLOOKUP(Table26[[#This Row],[customerSKU]],Table27[customer_SKU],Table27[product_GTIN],"",0,1))</f>
        <v/>
      </c>
      <c r="Z893" s="25" t="s">
        <v>3455</v>
      </c>
      <c r="AA893" s="18" t="str" cm="1">
        <f t="array" ref="AA893">IF(P893="", "", _xlfn.XLOOKUP(P893,#REF!,#REF!,NA,0,-1))</f>
        <v/>
      </c>
      <c r="AB893" s="22"/>
      <c r="AC893" s="55" t="str">
        <f>IF(Table26[[#This Row],[customerSKU]]="","",_xlfn.XLOOKUP(Table26[[#This Row],[customerSKU]],customerSKU!G:G,customerSKU!C:C,"",0,1))</f>
        <v/>
      </c>
      <c r="AD893" s="55" t="str">
        <f>IF($AC893="","",_xlfn.XLOOKUP($AC893,'[2]Client Info'!$C$2:$C$2535,'[2]Client Info'!$D$2:$D$2535,"",0,1))</f>
        <v/>
      </c>
      <c r="AE893" s="55" t="str">
        <f>IF($AC893="","",_xlfn.XLOOKUP($AC893,'[2]Client Info'!$C$2:$C$2715,'[2]Client Info'!$E$2:$E$2715,"",))</f>
        <v/>
      </c>
      <c r="AF893" s="55" t="str">
        <f>IF($AC893="","",_xlfn.XLOOKUP($AC893,'[2]Client Info'!$C$2:$C$2715,'[2]Client Info'!$F$2:$F$2715,"",0,1))</f>
        <v/>
      </c>
      <c r="AG893" s="55" t="s">
        <v>4145</v>
      </c>
      <c r="AH893" s="26" t="str">
        <f>_xlfn.XLOOKUP(Table26[[#This Row],[customerSKU]],customerSKU!G:G,customerSKU!K:K,"NA",0,1)</f>
        <v>NA</v>
      </c>
      <c r="AI893" s="43" t="str">
        <f>_xlfn.XLOOKUP(Table26[[#This Row],[customerSKU]],customerSKU!G:G,customerSKU!O:O,"not found",0,1)</f>
        <v>not found</v>
      </c>
      <c r="AJ893" s="22" t="e">
        <f>Table26[[#This Row],[unitprice]]*Table26[[#This Row],[quantity_unit]]</f>
        <v>#VALUE!</v>
      </c>
      <c r="AK893" s="22" t="e" cm="1">
        <f t="array" ref="AK8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4" spans="1:37" ht="24.6" customHeight="1">
      <c r="A894" s="42">
        <v>1366</v>
      </c>
      <c r="B894" s="58" t="s">
        <v>3520</v>
      </c>
      <c r="C894" s="22" t="s">
        <v>3360</v>
      </c>
      <c r="E894" s="20"/>
      <c r="F89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94" s="46"/>
      <c r="J894" s="90" t="str">
        <f>IF(Table26[[#This Row],[customerSKU]]="","",_xlfn.XLOOKUP(Table26[[#This Row],[customerSKU]],customerSKU!G:G,customerSKU!A:A,"",0,1))</f>
        <v/>
      </c>
      <c r="K894" s="232">
        <v>45670</v>
      </c>
      <c r="L894" s="31" t="str">
        <f>IF(Table26[[#This Row],[customerSKU]]="","",_xlfn.XLOOKUP(Table26[[#This Row],[customerSKU]],customerSKU!G:G,customerSKU!B:B,"",0,1))</f>
        <v/>
      </c>
      <c r="M894" s="22"/>
      <c r="N894" s="15" t="str">
        <f>Table26[[#This Row],[po_number]]&amp;"-"&amp;Table26[[#This Row],[po_line]]</f>
        <v>-1</v>
      </c>
      <c r="O894" s="15">
        <v>1</v>
      </c>
      <c r="P894" s="29"/>
      <c r="S894" s="22" t="str">
        <f>IF(Table26[[#This Row],[customerSKU]]="","",_xlfn.XLOOKUP(Table26[[#This Row],[customerSKU]],customerSKU!G:G,customerSKU!N:N,"NOT FOUND",0,1))</f>
        <v>NOT FOUND</v>
      </c>
      <c r="T894" s="20"/>
      <c r="U894" s="21">
        <v>12</v>
      </c>
      <c r="V894" s="22" t="str">
        <f>IF(ISBLANK(Table26[[#This Row],[customerSKU]]),"",_xlfn.XLOOKUP(Table26[[#This Row],[customerSKU]],Table27[customer_SKU],Table27[case_size],"",0,1))</f>
        <v/>
      </c>
      <c r="W894" s="117" t="str">
        <f t="shared" si="41"/>
        <v/>
      </c>
      <c r="X894" s="22" t="str">
        <f t="shared" si="40"/>
        <v/>
      </c>
      <c r="Y894" s="22" t="str">
        <f>IF(Table26[[#This Row],[customerSKU]]="","",_xlfn.XLOOKUP(Table26[[#This Row],[customerSKU]],Table27[customer_SKU],Table27[product_GTIN],"",0,1))</f>
        <v/>
      </c>
      <c r="Z894" s="25" t="s">
        <v>3408</v>
      </c>
      <c r="AA894" s="18" t="str" cm="1">
        <f t="array" ref="AA894">IF(P894="", "", _xlfn.XLOOKUP(P894,#REF!,#REF!,NA,0,-1))</f>
        <v/>
      </c>
      <c r="AB894" s="22"/>
      <c r="AC894" s="55" t="str">
        <f>IF(Table26[[#This Row],[customerSKU]]="","",_xlfn.XLOOKUP(Table26[[#This Row],[customerSKU]],customerSKU!G:G,customerSKU!C:C,"",0,1))</f>
        <v/>
      </c>
      <c r="AD894" s="55" t="str">
        <f>IF($AC894="","",_xlfn.XLOOKUP($AC894,'[2]Client Info'!$C$2:$C$2535,'[2]Client Info'!$D$2:$D$2535,"",0,1))</f>
        <v/>
      </c>
      <c r="AE894" s="55" t="str">
        <f>IF($AC894="","",_xlfn.XLOOKUP($AC894,'[2]Client Info'!$C$2:$C$2715,'[2]Client Info'!$E$2:$E$2715,"",))</f>
        <v/>
      </c>
      <c r="AF894" s="55" t="str">
        <f>IF($AC894="","",_xlfn.XLOOKUP($AC894,'[2]Client Info'!$C$2:$C$2715,'[2]Client Info'!$F$2:$F$2715,"",0,1))</f>
        <v/>
      </c>
      <c r="AG894" s="55" t="s">
        <v>99</v>
      </c>
      <c r="AH894" s="26" t="str">
        <f>_xlfn.XLOOKUP(Table26[[#This Row],[customerSKU]],customerSKU!G:G,customerSKU!K:K,"NA",0,1)</f>
        <v>NA</v>
      </c>
      <c r="AI894" s="43" t="str">
        <f>_xlfn.XLOOKUP(Table26[[#This Row],[customerSKU]],customerSKU!G:G,customerSKU!O:O,"not found",0,1)</f>
        <v>not found</v>
      </c>
      <c r="AJ894" s="22" t="e">
        <f>Table26[[#This Row],[unitprice]]*Table26[[#This Row],[quantity_unit]]</f>
        <v>#VALUE!</v>
      </c>
      <c r="AK894" s="22" t="e" cm="1">
        <f t="array" ref="AK8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5" spans="1:37" ht="18" customHeight="1">
      <c r="A895" s="42">
        <v>1367</v>
      </c>
      <c r="B895" s="58" t="s">
        <v>3520</v>
      </c>
      <c r="C895" s="22" t="s">
        <v>3360</v>
      </c>
      <c r="E895" s="20"/>
      <c r="F89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895" s="46"/>
      <c r="J895" s="90" t="str">
        <f>IF(Table26[[#This Row],[customerSKU]]="","",_xlfn.XLOOKUP(Table26[[#This Row],[customerSKU]],customerSKU!G:G,customerSKU!A:A,"",0,1))</f>
        <v/>
      </c>
      <c r="K895" s="232">
        <v>45670</v>
      </c>
      <c r="L895" s="31" t="str">
        <f>IF(Table26[[#This Row],[customerSKU]]="","",_xlfn.XLOOKUP(Table26[[#This Row],[customerSKU]],customerSKU!G:G,customerSKU!B:B,"",0,1))</f>
        <v/>
      </c>
      <c r="M895" s="22"/>
      <c r="N895" s="15" t="str">
        <f>Table26[[#This Row],[po_number]]&amp;"-"&amp;Table26[[#This Row],[po_line]]</f>
        <v>-2</v>
      </c>
      <c r="O895" s="15">
        <v>2</v>
      </c>
      <c r="P895" s="29"/>
      <c r="S895" s="22" t="str">
        <f>IF(Table26[[#This Row],[customerSKU]]="","",_xlfn.XLOOKUP(Table26[[#This Row],[customerSKU]],customerSKU!G:G,customerSKU!N:N,"NOT FOUND",0,1))</f>
        <v>NOT FOUND</v>
      </c>
      <c r="T895" s="20"/>
      <c r="U895" s="21">
        <v>12</v>
      </c>
      <c r="V895" s="22" t="str">
        <f>IF(ISBLANK(Table26[[#This Row],[customerSKU]]),"",_xlfn.XLOOKUP(Table26[[#This Row],[customerSKU]],Table27[customer_SKU],Table27[case_size],"",0,1))</f>
        <v/>
      </c>
      <c r="W895" s="117" t="str">
        <f t="shared" si="41"/>
        <v/>
      </c>
      <c r="X895" s="22" t="str">
        <f t="shared" si="40"/>
        <v/>
      </c>
      <c r="Y895" s="22" t="str">
        <f>IF(Table26[[#This Row],[customerSKU]]="","",_xlfn.XLOOKUP(Table26[[#This Row],[customerSKU]],Table27[customer_SKU],Table27[product_GTIN],"",0,1))</f>
        <v/>
      </c>
      <c r="Z895" s="25" t="s">
        <v>3495</v>
      </c>
      <c r="AA895" s="18" t="str" cm="1">
        <f t="array" ref="AA895">IF(P895="", "", _xlfn.XLOOKUP(P895,#REF!,#REF!,NA,0,-1))</f>
        <v/>
      </c>
      <c r="AB895" s="22"/>
      <c r="AC895" s="55" t="str">
        <f>IF(Table26[[#This Row],[customerSKU]]="","",_xlfn.XLOOKUP(Table26[[#This Row],[customerSKU]],customerSKU!G:G,customerSKU!C:C,"",0,1))</f>
        <v/>
      </c>
      <c r="AD895" s="55" t="str">
        <f>IF($AC895="","",_xlfn.XLOOKUP($AC895,'[2]Client Info'!$C$2:$C$2535,'[2]Client Info'!$D$2:$D$2535,"",0,1))</f>
        <v/>
      </c>
      <c r="AE895" s="55" t="str">
        <f>IF($AC895="","",_xlfn.XLOOKUP($AC895,'[2]Client Info'!$C$2:$C$2715,'[2]Client Info'!$E$2:$E$2715,"",))</f>
        <v/>
      </c>
      <c r="AF895" s="55" t="str">
        <f>IF($AC895="","",_xlfn.XLOOKUP($AC895,'[2]Client Info'!$C$2:$C$2715,'[2]Client Info'!$F$2:$F$2715,"",0,1))</f>
        <v/>
      </c>
      <c r="AG895" s="55" t="s">
        <v>4146</v>
      </c>
      <c r="AH895" s="26" t="str">
        <f>_xlfn.XLOOKUP(Table26[[#This Row],[customerSKU]],customerSKU!G:G,customerSKU!K:K,"NA",0,1)</f>
        <v>NA</v>
      </c>
      <c r="AI895" s="43" t="str">
        <f>_xlfn.XLOOKUP(Table26[[#This Row],[customerSKU]],customerSKU!G:G,customerSKU!O:O,"not found",0,1)</f>
        <v>not found</v>
      </c>
      <c r="AJ895" s="22" t="e">
        <f>Table26[[#This Row],[unitprice]]*Table26[[#This Row],[quantity_unit]]</f>
        <v>#VALUE!</v>
      </c>
      <c r="AK895" s="22" t="e" cm="1">
        <f t="array" ref="AK8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6" spans="1:37" ht="18" customHeight="1">
      <c r="A896" s="42">
        <v>1368</v>
      </c>
      <c r="B896" s="249" t="s">
        <v>3520</v>
      </c>
      <c r="C896" s="90" t="s">
        <v>203</v>
      </c>
      <c r="D896" s="235"/>
      <c r="E896" s="235"/>
      <c r="F89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96" s="46"/>
      <c r="H896" s="90"/>
      <c r="I896" s="90"/>
      <c r="J896" s="90" t="str">
        <f>IF(Table26[[#This Row],[customerSKU]]="","",_xlfn.XLOOKUP(Table26[[#This Row],[customerSKU]],customerSKU!G:G,customerSKU!A:A,"",0,1))</f>
        <v/>
      </c>
      <c r="K896" s="232">
        <v>45670</v>
      </c>
      <c r="L896" s="233" t="str">
        <f>IF(Table26[[#This Row],[customerSKU]]="","",_xlfn.XLOOKUP(Table26[[#This Row],[customerSKU]],customerSKU!G:G,customerSKU!B:B,"",0,1))</f>
        <v/>
      </c>
      <c r="M896" s="90"/>
      <c r="N896" s="55" t="str">
        <f>Table26[[#This Row],[po_number]]&amp;"-"&amp;Table26[[#This Row],[po_line]]</f>
        <v>-1</v>
      </c>
      <c r="O896" s="55">
        <v>1</v>
      </c>
      <c r="P896" s="234"/>
      <c r="Q896" s="90" t="s">
        <v>3362</v>
      </c>
      <c r="R896" s="90" t="s">
        <v>569</v>
      </c>
      <c r="S896" s="90" t="str">
        <f>IF(Table26[[#This Row],[customerSKU]]="","",_xlfn.XLOOKUP(Table26[[#This Row],[customerSKU]],customerSKU!G:G,customerSKU!N:N,"NOT FOUND",0,1))</f>
        <v>NOT FOUND</v>
      </c>
      <c r="T896" s="20">
        <v>45624</v>
      </c>
      <c r="U896" s="236">
        <v>48</v>
      </c>
      <c r="V896" s="90" t="str">
        <f>IF(ISBLANK(Table26[[#This Row],[customerSKU]]),"",_xlfn.XLOOKUP(Table26[[#This Row],[customerSKU]],Table27[customer_SKU],Table27[case_size],"",0,1))</f>
        <v/>
      </c>
      <c r="W896" s="237" t="str">
        <f t="shared" si="41"/>
        <v/>
      </c>
      <c r="X896" s="90" t="str">
        <f t="shared" si="40"/>
        <v/>
      </c>
      <c r="Y896" s="90" t="str">
        <f>IF(Table26[[#This Row],[customerSKU]]="","",_xlfn.XLOOKUP(Table26[[#This Row],[customerSKU]],Table27[customer_SKU],Table27[product_GTIN],"",0,1))</f>
        <v/>
      </c>
      <c r="Z896" s="25" t="s">
        <v>3448</v>
      </c>
      <c r="AA896" s="18" t="str" cm="1">
        <f t="array" ref="AA896">IF(P896="", "", _xlfn.XLOOKUP(P896,#REF!,#REF!,NA,0,-1))</f>
        <v/>
      </c>
      <c r="AB896" s="90"/>
      <c r="AC896" s="55" t="s">
        <v>3424</v>
      </c>
      <c r="AD896" s="55" t="str">
        <f>IF($AC896="","",_xlfn.XLOOKUP($AC896,'[2]Client Info'!$C$2:$C$2535,'[2]Client Info'!$D$2:$D$2535,"",0,1))</f>
        <v>3695 W 4TH AVENUE</v>
      </c>
      <c r="AE896" s="55" t="str">
        <f>IF($AC896="","",_xlfn.XLOOKUP($AC896,'[2]Client Info'!$C$2:$C$2715,'[2]Client Info'!$E$2:$E$2715,"",))</f>
        <v>Vancouver</v>
      </c>
      <c r="AF896" s="55" t="str">
        <f>IF($AC896="","",_xlfn.XLOOKUP($AC896,'[2]Client Info'!$C$2:$C$2715,'[2]Client Info'!$F$2:$F$2715,"",0,1))</f>
        <v xml:space="preserve">BC </v>
      </c>
      <c r="AG896" s="55" t="s">
        <v>3424</v>
      </c>
      <c r="AH896" s="245" t="str">
        <f>_xlfn.XLOOKUP(Table26[[#This Row],[customerSKU]],customerSKU!G:G,customerSKU!K:K,"NA",0,1)</f>
        <v>NA</v>
      </c>
      <c r="AI896" s="43" t="str">
        <f>_xlfn.XLOOKUP(Table26[[#This Row],[customerSKU]],customerSKU!G:G,customerSKU!O:O,"not found",0,1)</f>
        <v>not found</v>
      </c>
      <c r="AJ896" s="22" t="e">
        <f>Table26[[#This Row],[unitprice]]*Table26[[#This Row],[quantity_unit]]</f>
        <v>#VALUE!</v>
      </c>
      <c r="AK896" s="22" t="e" cm="1">
        <f t="array" ref="AK8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7" spans="1:37" ht="18" customHeight="1">
      <c r="A897" s="42">
        <v>1345</v>
      </c>
      <c r="B897" s="249" t="s">
        <v>3520</v>
      </c>
      <c r="C897" s="90" t="s">
        <v>203</v>
      </c>
      <c r="D897" s="235"/>
      <c r="E897" s="235"/>
      <c r="F89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97" s="46"/>
      <c r="H897" s="90"/>
      <c r="I897" s="90"/>
      <c r="J897" s="90" t="str">
        <f>IF(Table26[[#This Row],[customerSKU]]="","",_xlfn.XLOOKUP(Table26[[#This Row],[customerSKU]],customerSKU!G:G,customerSKU!A:A,"",0,1))</f>
        <v/>
      </c>
      <c r="K897" s="232">
        <v>45671</v>
      </c>
      <c r="L897" s="233" t="str">
        <f>IF(Table26[[#This Row],[customerSKU]]="","",_xlfn.XLOOKUP(Table26[[#This Row],[customerSKU]],customerSKU!G:G,customerSKU!B:B,"",0,1))</f>
        <v/>
      </c>
      <c r="M897" s="90"/>
      <c r="N897" s="55" t="str">
        <f>Table26[[#This Row],[po_number]]&amp;"-"&amp;Table26[[#This Row],[po_line]]</f>
        <v>-1</v>
      </c>
      <c r="O897" s="55">
        <v>1</v>
      </c>
      <c r="P897" s="234"/>
      <c r="Q897" s="90" t="s">
        <v>934</v>
      </c>
      <c r="R897" s="90" t="s">
        <v>3419</v>
      </c>
      <c r="S897" s="90" t="s">
        <v>3420</v>
      </c>
      <c r="T897" s="20">
        <v>45596</v>
      </c>
      <c r="U897" s="236">
        <v>12</v>
      </c>
      <c r="V897" s="90" t="str">
        <f>IF(ISBLANK(Table26[[#This Row],[customerSKU]]),"",_xlfn.XLOOKUP(Table26[[#This Row],[customerSKU]],Table27[customer_SKU],Table27[case_size],"",0,1))</f>
        <v/>
      </c>
      <c r="W897" s="237" t="str">
        <f t="shared" si="41"/>
        <v/>
      </c>
      <c r="X897" s="90" t="str">
        <f t="shared" si="40"/>
        <v/>
      </c>
      <c r="Y897" s="90" t="str">
        <f>IF(Table26[[#This Row],[customerSKU]]="","",_xlfn.XLOOKUP(Table26[[#This Row],[customerSKU]],Table27[customer_SKU],Table27[product_GTIN],"",0,1))</f>
        <v/>
      </c>
      <c r="Z897" s="25" t="s">
        <v>3547</v>
      </c>
      <c r="AA897" s="18" t="str" cm="1">
        <f t="array" ref="AA897">IF(P897="", "", _xlfn.XLOOKUP(P897,#REF!,#REF!,NA,0,-1))</f>
        <v/>
      </c>
      <c r="AB897" s="90"/>
      <c r="AC897" s="55" t="s">
        <v>3467</v>
      </c>
      <c r="AD897" s="55" t="str">
        <f>IF($AC897="","",_xlfn.XLOOKUP($AC897,'[2]Client Info'!$C$2:$C$2535,'[2]Client Info'!$D$2:$D$2535,"",0,1))</f>
        <v>38243 Cleveland Ave, PO Box 276</v>
      </c>
      <c r="AE897" s="55" t="str">
        <f>IF($AC897="","",_xlfn.XLOOKUP($AC897,'[2]Client Info'!$C$2:$C$2715,'[2]Client Info'!$E$2:$E$2715,"",))</f>
        <v>Squamish</v>
      </c>
      <c r="AF897" s="55" t="str">
        <f>IF($AC897="","",_xlfn.XLOOKUP($AC897,'[2]Client Info'!$C$2:$C$2715,'[2]Client Info'!$F$2:$F$2715,"",0,1))</f>
        <v xml:space="preserve">BC </v>
      </c>
      <c r="AG897" s="55" t="s">
        <v>3467</v>
      </c>
      <c r="AH897" s="245" t="str">
        <f>_xlfn.XLOOKUP(Table26[[#This Row],[customerSKU]],customerSKU!G:G,customerSKU!K:K,"NA",0,1)</f>
        <v>NA</v>
      </c>
      <c r="AI897" s="43" t="str">
        <f>_xlfn.XLOOKUP(Table26[[#This Row],[customerSKU]],customerSKU!G:G,customerSKU!O:O,"not found",0,1)</f>
        <v>not found</v>
      </c>
      <c r="AJ897" s="22" t="e">
        <f>Table26[[#This Row],[unitprice]]*Table26[[#This Row],[quantity_unit]]</f>
        <v>#VALUE!</v>
      </c>
      <c r="AK897" s="22" t="e" cm="1">
        <f t="array" ref="AK8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8" spans="1:37" ht="18" customHeight="1">
      <c r="A898" s="42">
        <v>1346</v>
      </c>
      <c r="B898" s="249" t="s">
        <v>3520</v>
      </c>
      <c r="C898" s="90" t="s">
        <v>203</v>
      </c>
      <c r="D898" s="235"/>
      <c r="E898" s="235"/>
      <c r="F89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98" s="46"/>
      <c r="H898" s="90"/>
      <c r="I898" s="90"/>
      <c r="J898" s="90" t="str">
        <f>IF(Table26[[#This Row],[customerSKU]]="","",_xlfn.XLOOKUP(Table26[[#This Row],[customerSKU]],customerSKU!G:G,customerSKU!A:A,"",0,1))</f>
        <v/>
      </c>
      <c r="K898" s="232">
        <v>45671</v>
      </c>
      <c r="L898" s="233" t="str">
        <f>IF(Table26[[#This Row],[customerSKU]]="","",_xlfn.XLOOKUP(Table26[[#This Row],[customerSKU]],customerSKU!G:G,customerSKU!B:B,"",0,1))</f>
        <v/>
      </c>
      <c r="M898" s="90"/>
      <c r="N898" s="55" t="str">
        <f>Table26[[#This Row],[po_number]]&amp;"-"&amp;Table26[[#This Row],[po_line]]</f>
        <v>-2</v>
      </c>
      <c r="O898" s="55">
        <v>2</v>
      </c>
      <c r="P898" s="234"/>
      <c r="Q898" s="90" t="s">
        <v>3405</v>
      </c>
      <c r="R898" s="90" t="s">
        <v>569</v>
      </c>
      <c r="S898" s="90" t="str">
        <f>IF(Table26[[#This Row],[customerSKU]]="","",_xlfn.XLOOKUP(Table26[[#This Row],[customerSKU]],customerSKU!G:G,customerSKU!N:N,"NOT FOUND",0,1))</f>
        <v>NOT FOUND</v>
      </c>
      <c r="T898" s="20">
        <v>45623</v>
      </c>
      <c r="U898" s="236">
        <v>48</v>
      </c>
      <c r="V898" s="90" t="str">
        <f>IF(ISBLANK(Table26[[#This Row],[customerSKU]]),"",_xlfn.XLOOKUP(Table26[[#This Row],[customerSKU]],Table27[customer_SKU],Table27[case_size],"",0,1))</f>
        <v/>
      </c>
      <c r="W898" s="237" t="str">
        <f t="shared" si="41"/>
        <v/>
      </c>
      <c r="X898" s="90" t="str">
        <f t="shared" si="40"/>
        <v/>
      </c>
      <c r="Y898" s="90" t="str">
        <f>IF(Table26[[#This Row],[customerSKU]]="","",_xlfn.XLOOKUP(Table26[[#This Row],[customerSKU]],Table27[customer_SKU],Table27[product_GTIN],"",0,1))</f>
        <v/>
      </c>
      <c r="Z898" s="28" t="s">
        <v>3406</v>
      </c>
      <c r="AA898" s="18" t="str" cm="1">
        <f t="array" ref="AA898">IF(P898="", "", _xlfn.XLOOKUP(P898,#REF!,#REF!,NA,0,-1))</f>
        <v/>
      </c>
      <c r="AB898" s="90"/>
      <c r="AC898" s="55" t="s">
        <v>3467</v>
      </c>
      <c r="AD898" s="55" t="str">
        <f>IF($AC898="","",_xlfn.XLOOKUP($AC898,'[2]Client Info'!$C$2:$C$2535,'[2]Client Info'!$D$2:$D$2535,"",0,1))</f>
        <v>38243 Cleveland Ave, PO Box 276</v>
      </c>
      <c r="AE898" s="55" t="str">
        <f>IF($AC898="","",_xlfn.XLOOKUP($AC898,'[2]Client Info'!$C$2:$C$2715,'[2]Client Info'!$E$2:$E$2715,"",))</f>
        <v>Squamish</v>
      </c>
      <c r="AF898" s="55" t="str">
        <f>IF($AC898="","",_xlfn.XLOOKUP($AC898,'[2]Client Info'!$C$2:$C$2715,'[2]Client Info'!$F$2:$F$2715,"",0,1))</f>
        <v xml:space="preserve">BC </v>
      </c>
      <c r="AG898" s="55" t="s">
        <v>3467</v>
      </c>
      <c r="AH898" s="245" t="str">
        <f>_xlfn.XLOOKUP(Table26[[#This Row],[customerSKU]],customerSKU!G:G,customerSKU!K:K,"NA",0,1)</f>
        <v>NA</v>
      </c>
      <c r="AI898" s="43" t="str">
        <f>_xlfn.XLOOKUP(Table26[[#This Row],[customerSKU]],customerSKU!G:G,customerSKU!O:O,"not found",0,1)</f>
        <v>not found</v>
      </c>
      <c r="AJ898" s="22" t="e">
        <f>Table26[[#This Row],[unitprice]]*Table26[[#This Row],[quantity_unit]]</f>
        <v>#VALUE!</v>
      </c>
      <c r="AK898" s="22" t="e" cm="1">
        <f t="array" ref="AK8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899" spans="1:37" ht="24.6" customHeight="1">
      <c r="A899" s="42">
        <v>1347</v>
      </c>
      <c r="B899" s="249" t="s">
        <v>3520</v>
      </c>
      <c r="C899" s="90" t="s">
        <v>203</v>
      </c>
      <c r="D899" s="235"/>
      <c r="E899" s="235"/>
      <c r="F89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899" s="46"/>
      <c r="H899" s="90"/>
      <c r="I899" s="90"/>
      <c r="J899" s="90" t="str">
        <f>IF(Table26[[#This Row],[customerSKU]]="","",_xlfn.XLOOKUP(Table26[[#This Row],[customerSKU]],customerSKU!G:G,customerSKU!A:A,"",0,1))</f>
        <v/>
      </c>
      <c r="K899" s="232">
        <v>45671</v>
      </c>
      <c r="L899" s="233" t="str">
        <f>IF(Table26[[#This Row],[customerSKU]]="","",_xlfn.XLOOKUP(Table26[[#This Row],[customerSKU]],customerSKU!G:G,customerSKU!B:B,"",0,1))</f>
        <v/>
      </c>
      <c r="M899" s="90"/>
      <c r="N899" s="55" t="str">
        <f>Table26[[#This Row],[po_number]]&amp;"-"&amp;Table26[[#This Row],[po_line]]</f>
        <v>-3</v>
      </c>
      <c r="O899" s="55">
        <v>3</v>
      </c>
      <c r="P899" s="234"/>
      <c r="Q899" s="90" t="s">
        <v>614</v>
      </c>
      <c r="R899" s="90" t="s">
        <v>569</v>
      </c>
      <c r="S899" s="90" t="str">
        <f>IF(Table26[[#This Row],[customerSKU]]="","",_xlfn.XLOOKUP(Table26[[#This Row],[customerSKU]],customerSKU!G:G,customerSKU!N:N,"NOT FOUND",0,1))</f>
        <v>NOT FOUND</v>
      </c>
      <c r="T899" s="20">
        <v>45642</v>
      </c>
      <c r="U899" s="236">
        <v>48</v>
      </c>
      <c r="V899" s="90" t="str">
        <f>IF(ISBLANK(Table26[[#This Row],[customerSKU]]),"",_xlfn.XLOOKUP(Table26[[#This Row],[customerSKU]],Table27[customer_SKU],Table27[case_size],"",0,1))</f>
        <v/>
      </c>
      <c r="W899" s="237" t="str">
        <f t="shared" si="41"/>
        <v/>
      </c>
      <c r="X899" s="90" t="str">
        <f t="shared" si="40"/>
        <v/>
      </c>
      <c r="Y899" s="90" t="str">
        <f>IF(Table26[[#This Row],[customerSKU]]="","",_xlfn.XLOOKUP(Table26[[#This Row],[customerSKU]],Table27[customer_SKU],Table27[product_GTIN],"",0,1))</f>
        <v/>
      </c>
      <c r="Z899" s="25" t="s">
        <v>3367</v>
      </c>
      <c r="AA899" s="18" t="str" cm="1">
        <f t="array" ref="AA899">IF(P899="", "", _xlfn.XLOOKUP(P899,#REF!,#REF!,NA,0,-1))</f>
        <v/>
      </c>
      <c r="AB899" s="90"/>
      <c r="AC899" s="55" t="s">
        <v>3467</v>
      </c>
      <c r="AD899" s="55" t="str">
        <f>IF($AC899="","",_xlfn.XLOOKUP($AC899,'[2]Client Info'!$C$2:$C$2535,'[2]Client Info'!$D$2:$D$2535,"",0,1))</f>
        <v>38243 Cleveland Ave, PO Box 276</v>
      </c>
      <c r="AE899" s="55" t="str">
        <f>IF($AC899="","",_xlfn.XLOOKUP($AC899,'[2]Client Info'!$C$2:$C$2715,'[2]Client Info'!$E$2:$E$2715,"",))</f>
        <v>Squamish</v>
      </c>
      <c r="AF899" s="55" t="str">
        <f>IF($AC899="","",_xlfn.XLOOKUP($AC899,'[2]Client Info'!$C$2:$C$2715,'[2]Client Info'!$F$2:$F$2715,"",0,1))</f>
        <v xml:space="preserve">BC </v>
      </c>
      <c r="AG899" s="55" t="s">
        <v>3467</v>
      </c>
      <c r="AH899" s="245" t="str">
        <f>_xlfn.XLOOKUP(Table26[[#This Row],[customerSKU]],customerSKU!G:G,customerSKU!K:K,"NA",0,1)</f>
        <v>NA</v>
      </c>
      <c r="AI899" s="43" t="str">
        <f>_xlfn.XLOOKUP(Table26[[#This Row],[customerSKU]],customerSKU!G:G,customerSKU!O:O,"not found",0,1)</f>
        <v>not found</v>
      </c>
      <c r="AJ899" s="22" t="e">
        <f>Table26[[#This Row],[unitprice]]*Table26[[#This Row],[quantity_unit]]</f>
        <v>#VALUE!</v>
      </c>
      <c r="AK899" s="22" t="e" cm="1">
        <f t="array" ref="AK8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0" spans="1:37" ht="24.6" customHeight="1">
      <c r="A900" s="42">
        <v>1348</v>
      </c>
      <c r="B900" s="249" t="s">
        <v>3520</v>
      </c>
      <c r="C900" s="90" t="s">
        <v>203</v>
      </c>
      <c r="D900" s="235"/>
      <c r="E900" s="235"/>
      <c r="F90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0" s="46"/>
      <c r="H900" s="90"/>
      <c r="I900" s="90"/>
      <c r="J900" s="90" t="str">
        <f>IF(Table26[[#This Row],[customerSKU]]="","",_xlfn.XLOOKUP(Table26[[#This Row],[customerSKU]],customerSKU!G:G,customerSKU!A:A,"",0,1))</f>
        <v/>
      </c>
      <c r="K900" s="232">
        <v>45671</v>
      </c>
      <c r="L900" s="233" t="str">
        <f>IF(Table26[[#This Row],[customerSKU]]="","",_xlfn.XLOOKUP(Table26[[#This Row],[customerSKU]],customerSKU!G:G,customerSKU!B:B,"",0,1))</f>
        <v/>
      </c>
      <c r="M900" s="90"/>
      <c r="N900" s="55" t="str">
        <f>Table26[[#This Row],[po_number]]&amp;"-"&amp;Table26[[#This Row],[po_line]]</f>
        <v>-4</v>
      </c>
      <c r="O900" s="55">
        <v>4</v>
      </c>
      <c r="P900" s="234"/>
      <c r="Q900" s="90" t="s">
        <v>4127</v>
      </c>
      <c r="R900" s="90" t="s">
        <v>569</v>
      </c>
      <c r="S900" s="90" t="str">
        <f>IF(Table26[[#This Row],[customerSKU]]="","",_xlfn.XLOOKUP(Table26[[#This Row],[customerSKU]],customerSKU!G:G,customerSKU!N:N,"NOT FOUND",0,1))</f>
        <v>NOT FOUND</v>
      </c>
      <c r="T900" s="20">
        <v>45666</v>
      </c>
      <c r="U900" s="236">
        <v>36</v>
      </c>
      <c r="V900" s="90" t="str">
        <f>IF(ISBLANK(Table26[[#This Row],[customerSKU]]),"",_xlfn.XLOOKUP(Table26[[#This Row],[customerSKU]],Table27[customer_SKU],Table27[case_size],"",0,1))</f>
        <v/>
      </c>
      <c r="W900" s="237" t="str">
        <f t="shared" si="41"/>
        <v/>
      </c>
      <c r="X900" s="90" t="str">
        <f t="shared" si="40"/>
        <v/>
      </c>
      <c r="Y900" s="90" t="str">
        <f>IF(Table26[[#This Row],[customerSKU]]="","",_xlfn.XLOOKUP(Table26[[#This Row],[customerSKU]],Table27[customer_SKU],Table27[product_GTIN],"",0,1))</f>
        <v/>
      </c>
      <c r="Z900" s="25" t="s">
        <v>3379</v>
      </c>
      <c r="AA900" s="18" t="str" cm="1">
        <f t="array" ref="AA900">IF(P900="", "", _xlfn.XLOOKUP(P900,#REF!,#REF!,NA,0,-1))</f>
        <v/>
      </c>
      <c r="AB900" s="90"/>
      <c r="AC900" s="55" t="s">
        <v>3467</v>
      </c>
      <c r="AD900" s="90" t="str">
        <f>IF($AC900="","",_xlfn.XLOOKUP($AC900,'[2]Client Info'!$C$2:$C$2535,'[2]Client Info'!$D$2:$D$2535,"",0,1))</f>
        <v>38243 Cleveland Ave, PO Box 276</v>
      </c>
      <c r="AE900" s="55" t="str">
        <f>IF($AC900="","",_xlfn.XLOOKUP($AC900,'[2]Client Info'!$C$2:$C$2715,'[2]Client Info'!$E$2:$E$2715,"",))</f>
        <v>Squamish</v>
      </c>
      <c r="AF900" s="55" t="str">
        <f>IF($AC900="","",_xlfn.XLOOKUP($AC900,'[2]Client Info'!$C$2:$C$2715,'[2]Client Info'!$F$2:$F$2715,"",0,1))</f>
        <v xml:space="preserve">BC </v>
      </c>
      <c r="AG900" s="55" t="s">
        <v>3467</v>
      </c>
      <c r="AH900" s="245" t="str">
        <f>_xlfn.XLOOKUP(Table26[[#This Row],[customerSKU]],customerSKU!G:G,customerSKU!K:K,"NA",0,1)</f>
        <v>NA</v>
      </c>
      <c r="AI900" s="43" t="str">
        <f>_xlfn.XLOOKUP(Table26[[#This Row],[customerSKU]],customerSKU!G:G,customerSKU!O:O,"not found",0,1)</f>
        <v>not found</v>
      </c>
      <c r="AJ900" s="22" t="e">
        <f>Table26[[#This Row],[unitprice]]*Table26[[#This Row],[quantity_unit]]</f>
        <v>#VALUE!</v>
      </c>
      <c r="AK900" s="22" t="e" cm="1">
        <f t="array" ref="AK9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1" spans="1:37" ht="18" customHeight="1">
      <c r="A901" s="42">
        <v>1349</v>
      </c>
      <c r="B901" s="58" t="s">
        <v>3520</v>
      </c>
      <c r="C901" s="22" t="s">
        <v>3360</v>
      </c>
      <c r="E901" s="20"/>
      <c r="F90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01" s="46"/>
      <c r="J901" s="90" t="str">
        <f>IF(Table26[[#This Row],[customerSKU]]="","",_xlfn.XLOOKUP(Table26[[#This Row],[customerSKU]],customerSKU!G:G,customerSKU!A:A,"",0,1))</f>
        <v/>
      </c>
      <c r="K901" s="232">
        <v>45671</v>
      </c>
      <c r="L901" s="31" t="str">
        <f>IF(Table26[[#This Row],[customerSKU]]="","",_xlfn.XLOOKUP(Table26[[#This Row],[customerSKU]],customerSKU!G:G,customerSKU!B:B,"",0,1))</f>
        <v/>
      </c>
      <c r="M901" s="22"/>
      <c r="N901" s="15" t="str">
        <f>Table26[[#This Row],[po_number]]&amp;"-"&amp;Table26[[#This Row],[po_line]]</f>
        <v>-1</v>
      </c>
      <c r="O901" s="15">
        <v>1</v>
      </c>
      <c r="P901" s="29"/>
      <c r="S901" s="22" t="str">
        <f>IF(Table26[[#This Row],[customerSKU]]="","",_xlfn.XLOOKUP(Table26[[#This Row],[customerSKU]],customerSKU!G:G,customerSKU!N:N,"NOT FOUND",0,1))</f>
        <v>NOT FOUND</v>
      </c>
      <c r="T901" s="20"/>
      <c r="U901" s="21">
        <v>12</v>
      </c>
      <c r="V901" s="22" t="str">
        <f>IF(ISBLANK(Table26[[#This Row],[customerSKU]]),"",_xlfn.XLOOKUP(Table26[[#This Row],[customerSKU]],Table27[customer_SKU],Table27[case_size],"",0,1))</f>
        <v/>
      </c>
      <c r="W901" s="117" t="str">
        <f t="shared" si="41"/>
        <v/>
      </c>
      <c r="X901" s="22" t="str">
        <f t="shared" si="40"/>
        <v/>
      </c>
      <c r="Y901" s="22" t="str">
        <f>IF(Table26[[#This Row],[customerSKU]]="","",_xlfn.XLOOKUP(Table26[[#This Row],[customerSKU]],Table27[customer_SKU],Table27[product_GTIN],"",0,1))</f>
        <v/>
      </c>
      <c r="Z901" s="25" t="s">
        <v>3455</v>
      </c>
      <c r="AA901" s="18" t="str" cm="1">
        <f t="array" ref="AA901">IF(P901="", "", _xlfn.XLOOKUP(P901,#REF!,#REF!,NA,0,-1))</f>
        <v/>
      </c>
      <c r="AB901" s="22"/>
      <c r="AC901" s="55" t="str">
        <f>IF(Table26[[#This Row],[customerSKU]]="","",_xlfn.XLOOKUP(Table26[[#This Row],[customerSKU]],customerSKU!G:G,customerSKU!C:C,"",0,1))</f>
        <v/>
      </c>
      <c r="AD901" s="55" t="str">
        <f>IF($AC901="","",_xlfn.XLOOKUP($AC901,'[2]Client Info'!$C$2:$C$2535,'[2]Client Info'!$D$2:$D$2535,"",0,1))</f>
        <v/>
      </c>
      <c r="AE901" s="55" t="str">
        <f>IF($AC901="","",_xlfn.XLOOKUP($AC901,'[2]Client Info'!$C$2:$C$2715,'[2]Client Info'!$E$2:$E$2715,"",))</f>
        <v/>
      </c>
      <c r="AF901" s="55" t="str">
        <f>IF($AC901="","",_xlfn.XLOOKUP($AC901,'[2]Client Info'!$C$2:$C$2715,'[2]Client Info'!$F$2:$F$2715,"",0,1))</f>
        <v/>
      </c>
      <c r="AG901" s="55" t="s">
        <v>3446</v>
      </c>
      <c r="AH901" s="26" t="str">
        <f>_xlfn.XLOOKUP(Table26[[#This Row],[customerSKU]],customerSKU!G:G,customerSKU!K:K,"NA",0,1)</f>
        <v>NA</v>
      </c>
      <c r="AI901" s="43" t="str">
        <f>_xlfn.XLOOKUP(Table26[[#This Row],[customerSKU]],customerSKU!G:G,customerSKU!O:O,"not found",0,1)</f>
        <v>not found</v>
      </c>
      <c r="AJ901" s="22" t="e">
        <f>Table26[[#This Row],[unitprice]]*Table26[[#This Row],[quantity_unit]]</f>
        <v>#VALUE!</v>
      </c>
      <c r="AK901" s="22" t="e" cm="1">
        <f t="array" ref="AK9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2" spans="1:37" ht="18" customHeight="1">
      <c r="A902" s="42">
        <v>1350</v>
      </c>
      <c r="B902" s="58" t="s">
        <v>3520</v>
      </c>
      <c r="C902" s="22" t="s">
        <v>3360</v>
      </c>
      <c r="E902" s="20"/>
      <c r="F90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02" s="46"/>
      <c r="J902" s="90" t="str">
        <f>IF(Table26[[#This Row],[customerSKU]]="","",_xlfn.XLOOKUP(Table26[[#This Row],[customerSKU]],customerSKU!G:G,customerSKU!A:A,"",0,1))</f>
        <v/>
      </c>
      <c r="K902" s="232">
        <v>45671</v>
      </c>
      <c r="L902" s="31" t="str">
        <f>IF(Table26[[#This Row],[customerSKU]]="","",_xlfn.XLOOKUP(Table26[[#This Row],[customerSKU]],customerSKU!G:G,customerSKU!B:B,"",0,1))</f>
        <v/>
      </c>
      <c r="M902" s="22"/>
      <c r="N902" s="15" t="str">
        <f>Table26[[#This Row],[po_number]]&amp;"-"&amp;Table26[[#This Row],[po_line]]</f>
        <v>-1</v>
      </c>
      <c r="O902" s="15">
        <v>1</v>
      </c>
      <c r="P902" s="29"/>
      <c r="S902" s="22" t="str">
        <f>IF(Table26[[#This Row],[customerSKU]]="","",_xlfn.XLOOKUP(Table26[[#This Row],[customerSKU]],customerSKU!G:G,customerSKU!N:N,"NOT FOUND",0,1))</f>
        <v>NOT FOUND</v>
      </c>
      <c r="T902" s="20"/>
      <c r="U902" s="21">
        <v>12</v>
      </c>
      <c r="V902" s="22" t="str">
        <f>IF(ISBLANK(Table26[[#This Row],[customerSKU]]),"",_xlfn.XLOOKUP(Table26[[#This Row],[customerSKU]],Table27[customer_SKU],Table27[case_size],"",0,1))</f>
        <v/>
      </c>
      <c r="W902" s="117" t="str">
        <f t="shared" ref="W902:W933" si="42">IFERROR(U902/V902, "")</f>
        <v/>
      </c>
      <c r="X902" s="22" t="str">
        <f t="shared" ref="X902:X965" si="43">IFERROR($AA902*$U902, "")</f>
        <v/>
      </c>
      <c r="Y902" s="22" t="str">
        <f>IF(Table26[[#This Row],[customerSKU]]="","",_xlfn.XLOOKUP(Table26[[#This Row],[customerSKU]],Table27[customer_SKU],Table27[product_GTIN],"",0,1))</f>
        <v/>
      </c>
      <c r="Z902" s="25" t="s">
        <v>3381</v>
      </c>
      <c r="AA902" s="18" t="str" cm="1">
        <f t="array" ref="AA902">IF(P902="", "", _xlfn.XLOOKUP(P902,#REF!,#REF!,NA,0,-1))</f>
        <v/>
      </c>
      <c r="AB902" s="22"/>
      <c r="AC902" s="55" t="str">
        <f>IF(Table26[[#This Row],[customerSKU]]="","",_xlfn.XLOOKUP(Table26[[#This Row],[customerSKU]],customerSKU!G:G,customerSKU!C:C,"",0,1))</f>
        <v/>
      </c>
      <c r="AD902" s="90" t="str">
        <f>IF($AC902="","",_xlfn.XLOOKUP($AC902,'[2]Client Info'!$C$2:$C$2535,'[2]Client Info'!$D$2:$D$2535,"",0,1))</f>
        <v/>
      </c>
      <c r="AE902" s="55" t="str">
        <f>IF($AC902="","",_xlfn.XLOOKUP($AC902,'[2]Client Info'!$C$2:$C$2715,'[2]Client Info'!$E$2:$E$2715,"",))</f>
        <v/>
      </c>
      <c r="AF902" s="55" t="str">
        <f>IF($AC902="","",_xlfn.XLOOKUP($AC902,'[2]Client Info'!$C$2:$C$2715,'[2]Client Info'!$F$2:$F$2715,"",0,1))</f>
        <v/>
      </c>
      <c r="AG902" s="55" t="s">
        <v>4142</v>
      </c>
      <c r="AH902" s="26" t="str">
        <f>_xlfn.XLOOKUP(Table26[[#This Row],[customerSKU]],customerSKU!G:G,customerSKU!K:K,"NA",0,1)</f>
        <v>NA</v>
      </c>
      <c r="AI902" s="43" t="str">
        <f>_xlfn.XLOOKUP(Table26[[#This Row],[customerSKU]],customerSKU!G:G,customerSKU!O:O,"not found",0,1)</f>
        <v>not found</v>
      </c>
      <c r="AJ902" s="22" t="e">
        <f>Table26[[#This Row],[unitprice]]*Table26[[#This Row],[quantity_unit]]</f>
        <v>#VALUE!</v>
      </c>
      <c r="AK902" s="22" t="e" cm="1">
        <f t="array" ref="AK9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3" spans="1:37" ht="18" customHeight="1">
      <c r="A903" s="42">
        <v>1351</v>
      </c>
      <c r="B903" s="249" t="s">
        <v>3520</v>
      </c>
      <c r="C903" s="90" t="s">
        <v>203</v>
      </c>
      <c r="D903" s="235"/>
      <c r="E903" s="235"/>
      <c r="F90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3" s="46"/>
      <c r="H903" s="90"/>
      <c r="I903" s="90"/>
      <c r="J903" s="90" t="str">
        <f>IF(Table26[[#This Row],[customerSKU]]="","",_xlfn.XLOOKUP(Table26[[#This Row],[customerSKU]],customerSKU!G:G,customerSKU!A:A,"",0,1))</f>
        <v/>
      </c>
      <c r="K903" s="232">
        <v>45671</v>
      </c>
      <c r="L903" s="233" t="str">
        <f>IF(Table26[[#This Row],[customerSKU]]="","",_xlfn.XLOOKUP(Table26[[#This Row],[customerSKU]],customerSKU!G:G,customerSKU!B:B,"",0,1))</f>
        <v/>
      </c>
      <c r="M903" s="90"/>
      <c r="N903" s="55" t="str">
        <f>Table26[[#This Row],[po_number]]&amp;"-"&amp;Table26[[#This Row],[po_line]]</f>
        <v>-1</v>
      </c>
      <c r="O903" s="55">
        <v>1</v>
      </c>
      <c r="P903" s="234"/>
      <c r="Q903" s="90" t="s">
        <v>4170</v>
      </c>
      <c r="R903" s="257" t="s">
        <v>3302</v>
      </c>
      <c r="S903" s="55" t="str">
        <f>IF(Table26[[#This Row],[customerSKU]]="","",_xlfn.XLOOKUP(Table26[[#This Row],[customerSKU]],customerSKU!G:G,customerSKU!N:N,"NOT FOUND",0,1))</f>
        <v>NOT FOUND</v>
      </c>
      <c r="T903" s="20">
        <v>45668</v>
      </c>
      <c r="U903" s="236">
        <v>12</v>
      </c>
      <c r="V903" s="90" t="str">
        <f>IF(ISBLANK(Table26[[#This Row],[customerSKU]]),"",_xlfn.XLOOKUP(Table26[[#This Row],[customerSKU]],Table27[customer_SKU],Table27[case_size],"",0,1))</f>
        <v/>
      </c>
      <c r="W903" s="237" t="str">
        <f t="shared" si="42"/>
        <v/>
      </c>
      <c r="X903" s="90" t="str">
        <f t="shared" si="43"/>
        <v/>
      </c>
      <c r="Y903" s="90" t="str">
        <f>IF(Table26[[#This Row],[customerSKU]]="","",_xlfn.XLOOKUP(Table26[[#This Row],[customerSKU]],Table27[customer_SKU],Table27[product_GTIN],"",0,1))</f>
        <v/>
      </c>
      <c r="Z903" s="25" t="s">
        <v>3384</v>
      </c>
      <c r="AA903" s="18" t="str" cm="1">
        <f t="array" ref="AA903">IF(P903="", "", _xlfn.XLOOKUP(P903,#REF!,#REF!,NA,0,-1))</f>
        <v/>
      </c>
      <c r="AB903" s="90"/>
      <c r="AC903" s="55" t="s">
        <v>4146</v>
      </c>
      <c r="AD903" s="90" t="str">
        <f>IF($AC903="","",_xlfn.XLOOKUP($AC903,'[2]Client Info'!$C$2:$C$2535,'[2]Client Info'!$D$2:$D$2535,"",0,1))</f>
        <v>358 Baker St</v>
      </c>
      <c r="AE903" s="55" t="str">
        <f>IF($AC903="","",_xlfn.XLOOKUP($AC903,'[2]Client Info'!$C$2:$C$2715,'[2]Client Info'!$E$2:$E$2715,"",))</f>
        <v>Nelson</v>
      </c>
      <c r="AF903" s="55" t="str">
        <f>IF($AC903="","",_xlfn.XLOOKUP($AC903,'[2]Client Info'!$C$2:$C$2715,'[2]Client Info'!$F$2:$F$2715,"",0,1))</f>
        <v xml:space="preserve">BC </v>
      </c>
      <c r="AG903" s="55" t="s">
        <v>4171</v>
      </c>
      <c r="AH903" s="245" t="str">
        <f>_xlfn.XLOOKUP(Table26[[#This Row],[customerSKU]],customerSKU!G:G,customerSKU!K:K,"NA",0,1)</f>
        <v>NA</v>
      </c>
      <c r="AI903" s="43" t="str">
        <f>_xlfn.XLOOKUP(Table26[[#This Row],[customerSKU]],customerSKU!G:G,customerSKU!O:O,"not found",0,1)</f>
        <v>not found</v>
      </c>
      <c r="AJ903" s="22" t="e">
        <f>Table26[[#This Row],[unitprice]]*Table26[[#This Row],[quantity_unit]]</f>
        <v>#VALUE!</v>
      </c>
      <c r="AK903" s="22" t="e" cm="1">
        <f t="array" ref="AK9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4" spans="1:37" ht="18" customHeight="1">
      <c r="A904" s="42">
        <v>1352</v>
      </c>
      <c r="B904" s="249" t="s">
        <v>3520</v>
      </c>
      <c r="C904" s="90" t="s">
        <v>203</v>
      </c>
      <c r="D904" s="235"/>
      <c r="E904" s="235"/>
      <c r="F90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4" s="46"/>
      <c r="H904" s="90"/>
      <c r="I904" s="90"/>
      <c r="J904" s="90" t="str">
        <f>IF(Table26[[#This Row],[customerSKU]]="","",_xlfn.XLOOKUP(Table26[[#This Row],[customerSKU]],customerSKU!G:G,customerSKU!A:A,"",0,1))</f>
        <v/>
      </c>
      <c r="K904" s="232">
        <v>45671</v>
      </c>
      <c r="L904" s="233" t="str">
        <f>IF(Table26[[#This Row],[customerSKU]]="","",_xlfn.XLOOKUP(Table26[[#This Row],[customerSKU]],customerSKU!G:G,customerSKU!B:B,"",0,1))</f>
        <v/>
      </c>
      <c r="M904" s="90"/>
      <c r="N904" s="55" t="str">
        <f>Table26[[#This Row],[po_number]]&amp;"-"&amp;Table26[[#This Row],[po_line]]</f>
        <v>-1</v>
      </c>
      <c r="O904" s="55">
        <v>1</v>
      </c>
      <c r="P904" s="234"/>
      <c r="Q904" s="90" t="s">
        <v>4168</v>
      </c>
      <c r="R904" s="257" t="s">
        <v>3302</v>
      </c>
      <c r="S904" s="90" t="str">
        <f>IF(Table26[[#This Row],[customerSKU]]="","",_xlfn.XLOOKUP(Table26[[#This Row],[customerSKU]],customerSKU!G:G,customerSKU!N:N,"NOT FOUND",0,1))</f>
        <v>NOT FOUND</v>
      </c>
      <c r="T904" s="20">
        <v>45668</v>
      </c>
      <c r="U904" s="236">
        <v>6</v>
      </c>
      <c r="V904" s="90" t="str">
        <f>IF(ISBLANK(Table26[[#This Row],[customerSKU]]),"",_xlfn.XLOOKUP(Table26[[#This Row],[customerSKU]],Table27[customer_SKU],Table27[case_size],"",0,1))</f>
        <v/>
      </c>
      <c r="W904" s="237" t="str">
        <f t="shared" si="42"/>
        <v/>
      </c>
      <c r="X904" s="90" t="str">
        <f t="shared" si="43"/>
        <v/>
      </c>
      <c r="Y904" s="90" t="str">
        <f>IF(Table26[[#This Row],[customerSKU]]="","",_xlfn.XLOOKUP(Table26[[#This Row],[customerSKU]],Table27[customer_SKU],Table27[product_GTIN],"",0,1))</f>
        <v/>
      </c>
      <c r="Z904" s="25" t="s">
        <v>4169</v>
      </c>
      <c r="AA904" s="18" t="str" cm="1">
        <f t="array" ref="AA904">IF(P904="", "", _xlfn.XLOOKUP(P904,#REF!,#REF!,NA,0,-1))</f>
        <v/>
      </c>
      <c r="AB904" s="90"/>
      <c r="AC904" s="55" t="s">
        <v>4145</v>
      </c>
      <c r="AD904" s="55" t="str">
        <f>IF($AC904="","",_xlfn.XLOOKUP($AC904,'[2]Client Info'!$C$2:$C$2535,'[2]Client Info'!$D$2:$D$2535,"",0,1))</f>
        <v>3-154 Middleton Ave</v>
      </c>
      <c r="AE904" s="55" t="str">
        <f>IF($AC904="","",_xlfn.XLOOKUP($AC904,'[2]Client Info'!$C$2:$C$2715,'[2]Client Info'!$E$2:$E$2715,"",))</f>
        <v>Parksville</v>
      </c>
      <c r="AF904" s="55" t="str">
        <f>IF($AC904="","",_xlfn.XLOOKUP($AC904,'[2]Client Info'!$C$2:$C$2715,'[2]Client Info'!$F$2:$F$2715,"",0,1))</f>
        <v xml:space="preserve">BC </v>
      </c>
      <c r="AG904" s="55" t="s">
        <v>4145</v>
      </c>
      <c r="AH904" s="245" t="str">
        <f>_xlfn.XLOOKUP(Table26[[#This Row],[customerSKU]],customerSKU!G:G,customerSKU!K:K,"NA",0,1)</f>
        <v>NA</v>
      </c>
      <c r="AI904" s="43" t="str">
        <f>_xlfn.XLOOKUP(Table26[[#This Row],[customerSKU]],customerSKU!G:G,customerSKU!O:O,"not found",0,1)</f>
        <v>not found</v>
      </c>
      <c r="AJ904" s="22" t="e">
        <f>Table26[[#This Row],[unitprice]]*Table26[[#This Row],[quantity_unit]]</f>
        <v>#VALUE!</v>
      </c>
      <c r="AK904" s="22" t="e" cm="1">
        <f t="array" ref="AK9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5" spans="1:37" ht="18" customHeight="1">
      <c r="A905" s="42">
        <v>1353</v>
      </c>
      <c r="B905" s="249" t="s">
        <v>3520</v>
      </c>
      <c r="C905" s="90" t="s">
        <v>203</v>
      </c>
      <c r="D905" s="235"/>
      <c r="E905" s="235"/>
      <c r="F90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5" s="46"/>
      <c r="H905" s="90"/>
      <c r="I905" s="90"/>
      <c r="J905" s="90" t="str">
        <f>IF(Table26[[#This Row],[customerSKU]]="","",_xlfn.XLOOKUP(Table26[[#This Row],[customerSKU]],customerSKU!G:G,customerSKU!A:A,"",0,1))</f>
        <v/>
      </c>
      <c r="K905" s="232">
        <v>45671</v>
      </c>
      <c r="L905" s="233" t="str">
        <f>IF(Table26[[#This Row],[customerSKU]]="","",_xlfn.XLOOKUP(Table26[[#This Row],[customerSKU]],customerSKU!G:G,customerSKU!B:B,"",0,1))</f>
        <v/>
      </c>
      <c r="M905" s="90"/>
      <c r="N905" s="55" t="str">
        <f>Table26[[#This Row],[po_number]]&amp;"-"&amp;Table26[[#This Row],[po_line]]</f>
        <v>-2</v>
      </c>
      <c r="O905" s="55">
        <v>2</v>
      </c>
      <c r="P905" s="234"/>
      <c r="Q905" s="90" t="s">
        <v>4170</v>
      </c>
      <c r="R905" s="257" t="s">
        <v>3302</v>
      </c>
      <c r="S905" s="90" t="str">
        <f>IF(Table26[[#This Row],[customerSKU]]="","",_xlfn.XLOOKUP(Table26[[#This Row],[customerSKU]],customerSKU!G:G,customerSKU!N:N,"NOT FOUND",0,1))</f>
        <v>NOT FOUND</v>
      </c>
      <c r="T905" s="20">
        <v>45668</v>
      </c>
      <c r="U905" s="236">
        <v>6</v>
      </c>
      <c r="V905" s="90" t="str">
        <f>IF(ISBLANK(Table26[[#This Row],[customerSKU]]),"",_xlfn.XLOOKUP(Table26[[#This Row],[customerSKU]],Table27[customer_SKU],Table27[case_size],"",0,1))</f>
        <v/>
      </c>
      <c r="W905" s="237" t="str">
        <f t="shared" si="42"/>
        <v/>
      </c>
      <c r="X905" s="90" t="str">
        <f t="shared" si="43"/>
        <v/>
      </c>
      <c r="Y905" s="90" t="str">
        <f>IF(Table26[[#This Row],[customerSKU]]="","",_xlfn.XLOOKUP(Table26[[#This Row],[customerSKU]],Table27[customer_SKU],Table27[product_GTIN],"",0,1))</f>
        <v/>
      </c>
      <c r="Z905" s="25" t="s">
        <v>3384</v>
      </c>
      <c r="AA905" s="18" t="str" cm="1">
        <f t="array" ref="AA905">IF(P905="", "", _xlfn.XLOOKUP(P905,#REF!,#REF!,NA,0,-1))</f>
        <v/>
      </c>
      <c r="AB905" s="90"/>
      <c r="AC905" s="55" t="s">
        <v>4145</v>
      </c>
      <c r="AD905" s="55" t="str">
        <f>IF($AC905="","",_xlfn.XLOOKUP($AC905,'[2]Client Info'!$C$2:$C$2535,'[2]Client Info'!$D$2:$D$2535,"",0,1))</f>
        <v>3-154 Middleton Ave</v>
      </c>
      <c r="AE905" s="55" t="str">
        <f>IF($AC905="","",_xlfn.XLOOKUP($AC905,'[2]Client Info'!$C$2:$C$2715,'[2]Client Info'!$E$2:$E$2715,"",))</f>
        <v>Parksville</v>
      </c>
      <c r="AF905" s="55" t="str">
        <f>IF($AC905="","",_xlfn.XLOOKUP($AC905,'[2]Client Info'!$C$2:$C$2715,'[2]Client Info'!$F$2:$F$2715,"",0,1))</f>
        <v xml:space="preserve">BC </v>
      </c>
      <c r="AG905" s="55" t="s">
        <v>4145</v>
      </c>
      <c r="AH905" s="245" t="str">
        <f>_xlfn.XLOOKUP(Table26[[#This Row],[customerSKU]],customerSKU!G:G,customerSKU!K:K,"NA",0,1)</f>
        <v>NA</v>
      </c>
      <c r="AI905" s="43" t="str">
        <f>_xlfn.XLOOKUP(Table26[[#This Row],[customerSKU]],customerSKU!G:G,customerSKU!O:O,"not found",0,1)</f>
        <v>not found</v>
      </c>
      <c r="AJ905" s="22" t="e">
        <f>Table26[[#This Row],[unitprice]]*Table26[[#This Row],[quantity_unit]]</f>
        <v>#VALUE!</v>
      </c>
      <c r="AK905" s="22" t="e" cm="1">
        <f t="array" ref="AK9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6" spans="1:37" ht="18" customHeight="1">
      <c r="A906" s="42">
        <v>1354</v>
      </c>
      <c r="B906" s="249" t="s">
        <v>3520</v>
      </c>
      <c r="C906" s="90" t="s">
        <v>203</v>
      </c>
      <c r="D906" s="235"/>
      <c r="E906" s="235"/>
      <c r="F90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6" s="46"/>
      <c r="H906" s="90"/>
      <c r="I906" s="90"/>
      <c r="J906" s="90" t="str">
        <f>IF(Table26[[#This Row],[customerSKU]]="","",_xlfn.XLOOKUP(Table26[[#This Row],[customerSKU]],customerSKU!G:G,customerSKU!A:A,"",0,1))</f>
        <v/>
      </c>
      <c r="K906" s="232">
        <v>45671</v>
      </c>
      <c r="L906" s="233" t="str">
        <f>IF(Table26[[#This Row],[customerSKU]]="","",_xlfn.XLOOKUP(Table26[[#This Row],[customerSKU]],customerSKU!G:G,customerSKU!B:B,"",0,1))</f>
        <v/>
      </c>
      <c r="M906" s="90"/>
      <c r="N906" s="55" t="str">
        <f>Table26[[#This Row],[po_number]]&amp;"-"&amp;Table26[[#This Row],[po_line]]</f>
        <v>-1</v>
      </c>
      <c r="O906" s="55">
        <v>1</v>
      </c>
      <c r="P906" s="234"/>
      <c r="Q906" s="90" t="s">
        <v>4170</v>
      </c>
      <c r="R906" s="257" t="s">
        <v>3302</v>
      </c>
      <c r="S906" s="90" t="str">
        <f>IF(Table26[[#This Row],[customerSKU]]="","",_xlfn.XLOOKUP(Table26[[#This Row],[customerSKU]],customerSKU!G:G,customerSKU!N:N,"NOT FOUND",0,1))</f>
        <v>NOT FOUND</v>
      </c>
      <c r="T906" s="20">
        <v>45668</v>
      </c>
      <c r="U906" s="236">
        <v>6</v>
      </c>
      <c r="V906" s="90" t="str">
        <f>IF(ISBLANK(Table26[[#This Row],[customerSKU]]),"",_xlfn.XLOOKUP(Table26[[#This Row],[customerSKU]],Table27[customer_SKU],Table27[case_size],"",0,1))</f>
        <v/>
      </c>
      <c r="W906" s="237" t="str">
        <f t="shared" si="42"/>
        <v/>
      </c>
      <c r="X906" s="90" t="str">
        <f t="shared" si="43"/>
        <v/>
      </c>
      <c r="Y906" s="90" t="str">
        <f>IF(Table26[[#This Row],[customerSKU]]="","",_xlfn.XLOOKUP(Table26[[#This Row],[customerSKU]],Table27[customer_SKU],Table27[product_GTIN],"",0,1))</f>
        <v/>
      </c>
      <c r="Z906" s="25" t="s">
        <v>3384</v>
      </c>
      <c r="AA906" s="18" t="str" cm="1">
        <f t="array" ref="AA906">IF(P906="", "", _xlfn.XLOOKUP(P906,#REF!,#REF!,NA,0,-1))</f>
        <v/>
      </c>
      <c r="AB906" s="90"/>
      <c r="AC906" s="55" t="s">
        <v>145</v>
      </c>
      <c r="AD906" s="55" t="str">
        <f>IF($AC906="","",_xlfn.XLOOKUP($AC906,'[2]Client Info'!$C$2:$C$2535,'[2]Client Info'!$D$2:$D$2535,"",0,1))</f>
        <v>Unit 115, 4368 Main st</v>
      </c>
      <c r="AE906" s="55" t="str">
        <f>IF($AC906="","",_xlfn.XLOOKUP($AC906,'[2]Client Info'!$C$2:$C$2715,'[2]Client Info'!$E$2:$E$2715,"",))</f>
        <v>Whistler</v>
      </c>
      <c r="AF906" s="55" t="str">
        <f>IF($AC906="","",_xlfn.XLOOKUP($AC906,'[2]Client Info'!$C$2:$C$2715,'[2]Client Info'!$F$2:$F$2715,"",0,1))</f>
        <v xml:space="preserve">BC </v>
      </c>
      <c r="AG906" s="55" t="s">
        <v>3365</v>
      </c>
      <c r="AH906" s="245" t="str">
        <f>_xlfn.XLOOKUP(Table26[[#This Row],[customerSKU]],customerSKU!G:G,customerSKU!K:K,"NA",0,1)</f>
        <v>NA</v>
      </c>
      <c r="AI906" s="43" t="str">
        <f>_xlfn.XLOOKUP(Table26[[#This Row],[customerSKU]],customerSKU!G:G,customerSKU!O:O,"not found",0,1)</f>
        <v>not found</v>
      </c>
      <c r="AJ906" s="22" t="e">
        <f>Table26[[#This Row],[unitprice]]*Table26[[#This Row],[quantity_unit]]</f>
        <v>#VALUE!</v>
      </c>
      <c r="AK906" s="22" t="e" cm="1">
        <f t="array" ref="AK9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7" spans="1:37" ht="18" customHeight="1">
      <c r="A907" s="42">
        <v>1336</v>
      </c>
      <c r="B907" s="249" t="s">
        <v>3837</v>
      </c>
      <c r="C907" s="90" t="s">
        <v>203</v>
      </c>
      <c r="D907" s="235"/>
      <c r="E907" s="235"/>
      <c r="F90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7" s="46"/>
      <c r="H907" s="90"/>
      <c r="I907" s="90"/>
      <c r="J907" s="90" t="str">
        <f>IF(Table26[[#This Row],[customerSKU]]="","",_xlfn.XLOOKUP(Table26[[#This Row],[customerSKU]],customerSKU!G:G,customerSKU!A:A,"",0,1))</f>
        <v/>
      </c>
      <c r="K907" s="232">
        <v>45672</v>
      </c>
      <c r="L907" s="233" t="str">
        <f>IF(Table26[[#This Row],[customerSKU]]="","",_xlfn.XLOOKUP(Table26[[#This Row],[customerSKU]],customerSKU!G:G,customerSKU!B:B,"",0,1))</f>
        <v/>
      </c>
      <c r="M907" s="90"/>
      <c r="N907" s="55" t="str">
        <f>Table26[[#This Row],[po_number]]&amp;"-"&amp;Table26[[#This Row],[po_line]]</f>
        <v>-1</v>
      </c>
      <c r="O907" s="55">
        <v>1</v>
      </c>
      <c r="P907" s="50"/>
      <c r="Q907" s="90" t="s">
        <v>1309</v>
      </c>
      <c r="R907" s="90" t="s">
        <v>569</v>
      </c>
      <c r="S907" s="90" t="str">
        <f>IF(Table26[[#This Row],[customerSKU]]="","",_xlfn.XLOOKUP(Table26[[#This Row],[customerSKU]],customerSKU!G:G,customerSKU!N:N,"NOT FOUND",0,1))</f>
        <v>NOT FOUND</v>
      </c>
      <c r="T907" s="20">
        <v>45623</v>
      </c>
      <c r="U907" s="236">
        <v>12</v>
      </c>
      <c r="V907" s="90" t="str">
        <f>IF(ISBLANK(Table26[[#This Row],[customerSKU]]),"",_xlfn.XLOOKUP(Table26[[#This Row],[customerSKU]],Table27[customer_SKU],Table27[case_size],"",0,1))</f>
        <v/>
      </c>
      <c r="W907" s="237" t="str">
        <f t="shared" si="42"/>
        <v/>
      </c>
      <c r="X907" s="90" t="str">
        <f t="shared" si="43"/>
        <v/>
      </c>
      <c r="Y907" s="90" t="str">
        <f>IF(Table26[[#This Row],[customerSKU]]="","",_xlfn.XLOOKUP(Table26[[#This Row],[customerSKU]],Table27[customer_SKU],Table27[product_GTIN],"",0,1))</f>
        <v/>
      </c>
      <c r="Z907" s="25" t="s">
        <v>3447</v>
      </c>
      <c r="AA907" s="18" t="str" cm="1">
        <f t="array" ref="AA907">IF(P907="", "", _xlfn.XLOOKUP(P907,#REF!,#REF!,NA,0,-1))</f>
        <v/>
      </c>
      <c r="AB907" s="90"/>
      <c r="AC907" s="55" t="s">
        <v>4128</v>
      </c>
      <c r="AD907" s="55" t="str">
        <f>IF($AC907="","",_xlfn.XLOOKUP($AC907,'[2]Client Info'!$C$2:$C$2535,'[2]Client Info'!$D$2:$D$2535,"",0,1))</f>
        <v>#670, 22709 Lougheed Hwy</v>
      </c>
      <c r="AE907" s="55" t="str">
        <f>IF($AC907="","",_xlfn.XLOOKUP($AC907,'[2]Client Info'!$C$2:$C$2715,'[2]Client Info'!$E$2:$E$2715,"",))</f>
        <v>Maple Ridge</v>
      </c>
      <c r="AF907" s="55" t="str">
        <f>IF($AC907="","",_xlfn.XLOOKUP($AC907,'[2]Client Info'!$C$2:$C$2715,'[2]Client Info'!$F$2:$F$2715,"",0,1))</f>
        <v xml:space="preserve">BC </v>
      </c>
      <c r="AG907" s="55" t="s">
        <v>4129</v>
      </c>
      <c r="AH907" s="245" t="str">
        <f>_xlfn.XLOOKUP(Table26[[#This Row],[customerSKU]],customerSKU!G:G,customerSKU!K:K,"NA",0,1)</f>
        <v>NA</v>
      </c>
      <c r="AI907" s="43" t="str">
        <f>_xlfn.XLOOKUP(Table26[[#This Row],[customerSKU]],customerSKU!G:G,customerSKU!O:O,"not found",0,1)</f>
        <v>not found</v>
      </c>
      <c r="AJ907" s="22" t="e">
        <f>Table26[[#This Row],[unitprice]]*Table26[[#This Row],[quantity_unit]]</f>
        <v>#VALUE!</v>
      </c>
      <c r="AK907" s="22" t="e" cm="1">
        <f t="array" ref="AK9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8" spans="1:37" ht="18" customHeight="1">
      <c r="A908" s="42">
        <v>1337</v>
      </c>
      <c r="B908" s="249" t="s">
        <v>3837</v>
      </c>
      <c r="C908" s="90" t="s">
        <v>203</v>
      </c>
      <c r="D908" s="235"/>
      <c r="E908" s="235"/>
      <c r="F90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8" s="46"/>
      <c r="H908" s="90"/>
      <c r="I908" s="90"/>
      <c r="J908" s="90" t="str">
        <f>IF(Table26[[#This Row],[customerSKU]]="","",_xlfn.XLOOKUP(Table26[[#This Row],[customerSKU]],customerSKU!G:G,customerSKU!A:A,"",0,1))</f>
        <v/>
      </c>
      <c r="K908" s="232">
        <v>45672</v>
      </c>
      <c r="L908" s="233" t="str">
        <f>IF(Table26[[#This Row],[customerSKU]]="","",_xlfn.XLOOKUP(Table26[[#This Row],[customerSKU]],customerSKU!G:G,customerSKU!B:B,"",0,1))</f>
        <v/>
      </c>
      <c r="M908" s="90"/>
      <c r="N908" s="55" t="str">
        <f>Table26[[#This Row],[po_number]]&amp;"-"&amp;Table26[[#This Row],[po_line]]</f>
        <v>-2</v>
      </c>
      <c r="O908" s="55">
        <v>2</v>
      </c>
      <c r="P908" s="234"/>
      <c r="Q908" s="90" t="s">
        <v>4130</v>
      </c>
      <c r="R908" s="90" t="s">
        <v>569</v>
      </c>
      <c r="S908" s="90" t="str">
        <f>IF(Table26[[#This Row],[customerSKU]]="","",_xlfn.XLOOKUP(Table26[[#This Row],[customerSKU]],customerSKU!G:G,customerSKU!N:N,"NOT FOUND",0,1))</f>
        <v>NOT FOUND</v>
      </c>
      <c r="T908" s="20">
        <v>45622</v>
      </c>
      <c r="U908" s="236">
        <v>12</v>
      </c>
      <c r="V908" s="90" t="str">
        <f>IF(ISBLANK(Table26[[#This Row],[customerSKU]]),"",_xlfn.XLOOKUP(Table26[[#This Row],[customerSKU]],Table27[customer_SKU],Table27[case_size],"",0,1))</f>
        <v/>
      </c>
      <c r="W908" s="237" t="str">
        <f t="shared" si="42"/>
        <v/>
      </c>
      <c r="X908" s="90" t="str">
        <f t="shared" si="43"/>
        <v/>
      </c>
      <c r="Y908" s="90" t="str">
        <f>IF(Table26[[#This Row],[customerSKU]]="","",_xlfn.XLOOKUP(Table26[[#This Row],[customerSKU]],Table27[customer_SKU],Table27[product_GTIN],"",0,1))</f>
        <v/>
      </c>
      <c r="Z908" s="25" t="s">
        <v>3719</v>
      </c>
      <c r="AA908" s="18" t="str" cm="1">
        <f t="array" ref="AA908">IF(P908="", "", _xlfn.XLOOKUP(P908,#REF!,#REF!,NA,0,-1))</f>
        <v/>
      </c>
      <c r="AB908" s="90"/>
      <c r="AC908" s="55" t="s">
        <v>4128</v>
      </c>
      <c r="AD908" s="55" t="str">
        <f>IF($AC908="","",_xlfn.XLOOKUP($AC908,'[2]Client Info'!$C$2:$C$2535,'[2]Client Info'!$D$2:$D$2535,"",0,1))</f>
        <v>#670, 22709 Lougheed Hwy</v>
      </c>
      <c r="AE908" s="55" t="str">
        <f>IF($AC908="","",_xlfn.XLOOKUP($AC908,'[2]Client Info'!$C$2:$C$2715,'[2]Client Info'!$E$2:$E$2715,"",))</f>
        <v>Maple Ridge</v>
      </c>
      <c r="AF908" s="55" t="str">
        <f>IF($AC908="","",_xlfn.XLOOKUP($AC908,'[2]Client Info'!$C$2:$C$2715,'[2]Client Info'!$F$2:$F$2715,"",0,1))</f>
        <v xml:space="preserve">BC </v>
      </c>
      <c r="AG908" s="55" t="s">
        <v>99</v>
      </c>
      <c r="AH908" s="245" t="str">
        <f>_xlfn.XLOOKUP(Table26[[#This Row],[customerSKU]],customerSKU!G:G,customerSKU!K:K,"NA",0,1)</f>
        <v>NA</v>
      </c>
      <c r="AI908" s="43" t="str">
        <f>_xlfn.XLOOKUP(Table26[[#This Row],[customerSKU]],customerSKU!G:G,customerSKU!O:O,"not found",0,1)</f>
        <v>not found</v>
      </c>
      <c r="AJ908" s="22" t="e">
        <f>Table26[[#This Row],[unitprice]]*Table26[[#This Row],[quantity_unit]]</f>
        <v>#VALUE!</v>
      </c>
      <c r="AK908" s="22" t="e" cm="1">
        <f t="array" ref="AK9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09" spans="1:37" ht="18" customHeight="1">
      <c r="A909" s="42">
        <v>1338</v>
      </c>
      <c r="B909" s="249" t="s">
        <v>3837</v>
      </c>
      <c r="C909" s="90" t="s">
        <v>203</v>
      </c>
      <c r="D909" s="235"/>
      <c r="E909" s="235"/>
      <c r="F90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09" s="46"/>
      <c r="H909" s="90"/>
      <c r="I909" s="90"/>
      <c r="J909" s="90" t="str">
        <f>IF(Table26[[#This Row],[customerSKU]]="","",_xlfn.XLOOKUP(Table26[[#This Row],[customerSKU]],customerSKU!G:G,customerSKU!A:A,"",0,1))</f>
        <v/>
      </c>
      <c r="K909" s="232">
        <v>45672</v>
      </c>
      <c r="L909" s="233" t="str">
        <f>IF(Table26[[#This Row],[customerSKU]]="","",_xlfn.XLOOKUP(Table26[[#This Row],[customerSKU]],customerSKU!G:G,customerSKU!B:B,"",0,1))</f>
        <v/>
      </c>
      <c r="M909" s="90"/>
      <c r="N909" s="55" t="str">
        <f>Table26[[#This Row],[po_number]]&amp;"-"&amp;Table26[[#This Row],[po_line]]</f>
        <v>-3</v>
      </c>
      <c r="O909" s="55">
        <v>3</v>
      </c>
      <c r="P909" s="234"/>
      <c r="Q909" s="90" t="s">
        <v>622</v>
      </c>
      <c r="R909" s="90" t="s">
        <v>569</v>
      </c>
      <c r="S909" s="90" t="str">
        <f>IF(Table26[[#This Row],[customerSKU]]="","",_xlfn.XLOOKUP(Table26[[#This Row],[customerSKU]],customerSKU!G:G,customerSKU!N:N,"NOT FOUND",0,1))</f>
        <v>NOT FOUND</v>
      </c>
      <c r="T909" s="20">
        <v>45603</v>
      </c>
      <c r="U909" s="236">
        <v>12</v>
      </c>
      <c r="V909" s="90" t="str">
        <f>IF(ISBLANK(Table26[[#This Row],[customerSKU]]),"",_xlfn.XLOOKUP(Table26[[#This Row],[customerSKU]],Table27[customer_SKU],Table27[case_size],"",0,1))</f>
        <v/>
      </c>
      <c r="W909" s="237" t="str">
        <f t="shared" si="42"/>
        <v/>
      </c>
      <c r="X909" s="90" t="str">
        <f t="shared" si="43"/>
        <v/>
      </c>
      <c r="Y909" s="90" t="str">
        <f>IF(Table26[[#This Row],[customerSKU]]="","",_xlfn.XLOOKUP(Table26[[#This Row],[customerSKU]],Table27[customer_SKU],Table27[product_GTIN],"",0,1))</f>
        <v/>
      </c>
      <c r="Z909" s="25" t="s">
        <v>3434</v>
      </c>
      <c r="AA909" s="18" t="str" cm="1">
        <f t="array" ref="AA909">IF(P909="", "", _xlfn.XLOOKUP(P909,#REF!,#REF!,NA,0,-1))</f>
        <v/>
      </c>
      <c r="AB909" s="90"/>
      <c r="AC909" s="55" t="s">
        <v>4128</v>
      </c>
      <c r="AD909" s="55" t="s">
        <v>48</v>
      </c>
      <c r="AE909" s="55" t="s">
        <v>49</v>
      </c>
      <c r="AF909" s="55" t="s">
        <v>15</v>
      </c>
      <c r="AG909" s="55" t="s">
        <v>39</v>
      </c>
      <c r="AH909" s="245" t="str">
        <f>_xlfn.XLOOKUP(Table26[[#This Row],[customerSKU]],customerSKU!G:G,customerSKU!K:K,"NA",0,1)</f>
        <v>NA</v>
      </c>
      <c r="AI909" s="43" t="str">
        <f>_xlfn.XLOOKUP(Table26[[#This Row],[customerSKU]],customerSKU!G:G,customerSKU!O:O,"not found",0,1)</f>
        <v>not found</v>
      </c>
      <c r="AJ909" s="22" t="e">
        <f>Table26[[#This Row],[unitprice]]*Table26[[#This Row],[quantity_unit]]</f>
        <v>#VALUE!</v>
      </c>
      <c r="AK909" s="22" t="e" cm="1">
        <f t="array" ref="AK9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0" spans="1:37" ht="18" customHeight="1">
      <c r="A910" s="42">
        <v>1339</v>
      </c>
      <c r="B910" s="249" t="s">
        <v>3837</v>
      </c>
      <c r="C910" s="90" t="s">
        <v>203</v>
      </c>
      <c r="D910" s="235"/>
      <c r="E910" s="235"/>
      <c r="F91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10" s="46"/>
      <c r="H910" s="90"/>
      <c r="I910" s="90"/>
      <c r="J910" s="90" t="str">
        <f>IF(Table26[[#This Row],[customerSKU]]="","",_xlfn.XLOOKUP(Table26[[#This Row],[customerSKU]],customerSKU!G:G,customerSKU!A:A,"",0,1))</f>
        <v/>
      </c>
      <c r="K910" s="232">
        <v>45672</v>
      </c>
      <c r="L910" s="233" t="str">
        <f>IF(Table26[[#This Row],[customerSKU]]="","",_xlfn.XLOOKUP(Table26[[#This Row],[customerSKU]],customerSKU!G:G,customerSKU!B:B,"",0,1))</f>
        <v/>
      </c>
      <c r="M910" s="90"/>
      <c r="N910" s="55" t="str">
        <f>Table26[[#This Row],[po_number]]&amp;"-"&amp;Table26[[#This Row],[po_line]]</f>
        <v>-4</v>
      </c>
      <c r="O910" s="55">
        <v>4</v>
      </c>
      <c r="P910" s="234"/>
      <c r="Q910" s="90" t="s">
        <v>4127</v>
      </c>
      <c r="R910" s="90" t="s">
        <v>569</v>
      </c>
      <c r="S910" s="90" t="str">
        <f>IF(Table26[[#This Row],[customerSKU]]="","",_xlfn.XLOOKUP(Table26[[#This Row],[customerSKU]],customerSKU!G:G,customerSKU!N:N,"NOT FOUND",0,1))</f>
        <v>NOT FOUND</v>
      </c>
      <c r="T910" s="20">
        <v>45666</v>
      </c>
      <c r="U910" s="236">
        <v>12</v>
      </c>
      <c r="V910" s="90" t="str">
        <f>IF(ISBLANK(Table26[[#This Row],[customerSKU]]),"",_xlfn.XLOOKUP(Table26[[#This Row],[customerSKU]],Table27[customer_SKU],Table27[case_size],"",0,1))</f>
        <v/>
      </c>
      <c r="W910" s="237" t="str">
        <f t="shared" si="42"/>
        <v/>
      </c>
      <c r="X910" s="90" t="str">
        <f t="shared" si="43"/>
        <v/>
      </c>
      <c r="Y910" s="90" t="str">
        <f>IF(Table26[[#This Row],[customerSKU]]="","",_xlfn.XLOOKUP(Table26[[#This Row],[customerSKU]],Table27[customer_SKU],Table27[product_GTIN],"",0,1))</f>
        <v/>
      </c>
      <c r="Z910" s="25" t="s">
        <v>3379</v>
      </c>
      <c r="AA910" s="18" t="str" cm="1">
        <f t="array" ref="AA910">IF(P910="", "", _xlfn.XLOOKUP(P910,#REF!,#REF!,NA,0,-1))</f>
        <v/>
      </c>
      <c r="AB910" s="90"/>
      <c r="AC910" s="55" t="s">
        <v>4128</v>
      </c>
      <c r="AD910" s="55" t="str">
        <f>IF($AC910="","",_xlfn.XLOOKUP($AC910,'[2]Client Info'!$C$2:$C$2535,'[2]Client Info'!$D$2:$D$2535,"",0,1))</f>
        <v>#670, 22709 Lougheed Hwy</v>
      </c>
      <c r="AE910" s="55" t="str">
        <f>IF($AC910="","",_xlfn.XLOOKUP($AC910,'[2]Client Info'!$C$2:$C$2715,'[2]Client Info'!$E$2:$E$2715,"",))</f>
        <v>Maple Ridge</v>
      </c>
      <c r="AF910" s="55" t="str">
        <f>IF($AC910="","",_xlfn.XLOOKUP($AC910,'[2]Client Info'!$C$2:$C$2715,'[2]Client Info'!$F$2:$F$2715,"",0,1))</f>
        <v xml:space="preserve">BC </v>
      </c>
      <c r="AG910" s="55" t="s">
        <v>3692</v>
      </c>
      <c r="AH910" s="245" t="str">
        <f>_xlfn.XLOOKUP(Table26[[#This Row],[customerSKU]],customerSKU!G:G,customerSKU!K:K,"NA",0,1)</f>
        <v>NA</v>
      </c>
      <c r="AI910" s="43" t="str">
        <f>_xlfn.XLOOKUP(Table26[[#This Row],[customerSKU]],customerSKU!G:G,customerSKU!O:O,"not found",0,1)</f>
        <v>not found</v>
      </c>
      <c r="AJ910" s="22" t="e">
        <f>Table26[[#This Row],[unitprice]]*Table26[[#This Row],[quantity_unit]]</f>
        <v>#VALUE!</v>
      </c>
      <c r="AK910" s="22" t="e" cm="1">
        <f t="array" ref="AK9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1" spans="1:37" ht="18" customHeight="1">
      <c r="A911" s="42">
        <v>1340</v>
      </c>
      <c r="B911" s="249" t="s">
        <v>3520</v>
      </c>
      <c r="C911" s="90" t="s">
        <v>203</v>
      </c>
      <c r="D911" s="235"/>
      <c r="E911" s="235"/>
      <c r="F91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11" s="46"/>
      <c r="H911" s="90"/>
      <c r="I911" s="90"/>
      <c r="J911" s="90" t="str">
        <f>IF(Table26[[#This Row],[customerSKU]]="","",_xlfn.XLOOKUP(Table26[[#This Row],[customerSKU]],customerSKU!G:G,customerSKU!A:A,"",0,1))</f>
        <v/>
      </c>
      <c r="K911" s="232">
        <v>45672</v>
      </c>
      <c r="L911" s="233" t="str">
        <f>IF(Table26[[#This Row],[customerSKU]]="","",_xlfn.XLOOKUP(Table26[[#This Row],[customerSKU]],customerSKU!G:G,customerSKU!B:B,"",0,1))</f>
        <v/>
      </c>
      <c r="M911" s="90"/>
      <c r="N911" s="55" t="str">
        <f>Table26[[#This Row],[po_number]]&amp;"-"&amp;Table26[[#This Row],[po_line]]</f>
        <v>-1</v>
      </c>
      <c r="O911" s="55">
        <v>1</v>
      </c>
      <c r="P911" s="234"/>
      <c r="Q911" s="90" t="s">
        <v>1625</v>
      </c>
      <c r="R911" s="90" t="s">
        <v>569</v>
      </c>
      <c r="S911" s="90" t="s">
        <v>114</v>
      </c>
      <c r="T911" s="20">
        <v>45642</v>
      </c>
      <c r="U911" s="236">
        <v>12</v>
      </c>
      <c r="V911" s="90" t="str">
        <f>IF(ISBLANK(Table26[[#This Row],[customerSKU]]),"",_xlfn.XLOOKUP(Table26[[#This Row],[customerSKU]],Table27[customer_SKU],Table27[case_size],"",0,1))</f>
        <v/>
      </c>
      <c r="W911" s="237" t="str">
        <f t="shared" si="42"/>
        <v/>
      </c>
      <c r="X911" s="90" t="str">
        <f t="shared" si="43"/>
        <v/>
      </c>
      <c r="Y911" s="90" t="str">
        <f>IF(Table26[[#This Row],[customerSKU]]="","",_xlfn.XLOOKUP(Table26[[#This Row],[customerSKU]],Table27[customer_SKU],Table27[product_GTIN],"",0,1))</f>
        <v/>
      </c>
      <c r="Z911" s="25" t="s">
        <v>3373</v>
      </c>
      <c r="AA911" s="18" t="str" cm="1">
        <f t="array" ref="AA911">IF(P911="", "", _xlfn.XLOOKUP(P911,#REF!,#REF!,NA,0,-1))</f>
        <v/>
      </c>
      <c r="AB911" s="90"/>
      <c r="AC911" s="55" t="s">
        <v>3496</v>
      </c>
      <c r="AD911" s="55" t="str">
        <f>IF($AC911="","",_xlfn.XLOOKUP($AC911,'[2]Client Info'!$C$2:$C$2535,'[2]Client Info'!$D$2:$D$2535,"",0,1))</f>
        <v>11939 240th Street</v>
      </c>
      <c r="AE911" s="55" t="str">
        <f>IF($AC911="","",_xlfn.XLOOKUP($AC911,'[2]Client Info'!$C$2:$C$2715,'[2]Client Info'!$E$2:$E$2715,"",))</f>
        <v>Maple Ridge</v>
      </c>
      <c r="AF911" s="55" t="str">
        <f>IF($AC911="","",_xlfn.XLOOKUP($AC911,'[2]Client Info'!$C$2:$C$2715,'[2]Client Info'!$F$2:$F$2715,"",0,1))</f>
        <v xml:space="preserve">BC </v>
      </c>
      <c r="AG911" s="55" t="s">
        <v>3496</v>
      </c>
      <c r="AH911" s="245" t="str">
        <f>_xlfn.XLOOKUP(Table26[[#This Row],[customerSKU]],customerSKU!G:G,customerSKU!K:K,"NA",0,1)</f>
        <v>NA</v>
      </c>
      <c r="AI911" s="43" t="str">
        <f>_xlfn.XLOOKUP(Table26[[#This Row],[customerSKU]],customerSKU!G:G,customerSKU!O:O,"not found",0,1)</f>
        <v>not found</v>
      </c>
      <c r="AJ911" s="22" t="e">
        <f>Table26[[#This Row],[unitprice]]*Table26[[#This Row],[quantity_unit]]</f>
        <v>#VALUE!</v>
      </c>
      <c r="AK911" s="22" t="e" cm="1">
        <f t="array" ref="AK9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2" spans="1:37" ht="18" customHeight="1">
      <c r="A912" s="42">
        <v>1341</v>
      </c>
      <c r="B912" s="249" t="s">
        <v>3520</v>
      </c>
      <c r="C912" s="22" t="s">
        <v>203</v>
      </c>
      <c r="E912" s="20"/>
      <c r="F91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12" s="46"/>
      <c r="J912" s="90" t="str">
        <f>IF(Table26[[#This Row],[customerSKU]]="","",_xlfn.XLOOKUP(Table26[[#This Row],[customerSKU]],customerSKU!G:G,customerSKU!A:A,"",0,1))</f>
        <v/>
      </c>
      <c r="K912" s="232">
        <v>45672</v>
      </c>
      <c r="L912" s="31" t="str">
        <f>IF(Table26[[#This Row],[customerSKU]]="","",_xlfn.XLOOKUP(Table26[[#This Row],[customerSKU]],customerSKU!G:G,customerSKU!B:B,"",0,1))</f>
        <v/>
      </c>
      <c r="M912" s="22"/>
      <c r="N912" s="15" t="str">
        <f>Table26[[#This Row],[po_number]]&amp;"-"&amp;Table26[[#This Row],[po_line]]</f>
        <v>-2</v>
      </c>
      <c r="O912" s="15">
        <v>2</v>
      </c>
      <c r="P912" s="29"/>
      <c r="Q912" s="22" t="s">
        <v>3606</v>
      </c>
      <c r="R912" s="22" t="s">
        <v>569</v>
      </c>
      <c r="S912" s="22" t="s">
        <v>114</v>
      </c>
      <c r="T912" s="20">
        <v>45618</v>
      </c>
      <c r="U912" s="21">
        <v>12</v>
      </c>
      <c r="V912" s="22" t="str">
        <f>IF(ISBLANK(Table26[[#This Row],[customerSKU]]),"",_xlfn.XLOOKUP(Table26[[#This Row],[customerSKU]],Table27[customer_SKU],Table27[case_size],"",0,1))</f>
        <v/>
      </c>
      <c r="W912" s="117" t="str">
        <f t="shared" si="42"/>
        <v/>
      </c>
      <c r="X912" s="22" t="str">
        <f t="shared" si="43"/>
        <v/>
      </c>
      <c r="Y912" s="22" t="str">
        <f>IF(Table26[[#This Row],[customerSKU]]="","",_xlfn.XLOOKUP(Table26[[#This Row],[customerSKU]],Table27[customer_SKU],Table27[product_GTIN],"",0,1))</f>
        <v/>
      </c>
      <c r="Z912" s="25" t="s">
        <v>3372</v>
      </c>
      <c r="AA912" s="18" t="str" cm="1">
        <f t="array" ref="AA912">IF(P912="", "", _xlfn.XLOOKUP(P912,#REF!,#REF!,NA,0,-1))</f>
        <v/>
      </c>
      <c r="AB912" s="22"/>
      <c r="AC912" s="55" t="s">
        <v>3496</v>
      </c>
      <c r="AD912" s="55" t="str">
        <f>IF($AC912="","",_xlfn.XLOOKUP($AC912,'[2]Client Info'!$C$2:$C$2535,'[2]Client Info'!$D$2:$D$2535,"",0,1))</f>
        <v>11939 240th Street</v>
      </c>
      <c r="AE912" s="55" t="str">
        <f>IF($AC912="","",_xlfn.XLOOKUP($AC912,'[2]Client Info'!$C$2:$C$2715,'[2]Client Info'!$E$2:$E$2715,"",))</f>
        <v>Maple Ridge</v>
      </c>
      <c r="AF912" s="55" t="str">
        <f>IF($AC912="","",_xlfn.XLOOKUP($AC912,'[2]Client Info'!$C$2:$C$2715,'[2]Client Info'!$F$2:$F$2715,"",0,1))</f>
        <v xml:space="preserve">BC </v>
      </c>
      <c r="AG912" s="55" t="s">
        <v>3496</v>
      </c>
      <c r="AH912" s="26" t="str">
        <f>_xlfn.XLOOKUP(Table26[[#This Row],[customerSKU]],customerSKU!G:G,customerSKU!K:K,"NA",0,1)</f>
        <v>NA</v>
      </c>
      <c r="AI912" s="43" t="str">
        <f>_xlfn.XLOOKUP(Table26[[#This Row],[customerSKU]],customerSKU!G:G,customerSKU!O:O,"not found",0,1)</f>
        <v>not found</v>
      </c>
      <c r="AJ912" s="22" t="e">
        <f>Table26[[#This Row],[unitprice]]*Table26[[#This Row],[quantity_unit]]</f>
        <v>#VALUE!</v>
      </c>
      <c r="AK912" s="22" t="e" cm="1">
        <f t="array" ref="AK9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3" spans="1:37" ht="18" customHeight="1">
      <c r="A913" s="42">
        <v>1342</v>
      </c>
      <c r="B913" s="249" t="s">
        <v>3520</v>
      </c>
      <c r="C913" s="90" t="s">
        <v>203</v>
      </c>
      <c r="D913" s="235"/>
      <c r="E913" s="235"/>
      <c r="F91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13" s="46"/>
      <c r="H913" s="90"/>
      <c r="I913" s="90"/>
      <c r="J913" s="90" t="str">
        <f>IF(Table26[[#This Row],[customerSKU]]="","",_xlfn.XLOOKUP(Table26[[#This Row],[customerSKU]],customerSKU!G:G,customerSKU!A:A,"",0,1))</f>
        <v/>
      </c>
      <c r="K913" s="232">
        <v>45672</v>
      </c>
      <c r="L913" s="233" t="str">
        <f>IF(Table26[[#This Row],[customerSKU]]="","",_xlfn.XLOOKUP(Table26[[#This Row],[customerSKU]],customerSKU!G:G,customerSKU!B:B,"",0,1))</f>
        <v/>
      </c>
      <c r="M913" s="90"/>
      <c r="N913" s="55" t="str">
        <f>Table26[[#This Row],[po_number]]&amp;"-"&amp;Table26[[#This Row],[po_line]]</f>
        <v>-3</v>
      </c>
      <c r="O913" s="55">
        <v>3</v>
      </c>
      <c r="P913" s="234"/>
      <c r="Q913" s="90" t="s">
        <v>1312</v>
      </c>
      <c r="R913" s="90" t="s">
        <v>569</v>
      </c>
      <c r="S913" s="90" t="s">
        <v>114</v>
      </c>
      <c r="T913" s="20">
        <v>45660</v>
      </c>
      <c r="U913" s="236">
        <v>12</v>
      </c>
      <c r="V913" s="90" t="str">
        <f>IF(ISBLANK(Table26[[#This Row],[customerSKU]]),"",_xlfn.XLOOKUP(Table26[[#This Row],[customerSKU]],Table27[customer_SKU],Table27[case_size],"",0,1))</f>
        <v/>
      </c>
      <c r="W913" s="237" t="str">
        <f t="shared" si="42"/>
        <v/>
      </c>
      <c r="X913" s="90" t="str">
        <f t="shared" si="43"/>
        <v/>
      </c>
      <c r="Y913" s="90" t="str">
        <f>IF(Table26[[#This Row],[customerSKU]]="","",_xlfn.XLOOKUP(Table26[[#This Row],[customerSKU]],Table27[customer_SKU],Table27[product_GTIN],"",0,1))</f>
        <v/>
      </c>
      <c r="Z913" s="25" t="s">
        <v>3387</v>
      </c>
      <c r="AA913" s="18" t="str" cm="1">
        <f t="array" ref="AA913">IF(P913="", "", _xlfn.XLOOKUP(P913,#REF!,#REF!,NA,0,-1))</f>
        <v/>
      </c>
      <c r="AB913" s="90"/>
      <c r="AC913" s="55" t="s">
        <v>3496</v>
      </c>
      <c r="AD913" s="55" t="str">
        <f>IF($AC913="","",_xlfn.XLOOKUP($AC913,'[2]Client Info'!$C$2:$C$2535,'[2]Client Info'!$D$2:$D$2535,"",0,1))</f>
        <v>11939 240th Street</v>
      </c>
      <c r="AE913" s="55" t="str">
        <f>IF($AC913="","",_xlfn.XLOOKUP($AC913,'[2]Client Info'!$C$2:$C$2715,'[2]Client Info'!$E$2:$E$2715,"",))</f>
        <v>Maple Ridge</v>
      </c>
      <c r="AF913" s="55" t="str">
        <f>IF($AC913="","",_xlfn.XLOOKUP($AC913,'[2]Client Info'!$C$2:$C$2715,'[2]Client Info'!$F$2:$F$2715,"",0,1))</f>
        <v xml:space="preserve">BC </v>
      </c>
      <c r="AG913" s="55" t="s">
        <v>3496</v>
      </c>
      <c r="AH913" s="245" t="str">
        <f>_xlfn.XLOOKUP(Table26[[#This Row],[customerSKU]],customerSKU!G:G,customerSKU!K:K,"NA",0,1)</f>
        <v>NA</v>
      </c>
      <c r="AI913" s="43" t="str">
        <f>_xlfn.XLOOKUP(Table26[[#This Row],[customerSKU]],customerSKU!G:G,customerSKU!O:O,"not found",0,1)</f>
        <v>not found</v>
      </c>
      <c r="AJ913" s="22" t="e">
        <f>Table26[[#This Row],[unitprice]]*Table26[[#This Row],[quantity_unit]]</f>
        <v>#VALUE!</v>
      </c>
      <c r="AK913" s="22" t="e" cm="1">
        <f t="array" ref="AK9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4" spans="1:37" ht="18" customHeight="1">
      <c r="A914" s="42">
        <v>1343</v>
      </c>
      <c r="B914" s="249" t="s">
        <v>3520</v>
      </c>
      <c r="C914" s="90" t="s">
        <v>203</v>
      </c>
      <c r="D914" s="235"/>
      <c r="E914" s="235"/>
      <c r="F91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14" s="46"/>
      <c r="H914" s="90"/>
      <c r="I914" s="90"/>
      <c r="J914" s="90" t="str">
        <f>IF(Table26[[#This Row],[customerSKU]]="","",_xlfn.XLOOKUP(Table26[[#This Row],[customerSKU]],customerSKU!G:G,customerSKU!A:A,"",0,1))</f>
        <v/>
      </c>
      <c r="K914" s="232">
        <v>45672</v>
      </c>
      <c r="L914" s="233" t="str">
        <f>IF(Table26[[#This Row],[customerSKU]]="","",_xlfn.XLOOKUP(Table26[[#This Row],[customerSKU]],customerSKU!G:G,customerSKU!B:B,"",0,1))</f>
        <v/>
      </c>
      <c r="M914" s="90"/>
      <c r="N914" s="55" t="str">
        <f>Table26[[#This Row],[po_number]]&amp;"-"&amp;Table26[[#This Row],[po_line]]</f>
        <v>-4</v>
      </c>
      <c r="O914" s="55">
        <v>4</v>
      </c>
      <c r="P914" s="234"/>
      <c r="Q914" s="90" t="s">
        <v>4127</v>
      </c>
      <c r="R914" s="90" t="s">
        <v>569</v>
      </c>
      <c r="S914" s="90" t="str">
        <f>IF(Table26[[#This Row],[customerSKU]]="","",_xlfn.XLOOKUP(Table26[[#This Row],[customerSKU]],customerSKU!G:G,customerSKU!N:N,"NOT FOUND",0,1))</f>
        <v>NOT FOUND</v>
      </c>
      <c r="T914" s="20">
        <v>45666</v>
      </c>
      <c r="U914" s="236">
        <v>12</v>
      </c>
      <c r="V914" s="90" t="str">
        <f>IF(ISBLANK(Table26[[#This Row],[customerSKU]]),"",_xlfn.XLOOKUP(Table26[[#This Row],[customerSKU]],Table27[customer_SKU],Table27[case_size],"",0,1))</f>
        <v/>
      </c>
      <c r="W914" s="237" t="str">
        <f t="shared" si="42"/>
        <v/>
      </c>
      <c r="X914" s="90" t="str">
        <f t="shared" si="43"/>
        <v/>
      </c>
      <c r="Y914" s="90" t="str">
        <f>IF(Table26[[#This Row],[customerSKU]]="","",_xlfn.XLOOKUP(Table26[[#This Row],[customerSKU]],Table27[customer_SKU],Table27[product_GTIN],"",0,1))</f>
        <v/>
      </c>
      <c r="Z914" s="25" t="s">
        <v>3379</v>
      </c>
      <c r="AA914" s="18" t="str" cm="1">
        <f t="array" ref="AA914">IF(P914="", "", _xlfn.XLOOKUP(P914,#REF!,#REF!,NA,0,-1))</f>
        <v/>
      </c>
      <c r="AB914" s="90"/>
      <c r="AC914" s="55" t="s">
        <v>3496</v>
      </c>
      <c r="AD914" s="55" t="str">
        <f>IF($AC914="","",_xlfn.XLOOKUP($AC914,'[2]Client Info'!$C$2:$C$2535,'[2]Client Info'!$D$2:$D$2535,"",0,1))</f>
        <v>11939 240th Street</v>
      </c>
      <c r="AE914" s="55" t="str">
        <f>IF($AC914="","",_xlfn.XLOOKUP($AC914,'[2]Client Info'!$C$2:$C$2715,'[2]Client Info'!$E$2:$E$2715,"",))</f>
        <v>Maple Ridge</v>
      </c>
      <c r="AF914" s="55" t="str">
        <f>IF($AC914="","",_xlfn.XLOOKUP($AC914,'[2]Client Info'!$C$2:$C$2715,'[2]Client Info'!$F$2:$F$2715,"",0,1))</f>
        <v xml:space="preserve">BC </v>
      </c>
      <c r="AG914" s="55" t="s">
        <v>3496</v>
      </c>
      <c r="AH914" s="245" t="str">
        <f>_xlfn.XLOOKUP(Table26[[#This Row],[customerSKU]],customerSKU!G:G,customerSKU!K:K,"NA",0,1)</f>
        <v>NA</v>
      </c>
      <c r="AI914" s="43" t="str">
        <f>_xlfn.XLOOKUP(Table26[[#This Row],[customerSKU]],customerSKU!G:G,customerSKU!O:O,"not found",0,1)</f>
        <v>not found</v>
      </c>
      <c r="AJ914" s="22" t="e">
        <f>Table26[[#This Row],[unitprice]]*Table26[[#This Row],[quantity_unit]]</f>
        <v>#VALUE!</v>
      </c>
      <c r="AK914" s="22" t="e" cm="1">
        <f t="array" ref="AK9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5" spans="1:37" ht="18" customHeight="1">
      <c r="A915" s="42">
        <v>1344</v>
      </c>
      <c r="B915" s="27" t="s">
        <v>3520</v>
      </c>
      <c r="C915" s="22" t="s">
        <v>3360</v>
      </c>
      <c r="E915" s="20"/>
      <c r="F91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15" s="46"/>
      <c r="J915" s="90" t="str">
        <f>IF(Table26[[#This Row],[customerSKU]]="","",_xlfn.XLOOKUP(Table26[[#This Row],[customerSKU]],customerSKU!G:G,customerSKU!A:A,"",0,1))</f>
        <v/>
      </c>
      <c r="K915" s="232">
        <v>45672</v>
      </c>
      <c r="L915" s="31" t="str">
        <f>IF(Table26[[#This Row],[customerSKU]]="","",_xlfn.XLOOKUP(Table26[[#This Row],[customerSKU]],customerSKU!G:G,customerSKU!B:B,"",0,1))</f>
        <v/>
      </c>
      <c r="M915" s="22"/>
      <c r="N915" s="15" t="str">
        <f>Table26[[#This Row],[po_number]]&amp;"-"&amp;Table26[[#This Row],[po_line]]</f>
        <v>-1</v>
      </c>
      <c r="O915" s="15">
        <v>1</v>
      </c>
      <c r="P915" s="29"/>
      <c r="S915" s="22" t="str">
        <f>IF(Table26[[#This Row],[customerSKU]]="","",_xlfn.XLOOKUP(Table26[[#This Row],[customerSKU]],customerSKU!G:G,customerSKU!N:N,"NOT FOUND",0,1))</f>
        <v>NOT FOUND</v>
      </c>
      <c r="T915" s="20"/>
      <c r="U915" s="21">
        <v>12</v>
      </c>
      <c r="V915" s="22" t="str">
        <f>IF(ISBLANK(Table26[[#This Row],[customerSKU]]),"",_xlfn.XLOOKUP(Table26[[#This Row],[customerSKU]],Table27[customer_SKU],Table27[case_size],"",0,1))</f>
        <v/>
      </c>
      <c r="W915" s="117" t="str">
        <f t="shared" si="42"/>
        <v/>
      </c>
      <c r="X915" s="22" t="str">
        <f t="shared" si="43"/>
        <v/>
      </c>
      <c r="Y915" s="22" t="str">
        <f>IF(Table26[[#This Row],[customerSKU]]="","",_xlfn.XLOOKUP(Table26[[#This Row],[customerSKU]],Table27[customer_SKU],Table27[product_GTIN],"",0,1))</f>
        <v/>
      </c>
      <c r="Z915" s="25" t="s">
        <v>3455</v>
      </c>
      <c r="AA915" s="18" t="str" cm="1">
        <f t="array" ref="AA915">IF(P915="", "", _xlfn.XLOOKUP(P915,#REF!,#REF!,NA,0,-1))</f>
        <v/>
      </c>
      <c r="AB915" s="22"/>
      <c r="AC915" s="55" t="str">
        <f>IF(Table26[[#This Row],[customerSKU]]="","",_xlfn.XLOOKUP(Table26[[#This Row],[customerSKU]],customerSKU!G:G,customerSKU!C:C,"",0,1))</f>
        <v/>
      </c>
      <c r="AD915" s="55" t="str">
        <f>IF($AC915="","",_xlfn.XLOOKUP($AC915,'[2]Client Info'!$C$2:$C$2535,'[2]Client Info'!$D$2:$D$2535,"",0,1))</f>
        <v/>
      </c>
      <c r="AE915" s="55" t="str">
        <f>IF($AC915="","",_xlfn.XLOOKUP($AC915,'[2]Client Info'!$C$2:$C$2715,'[2]Client Info'!$E$2:$E$2715,"",))</f>
        <v/>
      </c>
      <c r="AF915" s="55" t="str">
        <f>IF($AC915="","",_xlfn.XLOOKUP($AC915,'[2]Client Info'!$C$2:$C$2715,'[2]Client Info'!$F$2:$F$2715,"",0,1))</f>
        <v/>
      </c>
      <c r="AG915" s="55" t="str">
        <f>IF(ISBLANK(Table26[[#This Row],[customerSKU]]),"",_xlfn.XLOOKUP(Table26[[#This Row],[customerSKU]],Table27[customer_SKU],Table27[billto],"",0,1))</f>
        <v/>
      </c>
      <c r="AH915" s="26" t="str">
        <f>_xlfn.XLOOKUP(Table26[[#This Row],[customerSKU]],customerSKU!G:G,customerSKU!K:K,"NA",0,1)</f>
        <v>NA</v>
      </c>
      <c r="AI915" s="43" t="str">
        <f>_xlfn.XLOOKUP(Table26[[#This Row],[customerSKU]],customerSKU!G:G,customerSKU!O:O,"not found",0,1)</f>
        <v>not found</v>
      </c>
      <c r="AJ915" s="22" t="e">
        <f>Table26[[#This Row],[unitprice]]*Table26[[#This Row],[quantity_unit]]</f>
        <v>#VALUE!</v>
      </c>
      <c r="AK915" s="22" t="e" cm="1">
        <f t="array" ref="AK9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6" spans="1:37" ht="18" customHeight="1">
      <c r="A916" s="42">
        <v>1335</v>
      </c>
      <c r="B916" s="27" t="s">
        <v>3520</v>
      </c>
      <c r="C916" s="22" t="s">
        <v>3360</v>
      </c>
      <c r="E916" s="20"/>
      <c r="F91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16" s="46"/>
      <c r="J916" s="90" t="str">
        <f>IF(Table26[[#This Row],[customerSKU]]="","",_xlfn.XLOOKUP(Table26[[#This Row],[customerSKU]],customerSKU!G:G,customerSKU!A:A,"",0,1))</f>
        <v/>
      </c>
      <c r="K916" s="232">
        <v>45674</v>
      </c>
      <c r="L916" s="31" t="str">
        <f>IF(Table26[[#This Row],[customerSKU]]="","",_xlfn.XLOOKUP(Table26[[#This Row],[customerSKU]],customerSKU!G:G,customerSKU!B:B,"",0,1))</f>
        <v/>
      </c>
      <c r="M916" s="22"/>
      <c r="N916" s="15" t="str">
        <f>Table26[[#This Row],[po_number]]&amp;"-"&amp;Table26[[#This Row],[po_line]]</f>
        <v>-1</v>
      </c>
      <c r="O916" s="15">
        <v>1</v>
      </c>
      <c r="P916" s="29"/>
      <c r="S916" s="22" t="str">
        <f>IF(Table26[[#This Row],[customerSKU]]="","",_xlfn.XLOOKUP(Table26[[#This Row],[customerSKU]],customerSKU!G:G,customerSKU!N:N,"NOT FOUND",0,1))</f>
        <v>NOT FOUND</v>
      </c>
      <c r="T916" s="20"/>
      <c r="U916" s="21">
        <v>12</v>
      </c>
      <c r="V916" s="22" t="str">
        <f>IF(ISBLANK(Table26[[#This Row],[customerSKU]]),"",_xlfn.XLOOKUP(Table26[[#This Row],[customerSKU]],Table27[customer_SKU],Table27[case_size],"",0,1))</f>
        <v/>
      </c>
      <c r="W916" s="117" t="str">
        <f t="shared" si="42"/>
        <v/>
      </c>
      <c r="X916" s="22" t="str">
        <f t="shared" si="43"/>
        <v/>
      </c>
      <c r="Y916" s="22" t="str">
        <f>IF(Table26[[#This Row],[customerSKU]]="","",_xlfn.XLOOKUP(Table26[[#This Row],[customerSKU]],Table27[customer_SKU],Table27[product_GTIN],"",0,1))</f>
        <v/>
      </c>
      <c r="Z916" s="25" t="s">
        <v>3381</v>
      </c>
      <c r="AA916" s="18" t="str" cm="1">
        <f t="array" ref="AA916">IF(P916="", "", _xlfn.XLOOKUP(P916,#REF!,#REF!,NA,0,-1))</f>
        <v/>
      </c>
      <c r="AB916" s="22"/>
      <c r="AC916" s="55" t="str">
        <f>IF(Table26[[#This Row],[customerSKU]]="","",_xlfn.XLOOKUP(Table26[[#This Row],[customerSKU]],customerSKU!G:G,customerSKU!C:C,"",0,1))</f>
        <v/>
      </c>
      <c r="AD916" s="55" t="str">
        <f>IF($AC916="","",_xlfn.XLOOKUP($AC916,'[2]Client Info'!$C$2:$C$2535,'[2]Client Info'!$D$2:$D$2535,"",0,1))</f>
        <v/>
      </c>
      <c r="AE916" s="55" t="str">
        <f>IF($AC916="","",_xlfn.XLOOKUP($AC916,'[2]Client Info'!$C$2:$C$2715,'[2]Client Info'!$E$2:$E$2715,"",))</f>
        <v/>
      </c>
      <c r="AF916" s="55" t="str">
        <f>IF($AC916="","",_xlfn.XLOOKUP($AC916,'[2]Client Info'!$C$2:$C$2715,'[2]Client Info'!$F$2:$F$2715,"",0,1))</f>
        <v/>
      </c>
      <c r="AG916" s="55" t="str">
        <f>IF(ISBLANK(Table26[[#This Row],[customerSKU]]),"",_xlfn.XLOOKUP(Table26[[#This Row],[customerSKU]],Table27[customer_SKU],Table27[billto],"",0,1))</f>
        <v/>
      </c>
      <c r="AH916" s="26" t="str">
        <f>_xlfn.XLOOKUP(Table26[[#This Row],[customerSKU]],customerSKU!G:G,customerSKU!K:K,"NA",0,1)</f>
        <v>NA</v>
      </c>
      <c r="AI916" s="43" t="str">
        <f>_xlfn.XLOOKUP(Table26[[#This Row],[customerSKU]],customerSKU!G:G,customerSKU!O:O,"not found",0,1)</f>
        <v>not found</v>
      </c>
      <c r="AJ916" s="22" t="e">
        <f>Table26[[#This Row],[unitprice]]*Table26[[#This Row],[quantity_unit]]</f>
        <v>#VALUE!</v>
      </c>
      <c r="AK916" s="22" t="e" cm="1">
        <f t="array" ref="AK9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7" spans="1:37" ht="18" customHeight="1">
      <c r="A917" s="42">
        <v>1328</v>
      </c>
      <c r="B917" s="58" t="s">
        <v>3520</v>
      </c>
      <c r="C917" s="53" t="s">
        <v>3360</v>
      </c>
      <c r="D917" s="51">
        <v>45684</v>
      </c>
      <c r="E917" s="51"/>
      <c r="F917" s="53"/>
      <c r="G917" s="46"/>
      <c r="H917" s="53"/>
      <c r="I917" s="53"/>
      <c r="J917" s="90" t="str">
        <f>IF(Table26[[#This Row],[customerSKU]]="","",_xlfn.XLOOKUP(Table26[[#This Row],[customerSKU]],customerSKU!G:G,customerSKU!A:A,"",0,1))</f>
        <v/>
      </c>
      <c r="K917" s="232">
        <v>45677</v>
      </c>
      <c r="L917" s="49" t="str">
        <f>IF(Table26[[#This Row],[customerSKU]]="","",_xlfn.XLOOKUP(Table26[[#This Row],[customerSKU]],customerSKU!G:G,customerSKU!B:B,"",0,1))</f>
        <v/>
      </c>
      <c r="M917" s="53"/>
      <c r="N917" s="77" t="str">
        <f>Table26[[#This Row],[po_number]]&amp;"-"&amp;Table26[[#This Row],[po_line]]</f>
        <v>-1</v>
      </c>
      <c r="O917" s="77">
        <v>1</v>
      </c>
      <c r="P917" s="50"/>
      <c r="Q917" s="53" t="s">
        <v>1195</v>
      </c>
      <c r="R917" s="53" t="s">
        <v>569</v>
      </c>
      <c r="S917" s="53" t="str">
        <f>IF(Table26[[#This Row],[customerSKU]]="","",_xlfn.XLOOKUP(Table26[[#This Row],[customerSKU]],customerSKU!G:G,customerSKU!N:N,"NOT FOUND",0,1))</f>
        <v>NOT FOUND</v>
      </c>
      <c r="T917" s="51">
        <v>45594</v>
      </c>
      <c r="U917" s="52">
        <f>24</f>
        <v>24</v>
      </c>
      <c r="V917" s="53" t="str">
        <f>IF(ISBLANK(Table26[[#This Row],[customerSKU]]),"",_xlfn.XLOOKUP(Table26[[#This Row],[customerSKU]],Table27[customer_SKU],Table27[case_size],"",0,1))</f>
        <v/>
      </c>
      <c r="W917" s="116" t="str">
        <f t="shared" si="42"/>
        <v/>
      </c>
      <c r="X917" s="53" t="str">
        <f t="shared" si="43"/>
        <v/>
      </c>
      <c r="Y917" s="53" t="str">
        <f>IF(Table26[[#This Row],[customerSKU]]="","",_xlfn.XLOOKUP(Table26[[#This Row],[customerSKU]],Table27[customer_SKU],Table27[product_GTIN],"",0,1))</f>
        <v/>
      </c>
      <c r="Z917" s="25" t="s">
        <v>3363</v>
      </c>
      <c r="AA917" s="18" t="str" cm="1">
        <f t="array" ref="AA917">IF(P917="", "", _xlfn.XLOOKUP(P917,#REF!,#REF!,NA,0,-1))</f>
        <v/>
      </c>
      <c r="AB917" s="53"/>
      <c r="AC917" s="55" t="str">
        <f>IF(Table26[[#This Row],[customerSKU]]="","",_xlfn.XLOOKUP(Table26[[#This Row],[customerSKU]],customerSKU!G:G,customerSKU!C:C,"",0,1))</f>
        <v/>
      </c>
      <c r="AD917" s="55" t="str">
        <f>IF($AC917="","",_xlfn.XLOOKUP($AC917,'[2]Client Info'!$C$2:$C$2535,'[2]Client Info'!$D$2:$D$2535,"",0,1))</f>
        <v/>
      </c>
      <c r="AE917" s="55" t="str">
        <f>IF($AC917="","",_xlfn.XLOOKUP($AC917,'[2]Client Info'!$C$2:$C$2715,'[2]Client Info'!$E$2:$E$2715,"",))</f>
        <v/>
      </c>
      <c r="AF917" s="55" t="str">
        <f>IF($AC917="","",_xlfn.XLOOKUP($AC917,'[2]Client Info'!$C$2:$C$2715,'[2]Client Info'!$F$2:$F$2715,"",0,1))</f>
        <v/>
      </c>
      <c r="AG917" s="55" t="str">
        <f>IF(ISBLANK(Table26[[#This Row],[customerSKU]]),"",_xlfn.XLOOKUP(Table26[[#This Row],[customerSKU]],Table27[customer_SKU],Table27[billto],"",0,1))</f>
        <v/>
      </c>
      <c r="AH917" s="62" t="str">
        <f>_xlfn.XLOOKUP(Table26[[#This Row],[customerSKU]],customerSKU!G:G,customerSKU!K:K,"NA",0,1)</f>
        <v>NA</v>
      </c>
      <c r="AI917" s="43" t="str">
        <f>_xlfn.XLOOKUP(Table26[[#This Row],[customerSKU]],customerSKU!G:G,customerSKU!O:O,"not found",0,1)</f>
        <v>not found</v>
      </c>
      <c r="AJ917" s="53" t="e">
        <f>Table26[[#This Row],[unitprice]]*Table26[[#This Row],[quantity_unit]]</f>
        <v>#VALUE!</v>
      </c>
      <c r="AK917" s="53" t="e" cm="1">
        <f t="array" ref="AK9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8" spans="1:37" ht="18" customHeight="1">
      <c r="A918" s="42">
        <v>1329</v>
      </c>
      <c r="B918" s="58" t="s">
        <v>3520</v>
      </c>
      <c r="C918" s="53" t="s">
        <v>3360</v>
      </c>
      <c r="D918" s="51">
        <v>45684</v>
      </c>
      <c r="E918" s="51"/>
      <c r="F918" s="53"/>
      <c r="G918" s="46"/>
      <c r="H918" s="53"/>
      <c r="I918" s="53"/>
      <c r="J918" s="90" t="str">
        <f>IF(Table26[[#This Row],[customerSKU]]="","",_xlfn.XLOOKUP(Table26[[#This Row],[customerSKU]],customerSKU!G:G,customerSKU!A:A,"",0,1))</f>
        <v/>
      </c>
      <c r="K918" s="232">
        <v>45677</v>
      </c>
      <c r="L918" s="49" t="str">
        <f>IF(Table26[[#This Row],[customerSKU]]="","",_xlfn.XLOOKUP(Table26[[#This Row],[customerSKU]],customerSKU!G:G,customerSKU!B:B,"",0,1))</f>
        <v/>
      </c>
      <c r="M918" s="53"/>
      <c r="N918" s="77" t="str">
        <f>Table26[[#This Row],[po_number]]&amp;"-"&amp;Table26[[#This Row],[po_line]]</f>
        <v>-2</v>
      </c>
      <c r="O918" s="77">
        <v>2</v>
      </c>
      <c r="P918" s="50"/>
      <c r="Q918" s="53" t="s">
        <v>3362</v>
      </c>
      <c r="R918" s="53" t="s">
        <v>569</v>
      </c>
      <c r="S918" s="53" t="str">
        <f>IF(Table26[[#This Row],[customerSKU]]="","",_xlfn.XLOOKUP(Table26[[#This Row],[customerSKU]],customerSKU!G:G,customerSKU!N:N,"NOT FOUND",0,1))</f>
        <v>NOT FOUND</v>
      </c>
      <c r="T918" s="51">
        <v>45624</v>
      </c>
      <c r="U918" s="52">
        <f>8*12</f>
        <v>96</v>
      </c>
      <c r="V918" s="53" t="str">
        <f>IF(ISBLANK(Table26[[#This Row],[customerSKU]]),"",_xlfn.XLOOKUP(Table26[[#This Row],[customerSKU]],Table27[customer_SKU],Table27[case_size],"",0,1))</f>
        <v/>
      </c>
      <c r="W918" s="116" t="str">
        <f t="shared" si="42"/>
        <v/>
      </c>
      <c r="X918" s="53" t="str">
        <f t="shared" si="43"/>
        <v/>
      </c>
      <c r="Y918" s="53" t="str">
        <f>IF(Table26[[#This Row],[customerSKU]]="","",_xlfn.XLOOKUP(Table26[[#This Row],[customerSKU]],Table27[customer_SKU],Table27[product_GTIN],"",0,1))</f>
        <v/>
      </c>
      <c r="Z918" s="25" t="s">
        <v>3363</v>
      </c>
      <c r="AA918" s="18" t="str" cm="1">
        <f t="array" ref="AA918">IF(P918="", "", _xlfn.XLOOKUP(P918,#REF!,#REF!,NA,0,-1))</f>
        <v/>
      </c>
      <c r="AB918" s="53"/>
      <c r="AC918" s="55" t="str">
        <f>IF(Table26[[#This Row],[customerSKU]]="","",_xlfn.XLOOKUP(Table26[[#This Row],[customerSKU]],customerSKU!G:G,customerSKU!C:C,"",0,1))</f>
        <v/>
      </c>
      <c r="AD918" s="55" t="str">
        <f>IF($AC918="","",_xlfn.XLOOKUP($AC918,'[2]Client Info'!$C$2:$C$2535,'[2]Client Info'!$D$2:$D$2535,"",0,1))</f>
        <v/>
      </c>
      <c r="AE918" s="55" t="str">
        <f>IF($AC918="","",_xlfn.XLOOKUP($AC918,'[2]Client Info'!$C$2:$C$2715,'[2]Client Info'!$E$2:$E$2715,"",))</f>
        <v/>
      </c>
      <c r="AF918" s="55" t="str">
        <f>IF($AC918="","",_xlfn.XLOOKUP($AC918,'[2]Client Info'!$C$2:$C$2715,'[2]Client Info'!$F$2:$F$2715,"",0,1))</f>
        <v/>
      </c>
      <c r="AG918" s="55" t="str">
        <f>IF(ISBLANK(Table26[[#This Row],[customerSKU]]),"",_xlfn.XLOOKUP(Table26[[#This Row],[customerSKU]],Table27[customer_SKU],Table27[billto],"",0,1))</f>
        <v/>
      </c>
      <c r="AH918" s="62" t="str">
        <f>_xlfn.XLOOKUP(Table26[[#This Row],[customerSKU]],customerSKU!G:G,customerSKU!K:K,"NA",0,1)</f>
        <v>NA</v>
      </c>
      <c r="AI918" s="43" t="str">
        <f>_xlfn.XLOOKUP(Table26[[#This Row],[customerSKU]],customerSKU!G:G,customerSKU!O:O,"not found",0,1)</f>
        <v>not found</v>
      </c>
      <c r="AJ918" s="53" t="e">
        <f>Table26[[#This Row],[unitprice]]*Table26[[#This Row],[quantity_unit]]</f>
        <v>#VALUE!</v>
      </c>
      <c r="AK918" s="53" t="e" cm="1">
        <f t="array" ref="AK9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19" spans="1:37" ht="18" customHeight="1">
      <c r="A919" s="42">
        <v>1330</v>
      </c>
      <c r="B919" s="27" t="s">
        <v>3520</v>
      </c>
      <c r="C919" s="22" t="s">
        <v>3360</v>
      </c>
      <c r="E919" s="20"/>
      <c r="F91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19" s="46"/>
      <c r="J919" s="90" t="str">
        <f>IF(Table26[[#This Row],[customerSKU]]="","",_xlfn.XLOOKUP(Table26[[#This Row],[customerSKU]],customerSKU!G:G,customerSKU!A:A,"",0,1))</f>
        <v/>
      </c>
      <c r="K919" s="232">
        <v>45677</v>
      </c>
      <c r="L919" s="31" t="str">
        <f>IF(Table26[[#This Row],[customerSKU]]="","",_xlfn.XLOOKUP(Table26[[#This Row],[customerSKU]],customerSKU!G:G,customerSKU!B:B,"",0,1))</f>
        <v/>
      </c>
      <c r="M919" s="22"/>
      <c r="N919" s="15" t="str">
        <f>Table26[[#This Row],[po_number]]&amp;"-"&amp;Table26[[#This Row],[po_line]]</f>
        <v>-1</v>
      </c>
      <c r="O919" s="15">
        <v>1</v>
      </c>
      <c r="P919" s="29"/>
      <c r="S919" s="22" t="str">
        <f>IF(Table26[[#This Row],[customerSKU]]="","",_xlfn.XLOOKUP(Table26[[#This Row],[customerSKU]],customerSKU!G:G,customerSKU!N:N,"NOT FOUND",0,1))</f>
        <v>NOT FOUND</v>
      </c>
      <c r="T919" s="20"/>
      <c r="U919" s="21">
        <v>12</v>
      </c>
      <c r="V919" s="22" t="str">
        <f>IF(ISBLANK(Table26[[#This Row],[customerSKU]]),"",_xlfn.XLOOKUP(Table26[[#This Row],[customerSKU]],Table27[customer_SKU],Table27[case_size],"",0,1))</f>
        <v/>
      </c>
      <c r="W919" s="117" t="str">
        <f t="shared" si="42"/>
        <v/>
      </c>
      <c r="X919" s="22" t="str">
        <f t="shared" si="43"/>
        <v/>
      </c>
      <c r="Y919" s="22" t="str">
        <f>IF(Table26[[#This Row],[customerSKU]]="","",_xlfn.XLOOKUP(Table26[[#This Row],[customerSKU]],Table27[customer_SKU],Table27[product_GTIN],"",0,1))</f>
        <v/>
      </c>
      <c r="Z919" s="28" t="s">
        <v>3455</v>
      </c>
      <c r="AA919" s="18" t="str" cm="1">
        <f t="array" ref="AA919">IF(P919="", "", _xlfn.XLOOKUP(P919,#REF!,#REF!,NA,0,-1))</f>
        <v/>
      </c>
      <c r="AB919" s="22"/>
      <c r="AC919" s="55" t="str">
        <f>IF(Table26[[#This Row],[customerSKU]]="","",_xlfn.XLOOKUP(Table26[[#This Row],[customerSKU]],customerSKU!G:G,customerSKU!C:C,"",0,1))</f>
        <v/>
      </c>
      <c r="AD919" s="55" t="str">
        <f>IF($AC919="","",_xlfn.XLOOKUP($AC919,'[2]Client Info'!$C$2:$C$2535,'[2]Client Info'!$D$2:$D$2535,"",0,1))</f>
        <v/>
      </c>
      <c r="AE919" s="55" t="str">
        <f>IF($AC919="","",_xlfn.XLOOKUP($AC919,'[2]Client Info'!$C$2:$C$2715,'[2]Client Info'!$E$2:$E$2715,"",))</f>
        <v/>
      </c>
      <c r="AF919" s="55" t="str">
        <f>IF($AC919="","",_xlfn.XLOOKUP($AC919,'[2]Client Info'!$C$2:$C$2715,'[2]Client Info'!$F$2:$F$2715,"",0,1))</f>
        <v/>
      </c>
      <c r="AG919" s="55" t="str">
        <f>IF(ISBLANK(Table26[[#This Row],[customerSKU]]),"",_xlfn.XLOOKUP(Table26[[#This Row],[customerSKU]],Table27[customer_SKU],Table27[billto],"",0,1))</f>
        <v/>
      </c>
      <c r="AH919" s="26" t="str">
        <f>_xlfn.XLOOKUP(Table26[[#This Row],[customerSKU]],customerSKU!G:G,customerSKU!K:K,"NA",0,1)</f>
        <v>NA</v>
      </c>
      <c r="AI919" s="43" t="str">
        <f>_xlfn.XLOOKUP(Table26[[#This Row],[customerSKU]],customerSKU!G:G,customerSKU!O:O,"not found",0,1)</f>
        <v>not found</v>
      </c>
      <c r="AJ919" s="22" t="e">
        <f>Table26[[#This Row],[unitprice]]*Table26[[#This Row],[quantity_unit]]</f>
        <v>#VALUE!</v>
      </c>
      <c r="AK919" s="22" t="e" cm="1">
        <f t="array" ref="AK9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0" spans="1:37" ht="18" customHeight="1">
      <c r="A920" s="42">
        <v>1331</v>
      </c>
      <c r="B920" s="249" t="s">
        <v>3520</v>
      </c>
      <c r="C920" s="90" t="s">
        <v>203</v>
      </c>
      <c r="D920" s="235"/>
      <c r="E920" s="235"/>
      <c r="F92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20" s="46"/>
      <c r="H920" s="90"/>
      <c r="I920" s="90"/>
      <c r="J920" s="90" t="str">
        <f>IF(Table26[[#This Row],[customerSKU]]="","",_xlfn.XLOOKUP(Table26[[#This Row],[customerSKU]],customerSKU!G:G,customerSKU!A:A,"",0,1))</f>
        <v/>
      </c>
      <c r="K920" s="232">
        <v>45677</v>
      </c>
      <c r="L920" s="233" t="str">
        <f>IF(Table26[[#This Row],[customerSKU]]="","",_xlfn.XLOOKUP(Table26[[#This Row],[customerSKU]],customerSKU!G:G,customerSKU!B:B,"",0,1))</f>
        <v/>
      </c>
      <c r="M920" s="90"/>
      <c r="N920" s="55" t="str">
        <f>Table26[[#This Row],[po_number]]&amp;"-"&amp;Table26[[#This Row],[po_line]]</f>
        <v>-1</v>
      </c>
      <c r="O920" s="55">
        <v>1</v>
      </c>
      <c r="P920" s="234"/>
      <c r="Q920" s="90" t="s">
        <v>4170</v>
      </c>
      <c r="R920" s="257" t="s">
        <v>3302</v>
      </c>
      <c r="S920" s="90" t="str">
        <f>IF(Table26[[#This Row],[customerSKU]]="","",_xlfn.XLOOKUP(Table26[[#This Row],[customerSKU]],customerSKU!G:G,customerSKU!N:N,"NOT FOUND",0,1))</f>
        <v>NOT FOUND</v>
      </c>
      <c r="T920" s="20">
        <v>45668</v>
      </c>
      <c r="U920" s="236">
        <v>36</v>
      </c>
      <c r="V920" s="90" t="str">
        <f>IF(ISBLANK(Table26[[#This Row],[customerSKU]]),"",_xlfn.XLOOKUP(Table26[[#This Row],[customerSKU]],Table27[customer_SKU],Table27[case_size],"",0,1))</f>
        <v/>
      </c>
      <c r="W920" s="237" t="str">
        <f t="shared" si="42"/>
        <v/>
      </c>
      <c r="X920" s="90" t="str">
        <f t="shared" si="43"/>
        <v/>
      </c>
      <c r="Y920" s="90" t="str">
        <f>IF(Table26[[#This Row],[customerSKU]]="","",_xlfn.XLOOKUP(Table26[[#This Row],[customerSKU]],Table27[customer_SKU],Table27[product_GTIN],"",0,1))</f>
        <v/>
      </c>
      <c r="Z920" s="28" t="s">
        <v>3384</v>
      </c>
      <c r="AA920" s="18" t="str" cm="1">
        <f t="array" ref="AA920">IF(P920="", "", _xlfn.XLOOKUP(P920,#REF!,#REF!,NA,0,-1))</f>
        <v/>
      </c>
      <c r="AB920" s="90"/>
      <c r="AC920" s="55" t="s">
        <v>39</v>
      </c>
      <c r="AD920" s="55" t="str">
        <f>IF($AC920="","",_xlfn.XLOOKUP($AC920,'[2]Client Info'!$C$2:$C$2535,'[2]Client Info'!$D$2:$D$2535,"",0,1))</f>
        <v>1502 BROADWAY ST #3120</v>
      </c>
      <c r="AE920" s="55" t="str">
        <f>IF($AC920="","",_xlfn.XLOOKUP($AC920,'[2]Client Info'!$C$2:$C$2715,'[2]Client Info'!$E$2:$E$2715,"",))</f>
        <v>PORT COQUITLAM</v>
      </c>
      <c r="AF920" s="55" t="str">
        <f>IF($AC920="","",_xlfn.XLOOKUP($AC920,'[2]Client Info'!$C$2:$C$2715,'[2]Client Info'!$F$2:$F$2715,"",0,1))</f>
        <v xml:space="preserve">BC </v>
      </c>
      <c r="AG920" s="55" t="s">
        <v>39</v>
      </c>
      <c r="AH920" s="245" t="str">
        <f>_xlfn.XLOOKUP(Table26[[#This Row],[customerSKU]],customerSKU!G:G,customerSKU!K:K,"NA",0,1)</f>
        <v>NA</v>
      </c>
      <c r="AI920" s="43" t="str">
        <f>_xlfn.XLOOKUP(Table26[[#This Row],[customerSKU]],customerSKU!G:G,customerSKU!O:O,"not found",0,1)</f>
        <v>not found</v>
      </c>
      <c r="AJ920" s="22" t="e">
        <f>Table26[[#This Row],[unitprice]]*Table26[[#This Row],[quantity_unit]]</f>
        <v>#VALUE!</v>
      </c>
      <c r="AK920" s="22" t="e" cm="1">
        <f t="array" ref="AK9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1" spans="1:37" ht="18" customHeight="1">
      <c r="A921" s="42">
        <v>1332</v>
      </c>
      <c r="B921" s="249" t="s">
        <v>3520</v>
      </c>
      <c r="C921" s="90" t="s">
        <v>203</v>
      </c>
      <c r="D921" s="235"/>
      <c r="E921" s="235"/>
      <c r="F92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21" s="46"/>
      <c r="H921" s="90"/>
      <c r="I921" s="90"/>
      <c r="J921" s="90" t="str">
        <f>IF(Table26[[#This Row],[customerSKU]]="","",_xlfn.XLOOKUP(Table26[[#This Row],[customerSKU]],customerSKU!G:G,customerSKU!A:A,"",0,1))</f>
        <v/>
      </c>
      <c r="K921" s="232">
        <v>45677</v>
      </c>
      <c r="L921" s="233" t="str">
        <f>IF(Table26[[#This Row],[customerSKU]]="","",_xlfn.XLOOKUP(Table26[[#This Row],[customerSKU]],customerSKU!G:G,customerSKU!B:B,"",0,1))</f>
        <v/>
      </c>
      <c r="M921" s="90"/>
      <c r="N921" s="55" t="str">
        <f>Table26[[#This Row],[po_number]]&amp;"-"&amp;Table26[[#This Row],[po_line]]</f>
        <v>-1</v>
      </c>
      <c r="O921" s="55">
        <v>1</v>
      </c>
      <c r="P921" s="234"/>
      <c r="Q921" s="90" t="s">
        <v>4168</v>
      </c>
      <c r="R921" s="257" t="s">
        <v>3302</v>
      </c>
      <c r="S921" s="90" t="str">
        <f>IF(Table26[[#This Row],[customerSKU]]="","",_xlfn.XLOOKUP(Table26[[#This Row],[customerSKU]],customerSKU!G:G,customerSKU!N:N,"NOT FOUND",0,1))</f>
        <v>NOT FOUND</v>
      </c>
      <c r="T921" s="20">
        <v>45668</v>
      </c>
      <c r="U921" s="236">
        <v>12</v>
      </c>
      <c r="V921" s="90" t="str">
        <f>IF(ISBLANK(Table26[[#This Row],[customerSKU]]),"",_xlfn.XLOOKUP(Table26[[#This Row],[customerSKU]],Table27[customer_SKU],Table27[case_size],"",0,1))</f>
        <v/>
      </c>
      <c r="W921" s="237" t="str">
        <f t="shared" si="42"/>
        <v/>
      </c>
      <c r="X921" s="90" t="str">
        <f t="shared" si="43"/>
        <v/>
      </c>
      <c r="Y921" s="90" t="str">
        <f>IF(Table26[[#This Row],[customerSKU]]="","",_xlfn.XLOOKUP(Table26[[#This Row],[customerSKU]],Table27[customer_SKU],Table27[product_GTIN],"",0,1))</f>
        <v/>
      </c>
      <c r="Z921" s="25" t="s">
        <v>3632</v>
      </c>
      <c r="AA921" s="18" t="str" cm="1">
        <f t="array" ref="AA921">IF(P921="", "", _xlfn.XLOOKUP(P921,#REF!,#REF!,NA,0,-1))</f>
        <v/>
      </c>
      <c r="AB921" s="90"/>
      <c r="AC921" s="55" t="s">
        <v>99</v>
      </c>
      <c r="AD921" s="55" t="str">
        <f>IF($AC921="","",_xlfn.XLOOKUP($AC921,'[2]Client Info'!$C$2:$C$2535,'[2]Client Info'!$D$2:$D$2535,"",0,1))</f>
        <v>540 Ewen Avenue</v>
      </c>
      <c r="AE921" s="55" t="str">
        <f>IF($AC921="","",_xlfn.XLOOKUP($AC921,'[2]Client Info'!$C$2:$C$2715,'[2]Client Info'!$E$2:$E$2715,"",))</f>
        <v>New Westminster</v>
      </c>
      <c r="AF921" s="55" t="str">
        <f>IF($AC921="","",_xlfn.XLOOKUP($AC921,'[2]Client Info'!$C$2:$C$2715,'[2]Client Info'!$F$2:$F$2715,"",0,1))</f>
        <v xml:space="preserve">BC </v>
      </c>
      <c r="AG921" s="55" t="s">
        <v>99</v>
      </c>
      <c r="AH921" s="245" t="str">
        <f>_xlfn.XLOOKUP(Table26[[#This Row],[customerSKU]],customerSKU!G:G,customerSKU!K:K,"NA",0,1)</f>
        <v>NA</v>
      </c>
      <c r="AI921" s="43" t="str">
        <f>_xlfn.XLOOKUP(Table26[[#This Row],[customerSKU]],customerSKU!G:G,customerSKU!O:O,"not found",0,1)</f>
        <v>not found</v>
      </c>
      <c r="AJ921" s="22" t="e">
        <f>Table26[[#This Row],[unitprice]]*Table26[[#This Row],[quantity_unit]]</f>
        <v>#VALUE!</v>
      </c>
      <c r="AK921" s="22" t="e" cm="1">
        <f t="array" ref="AK9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2" spans="1:37" ht="18" customHeight="1">
      <c r="A922" s="42">
        <v>1333</v>
      </c>
      <c r="B922" s="249" t="s">
        <v>3520</v>
      </c>
      <c r="C922" s="90" t="s">
        <v>203</v>
      </c>
      <c r="D922" s="235"/>
      <c r="E922" s="235"/>
      <c r="F92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22" s="46"/>
      <c r="H922" s="90"/>
      <c r="I922" s="90"/>
      <c r="J922" s="90" t="str">
        <f>IF(Table26[[#This Row],[customerSKU]]="","",_xlfn.XLOOKUP(Table26[[#This Row],[customerSKU]],customerSKU!G:G,customerSKU!A:A,"",0,1))</f>
        <v/>
      </c>
      <c r="K922" s="232">
        <v>45677</v>
      </c>
      <c r="L922" s="233" t="str">
        <f>IF(Table26[[#This Row],[customerSKU]]="","",_xlfn.XLOOKUP(Table26[[#This Row],[customerSKU]],customerSKU!G:G,customerSKU!B:B,"",0,1))</f>
        <v/>
      </c>
      <c r="M922" s="90"/>
      <c r="N922" s="55" t="str">
        <f>Table26[[#This Row],[po_number]]&amp;"-"&amp;Table26[[#This Row],[po_line]]</f>
        <v>-2</v>
      </c>
      <c r="O922" s="55">
        <v>2</v>
      </c>
      <c r="P922" s="234"/>
      <c r="Q922" s="90" t="s">
        <v>4170</v>
      </c>
      <c r="R922" s="257" t="s">
        <v>3302</v>
      </c>
      <c r="S922" s="90" t="str">
        <f>IF(Table26[[#This Row],[customerSKU]]="","",_xlfn.XLOOKUP(Table26[[#This Row],[customerSKU]],customerSKU!G:G,customerSKU!N:N,"NOT FOUND",0,1))</f>
        <v>NOT FOUND</v>
      </c>
      <c r="T922" s="20">
        <v>45668</v>
      </c>
      <c r="U922" s="236">
        <v>42</v>
      </c>
      <c r="V922" s="90" t="str">
        <f>IF(ISBLANK(Table26[[#This Row],[customerSKU]]),"",_xlfn.XLOOKUP(Table26[[#This Row],[customerSKU]],Table27[customer_SKU],Table27[case_size],"",0,1))</f>
        <v/>
      </c>
      <c r="W922" s="237" t="str">
        <f t="shared" si="42"/>
        <v/>
      </c>
      <c r="X922" s="90" t="str">
        <f t="shared" si="43"/>
        <v/>
      </c>
      <c r="Y922" s="90" t="str">
        <f>IF(Table26[[#This Row],[customerSKU]]="","",_xlfn.XLOOKUP(Table26[[#This Row],[customerSKU]],Table27[customer_SKU],Table27[product_GTIN],"",0,1))</f>
        <v/>
      </c>
      <c r="Z922" s="25" t="s">
        <v>3384</v>
      </c>
      <c r="AA922" s="18" t="str" cm="1">
        <f t="array" ref="AA922">IF(P922="", "", _xlfn.XLOOKUP(P922,#REF!,#REF!,NA,0,-1))</f>
        <v/>
      </c>
      <c r="AB922" s="90"/>
      <c r="AC922" s="55" t="s">
        <v>99</v>
      </c>
      <c r="AD922" s="55" t="str">
        <f>IF($AC922="","",_xlfn.XLOOKUP($AC922,'[2]Client Info'!$C$2:$C$2535,'[2]Client Info'!$D$2:$D$2535,"",0,1))</f>
        <v>540 Ewen Avenue</v>
      </c>
      <c r="AE922" s="55" t="str">
        <f>IF($AC922="","",_xlfn.XLOOKUP($AC922,'[2]Client Info'!$C$2:$C$2715,'[2]Client Info'!$E$2:$E$2715,"",))</f>
        <v>New Westminster</v>
      </c>
      <c r="AF922" s="55" t="str">
        <f>IF($AC922="","",_xlfn.XLOOKUP($AC922,'[2]Client Info'!$C$2:$C$2715,'[2]Client Info'!$F$2:$F$2715,"",0,1))</f>
        <v xml:space="preserve">BC </v>
      </c>
      <c r="AG922" s="55" t="s">
        <v>99</v>
      </c>
      <c r="AH922" s="245" t="str">
        <f>_xlfn.XLOOKUP(Table26[[#This Row],[customerSKU]],customerSKU!G:G,customerSKU!K:K,"NA",0,1)</f>
        <v>NA</v>
      </c>
      <c r="AI922" s="43" t="str">
        <f>_xlfn.XLOOKUP(Table26[[#This Row],[customerSKU]],customerSKU!G:G,customerSKU!O:O,"not found",0,1)</f>
        <v>not found</v>
      </c>
      <c r="AJ922" s="22" t="e">
        <f>Table26[[#This Row],[unitprice]]*Table26[[#This Row],[quantity_unit]]</f>
        <v>#VALUE!</v>
      </c>
      <c r="AK922" s="22" t="e" cm="1">
        <f t="array" ref="AK9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3" spans="1:37" ht="18" customHeight="1">
      <c r="A923" s="42">
        <v>1334</v>
      </c>
      <c r="B923" s="249" t="s">
        <v>3520</v>
      </c>
      <c r="C923" s="90" t="s">
        <v>203</v>
      </c>
      <c r="D923" s="235"/>
      <c r="E923" s="235"/>
      <c r="F92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23" s="46"/>
      <c r="H923" s="90"/>
      <c r="I923" s="90"/>
      <c r="J923" s="90" t="str">
        <f>IF(Table26[[#This Row],[customerSKU]]="","",_xlfn.XLOOKUP(Table26[[#This Row],[customerSKU]],customerSKU!G:G,customerSKU!A:A,"",0,1))</f>
        <v/>
      </c>
      <c r="K923" s="232">
        <v>45677</v>
      </c>
      <c r="L923" s="233" t="str">
        <f>IF(Table26[[#This Row],[customerSKU]]="","",_xlfn.XLOOKUP(Table26[[#This Row],[customerSKU]],customerSKU!G:G,customerSKU!B:B,"",0,1))</f>
        <v/>
      </c>
      <c r="M923" s="90"/>
      <c r="N923" s="55" t="str">
        <f>Table26[[#This Row],[po_number]]&amp;"-"&amp;Table26[[#This Row],[po_line]]</f>
        <v>-1</v>
      </c>
      <c r="O923" s="55">
        <v>1</v>
      </c>
      <c r="P923" s="234"/>
      <c r="Q923" s="90" t="s">
        <v>4170</v>
      </c>
      <c r="R923" s="257" t="s">
        <v>3302</v>
      </c>
      <c r="S923" s="90" t="str">
        <f>IF(Table26[[#This Row],[customerSKU]]="","",_xlfn.XLOOKUP(Table26[[#This Row],[customerSKU]],customerSKU!G:G,customerSKU!N:N,"NOT FOUND",0,1))</f>
        <v>NOT FOUND</v>
      </c>
      <c r="T923" s="20">
        <v>45668</v>
      </c>
      <c r="U923" s="236">
        <v>12</v>
      </c>
      <c r="V923" s="90" t="str">
        <f>IF(ISBLANK(Table26[[#This Row],[customerSKU]]),"",_xlfn.XLOOKUP(Table26[[#This Row],[customerSKU]],Table27[customer_SKU],Table27[case_size],"",0,1))</f>
        <v/>
      </c>
      <c r="W923" s="237" t="str">
        <f t="shared" si="42"/>
        <v/>
      </c>
      <c r="X923" s="90" t="str">
        <f t="shared" si="43"/>
        <v/>
      </c>
      <c r="Y923" s="90" t="str">
        <f>IF(Table26[[#This Row],[customerSKU]]="","",_xlfn.XLOOKUP(Table26[[#This Row],[customerSKU]],Table27[customer_SKU],Table27[product_GTIN],"",0,1))</f>
        <v/>
      </c>
      <c r="Z923" s="25" t="s">
        <v>3384</v>
      </c>
      <c r="AA923" s="18" t="str" cm="1">
        <f t="array" ref="AA923">IF(P923="", "", _xlfn.XLOOKUP(P923,#REF!,#REF!,NA,0,-1))</f>
        <v/>
      </c>
      <c r="AB923" s="90"/>
      <c r="AC923" s="55" t="s">
        <v>3692</v>
      </c>
      <c r="AD923" s="55" t="str">
        <f>IF($AC923="","",_xlfn.XLOOKUP($AC923,'[2]Client Info'!$C$2:$C$2535,'[2]Client Info'!$D$2:$D$2535,"",0,1))</f>
        <v>102-950 W. Broadway</v>
      </c>
      <c r="AE923" s="55" t="str">
        <f>IF($AC923="","",_xlfn.XLOOKUP($AC923,'[2]Client Info'!$C$2:$C$2715,'[2]Client Info'!$E$2:$E$2715,"",))</f>
        <v>Vancouver</v>
      </c>
      <c r="AF923" s="55" t="str">
        <f>IF($AC923="","",_xlfn.XLOOKUP($AC923,'[2]Client Info'!$C$2:$C$2715,'[2]Client Info'!$F$2:$F$2715,"",0,1))</f>
        <v xml:space="preserve">BC </v>
      </c>
      <c r="AG923" s="55" t="s">
        <v>3692</v>
      </c>
      <c r="AH923" s="245" t="str">
        <f>_xlfn.XLOOKUP(Table26[[#This Row],[customerSKU]],customerSKU!G:G,customerSKU!K:K,"NA",0,1)</f>
        <v>NA</v>
      </c>
      <c r="AI923" s="43" t="str">
        <f>_xlfn.XLOOKUP(Table26[[#This Row],[customerSKU]],customerSKU!G:G,customerSKU!O:O,"not found",0,1)</f>
        <v>not found</v>
      </c>
      <c r="AJ923" s="22" t="e">
        <f>Table26[[#This Row],[unitprice]]*Table26[[#This Row],[quantity_unit]]</f>
        <v>#VALUE!</v>
      </c>
      <c r="AK923" s="22" t="e" cm="1">
        <f t="array" ref="AK9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4" spans="1:37" ht="18" customHeight="1">
      <c r="A924" s="42">
        <v>1294</v>
      </c>
      <c r="B924" s="27" t="s">
        <v>3520</v>
      </c>
      <c r="C924" s="22" t="s">
        <v>203</v>
      </c>
      <c r="E924" s="20"/>
      <c r="F92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4" s="17"/>
      <c r="J924" s="90" t="str">
        <f>IF(Table26[[#This Row],[customerSKU]]="","",_xlfn.XLOOKUP(Table26[[#This Row],[customerSKU]],customerSKU!G:G,customerSKU!A:A,"",0,1))</f>
        <v/>
      </c>
      <c r="K924" s="232">
        <v>45678</v>
      </c>
      <c r="L924" s="31" t="str">
        <f>IF(Table26[[#This Row],[customerSKU]]="","",_xlfn.XLOOKUP(Table26[[#This Row],[customerSKU]],customerSKU!G:G,customerSKU!B:B,"",0,1))</f>
        <v/>
      </c>
      <c r="M924" s="22"/>
      <c r="N924" s="15" t="str">
        <f>Table26[[#This Row],[po_number]]&amp;"-"&amp;Table26[[#This Row],[po_line]]</f>
        <v>-1</v>
      </c>
      <c r="O924" s="15">
        <v>1</v>
      </c>
      <c r="P924" s="29"/>
      <c r="Q924" s="22" t="s">
        <v>3378</v>
      </c>
      <c r="R924" s="22" t="s">
        <v>532</v>
      </c>
      <c r="S924" s="22" t="str">
        <f>IF(Table26[[#This Row],[customerSKU]]="","",_xlfn.XLOOKUP(Table26[[#This Row],[customerSKU]],customerSKU!G:G,customerSKU!N:N,"NOT FOUND",0,1))</f>
        <v>NOT FOUND</v>
      </c>
      <c r="T924" s="20">
        <v>45666</v>
      </c>
      <c r="U924" s="21">
        <v>12</v>
      </c>
      <c r="V924" s="22" t="str">
        <f>IF(ISBLANK(Table26[[#This Row],[customerSKU]]),"",_xlfn.XLOOKUP(Table26[[#This Row],[customerSKU]],Table27[customer_SKU],Table27[case_size],"",0,1))</f>
        <v/>
      </c>
      <c r="W924" s="117" t="str">
        <f t="shared" si="42"/>
        <v/>
      </c>
      <c r="X924" s="22" t="str">
        <f t="shared" si="43"/>
        <v/>
      </c>
      <c r="Y924" s="22" t="str">
        <f>IF(Table26[[#This Row],[customerSKU]]="","",_xlfn.XLOOKUP(Table26[[#This Row],[customerSKU]],Table27[customer_SKU],Table27[product_GTIN],"",0,1))</f>
        <v/>
      </c>
      <c r="Z924" s="25">
        <v>995292</v>
      </c>
      <c r="AA924" s="18" t="str" cm="1">
        <f t="array" ref="AA924">IF(P924="", "", _xlfn.XLOOKUP(P924,#REF!,#REF!,NA,0,-1))</f>
        <v/>
      </c>
      <c r="AB924" s="22"/>
      <c r="AC924" s="55" t="str">
        <f>IF(Table26[[#This Row],[customerSKU]]="","",_xlfn.XLOOKUP(Table26[[#This Row],[customerSKU]],customerSKU!G:G,customerSKU!C:C,"",0,1))</f>
        <v/>
      </c>
      <c r="AD924" s="55" t="str">
        <f>IF($AC924="","",_xlfn.XLOOKUP($AC924,'[2]Client Info'!$C$2:$C$2535,'[2]Client Info'!$D$2:$D$2535,"",0,1))</f>
        <v/>
      </c>
      <c r="AE924" s="55" t="str">
        <f>IF($AC924="","",_xlfn.XLOOKUP($AC924,'[2]Client Info'!$C$2:$C$2715,'[2]Client Info'!$E$2:$E$2715,"",))</f>
        <v/>
      </c>
      <c r="AF924" s="55" t="str">
        <f>IF($AC924="","",_xlfn.XLOOKUP($AC924,'[2]Client Info'!$C$2:$C$2715,'[2]Client Info'!$F$2:$F$2715,"",0,1))</f>
        <v/>
      </c>
      <c r="AG924" s="55" t="str">
        <f>IF(ISBLANK(Table26[[#This Row],[customerSKU]]),"",_xlfn.XLOOKUP(Table26[[#This Row],[customerSKU]],Table27[customer_SKU],Table27[billto],"",0,1))</f>
        <v/>
      </c>
      <c r="AH924" s="26" t="str">
        <f>_xlfn.XLOOKUP(Table26[[#This Row],[customerSKU]],customerSKU!G:G,customerSKU!K:K,"NA",0,1)</f>
        <v>NA</v>
      </c>
      <c r="AI924" s="43" t="str">
        <f>_xlfn.XLOOKUP(Table26[[#This Row],[customerSKU]],customerSKU!G:G,customerSKU!O:O,"not found",0,1)</f>
        <v>not found</v>
      </c>
      <c r="AJ924" s="22" t="e">
        <f>Table26[[#This Row],[unitprice]]*Table26[[#This Row],[quantity_unit]]</f>
        <v>#VALUE!</v>
      </c>
      <c r="AK924" s="22" t="e" cm="1">
        <f t="array" ref="AK9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5" spans="1:37" ht="18" customHeight="1">
      <c r="A925" s="42">
        <v>1295</v>
      </c>
      <c r="B925" s="27" t="s">
        <v>3520</v>
      </c>
      <c r="C925" s="22" t="s">
        <v>203</v>
      </c>
      <c r="E925" s="20"/>
      <c r="F92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5" s="17"/>
      <c r="J925" s="90" t="str">
        <f>IF(Table26[[#This Row],[customerSKU]]="","",_xlfn.XLOOKUP(Table26[[#This Row],[customerSKU]],customerSKU!G:G,customerSKU!A:A,"",0,1))</f>
        <v/>
      </c>
      <c r="K925" s="232">
        <v>45678</v>
      </c>
      <c r="L925" s="31" t="str">
        <f>IF(Table26[[#This Row],[customerSKU]]="","",_xlfn.XLOOKUP(Table26[[#This Row],[customerSKU]],customerSKU!G:G,customerSKU!B:B,"",0,1))</f>
        <v/>
      </c>
      <c r="M925" s="22"/>
      <c r="N925" s="15" t="str">
        <f>Table26[[#This Row],[po_number]]&amp;"-"&amp;Table26[[#This Row],[po_line]]</f>
        <v>-2</v>
      </c>
      <c r="O925" s="15">
        <v>2</v>
      </c>
      <c r="P925" s="29"/>
      <c r="Q925" s="22" t="s">
        <v>821</v>
      </c>
      <c r="R925" s="22" t="s">
        <v>221</v>
      </c>
      <c r="S925" s="22" t="str">
        <f>IF(Table26[[#This Row],[customerSKU]]="","",_xlfn.XLOOKUP(Table26[[#This Row],[customerSKU]],customerSKU!G:G,customerSKU!N:N,"NOT FOUND",0,1))</f>
        <v>NOT FOUND</v>
      </c>
      <c r="T925" s="20">
        <v>45649</v>
      </c>
      <c r="U925" s="21">
        <v>12</v>
      </c>
      <c r="V925" s="22" t="str">
        <f>IF(ISBLANK(Table26[[#This Row],[customerSKU]]),"",_xlfn.XLOOKUP(Table26[[#This Row],[customerSKU]],Table27[customer_SKU],Table27[case_size],"",0,1))</f>
        <v/>
      </c>
      <c r="W925" s="117" t="str">
        <f t="shared" si="42"/>
        <v/>
      </c>
      <c r="X925" s="22" t="str">
        <f t="shared" si="43"/>
        <v/>
      </c>
      <c r="Y925" s="22" t="str">
        <f>IF(Table26[[#This Row],[customerSKU]]="","",_xlfn.XLOOKUP(Table26[[#This Row],[customerSKU]],Table27[customer_SKU],Table27[product_GTIN],"",0,1))</f>
        <v/>
      </c>
      <c r="Z925" s="25" t="s">
        <v>3568</v>
      </c>
      <c r="AA925" s="18" t="str" cm="1">
        <f t="array" ref="AA925">IF(P925="", "", _xlfn.XLOOKUP(P925,#REF!,#REF!,NA,0,-1))</f>
        <v/>
      </c>
      <c r="AB925" s="22"/>
      <c r="AC925" s="55" t="str">
        <f>IF(Table26[[#This Row],[customerSKU]]="","",_xlfn.XLOOKUP(Table26[[#This Row],[customerSKU]],customerSKU!G:G,customerSKU!C:C,"",0,1))</f>
        <v/>
      </c>
      <c r="AD925" s="55" t="str">
        <f>IF($AC925="","",_xlfn.XLOOKUP($AC925,'[2]Client Info'!$C$2:$C$2535,'[2]Client Info'!$D$2:$D$2535,"",0,1))</f>
        <v/>
      </c>
      <c r="AE925" s="55" t="str">
        <f>IF($AC925="","",_xlfn.XLOOKUP($AC925,'[2]Client Info'!$C$2:$C$2715,'[2]Client Info'!$E$2:$E$2715,"",))</f>
        <v/>
      </c>
      <c r="AF925" s="55" t="str">
        <f>IF($AC925="","",_xlfn.XLOOKUP($AC925,'[2]Client Info'!$C$2:$C$2715,'[2]Client Info'!$F$2:$F$2715,"",0,1))</f>
        <v/>
      </c>
      <c r="AG925" s="55" t="str">
        <f>IF(ISBLANK(Table26[[#This Row],[customerSKU]]),"",_xlfn.XLOOKUP(Table26[[#This Row],[customerSKU]],Table27[customer_SKU],Table27[billto],"",0,1))</f>
        <v/>
      </c>
      <c r="AH925" s="26" t="str">
        <f>_xlfn.XLOOKUP(Table26[[#This Row],[customerSKU]],customerSKU!G:G,customerSKU!K:K,"NA",0,1)</f>
        <v>NA</v>
      </c>
      <c r="AI925" s="43" t="str">
        <f>_xlfn.XLOOKUP(Table26[[#This Row],[customerSKU]],customerSKU!G:G,customerSKU!O:O,"not found",0,1)</f>
        <v>not found</v>
      </c>
      <c r="AJ925" s="22" t="e">
        <f>Table26[[#This Row],[unitprice]]*Table26[[#This Row],[quantity_unit]]</f>
        <v>#VALUE!</v>
      </c>
      <c r="AK925" s="22" t="e" cm="1">
        <f t="array" ref="AK9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6" spans="1:37" ht="18" customHeight="1">
      <c r="A926" s="42">
        <v>1296</v>
      </c>
      <c r="B926" s="27" t="s">
        <v>3520</v>
      </c>
      <c r="C926" s="22" t="s">
        <v>203</v>
      </c>
      <c r="E926" s="20"/>
      <c r="F92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6" s="17"/>
      <c r="J926" s="90" t="str">
        <f>IF(Table26[[#This Row],[customerSKU]]="","",_xlfn.XLOOKUP(Table26[[#This Row],[customerSKU]],customerSKU!G:G,customerSKU!A:A,"",0,1))</f>
        <v/>
      </c>
      <c r="K926" s="232">
        <v>45678</v>
      </c>
      <c r="L926" s="31" t="str">
        <f>IF(Table26[[#This Row],[customerSKU]]="","",_xlfn.XLOOKUP(Table26[[#This Row],[customerSKU]],customerSKU!G:G,customerSKU!B:B,"",0,1))</f>
        <v/>
      </c>
      <c r="M926" s="22"/>
      <c r="N926" s="15" t="str">
        <f>Table26[[#This Row],[po_number]]&amp;"-"&amp;Table26[[#This Row],[po_line]]</f>
        <v>-3</v>
      </c>
      <c r="O926" s="15">
        <v>3</v>
      </c>
      <c r="P926" s="29"/>
      <c r="Q926" s="22" t="s">
        <v>694</v>
      </c>
      <c r="R926" s="22" t="s">
        <v>221</v>
      </c>
      <c r="S926" s="22" t="str">
        <f>IF(Table26[[#This Row],[customerSKU]]="","",_xlfn.XLOOKUP(Table26[[#This Row],[customerSKU]],customerSKU!G:G,customerSKU!N:N,"NOT FOUND",0,1))</f>
        <v>NOT FOUND</v>
      </c>
      <c r="T926" s="20">
        <v>45510</v>
      </c>
      <c r="U926" s="21">
        <v>36</v>
      </c>
      <c r="V926" s="22" t="str">
        <f>IF(ISBLANK(Table26[[#This Row],[customerSKU]]),"",_xlfn.XLOOKUP(Table26[[#This Row],[customerSKU]],Table27[customer_SKU],Table27[case_size],"",0,1))</f>
        <v/>
      </c>
      <c r="W926" s="117" t="str">
        <f t="shared" si="42"/>
        <v/>
      </c>
      <c r="X926" s="22" t="str">
        <f t="shared" si="43"/>
        <v/>
      </c>
      <c r="Y926" s="22" t="str">
        <f>IF(Table26[[#This Row],[customerSKU]]="","",_xlfn.XLOOKUP(Table26[[#This Row],[customerSKU]],Table27[customer_SKU],Table27[product_GTIN],"",0,1))</f>
        <v/>
      </c>
      <c r="Z926" s="25" t="s">
        <v>3730</v>
      </c>
      <c r="AA926" s="18" t="str" cm="1">
        <f t="array" ref="AA926">IF(P926="", "", _xlfn.XLOOKUP(P926,#REF!,#REF!,NA,0,-1))</f>
        <v/>
      </c>
      <c r="AB926" s="22"/>
      <c r="AC926" s="55" t="str">
        <f>IF(Table26[[#This Row],[customerSKU]]="","",_xlfn.XLOOKUP(Table26[[#This Row],[customerSKU]],customerSKU!G:G,customerSKU!C:C,"",0,1))</f>
        <v/>
      </c>
      <c r="AD926" s="55" t="str">
        <f>IF($AC926="","",_xlfn.XLOOKUP($AC926,'[2]Client Info'!$C$2:$C$2535,'[2]Client Info'!$D$2:$D$2535,"",0,1))</f>
        <v/>
      </c>
      <c r="AE926" s="55" t="str">
        <f>IF($AC926="","",_xlfn.XLOOKUP($AC926,'[2]Client Info'!$C$2:$C$2715,'[2]Client Info'!$E$2:$E$2715,"",))</f>
        <v/>
      </c>
      <c r="AF926" s="55" t="str">
        <f>IF($AC926="","",_xlfn.XLOOKUP($AC926,'[2]Client Info'!$C$2:$C$2715,'[2]Client Info'!$F$2:$F$2715,"",0,1))</f>
        <v/>
      </c>
      <c r="AG926" s="55" t="str">
        <f>IF(ISBLANK(Table26[[#This Row],[customerSKU]]),"",_xlfn.XLOOKUP(Table26[[#This Row],[customerSKU]],Table27[customer_SKU],Table27[billto],"",0,1))</f>
        <v/>
      </c>
      <c r="AH926" s="26" t="str">
        <f>_xlfn.XLOOKUP(Table26[[#This Row],[customerSKU]],customerSKU!G:G,customerSKU!K:K,"NA",0,1)</f>
        <v>NA</v>
      </c>
      <c r="AI926" s="43" t="str">
        <f>_xlfn.XLOOKUP(Table26[[#This Row],[customerSKU]],customerSKU!G:G,customerSKU!O:O,"not found",0,1)</f>
        <v>not found</v>
      </c>
      <c r="AJ926" s="22" t="e">
        <f>Table26[[#This Row],[unitprice]]*Table26[[#This Row],[quantity_unit]]</f>
        <v>#VALUE!</v>
      </c>
      <c r="AK926" s="22" t="e" cm="1">
        <f t="array" ref="AK9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7" spans="1:37" ht="18" customHeight="1">
      <c r="A927" s="42">
        <v>1297</v>
      </c>
      <c r="B927" s="27" t="s">
        <v>3520</v>
      </c>
      <c r="C927" s="22" t="s">
        <v>203</v>
      </c>
      <c r="E927" s="20"/>
      <c r="F92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7" s="17"/>
      <c r="J927" s="90" t="str">
        <f>IF(Table26[[#This Row],[customerSKU]]="","",_xlfn.XLOOKUP(Table26[[#This Row],[customerSKU]],customerSKU!G:G,customerSKU!A:A,"",0,1))</f>
        <v/>
      </c>
      <c r="K927" s="232">
        <v>45678</v>
      </c>
      <c r="L927" s="31" t="str">
        <f>IF(Table26[[#This Row],[customerSKU]]="","",_xlfn.XLOOKUP(Table26[[#This Row],[customerSKU]],customerSKU!G:G,customerSKU!B:B,"",0,1))</f>
        <v/>
      </c>
      <c r="M927" s="22"/>
      <c r="N927" s="15" t="str">
        <f>Table26[[#This Row],[po_number]]&amp;"-"&amp;Table26[[#This Row],[po_line]]</f>
        <v>-4</v>
      </c>
      <c r="O927" s="15">
        <v>4</v>
      </c>
      <c r="P927" s="29"/>
      <c r="Q927" s="22" t="s">
        <v>4094</v>
      </c>
      <c r="R927" s="53" t="s">
        <v>569</v>
      </c>
      <c r="S927" s="22" t="str">
        <f>IF(Table26[[#This Row],[customerSKU]]="","",_xlfn.XLOOKUP(Table26[[#This Row],[customerSKU]],customerSKU!G:G,customerSKU!N:N,"NOT FOUND",0,1))</f>
        <v>NOT FOUND</v>
      </c>
      <c r="T927" s="20">
        <v>45594</v>
      </c>
      <c r="U927" s="21">
        <v>48</v>
      </c>
      <c r="V927" s="22" t="str">
        <f>IF(ISBLANK(Table26[[#This Row],[customerSKU]]),"",_xlfn.XLOOKUP(Table26[[#This Row],[customerSKU]],Table27[customer_SKU],Table27[case_size],"",0,1))</f>
        <v/>
      </c>
      <c r="W927" s="117" t="str">
        <f t="shared" si="42"/>
        <v/>
      </c>
      <c r="X927" s="22" t="str">
        <f t="shared" si="43"/>
        <v/>
      </c>
      <c r="Y927" s="22" t="str">
        <f>IF(Table26[[#This Row],[customerSKU]]="","",_xlfn.XLOOKUP(Table26[[#This Row],[customerSKU]],Table27[customer_SKU],Table27[product_GTIN],"",0,1))</f>
        <v/>
      </c>
      <c r="Z927" s="25" t="s">
        <v>4095</v>
      </c>
      <c r="AA927" s="18" t="str" cm="1">
        <f t="array" ref="AA927">IF(P927="", "", _xlfn.XLOOKUP(P927,#REF!,#REF!,NA,0,-1))</f>
        <v/>
      </c>
      <c r="AB927" s="22"/>
      <c r="AC927" s="55" t="str">
        <f>IF(Table26[[#This Row],[customerSKU]]="","",_xlfn.XLOOKUP(Table26[[#This Row],[customerSKU]],customerSKU!G:G,customerSKU!C:C,"",0,1))</f>
        <v/>
      </c>
      <c r="AD927" s="55" t="str">
        <f>IF($AC927="","",_xlfn.XLOOKUP($AC927,'[2]Client Info'!$C$2:$C$2535,'[2]Client Info'!$D$2:$D$2535,"",0,1))</f>
        <v/>
      </c>
      <c r="AE927" s="55" t="str">
        <f>IF($AC927="","",_xlfn.XLOOKUP($AC927,'[2]Client Info'!$C$2:$C$2715,'[2]Client Info'!$E$2:$E$2715,"",))</f>
        <v/>
      </c>
      <c r="AF927" s="55" t="str">
        <f>IF($AC927="","",_xlfn.XLOOKUP($AC927,'[2]Client Info'!$C$2:$C$2715,'[2]Client Info'!$F$2:$F$2715,"",0,1))</f>
        <v/>
      </c>
      <c r="AG927" s="55" t="str">
        <f>IF(ISBLANK(Table26[[#This Row],[customerSKU]]),"",_xlfn.XLOOKUP(Table26[[#This Row],[customerSKU]],Table27[customer_SKU],Table27[billto],"",0,1))</f>
        <v/>
      </c>
      <c r="AH927" s="26" t="str">
        <f>_xlfn.XLOOKUP(Table26[[#This Row],[customerSKU]],customerSKU!G:G,customerSKU!K:K,"NA",0,1)</f>
        <v>NA</v>
      </c>
      <c r="AI927" s="43" t="str">
        <f>_xlfn.XLOOKUP(Table26[[#This Row],[customerSKU]],customerSKU!G:G,customerSKU!O:O,"not found",0,1)</f>
        <v>not found</v>
      </c>
      <c r="AJ927" s="22" t="e">
        <f>Table26[[#This Row],[unitprice]]*Table26[[#This Row],[quantity_unit]]</f>
        <v>#VALUE!</v>
      </c>
      <c r="AK927" s="22" t="e" cm="1">
        <f t="array" ref="AK9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8" spans="1:37" ht="18" customHeight="1">
      <c r="A928" s="42">
        <v>1298</v>
      </c>
      <c r="B928" s="27" t="s">
        <v>3520</v>
      </c>
      <c r="C928" s="22" t="s">
        <v>203</v>
      </c>
      <c r="E928" s="20"/>
      <c r="F92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8" s="17"/>
      <c r="J928" s="90" t="str">
        <f>IF(Table26[[#This Row],[customerSKU]]="","",_xlfn.XLOOKUP(Table26[[#This Row],[customerSKU]],customerSKU!G:G,customerSKU!A:A,"",0,1))</f>
        <v/>
      </c>
      <c r="K928" s="232">
        <v>45678</v>
      </c>
      <c r="L928" s="31" t="str">
        <f>IF(Table26[[#This Row],[customerSKU]]="","",_xlfn.XLOOKUP(Table26[[#This Row],[customerSKU]],customerSKU!G:G,customerSKU!B:B,"",0,1))</f>
        <v/>
      </c>
      <c r="M928" s="22"/>
      <c r="N928" s="15" t="str">
        <f>Table26[[#This Row],[po_number]]&amp;"-"&amp;Table26[[#This Row],[po_line]]</f>
        <v>-5</v>
      </c>
      <c r="O928" s="15">
        <v>5</v>
      </c>
      <c r="P928" s="29"/>
      <c r="Q928" s="22" t="s">
        <v>4094</v>
      </c>
      <c r="R928" s="53" t="s">
        <v>569</v>
      </c>
      <c r="S928" s="22" t="str">
        <f>IF(Table26[[#This Row],[customerSKU]]="","",_xlfn.XLOOKUP(Table26[[#This Row],[customerSKU]],customerSKU!G:G,customerSKU!N:N,"NOT FOUND",0,1))</f>
        <v>NOT FOUND</v>
      </c>
      <c r="T928" s="20">
        <v>45679</v>
      </c>
      <c r="U928" s="21">
        <v>48</v>
      </c>
      <c r="V928" s="22" t="str">
        <f>IF(ISBLANK(Table26[[#This Row],[customerSKU]]),"",_xlfn.XLOOKUP(Table26[[#This Row],[customerSKU]],Table27[customer_SKU],Table27[case_size],"",0,1))</f>
        <v/>
      </c>
      <c r="W928" s="117" t="str">
        <f t="shared" si="42"/>
        <v/>
      </c>
      <c r="X928" s="22" t="str">
        <f t="shared" si="43"/>
        <v/>
      </c>
      <c r="Y928" s="22" t="str">
        <f>IF(Table26[[#This Row],[customerSKU]]="","",_xlfn.XLOOKUP(Table26[[#This Row],[customerSKU]],Table27[customer_SKU],Table27[product_GTIN],"",0,1))</f>
        <v/>
      </c>
      <c r="Z928" s="25" t="s">
        <v>4095</v>
      </c>
      <c r="AA928" s="18" t="str" cm="1">
        <f t="array" ref="AA928">IF(P928="", "", _xlfn.XLOOKUP(P928,#REF!,#REF!,NA,0,-1))</f>
        <v/>
      </c>
      <c r="AB928" s="22"/>
      <c r="AC928" s="55" t="str">
        <f>IF(Table26[[#This Row],[customerSKU]]="","",_xlfn.XLOOKUP(Table26[[#This Row],[customerSKU]],customerSKU!G:G,customerSKU!C:C,"",0,1))</f>
        <v/>
      </c>
      <c r="AD928" s="55" t="str">
        <f>IF($AC928="","",_xlfn.XLOOKUP($AC928,'[2]Client Info'!$C$2:$C$2535,'[2]Client Info'!$D$2:$D$2535,"",0,1))</f>
        <v/>
      </c>
      <c r="AE928" s="55" t="str">
        <f>IF($AC928="","",_xlfn.XLOOKUP($AC928,'[2]Client Info'!$C$2:$C$2715,'[2]Client Info'!$E$2:$E$2715,"",))</f>
        <v/>
      </c>
      <c r="AF928" s="55" t="str">
        <f>IF($AC928="","",_xlfn.XLOOKUP($AC928,'[2]Client Info'!$C$2:$C$2715,'[2]Client Info'!$F$2:$F$2715,"",0,1))</f>
        <v/>
      </c>
      <c r="AG928" s="55" t="str">
        <f>IF(ISBLANK(Table26[[#This Row],[customerSKU]]),"",_xlfn.XLOOKUP(Table26[[#This Row],[customerSKU]],Table27[customer_SKU],Table27[billto],"",0,1))</f>
        <v/>
      </c>
      <c r="AH928" s="26" t="str">
        <f>_xlfn.XLOOKUP(Table26[[#This Row],[customerSKU]],customerSKU!G:G,customerSKU!K:K,"NA",0,1)</f>
        <v>NA</v>
      </c>
      <c r="AI928" s="43" t="str">
        <f>_xlfn.XLOOKUP(Table26[[#This Row],[customerSKU]],customerSKU!G:G,customerSKU!O:O,"not found",0,1)</f>
        <v>not found</v>
      </c>
      <c r="AJ928" s="22" t="e">
        <f>Table26[[#This Row],[unitprice]]*Table26[[#This Row],[quantity_unit]]</f>
        <v>#VALUE!</v>
      </c>
      <c r="AK928" s="22" t="e" cm="1">
        <f t="array" ref="AK9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29" spans="1:37" ht="18" customHeight="1">
      <c r="A929" s="42">
        <v>1299</v>
      </c>
      <c r="B929" s="27" t="s">
        <v>3520</v>
      </c>
      <c r="C929" s="22" t="s">
        <v>203</v>
      </c>
      <c r="E929" s="20"/>
      <c r="F92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29" s="17"/>
      <c r="J929" s="90" t="str">
        <f>IF(Table26[[#This Row],[customerSKU]]="","",_xlfn.XLOOKUP(Table26[[#This Row],[customerSKU]],customerSKU!G:G,customerSKU!A:A,"",0,1))</f>
        <v/>
      </c>
      <c r="K929" s="232">
        <v>45678</v>
      </c>
      <c r="L929" s="31" t="str">
        <f>IF(Table26[[#This Row],[customerSKU]]="","",_xlfn.XLOOKUP(Table26[[#This Row],[customerSKU]],customerSKU!G:G,customerSKU!B:B,"",0,1))</f>
        <v/>
      </c>
      <c r="M929" s="22"/>
      <c r="N929" s="15" t="str">
        <f>Table26[[#This Row],[po_number]]&amp;"-"&amp;Table26[[#This Row],[po_line]]</f>
        <v>-6</v>
      </c>
      <c r="O929" s="15">
        <v>6</v>
      </c>
      <c r="P929" s="29"/>
      <c r="Q929" s="22" t="s">
        <v>589</v>
      </c>
      <c r="R929" s="22" t="s">
        <v>221</v>
      </c>
      <c r="S929" s="22" t="str">
        <f>IF(Table26[[#This Row],[customerSKU]]="","",_xlfn.XLOOKUP(Table26[[#This Row],[customerSKU]],customerSKU!G:G,customerSKU!N:N,"NOT FOUND",0,1))</f>
        <v>NOT FOUND</v>
      </c>
      <c r="T929" s="20">
        <v>45581</v>
      </c>
      <c r="U929" s="21">
        <v>24</v>
      </c>
      <c r="V929" s="22" t="str">
        <f>IF(ISBLANK(Table26[[#This Row],[customerSKU]]),"",_xlfn.XLOOKUP(Table26[[#This Row],[customerSKU]],Table27[customer_SKU],Table27[case_size],"",0,1))</f>
        <v/>
      </c>
      <c r="W929" s="117" t="str">
        <f t="shared" si="42"/>
        <v/>
      </c>
      <c r="X929" s="22" t="str">
        <f t="shared" si="43"/>
        <v/>
      </c>
      <c r="Y929" s="22" t="str">
        <f>IF(Table26[[#This Row],[customerSKU]]="","",_xlfn.XLOOKUP(Table26[[#This Row],[customerSKU]],Table27[customer_SKU],Table27[product_GTIN],"",0,1))</f>
        <v/>
      </c>
      <c r="Z929" s="25">
        <v>994667</v>
      </c>
      <c r="AA929" s="18" t="str" cm="1">
        <f t="array" ref="AA929">IF(P929="", "", _xlfn.XLOOKUP(P929,#REF!,#REF!,NA,0,-1))</f>
        <v/>
      </c>
      <c r="AB929" s="22"/>
      <c r="AC929" s="55" t="str">
        <f>IF(Table26[[#This Row],[customerSKU]]="","",_xlfn.XLOOKUP(Table26[[#This Row],[customerSKU]],customerSKU!G:G,customerSKU!C:C,"",0,1))</f>
        <v/>
      </c>
      <c r="AD929" s="55" t="str">
        <f>IF($AC929="","",_xlfn.XLOOKUP($AC929,'[2]Client Info'!$C$2:$C$2535,'[2]Client Info'!$D$2:$D$2535,"",0,1))</f>
        <v/>
      </c>
      <c r="AE929" s="55" t="str">
        <f>IF($AC929="","",_xlfn.XLOOKUP($AC929,'[2]Client Info'!$C$2:$C$2715,'[2]Client Info'!$E$2:$E$2715,"",))</f>
        <v/>
      </c>
      <c r="AF929" s="55" t="str">
        <f>IF($AC929="","",_xlfn.XLOOKUP($AC929,'[2]Client Info'!$C$2:$C$2715,'[2]Client Info'!$F$2:$F$2715,"",0,1))</f>
        <v/>
      </c>
      <c r="AG929" s="55" t="str">
        <f>IF(ISBLANK(Table26[[#This Row],[customerSKU]]),"",_xlfn.XLOOKUP(Table26[[#This Row],[customerSKU]],Table27[customer_SKU],Table27[billto],"",0,1))</f>
        <v/>
      </c>
      <c r="AH929" s="26" t="str">
        <f>_xlfn.XLOOKUP(Table26[[#This Row],[customerSKU]],customerSKU!G:G,customerSKU!K:K,"NA",0,1)</f>
        <v>NA</v>
      </c>
      <c r="AI929" s="43" t="str">
        <f>_xlfn.XLOOKUP(Table26[[#This Row],[customerSKU]],customerSKU!G:G,customerSKU!O:O,"not found",0,1)</f>
        <v>not found</v>
      </c>
      <c r="AJ929" s="22" t="e">
        <f>Table26[[#This Row],[unitprice]]*Table26[[#This Row],[quantity_unit]]</f>
        <v>#VALUE!</v>
      </c>
      <c r="AK929" s="22" t="e" cm="1">
        <f t="array" ref="AK9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0" spans="1:37" ht="18" customHeight="1">
      <c r="A930" s="42">
        <v>1300</v>
      </c>
      <c r="B930" s="27" t="s">
        <v>3520</v>
      </c>
      <c r="C930" s="22" t="s">
        <v>203</v>
      </c>
      <c r="E930" s="20"/>
      <c r="F93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30" s="17"/>
      <c r="J930" s="90" t="str">
        <f>IF(Table26[[#This Row],[customerSKU]]="","",_xlfn.XLOOKUP(Table26[[#This Row],[customerSKU]],customerSKU!G:G,customerSKU!A:A,"",0,1))</f>
        <v/>
      </c>
      <c r="K930" s="232">
        <v>45678</v>
      </c>
      <c r="L930" s="31" t="str">
        <f>IF(Table26[[#This Row],[customerSKU]]="","",_xlfn.XLOOKUP(Table26[[#This Row],[customerSKU]],customerSKU!G:G,customerSKU!B:B,"",0,1))</f>
        <v/>
      </c>
      <c r="M930" s="22"/>
      <c r="N930" s="15" t="str">
        <f>Table26[[#This Row],[po_number]]&amp;"-"&amp;Table26[[#This Row],[po_line]]</f>
        <v>-7</v>
      </c>
      <c r="O930" s="15">
        <v>7</v>
      </c>
      <c r="P930" s="29"/>
      <c r="Q930" s="22" t="s">
        <v>1862</v>
      </c>
      <c r="R930" s="22" t="s">
        <v>221</v>
      </c>
      <c r="S930" s="22" t="str">
        <f>IF(Table26[[#This Row],[customerSKU]]="","",_xlfn.XLOOKUP(Table26[[#This Row],[customerSKU]],customerSKU!G:G,customerSKU!N:N,"NOT FOUND",0,1))</f>
        <v>NOT FOUND</v>
      </c>
      <c r="T930" s="20">
        <v>45618</v>
      </c>
      <c r="U930" s="21">
        <v>12</v>
      </c>
      <c r="V930" s="22" t="str">
        <f>IF(ISBLANK(Table26[[#This Row],[customerSKU]]),"",_xlfn.XLOOKUP(Table26[[#This Row],[customerSKU]],Table27[customer_SKU],Table27[case_size],"",0,1))</f>
        <v/>
      </c>
      <c r="W930" s="117" t="str">
        <f t="shared" si="42"/>
        <v/>
      </c>
      <c r="X930" s="22" t="str">
        <f t="shared" si="43"/>
        <v/>
      </c>
      <c r="Y930" s="22" t="str">
        <f>IF(Table26[[#This Row],[customerSKU]]="","",_xlfn.XLOOKUP(Table26[[#This Row],[customerSKU]],Table27[customer_SKU],Table27[product_GTIN],"",0,1))</f>
        <v/>
      </c>
      <c r="Z930" s="25" t="s">
        <v>3646</v>
      </c>
      <c r="AA930" s="18" t="str" cm="1">
        <f t="array" ref="AA930">IF(P930="", "", _xlfn.XLOOKUP(P930,#REF!,#REF!,NA,0,-1))</f>
        <v/>
      </c>
      <c r="AB930" s="22"/>
      <c r="AC930" s="55" t="str">
        <f>IF(Table26[[#This Row],[customerSKU]]="","",_xlfn.XLOOKUP(Table26[[#This Row],[customerSKU]],customerSKU!G:G,customerSKU!C:C,"",0,1))</f>
        <v/>
      </c>
      <c r="AD930" s="55" t="str">
        <f>IF($AC930="","",_xlfn.XLOOKUP($AC930,'[2]Client Info'!$C$2:$C$2535,'[2]Client Info'!$D$2:$D$2535,"",0,1))</f>
        <v/>
      </c>
      <c r="AE930" s="55" t="str">
        <f>IF($AC930="","",_xlfn.XLOOKUP($AC930,'[2]Client Info'!$C$2:$C$2715,'[2]Client Info'!$E$2:$E$2715,"",))</f>
        <v/>
      </c>
      <c r="AF930" s="55" t="str">
        <f>IF($AC930="","",_xlfn.XLOOKUP($AC930,'[2]Client Info'!$C$2:$C$2715,'[2]Client Info'!$F$2:$F$2715,"",0,1))</f>
        <v/>
      </c>
      <c r="AG930" s="55" t="str">
        <f>IF(ISBLANK(Table26[[#This Row],[customerSKU]]),"",_xlfn.XLOOKUP(Table26[[#This Row],[customerSKU]],Table27[customer_SKU],Table27[billto],"",0,1))</f>
        <v/>
      </c>
      <c r="AH930" s="26" t="str">
        <f>_xlfn.XLOOKUP(Table26[[#This Row],[customerSKU]],customerSKU!G:G,customerSKU!K:K,"NA",0,1)</f>
        <v>NA</v>
      </c>
      <c r="AI930" s="43" t="str">
        <f>_xlfn.XLOOKUP(Table26[[#This Row],[customerSKU]],customerSKU!G:G,customerSKU!O:O,"not found",0,1)</f>
        <v>not found</v>
      </c>
      <c r="AJ930" s="22" t="e">
        <f>Table26[[#This Row],[unitprice]]*Table26[[#This Row],[quantity_unit]]</f>
        <v>#VALUE!</v>
      </c>
      <c r="AK930" s="22" t="e" cm="1">
        <f t="array" ref="AK9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1" spans="1:37" ht="24.6" customHeight="1">
      <c r="A931" s="42">
        <v>1301</v>
      </c>
      <c r="B931" s="27" t="s">
        <v>3520</v>
      </c>
      <c r="C931" s="22" t="s">
        <v>203</v>
      </c>
      <c r="E931" s="20"/>
      <c r="F93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31" s="17"/>
      <c r="J931" s="90" t="str">
        <f>IF(Table26[[#This Row],[customerSKU]]="","",_xlfn.XLOOKUP(Table26[[#This Row],[customerSKU]],customerSKU!G:G,customerSKU!A:A,"",0,1))</f>
        <v/>
      </c>
      <c r="K931" s="232">
        <v>45678</v>
      </c>
      <c r="L931" s="31" t="str">
        <f>IF(Table26[[#This Row],[customerSKU]]="","",_xlfn.XLOOKUP(Table26[[#This Row],[customerSKU]],customerSKU!G:G,customerSKU!B:B,"",0,1))</f>
        <v/>
      </c>
      <c r="M931" s="22"/>
      <c r="N931" s="15" t="str">
        <f>Table26[[#This Row],[po_number]]&amp;"-"&amp;Table26[[#This Row],[po_line]]</f>
        <v>-8</v>
      </c>
      <c r="O931" s="15">
        <v>8</v>
      </c>
      <c r="P931" s="29"/>
      <c r="Q931" s="22" t="s">
        <v>622</v>
      </c>
      <c r="R931" s="22" t="s">
        <v>221</v>
      </c>
      <c r="S931" s="22" t="str">
        <f>IF(Table26[[#This Row],[customerSKU]]="","",_xlfn.XLOOKUP(Table26[[#This Row],[customerSKU]],customerSKU!G:G,customerSKU!N:N,"NOT FOUND",0,1))</f>
        <v>NOT FOUND</v>
      </c>
      <c r="T931" s="20">
        <v>45603</v>
      </c>
      <c r="U931" s="21">
        <v>12</v>
      </c>
      <c r="V931" s="22" t="str">
        <f>IF(ISBLANK(Table26[[#This Row],[customerSKU]]),"",_xlfn.XLOOKUP(Table26[[#This Row],[customerSKU]],Table27[customer_SKU],Table27[case_size],"",0,1))</f>
        <v/>
      </c>
      <c r="W931" s="117" t="str">
        <f t="shared" si="42"/>
        <v/>
      </c>
      <c r="X931" s="22" t="str">
        <f t="shared" si="43"/>
        <v/>
      </c>
      <c r="Y931" s="22" t="str">
        <f>IF(Table26[[#This Row],[customerSKU]]="","",_xlfn.XLOOKUP(Table26[[#This Row],[customerSKU]],Table27[customer_SKU],Table27[product_GTIN],"",0,1))</f>
        <v/>
      </c>
      <c r="Z931" s="25">
        <v>994674</v>
      </c>
      <c r="AA931" s="18" t="str" cm="1">
        <f t="array" ref="AA931">IF(P931="", "", _xlfn.XLOOKUP(P931,#REF!,#REF!,NA,0,-1))</f>
        <v/>
      </c>
      <c r="AB931" s="22"/>
      <c r="AC931" s="55" t="str">
        <f>IF(Table26[[#This Row],[customerSKU]]="","",_xlfn.XLOOKUP(Table26[[#This Row],[customerSKU]],customerSKU!G:G,customerSKU!C:C,"",0,1))</f>
        <v/>
      </c>
      <c r="AD931" s="55" t="str">
        <f>IF($AC931="","",_xlfn.XLOOKUP($AC931,'[2]Client Info'!$C$2:$C$2535,'[2]Client Info'!$D$2:$D$2535,"",0,1))</f>
        <v/>
      </c>
      <c r="AE931" s="55" t="str">
        <f>IF($AC931="","",_xlfn.XLOOKUP($AC931,'[2]Client Info'!$C$2:$C$2715,'[2]Client Info'!$E$2:$E$2715,"",))</f>
        <v/>
      </c>
      <c r="AF931" s="55" t="str">
        <f>IF($AC931="","",_xlfn.XLOOKUP($AC931,'[2]Client Info'!$C$2:$C$2715,'[2]Client Info'!$F$2:$F$2715,"",0,1))</f>
        <v/>
      </c>
      <c r="AG931" s="55" t="str">
        <f>IF(ISBLANK(Table26[[#This Row],[customerSKU]]),"",_xlfn.XLOOKUP(Table26[[#This Row],[customerSKU]],Table27[customer_SKU],Table27[billto],"",0,1))</f>
        <v/>
      </c>
      <c r="AH931" s="26" t="str">
        <f>_xlfn.XLOOKUP(Table26[[#This Row],[customerSKU]],customerSKU!G:G,customerSKU!K:K,"NA",0,1)</f>
        <v>NA</v>
      </c>
      <c r="AI931" s="43" t="str">
        <f>_xlfn.XLOOKUP(Table26[[#This Row],[customerSKU]],customerSKU!G:G,customerSKU!O:O,"not found",0,1)</f>
        <v>not found</v>
      </c>
      <c r="AJ931" s="22" t="e">
        <f>Table26[[#This Row],[unitprice]]*Table26[[#This Row],[quantity_unit]]</f>
        <v>#VALUE!</v>
      </c>
      <c r="AK931" s="22" t="e" cm="1">
        <f t="array" ref="AK9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2" spans="1:37" ht="18" customHeight="1">
      <c r="A932" s="42">
        <v>1302</v>
      </c>
      <c r="B932" s="249" t="s">
        <v>3520</v>
      </c>
      <c r="C932" s="90" t="s">
        <v>203</v>
      </c>
      <c r="D932" s="235"/>
      <c r="E932" s="235"/>
      <c r="F93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2" s="119"/>
      <c r="H932" s="90"/>
      <c r="I932" s="90"/>
      <c r="J932" s="90" t="str">
        <f>IF(Table26[[#This Row],[customerSKU]]="","",_xlfn.XLOOKUP(Table26[[#This Row],[customerSKU]],customerSKU!G:G,customerSKU!A:A,"",0,1))</f>
        <v/>
      </c>
      <c r="K932" s="232">
        <v>45678</v>
      </c>
      <c r="L932" s="233" t="str">
        <f>IF(Table26[[#This Row],[customerSKU]]="","",_xlfn.XLOOKUP(Table26[[#This Row],[customerSKU]],customerSKU!G:G,customerSKU!B:B,"",0,1))</f>
        <v/>
      </c>
      <c r="M932" s="90"/>
      <c r="N932" s="55" t="str">
        <f>Table26[[#This Row],[po_number]]&amp;"-"&amp;Table26[[#This Row],[po_line]]</f>
        <v>-1</v>
      </c>
      <c r="O932" s="55">
        <v>1</v>
      </c>
      <c r="P932" s="234"/>
      <c r="Q932" s="90" t="s">
        <v>1609</v>
      </c>
      <c r="R932" s="90" t="s">
        <v>569</v>
      </c>
      <c r="S932" s="90" t="str">
        <f>IF(Table26[[#This Row],[customerSKU]]="","",_xlfn.XLOOKUP(Table26[[#This Row],[customerSKU]],customerSKU!G:G,customerSKU!N:N,"NOT FOUND",0,1))</f>
        <v>NOT FOUND</v>
      </c>
      <c r="T932" s="20">
        <v>45462</v>
      </c>
      <c r="U932" s="236">
        <v>12</v>
      </c>
      <c r="V932" s="90" t="str">
        <f>IF(ISBLANK(Table26[[#This Row],[customerSKU]]),"",_xlfn.XLOOKUP(Table26[[#This Row],[customerSKU]],Table27[customer_SKU],Table27[case_size],"",0,1))</f>
        <v/>
      </c>
      <c r="W932" s="237" t="str">
        <f t="shared" si="42"/>
        <v/>
      </c>
      <c r="X932" s="90" t="str">
        <f t="shared" si="43"/>
        <v/>
      </c>
      <c r="Y932" s="90" t="str">
        <f>IF(Table26[[#This Row],[customerSKU]]="","",_xlfn.XLOOKUP(Table26[[#This Row],[customerSKU]],Table27[customer_SKU],Table27[product_GTIN],"",0,1))</f>
        <v/>
      </c>
      <c r="Z932" s="25" t="s">
        <v>3416</v>
      </c>
      <c r="AA932" s="18" t="str" cm="1">
        <f t="array" ref="AA932">IF(P932="", "", _xlfn.XLOOKUP(P932,#REF!,#REF!,NA,0,-1))</f>
        <v/>
      </c>
      <c r="AB932" s="90"/>
      <c r="AC932" s="55" t="s">
        <v>4126</v>
      </c>
      <c r="AD932" s="55" t="str">
        <f>IF($AC932="","",_xlfn.XLOOKUP($AC932,'[2]Client Info'!$C$2:$C$2535,'[2]Client Info'!$D$2:$D$2535,"",0,1))</f>
        <v>#102-935 Brunette Ave</v>
      </c>
      <c r="AE932" s="55" t="str">
        <f>IF($AC932="","",_xlfn.XLOOKUP($AC932,'[2]Client Info'!$C$2:$C$2715,'[2]Client Info'!$E$2:$E$2715,"",))</f>
        <v>Coquitlam</v>
      </c>
      <c r="AF932" s="55" t="str">
        <f>IF($AC932="","",_xlfn.XLOOKUP($AC932,'[2]Client Info'!$C$2:$C$2715,'[2]Client Info'!$F$2:$F$2715,"",0,1))</f>
        <v>BC</v>
      </c>
      <c r="AG932" s="55" t="s">
        <v>4126</v>
      </c>
      <c r="AH932" s="245" t="str">
        <f>_xlfn.XLOOKUP(Table26[[#This Row],[customerSKU]],customerSKU!G:G,customerSKU!K:K,"NA",0,1)</f>
        <v>NA</v>
      </c>
      <c r="AI932" s="43" t="str">
        <f>_xlfn.XLOOKUP(Table26[[#This Row],[customerSKU]],customerSKU!G:G,customerSKU!O:O,"not found",0,1)</f>
        <v>not found</v>
      </c>
      <c r="AJ932" s="22" t="e">
        <f>Table26[[#This Row],[unitprice]]*Table26[[#This Row],[quantity_unit]]</f>
        <v>#VALUE!</v>
      </c>
      <c r="AK932" s="22" t="e" cm="1">
        <f t="array" ref="AK9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3" spans="1:37" ht="18" customHeight="1">
      <c r="A933" s="42">
        <v>1303</v>
      </c>
      <c r="B933" s="249" t="s">
        <v>3520</v>
      </c>
      <c r="C933" s="90" t="s">
        <v>203</v>
      </c>
      <c r="D933" s="235"/>
      <c r="E933" s="235"/>
      <c r="F93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3" s="119"/>
      <c r="H933" s="90"/>
      <c r="I933" s="90"/>
      <c r="J933" s="90" t="str">
        <f>IF(Table26[[#This Row],[customerSKU]]="","",_xlfn.XLOOKUP(Table26[[#This Row],[customerSKU]],customerSKU!G:G,customerSKU!A:A,"",0,1))</f>
        <v/>
      </c>
      <c r="K933" s="232">
        <v>45678</v>
      </c>
      <c r="L933" s="233" t="str">
        <f>IF(Table26[[#This Row],[customerSKU]]="","",_xlfn.XLOOKUP(Table26[[#This Row],[customerSKU]],customerSKU!G:G,customerSKU!B:B,"",0,1))</f>
        <v/>
      </c>
      <c r="M933" s="90"/>
      <c r="N933" s="55" t="str">
        <f>Table26[[#This Row],[po_number]]&amp;"-"&amp;Table26[[#This Row],[po_line]]</f>
        <v>-2</v>
      </c>
      <c r="O933" s="55">
        <v>2</v>
      </c>
      <c r="P933" s="234"/>
      <c r="Q933" s="90" t="s">
        <v>1575</v>
      </c>
      <c r="R933" s="90" t="s">
        <v>569</v>
      </c>
      <c r="S933" s="90" t="str">
        <f>IF(Table26[[#This Row],[customerSKU]]="","",_xlfn.XLOOKUP(Table26[[#This Row],[customerSKU]],customerSKU!G:G,customerSKU!N:N,"NOT FOUND",0,1))</f>
        <v>NOT FOUND</v>
      </c>
      <c r="T933" s="20">
        <v>45457</v>
      </c>
      <c r="U933" s="236">
        <v>12</v>
      </c>
      <c r="V933" s="90" t="str">
        <f>IF(ISBLANK(Table26[[#This Row],[customerSKU]]),"",_xlfn.XLOOKUP(Table26[[#This Row],[customerSKU]],Table27[customer_SKU],Table27[case_size],"",0,1))</f>
        <v/>
      </c>
      <c r="W933" s="237" t="str">
        <f t="shared" si="42"/>
        <v/>
      </c>
      <c r="X933" s="90" t="str">
        <f t="shared" si="43"/>
        <v/>
      </c>
      <c r="Y933" s="90" t="str">
        <f>IF(Table26[[#This Row],[customerSKU]]="","",_xlfn.XLOOKUP(Table26[[#This Row],[customerSKU]],Table27[customer_SKU],Table27[product_GTIN],"",0,1))</f>
        <v/>
      </c>
      <c r="Z933" s="25" t="s">
        <v>3609</v>
      </c>
      <c r="AA933" s="18" t="str" cm="1">
        <f t="array" ref="AA933">IF(P933="", "", _xlfn.XLOOKUP(P933,#REF!,#REF!,NA,0,-1))</f>
        <v/>
      </c>
      <c r="AB933" s="90"/>
      <c r="AC933" s="55" t="s">
        <v>4126</v>
      </c>
      <c r="AD933" s="55" t="str">
        <f>IF($AC933="","",_xlfn.XLOOKUP($AC933,'[2]Client Info'!$C$2:$C$2535,'[2]Client Info'!$D$2:$D$2535,"",0,1))</f>
        <v>#102-935 Brunette Ave</v>
      </c>
      <c r="AE933" s="55" t="str">
        <f>IF($AC933="","",_xlfn.XLOOKUP($AC933,'[2]Client Info'!$C$2:$C$2715,'[2]Client Info'!$E$2:$E$2715,"",))</f>
        <v>Coquitlam</v>
      </c>
      <c r="AF933" s="55" t="str">
        <f>IF($AC933="","",_xlfn.XLOOKUP($AC933,'[2]Client Info'!$C$2:$C$2715,'[2]Client Info'!$F$2:$F$2715,"",0,1))</f>
        <v>BC</v>
      </c>
      <c r="AG933" s="55" t="s">
        <v>4126</v>
      </c>
      <c r="AH933" s="245" t="str">
        <f>_xlfn.XLOOKUP(Table26[[#This Row],[customerSKU]],customerSKU!G:G,customerSKU!K:K,"NA",0,1)</f>
        <v>NA</v>
      </c>
      <c r="AI933" s="43" t="str">
        <f>_xlfn.XLOOKUP(Table26[[#This Row],[customerSKU]],customerSKU!G:G,customerSKU!O:O,"not found",0,1)</f>
        <v>not found</v>
      </c>
      <c r="AJ933" s="22" t="e">
        <f>Table26[[#This Row],[unitprice]]*Table26[[#This Row],[quantity_unit]]</f>
        <v>#VALUE!</v>
      </c>
      <c r="AK933" s="22" t="e" cm="1">
        <f t="array" ref="AK9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4" spans="1:37" ht="18" customHeight="1">
      <c r="A934" s="42">
        <v>1304</v>
      </c>
      <c r="B934" s="249" t="s">
        <v>3520</v>
      </c>
      <c r="C934" s="90" t="s">
        <v>203</v>
      </c>
      <c r="D934" s="235"/>
      <c r="E934" s="235"/>
      <c r="F93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4" s="119"/>
      <c r="H934" s="90"/>
      <c r="I934" s="90"/>
      <c r="J934" s="90" t="str">
        <f>IF(Table26[[#This Row],[customerSKU]]="","",_xlfn.XLOOKUP(Table26[[#This Row],[customerSKU]],customerSKU!G:G,customerSKU!A:A,"",0,1))</f>
        <v/>
      </c>
      <c r="K934" s="232">
        <v>45678</v>
      </c>
      <c r="L934" s="233" t="str">
        <f>IF(Table26[[#This Row],[customerSKU]]="","",_xlfn.XLOOKUP(Table26[[#This Row],[customerSKU]],customerSKU!G:G,customerSKU!B:B,"",0,1))</f>
        <v/>
      </c>
      <c r="M934" s="90"/>
      <c r="N934" s="55" t="str">
        <f>Table26[[#This Row],[po_number]]&amp;"-"&amp;Table26[[#This Row],[po_line]]</f>
        <v>-3</v>
      </c>
      <c r="O934" s="55">
        <v>3</v>
      </c>
      <c r="P934" s="234"/>
      <c r="Q934" s="90" t="s">
        <v>828</v>
      </c>
      <c r="R934" s="90" t="s">
        <v>569</v>
      </c>
      <c r="S934" s="90" t="str">
        <f>IF(Table26[[#This Row],[customerSKU]]="","",_xlfn.XLOOKUP(Table26[[#This Row],[customerSKU]],customerSKU!G:G,customerSKU!N:N,"NOT FOUND",0,1))</f>
        <v>NOT FOUND</v>
      </c>
      <c r="T934" s="20">
        <v>45593</v>
      </c>
      <c r="U934" s="236">
        <v>12</v>
      </c>
      <c r="V934" s="90" t="str">
        <f>IF(ISBLANK(Table26[[#This Row],[customerSKU]]),"",_xlfn.XLOOKUP(Table26[[#This Row],[customerSKU]],Table27[customer_SKU],Table27[case_size],"",0,1))</f>
        <v/>
      </c>
      <c r="W934" s="237" t="str">
        <f t="shared" ref="W934:W965" si="44">IFERROR(U934/V934, "")</f>
        <v/>
      </c>
      <c r="X934" s="90" t="str">
        <f t="shared" si="43"/>
        <v/>
      </c>
      <c r="Y934" s="90" t="str">
        <f>IF(Table26[[#This Row],[customerSKU]]="","",_xlfn.XLOOKUP(Table26[[#This Row],[customerSKU]],Table27[customer_SKU],Table27[product_GTIN],"",0,1))</f>
        <v/>
      </c>
      <c r="Z934" s="25" t="s">
        <v>3364</v>
      </c>
      <c r="AA934" s="18" t="str" cm="1">
        <f t="array" ref="AA934">IF(P934="", "", _xlfn.XLOOKUP(P934,#REF!,#REF!,NA,0,-1))</f>
        <v/>
      </c>
      <c r="AB934" s="90"/>
      <c r="AC934" s="55" t="s">
        <v>4126</v>
      </c>
      <c r="AD934" s="55" t="str">
        <f>IF($AC934="","",_xlfn.XLOOKUP($AC934,'[2]Client Info'!$C$2:$C$2535,'[2]Client Info'!$D$2:$D$2535,"",0,1))</f>
        <v>#102-935 Brunette Ave</v>
      </c>
      <c r="AE934" s="55" t="str">
        <f>IF($AC934="","",_xlfn.XLOOKUP($AC934,'[2]Client Info'!$C$2:$C$2715,'[2]Client Info'!$E$2:$E$2715,"",))</f>
        <v>Coquitlam</v>
      </c>
      <c r="AF934" s="55" t="str">
        <f>IF($AC934="","",_xlfn.XLOOKUP($AC934,'[2]Client Info'!$C$2:$C$2715,'[2]Client Info'!$F$2:$F$2715,"",0,1))</f>
        <v>BC</v>
      </c>
      <c r="AG934" s="55" t="s">
        <v>4126</v>
      </c>
      <c r="AH934" s="245" t="str">
        <f>_xlfn.XLOOKUP(Table26[[#This Row],[customerSKU]],customerSKU!G:G,customerSKU!K:K,"NA",0,1)</f>
        <v>NA</v>
      </c>
      <c r="AI934" s="43" t="str">
        <f>_xlfn.XLOOKUP(Table26[[#This Row],[customerSKU]],customerSKU!G:G,customerSKU!O:O,"not found",0,1)</f>
        <v>not found</v>
      </c>
      <c r="AJ934" s="22" t="e">
        <f>Table26[[#This Row],[unitprice]]*Table26[[#This Row],[quantity_unit]]</f>
        <v>#VALUE!</v>
      </c>
      <c r="AK934" s="22" t="e" cm="1">
        <f t="array" ref="AK9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5" spans="1:37" ht="18" customHeight="1">
      <c r="A935" s="42">
        <v>1305</v>
      </c>
      <c r="B935" s="249" t="s">
        <v>3520</v>
      </c>
      <c r="C935" s="90" t="s">
        <v>203</v>
      </c>
      <c r="D935" s="235"/>
      <c r="E935" s="235"/>
      <c r="F93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5" s="119"/>
      <c r="H935" s="90"/>
      <c r="I935" s="90"/>
      <c r="J935" s="90" t="str">
        <f>IF(Table26[[#This Row],[customerSKU]]="","",_xlfn.XLOOKUP(Table26[[#This Row],[customerSKU]],customerSKU!G:G,customerSKU!A:A,"",0,1))</f>
        <v/>
      </c>
      <c r="K935" s="232">
        <v>45678</v>
      </c>
      <c r="L935" s="233" t="str">
        <f>IF(Table26[[#This Row],[customerSKU]]="","",_xlfn.XLOOKUP(Table26[[#This Row],[customerSKU]],customerSKU!G:G,customerSKU!B:B,"",0,1))</f>
        <v/>
      </c>
      <c r="M935" s="90"/>
      <c r="N935" s="55" t="str">
        <f>Table26[[#This Row],[po_number]]&amp;"-"&amp;Table26[[#This Row],[po_line]]</f>
        <v>-4</v>
      </c>
      <c r="O935" s="55">
        <v>4</v>
      </c>
      <c r="P935" s="234"/>
      <c r="Q935" s="90" t="s">
        <v>587</v>
      </c>
      <c r="R935" s="90" t="s">
        <v>569</v>
      </c>
      <c r="S935" s="90" t="str">
        <f>IF(Table26[[#This Row],[customerSKU]]="","",_xlfn.XLOOKUP(Table26[[#This Row],[customerSKU]],customerSKU!G:G,customerSKU!N:N,"NOT FOUND",0,1))</f>
        <v>NOT FOUND</v>
      </c>
      <c r="T935" s="20">
        <v>45457</v>
      </c>
      <c r="U935" s="236">
        <v>12</v>
      </c>
      <c r="V935" s="90" t="str">
        <f>IF(ISBLANK(Table26[[#This Row],[customerSKU]]),"",_xlfn.XLOOKUP(Table26[[#This Row],[customerSKU]],Table27[customer_SKU],Table27[case_size],"",0,1))</f>
        <v/>
      </c>
      <c r="W935" s="237" t="str">
        <f t="shared" si="44"/>
        <v/>
      </c>
      <c r="X935" s="90" t="str">
        <f t="shared" si="43"/>
        <v/>
      </c>
      <c r="Y935" s="90" t="str">
        <f>IF(Table26[[#This Row],[customerSKU]]="","",_xlfn.XLOOKUP(Table26[[#This Row],[customerSKU]],Table27[customer_SKU],Table27[product_GTIN],"",0,1))</f>
        <v/>
      </c>
      <c r="Z935" s="25" t="s">
        <v>3403</v>
      </c>
      <c r="AA935" s="18" t="str" cm="1">
        <f t="array" ref="AA935">IF(P935="", "", _xlfn.XLOOKUP(P935,#REF!,#REF!,NA,0,-1))</f>
        <v/>
      </c>
      <c r="AB935" s="90"/>
      <c r="AC935" s="55" t="s">
        <v>4126</v>
      </c>
      <c r="AD935" s="55" t="str">
        <f>IF($AC935="","",_xlfn.XLOOKUP($AC935,'[2]Client Info'!$C$2:$C$2535,'[2]Client Info'!$D$2:$D$2535,"",0,1))</f>
        <v>#102-935 Brunette Ave</v>
      </c>
      <c r="AE935" s="55" t="str">
        <f>IF($AC935="","",_xlfn.XLOOKUP($AC935,'[2]Client Info'!$C$2:$C$2715,'[2]Client Info'!$E$2:$E$2715,"",))</f>
        <v>Coquitlam</v>
      </c>
      <c r="AF935" s="55" t="str">
        <f>IF($AC935="","",_xlfn.XLOOKUP($AC935,'[2]Client Info'!$C$2:$C$2715,'[2]Client Info'!$F$2:$F$2715,"",0,1))</f>
        <v>BC</v>
      </c>
      <c r="AG935" s="55" t="s">
        <v>4126</v>
      </c>
      <c r="AH935" s="245" t="str">
        <f>_xlfn.XLOOKUP(Table26[[#This Row],[customerSKU]],customerSKU!G:G,customerSKU!K:K,"NA",0,1)</f>
        <v>NA</v>
      </c>
      <c r="AI935" s="43" t="str">
        <f>_xlfn.XLOOKUP(Table26[[#This Row],[customerSKU]],customerSKU!G:G,customerSKU!O:O,"not found",0,1)</f>
        <v>not found</v>
      </c>
      <c r="AJ935" s="22" t="e">
        <f>Table26[[#This Row],[unitprice]]*Table26[[#This Row],[quantity_unit]]</f>
        <v>#VALUE!</v>
      </c>
      <c r="AK935" s="22" t="e" cm="1">
        <f t="array" ref="AK9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6" spans="1:37" ht="18" customHeight="1">
      <c r="A936" s="42">
        <v>1306</v>
      </c>
      <c r="B936" s="249" t="s">
        <v>3520</v>
      </c>
      <c r="C936" s="90" t="s">
        <v>203</v>
      </c>
      <c r="D936" s="235"/>
      <c r="E936" s="235"/>
      <c r="F93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6" s="119"/>
      <c r="H936" s="90"/>
      <c r="I936" s="90"/>
      <c r="J936" s="90" t="str">
        <f>IF(Table26[[#This Row],[customerSKU]]="","",_xlfn.XLOOKUP(Table26[[#This Row],[customerSKU]],customerSKU!G:G,customerSKU!A:A,"",0,1))</f>
        <v/>
      </c>
      <c r="K936" s="232">
        <v>45678</v>
      </c>
      <c r="L936" s="233" t="str">
        <f>IF(Table26[[#This Row],[customerSKU]]="","",_xlfn.XLOOKUP(Table26[[#This Row],[customerSKU]],customerSKU!G:G,customerSKU!B:B,"",0,1))</f>
        <v/>
      </c>
      <c r="M936" s="90"/>
      <c r="N936" s="55" t="str">
        <f>Table26[[#This Row],[po_number]]&amp;"-"&amp;Table26[[#This Row],[po_line]]</f>
        <v>-5</v>
      </c>
      <c r="O936" s="55">
        <v>5</v>
      </c>
      <c r="P936" s="234"/>
      <c r="Q936" s="90" t="s">
        <v>869</v>
      </c>
      <c r="R936" s="90" t="s">
        <v>569</v>
      </c>
      <c r="S936" s="90" t="str">
        <f>IF(Table26[[#This Row],[customerSKU]]="","",_xlfn.XLOOKUP(Table26[[#This Row],[customerSKU]],customerSKU!G:G,customerSKU!N:N,"NOT FOUND",0,1))</f>
        <v>NOT FOUND</v>
      </c>
      <c r="T936" s="20">
        <v>45498</v>
      </c>
      <c r="U936" s="236">
        <v>12</v>
      </c>
      <c r="V936" s="90" t="str">
        <f>IF(ISBLANK(Table26[[#This Row],[customerSKU]]),"",_xlfn.XLOOKUP(Table26[[#This Row],[customerSKU]],Table27[customer_SKU],Table27[case_size],"",0,1))</f>
        <v/>
      </c>
      <c r="W936" s="237" t="str">
        <f t="shared" si="44"/>
        <v/>
      </c>
      <c r="X936" s="90" t="str">
        <f t="shared" si="43"/>
        <v/>
      </c>
      <c r="Y936" s="90" t="str">
        <f>IF(Table26[[#This Row],[customerSKU]]="","",_xlfn.XLOOKUP(Table26[[#This Row],[customerSKU]],Table27[customer_SKU],Table27[product_GTIN],"",0,1))</f>
        <v/>
      </c>
      <c r="Z936" s="25" t="s">
        <v>3376</v>
      </c>
      <c r="AA936" s="18" t="str" cm="1">
        <f t="array" ref="AA936">IF(P936="", "", _xlfn.XLOOKUP(P936,#REF!,#REF!,NA,0,-1))</f>
        <v/>
      </c>
      <c r="AB936" s="90"/>
      <c r="AC936" s="55" t="s">
        <v>4126</v>
      </c>
      <c r="AD936" s="55" t="str">
        <f>IF($AC936="","",_xlfn.XLOOKUP($AC936,'[2]Client Info'!$C$2:$C$2535,'[2]Client Info'!$D$2:$D$2535,"",0,1))</f>
        <v>#102-935 Brunette Ave</v>
      </c>
      <c r="AE936" s="55" t="str">
        <f>IF($AC936="","",_xlfn.XLOOKUP($AC936,'[2]Client Info'!$C$2:$C$2715,'[2]Client Info'!$E$2:$E$2715,"",))</f>
        <v>Coquitlam</v>
      </c>
      <c r="AF936" s="55" t="str">
        <f>IF($AC936="","",_xlfn.XLOOKUP($AC936,'[2]Client Info'!$C$2:$C$2715,'[2]Client Info'!$F$2:$F$2715,"",0,1))</f>
        <v>BC</v>
      </c>
      <c r="AG936" s="55" t="s">
        <v>4126</v>
      </c>
      <c r="AH936" s="245" t="str">
        <f>_xlfn.XLOOKUP(Table26[[#This Row],[customerSKU]],customerSKU!G:G,customerSKU!K:K,"NA",0,1)</f>
        <v>NA</v>
      </c>
      <c r="AI936" s="43" t="str">
        <f>_xlfn.XLOOKUP(Table26[[#This Row],[customerSKU]],customerSKU!G:G,customerSKU!O:O,"not found",0,1)</f>
        <v>not found</v>
      </c>
      <c r="AJ936" s="22" t="e">
        <f>Table26[[#This Row],[unitprice]]*Table26[[#This Row],[quantity_unit]]</f>
        <v>#VALUE!</v>
      </c>
      <c r="AK936" s="22" t="e" cm="1">
        <f t="array" ref="AK9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7" spans="1:37" ht="18" customHeight="1">
      <c r="A937" s="42">
        <v>1307</v>
      </c>
      <c r="B937" s="249" t="s">
        <v>3520</v>
      </c>
      <c r="C937" s="90" t="s">
        <v>203</v>
      </c>
      <c r="D937" s="235"/>
      <c r="E937" s="235"/>
      <c r="F93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7" s="119"/>
      <c r="H937" s="90"/>
      <c r="I937" s="90"/>
      <c r="J937" s="90" t="str">
        <f>IF(Table26[[#This Row],[customerSKU]]="","",_xlfn.XLOOKUP(Table26[[#This Row],[customerSKU]],customerSKU!G:G,customerSKU!A:A,"",0,1))</f>
        <v/>
      </c>
      <c r="K937" s="232">
        <v>45678</v>
      </c>
      <c r="L937" s="233" t="str">
        <f>IF(Table26[[#This Row],[customerSKU]]="","",_xlfn.XLOOKUP(Table26[[#This Row],[customerSKU]],customerSKU!G:G,customerSKU!B:B,"",0,1))</f>
        <v/>
      </c>
      <c r="M937" s="90"/>
      <c r="N937" s="55" t="str">
        <f>Table26[[#This Row],[po_number]]&amp;"-"&amp;Table26[[#This Row],[po_line]]</f>
        <v>-6</v>
      </c>
      <c r="O937" s="55">
        <v>6</v>
      </c>
      <c r="P937" s="234"/>
      <c r="Q937" s="90" t="s">
        <v>4101</v>
      </c>
      <c r="R937" s="90" t="s">
        <v>569</v>
      </c>
      <c r="S937" s="90" t="str">
        <f>IF(Table26[[#This Row],[customerSKU]]="","",_xlfn.XLOOKUP(Table26[[#This Row],[customerSKU]],customerSKU!G:G,customerSKU!N:N,"NOT FOUND",0,1))</f>
        <v>NOT FOUND</v>
      </c>
      <c r="T937" s="20">
        <v>45642</v>
      </c>
      <c r="U937" s="236">
        <v>12</v>
      </c>
      <c r="V937" s="90" t="str">
        <f>IF(ISBLANK(Table26[[#This Row],[customerSKU]]),"",_xlfn.XLOOKUP(Table26[[#This Row],[customerSKU]],Table27[customer_SKU],Table27[case_size],"",0,1))</f>
        <v/>
      </c>
      <c r="W937" s="237" t="str">
        <f t="shared" si="44"/>
        <v/>
      </c>
      <c r="X937" s="90" t="str">
        <f t="shared" si="43"/>
        <v/>
      </c>
      <c r="Y937" s="90" t="str">
        <f>IF(Table26[[#This Row],[customerSKU]]="","",_xlfn.XLOOKUP(Table26[[#This Row],[customerSKU]],Table27[customer_SKU],Table27[product_GTIN],"",0,1))</f>
        <v/>
      </c>
      <c r="Z937" s="25" t="s">
        <v>3373</v>
      </c>
      <c r="AA937" s="18" t="str" cm="1">
        <f t="array" ref="AA937">IF(P937="", "", _xlfn.XLOOKUP(P937,#REF!,#REF!,NA,0,-1))</f>
        <v/>
      </c>
      <c r="AB937" s="90"/>
      <c r="AC937" s="55" t="s">
        <v>4126</v>
      </c>
      <c r="AD937" s="55" t="str">
        <f>IF($AC937="","",_xlfn.XLOOKUP($AC937,'[2]Client Info'!$C$2:$C$2535,'[2]Client Info'!$D$2:$D$2535,"",0,1))</f>
        <v>#102-935 Brunette Ave</v>
      </c>
      <c r="AE937" s="55" t="str">
        <f>IF($AC937="","",_xlfn.XLOOKUP($AC937,'[2]Client Info'!$C$2:$C$2715,'[2]Client Info'!$E$2:$E$2715,"",))</f>
        <v>Coquitlam</v>
      </c>
      <c r="AF937" s="55" t="str">
        <f>IF($AC937="","",_xlfn.XLOOKUP($AC937,'[2]Client Info'!$C$2:$C$2715,'[2]Client Info'!$F$2:$F$2715,"",0,1))</f>
        <v>BC</v>
      </c>
      <c r="AG937" s="55" t="s">
        <v>4126</v>
      </c>
      <c r="AH937" s="245" t="str">
        <f>_xlfn.XLOOKUP(Table26[[#This Row],[customerSKU]],customerSKU!G:G,customerSKU!K:K,"NA",0,1)</f>
        <v>NA</v>
      </c>
      <c r="AI937" s="43" t="str">
        <f>_xlfn.XLOOKUP(Table26[[#This Row],[customerSKU]],customerSKU!G:G,customerSKU!O:O,"not found",0,1)</f>
        <v>not found</v>
      </c>
      <c r="AJ937" s="22" t="e">
        <f>Table26[[#This Row],[unitprice]]*Table26[[#This Row],[quantity_unit]]</f>
        <v>#VALUE!</v>
      </c>
      <c r="AK937" s="22" t="e" cm="1">
        <f t="array" ref="AK9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8" spans="1:37" ht="18" customHeight="1">
      <c r="A938" s="42">
        <v>1308</v>
      </c>
      <c r="B938" s="249" t="s">
        <v>3520</v>
      </c>
      <c r="C938" s="90" t="s">
        <v>203</v>
      </c>
      <c r="D938" s="235"/>
      <c r="E938" s="235"/>
      <c r="F93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8" s="119"/>
      <c r="H938" s="90"/>
      <c r="I938" s="90"/>
      <c r="J938" s="90" t="str">
        <f>IF(Table26[[#This Row],[customerSKU]]="","",_xlfn.XLOOKUP(Table26[[#This Row],[customerSKU]],customerSKU!G:G,customerSKU!A:A,"",0,1))</f>
        <v/>
      </c>
      <c r="K938" s="232">
        <v>45678</v>
      </c>
      <c r="L938" s="233" t="str">
        <f>IF(Table26[[#This Row],[customerSKU]]="","",_xlfn.XLOOKUP(Table26[[#This Row],[customerSKU]],customerSKU!G:G,customerSKU!B:B,"",0,1))</f>
        <v/>
      </c>
      <c r="M938" s="90"/>
      <c r="N938" s="55" t="str">
        <f>Table26[[#This Row],[po_number]]&amp;"-"&amp;Table26[[#This Row],[po_line]]</f>
        <v>-7</v>
      </c>
      <c r="O938" s="55">
        <v>7</v>
      </c>
      <c r="P938" s="234"/>
      <c r="Q938" s="90" t="s">
        <v>4086</v>
      </c>
      <c r="R938" s="90" t="s">
        <v>569</v>
      </c>
      <c r="S938" s="90" t="str">
        <f>IF(Table26[[#This Row],[customerSKU]]="","",_xlfn.XLOOKUP(Table26[[#This Row],[customerSKU]],customerSKU!G:G,customerSKU!N:N,"NOT FOUND",0,1))</f>
        <v>NOT FOUND</v>
      </c>
      <c r="T938" s="20">
        <v>45631</v>
      </c>
      <c r="U938" s="236">
        <v>12</v>
      </c>
      <c r="V938" s="90" t="str">
        <f>IF(ISBLANK(Table26[[#This Row],[customerSKU]]),"",_xlfn.XLOOKUP(Table26[[#This Row],[customerSKU]],Table27[customer_SKU],Table27[case_size],"",0,1))</f>
        <v/>
      </c>
      <c r="W938" s="237" t="str">
        <f t="shared" si="44"/>
        <v/>
      </c>
      <c r="X938" s="90" t="str">
        <f t="shared" si="43"/>
        <v/>
      </c>
      <c r="Y938" s="90" t="str">
        <f>IF(Table26[[#This Row],[customerSKU]]="","",_xlfn.XLOOKUP(Table26[[#This Row],[customerSKU]],Table27[customer_SKU],Table27[product_GTIN],"",0,1))</f>
        <v/>
      </c>
      <c r="Z938" s="25" t="s">
        <v>3372</v>
      </c>
      <c r="AA938" s="18" t="str" cm="1">
        <f t="array" ref="AA938">IF(P938="", "", _xlfn.XLOOKUP(P938,#REF!,#REF!,NA,0,-1))</f>
        <v/>
      </c>
      <c r="AB938" s="90"/>
      <c r="AC938" s="55" t="s">
        <v>4126</v>
      </c>
      <c r="AD938" s="55" t="str">
        <f>IF($AC938="","",_xlfn.XLOOKUP($AC938,'[2]Client Info'!$C$2:$C$2535,'[2]Client Info'!$D$2:$D$2535,"",0,1))</f>
        <v>#102-935 Brunette Ave</v>
      </c>
      <c r="AE938" s="55" t="str">
        <f>IF($AC938="","",_xlfn.XLOOKUP($AC938,'[2]Client Info'!$C$2:$C$2715,'[2]Client Info'!$E$2:$E$2715,"",))</f>
        <v>Coquitlam</v>
      </c>
      <c r="AF938" s="55" t="str">
        <f>IF($AC938="","",_xlfn.XLOOKUP($AC938,'[2]Client Info'!$C$2:$C$2715,'[2]Client Info'!$F$2:$F$2715,"",0,1))</f>
        <v>BC</v>
      </c>
      <c r="AG938" s="55" t="s">
        <v>4126</v>
      </c>
      <c r="AH938" s="245" t="str">
        <f>_xlfn.XLOOKUP(Table26[[#This Row],[customerSKU]],customerSKU!G:G,customerSKU!K:K,"NA",0,1)</f>
        <v>NA</v>
      </c>
      <c r="AI938" s="43" t="str">
        <f>_xlfn.XLOOKUP(Table26[[#This Row],[customerSKU]],customerSKU!G:G,customerSKU!O:O,"not found",0,1)</f>
        <v>not found</v>
      </c>
      <c r="AJ938" s="22" t="e">
        <f>Table26[[#This Row],[unitprice]]*Table26[[#This Row],[quantity_unit]]</f>
        <v>#VALUE!</v>
      </c>
      <c r="AK938" s="22" t="e" cm="1">
        <f t="array" ref="AK9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39" spans="1:37" ht="18" customHeight="1">
      <c r="A939" s="42">
        <v>1309</v>
      </c>
      <c r="B939" s="249" t="s">
        <v>3520</v>
      </c>
      <c r="C939" s="90" t="s">
        <v>203</v>
      </c>
      <c r="D939" s="235"/>
      <c r="E939" s="235"/>
      <c r="F93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39" s="119"/>
      <c r="H939" s="90"/>
      <c r="I939" s="90"/>
      <c r="J939" s="90" t="str">
        <f>IF(Table26[[#This Row],[customerSKU]]="","",_xlfn.XLOOKUP(Table26[[#This Row],[customerSKU]],customerSKU!G:G,customerSKU!A:A,"",0,1))</f>
        <v/>
      </c>
      <c r="K939" s="232">
        <v>45678</v>
      </c>
      <c r="L939" s="233" t="str">
        <f>IF(Table26[[#This Row],[customerSKU]]="","",_xlfn.XLOOKUP(Table26[[#This Row],[customerSKU]],customerSKU!G:G,customerSKU!B:B,"",0,1))</f>
        <v/>
      </c>
      <c r="M939" s="90"/>
      <c r="N939" s="55" t="str">
        <f>Table26[[#This Row],[po_number]]&amp;"-"&amp;Table26[[#This Row],[po_line]]</f>
        <v>-8</v>
      </c>
      <c r="O939" s="55">
        <v>8</v>
      </c>
      <c r="P939" s="234"/>
      <c r="Q939" s="90" t="s">
        <v>1134</v>
      </c>
      <c r="R939" s="90" t="s">
        <v>569</v>
      </c>
      <c r="S939" s="90" t="str">
        <f>IF(Table26[[#This Row],[customerSKU]]="","",_xlfn.XLOOKUP(Table26[[#This Row],[customerSKU]],customerSKU!G:G,customerSKU!N:N,"NOT FOUND",0,1))</f>
        <v>NOT FOUND</v>
      </c>
      <c r="T939" s="20">
        <v>45588</v>
      </c>
      <c r="U939" s="236">
        <v>12</v>
      </c>
      <c r="V939" s="90" t="str">
        <f>IF(ISBLANK(Table26[[#This Row],[customerSKU]]),"",_xlfn.XLOOKUP(Table26[[#This Row],[customerSKU]],Table27[customer_SKU],Table27[case_size],"",0,1))</f>
        <v/>
      </c>
      <c r="W939" s="237" t="str">
        <f t="shared" si="44"/>
        <v/>
      </c>
      <c r="X939" s="90" t="str">
        <f t="shared" si="43"/>
        <v/>
      </c>
      <c r="Y939" s="90" t="str">
        <f>IF(Table26[[#This Row],[customerSKU]]="","",_xlfn.XLOOKUP(Table26[[#This Row],[customerSKU]],Table27[customer_SKU],Table27[product_GTIN],"",0,1))</f>
        <v/>
      </c>
      <c r="Z939" s="25" t="s">
        <v>3406</v>
      </c>
      <c r="AA939" s="18" t="str" cm="1">
        <f t="array" ref="AA939">IF(P939="", "", _xlfn.XLOOKUP(P939,#REF!,#REF!,NA,0,-1))</f>
        <v/>
      </c>
      <c r="AB939" s="90"/>
      <c r="AC939" s="55" t="s">
        <v>4126</v>
      </c>
      <c r="AD939" s="55" t="str">
        <f>IF($AC939="","",_xlfn.XLOOKUP($AC939,'[2]Client Info'!$C$2:$C$2535,'[2]Client Info'!$D$2:$D$2535,"",0,1))</f>
        <v>#102-935 Brunette Ave</v>
      </c>
      <c r="AE939" s="55" t="str">
        <f>IF($AC939="","",_xlfn.XLOOKUP($AC939,'[2]Client Info'!$C$2:$C$2715,'[2]Client Info'!$E$2:$E$2715,"",))</f>
        <v>Coquitlam</v>
      </c>
      <c r="AF939" s="55" t="str">
        <f>IF($AC939="","",_xlfn.XLOOKUP($AC939,'[2]Client Info'!$C$2:$C$2715,'[2]Client Info'!$F$2:$F$2715,"",0,1))</f>
        <v>BC</v>
      </c>
      <c r="AG939" s="55" t="s">
        <v>4126</v>
      </c>
      <c r="AH939" s="245" t="str">
        <f>_xlfn.XLOOKUP(Table26[[#This Row],[customerSKU]],customerSKU!G:G,customerSKU!K:K,"NA",0,1)</f>
        <v>NA</v>
      </c>
      <c r="AI939" s="43" t="str">
        <f>_xlfn.XLOOKUP(Table26[[#This Row],[customerSKU]],customerSKU!G:G,customerSKU!O:O,"not found",0,1)</f>
        <v>not found</v>
      </c>
      <c r="AJ939" s="22" t="e">
        <f>Table26[[#This Row],[unitprice]]*Table26[[#This Row],[quantity_unit]]</f>
        <v>#VALUE!</v>
      </c>
      <c r="AK939" s="22" t="e" cm="1">
        <f t="array" ref="AK9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0" spans="1:37" ht="18" customHeight="1">
      <c r="A940" s="42">
        <v>1310</v>
      </c>
      <c r="B940" s="249" t="s">
        <v>3520</v>
      </c>
      <c r="C940" s="90" t="s">
        <v>203</v>
      </c>
      <c r="D940" s="235"/>
      <c r="E940" s="235"/>
      <c r="F94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0" s="119"/>
      <c r="H940" s="90"/>
      <c r="I940" s="90"/>
      <c r="J940" s="90" t="str">
        <f>IF(Table26[[#This Row],[customerSKU]]="","",_xlfn.XLOOKUP(Table26[[#This Row],[customerSKU]],customerSKU!G:G,customerSKU!A:A,"",0,1))</f>
        <v/>
      </c>
      <c r="K940" s="232">
        <v>45678</v>
      </c>
      <c r="L940" s="233" t="str">
        <f>IF(Table26[[#This Row],[customerSKU]]="","",_xlfn.XLOOKUP(Table26[[#This Row],[customerSKU]],customerSKU!G:G,customerSKU!B:B,"",0,1))</f>
        <v/>
      </c>
      <c r="M940" s="90"/>
      <c r="N940" s="55" t="str">
        <f>Table26[[#This Row],[po_number]]&amp;"-"&amp;Table26[[#This Row],[po_line]]</f>
        <v>-9</v>
      </c>
      <c r="O940" s="55">
        <v>9</v>
      </c>
      <c r="P940" s="234"/>
      <c r="Q940" s="90" t="s">
        <v>656</v>
      </c>
      <c r="R940" s="90" t="s">
        <v>569</v>
      </c>
      <c r="S940" s="90" t="str">
        <f>IF(Table26[[#This Row],[customerSKU]]="","",_xlfn.XLOOKUP(Table26[[#This Row],[customerSKU]],customerSKU!G:G,customerSKU!N:N,"NOT FOUND",0,1))</f>
        <v>NOT FOUND</v>
      </c>
      <c r="T940" s="20">
        <v>45642</v>
      </c>
      <c r="U940" s="236">
        <v>12</v>
      </c>
      <c r="V940" s="90" t="str">
        <f>IF(ISBLANK(Table26[[#This Row],[customerSKU]]),"",_xlfn.XLOOKUP(Table26[[#This Row],[customerSKU]],Table27[customer_SKU],Table27[case_size],"",0,1))</f>
        <v/>
      </c>
      <c r="W940" s="237" t="str">
        <f t="shared" si="44"/>
        <v/>
      </c>
      <c r="X940" s="90" t="str">
        <f t="shared" si="43"/>
        <v/>
      </c>
      <c r="Y940" s="90" t="str">
        <f>IF(Table26[[#This Row],[customerSKU]]="","",_xlfn.XLOOKUP(Table26[[#This Row],[customerSKU]],Table27[customer_SKU],Table27[product_GTIN],"",0,1))</f>
        <v/>
      </c>
      <c r="Z940" s="25" t="s">
        <v>3367</v>
      </c>
      <c r="AA940" s="18" t="str" cm="1">
        <f t="array" ref="AA940">IF(P940="", "", _xlfn.XLOOKUP(P940,#REF!,#REF!,NA,0,-1))</f>
        <v/>
      </c>
      <c r="AB940" s="90"/>
      <c r="AC940" s="55" t="s">
        <v>4126</v>
      </c>
      <c r="AD940" s="55" t="str">
        <f>IF($AC940="","",_xlfn.XLOOKUP($AC940,'[2]Client Info'!$C$2:$C$2535,'[2]Client Info'!$D$2:$D$2535,"",0,1))</f>
        <v>#102-935 Brunette Ave</v>
      </c>
      <c r="AE940" s="55" t="str">
        <f>IF($AC940="","",_xlfn.XLOOKUP($AC940,'[2]Client Info'!$C$2:$C$2715,'[2]Client Info'!$E$2:$E$2715,"",))</f>
        <v>Coquitlam</v>
      </c>
      <c r="AF940" s="55" t="str">
        <f>IF($AC940="","",_xlfn.XLOOKUP($AC940,'[2]Client Info'!$C$2:$C$2715,'[2]Client Info'!$F$2:$F$2715,"",0,1))</f>
        <v>BC</v>
      </c>
      <c r="AG940" s="55" t="s">
        <v>4126</v>
      </c>
      <c r="AH940" s="245" t="str">
        <f>_xlfn.XLOOKUP(Table26[[#This Row],[customerSKU]],customerSKU!G:G,customerSKU!K:K,"NA",0,1)</f>
        <v>NA</v>
      </c>
      <c r="AI940" s="43" t="str">
        <f>_xlfn.XLOOKUP(Table26[[#This Row],[customerSKU]],customerSKU!G:G,customerSKU!O:O,"not found",0,1)</f>
        <v>not found</v>
      </c>
      <c r="AJ940" s="22" t="e">
        <f>Table26[[#This Row],[unitprice]]*Table26[[#This Row],[quantity_unit]]</f>
        <v>#VALUE!</v>
      </c>
      <c r="AK940" s="22" t="e" cm="1">
        <f t="array" ref="AK9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1" spans="1:37" ht="18" customHeight="1">
      <c r="A941" s="42">
        <v>1311</v>
      </c>
      <c r="B941" s="249" t="s">
        <v>3520</v>
      </c>
      <c r="C941" s="90" t="s">
        <v>203</v>
      </c>
      <c r="D941" s="235"/>
      <c r="E941" s="235"/>
      <c r="F94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1" s="119"/>
      <c r="H941" s="90"/>
      <c r="I941" s="90"/>
      <c r="J941" s="90" t="str">
        <f>IF(Table26[[#This Row],[customerSKU]]="","",_xlfn.XLOOKUP(Table26[[#This Row],[customerSKU]],customerSKU!G:G,customerSKU!A:A,"",0,1))</f>
        <v/>
      </c>
      <c r="K941" s="232">
        <v>45678</v>
      </c>
      <c r="L941" s="233" t="str">
        <f>IF(Table26[[#This Row],[customerSKU]]="","",_xlfn.XLOOKUP(Table26[[#This Row],[customerSKU]],customerSKU!G:G,customerSKU!B:B,"",0,1))</f>
        <v/>
      </c>
      <c r="M941" s="90"/>
      <c r="N941" s="55" t="str">
        <f>Table26[[#This Row],[po_number]]&amp;"-"&amp;Table26[[#This Row],[po_line]]</f>
        <v>-10</v>
      </c>
      <c r="O941" s="55">
        <v>10</v>
      </c>
      <c r="P941" s="50"/>
      <c r="Q941" s="90" t="s">
        <v>1309</v>
      </c>
      <c r="R941" s="90" t="s">
        <v>569</v>
      </c>
      <c r="S941" s="90" t="str">
        <f>IF(Table26[[#This Row],[customerSKU]]="","",_xlfn.XLOOKUP(Table26[[#This Row],[customerSKU]],customerSKU!G:G,customerSKU!N:N,"NOT FOUND",0,1))</f>
        <v>NOT FOUND</v>
      </c>
      <c r="T941" s="20">
        <v>45623</v>
      </c>
      <c r="U941" s="236">
        <v>12</v>
      </c>
      <c r="V941" s="90" t="str">
        <f>IF(ISBLANK(Table26[[#This Row],[customerSKU]]),"",_xlfn.XLOOKUP(Table26[[#This Row],[customerSKU]],Table27[customer_SKU],Table27[case_size],"",0,1))</f>
        <v/>
      </c>
      <c r="W941" s="237" t="str">
        <f t="shared" si="44"/>
        <v/>
      </c>
      <c r="X941" s="90" t="str">
        <f t="shared" si="43"/>
        <v/>
      </c>
      <c r="Y941" s="90" t="str">
        <f>IF(Table26[[#This Row],[customerSKU]]="","",_xlfn.XLOOKUP(Table26[[#This Row],[customerSKU]],Table27[customer_SKU],Table27[product_GTIN],"",0,1))</f>
        <v/>
      </c>
      <c r="Z941" s="25" t="s">
        <v>3447</v>
      </c>
      <c r="AA941" s="18" t="str" cm="1">
        <f t="array" ref="AA941">IF(P941="", "", _xlfn.XLOOKUP(P941,#REF!,#REF!,NA,0,-1))</f>
        <v/>
      </c>
      <c r="AB941" s="90"/>
      <c r="AC941" s="55" t="s">
        <v>4126</v>
      </c>
      <c r="AD941" s="55" t="str">
        <f>IF($AC941="","",_xlfn.XLOOKUP($AC941,'[2]Client Info'!$C$2:$C$2535,'[2]Client Info'!$D$2:$D$2535,"",0,1))</f>
        <v>#102-935 Brunette Ave</v>
      </c>
      <c r="AE941" s="55" t="str">
        <f>IF($AC941="","",_xlfn.XLOOKUP($AC941,'[2]Client Info'!$C$2:$C$2715,'[2]Client Info'!$E$2:$E$2715,"",))</f>
        <v>Coquitlam</v>
      </c>
      <c r="AF941" s="55" t="str">
        <f>IF($AC941="","",_xlfn.XLOOKUP($AC941,'[2]Client Info'!$C$2:$C$2715,'[2]Client Info'!$F$2:$F$2715,"",0,1))</f>
        <v>BC</v>
      </c>
      <c r="AG941" s="55" t="s">
        <v>4126</v>
      </c>
      <c r="AH941" s="245" t="str">
        <f>_xlfn.XLOOKUP(Table26[[#This Row],[customerSKU]],customerSKU!G:G,customerSKU!K:K,"NA",0,1)</f>
        <v>NA</v>
      </c>
      <c r="AI941" s="43" t="str">
        <f>_xlfn.XLOOKUP(Table26[[#This Row],[customerSKU]],customerSKU!G:G,customerSKU!O:O,"not found",0,1)</f>
        <v>not found</v>
      </c>
      <c r="AJ941" s="22" t="e">
        <f>Table26[[#This Row],[unitprice]]*Table26[[#This Row],[quantity_unit]]</f>
        <v>#VALUE!</v>
      </c>
      <c r="AK941" s="22" t="e" cm="1">
        <f t="array" ref="AK9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2" spans="1:37" ht="18" customHeight="1">
      <c r="A942" s="42">
        <v>1312</v>
      </c>
      <c r="B942" s="249" t="s">
        <v>3520</v>
      </c>
      <c r="C942" s="90" t="s">
        <v>203</v>
      </c>
      <c r="D942" s="235"/>
      <c r="E942" s="235"/>
      <c r="F94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2" s="119"/>
      <c r="H942" s="90"/>
      <c r="I942" s="90"/>
      <c r="J942" s="90" t="str">
        <f>IF(Table26[[#This Row],[customerSKU]]="","",_xlfn.XLOOKUP(Table26[[#This Row],[customerSKU]],customerSKU!G:G,customerSKU!A:A,"",0,1))</f>
        <v/>
      </c>
      <c r="K942" s="232">
        <v>45678</v>
      </c>
      <c r="L942" s="233" t="str">
        <f>IF(Table26[[#This Row],[customerSKU]]="","",_xlfn.XLOOKUP(Table26[[#This Row],[customerSKU]],customerSKU!G:G,customerSKU!B:B,"",0,1))</f>
        <v/>
      </c>
      <c r="M942" s="90"/>
      <c r="N942" s="55" t="str">
        <f>Table26[[#This Row],[po_number]]&amp;"-"&amp;Table26[[#This Row],[po_line]]</f>
        <v>-11</v>
      </c>
      <c r="O942" s="55">
        <v>11</v>
      </c>
      <c r="P942" s="234"/>
      <c r="Q942" s="90" t="s">
        <v>4130</v>
      </c>
      <c r="R942" s="90" t="s">
        <v>569</v>
      </c>
      <c r="S942" s="90" t="str">
        <f>IF(Table26[[#This Row],[customerSKU]]="","",_xlfn.XLOOKUP(Table26[[#This Row],[customerSKU]],customerSKU!G:G,customerSKU!N:N,"NOT FOUND",0,1))</f>
        <v>NOT FOUND</v>
      </c>
      <c r="T942" s="20">
        <v>45622</v>
      </c>
      <c r="U942" s="236">
        <v>7</v>
      </c>
      <c r="V942" s="90" t="str">
        <f>IF(ISBLANK(Table26[[#This Row],[customerSKU]]),"",_xlfn.XLOOKUP(Table26[[#This Row],[customerSKU]],Table27[customer_SKU],Table27[case_size],"",0,1))</f>
        <v/>
      </c>
      <c r="W942" s="237" t="str">
        <f t="shared" si="44"/>
        <v/>
      </c>
      <c r="X942" s="90" t="str">
        <f t="shared" si="43"/>
        <v/>
      </c>
      <c r="Y942" s="90" t="str">
        <f>IF(Table26[[#This Row],[customerSKU]]="","",_xlfn.XLOOKUP(Table26[[#This Row],[customerSKU]],Table27[customer_SKU],Table27[product_GTIN],"",0,1))</f>
        <v/>
      </c>
      <c r="Z942" s="25" t="s">
        <v>3719</v>
      </c>
      <c r="AA942" s="18" t="str" cm="1">
        <f t="array" ref="AA942">IF(P942="", "", _xlfn.XLOOKUP(P942,#REF!,#REF!,NA,0,-1))</f>
        <v/>
      </c>
      <c r="AB942" s="90"/>
      <c r="AC942" s="55" t="s">
        <v>4126</v>
      </c>
      <c r="AD942" s="55" t="str">
        <f>IF($AC942="","",_xlfn.XLOOKUP($AC942,'[2]Client Info'!$C$2:$C$2535,'[2]Client Info'!$D$2:$D$2535,"",0,1))</f>
        <v>#102-935 Brunette Ave</v>
      </c>
      <c r="AE942" s="55" t="str">
        <f>IF($AC942="","",_xlfn.XLOOKUP($AC942,'[2]Client Info'!$C$2:$C$2715,'[2]Client Info'!$E$2:$E$2715,"",))</f>
        <v>Coquitlam</v>
      </c>
      <c r="AF942" s="55" t="str">
        <f>IF($AC942="","",_xlfn.XLOOKUP($AC942,'[2]Client Info'!$C$2:$C$2715,'[2]Client Info'!$F$2:$F$2715,"",0,1))</f>
        <v>BC</v>
      </c>
      <c r="AG942" s="55" t="s">
        <v>4126</v>
      </c>
      <c r="AH942" s="245" t="str">
        <f>_xlfn.XLOOKUP(Table26[[#This Row],[customerSKU]],customerSKU!G:G,customerSKU!K:K,"NA",0,1)</f>
        <v>NA</v>
      </c>
      <c r="AI942" s="43" t="str">
        <f>_xlfn.XLOOKUP(Table26[[#This Row],[customerSKU]],customerSKU!G:G,customerSKU!O:O,"not found",0,1)</f>
        <v>not found</v>
      </c>
      <c r="AJ942" s="22" t="e">
        <f>Table26[[#This Row],[unitprice]]*Table26[[#This Row],[quantity_unit]]</f>
        <v>#VALUE!</v>
      </c>
      <c r="AK942" s="22" t="e" cm="1">
        <f t="array" ref="AK9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3" spans="1:37" ht="24.6" customHeight="1">
      <c r="A943" s="42">
        <v>1313</v>
      </c>
      <c r="B943" s="249" t="s">
        <v>3520</v>
      </c>
      <c r="C943" s="90" t="s">
        <v>203</v>
      </c>
      <c r="D943" s="235"/>
      <c r="E943" s="235"/>
      <c r="F94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3" s="119"/>
      <c r="H943" s="90"/>
      <c r="I943" s="90"/>
      <c r="J943" s="90" t="str">
        <f>IF(Table26[[#This Row],[customerSKU]]="","",_xlfn.XLOOKUP(Table26[[#This Row],[customerSKU]],customerSKU!G:G,customerSKU!A:A,"",0,1))</f>
        <v/>
      </c>
      <c r="K943" s="232">
        <v>45678</v>
      </c>
      <c r="L943" s="233" t="str">
        <f>IF(Table26[[#This Row],[customerSKU]]="","",_xlfn.XLOOKUP(Table26[[#This Row],[customerSKU]],customerSKU!G:G,customerSKU!B:B,"",0,1))</f>
        <v/>
      </c>
      <c r="M943" s="90"/>
      <c r="N943" s="55" t="str">
        <f>Table26[[#This Row],[po_number]]&amp;"-"&amp;Table26[[#This Row],[po_line]]</f>
        <v>-12</v>
      </c>
      <c r="O943" s="55">
        <v>12</v>
      </c>
      <c r="P943" s="234"/>
      <c r="Q943" s="90" t="s">
        <v>3738</v>
      </c>
      <c r="R943" s="90" t="s">
        <v>569</v>
      </c>
      <c r="S943" s="90" t="str">
        <f>IF(Table26[[#This Row],[customerSKU]]="","",_xlfn.XLOOKUP(Table26[[#This Row],[customerSKU]],customerSKU!G:G,customerSKU!N:N,"NOT FOUND",0,1))</f>
        <v>NOT FOUND</v>
      </c>
      <c r="T943" s="20">
        <v>45625</v>
      </c>
      <c r="U943" s="236">
        <v>5</v>
      </c>
      <c r="V943" s="90" t="str">
        <f>IF(ISBLANK(Table26[[#This Row],[customerSKU]]),"",_xlfn.XLOOKUP(Table26[[#This Row],[customerSKU]],Table27[customer_SKU],Table27[case_size],"",0,1))</f>
        <v/>
      </c>
      <c r="W943" s="237" t="str">
        <f t="shared" si="44"/>
        <v/>
      </c>
      <c r="X943" s="90" t="str">
        <f t="shared" si="43"/>
        <v/>
      </c>
      <c r="Y943" s="90" t="str">
        <f>IF(Table26[[#This Row],[customerSKU]]="","",_xlfn.XLOOKUP(Table26[[#This Row],[customerSKU]],Table27[customer_SKU],Table27[product_GTIN],"",0,1))</f>
        <v/>
      </c>
      <c r="Z943" s="25" t="s">
        <v>3719</v>
      </c>
      <c r="AA943" s="18" t="str" cm="1">
        <f t="array" ref="AA943">IF(P943="", "", _xlfn.XLOOKUP(P943,#REF!,#REF!,NA,0,-1))</f>
        <v/>
      </c>
      <c r="AB943" s="90"/>
      <c r="AC943" s="55" t="s">
        <v>4126</v>
      </c>
      <c r="AD943" s="55" t="str">
        <f>IF($AC943="","",_xlfn.XLOOKUP($AC943,'[2]Client Info'!$C$2:$C$2535,'[2]Client Info'!$D$2:$D$2535,"",0,1))</f>
        <v>#102-935 Brunette Ave</v>
      </c>
      <c r="AE943" s="55" t="str">
        <f>IF($AC943="","",_xlfn.XLOOKUP($AC943,'[2]Client Info'!$C$2:$C$2715,'[2]Client Info'!$E$2:$E$2715,"",))</f>
        <v>Coquitlam</v>
      </c>
      <c r="AF943" s="55" t="str">
        <f>IF($AC943="","",_xlfn.XLOOKUP($AC943,'[2]Client Info'!$C$2:$C$2715,'[2]Client Info'!$F$2:$F$2715,"",0,1))</f>
        <v>BC</v>
      </c>
      <c r="AG943" s="55" t="s">
        <v>4126</v>
      </c>
      <c r="AH943" s="245" t="str">
        <f>_xlfn.XLOOKUP(Table26[[#This Row],[customerSKU]],customerSKU!G:G,customerSKU!K:K,"NA",0,1)</f>
        <v>NA</v>
      </c>
      <c r="AI943" s="43" t="str">
        <f>_xlfn.XLOOKUP(Table26[[#This Row],[customerSKU]],customerSKU!G:G,customerSKU!O:O,"not found",0,1)</f>
        <v>not found</v>
      </c>
      <c r="AJ943" s="22" t="e">
        <f>Table26[[#This Row],[unitprice]]*Table26[[#This Row],[quantity_unit]]</f>
        <v>#VALUE!</v>
      </c>
      <c r="AK943" s="22" t="e" cm="1">
        <f t="array" ref="AK9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4" spans="1:37" ht="18" customHeight="1">
      <c r="A944" s="42">
        <v>1314</v>
      </c>
      <c r="B944" s="249" t="s">
        <v>3520</v>
      </c>
      <c r="C944" s="90" t="s">
        <v>203</v>
      </c>
      <c r="D944" s="235"/>
      <c r="E944" s="235"/>
      <c r="F94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4" s="119"/>
      <c r="H944" s="90"/>
      <c r="I944" s="90"/>
      <c r="J944" s="90" t="str">
        <f>IF(Table26[[#This Row],[customerSKU]]="","",_xlfn.XLOOKUP(Table26[[#This Row],[customerSKU]],customerSKU!G:G,customerSKU!A:A,"",0,1))</f>
        <v/>
      </c>
      <c r="K944" s="232">
        <v>45678</v>
      </c>
      <c r="L944" s="233" t="str">
        <f>IF(Table26[[#This Row],[customerSKU]]="","",_xlfn.XLOOKUP(Table26[[#This Row],[customerSKU]],customerSKU!G:G,customerSKU!B:B,"",0,1))</f>
        <v/>
      </c>
      <c r="M944" s="90"/>
      <c r="N944" s="55" t="str">
        <f>Table26[[#This Row],[po_number]]&amp;"-"&amp;Table26[[#This Row],[po_line]]</f>
        <v>-13</v>
      </c>
      <c r="O944" s="55">
        <v>13</v>
      </c>
      <c r="P944" s="234"/>
      <c r="Q944" s="90" t="s">
        <v>1375</v>
      </c>
      <c r="R944" s="90" t="s">
        <v>569</v>
      </c>
      <c r="S944" s="90" t="str">
        <f>IF(Table26[[#This Row],[customerSKU]]="","",_xlfn.XLOOKUP(Table26[[#This Row],[customerSKU]],customerSKU!G:G,customerSKU!N:N,"NOT FOUND",0,1))</f>
        <v>NOT FOUND</v>
      </c>
      <c r="T944" s="20">
        <v>45594</v>
      </c>
      <c r="U944" s="236">
        <v>12</v>
      </c>
      <c r="V944" s="90" t="str">
        <f>IF(ISBLANK(Table26[[#This Row],[customerSKU]]),"",_xlfn.XLOOKUP(Table26[[#This Row],[customerSKU]],Table27[customer_SKU],Table27[case_size],"",0,1))</f>
        <v/>
      </c>
      <c r="W944" s="237" t="str">
        <f t="shared" si="44"/>
        <v/>
      </c>
      <c r="X944" s="90" t="str">
        <f t="shared" si="43"/>
        <v/>
      </c>
      <c r="Y944" s="90" t="str">
        <f>IF(Table26[[#This Row],[customerSKU]]="","",_xlfn.XLOOKUP(Table26[[#This Row],[customerSKU]],Table27[customer_SKU],Table27[product_GTIN],"",0,1))</f>
        <v/>
      </c>
      <c r="Z944" s="25">
        <v>1066359</v>
      </c>
      <c r="AA944" s="18" t="str" cm="1">
        <f t="array" ref="AA944">IF(P944="", "", _xlfn.XLOOKUP(P944,#REF!,#REF!,NA,0,-1))</f>
        <v/>
      </c>
      <c r="AB944" s="90"/>
      <c r="AC944" s="55" t="s">
        <v>4126</v>
      </c>
      <c r="AD944" s="55" t="str">
        <f>IF($AC944="","",_xlfn.XLOOKUP($AC944,'[2]Client Info'!$C$2:$C$2535,'[2]Client Info'!$D$2:$D$2535,"",0,1))</f>
        <v>#102-935 Brunette Ave</v>
      </c>
      <c r="AE944" s="55" t="str">
        <f>IF($AC944="","",_xlfn.XLOOKUP($AC944,'[2]Client Info'!$C$2:$C$2715,'[2]Client Info'!$E$2:$E$2715,"",))</f>
        <v>Coquitlam</v>
      </c>
      <c r="AF944" s="55" t="str">
        <f>IF($AC944="","",_xlfn.XLOOKUP($AC944,'[2]Client Info'!$C$2:$C$2715,'[2]Client Info'!$F$2:$F$2715,"",0,1))</f>
        <v>BC</v>
      </c>
      <c r="AG944" s="55" t="s">
        <v>4126</v>
      </c>
      <c r="AH944" s="245" t="str">
        <f>_xlfn.XLOOKUP(Table26[[#This Row],[customerSKU]],customerSKU!G:G,customerSKU!K:K,"NA",0,1)</f>
        <v>NA</v>
      </c>
      <c r="AI944" s="43" t="str">
        <f>_xlfn.XLOOKUP(Table26[[#This Row],[customerSKU]],customerSKU!G:G,customerSKU!O:O,"not found",0,1)</f>
        <v>not found</v>
      </c>
      <c r="AJ944" s="22" t="e">
        <f>Table26[[#This Row],[unitprice]]*Table26[[#This Row],[quantity_unit]]</f>
        <v>#VALUE!</v>
      </c>
      <c r="AK944" s="22" t="e" cm="1">
        <f t="array" ref="AK9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5" spans="1:37" ht="18" customHeight="1">
      <c r="A945" s="42">
        <v>1315</v>
      </c>
      <c r="B945" s="249" t="s">
        <v>3520</v>
      </c>
      <c r="C945" s="90" t="s">
        <v>203</v>
      </c>
      <c r="D945" s="235"/>
      <c r="E945" s="235"/>
      <c r="F94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5" s="119"/>
      <c r="H945" s="90"/>
      <c r="I945" s="90"/>
      <c r="J945" s="90" t="str">
        <f>IF(Table26[[#This Row],[customerSKU]]="","",_xlfn.XLOOKUP(Table26[[#This Row],[customerSKU]],customerSKU!G:G,customerSKU!A:A,"",0,1))</f>
        <v/>
      </c>
      <c r="K945" s="232">
        <v>45678</v>
      </c>
      <c r="L945" s="233" t="str">
        <f>IF(Table26[[#This Row],[customerSKU]]="","",_xlfn.XLOOKUP(Table26[[#This Row],[customerSKU]],customerSKU!G:G,customerSKU!B:B,"",0,1))</f>
        <v/>
      </c>
      <c r="M945" s="90"/>
      <c r="N945" s="55" t="str">
        <f>Table26[[#This Row],[po_number]]&amp;"-"&amp;Table26[[#This Row],[po_line]]</f>
        <v>-14</v>
      </c>
      <c r="O945" s="55">
        <v>14</v>
      </c>
      <c r="P945" s="234"/>
      <c r="Q945" s="90" t="s">
        <v>622</v>
      </c>
      <c r="R945" s="90" t="s">
        <v>569</v>
      </c>
      <c r="S945" s="90" t="str">
        <f>IF(Table26[[#This Row],[customerSKU]]="","",_xlfn.XLOOKUP(Table26[[#This Row],[customerSKU]],customerSKU!G:G,customerSKU!N:N,"NOT FOUND",0,1))</f>
        <v>NOT FOUND</v>
      </c>
      <c r="T945" s="20">
        <v>45603</v>
      </c>
      <c r="U945" s="236">
        <v>12</v>
      </c>
      <c r="V945" s="90" t="str">
        <f>IF(ISBLANK(Table26[[#This Row],[customerSKU]]),"",_xlfn.XLOOKUP(Table26[[#This Row],[customerSKU]],Table27[customer_SKU],Table27[case_size],"",0,1))</f>
        <v/>
      </c>
      <c r="W945" s="237" t="str">
        <f t="shared" si="44"/>
        <v/>
      </c>
      <c r="X945" s="90" t="str">
        <f t="shared" si="43"/>
        <v/>
      </c>
      <c r="Y945" s="90" t="str">
        <f>IF(Table26[[#This Row],[customerSKU]]="","",_xlfn.XLOOKUP(Table26[[#This Row],[customerSKU]],Table27[customer_SKU],Table27[product_GTIN],"",0,1))</f>
        <v/>
      </c>
      <c r="Z945" s="25" t="s">
        <v>3434</v>
      </c>
      <c r="AA945" s="18" t="str" cm="1">
        <f t="array" ref="AA945">IF(P945="", "", _xlfn.XLOOKUP(P945,#REF!,#REF!,NA,0,-1))</f>
        <v/>
      </c>
      <c r="AB945" s="90"/>
      <c r="AC945" s="55" t="s">
        <v>4126</v>
      </c>
      <c r="AD945" s="55" t="str">
        <f>IF($AC945="","",_xlfn.XLOOKUP($AC945,'[2]Client Info'!$C$2:$C$2535,'[2]Client Info'!$D$2:$D$2535,"",0,1))</f>
        <v>#102-935 Brunette Ave</v>
      </c>
      <c r="AE945" s="55" t="str">
        <f>IF($AC945="","",_xlfn.XLOOKUP($AC945,'[2]Client Info'!$C$2:$C$2715,'[2]Client Info'!$E$2:$E$2715,"",))</f>
        <v>Coquitlam</v>
      </c>
      <c r="AF945" s="55" t="str">
        <f>IF($AC945="","",_xlfn.XLOOKUP($AC945,'[2]Client Info'!$C$2:$C$2715,'[2]Client Info'!$F$2:$F$2715,"",0,1))</f>
        <v>BC</v>
      </c>
      <c r="AG945" s="55" t="s">
        <v>4126</v>
      </c>
      <c r="AH945" s="245" t="str">
        <f>_xlfn.XLOOKUP(Table26[[#This Row],[customerSKU]],customerSKU!G:G,customerSKU!K:K,"NA",0,1)</f>
        <v>NA</v>
      </c>
      <c r="AI945" s="43" t="str">
        <f>_xlfn.XLOOKUP(Table26[[#This Row],[customerSKU]],customerSKU!G:G,customerSKU!O:O,"not found",0,1)</f>
        <v>not found</v>
      </c>
      <c r="AJ945" s="22" t="e">
        <f>Table26[[#This Row],[unitprice]]*Table26[[#This Row],[quantity_unit]]</f>
        <v>#VALUE!</v>
      </c>
      <c r="AK945" s="22" t="e" cm="1">
        <f t="array" ref="AK9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6" spans="1:37" ht="18" customHeight="1">
      <c r="A946" s="42">
        <v>1316</v>
      </c>
      <c r="B946" s="249" t="s">
        <v>3520</v>
      </c>
      <c r="C946" s="90" t="s">
        <v>203</v>
      </c>
      <c r="D946" s="235"/>
      <c r="E946" s="235"/>
      <c r="F94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46" s="119"/>
      <c r="H946" s="90"/>
      <c r="I946" s="90"/>
      <c r="J946" s="90" t="str">
        <f>IF(Table26[[#This Row],[customerSKU]]="","",_xlfn.XLOOKUP(Table26[[#This Row],[customerSKU]],customerSKU!G:G,customerSKU!A:A,"",0,1))</f>
        <v/>
      </c>
      <c r="K946" s="232">
        <v>45678</v>
      </c>
      <c r="L946" s="233" t="str">
        <f>IF(Table26[[#This Row],[customerSKU]]="","",_xlfn.XLOOKUP(Table26[[#This Row],[customerSKU]],customerSKU!G:G,customerSKU!B:B,"",0,1))</f>
        <v/>
      </c>
      <c r="M946" s="90"/>
      <c r="N946" s="55" t="str">
        <f>Table26[[#This Row],[po_number]]&amp;"-"&amp;Table26[[#This Row],[po_line]]</f>
        <v>-15</v>
      </c>
      <c r="O946" s="55">
        <v>15</v>
      </c>
      <c r="P946" s="234"/>
      <c r="Q946" s="90" t="s">
        <v>3378</v>
      </c>
      <c r="R946" s="90" t="s">
        <v>569</v>
      </c>
      <c r="S946" s="90" t="str">
        <f>IF(Table26[[#This Row],[customerSKU]]="","",_xlfn.XLOOKUP(Table26[[#This Row],[customerSKU]],customerSKU!G:G,customerSKU!N:N,"NOT FOUND",0,1))</f>
        <v>NOT FOUND</v>
      </c>
      <c r="T946" s="20">
        <v>45666</v>
      </c>
      <c r="U946" s="236">
        <v>12</v>
      </c>
      <c r="V946" s="90" t="str">
        <f>IF(ISBLANK(Table26[[#This Row],[customerSKU]]),"",_xlfn.XLOOKUP(Table26[[#This Row],[customerSKU]],Table27[customer_SKU],Table27[case_size],"",0,1))</f>
        <v/>
      </c>
      <c r="W946" s="237" t="str">
        <f t="shared" si="44"/>
        <v/>
      </c>
      <c r="X946" s="90" t="str">
        <f t="shared" si="43"/>
        <v/>
      </c>
      <c r="Y946" s="90" t="str">
        <f>IF(Table26[[#This Row],[customerSKU]]="","",_xlfn.XLOOKUP(Table26[[#This Row],[customerSKU]],Table27[customer_SKU],Table27[product_GTIN],"",0,1))</f>
        <v/>
      </c>
      <c r="Z946" s="25" t="s">
        <v>3379</v>
      </c>
      <c r="AA946" s="18" t="str" cm="1">
        <f t="array" ref="AA946">IF(P946="", "", _xlfn.XLOOKUP(P946,#REF!,#REF!,NA,0,-1))</f>
        <v/>
      </c>
      <c r="AB946" s="90"/>
      <c r="AC946" s="55" t="s">
        <v>4126</v>
      </c>
      <c r="AD946" s="55" t="str">
        <f>IF($AC946="","",_xlfn.XLOOKUP($AC946,'[2]Client Info'!$C$2:$C$2535,'[2]Client Info'!$D$2:$D$2535,"",0,1))</f>
        <v>#102-935 Brunette Ave</v>
      </c>
      <c r="AE946" s="55" t="str">
        <f>IF($AC946="","",_xlfn.XLOOKUP($AC946,'[2]Client Info'!$C$2:$C$2715,'[2]Client Info'!$E$2:$E$2715,"",))</f>
        <v>Coquitlam</v>
      </c>
      <c r="AF946" s="55" t="str">
        <f>IF($AC946="","",_xlfn.XLOOKUP($AC946,'[2]Client Info'!$C$2:$C$2715,'[2]Client Info'!$F$2:$F$2715,"",0,1))</f>
        <v>BC</v>
      </c>
      <c r="AG946" s="55" t="s">
        <v>4126</v>
      </c>
      <c r="AH946" s="245" t="str">
        <f>_xlfn.XLOOKUP(Table26[[#This Row],[customerSKU]],customerSKU!G:G,customerSKU!K:K,"NA",0,1)</f>
        <v>NA</v>
      </c>
      <c r="AI946" s="43" t="str">
        <f>_xlfn.XLOOKUP(Table26[[#This Row],[customerSKU]],customerSKU!G:G,customerSKU!O:O,"not found",0,1)</f>
        <v>not found</v>
      </c>
      <c r="AJ946" s="22" t="e">
        <f>Table26[[#This Row],[unitprice]]*Table26[[#This Row],[quantity_unit]]</f>
        <v>#VALUE!</v>
      </c>
      <c r="AK946" s="22" t="e" cm="1">
        <f t="array" ref="AK9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7" spans="1:37" ht="18" customHeight="1">
      <c r="A947" s="42">
        <v>1317</v>
      </c>
      <c r="B947" s="27" t="s">
        <v>3520</v>
      </c>
      <c r="C947" s="22" t="s">
        <v>203</v>
      </c>
      <c r="E947" s="20"/>
      <c r="F94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47" s="17"/>
      <c r="J947" s="90" t="str">
        <f>IF(Table26[[#This Row],[customerSKU]]="","",_xlfn.XLOOKUP(Table26[[#This Row],[customerSKU]],customerSKU!G:G,customerSKU!A:A,"",0,1))</f>
        <v/>
      </c>
      <c r="K947" s="232">
        <v>45678</v>
      </c>
      <c r="L947" s="31" t="str">
        <f>IF(Table26[[#This Row],[customerSKU]]="","",_xlfn.XLOOKUP(Table26[[#This Row],[customerSKU]],customerSKU!G:G,customerSKU!B:B,"",0,1))</f>
        <v/>
      </c>
      <c r="M947" s="22"/>
      <c r="N947" s="15" t="str">
        <f>Table26[[#This Row],[po_number]]&amp;"-"&amp;Table26[[#This Row],[po_line]]</f>
        <v>-1</v>
      </c>
      <c r="O947" s="15">
        <v>1</v>
      </c>
      <c r="P947" s="29"/>
      <c r="Q947" s="22" t="s">
        <v>4086</v>
      </c>
      <c r="R947" s="22" t="s">
        <v>532</v>
      </c>
      <c r="S947" s="22" t="s">
        <v>21</v>
      </c>
      <c r="T947" s="20">
        <v>45631</v>
      </c>
      <c r="U947" s="21">
        <v>12</v>
      </c>
      <c r="V947" s="22" t="str">
        <f>IF(ISBLANK(Table26[[#This Row],[customerSKU]]),"",_xlfn.XLOOKUP(Table26[[#This Row],[customerSKU]],Table27[customer_SKU],Table27[case_size],"",0,1))</f>
        <v/>
      </c>
      <c r="W947" s="117" t="str">
        <f t="shared" si="44"/>
        <v/>
      </c>
      <c r="X947" s="22" t="str">
        <f t="shared" si="43"/>
        <v/>
      </c>
      <c r="Y947" s="22" t="str">
        <f>IF(Table26[[#This Row],[customerSKU]]="","",_xlfn.XLOOKUP(Table26[[#This Row],[customerSKU]],Table27[customer_SKU],Table27[product_GTIN],"",0,1))</f>
        <v/>
      </c>
      <c r="Z947" s="25">
        <v>63251</v>
      </c>
      <c r="AA947" s="18" t="str" cm="1">
        <f t="array" ref="AA947">IF(P947="", "", _xlfn.XLOOKUP(P947,#REF!,#REF!,NA,0,-1))</f>
        <v/>
      </c>
      <c r="AB947" s="22"/>
      <c r="AC947" s="55" t="s">
        <v>4147</v>
      </c>
      <c r="AD947" s="55" t="str">
        <f>IF($AC947="","",_xlfn.XLOOKUP($AC947,'[2]Client Info'!$C$2:$C$2535,'[2]Client Info'!$D$2:$D$2535,"",0,1))</f>
        <v>4-930 18TH ST</v>
      </c>
      <c r="AE947" s="55" t="str">
        <f>IF($AC947="","",_xlfn.XLOOKUP($AC947,'[2]Client Info'!$C$2:$C$2715,'[2]Client Info'!$E$2:$E$2715,"",))</f>
        <v xml:space="preserve">BRANDON </v>
      </c>
      <c r="AF947" s="55" t="str">
        <f>IF($AC947="","",_xlfn.XLOOKUP($AC947,'[2]Client Info'!$C$2:$C$2715,'[2]Client Info'!$F$2:$F$2715,"",0,1))</f>
        <v>MB</v>
      </c>
      <c r="AG947" s="55" t="str">
        <f>IF(ISBLANK(Table26[[#This Row],[customerSKU]]),"",_xlfn.XLOOKUP(Table26[[#This Row],[customerSKU]],Table27[customer_SKU],Table27[billto],"",0,1))</f>
        <v/>
      </c>
      <c r="AH947" s="26" t="str">
        <f>_xlfn.XLOOKUP(Table26[[#This Row],[customerSKU]],customerSKU!G:G,customerSKU!K:K,"NA",0,1)</f>
        <v>NA</v>
      </c>
      <c r="AI947" s="43" t="str">
        <f>_xlfn.XLOOKUP(Table26[[#This Row],[customerSKU]],customerSKU!G:G,customerSKU!O:O,"not found",0,1)</f>
        <v>not found</v>
      </c>
      <c r="AJ947" s="22" t="e">
        <f>Table26[[#This Row],[unitprice]]*Table26[[#This Row],[quantity_unit]]</f>
        <v>#VALUE!</v>
      </c>
      <c r="AK947" s="22" t="e" cm="1">
        <f t="array" ref="AK9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8" spans="1:37" ht="18" customHeight="1">
      <c r="A948" s="42">
        <v>1318</v>
      </c>
      <c r="B948" s="27" t="s">
        <v>3520</v>
      </c>
      <c r="C948" s="22" t="s">
        <v>203</v>
      </c>
      <c r="E948" s="20"/>
      <c r="F94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48" s="17"/>
      <c r="J948" s="90" t="str">
        <f>IF(Table26[[#This Row],[customerSKU]]="","",_xlfn.XLOOKUP(Table26[[#This Row],[customerSKU]],customerSKU!G:G,customerSKU!A:A,"",0,1))</f>
        <v/>
      </c>
      <c r="K948" s="232">
        <v>45678</v>
      </c>
      <c r="L948" s="31" t="str">
        <f>IF(Table26[[#This Row],[customerSKU]]="","",_xlfn.XLOOKUP(Table26[[#This Row],[customerSKU]],customerSKU!G:G,customerSKU!B:B,"",0,1))</f>
        <v/>
      </c>
      <c r="M948" s="22"/>
      <c r="N948" s="15" t="str">
        <f>Table26[[#This Row],[po_number]]&amp;"-"&amp;Table26[[#This Row],[po_line]]</f>
        <v>-1</v>
      </c>
      <c r="O948" s="15">
        <v>1</v>
      </c>
      <c r="P948" s="29"/>
      <c r="Q948" s="22" t="s">
        <v>4086</v>
      </c>
      <c r="R948" s="22" t="s">
        <v>532</v>
      </c>
      <c r="S948" s="22" t="s">
        <v>21</v>
      </c>
      <c r="T948" s="20">
        <v>45631</v>
      </c>
      <c r="U948" s="21">
        <v>12</v>
      </c>
      <c r="V948" s="22" t="str">
        <f>IF(ISBLANK(Table26[[#This Row],[customerSKU]]),"",_xlfn.XLOOKUP(Table26[[#This Row],[customerSKU]],Table27[customer_SKU],Table27[case_size],"",0,1))</f>
        <v/>
      </c>
      <c r="W948" s="117" t="str">
        <f t="shared" si="44"/>
        <v/>
      </c>
      <c r="X948" s="22" t="str">
        <f t="shared" si="43"/>
        <v/>
      </c>
      <c r="Y948" s="22" t="str">
        <f>IF(Table26[[#This Row],[customerSKU]]="","",_xlfn.XLOOKUP(Table26[[#This Row],[customerSKU]],Table27[customer_SKU],Table27[product_GTIN],"",0,1))</f>
        <v/>
      </c>
      <c r="Z948" s="25">
        <v>63251</v>
      </c>
      <c r="AA948" s="18" t="str" cm="1">
        <f t="array" ref="AA948">IF(P948="", "", _xlfn.XLOOKUP(P948,#REF!,#REF!,NA,0,-1))</f>
        <v/>
      </c>
      <c r="AB948" s="22"/>
      <c r="AC948" s="55" t="s">
        <v>147</v>
      </c>
      <c r="AD948" s="55" t="str">
        <f>IF($AC948="","",_xlfn.XLOOKUP($AC948,'[2]Client Info'!$C$2:$C$2535,'[2]Client Info'!$D$2:$D$2535,"",0,1))</f>
        <v>23-584 PEMBINA HIGHWAY</v>
      </c>
      <c r="AE948" s="55" t="str">
        <f>IF($AC948="","",_xlfn.XLOOKUP($AC948,'[2]Client Info'!$C$2:$C$2715,'[2]Client Info'!$E$2:$E$2715,"",))</f>
        <v>WINNIPEG</v>
      </c>
      <c r="AF948" s="55" t="str">
        <f>IF($AC948="","",_xlfn.XLOOKUP($AC948,'[2]Client Info'!$C$2:$C$2715,'[2]Client Info'!$F$2:$F$2715,"",0,1))</f>
        <v>MB</v>
      </c>
      <c r="AG948" s="55" t="str">
        <f>IF(ISBLANK(Table26[[#This Row],[customerSKU]]),"",_xlfn.XLOOKUP(Table26[[#This Row],[customerSKU]],Table27[customer_SKU],Table27[billto],"",0,1))</f>
        <v/>
      </c>
      <c r="AH948" s="26" t="str">
        <f>_xlfn.XLOOKUP(Table26[[#This Row],[customerSKU]],customerSKU!G:G,customerSKU!K:K,"NA",0,1)</f>
        <v>NA</v>
      </c>
      <c r="AI948" s="43" t="str">
        <f>_xlfn.XLOOKUP(Table26[[#This Row],[customerSKU]],customerSKU!G:G,customerSKU!O:O,"not found",0,1)</f>
        <v>not found</v>
      </c>
      <c r="AJ948" s="22" t="e">
        <f>Table26[[#This Row],[unitprice]]*Table26[[#This Row],[quantity_unit]]</f>
        <v>#VALUE!</v>
      </c>
      <c r="AK948" s="22" t="e" cm="1">
        <f t="array" ref="AK9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49" spans="1:37" ht="24.6" customHeight="1">
      <c r="A949" s="42">
        <v>1319</v>
      </c>
      <c r="B949" s="27" t="s">
        <v>3520</v>
      </c>
      <c r="C949" s="22" t="s">
        <v>203</v>
      </c>
      <c r="E949" s="20"/>
      <c r="F94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49" s="17"/>
      <c r="J949" s="90" t="str">
        <f>IF(Table26[[#This Row],[customerSKU]]="","",_xlfn.XLOOKUP(Table26[[#This Row],[customerSKU]],customerSKU!G:G,customerSKU!A:A,"",0,1))</f>
        <v/>
      </c>
      <c r="K949" s="232">
        <v>45678</v>
      </c>
      <c r="L949" s="31" t="str">
        <f>IF(Table26[[#This Row],[customerSKU]]="","",_xlfn.XLOOKUP(Table26[[#This Row],[customerSKU]],customerSKU!G:G,customerSKU!B:B,"",0,1))</f>
        <v/>
      </c>
      <c r="M949" s="22"/>
      <c r="N949" s="15" t="str">
        <f>Table26[[#This Row],[po_number]]&amp;"-"&amp;Table26[[#This Row],[po_line]]</f>
        <v>-1</v>
      </c>
      <c r="O949" s="15">
        <v>1</v>
      </c>
      <c r="P949" s="29"/>
      <c r="Q949" s="53" t="s">
        <v>3648</v>
      </c>
      <c r="R949" s="53" t="s">
        <v>569</v>
      </c>
      <c r="S949" s="22" t="str">
        <f>IF(Table26[[#This Row],[customerSKU]]="","",_xlfn.XLOOKUP(Table26[[#This Row],[customerSKU]],customerSKU!G:G,customerSKU!N:N,"NOT FOUND",0,1))</f>
        <v>NOT FOUND</v>
      </c>
      <c r="T949" s="20">
        <v>45649</v>
      </c>
      <c r="U949" s="21">
        <v>12</v>
      </c>
      <c r="V949" s="22" t="str">
        <f>IF(ISBLANK(Table26[[#This Row],[customerSKU]]),"",_xlfn.XLOOKUP(Table26[[#This Row],[customerSKU]],Table27[customer_SKU],Table27[case_size],"",0,1))</f>
        <v/>
      </c>
      <c r="W949" s="117" t="str">
        <f t="shared" si="44"/>
        <v/>
      </c>
      <c r="X949" s="22" t="str">
        <f t="shared" si="43"/>
        <v/>
      </c>
      <c r="Y949" s="22" t="str">
        <f>IF(Table26[[#This Row],[customerSKU]]="","",_xlfn.XLOOKUP(Table26[[#This Row],[customerSKU]],Table27[customer_SKU],Table27[product_GTIN],"",0,1))</f>
        <v/>
      </c>
      <c r="Z949" s="25" t="s">
        <v>3649</v>
      </c>
      <c r="AA949" s="18" t="str" cm="1">
        <f t="array" ref="AA949">IF(P949="", "", _xlfn.XLOOKUP(P949,#REF!,#REF!,NA,0,-1))</f>
        <v/>
      </c>
      <c r="AB949" s="22"/>
      <c r="AC949" s="55" t="s">
        <v>4148</v>
      </c>
      <c r="AD949" s="55" t="str">
        <f>IF($AC949="","",_xlfn.XLOOKUP($AC949,'[2]Client Info'!$C$2:$C$2535,'[2]Client Info'!$D$2:$D$2535,"",0,1))</f>
        <v>6600 ROBLIN BOULEVARD</v>
      </c>
      <c r="AE949" s="55" t="str">
        <f>IF($AC949="","",_xlfn.XLOOKUP($AC949,'[2]Client Info'!$C$2:$C$2715,'[2]Client Info'!$E$2:$E$2715,"",))</f>
        <v>WINNIPEG</v>
      </c>
      <c r="AF949" s="55" t="str">
        <f>IF($AC949="","",_xlfn.XLOOKUP($AC949,'[2]Client Info'!$C$2:$C$2715,'[2]Client Info'!$F$2:$F$2715,"",0,1))</f>
        <v>MB</v>
      </c>
      <c r="AG949" s="55" t="str">
        <f>IF(ISBLANK(Table26[[#This Row],[customerSKU]]),"",_xlfn.XLOOKUP(Table26[[#This Row],[customerSKU]],Table27[customer_SKU],Table27[billto],"",0,1))</f>
        <v/>
      </c>
      <c r="AH949" s="26" t="str">
        <f>_xlfn.XLOOKUP(Table26[[#This Row],[customerSKU]],customerSKU!G:G,customerSKU!K:K,"NA",0,1)</f>
        <v>NA</v>
      </c>
      <c r="AI949" s="43" t="str">
        <f>_xlfn.XLOOKUP(Table26[[#This Row],[customerSKU]],customerSKU!G:G,customerSKU!O:O,"not found",0,1)</f>
        <v>not found</v>
      </c>
      <c r="AJ949" s="22" t="e">
        <f>Table26[[#This Row],[unitprice]]*Table26[[#This Row],[quantity_unit]]</f>
        <v>#VALUE!</v>
      </c>
      <c r="AK949" s="22" t="e" cm="1">
        <f t="array" ref="AK9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0" spans="1:37" ht="24.6" customHeight="1">
      <c r="A950" s="42">
        <v>1320</v>
      </c>
      <c r="B950" s="27" t="s">
        <v>3520</v>
      </c>
      <c r="C950" s="22" t="s">
        <v>3360</v>
      </c>
      <c r="E950" s="20"/>
      <c r="F95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50" s="17"/>
      <c r="J950" s="90" t="str">
        <f>IF(Table26[[#This Row],[customerSKU]]="","",_xlfn.XLOOKUP(Table26[[#This Row],[customerSKU]],customerSKU!G:G,customerSKU!A:A,"",0,1))</f>
        <v/>
      </c>
      <c r="K950" s="232">
        <v>45678</v>
      </c>
      <c r="L950" s="31" t="str">
        <f>IF(Table26[[#This Row],[customerSKU]]="","",_xlfn.XLOOKUP(Table26[[#This Row],[customerSKU]],customerSKU!G:G,customerSKU!B:B,"",0,1))</f>
        <v/>
      </c>
      <c r="M950" s="22"/>
      <c r="N950" s="15" t="str">
        <f>Table26[[#This Row],[po_number]]&amp;"-"&amp;Table26[[#This Row],[po_line]]</f>
        <v>-1</v>
      </c>
      <c r="O950" s="15">
        <v>1</v>
      </c>
      <c r="P950" s="29"/>
      <c r="S950" s="22" t="str">
        <f>IF(Table26[[#This Row],[customerSKU]]="","",_xlfn.XLOOKUP(Table26[[#This Row],[customerSKU]],customerSKU!G:G,customerSKU!N:N,"NOT FOUND",0,1))</f>
        <v>NOT FOUND</v>
      </c>
      <c r="T950" s="20"/>
      <c r="U950" s="21"/>
      <c r="V950" s="22" t="str">
        <f>IF(ISBLANK(Table26[[#This Row],[customerSKU]]),"",_xlfn.XLOOKUP(Table26[[#This Row],[customerSKU]],Table27[customer_SKU],Table27[case_size],"",0,1))</f>
        <v/>
      </c>
      <c r="W950" s="117" t="str">
        <f t="shared" si="44"/>
        <v/>
      </c>
      <c r="X950" s="22" t="str">
        <f t="shared" si="43"/>
        <v/>
      </c>
      <c r="Y950" s="22" t="str">
        <f>IF(Table26[[#This Row],[customerSKU]]="","",_xlfn.XLOOKUP(Table26[[#This Row],[customerSKU]],Table27[customer_SKU],Table27[product_GTIN],"",0,1))</f>
        <v/>
      </c>
      <c r="Z950" s="25">
        <v>61619</v>
      </c>
      <c r="AA950" s="18" t="str" cm="1">
        <f t="array" ref="AA950">IF(P950="", "", _xlfn.XLOOKUP(P950,#REF!,#REF!,NA,0,-1))</f>
        <v/>
      </c>
      <c r="AB950" s="22"/>
      <c r="AC950" s="55" t="str">
        <f>IF(Table26[[#This Row],[customerSKU]]="","",_xlfn.XLOOKUP(Table26[[#This Row],[customerSKU]],customerSKU!G:G,customerSKU!C:C,"",0,1))</f>
        <v/>
      </c>
      <c r="AD950" s="55" t="str">
        <f>IF($AC950="","",_xlfn.XLOOKUP($AC950,'[2]Client Info'!$C$2:$C$2535,'[2]Client Info'!$D$2:$D$2535,"",0,1))</f>
        <v/>
      </c>
      <c r="AE950" s="55" t="str">
        <f>IF($AC950="","",_xlfn.XLOOKUP($AC950,'[2]Client Info'!$C$2:$C$2715,'[2]Client Info'!$E$2:$E$2715,"",))</f>
        <v/>
      </c>
      <c r="AF950" s="55" t="str">
        <f>IF($AC950="","",_xlfn.XLOOKUP($AC950,'[2]Client Info'!$C$2:$C$2715,'[2]Client Info'!$F$2:$F$2715,"",0,1))</f>
        <v/>
      </c>
      <c r="AG950" s="55" t="str">
        <f>IF(ISBLANK(Table26[[#This Row],[customerSKU]]),"",_xlfn.XLOOKUP(Table26[[#This Row],[customerSKU]],Table27[customer_SKU],Table27[billto],"",0,1))</f>
        <v/>
      </c>
      <c r="AH950" s="26" t="str">
        <f>_xlfn.XLOOKUP(Table26[[#This Row],[customerSKU]],customerSKU!G:G,customerSKU!K:K,"NA",0,1)</f>
        <v>NA</v>
      </c>
      <c r="AI950" s="43" t="str">
        <f>_xlfn.XLOOKUP(Table26[[#This Row],[customerSKU]],customerSKU!G:G,customerSKU!O:O,"not found",0,1)</f>
        <v>not found</v>
      </c>
      <c r="AJ950" s="22" t="e">
        <f>Table26[[#This Row],[unitprice]]*Table26[[#This Row],[quantity_unit]]</f>
        <v>#VALUE!</v>
      </c>
      <c r="AK950" s="22" t="e" cm="1">
        <f t="array" ref="AK9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1" spans="1:37" ht="24.6" customHeight="1">
      <c r="A951" s="42">
        <v>1321</v>
      </c>
      <c r="B951" s="27" t="s">
        <v>3520</v>
      </c>
      <c r="C951" s="22" t="s">
        <v>203</v>
      </c>
      <c r="E951" s="20"/>
      <c r="F95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51" s="17"/>
      <c r="J951" s="90" t="str">
        <f>IF(Table26[[#This Row],[customerSKU]]="","",_xlfn.XLOOKUP(Table26[[#This Row],[customerSKU]],customerSKU!G:G,customerSKU!A:A,"",0,1))</f>
        <v/>
      </c>
      <c r="K951" s="232">
        <v>45678</v>
      </c>
      <c r="L951" s="31" t="str">
        <f>IF(Table26[[#This Row],[customerSKU]]="","",_xlfn.XLOOKUP(Table26[[#This Row],[customerSKU]],customerSKU!G:G,customerSKU!B:B,"",0,1))</f>
        <v/>
      </c>
      <c r="M951" s="22"/>
      <c r="N951" s="15" t="str">
        <f>Table26[[#This Row],[po_number]]&amp;"-"&amp;Table26[[#This Row],[po_line]]</f>
        <v>-1</v>
      </c>
      <c r="O951" s="15">
        <v>1</v>
      </c>
      <c r="P951" s="29"/>
      <c r="Q951" s="22" t="s">
        <v>1377</v>
      </c>
      <c r="R951" s="22" t="s">
        <v>3302</v>
      </c>
      <c r="S951" s="22" t="s">
        <v>4150</v>
      </c>
      <c r="T951" s="20">
        <v>45569</v>
      </c>
      <c r="U951" s="21">
        <v>120</v>
      </c>
      <c r="V951" s="22" t="str">
        <f>IF(ISBLANK(Table26[[#This Row],[customerSKU]]),"",_xlfn.XLOOKUP(Table26[[#This Row],[customerSKU]],Table27[customer_SKU],Table27[case_size],"",0,1))</f>
        <v/>
      </c>
      <c r="W951" s="117" t="str">
        <f t="shared" si="44"/>
        <v/>
      </c>
      <c r="X951" s="22" t="str">
        <f t="shared" si="43"/>
        <v/>
      </c>
      <c r="Y951" s="22" t="str">
        <f>IF(Table26[[#This Row],[customerSKU]]="","",_xlfn.XLOOKUP(Table26[[#This Row],[customerSKU]],Table27[customer_SKU],Table27[product_GTIN],"",0,1))</f>
        <v/>
      </c>
      <c r="Z951" s="25" t="s">
        <v>287</v>
      </c>
      <c r="AA951" s="18" t="str" cm="1">
        <f t="array" ref="AA951">IF(P951="", "", _xlfn.XLOOKUP(P951,#REF!,#REF!,NA,0,-1))</f>
        <v/>
      </c>
      <c r="AB951" s="22"/>
      <c r="AC951" s="55" t="str">
        <f>IF(Table26[[#This Row],[customerSKU]]="","",_xlfn.XLOOKUP(Table26[[#This Row],[customerSKU]],customerSKU!G:G,customerSKU!C:C,"",0,1))</f>
        <v/>
      </c>
      <c r="AD951" s="55" t="str">
        <f>IF($AC951="","",_xlfn.XLOOKUP($AC951,'[2]Client Info'!$C$2:$C$2535,'[2]Client Info'!$D$2:$D$2535,"",0,1))</f>
        <v/>
      </c>
      <c r="AE951" s="55" t="str">
        <f>IF($AC951="","",_xlfn.XLOOKUP($AC951,'[2]Client Info'!$C$2:$C$2715,'[2]Client Info'!$E$2:$E$2715,"",))</f>
        <v/>
      </c>
      <c r="AF951" s="55" t="str">
        <f>IF($AC951="","",_xlfn.XLOOKUP($AC951,'[2]Client Info'!$C$2:$C$2715,'[2]Client Info'!$F$2:$F$2715,"",0,1))</f>
        <v/>
      </c>
      <c r="AG951" s="55" t="str">
        <f>IF(ISBLANK(Table26[[#This Row],[customerSKU]]),"",_xlfn.XLOOKUP(Table26[[#This Row],[customerSKU]],Table27[customer_SKU],Table27[billto],"",0,1))</f>
        <v/>
      </c>
      <c r="AH951" s="26" t="str">
        <f>_xlfn.XLOOKUP(Table26[[#This Row],[customerSKU]],customerSKU!G:G,customerSKU!K:K,"NA",0,1)</f>
        <v>NA</v>
      </c>
      <c r="AI951" s="43" t="str">
        <f>_xlfn.XLOOKUP(Table26[[#This Row],[customerSKU]],customerSKU!G:G,customerSKU!O:O,"not found",0,1)</f>
        <v>not found</v>
      </c>
      <c r="AJ951" s="22" t="e">
        <f>Table26[[#This Row],[unitprice]]*Table26[[#This Row],[quantity_unit]]</f>
        <v>#VALUE!</v>
      </c>
      <c r="AK951" s="22" t="e" cm="1">
        <f t="array" ref="AK9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2" spans="1:37" ht="18" customHeight="1">
      <c r="A952" s="42">
        <v>1322</v>
      </c>
      <c r="B952" s="27" t="s">
        <v>3520</v>
      </c>
      <c r="C952" s="22" t="s">
        <v>203</v>
      </c>
      <c r="E952" s="20"/>
      <c r="F95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52" s="17"/>
      <c r="J952" s="90" t="str">
        <f>IF(Table26[[#This Row],[customerSKU]]="","",_xlfn.XLOOKUP(Table26[[#This Row],[customerSKU]],customerSKU!G:G,customerSKU!A:A,"",0,1))</f>
        <v/>
      </c>
      <c r="K952" s="232">
        <v>45678</v>
      </c>
      <c r="L952" s="31" t="str">
        <f>IF(Table26[[#This Row],[customerSKU]]="","",_xlfn.XLOOKUP(Table26[[#This Row],[customerSKU]],customerSKU!G:G,customerSKU!B:B,"",0,1))</f>
        <v/>
      </c>
      <c r="M952" s="22"/>
      <c r="N952" s="15" t="str">
        <f>Table26[[#This Row],[po_number]]&amp;"-"&amp;Table26[[#This Row],[po_line]]</f>
        <v>-2</v>
      </c>
      <c r="O952" s="15">
        <v>2</v>
      </c>
      <c r="P952" s="29"/>
      <c r="Q952" s="22" t="s">
        <v>1324</v>
      </c>
      <c r="R952" s="22" t="s">
        <v>3302</v>
      </c>
      <c r="S952" s="22" t="s">
        <v>4150</v>
      </c>
      <c r="T952" s="20">
        <v>45629</v>
      </c>
      <c r="U952" s="21">
        <v>30</v>
      </c>
      <c r="V952" s="22" t="str">
        <f>IF(ISBLANK(Table26[[#This Row],[customerSKU]]),"",_xlfn.XLOOKUP(Table26[[#This Row],[customerSKU]],Table27[customer_SKU],Table27[case_size],"",0,1))</f>
        <v/>
      </c>
      <c r="W952" s="117" t="str">
        <f t="shared" si="44"/>
        <v/>
      </c>
      <c r="X952" s="22" t="str">
        <f t="shared" si="43"/>
        <v/>
      </c>
      <c r="Y952" s="22" t="str">
        <f>IF(Table26[[#This Row],[customerSKU]]="","",_xlfn.XLOOKUP(Table26[[#This Row],[customerSKU]],Table27[customer_SKU],Table27[product_GTIN],"",0,1))</f>
        <v/>
      </c>
      <c r="Z952" s="25" t="s">
        <v>4027</v>
      </c>
      <c r="AA952" s="18" t="str" cm="1">
        <f t="array" ref="AA952">IF(P952="", "", _xlfn.XLOOKUP(P952,#REF!,#REF!,NA,0,-1))</f>
        <v/>
      </c>
      <c r="AB952" s="22"/>
      <c r="AC952" s="55" t="str">
        <f>IF(Table26[[#This Row],[customerSKU]]="","",_xlfn.XLOOKUP(Table26[[#This Row],[customerSKU]],customerSKU!G:G,customerSKU!C:C,"",0,1))</f>
        <v/>
      </c>
      <c r="AD952" s="55" t="str">
        <f>IF($AC952="","",_xlfn.XLOOKUP($AC952,'[2]Client Info'!$C$2:$C$2535,'[2]Client Info'!$D$2:$D$2535,"",0,1))</f>
        <v/>
      </c>
      <c r="AE952" s="55" t="str">
        <f>IF($AC952="","",_xlfn.XLOOKUP($AC952,'[2]Client Info'!$C$2:$C$2715,'[2]Client Info'!$E$2:$E$2715,"",))</f>
        <v/>
      </c>
      <c r="AF952" s="55" t="str">
        <f>IF($AC952="","",_xlfn.XLOOKUP($AC952,'[2]Client Info'!$C$2:$C$2715,'[2]Client Info'!$F$2:$F$2715,"",0,1))</f>
        <v/>
      </c>
      <c r="AG952" s="55" t="str">
        <f>IF(ISBLANK(Table26[[#This Row],[customerSKU]]),"",_xlfn.XLOOKUP(Table26[[#This Row],[customerSKU]],Table27[customer_SKU],Table27[billto],"",0,1))</f>
        <v/>
      </c>
      <c r="AH952" s="26" t="str">
        <f>_xlfn.XLOOKUP(Table26[[#This Row],[customerSKU]],customerSKU!G:G,customerSKU!K:K,"NA",0,1)</f>
        <v>NA</v>
      </c>
      <c r="AI952" s="43" t="str">
        <f>_xlfn.XLOOKUP(Table26[[#This Row],[customerSKU]],customerSKU!G:G,customerSKU!O:O,"not found",0,1)</f>
        <v>not found</v>
      </c>
      <c r="AJ952" s="22" t="e">
        <f>Table26[[#This Row],[unitprice]]*Table26[[#This Row],[quantity_unit]]</f>
        <v>#VALUE!</v>
      </c>
      <c r="AK952" s="22" t="e" cm="1">
        <f t="array" ref="AK9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3" spans="1:37" ht="18" customHeight="1">
      <c r="A953" s="42">
        <v>1323</v>
      </c>
      <c r="B953" s="249" t="s">
        <v>3520</v>
      </c>
      <c r="C953" s="90" t="s">
        <v>203</v>
      </c>
      <c r="D953" s="235"/>
      <c r="E953" s="235"/>
      <c r="F95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53" s="119"/>
      <c r="H953" s="90"/>
      <c r="I953" s="90"/>
      <c r="J953" s="90" t="str">
        <f>IF(Table26[[#This Row],[customerSKU]]="","",_xlfn.XLOOKUP(Table26[[#This Row],[customerSKU]],customerSKU!G:G,customerSKU!A:A,"",0,1))</f>
        <v/>
      </c>
      <c r="K953" s="232">
        <v>45678</v>
      </c>
      <c r="L953" s="233" t="str">
        <f>IF(Table26[[#This Row],[customerSKU]]="","",_xlfn.XLOOKUP(Table26[[#This Row],[customerSKU]],customerSKU!G:G,customerSKU!B:B,"",0,1))</f>
        <v/>
      </c>
      <c r="M953" s="90"/>
      <c r="N953" s="55" t="str">
        <f>Table26[[#This Row],[po_number]]&amp;"-"&amp;Table26[[#This Row],[po_line]]</f>
        <v>-1</v>
      </c>
      <c r="O953" s="55">
        <v>1</v>
      </c>
      <c r="P953" s="234"/>
      <c r="Q953" s="90" t="s">
        <v>4170</v>
      </c>
      <c r="R953" s="257" t="s">
        <v>3302</v>
      </c>
      <c r="S953" s="90" t="str">
        <f>IF(Table26[[#This Row],[customerSKU]]="","",_xlfn.XLOOKUP(Table26[[#This Row],[customerSKU]],customerSKU!G:G,customerSKU!N:N,"NOT FOUND",0,1))</f>
        <v>NOT FOUND</v>
      </c>
      <c r="T953" s="20">
        <v>45668</v>
      </c>
      <c r="U953" s="236">
        <v>12</v>
      </c>
      <c r="V953" s="90" t="str">
        <f>IF(ISBLANK(Table26[[#This Row],[customerSKU]]),"",_xlfn.XLOOKUP(Table26[[#This Row],[customerSKU]],Table27[customer_SKU],Table27[case_size],"",0,1))</f>
        <v/>
      </c>
      <c r="W953" s="237" t="str">
        <f t="shared" si="44"/>
        <v/>
      </c>
      <c r="X953" s="90" t="str">
        <f t="shared" si="43"/>
        <v/>
      </c>
      <c r="Y953" s="90" t="str">
        <f>IF(Table26[[#This Row],[customerSKU]]="","",_xlfn.XLOOKUP(Table26[[#This Row],[customerSKU]],Table27[customer_SKU],Table27[product_GTIN],"",0,1))</f>
        <v/>
      </c>
      <c r="Z953" s="25" t="s">
        <v>3384</v>
      </c>
      <c r="AA953" s="18" t="str" cm="1">
        <f t="array" ref="AA953">IF(P953="", "", _xlfn.XLOOKUP(P953,#REF!,#REF!,NA,0,-1))</f>
        <v/>
      </c>
      <c r="AB953" s="90"/>
      <c r="AC953" s="55" t="s">
        <v>3446</v>
      </c>
      <c r="AD953" s="55" t="str">
        <f>IF($AC953="","",_xlfn.XLOOKUP($AC953,'[2]Client Info'!$C$2:$C$2535,'[2]Client Info'!$D$2:$D$2535,"",0,1))</f>
        <v>#102-935 Brunette Ave</v>
      </c>
      <c r="AE953" s="55" t="str">
        <f>IF($AC953="","",_xlfn.XLOOKUP($AC953,'[2]Client Info'!$C$2:$C$2715,'[2]Client Info'!$E$2:$E$2715,"",))</f>
        <v>Coquitlam</v>
      </c>
      <c r="AF953" s="55" t="str">
        <f>IF($AC953="","",_xlfn.XLOOKUP($AC953,'[2]Client Info'!$C$2:$C$2715,'[2]Client Info'!$F$2:$F$2715,"",0,1))</f>
        <v>BC</v>
      </c>
      <c r="AG953" s="55" t="s">
        <v>3446</v>
      </c>
      <c r="AH953" s="245" t="str">
        <f>_xlfn.XLOOKUP(Table26[[#This Row],[customerSKU]],customerSKU!G:G,customerSKU!K:K,"NA",0,1)</f>
        <v>NA</v>
      </c>
      <c r="AI953" s="43" t="str">
        <f>_xlfn.XLOOKUP(Table26[[#This Row],[customerSKU]],customerSKU!G:G,customerSKU!O:O,"not found",0,1)</f>
        <v>not found</v>
      </c>
      <c r="AJ953" s="22" t="e">
        <f>Table26[[#This Row],[unitprice]]*Table26[[#This Row],[quantity_unit]]</f>
        <v>#VALUE!</v>
      </c>
      <c r="AK953" s="22" t="e" cm="1">
        <f t="array" ref="AK9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4" spans="1:37" ht="18" customHeight="1">
      <c r="A954" s="42">
        <v>1324</v>
      </c>
      <c r="B954" s="249" t="s">
        <v>3520</v>
      </c>
      <c r="C954" s="90" t="s">
        <v>203</v>
      </c>
      <c r="D954" s="235"/>
      <c r="E954" s="235"/>
      <c r="F95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54" s="119"/>
      <c r="H954" s="90"/>
      <c r="I954" s="90"/>
      <c r="J954" s="90" t="str">
        <f>IF(Table26[[#This Row],[customerSKU]]="","",_xlfn.XLOOKUP(Table26[[#This Row],[customerSKU]],customerSKU!G:G,customerSKU!A:A,"",0,1))</f>
        <v/>
      </c>
      <c r="K954" s="232">
        <v>45678</v>
      </c>
      <c r="L954" s="233" t="str">
        <f>IF(Table26[[#This Row],[customerSKU]]="","",_xlfn.XLOOKUP(Table26[[#This Row],[customerSKU]],customerSKU!G:G,customerSKU!B:B,"",0,1))</f>
        <v/>
      </c>
      <c r="M954" s="90"/>
      <c r="N954" s="55" t="str">
        <f>Table26[[#This Row],[po_number]]&amp;"-"&amp;Table26[[#This Row],[po_line]]</f>
        <v>-1</v>
      </c>
      <c r="O954" s="55">
        <v>1</v>
      </c>
      <c r="P954" s="234"/>
      <c r="Q954" s="90" t="s">
        <v>4170</v>
      </c>
      <c r="R954" s="257" t="s">
        <v>3302</v>
      </c>
      <c r="S954" s="90" t="str">
        <f>IF(Table26[[#This Row],[customerSKU]]="","",_xlfn.XLOOKUP(Table26[[#This Row],[customerSKU]],customerSKU!G:G,customerSKU!N:N,"NOT FOUND",0,1))</f>
        <v>NOT FOUND</v>
      </c>
      <c r="T954" s="20">
        <v>45668</v>
      </c>
      <c r="U954" s="236">
        <v>12</v>
      </c>
      <c r="V954" s="90" t="str">
        <f>IF(ISBLANK(Table26[[#This Row],[customerSKU]]),"",_xlfn.XLOOKUP(Table26[[#This Row],[customerSKU]],Table27[customer_SKU],Table27[case_size],"",0,1))</f>
        <v/>
      </c>
      <c r="W954" s="237" t="str">
        <f t="shared" si="44"/>
        <v/>
      </c>
      <c r="X954" s="90" t="str">
        <f t="shared" si="43"/>
        <v/>
      </c>
      <c r="Y954" s="90" t="str">
        <f>IF(Table26[[#This Row],[customerSKU]]="","",_xlfn.XLOOKUP(Table26[[#This Row],[customerSKU]],Table27[customer_SKU],Table27[product_GTIN],"",0,1))</f>
        <v/>
      </c>
      <c r="Z954" s="25" t="s">
        <v>3384</v>
      </c>
      <c r="AA954" s="18" t="str" cm="1">
        <f t="array" ref="AA954">IF(P954="", "", _xlfn.XLOOKUP(P954,#REF!,#REF!,NA,0,-1))</f>
        <v/>
      </c>
      <c r="AB954" s="90"/>
      <c r="AC954" s="55" t="s">
        <v>4129</v>
      </c>
      <c r="AD954" s="55" t="str">
        <f>IF($AC954="","",_xlfn.XLOOKUP($AC954,'[2]Client Info'!$C$2:$C$2535,'[2]Client Info'!$D$2:$D$2535,"",0,1))</f>
        <v>1928 Summit Drive</v>
      </c>
      <c r="AE954" s="55" t="str">
        <f>IF($AC954="","",_xlfn.XLOOKUP($AC954,'[2]Client Info'!$C$2:$C$2715,'[2]Client Info'!$E$2:$E$2715,"",))</f>
        <v>Kelowna</v>
      </c>
      <c r="AF954" s="55" t="str">
        <f>IF($AC954="","",_xlfn.XLOOKUP($AC954,'[2]Client Info'!$C$2:$C$2715,'[2]Client Info'!$F$2:$F$2715,"",0,1))</f>
        <v xml:space="preserve">BC </v>
      </c>
      <c r="AG954" s="55" t="s">
        <v>4129</v>
      </c>
      <c r="AH954" s="245" t="str">
        <f>_xlfn.XLOOKUP(Table26[[#This Row],[customerSKU]],customerSKU!G:G,customerSKU!K:K,"NA",0,1)</f>
        <v>NA</v>
      </c>
      <c r="AI954" s="43" t="str">
        <f>_xlfn.XLOOKUP(Table26[[#This Row],[customerSKU]],customerSKU!G:G,customerSKU!O:O,"not found",0,1)</f>
        <v>not found</v>
      </c>
      <c r="AJ954" s="22" t="e">
        <f>Table26[[#This Row],[unitprice]]*Table26[[#This Row],[quantity_unit]]</f>
        <v>#VALUE!</v>
      </c>
      <c r="AK954" s="22" t="e" cm="1">
        <f t="array" ref="AK9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5" spans="1:37" ht="18" customHeight="1">
      <c r="A955" s="42">
        <v>1325</v>
      </c>
      <c r="B955" s="249" t="s">
        <v>3520</v>
      </c>
      <c r="C955" s="90" t="s">
        <v>203</v>
      </c>
      <c r="D955" s="235"/>
      <c r="E955" s="235"/>
      <c r="F95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55" s="119"/>
      <c r="H955" s="90"/>
      <c r="I955" s="90"/>
      <c r="J955" s="90" t="str">
        <f>IF(Table26[[#This Row],[customerSKU]]="","",_xlfn.XLOOKUP(Table26[[#This Row],[customerSKU]],customerSKU!G:G,customerSKU!A:A,"",0,1))</f>
        <v/>
      </c>
      <c r="K955" s="232">
        <v>45678</v>
      </c>
      <c r="L955" s="233" t="str">
        <f>IF(Table26[[#This Row],[customerSKU]]="","",_xlfn.XLOOKUP(Table26[[#This Row],[customerSKU]],customerSKU!G:G,customerSKU!B:B,"",0,1))</f>
        <v/>
      </c>
      <c r="M955" s="90"/>
      <c r="N955" s="55" t="str">
        <f>Table26[[#This Row],[po_number]]&amp;"-"&amp;Table26[[#This Row],[po_line]]</f>
        <v>-1</v>
      </c>
      <c r="O955" s="55">
        <v>1</v>
      </c>
      <c r="P955" s="234"/>
      <c r="Q955" s="90" t="s">
        <v>4168</v>
      </c>
      <c r="R955" s="257" t="s">
        <v>3302</v>
      </c>
      <c r="S955" s="90" t="str">
        <f>IF(Table26[[#This Row],[customerSKU]]="","",_xlfn.XLOOKUP(Table26[[#This Row],[customerSKU]],customerSKU!G:G,customerSKU!N:N,"NOT FOUND",0,1))</f>
        <v>NOT FOUND</v>
      </c>
      <c r="T955" s="20">
        <v>45668</v>
      </c>
      <c r="U955" s="236">
        <v>12</v>
      </c>
      <c r="V955" s="90" t="str">
        <f>IF(ISBLANK(Table26[[#This Row],[customerSKU]]),"",_xlfn.XLOOKUP(Table26[[#This Row],[customerSKU]],Table27[customer_SKU],Table27[case_size],"",0,1))</f>
        <v/>
      </c>
      <c r="W955" s="237" t="str">
        <f t="shared" si="44"/>
        <v/>
      </c>
      <c r="X955" s="90" t="str">
        <f t="shared" si="43"/>
        <v/>
      </c>
      <c r="Y955" s="90" t="str">
        <f>IF(Table26[[#This Row],[customerSKU]]="","",_xlfn.XLOOKUP(Table26[[#This Row],[customerSKU]],Table27[customer_SKU],Table27[product_GTIN],"",0,1))</f>
        <v/>
      </c>
      <c r="Z955" s="25" t="s">
        <v>4169</v>
      </c>
      <c r="AA955" s="18" t="str" cm="1">
        <f t="array" ref="AA955">IF(P955="", "", _xlfn.XLOOKUP(P955,#REF!,#REF!,NA,0,-1))</f>
        <v/>
      </c>
      <c r="AB955" s="90"/>
      <c r="AC955" s="55" t="s">
        <v>3365</v>
      </c>
      <c r="AD955" s="55" t="str">
        <f>IF($AC955="","",_xlfn.XLOOKUP($AC955,'[2]Client Info'!$C$2:$C$2535,'[2]Client Info'!$D$2:$D$2535,"",0,1))</f>
        <v>Unit 101, 3596 Kingsway</v>
      </c>
      <c r="AE955" s="55" t="str">
        <f>IF($AC955="","",_xlfn.XLOOKUP($AC955,'[2]Client Info'!$C$2:$C$2715,'[2]Client Info'!$E$2:$E$2715,"",))</f>
        <v>Vancouver</v>
      </c>
      <c r="AF955" s="55" t="str">
        <f>IF($AC955="","",_xlfn.XLOOKUP($AC955,'[2]Client Info'!$C$2:$C$2715,'[2]Client Info'!$F$2:$F$2715,"",0,1))</f>
        <v xml:space="preserve">BC </v>
      </c>
      <c r="AG955" s="55" t="s">
        <v>3365</v>
      </c>
      <c r="AH955" s="245" t="str">
        <f>_xlfn.XLOOKUP(Table26[[#This Row],[customerSKU]],customerSKU!G:G,customerSKU!K:K,"NA",0,1)</f>
        <v>NA</v>
      </c>
      <c r="AI955" s="43" t="str">
        <f>_xlfn.XLOOKUP(Table26[[#This Row],[customerSKU]],customerSKU!G:G,customerSKU!O:O,"not found",0,1)</f>
        <v>not found</v>
      </c>
      <c r="AJ955" s="22" t="e">
        <f>Table26[[#This Row],[unitprice]]*Table26[[#This Row],[quantity_unit]]</f>
        <v>#VALUE!</v>
      </c>
      <c r="AK955" s="22" t="e" cm="1">
        <f t="array" ref="AK9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6" spans="1:37" ht="18" customHeight="1">
      <c r="A956" s="42">
        <v>1326</v>
      </c>
      <c r="B956" s="249" t="s">
        <v>3520</v>
      </c>
      <c r="C956" s="90" t="s">
        <v>203</v>
      </c>
      <c r="D956" s="235"/>
      <c r="E956" s="235"/>
      <c r="F95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56" s="119"/>
      <c r="H956" s="90"/>
      <c r="I956" s="90"/>
      <c r="J956" s="90" t="str">
        <f>IF(Table26[[#This Row],[customerSKU]]="","",_xlfn.XLOOKUP(Table26[[#This Row],[customerSKU]],customerSKU!G:G,customerSKU!A:A,"",0,1))</f>
        <v/>
      </c>
      <c r="K956" s="232">
        <v>45678</v>
      </c>
      <c r="L956" s="233" t="str">
        <f>IF(Table26[[#This Row],[customerSKU]]="","",_xlfn.XLOOKUP(Table26[[#This Row],[customerSKU]],customerSKU!G:G,customerSKU!B:B,"",0,1))</f>
        <v/>
      </c>
      <c r="M956" s="90"/>
      <c r="N956" s="55" t="str">
        <f>Table26[[#This Row],[po_number]]&amp;"-"&amp;Table26[[#This Row],[po_line]]</f>
        <v>-1</v>
      </c>
      <c r="O956" s="55">
        <v>1</v>
      </c>
      <c r="P956" s="234"/>
      <c r="Q956" s="90" t="s">
        <v>4168</v>
      </c>
      <c r="R956" s="257" t="s">
        <v>3302</v>
      </c>
      <c r="S956" s="90" t="str">
        <f>IF(Table26[[#This Row],[customerSKU]]="","",_xlfn.XLOOKUP(Table26[[#This Row],[customerSKU]],customerSKU!G:G,customerSKU!N:N,"NOT FOUND",0,1))</f>
        <v>NOT FOUND</v>
      </c>
      <c r="T956" s="20">
        <v>45668</v>
      </c>
      <c r="U956" s="236">
        <v>12</v>
      </c>
      <c r="V956" s="90" t="str">
        <f>IF(ISBLANK(Table26[[#This Row],[customerSKU]]),"",_xlfn.XLOOKUP(Table26[[#This Row],[customerSKU]],Table27[customer_SKU],Table27[case_size],"",0,1))</f>
        <v/>
      </c>
      <c r="W956" s="237" t="str">
        <f t="shared" si="44"/>
        <v/>
      </c>
      <c r="X956" s="90" t="str">
        <f t="shared" si="43"/>
        <v/>
      </c>
      <c r="Y956" s="90" t="str">
        <f>IF(Table26[[#This Row],[customerSKU]]="","",_xlfn.XLOOKUP(Table26[[#This Row],[customerSKU]],Table27[customer_SKU],Table27[product_GTIN],"",0,1))</f>
        <v/>
      </c>
      <c r="Z956" s="25" t="s">
        <v>4169</v>
      </c>
      <c r="AA956" s="18" t="str" cm="1">
        <f t="array" ref="AA956">IF(P956="", "", _xlfn.XLOOKUP(P956,#REF!,#REF!,NA,0,-1))</f>
        <v/>
      </c>
      <c r="AB956" s="90"/>
      <c r="AC956" s="55" t="s">
        <v>4142</v>
      </c>
      <c r="AD956" s="55" t="str">
        <f>IF($AC956="","",_xlfn.XLOOKUP($AC956,'[2]Client Info'!$C$2:$C$2535,'[2]Client Info'!$D$2:$D$2535,"",0,1))</f>
        <v>726 Kingsway</v>
      </c>
      <c r="AE956" s="55" t="str">
        <f>IF($AC956="","",_xlfn.XLOOKUP($AC956,'[2]Client Info'!$C$2:$C$2715,'[2]Client Info'!$E$2:$E$2715,"",))</f>
        <v>Vancouver</v>
      </c>
      <c r="AF956" s="55" t="str">
        <f>IF($AC956="","",_xlfn.XLOOKUP($AC956,'[2]Client Info'!$C$2:$C$2715,'[2]Client Info'!$F$2:$F$2715,"",0,1))</f>
        <v xml:space="preserve">BC </v>
      </c>
      <c r="AG956" s="55" t="s">
        <v>4142</v>
      </c>
      <c r="AH956" s="245" t="str">
        <f>_xlfn.XLOOKUP(Table26[[#This Row],[customerSKU]],customerSKU!G:G,customerSKU!K:K,"NA",0,1)</f>
        <v>NA</v>
      </c>
      <c r="AI956" s="43" t="str">
        <f>_xlfn.XLOOKUP(Table26[[#This Row],[customerSKU]],customerSKU!G:G,customerSKU!O:O,"not found",0,1)</f>
        <v>not found</v>
      </c>
      <c r="AJ956" s="22" t="e">
        <f>Table26[[#This Row],[unitprice]]*Table26[[#This Row],[quantity_unit]]</f>
        <v>#VALUE!</v>
      </c>
      <c r="AK956" s="22" t="e" cm="1">
        <f t="array" ref="AK9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7" spans="1:37" ht="18" customHeight="1">
      <c r="A957" s="42">
        <v>1327</v>
      </c>
      <c r="B957" s="249" t="s">
        <v>3520</v>
      </c>
      <c r="C957" s="90" t="s">
        <v>203</v>
      </c>
      <c r="D957" s="235"/>
      <c r="E957" s="235"/>
      <c r="F95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57" s="119"/>
      <c r="H957" s="90"/>
      <c r="I957" s="90"/>
      <c r="J957" s="90" t="str">
        <f>IF(Table26[[#This Row],[customerSKU]]="","",_xlfn.XLOOKUP(Table26[[#This Row],[customerSKU]],customerSKU!G:G,customerSKU!A:A,"",0,1))</f>
        <v/>
      </c>
      <c r="K957" s="232">
        <v>45678</v>
      </c>
      <c r="L957" s="233" t="str">
        <f>IF(Table26[[#This Row],[customerSKU]]="","",_xlfn.XLOOKUP(Table26[[#This Row],[customerSKU]],customerSKU!G:G,customerSKU!B:B,"",0,1))</f>
        <v/>
      </c>
      <c r="M957" s="90"/>
      <c r="N957" s="55" t="str">
        <f>Table26[[#This Row],[po_number]]&amp;"-"&amp;Table26[[#This Row],[po_line]]</f>
        <v>-2</v>
      </c>
      <c r="O957" s="55">
        <v>2</v>
      </c>
      <c r="P957" s="234"/>
      <c r="Q957" s="90" t="s">
        <v>4170</v>
      </c>
      <c r="R957" s="257" t="s">
        <v>3302</v>
      </c>
      <c r="S957" s="90" t="str">
        <f>IF(Table26[[#This Row],[customerSKU]]="","",_xlfn.XLOOKUP(Table26[[#This Row],[customerSKU]],customerSKU!G:G,customerSKU!N:N,"NOT FOUND",0,1))</f>
        <v>NOT FOUND</v>
      </c>
      <c r="T957" s="20">
        <v>45668</v>
      </c>
      <c r="U957" s="236">
        <v>30</v>
      </c>
      <c r="V957" s="90" t="str">
        <f>IF(ISBLANK(Table26[[#This Row],[customerSKU]]),"",_xlfn.XLOOKUP(Table26[[#This Row],[customerSKU]],Table27[customer_SKU],Table27[case_size],"",0,1))</f>
        <v/>
      </c>
      <c r="W957" s="237" t="str">
        <f t="shared" si="44"/>
        <v/>
      </c>
      <c r="X957" s="90" t="str">
        <f t="shared" si="43"/>
        <v/>
      </c>
      <c r="Y957" s="90" t="str">
        <f>IF(Table26[[#This Row],[customerSKU]]="","",_xlfn.XLOOKUP(Table26[[#This Row],[customerSKU]],Table27[customer_SKU],Table27[product_GTIN],"",0,1))</f>
        <v/>
      </c>
      <c r="Z957" s="25" t="s">
        <v>3384</v>
      </c>
      <c r="AA957" s="18" t="str" cm="1">
        <f t="array" ref="AA957">IF(P957="", "", _xlfn.XLOOKUP(P957,#REF!,#REF!,NA,0,-1))</f>
        <v/>
      </c>
      <c r="AB957" s="90"/>
      <c r="AC957" s="55" t="s">
        <v>4142</v>
      </c>
      <c r="AD957" s="55" t="str">
        <f>IF($AC957="","",_xlfn.XLOOKUP($AC957,'[2]Client Info'!$C$2:$C$2535,'[2]Client Info'!$D$2:$D$2535,"",0,1))</f>
        <v>726 Kingsway</v>
      </c>
      <c r="AE957" s="55" t="str">
        <f>IF($AC957="","",_xlfn.XLOOKUP($AC957,'[2]Client Info'!$C$2:$C$2715,'[2]Client Info'!$E$2:$E$2715,"",))</f>
        <v>Vancouver</v>
      </c>
      <c r="AF957" s="55" t="str">
        <f>IF($AC957="","",_xlfn.XLOOKUP($AC957,'[2]Client Info'!$C$2:$C$2715,'[2]Client Info'!$F$2:$F$2715,"",0,1))</f>
        <v xml:space="preserve">BC </v>
      </c>
      <c r="AG957" s="55" t="s">
        <v>4142</v>
      </c>
      <c r="AH957" s="245" t="str">
        <f>_xlfn.XLOOKUP(Table26[[#This Row],[customerSKU]],customerSKU!G:G,customerSKU!K:K,"NA",0,1)</f>
        <v>NA</v>
      </c>
      <c r="AI957" s="43" t="str">
        <f>_xlfn.XLOOKUP(Table26[[#This Row],[customerSKU]],customerSKU!G:G,customerSKU!O:O,"not found",0,1)</f>
        <v>not found</v>
      </c>
      <c r="AJ957" s="22" t="e">
        <f>Table26[[#This Row],[unitprice]]*Table26[[#This Row],[quantity_unit]]</f>
        <v>#VALUE!</v>
      </c>
      <c r="AK957" s="22" t="e" cm="1">
        <f t="array" ref="AK9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8" spans="1:37" ht="24.6" customHeight="1">
      <c r="A958" s="42">
        <v>1292</v>
      </c>
      <c r="B958" s="27" t="s">
        <v>3520</v>
      </c>
      <c r="C958" s="22" t="s">
        <v>3360</v>
      </c>
      <c r="E958" s="20"/>
      <c r="F95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58" s="17"/>
      <c r="J958" s="90" t="str">
        <f>IF(Table26[[#This Row],[customerSKU]]="","",_xlfn.XLOOKUP(Table26[[#This Row],[customerSKU]],customerSKU!G:G,customerSKU!A:A,"",0,1))</f>
        <v/>
      </c>
      <c r="K958" s="232">
        <v>45679</v>
      </c>
      <c r="L958" s="31" t="str">
        <f>IF(Table26[[#This Row],[customerSKU]]="","",_xlfn.XLOOKUP(Table26[[#This Row],[customerSKU]],customerSKU!G:G,customerSKU!B:B,"",0,1))</f>
        <v/>
      </c>
      <c r="M958" s="22"/>
      <c r="N958" s="15" t="str">
        <f>Table26[[#This Row],[po_number]]&amp;"-"&amp;Table26[[#This Row],[po_line]]</f>
        <v>-1</v>
      </c>
      <c r="O958" s="15">
        <v>1</v>
      </c>
      <c r="P958" s="29"/>
      <c r="S958" s="22" t="str">
        <f>IF(Table26[[#This Row],[customerSKU]]="","",_xlfn.XLOOKUP(Table26[[#This Row],[customerSKU]],customerSKU!G:G,customerSKU!N:N,"NOT FOUND",0,1))</f>
        <v>NOT FOUND</v>
      </c>
      <c r="T958" s="20"/>
      <c r="U958" s="21">
        <v>24</v>
      </c>
      <c r="V958" s="22" t="str">
        <f>IF(ISBLANK(Table26[[#This Row],[customerSKU]]),"",_xlfn.XLOOKUP(Table26[[#This Row],[customerSKU]],Table27[customer_SKU],Table27[case_size],"",0,1))</f>
        <v/>
      </c>
      <c r="W958" s="117" t="str">
        <f t="shared" si="44"/>
        <v/>
      </c>
      <c r="X958" s="22" t="str">
        <f t="shared" si="43"/>
        <v/>
      </c>
      <c r="Y958" s="22" t="str">
        <f>IF(Table26[[#This Row],[customerSKU]]="","",_xlfn.XLOOKUP(Table26[[#This Row],[customerSKU]],Table27[customer_SKU],Table27[product_GTIN],"",0,1))</f>
        <v/>
      </c>
      <c r="Z958" s="25" t="s">
        <v>3451</v>
      </c>
      <c r="AA958" s="18" t="str" cm="1">
        <f t="array" ref="AA958">IF(P958="", "", _xlfn.XLOOKUP(P958,#REF!,#REF!,NA,0,-1))</f>
        <v/>
      </c>
      <c r="AB958" s="22"/>
      <c r="AC958" s="55" t="str">
        <f>IF(Table26[[#This Row],[customerSKU]]="","",_xlfn.XLOOKUP(Table26[[#This Row],[customerSKU]],customerSKU!G:G,customerSKU!C:C,"",0,1))</f>
        <v/>
      </c>
      <c r="AD958" s="55" t="str">
        <f>IF($AC958="","",_xlfn.XLOOKUP($AC958,'[2]Client Info'!$C$2:$C$2535,'[2]Client Info'!$D$2:$D$2535,"",0,1))</f>
        <v/>
      </c>
      <c r="AE958" s="55" t="str">
        <f>IF($AC958="","",_xlfn.XLOOKUP($AC958,'[2]Client Info'!$C$2:$C$2715,'[2]Client Info'!$E$2:$E$2715,"",))</f>
        <v/>
      </c>
      <c r="AF958" s="55" t="str">
        <f>IF($AC958="","",_xlfn.XLOOKUP($AC958,'[2]Client Info'!$C$2:$C$2715,'[2]Client Info'!$F$2:$F$2715,"",0,1))</f>
        <v/>
      </c>
      <c r="AG958" s="55" t="str">
        <f>IF(ISBLANK(Table26[[#This Row],[customerSKU]]),"",_xlfn.XLOOKUP(Table26[[#This Row],[customerSKU]],Table27[customer_SKU],Table27[billto],"",0,1))</f>
        <v/>
      </c>
      <c r="AH958" s="26" t="str">
        <f>_xlfn.XLOOKUP(Table26[[#This Row],[customerSKU]],customerSKU!G:G,customerSKU!K:K,"NA",0,1)</f>
        <v>NA</v>
      </c>
      <c r="AI958" s="43" t="str">
        <f>_xlfn.XLOOKUP(Table26[[#This Row],[customerSKU]],customerSKU!G:G,customerSKU!O:O,"not found",0,1)</f>
        <v>not found</v>
      </c>
      <c r="AJ958" s="22" t="e">
        <f>Table26[[#This Row],[unitprice]]*Table26[[#This Row],[quantity_unit]]</f>
        <v>#VALUE!</v>
      </c>
      <c r="AK958" s="22" t="e" cm="1">
        <f t="array" ref="AK9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59" spans="1:37" ht="18" customHeight="1">
      <c r="A959" s="42">
        <v>1293</v>
      </c>
      <c r="B959" s="27" t="s">
        <v>3520</v>
      </c>
      <c r="C959" s="22" t="s">
        <v>3360</v>
      </c>
      <c r="E959" s="20"/>
      <c r="F95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59" s="17"/>
      <c r="J959" s="90" t="str">
        <f>IF(Table26[[#This Row],[customerSKU]]="","",_xlfn.XLOOKUP(Table26[[#This Row],[customerSKU]],customerSKU!G:G,customerSKU!A:A,"",0,1))</f>
        <v/>
      </c>
      <c r="K959" s="232">
        <v>45679</v>
      </c>
      <c r="L959" s="31" t="str">
        <f>IF(Table26[[#This Row],[customerSKU]]="","",_xlfn.XLOOKUP(Table26[[#This Row],[customerSKU]],customerSKU!G:G,customerSKU!B:B,"",0,1))</f>
        <v/>
      </c>
      <c r="M959" s="22"/>
      <c r="N959" s="15" t="str">
        <f>Table26[[#This Row],[po_number]]&amp;"-"&amp;Table26[[#This Row],[po_line]]</f>
        <v>-2</v>
      </c>
      <c r="O959" s="15">
        <v>2</v>
      </c>
      <c r="P959" s="29"/>
      <c r="S959" s="22" t="str">
        <f>IF(Table26[[#This Row],[customerSKU]]="","",_xlfn.XLOOKUP(Table26[[#This Row],[customerSKU]],customerSKU!G:G,customerSKU!N:N,"NOT FOUND",0,1))</f>
        <v>NOT FOUND</v>
      </c>
      <c r="T959" s="20"/>
      <c r="U959" s="21">
        <v>24</v>
      </c>
      <c r="V959" s="22" t="str">
        <f>IF(ISBLANK(Table26[[#This Row],[customerSKU]]),"",_xlfn.XLOOKUP(Table26[[#This Row],[customerSKU]],Table27[customer_SKU],Table27[case_size],"",0,1))</f>
        <v/>
      </c>
      <c r="W959" s="117" t="str">
        <f t="shared" si="44"/>
        <v/>
      </c>
      <c r="X959" s="22" t="str">
        <f t="shared" si="43"/>
        <v/>
      </c>
      <c r="Y959" s="22" t="str">
        <f>IF(Table26[[#This Row],[customerSKU]]="","",_xlfn.XLOOKUP(Table26[[#This Row],[customerSKU]],Table27[customer_SKU],Table27[product_GTIN],"",0,1))</f>
        <v/>
      </c>
      <c r="Z959" s="25" t="s">
        <v>3452</v>
      </c>
      <c r="AA959" s="18" t="str" cm="1">
        <f t="array" ref="AA959">IF(P959="", "", _xlfn.XLOOKUP(P959,#REF!,#REF!,NA,0,-1))</f>
        <v/>
      </c>
      <c r="AB959" s="22"/>
      <c r="AC959" s="55" t="str">
        <f>IF(Table26[[#This Row],[customerSKU]]="","",_xlfn.XLOOKUP(Table26[[#This Row],[customerSKU]],customerSKU!G:G,customerSKU!C:C,"",0,1))</f>
        <v/>
      </c>
      <c r="AD959" s="55" t="str">
        <f>IF($AC959="","",_xlfn.XLOOKUP($AC959,'[2]Client Info'!$C$2:$C$2535,'[2]Client Info'!$D$2:$D$2535,"",0,1))</f>
        <v/>
      </c>
      <c r="AE959" s="55" t="str">
        <f>IF($AC959="","",_xlfn.XLOOKUP($AC959,'[2]Client Info'!$C$2:$C$2715,'[2]Client Info'!$E$2:$E$2715,"",))</f>
        <v/>
      </c>
      <c r="AF959" s="55" t="str">
        <f>IF($AC959="","",_xlfn.XLOOKUP($AC959,'[2]Client Info'!$C$2:$C$2715,'[2]Client Info'!$F$2:$F$2715,"",0,1))</f>
        <v/>
      </c>
      <c r="AG959" s="55" t="str">
        <f>IF(ISBLANK(Table26[[#This Row],[customerSKU]]),"",_xlfn.XLOOKUP(Table26[[#This Row],[customerSKU]],Table27[customer_SKU],Table27[billto],"",0,1))</f>
        <v/>
      </c>
      <c r="AH959" s="26" t="str">
        <f>_xlfn.XLOOKUP(Table26[[#This Row],[customerSKU]],customerSKU!G:G,customerSKU!K:K,"NA",0,1)</f>
        <v>NA</v>
      </c>
      <c r="AI959" s="43" t="str">
        <f>_xlfn.XLOOKUP(Table26[[#This Row],[customerSKU]],customerSKU!G:G,customerSKU!O:O,"not found",0,1)</f>
        <v>not found</v>
      </c>
      <c r="AJ959" s="22" t="e">
        <f>Table26[[#This Row],[unitprice]]*Table26[[#This Row],[quantity_unit]]</f>
        <v>#VALUE!</v>
      </c>
      <c r="AK959" s="22" t="e" cm="1">
        <f t="array" ref="AK9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0" spans="1:37" ht="18" customHeight="1">
      <c r="A960" s="42">
        <v>1285</v>
      </c>
      <c r="B960" s="27" t="s">
        <v>3520</v>
      </c>
      <c r="C960" s="22" t="s">
        <v>3360</v>
      </c>
      <c r="E960" s="20"/>
      <c r="F96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60" s="17"/>
      <c r="J960" s="90" t="str">
        <f>IF(Table26[[#This Row],[customerSKU]]="","",_xlfn.XLOOKUP(Table26[[#This Row],[customerSKU]],customerSKU!G:G,customerSKU!A:A,"",0,1))</f>
        <v/>
      </c>
      <c r="K960" s="232">
        <v>45681</v>
      </c>
      <c r="L960" s="31" t="str">
        <f>IF(Table26[[#This Row],[customerSKU]]="","",_xlfn.XLOOKUP(Table26[[#This Row],[customerSKU]],customerSKU!G:G,customerSKU!B:B,"",0,1))</f>
        <v/>
      </c>
      <c r="M960" s="22"/>
      <c r="N960" s="15" t="str">
        <f>Table26[[#This Row],[po_number]]&amp;"-"&amp;Table26[[#This Row],[po_line]]</f>
        <v>-1</v>
      </c>
      <c r="O960" s="15">
        <v>1</v>
      </c>
      <c r="P960" s="29"/>
      <c r="S960" s="22" t="str">
        <f>IF(Table26[[#This Row],[customerSKU]]="","",_xlfn.XLOOKUP(Table26[[#This Row],[customerSKU]],customerSKU!G:G,customerSKU!N:N,"NOT FOUND",0,1))</f>
        <v>NOT FOUND</v>
      </c>
      <c r="T960" s="20"/>
      <c r="U960" s="21">
        <v>12</v>
      </c>
      <c r="V960" s="22" t="str">
        <f>IF(ISBLANK(Table26[[#This Row],[customerSKU]]),"",_xlfn.XLOOKUP(Table26[[#This Row],[customerSKU]],Table27[customer_SKU],Table27[case_size],"",0,1))</f>
        <v/>
      </c>
      <c r="W960" s="117" t="str">
        <f t="shared" si="44"/>
        <v/>
      </c>
      <c r="X960" s="22" t="str">
        <f t="shared" si="43"/>
        <v/>
      </c>
      <c r="Y960" s="22" t="str">
        <f>IF(Table26[[#This Row],[customerSKU]]="","",_xlfn.XLOOKUP(Table26[[#This Row],[customerSKU]],Table27[customer_SKU],Table27[product_GTIN],"",0,1))</f>
        <v/>
      </c>
      <c r="Z960" s="25" t="s">
        <v>3381</v>
      </c>
      <c r="AA960" s="18" t="str" cm="1">
        <f t="array" ref="AA960">IF(P960="", "", _xlfn.XLOOKUP(P960,#REF!,#REF!,NA,0,-1))</f>
        <v/>
      </c>
      <c r="AB960" s="22"/>
      <c r="AC960" s="55" t="str">
        <f>IF(Table26[[#This Row],[customerSKU]]="","",_xlfn.XLOOKUP(Table26[[#This Row],[customerSKU]],customerSKU!G:G,customerSKU!C:C,"",0,1))</f>
        <v/>
      </c>
      <c r="AD960" s="55" t="str">
        <f>IF($AC960="","",_xlfn.XLOOKUP($AC960,'[2]Client Info'!$C$2:$C$2535,'[2]Client Info'!$D$2:$D$2535,"",0,1))</f>
        <v/>
      </c>
      <c r="AE960" s="55" t="str">
        <f>IF($AC960="","",_xlfn.XLOOKUP($AC960,'[2]Client Info'!$C$2:$C$2715,'[2]Client Info'!$E$2:$E$2715,"",))</f>
        <v/>
      </c>
      <c r="AF960" s="55" t="str">
        <f>IF($AC960="","",_xlfn.XLOOKUP($AC960,'[2]Client Info'!$C$2:$C$2715,'[2]Client Info'!$F$2:$F$2715,"",0,1))</f>
        <v/>
      </c>
      <c r="AG960" s="55" t="str">
        <f>IF(ISBLANK(Table26[[#This Row],[customerSKU]]),"",_xlfn.XLOOKUP(Table26[[#This Row],[customerSKU]],Table27[customer_SKU],Table27[billto],"",0,1))</f>
        <v/>
      </c>
      <c r="AH960" s="26" t="str">
        <f>_xlfn.XLOOKUP(Table26[[#This Row],[customerSKU]],customerSKU!G:G,customerSKU!K:K,"NA",0,1)</f>
        <v>NA</v>
      </c>
      <c r="AI960" s="43" t="str">
        <f>_xlfn.XLOOKUP(Table26[[#This Row],[customerSKU]],customerSKU!G:G,customerSKU!O:O,"not found",0,1)</f>
        <v>not found</v>
      </c>
      <c r="AJ960" s="22" t="e">
        <f>Table26[[#This Row],[unitprice]]*Table26[[#This Row],[quantity_unit]]</f>
        <v>#VALUE!</v>
      </c>
      <c r="AK960" s="22" t="e" cm="1">
        <f t="array" ref="AK9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1" spans="1:37" ht="18" customHeight="1">
      <c r="A961" s="42">
        <v>1286</v>
      </c>
      <c r="B961" s="249" t="s">
        <v>3520</v>
      </c>
      <c r="C961" s="90" t="s">
        <v>203</v>
      </c>
      <c r="D961" s="235">
        <v>45677</v>
      </c>
      <c r="E961" s="235">
        <v>45684</v>
      </c>
      <c r="F961" s="90"/>
      <c r="G961" s="119"/>
      <c r="H961" s="90"/>
      <c r="I961" s="90"/>
      <c r="J961" s="90" t="str">
        <f>IF(Table26[[#This Row],[customerSKU]]="","",_xlfn.XLOOKUP(Table26[[#This Row],[customerSKU]],customerSKU!G:G,customerSKU!A:A,"",0,1))</f>
        <v/>
      </c>
      <c r="K961" s="232">
        <v>45681</v>
      </c>
      <c r="L961" s="233" t="str">
        <f>IF(Table26[[#This Row],[customerSKU]]="","",_xlfn.XLOOKUP(Table26[[#This Row],[customerSKU]],customerSKU!G:G,customerSKU!B:B,"",0,1))</f>
        <v/>
      </c>
      <c r="M961" s="90"/>
      <c r="N961" s="55" t="str">
        <f>Table26[[#This Row],[po_number]]&amp;"-"&amp;Table26[[#This Row],[po_line]]</f>
        <v>-1</v>
      </c>
      <c r="O961" s="55">
        <v>1</v>
      </c>
      <c r="P961" s="234"/>
      <c r="Q961" s="90" t="s">
        <v>3456</v>
      </c>
      <c r="R961" s="90" t="s">
        <v>532</v>
      </c>
      <c r="S961" s="90" t="str">
        <f>IF(Table26[[#This Row],[customerSKU]]="","",_xlfn.XLOOKUP(Table26[[#This Row],[customerSKU]],customerSKU!G:G,customerSKU!N:N,"NOT FOUND",0,1))</f>
        <v>NOT FOUND</v>
      </c>
      <c r="T961" s="20">
        <v>45564</v>
      </c>
      <c r="U961" s="236">
        <v>300</v>
      </c>
      <c r="V961" s="90" t="str">
        <f>IF(ISBLANK(Table26[[#This Row],[customerSKU]]),"",_xlfn.XLOOKUP(Table26[[#This Row],[customerSKU]],Table27[customer_SKU],Table27[case_size],"",0,1))</f>
        <v/>
      </c>
      <c r="W961" s="237" t="str">
        <f t="shared" si="44"/>
        <v/>
      </c>
      <c r="X961" s="90" t="str">
        <f t="shared" si="43"/>
        <v/>
      </c>
      <c r="Y961" s="90" t="str">
        <f>IF(Table26[[#This Row],[customerSKU]]="","",_xlfn.XLOOKUP(Table26[[#This Row],[customerSKU]],Table27[customer_SKU],Table27[product_GTIN],"",0,1))</f>
        <v/>
      </c>
      <c r="Z961" s="273" t="s">
        <v>4032</v>
      </c>
      <c r="AA961" s="18" t="str" cm="1">
        <f t="array" ref="AA961">IF(P961="", "", _xlfn.XLOOKUP(P961,#REF!,#REF!,NA,0,-1))</f>
        <v/>
      </c>
      <c r="AB961" s="90"/>
      <c r="AC961" s="55" t="str">
        <f>IF(Table26[[#This Row],[customerSKU]]="","",_xlfn.XLOOKUP(Table26[[#This Row],[customerSKU]],customerSKU!G:G,customerSKU!C:C,"",0,1))</f>
        <v/>
      </c>
      <c r="AD961" s="55" t="str">
        <f>IF($AC961="","",_xlfn.XLOOKUP($AC961,'[2]Client Info'!$C$2:$C$2535,'[2]Client Info'!$D$2:$D$2535,"",0,1))</f>
        <v/>
      </c>
      <c r="AE961" s="55" t="str">
        <f>IF($AC961="","",_xlfn.XLOOKUP($AC961,'[2]Client Info'!$C$2:$C$2715,'[2]Client Info'!$E$2:$E$2715,"",))</f>
        <v/>
      </c>
      <c r="AF961" s="55" t="str">
        <f>IF($AC961="","",_xlfn.XLOOKUP($AC961,'[2]Client Info'!$C$2:$C$2715,'[2]Client Info'!$F$2:$F$2715,"",0,1))</f>
        <v/>
      </c>
      <c r="AG961" s="55" t="str">
        <f>IF(ISBLANK(Table26[[#This Row],[customerSKU]]),"",_xlfn.XLOOKUP(Table26[[#This Row],[customerSKU]],Table27[customer_SKU],Table27[billto],"",0,1))</f>
        <v/>
      </c>
      <c r="AH961" s="245" t="str">
        <f>_xlfn.XLOOKUP(Table26[[#This Row],[customerSKU]],customerSKU!G:G,customerSKU!K:K,"NA",0,1)</f>
        <v>NA</v>
      </c>
      <c r="AI961" s="43" t="str">
        <f>_xlfn.XLOOKUP(Table26[[#This Row],[customerSKU]],customerSKU!G:G,customerSKU!O:O,"not found",0,1)</f>
        <v>not found</v>
      </c>
      <c r="AJ961" s="22" t="e">
        <f>Table26[[#This Row],[unitprice]]*Table26[[#This Row],[quantity_unit]]</f>
        <v>#VALUE!</v>
      </c>
      <c r="AK961" s="22" t="e" cm="1">
        <f t="array" ref="AK9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2" spans="1:37" ht="18" customHeight="1">
      <c r="A962" s="42">
        <v>1287</v>
      </c>
      <c r="B962" s="249" t="s">
        <v>3520</v>
      </c>
      <c r="C962" s="90" t="s">
        <v>203</v>
      </c>
      <c r="D962" s="235">
        <v>45677</v>
      </c>
      <c r="E962" s="235">
        <v>45684</v>
      </c>
      <c r="F962" s="90"/>
      <c r="G962" s="119"/>
      <c r="H962" s="90"/>
      <c r="I962" s="90"/>
      <c r="J962" s="90" t="str">
        <f>IF(Table26[[#This Row],[customerSKU]]="","",_xlfn.XLOOKUP(Table26[[#This Row],[customerSKU]],customerSKU!G:G,customerSKU!A:A,"",0,1))</f>
        <v/>
      </c>
      <c r="K962" s="232">
        <v>45681</v>
      </c>
      <c r="L962" s="233" t="str">
        <f>IF(Table26[[#This Row],[customerSKU]]="","",_xlfn.XLOOKUP(Table26[[#This Row],[customerSKU]],customerSKU!G:G,customerSKU!B:B,"",0,1))</f>
        <v/>
      </c>
      <c r="M962" s="90"/>
      <c r="N962" s="55" t="str">
        <f>Table26[[#This Row],[po_number]]&amp;"-"&amp;Table26[[#This Row],[po_line]]</f>
        <v>-1</v>
      </c>
      <c r="O962" s="55">
        <v>1</v>
      </c>
      <c r="P962" s="234"/>
      <c r="Q962" s="90" t="s">
        <v>571</v>
      </c>
      <c r="R962" s="90" t="s">
        <v>532</v>
      </c>
      <c r="S962" s="90" t="str">
        <f>IF(Table26[[#This Row],[customerSKU]]="","",_xlfn.XLOOKUP(Table26[[#This Row],[customerSKU]],customerSKU!G:G,customerSKU!N:N,"NOT FOUND",0,1))</f>
        <v>NOT FOUND</v>
      </c>
      <c r="T962" s="20">
        <v>45633</v>
      </c>
      <c r="U962" s="236">
        <v>600</v>
      </c>
      <c r="V962" s="90" t="str">
        <f>IF(ISBLANK(Table26[[#This Row],[customerSKU]]),"",_xlfn.XLOOKUP(Table26[[#This Row],[customerSKU]],Table27[customer_SKU],Table27[case_size],"",0,1))</f>
        <v/>
      </c>
      <c r="W962" s="237" t="str">
        <f t="shared" si="44"/>
        <v/>
      </c>
      <c r="X962" s="90" t="str">
        <f t="shared" si="43"/>
        <v/>
      </c>
      <c r="Y962" s="90" t="str">
        <f>IF(Table26[[#This Row],[customerSKU]]="","",_xlfn.XLOOKUP(Table26[[#This Row],[customerSKU]],Table27[customer_SKU],Table27[product_GTIN],"",0,1))</f>
        <v/>
      </c>
      <c r="Z962" s="273" t="s">
        <v>4157</v>
      </c>
      <c r="AA962" s="18" t="str" cm="1">
        <f t="array" ref="AA962">IF(P962="", "", _xlfn.XLOOKUP(P962,#REF!,#REF!,NA,0,-1))</f>
        <v/>
      </c>
      <c r="AB962" s="90"/>
      <c r="AC962" s="55" t="str">
        <f>IF(Table26[[#This Row],[customerSKU]]="","",_xlfn.XLOOKUP(Table26[[#This Row],[customerSKU]],customerSKU!G:G,customerSKU!C:C,"",0,1))</f>
        <v/>
      </c>
      <c r="AD962" s="55" t="str">
        <f>IF($AC962="","",_xlfn.XLOOKUP($AC962,'[2]Client Info'!$C$2:$C$2535,'[2]Client Info'!$D$2:$D$2535,"",0,1))</f>
        <v/>
      </c>
      <c r="AE962" s="55" t="str">
        <f>IF($AC962="","",_xlfn.XLOOKUP($AC962,'[2]Client Info'!$C$2:$C$2715,'[2]Client Info'!$E$2:$E$2715,"",))</f>
        <v/>
      </c>
      <c r="AF962" s="55" t="str">
        <f>IF($AC962="","",_xlfn.XLOOKUP($AC962,'[2]Client Info'!$C$2:$C$2715,'[2]Client Info'!$F$2:$F$2715,"",0,1))</f>
        <v/>
      </c>
      <c r="AG962" s="55" t="str">
        <f>IF(ISBLANK(Table26[[#This Row],[customerSKU]]),"",_xlfn.XLOOKUP(Table26[[#This Row],[customerSKU]],Table27[customer_SKU],Table27[billto],"",0,1))</f>
        <v/>
      </c>
      <c r="AH962" s="245" t="str">
        <f>_xlfn.XLOOKUP(Table26[[#This Row],[customerSKU]],customerSKU!G:G,customerSKU!K:K,"NA",0,1)</f>
        <v>NA</v>
      </c>
      <c r="AI962" s="43" t="str">
        <f>_xlfn.XLOOKUP(Table26[[#This Row],[customerSKU]],customerSKU!G:G,customerSKU!O:O,"not found",0,1)</f>
        <v>not found</v>
      </c>
      <c r="AJ962" s="22" t="e">
        <f>Table26[[#This Row],[unitprice]]*Table26[[#This Row],[quantity_unit]]</f>
        <v>#VALUE!</v>
      </c>
      <c r="AK962" s="22" t="e" cm="1">
        <f t="array" ref="AK9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3" spans="1:37" ht="18" customHeight="1">
      <c r="A963" s="42">
        <v>1288</v>
      </c>
      <c r="B963" s="58" t="s">
        <v>3520</v>
      </c>
      <c r="C963" s="22" t="s">
        <v>203</v>
      </c>
      <c r="D963" s="20">
        <v>45318</v>
      </c>
      <c r="E963" s="20"/>
      <c r="F963" s="22">
        <v>231450</v>
      </c>
      <c r="G963" s="17"/>
      <c r="J963" s="90" t="str">
        <f>IF(Table26[[#This Row],[customerSKU]]="","",_xlfn.XLOOKUP(Table26[[#This Row],[customerSKU]],customerSKU!G:G,customerSKU!A:A,"",0,1))</f>
        <v/>
      </c>
      <c r="K963" s="232">
        <v>45681</v>
      </c>
      <c r="L963" s="31" t="str">
        <f>IF(Table26[[#This Row],[customerSKU]]="","",_xlfn.XLOOKUP(Table26[[#This Row],[customerSKU]],customerSKU!G:G,customerSKU!B:B,"",0,1))</f>
        <v/>
      </c>
      <c r="M963" s="22"/>
      <c r="N963" s="15" t="str">
        <f>Table26[[#This Row],[po_number]]&amp;"-"&amp;Table26[[#This Row],[po_line]]</f>
        <v>-1</v>
      </c>
      <c r="O963" s="15">
        <v>1</v>
      </c>
      <c r="P963" s="29"/>
      <c r="Q963" s="22" t="s">
        <v>3606</v>
      </c>
      <c r="R963" s="22" t="s">
        <v>569</v>
      </c>
      <c r="S963" s="22" t="str">
        <f>IF(Table26[[#This Row],[customerSKU]]="","",_xlfn.XLOOKUP(Table26[[#This Row],[customerSKU]],customerSKU!G:G,customerSKU!N:N,"NOT FOUND",0,1))</f>
        <v>NOT FOUND</v>
      </c>
      <c r="T963" s="20">
        <v>45618</v>
      </c>
      <c r="U963" s="21">
        <v>60</v>
      </c>
      <c r="V963" s="22" t="str">
        <f>IF(ISBLANK(Table26[[#This Row],[customerSKU]]),"",_xlfn.XLOOKUP(Table26[[#This Row],[customerSKU]],Table27[customer_SKU],Table27[case_size],"",0,1))</f>
        <v/>
      </c>
      <c r="W963" s="117" t="str">
        <f t="shared" si="44"/>
        <v/>
      </c>
      <c r="X963" s="22" t="str">
        <f t="shared" si="43"/>
        <v/>
      </c>
      <c r="Y963" s="22" t="str">
        <f>IF(Table26[[#This Row],[customerSKU]]="","",_xlfn.XLOOKUP(Table26[[#This Row],[customerSKU]],Table27[customer_SKU],Table27[product_GTIN],"",0,1))</f>
        <v/>
      </c>
      <c r="Z963" s="25" t="s">
        <v>3285</v>
      </c>
      <c r="AA963" s="18" t="str" cm="1">
        <f t="array" ref="AA963">IF(P963="", "", _xlfn.XLOOKUP(P963,#REF!,#REF!,NA,0,-1))</f>
        <v/>
      </c>
      <c r="AB963" s="22"/>
      <c r="AC963" s="55" t="str">
        <f>IF(Table26[[#This Row],[customerSKU]]="","",_xlfn.XLOOKUP(Table26[[#This Row],[customerSKU]],customerSKU!G:G,customerSKU!C:C,"",0,1))</f>
        <v/>
      </c>
      <c r="AD963" s="55" t="str">
        <f>IF($AC963="","",_xlfn.XLOOKUP($AC963,'[2]Client Info'!$C$2:$C$2535,'[2]Client Info'!$D$2:$D$2535,"",0,1))</f>
        <v/>
      </c>
      <c r="AE963" s="55" t="str">
        <f>IF($AC963="","",_xlfn.XLOOKUP($AC963,'[2]Client Info'!$C$2:$C$2715,'[2]Client Info'!$E$2:$E$2715,"",))</f>
        <v/>
      </c>
      <c r="AF963" s="55" t="str">
        <f>IF($AC963="","",_xlfn.XLOOKUP($AC963,'[2]Client Info'!$C$2:$C$2715,'[2]Client Info'!$F$2:$F$2715,"",0,1))</f>
        <v/>
      </c>
      <c r="AG963" s="55" t="str">
        <f>IF(ISBLANK(Table26[[#This Row],[customerSKU]]),"",_xlfn.XLOOKUP(Table26[[#This Row],[customerSKU]],Table27[customer_SKU],Table27[billto],"",0,1))</f>
        <v/>
      </c>
      <c r="AH963" s="26" t="str">
        <f>_xlfn.XLOOKUP(Table26[[#This Row],[customerSKU]],customerSKU!G:G,customerSKU!K:K,"NA",0,1)</f>
        <v>NA</v>
      </c>
      <c r="AI963" s="43" t="str">
        <f>_xlfn.XLOOKUP(Table26[[#This Row],[customerSKU]],customerSKU!G:G,customerSKU!O:O,"not found",0,1)</f>
        <v>not found</v>
      </c>
      <c r="AJ963" s="22" t="e">
        <f>Table26[[#This Row],[unitprice]]*Table26[[#This Row],[quantity_unit]]</f>
        <v>#VALUE!</v>
      </c>
      <c r="AK963" s="22" t="e" cm="1">
        <f t="array" ref="AK9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4" spans="1:37" ht="18" customHeight="1">
      <c r="A964" s="42">
        <v>1289</v>
      </c>
      <c r="B964" s="58" t="s">
        <v>3520</v>
      </c>
      <c r="C964" s="22" t="s">
        <v>203</v>
      </c>
      <c r="D964" s="20">
        <v>45318</v>
      </c>
      <c r="E964" s="20"/>
      <c r="F964" s="22">
        <v>231450</v>
      </c>
      <c r="G964" s="17"/>
      <c r="J964" s="90" t="str">
        <f>IF(Table26[[#This Row],[customerSKU]]="","",_xlfn.XLOOKUP(Table26[[#This Row],[customerSKU]],customerSKU!G:G,customerSKU!A:A,"",0,1))</f>
        <v/>
      </c>
      <c r="K964" s="232">
        <v>45681</v>
      </c>
      <c r="L964" s="31" t="str">
        <f>IF(Table26[[#This Row],[customerSKU]]="","",_xlfn.XLOOKUP(Table26[[#This Row],[customerSKU]],customerSKU!G:G,customerSKU!B:B,"",0,1))</f>
        <v/>
      </c>
      <c r="M964" s="22"/>
      <c r="N964" s="15" t="str">
        <f>Table26[[#This Row],[po_number]]&amp;"-"&amp;Table26[[#This Row],[po_line]]</f>
        <v>-2</v>
      </c>
      <c r="O964" s="15">
        <v>2</v>
      </c>
      <c r="P964" s="29"/>
      <c r="Q964" s="22" t="s">
        <v>589</v>
      </c>
      <c r="R964" s="22" t="s">
        <v>569</v>
      </c>
      <c r="S964" s="22" t="str">
        <f>IF(Table26[[#This Row],[customerSKU]]="","",_xlfn.XLOOKUP(Table26[[#This Row],[customerSKU]],customerSKU!G:G,customerSKU!N:N,"NOT FOUND",0,1))</f>
        <v>NOT FOUND</v>
      </c>
      <c r="T964" s="20">
        <v>45581</v>
      </c>
      <c r="U964" s="21">
        <v>60</v>
      </c>
      <c r="V964" s="22" t="str">
        <f>IF(ISBLANK(Table26[[#This Row],[customerSKU]]),"",_xlfn.XLOOKUP(Table26[[#This Row],[customerSKU]],Table27[customer_SKU],Table27[case_size],"",0,1))</f>
        <v/>
      </c>
      <c r="W964" s="117" t="str">
        <f t="shared" si="44"/>
        <v/>
      </c>
      <c r="X964" s="22" t="str">
        <f t="shared" si="43"/>
        <v/>
      </c>
      <c r="Y964" s="22" t="str">
        <f>IF(Table26[[#This Row],[customerSKU]]="","",_xlfn.XLOOKUP(Table26[[#This Row],[customerSKU]],Table27[customer_SKU],Table27[product_GTIN],"",0,1))</f>
        <v/>
      </c>
      <c r="Z964" s="25" t="s">
        <v>3283</v>
      </c>
      <c r="AA964" s="18" t="str" cm="1">
        <f t="array" ref="AA964">IF(P964="", "", _xlfn.XLOOKUP(P964,#REF!,#REF!,NA,0,-1))</f>
        <v/>
      </c>
      <c r="AB964" s="22"/>
      <c r="AC964" s="55" t="str">
        <f>IF(Table26[[#This Row],[customerSKU]]="","",_xlfn.XLOOKUP(Table26[[#This Row],[customerSKU]],customerSKU!G:G,customerSKU!C:C,"",0,1))</f>
        <v/>
      </c>
      <c r="AD964" s="55" t="str">
        <f>IF($AC964="","",_xlfn.XLOOKUP($AC964,'[2]Client Info'!$C$2:$C$2535,'[2]Client Info'!$D$2:$D$2535,"",0,1))</f>
        <v/>
      </c>
      <c r="AE964" s="55" t="str">
        <f>IF($AC964="","",_xlfn.XLOOKUP($AC964,'[2]Client Info'!$C$2:$C$2715,'[2]Client Info'!$E$2:$E$2715,"",))</f>
        <v/>
      </c>
      <c r="AF964" s="55" t="str">
        <f>IF($AC964="","",_xlfn.XLOOKUP($AC964,'[2]Client Info'!$C$2:$C$2715,'[2]Client Info'!$F$2:$F$2715,"",0,1))</f>
        <v/>
      </c>
      <c r="AG964" s="55" t="str">
        <f>IF(ISBLANK(Table26[[#This Row],[customerSKU]]),"",_xlfn.XLOOKUP(Table26[[#This Row],[customerSKU]],Table27[customer_SKU],Table27[billto],"",0,1))</f>
        <v/>
      </c>
      <c r="AH964" s="26" t="str">
        <f>_xlfn.XLOOKUP(Table26[[#This Row],[customerSKU]],customerSKU!G:G,customerSKU!K:K,"NA",0,1)</f>
        <v>NA</v>
      </c>
      <c r="AI964" s="43" t="str">
        <f>_xlfn.XLOOKUP(Table26[[#This Row],[customerSKU]],customerSKU!G:G,customerSKU!O:O,"not found",0,1)</f>
        <v>not found</v>
      </c>
      <c r="AJ964" s="22" t="e">
        <f>Table26[[#This Row],[unitprice]]*Table26[[#This Row],[quantity_unit]]</f>
        <v>#VALUE!</v>
      </c>
      <c r="AK964" s="22" t="e" cm="1">
        <f t="array" ref="AK9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5" spans="1:37" ht="18" customHeight="1">
      <c r="A965" s="42">
        <v>1290</v>
      </c>
      <c r="B965" s="58" t="s">
        <v>3520</v>
      </c>
      <c r="C965" s="22" t="s">
        <v>203</v>
      </c>
      <c r="D965" s="20">
        <v>45318</v>
      </c>
      <c r="E965" s="20"/>
      <c r="F965" s="22">
        <v>231450</v>
      </c>
      <c r="G965" s="17"/>
      <c r="J965" s="90" t="str">
        <f>IF(Table26[[#This Row],[customerSKU]]="","",_xlfn.XLOOKUP(Table26[[#This Row],[customerSKU]],customerSKU!G:G,customerSKU!A:A,"",0,1))</f>
        <v/>
      </c>
      <c r="K965" s="232">
        <v>45681</v>
      </c>
      <c r="L965" s="31" t="str">
        <f>IF(Table26[[#This Row],[customerSKU]]="","",_xlfn.XLOOKUP(Table26[[#This Row],[customerSKU]],customerSKU!G:G,customerSKU!B:B,"",0,1))</f>
        <v/>
      </c>
      <c r="M965" s="22"/>
      <c r="N965" s="15" t="str">
        <f>Table26[[#This Row],[po_number]]&amp;"-"&amp;Table26[[#This Row],[po_line]]</f>
        <v>-3</v>
      </c>
      <c r="O965" s="15">
        <v>3</v>
      </c>
      <c r="P965" s="29"/>
      <c r="Q965" s="22" t="s">
        <v>545</v>
      </c>
      <c r="R965" s="22" t="s">
        <v>569</v>
      </c>
      <c r="S965" s="22" t="str">
        <f>IF(Table26[[#This Row],[customerSKU]]="","",_xlfn.XLOOKUP(Table26[[#This Row],[customerSKU]],customerSKU!G:G,customerSKU!N:N,"NOT FOUND",0,1))</f>
        <v>NOT FOUND</v>
      </c>
      <c r="T965" s="20">
        <v>45670</v>
      </c>
      <c r="U965" s="21">
        <v>360</v>
      </c>
      <c r="V965" s="22" t="str">
        <f>IF(ISBLANK(Table26[[#This Row],[customerSKU]]),"",_xlfn.XLOOKUP(Table26[[#This Row],[customerSKU]],Table27[customer_SKU],Table27[case_size],"",0,1))</f>
        <v/>
      </c>
      <c r="W965" s="117" t="str">
        <f t="shared" si="44"/>
        <v/>
      </c>
      <c r="X965" s="22" t="str">
        <f t="shared" si="43"/>
        <v/>
      </c>
      <c r="Y965" s="22" t="str">
        <f>IF(Table26[[#This Row],[customerSKU]]="","",_xlfn.XLOOKUP(Table26[[#This Row],[customerSKU]],Table27[customer_SKU],Table27[product_GTIN],"",0,1))</f>
        <v/>
      </c>
      <c r="Z965" s="25" t="s">
        <v>3429</v>
      </c>
      <c r="AA965" s="18" t="str" cm="1">
        <f t="array" ref="AA965">IF(P965="", "", _xlfn.XLOOKUP(P965,#REF!,#REF!,NA,0,-1))</f>
        <v/>
      </c>
      <c r="AB965" s="22" t="s">
        <v>4081</v>
      </c>
      <c r="AC965" s="55" t="str">
        <f>IF(Table26[[#This Row],[customerSKU]]="","",_xlfn.XLOOKUP(Table26[[#This Row],[customerSKU]],customerSKU!G:G,customerSKU!C:C,"",0,1))</f>
        <v/>
      </c>
      <c r="AD965" s="55" t="str">
        <f>IF($AC965="","",_xlfn.XLOOKUP($AC965,'[2]Client Info'!$C$2:$C$2535,'[2]Client Info'!$D$2:$D$2535,"",0,1))</f>
        <v/>
      </c>
      <c r="AE965" s="55" t="str">
        <f>IF($AC965="","",_xlfn.XLOOKUP($AC965,'[2]Client Info'!$C$2:$C$2715,'[2]Client Info'!$E$2:$E$2715,"",))</f>
        <v/>
      </c>
      <c r="AF965" s="55" t="str">
        <f>IF($AC965="","",_xlfn.XLOOKUP($AC965,'[2]Client Info'!$C$2:$C$2715,'[2]Client Info'!$F$2:$F$2715,"",0,1))</f>
        <v/>
      </c>
      <c r="AG965" s="55" t="str">
        <f>IF(ISBLANK(Table26[[#This Row],[customerSKU]]),"",_xlfn.XLOOKUP(Table26[[#This Row],[customerSKU]],Table27[customer_SKU],Table27[billto],"",0,1))</f>
        <v/>
      </c>
      <c r="AH965" s="26" t="str">
        <f>_xlfn.XLOOKUP(Table26[[#This Row],[customerSKU]],customerSKU!G:G,customerSKU!K:K,"NA",0,1)</f>
        <v>NA</v>
      </c>
      <c r="AI965" s="43" t="str">
        <f>_xlfn.XLOOKUP(Table26[[#This Row],[customerSKU]],customerSKU!G:G,customerSKU!O:O,"not found",0,1)</f>
        <v>not found</v>
      </c>
      <c r="AJ965" s="22" t="e">
        <f>Table26[[#This Row],[unitprice]]*Table26[[#This Row],[quantity_unit]]</f>
        <v>#VALUE!</v>
      </c>
      <c r="AK965" s="22" t="e" cm="1">
        <f t="array" ref="AK9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6" spans="1:37" ht="24.6" customHeight="1">
      <c r="A966" s="42">
        <v>1291</v>
      </c>
      <c r="B966" s="58" t="s">
        <v>3520</v>
      </c>
      <c r="C966" s="22" t="s">
        <v>203</v>
      </c>
      <c r="D966" s="20">
        <v>45318</v>
      </c>
      <c r="E966" s="20"/>
      <c r="F966" s="22">
        <v>231450</v>
      </c>
      <c r="G966" s="17"/>
      <c r="J966" s="90" t="str">
        <f>IF(Table26[[#This Row],[customerSKU]]="","",_xlfn.XLOOKUP(Table26[[#This Row],[customerSKU]],customerSKU!G:G,customerSKU!A:A,"",0,1))</f>
        <v/>
      </c>
      <c r="K966" s="232">
        <v>45681</v>
      </c>
      <c r="L966" s="31" t="str">
        <f>IF(Table26[[#This Row],[customerSKU]]="","",_xlfn.XLOOKUP(Table26[[#This Row],[customerSKU]],customerSKU!G:G,customerSKU!B:B,"",0,1))</f>
        <v/>
      </c>
      <c r="M966" s="22"/>
      <c r="N966" s="15" t="str">
        <f>Table26[[#This Row],[po_number]]&amp;"-"&amp;Table26[[#This Row],[po_line]]</f>
        <v>-4</v>
      </c>
      <c r="O966" s="15">
        <v>4</v>
      </c>
      <c r="P966" s="29"/>
      <c r="Q966" s="22" t="s">
        <v>3415</v>
      </c>
      <c r="R966" s="22" t="s">
        <v>569</v>
      </c>
      <c r="S966" s="22" t="str">
        <f>IF(Table26[[#This Row],[customerSKU]]="","",_xlfn.XLOOKUP(Table26[[#This Row],[customerSKU]],customerSKU!G:G,customerSKU!N:N,"NOT FOUND",0,1))</f>
        <v>NOT FOUND</v>
      </c>
      <c r="T966" s="20">
        <v>45674</v>
      </c>
      <c r="U966" s="21">
        <v>420</v>
      </c>
      <c r="V966" s="22" t="str">
        <f>IF(ISBLANK(Table26[[#This Row],[customerSKU]]),"",_xlfn.XLOOKUP(Table26[[#This Row],[customerSKU]],Table27[customer_SKU],Table27[case_size],"",0,1))</f>
        <v/>
      </c>
      <c r="W966" s="117" t="str">
        <f t="shared" ref="W966:W995" si="45">IFERROR(U966/V966, "")</f>
        <v/>
      </c>
      <c r="X966" s="22" t="str">
        <f t="shared" ref="X966:X1029" si="46">IFERROR($AA966*$U966, "")</f>
        <v/>
      </c>
      <c r="Y966" s="22" t="str">
        <f>IF(Table26[[#This Row],[customerSKU]]="","",_xlfn.XLOOKUP(Table26[[#This Row],[customerSKU]],Table27[customer_SKU],Table27[product_GTIN],"",0,1))</f>
        <v/>
      </c>
      <c r="Z966" s="25" t="s">
        <v>4058</v>
      </c>
      <c r="AA966" s="18" t="str" cm="1">
        <f t="array" ref="AA966">IF(P966="", "", _xlfn.XLOOKUP(P966,#REF!,#REF!,NA,0,-1))</f>
        <v/>
      </c>
      <c r="AB966" s="22"/>
      <c r="AC966" s="55" t="str">
        <f>IF(Table26[[#This Row],[customerSKU]]="","",_xlfn.XLOOKUP(Table26[[#This Row],[customerSKU]],customerSKU!G:G,customerSKU!C:C,"",0,1))</f>
        <v/>
      </c>
      <c r="AD966" s="55" t="str">
        <f>IF($AC966="","",_xlfn.XLOOKUP($AC966,'[2]Client Info'!$C$2:$C$2535,'[2]Client Info'!$D$2:$D$2535,"",0,1))</f>
        <v/>
      </c>
      <c r="AE966" s="55" t="str">
        <f>IF($AC966="","",_xlfn.XLOOKUP($AC966,'[2]Client Info'!$C$2:$C$2715,'[2]Client Info'!$E$2:$E$2715,"",))</f>
        <v/>
      </c>
      <c r="AF966" s="55" t="str">
        <f>IF($AC966="","",_xlfn.XLOOKUP($AC966,'[2]Client Info'!$C$2:$C$2715,'[2]Client Info'!$F$2:$F$2715,"",0,1))</f>
        <v/>
      </c>
      <c r="AG966" s="55" t="str">
        <f>IF(ISBLANK(Table26[[#This Row],[customerSKU]]),"",_xlfn.XLOOKUP(Table26[[#This Row],[customerSKU]],Table27[customer_SKU],Table27[billto],"",0,1))</f>
        <v/>
      </c>
      <c r="AH966" s="26" t="str">
        <f>_xlfn.XLOOKUP(Table26[[#This Row],[customerSKU]],customerSKU!G:G,customerSKU!K:K,"NA",0,1)</f>
        <v>NA</v>
      </c>
      <c r="AI966" s="43" t="str">
        <f>_xlfn.XLOOKUP(Table26[[#This Row],[customerSKU]],customerSKU!G:G,customerSKU!O:O,"not found",0,1)</f>
        <v>not found</v>
      </c>
      <c r="AJ966" s="22" t="e">
        <f>Table26[[#This Row],[unitprice]]*Table26[[#This Row],[quantity_unit]]</f>
        <v>#VALUE!</v>
      </c>
      <c r="AK966" s="22" t="e" cm="1">
        <f t="array" ref="AK9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7" spans="1:37" ht="24.6" customHeight="1">
      <c r="A967" s="42">
        <v>1273</v>
      </c>
      <c r="B967" s="249" t="s">
        <v>3520</v>
      </c>
      <c r="C967" s="90" t="s">
        <v>203</v>
      </c>
      <c r="D967" s="235"/>
      <c r="E967" s="235"/>
      <c r="F96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67" s="119"/>
      <c r="H967" s="90"/>
      <c r="I967" s="19"/>
      <c r="J967" s="90" t="str">
        <f>IF(Table26[[#This Row],[customerSKU]]="","",_xlfn.XLOOKUP(Table26[[#This Row],[customerSKU]],customerSKU!G:G,customerSKU!A:A,"",0,1))</f>
        <v/>
      </c>
      <c r="K967" s="232">
        <v>45684</v>
      </c>
      <c r="L967" s="233" t="str">
        <f>IF(Table26[[#This Row],[customerSKU]]="","",_xlfn.XLOOKUP(Table26[[#This Row],[customerSKU]],customerSKU!G:G,customerSKU!B:B,"",0,1))</f>
        <v/>
      </c>
      <c r="M967" s="90"/>
      <c r="N967" s="55" t="str">
        <f>Table26[[#This Row],[po_number]]&amp;"-"&amp;Table26[[#This Row],[po_line]]</f>
        <v>-1</v>
      </c>
      <c r="O967" s="55">
        <v>1</v>
      </c>
      <c r="P967" s="234"/>
      <c r="Q967" s="90" t="s">
        <v>862</v>
      </c>
      <c r="R967" s="90" t="s">
        <v>569</v>
      </c>
      <c r="S967" s="90" t="s">
        <v>114</v>
      </c>
      <c r="T967" s="20">
        <v>45488</v>
      </c>
      <c r="U967" s="236">
        <v>12</v>
      </c>
      <c r="V967" s="90" t="str">
        <f>IF(ISBLANK(Table26[[#This Row],[customerSKU]]),"",_xlfn.XLOOKUP(Table26[[#This Row],[customerSKU]],Table27[customer_SKU],Table27[case_size],"",0,1))</f>
        <v/>
      </c>
      <c r="W967" s="237" t="str">
        <f t="shared" si="45"/>
        <v/>
      </c>
      <c r="X967" s="90" t="str">
        <f t="shared" si="46"/>
        <v/>
      </c>
      <c r="Y967" s="90" t="str">
        <f>IF(Table26[[#This Row],[customerSKU]]="","",_xlfn.XLOOKUP(Table26[[#This Row],[customerSKU]],Table27[customer_SKU],Table27[product_GTIN],"",0,1))</f>
        <v/>
      </c>
      <c r="Z967" s="25" t="s">
        <v>4075</v>
      </c>
      <c r="AA967" s="18" t="str" cm="1">
        <f t="array" ref="AA967">IF(P967="", "", _xlfn.XLOOKUP(P967,#REF!,#REF!,NA,0,-1))</f>
        <v/>
      </c>
      <c r="AB967" s="90"/>
      <c r="AC967" s="55" t="s">
        <v>4131</v>
      </c>
      <c r="AD967" s="55" t="str">
        <f>IF($AC967="","",_xlfn.XLOOKUP($AC967,'[2]Client Info'!$C$2:$C$2535,'[2]Client Info'!$D$2:$D$2535,"",0,1))</f>
        <v>1735 Commercial Dr.</v>
      </c>
      <c r="AE967" s="55" t="str">
        <f>IF($AC967="","",_xlfn.XLOOKUP($AC967,'[2]Client Info'!$C$2:$C$2715,'[2]Client Info'!$E$2:$E$2715,"",))</f>
        <v>Vancouver</v>
      </c>
      <c r="AF967" s="55" t="str">
        <f>IF($AC967="","",_xlfn.XLOOKUP($AC967,'[2]Client Info'!$C$2:$C$2715,'[2]Client Info'!$F$2:$F$2715,"",0,1))</f>
        <v xml:space="preserve">BC </v>
      </c>
      <c r="AG967" s="55" t="s">
        <v>4131</v>
      </c>
      <c r="AH967" s="245" t="str">
        <f>_xlfn.XLOOKUP(Table26[[#This Row],[customerSKU]],customerSKU!G:G,customerSKU!K:K,"NA",0,1)</f>
        <v>NA</v>
      </c>
      <c r="AI967" s="43" t="str">
        <f>_xlfn.XLOOKUP(Table26[[#This Row],[customerSKU]],customerSKU!G:G,customerSKU!O:O,"not found",0,1)</f>
        <v>not found</v>
      </c>
      <c r="AJ967" s="22" t="e">
        <f>Table26[[#This Row],[unitprice]]*Table26[[#This Row],[quantity_unit]]</f>
        <v>#VALUE!</v>
      </c>
      <c r="AK967" s="22" t="e" cm="1">
        <f t="array" ref="AK9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8" spans="1:37" ht="18" customHeight="1">
      <c r="A968" s="42">
        <v>1274</v>
      </c>
      <c r="B968" s="249" t="s">
        <v>3520</v>
      </c>
      <c r="C968" s="90" t="s">
        <v>203</v>
      </c>
      <c r="D968" s="235"/>
      <c r="E968" s="235"/>
      <c r="F96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68" s="119"/>
      <c r="H968" s="90"/>
      <c r="I968" s="19"/>
      <c r="J968" s="90" t="str">
        <f>IF(Table26[[#This Row],[customerSKU]]="","",_xlfn.XLOOKUP(Table26[[#This Row],[customerSKU]],customerSKU!G:G,customerSKU!A:A,"",0,1))</f>
        <v/>
      </c>
      <c r="K968" s="232">
        <v>45684</v>
      </c>
      <c r="L968" s="233" t="str">
        <f>IF(Table26[[#This Row],[customerSKU]]="","",_xlfn.XLOOKUP(Table26[[#This Row],[customerSKU]],customerSKU!G:G,customerSKU!B:B,"",0,1))</f>
        <v/>
      </c>
      <c r="M968" s="90"/>
      <c r="N968" s="55" t="str">
        <f>Table26[[#This Row],[po_number]]&amp;"-"&amp;Table26[[#This Row],[po_line]]</f>
        <v>-2</v>
      </c>
      <c r="O968" s="55">
        <v>2</v>
      </c>
      <c r="P968" s="234"/>
      <c r="Q968" s="90" t="s">
        <v>1609</v>
      </c>
      <c r="R968" s="90" t="s">
        <v>569</v>
      </c>
      <c r="S968" s="90" t="s">
        <v>114</v>
      </c>
      <c r="T968" s="20">
        <v>45462</v>
      </c>
      <c r="U968" s="236">
        <v>12</v>
      </c>
      <c r="V968" s="90" t="str">
        <f>IF(ISBLANK(Table26[[#This Row],[customerSKU]]),"",_xlfn.XLOOKUP(Table26[[#This Row],[customerSKU]],Table27[customer_SKU],Table27[case_size],"",0,1))</f>
        <v/>
      </c>
      <c r="W968" s="237" t="str">
        <f t="shared" si="45"/>
        <v/>
      </c>
      <c r="X968" s="90" t="str">
        <f t="shared" si="46"/>
        <v/>
      </c>
      <c r="Y968" s="90" t="str">
        <f>IF(Table26[[#This Row],[customerSKU]]="","",_xlfn.XLOOKUP(Table26[[#This Row],[customerSKU]],Table27[customer_SKU],Table27[product_GTIN],"",0,1))</f>
        <v/>
      </c>
      <c r="Z968" s="25" t="s">
        <v>3416</v>
      </c>
      <c r="AA968" s="18" t="str" cm="1">
        <f t="array" ref="AA968">IF(P968="", "", _xlfn.XLOOKUP(P968,#REF!,#REF!,NA,0,-1))</f>
        <v/>
      </c>
      <c r="AB968" s="90"/>
      <c r="AC968" s="55" t="s">
        <v>4131</v>
      </c>
      <c r="AD968" s="55" t="str">
        <f>IF($AC968="","",_xlfn.XLOOKUP($AC968,'[2]Client Info'!$C$2:$C$2535,'[2]Client Info'!$D$2:$D$2535,"",0,1))</f>
        <v>1735 Commercial Dr.</v>
      </c>
      <c r="AE968" s="55" t="str">
        <f>IF($AC968="","",_xlfn.XLOOKUP($AC968,'[2]Client Info'!$C$2:$C$2715,'[2]Client Info'!$E$2:$E$2715,"",))</f>
        <v>Vancouver</v>
      </c>
      <c r="AF968" s="55" t="str">
        <f>IF($AC968="","",_xlfn.XLOOKUP($AC968,'[2]Client Info'!$C$2:$C$2715,'[2]Client Info'!$F$2:$F$2715,"",0,1))</f>
        <v xml:space="preserve">BC </v>
      </c>
      <c r="AG968" s="55" t="s">
        <v>4131</v>
      </c>
      <c r="AH968" s="245" t="str">
        <f>_xlfn.XLOOKUP(Table26[[#This Row],[customerSKU]],customerSKU!G:G,customerSKU!K:K,"NA",0,1)</f>
        <v>NA</v>
      </c>
      <c r="AI968" s="43" t="str">
        <f>_xlfn.XLOOKUP(Table26[[#This Row],[customerSKU]],customerSKU!G:G,customerSKU!O:O,"not found",0,1)</f>
        <v>not found</v>
      </c>
      <c r="AJ968" s="22" t="e">
        <f>Table26[[#This Row],[unitprice]]*Table26[[#This Row],[quantity_unit]]</f>
        <v>#VALUE!</v>
      </c>
      <c r="AK968" s="22" t="e" cm="1">
        <f t="array" ref="AK9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69" spans="1:37" ht="18" customHeight="1">
      <c r="A969" s="42">
        <v>1275</v>
      </c>
      <c r="B969" s="249" t="s">
        <v>3520</v>
      </c>
      <c r="C969" s="90" t="s">
        <v>203</v>
      </c>
      <c r="D969" s="235"/>
      <c r="E969" s="235"/>
      <c r="F96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69" s="119"/>
      <c r="H969" s="90"/>
      <c r="I969" s="19"/>
      <c r="J969" s="90" t="str">
        <f>IF(Table26[[#This Row],[customerSKU]]="","",_xlfn.XLOOKUP(Table26[[#This Row],[customerSKU]],customerSKU!G:G,customerSKU!A:A,"",0,1))</f>
        <v/>
      </c>
      <c r="K969" s="232">
        <v>45684</v>
      </c>
      <c r="L969" s="233" t="str">
        <f>IF(Table26[[#This Row],[customerSKU]]="","",_xlfn.XLOOKUP(Table26[[#This Row],[customerSKU]],customerSKU!G:G,customerSKU!B:B,"",0,1))</f>
        <v/>
      </c>
      <c r="M969" s="90"/>
      <c r="N969" s="55" t="str">
        <f>Table26[[#This Row],[po_number]]&amp;"-"&amp;Table26[[#This Row],[po_line]]</f>
        <v>-3</v>
      </c>
      <c r="O969" s="55">
        <v>3</v>
      </c>
      <c r="P969" s="234"/>
      <c r="Q969" s="90" t="s">
        <v>587</v>
      </c>
      <c r="R969" s="90" t="s">
        <v>569</v>
      </c>
      <c r="S969" s="90" t="s">
        <v>114</v>
      </c>
      <c r="T969" s="20">
        <v>45457</v>
      </c>
      <c r="U969" s="236">
        <v>12</v>
      </c>
      <c r="V969" s="90" t="str">
        <f>IF(ISBLANK(Table26[[#This Row],[customerSKU]]),"",_xlfn.XLOOKUP(Table26[[#This Row],[customerSKU]],Table27[customer_SKU],Table27[case_size],"",0,1))</f>
        <v/>
      </c>
      <c r="W969" s="237" t="str">
        <f t="shared" si="45"/>
        <v/>
      </c>
      <c r="X969" s="90" t="str">
        <f t="shared" si="46"/>
        <v/>
      </c>
      <c r="Y969" s="90" t="str">
        <f>IF(Table26[[#This Row],[customerSKU]]="","",_xlfn.XLOOKUP(Table26[[#This Row],[customerSKU]],Table27[customer_SKU],Table27[product_GTIN],"",0,1))</f>
        <v/>
      </c>
      <c r="Z969" s="25" t="s">
        <v>3403</v>
      </c>
      <c r="AA969" s="18" t="str" cm="1">
        <f t="array" ref="AA969">IF(P969="", "", _xlfn.XLOOKUP(P969,#REF!,#REF!,NA,0,-1))</f>
        <v/>
      </c>
      <c r="AB969" s="90"/>
      <c r="AC969" s="55" t="s">
        <v>4131</v>
      </c>
      <c r="AD969" s="55" t="str">
        <f>IF($AC969="","",_xlfn.XLOOKUP($AC969,'[2]Client Info'!$C$2:$C$2535,'[2]Client Info'!$D$2:$D$2535,"",0,1))</f>
        <v>1735 Commercial Dr.</v>
      </c>
      <c r="AE969" s="55" t="str">
        <f>IF($AC969="","",_xlfn.XLOOKUP($AC969,'[2]Client Info'!$C$2:$C$2715,'[2]Client Info'!$E$2:$E$2715,"",))</f>
        <v>Vancouver</v>
      </c>
      <c r="AF969" s="55" t="str">
        <f>IF($AC969="","",_xlfn.XLOOKUP($AC969,'[2]Client Info'!$C$2:$C$2715,'[2]Client Info'!$F$2:$F$2715,"",0,1))</f>
        <v xml:space="preserve">BC </v>
      </c>
      <c r="AG969" s="55" t="s">
        <v>4131</v>
      </c>
      <c r="AH969" s="245" t="str">
        <f>_xlfn.XLOOKUP(Table26[[#This Row],[customerSKU]],customerSKU!G:G,customerSKU!K:K,"NA",0,1)</f>
        <v>NA</v>
      </c>
      <c r="AI969" s="43" t="str">
        <f>_xlfn.XLOOKUP(Table26[[#This Row],[customerSKU]],customerSKU!G:G,customerSKU!O:O,"not found",0,1)</f>
        <v>not found</v>
      </c>
      <c r="AJ969" s="22" t="e">
        <f>Table26[[#This Row],[unitprice]]*Table26[[#This Row],[quantity_unit]]</f>
        <v>#VALUE!</v>
      </c>
      <c r="AK969" s="22" t="e" cm="1">
        <f t="array" ref="AK9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0" spans="1:37" ht="18" customHeight="1">
      <c r="A970" s="42">
        <v>1276</v>
      </c>
      <c r="B970" s="249" t="s">
        <v>3520</v>
      </c>
      <c r="C970" s="90" t="s">
        <v>203</v>
      </c>
      <c r="D970" s="235"/>
      <c r="E970" s="235"/>
      <c r="F97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0" s="119"/>
      <c r="H970" s="90"/>
      <c r="I970" s="19"/>
      <c r="J970" s="90" t="str">
        <f>IF(Table26[[#This Row],[customerSKU]]="","",_xlfn.XLOOKUP(Table26[[#This Row],[customerSKU]],customerSKU!G:G,customerSKU!A:A,"",0,1))</f>
        <v/>
      </c>
      <c r="K970" s="232">
        <v>45684</v>
      </c>
      <c r="L970" s="233" t="str">
        <f>IF(Table26[[#This Row],[customerSKU]]="","",_xlfn.XLOOKUP(Table26[[#This Row],[customerSKU]],customerSKU!G:G,customerSKU!B:B,"",0,1))</f>
        <v/>
      </c>
      <c r="M970" s="90"/>
      <c r="N970" s="55" t="str">
        <f>Table26[[#This Row],[po_number]]&amp;"-"&amp;Table26[[#This Row],[po_line]]</f>
        <v>-4</v>
      </c>
      <c r="O970" s="55">
        <v>4</v>
      </c>
      <c r="P970" s="234"/>
      <c r="Q970" s="90" t="s">
        <v>869</v>
      </c>
      <c r="R970" s="90" t="s">
        <v>569</v>
      </c>
      <c r="S970" s="90" t="s">
        <v>114</v>
      </c>
      <c r="T970" s="20">
        <v>45498</v>
      </c>
      <c r="U970" s="236">
        <v>12</v>
      </c>
      <c r="V970" s="90" t="str">
        <f>IF(ISBLANK(Table26[[#This Row],[customerSKU]]),"",_xlfn.XLOOKUP(Table26[[#This Row],[customerSKU]],Table27[customer_SKU],Table27[case_size],"",0,1))</f>
        <v/>
      </c>
      <c r="W970" s="237" t="str">
        <f t="shared" si="45"/>
        <v/>
      </c>
      <c r="X970" s="90" t="str">
        <f t="shared" si="46"/>
        <v/>
      </c>
      <c r="Y970" s="90" t="str">
        <f>IF(Table26[[#This Row],[customerSKU]]="","",_xlfn.XLOOKUP(Table26[[#This Row],[customerSKU]],Table27[customer_SKU],Table27[product_GTIN],"",0,1))</f>
        <v/>
      </c>
      <c r="Z970" s="25" t="s">
        <v>3376</v>
      </c>
      <c r="AA970" s="18" t="str" cm="1">
        <f t="array" ref="AA970">IF(P970="", "", _xlfn.XLOOKUP(P970,#REF!,#REF!,NA,0,-1))</f>
        <v/>
      </c>
      <c r="AB970" s="90"/>
      <c r="AC970" s="55" t="s">
        <v>4131</v>
      </c>
      <c r="AD970" s="55" t="str">
        <f>IF($AC970="","",_xlfn.XLOOKUP($AC970,'[2]Client Info'!$C$2:$C$2535,'[2]Client Info'!$D$2:$D$2535,"",0,1))</f>
        <v>1735 Commercial Dr.</v>
      </c>
      <c r="AE970" s="55" t="str">
        <f>IF($AC970="","",_xlfn.XLOOKUP($AC970,'[2]Client Info'!$C$2:$C$2715,'[2]Client Info'!$E$2:$E$2715,"",))</f>
        <v>Vancouver</v>
      </c>
      <c r="AF970" s="55" t="str">
        <f>IF($AC970="","",_xlfn.XLOOKUP($AC970,'[2]Client Info'!$C$2:$C$2715,'[2]Client Info'!$F$2:$F$2715,"",0,1))</f>
        <v xml:space="preserve">BC </v>
      </c>
      <c r="AG970" s="55" t="s">
        <v>4131</v>
      </c>
      <c r="AH970" s="245" t="str">
        <f>_xlfn.XLOOKUP(Table26[[#This Row],[customerSKU]],customerSKU!G:G,customerSKU!K:K,"NA",0,1)</f>
        <v>NA</v>
      </c>
      <c r="AI970" s="43" t="str">
        <f>_xlfn.XLOOKUP(Table26[[#This Row],[customerSKU]],customerSKU!G:G,customerSKU!O:O,"not found",0,1)</f>
        <v>not found</v>
      </c>
      <c r="AJ970" s="22" t="e">
        <f>Table26[[#This Row],[unitprice]]*Table26[[#This Row],[quantity_unit]]</f>
        <v>#VALUE!</v>
      </c>
      <c r="AK970" s="22" t="e" cm="1">
        <f t="array" ref="AK9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1" spans="1:37" ht="18" customHeight="1">
      <c r="A971" s="42">
        <v>1277</v>
      </c>
      <c r="B971" s="249" t="s">
        <v>3520</v>
      </c>
      <c r="C971" s="90" t="s">
        <v>203</v>
      </c>
      <c r="D971" s="235"/>
      <c r="E971" s="235"/>
      <c r="F97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1" s="119"/>
      <c r="H971" s="90"/>
      <c r="I971" s="19"/>
      <c r="J971" s="90" t="str">
        <f>IF(Table26[[#This Row],[customerSKU]]="","",_xlfn.XLOOKUP(Table26[[#This Row],[customerSKU]],customerSKU!G:G,customerSKU!A:A,"",0,1))</f>
        <v/>
      </c>
      <c r="K971" s="232">
        <v>45684</v>
      </c>
      <c r="L971" s="233" t="str">
        <f>IF(Table26[[#This Row],[customerSKU]]="","",_xlfn.XLOOKUP(Table26[[#This Row],[customerSKU]],customerSKU!G:G,customerSKU!B:B,"",0,1))</f>
        <v/>
      </c>
      <c r="M971" s="90"/>
      <c r="N971" s="55" t="str">
        <f>Table26[[#This Row],[po_number]]&amp;"-"&amp;Table26[[#This Row],[po_line]]</f>
        <v>-5</v>
      </c>
      <c r="O971" s="55">
        <v>5</v>
      </c>
      <c r="P971" s="234"/>
      <c r="Q971" s="90" t="s">
        <v>589</v>
      </c>
      <c r="R971" s="90" t="s">
        <v>569</v>
      </c>
      <c r="S971" s="90" t="s">
        <v>114</v>
      </c>
      <c r="T971" s="20">
        <v>45615</v>
      </c>
      <c r="U971" s="236">
        <v>12</v>
      </c>
      <c r="V971" s="90" t="str">
        <f>IF(ISBLANK(Table26[[#This Row],[customerSKU]]),"",_xlfn.XLOOKUP(Table26[[#This Row],[customerSKU]],Table27[customer_SKU],Table27[case_size],"",0,1))</f>
        <v/>
      </c>
      <c r="W971" s="237" t="str">
        <f t="shared" si="45"/>
        <v/>
      </c>
      <c r="X971" s="90" t="str">
        <f t="shared" si="46"/>
        <v/>
      </c>
      <c r="Y971" s="90" t="str">
        <f>IF(Table26[[#This Row],[customerSKU]]="","",_xlfn.XLOOKUP(Table26[[#This Row],[customerSKU]],Table27[customer_SKU],Table27[product_GTIN],"",0,1))</f>
        <v/>
      </c>
      <c r="Z971" s="25" t="s">
        <v>3432</v>
      </c>
      <c r="AA971" s="18" t="str" cm="1">
        <f t="array" ref="AA971">IF(P971="", "", _xlfn.XLOOKUP(P971,#REF!,#REF!,NA,0,-1))</f>
        <v/>
      </c>
      <c r="AB971" s="90"/>
      <c r="AC971" s="55" t="s">
        <v>4131</v>
      </c>
      <c r="AD971" s="55" t="str">
        <f>IF($AC971="","",_xlfn.XLOOKUP($AC971,'[2]Client Info'!$C$2:$C$2535,'[2]Client Info'!$D$2:$D$2535,"",0,1))</f>
        <v>1735 Commercial Dr.</v>
      </c>
      <c r="AE971" s="55" t="str">
        <f>IF($AC971="","",_xlfn.XLOOKUP($AC971,'[2]Client Info'!$C$2:$C$2715,'[2]Client Info'!$E$2:$E$2715,"",))</f>
        <v>Vancouver</v>
      </c>
      <c r="AF971" s="55" t="str">
        <f>IF($AC971="","",_xlfn.XLOOKUP($AC971,'[2]Client Info'!$C$2:$C$2715,'[2]Client Info'!$F$2:$F$2715,"",0,1))</f>
        <v xml:space="preserve">BC </v>
      </c>
      <c r="AG971" s="55" t="s">
        <v>4131</v>
      </c>
      <c r="AH971" s="245" t="str">
        <f>_xlfn.XLOOKUP(Table26[[#This Row],[customerSKU]],customerSKU!G:G,customerSKU!K:K,"NA",0,1)</f>
        <v>NA</v>
      </c>
      <c r="AI971" s="43" t="str">
        <f>_xlfn.XLOOKUP(Table26[[#This Row],[customerSKU]],customerSKU!G:G,customerSKU!O:O,"not found",0,1)</f>
        <v>not found</v>
      </c>
      <c r="AJ971" s="22" t="e">
        <f>Table26[[#This Row],[unitprice]]*Table26[[#This Row],[quantity_unit]]</f>
        <v>#VALUE!</v>
      </c>
      <c r="AK971" s="22" t="e" cm="1">
        <f t="array" ref="AK9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2" spans="1:37" ht="18" customHeight="1">
      <c r="A972" s="42">
        <v>1278</v>
      </c>
      <c r="B972" s="249" t="s">
        <v>3520</v>
      </c>
      <c r="C972" s="90" t="s">
        <v>203</v>
      </c>
      <c r="D972" s="235"/>
      <c r="E972" s="235"/>
      <c r="F97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2" s="119"/>
      <c r="H972" s="90"/>
      <c r="I972" s="19"/>
      <c r="J972" s="90" t="str">
        <f>IF(Table26[[#This Row],[customerSKU]]="","",_xlfn.XLOOKUP(Table26[[#This Row],[customerSKU]],customerSKU!G:G,customerSKU!A:A,"",0,1))</f>
        <v/>
      </c>
      <c r="K972" s="232">
        <v>45684</v>
      </c>
      <c r="L972" s="233" t="str">
        <f>IF(Table26[[#This Row],[customerSKU]]="","",_xlfn.XLOOKUP(Table26[[#This Row],[customerSKU]],customerSKU!G:G,customerSKU!B:B,"",0,1))</f>
        <v/>
      </c>
      <c r="M972" s="90"/>
      <c r="N972" s="55" t="str">
        <f>Table26[[#This Row],[po_number]]&amp;"-"&amp;Table26[[#This Row],[po_line]]</f>
        <v>-6</v>
      </c>
      <c r="O972" s="55">
        <v>6</v>
      </c>
      <c r="P972" s="234"/>
      <c r="Q972" s="90" t="s">
        <v>630</v>
      </c>
      <c r="R972" s="90" t="s">
        <v>569</v>
      </c>
      <c r="S972" s="90" t="s">
        <v>114</v>
      </c>
      <c r="T972" s="20">
        <v>45581</v>
      </c>
      <c r="U972" s="236">
        <v>12</v>
      </c>
      <c r="V972" s="90" t="str">
        <f>IF(ISBLANK(Table26[[#This Row],[customerSKU]]),"",_xlfn.XLOOKUP(Table26[[#This Row],[customerSKU]],Table27[customer_SKU],Table27[case_size],"",0,1))</f>
        <v/>
      </c>
      <c r="W972" s="237" t="str">
        <f t="shared" si="45"/>
        <v/>
      </c>
      <c r="X972" s="90" t="str">
        <f t="shared" si="46"/>
        <v/>
      </c>
      <c r="Y972" s="90" t="str">
        <f>IF(Table26[[#This Row],[customerSKU]]="","",_xlfn.XLOOKUP(Table26[[#This Row],[customerSKU]],Table27[customer_SKU],Table27[product_GTIN],"",0,1))</f>
        <v/>
      </c>
      <c r="Z972" s="25" t="s">
        <v>3386</v>
      </c>
      <c r="AA972" s="18" t="str" cm="1">
        <f t="array" ref="AA972">IF(P972="", "", _xlfn.XLOOKUP(P972,#REF!,#REF!,NA,0,-1))</f>
        <v/>
      </c>
      <c r="AB972" s="90"/>
      <c r="AC972" s="55" t="s">
        <v>4131</v>
      </c>
      <c r="AD972" s="55" t="str">
        <f>IF($AC972="","",_xlfn.XLOOKUP($AC972,'[2]Client Info'!$C$2:$C$2535,'[2]Client Info'!$D$2:$D$2535,"",0,1))</f>
        <v>1735 Commercial Dr.</v>
      </c>
      <c r="AE972" s="55" t="str">
        <f>IF($AC972="","",_xlfn.XLOOKUP($AC972,'[2]Client Info'!$C$2:$C$2715,'[2]Client Info'!$E$2:$E$2715,"",))</f>
        <v>Vancouver</v>
      </c>
      <c r="AF972" s="55" t="str">
        <f>IF($AC972="","",_xlfn.XLOOKUP($AC972,'[2]Client Info'!$C$2:$C$2715,'[2]Client Info'!$F$2:$F$2715,"",0,1))</f>
        <v xml:space="preserve">BC </v>
      </c>
      <c r="AG972" s="55" t="s">
        <v>4131</v>
      </c>
      <c r="AH972" s="245" t="str">
        <f>_xlfn.XLOOKUP(Table26[[#This Row],[customerSKU]],customerSKU!G:G,customerSKU!K:K,"NA",0,1)</f>
        <v>NA</v>
      </c>
      <c r="AI972" s="43" t="str">
        <f>_xlfn.XLOOKUP(Table26[[#This Row],[customerSKU]],customerSKU!G:G,customerSKU!O:O,"not found",0,1)</f>
        <v>not found</v>
      </c>
      <c r="AJ972" s="22" t="e">
        <f>Table26[[#This Row],[unitprice]]*Table26[[#This Row],[quantity_unit]]</f>
        <v>#VALUE!</v>
      </c>
      <c r="AK972" s="22" t="e" cm="1">
        <f t="array" ref="AK9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3" spans="1:37" ht="18" customHeight="1">
      <c r="A973" s="42">
        <v>1279</v>
      </c>
      <c r="B973" s="249" t="s">
        <v>3520</v>
      </c>
      <c r="C973" s="90" t="s">
        <v>203</v>
      </c>
      <c r="D973" s="235"/>
      <c r="E973" s="235"/>
      <c r="F97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3" s="119"/>
      <c r="H973" s="90"/>
      <c r="I973" s="19"/>
      <c r="J973" s="90" t="str">
        <f>IF(Table26[[#This Row],[customerSKU]]="","",_xlfn.XLOOKUP(Table26[[#This Row],[customerSKU]],customerSKU!G:G,customerSKU!A:A,"",0,1))</f>
        <v/>
      </c>
      <c r="K973" s="232">
        <v>45684</v>
      </c>
      <c r="L973" s="233" t="str">
        <f>IF(Table26[[#This Row],[customerSKU]]="","",_xlfn.XLOOKUP(Table26[[#This Row],[customerSKU]],customerSKU!G:G,customerSKU!B:B,"",0,1))</f>
        <v/>
      </c>
      <c r="M973" s="90"/>
      <c r="N973" s="55" t="str">
        <f>Table26[[#This Row],[po_number]]&amp;"-"&amp;Table26[[#This Row],[po_line]]</f>
        <v>-7</v>
      </c>
      <c r="O973" s="55">
        <v>7</v>
      </c>
      <c r="P973" s="234"/>
      <c r="Q973" s="90" t="s">
        <v>905</v>
      </c>
      <c r="R973" s="90" t="s">
        <v>569</v>
      </c>
      <c r="S973" s="90" t="s">
        <v>114</v>
      </c>
      <c r="T973" s="20">
        <v>45575</v>
      </c>
      <c r="U973" s="236">
        <v>12</v>
      </c>
      <c r="V973" s="90" t="str">
        <f>IF(ISBLANK(Table26[[#This Row],[customerSKU]]),"",_xlfn.XLOOKUP(Table26[[#This Row],[customerSKU]],Table27[customer_SKU],Table27[case_size],"",0,1))</f>
        <v/>
      </c>
      <c r="W973" s="237" t="str">
        <f t="shared" si="45"/>
        <v/>
      </c>
      <c r="X973" s="90" t="str">
        <f t="shared" si="46"/>
        <v/>
      </c>
      <c r="Y973" s="90" t="str">
        <f>IF(Table26[[#This Row],[customerSKU]]="","",_xlfn.XLOOKUP(Table26[[#This Row],[customerSKU]],Table27[customer_SKU],Table27[product_GTIN],"",0,1))</f>
        <v/>
      </c>
      <c r="Z973" s="25" t="s">
        <v>3377</v>
      </c>
      <c r="AA973" s="18" t="str" cm="1">
        <f t="array" ref="AA973">IF(P973="", "", _xlfn.XLOOKUP(P973,#REF!,#REF!,NA,0,-1))</f>
        <v/>
      </c>
      <c r="AB973" s="90"/>
      <c r="AC973" s="55" t="s">
        <v>4131</v>
      </c>
      <c r="AD973" s="55" t="str">
        <f>IF($AC973="","",_xlfn.XLOOKUP($AC973,'[2]Client Info'!$C$2:$C$2535,'[2]Client Info'!$D$2:$D$2535,"",0,1))</f>
        <v>1735 Commercial Dr.</v>
      </c>
      <c r="AE973" s="55" t="str">
        <f>IF($AC973="","",_xlfn.XLOOKUP($AC973,'[2]Client Info'!$C$2:$C$2715,'[2]Client Info'!$E$2:$E$2715,"",))</f>
        <v>Vancouver</v>
      </c>
      <c r="AF973" s="55" t="str">
        <f>IF($AC973="","",_xlfn.XLOOKUP($AC973,'[2]Client Info'!$C$2:$C$2715,'[2]Client Info'!$F$2:$F$2715,"",0,1))</f>
        <v xml:space="preserve">BC </v>
      </c>
      <c r="AG973" s="55" t="s">
        <v>4131</v>
      </c>
      <c r="AH973" s="245" t="str">
        <f>_xlfn.XLOOKUP(Table26[[#This Row],[customerSKU]],customerSKU!G:G,customerSKU!K:K,"NA",0,1)</f>
        <v>NA</v>
      </c>
      <c r="AI973" s="43" t="str">
        <f>_xlfn.XLOOKUP(Table26[[#This Row],[customerSKU]],customerSKU!G:G,customerSKU!O:O,"not found",0,1)</f>
        <v>not found</v>
      </c>
      <c r="AJ973" s="22" t="e">
        <f>Table26[[#This Row],[unitprice]]*Table26[[#This Row],[quantity_unit]]</f>
        <v>#VALUE!</v>
      </c>
      <c r="AK973" s="22" t="e" cm="1">
        <f t="array" ref="AK9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4" spans="1:37" ht="18" customHeight="1">
      <c r="A974" s="42">
        <v>1280</v>
      </c>
      <c r="B974" s="249" t="s">
        <v>3520</v>
      </c>
      <c r="C974" s="90" t="s">
        <v>203</v>
      </c>
      <c r="D974" s="235"/>
      <c r="E974" s="235"/>
      <c r="F97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4" s="119"/>
      <c r="H974" s="90"/>
      <c r="I974" s="19"/>
      <c r="J974" s="90" t="str">
        <f>IF(Table26[[#This Row],[customerSKU]]="","",_xlfn.XLOOKUP(Table26[[#This Row],[customerSKU]],customerSKU!G:G,customerSKU!A:A,"",0,1))</f>
        <v/>
      </c>
      <c r="K974" s="232">
        <v>45684</v>
      </c>
      <c r="L974" s="233" t="str">
        <f>IF(Table26[[#This Row],[customerSKU]]="","",_xlfn.XLOOKUP(Table26[[#This Row],[customerSKU]],customerSKU!G:G,customerSKU!B:B,"",0,1))</f>
        <v/>
      </c>
      <c r="M974" s="90"/>
      <c r="N974" s="55" t="str">
        <f>Table26[[#This Row],[po_number]]&amp;"-"&amp;Table26[[#This Row],[po_line]]</f>
        <v>-8</v>
      </c>
      <c r="O974" s="55">
        <v>8</v>
      </c>
      <c r="P974" s="234"/>
      <c r="Q974" s="90" t="s">
        <v>535</v>
      </c>
      <c r="R974" s="90" t="s">
        <v>569</v>
      </c>
      <c r="S974" s="90" t="s">
        <v>114</v>
      </c>
      <c r="T974" s="20">
        <v>45630</v>
      </c>
      <c r="U974" s="236">
        <v>12</v>
      </c>
      <c r="V974" s="90" t="str">
        <f>IF(ISBLANK(Table26[[#This Row],[customerSKU]]),"",_xlfn.XLOOKUP(Table26[[#This Row],[customerSKU]],Table27[customer_SKU],Table27[case_size],"",0,1))</f>
        <v/>
      </c>
      <c r="W974" s="237" t="str">
        <f t="shared" si="45"/>
        <v/>
      </c>
      <c r="X974" s="90" t="str">
        <f t="shared" si="46"/>
        <v/>
      </c>
      <c r="Y974" s="90" t="str">
        <f>IF(Table26[[#This Row],[customerSKU]]="","",_xlfn.XLOOKUP(Table26[[#This Row],[customerSKU]],Table27[customer_SKU],Table27[product_GTIN],"",0,1))</f>
        <v/>
      </c>
      <c r="Z974" s="25" t="s">
        <v>3433</v>
      </c>
      <c r="AA974" s="18" t="str" cm="1">
        <f t="array" ref="AA974">IF(P974="", "", _xlfn.XLOOKUP(P974,#REF!,#REF!,NA,0,-1))</f>
        <v/>
      </c>
      <c r="AB974" s="90"/>
      <c r="AC974" s="55" t="s">
        <v>4131</v>
      </c>
      <c r="AD974" s="55" t="str">
        <f>IF($AC974="","",_xlfn.XLOOKUP($AC974,'[2]Client Info'!$C$2:$C$2535,'[2]Client Info'!$D$2:$D$2535,"",0,1))</f>
        <v>1735 Commercial Dr.</v>
      </c>
      <c r="AE974" s="55" t="str">
        <f>IF($AC974="","",_xlfn.XLOOKUP($AC974,'[2]Client Info'!$C$2:$C$2715,'[2]Client Info'!$E$2:$E$2715,"",))</f>
        <v>Vancouver</v>
      </c>
      <c r="AF974" s="55" t="str">
        <f>IF($AC974="","",_xlfn.XLOOKUP($AC974,'[2]Client Info'!$C$2:$C$2715,'[2]Client Info'!$F$2:$F$2715,"",0,1))</f>
        <v xml:space="preserve">BC </v>
      </c>
      <c r="AG974" s="55" t="s">
        <v>4131</v>
      </c>
      <c r="AH974" s="245" t="str">
        <f>_xlfn.XLOOKUP(Table26[[#This Row],[customerSKU]],customerSKU!G:G,customerSKU!K:K,"NA",0,1)</f>
        <v>NA</v>
      </c>
      <c r="AI974" s="43" t="str">
        <f>_xlfn.XLOOKUP(Table26[[#This Row],[customerSKU]],customerSKU!G:G,customerSKU!O:O,"not found",0,1)</f>
        <v>not found</v>
      </c>
      <c r="AJ974" s="22" t="e">
        <f>Table26[[#This Row],[unitprice]]*Table26[[#This Row],[quantity_unit]]</f>
        <v>#VALUE!</v>
      </c>
      <c r="AK974" s="22" t="e" cm="1">
        <f t="array" ref="AK9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5" spans="1:37" ht="18" customHeight="1">
      <c r="A975" s="42">
        <v>1281</v>
      </c>
      <c r="B975" s="249" t="s">
        <v>3520</v>
      </c>
      <c r="C975" s="90" t="s">
        <v>203</v>
      </c>
      <c r="D975" s="235"/>
      <c r="E975" s="235"/>
      <c r="F97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5" s="119"/>
      <c r="H975" s="90"/>
      <c r="I975" s="19"/>
      <c r="J975" s="90" t="str">
        <f>IF(Table26[[#This Row],[customerSKU]]="","",_xlfn.XLOOKUP(Table26[[#This Row],[customerSKU]],customerSKU!G:G,customerSKU!A:A,"",0,1))</f>
        <v/>
      </c>
      <c r="K975" s="232">
        <v>45684</v>
      </c>
      <c r="L975" s="233" t="str">
        <f>IF(Table26[[#This Row],[customerSKU]]="","",_xlfn.XLOOKUP(Table26[[#This Row],[customerSKU]],customerSKU!G:G,customerSKU!B:B,"",0,1))</f>
        <v/>
      </c>
      <c r="M975" s="90"/>
      <c r="N975" s="55" t="str">
        <f>Table26[[#This Row],[po_number]]&amp;"-"&amp;Table26[[#This Row],[po_line]]</f>
        <v>-9</v>
      </c>
      <c r="O975" s="55">
        <v>9</v>
      </c>
      <c r="P975" s="234"/>
      <c r="Q975" s="90" t="s">
        <v>1315</v>
      </c>
      <c r="R975" s="90" t="s">
        <v>569</v>
      </c>
      <c r="S975" s="90" t="s">
        <v>114</v>
      </c>
      <c r="T975" s="20">
        <v>45555</v>
      </c>
      <c r="U975" s="236">
        <v>12</v>
      </c>
      <c r="V975" s="90" t="str">
        <f>IF(ISBLANK(Table26[[#This Row],[customerSKU]]),"",_xlfn.XLOOKUP(Table26[[#This Row],[customerSKU]],Table27[customer_SKU],Table27[case_size],"",0,1))</f>
        <v/>
      </c>
      <c r="W975" s="237" t="str">
        <f t="shared" si="45"/>
        <v/>
      </c>
      <c r="X975" s="90" t="str">
        <f t="shared" si="46"/>
        <v/>
      </c>
      <c r="Y975" s="90" t="str">
        <f>IF(Table26[[#This Row],[customerSKU]]="","",_xlfn.XLOOKUP(Table26[[#This Row],[customerSKU]],Table27[customer_SKU],Table27[product_GTIN],"",0,1))</f>
        <v/>
      </c>
      <c r="Z975" s="25" t="s">
        <v>3719</v>
      </c>
      <c r="AA975" s="18" t="str" cm="1">
        <f t="array" ref="AA975">IF(P975="", "", _xlfn.XLOOKUP(P975,#REF!,#REF!,NA,0,-1))</f>
        <v/>
      </c>
      <c r="AB975" s="90"/>
      <c r="AC975" s="55" t="s">
        <v>4131</v>
      </c>
      <c r="AD975" s="55" t="str">
        <f>IF($AC975="","",_xlfn.XLOOKUP($AC975,'[2]Client Info'!$C$2:$C$2535,'[2]Client Info'!$D$2:$D$2535,"",0,1))</f>
        <v>1735 Commercial Dr.</v>
      </c>
      <c r="AE975" s="55" t="str">
        <f>IF($AC975="","",_xlfn.XLOOKUP($AC975,'[2]Client Info'!$C$2:$C$2715,'[2]Client Info'!$E$2:$E$2715,"",))</f>
        <v>Vancouver</v>
      </c>
      <c r="AF975" s="55" t="str">
        <f>IF($AC975="","",_xlfn.XLOOKUP($AC975,'[2]Client Info'!$C$2:$C$2715,'[2]Client Info'!$F$2:$F$2715,"",0,1))</f>
        <v xml:space="preserve">BC </v>
      </c>
      <c r="AG975" s="55" t="s">
        <v>4131</v>
      </c>
      <c r="AH975" s="245" t="str">
        <f>_xlfn.XLOOKUP(Table26[[#This Row],[customerSKU]],customerSKU!G:G,customerSKU!K:K,"NA",0,1)</f>
        <v>NA</v>
      </c>
      <c r="AI975" s="43" t="str">
        <f>_xlfn.XLOOKUP(Table26[[#This Row],[customerSKU]],customerSKU!G:G,customerSKU!O:O,"not found",0,1)</f>
        <v>not found</v>
      </c>
      <c r="AJ975" s="22" t="e">
        <f>Table26[[#This Row],[unitprice]]*Table26[[#This Row],[quantity_unit]]</f>
        <v>#VALUE!</v>
      </c>
      <c r="AK975" s="22" t="e" cm="1">
        <f t="array" ref="AK9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6" spans="1:37" ht="18" customHeight="1">
      <c r="A976" s="42">
        <v>1282</v>
      </c>
      <c r="B976" s="249" t="s">
        <v>3520</v>
      </c>
      <c r="C976" s="90" t="s">
        <v>203</v>
      </c>
      <c r="D976" s="235"/>
      <c r="E976" s="235"/>
      <c r="F97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6" s="119"/>
      <c r="H976" s="90"/>
      <c r="I976" s="19"/>
      <c r="J976" s="90" t="str">
        <f>IF(Table26[[#This Row],[customerSKU]]="","",_xlfn.XLOOKUP(Table26[[#This Row],[customerSKU]],customerSKU!G:G,customerSKU!A:A,"",0,1))</f>
        <v/>
      </c>
      <c r="K976" s="232">
        <v>45684</v>
      </c>
      <c r="L976" s="233" t="str">
        <f>IF(Table26[[#This Row],[customerSKU]]="","",_xlfn.XLOOKUP(Table26[[#This Row],[customerSKU]],customerSKU!G:G,customerSKU!B:B,"",0,1))</f>
        <v/>
      </c>
      <c r="M976" s="90"/>
      <c r="N976" s="55" t="str">
        <f>Table26[[#This Row],[po_number]]&amp;"-"&amp;Table26[[#This Row],[po_line]]</f>
        <v>-1</v>
      </c>
      <c r="O976" s="55">
        <v>1</v>
      </c>
      <c r="P976" s="234"/>
      <c r="Q976" s="90" t="s">
        <v>1625</v>
      </c>
      <c r="R976" s="90" t="s">
        <v>569</v>
      </c>
      <c r="S976" s="90" t="s">
        <v>114</v>
      </c>
      <c r="T976" s="20">
        <v>45642</v>
      </c>
      <c r="U976" s="236">
        <v>24</v>
      </c>
      <c r="V976" s="90" t="str">
        <f>IF(ISBLANK(Table26[[#This Row],[customerSKU]]),"",_xlfn.XLOOKUP(Table26[[#This Row],[customerSKU]],Table27[customer_SKU],Table27[case_size],"",0,1))</f>
        <v/>
      </c>
      <c r="W976" s="237" t="str">
        <f t="shared" si="45"/>
        <v/>
      </c>
      <c r="X976" s="90" t="str">
        <f t="shared" si="46"/>
        <v/>
      </c>
      <c r="Y976" s="90" t="str">
        <f>IF(Table26[[#This Row],[customerSKU]]="","",_xlfn.XLOOKUP(Table26[[#This Row],[customerSKU]],Table27[customer_SKU],Table27[product_GTIN],"",0,1))</f>
        <v/>
      </c>
      <c r="Z976" s="25" t="s">
        <v>3373</v>
      </c>
      <c r="AA976" s="18" t="str" cm="1">
        <f t="array" ref="AA976">IF(P976="", "", _xlfn.XLOOKUP(P976,#REF!,#REF!,NA,0,-1))</f>
        <v/>
      </c>
      <c r="AB976" s="90"/>
      <c r="AC976" s="55" t="s">
        <v>104</v>
      </c>
      <c r="AD976" s="55" t="str">
        <f>IF($AC976="","",_xlfn.XLOOKUP($AC976,'[2]Client Info'!$C$2:$C$2535,'[2]Client Info'!$D$2:$D$2535,"",0,1))</f>
        <v>491B Island Hwy E</v>
      </c>
      <c r="AE976" s="55" t="str">
        <f>IF($AC976="","",_xlfn.XLOOKUP($AC976,'[2]Client Info'!$C$2:$C$2715,'[2]Client Info'!$E$2:$E$2715,"",))</f>
        <v>Parksville</v>
      </c>
      <c r="AF976" s="55" t="str">
        <f>IF($AC976="","",_xlfn.XLOOKUP($AC976,'[2]Client Info'!$C$2:$C$2715,'[2]Client Info'!$F$2:$F$2715,"",0,1))</f>
        <v xml:space="preserve">BC </v>
      </c>
      <c r="AG976" s="55" t="s">
        <v>4132</v>
      </c>
      <c r="AH976" s="245" t="str">
        <f>_xlfn.XLOOKUP(Table26[[#This Row],[customerSKU]],customerSKU!G:G,customerSKU!K:K,"NA",0,1)</f>
        <v>NA</v>
      </c>
      <c r="AI976" s="43" t="str">
        <f>_xlfn.XLOOKUP(Table26[[#This Row],[customerSKU]],customerSKU!G:G,customerSKU!O:O,"not found",0,1)</f>
        <v>not found</v>
      </c>
      <c r="AJ976" s="22" t="e">
        <f>Table26[[#This Row],[unitprice]]*Table26[[#This Row],[quantity_unit]]</f>
        <v>#VALUE!</v>
      </c>
      <c r="AK976" s="22" t="e" cm="1">
        <f t="array" ref="AK9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7" spans="1:37" ht="18" customHeight="1">
      <c r="A977" s="42">
        <v>1283</v>
      </c>
      <c r="B977" s="249" t="s">
        <v>3520</v>
      </c>
      <c r="C977" s="90" t="s">
        <v>203</v>
      </c>
      <c r="D977" s="235"/>
      <c r="E977" s="235"/>
      <c r="F97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7" s="119"/>
      <c r="H977" s="90"/>
      <c r="I977" s="19"/>
      <c r="J977" s="90" t="str">
        <f>IF(Table26[[#This Row],[customerSKU]]="","",_xlfn.XLOOKUP(Table26[[#This Row],[customerSKU]],customerSKU!G:G,customerSKU!A:A,"",0,1))</f>
        <v/>
      </c>
      <c r="K977" s="232">
        <v>45684</v>
      </c>
      <c r="L977" s="233" t="str">
        <f>IF(Table26[[#This Row],[customerSKU]]="","",_xlfn.XLOOKUP(Table26[[#This Row],[customerSKU]],customerSKU!G:G,customerSKU!B:B,"",0,1))</f>
        <v/>
      </c>
      <c r="M977" s="90"/>
      <c r="N977" s="55" t="str">
        <f>Table26[[#This Row],[po_number]]&amp;"-"&amp;Table26[[#This Row],[po_line]]</f>
        <v>-2</v>
      </c>
      <c r="O977" s="55">
        <v>2</v>
      </c>
      <c r="P977" s="234"/>
      <c r="Q977" s="90" t="s">
        <v>4086</v>
      </c>
      <c r="R977" s="90" t="s">
        <v>569</v>
      </c>
      <c r="S977" s="90" t="s">
        <v>114</v>
      </c>
      <c r="T977" s="20">
        <v>45631</v>
      </c>
      <c r="U977" s="236">
        <v>24</v>
      </c>
      <c r="V977" s="90" t="str">
        <f>IF(ISBLANK(Table26[[#This Row],[customerSKU]]),"",_xlfn.XLOOKUP(Table26[[#This Row],[customerSKU]],Table27[customer_SKU],Table27[case_size],"",0,1))</f>
        <v/>
      </c>
      <c r="W977" s="237" t="str">
        <f t="shared" si="45"/>
        <v/>
      </c>
      <c r="X977" s="90" t="str">
        <f t="shared" si="46"/>
        <v/>
      </c>
      <c r="Y977" s="90" t="str">
        <f>IF(Table26[[#This Row],[customerSKU]]="","",_xlfn.XLOOKUP(Table26[[#This Row],[customerSKU]],Table27[customer_SKU],Table27[product_GTIN],"",0,1))</f>
        <v/>
      </c>
      <c r="Z977" s="25" t="s">
        <v>3372</v>
      </c>
      <c r="AA977" s="18" t="str" cm="1">
        <f t="array" ref="AA977">IF(P977="", "", _xlfn.XLOOKUP(P977,#REF!,#REF!,NA,0,-1))</f>
        <v/>
      </c>
      <c r="AB977" s="90"/>
      <c r="AC977" s="55" t="s">
        <v>104</v>
      </c>
      <c r="AD977" s="55" t="str">
        <f>IF($AC977="","",_xlfn.XLOOKUP($AC977,'[2]Client Info'!$C$2:$C$2535,'[2]Client Info'!$D$2:$D$2535,"",0,1))</f>
        <v>491B Island Hwy E</v>
      </c>
      <c r="AE977" s="55" t="str">
        <f>IF($AC977="","",_xlfn.XLOOKUP($AC977,'[2]Client Info'!$C$2:$C$2715,'[2]Client Info'!$E$2:$E$2715,"",))</f>
        <v>Parksville</v>
      </c>
      <c r="AF977" s="55" t="str">
        <f>IF($AC977="","",_xlfn.XLOOKUP($AC977,'[2]Client Info'!$C$2:$C$2715,'[2]Client Info'!$F$2:$F$2715,"",0,1))</f>
        <v xml:space="preserve">BC </v>
      </c>
      <c r="AG977" s="55" t="s">
        <v>4132</v>
      </c>
      <c r="AH977" s="245" t="str">
        <f>_xlfn.XLOOKUP(Table26[[#This Row],[customerSKU]],customerSKU!G:G,customerSKU!K:K,"NA",0,1)</f>
        <v>NA</v>
      </c>
      <c r="AI977" s="43" t="str">
        <f>_xlfn.XLOOKUP(Table26[[#This Row],[customerSKU]],customerSKU!G:G,customerSKU!O:O,"not found",0,1)</f>
        <v>not found</v>
      </c>
      <c r="AJ977" s="22" t="e">
        <f>Table26[[#This Row],[unitprice]]*Table26[[#This Row],[quantity_unit]]</f>
        <v>#VALUE!</v>
      </c>
      <c r="AK977" s="22" t="e" cm="1">
        <f t="array" ref="AK9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8" spans="1:37" ht="18" customHeight="1">
      <c r="A978" s="42">
        <v>1284</v>
      </c>
      <c r="B978" s="249" t="s">
        <v>3520</v>
      </c>
      <c r="C978" s="90" t="s">
        <v>203</v>
      </c>
      <c r="D978" s="235"/>
      <c r="E978" s="235"/>
      <c r="F97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78" s="119"/>
      <c r="H978" s="90"/>
      <c r="I978" s="19"/>
      <c r="J978" s="90" t="str">
        <f>IF(Table26[[#This Row],[customerSKU]]="","",_xlfn.XLOOKUP(Table26[[#This Row],[customerSKU]],customerSKU!G:G,customerSKU!A:A,"",0,1))</f>
        <v/>
      </c>
      <c r="K978" s="232">
        <v>45684</v>
      </c>
      <c r="L978" s="233" t="str">
        <f>IF(Table26[[#This Row],[customerSKU]]="","",_xlfn.XLOOKUP(Table26[[#This Row],[customerSKU]],customerSKU!G:G,customerSKU!B:B,"",0,1))</f>
        <v/>
      </c>
      <c r="M978" s="90"/>
      <c r="N978" s="55" t="str">
        <f>Table26[[#This Row],[po_number]]&amp;"-"&amp;Table26[[#This Row],[po_line]]</f>
        <v>-3</v>
      </c>
      <c r="O978" s="55">
        <v>3</v>
      </c>
      <c r="P978" s="234"/>
      <c r="Q978" s="90" t="s">
        <v>3378</v>
      </c>
      <c r="R978" s="90" t="s">
        <v>569</v>
      </c>
      <c r="S978" s="90" t="s">
        <v>114</v>
      </c>
      <c r="T978" s="20">
        <v>45666</v>
      </c>
      <c r="U978" s="236">
        <v>24</v>
      </c>
      <c r="V978" s="90" t="str">
        <f>IF(ISBLANK(Table26[[#This Row],[customerSKU]]),"",_xlfn.XLOOKUP(Table26[[#This Row],[customerSKU]],Table27[customer_SKU],Table27[case_size],"",0,1))</f>
        <v/>
      </c>
      <c r="W978" s="237" t="str">
        <f t="shared" si="45"/>
        <v/>
      </c>
      <c r="X978" s="90" t="str">
        <f t="shared" si="46"/>
        <v/>
      </c>
      <c r="Y978" s="90" t="str">
        <f>IF(Table26[[#This Row],[customerSKU]]="","",_xlfn.XLOOKUP(Table26[[#This Row],[customerSKU]],Table27[customer_SKU],Table27[product_GTIN],"",0,1))</f>
        <v/>
      </c>
      <c r="Z978" s="25" t="s">
        <v>3379</v>
      </c>
      <c r="AA978" s="18" t="str" cm="1">
        <f t="array" ref="AA978">IF(P978="", "", _xlfn.XLOOKUP(P978,#REF!,#REF!,NA,0,-1))</f>
        <v/>
      </c>
      <c r="AB978" s="90"/>
      <c r="AC978" s="55" t="s">
        <v>104</v>
      </c>
      <c r="AD978" s="55" t="str">
        <f>IF($AC978="","",_xlfn.XLOOKUP($AC978,'[2]Client Info'!$C$2:$C$2535,'[2]Client Info'!$D$2:$D$2535,"",0,1))</f>
        <v>491B Island Hwy E</v>
      </c>
      <c r="AE978" s="55" t="str">
        <f>IF($AC978="","",_xlfn.XLOOKUP($AC978,'[2]Client Info'!$C$2:$C$2715,'[2]Client Info'!$E$2:$E$2715,"",))</f>
        <v>Parksville</v>
      </c>
      <c r="AF978" s="55" t="str">
        <f>IF($AC978="","",_xlfn.XLOOKUP($AC978,'[2]Client Info'!$C$2:$C$2715,'[2]Client Info'!$F$2:$F$2715,"",0,1))</f>
        <v xml:space="preserve">BC </v>
      </c>
      <c r="AG978" s="55" t="s">
        <v>4132</v>
      </c>
      <c r="AH978" s="245" t="str">
        <f>_xlfn.XLOOKUP(Table26[[#This Row],[customerSKU]],customerSKU!G:G,customerSKU!K:K,"NA",0,1)</f>
        <v>NA</v>
      </c>
      <c r="AI978" s="43" t="str">
        <f>_xlfn.XLOOKUP(Table26[[#This Row],[customerSKU]],customerSKU!G:G,customerSKU!O:O,"not found",0,1)</f>
        <v>not found</v>
      </c>
      <c r="AJ978" s="22" t="e">
        <f>Table26[[#This Row],[unitprice]]*Table26[[#This Row],[quantity_unit]]</f>
        <v>#VALUE!</v>
      </c>
      <c r="AK978" s="22" t="e" cm="1">
        <f t="array" ref="AK9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79" spans="1:37" ht="24.6" customHeight="1">
      <c r="A979" s="42">
        <v>1270</v>
      </c>
      <c r="B979" s="27" t="s">
        <v>3520</v>
      </c>
      <c r="C979" s="22" t="s">
        <v>203</v>
      </c>
      <c r="D979" s="20">
        <v>45685</v>
      </c>
      <c r="E979" s="20"/>
      <c r="F97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79" s="17"/>
      <c r="J979" s="90" t="str">
        <f>IF(Table26[[#This Row],[customerSKU]]="","",_xlfn.XLOOKUP(Table26[[#This Row],[customerSKU]],customerSKU!G:G,customerSKU!A:A,"",0,1))</f>
        <v/>
      </c>
      <c r="K979" s="232">
        <v>45685</v>
      </c>
      <c r="L979" s="31" t="str">
        <f>IF(Table26[[#This Row],[customerSKU]]="","",_xlfn.XLOOKUP(Table26[[#This Row],[customerSKU]],customerSKU!G:G,customerSKU!B:B,"",0,1))</f>
        <v/>
      </c>
      <c r="M979" s="22"/>
      <c r="N979" s="15" t="str">
        <f>Table26[[#This Row],[po_number]]&amp;"-"&amp;Table26[[#This Row],[po_line]]</f>
        <v>-1</v>
      </c>
      <c r="O979" s="15">
        <v>1</v>
      </c>
      <c r="P979" s="29"/>
      <c r="Q979" s="22" t="s">
        <v>4115</v>
      </c>
      <c r="R979" s="22" t="s">
        <v>3428</v>
      </c>
      <c r="S979" s="22" t="str">
        <f>IF(Table26[[#This Row],[customerSKU]]="","",_xlfn.XLOOKUP(Table26[[#This Row],[customerSKU]],customerSKU!G:G,customerSKU!N:N,"NOT FOUND",0,1))</f>
        <v>NOT FOUND</v>
      </c>
      <c r="T979" s="20">
        <v>45674</v>
      </c>
      <c r="U979" s="21">
        <v>1080</v>
      </c>
      <c r="V979" s="22" t="str">
        <f>IF(ISBLANK(Table26[[#This Row],[customerSKU]]),"",_xlfn.XLOOKUP(Table26[[#This Row],[customerSKU]],Table27[customer_SKU],Table27[case_size],"",0,1))</f>
        <v/>
      </c>
      <c r="W979" s="117" t="str">
        <f t="shared" si="45"/>
        <v/>
      </c>
      <c r="X979" s="22" t="str">
        <f t="shared" si="46"/>
        <v/>
      </c>
      <c r="Y979" s="22" t="str">
        <f>IF(Table26[[#This Row],[customerSKU]]="","",_xlfn.XLOOKUP(Table26[[#This Row],[customerSKU]],Table27[customer_SKU],Table27[product_GTIN],"",0,1))</f>
        <v/>
      </c>
      <c r="Z979" s="25" t="s">
        <v>3841</v>
      </c>
      <c r="AA979" s="18" t="str" cm="1">
        <f t="array" ref="AA979">IF(P979="", "", _xlfn.XLOOKUP(P979,#REF!,#REF!,NA,0,-1))</f>
        <v/>
      </c>
      <c r="AB979" s="22"/>
      <c r="AC979" s="55" t="str">
        <f>IF(Table26[[#This Row],[customerSKU]]="","",_xlfn.XLOOKUP(Table26[[#This Row],[customerSKU]],customerSKU!G:G,customerSKU!C:C,"",0,1))</f>
        <v/>
      </c>
      <c r="AD979" s="55" t="str">
        <f>IF($AC979="","",_xlfn.XLOOKUP($AC979,'[2]Client Info'!$C$2:$C$2535,'[2]Client Info'!$D$2:$D$2535,"",0,1))</f>
        <v/>
      </c>
      <c r="AE979" s="55" t="str">
        <f>IF($AC979="","",_xlfn.XLOOKUP($AC979,'[2]Client Info'!$C$2:$C$2715,'[2]Client Info'!$E$2:$E$2715,"",))</f>
        <v/>
      </c>
      <c r="AF979" s="55" t="str">
        <f>IF($AC979="","",_xlfn.XLOOKUP($AC979,'[2]Client Info'!$C$2:$C$2715,'[2]Client Info'!$F$2:$F$2715,"",0,1))</f>
        <v/>
      </c>
      <c r="AG979" s="55" t="str">
        <f>IF(ISBLANK(Table26[[#This Row],[customerSKU]]),"",_xlfn.XLOOKUP(Table26[[#This Row],[customerSKU]],Table27[customer_SKU],Table27[billto],"",0,1))</f>
        <v/>
      </c>
      <c r="AH979" s="26" t="str">
        <f>_xlfn.XLOOKUP(Table26[[#This Row],[customerSKU]],customerSKU!G:G,customerSKU!K:K,"NA",0,1)</f>
        <v>NA</v>
      </c>
      <c r="AI979" s="43" t="str">
        <f>_xlfn.XLOOKUP(Table26[[#This Row],[customerSKU]],customerSKU!G:G,customerSKU!O:O,"not found",0,1)</f>
        <v>not found</v>
      </c>
      <c r="AJ979" s="22" t="e">
        <f>Table26[[#This Row],[unitprice]]*Table26[[#This Row],[quantity_unit]]</f>
        <v>#VALUE!</v>
      </c>
      <c r="AK979" s="22" t="e" cm="1">
        <f t="array" ref="AK9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0" spans="1:37" ht="24.6" customHeight="1">
      <c r="A980" s="42">
        <v>1271</v>
      </c>
      <c r="B980" s="27" t="s">
        <v>3520</v>
      </c>
      <c r="C980" s="22" t="s">
        <v>203</v>
      </c>
      <c r="D980" s="20">
        <v>45685</v>
      </c>
      <c r="E980" s="20"/>
      <c r="F98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80" s="17"/>
      <c r="J980" s="90" t="str">
        <f>IF(Table26[[#This Row],[customerSKU]]="","",_xlfn.XLOOKUP(Table26[[#This Row],[customerSKU]],customerSKU!G:G,customerSKU!A:A,"",0,1))</f>
        <v/>
      </c>
      <c r="K980" s="232">
        <v>45685</v>
      </c>
      <c r="L980" s="31" t="str">
        <f>IF(Table26[[#This Row],[customerSKU]]="","",_xlfn.XLOOKUP(Table26[[#This Row],[customerSKU]],customerSKU!G:G,customerSKU!B:B,"",0,1))</f>
        <v/>
      </c>
      <c r="M980" s="22"/>
      <c r="N980" s="15" t="str">
        <f>Table26[[#This Row],[po_number]]&amp;"-"&amp;Table26[[#This Row],[po_line]]</f>
        <v>-2</v>
      </c>
      <c r="O980" s="15">
        <v>2</v>
      </c>
      <c r="P980" s="29"/>
      <c r="Q980" s="22" t="s">
        <v>4106</v>
      </c>
      <c r="R980" s="22" t="s">
        <v>3428</v>
      </c>
      <c r="S980" s="22" t="str">
        <f>IF(Table26[[#This Row],[customerSKU]]="","",_xlfn.XLOOKUP(Table26[[#This Row],[customerSKU]],customerSKU!G:G,customerSKU!N:N,"NOT FOUND",0,1))</f>
        <v>NOT FOUND</v>
      </c>
      <c r="T980" s="20">
        <v>45643</v>
      </c>
      <c r="U980" s="21">
        <v>396</v>
      </c>
      <c r="V980" s="22" t="str">
        <f>IF(ISBLANK(Table26[[#This Row],[customerSKU]]),"",_xlfn.XLOOKUP(Table26[[#This Row],[customerSKU]],Table27[customer_SKU],Table27[case_size],"",0,1))</f>
        <v/>
      </c>
      <c r="W980" s="117" t="str">
        <f t="shared" si="45"/>
        <v/>
      </c>
      <c r="X980" s="22" t="str">
        <f t="shared" si="46"/>
        <v/>
      </c>
      <c r="Y980" s="22" t="str">
        <f>IF(Table26[[#This Row],[customerSKU]]="","",_xlfn.XLOOKUP(Table26[[#This Row],[customerSKU]],Table27[customer_SKU],Table27[product_GTIN],"",0,1))</f>
        <v/>
      </c>
      <c r="Z980" s="25" t="s">
        <v>3965</v>
      </c>
      <c r="AA980" s="18" t="str" cm="1">
        <f t="array" ref="AA980">IF(P980="", "", _xlfn.XLOOKUP(P980,#REF!,#REF!,NA,0,-1))</f>
        <v/>
      </c>
      <c r="AB980" s="22"/>
      <c r="AC980" s="55" t="str">
        <f>IF(Table26[[#This Row],[customerSKU]]="","",_xlfn.XLOOKUP(Table26[[#This Row],[customerSKU]],customerSKU!G:G,customerSKU!C:C,"",0,1))</f>
        <v/>
      </c>
      <c r="AD980" s="55" t="str">
        <f>IF($AC980="","",_xlfn.XLOOKUP($AC980,'[2]Client Info'!$C$2:$C$2535,'[2]Client Info'!$D$2:$D$2535,"",0,1))</f>
        <v/>
      </c>
      <c r="AE980" s="55" t="str">
        <f>IF($AC980="","",_xlfn.XLOOKUP($AC980,'[2]Client Info'!$C$2:$C$2715,'[2]Client Info'!$E$2:$E$2715,"",))</f>
        <v/>
      </c>
      <c r="AF980" s="55" t="str">
        <f>IF($AC980="","",_xlfn.XLOOKUP($AC980,'[2]Client Info'!$C$2:$C$2715,'[2]Client Info'!$F$2:$F$2715,"",0,1))</f>
        <v/>
      </c>
      <c r="AG980" s="55" t="str">
        <f>IF(ISBLANK(Table26[[#This Row],[customerSKU]]),"",_xlfn.XLOOKUP(Table26[[#This Row],[customerSKU]],Table27[customer_SKU],Table27[billto],"",0,1))</f>
        <v/>
      </c>
      <c r="AH980" s="26" t="str">
        <f>_xlfn.XLOOKUP(Table26[[#This Row],[customerSKU]],customerSKU!G:G,customerSKU!K:K,"NA",0,1)</f>
        <v>NA</v>
      </c>
      <c r="AI980" s="43" t="str">
        <f>_xlfn.XLOOKUP(Table26[[#This Row],[customerSKU]],customerSKU!G:G,customerSKU!O:O,"not found",0,1)</f>
        <v>not found</v>
      </c>
      <c r="AJ980" s="22" t="e">
        <f>Table26[[#This Row],[unitprice]]*Table26[[#This Row],[quantity_unit]]</f>
        <v>#VALUE!</v>
      </c>
      <c r="AK980" s="22" t="e" cm="1">
        <f t="array" ref="AK9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1" spans="1:37" ht="18" customHeight="1">
      <c r="A981" s="42">
        <v>1272</v>
      </c>
      <c r="B981" s="27" t="s">
        <v>3520</v>
      </c>
      <c r="C981" s="22" t="s">
        <v>203</v>
      </c>
      <c r="D981" s="20">
        <v>45685</v>
      </c>
      <c r="E981" s="20"/>
      <c r="F98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81" s="17"/>
      <c r="J981" s="90" t="str">
        <f>IF(Table26[[#This Row],[customerSKU]]="","",_xlfn.XLOOKUP(Table26[[#This Row],[customerSKU]],customerSKU!G:G,customerSKU!A:A,"",0,1))</f>
        <v/>
      </c>
      <c r="K981" s="232">
        <v>45685</v>
      </c>
      <c r="L981" s="31" t="str">
        <f>IF(Table26[[#This Row],[customerSKU]]="","",_xlfn.XLOOKUP(Table26[[#This Row],[customerSKU]],customerSKU!G:G,customerSKU!B:B,"",0,1))</f>
        <v/>
      </c>
      <c r="M981" s="22"/>
      <c r="N981" s="15" t="str">
        <f>Table26[[#This Row],[po_number]]&amp;"-"&amp;Table26[[#This Row],[po_line]]</f>
        <v>-3</v>
      </c>
      <c r="O981" s="15">
        <v>3</v>
      </c>
      <c r="P981" s="29"/>
      <c r="Q981" s="22" t="s">
        <v>4116</v>
      </c>
      <c r="R981" s="22" t="s">
        <v>3428</v>
      </c>
      <c r="S981" s="22" t="str">
        <f>IF(Table26[[#This Row],[customerSKU]]="","",_xlfn.XLOOKUP(Table26[[#This Row],[customerSKU]],customerSKU!G:G,customerSKU!N:N,"NOT FOUND",0,1))</f>
        <v>NOT FOUND</v>
      </c>
      <c r="T981" s="20">
        <v>45674</v>
      </c>
      <c r="U981" s="21">
        <v>1200</v>
      </c>
      <c r="V981" s="22" t="str">
        <f>IF(ISBLANK(Table26[[#This Row],[customerSKU]]),"",_xlfn.XLOOKUP(Table26[[#This Row],[customerSKU]],Table27[customer_SKU],Table27[case_size],"",0,1))</f>
        <v/>
      </c>
      <c r="W981" s="117" t="str">
        <f t="shared" si="45"/>
        <v/>
      </c>
      <c r="X981" s="22" t="str">
        <f t="shared" si="46"/>
        <v/>
      </c>
      <c r="Y981" s="22" t="str">
        <f>IF(Table26[[#This Row],[customerSKU]]="","",_xlfn.XLOOKUP(Table26[[#This Row],[customerSKU]],Table27[customer_SKU],Table27[product_GTIN],"",0,1))</f>
        <v/>
      </c>
      <c r="Z981" s="25" t="s">
        <v>3459</v>
      </c>
      <c r="AA981" s="18" t="str" cm="1">
        <f t="array" ref="AA981">IF(P981="", "", _xlfn.XLOOKUP(P981,#REF!,#REF!,NA,0,-1))</f>
        <v/>
      </c>
      <c r="AB981" s="22"/>
      <c r="AC981" s="55" t="str">
        <f>IF(Table26[[#This Row],[customerSKU]]="","",_xlfn.XLOOKUP(Table26[[#This Row],[customerSKU]],customerSKU!G:G,customerSKU!C:C,"",0,1))</f>
        <v/>
      </c>
      <c r="AD981" s="55" t="str">
        <f>IF($AC981="","",_xlfn.XLOOKUP($AC981,'[2]Client Info'!$C$2:$C$2535,'[2]Client Info'!$D$2:$D$2535,"",0,1))</f>
        <v/>
      </c>
      <c r="AE981" s="55" t="str">
        <f>IF($AC981="","",_xlfn.XLOOKUP($AC981,'[2]Client Info'!$C$2:$C$2715,'[2]Client Info'!$E$2:$E$2715,"",))</f>
        <v/>
      </c>
      <c r="AF981" s="55" t="str">
        <f>IF($AC981="","",_xlfn.XLOOKUP($AC981,'[2]Client Info'!$C$2:$C$2715,'[2]Client Info'!$F$2:$F$2715,"",0,1))</f>
        <v/>
      </c>
      <c r="AG981" s="55" t="str">
        <f>IF(ISBLANK(Table26[[#This Row],[customerSKU]]),"",_xlfn.XLOOKUP(Table26[[#This Row],[customerSKU]],Table27[customer_SKU],Table27[billto],"",0,1))</f>
        <v/>
      </c>
      <c r="AH981" s="26" t="str">
        <f>_xlfn.XLOOKUP(Table26[[#This Row],[customerSKU]],customerSKU!G:G,customerSKU!K:K,"NA",0,1)</f>
        <v>NA</v>
      </c>
      <c r="AI981" s="43" t="str">
        <f>_xlfn.XLOOKUP(Table26[[#This Row],[customerSKU]],customerSKU!G:G,customerSKU!O:O,"not found",0,1)</f>
        <v>not found</v>
      </c>
      <c r="AJ981" s="22" t="e">
        <f>Table26[[#This Row],[unitprice]]*Table26[[#This Row],[quantity_unit]]</f>
        <v>#VALUE!</v>
      </c>
      <c r="AK981" s="22" t="e" cm="1">
        <f t="array" ref="AK9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2" spans="1:37" ht="18" customHeight="1">
      <c r="A982" s="42">
        <v>1259</v>
      </c>
      <c r="B982" s="27" t="s">
        <v>3520</v>
      </c>
      <c r="C982" s="53" t="s">
        <v>3360</v>
      </c>
      <c r="D982" s="20">
        <v>45701</v>
      </c>
      <c r="E982" s="20"/>
      <c r="F982" s="53"/>
      <c r="G982" s="17"/>
      <c r="J982" s="90" t="str">
        <f>IF(Table26[[#This Row],[customerSKU]]="","",_xlfn.XLOOKUP(Table26[[#This Row],[customerSKU]],customerSKU!G:G,customerSKU!A:A,"",0,1))</f>
        <v/>
      </c>
      <c r="K982" s="232">
        <v>45686</v>
      </c>
      <c r="L982" s="31" t="str">
        <f>IF(Table26[[#This Row],[customerSKU]]="","",_xlfn.XLOOKUP(Table26[[#This Row],[customerSKU]],customerSKU!G:G,customerSKU!B:B,"",0,1))</f>
        <v/>
      </c>
      <c r="M982" s="22"/>
      <c r="N982" s="15" t="str">
        <f>Table26[[#This Row],[po_number]]&amp;"-"&amp;Table26[[#This Row],[po_line]]</f>
        <v>-1</v>
      </c>
      <c r="O982" s="15">
        <v>1</v>
      </c>
      <c r="P982" s="29"/>
      <c r="Q982" s="22" t="s">
        <v>1376</v>
      </c>
      <c r="R982" s="22" t="s">
        <v>569</v>
      </c>
      <c r="S982" s="22" t="str">
        <f>IF(Table26[[#This Row],[customerSKU]]="","",_xlfn.XLOOKUP(Table26[[#This Row],[customerSKU]],customerSKU!G:G,customerSKU!N:N,"NOT FOUND",0,1))</f>
        <v>NOT FOUND</v>
      </c>
      <c r="T982" s="20">
        <v>45588</v>
      </c>
      <c r="U982" s="21">
        <v>60</v>
      </c>
      <c r="V982" s="22" t="str">
        <f>IF(ISBLANK(Table26[[#This Row],[customerSKU]]),"",_xlfn.XLOOKUP(Table26[[#This Row],[customerSKU]],Table27[customer_SKU],Table27[case_size],"",0,1))</f>
        <v/>
      </c>
      <c r="W982" s="117" t="str">
        <f t="shared" si="45"/>
        <v/>
      </c>
      <c r="X982" s="22" t="str">
        <f t="shared" si="46"/>
        <v/>
      </c>
      <c r="Y982" s="22" t="str">
        <f>IF(Table26[[#This Row],[customerSKU]]="","",_xlfn.XLOOKUP(Table26[[#This Row],[customerSKU]],Table27[customer_SKU],Table27[product_GTIN],"",0,1))</f>
        <v/>
      </c>
      <c r="Z982" s="25" t="s">
        <v>3409</v>
      </c>
      <c r="AA982" s="18" t="str" cm="1">
        <f t="array" ref="AA982">IF(P982="", "", _xlfn.XLOOKUP(P982,#REF!,#REF!,NA,0,-1))</f>
        <v/>
      </c>
      <c r="AB982" s="22"/>
      <c r="AC982" s="55" t="str">
        <f>IF(Table26[[#This Row],[customerSKU]]="","",_xlfn.XLOOKUP(Table26[[#This Row],[customerSKU]],customerSKU!G:G,customerSKU!C:C,"",0,1))</f>
        <v/>
      </c>
      <c r="AD982" s="55" t="str">
        <f>IF($AC982="","",_xlfn.XLOOKUP($AC982,'[2]Client Info'!$C$2:$C$2535,'[2]Client Info'!$D$2:$D$2535,"",0,1))</f>
        <v/>
      </c>
      <c r="AE982" s="55" t="str">
        <f>IF($AC982="","",_xlfn.XLOOKUP($AC982,'[2]Client Info'!$C$2:$C$2715,'[2]Client Info'!$E$2:$E$2715,"",))</f>
        <v/>
      </c>
      <c r="AF982" s="55" t="str">
        <f>IF($AC982="","",_xlfn.XLOOKUP($AC982,'[2]Client Info'!$C$2:$C$2715,'[2]Client Info'!$F$2:$F$2715,"",0,1))</f>
        <v/>
      </c>
      <c r="AG982" s="55" t="str">
        <f>IF(ISBLANK(Table26[[#This Row],[customerSKU]]),"",_xlfn.XLOOKUP(Table26[[#This Row],[customerSKU]],Table27[customer_SKU],Table27[billto],"",0,1))</f>
        <v/>
      </c>
      <c r="AH982" s="26" t="str">
        <f>_xlfn.XLOOKUP(Table26[[#This Row],[customerSKU]],customerSKU!G:G,customerSKU!K:K,"NA",0,1)</f>
        <v>NA</v>
      </c>
      <c r="AI982" s="43" t="str">
        <f>_xlfn.XLOOKUP(Table26[[#This Row],[customerSKU]],customerSKU!G:G,customerSKU!O:O,"not found",0,1)</f>
        <v>not found</v>
      </c>
      <c r="AJ982" s="22" t="e">
        <f>Table26[[#This Row],[unitprice]]*Table26[[#This Row],[quantity_unit]]</f>
        <v>#VALUE!</v>
      </c>
      <c r="AK982" s="22" t="e" cm="1">
        <f t="array" ref="AK9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3" spans="1:37" ht="18" customHeight="1">
      <c r="A983" s="42">
        <v>1260</v>
      </c>
      <c r="B983" s="27" t="s">
        <v>3520</v>
      </c>
      <c r="C983" s="53" t="s">
        <v>3360</v>
      </c>
      <c r="E983" s="20"/>
      <c r="F983" s="53"/>
      <c r="G983" s="17"/>
      <c r="J983" s="90" t="str">
        <f>IF(Table26[[#This Row],[customerSKU]]="","",_xlfn.XLOOKUP(Table26[[#This Row],[customerSKU]],customerSKU!G:G,customerSKU!A:A,"",0,1))</f>
        <v/>
      </c>
      <c r="K983" s="232">
        <v>45686</v>
      </c>
      <c r="L983" s="31" t="str">
        <f>IF(Table26[[#This Row],[customerSKU]]="","",_xlfn.XLOOKUP(Table26[[#This Row],[customerSKU]],customerSKU!G:G,customerSKU!B:B,"",0,1))</f>
        <v/>
      </c>
      <c r="M983" s="22"/>
      <c r="N983" s="15" t="str">
        <f>Table26[[#This Row],[po_number]]&amp;"-"&amp;Table26[[#This Row],[po_line]]</f>
        <v>-1</v>
      </c>
      <c r="O983" s="15">
        <v>1</v>
      </c>
      <c r="P983" s="29"/>
      <c r="Q983" s="22" t="s">
        <v>3368</v>
      </c>
      <c r="R983" s="22" t="s">
        <v>3559</v>
      </c>
      <c r="S983" s="22" t="str">
        <f>IF(Table26[[#This Row],[customerSKU]]="","",_xlfn.XLOOKUP(Table26[[#This Row],[customerSKU]],customerSKU!G:G,customerSKU!N:N,"NOT FOUND",0,1))</f>
        <v>NOT FOUND</v>
      </c>
      <c r="T983" s="20">
        <v>45590</v>
      </c>
      <c r="U983" s="21">
        <v>36</v>
      </c>
      <c r="V983" s="22" t="str">
        <f>IF(ISBLANK(Table26[[#This Row],[customerSKU]]),"",_xlfn.XLOOKUP(Table26[[#This Row],[customerSKU]],Table27[customer_SKU],Table27[case_size],"",0,1))</f>
        <v/>
      </c>
      <c r="W983" s="117" t="str">
        <f t="shared" si="45"/>
        <v/>
      </c>
      <c r="X983" s="22" t="str">
        <f t="shared" si="46"/>
        <v/>
      </c>
      <c r="Y983" s="22" t="str">
        <f>IF(Table26[[#This Row],[customerSKU]]="","",_xlfn.XLOOKUP(Table26[[#This Row],[customerSKU]],Table27[customer_SKU],Table27[product_GTIN],"",0,1))</f>
        <v/>
      </c>
      <c r="Z983" s="25">
        <v>110184</v>
      </c>
      <c r="AA983" s="18" t="str" cm="1">
        <f t="array" ref="AA983">IF(P983="", "", _xlfn.XLOOKUP(P983,#REF!,#REF!,NA,0,-1))</f>
        <v/>
      </c>
      <c r="AB983" s="22"/>
      <c r="AC983" s="55" t="str">
        <f>IF(Table26[[#This Row],[customerSKU]]="","",_xlfn.XLOOKUP(Table26[[#This Row],[customerSKU]],customerSKU!G:G,customerSKU!C:C,"",0,1))</f>
        <v/>
      </c>
      <c r="AD983" s="55" t="str">
        <f>IF($AC983="","",_xlfn.XLOOKUP($AC983,'[2]Client Info'!$C$2:$C$2535,'[2]Client Info'!$D$2:$D$2535,"",0,1))</f>
        <v/>
      </c>
      <c r="AE983" s="55" t="str">
        <f>IF($AC983="","",_xlfn.XLOOKUP($AC983,'[2]Client Info'!$C$2:$C$2715,'[2]Client Info'!$E$2:$E$2715,"",))</f>
        <v/>
      </c>
      <c r="AF983" s="55" t="str">
        <f>IF($AC983="","",_xlfn.XLOOKUP($AC983,'[2]Client Info'!$C$2:$C$2715,'[2]Client Info'!$F$2:$F$2715,"",0,1))</f>
        <v/>
      </c>
      <c r="AG983" s="55" t="str">
        <f>IF(ISBLANK(Table26[[#This Row],[customerSKU]]),"",_xlfn.XLOOKUP(Table26[[#This Row],[customerSKU]],Table27[customer_SKU],Table27[billto],"",0,1))</f>
        <v/>
      </c>
      <c r="AH983" s="26" t="str">
        <f>_xlfn.XLOOKUP(Table26[[#This Row],[customerSKU]],customerSKU!G:G,customerSKU!K:K,"NA",0,1)</f>
        <v>NA</v>
      </c>
      <c r="AI983" s="43" t="str">
        <f>_xlfn.XLOOKUP(Table26[[#This Row],[customerSKU]],customerSKU!G:G,customerSKU!O:O,"not found",0,1)</f>
        <v>not found</v>
      </c>
      <c r="AJ983" s="22" t="e">
        <f>Table26[[#This Row],[unitprice]]*Table26[[#This Row],[quantity_unit]]</f>
        <v>#VALUE!</v>
      </c>
      <c r="AK983" s="22" t="e" cm="1">
        <f t="array" ref="AK9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4" spans="1:37" ht="18" customHeight="1">
      <c r="A984" s="42">
        <v>1261</v>
      </c>
      <c r="B984" s="27" t="s">
        <v>3520</v>
      </c>
      <c r="C984" s="53" t="s">
        <v>3360</v>
      </c>
      <c r="E984" s="20"/>
      <c r="F984" s="53"/>
      <c r="G984" s="17"/>
      <c r="J984" s="90" t="str">
        <f>IF(Table26[[#This Row],[customerSKU]]="","",_xlfn.XLOOKUP(Table26[[#This Row],[customerSKU]],customerSKU!G:G,customerSKU!A:A,"",0,1))</f>
        <v/>
      </c>
      <c r="K984" s="232">
        <v>45686</v>
      </c>
      <c r="L984" s="31" t="str">
        <f>IF(Table26[[#This Row],[customerSKU]]="","",_xlfn.XLOOKUP(Table26[[#This Row],[customerSKU]],customerSKU!G:G,customerSKU!B:B,"",0,1))</f>
        <v/>
      </c>
      <c r="M984" s="22"/>
      <c r="N984" s="15" t="str">
        <f>Table26[[#This Row],[po_number]]&amp;"-"&amp;Table26[[#This Row],[po_line]]</f>
        <v>-2</v>
      </c>
      <c r="O984" s="15">
        <v>2</v>
      </c>
      <c r="P984" s="29"/>
      <c r="Q984" s="22" t="s">
        <v>630</v>
      </c>
      <c r="R984" s="22" t="s">
        <v>532</v>
      </c>
      <c r="S984" s="22" t="str">
        <f>IF(Table26[[#This Row],[customerSKU]]="","",_xlfn.XLOOKUP(Table26[[#This Row],[customerSKU]],customerSKU!G:G,customerSKU!N:N,"NOT FOUND",0,1))</f>
        <v>NOT FOUND</v>
      </c>
      <c r="T984" s="20">
        <v>45574</v>
      </c>
      <c r="U984" s="21">
        <v>12</v>
      </c>
      <c r="V984" s="22" t="str">
        <f>IF(ISBLANK(Table26[[#This Row],[customerSKU]]),"",_xlfn.XLOOKUP(Table26[[#This Row],[customerSKU]],Table27[customer_SKU],Table27[case_size],"",0,1))</f>
        <v/>
      </c>
      <c r="W984" s="117" t="str">
        <f t="shared" si="45"/>
        <v/>
      </c>
      <c r="X984" s="22" t="str">
        <f t="shared" si="46"/>
        <v/>
      </c>
      <c r="Y984" s="22" t="str">
        <f>IF(Table26[[#This Row],[customerSKU]]="","",_xlfn.XLOOKUP(Table26[[#This Row],[customerSKU]],Table27[customer_SKU],Table27[product_GTIN],"",0,1))</f>
        <v/>
      </c>
      <c r="Z984" s="25">
        <v>110722</v>
      </c>
      <c r="AA984" s="18" t="str" cm="1">
        <f t="array" ref="AA984">IF(P984="", "", _xlfn.XLOOKUP(P984,#REF!,#REF!,NA,0,-1))</f>
        <v/>
      </c>
      <c r="AB984" s="22"/>
      <c r="AC984" s="55" t="str">
        <f>IF(Table26[[#This Row],[customerSKU]]="","",_xlfn.XLOOKUP(Table26[[#This Row],[customerSKU]],customerSKU!G:G,customerSKU!C:C,"",0,1))</f>
        <v/>
      </c>
      <c r="AD984" s="55" t="str">
        <f>IF($AC984="","",_xlfn.XLOOKUP($AC984,'[2]Client Info'!$C$2:$C$2535,'[2]Client Info'!$D$2:$D$2535,"",0,1))</f>
        <v/>
      </c>
      <c r="AE984" s="55" t="str">
        <f>IF($AC984="","",_xlfn.XLOOKUP($AC984,'[2]Client Info'!$C$2:$C$2715,'[2]Client Info'!$E$2:$E$2715,"",))</f>
        <v/>
      </c>
      <c r="AF984" s="55" t="str">
        <f>IF($AC984="","",_xlfn.XLOOKUP($AC984,'[2]Client Info'!$C$2:$C$2715,'[2]Client Info'!$F$2:$F$2715,"",0,1))</f>
        <v/>
      </c>
      <c r="AG984" s="55" t="str">
        <f>IF(ISBLANK(Table26[[#This Row],[customerSKU]]),"",_xlfn.XLOOKUP(Table26[[#This Row],[customerSKU]],Table27[customer_SKU],Table27[billto],"",0,1))</f>
        <v/>
      </c>
      <c r="AH984" s="26" t="str">
        <f>_xlfn.XLOOKUP(Table26[[#This Row],[customerSKU]],customerSKU!G:G,customerSKU!K:K,"NA",0,1)</f>
        <v>NA</v>
      </c>
      <c r="AI984" s="43" t="str">
        <f>_xlfn.XLOOKUP(Table26[[#This Row],[customerSKU]],customerSKU!G:G,customerSKU!O:O,"not found",0,1)</f>
        <v>not found</v>
      </c>
      <c r="AJ984" s="22" t="e">
        <f>Table26[[#This Row],[unitprice]]*Table26[[#This Row],[quantity_unit]]</f>
        <v>#VALUE!</v>
      </c>
      <c r="AK984" s="22" t="e" cm="1">
        <f t="array" ref="AK9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5" spans="1:37" ht="18" customHeight="1">
      <c r="A985" s="42">
        <v>1262</v>
      </c>
      <c r="B985" s="249" t="s">
        <v>3520</v>
      </c>
      <c r="C985" s="90" t="s">
        <v>203</v>
      </c>
      <c r="D985" s="235"/>
      <c r="E985" s="235"/>
      <c r="F98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85" s="119"/>
      <c r="H985" s="90"/>
      <c r="I985" s="90"/>
      <c r="J985" s="90" t="str">
        <f>IF(Table26[[#This Row],[customerSKU]]="","",_xlfn.XLOOKUP(Table26[[#This Row],[customerSKU]],customerSKU!G:G,customerSKU!A:A,"",0,1))</f>
        <v/>
      </c>
      <c r="K985" s="232">
        <v>45686</v>
      </c>
      <c r="L985" s="233" t="s">
        <v>504</v>
      </c>
      <c r="M985" s="90"/>
      <c r="N985" s="55" t="str">
        <f>Table26[[#This Row],[po_number]]&amp;"-"&amp;Table26[[#This Row],[po_line]]</f>
        <v>-1</v>
      </c>
      <c r="O985" s="55">
        <v>1</v>
      </c>
      <c r="P985" s="234"/>
      <c r="Q985" s="90" t="s">
        <v>659</v>
      </c>
      <c r="R985" s="90" t="s">
        <v>569</v>
      </c>
      <c r="S985" s="90" t="s">
        <v>114</v>
      </c>
      <c r="T985" s="20">
        <v>45638</v>
      </c>
      <c r="U985" s="236">
        <v>12</v>
      </c>
      <c r="V985" s="90" t="str">
        <f>IF(ISBLANK(Table26[[#This Row],[customerSKU]]),"",_xlfn.XLOOKUP(Table26[[#This Row],[customerSKU]],Table27[customer_SKU],Table27[case_size],"",0,1))</f>
        <v/>
      </c>
      <c r="W985" s="237" t="str">
        <f t="shared" si="45"/>
        <v/>
      </c>
      <c r="X985" s="90" t="str">
        <f t="shared" si="46"/>
        <v/>
      </c>
      <c r="Y985" s="90" t="str">
        <f>IF(Table26[[#This Row],[customerSKU]]="","",_xlfn.XLOOKUP(Table26[[#This Row],[customerSKU]],Table27[customer_SKU],Table27[product_GTIN],"",0,1))</f>
        <v/>
      </c>
      <c r="Z985" s="25" t="s">
        <v>3391</v>
      </c>
      <c r="AA985" s="18" t="str" cm="1">
        <f t="array" ref="AA985">IF(P985="", "", _xlfn.XLOOKUP(P985,#REF!,#REF!,NA,0,-1))</f>
        <v/>
      </c>
      <c r="AB985" s="90"/>
      <c r="AC985" s="55" t="s">
        <v>4133</v>
      </c>
      <c r="AD985" s="55" t="str">
        <f>IF($AC985="","",_xlfn.XLOOKUP($AC985,'[2]Client Info'!$C$2:$C$2535,'[2]Client Info'!$D$2:$D$2535,"",0,1))</f>
        <v>2580 Kingsway</v>
      </c>
      <c r="AE985" s="55" t="str">
        <f>IF($AC985="","",_xlfn.XLOOKUP($AC985,'[2]Client Info'!$C$2:$C$2715,'[2]Client Info'!$E$2:$E$2715,"",))</f>
        <v>Vancouver</v>
      </c>
      <c r="AF985" s="55" t="str">
        <f>IF($AC985="","",_xlfn.XLOOKUP($AC985,'[2]Client Info'!$C$2:$C$2715,'[2]Client Info'!$F$2:$F$2715,"",0,1))</f>
        <v xml:space="preserve">BC </v>
      </c>
      <c r="AG985" s="55" t="str">
        <f>IF(ISBLANK(Table26[[#This Row],[customerSKU]]),"",_xlfn.XLOOKUP(Table26[[#This Row],[customerSKU]],Table27[customer_SKU],Table27[billto],"",0,1))</f>
        <v/>
      </c>
      <c r="AH985" s="245" t="str">
        <f>_xlfn.XLOOKUP(Table26[[#This Row],[customerSKU]],customerSKU!G:G,customerSKU!K:K,"NA",0,1)</f>
        <v>NA</v>
      </c>
      <c r="AI985" s="43" t="str">
        <f>_xlfn.XLOOKUP(Table26[[#This Row],[customerSKU]],customerSKU!G:G,customerSKU!O:O,"not found",0,1)</f>
        <v>not found</v>
      </c>
      <c r="AJ985" s="22" t="e">
        <f>Table26[[#This Row],[unitprice]]*Table26[[#This Row],[quantity_unit]]</f>
        <v>#VALUE!</v>
      </c>
      <c r="AK985" s="22" t="e" cm="1">
        <f t="array" ref="AK9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6" spans="1:37" ht="18" customHeight="1">
      <c r="A986" s="42">
        <v>1263</v>
      </c>
      <c r="B986" s="249" t="s">
        <v>3520</v>
      </c>
      <c r="C986" s="90" t="s">
        <v>203</v>
      </c>
      <c r="D986" s="235"/>
      <c r="E986" s="235"/>
      <c r="F98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86" s="119"/>
      <c r="H986" s="90"/>
      <c r="I986" s="90"/>
      <c r="J986" s="90" t="str">
        <f>IF(Table26[[#This Row],[customerSKU]]="","",_xlfn.XLOOKUP(Table26[[#This Row],[customerSKU]],customerSKU!G:G,customerSKU!A:A,"",0,1))</f>
        <v/>
      </c>
      <c r="K986" s="232">
        <v>45686</v>
      </c>
      <c r="L986" s="233" t="s">
        <v>504</v>
      </c>
      <c r="M986" s="90"/>
      <c r="N986" s="55" t="str">
        <f>Table26[[#This Row],[po_number]]&amp;"-"&amp;Table26[[#This Row],[po_line]]</f>
        <v>-2</v>
      </c>
      <c r="O986" s="55">
        <v>2</v>
      </c>
      <c r="P986" s="234"/>
      <c r="Q986" s="90" t="s">
        <v>589</v>
      </c>
      <c r="R986" s="90" t="s">
        <v>3428</v>
      </c>
      <c r="S986" s="90" t="str">
        <f>IF(Table26[[#This Row],[customerSKU]]="","",_xlfn.XLOOKUP(Table26[[#This Row],[customerSKU]],customerSKU!G:G,customerSKU!N:N,"NOT FOUND",0,1))</f>
        <v>NOT FOUND</v>
      </c>
      <c r="T986" s="20">
        <v>45605</v>
      </c>
      <c r="U986" s="236">
        <v>12</v>
      </c>
      <c r="V986" s="90" t="str">
        <f>IF(ISBLANK(Table26[[#This Row],[customerSKU]]),"",_xlfn.XLOOKUP(Table26[[#This Row],[customerSKU]],Table27[customer_SKU],Table27[case_size],"",0,1))</f>
        <v/>
      </c>
      <c r="W986" s="237" t="str">
        <f t="shared" si="45"/>
        <v/>
      </c>
      <c r="X986" s="90" t="str">
        <f t="shared" si="46"/>
        <v/>
      </c>
      <c r="Y986" s="90" t="str">
        <f>IF(Table26[[#This Row],[customerSKU]]="","",_xlfn.XLOOKUP(Table26[[#This Row],[customerSKU]],Table27[customer_SKU],Table27[product_GTIN],"",0,1))</f>
        <v/>
      </c>
      <c r="Z986" s="25" t="s">
        <v>3432</v>
      </c>
      <c r="AA986" s="18" t="str" cm="1">
        <f t="array" ref="AA986">IF(P986="", "", _xlfn.XLOOKUP(P986,#REF!,#REF!,NA,0,-1))</f>
        <v/>
      </c>
      <c r="AB986" s="90"/>
      <c r="AC986" s="55" t="s">
        <v>4133</v>
      </c>
      <c r="AD986" s="55" t="str">
        <f>IF($AC986="","",_xlfn.XLOOKUP($AC986,'[2]Client Info'!$C$2:$C$2535,'[2]Client Info'!$D$2:$D$2535,"",0,1))</f>
        <v>2580 Kingsway</v>
      </c>
      <c r="AE986" s="55" t="str">
        <f>IF($AC986="","",_xlfn.XLOOKUP($AC986,'[2]Client Info'!$C$2:$C$2715,'[2]Client Info'!$E$2:$E$2715,"",))</f>
        <v>Vancouver</v>
      </c>
      <c r="AF986" s="55" t="str">
        <f>IF($AC986="","",_xlfn.XLOOKUP($AC986,'[2]Client Info'!$C$2:$C$2715,'[2]Client Info'!$F$2:$F$2715,"",0,1))</f>
        <v xml:space="preserve">BC </v>
      </c>
      <c r="AG986" s="55" t="str">
        <f>IF(ISBLANK(Table26[[#This Row],[customerSKU]]),"",_xlfn.XLOOKUP(Table26[[#This Row],[customerSKU]],Table27[customer_SKU],Table27[billto],"",0,1))</f>
        <v/>
      </c>
      <c r="AH986" s="245" t="str">
        <f>_xlfn.XLOOKUP(Table26[[#This Row],[customerSKU]],customerSKU!G:G,customerSKU!K:K,"NA",0,1)</f>
        <v>NA</v>
      </c>
      <c r="AI986" s="43" t="str">
        <f>_xlfn.XLOOKUP(Table26[[#This Row],[customerSKU]],customerSKU!G:G,customerSKU!O:O,"not found",0,1)</f>
        <v>not found</v>
      </c>
      <c r="AJ986" s="22" t="e">
        <f>Table26[[#This Row],[unitprice]]*Table26[[#This Row],[quantity_unit]]</f>
        <v>#VALUE!</v>
      </c>
      <c r="AK986" s="22" t="e" cm="1">
        <f t="array" ref="AK9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7" spans="1:37" ht="18" customHeight="1">
      <c r="A987" s="42">
        <v>1264</v>
      </c>
      <c r="B987" s="249" t="s">
        <v>3520</v>
      </c>
      <c r="C987" s="90" t="s">
        <v>203</v>
      </c>
      <c r="D987" s="235"/>
      <c r="E987" s="235"/>
      <c r="F98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87" s="119"/>
      <c r="H987" s="90"/>
      <c r="I987" s="90"/>
      <c r="J987" s="90" t="str">
        <f>IF(Table26[[#This Row],[customerSKU]]="","",_xlfn.XLOOKUP(Table26[[#This Row],[customerSKU]],customerSKU!G:G,customerSKU!A:A,"",0,1))</f>
        <v/>
      </c>
      <c r="K987" s="232">
        <v>45686</v>
      </c>
      <c r="L987" s="233" t="s">
        <v>504</v>
      </c>
      <c r="M987" s="90"/>
      <c r="N987" s="55" t="str">
        <f>Table26[[#This Row],[po_number]]&amp;"-"&amp;Table26[[#This Row],[po_line]]</f>
        <v>-3</v>
      </c>
      <c r="O987" s="55">
        <v>3</v>
      </c>
      <c r="P987" s="234"/>
      <c r="Q987" s="90" t="s">
        <v>630</v>
      </c>
      <c r="R987" s="90" t="s">
        <v>569</v>
      </c>
      <c r="S987" s="90" t="s">
        <v>114</v>
      </c>
      <c r="T987" s="20">
        <v>45581</v>
      </c>
      <c r="U987" s="236">
        <v>12</v>
      </c>
      <c r="V987" s="90" t="str">
        <f>IF(ISBLANK(Table26[[#This Row],[customerSKU]]),"",_xlfn.XLOOKUP(Table26[[#This Row],[customerSKU]],Table27[customer_SKU],Table27[case_size],"",0,1))</f>
        <v/>
      </c>
      <c r="W987" s="237" t="str">
        <f t="shared" si="45"/>
        <v/>
      </c>
      <c r="X987" s="90" t="str">
        <f t="shared" si="46"/>
        <v/>
      </c>
      <c r="Y987" s="90" t="str">
        <f>IF(Table26[[#This Row],[customerSKU]]="","",_xlfn.XLOOKUP(Table26[[#This Row],[customerSKU]],Table27[customer_SKU],Table27[product_GTIN],"",0,1))</f>
        <v/>
      </c>
      <c r="Z987" s="25" t="s">
        <v>3386</v>
      </c>
      <c r="AA987" s="18" t="str" cm="1">
        <f t="array" ref="AA987">IF(P987="", "", _xlfn.XLOOKUP(P987,#REF!,#REF!,NA,0,-1))</f>
        <v/>
      </c>
      <c r="AB987" s="90"/>
      <c r="AC987" s="55" t="s">
        <v>4133</v>
      </c>
      <c r="AD987" s="55" t="str">
        <f>IF($AC987="","",_xlfn.XLOOKUP($AC987,'[2]Client Info'!$C$2:$C$2535,'[2]Client Info'!$D$2:$D$2535,"",0,1))</f>
        <v>2580 Kingsway</v>
      </c>
      <c r="AE987" s="55" t="str">
        <f>IF($AC987="","",_xlfn.XLOOKUP($AC987,'[2]Client Info'!$C$2:$C$2715,'[2]Client Info'!$E$2:$E$2715,"",))</f>
        <v>Vancouver</v>
      </c>
      <c r="AF987" s="55" t="str">
        <f>IF($AC987="","",_xlfn.XLOOKUP($AC987,'[2]Client Info'!$C$2:$C$2715,'[2]Client Info'!$F$2:$F$2715,"",0,1))</f>
        <v xml:space="preserve">BC </v>
      </c>
      <c r="AG987" s="55" t="str">
        <f>IF(ISBLANK(Table26[[#This Row],[customerSKU]]),"",_xlfn.XLOOKUP(Table26[[#This Row],[customerSKU]],Table27[customer_SKU],Table27[billto],"",0,1))</f>
        <v/>
      </c>
      <c r="AH987" s="245" t="str">
        <f>_xlfn.XLOOKUP(Table26[[#This Row],[customerSKU]],customerSKU!G:G,customerSKU!K:K,"NA",0,1)</f>
        <v>NA</v>
      </c>
      <c r="AI987" s="43" t="str">
        <f>_xlfn.XLOOKUP(Table26[[#This Row],[customerSKU]],customerSKU!G:G,customerSKU!O:O,"not found",0,1)</f>
        <v>not found</v>
      </c>
      <c r="AJ987" s="22" t="e">
        <f>Table26[[#This Row],[unitprice]]*Table26[[#This Row],[quantity_unit]]</f>
        <v>#VALUE!</v>
      </c>
      <c r="AK987" s="22" t="e" cm="1">
        <f t="array" ref="AK9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8" spans="1:37" ht="18" customHeight="1">
      <c r="A988" s="42">
        <v>1265</v>
      </c>
      <c r="B988" s="249" t="s">
        <v>3520</v>
      </c>
      <c r="C988" s="90" t="s">
        <v>203</v>
      </c>
      <c r="D988" s="235"/>
      <c r="E988" s="235"/>
      <c r="F98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88" s="119"/>
      <c r="H988" s="90"/>
      <c r="I988" s="90"/>
      <c r="J988" s="90" t="str">
        <f>IF(Table26[[#This Row],[customerSKU]]="","",_xlfn.XLOOKUP(Table26[[#This Row],[customerSKU]],customerSKU!G:G,customerSKU!A:A,"",0,1))</f>
        <v/>
      </c>
      <c r="K988" s="232">
        <v>45686</v>
      </c>
      <c r="L988" s="233" t="str">
        <f>IF(Table26[[#This Row],[customerSKU]]="","",_xlfn.XLOOKUP(Table26[[#This Row],[customerSKU]],customerSKU!G:G,customerSKU!B:B,"",0,1))</f>
        <v/>
      </c>
      <c r="M988" s="90"/>
      <c r="N988" s="55" t="str">
        <f>Table26[[#This Row],[po_number]]&amp;"-"&amp;Table26[[#This Row],[po_line]]</f>
        <v>-1</v>
      </c>
      <c r="O988" s="55">
        <v>1</v>
      </c>
      <c r="P988" s="234"/>
      <c r="Q988" s="90" t="s">
        <v>828</v>
      </c>
      <c r="R988" s="90" t="s">
        <v>532</v>
      </c>
      <c r="S988" s="90" t="s">
        <v>13</v>
      </c>
      <c r="T988" s="20">
        <v>45593</v>
      </c>
      <c r="U988" s="236">
        <v>12</v>
      </c>
      <c r="V988" s="90" t="str">
        <f>IF(ISBLANK(Table26[[#This Row],[customerSKU]]),"",_xlfn.XLOOKUP(Table26[[#This Row],[customerSKU]],Table27[customer_SKU],Table27[case_size],"",0,1))</f>
        <v/>
      </c>
      <c r="W988" s="237" t="str">
        <f t="shared" si="45"/>
        <v/>
      </c>
      <c r="X988" s="90" t="str">
        <f t="shared" si="46"/>
        <v/>
      </c>
      <c r="Y988" s="90" t="str">
        <f>IF(Table26[[#This Row],[customerSKU]]="","",_xlfn.XLOOKUP(Table26[[#This Row],[customerSKU]],Table27[customer_SKU],Table27[product_GTIN],"",0,1))</f>
        <v/>
      </c>
      <c r="Z988" s="25" t="s">
        <v>3364</v>
      </c>
      <c r="AA988" s="18" t="str" cm="1">
        <f t="array" ref="AA988">IF(P988="", "", _xlfn.XLOOKUP(P988,#REF!,#REF!,NA,0,-1))</f>
        <v/>
      </c>
      <c r="AB988" s="90"/>
      <c r="AC988" s="55" t="s">
        <v>111</v>
      </c>
      <c r="AD988" s="55" t="str">
        <f>IF($AC988="","",_xlfn.XLOOKUP($AC988,'[2]Client Info'!$C$2:$C$2535,'[2]Client Info'!$D$2:$D$2535,"",0,1))</f>
        <v>Unit 101, 3596 Kingsway</v>
      </c>
      <c r="AE988" s="55" t="str">
        <f>IF($AC988="","",_xlfn.XLOOKUP($AC988,'[2]Client Info'!$C$2:$C$2715,'[2]Client Info'!$E$2:$E$2715,"",))</f>
        <v>Vancouver</v>
      </c>
      <c r="AF988" s="55" t="str">
        <f>IF($AC988="","",_xlfn.XLOOKUP($AC988,'[2]Client Info'!$C$2:$C$2715,'[2]Client Info'!$F$2:$F$2715,"",0,1))</f>
        <v xml:space="preserve">BC </v>
      </c>
      <c r="AG988" s="55" t="s">
        <v>111</v>
      </c>
      <c r="AH988" s="245" t="str">
        <f>_xlfn.XLOOKUP(Table26[[#This Row],[customerSKU]],customerSKU!G:G,customerSKU!K:K,"NA",0,1)</f>
        <v>NA</v>
      </c>
      <c r="AI988" s="43" t="str">
        <f>_xlfn.XLOOKUP(Table26[[#This Row],[customerSKU]],customerSKU!G:G,customerSKU!O:O,"not found",0,1)</f>
        <v>not found</v>
      </c>
      <c r="AJ988" s="22" t="e">
        <f>Table26[[#This Row],[unitprice]]*Table26[[#This Row],[quantity_unit]]</f>
        <v>#VALUE!</v>
      </c>
      <c r="AK988" s="22" t="e" cm="1">
        <f t="array" ref="AK9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89" spans="1:37" ht="18" customHeight="1">
      <c r="A989" s="42">
        <v>1266</v>
      </c>
      <c r="B989" s="249" t="s">
        <v>3520</v>
      </c>
      <c r="C989" s="90" t="s">
        <v>203</v>
      </c>
      <c r="D989" s="235"/>
      <c r="E989" s="235"/>
      <c r="F98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89" s="119"/>
      <c r="H989" s="90"/>
      <c r="I989" s="90"/>
      <c r="J989" s="90" t="str">
        <f>IF(Table26[[#This Row],[customerSKU]]="","",_xlfn.XLOOKUP(Table26[[#This Row],[customerSKU]],customerSKU!G:G,customerSKU!A:A,"",0,1))</f>
        <v/>
      </c>
      <c r="K989" s="232">
        <v>45686</v>
      </c>
      <c r="L989" s="233" t="str">
        <f>IF(Table26[[#This Row],[customerSKU]]="","",_xlfn.XLOOKUP(Table26[[#This Row],[customerSKU]],customerSKU!G:G,customerSKU!B:B,"",0,1))</f>
        <v/>
      </c>
      <c r="M989" s="90"/>
      <c r="N989" s="55" t="str">
        <f>Table26[[#This Row],[po_number]]&amp;"-"&amp;Table26[[#This Row],[po_line]]</f>
        <v>-2</v>
      </c>
      <c r="O989" s="55">
        <v>2</v>
      </c>
      <c r="P989" s="234"/>
      <c r="Q989" s="90" t="s">
        <v>4086</v>
      </c>
      <c r="R989" s="90" t="s">
        <v>532</v>
      </c>
      <c r="S989" s="90" t="s">
        <v>13</v>
      </c>
      <c r="T989" s="20">
        <v>45631</v>
      </c>
      <c r="U989" s="236">
        <v>12</v>
      </c>
      <c r="V989" s="90" t="str">
        <f>IF(ISBLANK(Table26[[#This Row],[customerSKU]]),"",_xlfn.XLOOKUP(Table26[[#This Row],[customerSKU]],Table27[customer_SKU],Table27[case_size],"",0,1))</f>
        <v/>
      </c>
      <c r="W989" s="237" t="str">
        <f t="shared" si="45"/>
        <v/>
      </c>
      <c r="X989" s="90" t="str">
        <f t="shared" si="46"/>
        <v/>
      </c>
      <c r="Y989" s="90" t="str">
        <f>IF(Table26[[#This Row],[customerSKU]]="","",_xlfn.XLOOKUP(Table26[[#This Row],[customerSKU]],Table27[customer_SKU],Table27[product_GTIN],"",0,1))</f>
        <v/>
      </c>
      <c r="Z989" s="25" t="s">
        <v>3372</v>
      </c>
      <c r="AA989" s="18" t="str" cm="1">
        <f t="array" ref="AA989">IF(P989="", "", _xlfn.XLOOKUP(P989,#REF!,#REF!,NA,0,-1))</f>
        <v/>
      </c>
      <c r="AB989" s="90"/>
      <c r="AC989" s="55" t="s">
        <v>111</v>
      </c>
      <c r="AD989" s="55" t="str">
        <f>IF($AC989="","",_xlfn.XLOOKUP($AC989,'[2]Client Info'!$C$2:$C$2535,'[2]Client Info'!$D$2:$D$2535,"",0,1))</f>
        <v>Unit 101, 3596 Kingsway</v>
      </c>
      <c r="AE989" s="55" t="str">
        <f>IF($AC989="","",_xlfn.XLOOKUP($AC989,'[2]Client Info'!$C$2:$C$2715,'[2]Client Info'!$E$2:$E$2715,"",))</f>
        <v>Vancouver</v>
      </c>
      <c r="AF989" s="55" t="str">
        <f>IF($AC989="","",_xlfn.XLOOKUP($AC989,'[2]Client Info'!$C$2:$C$2715,'[2]Client Info'!$F$2:$F$2715,"",0,1))</f>
        <v xml:space="preserve">BC </v>
      </c>
      <c r="AG989" s="55" t="s">
        <v>111</v>
      </c>
      <c r="AH989" s="245" t="str">
        <f>_xlfn.XLOOKUP(Table26[[#This Row],[customerSKU]],customerSKU!G:G,customerSKU!K:K,"NA",0,1)</f>
        <v>NA</v>
      </c>
      <c r="AI989" s="43" t="str">
        <f>_xlfn.XLOOKUP(Table26[[#This Row],[customerSKU]],customerSKU!G:G,customerSKU!O:O,"not found",0,1)</f>
        <v>not found</v>
      </c>
      <c r="AJ989" s="22" t="e">
        <f>Table26[[#This Row],[unitprice]]*Table26[[#This Row],[quantity_unit]]</f>
        <v>#VALUE!</v>
      </c>
      <c r="AK989" s="22" t="e" cm="1">
        <f t="array" ref="AK9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0" spans="1:37" ht="18" customHeight="1">
      <c r="A990" s="42">
        <v>1267</v>
      </c>
      <c r="B990" s="249" t="s">
        <v>3520</v>
      </c>
      <c r="C990" s="90" t="s">
        <v>203</v>
      </c>
      <c r="D990" s="235"/>
      <c r="E990" s="235"/>
      <c r="F99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90" s="119"/>
      <c r="H990" s="90"/>
      <c r="I990" s="90"/>
      <c r="J990" s="90" t="str">
        <f>IF(Table26[[#This Row],[customerSKU]]="","",_xlfn.XLOOKUP(Table26[[#This Row],[customerSKU]],customerSKU!G:G,customerSKU!A:A,"",0,1))</f>
        <v/>
      </c>
      <c r="K990" s="232">
        <v>45686</v>
      </c>
      <c r="L990" s="233" t="str">
        <f>IF(Table26[[#This Row],[customerSKU]]="","",_xlfn.XLOOKUP(Table26[[#This Row],[customerSKU]],customerSKU!G:G,customerSKU!B:B,"",0,1))</f>
        <v/>
      </c>
      <c r="M990" s="90"/>
      <c r="N990" s="55" t="str">
        <f>Table26[[#This Row],[po_number]]&amp;"-"&amp;Table26[[#This Row],[po_line]]</f>
        <v>-3</v>
      </c>
      <c r="O990" s="55">
        <v>3</v>
      </c>
      <c r="P990" s="234"/>
      <c r="Q990" s="90" t="s">
        <v>1134</v>
      </c>
      <c r="R990" s="90" t="s">
        <v>532</v>
      </c>
      <c r="S990" s="90" t="s">
        <v>13</v>
      </c>
      <c r="T990" s="20">
        <v>45588</v>
      </c>
      <c r="U990" s="236">
        <v>12</v>
      </c>
      <c r="V990" s="90" t="str">
        <f>IF(ISBLANK(Table26[[#This Row],[customerSKU]]),"",_xlfn.XLOOKUP(Table26[[#This Row],[customerSKU]],Table27[customer_SKU],Table27[case_size],"",0,1))</f>
        <v/>
      </c>
      <c r="W990" s="237" t="str">
        <f t="shared" si="45"/>
        <v/>
      </c>
      <c r="X990" s="90" t="str">
        <f t="shared" si="46"/>
        <v/>
      </c>
      <c r="Y990" s="90" t="str">
        <f>IF(Table26[[#This Row],[customerSKU]]="","",_xlfn.XLOOKUP(Table26[[#This Row],[customerSKU]],Table27[customer_SKU],Table27[product_GTIN],"",0,1))</f>
        <v/>
      </c>
      <c r="Z990" s="25" t="s">
        <v>3406</v>
      </c>
      <c r="AA990" s="18" t="str" cm="1">
        <f t="array" ref="AA990">IF(P990="", "", _xlfn.XLOOKUP(P990,#REF!,#REF!,NA,0,-1))</f>
        <v/>
      </c>
      <c r="AB990" s="90"/>
      <c r="AC990" s="55" t="s">
        <v>111</v>
      </c>
      <c r="AD990" s="55" t="str">
        <f>IF($AC990="","",_xlfn.XLOOKUP($AC990,'[2]Client Info'!$C$2:$C$2535,'[2]Client Info'!$D$2:$D$2535,"",0,1))</f>
        <v>Unit 101, 3596 Kingsway</v>
      </c>
      <c r="AE990" s="55" t="str">
        <f>IF($AC990="","",_xlfn.XLOOKUP($AC990,'[2]Client Info'!$C$2:$C$2715,'[2]Client Info'!$E$2:$E$2715,"",))</f>
        <v>Vancouver</v>
      </c>
      <c r="AF990" s="55" t="str">
        <f>IF($AC990="","",_xlfn.XLOOKUP($AC990,'[2]Client Info'!$C$2:$C$2715,'[2]Client Info'!$F$2:$F$2715,"",0,1))</f>
        <v xml:space="preserve">BC </v>
      </c>
      <c r="AG990" s="55" t="s">
        <v>111</v>
      </c>
      <c r="AH990" s="245" t="str">
        <f>_xlfn.XLOOKUP(Table26[[#This Row],[customerSKU]],customerSKU!G:G,customerSKU!K:K,"NA",0,1)</f>
        <v>NA</v>
      </c>
      <c r="AI990" s="43" t="str">
        <f>_xlfn.XLOOKUP(Table26[[#This Row],[customerSKU]],customerSKU!G:G,customerSKU!O:O,"not found",0,1)</f>
        <v>not found</v>
      </c>
      <c r="AJ990" s="22" t="e">
        <f>Table26[[#This Row],[unitprice]]*Table26[[#This Row],[quantity_unit]]</f>
        <v>#VALUE!</v>
      </c>
      <c r="AK990" s="22" t="e" cm="1">
        <f t="array" ref="AK9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1" spans="1:37" ht="18" customHeight="1">
      <c r="A991" s="42">
        <v>1268</v>
      </c>
      <c r="B991" s="249" t="s">
        <v>3520</v>
      </c>
      <c r="C991" s="90" t="s">
        <v>203</v>
      </c>
      <c r="D991" s="235"/>
      <c r="E991" s="235"/>
      <c r="F99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91" s="119"/>
      <c r="H991" s="90"/>
      <c r="I991" s="90"/>
      <c r="J991" s="90" t="str">
        <f>IF(Table26[[#This Row],[customerSKU]]="","",_xlfn.XLOOKUP(Table26[[#This Row],[customerSKU]],customerSKU!G:G,customerSKU!A:A,"",0,1))</f>
        <v/>
      </c>
      <c r="K991" s="232">
        <v>45686</v>
      </c>
      <c r="L991" s="233" t="str">
        <f>IF(Table26[[#This Row],[customerSKU]]="","",_xlfn.XLOOKUP(Table26[[#This Row],[customerSKU]],customerSKU!G:G,customerSKU!B:B,"",0,1))</f>
        <v/>
      </c>
      <c r="M991" s="90"/>
      <c r="N991" s="55" t="str">
        <f>Table26[[#This Row],[po_number]]&amp;"-"&amp;Table26[[#This Row],[po_line]]</f>
        <v>-4</v>
      </c>
      <c r="O991" s="55">
        <v>4</v>
      </c>
      <c r="P991" s="234"/>
      <c r="Q991" s="90" t="s">
        <v>656</v>
      </c>
      <c r="R991" s="90" t="s">
        <v>532</v>
      </c>
      <c r="S991" s="90" t="s">
        <v>13</v>
      </c>
      <c r="T991" s="20">
        <v>45642</v>
      </c>
      <c r="U991" s="236">
        <v>12</v>
      </c>
      <c r="V991" s="90" t="str">
        <f>IF(ISBLANK(Table26[[#This Row],[customerSKU]]),"",_xlfn.XLOOKUP(Table26[[#This Row],[customerSKU]],Table27[customer_SKU],Table27[case_size],"",0,1))</f>
        <v/>
      </c>
      <c r="W991" s="237" t="str">
        <f t="shared" si="45"/>
        <v/>
      </c>
      <c r="X991" s="90" t="str">
        <f t="shared" si="46"/>
        <v/>
      </c>
      <c r="Y991" s="90" t="str">
        <f>IF(Table26[[#This Row],[customerSKU]]="","",_xlfn.XLOOKUP(Table26[[#This Row],[customerSKU]],Table27[customer_SKU],Table27[product_GTIN],"",0,1))</f>
        <v/>
      </c>
      <c r="Z991" s="25" t="s">
        <v>3367</v>
      </c>
      <c r="AA991" s="18" t="str" cm="1">
        <f t="array" ref="AA991">IF(P991="", "", _xlfn.XLOOKUP(P991,#REF!,#REF!,NA,0,-1))</f>
        <v/>
      </c>
      <c r="AB991" s="90"/>
      <c r="AC991" s="55" t="s">
        <v>111</v>
      </c>
      <c r="AD991" s="55" t="str">
        <f>IF($AC991="","",_xlfn.XLOOKUP($AC991,'[2]Client Info'!$C$2:$C$2535,'[2]Client Info'!$D$2:$D$2535,"",0,1))</f>
        <v>Unit 101, 3596 Kingsway</v>
      </c>
      <c r="AE991" s="55" t="str">
        <f>IF($AC991="","",_xlfn.XLOOKUP($AC991,'[2]Client Info'!$C$2:$C$2715,'[2]Client Info'!$E$2:$E$2715,"",))</f>
        <v>Vancouver</v>
      </c>
      <c r="AF991" s="55" t="str">
        <f>IF($AC991="","",_xlfn.XLOOKUP($AC991,'[2]Client Info'!$C$2:$C$2715,'[2]Client Info'!$F$2:$F$2715,"",0,1))</f>
        <v xml:space="preserve">BC </v>
      </c>
      <c r="AG991" s="55" t="s">
        <v>111</v>
      </c>
      <c r="AH991" s="245" t="str">
        <f>_xlfn.XLOOKUP(Table26[[#This Row],[customerSKU]],customerSKU!G:G,customerSKU!K:K,"NA",0,1)</f>
        <v>NA</v>
      </c>
      <c r="AI991" s="43" t="str">
        <f>_xlfn.XLOOKUP(Table26[[#This Row],[customerSKU]],customerSKU!G:G,customerSKU!O:O,"not found",0,1)</f>
        <v>not found</v>
      </c>
      <c r="AJ991" s="22" t="e">
        <f>Table26[[#This Row],[unitprice]]*Table26[[#This Row],[quantity_unit]]</f>
        <v>#VALUE!</v>
      </c>
      <c r="AK991" s="22" t="e" cm="1">
        <f t="array" ref="AK9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2" spans="1:37" ht="18" customHeight="1">
      <c r="A992" s="42">
        <v>1269</v>
      </c>
      <c r="B992" s="249" t="s">
        <v>3520</v>
      </c>
      <c r="C992" s="90" t="s">
        <v>203</v>
      </c>
      <c r="D992" s="235"/>
      <c r="E992" s="235"/>
      <c r="F99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92" s="119"/>
      <c r="H992" s="90"/>
      <c r="I992" s="90"/>
      <c r="J992" s="90" t="str">
        <f>IF(Table26[[#This Row],[customerSKU]]="","",_xlfn.XLOOKUP(Table26[[#This Row],[customerSKU]],customerSKU!G:G,customerSKU!A:A,"",0,1))</f>
        <v/>
      </c>
      <c r="K992" s="232">
        <v>45686</v>
      </c>
      <c r="L992" s="233" t="str">
        <f>IF(Table26[[#This Row],[customerSKU]]="","",_xlfn.XLOOKUP(Table26[[#This Row],[customerSKU]],customerSKU!G:G,customerSKU!B:B,"",0,1))</f>
        <v/>
      </c>
      <c r="M992" s="90"/>
      <c r="N992" s="55" t="str">
        <f>Table26[[#This Row],[po_number]]&amp;"-"&amp;Table26[[#This Row],[po_line]]</f>
        <v>-5</v>
      </c>
      <c r="O992" s="55">
        <v>5</v>
      </c>
      <c r="P992" s="234"/>
      <c r="Q992" s="90" t="s">
        <v>3378</v>
      </c>
      <c r="R992" s="90" t="s">
        <v>532</v>
      </c>
      <c r="S992" s="90" t="s">
        <v>13</v>
      </c>
      <c r="T992" s="20">
        <v>45666</v>
      </c>
      <c r="U992" s="236">
        <v>12</v>
      </c>
      <c r="V992" s="90" t="str">
        <f>IF(ISBLANK(Table26[[#This Row],[customerSKU]]),"",_xlfn.XLOOKUP(Table26[[#This Row],[customerSKU]],Table27[customer_SKU],Table27[case_size],"",0,1))</f>
        <v/>
      </c>
      <c r="W992" s="237" t="str">
        <f t="shared" si="45"/>
        <v/>
      </c>
      <c r="X992" s="90" t="str">
        <f t="shared" si="46"/>
        <v/>
      </c>
      <c r="Y992" s="90" t="str">
        <f>IF(Table26[[#This Row],[customerSKU]]="","",_xlfn.XLOOKUP(Table26[[#This Row],[customerSKU]],Table27[customer_SKU],Table27[product_GTIN],"",0,1))</f>
        <v/>
      </c>
      <c r="Z992" s="25" t="s">
        <v>3379</v>
      </c>
      <c r="AA992" s="18" t="str" cm="1">
        <f t="array" ref="AA992">IF(P992="", "", _xlfn.XLOOKUP(P992,#REF!,#REF!,NA,0,-1))</f>
        <v/>
      </c>
      <c r="AB992" s="90"/>
      <c r="AC992" s="55" t="s">
        <v>111</v>
      </c>
      <c r="AD992" s="55" t="str">
        <f>IF($AC992="","",_xlfn.XLOOKUP($AC992,'[2]Client Info'!$C$2:$C$2535,'[2]Client Info'!$D$2:$D$2535,"",0,1))</f>
        <v>Unit 101, 3596 Kingsway</v>
      </c>
      <c r="AE992" s="55" t="str">
        <f>IF($AC992="","",_xlfn.XLOOKUP($AC992,'[2]Client Info'!$C$2:$C$2715,'[2]Client Info'!$E$2:$E$2715,"",))</f>
        <v>Vancouver</v>
      </c>
      <c r="AF992" s="55" t="str">
        <f>IF($AC992="","",_xlfn.XLOOKUP($AC992,'[2]Client Info'!$C$2:$C$2715,'[2]Client Info'!$F$2:$F$2715,"",0,1))</f>
        <v xml:space="preserve">BC </v>
      </c>
      <c r="AG992" s="55" t="s">
        <v>111</v>
      </c>
      <c r="AH992" s="245" t="str">
        <f>_xlfn.XLOOKUP(Table26[[#This Row],[customerSKU]],customerSKU!G:G,customerSKU!K:K,"NA",0,1)</f>
        <v>NA</v>
      </c>
      <c r="AI992" s="43" t="str">
        <f>_xlfn.XLOOKUP(Table26[[#This Row],[customerSKU]],customerSKU!G:G,customerSKU!O:O,"not found",0,1)</f>
        <v>not found</v>
      </c>
      <c r="AJ992" s="22" t="e">
        <f>Table26[[#This Row],[unitprice]]*Table26[[#This Row],[quantity_unit]]</f>
        <v>#VALUE!</v>
      </c>
      <c r="AK992" s="22" t="e" cm="1">
        <f t="array" ref="AK9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3" spans="1:37" ht="18" customHeight="1">
      <c r="A993" s="42">
        <v>1255</v>
      </c>
      <c r="B993" s="27" t="s">
        <v>3520</v>
      </c>
      <c r="C993" s="22" t="s">
        <v>203</v>
      </c>
      <c r="E993" s="20"/>
      <c r="F993" s="17"/>
      <c r="G993" s="17"/>
      <c r="J993" s="90" t="str">
        <f>IF(Table26[[#This Row],[customerSKU]]="","",_xlfn.XLOOKUP(Table26[[#This Row],[customerSKU]],customerSKU!G:G,customerSKU!A:A,"",0,1))</f>
        <v/>
      </c>
      <c r="K993" s="232">
        <v>45687</v>
      </c>
      <c r="L993" s="31" t="str">
        <f>IF(Table26[[#This Row],[customerSKU]]="","",_xlfn.XLOOKUP(Table26[[#This Row],[customerSKU]],customerSKU!G:G,customerSKU!B:B,"",0,1))</f>
        <v/>
      </c>
      <c r="M993" s="22"/>
      <c r="N993" s="15" t="str">
        <f>Table26[[#This Row],[po_number]]&amp;"-"&amp;Table26[[#This Row],[po_line]]</f>
        <v>-1</v>
      </c>
      <c r="O993" s="15">
        <v>1</v>
      </c>
      <c r="P993" s="50"/>
      <c r="Q993" s="22" t="s">
        <v>4114</v>
      </c>
      <c r="R993" s="22" t="s">
        <v>569</v>
      </c>
      <c r="S993" s="22" t="str">
        <f>IF(Table26[[#This Row],[customerSKU]]="","",_xlfn.XLOOKUP(Table26[[#This Row],[customerSKU]],customerSKU!G:G,customerSKU!N:N,"NOT FOUND",0,1))</f>
        <v>NOT FOUND</v>
      </c>
      <c r="T993" s="20">
        <v>45662</v>
      </c>
      <c r="U993" s="21">
        <f>12*34</f>
        <v>408</v>
      </c>
      <c r="V993" s="22" t="str">
        <f>IF(ISBLANK(Table26[[#This Row],[customerSKU]]),"",_xlfn.XLOOKUP(Table26[[#This Row],[customerSKU]],Table27[customer_SKU],Table27[case_size],"",0,1))</f>
        <v/>
      </c>
      <c r="W993" s="117" t="str">
        <f t="shared" si="45"/>
        <v/>
      </c>
      <c r="X993" s="22" t="str">
        <f t="shared" si="46"/>
        <v/>
      </c>
      <c r="Y993" s="22" t="str">
        <f>IF(Table26[[#This Row],[customerSKU]]="","",_xlfn.XLOOKUP(Table26[[#This Row],[customerSKU]],Table27[customer_SKU],Table27[product_GTIN],"",0,1))</f>
        <v/>
      </c>
      <c r="Z993" s="25" t="s">
        <v>3411</v>
      </c>
      <c r="AA993" s="18" t="str" cm="1">
        <f t="array" ref="AA993">IF(P993="", "", _xlfn.XLOOKUP(P993,#REF!,#REF!,NA,0,-1))</f>
        <v/>
      </c>
      <c r="AB993" s="22"/>
      <c r="AC993" s="55" t="str">
        <f>IF(Table26[[#This Row],[customerSKU]]="","",_xlfn.XLOOKUP(Table26[[#This Row],[customerSKU]],customerSKU!G:G,customerSKU!C:C,"",0,1))</f>
        <v/>
      </c>
      <c r="AD993" s="55" t="str">
        <f>IF($AC993="","",_xlfn.XLOOKUP($AC993,'[2]Client Info'!$C$2:$C$2535,'[2]Client Info'!$D$2:$D$2535,"",0,1))</f>
        <v/>
      </c>
      <c r="AE993" s="55" t="str">
        <f>IF($AC993="","",_xlfn.XLOOKUP($AC993,'[2]Client Info'!$C$2:$C$2715,'[2]Client Info'!$E$2:$E$2715,"",))</f>
        <v/>
      </c>
      <c r="AF993" s="55" t="str">
        <f>IF($AC993="","",_xlfn.XLOOKUP($AC993,'[2]Client Info'!$C$2:$C$2715,'[2]Client Info'!$F$2:$F$2715,"",0,1))</f>
        <v/>
      </c>
      <c r="AG993" s="55" t="str">
        <f>IF(ISBLANK(Table26[[#This Row],[customerSKU]]),"",_xlfn.XLOOKUP(Table26[[#This Row],[customerSKU]],Table27[customer_SKU],Table27[billto],"",0,1))</f>
        <v/>
      </c>
      <c r="AH993" s="26" t="str">
        <f>_xlfn.XLOOKUP(Table26[[#This Row],[customerSKU]],customerSKU!G:G,customerSKU!K:K,"NA",0,1)</f>
        <v>NA</v>
      </c>
      <c r="AI993" s="43" t="str">
        <f>_xlfn.XLOOKUP(Table26[[#This Row],[customerSKU]],customerSKU!G:G,customerSKU!O:O,"not found",0,1)</f>
        <v>not found</v>
      </c>
      <c r="AJ993" s="22" t="e">
        <f>Table26[[#This Row],[unitprice]]*Table26[[#This Row],[quantity_unit]]</f>
        <v>#VALUE!</v>
      </c>
      <c r="AK993" s="22" t="e" cm="1">
        <f t="array" ref="AK9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4" spans="1:37" ht="18" customHeight="1">
      <c r="A994" s="42">
        <v>1256</v>
      </c>
      <c r="B994" s="249" t="s">
        <v>3520</v>
      </c>
      <c r="C994" s="90" t="s">
        <v>203</v>
      </c>
      <c r="D994" s="235"/>
      <c r="E994" s="235"/>
      <c r="F99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94" s="119"/>
      <c r="H994" s="90"/>
      <c r="I994" s="90"/>
      <c r="J994" s="90" t="str">
        <f>IF(Table26[[#This Row],[customerSKU]]="","",_xlfn.XLOOKUP(Table26[[#This Row],[customerSKU]],customerSKU!G:G,customerSKU!A:A,"",0,1))</f>
        <v/>
      </c>
      <c r="K994" s="232">
        <v>45687</v>
      </c>
      <c r="L994" s="233" t="str">
        <f>IF(Table26[[#This Row],[customerSKU]]="","",_xlfn.XLOOKUP(Table26[[#This Row],[customerSKU]],customerSKU!G:G,customerSKU!B:B,"",0,1))</f>
        <v/>
      </c>
      <c r="M994" s="90"/>
      <c r="N994" s="55" t="str">
        <f>Table26[[#This Row],[po_number]]&amp;"-"&amp;Table26[[#This Row],[po_line]]</f>
        <v>-1</v>
      </c>
      <c r="O994" s="55">
        <v>1</v>
      </c>
      <c r="P994" s="234"/>
      <c r="Q994" s="90" t="s">
        <v>1619</v>
      </c>
      <c r="R994" s="90" t="s">
        <v>569</v>
      </c>
      <c r="S994" s="90" t="str">
        <f>IF(Table26[[#This Row],[customerSKU]]="","",_xlfn.XLOOKUP(Table26[[#This Row],[customerSKU]],customerSKU!G:G,customerSKU!N:N,"NOT FOUND",0,1))</f>
        <v>NOT FOUND</v>
      </c>
      <c r="T994" s="20">
        <v>45682</v>
      </c>
      <c r="U994" s="236">
        <v>144</v>
      </c>
      <c r="V994" s="90" t="str">
        <f>IF(ISBLANK(Table26[[#This Row],[customerSKU]]),"",_xlfn.XLOOKUP(Table26[[#This Row],[customerSKU]],Table27[customer_SKU],Table27[case_size],"",0,1))</f>
        <v/>
      </c>
      <c r="W994" s="237" t="str">
        <f t="shared" si="45"/>
        <v/>
      </c>
      <c r="X994" s="90" t="str">
        <f t="shared" si="46"/>
        <v/>
      </c>
      <c r="Y994" s="90" t="str">
        <f>IF(Table26[[#This Row],[customerSKU]]="","",_xlfn.XLOOKUP(Table26[[#This Row],[customerSKU]],Table27[customer_SKU],Table27[product_GTIN],"",0,1))</f>
        <v/>
      </c>
      <c r="Z994" s="25" t="s">
        <v>3435</v>
      </c>
      <c r="AA994" s="18" t="str" cm="1">
        <f t="array" ref="AA994">IF(P994="", "", _xlfn.XLOOKUP(P994,#REF!,#REF!,NA,0,-1))</f>
        <v/>
      </c>
      <c r="AB994" s="90"/>
      <c r="AC994" s="55" t="s">
        <v>4084</v>
      </c>
      <c r="AD994" s="55" t="str">
        <f>IF($AC994="","",_xlfn.XLOOKUP($AC994,'[2]Client Info'!$C$2:$C$2535,'[2]Client Info'!$D$2:$D$2535,"",0,1))</f>
        <v>1502 BROADWAY ST #3120</v>
      </c>
      <c r="AE994" s="55" t="str">
        <f>IF($AC994="","",_xlfn.XLOOKUP($AC994,'[2]Client Info'!$C$2:$C$2715,'[2]Client Info'!$E$2:$E$2715,"",))</f>
        <v>PORT COQUITLAM</v>
      </c>
      <c r="AF994" s="55" t="str">
        <f>IF($AC994="","",_xlfn.XLOOKUP($AC994,'[2]Client Info'!$C$2:$C$2715,'[2]Client Info'!$F$2:$F$2715,"",0,1))</f>
        <v xml:space="preserve">BC </v>
      </c>
      <c r="AG994" s="55" t="s">
        <v>4084</v>
      </c>
      <c r="AH994" s="245" t="str">
        <f>_xlfn.XLOOKUP(Table26[[#This Row],[customerSKU]],customerSKU!G:G,customerSKU!K:K,"NA",0,1)</f>
        <v>NA</v>
      </c>
      <c r="AI994" s="43" t="str">
        <f>_xlfn.XLOOKUP(Table26[[#This Row],[customerSKU]],customerSKU!G:G,customerSKU!O:O,"not found",0,1)</f>
        <v>not found</v>
      </c>
      <c r="AJ994" s="22" t="e">
        <f>Table26[[#This Row],[unitprice]]*Table26[[#This Row],[quantity_unit]]</f>
        <v>#VALUE!</v>
      </c>
      <c r="AK994" s="22" t="e" cm="1">
        <f t="array" ref="AK9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5" spans="1:37" ht="18" customHeight="1">
      <c r="A995" s="42">
        <v>1257</v>
      </c>
      <c r="B995" s="249" t="s">
        <v>3520</v>
      </c>
      <c r="C995" s="90" t="s">
        <v>203</v>
      </c>
      <c r="D995" s="235"/>
      <c r="E995" s="235"/>
      <c r="F99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995" s="119"/>
      <c r="H995" s="90"/>
      <c r="I995" s="90"/>
      <c r="J995" s="90" t="str">
        <f>IF(Table26[[#This Row],[customerSKU]]="","",_xlfn.XLOOKUP(Table26[[#This Row],[customerSKU]],customerSKU!G:G,customerSKU!A:A,"",0,1))</f>
        <v/>
      </c>
      <c r="K995" s="232">
        <v>45687</v>
      </c>
      <c r="L995" s="233" t="str">
        <f>IF(Table26[[#This Row],[customerSKU]]="","",_xlfn.XLOOKUP(Table26[[#This Row],[customerSKU]],customerSKU!G:G,customerSKU!B:B,"",0,1))</f>
        <v/>
      </c>
      <c r="M995" s="90"/>
      <c r="N995" s="55" t="str">
        <f>Table26[[#This Row],[po_number]]&amp;"-"&amp;Table26[[#This Row],[po_line]]</f>
        <v>-2</v>
      </c>
      <c r="O995" s="55">
        <v>2</v>
      </c>
      <c r="P995" s="234"/>
      <c r="Q995" s="90" t="s">
        <v>1615</v>
      </c>
      <c r="R995" s="90" t="s">
        <v>569</v>
      </c>
      <c r="S995" s="90" t="str">
        <f>IF(Table26[[#This Row],[customerSKU]]="","",_xlfn.XLOOKUP(Table26[[#This Row],[customerSKU]],customerSKU!G:G,customerSKU!N:N,"NOT FOUND",0,1))</f>
        <v>NOT FOUND</v>
      </c>
      <c r="T995" s="20">
        <v>45682</v>
      </c>
      <c r="U995" s="236">
        <v>144</v>
      </c>
      <c r="V995" s="90" t="str">
        <f>IF(ISBLANK(Table26[[#This Row],[customerSKU]]),"",_xlfn.XLOOKUP(Table26[[#This Row],[customerSKU]],Table27[customer_SKU],Table27[case_size],"",0,1))</f>
        <v/>
      </c>
      <c r="W995" s="237" t="str">
        <f t="shared" si="45"/>
        <v/>
      </c>
      <c r="X995" s="90" t="str">
        <f t="shared" si="46"/>
        <v/>
      </c>
      <c r="Y995" s="90" t="str">
        <f>IF(Table26[[#This Row],[customerSKU]]="","",_xlfn.XLOOKUP(Table26[[#This Row],[customerSKU]],Table27[customer_SKU],Table27[product_GTIN],"",0,1))</f>
        <v/>
      </c>
      <c r="Z995" s="25">
        <v>1068059</v>
      </c>
      <c r="AA995" s="18" t="str" cm="1">
        <f t="array" ref="AA995">IF(P995="", "", _xlfn.XLOOKUP(P995,#REF!,#REF!,NA,0,-1))</f>
        <v/>
      </c>
      <c r="AB995" s="90"/>
      <c r="AC995" s="55" t="s">
        <v>4084</v>
      </c>
      <c r="AD995" s="55" t="str">
        <f>IF($AC995="","",_xlfn.XLOOKUP($AC995,'[2]Client Info'!$C$2:$C$2535,'[2]Client Info'!$D$2:$D$2535,"",0,1))</f>
        <v>1502 BROADWAY ST #3120</v>
      </c>
      <c r="AE995" s="55" t="str">
        <f>IF($AC995="","",_xlfn.XLOOKUP($AC995,'[2]Client Info'!$C$2:$C$2715,'[2]Client Info'!$E$2:$E$2715,"",))</f>
        <v>PORT COQUITLAM</v>
      </c>
      <c r="AF995" s="55" t="str">
        <f>IF($AC995="","",_xlfn.XLOOKUP($AC995,'[2]Client Info'!$C$2:$C$2715,'[2]Client Info'!$F$2:$F$2715,"",0,1))</f>
        <v xml:space="preserve">BC </v>
      </c>
      <c r="AG995" s="55" t="s">
        <v>4084</v>
      </c>
      <c r="AH995" s="245" t="str">
        <f>_xlfn.XLOOKUP(Table26[[#This Row],[customerSKU]],customerSKU!G:G,customerSKU!K:K,"NA",0,1)</f>
        <v>NA</v>
      </c>
      <c r="AI995" s="43" t="str">
        <f>_xlfn.XLOOKUP(Table26[[#This Row],[customerSKU]],customerSKU!G:G,customerSKU!O:O,"not found",0,1)</f>
        <v>not found</v>
      </c>
      <c r="AJ995" s="22" t="e">
        <f>Table26[[#This Row],[unitprice]]*Table26[[#This Row],[quantity_unit]]</f>
        <v>#VALUE!</v>
      </c>
      <c r="AK995" s="22" t="e" cm="1">
        <f t="array" ref="AK9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6" spans="1:37" ht="18" customHeight="1">
      <c r="A996" s="42">
        <v>1258</v>
      </c>
      <c r="B996" s="27" t="s">
        <v>3520</v>
      </c>
      <c r="C996" s="22" t="s">
        <v>203</v>
      </c>
      <c r="E996" s="20"/>
      <c r="F99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96" s="17"/>
      <c r="J996" s="90" t="str">
        <f>IF(Table26[[#This Row],[customerSKU]]="","",_xlfn.XLOOKUP(Table26[[#This Row],[customerSKU]],customerSKU!G:G,customerSKU!A:A,"",0,1))</f>
        <v/>
      </c>
      <c r="K996" s="232">
        <v>45687</v>
      </c>
      <c r="L996" s="31" t="s">
        <v>3417</v>
      </c>
      <c r="M996" s="22"/>
      <c r="N996" s="15" t="str">
        <f>Table26[[#This Row],[po_number]]&amp;"-"&amp;Table26[[#This Row],[po_line]]</f>
        <v>-1</v>
      </c>
      <c r="O996" s="15">
        <v>1</v>
      </c>
      <c r="P996" s="50"/>
      <c r="Q996" s="22" t="s">
        <v>4177</v>
      </c>
      <c r="R996" s="22" t="s">
        <v>3419</v>
      </c>
      <c r="S996" s="22" t="s">
        <v>3770</v>
      </c>
      <c r="T996" s="20" t="s">
        <v>204</v>
      </c>
      <c r="U996" s="21">
        <v>240</v>
      </c>
      <c r="V996" s="22" t="s">
        <v>204</v>
      </c>
      <c r="W996" s="22" t="s">
        <v>204</v>
      </c>
      <c r="X996" s="22" t="str">
        <f t="shared" si="46"/>
        <v/>
      </c>
      <c r="Y996" s="22" t="str">
        <f>IF(Table26[[#This Row],[customerSKU]]="","",_xlfn.XLOOKUP(Table26[[#This Row],[customerSKU]],Table27[customer_SKU],Table27[product_GTIN],"",0,1))</f>
        <v/>
      </c>
      <c r="Z996" s="25"/>
      <c r="AA996" s="18" t="str" cm="1">
        <f t="array" ref="AA996">IF(P996="", "", _xlfn.XLOOKUP(P996,#REF!,#REF!,NA,0,-1))</f>
        <v/>
      </c>
      <c r="AB996" s="22" t="s">
        <v>4178</v>
      </c>
      <c r="AC996" s="55" t="s">
        <v>4179</v>
      </c>
      <c r="AD996" s="55" t="str">
        <f>IF($AC996="","",_xlfn.XLOOKUP($AC996,'[2]Client Info'!$C$2:$C$2535,'[2]Client Info'!$D$2:$D$2535,"",0,1))</f>
        <v>223 1st St W</v>
      </c>
      <c r="AE996" s="55" t="str">
        <f>IF($AC996="","",_xlfn.XLOOKUP($AC996,'[2]Client Info'!$C$2:$C$2715,'[2]Client Info'!$E$2:$E$2715,"",))</f>
        <v>North Vancouver</v>
      </c>
      <c r="AF996" s="55" t="s">
        <v>114</v>
      </c>
      <c r="AG996" s="55" t="s">
        <v>4179</v>
      </c>
      <c r="AH996" s="26" t="str">
        <f>_xlfn.XLOOKUP(Table26[[#This Row],[customerSKU]],customerSKU!G:G,customerSKU!K:K,"NA",0,1)</f>
        <v>NA</v>
      </c>
      <c r="AI996" s="43" t="str">
        <f>_xlfn.XLOOKUP(Table26[[#This Row],[customerSKU]],customerSKU!G:G,customerSKU!O:O,"not found",0,1)</f>
        <v>not found</v>
      </c>
      <c r="AJ996" s="22" t="e">
        <f>Table26[[#This Row],[unitprice]]*Table26[[#This Row],[quantity_unit]]</f>
        <v>#VALUE!</v>
      </c>
      <c r="AK996" s="22" t="e" cm="1">
        <f t="array" ref="AK9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7" spans="1:37" ht="18" customHeight="1">
      <c r="A997" s="42">
        <v>1238</v>
      </c>
      <c r="B997" s="27" t="s">
        <v>3520</v>
      </c>
      <c r="C997" s="22" t="s">
        <v>203</v>
      </c>
      <c r="E997" s="20"/>
      <c r="F99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97" s="17"/>
      <c r="J997" s="90" t="str">
        <f>IF(Table26[[#This Row],[customerSKU]]="","",_xlfn.XLOOKUP(Table26[[#This Row],[customerSKU]],customerSKU!G:G,customerSKU!A:A,"",0,1))</f>
        <v/>
      </c>
      <c r="K997" s="232">
        <v>45688</v>
      </c>
      <c r="L997" s="31" t="str">
        <f>IF(Table26[[#This Row],[customerSKU]]="","",_xlfn.XLOOKUP(Table26[[#This Row],[customerSKU]],customerSKU!G:G,customerSKU!B:B,"",0,1))</f>
        <v/>
      </c>
      <c r="M997" s="22"/>
      <c r="N997" s="15" t="str">
        <f>Table26[[#This Row],[po_number]]&amp;"-"&amp;Table26[[#This Row],[po_line]]</f>
        <v>-1</v>
      </c>
      <c r="O997" s="15">
        <v>1</v>
      </c>
      <c r="P997" s="29"/>
      <c r="Q997" s="22" t="s">
        <v>1172</v>
      </c>
      <c r="R997" s="22" t="s">
        <v>569</v>
      </c>
      <c r="S997" s="22" t="str">
        <f>IF(Table26[[#This Row],[customerSKU]]="","",_xlfn.XLOOKUP(Table26[[#This Row],[customerSKU]],customerSKU!G:G,customerSKU!N:N,"NOT FOUND",0,1))</f>
        <v>NOT FOUND</v>
      </c>
      <c r="T997" s="20">
        <v>45588</v>
      </c>
      <c r="U997" s="21">
        <f>27*12</f>
        <v>324</v>
      </c>
      <c r="V997" s="22" t="str">
        <f>IF(ISBLANK(Table26[[#This Row],[customerSKU]]),"",_xlfn.XLOOKUP(Table26[[#This Row],[customerSKU]],Table27[customer_SKU],Table27[case_size],"",0,1))</f>
        <v/>
      </c>
      <c r="W997" s="117" t="str">
        <f t="shared" ref="W997:W1028" si="47">IFERROR(U997/V997, "")</f>
        <v/>
      </c>
      <c r="X997" s="22" t="str">
        <f t="shared" si="46"/>
        <v/>
      </c>
      <c r="Y997" s="22" t="str">
        <f>IF(Table26[[#This Row],[customerSKU]]="","",_xlfn.XLOOKUP(Table26[[#This Row],[customerSKU]],Table27[customer_SKU],Table27[product_GTIN],"",0,1))</f>
        <v/>
      </c>
      <c r="Z997" s="25" t="s">
        <v>3455</v>
      </c>
      <c r="AA997" s="18" t="str" cm="1">
        <f t="array" ref="AA997">IF(P997="", "", _xlfn.XLOOKUP(P997,#REF!,#REF!,NA,0,-1))</f>
        <v/>
      </c>
      <c r="AB997" s="22"/>
      <c r="AC997" s="55" t="s">
        <v>79</v>
      </c>
      <c r="AD997" s="55" t="str">
        <f>IF($AC997="","",_xlfn.XLOOKUP($AC997,'[2]Client Info'!$C$2:$C$2535,'[2]Client Info'!$D$2:$D$2535,"",0,1))</f>
        <v>4-1832 King Edward St.</v>
      </c>
      <c r="AE997" s="55" t="str">
        <f>IF($AC997="","",_xlfn.XLOOKUP($AC997,'[2]Client Info'!$C$2:$C$2715,'[2]Client Info'!$E$2:$E$2715,"",))</f>
        <v>WINNIPEG</v>
      </c>
      <c r="AF997" s="55" t="str">
        <f>IF($AC997="","",_xlfn.XLOOKUP($AC997,'[2]Client Info'!$C$2:$C$2715,'[2]Client Info'!$F$2:$F$2715,"",0,1))</f>
        <v>MB</v>
      </c>
      <c r="AG997" s="55" t="s">
        <v>204</v>
      </c>
      <c r="AH997" s="26" t="str">
        <f>_xlfn.XLOOKUP(Table26[[#This Row],[customerSKU]],customerSKU!G:G,customerSKU!K:K,"NA",0,1)</f>
        <v>NA</v>
      </c>
      <c r="AI997" s="43" t="str">
        <f>_xlfn.XLOOKUP(Table26[[#This Row],[customerSKU]],customerSKU!G:G,customerSKU!O:O,"not found",0,1)</f>
        <v>not found</v>
      </c>
      <c r="AJ997" s="22" t="e">
        <f>Table26[[#This Row],[unitprice]]*Table26[[#This Row],[quantity_unit]]</f>
        <v>#VALUE!</v>
      </c>
      <c r="AK997" s="22" t="e" cm="1">
        <f t="array" ref="AK9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8" spans="1:37" ht="18" customHeight="1">
      <c r="A998" s="42">
        <v>1239</v>
      </c>
      <c r="B998" s="27" t="s">
        <v>3520</v>
      </c>
      <c r="C998" s="22" t="s">
        <v>203</v>
      </c>
      <c r="E998" s="20"/>
      <c r="F998" s="22"/>
      <c r="G998" s="17"/>
      <c r="J998" s="90" t="str">
        <f>IF(Table26[[#This Row],[customerSKU]]="","",_xlfn.XLOOKUP(Table26[[#This Row],[customerSKU]],customerSKU!G:G,customerSKU!A:A,"",0,1))</f>
        <v/>
      </c>
      <c r="K998" s="232">
        <v>45688</v>
      </c>
      <c r="L998" s="31" t="str">
        <f>IF(Table26[[#This Row],[customerSKU]]="","",_xlfn.XLOOKUP(Table26[[#This Row],[customerSKU]],customerSKU!G:G,customerSKU!B:B,"",0,1))</f>
        <v/>
      </c>
      <c r="M998" s="22"/>
      <c r="N998" s="15" t="str">
        <f>Table26[[#This Row],[po_number]]&amp;"-"&amp;Table26[[#This Row],[po_line]]</f>
        <v>-2</v>
      </c>
      <c r="O998" s="15">
        <v>2</v>
      </c>
      <c r="P998" s="29"/>
      <c r="Q998" s="24" t="s">
        <v>1625</v>
      </c>
      <c r="R998" s="22" t="s">
        <v>569</v>
      </c>
      <c r="S998" s="22" t="str">
        <f>IF(Table26[[#This Row],[customerSKU]]="","",_xlfn.XLOOKUP(Table26[[#This Row],[customerSKU]],customerSKU!G:G,customerSKU!N:N,"NOT FOUND",0,1))</f>
        <v>NOT FOUND</v>
      </c>
      <c r="T998" s="20">
        <v>45642</v>
      </c>
      <c r="U998" s="21">
        <v>120</v>
      </c>
      <c r="V998" s="22" t="str">
        <f>IF(ISBLANK(Table26[[#This Row],[customerSKU]]),"",_xlfn.XLOOKUP(Table26[[#This Row],[customerSKU]],Table27[customer_SKU],Table27[case_size],"",0,1))</f>
        <v/>
      </c>
      <c r="W998" s="117" t="str">
        <f t="shared" si="47"/>
        <v/>
      </c>
      <c r="X998" s="22" t="str">
        <f t="shared" si="46"/>
        <v/>
      </c>
      <c r="Y998" s="22" t="str">
        <f>IF(Table26[[#This Row],[customerSKU]]="","",_xlfn.XLOOKUP(Table26[[#This Row],[customerSKU]],Table27[customer_SKU],Table27[product_GTIN],"",0,1))</f>
        <v/>
      </c>
      <c r="Z998" s="25">
        <v>63249</v>
      </c>
      <c r="AA998" s="18" t="str" cm="1">
        <f t="array" ref="AA998">IF(P998="", "", _xlfn.XLOOKUP(P998,#REF!,#REF!,NA,0,-1))</f>
        <v/>
      </c>
      <c r="AB998" s="22"/>
      <c r="AC998" s="55" t="s">
        <v>79</v>
      </c>
      <c r="AD998" s="55" t="str">
        <f>IF($AC998="","",_xlfn.XLOOKUP($AC998,'[2]Client Info'!$C$2:$C$2535,'[2]Client Info'!$D$2:$D$2535,"",0,1))</f>
        <v>4-1832 King Edward St.</v>
      </c>
      <c r="AE998" s="55" t="str">
        <f>IF($AC998="","",_xlfn.XLOOKUP($AC998,'[2]Client Info'!$C$2:$C$2715,'[2]Client Info'!$E$2:$E$2715,"",))</f>
        <v>WINNIPEG</v>
      </c>
      <c r="AF998" s="55" t="str">
        <f>IF($AC998="","",_xlfn.XLOOKUP($AC998,'[2]Client Info'!$C$2:$C$2715,'[2]Client Info'!$F$2:$F$2715,"",0,1))</f>
        <v>MB</v>
      </c>
      <c r="AG998" s="55" t="s">
        <v>204</v>
      </c>
      <c r="AH998" s="26" t="str">
        <f>_xlfn.XLOOKUP(Table26[[#This Row],[customerSKU]],customerSKU!G:G,customerSKU!K:K,"NA",0,1)</f>
        <v>NA</v>
      </c>
      <c r="AI998" s="43" t="str">
        <f>_xlfn.XLOOKUP(Table26[[#This Row],[customerSKU]],customerSKU!G:G,customerSKU!O:O,"not found",0,1)</f>
        <v>not found</v>
      </c>
      <c r="AJ998" s="22" t="e">
        <f>Table26[[#This Row],[unitprice]]*Table26[[#This Row],[quantity_unit]]</f>
        <v>#VALUE!</v>
      </c>
      <c r="AK998" s="22" t="e" cm="1">
        <f t="array" ref="AK9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999" spans="1:37" ht="18" customHeight="1">
      <c r="A999" s="42">
        <v>1240</v>
      </c>
      <c r="B999" s="27" t="s">
        <v>3520</v>
      </c>
      <c r="C999" s="22" t="s">
        <v>203</v>
      </c>
      <c r="E999" s="20"/>
      <c r="F99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999" s="17"/>
      <c r="J999" s="90" t="str">
        <f>IF(Table26[[#This Row],[customerSKU]]="","",_xlfn.XLOOKUP(Table26[[#This Row],[customerSKU]],customerSKU!G:G,customerSKU!A:A,"",0,1))</f>
        <v/>
      </c>
      <c r="K999" s="232">
        <v>45688</v>
      </c>
      <c r="L999" s="31" t="str">
        <f>IF(Table26[[#This Row],[customerSKU]]="","",_xlfn.XLOOKUP(Table26[[#This Row],[customerSKU]],customerSKU!G:G,customerSKU!B:B,"",0,1))</f>
        <v/>
      </c>
      <c r="M999" s="22"/>
      <c r="N999" s="15" t="str">
        <f>Table26[[#This Row],[po_number]]&amp;"-"&amp;Table26[[#This Row],[po_line]]</f>
        <v>-3</v>
      </c>
      <c r="O999" s="15">
        <v>3</v>
      </c>
      <c r="P999" s="29"/>
      <c r="Q999" s="22" t="s">
        <v>4086</v>
      </c>
      <c r="R999" s="22" t="s">
        <v>569</v>
      </c>
      <c r="S999" s="22" t="str">
        <f>IF(Table26[[#This Row],[customerSKU]]="","",_xlfn.XLOOKUP(Table26[[#This Row],[customerSKU]],customerSKU!G:G,customerSKU!N:N,"NOT FOUND",0,1))</f>
        <v>NOT FOUND</v>
      </c>
      <c r="T999" s="20">
        <v>45631</v>
      </c>
      <c r="U999" s="21">
        <f>15*12</f>
        <v>180</v>
      </c>
      <c r="V999" s="22" t="str">
        <f>IF(ISBLANK(Table26[[#This Row],[customerSKU]]),"",_xlfn.XLOOKUP(Table26[[#This Row],[customerSKU]],Table27[customer_SKU],Table27[case_size],"",0,1))</f>
        <v/>
      </c>
      <c r="W999" s="117" t="str">
        <f t="shared" si="47"/>
        <v/>
      </c>
      <c r="X999" s="22" t="str">
        <f t="shared" si="46"/>
        <v/>
      </c>
      <c r="Y999" s="22" t="str">
        <f>IF(Table26[[#This Row],[customerSKU]]="","",_xlfn.XLOOKUP(Table26[[#This Row],[customerSKU]],Table27[customer_SKU],Table27[product_GTIN],"",0,1))</f>
        <v/>
      </c>
      <c r="Z999" s="25">
        <v>63251</v>
      </c>
      <c r="AA999" s="18" t="str" cm="1">
        <f t="array" ref="AA999">IF(P999="", "", _xlfn.XLOOKUP(P999,#REF!,#REF!,NA,0,-1))</f>
        <v/>
      </c>
      <c r="AB999" s="22"/>
      <c r="AC999" s="55" t="s">
        <v>79</v>
      </c>
      <c r="AD999" s="55" t="str">
        <f>IF($AC999="","",_xlfn.XLOOKUP($AC999,'[2]Client Info'!$C$2:$C$2535,'[2]Client Info'!$D$2:$D$2535,"",0,1))</f>
        <v>4-1832 King Edward St.</v>
      </c>
      <c r="AE999" s="55" t="str">
        <f>IF($AC999="","",_xlfn.XLOOKUP($AC999,'[2]Client Info'!$C$2:$C$2715,'[2]Client Info'!$E$2:$E$2715,"",))</f>
        <v>WINNIPEG</v>
      </c>
      <c r="AF999" s="55" t="str">
        <f>IF($AC999="","",_xlfn.XLOOKUP($AC999,'[2]Client Info'!$C$2:$C$2715,'[2]Client Info'!$F$2:$F$2715,"",0,1))</f>
        <v>MB</v>
      </c>
      <c r="AG999" s="55" t="s">
        <v>204</v>
      </c>
      <c r="AH999" s="26" t="str">
        <f>_xlfn.XLOOKUP(Table26[[#This Row],[customerSKU]],customerSKU!G:G,customerSKU!K:K,"NA",0,1)</f>
        <v>NA</v>
      </c>
      <c r="AI999" s="43" t="str">
        <f>_xlfn.XLOOKUP(Table26[[#This Row],[customerSKU]],customerSKU!G:G,customerSKU!O:O,"not found",0,1)</f>
        <v>not found</v>
      </c>
      <c r="AJ999" s="22" t="e">
        <f>Table26[[#This Row],[unitprice]]*Table26[[#This Row],[quantity_unit]]</f>
        <v>#VALUE!</v>
      </c>
      <c r="AK999" s="22" t="e" cm="1">
        <f t="array" ref="AK9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0" spans="1:37" ht="18" customHeight="1">
      <c r="A1000" s="42">
        <v>1241</v>
      </c>
      <c r="B1000" s="27" t="s">
        <v>3520</v>
      </c>
      <c r="C1000" s="22" t="s">
        <v>203</v>
      </c>
      <c r="E1000" s="20"/>
      <c r="F100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00" s="17"/>
      <c r="J1000" s="90" t="str">
        <f>IF(Table26[[#This Row],[customerSKU]]="","",_xlfn.XLOOKUP(Table26[[#This Row],[customerSKU]],customerSKU!G:G,customerSKU!A:A,"",0,1))</f>
        <v/>
      </c>
      <c r="K1000" s="232">
        <v>45688</v>
      </c>
      <c r="L1000" s="31" t="str">
        <f>IF(Table26[[#This Row],[customerSKU]]="","",_xlfn.XLOOKUP(Table26[[#This Row],[customerSKU]],customerSKU!G:G,customerSKU!B:B,"",0,1))</f>
        <v/>
      </c>
      <c r="M1000" s="22"/>
      <c r="N1000" s="15" t="str">
        <f>Table26[[#This Row],[po_number]]&amp;"-"&amp;Table26[[#This Row],[po_line]]</f>
        <v>-4</v>
      </c>
      <c r="O1000" s="15">
        <v>4</v>
      </c>
      <c r="P1000" s="29"/>
      <c r="Q1000" s="22" t="s">
        <v>535</v>
      </c>
      <c r="R1000" s="22" t="s">
        <v>569</v>
      </c>
      <c r="S1000" s="22" t="str">
        <f>IF(Table26[[#This Row],[customerSKU]]="","",_xlfn.XLOOKUP(Table26[[#This Row],[customerSKU]],customerSKU!G:G,customerSKU!N:N,"NOT FOUND",0,1))</f>
        <v>NOT FOUND</v>
      </c>
      <c r="T1000" s="20">
        <v>45630</v>
      </c>
      <c r="U1000" s="21">
        <v>48</v>
      </c>
      <c r="V1000" s="22" t="str">
        <f>IF(ISBLANK(Table26[[#This Row],[customerSKU]]),"",_xlfn.XLOOKUP(Table26[[#This Row],[customerSKU]],Table27[customer_SKU],Table27[case_size],"",0,1))</f>
        <v/>
      </c>
      <c r="W1000" s="117" t="str">
        <f t="shared" si="47"/>
        <v/>
      </c>
      <c r="X1000" s="22" t="str">
        <f t="shared" si="46"/>
        <v/>
      </c>
      <c r="Y1000" s="22" t="str">
        <f>IF(Table26[[#This Row],[customerSKU]]="","",_xlfn.XLOOKUP(Table26[[#This Row],[customerSKU]],Table27[customer_SKU],Table27[product_GTIN],"",0,1))</f>
        <v/>
      </c>
      <c r="Z1000" s="25" t="s">
        <v>3381</v>
      </c>
      <c r="AA1000" s="18" t="str" cm="1">
        <f t="array" ref="AA1000">IF(P1000="", "", _xlfn.XLOOKUP(P1000,#REF!,#REF!,NA,0,-1))</f>
        <v/>
      </c>
      <c r="AB1000" s="22"/>
      <c r="AC1000" s="55" t="s">
        <v>79</v>
      </c>
      <c r="AD1000" s="55" t="str">
        <f>IF($AC1000="","",_xlfn.XLOOKUP($AC1000,'[2]Client Info'!$C$2:$C$2535,'[2]Client Info'!$D$2:$D$2535,"",0,1))</f>
        <v>4-1832 King Edward St.</v>
      </c>
      <c r="AE1000" s="55" t="str">
        <f>IF($AC1000="","",_xlfn.XLOOKUP($AC1000,'[2]Client Info'!$C$2:$C$2715,'[2]Client Info'!$E$2:$E$2715,"",))</f>
        <v>WINNIPEG</v>
      </c>
      <c r="AF1000" s="55" t="str">
        <f>IF($AC1000="","",_xlfn.XLOOKUP($AC1000,'[2]Client Info'!$C$2:$C$2715,'[2]Client Info'!$F$2:$F$2715,"",0,1))</f>
        <v>MB</v>
      </c>
      <c r="AG1000" s="55" t="s">
        <v>204</v>
      </c>
      <c r="AH1000" s="26" t="str">
        <f>_xlfn.XLOOKUP(Table26[[#This Row],[customerSKU]],customerSKU!G:G,customerSKU!K:K,"NA",0,1)</f>
        <v>NA</v>
      </c>
      <c r="AI1000" s="43" t="str">
        <f>_xlfn.XLOOKUP(Table26[[#This Row],[customerSKU]],customerSKU!G:G,customerSKU!O:O,"not found",0,1)</f>
        <v>not found</v>
      </c>
      <c r="AJ1000" s="22" t="e">
        <f>Table26[[#This Row],[unitprice]]*Table26[[#This Row],[quantity_unit]]</f>
        <v>#VALUE!</v>
      </c>
      <c r="AK1000" s="22" t="e" cm="1">
        <f t="array" ref="AK10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1" spans="1:37" ht="18" customHeight="1">
      <c r="A1001" s="42">
        <v>1242</v>
      </c>
      <c r="B1001" s="27" t="s">
        <v>3520</v>
      </c>
      <c r="C1001" s="22" t="s">
        <v>203</v>
      </c>
      <c r="E1001" s="20"/>
      <c r="F1001" s="17"/>
      <c r="G1001" s="17"/>
      <c r="J1001" s="90" t="str">
        <f>IF(Table26[[#This Row],[customerSKU]]="","",_xlfn.XLOOKUP(Table26[[#This Row],[customerSKU]],customerSKU!G:G,customerSKU!A:A,"",0,1))</f>
        <v/>
      </c>
      <c r="K1001" s="232">
        <v>45688</v>
      </c>
      <c r="L1001" s="31" t="str">
        <f>IF(Table26[[#This Row],[customerSKU]]="","",_xlfn.XLOOKUP(Table26[[#This Row],[customerSKU]],customerSKU!G:G,customerSKU!B:B,"",0,1))</f>
        <v/>
      </c>
      <c r="M1001" s="22"/>
      <c r="N1001" s="15" t="str">
        <f>Table26[[#This Row],[po_number]]&amp;"-"&amp;Table26[[#This Row],[po_line]]</f>
        <v>-1</v>
      </c>
      <c r="O1001" s="15">
        <v>1</v>
      </c>
      <c r="P1001" s="50"/>
      <c r="Q1001" s="22" t="s">
        <v>4114</v>
      </c>
      <c r="R1001" s="22" t="s">
        <v>569</v>
      </c>
      <c r="S1001" s="22" t="str">
        <f>IF(Table26[[#This Row],[customerSKU]]="","",_xlfn.XLOOKUP(Table26[[#This Row],[customerSKU]],customerSKU!G:G,customerSKU!N:N,"NOT FOUND",0,1))</f>
        <v>NOT FOUND</v>
      </c>
      <c r="T1001" s="20">
        <v>45662</v>
      </c>
      <c r="U1001" s="21">
        <f>153*12</f>
        <v>1836</v>
      </c>
      <c r="V1001" s="22" t="str">
        <f>IF(ISBLANK(Table26[[#This Row],[customerSKU]]),"",_xlfn.XLOOKUP(Table26[[#This Row],[customerSKU]],Table27[customer_SKU],Table27[case_size],"",0,1))</f>
        <v/>
      </c>
      <c r="W1001" s="117" t="str">
        <f t="shared" si="47"/>
        <v/>
      </c>
      <c r="X1001" s="22" t="str">
        <f t="shared" si="46"/>
        <v/>
      </c>
      <c r="Y1001" s="22" t="str">
        <f>IF(Table26[[#This Row],[customerSKU]]="","",_xlfn.XLOOKUP(Table26[[#This Row],[customerSKU]],Table27[customer_SKU],Table27[product_GTIN],"",0,1))</f>
        <v/>
      </c>
      <c r="Z1001" s="25" t="s">
        <v>3411</v>
      </c>
      <c r="AA1001" s="18" t="str" cm="1">
        <f t="array" ref="AA1001">IF(P1001="", "", _xlfn.XLOOKUP(P1001,#REF!,#REF!,NA,0,-1))</f>
        <v/>
      </c>
      <c r="AB1001" s="22"/>
      <c r="AC1001" s="55" t="str">
        <f>IF(Table26[[#This Row],[customerSKU]]="","",_xlfn.XLOOKUP(Table26[[#This Row],[customerSKU]],customerSKU!G:G,customerSKU!C:C,"",0,1))</f>
        <v/>
      </c>
      <c r="AD1001" s="55" t="str">
        <f>IF($AC1001="","",_xlfn.XLOOKUP($AC1001,'[2]Client Info'!$C$2:$C$2535,'[2]Client Info'!$D$2:$D$2535,"",0,1))</f>
        <v/>
      </c>
      <c r="AE1001" s="55" t="str">
        <f>IF($AC1001="","",_xlfn.XLOOKUP($AC1001,'[2]Client Info'!$C$2:$C$2715,'[2]Client Info'!$E$2:$E$2715,"",))</f>
        <v/>
      </c>
      <c r="AF1001" s="55" t="str">
        <f>IF($AC1001="","",_xlfn.XLOOKUP($AC1001,'[2]Client Info'!$C$2:$C$2715,'[2]Client Info'!$F$2:$F$2715,"",0,1))</f>
        <v/>
      </c>
      <c r="AG1001" s="55" t="str">
        <f>IF(ISBLANK(Table26[[#This Row],[customerSKU]]),"",_xlfn.XLOOKUP(Table26[[#This Row],[customerSKU]],Table27[customer_SKU],Table27[billto],"",0,1))</f>
        <v/>
      </c>
      <c r="AH1001" s="26" t="str">
        <f>_xlfn.XLOOKUP(Table26[[#This Row],[customerSKU]],customerSKU!G:G,customerSKU!K:K,"NA",0,1)</f>
        <v>NA</v>
      </c>
      <c r="AI1001" s="43" t="str">
        <f>_xlfn.XLOOKUP(Table26[[#This Row],[customerSKU]],customerSKU!G:G,customerSKU!O:O,"not found",0,1)</f>
        <v>not found</v>
      </c>
      <c r="AJ1001" s="22" t="e">
        <f>Table26[[#This Row],[unitprice]]*Table26[[#This Row],[quantity_unit]]</f>
        <v>#VALUE!</v>
      </c>
      <c r="AK1001" s="22" t="e" cm="1">
        <f t="array" ref="AK10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2" spans="1:37" ht="18" customHeight="1">
      <c r="A1002" s="42">
        <v>1243</v>
      </c>
      <c r="B1002" s="27" t="s">
        <v>3520</v>
      </c>
      <c r="C1002" s="22" t="s">
        <v>203</v>
      </c>
      <c r="E1002" s="20"/>
      <c r="F1002" s="17"/>
      <c r="G1002" s="17"/>
      <c r="J1002" s="90" t="str">
        <f>IF(Table26[[#This Row],[customerSKU]]="","",_xlfn.XLOOKUP(Table26[[#This Row],[customerSKU]],customerSKU!G:G,customerSKU!A:A,"",0,1))</f>
        <v/>
      </c>
      <c r="K1002" s="232">
        <v>45688</v>
      </c>
      <c r="L1002" s="31" t="str">
        <f>IF(Table26[[#This Row],[customerSKU]]="","",_xlfn.XLOOKUP(Table26[[#This Row],[customerSKU]],customerSKU!G:G,customerSKU!B:B,"",0,1))</f>
        <v/>
      </c>
      <c r="M1002" s="22"/>
      <c r="N1002" s="15" t="str">
        <f>Table26[[#This Row],[po_number]]&amp;"-"&amp;Table26[[#This Row],[po_line]]</f>
        <v>-2</v>
      </c>
      <c r="O1002" s="15">
        <v>2</v>
      </c>
      <c r="P1002" s="50"/>
      <c r="Q1002" s="22" t="s">
        <v>4111</v>
      </c>
      <c r="R1002" s="22" t="s">
        <v>569</v>
      </c>
      <c r="S1002" s="22" t="str">
        <f>IF(Table26[[#This Row],[customerSKU]]="","",_xlfn.XLOOKUP(Table26[[#This Row],[customerSKU]],customerSKU!G:G,customerSKU!N:N,"NOT FOUND",0,1))</f>
        <v>NOT FOUND</v>
      </c>
      <c r="T1002" s="20">
        <v>45663</v>
      </c>
      <c r="U1002" s="21">
        <f>148*12</f>
        <v>1776</v>
      </c>
      <c r="V1002" s="22" t="str">
        <f>IF(ISBLANK(Table26[[#This Row],[customerSKU]]),"",_xlfn.XLOOKUP(Table26[[#This Row],[customerSKU]],Table27[customer_SKU],Table27[case_size],"",0,1))</f>
        <v/>
      </c>
      <c r="W1002" s="117" t="str">
        <f t="shared" si="47"/>
        <v/>
      </c>
      <c r="X1002" s="22" t="str">
        <f t="shared" si="46"/>
        <v/>
      </c>
      <c r="Y1002" s="22" t="str">
        <f>IF(Table26[[#This Row],[customerSKU]]="","",_xlfn.XLOOKUP(Table26[[#This Row],[customerSKU]],Table27[customer_SKU],Table27[product_GTIN],"",0,1))</f>
        <v/>
      </c>
      <c r="Z1002" s="25" t="s">
        <v>3413</v>
      </c>
      <c r="AA1002" s="18" t="str" cm="1">
        <f t="array" ref="AA1002">IF(P1002="", "", _xlfn.XLOOKUP(P1002,#REF!,#REF!,NA,0,-1))</f>
        <v/>
      </c>
      <c r="AB1002" s="22"/>
      <c r="AC1002" s="55" t="str">
        <f>IF(Table26[[#This Row],[customerSKU]]="","",_xlfn.XLOOKUP(Table26[[#This Row],[customerSKU]],customerSKU!G:G,customerSKU!C:C,"",0,1))</f>
        <v/>
      </c>
      <c r="AD1002" s="55" t="str">
        <f>IF($AC1002="","",_xlfn.XLOOKUP($AC1002,'[2]Client Info'!$C$2:$C$2535,'[2]Client Info'!$D$2:$D$2535,"",0,1))</f>
        <v/>
      </c>
      <c r="AE1002" s="55" t="str">
        <f>IF($AC1002="","",_xlfn.XLOOKUP($AC1002,'[2]Client Info'!$C$2:$C$2715,'[2]Client Info'!$E$2:$E$2715,"",))</f>
        <v/>
      </c>
      <c r="AF1002" s="55" t="str">
        <f>IF($AC1002="","",_xlfn.XLOOKUP($AC1002,'[2]Client Info'!$C$2:$C$2715,'[2]Client Info'!$F$2:$F$2715,"",0,1))</f>
        <v/>
      </c>
      <c r="AG1002" s="55" t="str">
        <f>IF(ISBLANK(Table26[[#This Row],[customerSKU]]),"",_xlfn.XLOOKUP(Table26[[#This Row],[customerSKU]],Table27[customer_SKU],Table27[billto],"",0,1))</f>
        <v/>
      </c>
      <c r="AH1002" s="26" t="str">
        <f>_xlfn.XLOOKUP(Table26[[#This Row],[customerSKU]],customerSKU!G:G,customerSKU!K:K,"NA",0,1)</f>
        <v>NA</v>
      </c>
      <c r="AI1002" s="43" t="str">
        <f>_xlfn.XLOOKUP(Table26[[#This Row],[customerSKU]],customerSKU!G:G,customerSKU!O:O,"not found",0,1)</f>
        <v>not found</v>
      </c>
      <c r="AJ1002" s="22" t="e">
        <f>Table26[[#This Row],[unitprice]]*Table26[[#This Row],[quantity_unit]]</f>
        <v>#VALUE!</v>
      </c>
      <c r="AK1002" s="22" t="e" cm="1">
        <f t="array" ref="AK10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3" spans="1:37" ht="18" customHeight="1">
      <c r="A1003" s="42">
        <v>1244</v>
      </c>
      <c r="B1003" s="249" t="s">
        <v>3520</v>
      </c>
      <c r="C1003" s="90" t="s">
        <v>203</v>
      </c>
      <c r="D1003" s="235"/>
      <c r="E1003" s="235"/>
      <c r="F1003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3" s="119"/>
      <c r="H1003" s="90"/>
      <c r="I1003" s="90"/>
      <c r="J1003" s="90" t="str">
        <f>IF(Table26[[#This Row],[customerSKU]]="","",_xlfn.XLOOKUP(Table26[[#This Row],[customerSKU]],customerSKU!G:G,customerSKU!A:A,"",0,1))</f>
        <v/>
      </c>
      <c r="K1003" s="232">
        <v>45688</v>
      </c>
      <c r="L1003" s="233" t="str">
        <f>IF(Table26[[#This Row],[customerSKU]]="","",_xlfn.XLOOKUP(Table26[[#This Row],[customerSKU]],customerSKU!G:G,customerSKU!B:B,"",0,1))</f>
        <v/>
      </c>
      <c r="M1003" s="90"/>
      <c r="N1003" s="55" t="str">
        <f>Table26[[#This Row],[po_number]]&amp;"-"&amp;Table26[[#This Row],[po_line]]</f>
        <v>-1</v>
      </c>
      <c r="O1003" s="55">
        <v>1</v>
      </c>
      <c r="P1003" s="234"/>
      <c r="Q1003" s="90" t="s">
        <v>828</v>
      </c>
      <c r="R1003" s="90" t="s">
        <v>569</v>
      </c>
      <c r="S1003" s="90" t="s">
        <v>114</v>
      </c>
      <c r="T1003" s="20">
        <v>45593</v>
      </c>
      <c r="U1003" s="236">
        <v>24</v>
      </c>
      <c r="V1003" s="90" t="str">
        <f>IF(ISBLANK(Table26[[#This Row],[customerSKU]]),"",_xlfn.XLOOKUP(Table26[[#This Row],[customerSKU]],Table27[customer_SKU],Table27[case_size],"",0,1))</f>
        <v/>
      </c>
      <c r="W1003" s="237" t="str">
        <f t="shared" si="47"/>
        <v/>
      </c>
      <c r="X1003" s="90" t="str">
        <f t="shared" si="46"/>
        <v/>
      </c>
      <c r="Y1003" s="90" t="str">
        <f>IF(Table26[[#This Row],[customerSKU]]="","",_xlfn.XLOOKUP(Table26[[#This Row],[customerSKU]],Table27[customer_SKU],Table27[product_GTIN],"",0,1))</f>
        <v/>
      </c>
      <c r="Z1003" s="25" t="s">
        <v>3364</v>
      </c>
      <c r="AA1003" s="18" t="str" cm="1">
        <f t="array" ref="AA1003">IF(P1003="", "", _xlfn.XLOOKUP(P1003,#REF!,#REF!,NA,0,-1))</f>
        <v/>
      </c>
      <c r="AB1003" s="90"/>
      <c r="AC1003" s="55" t="s">
        <v>4129</v>
      </c>
      <c r="AD1003" s="55" t="str">
        <f>IF($AC1003="","",_xlfn.XLOOKUP($AC1003,'[2]Client Info'!$C$2:$C$2535,'[2]Client Info'!$D$2:$D$2535,"",0,1))</f>
        <v>1928 Summit Drive</v>
      </c>
      <c r="AE1003" s="55" t="str">
        <f>IF($AC1003="","",_xlfn.XLOOKUP($AC1003,'[2]Client Info'!$C$2:$C$2715,'[2]Client Info'!$E$2:$E$2715,"",))</f>
        <v>Kelowna</v>
      </c>
      <c r="AF1003" s="55" t="str">
        <f>IF($AC1003="","",_xlfn.XLOOKUP($AC1003,'[2]Client Info'!$C$2:$C$2715,'[2]Client Info'!$F$2:$F$2715,"",0,1))</f>
        <v xml:space="preserve">BC </v>
      </c>
      <c r="AG1003" s="55" t="s">
        <v>3524</v>
      </c>
      <c r="AH1003" s="245" t="str">
        <f>_xlfn.XLOOKUP(Table26[[#This Row],[customerSKU]],customerSKU!G:G,customerSKU!K:K,"NA",0,1)</f>
        <v>NA</v>
      </c>
      <c r="AI1003" s="43" t="str">
        <f>_xlfn.XLOOKUP(Table26[[#This Row],[customerSKU]],customerSKU!G:G,customerSKU!O:O,"not found",0,1)</f>
        <v>not found</v>
      </c>
      <c r="AJ1003" s="22" t="e">
        <f>Table26[[#This Row],[unitprice]]*Table26[[#This Row],[quantity_unit]]</f>
        <v>#VALUE!</v>
      </c>
      <c r="AK1003" s="22" t="e" cm="1">
        <f t="array" ref="AK10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4" spans="1:37" ht="18" customHeight="1">
      <c r="A1004" s="42">
        <v>1245</v>
      </c>
      <c r="B1004" s="249" t="s">
        <v>3520</v>
      </c>
      <c r="C1004" s="90" t="s">
        <v>203</v>
      </c>
      <c r="D1004" s="235"/>
      <c r="E1004" s="235"/>
      <c r="F100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4" s="119"/>
      <c r="H1004" s="90"/>
      <c r="I1004" s="90"/>
      <c r="J1004" s="90" t="str">
        <f>IF(Table26[[#This Row],[customerSKU]]="","",_xlfn.XLOOKUP(Table26[[#This Row],[customerSKU]],customerSKU!G:G,customerSKU!A:A,"",0,1))</f>
        <v/>
      </c>
      <c r="K1004" s="232">
        <v>45688</v>
      </c>
      <c r="L1004" s="233" t="str">
        <f>IF(Table26[[#This Row],[customerSKU]]="","",_xlfn.XLOOKUP(Table26[[#This Row],[customerSKU]],customerSKU!G:G,customerSKU!B:B,"",0,1))</f>
        <v/>
      </c>
      <c r="M1004" s="90"/>
      <c r="N1004" s="55" t="str">
        <f>Table26[[#This Row],[po_number]]&amp;"-"&amp;Table26[[#This Row],[po_line]]</f>
        <v>-2</v>
      </c>
      <c r="O1004" s="55">
        <v>2</v>
      </c>
      <c r="P1004" s="234"/>
      <c r="Q1004" s="90" t="s">
        <v>1313</v>
      </c>
      <c r="R1004" s="90" t="s">
        <v>569</v>
      </c>
      <c r="S1004" s="90" t="s">
        <v>114</v>
      </c>
      <c r="T1004" s="20">
        <v>45575</v>
      </c>
      <c r="U1004" s="236">
        <v>9</v>
      </c>
      <c r="V1004" s="90" t="str">
        <f>IF(ISBLANK(Table26[[#This Row],[customerSKU]]),"",_xlfn.XLOOKUP(Table26[[#This Row],[customerSKU]],Table27[customer_SKU],Table27[case_size],"",0,1))</f>
        <v/>
      </c>
      <c r="W1004" s="237" t="str">
        <f t="shared" si="47"/>
        <v/>
      </c>
      <c r="X1004" s="90" t="str">
        <f t="shared" si="46"/>
        <v/>
      </c>
      <c r="Y1004" s="90" t="str">
        <f>IF(Table26[[#This Row],[customerSKU]]="","",_xlfn.XLOOKUP(Table26[[#This Row],[customerSKU]],Table27[customer_SKU],Table27[product_GTIN],"",0,1))</f>
        <v/>
      </c>
      <c r="Z1004" s="25" t="s">
        <v>3432</v>
      </c>
      <c r="AA1004" s="18" t="str" cm="1">
        <f t="array" ref="AA1004">IF(P1004="", "", _xlfn.XLOOKUP(P1004,#REF!,#REF!,NA,0,-1))</f>
        <v/>
      </c>
      <c r="AB1004" s="90"/>
      <c r="AC1004" s="55" t="s">
        <v>4129</v>
      </c>
      <c r="AD1004" s="55" t="str">
        <f>IF($AC1004="","",_xlfn.XLOOKUP($AC1004,'[2]Client Info'!$C$2:$C$2535,'[2]Client Info'!$D$2:$D$2535,"",0,1))</f>
        <v>1928 Summit Drive</v>
      </c>
      <c r="AE1004" s="55" t="str">
        <f>IF($AC1004="","",_xlfn.XLOOKUP($AC1004,'[2]Client Info'!$C$2:$C$2715,'[2]Client Info'!$E$2:$E$2715,"",))</f>
        <v>Kelowna</v>
      </c>
      <c r="AF1004" s="55" t="str">
        <f>IF($AC1004="","",_xlfn.XLOOKUP($AC1004,'[2]Client Info'!$C$2:$C$2715,'[2]Client Info'!$F$2:$F$2715,"",0,1))</f>
        <v xml:space="preserve">BC </v>
      </c>
      <c r="AG1004" s="55" t="s">
        <v>3524</v>
      </c>
      <c r="AH1004" s="245" t="str">
        <f>_xlfn.XLOOKUP(Table26[[#This Row],[customerSKU]],customerSKU!G:G,customerSKU!K:K,"NA",0,1)</f>
        <v>NA</v>
      </c>
      <c r="AI1004" s="43" t="str">
        <f>_xlfn.XLOOKUP(Table26[[#This Row],[customerSKU]],customerSKU!G:G,customerSKU!O:O,"not found",0,1)</f>
        <v>not found</v>
      </c>
      <c r="AJ1004" s="22" t="e">
        <f>Table26[[#This Row],[unitprice]]*Table26[[#This Row],[quantity_unit]]</f>
        <v>#VALUE!</v>
      </c>
      <c r="AK1004" s="22" t="e" cm="1">
        <f t="array" ref="AK10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5" spans="1:37" ht="18" customHeight="1">
      <c r="A1005" s="42">
        <v>1246</v>
      </c>
      <c r="B1005" s="249" t="s">
        <v>3520</v>
      </c>
      <c r="C1005" s="90" t="s">
        <v>203</v>
      </c>
      <c r="D1005" s="235"/>
      <c r="E1005" s="235"/>
      <c r="F100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5" s="119"/>
      <c r="H1005" s="90"/>
      <c r="I1005" s="90"/>
      <c r="J1005" s="90" t="str">
        <f>IF(Table26[[#This Row],[customerSKU]]="","",_xlfn.XLOOKUP(Table26[[#This Row],[customerSKU]],customerSKU!G:G,customerSKU!A:A,"",0,1))</f>
        <v/>
      </c>
      <c r="K1005" s="232">
        <v>45688</v>
      </c>
      <c r="L1005" s="233" t="str">
        <f>IF(Table26[[#This Row],[customerSKU]]="","",_xlfn.XLOOKUP(Table26[[#This Row],[customerSKU]],customerSKU!G:G,customerSKU!B:B,"",0,1))</f>
        <v/>
      </c>
      <c r="M1005" s="90"/>
      <c r="N1005" s="55" t="str">
        <f>Table26[[#This Row],[po_number]]&amp;"-"&amp;Table26[[#This Row],[po_line]]</f>
        <v>-3</v>
      </c>
      <c r="O1005" s="55">
        <v>3</v>
      </c>
      <c r="P1005" s="234"/>
      <c r="Q1005" s="90" t="s">
        <v>1313</v>
      </c>
      <c r="R1005" s="90" t="s">
        <v>569</v>
      </c>
      <c r="S1005" s="90" t="s">
        <v>114</v>
      </c>
      <c r="T1005" s="20">
        <v>45541</v>
      </c>
      <c r="U1005" s="236">
        <v>3</v>
      </c>
      <c r="V1005" s="90" t="str">
        <f>IF(ISBLANK(Table26[[#This Row],[customerSKU]]),"",_xlfn.XLOOKUP(Table26[[#This Row],[customerSKU]],Table27[customer_SKU],Table27[case_size],"",0,1))</f>
        <v/>
      </c>
      <c r="W1005" s="237" t="str">
        <f t="shared" si="47"/>
        <v/>
      </c>
      <c r="X1005" s="90" t="str">
        <f t="shared" si="46"/>
        <v/>
      </c>
      <c r="Y1005" s="90" t="str">
        <f>IF(Table26[[#This Row],[customerSKU]]="","",_xlfn.XLOOKUP(Table26[[#This Row],[customerSKU]],Table27[customer_SKU],Table27[product_GTIN],"",0,1))</f>
        <v/>
      </c>
      <c r="Z1005" s="25" t="s">
        <v>3432</v>
      </c>
      <c r="AA1005" s="18" t="str" cm="1">
        <f t="array" ref="AA1005">IF(P1005="", "", _xlfn.XLOOKUP(P1005,#REF!,#REF!,NA,0,-1))</f>
        <v/>
      </c>
      <c r="AB1005" s="90"/>
      <c r="AC1005" s="55" t="s">
        <v>4129</v>
      </c>
      <c r="AD1005" s="55" t="str">
        <f>IF($AC1005="","",_xlfn.XLOOKUP($AC1005,'[2]Client Info'!$C$2:$C$2535,'[2]Client Info'!$D$2:$D$2535,"",0,1))</f>
        <v>1928 Summit Drive</v>
      </c>
      <c r="AE1005" s="55" t="str">
        <f>IF($AC1005="","",_xlfn.XLOOKUP($AC1005,'[2]Client Info'!$C$2:$C$2715,'[2]Client Info'!$E$2:$E$2715,"",))</f>
        <v>Kelowna</v>
      </c>
      <c r="AF1005" s="55" t="str">
        <f>IF($AC1005="","",_xlfn.XLOOKUP($AC1005,'[2]Client Info'!$C$2:$C$2715,'[2]Client Info'!$F$2:$F$2715,"",0,1))</f>
        <v xml:space="preserve">BC </v>
      </c>
      <c r="AG1005" s="55" t="s">
        <v>3524</v>
      </c>
      <c r="AH1005" s="245" t="str">
        <f>_xlfn.XLOOKUP(Table26[[#This Row],[customerSKU]],customerSKU!G:G,customerSKU!K:K,"NA",0,1)</f>
        <v>NA</v>
      </c>
      <c r="AI1005" s="43" t="str">
        <f>_xlfn.XLOOKUP(Table26[[#This Row],[customerSKU]],customerSKU!G:G,customerSKU!O:O,"not found",0,1)</f>
        <v>not found</v>
      </c>
      <c r="AJ1005" s="22" t="e">
        <f>Table26[[#This Row],[unitprice]]*Table26[[#This Row],[quantity_unit]]</f>
        <v>#VALUE!</v>
      </c>
      <c r="AK1005" s="22" t="e" cm="1">
        <f t="array" ref="AK10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6" spans="1:37" ht="18" customHeight="1">
      <c r="A1006" s="42">
        <v>1247</v>
      </c>
      <c r="B1006" s="249" t="s">
        <v>3520</v>
      </c>
      <c r="C1006" s="90" t="s">
        <v>203</v>
      </c>
      <c r="D1006" s="235"/>
      <c r="E1006" s="235"/>
      <c r="F100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6" s="119"/>
      <c r="H1006" s="90"/>
      <c r="I1006" s="90"/>
      <c r="J1006" s="90" t="str">
        <f>IF(Table26[[#This Row],[customerSKU]]="","",_xlfn.XLOOKUP(Table26[[#This Row],[customerSKU]],customerSKU!G:G,customerSKU!A:A,"",0,1))</f>
        <v/>
      </c>
      <c r="K1006" s="232">
        <v>45688</v>
      </c>
      <c r="L1006" s="233" t="str">
        <f>IF(Table26[[#This Row],[customerSKU]]="","",_xlfn.XLOOKUP(Table26[[#This Row],[customerSKU]],customerSKU!G:G,customerSKU!B:B,"",0,1))</f>
        <v/>
      </c>
      <c r="M1006" s="90"/>
      <c r="N1006" s="55" t="str">
        <f>Table26[[#This Row],[po_number]]&amp;"-"&amp;Table26[[#This Row],[po_line]]</f>
        <v>-4</v>
      </c>
      <c r="O1006" s="55">
        <v>4</v>
      </c>
      <c r="P1006" s="234"/>
      <c r="Q1006" s="90" t="s">
        <v>630</v>
      </c>
      <c r="R1006" s="90" t="s">
        <v>569</v>
      </c>
      <c r="S1006" s="90" t="s">
        <v>114</v>
      </c>
      <c r="T1006" s="20">
        <v>45581</v>
      </c>
      <c r="U1006" s="236">
        <v>12</v>
      </c>
      <c r="V1006" s="90" t="str">
        <f>IF(ISBLANK(Table26[[#This Row],[customerSKU]]),"",_xlfn.XLOOKUP(Table26[[#This Row],[customerSKU]],Table27[customer_SKU],Table27[case_size],"",0,1))</f>
        <v/>
      </c>
      <c r="W1006" s="237" t="str">
        <f t="shared" si="47"/>
        <v/>
      </c>
      <c r="X1006" s="90" t="str">
        <f t="shared" si="46"/>
        <v/>
      </c>
      <c r="Y1006" s="90" t="str">
        <f>IF(Table26[[#This Row],[customerSKU]]="","",_xlfn.XLOOKUP(Table26[[#This Row],[customerSKU]],Table27[customer_SKU],Table27[product_GTIN],"",0,1))</f>
        <v/>
      </c>
      <c r="Z1006" s="25" t="s">
        <v>3386</v>
      </c>
      <c r="AA1006" s="18" t="str" cm="1">
        <f t="array" ref="AA1006">IF(P1006="", "", _xlfn.XLOOKUP(P1006,#REF!,#REF!,NA,0,-1))</f>
        <v/>
      </c>
      <c r="AB1006" s="90"/>
      <c r="AC1006" s="55" t="s">
        <v>4129</v>
      </c>
      <c r="AD1006" s="55" t="str">
        <f>IF($AC1006="","",_xlfn.XLOOKUP($AC1006,'[2]Client Info'!$C$2:$C$2535,'[2]Client Info'!$D$2:$D$2535,"",0,1))</f>
        <v>1928 Summit Drive</v>
      </c>
      <c r="AE1006" s="55" t="str">
        <f>IF($AC1006="","",_xlfn.XLOOKUP($AC1006,'[2]Client Info'!$C$2:$C$2715,'[2]Client Info'!$E$2:$E$2715,"",))</f>
        <v>Kelowna</v>
      </c>
      <c r="AF1006" s="55" t="str">
        <f>IF($AC1006="","",_xlfn.XLOOKUP($AC1006,'[2]Client Info'!$C$2:$C$2715,'[2]Client Info'!$F$2:$F$2715,"",0,1))</f>
        <v xml:space="preserve">BC </v>
      </c>
      <c r="AG1006" s="55" t="s">
        <v>3524</v>
      </c>
      <c r="AH1006" s="245" t="str">
        <f>_xlfn.XLOOKUP(Table26[[#This Row],[customerSKU]],customerSKU!G:G,customerSKU!K:K,"NA",0,1)</f>
        <v>NA</v>
      </c>
      <c r="AI1006" s="43" t="str">
        <f>_xlfn.XLOOKUP(Table26[[#This Row],[customerSKU]],customerSKU!G:G,customerSKU!O:O,"not found",0,1)</f>
        <v>not found</v>
      </c>
      <c r="AJ1006" s="22" t="e">
        <f>Table26[[#This Row],[unitprice]]*Table26[[#This Row],[quantity_unit]]</f>
        <v>#VALUE!</v>
      </c>
      <c r="AK1006" s="22" t="e" cm="1">
        <f t="array" ref="AK10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7" spans="1:37" ht="18" customHeight="1">
      <c r="A1007" s="42">
        <v>1248</v>
      </c>
      <c r="B1007" s="249" t="s">
        <v>3520</v>
      </c>
      <c r="C1007" s="90" t="s">
        <v>203</v>
      </c>
      <c r="D1007" s="235"/>
      <c r="E1007" s="235"/>
      <c r="F100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7" s="119"/>
      <c r="H1007" s="90"/>
      <c r="I1007" s="90"/>
      <c r="J1007" s="90" t="str">
        <f>IF(Table26[[#This Row],[customerSKU]]="","",_xlfn.XLOOKUP(Table26[[#This Row],[customerSKU]],customerSKU!G:G,customerSKU!A:A,"",0,1))</f>
        <v/>
      </c>
      <c r="K1007" s="232">
        <v>45688</v>
      </c>
      <c r="L1007" s="233" t="str">
        <f>IF(Table26[[#This Row],[customerSKU]]="","",_xlfn.XLOOKUP(Table26[[#This Row],[customerSKU]],customerSKU!G:G,customerSKU!B:B,"",0,1))</f>
        <v/>
      </c>
      <c r="M1007" s="90"/>
      <c r="N1007" s="55" t="str">
        <f>Table26[[#This Row],[po_number]]&amp;"-"&amp;Table26[[#This Row],[po_line]]</f>
        <v>-5</v>
      </c>
      <c r="O1007" s="55">
        <v>5</v>
      </c>
      <c r="P1007" s="234"/>
      <c r="Q1007" s="90" t="s">
        <v>1134</v>
      </c>
      <c r="R1007" s="90" t="s">
        <v>569</v>
      </c>
      <c r="S1007" s="90" t="s">
        <v>114</v>
      </c>
      <c r="T1007" s="20">
        <v>45588</v>
      </c>
      <c r="U1007" s="236">
        <v>12</v>
      </c>
      <c r="V1007" s="90" t="str">
        <f>IF(ISBLANK(Table26[[#This Row],[customerSKU]]),"",_xlfn.XLOOKUP(Table26[[#This Row],[customerSKU]],Table27[customer_SKU],Table27[case_size],"",0,1))</f>
        <v/>
      </c>
      <c r="W1007" s="237" t="str">
        <f t="shared" si="47"/>
        <v/>
      </c>
      <c r="X1007" s="90" t="str">
        <f t="shared" si="46"/>
        <v/>
      </c>
      <c r="Y1007" s="90" t="str">
        <f>IF(Table26[[#This Row],[customerSKU]]="","",_xlfn.XLOOKUP(Table26[[#This Row],[customerSKU]],Table27[customer_SKU],Table27[product_GTIN],"",0,1))</f>
        <v/>
      </c>
      <c r="Z1007" s="25" t="s">
        <v>3406</v>
      </c>
      <c r="AA1007" s="18" t="str" cm="1">
        <f t="array" ref="AA1007">IF(P1007="", "", _xlfn.XLOOKUP(P1007,#REF!,#REF!,NA,0,-1))</f>
        <v/>
      </c>
      <c r="AB1007" s="90"/>
      <c r="AC1007" s="55" t="s">
        <v>4129</v>
      </c>
      <c r="AD1007" s="55" t="str">
        <f>IF($AC1007="","",_xlfn.XLOOKUP($AC1007,'[2]Client Info'!$C$2:$C$2535,'[2]Client Info'!$D$2:$D$2535,"",0,1))</f>
        <v>1928 Summit Drive</v>
      </c>
      <c r="AE1007" s="55" t="str">
        <f>IF($AC1007="","",_xlfn.XLOOKUP($AC1007,'[2]Client Info'!$C$2:$C$2715,'[2]Client Info'!$E$2:$E$2715,"",))</f>
        <v>Kelowna</v>
      </c>
      <c r="AF1007" s="55" t="str">
        <f>IF($AC1007="","",_xlfn.XLOOKUP($AC1007,'[2]Client Info'!$C$2:$C$2715,'[2]Client Info'!$F$2:$F$2715,"",0,1))</f>
        <v xml:space="preserve">BC </v>
      </c>
      <c r="AG1007" s="55" t="s">
        <v>3524</v>
      </c>
      <c r="AH1007" s="245" t="str">
        <f>_xlfn.XLOOKUP(Table26[[#This Row],[customerSKU]],customerSKU!G:G,customerSKU!K:K,"NA",0,1)</f>
        <v>NA</v>
      </c>
      <c r="AI1007" s="43" t="str">
        <f>_xlfn.XLOOKUP(Table26[[#This Row],[customerSKU]],customerSKU!G:G,customerSKU!O:O,"not found",0,1)</f>
        <v>not found</v>
      </c>
      <c r="AJ1007" s="22" t="e">
        <f>Table26[[#This Row],[unitprice]]*Table26[[#This Row],[quantity_unit]]</f>
        <v>#VALUE!</v>
      </c>
      <c r="AK1007" s="22" t="e" cm="1">
        <f t="array" ref="AK10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8" spans="1:37" ht="18" customHeight="1">
      <c r="A1008" s="42">
        <v>1249</v>
      </c>
      <c r="B1008" s="249" t="s">
        <v>3520</v>
      </c>
      <c r="C1008" s="90" t="s">
        <v>203</v>
      </c>
      <c r="D1008" s="235"/>
      <c r="E1008" s="235"/>
      <c r="F100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8" s="119"/>
      <c r="H1008" s="90"/>
      <c r="I1008" s="90"/>
      <c r="J1008" s="90" t="str">
        <f>IF(Table26[[#This Row],[customerSKU]]="","",_xlfn.XLOOKUP(Table26[[#This Row],[customerSKU]],customerSKU!G:G,customerSKU!A:A,"",0,1))</f>
        <v/>
      </c>
      <c r="K1008" s="232">
        <v>45688</v>
      </c>
      <c r="L1008" s="233" t="str">
        <f>IF(Table26[[#This Row],[customerSKU]]="","",_xlfn.XLOOKUP(Table26[[#This Row],[customerSKU]],customerSKU!G:G,customerSKU!B:B,"",0,1))</f>
        <v/>
      </c>
      <c r="M1008" s="90"/>
      <c r="N1008" s="55" t="str">
        <f>Table26[[#This Row],[po_number]]&amp;"-"&amp;Table26[[#This Row],[po_line]]</f>
        <v>-6</v>
      </c>
      <c r="O1008" s="55">
        <v>6</v>
      </c>
      <c r="P1008" s="234"/>
      <c r="Q1008" s="90" t="s">
        <v>1862</v>
      </c>
      <c r="R1008" s="90" t="s">
        <v>569</v>
      </c>
      <c r="S1008" s="90" t="s">
        <v>114</v>
      </c>
      <c r="T1008" s="20">
        <v>45618</v>
      </c>
      <c r="U1008" s="236">
        <v>12</v>
      </c>
      <c r="V1008" s="90" t="str">
        <f>IF(ISBLANK(Table26[[#This Row],[customerSKU]]),"",_xlfn.XLOOKUP(Table26[[#This Row],[customerSKU]],Table27[customer_SKU],Table27[case_size],"",0,1))</f>
        <v/>
      </c>
      <c r="W1008" s="237" t="str">
        <f t="shared" si="47"/>
        <v/>
      </c>
      <c r="X1008" s="90" t="str">
        <f t="shared" si="46"/>
        <v/>
      </c>
      <c r="Y1008" s="90" t="str">
        <f>IF(Table26[[#This Row],[customerSKU]]="","",_xlfn.XLOOKUP(Table26[[#This Row],[customerSKU]],Table27[customer_SKU],Table27[product_GTIN],"",0,1))</f>
        <v/>
      </c>
      <c r="Z1008" s="25" t="s">
        <v>3367</v>
      </c>
      <c r="AA1008" s="18" t="str" cm="1">
        <f t="array" ref="AA1008">IF(P1008="", "", _xlfn.XLOOKUP(P1008,#REF!,#REF!,NA,0,-1))</f>
        <v/>
      </c>
      <c r="AB1008" s="90"/>
      <c r="AC1008" s="55" t="s">
        <v>4129</v>
      </c>
      <c r="AD1008" s="55" t="str">
        <f>IF($AC1008="","",_xlfn.XLOOKUP($AC1008,'[2]Client Info'!$C$2:$C$2535,'[2]Client Info'!$D$2:$D$2535,"",0,1))</f>
        <v>1928 Summit Drive</v>
      </c>
      <c r="AE1008" s="55" t="str">
        <f>IF($AC1008="","",_xlfn.XLOOKUP($AC1008,'[2]Client Info'!$C$2:$C$2715,'[2]Client Info'!$E$2:$E$2715,"",))</f>
        <v>Kelowna</v>
      </c>
      <c r="AF1008" s="55" t="str">
        <f>IF($AC1008="","",_xlfn.XLOOKUP($AC1008,'[2]Client Info'!$C$2:$C$2715,'[2]Client Info'!$F$2:$F$2715,"",0,1))</f>
        <v xml:space="preserve">BC </v>
      </c>
      <c r="AG1008" s="55" t="s">
        <v>3524</v>
      </c>
      <c r="AH1008" s="245" t="str">
        <f>_xlfn.XLOOKUP(Table26[[#This Row],[customerSKU]],customerSKU!G:G,customerSKU!K:K,"NA",0,1)</f>
        <v>NA</v>
      </c>
      <c r="AI1008" s="43" t="str">
        <f>_xlfn.XLOOKUP(Table26[[#This Row],[customerSKU]],customerSKU!G:G,customerSKU!O:O,"not found",0,1)</f>
        <v>not found</v>
      </c>
      <c r="AJ1008" s="22" t="e">
        <f>Table26[[#This Row],[unitprice]]*Table26[[#This Row],[quantity_unit]]</f>
        <v>#VALUE!</v>
      </c>
      <c r="AK1008" s="22" t="e" cm="1">
        <f t="array" ref="AK10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09" spans="1:37" ht="18" customHeight="1">
      <c r="A1009" s="42">
        <v>1250</v>
      </c>
      <c r="B1009" s="249" t="s">
        <v>3520</v>
      </c>
      <c r="C1009" s="90" t="s">
        <v>203</v>
      </c>
      <c r="D1009" s="235"/>
      <c r="E1009" s="235"/>
      <c r="F100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09" s="119"/>
      <c r="H1009" s="90"/>
      <c r="I1009" s="90"/>
      <c r="J1009" s="90" t="str">
        <f>IF(Table26[[#This Row],[customerSKU]]="","",_xlfn.XLOOKUP(Table26[[#This Row],[customerSKU]],customerSKU!G:G,customerSKU!A:A,"",0,1))</f>
        <v/>
      </c>
      <c r="K1009" s="232">
        <v>45688</v>
      </c>
      <c r="L1009" s="233" t="str">
        <f>IF(Table26[[#This Row],[customerSKU]]="","",_xlfn.XLOOKUP(Table26[[#This Row],[customerSKU]],customerSKU!G:G,customerSKU!B:B,"",0,1))</f>
        <v/>
      </c>
      <c r="M1009" s="90"/>
      <c r="N1009" s="55" t="str">
        <f>Table26[[#This Row],[po_number]]&amp;"-"&amp;Table26[[#This Row],[po_line]]</f>
        <v>-7</v>
      </c>
      <c r="O1009" s="55">
        <v>7</v>
      </c>
      <c r="P1009" s="50"/>
      <c r="Q1009" s="90" t="s">
        <v>1309</v>
      </c>
      <c r="R1009" s="90" t="s">
        <v>569</v>
      </c>
      <c r="S1009" s="90" t="s">
        <v>114</v>
      </c>
      <c r="T1009" s="20">
        <v>45623</v>
      </c>
      <c r="U1009" s="236">
        <v>12</v>
      </c>
      <c r="V1009" s="90" t="str">
        <f>IF(ISBLANK(Table26[[#This Row],[customerSKU]]),"",_xlfn.XLOOKUP(Table26[[#This Row],[customerSKU]],Table27[customer_SKU],Table27[case_size],"",0,1))</f>
        <v/>
      </c>
      <c r="W1009" s="237" t="str">
        <f t="shared" si="47"/>
        <v/>
      </c>
      <c r="X1009" s="90" t="str">
        <f t="shared" si="46"/>
        <v/>
      </c>
      <c r="Y1009" s="90" t="str">
        <f>IF(Table26[[#This Row],[customerSKU]]="","",_xlfn.XLOOKUP(Table26[[#This Row],[customerSKU]],Table27[customer_SKU],Table27[product_GTIN],"",0,1))</f>
        <v/>
      </c>
      <c r="Z1009" s="25" t="s">
        <v>3447</v>
      </c>
      <c r="AA1009" s="18" t="str" cm="1">
        <f t="array" ref="AA1009">IF(P1009="", "", _xlfn.XLOOKUP(P1009,#REF!,#REF!,NA,0,-1))</f>
        <v/>
      </c>
      <c r="AB1009" s="90"/>
      <c r="AC1009" s="55" t="s">
        <v>4129</v>
      </c>
      <c r="AD1009" s="55" t="str">
        <f>IF($AC1009="","",_xlfn.XLOOKUP($AC1009,'[2]Client Info'!$C$2:$C$2535,'[2]Client Info'!$D$2:$D$2535,"",0,1))</f>
        <v>1928 Summit Drive</v>
      </c>
      <c r="AE1009" s="55" t="str">
        <f>IF($AC1009="","",_xlfn.XLOOKUP($AC1009,'[2]Client Info'!$C$2:$C$2715,'[2]Client Info'!$E$2:$E$2715,"",))</f>
        <v>Kelowna</v>
      </c>
      <c r="AF1009" s="55" t="str">
        <f>IF($AC1009="","",_xlfn.XLOOKUP($AC1009,'[2]Client Info'!$C$2:$C$2715,'[2]Client Info'!$F$2:$F$2715,"",0,1))</f>
        <v xml:space="preserve">BC </v>
      </c>
      <c r="AG1009" s="55" t="s">
        <v>3524</v>
      </c>
      <c r="AH1009" s="245" t="str">
        <f>_xlfn.XLOOKUP(Table26[[#This Row],[customerSKU]],customerSKU!G:G,customerSKU!K:K,"NA",0,1)</f>
        <v>NA</v>
      </c>
      <c r="AI1009" s="43" t="str">
        <f>_xlfn.XLOOKUP(Table26[[#This Row],[customerSKU]],customerSKU!G:G,customerSKU!O:O,"not found",0,1)</f>
        <v>not found</v>
      </c>
      <c r="AJ1009" s="22" t="e">
        <f>Table26[[#This Row],[unitprice]]*Table26[[#This Row],[quantity_unit]]</f>
        <v>#VALUE!</v>
      </c>
      <c r="AK1009" s="22" t="e" cm="1">
        <f t="array" ref="AK10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0" spans="1:37" ht="18" customHeight="1">
      <c r="A1010" s="42">
        <v>1251</v>
      </c>
      <c r="B1010" s="249" t="s">
        <v>3520</v>
      </c>
      <c r="C1010" s="90" t="s">
        <v>203</v>
      </c>
      <c r="D1010" s="235"/>
      <c r="E1010" s="235"/>
      <c r="F1010" s="119"/>
      <c r="G1010" s="119"/>
      <c r="H1010" s="90"/>
      <c r="I1010" s="90"/>
      <c r="J1010" s="90" t="str">
        <f>IF(Table26[[#This Row],[customerSKU]]="","",_xlfn.XLOOKUP(Table26[[#This Row],[customerSKU]],customerSKU!G:G,customerSKU!A:A,"",0,1))</f>
        <v/>
      </c>
      <c r="K1010" s="232">
        <v>45688</v>
      </c>
      <c r="L1010" s="233" t="str">
        <f>IF(Table26[[#This Row],[customerSKU]]="","",_xlfn.XLOOKUP(Table26[[#This Row],[customerSKU]],customerSKU!G:G,customerSKU!B:B,"",0,1))</f>
        <v/>
      </c>
      <c r="M1010" s="24"/>
      <c r="N1010" s="305" t="str">
        <f>Table26[[#This Row],[po_number]]&amp;"-"&amp;Table26[[#This Row],[po_line]]</f>
        <v>-1</v>
      </c>
      <c r="O1010" s="305">
        <v>1</v>
      </c>
      <c r="P1010" s="50"/>
      <c r="Q1010" s="90" t="s">
        <v>4041</v>
      </c>
      <c r="R1010" s="90" t="s">
        <v>569</v>
      </c>
      <c r="S1010" s="90" t="str">
        <f>IF(Table26[[#This Row],[customerSKU]]="","",_xlfn.XLOOKUP(Table26[[#This Row],[customerSKU]],customerSKU!G:G,customerSKU!N:N,"NOT FOUND",0,1))</f>
        <v>NOT FOUND</v>
      </c>
      <c r="T1010" s="20">
        <v>45689</v>
      </c>
      <c r="U1010" s="122">
        <v>240</v>
      </c>
      <c r="V1010" s="90" t="str">
        <f>IF(ISBLANK(Table26[[#This Row],[customerSKU]]),"",_xlfn.XLOOKUP(Table26[[#This Row],[customerSKU]],Table27[customer_SKU],Table27[case_size],"",0,1))</f>
        <v/>
      </c>
      <c r="W1010" s="237" t="str">
        <f t="shared" si="47"/>
        <v/>
      </c>
      <c r="X1010" s="90" t="str">
        <f t="shared" si="46"/>
        <v/>
      </c>
      <c r="Y1010" s="90" t="str">
        <f>IF(Table26[[#This Row],[customerSKU]]="","",_xlfn.XLOOKUP(Table26[[#This Row],[customerSKU]],Table27[customer_SKU],Table27[product_GTIN],"",0,1))</f>
        <v/>
      </c>
      <c r="Z1010" s="273" t="s">
        <v>4042</v>
      </c>
      <c r="AA1010" s="18" t="str" cm="1">
        <f t="array" ref="AA1010">IF(P1010="", "", _xlfn.XLOOKUP(P1010,#REF!,#REF!,NA,0,-1))</f>
        <v/>
      </c>
      <c r="AB1010" s="90"/>
      <c r="AC1010" s="55" t="str">
        <f>IF(Table26[[#This Row],[customerSKU]]="","",_xlfn.XLOOKUP(Table26[[#This Row],[customerSKU]],customerSKU!G:G,customerSKU!C:C,"",0,1))</f>
        <v/>
      </c>
      <c r="AD1010" s="55" t="str">
        <f>IF($AC1010="","",_xlfn.XLOOKUP($AC1010,'[2]Client Info'!$C$2:$C$2535,'[2]Client Info'!$D$2:$D$2535,"",0,1))</f>
        <v/>
      </c>
      <c r="AE1010" s="55" t="str">
        <f>IF($AC1010="","",_xlfn.XLOOKUP($AC1010,'[2]Client Info'!$C$2:$C$2715,'[2]Client Info'!$E$2:$E$2715,"",))</f>
        <v/>
      </c>
      <c r="AF1010" s="55" t="str">
        <f>IF($AC1010="","",_xlfn.XLOOKUP($AC1010,'[2]Client Info'!$C$2:$C$2715,'[2]Client Info'!$F$2:$F$2715,"",0,1))</f>
        <v/>
      </c>
      <c r="AG1010" s="55" t="str">
        <f>IF(ISBLANK(Table26[[#This Row],[customerSKU]]),"",_xlfn.XLOOKUP(Table26[[#This Row],[customerSKU]],Table27[customer_SKU],Table27[billto],"",0,1))</f>
        <v/>
      </c>
      <c r="AH1010" s="245" t="str">
        <f>_xlfn.XLOOKUP(Table26[[#This Row],[customerSKU]],customerSKU!G:G,customerSKU!K:K,"NA",0,1)</f>
        <v>NA</v>
      </c>
      <c r="AI1010" s="43" t="str">
        <f>_xlfn.XLOOKUP(Table26[[#This Row],[customerSKU]],customerSKU!G:G,customerSKU!O:O,"not found",0,1)</f>
        <v>not found</v>
      </c>
      <c r="AJ1010" s="22" t="e">
        <f>Table26[[#This Row],[unitprice]]*Table26[[#This Row],[quantity_unit]]</f>
        <v>#VALUE!</v>
      </c>
      <c r="AK1010" s="22" t="e" cm="1">
        <f t="array" ref="AK10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1" spans="1:37" ht="18" customHeight="1">
      <c r="A1011" s="42">
        <v>1252</v>
      </c>
      <c r="B1011" s="249" t="s">
        <v>3520</v>
      </c>
      <c r="C1011" s="90" t="s">
        <v>203</v>
      </c>
      <c r="D1011" s="235"/>
      <c r="E1011" s="235"/>
      <c r="F1011" s="119"/>
      <c r="G1011" s="119"/>
      <c r="H1011" s="90"/>
      <c r="I1011" s="90"/>
      <c r="J1011" s="90" t="str">
        <f>IF(Table26[[#This Row],[customerSKU]]="","",_xlfn.XLOOKUP(Table26[[#This Row],[customerSKU]],customerSKU!G:G,customerSKU!A:A,"",0,1))</f>
        <v/>
      </c>
      <c r="K1011" s="232">
        <v>45688</v>
      </c>
      <c r="L1011" s="233" t="str">
        <f>IF(Table26[[#This Row],[customerSKU]]="","",_xlfn.XLOOKUP(Table26[[#This Row],[customerSKU]],customerSKU!G:G,customerSKU!B:B,"",0,1))</f>
        <v/>
      </c>
      <c r="M1011" s="24"/>
      <c r="N1011" s="305" t="str">
        <f>Table26[[#This Row],[po_number]]&amp;"-"&amp;Table26[[#This Row],[po_line]]</f>
        <v>-1</v>
      </c>
      <c r="O1011" s="305">
        <v>1</v>
      </c>
      <c r="P1011" s="50"/>
      <c r="Q1011" s="90" t="s">
        <v>4040</v>
      </c>
      <c r="R1011" s="90" t="s">
        <v>569</v>
      </c>
      <c r="S1011" s="90" t="str">
        <f>IF(Table26[[#This Row],[customerSKU]]="","",_xlfn.XLOOKUP(Table26[[#This Row],[customerSKU]],customerSKU!G:G,customerSKU!N:N,"NOT FOUND",0,1))</f>
        <v>NOT FOUND</v>
      </c>
      <c r="T1011" s="20">
        <v>45689</v>
      </c>
      <c r="U1011" s="122">
        <f>34*6</f>
        <v>204</v>
      </c>
      <c r="V1011" s="90" t="str">
        <f>IF(ISBLANK(Table26[[#This Row],[customerSKU]]),"",_xlfn.XLOOKUP(Table26[[#This Row],[customerSKU]],Table27[customer_SKU],Table27[case_size],"",0,1))</f>
        <v/>
      </c>
      <c r="W1011" s="237" t="str">
        <f t="shared" si="47"/>
        <v/>
      </c>
      <c r="X1011" s="90" t="str">
        <f t="shared" si="46"/>
        <v/>
      </c>
      <c r="Y1011" s="90" t="str">
        <f>IF(Table26[[#This Row],[customerSKU]]="","",_xlfn.XLOOKUP(Table26[[#This Row],[customerSKU]],Table27[customer_SKU],Table27[product_GTIN],"",0,1))</f>
        <v/>
      </c>
      <c r="Z1011" s="273" t="s">
        <v>3557</v>
      </c>
      <c r="AA1011" s="18" t="str" cm="1">
        <f t="array" ref="AA1011">IF(P1011="", "", _xlfn.XLOOKUP(P1011,#REF!,#REF!,NA,0,-1))</f>
        <v/>
      </c>
      <c r="AB1011" s="90"/>
      <c r="AC1011" s="55" t="str">
        <f>IF(Table26[[#This Row],[customerSKU]]="","",_xlfn.XLOOKUP(Table26[[#This Row],[customerSKU]],customerSKU!G:G,customerSKU!C:C,"",0,1))</f>
        <v/>
      </c>
      <c r="AD1011" s="55" t="str">
        <f>IF($AC1011="","",_xlfn.XLOOKUP($AC1011,'[2]Client Info'!$C$2:$C$2535,'[2]Client Info'!$D$2:$D$2535,"",0,1))</f>
        <v/>
      </c>
      <c r="AE1011" s="55" t="str">
        <f>IF($AC1011="","",_xlfn.XLOOKUP($AC1011,'[2]Client Info'!$C$2:$C$2715,'[2]Client Info'!$E$2:$E$2715,"",))</f>
        <v/>
      </c>
      <c r="AF1011" s="55" t="str">
        <f>IF($AC1011="","",_xlfn.XLOOKUP($AC1011,'[2]Client Info'!$C$2:$C$2715,'[2]Client Info'!$F$2:$F$2715,"",0,1))</f>
        <v/>
      </c>
      <c r="AG1011" s="55" t="str">
        <f>IF(ISBLANK(Table26[[#This Row],[customerSKU]]),"",_xlfn.XLOOKUP(Table26[[#This Row],[customerSKU]],Table27[customer_SKU],Table27[billto],"",0,1))</f>
        <v/>
      </c>
      <c r="AH1011" s="245" t="str">
        <f>_xlfn.XLOOKUP(Table26[[#This Row],[customerSKU]],customerSKU!G:G,customerSKU!K:K,"NA",0,1)</f>
        <v>NA</v>
      </c>
      <c r="AI1011" s="43" t="str">
        <f>_xlfn.XLOOKUP(Table26[[#This Row],[customerSKU]],customerSKU!G:G,customerSKU!O:O,"not found",0,1)</f>
        <v>not found</v>
      </c>
      <c r="AJ1011" s="22" t="e">
        <f>Table26[[#This Row],[unitprice]]*Table26[[#This Row],[quantity_unit]]</f>
        <v>#VALUE!</v>
      </c>
      <c r="AK1011" s="22" t="e" cm="1">
        <f t="array" ref="AK10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2" spans="1:37" ht="18" customHeight="1">
      <c r="A1012" s="42">
        <v>1253</v>
      </c>
      <c r="B1012" s="249" t="s">
        <v>3520</v>
      </c>
      <c r="C1012" s="90" t="s">
        <v>203</v>
      </c>
      <c r="D1012" s="235"/>
      <c r="E1012" s="235"/>
      <c r="F1012" s="119"/>
      <c r="G1012" s="119"/>
      <c r="H1012" s="90"/>
      <c r="I1012" s="90"/>
      <c r="J1012" s="90" t="str">
        <f>IF(Table26[[#This Row],[customerSKU]]="","",_xlfn.XLOOKUP(Table26[[#This Row],[customerSKU]],customerSKU!G:G,customerSKU!A:A,"",0,1))</f>
        <v/>
      </c>
      <c r="K1012" s="232">
        <v>45688</v>
      </c>
      <c r="L1012" s="233" t="str">
        <f>IF(Table26[[#This Row],[customerSKU]]="","",_xlfn.XLOOKUP(Table26[[#This Row],[customerSKU]],customerSKU!G:G,customerSKU!B:B,"",0,1))</f>
        <v/>
      </c>
      <c r="M1012" s="90"/>
      <c r="N1012" s="55" t="str">
        <f>Table26[[#This Row],[po_number]]&amp;"-"&amp;Table26[[#This Row],[po_line]]</f>
        <v>-2</v>
      </c>
      <c r="O1012" s="55">
        <v>2</v>
      </c>
      <c r="P1012" s="50"/>
      <c r="Q1012" s="90" t="s">
        <v>4040</v>
      </c>
      <c r="R1012" s="90" t="s">
        <v>569</v>
      </c>
      <c r="S1012" s="90" t="str">
        <f>IF(Table26[[#This Row],[customerSKU]]="","",_xlfn.XLOOKUP(Table26[[#This Row],[customerSKU]],customerSKU!G:G,customerSKU!N:N,"NOT FOUND",0,1))</f>
        <v>NOT FOUND</v>
      </c>
      <c r="T1012" s="20">
        <v>45543</v>
      </c>
      <c r="U1012" s="122">
        <f>21*6</f>
        <v>126</v>
      </c>
      <c r="V1012" s="90" t="str">
        <f>IF(ISBLANK(Table26[[#This Row],[customerSKU]]),"",_xlfn.XLOOKUP(Table26[[#This Row],[customerSKU]],Table27[customer_SKU],Table27[case_size],"",0,1))</f>
        <v/>
      </c>
      <c r="W1012" s="237" t="str">
        <f t="shared" si="47"/>
        <v/>
      </c>
      <c r="X1012" s="90" t="str">
        <f t="shared" si="46"/>
        <v/>
      </c>
      <c r="Y1012" s="90" t="str">
        <f>IF(Table26[[#This Row],[customerSKU]]="","",_xlfn.XLOOKUP(Table26[[#This Row],[customerSKU]],Table27[customer_SKU],Table27[product_GTIN],"",0,1))</f>
        <v/>
      </c>
      <c r="Z1012" s="273" t="s">
        <v>3557</v>
      </c>
      <c r="AA1012" s="18" t="str" cm="1">
        <f t="array" ref="AA1012">IF(P1012="", "", _xlfn.XLOOKUP(P1012,#REF!,#REF!,NA,0,-1))</f>
        <v/>
      </c>
      <c r="AB1012" s="90"/>
      <c r="AC1012" s="55" t="str">
        <f>IF(Table26[[#This Row],[customerSKU]]="","",_xlfn.XLOOKUP(Table26[[#This Row],[customerSKU]],customerSKU!G:G,customerSKU!C:C,"",0,1))</f>
        <v/>
      </c>
      <c r="AD1012" s="55" t="str">
        <f>IF($AC1012="","",_xlfn.XLOOKUP($AC1012,'[2]Client Info'!$C$2:$C$2535,'[2]Client Info'!$D$2:$D$2535,"",0,1))</f>
        <v/>
      </c>
      <c r="AE1012" s="55" t="str">
        <f>IF($AC1012="","",_xlfn.XLOOKUP($AC1012,'[2]Client Info'!$C$2:$C$2715,'[2]Client Info'!$E$2:$E$2715,"",))</f>
        <v/>
      </c>
      <c r="AF1012" s="55" t="str">
        <f>IF($AC1012="","",_xlfn.XLOOKUP($AC1012,'[2]Client Info'!$C$2:$C$2715,'[2]Client Info'!$F$2:$F$2715,"",0,1))</f>
        <v/>
      </c>
      <c r="AG1012" s="55" t="str">
        <f>IF(ISBLANK(Table26[[#This Row],[customerSKU]]),"",_xlfn.XLOOKUP(Table26[[#This Row],[customerSKU]],Table27[customer_SKU],Table27[billto],"",0,1))</f>
        <v/>
      </c>
      <c r="AH1012" s="245" t="str">
        <f>_xlfn.XLOOKUP(Table26[[#This Row],[customerSKU]],customerSKU!G:G,customerSKU!K:K,"NA",0,1)</f>
        <v>NA</v>
      </c>
      <c r="AI1012" s="43" t="str">
        <f>_xlfn.XLOOKUP(Table26[[#This Row],[customerSKU]],customerSKU!G:G,customerSKU!O:O,"not found",0,1)</f>
        <v>not found</v>
      </c>
      <c r="AJ1012" s="22" t="e">
        <f>Table26[[#This Row],[unitprice]]*Table26[[#This Row],[quantity_unit]]</f>
        <v>#VALUE!</v>
      </c>
      <c r="AK1012" s="22" t="e" cm="1">
        <f t="array" ref="AK10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3" spans="1:37" ht="18" customHeight="1">
      <c r="A1013" s="42">
        <v>1254</v>
      </c>
      <c r="B1013" s="249" t="s">
        <v>3520</v>
      </c>
      <c r="C1013" s="90" t="s">
        <v>203</v>
      </c>
      <c r="D1013" s="235"/>
      <c r="E1013" s="235"/>
      <c r="F1013" s="119"/>
      <c r="G1013" s="119"/>
      <c r="H1013" s="90"/>
      <c r="I1013" s="90"/>
      <c r="J1013" s="90" t="str">
        <f>IF(Table26[[#This Row],[customerSKU]]="","",_xlfn.XLOOKUP(Table26[[#This Row],[customerSKU]],customerSKU!G:G,customerSKU!A:A,"",0,1))</f>
        <v/>
      </c>
      <c r="K1013" s="232">
        <v>45688</v>
      </c>
      <c r="L1013" s="233" t="str">
        <f>IF(Table26[[#This Row],[customerSKU]]="","",_xlfn.XLOOKUP(Table26[[#This Row],[customerSKU]],customerSKU!G:G,customerSKU!B:B,"",0,1))</f>
        <v/>
      </c>
      <c r="M1013" s="90"/>
      <c r="N1013" s="55" t="str">
        <f>Table26[[#This Row],[po_number]]&amp;"-"&amp;Table26[[#This Row],[po_line]]</f>
        <v>-3</v>
      </c>
      <c r="O1013" s="55">
        <v>3</v>
      </c>
      <c r="P1013" s="50"/>
      <c r="Q1013" s="90" t="s">
        <v>4040</v>
      </c>
      <c r="R1013" s="90" t="s">
        <v>569</v>
      </c>
      <c r="S1013" s="90" t="str">
        <f>IF(Table26[[#This Row],[customerSKU]]="","",_xlfn.XLOOKUP(Table26[[#This Row],[customerSKU]],customerSKU!G:G,customerSKU!N:N,"NOT FOUND",0,1))</f>
        <v>NOT FOUND</v>
      </c>
      <c r="T1013" s="20">
        <v>45605</v>
      </c>
      <c r="U1013" s="122">
        <f>15*6</f>
        <v>90</v>
      </c>
      <c r="V1013" s="90" t="str">
        <f>IF(ISBLANK(Table26[[#This Row],[customerSKU]]),"",_xlfn.XLOOKUP(Table26[[#This Row],[customerSKU]],Table27[customer_SKU],Table27[case_size],"",0,1))</f>
        <v/>
      </c>
      <c r="W1013" s="237" t="str">
        <f t="shared" si="47"/>
        <v/>
      </c>
      <c r="X1013" s="90" t="str">
        <f t="shared" si="46"/>
        <v/>
      </c>
      <c r="Y1013" s="90" t="str">
        <f>IF(Table26[[#This Row],[customerSKU]]="","",_xlfn.XLOOKUP(Table26[[#This Row],[customerSKU]],Table27[customer_SKU],Table27[product_GTIN],"",0,1))</f>
        <v/>
      </c>
      <c r="Z1013" s="273" t="s">
        <v>3557</v>
      </c>
      <c r="AA1013" s="18" t="str" cm="1">
        <f t="array" ref="AA1013">IF(P1013="", "", _xlfn.XLOOKUP(P1013,#REF!,#REF!,NA,0,-1))</f>
        <v/>
      </c>
      <c r="AB1013" s="90"/>
      <c r="AC1013" s="55" t="str">
        <f>IF(Table26[[#This Row],[customerSKU]]="","",_xlfn.XLOOKUP(Table26[[#This Row],[customerSKU]],customerSKU!G:G,customerSKU!C:C,"",0,1))</f>
        <v/>
      </c>
      <c r="AD1013" s="55" t="str">
        <f>IF($AC1013="","",_xlfn.XLOOKUP($AC1013,'[2]Client Info'!$C$2:$C$2535,'[2]Client Info'!$D$2:$D$2535,"",0,1))</f>
        <v/>
      </c>
      <c r="AE1013" s="55" t="str">
        <f>IF($AC1013="","",_xlfn.XLOOKUP($AC1013,'[2]Client Info'!$C$2:$C$2715,'[2]Client Info'!$E$2:$E$2715,"",))</f>
        <v/>
      </c>
      <c r="AF1013" s="55" t="str">
        <f>IF($AC1013="","",_xlfn.XLOOKUP($AC1013,'[2]Client Info'!$C$2:$C$2715,'[2]Client Info'!$F$2:$F$2715,"",0,1))</f>
        <v/>
      </c>
      <c r="AG1013" s="55" t="str">
        <f>IF(ISBLANK(Table26[[#This Row],[customerSKU]]),"",_xlfn.XLOOKUP(Table26[[#This Row],[customerSKU]],Table27[customer_SKU],Table27[billto],"",0,1))</f>
        <v/>
      </c>
      <c r="AH1013" s="245" t="str">
        <f>_xlfn.XLOOKUP(Table26[[#This Row],[customerSKU]],customerSKU!G:G,customerSKU!K:K,"NA",0,1)</f>
        <v>NA</v>
      </c>
      <c r="AI1013" s="43" t="str">
        <f>_xlfn.XLOOKUP(Table26[[#This Row],[customerSKU]],customerSKU!G:G,customerSKU!O:O,"not found",0,1)</f>
        <v>not found</v>
      </c>
      <c r="AJ1013" s="22" t="e">
        <f>Table26[[#This Row],[unitprice]]*Table26[[#This Row],[quantity_unit]]</f>
        <v>#VALUE!</v>
      </c>
      <c r="AK1013" s="22" t="e" cm="1">
        <f t="array" ref="AK10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4" spans="1:37" ht="18" customHeight="1">
      <c r="A1014" s="42">
        <v>1235</v>
      </c>
      <c r="B1014" s="27" t="s">
        <v>3520</v>
      </c>
      <c r="C1014" s="53" t="s">
        <v>3360</v>
      </c>
      <c r="E1014" s="20"/>
      <c r="F1014" s="53"/>
      <c r="G1014" s="17"/>
      <c r="J1014" s="90" t="str">
        <f>IF(Table26[[#This Row],[customerSKU]]="","",_xlfn.XLOOKUP(Table26[[#This Row],[customerSKU]],customerSKU!G:G,customerSKU!A:A,"",0,1))</f>
        <v/>
      </c>
      <c r="K1014" s="232">
        <v>45692</v>
      </c>
      <c r="L1014" s="31" t="str">
        <f>IF(Table26[[#This Row],[customerSKU]]="","",_xlfn.XLOOKUP(Table26[[#This Row],[customerSKU]],customerSKU!G:G,customerSKU!B:B,"",0,1))</f>
        <v/>
      </c>
      <c r="M1014" s="22"/>
      <c r="N1014" s="15" t="str">
        <f>Table26[[#This Row],[po_number]]&amp;"-"&amp;Table26[[#This Row],[po_line]]</f>
        <v>-1</v>
      </c>
      <c r="O1014" s="15">
        <v>1</v>
      </c>
      <c r="P1014" s="50"/>
      <c r="Q1014" s="22" t="s">
        <v>3368</v>
      </c>
      <c r="R1014" s="22" t="s">
        <v>3369</v>
      </c>
      <c r="S1014" s="22" t="s">
        <v>3420</v>
      </c>
      <c r="T1014" s="20">
        <v>45590</v>
      </c>
      <c r="U1014" s="21">
        <v>48</v>
      </c>
      <c r="V1014" s="22" t="str">
        <f>IF(ISBLANK(Table26[[#This Row],[customerSKU]]),"",_xlfn.XLOOKUP(Table26[[#This Row],[customerSKU]],Table27[customer_SKU],Table27[case_size],"",0,1))</f>
        <v/>
      </c>
      <c r="W1014" s="117" t="str">
        <f t="shared" si="47"/>
        <v/>
      </c>
      <c r="X1014" s="22" t="str">
        <f t="shared" si="46"/>
        <v/>
      </c>
      <c r="Y1014" s="22" t="str">
        <f>IF(Table26[[#This Row],[customerSKU]]="","",_xlfn.XLOOKUP(Table26[[#This Row],[customerSKU]],Table27[customer_SKU],Table27[product_GTIN],"",0,1))</f>
        <v/>
      </c>
      <c r="Z1014" s="25">
        <v>110184</v>
      </c>
      <c r="AA1014" s="18" t="str" cm="1">
        <f t="array" ref="AA1014">IF(P1014="", "", _xlfn.XLOOKUP(P1014,#REF!,#REF!,NA,0,-1))</f>
        <v/>
      </c>
      <c r="AB1014" s="22"/>
      <c r="AC1014" s="55" t="str">
        <f>IF(Table26[[#This Row],[customerSKU]]="","",_xlfn.XLOOKUP(Table26[[#This Row],[customerSKU]],customerSKU!G:G,customerSKU!C:C,"",0,1))</f>
        <v/>
      </c>
      <c r="AD1014" s="55" t="str">
        <f>IF($AC1014="","",_xlfn.XLOOKUP($AC1014,'[2]Client Info'!$C$2:$C$2535,'[2]Client Info'!$D$2:$D$2535,"",0,1))</f>
        <v/>
      </c>
      <c r="AE1014" s="55" t="str">
        <f>IF($AC1014="","",_xlfn.XLOOKUP($AC1014,'[2]Client Info'!$C$2:$C$2715,'[2]Client Info'!$E$2:$E$2715,"",))</f>
        <v/>
      </c>
      <c r="AF1014" s="55" t="str">
        <f>IF($AC1014="","",_xlfn.XLOOKUP($AC1014,'[2]Client Info'!$C$2:$C$2715,'[2]Client Info'!$F$2:$F$2715,"",0,1))</f>
        <v/>
      </c>
      <c r="AG1014" s="55" t="str">
        <f>IF(ISBLANK(Table26[[#This Row],[customerSKU]]),"",_xlfn.XLOOKUP(Table26[[#This Row],[customerSKU]],Table27[customer_SKU],Table27[billto],"",0,1))</f>
        <v/>
      </c>
      <c r="AH1014" s="26" t="str">
        <f>_xlfn.XLOOKUP(Table26[[#This Row],[customerSKU]],customerSKU!G:G,customerSKU!K:K,"NA",0,1)</f>
        <v>NA</v>
      </c>
      <c r="AI1014" s="43" t="str">
        <f>_xlfn.XLOOKUP(Table26[[#This Row],[customerSKU]],customerSKU!G:G,customerSKU!O:O,"not found",0,1)</f>
        <v>not found</v>
      </c>
      <c r="AJ1014" s="22" t="e">
        <f>Table26[[#This Row],[unitprice]]*Table26[[#This Row],[quantity_unit]]</f>
        <v>#VALUE!</v>
      </c>
      <c r="AK1014" s="22" t="e" cm="1">
        <f t="array" ref="AK10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5" spans="1:37" ht="18" customHeight="1">
      <c r="A1015" s="42">
        <v>1236</v>
      </c>
      <c r="B1015" s="249" t="s">
        <v>3520</v>
      </c>
      <c r="C1015" s="90" t="s">
        <v>203</v>
      </c>
      <c r="D1015" s="235"/>
      <c r="E1015" s="235"/>
      <c r="F101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15" s="119"/>
      <c r="H1015" s="90"/>
      <c r="I1015" s="90"/>
      <c r="J1015" s="90" t="str">
        <f>IF(Table26[[#This Row],[customerSKU]]="","",_xlfn.XLOOKUP(Table26[[#This Row],[customerSKU]],customerSKU!G:G,customerSKU!A:A,"",0,1))</f>
        <v/>
      </c>
      <c r="K1015" s="232">
        <v>45692</v>
      </c>
      <c r="L1015" s="233" t="str">
        <f>IF(Table26[[#This Row],[customerSKU]]="","",_xlfn.XLOOKUP(Table26[[#This Row],[customerSKU]],customerSKU!G:G,customerSKU!B:B,"",0,1))</f>
        <v/>
      </c>
      <c r="M1015" s="90"/>
      <c r="N1015" s="55" t="str">
        <f>Table26[[#This Row],[po_number]]&amp;"-"&amp;Table26[[#This Row],[po_line]]</f>
        <v>-1</v>
      </c>
      <c r="O1015" s="55">
        <v>1</v>
      </c>
      <c r="P1015" s="50"/>
      <c r="Q1015" s="90" t="s">
        <v>4086</v>
      </c>
      <c r="R1015" s="90" t="s">
        <v>569</v>
      </c>
      <c r="S1015" s="90" t="str">
        <f>IF(Table26[[#This Row],[customerSKU]]="","",_xlfn.XLOOKUP(Table26[[#This Row],[customerSKU]],customerSKU!G:G,customerSKU!N:N,"NOT FOUND",0,1))</f>
        <v>NOT FOUND</v>
      </c>
      <c r="T1015" s="20">
        <v>45631</v>
      </c>
      <c r="U1015" s="236">
        <v>24</v>
      </c>
      <c r="V1015" s="90" t="str">
        <f>IF(ISBLANK(Table26[[#This Row],[customerSKU]]),"",_xlfn.XLOOKUP(Table26[[#This Row],[customerSKU]],Table27[customer_SKU],Table27[case_size],"",0,1))</f>
        <v/>
      </c>
      <c r="W1015" s="237" t="str">
        <f t="shared" si="47"/>
        <v/>
      </c>
      <c r="X1015" s="90" t="str">
        <f t="shared" si="46"/>
        <v/>
      </c>
      <c r="Y1015" s="90" t="str">
        <f>IF(Table26[[#This Row],[customerSKU]]="","",_xlfn.XLOOKUP(Table26[[#This Row],[customerSKU]],Table27[customer_SKU],Table27[product_GTIN],"",0,1))</f>
        <v/>
      </c>
      <c r="Z1015" s="25" t="s">
        <v>3372</v>
      </c>
      <c r="AA1015" s="18" t="str" cm="1">
        <f t="array" ref="AA1015">IF(P1015="", "", _xlfn.XLOOKUP(P1015,#REF!,#REF!,NA,0,-1))</f>
        <v/>
      </c>
      <c r="AB1015" s="90"/>
      <c r="AC1015" s="55" t="s">
        <v>59</v>
      </c>
      <c r="AD1015" s="55" t="str">
        <f>IF($AC1015="","",_xlfn.XLOOKUP($AC1015,'[2]Client Info'!$C$2:$C$2535,'[2]Client Info'!$D$2:$D$2535,"",0,1))</f>
        <v>726 Kingsway</v>
      </c>
      <c r="AE1015" s="55" t="str">
        <f>IF($AC1015="","",_xlfn.XLOOKUP($AC1015,'[2]Client Info'!$C$2:$C$2715,'[2]Client Info'!$E$2:$E$2715,"",))</f>
        <v>Vancouver</v>
      </c>
      <c r="AF1015" s="55" t="str">
        <f>IF($AC1015="","",_xlfn.XLOOKUP($AC1015,'[2]Client Info'!$C$2:$C$2715,'[2]Client Info'!$F$2:$F$2715,"",0,1))</f>
        <v xml:space="preserve">BC </v>
      </c>
      <c r="AG1015" s="55" t="s">
        <v>59</v>
      </c>
      <c r="AH1015" s="245" t="str">
        <f>_xlfn.XLOOKUP(Table26[[#This Row],[customerSKU]],customerSKU!G:G,customerSKU!K:K,"NA",0,1)</f>
        <v>NA</v>
      </c>
      <c r="AI1015" s="43" t="str">
        <f>_xlfn.XLOOKUP(Table26[[#This Row],[customerSKU]],customerSKU!G:G,customerSKU!O:O,"not found",0,1)</f>
        <v>not found</v>
      </c>
      <c r="AJ1015" s="22" t="e">
        <f>Table26[[#This Row],[unitprice]]*Table26[[#This Row],[quantity_unit]]</f>
        <v>#VALUE!</v>
      </c>
      <c r="AK1015" s="22" t="e" cm="1">
        <f t="array" ref="AK10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6" spans="1:37" ht="18" customHeight="1">
      <c r="A1016" s="42">
        <v>1237</v>
      </c>
      <c r="B1016" s="27" t="s">
        <v>3520</v>
      </c>
      <c r="C1016" s="22" t="s">
        <v>203</v>
      </c>
      <c r="E1016" s="20"/>
      <c r="F101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16" s="258"/>
      <c r="J1016" s="90" t="str">
        <f>IF(Table26[[#This Row],[customerSKU]]="","",_xlfn.XLOOKUP(Table26[[#This Row],[customerSKU]],customerSKU!G:G,customerSKU!A:A,"",0,1))</f>
        <v/>
      </c>
      <c r="K1016" s="232">
        <v>45692</v>
      </c>
      <c r="L1016" s="31" t="str">
        <f>IF(Table26[[#This Row],[customerSKU]]="","",_xlfn.XLOOKUP(Table26[[#This Row],[customerSKU]],customerSKU!G:G,customerSKU!B:B,"",0,1))</f>
        <v/>
      </c>
      <c r="M1016" s="22"/>
      <c r="N1016" s="15" t="str">
        <f>Table26[[#This Row],[po_number]]&amp;"-"&amp;Table26[[#This Row],[po_line]]</f>
        <v>-1</v>
      </c>
      <c r="O1016" s="15">
        <v>1</v>
      </c>
      <c r="P1016" s="50"/>
      <c r="Q1016" s="22" t="s">
        <v>3648</v>
      </c>
      <c r="R1016" s="22" t="s">
        <v>569</v>
      </c>
      <c r="S1016" s="22" t="str">
        <f>IF(Table26[[#This Row],[customerSKU]]="","",_xlfn.XLOOKUP(Table26[[#This Row],[customerSKU]],customerSKU!G:G,customerSKU!N:N,"NOT FOUND",0,1))</f>
        <v>NOT FOUND</v>
      </c>
      <c r="T1016" s="20">
        <v>45649</v>
      </c>
      <c r="U1016" s="21">
        <v>12</v>
      </c>
      <c r="V1016" s="22" t="str">
        <f>IF(ISBLANK(Table26[[#This Row],[customerSKU]]),"",_xlfn.XLOOKUP(Table26[[#This Row],[customerSKU]],Table27[customer_SKU],Table27[case_size],"",0,1))</f>
        <v/>
      </c>
      <c r="W1016" s="117" t="str">
        <f t="shared" si="47"/>
        <v/>
      </c>
      <c r="X1016" s="22" t="str">
        <f t="shared" si="46"/>
        <v/>
      </c>
      <c r="Y1016" s="22" t="str">
        <f>IF(Table26[[#This Row],[customerSKU]]="","",_xlfn.XLOOKUP(Table26[[#This Row],[customerSKU]],Table27[customer_SKU],Table27[product_GTIN],"",0,1))</f>
        <v/>
      </c>
      <c r="Z1016" s="25" t="s">
        <v>3649</v>
      </c>
      <c r="AA1016" s="18" t="str" cm="1">
        <f t="array" ref="AA1016">IF(P1016="", "", _xlfn.XLOOKUP(P1016,#REF!,#REF!,NA,0,-1))</f>
        <v/>
      </c>
      <c r="AB1016" s="22"/>
      <c r="AC1016" s="55" t="s">
        <v>4149</v>
      </c>
      <c r="AD1016" s="55" t="str">
        <f>IF($AC1016="","",_xlfn.XLOOKUP($AC1016,'[2]Client Info'!$C$2:$C$2535,'[2]Client Info'!$D$2:$D$2535,"",0,1))</f>
        <v>UNIT 1-630 KILDARE AVE EAST</v>
      </c>
      <c r="AE1016" s="55" t="str">
        <f>IF($AC1016="","",_xlfn.XLOOKUP($AC1016,'[2]Client Info'!$C$2:$C$2715,'[2]Client Info'!$E$2:$E$2715,"",))</f>
        <v>WINNIPEG</v>
      </c>
      <c r="AF1016" s="55" t="str">
        <f>IF($AC1016="","",_xlfn.XLOOKUP($AC1016,'[2]Client Info'!$C$2:$C$2715,'[2]Client Info'!$F$2:$F$2715,"",0,1))</f>
        <v>MB</v>
      </c>
      <c r="AG1016" s="55" t="str">
        <f>IF(ISBLANK(Table26[[#This Row],[customerSKU]]),"",_xlfn.XLOOKUP(Table26[[#This Row],[customerSKU]],Table27[customer_SKU],Table27[billto],"",0,1))</f>
        <v/>
      </c>
      <c r="AH1016" s="26" t="str">
        <f>_xlfn.XLOOKUP(Table26[[#This Row],[customerSKU]],customerSKU!G:G,customerSKU!K:K,"NA",0,1)</f>
        <v>NA</v>
      </c>
      <c r="AI1016" s="43" t="str">
        <f>_xlfn.XLOOKUP(Table26[[#This Row],[customerSKU]],customerSKU!G:G,customerSKU!O:O,"not found",0,1)</f>
        <v>not found</v>
      </c>
      <c r="AJ1016" s="22" t="e">
        <f>Table26[[#This Row],[unitprice]]*Table26[[#This Row],[quantity_unit]]</f>
        <v>#VALUE!</v>
      </c>
      <c r="AK1016" s="22" t="e" cm="1">
        <f t="array" ref="AK10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7" spans="1:37" ht="18" customHeight="1">
      <c r="A1017" s="42">
        <v>1225</v>
      </c>
      <c r="B1017" s="249" t="s">
        <v>3520</v>
      </c>
      <c r="C1017" s="90" t="s">
        <v>203</v>
      </c>
      <c r="D1017" s="235"/>
      <c r="E1017" s="235"/>
      <c r="F101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17" s="119"/>
      <c r="H1017" s="90"/>
      <c r="I1017" s="90"/>
      <c r="J1017" s="90" t="str">
        <f>IF(Table26[[#This Row],[customerSKU]]="","",_xlfn.XLOOKUP(Table26[[#This Row],[customerSKU]],customerSKU!G:G,customerSKU!A:A,"",0,1))</f>
        <v/>
      </c>
      <c r="K1017" s="232">
        <v>45694</v>
      </c>
      <c r="L1017" s="233" t="str">
        <f>IF(Table26[[#This Row],[customerSKU]]="","",_xlfn.XLOOKUP(Table26[[#This Row],[customerSKU]],customerSKU!G:G,customerSKU!B:B,"",0,1))</f>
        <v/>
      </c>
      <c r="M1017" s="90"/>
      <c r="N1017" s="55" t="str">
        <f>Table26[[#This Row],[po_number]]&amp;"-"&amp;Table26[[#This Row],[po_line]]</f>
        <v>-1</v>
      </c>
      <c r="O1017" s="55">
        <v>1</v>
      </c>
      <c r="P1017" s="50"/>
      <c r="Q1017" s="90" t="s">
        <v>1625</v>
      </c>
      <c r="R1017" s="90" t="s">
        <v>3302</v>
      </c>
      <c r="S1017" s="90" t="s">
        <v>114</v>
      </c>
      <c r="T1017" s="20">
        <v>45642</v>
      </c>
      <c r="U1017" s="236">
        <v>12</v>
      </c>
      <c r="V1017" s="90" t="str">
        <f>IF(ISBLANK(Table26[[#This Row],[customerSKU]]),"",_xlfn.XLOOKUP(Table26[[#This Row],[customerSKU]],Table27[customer_SKU],Table27[case_size],"",0,1))</f>
        <v/>
      </c>
      <c r="W1017" s="237" t="str">
        <f t="shared" si="47"/>
        <v/>
      </c>
      <c r="X1017" s="90" t="str">
        <f t="shared" si="46"/>
        <v/>
      </c>
      <c r="Y1017" s="90" t="str">
        <f>IF(Table26[[#This Row],[customerSKU]]="","",_xlfn.XLOOKUP(Table26[[#This Row],[customerSKU]],Table27[customer_SKU],Table27[product_GTIN],"",0,1))</f>
        <v/>
      </c>
      <c r="Z1017" s="25" t="s">
        <v>3373</v>
      </c>
      <c r="AA1017" s="18" t="str" cm="1">
        <f t="array" ref="AA1017">IF(P1017="", "", _xlfn.XLOOKUP(P1017,#REF!,#REF!,NA,0,-1))</f>
        <v/>
      </c>
      <c r="AB1017" s="90"/>
      <c r="AC1017" s="55" t="s">
        <v>4134</v>
      </c>
      <c r="AD1017" s="55" t="str">
        <f>IF($AC1017="","",_xlfn.XLOOKUP($AC1017,'[2]Client Info'!$C$2:$C$2535,'[2]Client Info'!$D$2:$D$2535,"",0,1))</f>
        <v>725 NELSON STREET</v>
      </c>
      <c r="AE1017" s="55" t="str">
        <f>IF($AC1017="","",_xlfn.XLOOKUP($AC1017,'[2]Client Info'!$C$2:$C$2715,'[2]Client Info'!$E$2:$E$2715,"",))</f>
        <v>VANCOUVER</v>
      </c>
      <c r="AF1017" s="55" t="str">
        <f>IF($AC1017="","",_xlfn.XLOOKUP($AC1017,'[2]Client Info'!$C$2:$C$2715,'[2]Client Info'!$F$2:$F$2715,"",0,1))</f>
        <v xml:space="preserve">BC </v>
      </c>
      <c r="AG1017" s="55" t="s">
        <v>4134</v>
      </c>
      <c r="AH1017" s="245" t="str">
        <f>_xlfn.XLOOKUP(Table26[[#This Row],[customerSKU]],customerSKU!G:G,customerSKU!K:K,"NA",0,1)</f>
        <v>NA</v>
      </c>
      <c r="AI1017" s="43" t="str">
        <f>_xlfn.XLOOKUP(Table26[[#This Row],[customerSKU]],customerSKU!G:G,customerSKU!O:O,"not found",0,1)</f>
        <v>not found</v>
      </c>
      <c r="AJ1017" s="22" t="e">
        <f>Table26[[#This Row],[unitprice]]*Table26[[#This Row],[quantity_unit]]</f>
        <v>#VALUE!</v>
      </c>
      <c r="AK1017" s="22" t="e" cm="1">
        <f t="array" ref="AK10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8" spans="1:37" ht="18" customHeight="1">
      <c r="A1018" s="42">
        <v>1226</v>
      </c>
      <c r="B1018" s="249" t="s">
        <v>3520</v>
      </c>
      <c r="C1018" s="90" t="s">
        <v>203</v>
      </c>
      <c r="D1018" s="235"/>
      <c r="E1018" s="235"/>
      <c r="F101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18" s="119"/>
      <c r="H1018" s="90"/>
      <c r="I1018" s="90"/>
      <c r="J1018" s="90" t="str">
        <f>IF(Table26[[#This Row],[customerSKU]]="","",_xlfn.XLOOKUP(Table26[[#This Row],[customerSKU]],customerSKU!G:G,customerSKU!A:A,"",0,1))</f>
        <v/>
      </c>
      <c r="K1018" s="232">
        <v>45694</v>
      </c>
      <c r="L1018" s="233" t="str">
        <f>IF(Table26[[#This Row],[customerSKU]]="","",_xlfn.XLOOKUP(Table26[[#This Row],[customerSKU]],customerSKU!G:G,customerSKU!B:B,"",0,1))</f>
        <v/>
      </c>
      <c r="M1018" s="90"/>
      <c r="N1018" s="55" t="str">
        <f>Table26[[#This Row],[po_number]]&amp;"-"&amp;Table26[[#This Row],[po_line]]</f>
        <v>-2</v>
      </c>
      <c r="O1018" s="55">
        <v>2</v>
      </c>
      <c r="P1018" s="50"/>
      <c r="Q1018" s="90" t="s">
        <v>4086</v>
      </c>
      <c r="R1018" s="90" t="s">
        <v>3302</v>
      </c>
      <c r="S1018" s="90" t="s">
        <v>114</v>
      </c>
      <c r="T1018" s="20">
        <v>45631</v>
      </c>
      <c r="U1018" s="236">
        <v>12</v>
      </c>
      <c r="V1018" s="90" t="str">
        <f>IF(ISBLANK(Table26[[#This Row],[customerSKU]]),"",_xlfn.XLOOKUP(Table26[[#This Row],[customerSKU]],Table27[customer_SKU],Table27[case_size],"",0,1))</f>
        <v/>
      </c>
      <c r="W1018" s="237" t="str">
        <f t="shared" si="47"/>
        <v/>
      </c>
      <c r="X1018" s="90" t="str">
        <f t="shared" si="46"/>
        <v/>
      </c>
      <c r="Y1018" s="90" t="str">
        <f>IF(Table26[[#This Row],[customerSKU]]="","",_xlfn.XLOOKUP(Table26[[#This Row],[customerSKU]],Table27[customer_SKU],Table27[product_GTIN],"",0,1))</f>
        <v/>
      </c>
      <c r="Z1018" s="25" t="s">
        <v>3372</v>
      </c>
      <c r="AA1018" s="18" t="str" cm="1">
        <f t="array" ref="AA1018">IF(P1018="", "", _xlfn.XLOOKUP(P1018,#REF!,#REF!,NA,0,-1))</f>
        <v/>
      </c>
      <c r="AB1018" s="90"/>
      <c r="AC1018" s="55" t="s">
        <v>4134</v>
      </c>
      <c r="AD1018" s="55" t="str">
        <f>IF($AC1018="","",_xlfn.XLOOKUP($AC1018,'[2]Client Info'!$C$2:$C$2535,'[2]Client Info'!$D$2:$D$2535,"",0,1))</f>
        <v>725 NELSON STREET</v>
      </c>
      <c r="AE1018" s="55" t="str">
        <f>IF($AC1018="","",_xlfn.XLOOKUP($AC1018,'[2]Client Info'!$C$2:$C$2715,'[2]Client Info'!$E$2:$E$2715,"",))</f>
        <v>VANCOUVER</v>
      </c>
      <c r="AF1018" s="55" t="str">
        <f>IF($AC1018="","",_xlfn.XLOOKUP($AC1018,'[2]Client Info'!$C$2:$C$2715,'[2]Client Info'!$F$2:$F$2715,"",0,1))</f>
        <v xml:space="preserve">BC </v>
      </c>
      <c r="AG1018" s="55" t="s">
        <v>4134</v>
      </c>
      <c r="AH1018" s="245" t="str">
        <f>_xlfn.XLOOKUP(Table26[[#This Row],[customerSKU]],customerSKU!G:G,customerSKU!K:K,"NA",0,1)</f>
        <v>NA</v>
      </c>
      <c r="AI1018" s="43" t="str">
        <f>_xlfn.XLOOKUP(Table26[[#This Row],[customerSKU]],customerSKU!G:G,customerSKU!O:O,"not found",0,1)</f>
        <v>not found</v>
      </c>
      <c r="AJ1018" s="22" t="e">
        <f>Table26[[#This Row],[unitprice]]*Table26[[#This Row],[quantity_unit]]</f>
        <v>#VALUE!</v>
      </c>
      <c r="AK1018" s="22" t="e" cm="1">
        <f t="array" ref="AK10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19" spans="1:37" ht="18" customHeight="1">
      <c r="A1019" s="42">
        <v>1227</v>
      </c>
      <c r="B1019" s="249" t="s">
        <v>3520</v>
      </c>
      <c r="C1019" s="90" t="s">
        <v>203</v>
      </c>
      <c r="D1019" s="235"/>
      <c r="E1019" s="235"/>
      <c r="F101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19" s="119"/>
      <c r="H1019" s="90"/>
      <c r="I1019" s="90"/>
      <c r="J1019" s="90" t="str">
        <f>IF(Table26[[#This Row],[customerSKU]]="","",_xlfn.XLOOKUP(Table26[[#This Row],[customerSKU]],customerSKU!G:G,customerSKU!A:A,"",0,1))</f>
        <v/>
      </c>
      <c r="K1019" s="232">
        <v>45694</v>
      </c>
      <c r="L1019" s="233" t="str">
        <f>IF(Table26[[#This Row],[customerSKU]]="","",_xlfn.XLOOKUP(Table26[[#This Row],[customerSKU]],customerSKU!G:G,customerSKU!B:B,"",0,1))</f>
        <v/>
      </c>
      <c r="M1019" s="90"/>
      <c r="N1019" s="55" t="str">
        <f>Table26[[#This Row],[po_number]]&amp;"-"&amp;Table26[[#This Row],[po_line]]</f>
        <v>-3</v>
      </c>
      <c r="O1019" s="55">
        <v>3</v>
      </c>
      <c r="P1019" s="50"/>
      <c r="Q1019" s="90" t="s">
        <v>612</v>
      </c>
      <c r="R1019" s="90" t="s">
        <v>3302</v>
      </c>
      <c r="S1019" s="90" t="s">
        <v>114</v>
      </c>
      <c r="T1019" s="20">
        <v>45615</v>
      </c>
      <c r="U1019" s="236">
        <v>12</v>
      </c>
      <c r="V1019" s="90" t="str">
        <f>IF(ISBLANK(Table26[[#This Row],[customerSKU]]),"",_xlfn.XLOOKUP(Table26[[#This Row],[customerSKU]],Table27[customer_SKU],Table27[case_size],"",0,1))</f>
        <v/>
      </c>
      <c r="W1019" s="237" t="str">
        <f t="shared" si="47"/>
        <v/>
      </c>
      <c r="X1019" s="90" t="str">
        <f t="shared" si="46"/>
        <v/>
      </c>
      <c r="Y1019" s="90" t="str">
        <f>IF(Table26[[#This Row],[customerSKU]]="","",_xlfn.XLOOKUP(Table26[[#This Row],[customerSKU]],Table27[customer_SKU],Table27[product_GTIN],"",0,1))</f>
        <v/>
      </c>
      <c r="Z1019" s="25" t="s">
        <v>3432</v>
      </c>
      <c r="AA1019" s="18" t="str" cm="1">
        <f t="array" ref="AA1019">IF(P1019="", "", _xlfn.XLOOKUP(P1019,#REF!,#REF!,NA,0,-1))</f>
        <v/>
      </c>
      <c r="AB1019" s="90"/>
      <c r="AC1019" s="55" t="s">
        <v>4134</v>
      </c>
      <c r="AD1019" s="55" t="str">
        <f>IF($AC1019="","",_xlfn.XLOOKUP($AC1019,'[2]Client Info'!$C$2:$C$2535,'[2]Client Info'!$D$2:$D$2535,"",0,1))</f>
        <v>725 NELSON STREET</v>
      </c>
      <c r="AE1019" s="55" t="str">
        <f>IF($AC1019="","",_xlfn.XLOOKUP($AC1019,'[2]Client Info'!$C$2:$C$2715,'[2]Client Info'!$E$2:$E$2715,"",))</f>
        <v>VANCOUVER</v>
      </c>
      <c r="AF1019" s="55" t="str">
        <f>IF($AC1019="","",_xlfn.XLOOKUP($AC1019,'[2]Client Info'!$C$2:$C$2715,'[2]Client Info'!$F$2:$F$2715,"",0,1))</f>
        <v xml:space="preserve">BC </v>
      </c>
      <c r="AG1019" s="55" t="s">
        <v>4134</v>
      </c>
      <c r="AH1019" s="245" t="str">
        <f>_xlfn.XLOOKUP(Table26[[#This Row],[customerSKU]],customerSKU!G:G,customerSKU!K:K,"NA",0,1)</f>
        <v>NA</v>
      </c>
      <c r="AI1019" s="43" t="str">
        <f>_xlfn.XLOOKUP(Table26[[#This Row],[customerSKU]],customerSKU!G:G,customerSKU!O:O,"not found",0,1)</f>
        <v>not found</v>
      </c>
      <c r="AJ1019" s="22" t="e">
        <f>Table26[[#This Row],[unitprice]]*Table26[[#This Row],[quantity_unit]]</f>
        <v>#VALUE!</v>
      </c>
      <c r="AK1019" s="22" t="e" cm="1">
        <f t="array" ref="AK10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0" spans="1:37" ht="18" customHeight="1">
      <c r="A1020" s="42">
        <v>1228</v>
      </c>
      <c r="B1020" s="249" t="s">
        <v>3520</v>
      </c>
      <c r="C1020" s="90" t="s">
        <v>203</v>
      </c>
      <c r="D1020" s="235"/>
      <c r="E1020" s="235"/>
      <c r="F102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20" s="119"/>
      <c r="H1020" s="90"/>
      <c r="I1020" s="90"/>
      <c r="J1020" s="90" t="str">
        <f>IF(Table26[[#This Row],[customerSKU]]="","",_xlfn.XLOOKUP(Table26[[#This Row],[customerSKU]],customerSKU!G:G,customerSKU!A:A,"",0,1))</f>
        <v/>
      </c>
      <c r="K1020" s="232">
        <v>45694</v>
      </c>
      <c r="L1020" s="233" t="str">
        <f>IF(Table26[[#This Row],[customerSKU]]="","",_xlfn.XLOOKUP(Table26[[#This Row],[customerSKU]],customerSKU!G:G,customerSKU!B:B,"",0,1))</f>
        <v/>
      </c>
      <c r="M1020" s="90"/>
      <c r="N1020" s="55" t="str">
        <f>Table26[[#This Row],[po_number]]&amp;"-"&amp;Table26[[#This Row],[po_line]]</f>
        <v>-4</v>
      </c>
      <c r="O1020" s="55">
        <v>4</v>
      </c>
      <c r="P1020" s="50"/>
      <c r="Q1020" s="90" t="s">
        <v>630</v>
      </c>
      <c r="R1020" s="90" t="s">
        <v>3302</v>
      </c>
      <c r="S1020" s="90" t="s">
        <v>114</v>
      </c>
      <c r="T1020" s="20">
        <v>45574</v>
      </c>
      <c r="U1020" s="236">
        <v>12</v>
      </c>
      <c r="V1020" s="90" t="str">
        <f>IF(ISBLANK(Table26[[#This Row],[customerSKU]]),"",_xlfn.XLOOKUP(Table26[[#This Row],[customerSKU]],Table27[customer_SKU],Table27[case_size],"",0,1))</f>
        <v/>
      </c>
      <c r="W1020" s="237" t="str">
        <f t="shared" si="47"/>
        <v/>
      </c>
      <c r="X1020" s="90" t="str">
        <f t="shared" si="46"/>
        <v/>
      </c>
      <c r="Y1020" s="90" t="str">
        <f>IF(Table26[[#This Row],[customerSKU]]="","",_xlfn.XLOOKUP(Table26[[#This Row],[customerSKU]],Table27[customer_SKU],Table27[product_GTIN],"",0,1))</f>
        <v/>
      </c>
      <c r="Z1020" s="25" t="s">
        <v>3386</v>
      </c>
      <c r="AA1020" s="18" t="str" cm="1">
        <f t="array" ref="AA1020">IF(P1020="", "", _xlfn.XLOOKUP(P1020,#REF!,#REF!,NA,0,-1))</f>
        <v/>
      </c>
      <c r="AB1020" s="90"/>
      <c r="AC1020" s="55" t="s">
        <v>4134</v>
      </c>
      <c r="AD1020" s="55" t="str">
        <f>IF($AC1020="","",_xlfn.XLOOKUP($AC1020,'[2]Client Info'!$C$2:$C$2535,'[2]Client Info'!$D$2:$D$2535,"",0,1))</f>
        <v>725 NELSON STREET</v>
      </c>
      <c r="AE1020" s="55" t="str">
        <f>IF($AC1020="","",_xlfn.XLOOKUP($AC1020,'[2]Client Info'!$C$2:$C$2715,'[2]Client Info'!$E$2:$E$2715,"",))</f>
        <v>VANCOUVER</v>
      </c>
      <c r="AF1020" s="55" t="str">
        <f>IF($AC1020="","",_xlfn.XLOOKUP($AC1020,'[2]Client Info'!$C$2:$C$2715,'[2]Client Info'!$F$2:$F$2715,"",0,1))</f>
        <v xml:space="preserve">BC </v>
      </c>
      <c r="AG1020" s="55" t="s">
        <v>4134</v>
      </c>
      <c r="AH1020" s="245" t="str">
        <f>_xlfn.XLOOKUP(Table26[[#This Row],[customerSKU]],customerSKU!G:G,customerSKU!K:K,"NA",0,1)</f>
        <v>NA</v>
      </c>
      <c r="AI1020" s="43" t="str">
        <f>_xlfn.XLOOKUP(Table26[[#This Row],[customerSKU]],customerSKU!G:G,customerSKU!O:O,"not found",0,1)</f>
        <v>not found</v>
      </c>
      <c r="AJ1020" s="22" t="e">
        <f>Table26[[#This Row],[unitprice]]*Table26[[#This Row],[quantity_unit]]</f>
        <v>#VALUE!</v>
      </c>
      <c r="AK1020" s="22" t="e" cm="1">
        <f t="array" ref="AK10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1" spans="1:37" ht="18" customHeight="1">
      <c r="A1021" s="42">
        <v>1229</v>
      </c>
      <c r="B1021" s="249" t="s">
        <v>3520</v>
      </c>
      <c r="C1021" s="90" t="s">
        <v>203</v>
      </c>
      <c r="D1021" s="235"/>
      <c r="E1021" s="235"/>
      <c r="F102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21" s="119"/>
      <c r="H1021" s="90"/>
      <c r="I1021" s="90"/>
      <c r="J1021" s="90" t="str">
        <f>IF(Table26[[#This Row],[customerSKU]]="","",_xlfn.XLOOKUP(Table26[[#This Row],[customerSKU]],customerSKU!G:G,customerSKU!A:A,"",0,1))</f>
        <v/>
      </c>
      <c r="K1021" s="232">
        <v>45694</v>
      </c>
      <c r="L1021" s="233" t="str">
        <f>IF(Table26[[#This Row],[customerSKU]]="","",_xlfn.XLOOKUP(Table26[[#This Row],[customerSKU]],customerSKU!G:G,customerSKU!B:B,"",0,1))</f>
        <v/>
      </c>
      <c r="M1021" s="90"/>
      <c r="N1021" s="55" t="str">
        <f>Table26[[#This Row],[po_number]]&amp;"-"&amp;Table26[[#This Row],[po_line]]</f>
        <v>-5</v>
      </c>
      <c r="O1021" s="55">
        <v>5</v>
      </c>
      <c r="P1021" s="50"/>
      <c r="Q1021" s="90" t="s">
        <v>1309</v>
      </c>
      <c r="R1021" s="90" t="s">
        <v>3302</v>
      </c>
      <c r="S1021" s="90" t="s">
        <v>114</v>
      </c>
      <c r="T1021" s="20">
        <v>45623</v>
      </c>
      <c r="U1021" s="236">
        <v>12</v>
      </c>
      <c r="V1021" s="90" t="str">
        <f>IF(ISBLANK(Table26[[#This Row],[customerSKU]]),"",_xlfn.XLOOKUP(Table26[[#This Row],[customerSKU]],Table27[customer_SKU],Table27[case_size],"",0,1))</f>
        <v/>
      </c>
      <c r="W1021" s="237" t="str">
        <f t="shared" si="47"/>
        <v/>
      </c>
      <c r="X1021" s="90" t="str">
        <f t="shared" si="46"/>
        <v/>
      </c>
      <c r="Y1021" s="90" t="str">
        <f>IF(Table26[[#This Row],[customerSKU]]="","",_xlfn.XLOOKUP(Table26[[#This Row],[customerSKU]],Table27[customer_SKU],Table27[product_GTIN],"",0,1))</f>
        <v/>
      </c>
      <c r="Z1021" s="25" t="s">
        <v>3447</v>
      </c>
      <c r="AA1021" s="18" t="str" cm="1">
        <f t="array" ref="AA1021">IF(P1021="", "", _xlfn.XLOOKUP(P1021,#REF!,#REF!,NA,0,-1))</f>
        <v/>
      </c>
      <c r="AB1021" s="90"/>
      <c r="AC1021" s="55" t="s">
        <v>4134</v>
      </c>
      <c r="AD1021" s="55" t="str">
        <f>IF($AC1021="","",_xlfn.XLOOKUP($AC1021,'[2]Client Info'!$C$2:$C$2535,'[2]Client Info'!$D$2:$D$2535,"",0,1))</f>
        <v>725 NELSON STREET</v>
      </c>
      <c r="AE1021" s="55" t="str">
        <f>IF($AC1021="","",_xlfn.XLOOKUP($AC1021,'[2]Client Info'!$C$2:$C$2715,'[2]Client Info'!$E$2:$E$2715,"",))</f>
        <v>VANCOUVER</v>
      </c>
      <c r="AF1021" s="55" t="str">
        <f>IF($AC1021="","",_xlfn.XLOOKUP($AC1021,'[2]Client Info'!$C$2:$C$2715,'[2]Client Info'!$F$2:$F$2715,"",0,1))</f>
        <v xml:space="preserve">BC </v>
      </c>
      <c r="AG1021" s="55" t="s">
        <v>4134</v>
      </c>
      <c r="AH1021" s="245" t="str">
        <f>_xlfn.XLOOKUP(Table26[[#This Row],[customerSKU]],customerSKU!G:G,customerSKU!K:K,"NA",0,1)</f>
        <v>NA</v>
      </c>
      <c r="AI1021" s="43" t="str">
        <f>_xlfn.XLOOKUP(Table26[[#This Row],[customerSKU]],customerSKU!G:G,customerSKU!O:O,"not found",0,1)</f>
        <v>not found</v>
      </c>
      <c r="AJ1021" s="22" t="e">
        <f>Table26[[#This Row],[unitprice]]*Table26[[#This Row],[quantity_unit]]</f>
        <v>#VALUE!</v>
      </c>
      <c r="AK1021" s="22" t="e" cm="1">
        <f t="array" ref="AK10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2" spans="1:37" ht="18" customHeight="1">
      <c r="A1022" s="42">
        <v>1230</v>
      </c>
      <c r="B1022" s="249" t="s">
        <v>3520</v>
      </c>
      <c r="C1022" s="90" t="s">
        <v>203</v>
      </c>
      <c r="D1022" s="235"/>
      <c r="E1022" s="235"/>
      <c r="F1022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22" s="119"/>
      <c r="H1022" s="90"/>
      <c r="I1022" s="90"/>
      <c r="J1022" s="90" t="str">
        <f>IF(Table26[[#This Row],[customerSKU]]="","",_xlfn.XLOOKUP(Table26[[#This Row],[customerSKU]],customerSKU!G:G,customerSKU!A:A,"",0,1))</f>
        <v/>
      </c>
      <c r="K1022" s="232">
        <v>45694</v>
      </c>
      <c r="L1022" s="233" t="str">
        <f>IF(Table26[[#This Row],[customerSKU]]="","",_xlfn.XLOOKUP(Table26[[#This Row],[customerSKU]],customerSKU!G:G,customerSKU!B:B,"",0,1))</f>
        <v/>
      </c>
      <c r="M1022" s="90"/>
      <c r="N1022" s="55" t="str">
        <f>Table26[[#This Row],[po_number]]&amp;"-"&amp;Table26[[#This Row],[po_line]]</f>
        <v>-6</v>
      </c>
      <c r="O1022" s="55">
        <v>6</v>
      </c>
      <c r="P1022" s="50"/>
      <c r="Q1022" s="90" t="s">
        <v>3378</v>
      </c>
      <c r="R1022" s="90" t="s">
        <v>3302</v>
      </c>
      <c r="S1022" s="90" t="s">
        <v>114</v>
      </c>
      <c r="T1022" s="20">
        <v>45666</v>
      </c>
      <c r="U1022" s="236">
        <v>12</v>
      </c>
      <c r="V1022" s="90" t="str">
        <f>IF(ISBLANK(Table26[[#This Row],[customerSKU]]),"",_xlfn.XLOOKUP(Table26[[#This Row],[customerSKU]],Table27[customer_SKU],Table27[case_size],"",0,1))</f>
        <v/>
      </c>
      <c r="W1022" s="237" t="str">
        <f t="shared" si="47"/>
        <v/>
      </c>
      <c r="X1022" s="90" t="str">
        <f t="shared" si="46"/>
        <v/>
      </c>
      <c r="Y1022" s="90" t="str">
        <f>IF(Table26[[#This Row],[customerSKU]]="","",_xlfn.XLOOKUP(Table26[[#This Row],[customerSKU]],Table27[customer_SKU],Table27[product_GTIN],"",0,1))</f>
        <v/>
      </c>
      <c r="Z1022" s="25" t="s">
        <v>3379</v>
      </c>
      <c r="AA1022" s="18" t="str" cm="1">
        <f t="array" ref="AA1022">IF(P1022="", "", _xlfn.XLOOKUP(P1022,#REF!,#REF!,NA,0,-1))</f>
        <v/>
      </c>
      <c r="AB1022" s="90"/>
      <c r="AC1022" s="55" t="s">
        <v>4134</v>
      </c>
      <c r="AD1022" s="55" t="str">
        <f>IF($AC1022="","",_xlfn.XLOOKUP($AC1022,'[2]Client Info'!$C$2:$C$2535,'[2]Client Info'!$D$2:$D$2535,"",0,1))</f>
        <v>725 NELSON STREET</v>
      </c>
      <c r="AE1022" s="55" t="str">
        <f>IF($AC1022="","",_xlfn.XLOOKUP($AC1022,'[2]Client Info'!$C$2:$C$2715,'[2]Client Info'!$E$2:$E$2715,"",))</f>
        <v>VANCOUVER</v>
      </c>
      <c r="AF1022" s="55" t="str">
        <f>IF($AC1022="","",_xlfn.XLOOKUP($AC1022,'[2]Client Info'!$C$2:$C$2715,'[2]Client Info'!$F$2:$F$2715,"",0,1))</f>
        <v xml:space="preserve">BC </v>
      </c>
      <c r="AG1022" s="55" t="s">
        <v>4134</v>
      </c>
      <c r="AH1022" s="245" t="str">
        <f>_xlfn.XLOOKUP(Table26[[#This Row],[customerSKU]],customerSKU!G:G,customerSKU!K:K,"NA",0,1)</f>
        <v>NA</v>
      </c>
      <c r="AI1022" s="43" t="str">
        <f>_xlfn.XLOOKUP(Table26[[#This Row],[customerSKU]],customerSKU!G:G,customerSKU!O:O,"not found",0,1)</f>
        <v>not found</v>
      </c>
      <c r="AJ1022" s="22" t="e">
        <f>Table26[[#This Row],[unitprice]]*Table26[[#This Row],[quantity_unit]]</f>
        <v>#VALUE!</v>
      </c>
      <c r="AK1022" s="22" t="e" cm="1">
        <f t="array" ref="AK10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3" spans="1:37" ht="18" customHeight="1">
      <c r="A1023" s="42">
        <v>1231</v>
      </c>
      <c r="B1023" s="27" t="s">
        <v>3520</v>
      </c>
      <c r="C1023" s="22" t="s">
        <v>3360</v>
      </c>
      <c r="E1023" s="20"/>
      <c r="F102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3" s="17"/>
      <c r="J1023" s="90" t="str">
        <f>IF(Table26[[#This Row],[customerSKU]]="","",_xlfn.XLOOKUP(Table26[[#This Row],[customerSKU]],customerSKU!G:G,customerSKU!A:A,"",0,1))</f>
        <v/>
      </c>
      <c r="K1023" s="232">
        <v>45694</v>
      </c>
      <c r="L1023" s="31" t="str">
        <f>IF(Table26[[#This Row],[customerSKU]]="","",_xlfn.XLOOKUP(Table26[[#This Row],[customerSKU]],customerSKU!G:G,customerSKU!B:B,"",0,1))</f>
        <v/>
      </c>
      <c r="M1023" s="22"/>
      <c r="N1023" s="15" t="str">
        <f>Table26[[#This Row],[po_number]]&amp;"-"&amp;Table26[[#This Row],[po_line]]</f>
        <v>-1</v>
      </c>
      <c r="O1023" s="15">
        <v>1</v>
      </c>
      <c r="P1023" s="50"/>
      <c r="S1023" s="22" t="str">
        <f>IF(Table26[[#This Row],[customerSKU]]="","",_xlfn.XLOOKUP(Table26[[#This Row],[customerSKU]],customerSKU!G:G,customerSKU!N:N,"NOT FOUND",0,1))</f>
        <v>NOT FOUND</v>
      </c>
      <c r="T1023" s="20"/>
      <c r="U1023" s="21">
        <v>12</v>
      </c>
      <c r="V1023" s="22" t="str">
        <f>IF(ISBLANK(Table26[[#This Row],[customerSKU]]),"",_xlfn.XLOOKUP(Table26[[#This Row],[customerSKU]],Table27[customer_SKU],Table27[case_size],"",0,1))</f>
        <v/>
      </c>
      <c r="W1023" s="117" t="str">
        <f t="shared" si="47"/>
        <v/>
      </c>
      <c r="X1023" s="22" t="str">
        <f t="shared" si="46"/>
        <v/>
      </c>
      <c r="Y1023" s="22" t="str">
        <f>IF(Table26[[#This Row],[customerSKU]]="","",_xlfn.XLOOKUP(Table26[[#This Row],[customerSKU]],Table27[customer_SKU],Table27[product_GTIN],"",0,1))</f>
        <v/>
      </c>
      <c r="Z1023" s="25" t="s">
        <v>3455</v>
      </c>
      <c r="AA1023" s="18" t="str" cm="1">
        <f t="array" ref="AA1023">IF(P1023="", "", _xlfn.XLOOKUP(P1023,#REF!,#REF!,NA,0,-1))</f>
        <v/>
      </c>
      <c r="AB1023" s="22"/>
      <c r="AC1023" s="55" t="str">
        <f>IF(Table26[[#This Row],[customerSKU]]="","",_xlfn.XLOOKUP(Table26[[#This Row],[customerSKU]],customerSKU!G:G,customerSKU!C:C,"",0,1))</f>
        <v/>
      </c>
      <c r="AD1023" s="55" t="str">
        <f>IF($AC1023="","",_xlfn.XLOOKUP($AC1023,'[2]Client Info'!$C$2:$C$2535,'[2]Client Info'!$D$2:$D$2535,"",0,1))</f>
        <v/>
      </c>
      <c r="AE1023" s="55" t="str">
        <f>IF($AC1023="","",_xlfn.XLOOKUP($AC1023,'[2]Client Info'!$C$2:$C$2715,'[2]Client Info'!$E$2:$E$2715,"",))</f>
        <v/>
      </c>
      <c r="AF1023" s="55" t="str">
        <f>IF($AC1023="","",_xlfn.XLOOKUP($AC1023,'[2]Client Info'!$C$2:$C$2715,'[2]Client Info'!$F$2:$F$2715,"",0,1))</f>
        <v/>
      </c>
      <c r="AG1023" s="55" t="str">
        <f>IF(ISBLANK(Table26[[#This Row],[customerSKU]]),"",_xlfn.XLOOKUP(Table26[[#This Row],[customerSKU]],Table27[customer_SKU],Table27[billto],"",0,1))</f>
        <v/>
      </c>
      <c r="AH1023" s="26" t="str">
        <f>_xlfn.XLOOKUP(Table26[[#This Row],[customerSKU]],customerSKU!G:G,customerSKU!K:K,"NA",0,1)</f>
        <v>NA</v>
      </c>
      <c r="AI1023" s="43" t="str">
        <f>_xlfn.XLOOKUP(Table26[[#This Row],[customerSKU]],customerSKU!G:G,customerSKU!O:O,"not found",0,1)</f>
        <v>not found</v>
      </c>
      <c r="AJ1023" s="22" t="e">
        <f>Table26[[#This Row],[unitprice]]*Table26[[#This Row],[quantity_unit]]</f>
        <v>#VALUE!</v>
      </c>
      <c r="AK1023" s="22" t="e" cm="1">
        <f t="array" ref="AK10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4" spans="1:37" ht="18" customHeight="1">
      <c r="A1024" s="42">
        <v>1232</v>
      </c>
      <c r="B1024" s="27" t="s">
        <v>3520</v>
      </c>
      <c r="C1024" s="22" t="s">
        <v>3360</v>
      </c>
      <c r="E1024" s="20"/>
      <c r="F102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4" s="17"/>
      <c r="J1024" s="90" t="str">
        <f>IF(Table26[[#This Row],[customerSKU]]="","",_xlfn.XLOOKUP(Table26[[#This Row],[customerSKU]],customerSKU!G:G,customerSKU!A:A,"",0,1))</f>
        <v/>
      </c>
      <c r="K1024" s="232">
        <v>45694</v>
      </c>
      <c r="L1024" s="31" t="str">
        <f>IF(Table26[[#This Row],[customerSKU]]="","",_xlfn.XLOOKUP(Table26[[#This Row],[customerSKU]],customerSKU!G:G,customerSKU!B:B,"",0,1))</f>
        <v/>
      </c>
      <c r="M1024" s="22"/>
      <c r="N1024" s="15" t="str">
        <f>Table26[[#This Row],[po_number]]&amp;"-"&amp;Table26[[#This Row],[po_line]]</f>
        <v>-1</v>
      </c>
      <c r="O1024" s="15">
        <v>1</v>
      </c>
      <c r="P1024" s="29"/>
      <c r="S1024" s="22" t="str">
        <f>IF(Table26[[#This Row],[customerSKU]]="","",_xlfn.XLOOKUP(Table26[[#This Row],[customerSKU]],customerSKU!G:G,customerSKU!N:N,"NOT FOUND",0,1))</f>
        <v>NOT FOUND</v>
      </c>
      <c r="T1024" s="20"/>
      <c r="U1024" s="21">
        <v>12</v>
      </c>
      <c r="V1024" s="22" t="str">
        <f>IF(ISBLANK(Table26[[#This Row],[customerSKU]]),"",_xlfn.XLOOKUP(Table26[[#This Row],[customerSKU]],Table27[customer_SKU],Table27[case_size],"",0,1))</f>
        <v/>
      </c>
      <c r="W1024" s="117" t="str">
        <f t="shared" si="47"/>
        <v/>
      </c>
      <c r="X1024" s="22" t="str">
        <f t="shared" si="46"/>
        <v/>
      </c>
      <c r="Y1024" s="22" t="str">
        <f>IF(Table26[[#This Row],[customerSKU]]="","",_xlfn.XLOOKUP(Table26[[#This Row],[customerSKU]],Table27[customer_SKU],Table27[product_GTIN],"",0,1))</f>
        <v/>
      </c>
      <c r="Z1024" s="25">
        <v>61619</v>
      </c>
      <c r="AA1024" s="18" t="str" cm="1">
        <f t="array" ref="AA1024">IF(P1024="", "", _xlfn.XLOOKUP(P1024,#REF!,#REF!,NA,0,-1))</f>
        <v/>
      </c>
      <c r="AB1024" s="22"/>
      <c r="AC1024" s="55"/>
      <c r="AD1024" s="55" t="str">
        <f>IF($AC1024="","",_xlfn.XLOOKUP($AC1024,'[2]Client Info'!$C$2:$C$2535,'[2]Client Info'!$D$2:$D$2535))</f>
        <v/>
      </c>
      <c r="AE1024" s="55"/>
      <c r="AF1024" s="55"/>
      <c r="AG1024" s="55"/>
      <c r="AH1024" s="26"/>
      <c r="AI1024" s="43" t="str">
        <f>_xlfn.XLOOKUP(Table26[[#This Row],[customerSKU]],customerSKU!G:G,customerSKU!O:O,"not found",0,1)</f>
        <v>not found</v>
      </c>
      <c r="AJ1024" s="22">
        <f>Table26[[#This Row],[unitprice]]*Table26[[#This Row],[quantity_unit]]</f>
        <v>0</v>
      </c>
      <c r="AK1024" s="22" t="e" cm="1">
        <f t="array" ref="AK10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5" spans="1:37" ht="18" customHeight="1">
      <c r="A1025" s="42">
        <v>1233</v>
      </c>
      <c r="B1025" s="27" t="s">
        <v>3520</v>
      </c>
      <c r="C1025" s="22" t="s">
        <v>3360</v>
      </c>
      <c r="E1025" s="20"/>
      <c r="F102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5" s="17"/>
      <c r="J1025" s="90" t="str">
        <f>IF(Table26[[#This Row],[customerSKU]]="","",_xlfn.XLOOKUP(Table26[[#This Row],[customerSKU]],customerSKU!G:G,customerSKU!A:A,"",0,1))</f>
        <v/>
      </c>
      <c r="K1025" s="232">
        <v>45694</v>
      </c>
      <c r="L1025" s="31" t="str">
        <f>IF(Table26[[#This Row],[customerSKU]]="","",_xlfn.XLOOKUP(Table26[[#This Row],[customerSKU]],customerSKU!G:G,customerSKU!B:B,"",0,1))</f>
        <v/>
      </c>
      <c r="M1025" s="22"/>
      <c r="N1025" s="15" t="str">
        <f>Table26[[#This Row],[po_number]]&amp;"-"&amp;Table26[[#This Row],[po_line]]</f>
        <v>-2</v>
      </c>
      <c r="O1025" s="15">
        <v>2</v>
      </c>
      <c r="P1025" s="29"/>
      <c r="S1025" s="22" t="str">
        <f>IF(Table26[[#This Row],[customerSKU]]="","",_xlfn.XLOOKUP(Table26[[#This Row],[customerSKU]],customerSKU!G:G,customerSKU!N:N,"NOT FOUND",0,1))</f>
        <v>NOT FOUND</v>
      </c>
      <c r="T1025" s="20"/>
      <c r="U1025" s="21">
        <v>12</v>
      </c>
      <c r="V1025" s="22" t="str">
        <f>IF(ISBLANK(Table26[[#This Row],[customerSKU]]),"",_xlfn.XLOOKUP(Table26[[#This Row],[customerSKU]],Table27[customer_SKU],Table27[case_size],"",0,1))</f>
        <v/>
      </c>
      <c r="W1025" s="117" t="str">
        <f t="shared" si="47"/>
        <v/>
      </c>
      <c r="X1025" s="22" t="str">
        <f t="shared" si="46"/>
        <v/>
      </c>
      <c r="Y1025" s="22" t="str">
        <f>IF(Table26[[#This Row],[customerSKU]]="","",_xlfn.XLOOKUP(Table26[[#This Row],[customerSKU]],Table27[customer_SKU],Table27[product_GTIN],"",0,1))</f>
        <v/>
      </c>
      <c r="Z1025" s="25" t="s">
        <v>3451</v>
      </c>
      <c r="AA1025" s="18" t="str" cm="1">
        <f t="array" ref="AA1025">IF(P1025="", "", _xlfn.XLOOKUP(P1025,#REF!,#REF!,NA,0,-1))</f>
        <v/>
      </c>
      <c r="AB1025" s="22"/>
      <c r="AC1025" s="55" t="str">
        <f>IF(Table26[[#This Row],[customerSKU]]="","",_xlfn.XLOOKUP(Table26[[#This Row],[customerSKU]],customerSKU!G:G,customerSKU!C:C,"",0,1))</f>
        <v/>
      </c>
      <c r="AD1025" s="55" t="str">
        <f>IF($AC1025="","",_xlfn.XLOOKUP($AC1025,'[2]Client Info'!$C$2:$C$2535,'[2]Client Info'!$D$2:$D$2535,"",0,1))</f>
        <v/>
      </c>
      <c r="AE1025" s="55" t="str">
        <f>IF($AC1025="","",_xlfn.XLOOKUP($AC1025,'[2]Client Info'!$C$2:$C$2715,'[2]Client Info'!$E$2:$E$2715,"",))</f>
        <v/>
      </c>
      <c r="AF1025" s="55" t="str">
        <f>IF($AC1025="","",_xlfn.XLOOKUP($AC1025,'[2]Client Info'!$C$2:$C$2715,'[2]Client Info'!$F$2:$F$2715,"",0,1))</f>
        <v/>
      </c>
      <c r="AG1025" s="55" t="str">
        <f>IF(ISBLANK(Table26[[#This Row],[customerSKU]]),"",_xlfn.XLOOKUP(Table26[[#This Row],[customerSKU]],Table27[customer_SKU],Table27[billto],"",0,1))</f>
        <v/>
      </c>
      <c r="AH1025" s="26" t="str">
        <f>_xlfn.XLOOKUP(Table26[[#This Row],[customerSKU]],customerSKU!G:G,customerSKU!K:K,"NA",0,1)</f>
        <v>NA</v>
      </c>
      <c r="AI1025" s="43" t="str">
        <f>_xlfn.XLOOKUP(Table26[[#This Row],[customerSKU]],customerSKU!G:G,customerSKU!O:O,"not found",0,1)</f>
        <v>not found</v>
      </c>
      <c r="AJ1025" s="22" t="e">
        <f>Table26[[#This Row],[unitprice]]*Table26[[#This Row],[quantity_unit]]</f>
        <v>#VALUE!</v>
      </c>
      <c r="AK1025" s="22" t="e" cm="1">
        <f t="array" ref="AK10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6" spans="1:37" ht="18" customHeight="1">
      <c r="A1026" s="42">
        <v>1234</v>
      </c>
      <c r="B1026" s="27" t="s">
        <v>3520</v>
      </c>
      <c r="C1026" s="22" t="s">
        <v>3360</v>
      </c>
      <c r="E1026" s="20"/>
      <c r="F102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6" s="17"/>
      <c r="J1026" s="90" t="str">
        <f>IF(Table26[[#This Row],[customerSKU]]="","",_xlfn.XLOOKUP(Table26[[#This Row],[customerSKU]],customerSKU!G:G,customerSKU!A:A,"",0,1))</f>
        <v/>
      </c>
      <c r="K1026" s="232">
        <v>45694</v>
      </c>
      <c r="L1026" s="31" t="str">
        <f>IF(Table26[[#This Row],[customerSKU]]="","",_xlfn.XLOOKUP(Table26[[#This Row],[customerSKU]],customerSKU!G:G,customerSKU!B:B,"",0,1))</f>
        <v/>
      </c>
      <c r="M1026" s="22"/>
      <c r="N1026" s="15" t="str">
        <f>Table26[[#This Row],[po_number]]&amp;"-"&amp;Table26[[#This Row],[po_line]]</f>
        <v>-1</v>
      </c>
      <c r="O1026" s="15">
        <v>1</v>
      </c>
      <c r="P1026" s="29"/>
      <c r="S1026" s="22" t="str">
        <f>IF(Table26[[#This Row],[customerSKU]]="","",_xlfn.XLOOKUP(Table26[[#This Row],[customerSKU]],customerSKU!G:G,customerSKU!N:N,"NOT FOUND",0,1))</f>
        <v>NOT FOUND</v>
      </c>
      <c r="T1026" s="20"/>
      <c r="U1026" s="21">
        <v>12</v>
      </c>
      <c r="V1026" s="22" t="str">
        <f>IF(ISBLANK(Table26[[#This Row],[customerSKU]]),"",_xlfn.XLOOKUP(Table26[[#This Row],[customerSKU]],Table27[customer_SKU],Table27[case_size],"",0,1))</f>
        <v/>
      </c>
      <c r="W1026" s="117" t="str">
        <f t="shared" si="47"/>
        <v/>
      </c>
      <c r="X1026" s="22" t="str">
        <f t="shared" si="46"/>
        <v/>
      </c>
      <c r="Y1026" s="22" t="str">
        <f>IF(Table26[[#This Row],[customerSKU]]="","",_xlfn.XLOOKUP(Table26[[#This Row],[customerSKU]],Table27[customer_SKU],Table27[product_GTIN],"",0,1))</f>
        <v/>
      </c>
      <c r="Z1026" s="25" t="s">
        <v>3455</v>
      </c>
      <c r="AA1026" s="18" t="str" cm="1">
        <f t="array" ref="AA1026">IF(P1026="", "", _xlfn.XLOOKUP(P1026,#REF!,#REF!,NA,0,-1))</f>
        <v/>
      </c>
      <c r="AB1026" s="22"/>
      <c r="AC1026" s="55" t="str">
        <f>IF(Table26[[#This Row],[customerSKU]]="","",_xlfn.XLOOKUP(Table26[[#This Row],[customerSKU]],customerSKU!G:G,customerSKU!C:C,"",0,1))</f>
        <v/>
      </c>
      <c r="AD1026" s="55" t="str">
        <f>IF($AC1026="","",_xlfn.XLOOKUP($AC1026,'[2]Client Info'!$C$2:$C$2535,'[2]Client Info'!$D$2:$D$2535,"",0,1))</f>
        <v/>
      </c>
      <c r="AE1026" s="55" t="str">
        <f>IF($AC1026="","",_xlfn.XLOOKUP($AC1026,'[2]Client Info'!$C$2:$C$2715,'[2]Client Info'!$E$2:$E$2715,"",))</f>
        <v/>
      </c>
      <c r="AF1026" s="55" t="str">
        <f>IF($AC1026="","",_xlfn.XLOOKUP($AC1026,'[2]Client Info'!$C$2:$C$2715,'[2]Client Info'!$F$2:$F$2715,"",0,1))</f>
        <v/>
      </c>
      <c r="AG1026" s="55" t="str">
        <f>IF(ISBLANK(Table26[[#This Row],[customerSKU]]),"",_xlfn.XLOOKUP(Table26[[#This Row],[customerSKU]],Table27[customer_SKU],Table27[billto],"",0,1))</f>
        <v/>
      </c>
      <c r="AH1026" s="26" t="str">
        <f>_xlfn.XLOOKUP(Table26[[#This Row],[customerSKU]],customerSKU!G:G,customerSKU!K:K,"NA",0,1)</f>
        <v>NA</v>
      </c>
      <c r="AI1026" s="43" t="str">
        <f>_xlfn.XLOOKUP(Table26[[#This Row],[customerSKU]],customerSKU!G:G,customerSKU!O:O,"not found",0,1)</f>
        <v>not found</v>
      </c>
      <c r="AJ1026" s="22" t="e">
        <f>Table26[[#This Row],[unitprice]]*Table26[[#This Row],[quantity_unit]]</f>
        <v>#VALUE!</v>
      </c>
      <c r="AK1026" s="22" t="e" cm="1">
        <f t="array" ref="AK10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7" spans="1:37" ht="18" customHeight="1">
      <c r="A1027" s="42">
        <v>1219</v>
      </c>
      <c r="B1027" s="249" t="s">
        <v>3520</v>
      </c>
      <c r="C1027" s="90" t="s">
        <v>203</v>
      </c>
      <c r="D1027" s="235"/>
      <c r="E1027" s="235"/>
      <c r="F102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27" s="119"/>
      <c r="H1027" s="90"/>
      <c r="I1027" s="90"/>
      <c r="J1027" s="90" t="str">
        <f>IF(Table26[[#This Row],[customerSKU]]="","",_xlfn.XLOOKUP(Table26[[#This Row],[customerSKU]],customerSKU!G:G,customerSKU!A:A,"",0,1))</f>
        <v/>
      </c>
      <c r="K1027" s="232">
        <v>45695</v>
      </c>
      <c r="L1027" s="233" t="str">
        <f>IF(Table26[[#This Row],[customerSKU]]="","",_xlfn.XLOOKUP(Table26[[#This Row],[customerSKU]],customerSKU!G:G,customerSKU!B:B,"",0,1))</f>
        <v/>
      </c>
      <c r="M1027" s="90"/>
      <c r="N1027" s="55" t="str">
        <f>Table26[[#This Row],[po_number]]&amp;"-"&amp;Table26[[#This Row],[po_line]]</f>
        <v>-1</v>
      </c>
      <c r="O1027" s="55">
        <v>1</v>
      </c>
      <c r="P1027" s="234"/>
      <c r="Q1027" s="90" t="s">
        <v>3294</v>
      </c>
      <c r="R1027" s="90" t="s">
        <v>569</v>
      </c>
      <c r="S1027" s="90" t="str">
        <f>IF(Table26[[#This Row],[customerSKU]]="","",_xlfn.XLOOKUP(Table26[[#This Row],[customerSKU]],customerSKU!G:G,customerSKU!N:N,"NOT FOUND",0,1))</f>
        <v>NOT FOUND</v>
      </c>
      <c r="T1027" s="20">
        <v>45693</v>
      </c>
      <c r="U1027" s="236">
        <f>125*6</f>
        <v>750</v>
      </c>
      <c r="V1027" s="90" t="str">
        <f>IF(ISBLANK(Table26[[#This Row],[customerSKU]]),"",_xlfn.XLOOKUP(Table26[[#This Row],[customerSKU]],Table27[customer_SKU],Table27[case_size],"",0,1))</f>
        <v/>
      </c>
      <c r="W1027" s="237" t="str">
        <f t="shared" si="47"/>
        <v/>
      </c>
      <c r="X1027" s="90" t="str">
        <f t="shared" si="46"/>
        <v/>
      </c>
      <c r="Y1027" s="90" t="str">
        <f>IF(Table26[[#This Row],[customerSKU]]="","",_xlfn.XLOOKUP(Table26[[#This Row],[customerSKU]],Table27[customer_SKU],Table27[product_GTIN],"",0,1))</f>
        <v/>
      </c>
      <c r="Z1027" s="25" t="s">
        <v>4158</v>
      </c>
      <c r="AA1027" s="18" t="str" cm="1">
        <f t="array" ref="AA1027">IF(P1027="", "", _xlfn.XLOOKUP(P1027,#REF!,#REF!,NA,0,-1))</f>
        <v/>
      </c>
      <c r="AB1027" s="90"/>
      <c r="AC1027" s="55" t="str">
        <f>IF(Table26[[#This Row],[customerSKU]]="","",_xlfn.XLOOKUP(Table26[[#This Row],[customerSKU]],customerSKU!G:G,customerSKU!C:C,"",0,1))</f>
        <v/>
      </c>
      <c r="AD1027" s="55" t="str">
        <f>IF($AC1027="","",_xlfn.XLOOKUP($AC1027,'[2]Client Info'!$C$2:$C$2535,'[2]Client Info'!$D$2:$D$2535,"",0,1))</f>
        <v/>
      </c>
      <c r="AE1027" s="55" t="str">
        <f>IF($AC1027="","",_xlfn.XLOOKUP($AC1027,'[2]Client Info'!$C$2:$C$2715,'[2]Client Info'!$E$2:$E$2715,"",))</f>
        <v/>
      </c>
      <c r="AF1027" s="55" t="str">
        <f>IF($AC1027="","",_xlfn.XLOOKUP($AC1027,'[2]Client Info'!$C$2:$C$2715,'[2]Client Info'!$F$2:$F$2715,"",0,1))</f>
        <v/>
      </c>
      <c r="AG1027" s="55" t="str">
        <f>IF(ISBLANK(Table26[[#This Row],[customerSKU]]),"",_xlfn.XLOOKUP(Table26[[#This Row],[customerSKU]],Table27[customer_SKU],Table27[billto],"",0,1))</f>
        <v/>
      </c>
      <c r="AH1027" s="245" t="str">
        <f>_xlfn.XLOOKUP(Table26[[#This Row],[customerSKU]],customerSKU!G:G,customerSKU!K:K,"NA",0,1)</f>
        <v>NA</v>
      </c>
      <c r="AI1027" s="43" t="str">
        <f>_xlfn.XLOOKUP(Table26[[#This Row],[customerSKU]],customerSKU!G:G,customerSKU!O:O,"not found",0,1)</f>
        <v>not found</v>
      </c>
      <c r="AJ1027" s="22" t="e">
        <f>Table26[[#This Row],[unitprice]]*Table26[[#This Row],[quantity_unit]]</f>
        <v>#VALUE!</v>
      </c>
      <c r="AK1027" s="22" t="e" cm="1">
        <f t="array" ref="AK10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8" spans="1:37" ht="18" customHeight="1">
      <c r="A1028" s="42">
        <v>1220</v>
      </c>
      <c r="B1028" s="27" t="s">
        <v>3520</v>
      </c>
      <c r="C1028" s="22" t="s">
        <v>203</v>
      </c>
      <c r="E1028" s="20"/>
      <c r="F102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8" s="17"/>
      <c r="J1028" s="90" t="str">
        <f>IF(Table26[[#This Row],[customerSKU]]="","",_xlfn.XLOOKUP(Table26[[#This Row],[customerSKU]],customerSKU!G:G,customerSKU!A:A,"",0,1))</f>
        <v/>
      </c>
      <c r="K1028" s="232">
        <v>45695</v>
      </c>
      <c r="L1028" s="31" t="str">
        <f>IF(Table26[[#This Row],[customerSKU]]="","",_xlfn.XLOOKUP(Table26[[#This Row],[customerSKU]],customerSKU!G:G,customerSKU!B:B,"",0,1))</f>
        <v/>
      </c>
      <c r="M1028" s="22"/>
      <c r="N1028" s="15" t="str">
        <f>Table26[[#This Row],[po_number]]&amp;"-"&amp;Table26[[#This Row],[po_line]]</f>
        <v>-1</v>
      </c>
      <c r="O1028" s="15">
        <v>1</v>
      </c>
      <c r="P1028" s="29"/>
      <c r="Q1028" s="22" t="s">
        <v>4101</v>
      </c>
      <c r="R1028" s="22" t="s">
        <v>569</v>
      </c>
      <c r="S1028" s="22" t="str">
        <f>IF(Table26[[#This Row],[customerSKU]]="","",_xlfn.XLOOKUP(Table26[[#This Row],[customerSKU]],customerSKU!G:G,customerSKU!N:N,"NOT FOUND",0,1))</f>
        <v>NOT FOUND</v>
      </c>
      <c r="T1028" s="20">
        <v>45684</v>
      </c>
      <c r="U1028" s="21">
        <f>48*12</f>
        <v>576</v>
      </c>
      <c r="V1028" s="22" t="str">
        <f>IF(ISBLANK(Table26[[#This Row],[customerSKU]]),"",_xlfn.XLOOKUP(Table26[[#This Row],[customerSKU]],Table27[customer_SKU],Table27[case_size],"",0,1))</f>
        <v/>
      </c>
      <c r="W1028" s="117" t="str">
        <f t="shared" si="47"/>
        <v/>
      </c>
      <c r="X1028" s="22" t="str">
        <f t="shared" si="46"/>
        <v/>
      </c>
      <c r="Y1028" s="22" t="str">
        <f>IF(Table26[[#This Row],[customerSKU]]="","",_xlfn.XLOOKUP(Table26[[#This Row],[customerSKU]],Table27[customer_SKU],Table27[product_GTIN],"",0,1))</f>
        <v/>
      </c>
      <c r="Z1028" s="25" t="s">
        <v>3614</v>
      </c>
      <c r="AA1028" s="18" t="str" cm="1">
        <f t="array" ref="AA1028">IF(P1028="", "", _xlfn.XLOOKUP(P1028,#REF!,#REF!,NA,0,-1))</f>
        <v/>
      </c>
      <c r="AB1028" s="22"/>
      <c r="AC1028" s="55" t="str">
        <f>IF(Table26[[#This Row],[customerSKU]]="","",_xlfn.XLOOKUP(Table26[[#This Row],[customerSKU]],customerSKU!G:G,customerSKU!C:C,"",0,1))</f>
        <v/>
      </c>
      <c r="AD1028" s="55" t="str">
        <f>IF($AC1028="","",_xlfn.XLOOKUP($AC1028,'[2]Client Info'!$C$2:$C$2535,'[2]Client Info'!$D$2:$D$2535,"",0,1))</f>
        <v/>
      </c>
      <c r="AE1028" s="55" t="str">
        <f>IF($AC1028="","",_xlfn.XLOOKUP($AC1028,'[2]Client Info'!$C$2:$C$2715,'[2]Client Info'!$E$2:$E$2715,"",))</f>
        <v/>
      </c>
      <c r="AF1028" s="55" t="str">
        <f>IF($AC1028="","",_xlfn.XLOOKUP($AC1028,'[2]Client Info'!$C$2:$C$2715,'[2]Client Info'!$F$2:$F$2715,"",0,1))</f>
        <v/>
      </c>
      <c r="AG1028" s="55" t="str">
        <f>IF(ISBLANK(Table26[[#This Row],[customerSKU]]),"",_xlfn.XLOOKUP(Table26[[#This Row],[customerSKU]],Table27[customer_SKU],Table27[billto],"",0,1))</f>
        <v/>
      </c>
      <c r="AH1028" s="26" t="str">
        <f>_xlfn.XLOOKUP(Table26[[#This Row],[customerSKU]],customerSKU!G:G,customerSKU!K:K,"NA",0,1)</f>
        <v>NA</v>
      </c>
      <c r="AI1028" s="43" t="str">
        <f>_xlfn.XLOOKUP(Table26[[#This Row],[customerSKU]],customerSKU!G:G,customerSKU!O:O,"not found",0,1)</f>
        <v>not found</v>
      </c>
      <c r="AJ1028" s="22" t="e">
        <f>Table26[[#This Row],[unitprice]]*Table26[[#This Row],[quantity_unit]]</f>
        <v>#VALUE!</v>
      </c>
      <c r="AK1028" s="22" t="e" cm="1">
        <f t="array" ref="AK10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29" spans="1:37" ht="18" customHeight="1">
      <c r="A1029" s="42">
        <v>1221</v>
      </c>
      <c r="B1029" s="27" t="s">
        <v>3520</v>
      </c>
      <c r="C1029" s="22" t="s">
        <v>203</v>
      </c>
      <c r="E1029" s="20"/>
      <c r="F102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29" s="17"/>
      <c r="J1029" s="90" t="str">
        <f>IF(Table26[[#This Row],[customerSKU]]="","",_xlfn.XLOOKUP(Table26[[#This Row],[customerSKU]],customerSKU!G:G,customerSKU!A:A,"",0,1))</f>
        <v/>
      </c>
      <c r="K1029" s="232">
        <v>45695</v>
      </c>
      <c r="L1029" s="31" t="str">
        <f>IF(Table26[[#This Row],[customerSKU]]="","",_xlfn.XLOOKUP(Table26[[#This Row],[customerSKU]],customerSKU!G:G,customerSKU!B:B,"",0,1))</f>
        <v/>
      </c>
      <c r="M1029" s="22"/>
      <c r="N1029" s="15" t="str">
        <f>Table26[[#This Row],[po_number]]&amp;"-"&amp;Table26[[#This Row],[po_line]]</f>
        <v>-2</v>
      </c>
      <c r="O1029" s="15">
        <v>2</v>
      </c>
      <c r="P1029" s="29"/>
      <c r="Q1029" s="22" t="s">
        <v>1660</v>
      </c>
      <c r="R1029" s="22" t="s">
        <v>569</v>
      </c>
      <c r="S1029" s="22" t="str">
        <f>IF(Table26[[#This Row],[customerSKU]]="","",_xlfn.XLOOKUP(Table26[[#This Row],[customerSKU]],customerSKU!G:G,customerSKU!N:N,"NOT FOUND",0,1))</f>
        <v>NOT FOUND</v>
      </c>
      <c r="T1029" s="20">
        <v>45693</v>
      </c>
      <c r="U1029" s="21">
        <f>52*12</f>
        <v>624</v>
      </c>
      <c r="V1029" s="22" t="str">
        <f>IF(ISBLANK(Table26[[#This Row],[customerSKU]]),"",_xlfn.XLOOKUP(Table26[[#This Row],[customerSKU]],Table27[customer_SKU],Table27[case_size],"",0,1))</f>
        <v/>
      </c>
      <c r="W1029" s="117" t="str">
        <f t="shared" ref="W1029:W1060" si="48">IFERROR(U1029/V1029, "")</f>
        <v/>
      </c>
      <c r="X1029" s="22" t="str">
        <f t="shared" si="46"/>
        <v/>
      </c>
      <c r="Y1029" s="22" t="str">
        <f>IF(Table26[[#This Row],[customerSKU]]="","",_xlfn.XLOOKUP(Table26[[#This Row],[customerSKU]],Table27[customer_SKU],Table27[product_GTIN],"",0,1))</f>
        <v/>
      </c>
      <c r="Z1029" s="25" t="s">
        <v>3614</v>
      </c>
      <c r="AA1029" s="18" t="str" cm="1">
        <f t="array" ref="AA1029">IF(P1029="", "", _xlfn.XLOOKUP(P1029,#REF!,#REF!,NA,0,-1))</f>
        <v/>
      </c>
      <c r="AB1029" s="22"/>
      <c r="AC1029" s="55" t="str">
        <f>IF(Table26[[#This Row],[customerSKU]]="","",_xlfn.XLOOKUP(Table26[[#This Row],[customerSKU]],customerSKU!G:G,customerSKU!C:C,"",0,1))</f>
        <v/>
      </c>
      <c r="AD1029" s="55" t="str">
        <f>IF($AC1029="","",_xlfn.XLOOKUP($AC1029,'[2]Client Info'!$C$2:$C$2535,'[2]Client Info'!$D$2:$D$2535,"",0,1))</f>
        <v/>
      </c>
      <c r="AE1029" s="55" t="str">
        <f>IF($AC1029="","",_xlfn.XLOOKUP($AC1029,'[2]Client Info'!$C$2:$C$2715,'[2]Client Info'!$E$2:$E$2715,"",))</f>
        <v/>
      </c>
      <c r="AF1029" s="55" t="str">
        <f>IF($AC1029="","",_xlfn.XLOOKUP($AC1029,'[2]Client Info'!$C$2:$C$2715,'[2]Client Info'!$F$2:$F$2715,"",0,1))</f>
        <v/>
      </c>
      <c r="AG1029" s="55" t="str">
        <f>IF(ISBLANK(Table26[[#This Row],[customerSKU]]),"",_xlfn.XLOOKUP(Table26[[#This Row],[customerSKU]],Table27[customer_SKU],Table27[billto],"",0,1))</f>
        <v/>
      </c>
      <c r="AH1029" s="26" t="str">
        <f>_xlfn.XLOOKUP(Table26[[#This Row],[customerSKU]],customerSKU!G:G,customerSKU!K:K,"NA",0,1)</f>
        <v>NA</v>
      </c>
      <c r="AI1029" s="43" t="str">
        <f>_xlfn.XLOOKUP(Table26[[#This Row],[customerSKU]],customerSKU!G:G,customerSKU!O:O,"not found",0,1)</f>
        <v>not found</v>
      </c>
      <c r="AJ1029" s="22" t="e">
        <f>Table26[[#This Row],[unitprice]]*Table26[[#This Row],[quantity_unit]]</f>
        <v>#VALUE!</v>
      </c>
      <c r="AK1029" s="22" t="e" cm="1">
        <f t="array" ref="AK10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0" spans="1:37" ht="18" customHeight="1">
      <c r="A1030" s="42">
        <v>1222</v>
      </c>
      <c r="B1030" s="249" t="s">
        <v>3520</v>
      </c>
      <c r="C1030" s="90" t="s">
        <v>203</v>
      </c>
      <c r="E1030" s="20"/>
      <c r="F103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0" s="17"/>
      <c r="J1030" s="90" t="str">
        <f>IF(Table26[[#This Row],[customerSKU]]="","",_xlfn.XLOOKUP(Table26[[#This Row],[customerSKU]],customerSKU!G:G,customerSKU!A:A,"",0,1))</f>
        <v/>
      </c>
      <c r="K1030" s="232">
        <v>45695</v>
      </c>
      <c r="L1030" s="31" t="s">
        <v>3417</v>
      </c>
      <c r="M1030" s="22"/>
      <c r="N1030" s="15" t="str">
        <f>Table26[[#This Row],[po_number]]&amp;"-"&amp;Table26[[#This Row],[po_line]]</f>
        <v>-1</v>
      </c>
      <c r="O1030" s="15">
        <v>1</v>
      </c>
      <c r="P1030" s="50"/>
      <c r="Q1030" s="22" t="s">
        <v>3545</v>
      </c>
      <c r="R1030" s="22" t="s">
        <v>3369</v>
      </c>
      <c r="S1030" s="22" t="str">
        <f>IF(Table26[[#This Row],[customerSKU]]="","",_xlfn.XLOOKUP(Table26[[#This Row],[customerSKU]],customerSKU!G:G,customerSKU!N:N,"NOT FOUND",0,1))</f>
        <v>NOT FOUND</v>
      </c>
      <c r="T1030" s="20">
        <v>45094</v>
      </c>
      <c r="U1030" s="21">
        <v>1</v>
      </c>
      <c r="V1030" s="22" t="str">
        <f>IF(ISBLANK(Table26[[#This Row],[customerSKU]]),"",_xlfn.XLOOKUP(Table26[[#This Row],[customerSKU]],Table27[customer_SKU],Table27[case_size],"",0,1))</f>
        <v/>
      </c>
      <c r="W1030" s="117" t="str">
        <f t="shared" si="48"/>
        <v/>
      </c>
      <c r="X1030" s="22" t="str">
        <f t="shared" ref="X1030:X1093" si="49">IFERROR($AA1030*$U1030, "")</f>
        <v/>
      </c>
      <c r="Y1030" s="22" t="str">
        <f>IF(Table26[[#This Row],[customerSKU]]="","",_xlfn.XLOOKUP(Table26[[#This Row],[customerSKU]],Table27[customer_SKU],Table27[product_GTIN],"",0,1))</f>
        <v/>
      </c>
      <c r="Z1030" s="25" t="s">
        <v>4180</v>
      </c>
      <c r="AA1030" s="18" t="str" cm="1">
        <f t="array" ref="AA1030">IF(P1030="", "", _xlfn.XLOOKUP(P1030,#REF!,#REF!,NA,0,-1))</f>
        <v/>
      </c>
      <c r="AB1030" s="22"/>
      <c r="AC1030" s="55" t="s">
        <v>4184</v>
      </c>
      <c r="AD1030" s="55" t="str">
        <f>IF($AC1030="","",_xlfn.XLOOKUP($AC1030,'[2]Client Info'!$C$2:$C$2535,'[2]Client Info'!$D$2:$D$2535,"",0,1))</f>
        <v/>
      </c>
      <c r="AE1030" s="55" t="str">
        <f>IF($AC1030="","",_xlfn.XLOOKUP($AC1030,'[2]Client Info'!$C$2:$C$2715,'[2]Client Info'!$E$2:$E$2715,"",))</f>
        <v/>
      </c>
      <c r="AF1030" s="55" t="str">
        <f>IF($AC1030="","",_xlfn.XLOOKUP($AC1030,'[2]Client Info'!$C$2:$C$2715,'[2]Client Info'!$F$2:$F$2715,"",0,1))</f>
        <v/>
      </c>
      <c r="AG1030" s="55" t="str">
        <f>IF(ISBLANK(Table26[[#This Row],[customerSKU]]),"",_xlfn.XLOOKUP(Table26[[#This Row],[customerSKU]],Table27[customer_SKU],Table27[billto],"",0,1))</f>
        <v/>
      </c>
      <c r="AH1030" s="26" t="str">
        <f>_xlfn.XLOOKUP(Table26[[#This Row],[customerSKU]],customerSKU!G:G,customerSKU!K:K,"NA",0,1)</f>
        <v>NA</v>
      </c>
      <c r="AI1030" s="43" t="str">
        <f>_xlfn.XLOOKUP(Table26[[#This Row],[customerSKU]],customerSKU!G:G,customerSKU!O:O,"not found",0,1)</f>
        <v>not found</v>
      </c>
      <c r="AJ1030" s="22" t="e">
        <f>Table26[[#This Row],[unitprice]]*Table26[[#This Row],[quantity_unit]]</f>
        <v>#VALUE!</v>
      </c>
      <c r="AK1030" s="22" t="e" cm="1">
        <f t="array" ref="AK10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1" spans="1:37" ht="18" customHeight="1">
      <c r="A1031" s="42">
        <v>1223</v>
      </c>
      <c r="B1031" s="249" t="s">
        <v>3520</v>
      </c>
      <c r="C1031" s="90" t="s">
        <v>203</v>
      </c>
      <c r="E1031" s="20"/>
      <c r="F103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1" s="17"/>
      <c r="J1031" s="90" t="str">
        <f>IF(Table26[[#This Row],[customerSKU]]="","",_xlfn.XLOOKUP(Table26[[#This Row],[customerSKU]],customerSKU!G:G,customerSKU!A:A,"",0,1))</f>
        <v/>
      </c>
      <c r="K1031" s="232">
        <v>45695</v>
      </c>
      <c r="L1031" s="31" t="s">
        <v>3417</v>
      </c>
      <c r="M1031" s="22"/>
      <c r="N1031" s="15" t="str">
        <f>Table26[[#This Row],[po_number]]&amp;"-"&amp;Table26[[#This Row],[po_line]]</f>
        <v>-2</v>
      </c>
      <c r="O1031" s="15">
        <v>2</v>
      </c>
      <c r="P1031" s="50"/>
      <c r="Q1031" s="22" t="s">
        <v>1376</v>
      </c>
      <c r="R1031" s="22" t="s">
        <v>3369</v>
      </c>
      <c r="S1031" s="22" t="str">
        <f>IF(Table26[[#This Row],[customerSKU]]="","",_xlfn.XLOOKUP(Table26[[#This Row],[customerSKU]],customerSKU!G:G,customerSKU!N:N,"NOT FOUND",0,1))</f>
        <v>NOT FOUND</v>
      </c>
      <c r="T1031" s="20">
        <v>45588</v>
      </c>
      <c r="U1031" s="21">
        <v>1</v>
      </c>
      <c r="V1031" s="22" t="str">
        <f>IF(ISBLANK(Table26[[#This Row],[customerSKU]]),"",_xlfn.XLOOKUP(Table26[[#This Row],[customerSKU]],Table27[customer_SKU],Table27[case_size],"",0,1))</f>
        <v/>
      </c>
      <c r="W1031" s="117" t="str">
        <f t="shared" si="48"/>
        <v/>
      </c>
      <c r="X1031" s="22" t="str">
        <f t="shared" si="49"/>
        <v/>
      </c>
      <c r="Y1031" s="22" t="str">
        <f>IF(Table26[[#This Row],[customerSKU]]="","",_xlfn.XLOOKUP(Table26[[#This Row],[customerSKU]],Table27[customer_SKU],Table27[product_GTIN],"",0,1))</f>
        <v/>
      </c>
      <c r="Z1031" s="25" t="s">
        <v>4180</v>
      </c>
      <c r="AA1031" s="18" t="str" cm="1">
        <f t="array" ref="AA1031">IF(P1031="", "", _xlfn.XLOOKUP(P1031,#REF!,#REF!,NA,0,-1))</f>
        <v/>
      </c>
      <c r="AB1031" s="22"/>
      <c r="AC1031" s="55" t="s">
        <v>4184</v>
      </c>
      <c r="AD1031" s="55" t="str">
        <f>IF($AC1031="","",_xlfn.XLOOKUP($AC1031,'[2]Client Info'!$C$2:$C$2535,'[2]Client Info'!$D$2:$D$2535,"",0,1))</f>
        <v/>
      </c>
      <c r="AE1031" s="55" t="str">
        <f>IF($AC1031="","",_xlfn.XLOOKUP($AC1031,'[2]Client Info'!$C$2:$C$2715,'[2]Client Info'!$E$2:$E$2715,"",))</f>
        <v/>
      </c>
      <c r="AF1031" s="55" t="str">
        <f>IF($AC1031="","",_xlfn.XLOOKUP($AC1031,'[2]Client Info'!$C$2:$C$2715,'[2]Client Info'!$F$2:$F$2715,"",0,1))</f>
        <v/>
      </c>
      <c r="AG1031" s="55" t="str">
        <f>IF(ISBLANK(Table26[[#This Row],[customerSKU]]),"",_xlfn.XLOOKUP(Table26[[#This Row],[customerSKU]],Table27[customer_SKU],Table27[billto],"",0,1))</f>
        <v/>
      </c>
      <c r="AH1031" s="26" t="str">
        <f>_xlfn.XLOOKUP(Table26[[#This Row],[customerSKU]],customerSKU!G:G,customerSKU!K:K,"NA",0,1)</f>
        <v>NA</v>
      </c>
      <c r="AI1031" s="43" t="str">
        <f>_xlfn.XLOOKUP(Table26[[#This Row],[customerSKU]],customerSKU!G:G,customerSKU!O:O,"not found",0,1)</f>
        <v>not found</v>
      </c>
      <c r="AJ1031" s="22" t="e">
        <f>Table26[[#This Row],[unitprice]]*Table26[[#This Row],[quantity_unit]]</f>
        <v>#VALUE!</v>
      </c>
      <c r="AK1031" s="22" t="e" cm="1">
        <f t="array" ref="AK10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2" spans="1:37" ht="18" customHeight="1">
      <c r="A1032" s="42">
        <v>1224</v>
      </c>
      <c r="B1032" s="249" t="s">
        <v>3520</v>
      </c>
      <c r="C1032" s="90" t="s">
        <v>203</v>
      </c>
      <c r="E1032" s="20"/>
      <c r="F103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2" s="17"/>
      <c r="J1032" s="90" t="str">
        <f>IF(Table26[[#This Row],[customerSKU]]="","",_xlfn.XLOOKUP(Table26[[#This Row],[customerSKU]],customerSKU!G:G,customerSKU!A:A,"",0,1))</f>
        <v/>
      </c>
      <c r="K1032" s="232">
        <v>45695</v>
      </c>
      <c r="L1032" s="31" t="s">
        <v>3417</v>
      </c>
      <c r="M1032" s="22"/>
      <c r="N1032" s="15" t="str">
        <f>Table26[[#This Row],[po_number]]&amp;"-"&amp;Table26[[#This Row],[po_line]]</f>
        <v>-3</v>
      </c>
      <c r="O1032" s="15">
        <v>3</v>
      </c>
      <c r="P1032" s="50"/>
      <c r="Q1032" s="22" t="s">
        <v>3378</v>
      </c>
      <c r="R1032" s="22" t="s">
        <v>3369</v>
      </c>
      <c r="S1032" s="22" t="str">
        <f>IF(Table26[[#This Row],[customerSKU]]="","",_xlfn.XLOOKUP(Table26[[#This Row],[customerSKU]],customerSKU!G:G,customerSKU!N:N,"NOT FOUND",0,1))</f>
        <v>NOT FOUND</v>
      </c>
      <c r="T1032" s="20">
        <v>45666</v>
      </c>
      <c r="U1032" s="21">
        <v>1</v>
      </c>
      <c r="V1032" s="22" t="str">
        <f>IF(ISBLANK(Table26[[#This Row],[customerSKU]]),"",_xlfn.XLOOKUP(Table26[[#This Row],[customerSKU]],Table27[customer_SKU],Table27[case_size],"",0,1))</f>
        <v/>
      </c>
      <c r="W1032" s="117" t="str">
        <f t="shared" si="48"/>
        <v/>
      </c>
      <c r="X1032" s="22" t="str">
        <f t="shared" si="49"/>
        <v/>
      </c>
      <c r="Y1032" s="22" t="str">
        <f>IF(Table26[[#This Row],[customerSKU]]="","",_xlfn.XLOOKUP(Table26[[#This Row],[customerSKU]],Table27[customer_SKU],Table27[product_GTIN],"",0,1))</f>
        <v/>
      </c>
      <c r="Z1032" s="25" t="s">
        <v>4180</v>
      </c>
      <c r="AA1032" s="18" t="str" cm="1">
        <f t="array" ref="AA1032">IF(P1032="", "", _xlfn.XLOOKUP(P1032,#REF!,#REF!,NA,0,-1))</f>
        <v/>
      </c>
      <c r="AB1032" s="22"/>
      <c r="AC1032" s="55" t="s">
        <v>4184</v>
      </c>
      <c r="AD1032" s="55" t="str">
        <f>IF($AC1032="","",_xlfn.XLOOKUP($AC1032,'[2]Client Info'!$C$2:$C$2535,'[2]Client Info'!$D$2:$D$2535,"",0,1))</f>
        <v/>
      </c>
      <c r="AE1032" s="55" t="str">
        <f>IF($AC1032="","",_xlfn.XLOOKUP($AC1032,'[2]Client Info'!$C$2:$C$2715,'[2]Client Info'!$E$2:$E$2715,"",))</f>
        <v/>
      </c>
      <c r="AF1032" s="55" t="str">
        <f>IF($AC1032="","",_xlfn.XLOOKUP($AC1032,'[2]Client Info'!$C$2:$C$2715,'[2]Client Info'!$F$2:$F$2715,"",0,1))</f>
        <v/>
      </c>
      <c r="AG1032" s="55" t="str">
        <f>IF(ISBLANK(Table26[[#This Row],[customerSKU]]),"",_xlfn.XLOOKUP(Table26[[#This Row],[customerSKU]],Table27[customer_SKU],Table27[billto],"",0,1))</f>
        <v/>
      </c>
      <c r="AH1032" s="26" t="str">
        <f>_xlfn.XLOOKUP(Table26[[#This Row],[customerSKU]],customerSKU!G:G,customerSKU!K:K,"NA",0,1)</f>
        <v>NA</v>
      </c>
      <c r="AI1032" s="43" t="str">
        <f>_xlfn.XLOOKUP(Table26[[#This Row],[customerSKU]],customerSKU!G:G,customerSKU!O:O,"not found",0,1)</f>
        <v>not found</v>
      </c>
      <c r="AJ1032" s="22" t="e">
        <f>Table26[[#This Row],[unitprice]]*Table26[[#This Row],[quantity_unit]]</f>
        <v>#VALUE!</v>
      </c>
      <c r="AK1032" s="22" t="e" cm="1">
        <f t="array" ref="AK10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3" spans="1:37" ht="18" customHeight="1">
      <c r="A1033" s="42">
        <v>1210</v>
      </c>
      <c r="B1033" s="27" t="s">
        <v>3520</v>
      </c>
      <c r="C1033" s="22" t="s">
        <v>203</v>
      </c>
      <c r="E1033" s="20"/>
      <c r="F103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3" s="17"/>
      <c r="J1033" s="90" t="str">
        <f>IF(Table26[[#This Row],[customerSKU]]="","",_xlfn.XLOOKUP(Table26[[#This Row],[customerSKU]],customerSKU!G:G,customerSKU!A:A,"",0,1))</f>
        <v/>
      </c>
      <c r="K1033" s="232">
        <v>45698</v>
      </c>
      <c r="L1033" s="31" t="str">
        <f>IF(Table26[[#This Row],[customerSKU]]="","",_xlfn.XLOOKUP(Table26[[#This Row],[customerSKU]],customerSKU!G:G,customerSKU!B:B,"",0,1))</f>
        <v/>
      </c>
      <c r="M1033" s="22"/>
      <c r="N1033" s="15" t="str">
        <f>Table26[[#This Row],[po_number]]&amp;"-"&amp;Table26[[#This Row],[po_line]]</f>
        <v>-1</v>
      </c>
      <c r="O1033" s="15">
        <v>1</v>
      </c>
      <c r="P1033" s="29"/>
      <c r="Q1033" s="22" t="s">
        <v>4086</v>
      </c>
      <c r="R1033" s="22" t="s">
        <v>569</v>
      </c>
      <c r="S1033" s="22" t="s">
        <v>132</v>
      </c>
      <c r="T1033" s="20">
        <v>45631</v>
      </c>
      <c r="U1033" s="21">
        <v>12</v>
      </c>
      <c r="V1033" s="22" t="str">
        <f>IF(ISBLANK(Table26[[#This Row],[customerSKU]]),"",_xlfn.XLOOKUP(Table26[[#This Row],[customerSKU]],Table27[customer_SKU],Table27[case_size],"",0,1))</f>
        <v/>
      </c>
      <c r="W1033" s="117" t="str">
        <f t="shared" si="48"/>
        <v/>
      </c>
      <c r="X1033" s="22" t="str">
        <f t="shared" si="49"/>
        <v/>
      </c>
      <c r="Y1033" s="22" t="str">
        <f>IF(Table26[[#This Row],[customerSKU]]="","",_xlfn.XLOOKUP(Table26[[#This Row],[customerSKU]],Table27[customer_SKU],Table27[product_GTIN],"",0,1))</f>
        <v/>
      </c>
      <c r="Z1033" s="25">
        <v>63251</v>
      </c>
      <c r="AA1033" s="18" t="str" cm="1">
        <f t="array" ref="AA1033">IF(P1033="", "", _xlfn.XLOOKUP(P1033,#REF!,#REF!,NA,0,-1))</f>
        <v/>
      </c>
      <c r="AB1033" s="22"/>
      <c r="AC1033" s="55" t="s">
        <v>148</v>
      </c>
      <c r="AD1033" s="55" t="str">
        <f>IF($AC1033="","",_xlfn.XLOOKUP($AC1033,'[2]Client Info'!$C$2:$C$2535,'[2]Client Info'!$D$2:$D$2535,"",0,1))</f>
        <v>1-530 SABOURIN ST</v>
      </c>
      <c r="AE1033" s="55" t="str">
        <f>IF($AC1033="","",_xlfn.XLOOKUP($AC1033,'[2]Client Info'!$C$2:$C$2715,'[2]Client Info'!$E$2:$E$2715,"",))</f>
        <v>ST. PIERRE-JOLYS</v>
      </c>
      <c r="AF1033" s="55" t="str">
        <f>IF($AC1033="","",_xlfn.XLOOKUP($AC1033,'[2]Client Info'!$C$2:$C$2715,'[2]Client Info'!$F$2:$F$2715,"",0,1))</f>
        <v>MB</v>
      </c>
      <c r="AG1033" s="55" t="str">
        <f>IF(ISBLANK(Table26[[#This Row],[customerSKU]]),"",_xlfn.XLOOKUP(Table26[[#This Row],[customerSKU]],Table27[customer_SKU],Table27[billto],"",0,1))</f>
        <v/>
      </c>
      <c r="AH1033" s="26" t="str">
        <f>_xlfn.XLOOKUP(Table26[[#This Row],[customerSKU]],customerSKU!G:G,customerSKU!K:K,"NA",0,1)</f>
        <v>NA</v>
      </c>
      <c r="AI1033" s="43" t="str">
        <f>_xlfn.XLOOKUP(Table26[[#This Row],[customerSKU]],customerSKU!G:G,customerSKU!O:O,"not found",0,1)</f>
        <v>not found</v>
      </c>
      <c r="AJ1033" s="22" t="e">
        <f>Table26[[#This Row],[unitprice]]*Table26[[#This Row],[quantity_unit]]</f>
        <v>#VALUE!</v>
      </c>
      <c r="AK1033" s="22" t="e" cm="1">
        <f t="array" ref="AK10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4" spans="1:37" ht="18" customHeight="1">
      <c r="A1034" s="42">
        <v>1211</v>
      </c>
      <c r="B1034" s="249" t="s">
        <v>3520</v>
      </c>
      <c r="C1034" s="90" t="s">
        <v>203</v>
      </c>
      <c r="D1034" s="235"/>
      <c r="E1034" s="235"/>
      <c r="F1034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34" s="119"/>
      <c r="H1034" s="90"/>
      <c r="I1034" s="90"/>
      <c r="J1034" s="90" t="str">
        <f>IF(Table26[[#This Row],[customerSKU]]="","",_xlfn.XLOOKUP(Table26[[#This Row],[customerSKU]],customerSKU!G:G,customerSKU!A:A,"",0,1))</f>
        <v/>
      </c>
      <c r="K1034" s="232">
        <v>45698</v>
      </c>
      <c r="L1034" s="233" t="str">
        <f>IF(Table26[[#This Row],[customerSKU]]="","",_xlfn.XLOOKUP(Table26[[#This Row],[customerSKU]],customerSKU!G:G,customerSKU!B:B,"",0,1))</f>
        <v/>
      </c>
      <c r="M1034" s="90"/>
      <c r="N1034" s="55" t="str">
        <f>Table26[[#This Row],[po_number]]&amp;"-"&amp;Table26[[#This Row],[po_line]]</f>
        <v>-1</v>
      </c>
      <c r="O1034" s="55">
        <v>1</v>
      </c>
      <c r="P1034" s="50"/>
      <c r="Q1034" s="90" t="s">
        <v>4168</v>
      </c>
      <c r="R1034" s="90" t="s">
        <v>3302</v>
      </c>
      <c r="S1034" s="90" t="str">
        <f>IF(Table26[[#This Row],[customerSKU]]="","",_xlfn.XLOOKUP(Table26[[#This Row],[customerSKU]],customerSKU!G:G,customerSKU!N:N,"NOT FOUND",0,1))</f>
        <v>NOT FOUND</v>
      </c>
      <c r="T1034" s="20">
        <v>45668</v>
      </c>
      <c r="U1034" s="236">
        <v>6</v>
      </c>
      <c r="V1034" s="90" t="str">
        <f>IF(ISBLANK(Table26[[#This Row],[customerSKU]]),"",_xlfn.XLOOKUP(Table26[[#This Row],[customerSKU]],Table27[customer_SKU],Table27[case_size],"",0,1))</f>
        <v/>
      </c>
      <c r="W1034" s="237" t="str">
        <f t="shared" si="48"/>
        <v/>
      </c>
      <c r="X1034" s="90" t="str">
        <f t="shared" si="49"/>
        <v/>
      </c>
      <c r="Y1034" s="90" t="str">
        <f>IF(Table26[[#This Row],[customerSKU]]="","",_xlfn.XLOOKUP(Table26[[#This Row],[customerSKU]],Table27[customer_SKU],Table27[product_GTIN],"",0,1))</f>
        <v/>
      </c>
      <c r="Z1034" s="25" t="s">
        <v>4169</v>
      </c>
      <c r="AA1034" s="18" t="str" cm="1">
        <f t="array" ref="AA1034">IF(P1034="", "", _xlfn.XLOOKUP(P1034,#REF!,#REF!,NA,0,-1))</f>
        <v/>
      </c>
      <c r="AB1034" s="90"/>
      <c r="AC1034" s="55" t="s">
        <v>3846</v>
      </c>
      <c r="AD1034" s="55" t="str">
        <f>IF($AC1034="","",_xlfn.XLOOKUP($AC1034,'[2]Client Info'!$C$2:$C$2535,'[2]Client Info'!$D$2:$D$2535,"",0,1))</f>
        <v>115 1st St. E</v>
      </c>
      <c r="AE1034" s="55" t="str">
        <f>IF($AC1034="","",_xlfn.XLOOKUP($AC1034,'[2]Client Info'!$C$2:$C$2715,'[2]Client Info'!$E$2:$E$2715,"",))</f>
        <v>North Vancouver</v>
      </c>
      <c r="AF1034" s="55" t="str">
        <f>IF($AC1034="","",_xlfn.XLOOKUP($AC1034,'[2]Client Info'!$C$2:$C$2715,'[2]Client Info'!$F$2:$F$2715,"",0,1))</f>
        <v xml:space="preserve">BC </v>
      </c>
      <c r="AG1034" s="55" t="s">
        <v>3846</v>
      </c>
      <c r="AH1034" s="245" t="str">
        <f>_xlfn.XLOOKUP(Table26[[#This Row],[customerSKU]],customerSKU!G:G,customerSKU!K:K,"NA",0,1)</f>
        <v>NA</v>
      </c>
      <c r="AI1034" s="43" t="str">
        <f>_xlfn.XLOOKUP(Table26[[#This Row],[customerSKU]],customerSKU!G:G,customerSKU!O:O,"not found",0,1)</f>
        <v>not found</v>
      </c>
      <c r="AJ1034" s="22" t="e">
        <f>Table26[[#This Row],[unitprice]]*Table26[[#This Row],[quantity_unit]]</f>
        <v>#VALUE!</v>
      </c>
      <c r="AK1034" s="22" t="e" cm="1">
        <f t="array" ref="AK10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5" spans="1:37" ht="18" customHeight="1">
      <c r="A1035" s="42">
        <v>1212</v>
      </c>
      <c r="B1035" s="249" t="s">
        <v>3520</v>
      </c>
      <c r="C1035" s="90" t="s">
        <v>203</v>
      </c>
      <c r="D1035" s="235"/>
      <c r="E1035" s="235"/>
      <c r="F1035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35" s="119"/>
      <c r="H1035" s="90"/>
      <c r="I1035" s="90"/>
      <c r="J1035" s="90" t="str">
        <f>IF(Table26[[#This Row],[customerSKU]]="","",_xlfn.XLOOKUP(Table26[[#This Row],[customerSKU]],customerSKU!G:G,customerSKU!A:A,"",0,1))</f>
        <v/>
      </c>
      <c r="K1035" s="232">
        <v>45698</v>
      </c>
      <c r="L1035" s="233" t="str">
        <f>IF(Table26[[#This Row],[customerSKU]]="","",_xlfn.XLOOKUP(Table26[[#This Row],[customerSKU]],customerSKU!G:G,customerSKU!B:B,"",0,1))</f>
        <v/>
      </c>
      <c r="M1035" s="90"/>
      <c r="N1035" s="55" t="str">
        <f>Table26[[#This Row],[po_number]]&amp;"-"&amp;Table26[[#This Row],[po_line]]</f>
        <v>-2</v>
      </c>
      <c r="O1035" s="55">
        <v>2</v>
      </c>
      <c r="P1035" s="50"/>
      <c r="Q1035" s="90" t="s">
        <v>4170</v>
      </c>
      <c r="R1035" s="90" t="s">
        <v>3302</v>
      </c>
      <c r="S1035" s="90" t="str">
        <f>IF(Table26[[#This Row],[customerSKU]]="","",_xlfn.XLOOKUP(Table26[[#This Row],[customerSKU]],customerSKU!G:G,customerSKU!N:N,"NOT FOUND",0,1))</f>
        <v>NOT FOUND</v>
      </c>
      <c r="T1035" s="20">
        <v>45668</v>
      </c>
      <c r="U1035" s="236">
        <v>6</v>
      </c>
      <c r="V1035" s="90" t="str">
        <f>IF(ISBLANK(Table26[[#This Row],[customerSKU]]),"",_xlfn.XLOOKUP(Table26[[#This Row],[customerSKU]],Table27[customer_SKU],Table27[case_size],"",0,1))</f>
        <v/>
      </c>
      <c r="W1035" s="237" t="str">
        <f t="shared" si="48"/>
        <v/>
      </c>
      <c r="X1035" s="90" t="str">
        <f t="shared" si="49"/>
        <v/>
      </c>
      <c r="Y1035" s="90" t="str">
        <f>IF(Table26[[#This Row],[customerSKU]]="","",_xlfn.XLOOKUP(Table26[[#This Row],[customerSKU]],Table27[customer_SKU],Table27[product_GTIN],"",0,1))</f>
        <v/>
      </c>
      <c r="Z1035" s="25" t="s">
        <v>3384</v>
      </c>
      <c r="AA1035" s="18" t="str" cm="1">
        <f t="array" ref="AA1035">IF(P1035="", "", _xlfn.XLOOKUP(P1035,#REF!,#REF!,NA,0,-1))</f>
        <v/>
      </c>
      <c r="AB1035" s="90"/>
      <c r="AC1035" s="55" t="s">
        <v>3846</v>
      </c>
      <c r="AD1035" s="55" t="str">
        <f>IF($AC1035="","",_xlfn.XLOOKUP($AC1035,'[2]Client Info'!$C$2:$C$2535,'[2]Client Info'!$D$2:$D$2535,"",0,1))</f>
        <v>115 1st St. E</v>
      </c>
      <c r="AE1035" s="55" t="str">
        <f>IF($AC1035="","",_xlfn.XLOOKUP($AC1035,'[2]Client Info'!$C$2:$C$2715,'[2]Client Info'!$E$2:$E$2715,"",))</f>
        <v>North Vancouver</v>
      </c>
      <c r="AF1035" s="55" t="str">
        <f>IF($AC1035="","",_xlfn.XLOOKUP($AC1035,'[2]Client Info'!$C$2:$C$2715,'[2]Client Info'!$F$2:$F$2715,"",0,1))</f>
        <v xml:space="preserve">BC </v>
      </c>
      <c r="AG1035" s="55" t="s">
        <v>3846</v>
      </c>
      <c r="AH1035" s="245" t="str">
        <f>_xlfn.XLOOKUP(Table26[[#This Row],[customerSKU]],customerSKU!G:G,customerSKU!K:K,"NA",0,1)</f>
        <v>NA</v>
      </c>
      <c r="AI1035" s="43" t="str">
        <f>_xlfn.XLOOKUP(Table26[[#This Row],[customerSKU]],customerSKU!G:G,customerSKU!O:O,"not found",0,1)</f>
        <v>not found</v>
      </c>
      <c r="AJ1035" s="22" t="e">
        <f>Table26[[#This Row],[unitprice]]*Table26[[#This Row],[quantity_unit]]</f>
        <v>#VALUE!</v>
      </c>
      <c r="AK1035" s="22" t="e" cm="1">
        <f t="array" ref="AK10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6" spans="1:37" ht="18" customHeight="1">
      <c r="A1036" s="42">
        <v>1213</v>
      </c>
      <c r="B1036" s="27" t="s">
        <v>3520</v>
      </c>
      <c r="C1036" s="90" t="s">
        <v>203</v>
      </c>
      <c r="E1036" s="20"/>
      <c r="F103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6" s="17"/>
      <c r="J1036" s="90" t="str">
        <f>IF(Table26[[#This Row],[customerSKU]]="","",_xlfn.XLOOKUP(Table26[[#This Row],[customerSKU]],customerSKU!G:G,customerSKU!A:A,"",0,1))</f>
        <v/>
      </c>
      <c r="K1036" s="232">
        <v>45698</v>
      </c>
      <c r="L1036" s="31" t="str">
        <f>IF(Table26[[#This Row],[customerSKU]]="","",_xlfn.XLOOKUP(Table26[[#This Row],[customerSKU]],customerSKU!G:G,customerSKU!B:B,"",0,1))</f>
        <v/>
      </c>
      <c r="M1036" s="22"/>
      <c r="N1036" s="15" t="str">
        <f>Table26[[#This Row],[po_number]]&amp;"-"&amp;Table26[[#This Row],[po_line]]</f>
        <v>-1</v>
      </c>
      <c r="O1036" s="15">
        <v>1</v>
      </c>
      <c r="P1036" s="50"/>
      <c r="Q1036" s="22" t="s">
        <v>3362</v>
      </c>
      <c r="R1036" s="22" t="s">
        <v>3302</v>
      </c>
      <c r="S1036" s="22" t="s">
        <v>114</v>
      </c>
      <c r="T1036" s="20">
        <v>45624</v>
      </c>
      <c r="U1036" s="21">
        <f>24+5</f>
        <v>29</v>
      </c>
      <c r="V1036" s="22" t="str">
        <f>IF(ISBLANK(Table26[[#This Row],[customerSKU]]),"",_xlfn.XLOOKUP(Table26[[#This Row],[customerSKU]],Table27[customer_SKU],Table27[case_size],"",0,1))</f>
        <v/>
      </c>
      <c r="W1036" s="117" t="str">
        <f t="shared" si="48"/>
        <v/>
      </c>
      <c r="X1036" s="22" t="str">
        <f t="shared" si="49"/>
        <v/>
      </c>
      <c r="Y1036" s="22" t="str">
        <f>IF(Table26[[#This Row],[customerSKU]]="","",_xlfn.XLOOKUP(Table26[[#This Row],[customerSKU]],Table27[customer_SKU],Table27[product_GTIN],"",0,1))</f>
        <v/>
      </c>
      <c r="Z1036" s="25" t="s">
        <v>3448</v>
      </c>
      <c r="AA1036" s="18" t="str" cm="1">
        <f t="array" ref="AA1036">IF(P1036="", "", _xlfn.XLOOKUP(P1036,#REF!,#REF!,NA,0,-1))</f>
        <v/>
      </c>
      <c r="AB1036" s="22"/>
      <c r="AC1036" s="55" t="s">
        <v>3496</v>
      </c>
      <c r="AD1036" s="55" t="str">
        <f>IF($AC1036="","",_xlfn.XLOOKUP($AC1036,'[2]Client Info'!$C$2:$C$2535,'[2]Client Info'!$D$2:$D$2535,"",0,1))</f>
        <v>11939 240th Street</v>
      </c>
      <c r="AE1036" s="55" t="str">
        <f>IF($AC1036="","",_xlfn.XLOOKUP($AC1036,'[2]Client Info'!$C$2:$C$2715,'[2]Client Info'!$E$2:$E$2715,"",))</f>
        <v>Maple Ridge</v>
      </c>
      <c r="AF1036" s="55" t="str">
        <f>IF($AC1036="","",_xlfn.XLOOKUP($AC1036,'[2]Client Info'!$C$2:$C$2715,'[2]Client Info'!$F$2:$F$2715,"",0,1))</f>
        <v xml:space="preserve">BC </v>
      </c>
      <c r="AG1036" s="55" t="s">
        <v>3496</v>
      </c>
      <c r="AH1036" s="26" t="str">
        <f>_xlfn.XLOOKUP(Table26[[#This Row],[customerSKU]],customerSKU!G:G,customerSKU!K:K,"NA",0,1)</f>
        <v>NA</v>
      </c>
      <c r="AI1036" s="43" t="str">
        <f>_xlfn.XLOOKUP(Table26[[#This Row],[customerSKU]],customerSKU!G:G,customerSKU!O:O,"not found",0,1)</f>
        <v>not found</v>
      </c>
      <c r="AJ1036" s="22" t="e">
        <f>Table26[[#This Row],[unitprice]]*Table26[[#This Row],[quantity_unit]]</f>
        <v>#VALUE!</v>
      </c>
      <c r="AK1036" s="22" t="e" cm="1">
        <f t="array" ref="AK10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7" spans="1:37" ht="18" customHeight="1">
      <c r="A1037" s="42">
        <v>1214</v>
      </c>
      <c r="B1037" s="27" t="s">
        <v>3520</v>
      </c>
      <c r="C1037" s="90" t="s">
        <v>203</v>
      </c>
      <c r="E1037" s="20"/>
      <c r="F103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7" s="17"/>
      <c r="J1037" s="90" t="str">
        <f>IF(Table26[[#This Row],[customerSKU]]="","",_xlfn.XLOOKUP(Table26[[#This Row],[customerSKU]],customerSKU!G:G,customerSKU!A:A,"",0,1))</f>
        <v/>
      </c>
      <c r="K1037" s="232">
        <v>45698</v>
      </c>
      <c r="L1037" s="31" t="str">
        <f>IF(Table26[[#This Row],[customerSKU]]="","",_xlfn.XLOOKUP(Table26[[#This Row],[customerSKU]],customerSKU!G:G,customerSKU!B:B,"",0,1))</f>
        <v/>
      </c>
      <c r="M1037" s="22"/>
      <c r="N1037" s="15" t="str">
        <f>Table26[[#This Row],[po_number]]&amp;"-"&amp;Table26[[#This Row],[po_line]]</f>
        <v>-1</v>
      </c>
      <c r="O1037" s="15">
        <v>1</v>
      </c>
      <c r="P1037" s="50"/>
      <c r="Q1037" s="22" t="s">
        <v>1306</v>
      </c>
      <c r="R1037" s="22" t="s">
        <v>3302</v>
      </c>
      <c r="S1037" s="22" t="s">
        <v>114</v>
      </c>
      <c r="T1037" s="20">
        <v>45576</v>
      </c>
      <c r="U1037" s="21">
        <v>36</v>
      </c>
      <c r="V1037" s="22" t="str">
        <f>IF(ISBLANK(Table26[[#This Row],[customerSKU]]),"",_xlfn.XLOOKUP(Table26[[#This Row],[customerSKU]],Table27[customer_SKU],Table27[case_size],"",0,1))</f>
        <v/>
      </c>
      <c r="W1037" s="117" t="str">
        <f t="shared" si="48"/>
        <v/>
      </c>
      <c r="X1037" s="22" t="str">
        <f t="shared" si="49"/>
        <v/>
      </c>
      <c r="Y1037" s="22" t="str">
        <f>IF(Table26[[#This Row],[customerSKU]]="","",_xlfn.XLOOKUP(Table26[[#This Row],[customerSKU]],Table27[customer_SKU],Table27[product_GTIN],"",0,1))</f>
        <v/>
      </c>
      <c r="Z1037" s="25" t="s">
        <v>3374</v>
      </c>
      <c r="AA1037" s="18" t="str" cm="1">
        <f t="array" ref="AA1037">IF(P1037="", "", _xlfn.XLOOKUP(P1037,#REF!,#REF!,NA,0,-1))</f>
        <v/>
      </c>
      <c r="AB1037" s="22"/>
      <c r="AC1037" s="55" t="s">
        <v>3496</v>
      </c>
      <c r="AD1037" s="55" t="str">
        <f>IF($AC1037="","",_xlfn.XLOOKUP($AC1037,'[2]Client Info'!$C$2:$C$2535,'[2]Client Info'!$D$2:$D$2535,"",0,1))</f>
        <v>11939 240th Street</v>
      </c>
      <c r="AE1037" s="55" t="str">
        <f>IF($AC1037="","",_xlfn.XLOOKUP($AC1037,'[2]Client Info'!$C$2:$C$2715,'[2]Client Info'!$E$2:$E$2715,"",))</f>
        <v>Maple Ridge</v>
      </c>
      <c r="AF1037" s="55" t="str">
        <f>IF($AC1037="","",_xlfn.XLOOKUP($AC1037,'[2]Client Info'!$C$2:$C$2715,'[2]Client Info'!$F$2:$F$2715,"",0,1))</f>
        <v xml:space="preserve">BC </v>
      </c>
      <c r="AG1037" s="55" t="s">
        <v>3496</v>
      </c>
      <c r="AH1037" s="26" t="str">
        <f>_xlfn.XLOOKUP(Table26[[#This Row],[customerSKU]],customerSKU!G:G,customerSKU!K:K,"NA",0,1)</f>
        <v>NA</v>
      </c>
      <c r="AI1037" s="43" t="str">
        <f>_xlfn.XLOOKUP(Table26[[#This Row],[customerSKU]],customerSKU!G:G,customerSKU!O:O,"not found",0,1)</f>
        <v>not found</v>
      </c>
      <c r="AJ1037" s="22" t="e">
        <f>Table26[[#This Row],[unitprice]]*Table26[[#This Row],[quantity_unit]]</f>
        <v>#VALUE!</v>
      </c>
      <c r="AK1037" s="22" t="e" cm="1">
        <f t="array" ref="AK10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8" spans="1:37" ht="18" customHeight="1">
      <c r="A1038" s="42">
        <v>1215</v>
      </c>
      <c r="B1038" s="27" t="s">
        <v>3520</v>
      </c>
      <c r="C1038" s="90" t="s">
        <v>203</v>
      </c>
      <c r="E1038" s="20"/>
      <c r="F103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8" s="17"/>
      <c r="J1038" s="90" t="str">
        <f>IF(Table26[[#This Row],[customerSKU]]="","",_xlfn.XLOOKUP(Table26[[#This Row],[customerSKU]],customerSKU!G:G,customerSKU!A:A,"",0,1))</f>
        <v/>
      </c>
      <c r="K1038" s="232">
        <v>45698</v>
      </c>
      <c r="L1038" s="31" t="str">
        <f>IF(Table26[[#This Row],[customerSKU]]="","",_xlfn.XLOOKUP(Table26[[#This Row],[customerSKU]],customerSKU!G:G,customerSKU!B:B,"",0,1))</f>
        <v/>
      </c>
      <c r="M1038" s="22"/>
      <c r="N1038" s="15" t="str">
        <f>Table26[[#This Row],[po_number]]&amp;"-"&amp;Table26[[#This Row],[po_line]]</f>
        <v>-2</v>
      </c>
      <c r="O1038" s="15">
        <v>2</v>
      </c>
      <c r="P1038" s="50"/>
      <c r="Q1038" s="22" t="s">
        <v>4143</v>
      </c>
      <c r="R1038" s="22" t="s">
        <v>3302</v>
      </c>
      <c r="S1038" s="22" t="s">
        <v>114</v>
      </c>
      <c r="T1038" s="20">
        <v>45687</v>
      </c>
      <c r="U1038" s="21">
        <v>36</v>
      </c>
      <c r="V1038" s="22" t="str">
        <f>IF(ISBLANK(Table26[[#This Row],[customerSKU]]),"",_xlfn.XLOOKUP(Table26[[#This Row],[customerSKU]],Table27[customer_SKU],Table27[case_size],"",0,1))</f>
        <v/>
      </c>
      <c r="W1038" s="117" t="str">
        <f t="shared" si="48"/>
        <v/>
      </c>
      <c r="X1038" s="22" t="str">
        <f t="shared" si="49"/>
        <v/>
      </c>
      <c r="Y1038" s="22" t="str">
        <f>IF(Table26[[#This Row],[customerSKU]]="","",_xlfn.XLOOKUP(Table26[[#This Row],[customerSKU]],Table27[customer_SKU],Table27[product_GTIN],"",0,1))</f>
        <v/>
      </c>
      <c r="Z1038" s="25" t="s">
        <v>3389</v>
      </c>
      <c r="AA1038" s="18" t="str" cm="1">
        <f t="array" ref="AA1038">IF(P1038="", "", _xlfn.XLOOKUP(P1038,#REF!,#REF!,NA,0,-1))</f>
        <v/>
      </c>
      <c r="AB1038" s="22"/>
      <c r="AC1038" s="55" t="s">
        <v>3496</v>
      </c>
      <c r="AD1038" s="55" t="str">
        <f>IF($AC1038="","",_xlfn.XLOOKUP($AC1038,'[2]Client Info'!$C$2:$C$2535,'[2]Client Info'!$D$2:$D$2535,"",0,1))</f>
        <v>11939 240th Street</v>
      </c>
      <c r="AE1038" s="55" t="str">
        <f>IF($AC1038="","",_xlfn.XLOOKUP($AC1038,'[2]Client Info'!$C$2:$C$2715,'[2]Client Info'!$E$2:$E$2715,"",))</f>
        <v>Maple Ridge</v>
      </c>
      <c r="AF1038" s="55" t="str">
        <f>IF($AC1038="","",_xlfn.XLOOKUP($AC1038,'[2]Client Info'!$C$2:$C$2715,'[2]Client Info'!$F$2:$F$2715,"",0,1))</f>
        <v xml:space="preserve">BC </v>
      </c>
      <c r="AG1038" s="55" t="s">
        <v>3496</v>
      </c>
      <c r="AH1038" s="26" t="str">
        <f>_xlfn.XLOOKUP(Table26[[#This Row],[customerSKU]],customerSKU!G:G,customerSKU!K:K,"NA",0,1)</f>
        <v>NA</v>
      </c>
      <c r="AI1038" s="43" t="str">
        <f>_xlfn.XLOOKUP(Table26[[#This Row],[customerSKU]],customerSKU!G:G,customerSKU!O:O,"not found",0,1)</f>
        <v>not found</v>
      </c>
      <c r="AJ1038" s="22" t="e">
        <f>Table26[[#This Row],[unitprice]]*Table26[[#This Row],[quantity_unit]]</f>
        <v>#VALUE!</v>
      </c>
      <c r="AK1038" s="22" t="e" cm="1">
        <f t="array" ref="AK10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39" spans="1:37" ht="18" customHeight="1">
      <c r="A1039" s="42">
        <v>1216</v>
      </c>
      <c r="B1039" s="27" t="s">
        <v>3520</v>
      </c>
      <c r="C1039" s="90" t="s">
        <v>203</v>
      </c>
      <c r="E1039" s="20"/>
      <c r="F103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39" s="17"/>
      <c r="J1039" s="90" t="str">
        <f>IF(Table26[[#This Row],[customerSKU]]="","",_xlfn.XLOOKUP(Table26[[#This Row],[customerSKU]],customerSKU!G:G,customerSKU!A:A,"",0,1))</f>
        <v/>
      </c>
      <c r="K1039" s="232">
        <v>45698</v>
      </c>
      <c r="L1039" s="31" t="str">
        <f>IF(Table26[[#This Row],[customerSKU]]="","",_xlfn.XLOOKUP(Table26[[#This Row],[customerSKU]],customerSKU!G:G,customerSKU!B:B,"",0,1))</f>
        <v/>
      </c>
      <c r="M1039" s="22"/>
      <c r="N1039" s="15" t="str">
        <f>Table26[[#This Row],[po_number]]&amp;"-"&amp;Table26[[#This Row],[po_line]]</f>
        <v>-3</v>
      </c>
      <c r="O1039" s="15">
        <v>3</v>
      </c>
      <c r="P1039" s="50"/>
      <c r="Q1039" s="22" t="s">
        <v>2112</v>
      </c>
      <c r="R1039" s="22" t="s">
        <v>3302</v>
      </c>
      <c r="S1039" s="22" t="s">
        <v>114</v>
      </c>
      <c r="T1039" s="20">
        <v>45550</v>
      </c>
      <c r="U1039" s="21">
        <v>7</v>
      </c>
      <c r="V1039" s="22" t="str">
        <f>IF(ISBLANK(Table26[[#This Row],[customerSKU]]),"",_xlfn.XLOOKUP(Table26[[#This Row],[customerSKU]],Table27[customer_SKU],Table27[case_size],"",0,1))</f>
        <v/>
      </c>
      <c r="W1039" s="117" t="str">
        <f t="shared" si="48"/>
        <v/>
      </c>
      <c r="X1039" s="22" t="str">
        <f t="shared" si="49"/>
        <v/>
      </c>
      <c r="Y1039" s="22" t="str">
        <f>IF(Table26[[#This Row],[customerSKU]]="","",_xlfn.XLOOKUP(Table26[[#This Row],[customerSKU]],Table27[customer_SKU],Table27[product_GTIN],"",0,1))</f>
        <v/>
      </c>
      <c r="Z1039" s="25" t="s">
        <v>3448</v>
      </c>
      <c r="AA1039" s="18" t="str" cm="1">
        <f t="array" ref="AA1039">IF(P1039="", "", _xlfn.XLOOKUP(P1039,#REF!,#REF!,NA,0,-1))</f>
        <v/>
      </c>
      <c r="AB1039" s="22"/>
      <c r="AC1039" s="55" t="s">
        <v>3496</v>
      </c>
      <c r="AD1039" s="55" t="str">
        <f>IF($AC1039="","",_xlfn.XLOOKUP($AC1039,'[2]Client Info'!$C$2:$C$2535,'[2]Client Info'!$D$2:$D$2535,"",0,1))</f>
        <v>11939 240th Street</v>
      </c>
      <c r="AE1039" s="55" t="str">
        <f>IF($AC1039="","",_xlfn.XLOOKUP($AC1039,'[2]Client Info'!$C$2:$C$2715,'[2]Client Info'!$E$2:$E$2715,"",))</f>
        <v>Maple Ridge</v>
      </c>
      <c r="AF1039" s="55" t="str">
        <f>IF($AC1039="","",_xlfn.XLOOKUP($AC1039,'[2]Client Info'!$C$2:$C$2715,'[2]Client Info'!$F$2:$F$2715,"",0,1))</f>
        <v xml:space="preserve">BC </v>
      </c>
      <c r="AG1039" s="55" t="s">
        <v>3496</v>
      </c>
      <c r="AH1039" s="26" t="str">
        <f>_xlfn.XLOOKUP(Table26[[#This Row],[customerSKU]],customerSKU!G:G,customerSKU!K:K,"NA",0,1)</f>
        <v>NA</v>
      </c>
      <c r="AI1039" s="43" t="str">
        <f>_xlfn.XLOOKUP(Table26[[#This Row],[customerSKU]],customerSKU!G:G,customerSKU!O:O,"not found",0,1)</f>
        <v>not found</v>
      </c>
      <c r="AJ1039" s="22" t="e">
        <f>Table26[[#This Row],[unitprice]]*Table26[[#This Row],[quantity_unit]]</f>
        <v>#VALUE!</v>
      </c>
      <c r="AK1039" s="22" t="e" cm="1">
        <f t="array" ref="AK10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0" spans="1:37" ht="18" customHeight="1">
      <c r="A1040" s="42">
        <v>1217</v>
      </c>
      <c r="B1040" s="249" t="s">
        <v>3520</v>
      </c>
      <c r="C1040" s="90" t="s">
        <v>203</v>
      </c>
      <c r="D1040" s="235"/>
      <c r="E1040" s="235"/>
      <c r="F1040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40" s="119"/>
      <c r="H1040" s="90"/>
      <c r="I1040" s="90"/>
      <c r="J1040" s="90" t="str">
        <f>IF(Table26[[#This Row],[customerSKU]]="","",_xlfn.XLOOKUP(Table26[[#This Row],[customerSKU]],customerSKU!G:G,customerSKU!A:A,"",0,1))</f>
        <v/>
      </c>
      <c r="K1040" s="232">
        <v>45698</v>
      </c>
      <c r="L1040" s="233" t="str">
        <f>IF(Table26[[#This Row],[customerSKU]]="","",_xlfn.XLOOKUP(Table26[[#This Row],[customerSKU]],customerSKU!G:G,customerSKU!B:B,"",0,1))</f>
        <v/>
      </c>
      <c r="M1040" s="90"/>
      <c r="N1040" s="55" t="str">
        <f>Table26[[#This Row],[po_number]]&amp;"-"&amp;Table26[[#This Row],[po_line]]</f>
        <v>-1</v>
      </c>
      <c r="O1040" s="55">
        <v>1</v>
      </c>
      <c r="P1040" s="50"/>
      <c r="Q1040" s="90" t="s">
        <v>4168</v>
      </c>
      <c r="R1040" s="90" t="s">
        <v>3302</v>
      </c>
      <c r="S1040" s="90" t="str">
        <f>IF(Table26[[#This Row],[customerSKU]]="","",_xlfn.XLOOKUP(Table26[[#This Row],[customerSKU]],customerSKU!G:G,customerSKU!N:N,"NOT FOUND",0,1))</f>
        <v>NOT FOUND</v>
      </c>
      <c r="T1040" s="20">
        <v>45668</v>
      </c>
      <c r="U1040" s="236">
        <v>6</v>
      </c>
      <c r="V1040" s="90" t="str">
        <f>IF(ISBLANK(Table26[[#This Row],[customerSKU]]),"",_xlfn.XLOOKUP(Table26[[#This Row],[customerSKU]],Table27[customer_SKU],Table27[case_size],"",0,1))</f>
        <v/>
      </c>
      <c r="W1040" s="237" t="str">
        <f t="shared" si="48"/>
        <v/>
      </c>
      <c r="X1040" s="90" t="str">
        <f t="shared" si="49"/>
        <v/>
      </c>
      <c r="Y1040" s="90" t="str">
        <f>IF(Table26[[#This Row],[customerSKU]]="","",_xlfn.XLOOKUP(Table26[[#This Row],[customerSKU]],Table27[customer_SKU],Table27[product_GTIN],"",0,1))</f>
        <v/>
      </c>
      <c r="Z1040" s="25" t="s">
        <v>4169</v>
      </c>
      <c r="AA1040" s="18" t="str" cm="1">
        <f t="array" ref="AA1040">IF(P1040="", "", _xlfn.XLOOKUP(P1040,#REF!,#REF!,NA,0,-1))</f>
        <v/>
      </c>
      <c r="AB1040" s="90"/>
      <c r="AC1040" s="55" t="s">
        <v>4174</v>
      </c>
      <c r="AD1040" s="55" t="str">
        <f>IF($AC1040="","",_xlfn.XLOOKUP($AC1040,'[2]Client Info'!$C$2:$C$2535,'[2]Client Info'!$D$2:$D$2535,"",0,1))</f>
        <v>#1-820 Marine Drive</v>
      </c>
      <c r="AE1040" s="55" t="str">
        <f>IF($AC1040="","",_xlfn.XLOOKUP($AC1040,'[2]Client Info'!$C$2:$C$2715,'[2]Client Info'!$E$2:$E$2715,"",))</f>
        <v>North Vancouver</v>
      </c>
      <c r="AF1040" s="55" t="str">
        <f>IF($AC1040="","",_xlfn.XLOOKUP($AC1040,'[2]Client Info'!$C$2:$C$2715,'[2]Client Info'!$F$2:$F$2715,"",0,1))</f>
        <v>BC</v>
      </c>
      <c r="AG1040" s="55" t="s">
        <v>4174</v>
      </c>
      <c r="AH1040" s="245" t="str">
        <f>_xlfn.XLOOKUP(Table26[[#This Row],[customerSKU]],customerSKU!G:G,customerSKU!K:K,"NA",0,1)</f>
        <v>NA</v>
      </c>
      <c r="AI1040" s="43" t="str">
        <f>_xlfn.XLOOKUP(Table26[[#This Row],[customerSKU]],customerSKU!G:G,customerSKU!O:O,"not found",0,1)</f>
        <v>not found</v>
      </c>
      <c r="AJ1040" s="22" t="e">
        <f>Table26[[#This Row],[unitprice]]*Table26[[#This Row],[quantity_unit]]</f>
        <v>#VALUE!</v>
      </c>
      <c r="AK1040" s="22" t="e" cm="1">
        <f t="array" ref="AK10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1" spans="1:37" ht="18" customHeight="1">
      <c r="A1041" s="42">
        <v>1218</v>
      </c>
      <c r="B1041" s="249" t="s">
        <v>3520</v>
      </c>
      <c r="C1041" s="90" t="s">
        <v>203</v>
      </c>
      <c r="D1041" s="235"/>
      <c r="E1041" s="235"/>
      <c r="F1041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41" s="119"/>
      <c r="H1041" s="90"/>
      <c r="I1041" s="90"/>
      <c r="J1041" s="90" t="str">
        <f>IF(Table26[[#This Row],[customerSKU]]="","",_xlfn.XLOOKUP(Table26[[#This Row],[customerSKU]],customerSKU!G:G,customerSKU!A:A,"",0,1))</f>
        <v/>
      </c>
      <c r="K1041" s="232">
        <v>45698</v>
      </c>
      <c r="L1041" s="233" t="str">
        <f>IF(Table26[[#This Row],[customerSKU]]="","",_xlfn.XLOOKUP(Table26[[#This Row],[customerSKU]],customerSKU!G:G,customerSKU!B:B,"",0,1))</f>
        <v/>
      </c>
      <c r="M1041" s="90"/>
      <c r="N1041" s="55" t="str">
        <f>Table26[[#This Row],[po_number]]&amp;"-"&amp;Table26[[#This Row],[po_line]]</f>
        <v>-2</v>
      </c>
      <c r="O1041" s="55">
        <v>2</v>
      </c>
      <c r="P1041" s="50"/>
      <c r="Q1041" s="90" t="s">
        <v>4170</v>
      </c>
      <c r="R1041" s="90" t="s">
        <v>3302</v>
      </c>
      <c r="S1041" s="90" t="str">
        <f>IF(Table26[[#This Row],[customerSKU]]="","",_xlfn.XLOOKUP(Table26[[#This Row],[customerSKU]],customerSKU!G:G,customerSKU!N:N,"NOT FOUND",0,1))</f>
        <v>NOT FOUND</v>
      </c>
      <c r="T1041" s="20">
        <v>45668</v>
      </c>
      <c r="U1041" s="236">
        <v>6</v>
      </c>
      <c r="V1041" s="90" t="str">
        <f>IF(ISBLANK(Table26[[#This Row],[customerSKU]]),"",_xlfn.XLOOKUP(Table26[[#This Row],[customerSKU]],Table27[customer_SKU],Table27[case_size],"",0,1))</f>
        <v/>
      </c>
      <c r="W1041" s="237" t="str">
        <f t="shared" si="48"/>
        <v/>
      </c>
      <c r="X1041" s="90" t="str">
        <f t="shared" si="49"/>
        <v/>
      </c>
      <c r="Y1041" s="90" t="str">
        <f>IF(Table26[[#This Row],[customerSKU]]="","",_xlfn.XLOOKUP(Table26[[#This Row],[customerSKU]],Table27[customer_SKU],Table27[product_GTIN],"",0,1))</f>
        <v/>
      </c>
      <c r="Z1041" s="25" t="s">
        <v>3384</v>
      </c>
      <c r="AA1041" s="18" t="str" cm="1">
        <f t="array" ref="AA1041">IF(P1041="", "", _xlfn.XLOOKUP(P1041,#REF!,#REF!,NA,0,-1))</f>
        <v/>
      </c>
      <c r="AB1041" s="90"/>
      <c r="AC1041" s="55" t="s">
        <v>4174</v>
      </c>
      <c r="AD1041" s="55" t="str">
        <f>IF($AC1041="","",_xlfn.XLOOKUP($AC1041,'[2]Client Info'!$C$2:$C$2535,'[2]Client Info'!$D$2:$D$2535,"",0,1))</f>
        <v>#1-820 Marine Drive</v>
      </c>
      <c r="AE1041" s="55" t="str">
        <f>IF($AC1041="","",_xlfn.XLOOKUP($AC1041,'[2]Client Info'!$C$2:$C$2715,'[2]Client Info'!$E$2:$E$2715,"",))</f>
        <v>North Vancouver</v>
      </c>
      <c r="AF1041" s="55" t="str">
        <f>IF($AC1041="","",_xlfn.XLOOKUP($AC1041,'[2]Client Info'!$C$2:$C$2715,'[2]Client Info'!$F$2:$F$2715,"",0,1))</f>
        <v>BC</v>
      </c>
      <c r="AG1041" s="55" t="s">
        <v>4174</v>
      </c>
      <c r="AH1041" s="245" t="str">
        <f>_xlfn.XLOOKUP(Table26[[#This Row],[customerSKU]],customerSKU!G:G,customerSKU!K:K,"NA",0,1)</f>
        <v>NA</v>
      </c>
      <c r="AI1041" s="43" t="str">
        <f>_xlfn.XLOOKUP(Table26[[#This Row],[customerSKU]],customerSKU!G:G,customerSKU!O:O,"not found",0,1)</f>
        <v>not found</v>
      </c>
      <c r="AJ1041" s="22" t="e">
        <f>Table26[[#This Row],[unitprice]]*Table26[[#This Row],[quantity_unit]]</f>
        <v>#VALUE!</v>
      </c>
      <c r="AK1041" s="22" t="e" cm="1">
        <f t="array" ref="AK10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2" spans="1:37" ht="18" customHeight="1">
      <c r="A1042" s="42">
        <v>1200</v>
      </c>
      <c r="B1042" s="27" t="s">
        <v>3520</v>
      </c>
      <c r="C1042" s="90" t="s">
        <v>203</v>
      </c>
      <c r="E1042" s="20"/>
      <c r="F104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2" s="17"/>
      <c r="J1042" s="90" t="str">
        <f>IF(Table26[[#This Row],[customerSKU]]="","",_xlfn.XLOOKUP(Table26[[#This Row],[customerSKU]],customerSKU!G:G,customerSKU!A:A,"",0,1))</f>
        <v/>
      </c>
      <c r="K1042" s="232">
        <v>45699</v>
      </c>
      <c r="L1042" s="31" t="str">
        <f>IF(Table26[[#This Row],[customerSKU]]="","",_xlfn.XLOOKUP(Table26[[#This Row],[customerSKU]],customerSKU!G:G,customerSKU!B:B,"",0,1))</f>
        <v/>
      </c>
      <c r="M1042" s="22"/>
      <c r="N1042" s="15" t="str">
        <f>Table26[[#This Row],[po_number]]&amp;"-"&amp;Table26[[#This Row],[po_line]]</f>
        <v>-1</v>
      </c>
      <c r="O1042" s="15">
        <v>1</v>
      </c>
      <c r="P1042" s="50"/>
      <c r="Q1042" s="22" t="s">
        <v>682</v>
      </c>
      <c r="R1042" s="22" t="s">
        <v>3302</v>
      </c>
      <c r="S1042" s="22" t="str">
        <f>IF(Table26[[#This Row],[customerSKU]]="","",_xlfn.XLOOKUP(Table26[[#This Row],[customerSKU]],customerSKU!G:G,customerSKU!N:N,"NOT FOUND",0,1))</f>
        <v>NOT FOUND</v>
      </c>
      <c r="T1042" s="20">
        <v>45588</v>
      </c>
      <c r="U1042" s="21">
        <v>12</v>
      </c>
      <c r="V1042" s="22" t="str">
        <f>IF(ISBLANK(Table26[[#This Row],[customerSKU]]),"",_xlfn.XLOOKUP(Table26[[#This Row],[customerSKU]],Table27[customer_SKU],Table27[case_size],"",0,1))</f>
        <v/>
      </c>
      <c r="W1042" s="117" t="str">
        <f t="shared" si="48"/>
        <v/>
      </c>
      <c r="X1042" s="22" t="str">
        <f t="shared" si="49"/>
        <v/>
      </c>
      <c r="Y1042" s="22" t="str">
        <f>IF(Table26[[#This Row],[customerSKU]]="","",_xlfn.XLOOKUP(Table26[[#This Row],[customerSKU]],Table27[customer_SKU],Table27[product_GTIN],"",0,1))</f>
        <v/>
      </c>
      <c r="Z1042" s="25" t="s">
        <v>3392</v>
      </c>
      <c r="AA1042" s="18" t="str" cm="1">
        <f t="array" ref="AA1042">IF(P1042="", "", _xlfn.XLOOKUP(P1042,#REF!,#REF!,NA,0,-1))</f>
        <v/>
      </c>
      <c r="AB1042" s="22" t="s">
        <v>3393</v>
      </c>
      <c r="AC1042" s="55" t="s">
        <v>3371</v>
      </c>
      <c r="AD1042" s="55" t="str">
        <f>IF($AC1042="","",_xlfn.XLOOKUP($AC1042,'[2]Client Info'!$C$2:$C$2535,'[2]Client Info'!$D$2:$D$2535,"",0,1))</f>
        <v>385 Martin St</v>
      </c>
      <c r="AE1042" s="55" t="str">
        <f>IF($AC1042="","",_xlfn.XLOOKUP($AC1042,'[2]Client Info'!$C$2:$C$2715,'[2]Client Info'!$E$2:$E$2715,"",))</f>
        <v>Penticton</v>
      </c>
      <c r="AF1042" s="55" t="str">
        <f>IF($AC1042="","",_xlfn.XLOOKUP($AC1042,'[2]Client Info'!$C$2:$C$2715,'[2]Client Info'!$F$2:$F$2715,"",0,1))</f>
        <v xml:space="preserve">BC </v>
      </c>
      <c r="AG1042" s="55" t="s">
        <v>3371</v>
      </c>
      <c r="AH1042" s="26" t="str">
        <f>_xlfn.XLOOKUP(Table26[[#This Row],[customerSKU]],customerSKU!G:G,customerSKU!K:K,"NA",0,1)</f>
        <v>NA</v>
      </c>
      <c r="AI1042" s="43" t="str">
        <f>_xlfn.XLOOKUP(Table26[[#This Row],[customerSKU]],customerSKU!G:G,customerSKU!O:O,"not found",0,1)</f>
        <v>not found</v>
      </c>
      <c r="AJ1042" s="22" t="e">
        <f>Table26[[#This Row],[unitprice]]*Table26[[#This Row],[quantity_unit]]</f>
        <v>#VALUE!</v>
      </c>
      <c r="AK1042" s="22" t="e" cm="1">
        <f t="array" ref="AK10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3" spans="1:37" ht="18" customHeight="1">
      <c r="A1043" s="42">
        <v>1201</v>
      </c>
      <c r="B1043" s="27" t="s">
        <v>3520</v>
      </c>
      <c r="C1043" s="90" t="s">
        <v>203</v>
      </c>
      <c r="E1043" s="20"/>
      <c r="F104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3" s="17"/>
      <c r="J1043" s="90" t="str">
        <f>IF(Table26[[#This Row],[customerSKU]]="","",_xlfn.XLOOKUP(Table26[[#This Row],[customerSKU]],customerSKU!G:G,customerSKU!A:A,"",0,1))</f>
        <v/>
      </c>
      <c r="K1043" s="232">
        <v>45699</v>
      </c>
      <c r="L1043" s="31" t="str">
        <f>IF(Table26[[#This Row],[customerSKU]]="","",_xlfn.XLOOKUP(Table26[[#This Row],[customerSKU]],customerSKU!G:G,customerSKU!B:B,"",0,1))</f>
        <v/>
      </c>
      <c r="M1043" s="22"/>
      <c r="N1043" s="15" t="str">
        <f>Table26[[#This Row],[po_number]]&amp;"-"&amp;Table26[[#This Row],[po_line]]</f>
        <v>-2</v>
      </c>
      <c r="O1043" s="15">
        <v>2</v>
      </c>
      <c r="P1043" s="50"/>
      <c r="Q1043" s="22" t="s">
        <v>535</v>
      </c>
      <c r="R1043" s="22" t="s">
        <v>3302</v>
      </c>
      <c r="S1043" s="22" t="s">
        <v>114</v>
      </c>
      <c r="T1043" s="20">
        <v>45630</v>
      </c>
      <c r="U1043" s="21">
        <v>24</v>
      </c>
      <c r="V1043" s="22" t="str">
        <f>IF(ISBLANK(Table26[[#This Row],[customerSKU]]),"",_xlfn.XLOOKUP(Table26[[#This Row],[customerSKU]],Table27[customer_SKU],Table27[case_size],"",0,1))</f>
        <v/>
      </c>
      <c r="W1043" s="117" t="str">
        <f t="shared" si="48"/>
        <v/>
      </c>
      <c r="X1043" s="22" t="str">
        <f t="shared" si="49"/>
        <v/>
      </c>
      <c r="Y1043" s="22" t="str">
        <f>IF(Table26[[#This Row],[customerSKU]]="","",_xlfn.XLOOKUP(Table26[[#This Row],[customerSKU]],Table27[customer_SKU],Table27[product_GTIN],"",0,1))</f>
        <v/>
      </c>
      <c r="Z1043" s="25" t="s">
        <v>3433</v>
      </c>
      <c r="AA1043" s="18" t="str" cm="1">
        <f t="array" ref="AA1043">IF(P1043="", "", _xlfn.XLOOKUP(P1043,#REF!,#REF!,NA,0,-1))</f>
        <v/>
      </c>
      <c r="AB1043" s="22"/>
      <c r="AC1043" s="55" t="s">
        <v>3371</v>
      </c>
      <c r="AD1043" s="55" t="str">
        <f>IF($AC1043="","",_xlfn.XLOOKUP($AC1043,'[2]Client Info'!$C$2:$C$2535,'[2]Client Info'!$D$2:$D$2535,"",0,1))</f>
        <v>385 Martin St</v>
      </c>
      <c r="AE1043" s="55" t="str">
        <f>IF($AC1043="","",_xlfn.XLOOKUP($AC1043,'[2]Client Info'!$C$2:$C$2715,'[2]Client Info'!$E$2:$E$2715,"",))</f>
        <v>Penticton</v>
      </c>
      <c r="AF1043" s="55" t="str">
        <f>IF($AC1043="","",_xlfn.XLOOKUP($AC1043,'[2]Client Info'!$C$2:$C$2715,'[2]Client Info'!$F$2:$F$2715,"",0,1))</f>
        <v xml:space="preserve">BC </v>
      </c>
      <c r="AG1043" s="55" t="s">
        <v>3371</v>
      </c>
      <c r="AH1043" s="26" t="str">
        <f>_xlfn.XLOOKUP(Table26[[#This Row],[customerSKU]],customerSKU!G:G,customerSKU!K:K,"NA",0,1)</f>
        <v>NA</v>
      </c>
      <c r="AI1043" s="43" t="str">
        <f>_xlfn.XLOOKUP(Table26[[#This Row],[customerSKU]],customerSKU!G:G,customerSKU!O:O,"not found",0,1)</f>
        <v>not found</v>
      </c>
      <c r="AJ1043" s="22" t="e">
        <f>Table26[[#This Row],[unitprice]]*Table26[[#This Row],[quantity_unit]]</f>
        <v>#VALUE!</v>
      </c>
      <c r="AK1043" s="22" t="e" cm="1">
        <f t="array" ref="AK10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4" spans="1:37" ht="18" customHeight="1">
      <c r="A1044" s="42">
        <v>1202</v>
      </c>
      <c r="B1044" s="27" t="s">
        <v>3520</v>
      </c>
      <c r="C1044" s="90" t="s">
        <v>203</v>
      </c>
      <c r="E1044" s="20"/>
      <c r="F104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4" s="17"/>
      <c r="J1044" s="90" t="str">
        <f>IF(Table26[[#This Row],[customerSKU]]="","",_xlfn.XLOOKUP(Table26[[#This Row],[customerSKU]],customerSKU!G:G,customerSKU!A:A,"",0,1))</f>
        <v/>
      </c>
      <c r="K1044" s="232">
        <v>45699</v>
      </c>
      <c r="L1044" s="31" t="str">
        <f>IF(Table26[[#This Row],[customerSKU]]="","",_xlfn.XLOOKUP(Table26[[#This Row],[customerSKU]],customerSKU!G:G,customerSKU!B:B,"",0,1))</f>
        <v/>
      </c>
      <c r="M1044" s="22"/>
      <c r="N1044" s="15" t="str">
        <f>Table26[[#This Row],[po_number]]&amp;"-"&amp;Table26[[#This Row],[po_line]]</f>
        <v>-3</v>
      </c>
      <c r="O1044" s="15">
        <v>3</v>
      </c>
      <c r="P1044" s="50"/>
      <c r="Q1044" s="22" t="s">
        <v>1309</v>
      </c>
      <c r="R1044" s="22" t="s">
        <v>3302</v>
      </c>
      <c r="S1044" s="22" t="s">
        <v>114</v>
      </c>
      <c r="T1044" s="20">
        <v>45623</v>
      </c>
      <c r="U1044" s="21">
        <v>12</v>
      </c>
      <c r="V1044" s="22" t="str">
        <f>IF(ISBLANK(Table26[[#This Row],[customerSKU]]),"",_xlfn.XLOOKUP(Table26[[#This Row],[customerSKU]],Table27[customer_SKU],Table27[case_size],"",0,1))</f>
        <v/>
      </c>
      <c r="W1044" s="117" t="str">
        <f t="shared" si="48"/>
        <v/>
      </c>
      <c r="X1044" s="22" t="str">
        <f t="shared" si="49"/>
        <v/>
      </c>
      <c r="Y1044" s="22" t="str">
        <f>IF(Table26[[#This Row],[customerSKU]]="","",_xlfn.XLOOKUP(Table26[[#This Row],[customerSKU]],Table27[customer_SKU],Table27[product_GTIN],"",0,1))</f>
        <v/>
      </c>
      <c r="Z1044" s="25" t="s">
        <v>3447</v>
      </c>
      <c r="AA1044" s="18" t="str" cm="1">
        <f t="array" ref="AA1044">IF(P1044="", "", _xlfn.XLOOKUP(P1044,#REF!,#REF!,NA,0,-1))</f>
        <v/>
      </c>
      <c r="AB1044" s="22"/>
      <c r="AC1044" s="55" t="s">
        <v>3371</v>
      </c>
      <c r="AD1044" s="55" t="str">
        <f>IF($AC1044="","",_xlfn.XLOOKUP($AC1044,'[2]Client Info'!$C$2:$C$2535,'[2]Client Info'!$D$2:$D$2535,"",0,1))</f>
        <v>385 Martin St</v>
      </c>
      <c r="AE1044" s="55" t="str">
        <f>IF($AC1044="","",_xlfn.XLOOKUP($AC1044,'[2]Client Info'!$C$2:$C$2715,'[2]Client Info'!$E$2:$E$2715,"",))</f>
        <v>Penticton</v>
      </c>
      <c r="AF1044" s="55" t="str">
        <f>IF($AC1044="","",_xlfn.XLOOKUP($AC1044,'[2]Client Info'!$C$2:$C$2715,'[2]Client Info'!$F$2:$F$2715,"",0,1))</f>
        <v xml:space="preserve">BC </v>
      </c>
      <c r="AG1044" s="55" t="s">
        <v>3371</v>
      </c>
      <c r="AH1044" s="26" t="str">
        <f>_xlfn.XLOOKUP(Table26[[#This Row],[customerSKU]],customerSKU!G:G,customerSKU!K:K,"NA",0,1)</f>
        <v>NA</v>
      </c>
      <c r="AI1044" s="43" t="str">
        <f>_xlfn.XLOOKUP(Table26[[#This Row],[customerSKU]],customerSKU!G:G,customerSKU!O:O,"not found",0,1)</f>
        <v>not found</v>
      </c>
      <c r="AJ1044" s="22" t="e">
        <f>Table26[[#This Row],[unitprice]]*Table26[[#This Row],[quantity_unit]]</f>
        <v>#VALUE!</v>
      </c>
      <c r="AK1044" s="22" t="e" cm="1">
        <f t="array" ref="AK10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5" spans="1:37" ht="18" customHeight="1">
      <c r="A1045" s="42">
        <v>1203</v>
      </c>
      <c r="B1045" s="27" t="s">
        <v>3520</v>
      </c>
      <c r="C1045" s="90" t="s">
        <v>203</v>
      </c>
      <c r="E1045" s="20"/>
      <c r="F104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5" s="17"/>
      <c r="J1045" s="90" t="str">
        <f>IF(Table26[[#This Row],[customerSKU]]="","",_xlfn.XLOOKUP(Table26[[#This Row],[customerSKU]],customerSKU!G:G,customerSKU!A:A,"",0,1))</f>
        <v/>
      </c>
      <c r="K1045" s="232">
        <v>45699</v>
      </c>
      <c r="L1045" s="31" t="str">
        <f>IF(Table26[[#This Row],[customerSKU]]="","",_xlfn.XLOOKUP(Table26[[#This Row],[customerSKU]],customerSKU!G:G,customerSKU!B:B,"",0,1))</f>
        <v/>
      </c>
      <c r="M1045" s="22"/>
      <c r="N1045" s="15" t="str">
        <f>Table26[[#This Row],[po_number]]&amp;"-"&amp;Table26[[#This Row],[po_line]]</f>
        <v>-1</v>
      </c>
      <c r="O1045" s="15">
        <v>1</v>
      </c>
      <c r="P1045" s="50"/>
      <c r="Q1045" s="22" t="s">
        <v>3368</v>
      </c>
      <c r="R1045" s="22" t="s">
        <v>3419</v>
      </c>
      <c r="S1045" s="22" t="str">
        <f>IF(Table26[[#This Row],[customerSKU]]="","",_xlfn.XLOOKUP(Table26[[#This Row],[customerSKU]],customerSKU!G:G,customerSKU!N:N,"NOT FOUND",0,1))</f>
        <v>NOT FOUND</v>
      </c>
      <c r="T1045" s="20">
        <v>45590</v>
      </c>
      <c r="U1045" s="21">
        <v>12</v>
      </c>
      <c r="V1045" s="22" t="str">
        <f>IF(ISBLANK(Table26[[#This Row],[customerSKU]]),"",_xlfn.XLOOKUP(Table26[[#This Row],[customerSKU]],Table27[customer_SKU],Table27[case_size],"",0,1))</f>
        <v/>
      </c>
      <c r="W1045" s="117" t="str">
        <f t="shared" si="48"/>
        <v/>
      </c>
      <c r="X1045" s="22" t="str">
        <f t="shared" si="49"/>
        <v/>
      </c>
      <c r="Y1045" s="22" t="str">
        <f>IF(Table26[[#This Row],[customerSKU]]="","",_xlfn.XLOOKUP(Table26[[#This Row],[customerSKU]],Table27[customer_SKU],Table27[product_GTIN],"",0,1))</f>
        <v/>
      </c>
      <c r="Z1045" s="25" t="s">
        <v>3370</v>
      </c>
      <c r="AA1045" s="18" t="str" cm="1">
        <f t="array" ref="AA1045">IF(P1045="", "", _xlfn.XLOOKUP(P1045,#REF!,#REF!,NA,0,-1))</f>
        <v/>
      </c>
      <c r="AB1045" s="22"/>
      <c r="AC1045" s="55" t="s">
        <v>3496</v>
      </c>
      <c r="AD1045" s="55" t="str">
        <f>IF($AC1045="","",_xlfn.XLOOKUP($AC1045,'[2]Client Info'!$C$2:$C$2535,'[2]Client Info'!$D$2:$D$2535,"",0,1))</f>
        <v>11939 240th Street</v>
      </c>
      <c r="AE1045" s="55" t="str">
        <f>IF($AC1045="","",_xlfn.XLOOKUP($AC1045,'[2]Client Info'!$C$2:$C$2715,'[2]Client Info'!$E$2:$E$2715,"",))</f>
        <v>Maple Ridge</v>
      </c>
      <c r="AF1045" s="55" t="str">
        <f>IF($AC1045="","",_xlfn.XLOOKUP($AC1045,'[2]Client Info'!$C$2:$C$2715,'[2]Client Info'!$F$2:$F$2715,"",0,1))</f>
        <v xml:space="preserve">BC </v>
      </c>
      <c r="AG1045" s="55" t="s">
        <v>3496</v>
      </c>
      <c r="AH1045" s="26" t="str">
        <f>_xlfn.XLOOKUP(Table26[[#This Row],[customerSKU]],customerSKU!G:G,customerSKU!K:K,"NA",0,1)</f>
        <v>NA</v>
      </c>
      <c r="AI1045" s="43" t="str">
        <f>_xlfn.XLOOKUP(Table26[[#This Row],[customerSKU]],customerSKU!G:G,customerSKU!O:O,"not found",0,1)</f>
        <v>not found</v>
      </c>
      <c r="AJ1045" s="22" t="e">
        <f>Table26[[#This Row],[unitprice]]*Table26[[#This Row],[quantity_unit]]</f>
        <v>#VALUE!</v>
      </c>
      <c r="AK1045" s="22" t="e" cm="1">
        <f t="array" ref="AK10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6" spans="1:37" ht="18" customHeight="1">
      <c r="A1046" s="42">
        <v>1204</v>
      </c>
      <c r="B1046" s="27" t="s">
        <v>3520</v>
      </c>
      <c r="C1046" s="90" t="s">
        <v>203</v>
      </c>
      <c r="E1046" s="20"/>
      <c r="F104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6" s="17"/>
      <c r="J1046" s="90" t="str">
        <f>IF(Table26[[#This Row],[customerSKU]]="","",_xlfn.XLOOKUP(Table26[[#This Row],[customerSKU]],customerSKU!G:G,customerSKU!A:A,"",0,1))</f>
        <v/>
      </c>
      <c r="K1046" s="232">
        <v>45699</v>
      </c>
      <c r="L1046" s="31" t="str">
        <f>IF(Table26[[#This Row],[customerSKU]]="","",_xlfn.XLOOKUP(Table26[[#This Row],[customerSKU]],customerSKU!G:G,customerSKU!B:B,"",0,1))</f>
        <v/>
      </c>
      <c r="M1046" s="22"/>
      <c r="N1046" s="15" t="str">
        <f>Table26[[#This Row],[po_number]]&amp;"-"&amp;Table26[[#This Row],[po_line]]</f>
        <v>-2</v>
      </c>
      <c r="O1046" s="15">
        <v>2</v>
      </c>
      <c r="P1046" s="50"/>
      <c r="Q1046" s="22" t="s">
        <v>1625</v>
      </c>
      <c r="R1046" s="22" t="s">
        <v>3302</v>
      </c>
      <c r="S1046" s="22" t="str">
        <f>IF(Table26[[#This Row],[customerSKU]]="","",_xlfn.XLOOKUP(Table26[[#This Row],[customerSKU]],customerSKU!G:G,customerSKU!N:N,"NOT FOUND",0,1))</f>
        <v>NOT FOUND</v>
      </c>
      <c r="T1046" s="20">
        <v>45642</v>
      </c>
      <c r="U1046" s="21">
        <v>12</v>
      </c>
      <c r="V1046" s="22" t="str">
        <f>IF(ISBLANK(Table26[[#This Row],[customerSKU]]),"",_xlfn.XLOOKUP(Table26[[#This Row],[customerSKU]],Table27[customer_SKU],Table27[case_size],"",0,1))</f>
        <v/>
      </c>
      <c r="W1046" s="117" t="str">
        <f t="shared" si="48"/>
        <v/>
      </c>
      <c r="X1046" s="22" t="str">
        <f t="shared" si="49"/>
        <v/>
      </c>
      <c r="Y1046" s="22" t="str">
        <f>IF(Table26[[#This Row],[customerSKU]]="","",_xlfn.XLOOKUP(Table26[[#This Row],[customerSKU]],Table27[customer_SKU],Table27[product_GTIN],"",0,1))</f>
        <v/>
      </c>
      <c r="Z1046" s="25" t="s">
        <v>3373</v>
      </c>
      <c r="AA1046" s="18" t="str" cm="1">
        <f t="array" ref="AA1046">IF(P1046="", "", _xlfn.XLOOKUP(P1046,#REF!,#REF!,NA,0,-1))</f>
        <v/>
      </c>
      <c r="AB1046" s="22"/>
      <c r="AC1046" s="55" t="s">
        <v>3496</v>
      </c>
      <c r="AD1046" s="55" t="str">
        <f>IF($AC1046="","",_xlfn.XLOOKUP($AC1046,'[2]Client Info'!$C$2:$C$2535,'[2]Client Info'!$D$2:$D$2535,"",0,1))</f>
        <v>11939 240th Street</v>
      </c>
      <c r="AE1046" s="55" t="str">
        <f>IF($AC1046="","",_xlfn.XLOOKUP($AC1046,'[2]Client Info'!$C$2:$C$2715,'[2]Client Info'!$E$2:$E$2715,"",))</f>
        <v>Maple Ridge</v>
      </c>
      <c r="AF1046" s="55" t="str">
        <f>IF($AC1046="","",_xlfn.XLOOKUP($AC1046,'[2]Client Info'!$C$2:$C$2715,'[2]Client Info'!$F$2:$F$2715,"",0,1))</f>
        <v xml:space="preserve">BC </v>
      </c>
      <c r="AG1046" s="55" t="s">
        <v>3496</v>
      </c>
      <c r="AH1046" s="26" t="str">
        <f>_xlfn.XLOOKUP(Table26[[#This Row],[customerSKU]],customerSKU!G:G,customerSKU!K:K,"NA",0,1)</f>
        <v>NA</v>
      </c>
      <c r="AI1046" s="43" t="str">
        <f>_xlfn.XLOOKUP(Table26[[#This Row],[customerSKU]],customerSKU!G:G,customerSKU!O:O,"not found",0,1)</f>
        <v>not found</v>
      </c>
      <c r="AJ1046" s="22" t="e">
        <f>Table26[[#This Row],[unitprice]]*Table26[[#This Row],[quantity_unit]]</f>
        <v>#VALUE!</v>
      </c>
      <c r="AK1046" s="22" t="e" cm="1">
        <f t="array" ref="AK10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7" spans="1:37" ht="18" customHeight="1">
      <c r="A1047" s="42">
        <v>1205</v>
      </c>
      <c r="B1047" s="27" t="s">
        <v>3520</v>
      </c>
      <c r="C1047" s="90" t="s">
        <v>203</v>
      </c>
      <c r="E1047" s="20"/>
      <c r="F104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7" s="17"/>
      <c r="J1047" s="90" t="str">
        <f>IF(Table26[[#This Row],[customerSKU]]="","",_xlfn.XLOOKUP(Table26[[#This Row],[customerSKU]],customerSKU!G:G,customerSKU!A:A,"",0,1))</f>
        <v/>
      </c>
      <c r="K1047" s="232">
        <v>45699</v>
      </c>
      <c r="L1047" s="31" t="str">
        <f>IF(Table26[[#This Row],[customerSKU]]="","",_xlfn.XLOOKUP(Table26[[#This Row],[customerSKU]],customerSKU!G:G,customerSKU!B:B,"",0,1))</f>
        <v/>
      </c>
      <c r="M1047" s="22"/>
      <c r="N1047" s="15" t="str">
        <f>Table26[[#This Row],[po_number]]&amp;"-"&amp;Table26[[#This Row],[po_line]]</f>
        <v>-3</v>
      </c>
      <c r="O1047" s="15">
        <v>3</v>
      </c>
      <c r="P1047" s="50"/>
      <c r="Q1047" s="22" t="s">
        <v>589</v>
      </c>
      <c r="R1047" s="22" t="s">
        <v>3302</v>
      </c>
      <c r="S1047" s="22" t="str">
        <f>IF(Table26[[#This Row],[customerSKU]]="","",_xlfn.XLOOKUP(Table26[[#This Row],[customerSKU]],customerSKU!G:G,customerSKU!N:N,"NOT FOUND",0,1))</f>
        <v>NOT FOUND</v>
      </c>
      <c r="T1047" s="20">
        <v>45615</v>
      </c>
      <c r="U1047" s="21">
        <v>12</v>
      </c>
      <c r="V1047" s="22" t="str">
        <f>IF(ISBLANK(Table26[[#This Row],[customerSKU]]),"",_xlfn.XLOOKUP(Table26[[#This Row],[customerSKU]],Table27[customer_SKU],Table27[case_size],"",0,1))</f>
        <v/>
      </c>
      <c r="W1047" s="117" t="str">
        <f t="shared" si="48"/>
        <v/>
      </c>
      <c r="X1047" s="22" t="str">
        <f t="shared" si="49"/>
        <v/>
      </c>
      <c r="Y1047" s="22" t="str">
        <f>IF(Table26[[#This Row],[customerSKU]]="","",_xlfn.XLOOKUP(Table26[[#This Row],[customerSKU]],Table27[customer_SKU],Table27[product_GTIN],"",0,1))</f>
        <v/>
      </c>
      <c r="Z1047" s="25" t="s">
        <v>3432</v>
      </c>
      <c r="AA1047" s="18" t="str" cm="1">
        <f t="array" ref="AA1047">IF(P1047="", "", _xlfn.XLOOKUP(P1047,#REF!,#REF!,NA,0,-1))</f>
        <v/>
      </c>
      <c r="AB1047" s="22"/>
      <c r="AC1047" s="55" t="s">
        <v>3496</v>
      </c>
      <c r="AD1047" s="55" t="str">
        <f>IF($AC1047="","",_xlfn.XLOOKUP($AC1047,'[2]Client Info'!$C$2:$C$2535,'[2]Client Info'!$D$2:$D$2535,"",0,1))</f>
        <v>11939 240th Street</v>
      </c>
      <c r="AE1047" s="55" t="str">
        <f>IF($AC1047="","",_xlfn.XLOOKUP($AC1047,'[2]Client Info'!$C$2:$C$2715,'[2]Client Info'!$E$2:$E$2715,"",))</f>
        <v>Maple Ridge</v>
      </c>
      <c r="AF1047" s="55" t="str">
        <f>IF($AC1047="","",_xlfn.XLOOKUP($AC1047,'[2]Client Info'!$C$2:$C$2715,'[2]Client Info'!$F$2:$F$2715,"",0,1))</f>
        <v xml:space="preserve">BC </v>
      </c>
      <c r="AG1047" s="55" t="s">
        <v>3496</v>
      </c>
      <c r="AH1047" s="26" t="str">
        <f>_xlfn.XLOOKUP(Table26[[#This Row],[customerSKU]],customerSKU!G:G,customerSKU!K:K,"NA",0,1)</f>
        <v>NA</v>
      </c>
      <c r="AI1047" s="43" t="str">
        <f>_xlfn.XLOOKUP(Table26[[#This Row],[customerSKU]],customerSKU!G:G,customerSKU!O:O,"not found",0,1)</f>
        <v>not found</v>
      </c>
      <c r="AJ1047" s="22" t="e">
        <f>Table26[[#This Row],[unitprice]]*Table26[[#This Row],[quantity_unit]]</f>
        <v>#VALUE!</v>
      </c>
      <c r="AK1047" s="22" t="e" cm="1">
        <f t="array" ref="AK10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8" spans="1:37" ht="18" customHeight="1">
      <c r="A1048" s="42">
        <v>1206</v>
      </c>
      <c r="B1048" s="27" t="s">
        <v>3520</v>
      </c>
      <c r="C1048" s="90" t="s">
        <v>203</v>
      </c>
      <c r="E1048" s="20"/>
      <c r="F104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8" s="17"/>
      <c r="J1048" s="90" t="str">
        <f>IF(Table26[[#This Row],[customerSKU]]="","",_xlfn.XLOOKUP(Table26[[#This Row],[customerSKU]],customerSKU!G:G,customerSKU!A:A,"",0,1))</f>
        <v/>
      </c>
      <c r="K1048" s="232">
        <v>45699</v>
      </c>
      <c r="L1048" s="31" t="str">
        <f>IF(Table26[[#This Row],[customerSKU]]="","",_xlfn.XLOOKUP(Table26[[#This Row],[customerSKU]],customerSKU!G:G,customerSKU!B:B,"",0,1))</f>
        <v/>
      </c>
      <c r="M1048" s="22"/>
      <c r="N1048" s="15" t="str">
        <f>Table26[[#This Row],[po_number]]&amp;"-"&amp;Table26[[#This Row],[po_line]]</f>
        <v>-4</v>
      </c>
      <c r="O1048" s="15">
        <v>4</v>
      </c>
      <c r="P1048" s="50"/>
      <c r="Q1048" s="22" t="s">
        <v>535</v>
      </c>
      <c r="R1048" s="22" t="s">
        <v>3302</v>
      </c>
      <c r="S1048" s="22" t="str">
        <f>IF(Table26[[#This Row],[customerSKU]]="","",_xlfn.XLOOKUP(Table26[[#This Row],[customerSKU]],customerSKU!G:G,customerSKU!N:N,"NOT FOUND",0,1))</f>
        <v>NOT FOUND</v>
      </c>
      <c r="T1048" s="20">
        <v>45630</v>
      </c>
      <c r="U1048" s="21">
        <v>12</v>
      </c>
      <c r="V1048" s="22" t="str">
        <f>IF(ISBLANK(Table26[[#This Row],[customerSKU]]),"",_xlfn.XLOOKUP(Table26[[#This Row],[customerSKU]],Table27[customer_SKU],Table27[case_size],"",0,1))</f>
        <v/>
      </c>
      <c r="W1048" s="117" t="str">
        <f t="shared" si="48"/>
        <v/>
      </c>
      <c r="X1048" s="22" t="str">
        <f t="shared" si="49"/>
        <v/>
      </c>
      <c r="Y1048" s="22" t="str">
        <f>IF(Table26[[#This Row],[customerSKU]]="","",_xlfn.XLOOKUP(Table26[[#This Row],[customerSKU]],Table27[customer_SKU],Table27[product_GTIN],"",0,1))</f>
        <v/>
      </c>
      <c r="Z1048" s="25" t="s">
        <v>3433</v>
      </c>
      <c r="AA1048" s="18" t="str" cm="1">
        <f t="array" ref="AA1048">IF(P1048="", "", _xlfn.XLOOKUP(P1048,#REF!,#REF!,NA,0,-1))</f>
        <v/>
      </c>
      <c r="AB1048" s="22"/>
      <c r="AC1048" s="55" t="s">
        <v>3496</v>
      </c>
      <c r="AD1048" s="55" t="str">
        <f>IF($AC1048="","",_xlfn.XLOOKUP($AC1048,'[2]Client Info'!$C$2:$C$2535,'[2]Client Info'!$D$2:$D$2535,"",0,1))</f>
        <v>11939 240th Street</v>
      </c>
      <c r="AE1048" s="55" t="str">
        <f>IF($AC1048="","",_xlfn.XLOOKUP($AC1048,'[2]Client Info'!$C$2:$C$2715,'[2]Client Info'!$E$2:$E$2715,"",))</f>
        <v>Maple Ridge</v>
      </c>
      <c r="AF1048" s="55" t="str">
        <f>IF($AC1048="","",_xlfn.XLOOKUP($AC1048,'[2]Client Info'!$C$2:$C$2715,'[2]Client Info'!$F$2:$F$2715,"",0,1))</f>
        <v xml:space="preserve">BC </v>
      </c>
      <c r="AG1048" s="55" t="s">
        <v>3496</v>
      </c>
      <c r="AH1048" s="26" t="str">
        <f>_xlfn.XLOOKUP(Table26[[#This Row],[customerSKU]],customerSKU!G:G,customerSKU!K:K,"NA",0,1)</f>
        <v>NA</v>
      </c>
      <c r="AI1048" s="43" t="str">
        <f>_xlfn.XLOOKUP(Table26[[#This Row],[customerSKU]],customerSKU!G:G,customerSKU!O:O,"not found",0,1)</f>
        <v>not found</v>
      </c>
      <c r="AJ1048" s="22" t="e">
        <f>Table26[[#This Row],[unitprice]]*Table26[[#This Row],[quantity_unit]]</f>
        <v>#VALUE!</v>
      </c>
      <c r="AK1048" s="22" t="e" cm="1">
        <f t="array" ref="AK10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49" spans="1:37" ht="18" customHeight="1">
      <c r="A1049" s="42">
        <v>1207</v>
      </c>
      <c r="B1049" s="27" t="s">
        <v>3520</v>
      </c>
      <c r="C1049" s="90" t="s">
        <v>203</v>
      </c>
      <c r="E1049" s="20"/>
      <c r="F104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49" s="17"/>
      <c r="J1049" s="90" t="str">
        <f>IF(Table26[[#This Row],[customerSKU]]="","",_xlfn.XLOOKUP(Table26[[#This Row],[customerSKU]],customerSKU!G:G,customerSKU!A:A,"",0,1))</f>
        <v/>
      </c>
      <c r="K1049" s="232">
        <v>45699</v>
      </c>
      <c r="L1049" s="31" t="s">
        <v>3417</v>
      </c>
      <c r="M1049" s="259"/>
      <c r="N1049" s="23" t="str">
        <f>Table26[[#This Row],[po_number]]&amp;"-"&amp;Table26[[#This Row],[po_line]]</f>
        <v>-1</v>
      </c>
      <c r="O1049" s="23">
        <v>1</v>
      </c>
      <c r="P1049" s="50"/>
      <c r="Q1049" s="22" t="s">
        <v>971</v>
      </c>
      <c r="R1049" s="22" t="s">
        <v>3419</v>
      </c>
      <c r="S1049" s="22" t="str">
        <f>IF(Table26[[#This Row],[customerSKU]]="","",_xlfn.XLOOKUP(Table26[[#This Row],[customerSKU]],customerSKU!G:G,customerSKU!N:N,"NOT FOUND",0,1))</f>
        <v>NOT FOUND</v>
      </c>
      <c r="T1049" s="20">
        <v>45467</v>
      </c>
      <c r="U1049" s="21">
        <v>1</v>
      </c>
      <c r="V1049" s="22" t="str">
        <f>IF(ISBLANK(Table26[[#This Row],[customerSKU]]),"",_xlfn.XLOOKUP(Table26[[#This Row],[customerSKU]],Table27[customer_SKU],Table27[case_size],"",0,1))</f>
        <v/>
      </c>
      <c r="W1049" s="117" t="str">
        <f t="shared" si="48"/>
        <v/>
      </c>
      <c r="X1049" s="22" t="str">
        <f t="shared" si="49"/>
        <v/>
      </c>
      <c r="Y1049" s="22" t="str">
        <f>IF(Table26[[#This Row],[customerSKU]]="","",_xlfn.XLOOKUP(Table26[[#This Row],[customerSKU]],Table27[customer_SKU],Table27[product_GTIN],"",0,1))</f>
        <v/>
      </c>
      <c r="Z1049" s="25" t="s">
        <v>4180</v>
      </c>
      <c r="AA1049" s="18" t="str" cm="1">
        <f t="array" ref="AA1049">IF(P1049="", "", _xlfn.XLOOKUP(P1049,#REF!,#REF!,NA,0,-1))</f>
        <v/>
      </c>
      <c r="AB1049" s="22"/>
      <c r="AC1049" s="55" t="s">
        <v>4181</v>
      </c>
      <c r="AD1049" s="55" t="str">
        <f>IF($AC1049="","",_xlfn.XLOOKUP($AC1049,'[2]Client Info'!$C$2:$C$2535,'[2]Client Info'!$D$2:$D$2535,"",0,1))</f>
        <v/>
      </c>
      <c r="AE1049" s="55" t="str">
        <f>IF($AC1049="","",_xlfn.XLOOKUP($AC1049,'[2]Client Info'!$C$2:$C$2715,'[2]Client Info'!$E$2:$E$2715,"",))</f>
        <v/>
      </c>
      <c r="AF1049" s="55" t="str">
        <f>IF($AC1049="","",_xlfn.XLOOKUP($AC1049,'[2]Client Info'!$C$2:$C$2715,'[2]Client Info'!$F$2:$F$2715,"",0,1))</f>
        <v/>
      </c>
      <c r="AG1049" s="55" t="str">
        <f>IF(ISBLANK(Table26[[#This Row],[customerSKU]]),"",_xlfn.XLOOKUP(Table26[[#This Row],[customerSKU]],Table27[customer_SKU],Table27[billto],"",0,1))</f>
        <v/>
      </c>
      <c r="AH1049" s="26" t="str">
        <f>_xlfn.XLOOKUP(Table26[[#This Row],[customerSKU]],customerSKU!G:G,customerSKU!K:K,"NA",0,1)</f>
        <v>NA</v>
      </c>
      <c r="AI1049" s="43" t="str">
        <f>_xlfn.XLOOKUP(Table26[[#This Row],[customerSKU]],customerSKU!G:G,customerSKU!O:O,"not found",0,1)</f>
        <v>not found</v>
      </c>
      <c r="AJ1049" s="22" t="e">
        <f>Table26[[#This Row],[unitprice]]*Table26[[#This Row],[quantity_unit]]</f>
        <v>#VALUE!</v>
      </c>
      <c r="AK1049" s="22" t="e" cm="1">
        <f t="array" ref="AK10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0" spans="1:37" ht="18" customHeight="1">
      <c r="A1050" s="42">
        <v>1208</v>
      </c>
      <c r="B1050" s="27" t="s">
        <v>3520</v>
      </c>
      <c r="C1050" s="90" t="s">
        <v>203</v>
      </c>
      <c r="E1050" s="20"/>
      <c r="F105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0" s="17"/>
      <c r="J1050" s="90" t="str">
        <f>IF(Table26[[#This Row],[customerSKU]]="","",_xlfn.XLOOKUP(Table26[[#This Row],[customerSKU]],customerSKU!G:G,customerSKU!A:A,"",0,1))</f>
        <v/>
      </c>
      <c r="K1050" s="232">
        <v>45699</v>
      </c>
      <c r="L1050" s="31" t="s">
        <v>3417</v>
      </c>
      <c r="M1050" s="259"/>
      <c r="N1050" s="23" t="str">
        <f>Table26[[#This Row],[po_number]]&amp;"-"&amp;Table26[[#This Row],[po_line]]</f>
        <v>-2</v>
      </c>
      <c r="O1050" s="23">
        <v>2</v>
      </c>
      <c r="P1050" s="50"/>
      <c r="Q1050" s="22" t="s">
        <v>659</v>
      </c>
      <c r="R1050" s="22" t="s">
        <v>3419</v>
      </c>
      <c r="S1050" s="22" t="str">
        <f>IF(Table26[[#This Row],[customerSKU]]="","",_xlfn.XLOOKUP(Table26[[#This Row],[customerSKU]],customerSKU!G:G,customerSKU!N:N,"NOT FOUND",0,1))</f>
        <v>NOT FOUND</v>
      </c>
      <c r="T1050" s="20">
        <v>45638</v>
      </c>
      <c r="U1050" s="21">
        <v>1</v>
      </c>
      <c r="V1050" s="22" t="str">
        <f>IF(ISBLANK(Table26[[#This Row],[customerSKU]]),"",_xlfn.XLOOKUP(Table26[[#This Row],[customerSKU]],Table27[customer_SKU],Table27[case_size],"",0,1))</f>
        <v/>
      </c>
      <c r="W1050" s="117" t="str">
        <f t="shared" si="48"/>
        <v/>
      </c>
      <c r="X1050" s="22" t="str">
        <f t="shared" si="49"/>
        <v/>
      </c>
      <c r="Y1050" s="22" t="str">
        <f>IF(Table26[[#This Row],[customerSKU]]="","",_xlfn.XLOOKUP(Table26[[#This Row],[customerSKU]],Table27[customer_SKU],Table27[product_GTIN],"",0,1))</f>
        <v/>
      </c>
      <c r="Z1050" s="25" t="s">
        <v>4180</v>
      </c>
      <c r="AA1050" s="18" t="str" cm="1">
        <f t="array" ref="AA1050">IF(P1050="", "", _xlfn.XLOOKUP(P1050,#REF!,#REF!,NA,0,-1))</f>
        <v/>
      </c>
      <c r="AB1050" s="22"/>
      <c r="AC1050" s="55" t="s">
        <v>4181</v>
      </c>
      <c r="AD1050" s="55" t="str">
        <f>IF($AC1050="","",_xlfn.XLOOKUP($AC1050,'[2]Client Info'!$C$2:$C$2535,'[2]Client Info'!$D$2:$D$2535,"",0,1))</f>
        <v/>
      </c>
      <c r="AE1050" s="55" t="str">
        <f>IF($AC1050="","",_xlfn.XLOOKUP($AC1050,'[2]Client Info'!$C$2:$C$2715,'[2]Client Info'!$E$2:$E$2715,"",))</f>
        <v/>
      </c>
      <c r="AF1050" s="55" t="str">
        <f>IF($AC1050="","",_xlfn.XLOOKUP($AC1050,'[2]Client Info'!$C$2:$C$2715,'[2]Client Info'!$F$2:$F$2715,"",0,1))</f>
        <v/>
      </c>
      <c r="AG1050" s="55" t="str">
        <f>IF(ISBLANK(Table26[[#This Row],[customerSKU]]),"",_xlfn.XLOOKUP(Table26[[#This Row],[customerSKU]],Table27[customer_SKU],Table27[billto],"",0,1))</f>
        <v/>
      </c>
      <c r="AH1050" s="26" t="str">
        <f>_xlfn.XLOOKUP(Table26[[#This Row],[customerSKU]],customerSKU!G:G,customerSKU!K:K,"NA",0,1)</f>
        <v>NA</v>
      </c>
      <c r="AI1050" s="43" t="str">
        <f>_xlfn.XLOOKUP(Table26[[#This Row],[customerSKU]],customerSKU!G:G,customerSKU!O:O,"not found",0,1)</f>
        <v>not found</v>
      </c>
      <c r="AJ1050" s="22" t="e">
        <f>Table26[[#This Row],[unitprice]]*Table26[[#This Row],[quantity_unit]]</f>
        <v>#VALUE!</v>
      </c>
      <c r="AK1050" s="22" t="e" cm="1">
        <f t="array" ref="AK10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1" spans="1:37" ht="18" customHeight="1">
      <c r="A1051" s="42">
        <v>1209</v>
      </c>
      <c r="B1051" s="27" t="s">
        <v>3520</v>
      </c>
      <c r="C1051" s="90" t="s">
        <v>203</v>
      </c>
      <c r="E1051" s="20"/>
      <c r="F105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1" s="17"/>
      <c r="J1051" s="90" t="str">
        <f>IF(Table26[[#This Row],[customerSKU]]="","",_xlfn.XLOOKUP(Table26[[#This Row],[customerSKU]],customerSKU!G:G,customerSKU!A:A,"",0,1))</f>
        <v/>
      </c>
      <c r="K1051" s="232">
        <v>45699</v>
      </c>
      <c r="L1051" s="31" t="s">
        <v>3417</v>
      </c>
      <c r="M1051" s="259"/>
      <c r="N1051" s="23" t="str">
        <f>Table26[[#This Row],[po_number]]&amp;"-"&amp;Table26[[#This Row],[po_line]]</f>
        <v>-3</v>
      </c>
      <c r="O1051" s="23">
        <v>3</v>
      </c>
      <c r="P1051" s="50"/>
      <c r="Q1051" s="22" t="s">
        <v>3902</v>
      </c>
      <c r="R1051" s="22" t="s">
        <v>3419</v>
      </c>
      <c r="S1051" s="22" t="str">
        <f>IF(Table26[[#This Row],[customerSKU]]="","",_xlfn.XLOOKUP(Table26[[#This Row],[customerSKU]],customerSKU!G:G,customerSKU!N:N,"NOT FOUND",0,1))</f>
        <v>NOT FOUND</v>
      </c>
      <c r="T1051" s="20">
        <v>45629</v>
      </c>
      <c r="U1051" s="21">
        <v>1</v>
      </c>
      <c r="V1051" s="22" t="str">
        <f>IF(ISBLANK(Table26[[#This Row],[customerSKU]]),"",_xlfn.XLOOKUP(Table26[[#This Row],[customerSKU]],Table27[customer_SKU],Table27[case_size],"",0,1))</f>
        <v/>
      </c>
      <c r="W1051" s="117" t="str">
        <f t="shared" si="48"/>
        <v/>
      </c>
      <c r="X1051" s="22" t="str">
        <f t="shared" si="49"/>
        <v/>
      </c>
      <c r="Y1051" s="22" t="str">
        <f>IF(Table26[[#This Row],[customerSKU]]="","",_xlfn.XLOOKUP(Table26[[#This Row],[customerSKU]],Table27[customer_SKU],Table27[product_GTIN],"",0,1))</f>
        <v/>
      </c>
      <c r="Z1051" s="25" t="s">
        <v>4180</v>
      </c>
      <c r="AA1051" s="18" t="str" cm="1">
        <f t="array" ref="AA1051">IF(P1051="", "", _xlfn.XLOOKUP(P1051,#REF!,#REF!,NA,0,-1))</f>
        <v/>
      </c>
      <c r="AB1051" s="22"/>
      <c r="AC1051" s="55" t="s">
        <v>4181</v>
      </c>
      <c r="AD1051" s="55" t="str">
        <f>IF($AC1051="","",_xlfn.XLOOKUP($AC1051,'[2]Client Info'!$C$2:$C$2535,'[2]Client Info'!$D$2:$D$2535,"",0,1))</f>
        <v/>
      </c>
      <c r="AE1051" s="55" t="str">
        <f>IF($AC1051="","",_xlfn.XLOOKUP($AC1051,'[2]Client Info'!$C$2:$C$2715,'[2]Client Info'!$E$2:$E$2715,"",))</f>
        <v/>
      </c>
      <c r="AF1051" s="55" t="str">
        <f>IF($AC1051="","",_xlfn.XLOOKUP($AC1051,'[2]Client Info'!$C$2:$C$2715,'[2]Client Info'!$F$2:$F$2715,"",0,1))</f>
        <v/>
      </c>
      <c r="AG1051" s="55" t="str">
        <f>IF(ISBLANK(Table26[[#This Row],[customerSKU]]),"",_xlfn.XLOOKUP(Table26[[#This Row],[customerSKU]],Table27[customer_SKU],Table27[billto],"",0,1))</f>
        <v/>
      </c>
      <c r="AH1051" s="26" t="str">
        <f>_xlfn.XLOOKUP(Table26[[#This Row],[customerSKU]],customerSKU!G:G,customerSKU!K:K,"NA",0,1)</f>
        <v>NA</v>
      </c>
      <c r="AI1051" s="43" t="str">
        <f>_xlfn.XLOOKUP(Table26[[#This Row],[customerSKU]],customerSKU!G:G,customerSKU!O:O,"not found",0,1)</f>
        <v>not found</v>
      </c>
      <c r="AJ1051" s="22" t="e">
        <f>Table26[[#This Row],[unitprice]]*Table26[[#This Row],[quantity_unit]]</f>
        <v>#VALUE!</v>
      </c>
      <c r="AK1051" s="22" t="e" cm="1">
        <f t="array" ref="AK10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2" spans="1:37" ht="18" customHeight="1">
      <c r="A1052" s="42">
        <v>1192</v>
      </c>
      <c r="B1052" s="27" t="s">
        <v>3520</v>
      </c>
      <c r="C1052" s="90" t="s">
        <v>203</v>
      </c>
      <c r="E1052" s="20"/>
      <c r="F105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2" s="17"/>
      <c r="J1052" s="90" t="str">
        <f>IF(Table26[[#This Row],[customerSKU]]="","",_xlfn.XLOOKUP(Table26[[#This Row],[customerSKU]],customerSKU!G:G,customerSKU!A:A,"",0,1))</f>
        <v/>
      </c>
      <c r="K1052" s="232">
        <v>45700</v>
      </c>
      <c r="L1052" s="31" t="str">
        <f>IF(Table26[[#This Row],[customerSKU]]="","",_xlfn.XLOOKUP(Table26[[#This Row],[customerSKU]],customerSKU!G:G,customerSKU!B:B,"",0,1))</f>
        <v/>
      </c>
      <c r="M1052" s="22"/>
      <c r="N1052" s="15" t="str">
        <f>Table26[[#This Row],[po_number]]&amp;"-"&amp;Table26[[#This Row],[po_line]]</f>
        <v>-1</v>
      </c>
      <c r="O1052" s="15">
        <v>1</v>
      </c>
      <c r="P1052" s="50"/>
      <c r="Q1052" s="22" t="s">
        <v>869</v>
      </c>
      <c r="R1052" s="22" t="s">
        <v>569</v>
      </c>
      <c r="S1052" s="22" t="s">
        <v>114</v>
      </c>
      <c r="T1052" s="20">
        <v>45447</v>
      </c>
      <c r="U1052" s="21">
        <v>48</v>
      </c>
      <c r="V1052" s="22" t="str">
        <f>IF(ISBLANK(Table26[[#This Row],[customerSKU]]),"",_xlfn.XLOOKUP(Table26[[#This Row],[customerSKU]],Table27[customer_SKU],Table27[case_size],"",0,1))</f>
        <v/>
      </c>
      <c r="W1052" s="117" t="str">
        <f t="shared" si="48"/>
        <v/>
      </c>
      <c r="X1052" s="22" t="str">
        <f t="shared" si="49"/>
        <v/>
      </c>
      <c r="Y1052" s="22" t="str">
        <f>IF(Table26[[#This Row],[customerSKU]]="","",_xlfn.XLOOKUP(Table26[[#This Row],[customerSKU]],Table27[customer_SKU],Table27[product_GTIN],"",0,1))</f>
        <v/>
      </c>
      <c r="Z1052" s="25" t="s">
        <v>3376</v>
      </c>
      <c r="AA1052" s="18" t="str" cm="1">
        <f t="array" ref="AA1052">IF(P1052="", "", _xlfn.XLOOKUP(P1052,#REF!,#REF!,NA,0,-1))</f>
        <v/>
      </c>
      <c r="AB1052" s="22"/>
      <c r="AC1052" s="55" t="s">
        <v>4136</v>
      </c>
      <c r="AD1052" s="55" t="str">
        <f>IF($AC1052="","",_xlfn.XLOOKUP($AC1052,'[2]Client Info'!$C$2:$C$2535,'[2]Client Info'!$D$2:$D$2535,"",0,1))</f>
        <v>540 Ewen Avenue</v>
      </c>
      <c r="AE1052" s="55" t="str">
        <f>IF($AC1052="","",_xlfn.XLOOKUP($AC1052,'[2]Client Info'!$C$2:$C$2715,'[2]Client Info'!$E$2:$E$2715,"",))</f>
        <v>New Westminster</v>
      </c>
      <c r="AF1052" s="55" t="str">
        <f>IF($AC1052="","",_xlfn.XLOOKUP($AC1052,'[2]Client Info'!$C$2:$C$2715,'[2]Client Info'!$F$2:$F$2715,"",0,1))</f>
        <v xml:space="preserve">BC </v>
      </c>
      <c r="AG1052" s="55" t="s">
        <v>4136</v>
      </c>
      <c r="AH1052" s="26" t="str">
        <f>_xlfn.XLOOKUP(Table26[[#This Row],[customerSKU]],customerSKU!G:G,customerSKU!K:K,"NA",0,1)</f>
        <v>NA</v>
      </c>
      <c r="AI1052" s="43" t="str">
        <f>_xlfn.XLOOKUP(Table26[[#This Row],[customerSKU]],customerSKU!G:G,customerSKU!O:O,"not found",0,1)</f>
        <v>not found</v>
      </c>
      <c r="AJ1052" s="22" t="e">
        <f>Table26[[#This Row],[unitprice]]*Table26[[#This Row],[quantity_unit]]</f>
        <v>#VALUE!</v>
      </c>
      <c r="AK1052" s="22" t="e" cm="1">
        <f t="array" ref="AK10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3" spans="1:37" ht="18" customHeight="1">
      <c r="A1053" s="42">
        <v>1193</v>
      </c>
      <c r="B1053" s="27" t="s">
        <v>3520</v>
      </c>
      <c r="C1053" s="90" t="s">
        <v>203</v>
      </c>
      <c r="E1053" s="20"/>
      <c r="F105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3" s="17"/>
      <c r="J1053" s="90" t="str">
        <f>IF(Table26[[#This Row],[customerSKU]]="","",_xlfn.XLOOKUP(Table26[[#This Row],[customerSKU]],customerSKU!G:G,customerSKU!A:A,"",0,1))</f>
        <v/>
      </c>
      <c r="K1053" s="232">
        <v>45700</v>
      </c>
      <c r="L1053" s="31" t="str">
        <f>IF(Table26[[#This Row],[customerSKU]]="","",_xlfn.XLOOKUP(Table26[[#This Row],[customerSKU]],customerSKU!G:G,customerSKU!B:B,"",0,1))</f>
        <v/>
      </c>
      <c r="M1053" s="22"/>
      <c r="N1053" s="15" t="str">
        <f>Table26[[#This Row],[po_number]]&amp;"-"&amp;Table26[[#This Row],[po_line]]</f>
        <v>-2</v>
      </c>
      <c r="O1053" s="15">
        <v>2</v>
      </c>
      <c r="P1053" s="50"/>
      <c r="Q1053" s="22" t="s">
        <v>4086</v>
      </c>
      <c r="R1053" s="22" t="s">
        <v>569</v>
      </c>
      <c r="S1053" s="22" t="s">
        <v>114</v>
      </c>
      <c r="T1053" s="20">
        <v>45631</v>
      </c>
      <c r="U1053" s="21">
        <v>24</v>
      </c>
      <c r="V1053" s="22" t="str">
        <f>IF(ISBLANK(Table26[[#This Row],[customerSKU]]),"",_xlfn.XLOOKUP(Table26[[#This Row],[customerSKU]],Table27[customer_SKU],Table27[case_size],"",0,1))</f>
        <v/>
      </c>
      <c r="W1053" s="117" t="str">
        <f t="shared" si="48"/>
        <v/>
      </c>
      <c r="X1053" s="22" t="str">
        <f t="shared" si="49"/>
        <v/>
      </c>
      <c r="Y1053" s="22" t="str">
        <f>IF(Table26[[#This Row],[customerSKU]]="","",_xlfn.XLOOKUP(Table26[[#This Row],[customerSKU]],Table27[customer_SKU],Table27[product_GTIN],"",0,1))</f>
        <v/>
      </c>
      <c r="Z1053" s="25" t="s">
        <v>3372</v>
      </c>
      <c r="AA1053" s="18" t="str" cm="1">
        <f t="array" ref="AA1053">IF(P1053="", "", _xlfn.XLOOKUP(P1053,#REF!,#REF!,NA,0,-1))</f>
        <v/>
      </c>
      <c r="AB1053" s="22"/>
      <c r="AC1053" s="55" t="s">
        <v>4136</v>
      </c>
      <c r="AD1053" s="55" t="str">
        <f>IF($AC1053="","",_xlfn.XLOOKUP($AC1053,'[2]Client Info'!$C$2:$C$2535,'[2]Client Info'!$D$2:$D$2535,"",0,1))</f>
        <v>540 Ewen Avenue</v>
      </c>
      <c r="AE1053" s="55" t="str">
        <f>IF($AC1053="","",_xlfn.XLOOKUP($AC1053,'[2]Client Info'!$C$2:$C$2715,'[2]Client Info'!$E$2:$E$2715,"",))</f>
        <v>New Westminster</v>
      </c>
      <c r="AF1053" s="55" t="str">
        <f>IF($AC1053="","",_xlfn.XLOOKUP($AC1053,'[2]Client Info'!$C$2:$C$2715,'[2]Client Info'!$F$2:$F$2715,"",0,1))</f>
        <v xml:space="preserve">BC </v>
      </c>
      <c r="AG1053" s="55" t="s">
        <v>4136</v>
      </c>
      <c r="AH1053" s="26" t="str">
        <f>_xlfn.XLOOKUP(Table26[[#This Row],[customerSKU]],customerSKU!G:G,customerSKU!K:K,"NA",0,1)</f>
        <v>NA</v>
      </c>
      <c r="AI1053" s="43" t="str">
        <f>_xlfn.XLOOKUP(Table26[[#This Row],[customerSKU]],customerSKU!G:G,customerSKU!O:O,"not found",0,1)</f>
        <v>not found</v>
      </c>
      <c r="AJ1053" s="22" t="e">
        <f>Table26[[#This Row],[unitprice]]*Table26[[#This Row],[quantity_unit]]</f>
        <v>#VALUE!</v>
      </c>
      <c r="AK1053" s="22" t="e" cm="1">
        <f t="array" ref="AK10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4" spans="1:37" ht="18" customHeight="1">
      <c r="A1054" s="42">
        <v>1194</v>
      </c>
      <c r="B1054" s="27" t="s">
        <v>3520</v>
      </c>
      <c r="C1054" s="90" t="s">
        <v>203</v>
      </c>
      <c r="E1054" s="20"/>
      <c r="F105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4" s="17"/>
      <c r="J1054" s="90" t="str">
        <f>IF(Table26[[#This Row],[customerSKU]]="","",_xlfn.XLOOKUP(Table26[[#This Row],[customerSKU]],customerSKU!G:G,customerSKU!A:A,"",0,1))</f>
        <v/>
      </c>
      <c r="K1054" s="232">
        <v>45700</v>
      </c>
      <c r="L1054" s="31" t="str">
        <f>IF(Table26[[#This Row],[customerSKU]]="","",_xlfn.XLOOKUP(Table26[[#This Row],[customerSKU]],customerSKU!G:G,customerSKU!B:B,"",0,1))</f>
        <v/>
      </c>
      <c r="M1054" s="22"/>
      <c r="N1054" s="15" t="str">
        <f>Table26[[#This Row],[po_number]]&amp;"-"&amp;Table26[[#This Row],[po_line]]</f>
        <v>-1</v>
      </c>
      <c r="O1054" s="15">
        <v>1</v>
      </c>
      <c r="P1054" s="50"/>
      <c r="Q1054" s="22" t="s">
        <v>3405</v>
      </c>
      <c r="R1054" s="22" t="s">
        <v>569</v>
      </c>
      <c r="S1054" s="22" t="s">
        <v>114</v>
      </c>
      <c r="T1054" s="20">
        <v>45623</v>
      </c>
      <c r="U1054" s="21">
        <v>12</v>
      </c>
      <c r="V1054" s="22" t="str">
        <f>IF(ISBLANK(Table26[[#This Row],[customerSKU]]),"",_xlfn.XLOOKUP(Table26[[#This Row],[customerSKU]],Table27[customer_SKU],Table27[case_size],"",0,1))</f>
        <v/>
      </c>
      <c r="W1054" s="117" t="str">
        <f t="shared" si="48"/>
        <v/>
      </c>
      <c r="X1054" s="22" t="str">
        <f t="shared" si="49"/>
        <v/>
      </c>
      <c r="Y1054" s="22" t="str">
        <f>IF(Table26[[#This Row],[customerSKU]]="","",_xlfn.XLOOKUP(Table26[[#This Row],[customerSKU]],Table27[customer_SKU],Table27[product_GTIN],"",0,1))</f>
        <v/>
      </c>
      <c r="Z1054" s="25" t="s">
        <v>3406</v>
      </c>
      <c r="AA1054" s="18" t="str" cm="1">
        <f t="array" ref="AA1054">IF(P1054="", "", _xlfn.XLOOKUP(P1054,#REF!,#REF!,NA,0,-1))</f>
        <v/>
      </c>
      <c r="AB1054" s="22"/>
      <c r="AC1054" s="55" t="s">
        <v>116</v>
      </c>
      <c r="AD1054" s="55" t="str">
        <f>IF($AC1054="","",_xlfn.XLOOKUP($AC1054,'[2]Client Info'!$C$2:$C$2535,'[2]Client Info'!$D$2:$D$2535,"",0,1))</f>
        <v>258 W Broadway</v>
      </c>
      <c r="AE1054" s="55" t="str">
        <f>IF($AC1054="","",_xlfn.XLOOKUP($AC1054,'[2]Client Info'!$C$2:$C$2715,'[2]Client Info'!$E$2:$E$2715,"",))</f>
        <v>Vancouver</v>
      </c>
      <c r="AF1054" s="55" t="str">
        <f>IF($AC1054="","",_xlfn.XLOOKUP($AC1054,'[2]Client Info'!$C$2:$C$2715,'[2]Client Info'!$F$2:$F$2715,"",0,1))</f>
        <v xml:space="preserve">BC </v>
      </c>
      <c r="AG1054" s="55" t="s">
        <v>116</v>
      </c>
      <c r="AH1054" s="26" t="str">
        <f>_xlfn.XLOOKUP(Table26[[#This Row],[customerSKU]],customerSKU!G:G,customerSKU!K:K,"NA",0,1)</f>
        <v>NA</v>
      </c>
      <c r="AI1054" s="43" t="str">
        <f>_xlfn.XLOOKUP(Table26[[#This Row],[customerSKU]],customerSKU!G:G,customerSKU!O:O,"not found",0,1)</f>
        <v>not found</v>
      </c>
      <c r="AJ1054" s="22" t="e">
        <f>Table26[[#This Row],[unitprice]]*Table26[[#This Row],[quantity_unit]]</f>
        <v>#VALUE!</v>
      </c>
      <c r="AK1054" s="22" t="e" cm="1">
        <f t="array" ref="AK10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5" spans="1:37" ht="18" customHeight="1">
      <c r="A1055" s="42">
        <v>1195</v>
      </c>
      <c r="B1055" s="27" t="s">
        <v>3520</v>
      </c>
      <c r="C1055" s="90" t="s">
        <v>203</v>
      </c>
      <c r="E1055" s="20"/>
      <c r="F105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5" s="17"/>
      <c r="J1055" s="90" t="str">
        <f>IF(Table26[[#This Row],[customerSKU]]="","",_xlfn.XLOOKUP(Table26[[#This Row],[customerSKU]],customerSKU!G:G,customerSKU!A:A,"",0,1))</f>
        <v/>
      </c>
      <c r="K1055" s="232">
        <v>45700</v>
      </c>
      <c r="L1055" s="31" t="str">
        <f>IF(Table26[[#This Row],[customerSKU]]="","",_xlfn.XLOOKUP(Table26[[#This Row],[customerSKU]],customerSKU!G:G,customerSKU!B:B,"",0,1))</f>
        <v/>
      </c>
      <c r="M1055" s="22"/>
      <c r="N1055" s="15" t="str">
        <f>Table26[[#This Row],[po_number]]&amp;"-"&amp;Table26[[#This Row],[po_line]]</f>
        <v>-2</v>
      </c>
      <c r="O1055" s="15">
        <v>2</v>
      </c>
      <c r="P1055" s="50"/>
      <c r="Q1055" s="22" t="s">
        <v>656</v>
      </c>
      <c r="R1055" s="22" t="s">
        <v>569</v>
      </c>
      <c r="S1055" s="22" t="s">
        <v>114</v>
      </c>
      <c r="T1055" s="20">
        <v>45642</v>
      </c>
      <c r="U1055" s="21">
        <v>12</v>
      </c>
      <c r="V1055" s="22" t="str">
        <f>IF(ISBLANK(Table26[[#This Row],[customerSKU]]),"",_xlfn.XLOOKUP(Table26[[#This Row],[customerSKU]],Table27[customer_SKU],Table27[case_size],"",0,1))</f>
        <v/>
      </c>
      <c r="W1055" s="117" t="str">
        <f t="shared" si="48"/>
        <v/>
      </c>
      <c r="X1055" s="22" t="str">
        <f t="shared" si="49"/>
        <v/>
      </c>
      <c r="Y1055" s="22" t="str">
        <f>IF(Table26[[#This Row],[customerSKU]]="","",_xlfn.XLOOKUP(Table26[[#This Row],[customerSKU]],Table27[customer_SKU],Table27[product_GTIN],"",0,1))</f>
        <v/>
      </c>
      <c r="Z1055" s="25" t="s">
        <v>3367</v>
      </c>
      <c r="AA1055" s="18" t="str" cm="1">
        <f t="array" ref="AA1055">IF(P1055="", "", _xlfn.XLOOKUP(P1055,#REF!,#REF!,NA,0,-1))</f>
        <v/>
      </c>
      <c r="AB1055" s="22"/>
      <c r="AC1055" s="55" t="s">
        <v>116</v>
      </c>
      <c r="AD1055" s="55" t="str">
        <f>IF($AC1055="","",_xlfn.XLOOKUP($AC1055,'[2]Client Info'!$C$2:$C$2535,'[2]Client Info'!$D$2:$D$2535,"",0,1))</f>
        <v>258 W Broadway</v>
      </c>
      <c r="AE1055" s="55" t="str">
        <f>IF($AC1055="","",_xlfn.XLOOKUP($AC1055,'[2]Client Info'!$C$2:$C$2715,'[2]Client Info'!$E$2:$E$2715,"",))</f>
        <v>Vancouver</v>
      </c>
      <c r="AF1055" s="55" t="str">
        <f>IF($AC1055="","",_xlfn.XLOOKUP($AC1055,'[2]Client Info'!$C$2:$C$2715,'[2]Client Info'!$F$2:$F$2715,"",0,1))</f>
        <v xml:space="preserve">BC </v>
      </c>
      <c r="AG1055" s="55" t="s">
        <v>116</v>
      </c>
      <c r="AH1055" s="26" t="str">
        <f>_xlfn.XLOOKUP(Table26[[#This Row],[customerSKU]],customerSKU!G:G,customerSKU!K:K,"NA",0,1)</f>
        <v>NA</v>
      </c>
      <c r="AI1055" s="43" t="str">
        <f>_xlfn.XLOOKUP(Table26[[#This Row],[customerSKU]],customerSKU!G:G,customerSKU!O:O,"not found",0,1)</f>
        <v>not found</v>
      </c>
      <c r="AJ1055" s="22" t="e">
        <f>Table26[[#This Row],[unitprice]]*Table26[[#This Row],[quantity_unit]]</f>
        <v>#VALUE!</v>
      </c>
      <c r="AK1055" s="22" t="e" cm="1">
        <f t="array" ref="AK10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6" spans="1:37" ht="18" customHeight="1">
      <c r="A1056" s="42">
        <v>1196</v>
      </c>
      <c r="B1056" s="27" t="s">
        <v>3520</v>
      </c>
      <c r="C1056" s="90" t="s">
        <v>203</v>
      </c>
      <c r="E1056" s="20"/>
      <c r="F105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6" s="17"/>
      <c r="J1056" s="90" t="str">
        <f>IF(Table26[[#This Row],[customerSKU]]="","",_xlfn.XLOOKUP(Table26[[#This Row],[customerSKU]],customerSKU!G:G,customerSKU!A:A,"",0,1))</f>
        <v/>
      </c>
      <c r="K1056" s="232">
        <v>45700</v>
      </c>
      <c r="L1056" s="31" t="str">
        <f>IF(Table26[[#This Row],[customerSKU]]="","",_xlfn.XLOOKUP(Table26[[#This Row],[customerSKU]],customerSKU!G:G,customerSKU!B:B,"",0,1))</f>
        <v/>
      </c>
      <c r="M1056" s="22"/>
      <c r="N1056" s="15" t="str">
        <f>Table26[[#This Row],[po_number]]&amp;"-"&amp;Table26[[#This Row],[po_line]]</f>
        <v>-3</v>
      </c>
      <c r="O1056" s="15">
        <v>3</v>
      </c>
      <c r="P1056" s="50"/>
      <c r="Q1056" s="22" t="s">
        <v>3378</v>
      </c>
      <c r="R1056" s="22" t="s">
        <v>569</v>
      </c>
      <c r="S1056" s="22" t="s">
        <v>114</v>
      </c>
      <c r="T1056" s="20">
        <v>45666</v>
      </c>
      <c r="U1056" s="21">
        <v>12</v>
      </c>
      <c r="V1056" s="22" t="str">
        <f>IF(ISBLANK(Table26[[#This Row],[customerSKU]]),"",_xlfn.XLOOKUP(Table26[[#This Row],[customerSKU]],Table27[customer_SKU],Table27[case_size],"",0,1))</f>
        <v/>
      </c>
      <c r="W1056" s="117" t="str">
        <f t="shared" si="48"/>
        <v/>
      </c>
      <c r="X1056" s="22" t="str">
        <f t="shared" si="49"/>
        <v/>
      </c>
      <c r="Y1056" s="22" t="str">
        <f>IF(Table26[[#This Row],[customerSKU]]="","",_xlfn.XLOOKUP(Table26[[#This Row],[customerSKU]],Table27[customer_SKU],Table27[product_GTIN],"",0,1))</f>
        <v/>
      </c>
      <c r="Z1056" s="25" t="s">
        <v>3379</v>
      </c>
      <c r="AA1056" s="18" t="str" cm="1">
        <f t="array" ref="AA1056">IF(P1056="", "", _xlfn.XLOOKUP(P1056,#REF!,#REF!,NA,0,-1))</f>
        <v/>
      </c>
      <c r="AB1056" s="22"/>
      <c r="AC1056" s="55" t="s">
        <v>116</v>
      </c>
      <c r="AD1056" s="55" t="str">
        <f>IF($AC1056="","",_xlfn.XLOOKUP($AC1056,'[2]Client Info'!$C$2:$C$2535,'[2]Client Info'!$D$2:$D$2535,"",0,1))</f>
        <v>258 W Broadway</v>
      </c>
      <c r="AE1056" s="55" t="str">
        <f>IF($AC1056="","",_xlfn.XLOOKUP($AC1056,'[2]Client Info'!$C$2:$C$2715,'[2]Client Info'!$E$2:$E$2715,"",))</f>
        <v>Vancouver</v>
      </c>
      <c r="AF1056" s="55" t="str">
        <f>IF($AC1056="","",_xlfn.XLOOKUP($AC1056,'[2]Client Info'!$C$2:$C$2715,'[2]Client Info'!$F$2:$F$2715,"",0,1))</f>
        <v xml:space="preserve">BC </v>
      </c>
      <c r="AG1056" s="55" t="s">
        <v>116</v>
      </c>
      <c r="AH1056" s="26" t="str">
        <f>_xlfn.XLOOKUP(Table26[[#This Row],[customerSKU]],customerSKU!G:G,customerSKU!K:K,"NA",0,1)</f>
        <v>NA</v>
      </c>
      <c r="AI1056" s="43" t="str">
        <f>_xlfn.XLOOKUP(Table26[[#This Row],[customerSKU]],customerSKU!G:G,customerSKU!O:O,"not found",0,1)</f>
        <v>not found</v>
      </c>
      <c r="AJ1056" s="22" t="e">
        <f>Table26[[#This Row],[unitprice]]*Table26[[#This Row],[quantity_unit]]</f>
        <v>#VALUE!</v>
      </c>
      <c r="AK1056" s="22" t="e" cm="1">
        <f t="array" ref="AK10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7" spans="1:37" ht="18" customHeight="1">
      <c r="A1057" s="42">
        <v>1197</v>
      </c>
      <c r="B1057" s="27" t="s">
        <v>3520</v>
      </c>
      <c r="C1057" s="90" t="s">
        <v>203</v>
      </c>
      <c r="E1057" s="20"/>
      <c r="F105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57" s="17"/>
      <c r="J1057" s="90" t="str">
        <f>IF(Table26[[#This Row],[customerSKU]]="","",_xlfn.XLOOKUP(Table26[[#This Row],[customerSKU]],customerSKU!G:G,customerSKU!A:A,"",0,1))</f>
        <v/>
      </c>
      <c r="K1057" s="232">
        <v>45700</v>
      </c>
      <c r="L1057" s="31" t="str">
        <f>IF(Table26[[#This Row],[customerSKU]]="","",_xlfn.XLOOKUP(Table26[[#This Row],[customerSKU]],customerSKU!G:G,customerSKU!B:B,"",0,1))</f>
        <v/>
      </c>
      <c r="M1057" s="22"/>
      <c r="N1057" s="15" t="str">
        <f>Table26[[#This Row],[po_number]]&amp;"-"&amp;Table26[[#This Row],[po_line]]</f>
        <v>-1</v>
      </c>
      <c r="O1057" s="15">
        <v>1</v>
      </c>
      <c r="P1057" s="50"/>
      <c r="Q1057" s="22" t="s">
        <v>4086</v>
      </c>
      <c r="R1057" s="22" t="s">
        <v>569</v>
      </c>
      <c r="S1057" s="22" t="s">
        <v>114</v>
      </c>
      <c r="T1057" s="20">
        <v>45631</v>
      </c>
      <c r="U1057" s="21">
        <v>24</v>
      </c>
      <c r="V1057" s="22" t="str">
        <f>IF(ISBLANK(Table26[[#This Row],[customerSKU]]),"",_xlfn.XLOOKUP(Table26[[#This Row],[customerSKU]],Table27[customer_SKU],Table27[case_size],"",0,1))</f>
        <v/>
      </c>
      <c r="W1057" s="117" t="str">
        <f t="shared" si="48"/>
        <v/>
      </c>
      <c r="X1057" s="22" t="str">
        <f t="shared" si="49"/>
        <v/>
      </c>
      <c r="Y1057" s="22" t="str">
        <f>IF(Table26[[#This Row],[customerSKU]]="","",_xlfn.XLOOKUP(Table26[[#This Row],[customerSKU]],Table27[customer_SKU],Table27[product_GTIN],"",0,1))</f>
        <v/>
      </c>
      <c r="Z1057" s="25" t="s">
        <v>3372</v>
      </c>
      <c r="AA1057" s="18" t="str" cm="1">
        <f t="array" ref="AA1057">IF(P1057="", "", _xlfn.XLOOKUP(P1057,#REF!,#REF!,NA,0,-1))</f>
        <v/>
      </c>
      <c r="AB1057" s="22"/>
      <c r="AC1057" s="55" t="s">
        <v>4141</v>
      </c>
      <c r="AD1057" s="55" t="str">
        <f>IF($AC1057="","",_xlfn.XLOOKUP($AC1057,'[2]Client Info'!$C$2:$C$2535,'[2]Client Info'!$D$2:$D$2535,"",0,1))</f>
        <v>491B Island Hwy E</v>
      </c>
      <c r="AE1057" s="55" t="str">
        <f>IF($AC1057="","",_xlfn.XLOOKUP($AC1057,'[2]Client Info'!$C$2:$C$2715,'[2]Client Info'!$E$2:$E$2715,"",))</f>
        <v>Parksville</v>
      </c>
      <c r="AF1057" s="55" t="str">
        <f>IF($AC1057="","",_xlfn.XLOOKUP($AC1057,'[2]Client Info'!$C$2:$C$2715,'[2]Client Info'!$F$2:$F$2715,"",0,1))</f>
        <v xml:space="preserve">BC </v>
      </c>
      <c r="AG1057" s="55" t="s">
        <v>4141</v>
      </c>
      <c r="AH1057" s="26" t="str">
        <f>_xlfn.XLOOKUP(Table26[[#This Row],[customerSKU]],customerSKU!G:G,customerSKU!K:K,"NA",0,1)</f>
        <v>NA</v>
      </c>
      <c r="AI1057" s="43" t="str">
        <f>_xlfn.XLOOKUP(Table26[[#This Row],[customerSKU]],customerSKU!G:G,customerSKU!O:O,"not found",0,1)</f>
        <v>not found</v>
      </c>
      <c r="AJ1057" s="22" t="e">
        <f>Table26[[#This Row],[unitprice]]*Table26[[#This Row],[quantity_unit]]</f>
        <v>#VALUE!</v>
      </c>
      <c r="AK1057" s="22" t="e" cm="1">
        <f t="array" ref="AK10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8" spans="1:37" ht="18" customHeight="1">
      <c r="A1058" s="42">
        <v>1198</v>
      </c>
      <c r="B1058" s="249" t="s">
        <v>3520</v>
      </c>
      <c r="C1058" s="90" t="s">
        <v>203</v>
      </c>
      <c r="D1058" s="235"/>
      <c r="E1058" s="235"/>
      <c r="F1058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58" s="119"/>
      <c r="H1058" s="90"/>
      <c r="I1058" s="90"/>
      <c r="J1058" s="90" t="str">
        <f>IF(Table26[[#This Row],[customerSKU]]="","",_xlfn.XLOOKUP(Table26[[#This Row],[customerSKU]],customerSKU!G:G,customerSKU!A:A,"",0,1))</f>
        <v/>
      </c>
      <c r="K1058" s="232">
        <v>45700</v>
      </c>
      <c r="L1058" s="233" t="str">
        <f>IF(Table26[[#This Row],[customerSKU]]="","",_xlfn.XLOOKUP(Table26[[#This Row],[customerSKU]],customerSKU!G:G,customerSKU!B:B,"",0,1))</f>
        <v/>
      </c>
      <c r="M1058" s="90"/>
      <c r="N1058" s="55" t="str">
        <f>Table26[[#This Row],[po_number]]&amp;"-"&amp;Table26[[#This Row],[po_line]]</f>
        <v>-1</v>
      </c>
      <c r="O1058" s="55">
        <v>1</v>
      </c>
      <c r="P1058" s="50"/>
      <c r="Q1058" s="90" t="s">
        <v>3290</v>
      </c>
      <c r="R1058" s="90" t="s">
        <v>569</v>
      </c>
      <c r="S1058" s="90" t="str">
        <f>IF(Table26[[#This Row],[customerSKU]]="","",_xlfn.XLOOKUP(Table26[[#This Row],[customerSKU]],customerSKU!G:G,customerSKU!N:N,"NOT FOUND",0,1))</f>
        <v>NOT FOUND</v>
      </c>
      <c r="T1058" s="20">
        <v>45685</v>
      </c>
      <c r="U1058" s="236">
        <f>12*27</f>
        <v>324</v>
      </c>
      <c r="V1058" s="90" t="str">
        <f>IF(ISBLANK(Table26[[#This Row],[customerSKU]]),"",_xlfn.XLOOKUP(Table26[[#This Row],[customerSKU]],Table27[customer_SKU],Table27[case_size],"",0,1))</f>
        <v/>
      </c>
      <c r="W1058" s="237" t="str">
        <f t="shared" si="48"/>
        <v/>
      </c>
      <c r="X1058" s="90" t="str">
        <f t="shared" si="49"/>
        <v/>
      </c>
      <c r="Y1058" s="90" t="str">
        <f>IF(Table26[[#This Row],[customerSKU]]="","",_xlfn.XLOOKUP(Table26[[#This Row],[customerSKU]],Table27[customer_SKU],Table27[product_GTIN],"",0,1))</f>
        <v/>
      </c>
      <c r="Z1058" s="25" t="s">
        <v>3639</v>
      </c>
      <c r="AA1058" s="18" t="str" cm="1">
        <f t="array" ref="AA1058">IF(P1058="", "", _xlfn.XLOOKUP(P1058,#REF!,#REF!,NA,0,-1))</f>
        <v/>
      </c>
      <c r="AB1058" s="90"/>
      <c r="AC1058" s="55" t="s">
        <v>4084</v>
      </c>
      <c r="AD1058" s="55" t="str">
        <f>IF($AC1058="","",_xlfn.XLOOKUP($AC1058,'[2]Client Info'!$C$2:$C$2535,'[2]Client Info'!$D$2:$D$2535,"",0,1))</f>
        <v>1502 BROADWAY ST #3120</v>
      </c>
      <c r="AE1058" s="55" t="str">
        <f>IF($AC1058="","",_xlfn.XLOOKUP($AC1058,'[2]Client Info'!$C$2:$C$2715,'[2]Client Info'!$E$2:$E$2715,"",))</f>
        <v>PORT COQUITLAM</v>
      </c>
      <c r="AF1058" s="55" t="str">
        <f>IF($AC1058="","",_xlfn.XLOOKUP($AC1058,'[2]Client Info'!$C$2:$C$2715,'[2]Client Info'!$F$2:$F$2715,"",0,1))</f>
        <v xml:space="preserve">BC </v>
      </c>
      <c r="AG1058" s="55" t="s">
        <v>4084</v>
      </c>
      <c r="AH1058" s="245" t="str">
        <f>_xlfn.XLOOKUP(Table26[[#This Row],[customerSKU]],customerSKU!G:G,customerSKU!K:K,"NA",0,1)</f>
        <v>NA</v>
      </c>
      <c r="AI1058" s="43" t="str">
        <f>_xlfn.XLOOKUP(Table26[[#This Row],[customerSKU]],customerSKU!G:G,customerSKU!O:O,"not found",0,1)</f>
        <v>not found</v>
      </c>
      <c r="AJ1058" s="22" t="e">
        <f>Table26[[#This Row],[unitprice]]*Table26[[#This Row],[quantity_unit]]</f>
        <v>#VALUE!</v>
      </c>
      <c r="AK1058" s="22" t="e" cm="1">
        <f t="array" ref="AK10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59" spans="1:37" ht="18" customHeight="1">
      <c r="A1059" s="42">
        <v>1199</v>
      </c>
      <c r="B1059" s="249" t="s">
        <v>3520</v>
      </c>
      <c r="C1059" s="90" t="s">
        <v>203</v>
      </c>
      <c r="D1059" s="235"/>
      <c r="E1059" s="235"/>
      <c r="F1059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059" s="119"/>
      <c r="H1059" s="90"/>
      <c r="I1059" s="90"/>
      <c r="J1059" s="90" t="str">
        <f>IF(Table26[[#This Row],[customerSKU]]="","",_xlfn.XLOOKUP(Table26[[#This Row],[customerSKU]],customerSKU!G:G,customerSKU!A:A,"",0,1))</f>
        <v/>
      </c>
      <c r="K1059" s="232">
        <v>45700</v>
      </c>
      <c r="L1059" s="233" t="str">
        <f>IF(Table26[[#This Row],[customerSKU]]="","",_xlfn.XLOOKUP(Table26[[#This Row],[customerSKU]],customerSKU!G:G,customerSKU!B:B,"",0,1))</f>
        <v/>
      </c>
      <c r="M1059" s="53"/>
      <c r="N1059" s="77" t="str">
        <f>Table26[[#This Row],[po_number]]&amp;"-"&amp;Table26[[#This Row],[po_line]]</f>
        <v>-2</v>
      </c>
      <c r="O1059" s="77">
        <v>2</v>
      </c>
      <c r="P1059" s="50"/>
      <c r="Q1059" s="90" t="s">
        <v>2935</v>
      </c>
      <c r="R1059" s="90" t="s">
        <v>569</v>
      </c>
      <c r="S1059" s="90" t="str">
        <f>IF(Table26[[#This Row],[customerSKU]]="","",_xlfn.XLOOKUP(Table26[[#This Row],[customerSKU]],customerSKU!G:G,customerSKU!N:N,"NOT FOUND",0,1))</f>
        <v>NOT FOUND</v>
      </c>
      <c r="T1059" s="20">
        <v>45685</v>
      </c>
      <c r="U1059" s="236">
        <f>12*28</f>
        <v>336</v>
      </c>
      <c r="V1059" s="90" t="str">
        <f>IF(ISBLANK(Table26[[#This Row],[customerSKU]]),"",_xlfn.XLOOKUP(Table26[[#This Row],[customerSKU]],Table27[customer_SKU],Table27[case_size],"",0,1))</f>
        <v/>
      </c>
      <c r="W1059" s="237" t="str">
        <f t="shared" si="48"/>
        <v/>
      </c>
      <c r="X1059" s="90" t="str">
        <f t="shared" si="49"/>
        <v/>
      </c>
      <c r="Y1059" s="90" t="str">
        <f>IF(Table26[[#This Row],[customerSKU]]="","",_xlfn.XLOOKUP(Table26[[#This Row],[customerSKU]],Table27[customer_SKU],Table27[product_GTIN],"",0,1))</f>
        <v/>
      </c>
      <c r="Z1059" s="25" t="s">
        <v>3642</v>
      </c>
      <c r="AA1059" s="18" t="str" cm="1">
        <f t="array" ref="AA1059">IF(P1059="", "", _xlfn.XLOOKUP(P1059,#REF!,#REF!,NA,0,-1))</f>
        <v/>
      </c>
      <c r="AB1059" s="90"/>
      <c r="AC1059" s="55" t="s">
        <v>4084</v>
      </c>
      <c r="AD1059" s="55" t="str">
        <f>IF($AC1059="","",_xlfn.XLOOKUP($AC1059,'[2]Client Info'!$C$2:$C$2535,'[2]Client Info'!$D$2:$D$2535,"",0,1))</f>
        <v>1502 BROADWAY ST #3120</v>
      </c>
      <c r="AE1059" s="55" t="str">
        <f>IF($AC1059="","",_xlfn.XLOOKUP($AC1059,'[2]Client Info'!$C$2:$C$2715,'[2]Client Info'!$E$2:$E$2715,"",))</f>
        <v>PORT COQUITLAM</v>
      </c>
      <c r="AF1059" s="55" t="str">
        <f>IF($AC1059="","",_xlfn.XLOOKUP($AC1059,'[2]Client Info'!$C$2:$C$2715,'[2]Client Info'!$F$2:$F$2715,"",0,1))</f>
        <v xml:space="preserve">BC </v>
      </c>
      <c r="AG1059" s="55" t="s">
        <v>4084</v>
      </c>
      <c r="AH1059" s="245" t="str">
        <f>_xlfn.XLOOKUP(Table26[[#This Row],[customerSKU]],customerSKU!G:G,customerSKU!K:K,"NA",0,1)</f>
        <v>NA</v>
      </c>
      <c r="AI1059" s="43" t="str">
        <f>_xlfn.XLOOKUP(Table26[[#This Row],[customerSKU]],customerSKU!G:G,customerSKU!O:O,"not found",0,1)</f>
        <v>not found</v>
      </c>
      <c r="AJ1059" s="22" t="e">
        <f>Table26[[#This Row],[unitprice]]*Table26[[#This Row],[quantity_unit]]</f>
        <v>#VALUE!</v>
      </c>
      <c r="AK1059" s="22" t="e" cm="1">
        <f t="array" ref="AK10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0" spans="1:37" ht="18" customHeight="1">
      <c r="A1060" s="42">
        <v>1171</v>
      </c>
      <c r="B1060" s="27" t="s">
        <v>3520</v>
      </c>
      <c r="C1060" s="22" t="s">
        <v>3360</v>
      </c>
      <c r="E1060" s="20"/>
      <c r="F106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0" s="17"/>
      <c r="J1060" s="90" t="str">
        <f>IF(Table26[[#This Row],[customerSKU]]="","",_xlfn.XLOOKUP(Table26[[#This Row],[customerSKU]],customerSKU!G:G,customerSKU!A:A,"",0,1))</f>
        <v/>
      </c>
      <c r="K1060" s="232">
        <v>45701</v>
      </c>
      <c r="L1060" s="31" t="str">
        <f>IF(Table26[[#This Row],[customerSKU]]="","",_xlfn.XLOOKUP(Table26[[#This Row],[customerSKU]],customerSKU!G:G,customerSKU!B:B,"",0,1))</f>
        <v/>
      </c>
      <c r="M1060" s="22"/>
      <c r="N1060" s="15" t="str">
        <f>Table26[[#This Row],[po_number]]&amp;"-"&amp;Table26[[#This Row],[po_line]]</f>
        <v>-1</v>
      </c>
      <c r="O1060" s="15">
        <v>1</v>
      </c>
      <c r="P1060" s="29"/>
      <c r="S1060" s="22" t="str">
        <f>IF(Table26[[#This Row],[customerSKU]]="","",_xlfn.XLOOKUP(Table26[[#This Row],[customerSKU]],customerSKU!G:G,customerSKU!N:N,"NOT FOUND",0,1))</f>
        <v>NOT FOUND</v>
      </c>
      <c r="T1060" s="20"/>
      <c r="U1060" s="21">
        <v>12</v>
      </c>
      <c r="V1060" s="22" t="str">
        <f>IF(ISBLANK(Table26[[#This Row],[customerSKU]]),"",_xlfn.XLOOKUP(Table26[[#This Row],[customerSKU]],Table27[customer_SKU],Table27[case_size],"",0,1))</f>
        <v/>
      </c>
      <c r="W1060" s="117" t="str">
        <f t="shared" si="48"/>
        <v/>
      </c>
      <c r="X1060" s="22" t="str">
        <f t="shared" si="49"/>
        <v/>
      </c>
      <c r="Y1060" s="22" t="str">
        <f>IF(Table26[[#This Row],[customerSKU]]="","",_xlfn.XLOOKUP(Table26[[#This Row],[customerSKU]],Table27[customer_SKU],Table27[product_GTIN],"",0,1))</f>
        <v/>
      </c>
      <c r="Z1060" s="25" t="s">
        <v>3455</v>
      </c>
      <c r="AA1060" s="18" t="str" cm="1">
        <f t="array" ref="AA1060">IF(P1060="", "", _xlfn.XLOOKUP(P1060,#REF!,#REF!,NA,0,-1))</f>
        <v/>
      </c>
      <c r="AB1060" s="22"/>
      <c r="AC1060" s="55" t="str">
        <f>IF(Table26[[#This Row],[customerSKU]]="","",_xlfn.XLOOKUP(Table26[[#This Row],[customerSKU]],customerSKU!G:G,customerSKU!C:C,"",0,1))</f>
        <v/>
      </c>
      <c r="AD1060" s="55" t="str">
        <f>IF($AC1060="","",_xlfn.XLOOKUP($AC1060,'[2]Client Info'!$C$2:$C$2535,'[2]Client Info'!$D$2:$D$2535,"",0,1))</f>
        <v/>
      </c>
      <c r="AE1060" s="55" t="str">
        <f>IF($AC1060="","",_xlfn.XLOOKUP($AC1060,'[2]Client Info'!$C$2:$C$2715,'[2]Client Info'!$E$2:$E$2715,"",))</f>
        <v/>
      </c>
      <c r="AF1060" s="55" t="str">
        <f>IF($AC1060="","",_xlfn.XLOOKUP($AC1060,'[2]Client Info'!$C$2:$C$2715,'[2]Client Info'!$F$2:$F$2715,"",0,1))</f>
        <v/>
      </c>
      <c r="AG1060" s="55" t="str">
        <f>IF(ISBLANK(Table26[[#This Row],[customerSKU]]),"",_xlfn.XLOOKUP(Table26[[#This Row],[customerSKU]],Table27[customer_SKU],Table27[billto],"",0,1))</f>
        <v/>
      </c>
      <c r="AH1060" s="26" t="str">
        <f>_xlfn.XLOOKUP(Table26[[#This Row],[customerSKU]],customerSKU!G:G,customerSKU!K:K,"NA",0,1)</f>
        <v>NA</v>
      </c>
      <c r="AI1060" s="43" t="str">
        <f>_xlfn.XLOOKUP(Table26[[#This Row],[customerSKU]],customerSKU!G:G,customerSKU!O:O,"not found",0,1)</f>
        <v>not found</v>
      </c>
      <c r="AJ1060" s="22" t="e">
        <f>Table26[[#This Row],[unitprice]]*Table26[[#This Row],[quantity_unit]]</f>
        <v>#VALUE!</v>
      </c>
      <c r="AK1060" s="22" t="e" cm="1">
        <f t="array" ref="AK10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1" spans="1:37" ht="18" customHeight="1">
      <c r="A1061" s="42">
        <v>1172</v>
      </c>
      <c r="B1061" s="27" t="s">
        <v>3520</v>
      </c>
      <c r="C1061" s="90" t="s">
        <v>203</v>
      </c>
      <c r="E1061" s="20"/>
      <c r="F106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1" s="17"/>
      <c r="J1061" s="90" t="str">
        <f>IF(Table26[[#This Row],[customerSKU]]="","",_xlfn.XLOOKUP(Table26[[#This Row],[customerSKU]],customerSKU!G:G,customerSKU!A:A,"",0,1))</f>
        <v/>
      </c>
      <c r="K1061" s="232">
        <v>45701</v>
      </c>
      <c r="L1061" s="31" t="str">
        <f>IF(Table26[[#This Row],[customerSKU]]="","",_xlfn.XLOOKUP(Table26[[#This Row],[customerSKU]],customerSKU!G:G,customerSKU!B:B,"",0,1))</f>
        <v/>
      </c>
      <c r="M1061" s="22"/>
      <c r="N1061" s="15" t="str">
        <f>Table26[[#This Row],[po_number]]&amp;"-"&amp;Table26[[#This Row],[po_line]]</f>
        <v>-1</v>
      </c>
      <c r="O1061" s="15">
        <v>1</v>
      </c>
      <c r="P1061" s="29"/>
      <c r="Q1061" s="22" t="s">
        <v>1172</v>
      </c>
      <c r="R1061" s="22" t="s">
        <v>569</v>
      </c>
      <c r="S1061" s="22" t="s">
        <v>132</v>
      </c>
      <c r="T1061" s="20">
        <v>45588</v>
      </c>
      <c r="U1061" s="21">
        <v>12</v>
      </c>
      <c r="V1061" s="22" t="str">
        <f>IF(ISBLANK(Table26[[#This Row],[customerSKU]]),"",_xlfn.XLOOKUP(Table26[[#This Row],[customerSKU]],Table27[customer_SKU],Table27[case_size],"",0,1))</f>
        <v/>
      </c>
      <c r="W1061" s="117" t="str">
        <f t="shared" ref="W1061:W1084" si="50">IFERROR(U1061/V1061, "")</f>
        <v/>
      </c>
      <c r="X1061" s="22" t="str">
        <f t="shared" si="49"/>
        <v/>
      </c>
      <c r="Y1061" s="22" t="str">
        <f>IF(Table26[[#This Row],[customerSKU]]="","",_xlfn.XLOOKUP(Table26[[#This Row],[customerSKU]],Table27[customer_SKU],Table27[product_GTIN],"",0,1))</f>
        <v/>
      </c>
      <c r="Z1061" s="25" t="s">
        <v>3455</v>
      </c>
      <c r="AA1061" s="18" t="str" cm="1">
        <f t="array" ref="AA1061">IF(P1061="", "", _xlfn.XLOOKUP(P1061,#REF!,#REF!,NA,0,-1))</f>
        <v/>
      </c>
      <c r="AB1061" s="22"/>
      <c r="AC1061" s="55" t="s">
        <v>150</v>
      </c>
      <c r="AD1061" s="55" t="str">
        <f>IF($AC1061="","",_xlfn.XLOOKUP($AC1061,'[2]Client Info'!$C$2:$C$2535,'[2]Client Info'!$D$2:$D$2535,"",0,1))</f>
        <v>48-1570 18TH ST</v>
      </c>
      <c r="AE1061" s="55" t="str">
        <f>IF($AC1061="","",_xlfn.XLOOKUP($AC1061,'[2]Client Info'!$C$2:$C$2715,'[2]Client Info'!$E$2:$E$2715,"",))</f>
        <v xml:space="preserve">BRANDON </v>
      </c>
      <c r="AF1061" s="55" t="str">
        <f>IF($AC1061="","",_xlfn.XLOOKUP($AC1061,'[2]Client Info'!$C$2:$C$2715,'[2]Client Info'!$F$2:$F$2715,"",0,1))</f>
        <v>MB</v>
      </c>
      <c r="AG1061" s="55" t="str">
        <f>IF(ISBLANK(Table26[[#This Row],[customerSKU]]),"",_xlfn.XLOOKUP(Table26[[#This Row],[customerSKU]],Table27[customer_SKU],Table27[billto],"",0,1))</f>
        <v/>
      </c>
      <c r="AH1061" s="26" t="str">
        <f>_xlfn.XLOOKUP(Table26[[#This Row],[customerSKU]],customerSKU!G:G,customerSKU!K:K,"NA",0,1)</f>
        <v>NA</v>
      </c>
      <c r="AI1061" s="43" t="str">
        <f>_xlfn.XLOOKUP(Table26[[#This Row],[customerSKU]],customerSKU!G:G,customerSKU!O:O,"not found",0,1)</f>
        <v>not found</v>
      </c>
      <c r="AJ1061" s="22" t="e">
        <f>Table26[[#This Row],[unitprice]]*Table26[[#This Row],[quantity_unit]]</f>
        <v>#VALUE!</v>
      </c>
      <c r="AK1061" s="22" t="e" cm="1">
        <f t="array" ref="AK10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2" spans="1:37" ht="18" customHeight="1">
      <c r="A1062" s="42">
        <v>1173</v>
      </c>
      <c r="B1062" s="27" t="s">
        <v>3520</v>
      </c>
      <c r="C1062" s="90" t="s">
        <v>203</v>
      </c>
      <c r="E1062" s="20"/>
      <c r="F106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2" s="17"/>
      <c r="J1062" s="90" t="str">
        <f>IF(Table26[[#This Row],[customerSKU]]="","",_xlfn.XLOOKUP(Table26[[#This Row],[customerSKU]],customerSKU!G:G,customerSKU!A:A,"",0,1))</f>
        <v/>
      </c>
      <c r="K1062" s="232">
        <v>45701</v>
      </c>
      <c r="L1062" s="31" t="str">
        <f>IF(Table26[[#This Row],[customerSKU]]="","",_xlfn.XLOOKUP(Table26[[#This Row],[customerSKU]],customerSKU!G:G,customerSKU!B:B,"",0,1))</f>
        <v/>
      </c>
      <c r="M1062" s="22"/>
      <c r="N1062" s="15" t="str">
        <f>Table26[[#This Row],[po_number]]&amp;"-"&amp;Table26[[#This Row],[po_line]]</f>
        <v>-1</v>
      </c>
      <c r="O1062" s="15">
        <v>1</v>
      </c>
      <c r="P1062" s="29"/>
      <c r="Q1062" s="22" t="s">
        <v>1172</v>
      </c>
      <c r="R1062" s="22" t="s">
        <v>569</v>
      </c>
      <c r="S1062" s="22" t="s">
        <v>132</v>
      </c>
      <c r="T1062" s="20">
        <v>45588</v>
      </c>
      <c r="U1062" s="21">
        <v>12</v>
      </c>
      <c r="V1062" s="22" t="str">
        <f>IF(ISBLANK(Table26[[#This Row],[customerSKU]]),"",_xlfn.XLOOKUP(Table26[[#This Row],[customerSKU]],Table27[customer_SKU],Table27[case_size],"",0,1))</f>
        <v/>
      </c>
      <c r="W1062" s="117" t="str">
        <f t="shared" si="50"/>
        <v/>
      </c>
      <c r="X1062" s="22" t="str">
        <f t="shared" si="49"/>
        <v/>
      </c>
      <c r="Y1062" s="22" t="str">
        <f>IF(Table26[[#This Row],[customerSKU]]="","",_xlfn.XLOOKUP(Table26[[#This Row],[customerSKU]],Table27[customer_SKU],Table27[product_GTIN],"",0,1))</f>
        <v/>
      </c>
      <c r="Z1062" s="25" t="s">
        <v>3455</v>
      </c>
      <c r="AA1062" s="18" t="str" cm="1">
        <f t="array" ref="AA1062">IF(P1062="", "", _xlfn.XLOOKUP(P1062,#REF!,#REF!,NA,0,-1))</f>
        <v/>
      </c>
      <c r="AB1062" s="22"/>
      <c r="AC1062" s="55" t="s">
        <v>151</v>
      </c>
      <c r="AD1062" s="55" t="str">
        <f>IF($AC1062="","",_xlfn.XLOOKUP($AC1062,'[2]Client Info'!$C$2:$C$2535,'[2]Client Info'!$D$2:$D$2535,"",0,1))</f>
        <v>300 MYSTERY LAKE ROAD</v>
      </c>
      <c r="AE1062" s="55" t="str">
        <f>IF($AC1062="","",_xlfn.XLOOKUP($AC1062,'[2]Client Info'!$C$2:$C$2715,'[2]Client Info'!$E$2:$E$2715,"",))</f>
        <v>THOMPSON</v>
      </c>
      <c r="AF1062" s="55" t="str">
        <f>IF($AC1062="","",_xlfn.XLOOKUP($AC1062,'[2]Client Info'!$C$2:$C$2715,'[2]Client Info'!$F$2:$F$2715,"",0,1))</f>
        <v>MB</v>
      </c>
      <c r="AG1062" s="55" t="str">
        <f>IF(ISBLANK(Table26[[#This Row],[customerSKU]]),"",_xlfn.XLOOKUP(Table26[[#This Row],[customerSKU]],Table27[customer_SKU],Table27[billto],"",0,1))</f>
        <v/>
      </c>
      <c r="AH1062" s="26" t="str">
        <f>_xlfn.XLOOKUP(Table26[[#This Row],[customerSKU]],customerSKU!G:G,customerSKU!K:K,"NA",0,1)</f>
        <v>NA</v>
      </c>
      <c r="AI1062" s="43" t="str">
        <f>_xlfn.XLOOKUP(Table26[[#This Row],[customerSKU]],customerSKU!G:G,customerSKU!O:O,"not found",0,1)</f>
        <v>not found</v>
      </c>
      <c r="AJ1062" s="22" t="e">
        <f>Table26[[#This Row],[unitprice]]*Table26[[#This Row],[quantity_unit]]</f>
        <v>#VALUE!</v>
      </c>
      <c r="AK1062" s="22" t="e" cm="1">
        <f t="array" ref="AK10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3" spans="1:37" ht="24.6" customHeight="1">
      <c r="A1063" s="42">
        <v>1174</v>
      </c>
      <c r="B1063" s="27" t="s">
        <v>3520</v>
      </c>
      <c r="C1063" s="90" t="s">
        <v>203</v>
      </c>
      <c r="E1063" s="20"/>
      <c r="F106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3" s="17"/>
      <c r="J1063" s="90" t="str">
        <f>IF(Table26[[#This Row],[customerSKU]]="","",_xlfn.XLOOKUP(Table26[[#This Row],[customerSKU]],customerSKU!G:G,customerSKU!A:A,"",0,1))</f>
        <v/>
      </c>
      <c r="K1063" s="232">
        <v>45701</v>
      </c>
      <c r="L1063" s="31" t="str">
        <f>IF(Table26[[#This Row],[customerSKU]]="","",_xlfn.XLOOKUP(Table26[[#This Row],[customerSKU]],customerSKU!G:G,customerSKU!B:B,"",0,1))</f>
        <v/>
      </c>
      <c r="M1063" s="22"/>
      <c r="N1063" s="15" t="str">
        <f>Table26[[#This Row],[po_number]]&amp;"-"&amp;Table26[[#This Row],[po_line]]</f>
        <v>-1</v>
      </c>
      <c r="O1063" s="15">
        <v>1</v>
      </c>
      <c r="P1063" s="29"/>
      <c r="Q1063" s="22" t="s">
        <v>1172</v>
      </c>
      <c r="R1063" s="22" t="s">
        <v>569</v>
      </c>
      <c r="S1063" s="22" t="s">
        <v>132</v>
      </c>
      <c r="T1063" s="20">
        <v>45588</v>
      </c>
      <c r="U1063" s="21">
        <v>12</v>
      </c>
      <c r="V1063" s="22" t="str">
        <f>IF(ISBLANK(Table26[[#This Row],[customerSKU]]),"",_xlfn.XLOOKUP(Table26[[#This Row],[customerSKU]],Table27[customer_SKU],Table27[case_size],"",0,1))</f>
        <v/>
      </c>
      <c r="W1063" s="117" t="str">
        <f t="shared" si="50"/>
        <v/>
      </c>
      <c r="X1063" s="22" t="str">
        <f t="shared" si="49"/>
        <v/>
      </c>
      <c r="Y1063" s="22" t="str">
        <f>IF(Table26[[#This Row],[customerSKU]]="","",_xlfn.XLOOKUP(Table26[[#This Row],[customerSKU]],Table27[customer_SKU],Table27[product_GTIN],"",0,1))</f>
        <v/>
      </c>
      <c r="Z1063" s="25" t="s">
        <v>3455</v>
      </c>
      <c r="AA1063" s="18" t="str" cm="1">
        <f t="array" ref="AA1063">IF(P1063="", "", _xlfn.XLOOKUP(P1063,#REF!,#REF!,NA,0,-1))</f>
        <v/>
      </c>
      <c r="AB1063" s="22"/>
      <c r="AC1063" s="55" t="s">
        <v>152</v>
      </c>
      <c r="AD1063" s="55" t="str">
        <f>IF($AC1063="","",_xlfn.XLOOKUP($AC1063,'[2]Client Info'!$C$2:$C$2535,'[2]Client Info'!$D$2:$D$2535,"",0,1))</f>
        <v>2-1589 KENASTON BLVD</v>
      </c>
      <c r="AE1063" s="55" t="str">
        <f>IF($AC1063="","",_xlfn.XLOOKUP($AC1063,'[2]Client Info'!$C$2:$C$2715,'[2]Client Info'!$E$2:$E$2715,"",))</f>
        <v>WINNIPEG</v>
      </c>
      <c r="AF1063" s="55" t="str">
        <f>IF($AC1063="","",_xlfn.XLOOKUP($AC1063,'[2]Client Info'!$C$2:$C$2715,'[2]Client Info'!$F$2:$F$2715,"",0,1))</f>
        <v>MB</v>
      </c>
      <c r="AG1063" s="55" t="str">
        <f>IF(ISBLANK(Table26[[#This Row],[customerSKU]]),"",_xlfn.XLOOKUP(Table26[[#This Row],[customerSKU]],Table27[customer_SKU],Table27[billto],"",0,1))</f>
        <v/>
      </c>
      <c r="AH1063" s="26" t="str">
        <f>_xlfn.XLOOKUP(Table26[[#This Row],[customerSKU]],customerSKU!G:G,customerSKU!K:K,"NA",0,1)</f>
        <v>NA</v>
      </c>
      <c r="AI1063" s="43" t="str">
        <f>_xlfn.XLOOKUP(Table26[[#This Row],[customerSKU]],customerSKU!G:G,customerSKU!O:O,"not found",0,1)</f>
        <v>not found</v>
      </c>
      <c r="AJ1063" s="22" t="e">
        <f>Table26[[#This Row],[unitprice]]*Table26[[#This Row],[quantity_unit]]</f>
        <v>#VALUE!</v>
      </c>
      <c r="AK1063" s="22" t="e" cm="1">
        <f t="array" ref="AK10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4" spans="1:37" ht="24.6" customHeight="1">
      <c r="A1064" s="42">
        <v>1175</v>
      </c>
      <c r="B1064" s="27" t="s">
        <v>3520</v>
      </c>
      <c r="C1064" s="90" t="s">
        <v>203</v>
      </c>
      <c r="E1064" s="20"/>
      <c r="F106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4" s="17"/>
      <c r="J1064" s="90" t="str">
        <f>IF(Table26[[#This Row],[customerSKU]]="","",_xlfn.XLOOKUP(Table26[[#This Row],[customerSKU]],customerSKU!G:G,customerSKU!A:A,"",0,1))</f>
        <v/>
      </c>
      <c r="K1064" s="232">
        <v>45701</v>
      </c>
      <c r="L1064" s="31" t="str">
        <f>IF(Table26[[#This Row],[customerSKU]]="","",_xlfn.XLOOKUP(Table26[[#This Row],[customerSKU]],customerSKU!G:G,customerSKU!B:B,"",0,1))</f>
        <v/>
      </c>
      <c r="M1064" s="22"/>
      <c r="N1064" s="15" t="str">
        <f>Table26[[#This Row],[po_number]]&amp;"-"&amp;Table26[[#This Row],[po_line]]</f>
        <v>-1</v>
      </c>
      <c r="O1064" s="15">
        <v>1</v>
      </c>
      <c r="P1064" s="29"/>
      <c r="Q1064" s="22" t="s">
        <v>1172</v>
      </c>
      <c r="R1064" s="22" t="s">
        <v>569</v>
      </c>
      <c r="S1064" s="22" t="s">
        <v>132</v>
      </c>
      <c r="T1064" s="20">
        <v>45588</v>
      </c>
      <c r="U1064" s="21">
        <v>12</v>
      </c>
      <c r="V1064" s="22" t="str">
        <f>IF(ISBLANK(Table26[[#This Row],[customerSKU]]),"",_xlfn.XLOOKUP(Table26[[#This Row],[customerSKU]],Table27[customer_SKU],Table27[case_size],"",0,1))</f>
        <v/>
      </c>
      <c r="W1064" s="117" t="str">
        <f t="shared" si="50"/>
        <v/>
      </c>
      <c r="X1064" s="22" t="str">
        <f t="shared" si="49"/>
        <v/>
      </c>
      <c r="Y1064" s="22" t="str">
        <f>IF(Table26[[#This Row],[customerSKU]]="","",_xlfn.XLOOKUP(Table26[[#This Row],[customerSKU]],Table27[customer_SKU],Table27[product_GTIN],"",0,1))</f>
        <v/>
      </c>
      <c r="Z1064" s="25" t="s">
        <v>3455</v>
      </c>
      <c r="AA1064" s="18" t="str" cm="1">
        <f t="array" ref="AA1064">IF(P1064="", "", _xlfn.XLOOKUP(P1064,#REF!,#REF!,NA,0,-1))</f>
        <v/>
      </c>
      <c r="AB1064" s="22"/>
      <c r="AC1064" s="55" t="s">
        <v>153</v>
      </c>
      <c r="AD1064" s="55" t="str">
        <f>IF($AC1064="","",_xlfn.XLOOKUP($AC1064,'[2]Client Info'!$C$2:$C$2535,'[2]Client Info'!$D$2:$D$2535,"",0,1))</f>
        <v>UNIT 655-1615 REGENT AVE WEST</v>
      </c>
      <c r="AE1064" s="55" t="str">
        <f>IF($AC1064="","",_xlfn.XLOOKUP($AC1064,'[2]Client Info'!$C$2:$C$2715,'[2]Client Info'!$E$2:$E$2715,"",))</f>
        <v>WINNIPEG</v>
      </c>
      <c r="AF1064" s="55" t="str">
        <f>IF($AC1064="","",_xlfn.XLOOKUP($AC1064,'[2]Client Info'!$C$2:$C$2715,'[2]Client Info'!$F$2:$F$2715,"",0,1))</f>
        <v>MB</v>
      </c>
      <c r="AG1064" s="55" t="str">
        <f>IF(ISBLANK(Table26[[#This Row],[customerSKU]]),"",_xlfn.XLOOKUP(Table26[[#This Row],[customerSKU]],Table27[customer_SKU],Table27[billto],"",0,1))</f>
        <v/>
      </c>
      <c r="AH1064" s="26" t="str">
        <f>_xlfn.XLOOKUP(Table26[[#This Row],[customerSKU]],customerSKU!G:G,customerSKU!K:K,"NA",0,1)</f>
        <v>NA</v>
      </c>
      <c r="AI1064" s="43" t="str">
        <f>_xlfn.XLOOKUP(Table26[[#This Row],[customerSKU]],customerSKU!G:G,customerSKU!O:O,"not found",0,1)</f>
        <v>not found</v>
      </c>
      <c r="AJ1064" s="22" t="e">
        <f>Table26[[#This Row],[unitprice]]*Table26[[#This Row],[quantity_unit]]</f>
        <v>#VALUE!</v>
      </c>
      <c r="AK1064" s="22" t="e" cm="1">
        <f t="array" ref="AK10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5" spans="1:37" ht="18" customHeight="1">
      <c r="A1065" s="42">
        <v>1176</v>
      </c>
      <c r="B1065" s="27" t="s">
        <v>3520</v>
      </c>
      <c r="C1065" s="90" t="s">
        <v>203</v>
      </c>
      <c r="E1065" s="20"/>
      <c r="F106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5" s="17"/>
      <c r="J1065" s="90" t="str">
        <f>IF(Table26[[#This Row],[customerSKU]]="","",_xlfn.XLOOKUP(Table26[[#This Row],[customerSKU]],customerSKU!G:G,customerSKU!A:A,"",0,1))</f>
        <v/>
      </c>
      <c r="K1065" s="232">
        <v>45701</v>
      </c>
      <c r="L1065" s="31" t="str">
        <f>IF(Table26[[#This Row],[customerSKU]]="","",_xlfn.XLOOKUP(Table26[[#This Row],[customerSKU]],customerSKU!G:G,customerSKU!B:B,"",0,1))</f>
        <v/>
      </c>
      <c r="M1065" s="22"/>
      <c r="N1065" s="15" t="str">
        <f>Table26[[#This Row],[po_number]]&amp;"-"&amp;Table26[[#This Row],[po_line]]</f>
        <v>-1</v>
      </c>
      <c r="O1065" s="15">
        <v>1</v>
      </c>
      <c r="P1065" s="29"/>
      <c r="Q1065" s="22" t="s">
        <v>1172</v>
      </c>
      <c r="R1065" s="22" t="s">
        <v>569</v>
      </c>
      <c r="S1065" s="22" t="s">
        <v>132</v>
      </c>
      <c r="T1065" s="20">
        <v>45588</v>
      </c>
      <c r="U1065" s="21">
        <v>12</v>
      </c>
      <c r="V1065" s="22" t="str">
        <f>IF(ISBLANK(Table26[[#This Row],[customerSKU]]),"",_xlfn.XLOOKUP(Table26[[#This Row],[customerSKU]],Table27[customer_SKU],Table27[case_size],"",0,1))</f>
        <v/>
      </c>
      <c r="W1065" s="117" t="str">
        <f t="shared" si="50"/>
        <v/>
      </c>
      <c r="X1065" s="22" t="str">
        <f t="shared" si="49"/>
        <v/>
      </c>
      <c r="Y1065" s="22" t="str">
        <f>IF(Table26[[#This Row],[customerSKU]]="","",_xlfn.XLOOKUP(Table26[[#This Row],[customerSKU]],Table27[customer_SKU],Table27[product_GTIN],"",0,1))</f>
        <v/>
      </c>
      <c r="Z1065" s="25" t="s">
        <v>3455</v>
      </c>
      <c r="AA1065" s="18" t="str" cm="1">
        <f t="array" ref="AA1065">IF(P1065="", "", _xlfn.XLOOKUP(P1065,#REF!,#REF!,NA,0,-1))</f>
        <v/>
      </c>
      <c r="AB1065" s="22"/>
      <c r="AC1065" s="55" t="s">
        <v>154</v>
      </c>
      <c r="AD1065" s="55" t="str">
        <f>IF($AC1065="","",_xlfn.XLOOKUP($AC1065,'[2]Client Info'!$C$2:$C$2535,'[2]Client Info'!$D$2:$D$2535,"",0,1))</f>
        <v>2001 HENDERSON HWY</v>
      </c>
      <c r="AE1065" s="55" t="str">
        <f>IF($AC1065="","",_xlfn.XLOOKUP($AC1065,'[2]Client Info'!$C$2:$C$2715,'[2]Client Info'!$E$2:$E$2715,"",))</f>
        <v>WINNIPEG</v>
      </c>
      <c r="AF1065" s="55" t="str">
        <f>IF($AC1065="","",_xlfn.XLOOKUP($AC1065,'[2]Client Info'!$C$2:$C$2715,'[2]Client Info'!$F$2:$F$2715,"",0,1))</f>
        <v>MB</v>
      </c>
      <c r="AG1065" s="55" t="str">
        <f>IF(ISBLANK(Table26[[#This Row],[customerSKU]]),"",_xlfn.XLOOKUP(Table26[[#This Row],[customerSKU]],Table27[customer_SKU],Table27[billto],"",0,1))</f>
        <v/>
      </c>
      <c r="AH1065" s="26" t="str">
        <f>_xlfn.XLOOKUP(Table26[[#This Row],[customerSKU]],customerSKU!G:G,customerSKU!K:K,"NA",0,1)</f>
        <v>NA</v>
      </c>
      <c r="AI1065" s="43" t="str">
        <f>_xlfn.XLOOKUP(Table26[[#This Row],[customerSKU]],customerSKU!G:G,customerSKU!O:O,"not found",0,1)</f>
        <v>not found</v>
      </c>
      <c r="AJ1065" s="22" t="e">
        <f>Table26[[#This Row],[unitprice]]*Table26[[#This Row],[quantity_unit]]</f>
        <v>#VALUE!</v>
      </c>
      <c r="AK1065" s="22" t="e" cm="1">
        <f t="array" ref="AK10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6" spans="1:37" ht="18" customHeight="1">
      <c r="A1066" s="42">
        <v>1177</v>
      </c>
      <c r="B1066" s="27" t="s">
        <v>3520</v>
      </c>
      <c r="C1066" s="90" t="s">
        <v>203</v>
      </c>
      <c r="E1066" s="20"/>
      <c r="F106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6" s="17"/>
      <c r="J1066" s="90" t="str">
        <f>IF(Table26[[#This Row],[customerSKU]]="","",_xlfn.XLOOKUP(Table26[[#This Row],[customerSKU]],customerSKU!G:G,customerSKU!A:A,"",0,1))</f>
        <v/>
      </c>
      <c r="K1066" s="232">
        <v>45701</v>
      </c>
      <c r="L1066" s="31" t="str">
        <f>IF(Table26[[#This Row],[customerSKU]]="","",_xlfn.XLOOKUP(Table26[[#This Row],[customerSKU]],customerSKU!G:G,customerSKU!B:B,"",0,1))</f>
        <v/>
      </c>
      <c r="M1066" s="22"/>
      <c r="N1066" s="15" t="str">
        <f>Table26[[#This Row],[po_number]]&amp;"-"&amp;Table26[[#This Row],[po_line]]</f>
        <v>-1</v>
      </c>
      <c r="O1066" s="15">
        <v>1</v>
      </c>
      <c r="P1066" s="50"/>
      <c r="Q1066" s="22" t="s">
        <v>1172</v>
      </c>
      <c r="R1066" s="22" t="s">
        <v>569</v>
      </c>
      <c r="S1066" s="22" t="s">
        <v>132</v>
      </c>
      <c r="T1066" s="20">
        <v>45588</v>
      </c>
      <c r="U1066" s="21">
        <v>12</v>
      </c>
      <c r="V1066" s="22" t="str">
        <f>IF(ISBLANK(Table26[[#This Row],[customerSKU]]),"",_xlfn.XLOOKUP(Table26[[#This Row],[customerSKU]],Table27[customer_SKU],Table27[case_size],"",0,1))</f>
        <v/>
      </c>
      <c r="W1066" s="117" t="str">
        <f t="shared" si="50"/>
        <v/>
      </c>
      <c r="X1066" s="22" t="str">
        <f t="shared" si="49"/>
        <v/>
      </c>
      <c r="Y1066" s="22" t="str">
        <f>IF(Table26[[#This Row],[customerSKU]]="","",_xlfn.XLOOKUP(Table26[[#This Row],[customerSKU]],Table27[customer_SKU],Table27[product_GTIN],"",0,1))</f>
        <v/>
      </c>
      <c r="Z1066" s="25" t="s">
        <v>3455</v>
      </c>
      <c r="AA1066" s="18" t="str" cm="1">
        <f t="array" ref="AA1066">IF(P1066="", "", _xlfn.XLOOKUP(P1066,#REF!,#REF!,NA,0,-1))</f>
        <v/>
      </c>
      <c r="AB1066" s="22"/>
      <c r="AC1066" s="55" t="s">
        <v>155</v>
      </c>
      <c r="AD1066" s="55" t="str">
        <f>IF($AC1066="","",_xlfn.XLOOKUP($AC1066,'[2]Client Info'!$C$2:$C$2535,'[2]Client Info'!$D$2:$D$2535,"",0,1))</f>
        <v>15-1399 MCPHILLIPS ST</v>
      </c>
      <c r="AE1066" s="55" t="str">
        <f>IF($AC1066="","",_xlfn.XLOOKUP($AC1066,'[2]Client Info'!$C$2:$C$2715,'[2]Client Info'!$E$2:$E$2715,"",))</f>
        <v>WINNIPEG</v>
      </c>
      <c r="AF1066" s="55" t="str">
        <f>IF($AC1066="","",_xlfn.XLOOKUP($AC1066,'[2]Client Info'!$C$2:$C$2715,'[2]Client Info'!$F$2:$F$2715,"",0,1))</f>
        <v>MB</v>
      </c>
      <c r="AG1066" s="55" t="str">
        <f>IF(ISBLANK(Table26[[#This Row],[customerSKU]]),"",_xlfn.XLOOKUP(Table26[[#This Row],[customerSKU]],Table27[customer_SKU],Table27[billto],"",0,1))</f>
        <v/>
      </c>
      <c r="AH1066" s="26" t="str">
        <f>_xlfn.XLOOKUP(Table26[[#This Row],[customerSKU]],customerSKU!G:G,customerSKU!K:K,"NA",0,1)</f>
        <v>NA</v>
      </c>
      <c r="AI1066" s="43" t="str">
        <f>_xlfn.XLOOKUP(Table26[[#This Row],[customerSKU]],customerSKU!G:G,customerSKU!O:O,"not found",0,1)</f>
        <v>not found</v>
      </c>
      <c r="AJ1066" s="22" t="e">
        <f>Table26[[#This Row],[unitprice]]*Table26[[#This Row],[quantity_unit]]</f>
        <v>#VALUE!</v>
      </c>
      <c r="AK1066" s="22" t="e" cm="1">
        <f t="array" ref="AK10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7" spans="1:37" ht="18" customHeight="1">
      <c r="A1067" s="42">
        <v>1178</v>
      </c>
      <c r="B1067" s="27" t="s">
        <v>3520</v>
      </c>
      <c r="C1067" s="90" t="s">
        <v>203</v>
      </c>
      <c r="E1067" s="20"/>
      <c r="F106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7" s="17"/>
      <c r="J1067" s="90" t="str">
        <f>IF(Table26[[#This Row],[customerSKU]]="","",_xlfn.XLOOKUP(Table26[[#This Row],[customerSKU]],customerSKU!G:G,customerSKU!A:A,"",0,1))</f>
        <v/>
      </c>
      <c r="K1067" s="232">
        <v>45701</v>
      </c>
      <c r="L1067" s="31" t="str">
        <f>IF(Table26[[#This Row],[customerSKU]]="","",_xlfn.XLOOKUP(Table26[[#This Row],[customerSKU]],customerSKU!G:G,customerSKU!B:B,"",0,1))</f>
        <v/>
      </c>
      <c r="M1067" s="22"/>
      <c r="N1067" s="15" t="str">
        <f>Table26[[#This Row],[po_number]]&amp;"-"&amp;Table26[[#This Row],[po_line]]</f>
        <v>-1</v>
      </c>
      <c r="O1067" s="15">
        <v>1</v>
      </c>
      <c r="P1067" s="50"/>
      <c r="Q1067" s="22" t="s">
        <v>1172</v>
      </c>
      <c r="R1067" s="22" t="s">
        <v>569</v>
      </c>
      <c r="S1067" s="22" t="s">
        <v>132</v>
      </c>
      <c r="T1067" s="20">
        <v>45588</v>
      </c>
      <c r="U1067" s="21">
        <v>12</v>
      </c>
      <c r="V1067" s="22" t="str">
        <f>IF(ISBLANK(Table26[[#This Row],[customerSKU]]),"",_xlfn.XLOOKUP(Table26[[#This Row],[customerSKU]],Table27[customer_SKU],Table27[case_size],"",0,1))</f>
        <v/>
      </c>
      <c r="W1067" s="117" t="str">
        <f t="shared" si="50"/>
        <v/>
      </c>
      <c r="X1067" s="22" t="str">
        <f t="shared" si="49"/>
        <v/>
      </c>
      <c r="Y1067" s="22" t="str">
        <f>IF(Table26[[#This Row],[customerSKU]]="","",_xlfn.XLOOKUP(Table26[[#This Row],[customerSKU]],Table27[customer_SKU],Table27[product_GTIN],"",0,1))</f>
        <v/>
      </c>
      <c r="Z1067" s="25" t="s">
        <v>3455</v>
      </c>
      <c r="AA1067" s="18" t="str" cm="1">
        <f t="array" ref="AA1067">IF(P1067="", "", _xlfn.XLOOKUP(P1067,#REF!,#REF!,NA,0,-1))</f>
        <v/>
      </c>
      <c r="AB1067" s="22"/>
      <c r="AC1067" s="55" t="s">
        <v>156</v>
      </c>
      <c r="AD1067" s="55" t="str">
        <f>IF($AC1067="","",_xlfn.XLOOKUP($AC1067,'[2]Client Info'!$C$2:$C$2535,'[2]Client Info'!$D$2:$D$2535,"",0,1))</f>
        <v>379 MAIN ST</v>
      </c>
      <c r="AE1067" s="55" t="str">
        <f>IF($AC1067="","",_xlfn.XLOOKUP($AC1067,'[2]Client Info'!$C$2:$C$2715,'[2]Client Info'!$E$2:$E$2715,"",))</f>
        <v>SELKIRK</v>
      </c>
      <c r="AF1067" s="55" t="str">
        <f>IF($AC1067="","",_xlfn.XLOOKUP($AC1067,'[2]Client Info'!$C$2:$C$2715,'[2]Client Info'!$F$2:$F$2715,"",0,1))</f>
        <v>MB</v>
      </c>
      <c r="AG1067" s="55" t="str">
        <f>IF(ISBLANK(Table26[[#This Row],[customerSKU]]),"",_xlfn.XLOOKUP(Table26[[#This Row],[customerSKU]],Table27[customer_SKU],Table27[billto],"",0,1))</f>
        <v/>
      </c>
      <c r="AH1067" s="26" t="str">
        <f>_xlfn.XLOOKUP(Table26[[#This Row],[customerSKU]],customerSKU!G:G,customerSKU!K:K,"NA",0,1)</f>
        <v>NA</v>
      </c>
      <c r="AI1067" s="43" t="str">
        <f>_xlfn.XLOOKUP(Table26[[#This Row],[customerSKU]],customerSKU!G:G,customerSKU!O:O,"not found",0,1)</f>
        <v>not found</v>
      </c>
      <c r="AJ1067" s="22" t="e">
        <f>Table26[[#This Row],[unitprice]]*Table26[[#This Row],[quantity_unit]]</f>
        <v>#VALUE!</v>
      </c>
      <c r="AK1067" s="22" t="e" cm="1">
        <f t="array" ref="AK10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8" spans="1:37" ht="18" customHeight="1">
      <c r="A1068" s="42">
        <v>1179</v>
      </c>
      <c r="B1068" s="27" t="s">
        <v>3520</v>
      </c>
      <c r="C1068" s="90" t="s">
        <v>203</v>
      </c>
      <c r="E1068" s="20"/>
      <c r="F106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8" s="17"/>
      <c r="J1068" s="90" t="str">
        <f>IF(Table26[[#This Row],[customerSKU]]="","",_xlfn.XLOOKUP(Table26[[#This Row],[customerSKU]],customerSKU!G:G,customerSKU!A:A,"",0,1))</f>
        <v/>
      </c>
      <c r="K1068" s="232">
        <v>45701</v>
      </c>
      <c r="L1068" s="31" t="str">
        <f>IF(Table26[[#This Row],[customerSKU]]="","",_xlfn.XLOOKUP(Table26[[#This Row],[customerSKU]],customerSKU!G:G,customerSKU!B:B,"",0,1))</f>
        <v/>
      </c>
      <c r="M1068" s="22"/>
      <c r="N1068" s="15" t="str">
        <f>Table26[[#This Row],[po_number]]&amp;"-"&amp;Table26[[#This Row],[po_line]]</f>
        <v>-1</v>
      </c>
      <c r="O1068" s="15">
        <v>1</v>
      </c>
      <c r="P1068" s="50"/>
      <c r="Q1068" s="22" t="s">
        <v>1172</v>
      </c>
      <c r="R1068" s="22" t="s">
        <v>569</v>
      </c>
      <c r="S1068" s="22" t="s">
        <v>132</v>
      </c>
      <c r="T1068" s="20">
        <v>45588</v>
      </c>
      <c r="U1068" s="21">
        <v>12</v>
      </c>
      <c r="V1068" s="22" t="str">
        <f>IF(ISBLANK(Table26[[#This Row],[customerSKU]]),"",_xlfn.XLOOKUP(Table26[[#This Row],[customerSKU]],Table27[customer_SKU],Table27[case_size],"",0,1))</f>
        <v/>
      </c>
      <c r="W1068" s="117" t="str">
        <f t="shared" si="50"/>
        <v/>
      </c>
      <c r="X1068" s="22" t="str">
        <f t="shared" si="49"/>
        <v/>
      </c>
      <c r="Y1068" s="22" t="str">
        <f>IF(Table26[[#This Row],[customerSKU]]="","",_xlfn.XLOOKUP(Table26[[#This Row],[customerSKU]],Table27[customer_SKU],Table27[product_GTIN],"",0,1))</f>
        <v/>
      </c>
      <c r="Z1068" s="28" t="s">
        <v>3455</v>
      </c>
      <c r="AA1068" s="18" t="str" cm="1">
        <f t="array" ref="AA1068">IF(P1068="", "", _xlfn.XLOOKUP(P1068,#REF!,#REF!,NA,0,-1))</f>
        <v/>
      </c>
      <c r="AB1068" s="22"/>
      <c r="AC1068" s="55" t="s">
        <v>157</v>
      </c>
      <c r="AD1068" s="55" t="str">
        <f>IF($AC1068="","",_xlfn.XLOOKUP($AC1068,'[2]Client Info'!$C$2:$C$2535,'[2]Client Info'!$D$2:$D$2535,"",0,1))</f>
        <v>2081 PEMBINA HWY</v>
      </c>
      <c r="AE1068" s="55" t="str">
        <f>IF($AC1068="","",_xlfn.XLOOKUP($AC1068,'[2]Client Info'!$C$2:$C$2715,'[2]Client Info'!$E$2:$E$2715,"",))</f>
        <v>WINNIPEG</v>
      </c>
      <c r="AF1068" s="55" t="str">
        <f>IF($AC1068="","",_xlfn.XLOOKUP($AC1068,'[2]Client Info'!$C$2:$C$2715,'[2]Client Info'!$F$2:$F$2715,"",0,1))</f>
        <v>MB</v>
      </c>
      <c r="AG1068" s="55" t="str">
        <f>IF(ISBLANK(Table26[[#This Row],[customerSKU]]),"",_xlfn.XLOOKUP(Table26[[#This Row],[customerSKU]],Table27[customer_SKU],Table27[billto],"",0,1))</f>
        <v/>
      </c>
      <c r="AH1068" s="26" t="str">
        <f>_xlfn.XLOOKUP(Table26[[#This Row],[customerSKU]],customerSKU!G:G,customerSKU!K:K,"NA",0,1)</f>
        <v>NA</v>
      </c>
      <c r="AI1068" s="43" t="str">
        <f>_xlfn.XLOOKUP(Table26[[#This Row],[customerSKU]],customerSKU!G:G,customerSKU!O:O,"not found",0,1)</f>
        <v>not found</v>
      </c>
      <c r="AJ1068" s="22" t="e">
        <f>Table26[[#This Row],[unitprice]]*Table26[[#This Row],[quantity_unit]]</f>
        <v>#VALUE!</v>
      </c>
      <c r="AK1068" s="22" t="e" cm="1">
        <f t="array" ref="AK10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69" spans="1:37" ht="18" customHeight="1">
      <c r="A1069" s="42">
        <v>1180</v>
      </c>
      <c r="B1069" s="27" t="s">
        <v>3520</v>
      </c>
      <c r="C1069" s="90" t="s">
        <v>203</v>
      </c>
      <c r="E1069" s="20"/>
      <c r="F106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69" s="17"/>
      <c r="J1069" s="90" t="str">
        <f>IF(Table26[[#This Row],[customerSKU]]="","",_xlfn.XLOOKUP(Table26[[#This Row],[customerSKU]],customerSKU!G:G,customerSKU!A:A,"",0,1))</f>
        <v/>
      </c>
      <c r="K1069" s="232">
        <v>45701</v>
      </c>
      <c r="L1069" s="31" t="str">
        <f>IF(Table26[[#This Row],[customerSKU]]="","",_xlfn.XLOOKUP(Table26[[#This Row],[customerSKU]],customerSKU!G:G,customerSKU!B:B,"",0,1))</f>
        <v/>
      </c>
      <c r="M1069" s="22"/>
      <c r="N1069" s="15" t="str">
        <f>Table26[[#This Row],[po_number]]&amp;"-"&amp;Table26[[#This Row],[po_line]]</f>
        <v>-1</v>
      </c>
      <c r="O1069" s="15">
        <v>1</v>
      </c>
      <c r="P1069" s="50"/>
      <c r="Q1069" s="22" t="s">
        <v>1172</v>
      </c>
      <c r="R1069" s="22" t="s">
        <v>569</v>
      </c>
      <c r="S1069" s="22" t="s">
        <v>132</v>
      </c>
      <c r="T1069" s="20">
        <v>45588</v>
      </c>
      <c r="U1069" s="21">
        <v>12</v>
      </c>
      <c r="V1069" s="22" t="str">
        <f>IF(ISBLANK(Table26[[#This Row],[customerSKU]]),"",_xlfn.XLOOKUP(Table26[[#This Row],[customerSKU]],Table27[customer_SKU],Table27[case_size],"",0,1))</f>
        <v/>
      </c>
      <c r="W1069" s="117" t="str">
        <f t="shared" si="50"/>
        <v/>
      </c>
      <c r="X1069" s="22" t="str">
        <f t="shared" si="49"/>
        <v/>
      </c>
      <c r="Y1069" s="22" t="str">
        <f>IF(Table26[[#This Row],[customerSKU]]="","",_xlfn.XLOOKUP(Table26[[#This Row],[customerSKU]],Table27[customer_SKU],Table27[product_GTIN],"",0,1))</f>
        <v/>
      </c>
      <c r="Z1069" s="25" t="s">
        <v>3455</v>
      </c>
      <c r="AA1069" s="18" t="str" cm="1">
        <f t="array" ref="AA1069">IF(P1069="", "", _xlfn.XLOOKUP(P1069,#REF!,#REF!,NA,0,-1))</f>
        <v/>
      </c>
      <c r="AB1069" s="22"/>
      <c r="AC1069" s="55" t="s">
        <v>158</v>
      </c>
      <c r="AD1069" s="55" t="str">
        <f>IF($AC1069="","",_xlfn.XLOOKUP($AC1069,'[2]Client Info'!$C$2:$C$2535,'[2]Client Info'!$D$2:$D$2535,"",0,1))</f>
        <v>1719 PORTAGE AVE</v>
      </c>
      <c r="AE1069" s="55" t="str">
        <f>IF($AC1069="","",_xlfn.XLOOKUP($AC1069,'[2]Client Info'!$C$2:$C$2715,'[2]Client Info'!$E$2:$E$2715,"",))</f>
        <v>WINNIPEG</v>
      </c>
      <c r="AF1069" s="55" t="str">
        <f>IF($AC1069="","",_xlfn.XLOOKUP($AC1069,'[2]Client Info'!$C$2:$C$2715,'[2]Client Info'!$F$2:$F$2715,"",0,1))</f>
        <v>MB</v>
      </c>
      <c r="AG1069" s="55" t="str">
        <f>IF(ISBLANK(Table26[[#This Row],[customerSKU]]),"",_xlfn.XLOOKUP(Table26[[#This Row],[customerSKU]],Table27[customer_SKU],Table27[billto],"",0,1))</f>
        <v/>
      </c>
      <c r="AH1069" s="26" t="str">
        <f>_xlfn.XLOOKUP(Table26[[#This Row],[customerSKU]],customerSKU!G:G,customerSKU!K:K,"NA",0,1)</f>
        <v>NA</v>
      </c>
      <c r="AI1069" s="43" t="str">
        <f>_xlfn.XLOOKUP(Table26[[#This Row],[customerSKU]],customerSKU!G:G,customerSKU!O:O,"not found",0,1)</f>
        <v>not found</v>
      </c>
      <c r="AJ1069" s="22" t="e">
        <f>Table26[[#This Row],[unitprice]]*Table26[[#This Row],[quantity_unit]]</f>
        <v>#VALUE!</v>
      </c>
      <c r="AK1069" s="22" t="e" cm="1">
        <f t="array" ref="AK10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0" spans="1:37" ht="18" customHeight="1">
      <c r="A1070" s="42">
        <v>1181</v>
      </c>
      <c r="B1070" s="27" t="s">
        <v>3520</v>
      </c>
      <c r="C1070" s="90" t="s">
        <v>203</v>
      </c>
      <c r="E1070" s="20"/>
      <c r="F107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0" s="17"/>
      <c r="J1070" s="90" t="str">
        <f>IF(Table26[[#This Row],[customerSKU]]="","",_xlfn.XLOOKUP(Table26[[#This Row],[customerSKU]],customerSKU!G:G,customerSKU!A:A,"",0,1))</f>
        <v/>
      </c>
      <c r="K1070" s="232">
        <v>45701</v>
      </c>
      <c r="L1070" s="31" t="str">
        <f>IF(Table26[[#This Row],[customerSKU]]="","",_xlfn.XLOOKUP(Table26[[#This Row],[customerSKU]],customerSKU!G:G,customerSKU!B:B,"",0,1))</f>
        <v/>
      </c>
      <c r="M1070" s="22"/>
      <c r="N1070" s="15" t="str">
        <f>Table26[[#This Row],[po_number]]&amp;"-"&amp;Table26[[#This Row],[po_line]]</f>
        <v>-1</v>
      </c>
      <c r="O1070" s="15">
        <v>1</v>
      </c>
      <c r="P1070" s="50"/>
      <c r="Q1070" s="22" t="s">
        <v>1172</v>
      </c>
      <c r="R1070" s="22" t="s">
        <v>569</v>
      </c>
      <c r="S1070" s="22" t="s">
        <v>132</v>
      </c>
      <c r="T1070" s="20">
        <v>45588</v>
      </c>
      <c r="U1070" s="21">
        <v>12</v>
      </c>
      <c r="V1070" s="22" t="str">
        <f>IF(ISBLANK(Table26[[#This Row],[customerSKU]]),"",_xlfn.XLOOKUP(Table26[[#This Row],[customerSKU]],Table27[customer_SKU],Table27[case_size],"",0,1))</f>
        <v/>
      </c>
      <c r="W1070" s="117" t="str">
        <f t="shared" si="50"/>
        <v/>
      </c>
      <c r="X1070" s="22" t="str">
        <f t="shared" si="49"/>
        <v/>
      </c>
      <c r="Y1070" s="22" t="str">
        <f>IF(Table26[[#This Row],[customerSKU]]="","",_xlfn.XLOOKUP(Table26[[#This Row],[customerSKU]],Table27[customer_SKU],Table27[product_GTIN],"",0,1))</f>
        <v/>
      </c>
      <c r="Z1070" s="25" t="s">
        <v>3455</v>
      </c>
      <c r="AA1070" s="18" t="str" cm="1">
        <f t="array" ref="AA1070">IF(P1070="", "", _xlfn.XLOOKUP(P1070,#REF!,#REF!,NA,0,-1))</f>
        <v/>
      </c>
      <c r="AB1070" s="22"/>
      <c r="AC1070" s="55" t="s">
        <v>159</v>
      </c>
      <c r="AD1070" s="55" t="str">
        <f>IF($AC1070="","",_xlfn.XLOOKUP($AC1070,'[2]Client Info'!$C$2:$C$2535,'[2]Client Info'!$D$2:$D$2535,"",0,1))</f>
        <v>78-7TH AVE</v>
      </c>
      <c r="AE1070" s="55" t="str">
        <f>IF($AC1070="","",_xlfn.XLOOKUP($AC1070,'[2]Client Info'!$C$2:$C$2715,'[2]Client Info'!$E$2:$E$2715,"",))</f>
        <v>GIMLI</v>
      </c>
      <c r="AF1070" s="55" t="str">
        <f>IF($AC1070="","",_xlfn.XLOOKUP($AC1070,'[2]Client Info'!$C$2:$C$2715,'[2]Client Info'!$F$2:$F$2715,"",0,1))</f>
        <v>MB</v>
      </c>
      <c r="AG1070" s="55" t="str">
        <f>IF(ISBLANK(Table26[[#This Row],[customerSKU]]),"",_xlfn.XLOOKUP(Table26[[#This Row],[customerSKU]],Table27[customer_SKU],Table27[billto],"",0,1))</f>
        <v/>
      </c>
      <c r="AH1070" s="26" t="str">
        <f>_xlfn.XLOOKUP(Table26[[#This Row],[customerSKU]],customerSKU!G:G,customerSKU!K:K,"NA",0,1)</f>
        <v>NA</v>
      </c>
      <c r="AI1070" s="43" t="str">
        <f>_xlfn.XLOOKUP(Table26[[#This Row],[customerSKU]],customerSKU!G:G,customerSKU!O:O,"not found",0,1)</f>
        <v>not found</v>
      </c>
      <c r="AJ1070" s="22" t="e">
        <f>Table26[[#This Row],[unitprice]]*Table26[[#This Row],[quantity_unit]]</f>
        <v>#VALUE!</v>
      </c>
      <c r="AK1070" s="22" t="e" cm="1">
        <f t="array" ref="AK10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1" spans="1:37" ht="18" customHeight="1">
      <c r="A1071" s="42">
        <v>1182</v>
      </c>
      <c r="B1071" s="27" t="s">
        <v>3520</v>
      </c>
      <c r="C1071" s="90" t="s">
        <v>203</v>
      </c>
      <c r="E1071" s="20"/>
      <c r="F107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1" s="17"/>
      <c r="J1071" s="90" t="str">
        <f>IF(Table26[[#This Row],[customerSKU]]="","",_xlfn.XLOOKUP(Table26[[#This Row],[customerSKU]],customerSKU!G:G,customerSKU!A:A,"",0,1))</f>
        <v/>
      </c>
      <c r="K1071" s="232">
        <v>45701</v>
      </c>
      <c r="L1071" s="31" t="str">
        <f>IF(Table26[[#This Row],[customerSKU]]="","",_xlfn.XLOOKUP(Table26[[#This Row],[customerSKU]],customerSKU!G:G,customerSKU!B:B,"",0,1))</f>
        <v/>
      </c>
      <c r="M1071" s="22"/>
      <c r="N1071" s="15" t="str">
        <f>Table26[[#This Row],[po_number]]&amp;"-"&amp;Table26[[#This Row],[po_line]]</f>
        <v>-1</v>
      </c>
      <c r="O1071" s="15">
        <v>1</v>
      </c>
      <c r="P1071" s="50"/>
      <c r="Q1071" s="22" t="s">
        <v>1172</v>
      </c>
      <c r="R1071" s="22" t="s">
        <v>569</v>
      </c>
      <c r="S1071" s="22" t="s">
        <v>132</v>
      </c>
      <c r="T1071" s="20">
        <v>45588</v>
      </c>
      <c r="U1071" s="21">
        <v>12</v>
      </c>
      <c r="V1071" s="22" t="str">
        <f>IF(ISBLANK(Table26[[#This Row],[customerSKU]]),"",_xlfn.XLOOKUP(Table26[[#This Row],[customerSKU]],Table27[customer_SKU],Table27[case_size],"",0,1))</f>
        <v/>
      </c>
      <c r="W1071" s="117" t="str">
        <f t="shared" si="50"/>
        <v/>
      </c>
      <c r="X1071" s="22" t="str">
        <f t="shared" si="49"/>
        <v/>
      </c>
      <c r="Y1071" s="22" t="str">
        <f>IF(Table26[[#This Row],[customerSKU]]="","",_xlfn.XLOOKUP(Table26[[#This Row],[customerSKU]],Table27[customer_SKU],Table27[product_GTIN],"",0,1))</f>
        <v/>
      </c>
      <c r="Z1071" s="25" t="s">
        <v>3455</v>
      </c>
      <c r="AA1071" s="18" t="str" cm="1">
        <f t="array" ref="AA1071">IF(P1071="", "", _xlfn.XLOOKUP(P1071,#REF!,#REF!,NA,0,-1))</f>
        <v/>
      </c>
      <c r="AB1071" s="22"/>
      <c r="AC1071" s="55" t="s">
        <v>160</v>
      </c>
      <c r="AD1071" s="55" t="str">
        <f>IF($AC1071="","",_xlfn.XLOOKUP($AC1071,'[2]Client Info'!$C$2:$C$2535,'[2]Client Info'!$D$2:$D$2535,"",0,1))</f>
        <v>UNIT 10&amp;11-3421 PORTAGE AVE</v>
      </c>
      <c r="AE1071" s="55" t="str">
        <f>IF($AC1071="","",_xlfn.XLOOKUP($AC1071,'[2]Client Info'!$C$2:$C$2715,'[2]Client Info'!$E$2:$E$2715,"",))</f>
        <v>WINNIPEG</v>
      </c>
      <c r="AF1071" s="55" t="str">
        <f>IF($AC1071="","",_xlfn.XLOOKUP($AC1071,'[2]Client Info'!$C$2:$C$2715,'[2]Client Info'!$F$2:$F$2715,"",0,1))</f>
        <v>MB</v>
      </c>
      <c r="AG1071" s="55" t="str">
        <f>IF(ISBLANK(Table26[[#This Row],[customerSKU]]),"",_xlfn.XLOOKUP(Table26[[#This Row],[customerSKU]],Table27[customer_SKU],Table27[billto],"",0,1))</f>
        <v/>
      </c>
      <c r="AH1071" s="26" t="str">
        <f>_xlfn.XLOOKUP(Table26[[#This Row],[customerSKU]],customerSKU!G:G,customerSKU!K:K,"NA",0,1)</f>
        <v>NA</v>
      </c>
      <c r="AI1071" s="43" t="str">
        <f>_xlfn.XLOOKUP(Table26[[#This Row],[customerSKU]],customerSKU!G:G,customerSKU!O:O,"not found",0,1)</f>
        <v>not found</v>
      </c>
      <c r="AJ1071" s="22" t="e">
        <f>Table26[[#This Row],[unitprice]]*Table26[[#This Row],[quantity_unit]]</f>
        <v>#VALUE!</v>
      </c>
      <c r="AK1071" s="22" t="e" cm="1">
        <f t="array" ref="AK10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2" spans="1:37" ht="18" customHeight="1">
      <c r="A1072" s="42">
        <v>1183</v>
      </c>
      <c r="B1072" s="27" t="s">
        <v>3520</v>
      </c>
      <c r="C1072" s="90" t="s">
        <v>203</v>
      </c>
      <c r="E1072" s="20"/>
      <c r="F107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2" s="17"/>
      <c r="J1072" s="90" t="str">
        <f>IF(Table26[[#This Row],[customerSKU]]="","",_xlfn.XLOOKUP(Table26[[#This Row],[customerSKU]],customerSKU!G:G,customerSKU!A:A,"",0,1))</f>
        <v/>
      </c>
      <c r="K1072" s="232">
        <v>45701</v>
      </c>
      <c r="L1072" s="31" t="str">
        <f>IF(Table26[[#This Row],[customerSKU]]="","",_xlfn.XLOOKUP(Table26[[#This Row],[customerSKU]],customerSKU!G:G,customerSKU!B:B,"",0,1))</f>
        <v/>
      </c>
      <c r="M1072" s="22"/>
      <c r="N1072" s="15" t="str">
        <f>Table26[[#This Row],[po_number]]&amp;"-"&amp;Table26[[#This Row],[po_line]]</f>
        <v>-1</v>
      </c>
      <c r="O1072" s="15">
        <v>1</v>
      </c>
      <c r="P1072" s="50"/>
      <c r="Q1072" s="22" t="s">
        <v>1172</v>
      </c>
      <c r="R1072" s="22" t="s">
        <v>569</v>
      </c>
      <c r="S1072" s="22" t="s">
        <v>132</v>
      </c>
      <c r="T1072" s="20">
        <v>45588</v>
      </c>
      <c r="U1072" s="21">
        <v>12</v>
      </c>
      <c r="V1072" s="22" t="str">
        <f>IF(ISBLANK(Table26[[#This Row],[customerSKU]]),"",_xlfn.XLOOKUP(Table26[[#This Row],[customerSKU]],Table27[customer_SKU],Table27[case_size],"",0,1))</f>
        <v/>
      </c>
      <c r="W1072" s="117" t="str">
        <f t="shared" si="50"/>
        <v/>
      </c>
      <c r="X1072" s="22" t="str">
        <f t="shared" si="49"/>
        <v/>
      </c>
      <c r="Y1072" s="22" t="str">
        <f>IF(Table26[[#This Row],[customerSKU]]="","",_xlfn.XLOOKUP(Table26[[#This Row],[customerSKU]],Table27[customer_SKU],Table27[product_GTIN],"",0,1))</f>
        <v/>
      </c>
      <c r="Z1072" s="25" t="s">
        <v>3455</v>
      </c>
      <c r="AA1072" s="18" t="str" cm="1">
        <f t="array" ref="AA1072">IF(P1072="", "", _xlfn.XLOOKUP(P1072,#REF!,#REF!,NA,0,-1))</f>
        <v/>
      </c>
      <c r="AB1072" s="22"/>
      <c r="AC1072" s="55" t="s">
        <v>161</v>
      </c>
      <c r="AD1072" s="55" t="str">
        <f>IF($AC1072="","",_xlfn.XLOOKUP($AC1072,'[2]Client Info'!$C$2:$C$2535,'[2]Client Info'!$D$2:$D$2535,"",0,1))</f>
        <v>UNIT 2, 1351 MAIN ST</v>
      </c>
      <c r="AE1072" s="55" t="str">
        <f>IF($AC1072="","",_xlfn.XLOOKUP($AC1072,'[2]Client Info'!$C$2:$C$2715,'[2]Client Info'!$E$2:$E$2715,"",))</f>
        <v>DAUPHIN</v>
      </c>
      <c r="AF1072" s="55" t="str">
        <f>IF($AC1072="","",_xlfn.XLOOKUP($AC1072,'[2]Client Info'!$C$2:$C$2715,'[2]Client Info'!$F$2:$F$2715,"",0,1))</f>
        <v>MB</v>
      </c>
      <c r="AG1072" s="55" t="str">
        <f>IF(ISBLANK(Table26[[#This Row],[customerSKU]]),"",_xlfn.XLOOKUP(Table26[[#This Row],[customerSKU]],Table27[customer_SKU],Table27[billto],"",0,1))</f>
        <v/>
      </c>
      <c r="AH1072" s="26" t="str">
        <f>_xlfn.XLOOKUP(Table26[[#This Row],[customerSKU]],customerSKU!G:G,customerSKU!K:K,"NA",0,1)</f>
        <v>NA</v>
      </c>
      <c r="AI1072" s="43" t="str">
        <f>_xlfn.XLOOKUP(Table26[[#This Row],[customerSKU]],customerSKU!G:G,customerSKU!O:O,"not found",0,1)</f>
        <v>not found</v>
      </c>
      <c r="AJ1072" s="22" t="e">
        <f>Table26[[#This Row],[unitprice]]*Table26[[#This Row],[quantity_unit]]</f>
        <v>#VALUE!</v>
      </c>
      <c r="AK1072" s="22" t="e" cm="1">
        <f t="array" ref="AK10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3" spans="1:37" ht="18" customHeight="1">
      <c r="A1073" s="42">
        <v>1184</v>
      </c>
      <c r="B1073" s="27" t="s">
        <v>3520</v>
      </c>
      <c r="C1073" s="90" t="s">
        <v>203</v>
      </c>
      <c r="E1073" s="20"/>
      <c r="F107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3" s="17"/>
      <c r="J1073" s="90" t="str">
        <f>IF(Table26[[#This Row],[customerSKU]]="","",_xlfn.XLOOKUP(Table26[[#This Row],[customerSKU]],customerSKU!G:G,customerSKU!A:A,"",0,1))</f>
        <v/>
      </c>
      <c r="K1073" s="232">
        <v>45701</v>
      </c>
      <c r="L1073" s="31" t="str">
        <f>IF(Table26[[#This Row],[customerSKU]]="","",_xlfn.XLOOKUP(Table26[[#This Row],[customerSKU]],customerSKU!G:G,customerSKU!B:B,"",0,1))</f>
        <v/>
      </c>
      <c r="M1073" s="22"/>
      <c r="N1073" s="15" t="str">
        <f>Table26[[#This Row],[po_number]]&amp;"-"&amp;Table26[[#This Row],[po_line]]</f>
        <v>-1</v>
      </c>
      <c r="O1073" s="15">
        <v>1</v>
      </c>
      <c r="P1073" s="50"/>
      <c r="Q1073" s="22" t="s">
        <v>1172</v>
      </c>
      <c r="R1073" s="22" t="s">
        <v>569</v>
      </c>
      <c r="S1073" s="22" t="s">
        <v>132</v>
      </c>
      <c r="T1073" s="20">
        <v>45588</v>
      </c>
      <c r="U1073" s="21">
        <v>12</v>
      </c>
      <c r="V1073" s="22" t="str">
        <f>IF(ISBLANK(Table26[[#This Row],[customerSKU]]),"",_xlfn.XLOOKUP(Table26[[#This Row],[customerSKU]],Table27[customer_SKU],Table27[case_size],"",0,1))</f>
        <v/>
      </c>
      <c r="W1073" s="117" t="str">
        <f t="shared" si="50"/>
        <v/>
      </c>
      <c r="X1073" s="22" t="str">
        <f t="shared" si="49"/>
        <v/>
      </c>
      <c r="Y1073" s="22" t="str">
        <f>IF(Table26[[#This Row],[customerSKU]]="","",_xlfn.XLOOKUP(Table26[[#This Row],[customerSKU]],Table27[customer_SKU],Table27[product_GTIN],"",0,1))</f>
        <v/>
      </c>
      <c r="Z1073" s="25" t="s">
        <v>3455</v>
      </c>
      <c r="AA1073" s="18" t="str" cm="1">
        <f t="array" ref="AA1073">IF(P1073="", "", _xlfn.XLOOKUP(P1073,#REF!,#REF!,NA,0,-1))</f>
        <v/>
      </c>
      <c r="AB1073" s="22"/>
      <c r="AC1073" s="55" t="s">
        <v>162</v>
      </c>
      <c r="AD1073" s="55" t="str">
        <f>IF($AC1073="","",_xlfn.XLOOKUP($AC1073,'[2]Client Info'!$C$2:$C$2535,'[2]Client Info'!$D$2:$D$2535,"",0,1))</f>
        <v>UNIT A 78 MARION ST</v>
      </c>
      <c r="AE1073" s="55" t="str">
        <f>IF($AC1073="","",_xlfn.XLOOKUP($AC1073,'[2]Client Info'!$C$2:$C$2715,'[2]Client Info'!$E$2:$E$2715,"",))</f>
        <v>WINNIPEG</v>
      </c>
      <c r="AF1073" s="55" t="str">
        <f>IF($AC1073="","",_xlfn.XLOOKUP($AC1073,'[2]Client Info'!$C$2:$C$2715,'[2]Client Info'!$F$2:$F$2715,"",0,1))</f>
        <v>MB</v>
      </c>
      <c r="AG1073" s="55" t="str">
        <f>IF(ISBLANK(Table26[[#This Row],[customerSKU]]),"",_xlfn.XLOOKUP(Table26[[#This Row],[customerSKU]],Table27[customer_SKU],Table27[billto],"",0,1))</f>
        <v/>
      </c>
      <c r="AH1073" s="26" t="str">
        <f>_xlfn.XLOOKUP(Table26[[#This Row],[customerSKU]],customerSKU!G:G,customerSKU!K:K,"NA",0,1)</f>
        <v>NA</v>
      </c>
      <c r="AI1073" s="43" t="str">
        <f>_xlfn.XLOOKUP(Table26[[#This Row],[customerSKU]],customerSKU!G:G,customerSKU!O:O,"not found",0,1)</f>
        <v>not found</v>
      </c>
      <c r="AJ1073" s="22" t="e">
        <f>Table26[[#This Row],[unitprice]]*Table26[[#This Row],[quantity_unit]]</f>
        <v>#VALUE!</v>
      </c>
      <c r="AK1073" s="22" t="e" cm="1">
        <f t="array" ref="AK10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4" spans="1:37" ht="18" customHeight="1">
      <c r="A1074" s="42">
        <v>1185</v>
      </c>
      <c r="B1074" s="27" t="s">
        <v>3520</v>
      </c>
      <c r="C1074" s="90" t="s">
        <v>203</v>
      </c>
      <c r="E1074" s="20"/>
      <c r="F107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4" s="17"/>
      <c r="J1074" s="90" t="str">
        <f>IF(Table26[[#This Row],[customerSKU]]="","",_xlfn.XLOOKUP(Table26[[#This Row],[customerSKU]],customerSKU!G:G,customerSKU!A:A,"",0,1))</f>
        <v/>
      </c>
      <c r="K1074" s="232">
        <v>45701</v>
      </c>
      <c r="L1074" s="31" t="str">
        <f>IF(Table26[[#This Row],[customerSKU]]="","",_xlfn.XLOOKUP(Table26[[#This Row],[customerSKU]],customerSKU!G:G,customerSKU!B:B,"",0,1))</f>
        <v/>
      </c>
      <c r="M1074" s="22"/>
      <c r="N1074" s="15" t="str">
        <f>Table26[[#This Row],[po_number]]&amp;"-"&amp;Table26[[#This Row],[po_line]]</f>
        <v>-1</v>
      </c>
      <c r="O1074" s="15">
        <v>1</v>
      </c>
      <c r="P1074" s="50"/>
      <c r="Q1074" s="22" t="s">
        <v>1172</v>
      </c>
      <c r="R1074" s="22" t="s">
        <v>569</v>
      </c>
      <c r="S1074" s="22" t="s">
        <v>132</v>
      </c>
      <c r="T1074" s="20">
        <v>45588</v>
      </c>
      <c r="U1074" s="21">
        <v>12</v>
      </c>
      <c r="V1074" s="22" t="str">
        <f>IF(ISBLANK(Table26[[#This Row],[customerSKU]]),"",_xlfn.XLOOKUP(Table26[[#This Row],[customerSKU]],Table27[customer_SKU],Table27[case_size],"",0,1))</f>
        <v/>
      </c>
      <c r="W1074" s="117" t="str">
        <f t="shared" si="50"/>
        <v/>
      </c>
      <c r="X1074" s="22" t="str">
        <f t="shared" si="49"/>
        <v/>
      </c>
      <c r="Y1074" s="22" t="str">
        <f>IF(Table26[[#This Row],[customerSKU]]="","",_xlfn.XLOOKUP(Table26[[#This Row],[customerSKU]],Table27[customer_SKU],Table27[product_GTIN],"",0,1))</f>
        <v/>
      </c>
      <c r="Z1074" s="25" t="s">
        <v>3455</v>
      </c>
      <c r="AA1074" s="18" t="str" cm="1">
        <f t="array" ref="AA1074">IF(P1074="", "", _xlfn.XLOOKUP(P1074,#REF!,#REF!,NA,0,-1))</f>
        <v/>
      </c>
      <c r="AB1074" s="22"/>
      <c r="AC1074" s="55" t="s">
        <v>163</v>
      </c>
      <c r="AD1074" s="55" t="str">
        <f>IF($AC1074="","",_xlfn.XLOOKUP($AC1074,'[2]Client Info'!$C$2:$C$2535,'[2]Client Info'!$D$2:$D$2535,"",0,1))</f>
        <v>625 SARGENT AVE</v>
      </c>
      <c r="AE1074" s="55" t="str">
        <f>IF($AC1074="","",_xlfn.XLOOKUP($AC1074,'[2]Client Info'!$C$2:$C$2715,'[2]Client Info'!$E$2:$E$2715,"",))</f>
        <v>WINNIPEG</v>
      </c>
      <c r="AF1074" s="55" t="str">
        <f>IF($AC1074="","",_xlfn.XLOOKUP($AC1074,'[2]Client Info'!$C$2:$C$2715,'[2]Client Info'!$F$2:$F$2715,"",0,1))</f>
        <v>MB</v>
      </c>
      <c r="AG1074" s="55" t="str">
        <f>IF(ISBLANK(Table26[[#This Row],[customerSKU]]),"",_xlfn.XLOOKUP(Table26[[#This Row],[customerSKU]],Table27[customer_SKU],Table27[billto],"",0,1))</f>
        <v/>
      </c>
      <c r="AH1074" s="26" t="str">
        <f>_xlfn.XLOOKUP(Table26[[#This Row],[customerSKU]],customerSKU!G:G,customerSKU!K:K,"NA",0,1)</f>
        <v>NA</v>
      </c>
      <c r="AI1074" s="43" t="str">
        <f>_xlfn.XLOOKUP(Table26[[#This Row],[customerSKU]],customerSKU!G:G,customerSKU!O:O,"not found",0,1)</f>
        <v>not found</v>
      </c>
      <c r="AJ1074" s="22" t="e">
        <f>Table26[[#This Row],[unitprice]]*Table26[[#This Row],[quantity_unit]]</f>
        <v>#VALUE!</v>
      </c>
      <c r="AK1074" s="22" t="e" cm="1">
        <f t="array" ref="AK10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5" spans="1:37" ht="18" customHeight="1">
      <c r="A1075" s="42">
        <v>1186</v>
      </c>
      <c r="B1075" s="27" t="s">
        <v>3520</v>
      </c>
      <c r="C1075" s="22" t="s">
        <v>3360</v>
      </c>
      <c r="E1075" s="20"/>
      <c r="F1075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5" s="17"/>
      <c r="J1075" s="90" t="str">
        <f>IF(Table26[[#This Row],[customerSKU]]="","",_xlfn.XLOOKUP(Table26[[#This Row],[customerSKU]],customerSKU!G:G,customerSKU!A:A,"",0,1))</f>
        <v/>
      </c>
      <c r="K1075" s="232">
        <v>45701</v>
      </c>
      <c r="L1075" s="31" t="str">
        <f>IF(Table26[[#This Row],[customerSKU]]="","",_xlfn.XLOOKUP(Table26[[#This Row],[customerSKU]],customerSKU!G:G,customerSKU!B:B,"",0,1))</f>
        <v/>
      </c>
      <c r="M1075" s="22"/>
      <c r="N1075" s="15" t="str">
        <f>Table26[[#This Row],[po_number]]&amp;"-"&amp;Table26[[#This Row],[po_line]]</f>
        <v>-1</v>
      </c>
      <c r="O1075" s="15">
        <v>1</v>
      </c>
      <c r="P1075" s="50"/>
      <c r="S1075" s="22" t="str">
        <f>IF(Table26[[#This Row],[customerSKU]]="","",_xlfn.XLOOKUP(Table26[[#This Row],[customerSKU]],customerSKU!G:G,customerSKU!N:N,"NOT FOUND",0,1))</f>
        <v>NOT FOUND</v>
      </c>
      <c r="T1075" s="20"/>
      <c r="U1075" s="21">
        <v>12</v>
      </c>
      <c r="V1075" s="22" t="str">
        <f>IF(ISBLANK(Table26[[#This Row],[customerSKU]]),"",_xlfn.XLOOKUP(Table26[[#This Row],[customerSKU]],Table27[customer_SKU],Table27[case_size],"",0,1))</f>
        <v/>
      </c>
      <c r="W1075" s="117" t="str">
        <f t="shared" si="50"/>
        <v/>
      </c>
      <c r="X1075" s="22" t="str">
        <f t="shared" si="49"/>
        <v/>
      </c>
      <c r="Y1075" s="22" t="str">
        <f>IF(Table26[[#This Row],[customerSKU]]="","",_xlfn.XLOOKUP(Table26[[#This Row],[customerSKU]],Table27[customer_SKU],Table27[product_GTIN],"",0,1))</f>
        <v/>
      </c>
      <c r="Z1075" s="25" t="s">
        <v>3380</v>
      </c>
      <c r="AA1075" s="18" t="str" cm="1">
        <f t="array" ref="AA1075">IF(P1075="", "", _xlfn.XLOOKUP(P1075,#REF!,#REF!,NA,0,-1))</f>
        <v/>
      </c>
      <c r="AB1075" s="22"/>
      <c r="AC1075" s="55" t="str">
        <f>IF(Table26[[#This Row],[customerSKU]]="","",_xlfn.XLOOKUP(Table26[[#This Row],[customerSKU]],customerSKU!G:G,customerSKU!C:C,"",0,1))</f>
        <v/>
      </c>
      <c r="AD1075" s="55" t="str">
        <f>IF($AC1075="","",_xlfn.XLOOKUP($AC1075,'[2]Client Info'!$C$2:$C$2535,'[2]Client Info'!$D$2:$D$2535,"",0,1))</f>
        <v/>
      </c>
      <c r="AE1075" s="55" t="str">
        <f>IF($AC1075="","",_xlfn.XLOOKUP($AC1075,'[2]Client Info'!$C$2:$C$2715,'[2]Client Info'!$E$2:$E$2715,"",))</f>
        <v/>
      </c>
      <c r="AF1075" s="55" t="str">
        <f>IF($AC1075="","",_xlfn.XLOOKUP($AC1075,'[2]Client Info'!$C$2:$C$2715,'[2]Client Info'!$F$2:$F$2715,"",0,1))</f>
        <v/>
      </c>
      <c r="AG1075" s="55" t="str">
        <f>IF(ISBLANK(Table26[[#This Row],[customerSKU]]),"",_xlfn.XLOOKUP(Table26[[#This Row],[customerSKU]],Table27[customer_SKU],Table27[billto],"",0,1))</f>
        <v/>
      </c>
      <c r="AH1075" s="26" t="str">
        <f>_xlfn.XLOOKUP(Table26[[#This Row],[customerSKU]],customerSKU!G:G,customerSKU!K:K,"NA",0,1)</f>
        <v>NA</v>
      </c>
      <c r="AI1075" s="43" t="str">
        <f>_xlfn.XLOOKUP(Table26[[#This Row],[customerSKU]],customerSKU!G:G,customerSKU!O:O,"not found",0,1)</f>
        <v>not found</v>
      </c>
      <c r="AJ1075" s="22" t="e">
        <f>Table26[[#This Row],[unitprice]]*Table26[[#This Row],[quantity_unit]]</f>
        <v>#VALUE!</v>
      </c>
      <c r="AK1075" s="22" t="e" cm="1">
        <f t="array" ref="AK10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6" spans="1:37" ht="18" customHeight="1">
      <c r="A1076" s="42">
        <v>1187</v>
      </c>
      <c r="B1076" s="27" t="s">
        <v>3520</v>
      </c>
      <c r="C1076" s="22" t="s">
        <v>3360</v>
      </c>
      <c r="E1076" s="20"/>
      <c r="F1076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6" s="17"/>
      <c r="J1076" s="90" t="str">
        <f>IF(Table26[[#This Row],[customerSKU]]="","",_xlfn.XLOOKUP(Table26[[#This Row],[customerSKU]],customerSKU!G:G,customerSKU!A:A,"",0,1))</f>
        <v/>
      </c>
      <c r="K1076" s="232">
        <v>45701</v>
      </c>
      <c r="L1076" s="31" t="str">
        <f>IF(Table26[[#This Row],[customerSKU]]="","",_xlfn.XLOOKUP(Table26[[#This Row],[customerSKU]],customerSKU!G:G,customerSKU!B:B,"",0,1))</f>
        <v/>
      </c>
      <c r="M1076" s="22"/>
      <c r="N1076" s="15" t="str">
        <f>Table26[[#This Row],[po_number]]&amp;"-"&amp;Table26[[#This Row],[po_line]]</f>
        <v>-1</v>
      </c>
      <c r="O1076" s="15">
        <v>1</v>
      </c>
      <c r="P1076" s="50"/>
      <c r="S1076" s="22" t="str">
        <f>IF(Table26[[#This Row],[customerSKU]]="","",_xlfn.XLOOKUP(Table26[[#This Row],[customerSKU]],customerSKU!G:G,customerSKU!N:N,"NOT FOUND",0,1))</f>
        <v>NOT FOUND</v>
      </c>
      <c r="T1076" s="20"/>
      <c r="U1076" s="21">
        <v>12</v>
      </c>
      <c r="V1076" s="22" t="str">
        <f>IF(ISBLANK(Table26[[#This Row],[customerSKU]]),"",_xlfn.XLOOKUP(Table26[[#This Row],[customerSKU]],Table27[customer_SKU],Table27[case_size],"",0,1))</f>
        <v/>
      </c>
      <c r="W1076" s="117" t="str">
        <f t="shared" si="50"/>
        <v/>
      </c>
      <c r="X1076" s="22" t="str">
        <f t="shared" si="49"/>
        <v/>
      </c>
      <c r="Y1076" s="22" t="str">
        <f>IF(Table26[[#This Row],[customerSKU]]="","",_xlfn.XLOOKUP(Table26[[#This Row],[customerSKU]],Table27[customer_SKU],Table27[product_GTIN],"",0,1))</f>
        <v/>
      </c>
      <c r="Z1076" s="25" t="s">
        <v>3452</v>
      </c>
      <c r="AA1076" s="18" t="str" cm="1">
        <f t="array" ref="AA1076">IF(P1076="", "", _xlfn.XLOOKUP(P1076,#REF!,#REF!,NA,0,-1))</f>
        <v/>
      </c>
      <c r="AB1076" s="22"/>
      <c r="AC1076" s="55" t="str">
        <f>IF(Table26[[#This Row],[customerSKU]]="","",_xlfn.XLOOKUP(Table26[[#This Row],[customerSKU]],customerSKU!G:G,customerSKU!C:C,"",0,1))</f>
        <v/>
      </c>
      <c r="AD1076" s="55" t="str">
        <f>IF($AC1076="","",_xlfn.XLOOKUP($AC1076,'[2]Client Info'!$C$2:$C$2535,'[2]Client Info'!$D$2:$D$2535,"",0,1))</f>
        <v/>
      </c>
      <c r="AE1076" s="55" t="str">
        <f>IF($AC1076="","",_xlfn.XLOOKUP($AC1076,'[2]Client Info'!$C$2:$C$2715,'[2]Client Info'!$E$2:$E$2715,"",))</f>
        <v/>
      </c>
      <c r="AF1076" s="55" t="str">
        <f>IF($AC1076="","",_xlfn.XLOOKUP($AC1076,'[2]Client Info'!$C$2:$C$2715,'[2]Client Info'!$F$2:$F$2715,"",0,1))</f>
        <v/>
      </c>
      <c r="AG1076" s="55" t="str">
        <f>IF(ISBLANK(Table26[[#This Row],[customerSKU]]),"",_xlfn.XLOOKUP(Table26[[#This Row],[customerSKU]],Table27[customer_SKU],Table27[billto],"",0,1))</f>
        <v/>
      </c>
      <c r="AH1076" s="26" t="str">
        <f>_xlfn.XLOOKUP(Table26[[#This Row],[customerSKU]],customerSKU!G:G,customerSKU!K:K,"NA",0,1)</f>
        <v>NA</v>
      </c>
      <c r="AI1076" s="43" t="str">
        <f>_xlfn.XLOOKUP(Table26[[#This Row],[customerSKU]],customerSKU!G:G,customerSKU!O:O,"not found",0,1)</f>
        <v>not found</v>
      </c>
      <c r="AJ1076" s="22" t="e">
        <f>Table26[[#This Row],[unitprice]]*Table26[[#This Row],[quantity_unit]]</f>
        <v>#VALUE!</v>
      </c>
      <c r="AK1076" s="22" t="e" cm="1">
        <f t="array" ref="AK10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7" spans="1:37" ht="18" customHeight="1">
      <c r="A1077" s="42">
        <v>1188</v>
      </c>
      <c r="B1077" s="27" t="s">
        <v>3520</v>
      </c>
      <c r="C1077" s="22" t="s">
        <v>3360</v>
      </c>
      <c r="E1077" s="20"/>
      <c r="F1077" s="25"/>
      <c r="G1077" s="260"/>
      <c r="J1077" s="90" t="str">
        <f>IF(Table26[[#This Row],[customerSKU]]="","",_xlfn.XLOOKUP(Table26[[#This Row],[customerSKU]],customerSKU!G:G,customerSKU!A:A,"",0,1))</f>
        <v/>
      </c>
      <c r="K1077" s="232">
        <v>45701</v>
      </c>
      <c r="L1077" s="49" t="str">
        <f>IF(Table26[[#This Row],[customerSKU]]="","",_xlfn.XLOOKUP(Table26[[#This Row],[customerSKU]],customerSKU!G:G,customerSKU!B:B,"",0,1))</f>
        <v/>
      </c>
      <c r="M1077" s="22"/>
      <c r="N1077" s="15" t="str">
        <f>Table26[[#This Row],[po_number]]&amp;"-"&amp;Table26[[#This Row],[po_line]]</f>
        <v>-1</v>
      </c>
      <c r="O1077" s="15">
        <v>1</v>
      </c>
      <c r="P1077" s="50"/>
      <c r="S1077" s="90" t="str">
        <f>IF(Table26[[#This Row],[customerSKU]]="","",_xlfn.XLOOKUP(Table26[[#This Row],[customerSKU]],customerSKU!G:G,customerSKU!N:N,"NOT FOUND",0,1))</f>
        <v>NOT FOUND</v>
      </c>
      <c r="T1077" s="20"/>
      <c r="U1077" s="94">
        <v>12</v>
      </c>
      <c r="V1077" s="22" t="str">
        <f>IF(ISBLANK(Table26[[#This Row],[customerSKU]]),"",_xlfn.XLOOKUP(Table26[[#This Row],[customerSKU]],Table27[customer_SKU],Table27[case_size],"",0,1))</f>
        <v/>
      </c>
      <c r="W1077" s="117" t="str">
        <f t="shared" si="50"/>
        <v/>
      </c>
      <c r="X1077" s="22" t="str">
        <f t="shared" si="49"/>
        <v/>
      </c>
      <c r="Y1077" s="25" t="str">
        <f>IF(Table26[[#This Row],[customerSKU]]="","",_xlfn.XLOOKUP(Table26[[#This Row],[customerSKU]],Table27[customer_SKU],Table27[product_GTIN],"",0,1))</f>
        <v/>
      </c>
      <c r="Z1077" s="25">
        <v>61619</v>
      </c>
      <c r="AA1077" s="18" t="str" cm="1">
        <f t="array" ref="AA1077">IF(P1077="", "", _xlfn.XLOOKUP(P1077,#REF!,#REF!,NA,0,-1))</f>
        <v/>
      </c>
      <c r="AB1077" s="22"/>
      <c r="AC1077" s="55" t="str">
        <f>IF(Table26[[#This Row],[customerSKU]]="","",_xlfn.XLOOKUP(Table26[[#This Row],[customerSKU]],customerSKU!G:G,customerSKU!C:C,"",0,1))</f>
        <v/>
      </c>
      <c r="AD1077" s="55" t="str">
        <f>IF($AC1077="","",_xlfn.XLOOKUP($AC1077,'[2]Client Info'!$C$2:$C$2535,'[2]Client Info'!$D$2:$D$2535,"",0,1))</f>
        <v/>
      </c>
      <c r="AE1077" s="55" t="str">
        <f>IF($AC1077="","",_xlfn.XLOOKUP($AC1077,'[2]Client Info'!$C$2:$C$2715,'[2]Client Info'!$E$2:$E$2715,"",))</f>
        <v/>
      </c>
      <c r="AF1077" s="55" t="str">
        <f>IF($AC1077="","",_xlfn.XLOOKUP($AC1077,'[2]Client Info'!$C$2:$C$2715,'[2]Client Info'!$F$2:$F$2715,"",0,1))</f>
        <v/>
      </c>
      <c r="AG1077" s="55" t="str">
        <f>IF(ISBLANK(Table26[[#This Row],[customerSKU]]),"",_xlfn.XLOOKUP(Table26[[#This Row],[customerSKU]],Table27[customer_SKU],Table27[billto],"",0,1))</f>
        <v/>
      </c>
      <c r="AH1077" s="26" t="str">
        <f>_xlfn.XLOOKUP(Table26[[#This Row],[customerSKU]],customerSKU!G:G,customerSKU!K:K,"NA",0,1)</f>
        <v>NA</v>
      </c>
      <c r="AI1077" s="43" t="str">
        <f>_xlfn.XLOOKUP(Table26[[#This Row],[customerSKU]],customerSKU!G:G,customerSKU!O:O,"not found",0,1)</f>
        <v>not found</v>
      </c>
      <c r="AJ1077" s="22" t="e">
        <f>Table26[[#This Row],[unitprice]]*Table26[[#This Row],[quantity_unit]]</f>
        <v>#VALUE!</v>
      </c>
      <c r="AK1077" s="22" t="e" cm="1">
        <f t="array" ref="AK10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8" spans="1:37" ht="18" customHeight="1">
      <c r="A1078" s="42">
        <v>1189</v>
      </c>
      <c r="B1078" s="27" t="s">
        <v>3520</v>
      </c>
      <c r="C1078" s="90" t="s">
        <v>203</v>
      </c>
      <c r="E1078" s="20"/>
      <c r="F107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8" s="17"/>
      <c r="J1078" s="90" t="str">
        <f>IF(Table26[[#This Row],[customerSKU]]="","",_xlfn.XLOOKUP(Table26[[#This Row],[customerSKU]],customerSKU!G:G,customerSKU!A:A,"",0,1))</f>
        <v/>
      </c>
      <c r="K1078" s="232">
        <v>45701</v>
      </c>
      <c r="L1078" s="31" t="str">
        <f>IF(Table26[[#This Row],[customerSKU]]="","",_xlfn.XLOOKUP(Table26[[#This Row],[customerSKU]],customerSKU!G:G,customerSKU!B:B,"",0,1))</f>
        <v/>
      </c>
      <c r="M1078" s="22"/>
      <c r="N1078" s="15" t="str">
        <f>Table26[[#This Row],[po_number]]&amp;"-"&amp;Table26[[#This Row],[po_line]]</f>
        <v>-1</v>
      </c>
      <c r="O1078" s="15">
        <v>1</v>
      </c>
      <c r="P1078" s="50"/>
      <c r="Q1078" s="22" t="s">
        <v>4086</v>
      </c>
      <c r="R1078" s="22" t="s">
        <v>569</v>
      </c>
      <c r="S1078" s="22" t="str">
        <f>IF(Table26[[#This Row],[customerSKU]]="","",_xlfn.XLOOKUP(Table26[[#This Row],[customerSKU]],customerSKU!G:G,customerSKU!N:N,"NOT FOUND",0,1))</f>
        <v>NOT FOUND</v>
      </c>
      <c r="T1078" s="20">
        <v>45631</v>
      </c>
      <c r="U1078" s="21">
        <v>12</v>
      </c>
      <c r="V1078" s="22" t="str">
        <f>IF(ISBLANK(Table26[[#This Row],[customerSKU]]),"",_xlfn.XLOOKUP(Table26[[#This Row],[customerSKU]],Table27[customer_SKU],Table27[case_size],"",0,1))</f>
        <v/>
      </c>
      <c r="W1078" s="117" t="str">
        <f t="shared" si="50"/>
        <v/>
      </c>
      <c r="X1078" s="22" t="str">
        <f t="shared" si="49"/>
        <v/>
      </c>
      <c r="Y1078" s="22" t="str">
        <f>IF(Table26[[#This Row],[customerSKU]]="","",_xlfn.XLOOKUP(Table26[[#This Row],[customerSKU]],Table27[customer_SKU],Table27[product_GTIN],"",0,1))</f>
        <v/>
      </c>
      <c r="Z1078" s="25">
        <v>63251</v>
      </c>
      <c r="AA1078" s="18" t="str" cm="1">
        <f t="array" ref="AA1078">IF(P1078="", "", _xlfn.XLOOKUP(P1078,#REF!,#REF!,NA,0,-1))</f>
        <v/>
      </c>
      <c r="AB1078" s="22"/>
      <c r="AC1078" s="55" t="s">
        <v>164</v>
      </c>
      <c r="AD1078" s="55" t="str">
        <f>IF($AC1078="","",_xlfn.XLOOKUP($AC1078,'[2]Client Info'!$C$2:$C$2535,'[2]Client Info'!$D$2:$D$2535,"",0,1))</f>
        <v>110 WAPITI DRIVE</v>
      </c>
      <c r="AE1078" s="55" t="str">
        <f>IF($AC1078="","",_xlfn.XLOOKUP($AC1078,'[2]Client Info'!$C$2:$C$2715,'[2]Client Info'!$E$2:$E$2715,"",))</f>
        <v>ONANOLE</v>
      </c>
      <c r="AF1078" s="55" t="str">
        <f>IF($AC1078="","",_xlfn.XLOOKUP($AC1078,'[2]Client Info'!$C$2:$C$2715,'[2]Client Info'!$F$2:$F$2715,"",0,1))</f>
        <v>MB</v>
      </c>
      <c r="AG1078" s="55" t="str">
        <f>IF(ISBLANK(Table26[[#This Row],[customerSKU]]),"",_xlfn.XLOOKUP(Table26[[#This Row],[customerSKU]],Table27[customer_SKU],Table27[billto],"",0,1))</f>
        <v/>
      </c>
      <c r="AH1078" s="26" t="str">
        <f>_xlfn.XLOOKUP(Table26[[#This Row],[customerSKU]],customerSKU!G:G,customerSKU!K:K,"NA",0,1)</f>
        <v>NA</v>
      </c>
      <c r="AI1078" s="43" t="str">
        <f>_xlfn.XLOOKUP(Table26[[#This Row],[customerSKU]],customerSKU!G:G,customerSKU!O:O,"not found",0,1)</f>
        <v>not found</v>
      </c>
      <c r="AJ1078" s="22" t="e">
        <f>Table26[[#This Row],[unitprice]]*Table26[[#This Row],[quantity_unit]]</f>
        <v>#VALUE!</v>
      </c>
      <c r="AK1078" s="22" t="e" cm="1">
        <f t="array" ref="AK10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79" spans="1:37" ht="18" customHeight="1">
      <c r="A1079" s="42">
        <v>1190</v>
      </c>
      <c r="B1079" s="27" t="s">
        <v>3520</v>
      </c>
      <c r="C1079" s="90" t="s">
        <v>203</v>
      </c>
      <c r="E1079" s="20"/>
      <c r="F107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79" s="17"/>
      <c r="J1079" s="90" t="str">
        <f>IF(Table26[[#This Row],[customerSKU]]="","",_xlfn.XLOOKUP(Table26[[#This Row],[customerSKU]],customerSKU!G:G,customerSKU!A:A,"",0,1))</f>
        <v/>
      </c>
      <c r="K1079" s="232">
        <v>45701</v>
      </c>
      <c r="L1079" s="31" t="str">
        <f>IF(Table26[[#This Row],[customerSKU]]="","",_xlfn.XLOOKUP(Table26[[#This Row],[customerSKU]],customerSKU!G:G,customerSKU!B:B,"",0,1))</f>
        <v/>
      </c>
      <c r="M1079" s="22"/>
      <c r="N1079" s="15" t="str">
        <f>Table26[[#This Row],[po_number]]&amp;"-"&amp;Table26[[#This Row],[po_line]]</f>
        <v>-2</v>
      </c>
      <c r="O1079" s="15">
        <v>2</v>
      </c>
      <c r="P1079" s="50"/>
      <c r="Q1079" s="22" t="s">
        <v>1312</v>
      </c>
      <c r="R1079" s="22" t="s">
        <v>569</v>
      </c>
      <c r="S1079" s="22" t="str">
        <f>IF(Table26[[#This Row],[customerSKU]]="","",_xlfn.XLOOKUP(Table26[[#This Row],[customerSKU]],customerSKU!G:G,customerSKU!N:N,"NOT FOUND",0,1))</f>
        <v>NOT FOUND</v>
      </c>
      <c r="T1079" s="20">
        <v>45660</v>
      </c>
      <c r="U1079" s="21">
        <v>12</v>
      </c>
      <c r="V1079" s="22" t="str">
        <f>IF(ISBLANK(Table26[[#This Row],[customerSKU]]),"",_xlfn.XLOOKUP(Table26[[#This Row],[customerSKU]],Table27[customer_SKU],Table27[case_size],"",0,1))</f>
        <v/>
      </c>
      <c r="W1079" s="117" t="str">
        <f t="shared" si="50"/>
        <v/>
      </c>
      <c r="X1079" s="22" t="str">
        <f t="shared" si="49"/>
        <v/>
      </c>
      <c r="Y1079" s="22" t="str">
        <f>IF(Table26[[#This Row],[customerSKU]]="","",_xlfn.XLOOKUP(Table26[[#This Row],[customerSKU]],Table27[customer_SKU],Table27[product_GTIN],"",0,1))</f>
        <v/>
      </c>
      <c r="Z1079" s="25" t="s">
        <v>3528</v>
      </c>
      <c r="AA1079" s="18" t="str" cm="1">
        <f t="array" ref="AA1079">IF(P1079="", "", _xlfn.XLOOKUP(P1079,#REF!,#REF!,NA,0,-1))</f>
        <v/>
      </c>
      <c r="AB1079" s="22"/>
      <c r="AC1079" s="55" t="s">
        <v>164</v>
      </c>
      <c r="AD1079" s="55" t="str">
        <f>IF($AC1079="","",_xlfn.XLOOKUP($AC1079,'[2]Client Info'!$C$2:$C$2535,'[2]Client Info'!$D$2:$D$2535,"",0,1))</f>
        <v>110 WAPITI DRIVE</v>
      </c>
      <c r="AE1079" s="55" t="str">
        <f>IF($AC1079="","",_xlfn.XLOOKUP($AC1079,'[2]Client Info'!$C$2:$C$2715,'[2]Client Info'!$E$2:$E$2715,"",))</f>
        <v>ONANOLE</v>
      </c>
      <c r="AF1079" s="55" t="str">
        <f>IF($AC1079="","",_xlfn.XLOOKUP($AC1079,'[2]Client Info'!$C$2:$C$2715,'[2]Client Info'!$F$2:$F$2715,"",0,1))</f>
        <v>MB</v>
      </c>
      <c r="AG1079" s="55" t="str">
        <f>IF(ISBLANK(Table26[[#This Row],[customerSKU]]),"",_xlfn.XLOOKUP(Table26[[#This Row],[customerSKU]],Table27[customer_SKU],Table27[billto],"",0,1))</f>
        <v/>
      </c>
      <c r="AH1079" s="26" t="str">
        <f>_xlfn.XLOOKUP(Table26[[#This Row],[customerSKU]],customerSKU!G:G,customerSKU!K:K,"NA",0,1)</f>
        <v>NA</v>
      </c>
      <c r="AI1079" s="43" t="str">
        <f>_xlfn.XLOOKUP(Table26[[#This Row],[customerSKU]],customerSKU!G:G,customerSKU!O:O,"not found",0,1)</f>
        <v>not found</v>
      </c>
      <c r="AJ1079" s="22" t="e">
        <f>Table26[[#This Row],[unitprice]]*Table26[[#This Row],[quantity_unit]]</f>
        <v>#VALUE!</v>
      </c>
      <c r="AK1079" s="22" t="e" cm="1">
        <f t="array" ref="AK10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0" spans="1:37" ht="18" customHeight="1">
      <c r="A1080" s="42">
        <v>1191</v>
      </c>
      <c r="B1080" s="27" t="s">
        <v>3520</v>
      </c>
      <c r="C1080" s="22" t="s">
        <v>3360</v>
      </c>
      <c r="E1080" s="20"/>
      <c r="F108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80" s="17"/>
      <c r="J1080" s="90" t="str">
        <f>IF(Table26[[#This Row],[customerSKU]]="","",_xlfn.XLOOKUP(Table26[[#This Row],[customerSKU]],customerSKU!G:G,customerSKU!A:A,"",0,1))</f>
        <v/>
      </c>
      <c r="K1080" s="232">
        <v>45701</v>
      </c>
      <c r="L1080" s="31" t="str">
        <f>IF(Table26[[#This Row],[customerSKU]]="","",_xlfn.XLOOKUP(Table26[[#This Row],[customerSKU]],customerSKU!G:G,customerSKU!B:B,"",0,1))</f>
        <v/>
      </c>
      <c r="M1080" s="22"/>
      <c r="N1080" s="15" t="str">
        <f>Table26[[#This Row],[po_number]]&amp;"-"&amp;Table26[[#This Row],[po_line]]</f>
        <v>-1</v>
      </c>
      <c r="O1080" s="15">
        <v>1</v>
      </c>
      <c r="P1080" s="50"/>
      <c r="S1080" s="22" t="str">
        <f>IF(Table26[[#This Row],[customerSKU]]="","",_xlfn.XLOOKUP(Table26[[#This Row],[customerSKU]],customerSKU!G:G,customerSKU!N:N,"NOT FOUND",0,1))</f>
        <v>NOT FOUND</v>
      </c>
      <c r="T1080" s="20"/>
      <c r="U1080" s="21">
        <v>24</v>
      </c>
      <c r="V1080" s="22" t="str">
        <f>IF(ISBLANK(Table26[[#This Row],[customerSKU]]),"",_xlfn.XLOOKUP(Table26[[#This Row],[customerSKU]],Table27[customer_SKU],Table27[case_size],"",0,1))</f>
        <v/>
      </c>
      <c r="W1080" s="117" t="str">
        <f t="shared" si="50"/>
        <v/>
      </c>
      <c r="X1080" s="22" t="str">
        <f t="shared" si="49"/>
        <v/>
      </c>
      <c r="Y1080" s="22" t="str">
        <f>IF(Table26[[#This Row],[customerSKU]]="","",_xlfn.XLOOKUP(Table26[[#This Row],[customerSKU]],Table27[customer_SKU],Table27[product_GTIN],"",0,1))</f>
        <v/>
      </c>
      <c r="Z1080" s="25">
        <v>61619</v>
      </c>
      <c r="AA1080" s="18" t="str" cm="1">
        <f t="array" ref="AA1080">IF(P1080="", "", _xlfn.XLOOKUP(P1080,#REF!,#REF!,NA,0,-1))</f>
        <v/>
      </c>
      <c r="AB1080" s="22"/>
      <c r="AC1080" s="55" t="str">
        <f>IF(Table26[[#This Row],[customerSKU]]="","",_xlfn.XLOOKUP(Table26[[#This Row],[customerSKU]],customerSKU!G:G,customerSKU!C:C,"",0,1))</f>
        <v/>
      </c>
      <c r="AD1080" s="55" t="str">
        <f>IF($AC1080="","",_xlfn.XLOOKUP($AC1080,'[2]Client Info'!$C$2:$C$2535,'[2]Client Info'!$D$2:$D$2535,"",0,1))</f>
        <v/>
      </c>
      <c r="AE1080" s="55" t="str">
        <f>IF($AC1080="","",_xlfn.XLOOKUP($AC1080,'[2]Client Info'!$C$2:$C$2715,'[2]Client Info'!$E$2:$E$2715,"",))</f>
        <v/>
      </c>
      <c r="AF1080" s="55" t="str">
        <f>IF($AC1080="","",_xlfn.XLOOKUP($AC1080,'[2]Client Info'!$C$2:$C$2715,'[2]Client Info'!$F$2:$F$2715,"",0,1))</f>
        <v/>
      </c>
      <c r="AG1080" s="55" t="str">
        <f>IF(ISBLANK(Table26[[#This Row],[customerSKU]]),"",_xlfn.XLOOKUP(Table26[[#This Row],[customerSKU]],Table27[customer_SKU],Table27[billto],"",0,1))</f>
        <v/>
      </c>
      <c r="AH1080" s="26" t="str">
        <f>_xlfn.XLOOKUP(Table26[[#This Row],[customerSKU]],customerSKU!G:G,customerSKU!K:K,"NA",0,1)</f>
        <v>NA</v>
      </c>
      <c r="AI1080" s="43" t="str">
        <f>_xlfn.XLOOKUP(Table26[[#This Row],[customerSKU]],customerSKU!G:G,customerSKU!O:O,"not found",0,1)</f>
        <v>not found</v>
      </c>
      <c r="AJ1080" s="22" t="e">
        <f>Table26[[#This Row],[unitprice]]*Table26[[#This Row],[quantity_unit]]</f>
        <v>#VALUE!</v>
      </c>
      <c r="AK1080" s="22" t="e" cm="1">
        <f t="array" ref="AK10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1" spans="1:37" ht="18" customHeight="1">
      <c r="A1081" s="42">
        <v>1165</v>
      </c>
      <c r="B1081" s="42" t="s">
        <v>3357</v>
      </c>
      <c r="C1081" s="53" t="s">
        <v>203</v>
      </c>
      <c r="E1081" s="20"/>
      <c r="F1081" s="25"/>
      <c r="G1081" s="93"/>
      <c r="J1081" s="90" t="str">
        <f>IF(Table26[[#This Row],[customerSKU]]="","",_xlfn.XLOOKUP(Table26[[#This Row],[customerSKU]],customerSKU!G:G,customerSKU!A:A,"",0,1))</f>
        <v/>
      </c>
      <c r="K1081" s="232">
        <v>45702</v>
      </c>
      <c r="L1081" s="49" t="str">
        <f>IF(Table26[[#This Row],[customerSKU]]="","",_xlfn.XLOOKUP(Table26[[#This Row],[customerSKU]],customerSKU!G:G,customerSKU!B:B,"",0,1))</f>
        <v/>
      </c>
      <c r="M1081" s="22"/>
      <c r="N1081" s="15" t="str">
        <f>Table26[[#This Row],[po_number]]&amp;"-"&amp;Table26[[#This Row],[po_line]]</f>
        <v>-1</v>
      </c>
      <c r="O1081" s="15">
        <v>1</v>
      </c>
      <c r="P1081" s="50"/>
      <c r="Q1081" s="22" t="s">
        <v>4118</v>
      </c>
      <c r="R1081" s="22" t="s">
        <v>569</v>
      </c>
      <c r="S1081" s="90" t="str">
        <f>IF(Table26[[#This Row],[customerSKU]]="","",_xlfn.XLOOKUP(Table26[[#This Row],[customerSKU]],customerSKU!G:G,customerSKU!N:N,"NOT FOUND",0,1))</f>
        <v>NOT FOUND</v>
      </c>
      <c r="T1081" s="20">
        <v>45695</v>
      </c>
      <c r="U1081" s="94">
        <f>43*12</f>
        <v>516</v>
      </c>
      <c r="V1081" s="22" t="str">
        <f>IF(ISBLANK(Table26[[#This Row],[customerSKU]]),"",_xlfn.XLOOKUP(Table26[[#This Row],[customerSKU]],Table27[customer_SKU],Table27[case_size],"",0,1))</f>
        <v/>
      </c>
      <c r="W1081" s="117" t="str">
        <f t="shared" si="50"/>
        <v/>
      </c>
      <c r="X1081" s="22" t="str">
        <f t="shared" si="49"/>
        <v/>
      </c>
      <c r="Y1081" s="25" t="str">
        <f>IF(Table26[[#This Row],[customerSKU]]="","",_xlfn.XLOOKUP(Table26[[#This Row],[customerSKU]],Table27[customer_SKU],Table27[product_GTIN],"",0,1))</f>
        <v/>
      </c>
      <c r="Z1081" s="25" t="s">
        <v>3411</v>
      </c>
      <c r="AA1081" s="18" t="str" cm="1">
        <f t="array" ref="AA1081">IF(P1081="", "", _xlfn.XLOOKUP(P1081,#REF!,#REF!,NA,0,-1))</f>
        <v/>
      </c>
      <c r="AB1081" s="22"/>
      <c r="AC1081" s="55" t="str">
        <f>IF(Table26[[#This Row],[customerSKU]]="","",_xlfn.XLOOKUP(Table26[[#This Row],[customerSKU]],customerSKU!G:G,customerSKU!C:C,"",0,1))</f>
        <v/>
      </c>
      <c r="AD1081" s="55" t="str">
        <f>IF($AC1081="","",_xlfn.XLOOKUP($AC1081,'[2]Client Info'!$C$2:$C$2535,'[2]Client Info'!$D$2:$D$2535,"",0,1))</f>
        <v/>
      </c>
      <c r="AE1081" s="55" t="str">
        <f>IF($AC1081="","",_xlfn.XLOOKUP($AC1081,'[2]Client Info'!$C$2:$C$2715,'[2]Client Info'!$E$2:$E$2715,"",))</f>
        <v/>
      </c>
      <c r="AF1081" s="55" t="str">
        <f>IF($AC1081="","",_xlfn.XLOOKUP($AC1081,'[2]Client Info'!$C$2:$C$2715,'[2]Client Info'!$F$2:$F$2715,"",0,1))</f>
        <v/>
      </c>
      <c r="AG1081" s="55" t="str">
        <f>IF(ISBLANK(Table26[[#This Row],[customerSKU]]),"",_xlfn.XLOOKUP(Table26[[#This Row],[customerSKU]],Table27[customer_SKU],Table27[billto],"",0,1))</f>
        <v/>
      </c>
      <c r="AH1081" s="26" t="str">
        <f>_xlfn.XLOOKUP(Table26[[#This Row],[customerSKU]],customerSKU!G:G,customerSKU!K:K,"NA",0,1)</f>
        <v>NA</v>
      </c>
      <c r="AI1081" s="43" t="str">
        <f>_xlfn.XLOOKUP(Table26[[#This Row],[customerSKU]],customerSKU!G:G,customerSKU!O:O,"not found",0,1)</f>
        <v>not found</v>
      </c>
      <c r="AJ1081" s="22" t="e">
        <f>Table26[[#This Row],[unitprice]]*Table26[[#This Row],[quantity_unit]]</f>
        <v>#VALUE!</v>
      </c>
      <c r="AK1081" s="22" t="e" cm="1">
        <f t="array" ref="AK10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2" spans="1:37" ht="18" customHeight="1">
      <c r="A1082" s="42">
        <v>1166</v>
      </c>
      <c r="B1082" s="42" t="s">
        <v>3357</v>
      </c>
      <c r="C1082" s="53" t="s">
        <v>203</v>
      </c>
      <c r="E1082" s="20"/>
      <c r="F1082" s="25"/>
      <c r="G1082" s="93"/>
      <c r="J1082" s="90" t="str">
        <f>IF(Table26[[#This Row],[customerSKU]]="","",_xlfn.XLOOKUP(Table26[[#This Row],[customerSKU]],customerSKU!G:G,customerSKU!A:A,"",0,1))</f>
        <v/>
      </c>
      <c r="K1082" s="232">
        <v>45702</v>
      </c>
      <c r="L1082" s="49" t="str">
        <f>IF(Table26[[#This Row],[customerSKU]]="","",_xlfn.XLOOKUP(Table26[[#This Row],[customerSKU]],customerSKU!G:G,customerSKU!B:B,"",0,1))</f>
        <v/>
      </c>
      <c r="M1082" s="22"/>
      <c r="N1082" s="15" t="str">
        <f>Table26[[#This Row],[po_number]]&amp;"-"&amp;Table26[[#This Row],[po_line]]</f>
        <v>-2</v>
      </c>
      <c r="O1082" s="15">
        <v>2</v>
      </c>
      <c r="P1082" s="50"/>
      <c r="Q1082" s="22" t="s">
        <v>4119</v>
      </c>
      <c r="R1082" s="22" t="s">
        <v>3419</v>
      </c>
      <c r="S1082" s="90" t="str">
        <f>IF(Table26[[#This Row],[customerSKU]]="","",_xlfn.XLOOKUP(Table26[[#This Row],[customerSKU]],customerSKU!G:G,customerSKU!N:N,"NOT FOUND",0,1))</f>
        <v>NOT FOUND</v>
      </c>
      <c r="T1082" s="20">
        <v>45695</v>
      </c>
      <c r="U1082" s="94">
        <f>28*12</f>
        <v>336</v>
      </c>
      <c r="V1082" s="22" t="str">
        <f>IF(ISBLANK(Table26[[#This Row],[customerSKU]]),"",_xlfn.XLOOKUP(Table26[[#This Row],[customerSKU]],Table27[customer_SKU],Table27[case_size],"",0,1))</f>
        <v/>
      </c>
      <c r="W1082" s="117" t="str">
        <f t="shared" si="50"/>
        <v/>
      </c>
      <c r="X1082" s="22" t="str">
        <f t="shared" si="49"/>
        <v/>
      </c>
      <c r="Y1082" s="25" t="str">
        <f>IF(Table26[[#This Row],[customerSKU]]="","",_xlfn.XLOOKUP(Table26[[#This Row],[customerSKU]],Table27[customer_SKU],Table27[product_GTIN],"",0,1))</f>
        <v/>
      </c>
      <c r="Z1082" s="25" t="s">
        <v>4120</v>
      </c>
      <c r="AA1082" s="18" t="str" cm="1">
        <f t="array" ref="AA1082">IF(P1082="", "", _xlfn.XLOOKUP(P1082,#REF!,#REF!,NA,0,-1))</f>
        <v/>
      </c>
      <c r="AB1082" s="22"/>
      <c r="AC1082" s="55" t="str">
        <f>IF(Table26[[#This Row],[customerSKU]]="","",_xlfn.XLOOKUP(Table26[[#This Row],[customerSKU]],customerSKU!G:G,customerSKU!C:C,"",0,1))</f>
        <v/>
      </c>
      <c r="AD1082" s="55" t="str">
        <f>IF($AC1082="","",_xlfn.XLOOKUP($AC1082,'[2]Client Info'!$C$2:$C$2535,'[2]Client Info'!$D$2:$D$2535,"",0,1))</f>
        <v/>
      </c>
      <c r="AE1082" s="55" t="str">
        <f>IF($AC1082="","",_xlfn.XLOOKUP($AC1082,'[2]Client Info'!$C$2:$C$2715,'[2]Client Info'!$E$2:$E$2715,"",))</f>
        <v/>
      </c>
      <c r="AF1082" s="55" t="str">
        <f>IF($AC1082="","",_xlfn.XLOOKUP($AC1082,'[2]Client Info'!$C$2:$C$2715,'[2]Client Info'!$F$2:$F$2715,"",0,1))</f>
        <v/>
      </c>
      <c r="AG1082" s="55" t="str">
        <f>IF(ISBLANK(Table26[[#This Row],[customerSKU]]),"",_xlfn.XLOOKUP(Table26[[#This Row],[customerSKU]],Table27[customer_SKU],Table27[billto],"",0,1))</f>
        <v/>
      </c>
      <c r="AH1082" s="26" t="str">
        <f>_xlfn.XLOOKUP(Table26[[#This Row],[customerSKU]],customerSKU!G:G,customerSKU!K:K,"NA",0,1)</f>
        <v>NA</v>
      </c>
      <c r="AI1082" s="43" t="str">
        <f>_xlfn.XLOOKUP(Table26[[#This Row],[customerSKU]],customerSKU!G:G,customerSKU!O:O,"not found",0,1)</f>
        <v>not found</v>
      </c>
      <c r="AJ1082" s="22" t="e">
        <f>Table26[[#This Row],[unitprice]]*Table26[[#This Row],[quantity_unit]]</f>
        <v>#VALUE!</v>
      </c>
      <c r="AK1082" s="22" t="e" cm="1">
        <f t="array" ref="AK10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3" spans="1:37" ht="18" customHeight="1">
      <c r="A1083" s="42">
        <v>1167</v>
      </c>
      <c r="B1083" s="42" t="s">
        <v>3357</v>
      </c>
      <c r="C1083" s="53" t="s">
        <v>203</v>
      </c>
      <c r="E1083" s="20"/>
      <c r="F1083" s="25"/>
      <c r="G1083" s="93"/>
      <c r="J1083" s="90" t="str">
        <f>IF(Table26[[#This Row],[customerSKU]]="","",_xlfn.XLOOKUP(Table26[[#This Row],[customerSKU]],customerSKU!G:G,customerSKU!A:A,"",0,1))</f>
        <v/>
      </c>
      <c r="K1083" s="232">
        <v>45702</v>
      </c>
      <c r="L1083" s="49" t="str">
        <f>IF(Table26[[#This Row],[customerSKU]]="","",_xlfn.XLOOKUP(Table26[[#This Row],[customerSKU]],customerSKU!G:G,customerSKU!B:B,"",0,1))</f>
        <v/>
      </c>
      <c r="M1083" s="22"/>
      <c r="N1083" s="15" t="str">
        <f>Table26[[#This Row],[po_number]]&amp;"-"&amp;Table26[[#This Row],[po_line]]</f>
        <v>-3</v>
      </c>
      <c r="O1083" s="15">
        <v>3</v>
      </c>
      <c r="P1083" s="50"/>
      <c r="Q1083" s="22" t="s">
        <v>4121</v>
      </c>
      <c r="R1083" s="22" t="s">
        <v>569</v>
      </c>
      <c r="S1083" s="90" t="str">
        <f>IF(Table26[[#This Row],[customerSKU]]="","",_xlfn.XLOOKUP(Table26[[#This Row],[customerSKU]],customerSKU!G:G,customerSKU!N:N,"NOT FOUND",0,1))</f>
        <v>NOT FOUND</v>
      </c>
      <c r="T1083" s="20">
        <v>45698</v>
      </c>
      <c r="U1083" s="94">
        <v>480</v>
      </c>
      <c r="V1083" s="22" t="str">
        <f>IF(ISBLANK(Table26[[#This Row],[customerSKU]]),"",_xlfn.XLOOKUP(Table26[[#This Row],[customerSKU]],Table27[customer_SKU],Table27[case_size],"",0,1))</f>
        <v/>
      </c>
      <c r="W1083" s="117" t="str">
        <f t="shared" si="50"/>
        <v/>
      </c>
      <c r="X1083" s="22" t="str">
        <f t="shared" si="49"/>
        <v/>
      </c>
      <c r="Y1083" s="25" t="str">
        <f>IF(Table26[[#This Row],[customerSKU]]="","",_xlfn.XLOOKUP(Table26[[#This Row],[customerSKU]],Table27[customer_SKU],Table27[product_GTIN],"",0,1))</f>
        <v/>
      </c>
      <c r="Z1083" s="25" t="s">
        <v>4122</v>
      </c>
      <c r="AA1083" s="18" t="str" cm="1">
        <f t="array" ref="AA1083">IF(P1083="", "", _xlfn.XLOOKUP(P1083,#REF!,#REF!,NA,0,-1))</f>
        <v/>
      </c>
      <c r="AB1083" s="22"/>
      <c r="AC1083" s="55" t="str">
        <f>IF(Table26[[#This Row],[customerSKU]]="","",_xlfn.XLOOKUP(Table26[[#This Row],[customerSKU]],customerSKU!G:G,customerSKU!C:C,"",0,1))</f>
        <v/>
      </c>
      <c r="AD1083" s="55" t="str">
        <f>IF($AC1083="","",_xlfn.XLOOKUP($AC1083,'[2]Client Info'!$C$2:$C$2535,'[2]Client Info'!$D$2:$D$2535,"",0,1))</f>
        <v/>
      </c>
      <c r="AE1083" s="55" t="str">
        <f>IF($AC1083="","",_xlfn.XLOOKUP($AC1083,'[2]Client Info'!$C$2:$C$2715,'[2]Client Info'!$E$2:$E$2715,"",))</f>
        <v/>
      </c>
      <c r="AF1083" s="55" t="str">
        <f>IF($AC1083="","",_xlfn.XLOOKUP($AC1083,'[2]Client Info'!$C$2:$C$2715,'[2]Client Info'!$F$2:$F$2715,"",0,1))</f>
        <v/>
      </c>
      <c r="AG1083" s="55" t="str">
        <f>IF(ISBLANK(Table26[[#This Row],[customerSKU]]),"",_xlfn.XLOOKUP(Table26[[#This Row],[customerSKU]],Table27[customer_SKU],Table27[billto],"",0,1))</f>
        <v/>
      </c>
      <c r="AH1083" s="26" t="str">
        <f>_xlfn.XLOOKUP(Table26[[#This Row],[customerSKU]],customerSKU!G:G,customerSKU!K:K,"NA",0,1)</f>
        <v>NA</v>
      </c>
      <c r="AI1083" s="43" t="str">
        <f>_xlfn.XLOOKUP(Table26[[#This Row],[customerSKU]],customerSKU!G:G,customerSKU!O:O,"not found",0,1)</f>
        <v>not found</v>
      </c>
      <c r="AJ1083" s="22" t="e">
        <f>Table26[[#This Row],[unitprice]]*Table26[[#This Row],[quantity_unit]]</f>
        <v>#VALUE!</v>
      </c>
      <c r="AK1083" s="22" t="e" cm="1">
        <f t="array" ref="AK10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4" spans="1:37" ht="18" customHeight="1">
      <c r="A1084" s="42">
        <v>1168</v>
      </c>
      <c r="B1084" s="42" t="s">
        <v>3357</v>
      </c>
      <c r="C1084" s="53" t="s">
        <v>203</v>
      </c>
      <c r="E1084" s="20"/>
      <c r="F1084" s="25"/>
      <c r="G1084" s="93"/>
      <c r="J1084" s="90" t="str">
        <f>IF(Table26[[#This Row],[customerSKU]]="","",_xlfn.XLOOKUP(Table26[[#This Row],[customerSKU]],customerSKU!G:G,customerSKU!A:A,"",0,1))</f>
        <v/>
      </c>
      <c r="K1084" s="232">
        <v>45702</v>
      </c>
      <c r="L1084" s="49" t="str">
        <f>IF(Table26[[#This Row],[customerSKU]]="","",_xlfn.XLOOKUP(Table26[[#This Row],[customerSKU]],customerSKU!G:G,customerSKU!B:B,"",0,1))</f>
        <v/>
      </c>
      <c r="M1084" s="22"/>
      <c r="N1084" s="15" t="str">
        <f>Table26[[#This Row],[po_number]]&amp;"-"&amp;Table26[[#This Row],[po_line]]</f>
        <v>-4</v>
      </c>
      <c r="O1084" s="15">
        <v>4</v>
      </c>
      <c r="P1084" s="50"/>
      <c r="Q1084" s="22" t="s">
        <v>4121</v>
      </c>
      <c r="R1084" s="22" t="s">
        <v>569</v>
      </c>
      <c r="S1084" s="90" t="str">
        <f>IF(Table26[[#This Row],[customerSKU]]="","",_xlfn.XLOOKUP(Table26[[#This Row],[customerSKU]],customerSKU!G:G,customerSKU!N:N,"NOT FOUND",0,1))</f>
        <v>NOT FOUND</v>
      </c>
      <c r="T1084" s="20">
        <v>45698</v>
      </c>
      <c r="U1084" s="94">
        <v>240</v>
      </c>
      <c r="V1084" s="22" t="str">
        <f>IF(ISBLANK(Table26[[#This Row],[customerSKU]]),"",_xlfn.XLOOKUP(Table26[[#This Row],[customerSKU]],Table27[customer_SKU],Table27[case_size],"",0,1))</f>
        <v/>
      </c>
      <c r="W1084" s="117" t="str">
        <f t="shared" si="50"/>
        <v/>
      </c>
      <c r="X1084" s="22" t="str">
        <f t="shared" si="49"/>
        <v/>
      </c>
      <c r="Y1084" s="25" t="str">
        <f>IF(Table26[[#This Row],[customerSKU]]="","",_xlfn.XLOOKUP(Table26[[#This Row],[customerSKU]],Table27[customer_SKU],Table27[product_GTIN],"",0,1))</f>
        <v/>
      </c>
      <c r="Z1084" s="25" t="s">
        <v>4123</v>
      </c>
      <c r="AA1084" s="18" t="str" cm="1">
        <f t="array" ref="AA1084">IF(P1084="", "", _xlfn.XLOOKUP(P1084,#REF!,#REF!,NA,0,-1))</f>
        <v/>
      </c>
      <c r="AB1084" s="22"/>
      <c r="AC1084" s="55" t="str">
        <f>IF(Table26[[#This Row],[customerSKU]]="","",_xlfn.XLOOKUP(Table26[[#This Row],[customerSKU]],customerSKU!G:G,customerSKU!C:C,"",0,1))</f>
        <v/>
      </c>
      <c r="AD1084" s="55" t="str">
        <f>IF($AC1084="","",_xlfn.XLOOKUP($AC1084,'[2]Client Info'!$C$2:$C$2535,'[2]Client Info'!$D$2:$D$2535,"",0,1))</f>
        <v/>
      </c>
      <c r="AE1084" s="55" t="str">
        <f>IF($AC1084="","",_xlfn.XLOOKUP($AC1084,'[2]Client Info'!$C$2:$C$2715,'[2]Client Info'!$E$2:$E$2715,"",))</f>
        <v/>
      </c>
      <c r="AF1084" s="55" t="str">
        <f>IF($AC1084="","",_xlfn.XLOOKUP($AC1084,'[2]Client Info'!$C$2:$C$2715,'[2]Client Info'!$F$2:$F$2715,"",0,1))</f>
        <v/>
      </c>
      <c r="AG1084" s="55" t="str">
        <f>IF(ISBLANK(Table26[[#This Row],[customerSKU]]),"",_xlfn.XLOOKUP(Table26[[#This Row],[customerSKU]],Table27[customer_SKU],Table27[billto],"",0,1))</f>
        <v/>
      </c>
      <c r="AH1084" s="26" t="str">
        <f>_xlfn.XLOOKUP(Table26[[#This Row],[customerSKU]],customerSKU!G:G,customerSKU!K:K,"NA",0,1)</f>
        <v>NA</v>
      </c>
      <c r="AI1084" s="43" t="str">
        <f>_xlfn.XLOOKUP(Table26[[#This Row],[customerSKU]],customerSKU!G:G,customerSKU!O:O,"not found",0,1)</f>
        <v>not found</v>
      </c>
      <c r="AJ1084" s="22" t="e">
        <f>Table26[[#This Row],[unitprice]]*Table26[[#This Row],[quantity_unit]]</f>
        <v>#VALUE!</v>
      </c>
      <c r="AK1084" s="22" t="e" cm="1">
        <f t="array" ref="AK10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5" spans="1:37" ht="18" customHeight="1">
      <c r="A1085" s="42">
        <v>1169</v>
      </c>
      <c r="B1085" s="27" t="s">
        <v>3520</v>
      </c>
      <c r="C1085" s="53" t="s">
        <v>203</v>
      </c>
      <c r="E1085" s="20"/>
      <c r="F1085" s="25"/>
      <c r="G1085" s="93"/>
      <c r="I1085" s="19"/>
      <c r="J1085" s="90" t="str">
        <f>IF(Table26[[#This Row],[customerSKU]]="","",_xlfn.XLOOKUP(Table26[[#This Row],[customerSKU]],customerSKU!G:G,customerSKU!A:A,"",0,1))</f>
        <v/>
      </c>
      <c r="K1085" s="19">
        <v>45702</v>
      </c>
      <c r="L1085" s="31" t="s">
        <v>618</v>
      </c>
      <c r="M1085" s="22"/>
      <c r="N1085" s="15" t="str">
        <f>Table26[[#This Row],[po_number]]&amp;"-"&amp;Table26[[#This Row],[po_line]]</f>
        <v>-1</v>
      </c>
      <c r="O1085" s="15">
        <v>1</v>
      </c>
      <c r="P1085" s="50"/>
      <c r="Q1085" s="22" t="s">
        <v>905</v>
      </c>
      <c r="R1085" s="22" t="s">
        <v>3419</v>
      </c>
      <c r="S1085" s="22" t="str">
        <f>IF(Table26[[#This Row],[customerSKU]]="","",_xlfn.XLOOKUP(Table26[[#This Row],[customerSKU]],customerSKU!G:G,customerSKU!N:N,"NOT FOUND",0,1))</f>
        <v>NOT FOUND</v>
      </c>
      <c r="T1085" s="20" t="s">
        <v>4182</v>
      </c>
      <c r="U1085" s="94" t="s">
        <v>4183</v>
      </c>
      <c r="V1085" s="22" t="str">
        <f>IF(ISBLANK(Table26[[#This Row],[customerSKU]]),"",_xlfn.XLOOKUP(Table26[[#This Row],[customerSKU]],Table27[customer_SKU],Table27[case_size],"",0,1))</f>
        <v/>
      </c>
      <c r="X1085" s="22" t="str">
        <f t="shared" si="49"/>
        <v/>
      </c>
      <c r="Y1085" s="22" t="str">
        <f>IF(Table26[[#This Row],[customerSKU]]="","",_xlfn.XLOOKUP(Table26[[#This Row],[customerSKU]],Table27[customer_SKU],Table27[product_GTIN],"",0,1))</f>
        <v/>
      </c>
      <c r="Z1085" s="25" t="s">
        <v>4180</v>
      </c>
      <c r="AA1085" s="18" t="str" cm="1">
        <f t="array" ref="AA1085">IF(P1085="", "", _xlfn.XLOOKUP(P1085,#REF!,#REF!,NA,0,-1))</f>
        <v/>
      </c>
      <c r="AB1085" s="22"/>
      <c r="AC1085" s="55" t="s">
        <v>4181</v>
      </c>
      <c r="AD1085" s="55"/>
      <c r="AE1085" s="55"/>
      <c r="AF1085" s="55"/>
      <c r="AG1085" s="55"/>
      <c r="AH1085" s="26" t="str">
        <f>_xlfn.XLOOKUP(Table26[[#This Row],[customerSKU]],customerSKU!G:G,customerSKU!K:K,"NA",0,1)</f>
        <v>NA</v>
      </c>
      <c r="AI1085" s="43" t="str">
        <f>_xlfn.XLOOKUP(Table26[[#This Row],[customerSKU]],customerSKU!G:G,customerSKU!O:O,"not found",0,1)</f>
        <v>not found</v>
      </c>
      <c r="AJ1085" s="22" t="e">
        <f>Table26[[#This Row],[unitprice]]*Table26[[#This Row],[quantity_unit]]</f>
        <v>#VALUE!</v>
      </c>
      <c r="AK1085" s="22" t="e" cm="1">
        <f t="array" ref="AK10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6" spans="1:37" ht="18" customHeight="1">
      <c r="A1086" s="42">
        <v>1170</v>
      </c>
      <c r="B1086" s="27" t="s">
        <v>3520</v>
      </c>
      <c r="C1086" s="53" t="s">
        <v>203</v>
      </c>
      <c r="E1086" s="20"/>
      <c r="F1086" s="25"/>
      <c r="G1086" s="93"/>
      <c r="I1086" s="19"/>
      <c r="J1086" s="90" t="str">
        <f>IF(Table26[[#This Row],[customerSKU]]="","",_xlfn.XLOOKUP(Table26[[#This Row],[customerSKU]],customerSKU!G:G,customerSKU!A:A,"",0,1))</f>
        <v/>
      </c>
      <c r="K1086" s="19">
        <v>45702</v>
      </c>
      <c r="L1086" s="49" t="s">
        <v>201</v>
      </c>
      <c r="M1086" s="22"/>
      <c r="N1086" s="15" t="str">
        <f>Table26[[#This Row],[po_number]]&amp;"-"&amp;Table26[[#This Row],[po_line]]</f>
        <v>-1</v>
      </c>
      <c r="O1086" s="15">
        <v>1</v>
      </c>
      <c r="P1086" s="29"/>
      <c r="Q1086" s="22" t="s">
        <v>4038</v>
      </c>
      <c r="R1086" s="22" t="s">
        <v>3419</v>
      </c>
      <c r="S1086" s="90" t="s">
        <v>3770</v>
      </c>
      <c r="T1086" s="20">
        <v>45605</v>
      </c>
      <c r="U1086" s="94">
        <v>107</v>
      </c>
      <c r="V1086" s="22" t="str">
        <f>IF(ISBLANK(Table26[[#This Row],[customerSKU]]),"",_xlfn.XLOOKUP(Table26[[#This Row],[customerSKU]],Table27[customer_SKU],Table27[case_size],"",0,1))</f>
        <v/>
      </c>
      <c r="W1086" s="117" t="str">
        <f t="shared" ref="W1086:W1149" si="51">IFERROR(U1086/V1086, "")</f>
        <v/>
      </c>
      <c r="X1086" s="22" t="str">
        <f t="shared" si="49"/>
        <v/>
      </c>
      <c r="Y1086" s="22" t="str">
        <f>IF(Table26[[#This Row],[customerSKU]]="","",_xlfn.XLOOKUP(Table26[[#This Row],[customerSKU]],Table27[customer_SKU],Table27[product_GTIN],"",0,1))</f>
        <v/>
      </c>
      <c r="Z1086" s="25" t="s">
        <v>4185</v>
      </c>
      <c r="AA1086" s="18" t="str" cm="1">
        <f t="array" ref="AA1086">IF(P1086="", "", _xlfn.XLOOKUP(P1086,#REF!,#REF!,NA,0,-1))</f>
        <v/>
      </c>
      <c r="AB1086" s="22"/>
      <c r="AC1086" s="55" t="s">
        <v>3509</v>
      </c>
      <c r="AD1086" s="55" t="str">
        <f>IF($AC1086="","",_xlfn.XLOOKUP($AC1086,'[2]Client Info'!$C$2:$C$2535,'[2]Client Info'!$D$2:$D$2535,"",0,1))</f>
        <v>#201 – 1420 Alpha Lake Road</v>
      </c>
      <c r="AE1086" s="55" t="str">
        <f>IF($AC1086="","",_xlfn.XLOOKUP($AC1086,'[2]Client Info'!$C$2:$C$2715,'[2]Client Info'!$E$2:$E$2715,"",))</f>
        <v>Whistler</v>
      </c>
      <c r="AF1086" s="55" t="str">
        <f>IF($AC1086="","",_xlfn.XLOOKUP($AC1086,'[2]Client Info'!$C$2:$C$2715,'[2]Client Info'!$F$2:$F$2715,"",0,1))</f>
        <v>BC</v>
      </c>
      <c r="AG1086" s="55" t="s">
        <v>204</v>
      </c>
      <c r="AH1086" s="26" t="str">
        <f>_xlfn.XLOOKUP(Table26[[#This Row],[customerSKU]],customerSKU!G:G,customerSKU!K:K,"NA",0,1)</f>
        <v>NA</v>
      </c>
      <c r="AI1086" s="43" t="str">
        <f>_xlfn.XLOOKUP(Table26[[#This Row],[customerSKU]],customerSKU!G:G,customerSKU!O:O,"not found",0,1)</f>
        <v>not found</v>
      </c>
      <c r="AJ1086" s="22" t="e">
        <f>Table26[[#This Row],[unitprice]]*Table26[[#This Row],[quantity_unit]]</f>
        <v>#VALUE!</v>
      </c>
      <c r="AK1086" s="22" t="e" cm="1">
        <f t="array" ref="AK10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7" spans="1:37" ht="18" customHeight="1">
      <c r="A1087" s="42">
        <v>1152</v>
      </c>
      <c r="B1087" s="27" t="s">
        <v>3520</v>
      </c>
      <c r="C1087" s="90" t="s">
        <v>203</v>
      </c>
      <c r="E1087" s="20"/>
      <c r="F108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87" s="17"/>
      <c r="J1087" s="90" t="str">
        <f>IF(Table26[[#This Row],[customerSKU]]="","",_xlfn.XLOOKUP(Table26[[#This Row],[customerSKU]],customerSKU!G:G,customerSKU!A:A,"",0,1))</f>
        <v/>
      </c>
      <c r="K1087" s="232">
        <v>45707</v>
      </c>
      <c r="L1087" s="31" t="str">
        <f>IF(Table26[[#This Row],[customerSKU]]="","",_xlfn.XLOOKUP(Table26[[#This Row],[customerSKU]],customerSKU!G:G,customerSKU!B:B,"",0,1))</f>
        <v/>
      </c>
      <c r="M1087" s="259"/>
      <c r="N1087" s="23" t="str">
        <f>Table26[[#This Row],[po_number]]&amp;"-"&amp;Table26[[#This Row],[po_line]]</f>
        <v>-1</v>
      </c>
      <c r="O1087" s="23">
        <v>1</v>
      </c>
      <c r="P1087" s="50"/>
      <c r="Q1087" s="22" t="s">
        <v>659</v>
      </c>
      <c r="R1087" s="22" t="s">
        <v>569</v>
      </c>
      <c r="S1087" s="22" t="s">
        <v>114</v>
      </c>
      <c r="T1087" s="20">
        <v>45638</v>
      </c>
      <c r="U1087" s="21">
        <v>36</v>
      </c>
      <c r="V1087" s="22" t="str">
        <f>IF(ISBLANK(Table26[[#This Row],[customerSKU]]),"",_xlfn.XLOOKUP(Table26[[#This Row],[customerSKU]],Table27[customer_SKU],Table27[case_size],"",0,1))</f>
        <v/>
      </c>
      <c r="W1087" s="117" t="str">
        <f t="shared" si="51"/>
        <v/>
      </c>
      <c r="X1087" s="22" t="str">
        <f t="shared" si="49"/>
        <v/>
      </c>
      <c r="Y1087" s="22" t="str">
        <f>IF(Table26[[#This Row],[customerSKU]]="","",_xlfn.XLOOKUP(Table26[[#This Row],[customerSKU]],Table27[customer_SKU],Table27[product_GTIN],"",0,1))</f>
        <v/>
      </c>
      <c r="Z1087" s="25" t="s">
        <v>3391</v>
      </c>
      <c r="AA1087" s="18" t="str" cm="1">
        <f t="array" ref="AA1087">IF(P1087="", "", _xlfn.XLOOKUP(P1087,#REF!,#REF!,NA,0,-1))</f>
        <v/>
      </c>
      <c r="AB1087" s="22"/>
      <c r="AC1087" s="55" t="s">
        <v>4084</v>
      </c>
      <c r="AD1087" s="55" t="str">
        <f>IF($AC1087="","",_xlfn.XLOOKUP($AC1087,'[2]Client Info'!$C$2:$C$2535,'[2]Client Info'!$D$2:$D$2535,"",0,1))</f>
        <v>1502 BROADWAY ST #3120</v>
      </c>
      <c r="AE1087" s="55" t="str">
        <f>IF($AC1087="","",_xlfn.XLOOKUP($AC1087,'[2]Client Info'!$C$2:$C$2715,'[2]Client Info'!$E$2:$E$2715,"",))</f>
        <v>PORT COQUITLAM</v>
      </c>
      <c r="AF1087" s="55" t="str">
        <f>IF($AC1087="","",_xlfn.XLOOKUP($AC1087,'[2]Client Info'!$C$2:$C$2715,'[2]Client Info'!$F$2:$F$2715,"",0,1))</f>
        <v xml:space="preserve">BC </v>
      </c>
      <c r="AG1087" s="55" t="s">
        <v>4084</v>
      </c>
      <c r="AH1087" s="26" t="str">
        <f>_xlfn.XLOOKUP(Table26[[#This Row],[customerSKU]],customerSKU!G:G,customerSKU!K:K,"NA",0,1)</f>
        <v>NA</v>
      </c>
      <c r="AI1087" s="43" t="str">
        <f>_xlfn.XLOOKUP(Table26[[#This Row],[customerSKU]],customerSKU!G:G,customerSKU!O:O,"not found",0,1)</f>
        <v>not found</v>
      </c>
      <c r="AJ1087" s="22" t="e">
        <f>Table26[[#This Row],[unitprice]]*Table26[[#This Row],[quantity_unit]]</f>
        <v>#VALUE!</v>
      </c>
      <c r="AK1087" s="22" t="e" cm="1">
        <f t="array" ref="AK10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8" spans="1:37" ht="18" customHeight="1">
      <c r="A1088" s="42">
        <v>1153</v>
      </c>
      <c r="B1088" s="27" t="s">
        <v>3520</v>
      </c>
      <c r="C1088" s="90" t="s">
        <v>203</v>
      </c>
      <c r="E1088" s="20"/>
      <c r="F108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88" s="17"/>
      <c r="J1088" s="90" t="str">
        <f>IF(Table26[[#This Row],[customerSKU]]="","",_xlfn.XLOOKUP(Table26[[#This Row],[customerSKU]],customerSKU!G:G,customerSKU!A:A,"",0,1))</f>
        <v/>
      </c>
      <c r="K1088" s="232">
        <v>45707</v>
      </c>
      <c r="L1088" s="31" t="str">
        <f>IF(Table26[[#This Row],[customerSKU]]="","",_xlfn.XLOOKUP(Table26[[#This Row],[customerSKU]],customerSKU!G:G,customerSKU!B:B,"",0,1))</f>
        <v/>
      </c>
      <c r="M1088" s="259"/>
      <c r="N1088" s="23" t="str">
        <f>Table26[[#This Row],[po_number]]&amp;"-"&amp;Table26[[#This Row],[po_line]]</f>
        <v>-2</v>
      </c>
      <c r="O1088" s="23">
        <v>2</v>
      </c>
      <c r="P1088" s="50"/>
      <c r="Q1088" s="22" t="s">
        <v>589</v>
      </c>
      <c r="R1088" s="22" t="s">
        <v>569</v>
      </c>
      <c r="S1088" s="22" t="s">
        <v>114</v>
      </c>
      <c r="T1088" s="20">
        <v>45615</v>
      </c>
      <c r="U1088" s="21">
        <v>36</v>
      </c>
      <c r="V1088" s="22" t="str">
        <f>IF(ISBLANK(Table26[[#This Row],[customerSKU]]),"",_xlfn.XLOOKUP(Table26[[#This Row],[customerSKU]],Table27[customer_SKU],Table27[case_size],"",0,1))</f>
        <v/>
      </c>
      <c r="W1088" s="117" t="str">
        <f t="shared" si="51"/>
        <v/>
      </c>
      <c r="X1088" s="22" t="str">
        <f t="shared" si="49"/>
        <v/>
      </c>
      <c r="Y1088" s="22" t="str">
        <f>IF(Table26[[#This Row],[customerSKU]]="","",_xlfn.XLOOKUP(Table26[[#This Row],[customerSKU]],Table27[customer_SKU],Table27[product_GTIN],"",0,1))</f>
        <v/>
      </c>
      <c r="Z1088" s="25" t="s">
        <v>3432</v>
      </c>
      <c r="AA1088" s="18" t="str" cm="1">
        <f t="array" ref="AA1088">IF(P1088="", "", _xlfn.XLOOKUP(P1088,#REF!,#REF!,NA,0,-1))</f>
        <v/>
      </c>
      <c r="AB1088" s="22"/>
      <c r="AC1088" s="55" t="s">
        <v>4084</v>
      </c>
      <c r="AD1088" s="55" t="str">
        <f>IF($AC1088="","",_xlfn.XLOOKUP($AC1088,'[2]Client Info'!$C$2:$C$2535,'[2]Client Info'!$D$2:$D$2535,"",0,1))</f>
        <v>1502 BROADWAY ST #3120</v>
      </c>
      <c r="AE1088" s="55" t="str">
        <f>IF($AC1088="","",_xlfn.XLOOKUP($AC1088,'[2]Client Info'!$C$2:$C$2715,'[2]Client Info'!$E$2:$E$2715,"",))</f>
        <v>PORT COQUITLAM</v>
      </c>
      <c r="AF1088" s="55" t="str">
        <f>IF($AC1088="","",_xlfn.XLOOKUP($AC1088,'[2]Client Info'!$C$2:$C$2715,'[2]Client Info'!$F$2:$F$2715,"",0,1))</f>
        <v xml:space="preserve">BC </v>
      </c>
      <c r="AG1088" s="55" t="s">
        <v>4084</v>
      </c>
      <c r="AH1088" s="26" t="str">
        <f>_xlfn.XLOOKUP(Table26[[#This Row],[customerSKU]],customerSKU!G:G,customerSKU!K:K,"NA",0,1)</f>
        <v>NA</v>
      </c>
      <c r="AI1088" s="43" t="str">
        <f>_xlfn.XLOOKUP(Table26[[#This Row],[customerSKU]],customerSKU!G:G,customerSKU!O:O,"not found",0,1)</f>
        <v>not found</v>
      </c>
      <c r="AJ1088" s="22" t="e">
        <f>Table26[[#This Row],[unitprice]]*Table26[[#This Row],[quantity_unit]]</f>
        <v>#VALUE!</v>
      </c>
      <c r="AK1088" s="22" t="e" cm="1">
        <f t="array" ref="AK10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89" spans="1:37" ht="18" customHeight="1">
      <c r="A1089" s="42">
        <v>1154</v>
      </c>
      <c r="B1089" s="27" t="s">
        <v>3520</v>
      </c>
      <c r="C1089" s="90" t="s">
        <v>203</v>
      </c>
      <c r="E1089" s="20"/>
      <c r="F108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89" s="17"/>
      <c r="J1089" s="90" t="str">
        <f>IF(Table26[[#This Row],[customerSKU]]="","",_xlfn.XLOOKUP(Table26[[#This Row],[customerSKU]],customerSKU!G:G,customerSKU!A:A,"",0,1))</f>
        <v/>
      </c>
      <c r="K1089" s="232">
        <v>45707</v>
      </c>
      <c r="L1089" s="31" t="str">
        <f>IF(Table26[[#This Row],[customerSKU]]="","",_xlfn.XLOOKUP(Table26[[#This Row],[customerSKU]],customerSKU!G:G,customerSKU!B:B,"",0,1))</f>
        <v/>
      </c>
      <c r="M1089" s="259"/>
      <c r="N1089" s="23" t="str">
        <f>Table26[[#This Row],[po_number]]&amp;"-"&amp;Table26[[#This Row],[po_line]]</f>
        <v>-3</v>
      </c>
      <c r="O1089" s="23">
        <v>3</v>
      </c>
      <c r="P1089" s="50"/>
      <c r="Q1089" s="22" t="s">
        <v>656</v>
      </c>
      <c r="R1089" s="22" t="s">
        <v>569</v>
      </c>
      <c r="S1089" s="22" t="s">
        <v>114</v>
      </c>
      <c r="T1089" s="20">
        <v>45642</v>
      </c>
      <c r="U1089" s="21">
        <v>36</v>
      </c>
      <c r="V1089" s="22" t="str">
        <f>IF(ISBLANK(Table26[[#This Row],[customerSKU]]),"",_xlfn.XLOOKUP(Table26[[#This Row],[customerSKU]],Table27[customer_SKU],Table27[case_size],"",0,1))</f>
        <v/>
      </c>
      <c r="W1089" s="117" t="str">
        <f t="shared" si="51"/>
        <v/>
      </c>
      <c r="X1089" s="22" t="str">
        <f t="shared" si="49"/>
        <v/>
      </c>
      <c r="Y1089" s="22" t="str">
        <f>IF(Table26[[#This Row],[customerSKU]]="","",_xlfn.XLOOKUP(Table26[[#This Row],[customerSKU]],Table27[customer_SKU],Table27[product_GTIN],"",0,1))</f>
        <v/>
      </c>
      <c r="Z1089" s="25" t="s">
        <v>3367</v>
      </c>
      <c r="AA1089" s="18" t="str" cm="1">
        <f t="array" ref="AA1089">IF(P1089="", "", _xlfn.XLOOKUP(P1089,#REF!,#REF!,NA,0,-1))</f>
        <v/>
      </c>
      <c r="AB1089" s="22"/>
      <c r="AC1089" s="55" t="s">
        <v>4084</v>
      </c>
      <c r="AD1089" s="55" t="str">
        <f>IF($AC1089="","",_xlfn.XLOOKUP($AC1089,'[2]Client Info'!$C$2:$C$2535,'[2]Client Info'!$D$2:$D$2535,"",0,1))</f>
        <v>1502 BROADWAY ST #3120</v>
      </c>
      <c r="AE1089" s="55" t="str">
        <f>IF($AC1089="","",_xlfn.XLOOKUP($AC1089,'[2]Client Info'!$C$2:$C$2715,'[2]Client Info'!$E$2:$E$2715,"",))</f>
        <v>PORT COQUITLAM</v>
      </c>
      <c r="AF1089" s="55" t="str">
        <f>IF($AC1089="","",_xlfn.XLOOKUP($AC1089,'[2]Client Info'!$C$2:$C$2715,'[2]Client Info'!$F$2:$F$2715,"",0,1))</f>
        <v xml:space="preserve">BC </v>
      </c>
      <c r="AG1089" s="55" t="s">
        <v>4084</v>
      </c>
      <c r="AH1089" s="26" t="str">
        <f>_xlfn.XLOOKUP(Table26[[#This Row],[customerSKU]],customerSKU!G:G,customerSKU!K:K,"NA",0,1)</f>
        <v>NA</v>
      </c>
      <c r="AI1089" s="43" t="str">
        <f>_xlfn.XLOOKUP(Table26[[#This Row],[customerSKU]],customerSKU!G:G,customerSKU!O:O,"not found",0,1)</f>
        <v>not found</v>
      </c>
      <c r="AJ1089" s="22" t="e">
        <f>Table26[[#This Row],[unitprice]]*Table26[[#This Row],[quantity_unit]]</f>
        <v>#VALUE!</v>
      </c>
      <c r="AK1089" s="22" t="e" cm="1">
        <f t="array" ref="AK10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0" spans="1:37" ht="18" customHeight="1">
      <c r="A1090" s="42">
        <v>1155</v>
      </c>
      <c r="B1090" s="27" t="s">
        <v>3520</v>
      </c>
      <c r="C1090" s="90" t="s">
        <v>203</v>
      </c>
      <c r="E1090" s="20"/>
      <c r="F109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90" s="17"/>
      <c r="J1090" s="90" t="str">
        <f>IF(Table26[[#This Row],[customerSKU]]="","",_xlfn.XLOOKUP(Table26[[#This Row],[customerSKU]],customerSKU!G:G,customerSKU!A:A,"",0,1))</f>
        <v/>
      </c>
      <c r="K1090" s="232">
        <v>45707</v>
      </c>
      <c r="L1090" s="31" t="str">
        <f>IF(Table26[[#This Row],[customerSKU]]="","",_xlfn.XLOOKUP(Table26[[#This Row],[customerSKU]],customerSKU!G:G,customerSKU!B:B,"",0,1))</f>
        <v/>
      </c>
      <c r="M1090" s="259"/>
      <c r="N1090" s="23" t="str">
        <f>Table26[[#This Row],[po_number]]&amp;"-"&amp;Table26[[#This Row],[po_line]]</f>
        <v>-4</v>
      </c>
      <c r="O1090" s="23">
        <v>4</v>
      </c>
      <c r="P1090" s="50"/>
      <c r="Q1090" s="22" t="s">
        <v>1309</v>
      </c>
      <c r="R1090" s="22" t="s">
        <v>569</v>
      </c>
      <c r="S1090" s="22" t="s">
        <v>114</v>
      </c>
      <c r="T1090" s="20">
        <v>45623</v>
      </c>
      <c r="U1090" s="21">
        <v>36</v>
      </c>
      <c r="V1090" s="22" t="str">
        <f>IF(ISBLANK(Table26[[#This Row],[customerSKU]]),"",_xlfn.XLOOKUP(Table26[[#This Row],[customerSKU]],Table27[customer_SKU],Table27[case_size],"",0,1))</f>
        <v/>
      </c>
      <c r="W1090" s="117" t="str">
        <f t="shared" si="51"/>
        <v/>
      </c>
      <c r="X1090" s="22" t="str">
        <f t="shared" si="49"/>
        <v/>
      </c>
      <c r="Y1090" s="22" t="str">
        <f>IF(Table26[[#This Row],[customerSKU]]="","",_xlfn.XLOOKUP(Table26[[#This Row],[customerSKU]],Table27[customer_SKU],Table27[product_GTIN],"",0,1))</f>
        <v/>
      </c>
      <c r="Z1090" s="25" t="s">
        <v>3447</v>
      </c>
      <c r="AA1090" s="18" t="str" cm="1">
        <f t="array" ref="AA1090">IF(P1090="", "", _xlfn.XLOOKUP(P1090,#REF!,#REF!,NA,0,-1))</f>
        <v/>
      </c>
      <c r="AB1090" s="22"/>
      <c r="AC1090" s="55" t="s">
        <v>4084</v>
      </c>
      <c r="AD1090" s="55" t="str">
        <f>IF($AC1090="","",_xlfn.XLOOKUP($AC1090,'[2]Client Info'!$C$2:$C$2535,'[2]Client Info'!$D$2:$D$2535,"",0,1))</f>
        <v>1502 BROADWAY ST #3120</v>
      </c>
      <c r="AE1090" s="55" t="str">
        <f>IF($AC1090="","",_xlfn.XLOOKUP($AC1090,'[2]Client Info'!$C$2:$C$2715,'[2]Client Info'!$E$2:$E$2715,"",))</f>
        <v>PORT COQUITLAM</v>
      </c>
      <c r="AF1090" s="55" t="str">
        <f>IF($AC1090="","",_xlfn.XLOOKUP($AC1090,'[2]Client Info'!$C$2:$C$2715,'[2]Client Info'!$F$2:$F$2715,"",0,1))</f>
        <v xml:space="preserve">BC </v>
      </c>
      <c r="AG1090" s="55" t="s">
        <v>4084</v>
      </c>
      <c r="AH1090" s="26" t="str">
        <f>_xlfn.XLOOKUP(Table26[[#This Row],[customerSKU]],customerSKU!G:G,customerSKU!K:K,"NA",0,1)</f>
        <v>NA</v>
      </c>
      <c r="AI1090" s="43" t="str">
        <f>_xlfn.XLOOKUP(Table26[[#This Row],[customerSKU]],customerSKU!G:G,customerSKU!O:O,"not found",0,1)</f>
        <v>not found</v>
      </c>
      <c r="AJ1090" s="22" t="e">
        <f>Table26[[#This Row],[unitprice]]*Table26[[#This Row],[quantity_unit]]</f>
        <v>#VALUE!</v>
      </c>
      <c r="AK1090" s="22" t="e" cm="1">
        <f t="array" ref="AK10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1" spans="1:37" ht="18" customHeight="1">
      <c r="A1091" s="42">
        <v>1156</v>
      </c>
      <c r="B1091" s="27" t="s">
        <v>3520</v>
      </c>
      <c r="C1091" s="90" t="s">
        <v>203</v>
      </c>
      <c r="E1091" s="20"/>
      <c r="F109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91" s="17"/>
      <c r="J1091" s="90" t="str">
        <f>IF(Table26[[#This Row],[customerSKU]]="","",_xlfn.XLOOKUP(Table26[[#This Row],[customerSKU]],customerSKU!G:G,customerSKU!A:A,"",0,1))</f>
        <v/>
      </c>
      <c r="K1091" s="232">
        <v>45707</v>
      </c>
      <c r="L1091" s="31" t="str">
        <f>IF(Table26[[#This Row],[customerSKU]]="","",_xlfn.XLOOKUP(Table26[[#This Row],[customerSKU]],customerSKU!G:G,customerSKU!B:B,"",0,1))</f>
        <v/>
      </c>
      <c r="M1091" s="259"/>
      <c r="N1091" s="23" t="str">
        <f>Table26[[#This Row],[po_number]]&amp;"-"&amp;Table26[[#This Row],[po_line]]</f>
        <v>-5</v>
      </c>
      <c r="O1091" s="23">
        <v>5</v>
      </c>
      <c r="P1091" s="50"/>
      <c r="Q1091" s="22" t="s">
        <v>4135</v>
      </c>
      <c r="R1091" s="22" t="s">
        <v>569</v>
      </c>
      <c r="S1091" s="22" t="s">
        <v>114</v>
      </c>
      <c r="T1091" s="20">
        <v>45707</v>
      </c>
      <c r="U1091" s="21">
        <v>24</v>
      </c>
      <c r="V1091" s="22" t="str">
        <f>IF(ISBLANK(Table26[[#This Row],[customerSKU]]),"",_xlfn.XLOOKUP(Table26[[#This Row],[customerSKU]],Table27[customer_SKU],Table27[case_size],"",0,1))</f>
        <v/>
      </c>
      <c r="W1091" s="117" t="str">
        <f t="shared" si="51"/>
        <v/>
      </c>
      <c r="X1091" s="22" t="str">
        <f t="shared" si="49"/>
        <v/>
      </c>
      <c r="Y1091" s="22" t="str">
        <f>IF(Table26[[#This Row],[customerSKU]]="","",_xlfn.XLOOKUP(Table26[[#This Row],[customerSKU]],Table27[customer_SKU],Table27[product_GTIN],"",0,1))</f>
        <v/>
      </c>
      <c r="Z1091" s="25" t="s">
        <v>3407</v>
      </c>
      <c r="AA1091" s="18" t="str" cm="1">
        <f t="array" ref="AA1091">IF(P1091="", "", _xlfn.XLOOKUP(P1091,#REF!,#REF!,NA,0,-1))</f>
        <v/>
      </c>
      <c r="AB1091" s="22"/>
      <c r="AC1091" s="55" t="s">
        <v>4084</v>
      </c>
      <c r="AD1091" s="55" t="str">
        <f>IF($AC1091="","",_xlfn.XLOOKUP($AC1091,'[2]Client Info'!$C$2:$C$2535,'[2]Client Info'!$D$2:$D$2535,"",0,1))</f>
        <v>1502 BROADWAY ST #3120</v>
      </c>
      <c r="AE1091" s="55" t="str">
        <f>IF($AC1091="","",_xlfn.XLOOKUP($AC1091,'[2]Client Info'!$C$2:$C$2715,'[2]Client Info'!$E$2:$E$2715,"",))</f>
        <v>PORT COQUITLAM</v>
      </c>
      <c r="AF1091" s="55" t="str">
        <f>IF($AC1091="","",_xlfn.XLOOKUP($AC1091,'[2]Client Info'!$C$2:$C$2715,'[2]Client Info'!$F$2:$F$2715,"",0,1))</f>
        <v xml:space="preserve">BC </v>
      </c>
      <c r="AG1091" s="55" t="s">
        <v>4084</v>
      </c>
      <c r="AH1091" s="26" t="str">
        <f>_xlfn.XLOOKUP(Table26[[#This Row],[customerSKU]],customerSKU!G:G,customerSKU!K:K,"NA",0,1)</f>
        <v>NA</v>
      </c>
      <c r="AI1091" s="43" t="str">
        <f>_xlfn.XLOOKUP(Table26[[#This Row],[customerSKU]],customerSKU!G:G,customerSKU!O:O,"not found",0,1)</f>
        <v>not found</v>
      </c>
      <c r="AJ1091" s="22" t="e">
        <f>Table26[[#This Row],[unitprice]]*Table26[[#This Row],[quantity_unit]]</f>
        <v>#VALUE!</v>
      </c>
      <c r="AK1091" s="22" t="e" cm="1">
        <f t="array" ref="AK10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2" spans="1:37" ht="18" customHeight="1">
      <c r="A1092" s="42">
        <v>1157</v>
      </c>
      <c r="B1092" s="27" t="s">
        <v>3520</v>
      </c>
      <c r="C1092" s="90" t="s">
        <v>203</v>
      </c>
      <c r="E1092" s="20"/>
      <c r="F109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92" s="17"/>
      <c r="J1092" s="90" t="str">
        <f>IF(Table26[[#This Row],[customerSKU]]="","",_xlfn.XLOOKUP(Table26[[#This Row],[customerSKU]],customerSKU!G:G,customerSKU!A:A,"",0,1))</f>
        <v/>
      </c>
      <c r="K1092" s="232">
        <v>45707</v>
      </c>
      <c r="L1092" s="31" t="str">
        <f>IF(Table26[[#This Row],[customerSKU]]="","",_xlfn.XLOOKUP(Table26[[#This Row],[customerSKU]],customerSKU!G:G,customerSKU!B:B,"",0,1))</f>
        <v/>
      </c>
      <c r="M1092" s="259"/>
      <c r="N1092" s="23" t="str">
        <f>Table26[[#This Row],[po_number]]&amp;"-"&amp;Table26[[#This Row],[po_line]]</f>
        <v>-6</v>
      </c>
      <c r="O1092" s="23">
        <v>6</v>
      </c>
      <c r="P1092" s="50"/>
      <c r="Q1092" s="22" t="s">
        <v>1315</v>
      </c>
      <c r="R1092" s="22" t="s">
        <v>569</v>
      </c>
      <c r="S1092" s="22" t="s">
        <v>114</v>
      </c>
      <c r="T1092" s="20">
        <v>45555</v>
      </c>
      <c r="U1092" s="21">
        <v>24</v>
      </c>
      <c r="V1092" s="22" t="str">
        <f>IF(ISBLANK(Table26[[#This Row],[customerSKU]]),"",_xlfn.XLOOKUP(Table26[[#This Row],[customerSKU]],Table27[customer_SKU],Table27[case_size],"",0,1))</f>
        <v/>
      </c>
      <c r="W1092" s="117" t="str">
        <f t="shared" si="51"/>
        <v/>
      </c>
      <c r="X1092" s="22" t="str">
        <f t="shared" si="49"/>
        <v/>
      </c>
      <c r="Y1092" s="22" t="str">
        <f>IF(Table26[[#This Row],[customerSKU]]="","",_xlfn.XLOOKUP(Table26[[#This Row],[customerSKU]],Table27[customer_SKU],Table27[product_GTIN],"",0,1))</f>
        <v/>
      </c>
      <c r="Z1092" s="25" t="s">
        <v>3719</v>
      </c>
      <c r="AA1092" s="18" t="str" cm="1">
        <f t="array" ref="AA1092">IF(P1092="", "", _xlfn.XLOOKUP(P1092,#REF!,#REF!,NA,0,-1))</f>
        <v/>
      </c>
      <c r="AB1092" s="22"/>
      <c r="AC1092" s="55" t="s">
        <v>4084</v>
      </c>
      <c r="AD1092" s="55" t="str">
        <f>IF($AC1092="","",_xlfn.XLOOKUP($AC1092,'[2]Client Info'!$C$2:$C$2535,'[2]Client Info'!$D$2:$D$2535,"",0,1))</f>
        <v>1502 BROADWAY ST #3120</v>
      </c>
      <c r="AE1092" s="55" t="str">
        <f>IF($AC1092="","",_xlfn.XLOOKUP($AC1092,'[2]Client Info'!$C$2:$C$2715,'[2]Client Info'!$E$2:$E$2715,"",))</f>
        <v>PORT COQUITLAM</v>
      </c>
      <c r="AF1092" s="55" t="str">
        <f>IF($AC1092="","",_xlfn.XLOOKUP($AC1092,'[2]Client Info'!$C$2:$C$2715,'[2]Client Info'!$F$2:$F$2715,"",0,1))</f>
        <v xml:space="preserve">BC </v>
      </c>
      <c r="AG1092" s="55" t="s">
        <v>4084</v>
      </c>
      <c r="AH1092" s="26" t="str">
        <f>_xlfn.XLOOKUP(Table26[[#This Row],[customerSKU]],customerSKU!G:G,customerSKU!K:K,"NA",0,1)</f>
        <v>NA</v>
      </c>
      <c r="AI1092" s="43" t="str">
        <f>_xlfn.XLOOKUP(Table26[[#This Row],[customerSKU]],customerSKU!G:G,customerSKU!O:O,"not found",0,1)</f>
        <v>not found</v>
      </c>
      <c r="AJ1092" s="22" t="e">
        <f>Table26[[#This Row],[unitprice]]*Table26[[#This Row],[quantity_unit]]</f>
        <v>#VALUE!</v>
      </c>
      <c r="AK1092" s="22" t="e" cm="1">
        <f t="array" ref="AK10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3" spans="1:37" ht="18" customHeight="1">
      <c r="A1093" s="42">
        <v>1158</v>
      </c>
      <c r="B1093" s="27" t="s">
        <v>3520</v>
      </c>
      <c r="C1093" s="90" t="s">
        <v>203</v>
      </c>
      <c r="E1093" s="20"/>
      <c r="F109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93" s="17"/>
      <c r="J1093" s="90" t="str">
        <f>IF(Table26[[#This Row],[customerSKU]]="","",_xlfn.XLOOKUP(Table26[[#This Row],[customerSKU]],customerSKU!G:G,customerSKU!A:A,"",0,1))</f>
        <v/>
      </c>
      <c r="K1093" s="232">
        <v>45707</v>
      </c>
      <c r="L1093" s="31" t="str">
        <f>IF(Table26[[#This Row],[customerSKU]]="","",_xlfn.XLOOKUP(Table26[[#This Row],[customerSKU]],customerSKU!G:G,customerSKU!B:B,"",0,1))</f>
        <v/>
      </c>
      <c r="M1093" s="259"/>
      <c r="N1093" s="23" t="str">
        <f>Table26[[#This Row],[po_number]]&amp;"-"&amp;Table26[[#This Row],[po_line]]</f>
        <v>-7</v>
      </c>
      <c r="O1093" s="23">
        <v>7</v>
      </c>
      <c r="P1093" s="50"/>
      <c r="Q1093" s="22" t="s">
        <v>622</v>
      </c>
      <c r="R1093" s="22" t="s">
        <v>569</v>
      </c>
      <c r="S1093" s="22" t="s">
        <v>114</v>
      </c>
      <c r="T1093" s="20">
        <v>45603</v>
      </c>
      <c r="U1093" s="21">
        <v>24</v>
      </c>
      <c r="V1093" s="22" t="str">
        <f>IF(ISBLANK(Table26[[#This Row],[customerSKU]]),"",_xlfn.XLOOKUP(Table26[[#This Row],[customerSKU]],Table27[customer_SKU],Table27[case_size],"",0,1))</f>
        <v/>
      </c>
      <c r="W1093" s="117" t="str">
        <f t="shared" si="51"/>
        <v/>
      </c>
      <c r="X1093" s="22" t="str">
        <f t="shared" si="49"/>
        <v/>
      </c>
      <c r="Y1093" s="22" t="str">
        <f>IF(Table26[[#This Row],[customerSKU]]="","",_xlfn.XLOOKUP(Table26[[#This Row],[customerSKU]],Table27[customer_SKU],Table27[product_GTIN],"",0,1))</f>
        <v/>
      </c>
      <c r="Z1093" s="25" t="s">
        <v>3434</v>
      </c>
      <c r="AA1093" s="18" t="str" cm="1">
        <f t="array" ref="AA1093">IF(P1093="", "", _xlfn.XLOOKUP(P1093,#REF!,#REF!,NA,0,-1))</f>
        <v/>
      </c>
      <c r="AB1093" s="22"/>
      <c r="AC1093" s="55" t="s">
        <v>4084</v>
      </c>
      <c r="AD1093" s="55" t="str">
        <f>IF($AC1093="","",_xlfn.XLOOKUP($AC1093,'[2]Client Info'!$C$2:$C$2535,'[2]Client Info'!$D$2:$D$2535,"",0,1))</f>
        <v>1502 BROADWAY ST #3120</v>
      </c>
      <c r="AE1093" s="55" t="str">
        <f>IF($AC1093="","",_xlfn.XLOOKUP($AC1093,'[2]Client Info'!$C$2:$C$2715,'[2]Client Info'!$E$2:$E$2715,"",))</f>
        <v>PORT COQUITLAM</v>
      </c>
      <c r="AF1093" s="55" t="str">
        <f>IF($AC1093="","",_xlfn.XLOOKUP($AC1093,'[2]Client Info'!$C$2:$C$2715,'[2]Client Info'!$F$2:$F$2715,"",0,1))</f>
        <v xml:space="preserve">BC </v>
      </c>
      <c r="AG1093" s="55" t="s">
        <v>4084</v>
      </c>
      <c r="AH1093" s="26" t="str">
        <f>_xlfn.XLOOKUP(Table26[[#This Row],[customerSKU]],customerSKU!G:G,customerSKU!K:K,"NA",0,1)</f>
        <v>NA</v>
      </c>
      <c r="AI1093" s="43" t="str">
        <f>_xlfn.XLOOKUP(Table26[[#This Row],[customerSKU]],customerSKU!G:G,customerSKU!O:O,"not found",0,1)</f>
        <v>not found</v>
      </c>
      <c r="AJ1093" s="22" t="e">
        <f>Table26[[#This Row],[unitprice]]*Table26[[#This Row],[quantity_unit]]</f>
        <v>#VALUE!</v>
      </c>
      <c r="AK1093" s="22" t="e" cm="1">
        <f t="array" ref="AK10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4" spans="1:37" ht="18" customHeight="1">
      <c r="A1094" s="42">
        <v>1159</v>
      </c>
      <c r="B1094" s="27" t="s">
        <v>3520</v>
      </c>
      <c r="C1094" s="90" t="s">
        <v>203</v>
      </c>
      <c r="E1094" s="20"/>
      <c r="F109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094" s="17"/>
      <c r="J1094" s="90" t="str">
        <f>IF(Table26[[#This Row],[customerSKU]]="","",_xlfn.XLOOKUP(Table26[[#This Row],[customerSKU]],customerSKU!G:G,customerSKU!A:A,"",0,1))</f>
        <v/>
      </c>
      <c r="K1094" s="232">
        <v>45707</v>
      </c>
      <c r="L1094" s="31" t="str">
        <f>IF(Table26[[#This Row],[customerSKU]]="","",_xlfn.XLOOKUP(Table26[[#This Row],[customerSKU]],customerSKU!G:G,customerSKU!B:B,"",0,1))</f>
        <v/>
      </c>
      <c r="M1094" s="259"/>
      <c r="N1094" s="23" t="str">
        <f>Table26[[#This Row],[po_number]]&amp;"-"&amp;Table26[[#This Row],[po_line]]</f>
        <v>-8</v>
      </c>
      <c r="O1094" s="23">
        <v>8</v>
      </c>
      <c r="P1094" s="50"/>
      <c r="Q1094" s="22" t="s">
        <v>3378</v>
      </c>
      <c r="R1094" s="22" t="s">
        <v>569</v>
      </c>
      <c r="S1094" s="22" t="s">
        <v>114</v>
      </c>
      <c r="T1094" s="20">
        <v>45666</v>
      </c>
      <c r="U1094" s="21">
        <v>36</v>
      </c>
      <c r="V1094" s="22" t="str">
        <f>IF(ISBLANK(Table26[[#This Row],[customerSKU]]),"",_xlfn.XLOOKUP(Table26[[#This Row],[customerSKU]],Table27[customer_SKU],Table27[case_size],"",0,1))</f>
        <v/>
      </c>
      <c r="W1094" s="117" t="str">
        <f t="shared" si="51"/>
        <v/>
      </c>
      <c r="X1094" s="22" t="str">
        <f t="shared" ref="X1094:X1157" si="52">IFERROR($AA1094*$U1094, "")</f>
        <v/>
      </c>
      <c r="Y1094" s="22" t="str">
        <f>IF(Table26[[#This Row],[customerSKU]]="","",_xlfn.XLOOKUP(Table26[[#This Row],[customerSKU]],Table27[customer_SKU],Table27[product_GTIN],"",0,1))</f>
        <v/>
      </c>
      <c r="Z1094" s="25" t="s">
        <v>3379</v>
      </c>
      <c r="AA1094" s="18" t="str" cm="1">
        <f t="array" ref="AA1094">IF(P1094="", "", _xlfn.XLOOKUP(P1094,#REF!,#REF!,NA,0,-1))</f>
        <v/>
      </c>
      <c r="AB1094" s="22"/>
      <c r="AC1094" s="55" t="s">
        <v>4084</v>
      </c>
      <c r="AD1094" s="55" t="str">
        <f>IF($AC1094="","",_xlfn.XLOOKUP($AC1094,'[2]Client Info'!$C$2:$C$2535,'[2]Client Info'!$D$2:$D$2535,"",0,1))</f>
        <v>1502 BROADWAY ST #3120</v>
      </c>
      <c r="AE1094" s="55" t="str">
        <f>IF($AC1094="","",_xlfn.XLOOKUP($AC1094,'[2]Client Info'!$C$2:$C$2715,'[2]Client Info'!$E$2:$E$2715,"",))</f>
        <v>PORT COQUITLAM</v>
      </c>
      <c r="AF1094" s="55" t="str">
        <f>IF($AC1094="","",_xlfn.XLOOKUP($AC1094,'[2]Client Info'!$C$2:$C$2715,'[2]Client Info'!$F$2:$F$2715,"",0,1))</f>
        <v xml:space="preserve">BC </v>
      </c>
      <c r="AG1094" s="55" t="s">
        <v>4084</v>
      </c>
      <c r="AH1094" s="26" t="str">
        <f>_xlfn.XLOOKUP(Table26[[#This Row],[customerSKU]],customerSKU!G:G,customerSKU!K:K,"NA",0,1)</f>
        <v>NA</v>
      </c>
      <c r="AI1094" s="43" t="str">
        <f>_xlfn.XLOOKUP(Table26[[#This Row],[customerSKU]],customerSKU!G:G,customerSKU!O:O,"not found",0,1)</f>
        <v>not found</v>
      </c>
      <c r="AJ1094" s="22" t="e">
        <f>Table26[[#This Row],[unitprice]]*Table26[[#This Row],[quantity_unit]]</f>
        <v>#VALUE!</v>
      </c>
      <c r="AK1094" s="22" t="e" cm="1">
        <f t="array" ref="AK10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5" spans="1:37" ht="18" customHeight="1">
      <c r="A1095" s="42">
        <v>1160</v>
      </c>
      <c r="B1095" s="42" t="s">
        <v>3357</v>
      </c>
      <c r="C1095" s="53" t="s">
        <v>203</v>
      </c>
      <c r="E1095" s="20"/>
      <c r="F1095" s="25"/>
      <c r="G1095" s="93"/>
      <c r="J1095" s="90" t="str">
        <f>IF(Table26[[#This Row],[customerSKU]]="","",_xlfn.XLOOKUP(Table26[[#This Row],[customerSKU]],customerSKU!G:G,customerSKU!A:A,"",0,1))</f>
        <v/>
      </c>
      <c r="K1095" s="232">
        <v>45707</v>
      </c>
      <c r="L1095" s="49" t="str">
        <f>IF(Table26[[#This Row],[customerSKU]]="","",_xlfn.XLOOKUP(Table26[[#This Row],[customerSKU]],customerSKU!G:G,customerSKU!B:B,"",0,1))</f>
        <v/>
      </c>
      <c r="M1095" s="22"/>
      <c r="N1095" s="15" t="str">
        <f>Table26[[#This Row],[po_number]]&amp;"-"&amp;Table26[[#This Row],[po_line]]</f>
        <v>-1</v>
      </c>
      <c r="O1095" s="15">
        <v>1</v>
      </c>
      <c r="P1095" s="50"/>
      <c r="Q1095" s="22" t="s">
        <v>4168</v>
      </c>
      <c r="R1095" s="22" t="s">
        <v>3302</v>
      </c>
      <c r="S1095" s="90" t="str">
        <f>IF(Table26[[#This Row],[customerSKU]]="","",_xlfn.XLOOKUP(Table26[[#This Row],[customerSKU]],customerSKU!G:G,customerSKU!N:N,"NOT FOUND",0,1))</f>
        <v>NOT FOUND</v>
      </c>
      <c r="T1095" s="20">
        <v>45668</v>
      </c>
      <c r="U1095" s="94">
        <v>6</v>
      </c>
      <c r="V1095" s="22" t="str">
        <f>IF(ISBLANK(Table26[[#This Row],[customerSKU]]),"",_xlfn.XLOOKUP(Table26[[#This Row],[customerSKU]],Table27[customer_SKU],Table27[case_size],"",0,1))</f>
        <v/>
      </c>
      <c r="W1095" s="117" t="str">
        <f t="shared" si="51"/>
        <v/>
      </c>
      <c r="X1095" s="22" t="str">
        <f t="shared" si="52"/>
        <v/>
      </c>
      <c r="Y1095" s="25" t="str">
        <f>IF(Table26[[#This Row],[customerSKU]]="","",_xlfn.XLOOKUP(Table26[[#This Row],[customerSKU]],Table27[customer_SKU],Table27[product_GTIN],"",0,1))</f>
        <v/>
      </c>
      <c r="Z1095" s="25" t="s">
        <v>4169</v>
      </c>
      <c r="AA1095" s="18" t="str" cm="1">
        <f t="array" ref="AA1095">IF(P1095="", "", _xlfn.XLOOKUP(P1095,#REF!,#REF!,NA,0,-1))</f>
        <v/>
      </c>
      <c r="AB1095" s="22"/>
      <c r="AC1095" s="55" t="s">
        <v>4172</v>
      </c>
      <c r="AD1095" s="55" t="str">
        <f>IF($AC1095="","",_xlfn.XLOOKUP($AC1095,'[2]Client Info'!$C$2:$C$2535,'[2]Client Info'!$D$2:$D$2535,"",0,1))</f>
        <v>725 NELSON STREET</v>
      </c>
      <c r="AE1095" s="55" t="str">
        <f>IF($AC1095="","",_xlfn.XLOOKUP($AC1095,'[2]Client Info'!$C$2:$C$2715,'[2]Client Info'!$E$2:$E$2715,"",))</f>
        <v>VANCOUVER</v>
      </c>
      <c r="AF1095" s="55" t="str">
        <f>IF($AC1095="","",_xlfn.XLOOKUP($AC1095,'[2]Client Info'!$C$2:$C$2715,'[2]Client Info'!$F$2:$F$2715,"",0,1))</f>
        <v xml:space="preserve">BC </v>
      </c>
      <c r="AG1095" s="55" t="s">
        <v>4172</v>
      </c>
      <c r="AH1095" s="26" t="str">
        <f>_xlfn.XLOOKUP(Table26[[#This Row],[customerSKU]],customerSKU!G:G,customerSKU!K:K,"NA",0,1)</f>
        <v>NA</v>
      </c>
      <c r="AI1095" s="43" t="str">
        <f>_xlfn.XLOOKUP(Table26[[#This Row],[customerSKU]],customerSKU!G:G,customerSKU!O:O,"not found",0,1)</f>
        <v>not found</v>
      </c>
      <c r="AJ1095" s="22" t="e">
        <f>Table26[[#This Row],[unitprice]]*Table26[[#This Row],[quantity_unit]]</f>
        <v>#VALUE!</v>
      </c>
      <c r="AK1095" s="22" t="e" cm="1">
        <f t="array" ref="AK10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6" spans="1:37" ht="18" customHeight="1">
      <c r="A1096" s="42">
        <v>1161</v>
      </c>
      <c r="B1096" s="42" t="s">
        <v>3357</v>
      </c>
      <c r="C1096" s="53" t="s">
        <v>203</v>
      </c>
      <c r="E1096" s="20"/>
      <c r="F1096" s="25"/>
      <c r="G1096" s="93"/>
      <c r="J1096" s="90" t="str">
        <f>IF(Table26[[#This Row],[customerSKU]]="","",_xlfn.XLOOKUP(Table26[[#This Row],[customerSKU]],customerSKU!G:G,customerSKU!A:A,"",0,1))</f>
        <v/>
      </c>
      <c r="K1096" s="232">
        <v>45707</v>
      </c>
      <c r="L1096" s="49" t="str">
        <f>IF(Table26[[#This Row],[customerSKU]]="","",_xlfn.XLOOKUP(Table26[[#This Row],[customerSKU]],customerSKU!G:G,customerSKU!B:B,"",0,1))</f>
        <v/>
      </c>
      <c r="M1096" s="22"/>
      <c r="N1096" s="15" t="str">
        <f>Table26[[#This Row],[po_number]]&amp;"-"&amp;Table26[[#This Row],[po_line]]</f>
        <v>-2</v>
      </c>
      <c r="O1096" s="15">
        <v>2</v>
      </c>
      <c r="P1096" s="50"/>
      <c r="Q1096" s="22" t="s">
        <v>4170</v>
      </c>
      <c r="R1096" s="22" t="s">
        <v>3302</v>
      </c>
      <c r="S1096" s="90" t="str">
        <f>IF(Table26[[#This Row],[customerSKU]]="","",_xlfn.XLOOKUP(Table26[[#This Row],[customerSKU]],customerSKU!G:G,customerSKU!N:N,"NOT FOUND",0,1))</f>
        <v>NOT FOUND</v>
      </c>
      <c r="T1096" s="20">
        <v>45668</v>
      </c>
      <c r="U1096" s="94">
        <v>12</v>
      </c>
      <c r="V1096" s="22" t="str">
        <f>IF(ISBLANK(Table26[[#This Row],[customerSKU]]),"",_xlfn.XLOOKUP(Table26[[#This Row],[customerSKU]],Table27[customer_SKU],Table27[case_size],"",0,1))</f>
        <v/>
      </c>
      <c r="W1096" s="117" t="str">
        <f t="shared" si="51"/>
        <v/>
      </c>
      <c r="X1096" s="22" t="str">
        <f t="shared" si="52"/>
        <v/>
      </c>
      <c r="Y1096" s="25" t="str">
        <f>IF(Table26[[#This Row],[customerSKU]]="","",_xlfn.XLOOKUP(Table26[[#This Row],[customerSKU]],Table27[customer_SKU],Table27[product_GTIN],"",0,1))</f>
        <v/>
      </c>
      <c r="Z1096" s="25" t="s">
        <v>3384</v>
      </c>
      <c r="AA1096" s="18" t="str" cm="1">
        <f t="array" ref="AA1096">IF(P1096="", "", _xlfn.XLOOKUP(P1096,#REF!,#REF!,NA,0,-1))</f>
        <v/>
      </c>
      <c r="AB1096" s="22"/>
      <c r="AC1096" s="55" t="s">
        <v>4172</v>
      </c>
      <c r="AD1096" s="55" t="str">
        <f>IF($AC1096="","",_xlfn.XLOOKUP($AC1096,'[2]Client Info'!$C$2:$C$2535,'[2]Client Info'!$D$2:$D$2535,"",0,1))</f>
        <v>725 NELSON STREET</v>
      </c>
      <c r="AE1096" s="55" t="str">
        <f>IF($AC1096="","",_xlfn.XLOOKUP($AC1096,'[2]Client Info'!$C$2:$C$2715,'[2]Client Info'!$E$2:$E$2715,"",))</f>
        <v>VANCOUVER</v>
      </c>
      <c r="AF1096" s="55" t="str">
        <f>IF($AC1096="","",_xlfn.XLOOKUP($AC1096,'[2]Client Info'!$C$2:$C$2715,'[2]Client Info'!$F$2:$F$2715,"",0,1))</f>
        <v xml:space="preserve">BC </v>
      </c>
      <c r="AG1096" s="55" t="s">
        <v>4172</v>
      </c>
      <c r="AH1096" s="26" t="str">
        <f>_xlfn.XLOOKUP(Table26[[#This Row],[customerSKU]],customerSKU!G:G,customerSKU!K:K,"NA",0,1)</f>
        <v>NA</v>
      </c>
      <c r="AI1096" s="43" t="str">
        <f>_xlfn.XLOOKUP(Table26[[#This Row],[customerSKU]],customerSKU!G:G,customerSKU!O:O,"not found",0,1)</f>
        <v>not found</v>
      </c>
      <c r="AJ1096" s="22" t="e">
        <f>Table26[[#This Row],[unitprice]]*Table26[[#This Row],[quantity_unit]]</f>
        <v>#VALUE!</v>
      </c>
      <c r="AK1096" s="22" t="e" cm="1">
        <f t="array" ref="AK10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7" spans="1:37" ht="18" customHeight="1">
      <c r="A1097" s="42">
        <v>1162</v>
      </c>
      <c r="B1097" s="42" t="s">
        <v>3357</v>
      </c>
      <c r="C1097" s="53" t="s">
        <v>203</v>
      </c>
      <c r="E1097" s="20"/>
      <c r="F1097" s="25"/>
      <c r="G1097" s="93"/>
      <c r="J1097" s="90" t="str">
        <f>IF(Table26[[#This Row],[customerSKU]]="","",_xlfn.XLOOKUP(Table26[[#This Row],[customerSKU]],customerSKU!G:G,customerSKU!A:A,"",0,1))</f>
        <v/>
      </c>
      <c r="K1097" s="232">
        <v>45707</v>
      </c>
      <c r="L1097" s="49" t="str">
        <f>IF(Table26[[#This Row],[customerSKU]]="","",_xlfn.XLOOKUP(Table26[[#This Row],[customerSKU]],customerSKU!G:G,customerSKU!B:B,"",0,1))</f>
        <v/>
      </c>
      <c r="M1097" s="22"/>
      <c r="N1097" s="15" t="str">
        <f>Table26[[#This Row],[po_number]]&amp;"-"&amp;Table26[[#This Row],[po_line]]</f>
        <v>-1</v>
      </c>
      <c r="O1097" s="15">
        <v>1</v>
      </c>
      <c r="P1097" s="50"/>
      <c r="Q1097" s="22" t="s">
        <v>4170</v>
      </c>
      <c r="R1097" s="22" t="s">
        <v>3302</v>
      </c>
      <c r="S1097" s="90" t="str">
        <f>IF(Table26[[#This Row],[customerSKU]]="","",_xlfn.XLOOKUP(Table26[[#This Row],[customerSKU]],customerSKU!G:G,customerSKU!N:N,"NOT FOUND",0,1))</f>
        <v>NOT FOUND</v>
      </c>
      <c r="T1097" s="20">
        <v>45668</v>
      </c>
      <c r="U1097" s="94">
        <v>18</v>
      </c>
      <c r="V1097" s="22" t="str">
        <f>IF(ISBLANK(Table26[[#This Row],[customerSKU]]),"",_xlfn.XLOOKUP(Table26[[#This Row],[customerSKU]],Table27[customer_SKU],Table27[case_size],"",0,1))</f>
        <v/>
      </c>
      <c r="W1097" s="117" t="str">
        <f t="shared" si="51"/>
        <v/>
      </c>
      <c r="X1097" s="22" t="str">
        <f t="shared" si="52"/>
        <v/>
      </c>
      <c r="Y1097" s="25" t="str">
        <f>IF(Table26[[#This Row],[customerSKU]]="","",_xlfn.XLOOKUP(Table26[[#This Row],[customerSKU]],Table27[customer_SKU],Table27[product_GTIN],"",0,1))</f>
        <v/>
      </c>
      <c r="Z1097" s="25" t="s">
        <v>3384</v>
      </c>
      <c r="AA1097" s="18" t="str" cm="1">
        <f t="array" ref="AA1097">IF(P1097="", "", _xlfn.XLOOKUP(P1097,#REF!,#REF!,NA,0,-1))</f>
        <v/>
      </c>
      <c r="AB1097" s="22"/>
      <c r="AC1097" s="55" t="s">
        <v>3976</v>
      </c>
      <c r="AD1097" s="55" t="str">
        <f>IF($AC1097="","",_xlfn.XLOOKUP($AC1097,'[2]Client Info'!$C$2:$C$2535,'[2]Client Info'!$D$2:$D$2535,"",0,1))</f>
        <v>101-124 Craig St, PO Box 207</v>
      </c>
      <c r="AE1097" s="55" t="str">
        <f>IF($AC1097="","",_xlfn.XLOOKUP($AC1097,'[2]Client Info'!$C$2:$C$2715,'[2]Client Info'!$E$2:$E$2715,"",))</f>
        <v>Parksville</v>
      </c>
      <c r="AF1097" s="55" t="str">
        <f>IF($AC1097="","",_xlfn.XLOOKUP($AC1097,'[2]Client Info'!$C$2:$C$2715,'[2]Client Info'!$F$2:$F$2715,"",0,1))</f>
        <v xml:space="preserve">BC </v>
      </c>
      <c r="AG1097" s="55" t="s">
        <v>3976</v>
      </c>
      <c r="AH1097" s="26" t="str">
        <f>_xlfn.XLOOKUP(Table26[[#This Row],[customerSKU]],customerSKU!G:G,customerSKU!K:K,"NA",0,1)</f>
        <v>NA</v>
      </c>
      <c r="AI1097" s="43" t="str">
        <f>_xlfn.XLOOKUP(Table26[[#This Row],[customerSKU]],customerSKU!G:G,customerSKU!O:O,"not found",0,1)</f>
        <v>not found</v>
      </c>
      <c r="AJ1097" s="22" t="e">
        <f>Table26[[#This Row],[unitprice]]*Table26[[#This Row],[quantity_unit]]</f>
        <v>#VALUE!</v>
      </c>
      <c r="AK1097" s="22" t="e" cm="1">
        <f t="array" ref="AK10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8" spans="1:37" ht="18" customHeight="1">
      <c r="A1098" s="42">
        <v>1163</v>
      </c>
      <c r="B1098" s="42" t="s">
        <v>3357</v>
      </c>
      <c r="C1098" s="53" t="s">
        <v>203</v>
      </c>
      <c r="E1098" s="20"/>
      <c r="F1098" s="25"/>
      <c r="G1098" s="93"/>
      <c r="J1098" s="90" t="str">
        <f>IF(Table26[[#This Row],[customerSKU]]="","",_xlfn.XLOOKUP(Table26[[#This Row],[customerSKU]],customerSKU!G:G,customerSKU!A:A,"",0,1))</f>
        <v/>
      </c>
      <c r="K1098" s="232">
        <v>45707</v>
      </c>
      <c r="L1098" s="49" t="str">
        <f>IF(Table26[[#This Row],[customerSKU]]="","",_xlfn.XLOOKUP(Table26[[#This Row],[customerSKU]],customerSKU!G:G,customerSKU!B:B,"",0,1))</f>
        <v/>
      </c>
      <c r="M1098" s="22"/>
      <c r="N1098" s="15" t="str">
        <f>Table26[[#This Row],[po_number]]&amp;"-"&amp;Table26[[#This Row],[po_line]]</f>
        <v>-1</v>
      </c>
      <c r="O1098" s="15">
        <v>1</v>
      </c>
      <c r="P1098" s="50"/>
      <c r="Q1098" s="22" t="s">
        <v>4168</v>
      </c>
      <c r="R1098" s="22" t="s">
        <v>3302</v>
      </c>
      <c r="S1098" s="90" t="str">
        <f>IF(Table26[[#This Row],[customerSKU]]="","",_xlfn.XLOOKUP(Table26[[#This Row],[customerSKU]],customerSKU!G:G,customerSKU!N:N,"NOT FOUND",0,1))</f>
        <v>NOT FOUND</v>
      </c>
      <c r="T1098" s="20">
        <v>45668</v>
      </c>
      <c r="U1098" s="94">
        <v>12</v>
      </c>
      <c r="V1098" s="22" t="str">
        <f>IF(ISBLANK(Table26[[#This Row],[customerSKU]]),"",_xlfn.XLOOKUP(Table26[[#This Row],[customerSKU]],Table27[customer_SKU],Table27[case_size],"",0,1))</f>
        <v/>
      </c>
      <c r="W1098" s="117" t="str">
        <f t="shared" si="51"/>
        <v/>
      </c>
      <c r="X1098" s="22" t="str">
        <f t="shared" si="52"/>
        <v/>
      </c>
      <c r="Y1098" s="25" t="str">
        <f>IF(Table26[[#This Row],[customerSKU]]="","",_xlfn.XLOOKUP(Table26[[#This Row],[customerSKU]],Table27[customer_SKU],Table27[product_GTIN],"",0,1))</f>
        <v/>
      </c>
      <c r="Z1098" s="25" t="s">
        <v>4169</v>
      </c>
      <c r="AA1098" s="18" t="str" cm="1">
        <f t="array" ref="AA1098">IF(P1098="", "", _xlfn.XLOOKUP(P1098,#REF!,#REF!,NA,0,-1))</f>
        <v/>
      </c>
      <c r="AB1098" s="22"/>
      <c r="AC1098" s="55" t="s">
        <v>92</v>
      </c>
      <c r="AD1098" s="55" t="str">
        <f>IF($AC1098="","",_xlfn.XLOOKUP($AC1098,'[2]Client Info'!$C$2:$C$2535,'[2]Client Info'!$D$2:$D$2535,"",0,1))</f>
        <v>137F Dyke Rd</v>
      </c>
      <c r="AE1098" s="55" t="str">
        <f>IF($AC1098="","",_xlfn.XLOOKUP($AC1098,'[2]Client Info'!$C$2:$C$2715,'[2]Client Info'!$E$2:$E$2715,"",))</f>
        <v>Chilliwack</v>
      </c>
      <c r="AF1098" s="55" t="str">
        <f>IF($AC1098="","",_xlfn.XLOOKUP($AC1098,'[2]Client Info'!$C$2:$C$2715,'[2]Client Info'!$F$2:$F$2715,"",0,1))</f>
        <v xml:space="preserve">BC </v>
      </c>
      <c r="AG1098" s="55" t="s">
        <v>92</v>
      </c>
      <c r="AH1098" s="26" t="str">
        <f>_xlfn.XLOOKUP(Table26[[#This Row],[customerSKU]],customerSKU!G:G,customerSKU!K:K,"NA",0,1)</f>
        <v>NA</v>
      </c>
      <c r="AI1098" s="43" t="str">
        <f>_xlfn.XLOOKUP(Table26[[#This Row],[customerSKU]],customerSKU!G:G,customerSKU!O:O,"not found",0,1)</f>
        <v>not found</v>
      </c>
      <c r="AJ1098" s="22" t="e">
        <f>Table26[[#This Row],[unitprice]]*Table26[[#This Row],[quantity_unit]]</f>
        <v>#VALUE!</v>
      </c>
      <c r="AK1098" s="22" t="e" cm="1">
        <f t="array" ref="AK10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099" spans="1:37" ht="24.6" customHeight="1">
      <c r="A1099" s="42">
        <v>1164</v>
      </c>
      <c r="B1099" s="42" t="s">
        <v>3357</v>
      </c>
      <c r="C1099" s="53" t="s">
        <v>203</v>
      </c>
      <c r="E1099" s="20"/>
      <c r="F1099" s="25"/>
      <c r="G1099" s="93"/>
      <c r="J1099" s="90" t="str">
        <f>IF(Table26[[#This Row],[customerSKU]]="","",_xlfn.XLOOKUP(Table26[[#This Row],[customerSKU]],customerSKU!G:G,customerSKU!A:A,"",0,1))</f>
        <v/>
      </c>
      <c r="K1099" s="232">
        <v>45707</v>
      </c>
      <c r="L1099" s="49" t="str">
        <f>IF(Table26[[#This Row],[customerSKU]]="","",_xlfn.XLOOKUP(Table26[[#This Row],[customerSKU]],customerSKU!G:G,customerSKU!B:B,"",0,1))</f>
        <v/>
      </c>
      <c r="M1099" s="22"/>
      <c r="N1099" s="15" t="str">
        <f>Table26[[#This Row],[po_number]]&amp;"-"&amp;Table26[[#This Row],[po_line]]</f>
        <v>-2</v>
      </c>
      <c r="O1099" s="15">
        <v>2</v>
      </c>
      <c r="P1099" s="50"/>
      <c r="Q1099" s="22" t="s">
        <v>4170</v>
      </c>
      <c r="R1099" s="22" t="s">
        <v>3302</v>
      </c>
      <c r="S1099" s="90" t="str">
        <f>IF(Table26[[#This Row],[customerSKU]]="","",_xlfn.XLOOKUP(Table26[[#This Row],[customerSKU]],customerSKU!G:G,customerSKU!N:N,"NOT FOUND",0,1))</f>
        <v>NOT FOUND</v>
      </c>
      <c r="T1099" s="20">
        <v>45668</v>
      </c>
      <c r="U1099" s="94">
        <v>12</v>
      </c>
      <c r="V1099" s="22" t="str">
        <f>IF(ISBLANK(Table26[[#This Row],[customerSKU]]),"",_xlfn.XLOOKUP(Table26[[#This Row],[customerSKU]],Table27[customer_SKU],Table27[case_size],"",0,1))</f>
        <v/>
      </c>
      <c r="W1099" s="117" t="str">
        <f t="shared" si="51"/>
        <v/>
      </c>
      <c r="X1099" s="22" t="str">
        <f t="shared" si="52"/>
        <v/>
      </c>
      <c r="Y1099" s="25" t="str">
        <f>IF(Table26[[#This Row],[customerSKU]]="","",_xlfn.XLOOKUP(Table26[[#This Row],[customerSKU]],Table27[customer_SKU],Table27[product_GTIN],"",0,1))</f>
        <v/>
      </c>
      <c r="Z1099" s="25" t="s">
        <v>3384</v>
      </c>
      <c r="AA1099" s="18" t="str" cm="1">
        <f t="array" ref="AA1099">IF(P1099="", "", _xlfn.XLOOKUP(P1099,#REF!,#REF!,NA,0,-1))</f>
        <v/>
      </c>
      <c r="AB1099" s="22"/>
      <c r="AC1099" s="55" t="s">
        <v>92</v>
      </c>
      <c r="AD1099" s="55" t="str">
        <f>IF($AC1099="","",_xlfn.XLOOKUP($AC1099,'[2]Client Info'!$C$2:$C$2535,'[2]Client Info'!$D$2:$D$2535,"",0,1))</f>
        <v>137F Dyke Rd</v>
      </c>
      <c r="AE1099" s="55" t="str">
        <f>IF($AC1099="","",_xlfn.XLOOKUP($AC1099,'[2]Client Info'!$C$2:$C$2715,'[2]Client Info'!$E$2:$E$2715,"",))</f>
        <v>Chilliwack</v>
      </c>
      <c r="AF1099" s="55" t="str">
        <f>IF($AC1099="","",_xlfn.XLOOKUP($AC1099,'[2]Client Info'!$C$2:$C$2715,'[2]Client Info'!$F$2:$F$2715,"",0,1))</f>
        <v xml:space="preserve">BC </v>
      </c>
      <c r="AG1099" s="55" t="s">
        <v>92</v>
      </c>
      <c r="AH1099" s="26" t="str">
        <f>_xlfn.XLOOKUP(Table26[[#This Row],[customerSKU]],customerSKU!G:G,customerSKU!K:K,"NA",0,1)</f>
        <v>NA</v>
      </c>
      <c r="AI1099" s="43" t="str">
        <f>_xlfn.XLOOKUP(Table26[[#This Row],[customerSKU]],customerSKU!G:G,customerSKU!O:O,"not found",0,1)</f>
        <v>not found</v>
      </c>
      <c r="AJ1099" s="22" t="e">
        <f>Table26[[#This Row],[unitprice]]*Table26[[#This Row],[quantity_unit]]</f>
        <v>#VALUE!</v>
      </c>
      <c r="AK1099" s="22" t="e" cm="1">
        <f t="array" ref="AK10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0" spans="1:37" ht="24.6" customHeight="1">
      <c r="A1100" s="42">
        <v>1135</v>
      </c>
      <c r="B1100" s="27" t="s">
        <v>3520</v>
      </c>
      <c r="C1100" s="90" t="s">
        <v>203</v>
      </c>
      <c r="E1100" s="20"/>
      <c r="F110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00" s="17"/>
      <c r="J1100" s="90" t="str">
        <f>IF(Table26[[#This Row],[customerSKU]]="","",_xlfn.XLOOKUP(Table26[[#This Row],[customerSKU]],customerSKU!G:G,customerSKU!A:A,"",0,1))</f>
        <v/>
      </c>
      <c r="K1100" s="232">
        <v>45708</v>
      </c>
      <c r="L1100" s="31" t="str">
        <f>IF(Table26[[#This Row],[customerSKU]]="","",_xlfn.XLOOKUP(Table26[[#This Row],[customerSKU]],customerSKU!G:G,customerSKU!B:B,"",0,1))</f>
        <v/>
      </c>
      <c r="M1100" s="123"/>
      <c r="N1100" s="367" t="str">
        <f>Table26[[#This Row],[po_number]]&amp;"-"&amp;Table26[[#This Row],[po_line]]</f>
        <v>-1</v>
      </c>
      <c r="O1100" s="367">
        <v>1</v>
      </c>
      <c r="P1100" s="50"/>
      <c r="Q1100" s="22" t="s">
        <v>4135</v>
      </c>
      <c r="R1100" s="22" t="s">
        <v>569</v>
      </c>
      <c r="S1100" s="22" t="str">
        <f>IF(Table26[[#This Row],[customerSKU]]="","",_xlfn.XLOOKUP(Table26[[#This Row],[customerSKU]],customerSKU!G:G,customerSKU!N:N,"NOT FOUND",0,1))</f>
        <v>NOT FOUND</v>
      </c>
      <c r="T1100" s="20">
        <v>45707</v>
      </c>
      <c r="U1100" s="21">
        <v>12</v>
      </c>
      <c r="V1100" s="22" t="str">
        <f>IF(ISBLANK(Table26[[#This Row],[customerSKU]]),"",_xlfn.XLOOKUP(Table26[[#This Row],[customerSKU]],Table27[customer_SKU],Table27[case_size],"",0,1))</f>
        <v/>
      </c>
      <c r="W1100" s="117" t="str">
        <f t="shared" si="51"/>
        <v/>
      </c>
      <c r="X1100" s="22" t="str">
        <f t="shared" si="52"/>
        <v/>
      </c>
      <c r="Y1100" s="22" t="str">
        <f>IF(Table26[[#This Row],[customerSKU]]="","",_xlfn.XLOOKUP(Table26[[#This Row],[customerSKU]],Table27[customer_SKU],Table27[product_GTIN],"",0,1))</f>
        <v/>
      </c>
      <c r="Z1100" s="25" t="s">
        <v>3407</v>
      </c>
      <c r="AA1100" s="18" t="str" cm="1">
        <f t="array" ref="AA1100">IF(P1100="", "", _xlfn.XLOOKUP(P1100,#REF!,#REF!,NA,0,-1))</f>
        <v/>
      </c>
      <c r="AB1100" s="22"/>
      <c r="AC1100" s="55" t="s">
        <v>3496</v>
      </c>
      <c r="AD1100" s="55" t="str">
        <f>IF($AC1100="","",_xlfn.XLOOKUP($AC1100,'[2]Client Info'!$C$2:$C$2535,'[2]Client Info'!$D$2:$D$2535,"",0,1))</f>
        <v>11939 240th Street</v>
      </c>
      <c r="AE1100" s="55" t="str">
        <f>IF($AC1100="","",_xlfn.XLOOKUP($AC1100,'[2]Client Info'!$C$2:$C$2715,'[2]Client Info'!$E$2:$E$2715,"",))</f>
        <v>Maple Ridge</v>
      </c>
      <c r="AF1100" s="55" t="str">
        <f>IF($AC1100="","",_xlfn.XLOOKUP($AC1100,'[2]Client Info'!$C$2:$C$2715,'[2]Client Info'!$F$2:$F$2715,"",0,1))</f>
        <v xml:space="preserve">BC </v>
      </c>
      <c r="AG1100" s="55" t="s">
        <v>3496</v>
      </c>
      <c r="AH1100" s="26" t="str">
        <f>_xlfn.XLOOKUP(Table26[[#This Row],[customerSKU]],customerSKU!G:G,customerSKU!K:K,"NA",0,1)</f>
        <v>NA</v>
      </c>
      <c r="AI1100" s="43" t="str">
        <f>_xlfn.XLOOKUP(Table26[[#This Row],[customerSKU]],customerSKU!G:G,customerSKU!O:O,"not found",0,1)</f>
        <v>not found</v>
      </c>
      <c r="AJ1100" s="22" t="e">
        <f>Table26[[#This Row],[unitprice]]*Table26[[#This Row],[quantity_unit]]</f>
        <v>#VALUE!</v>
      </c>
      <c r="AK1100" s="22" t="e" cm="1">
        <f t="array" ref="AK11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1" spans="1:37" ht="24.6" customHeight="1">
      <c r="A1101" s="42">
        <v>1136</v>
      </c>
      <c r="B1101" s="27" t="s">
        <v>3520</v>
      </c>
      <c r="C1101" s="90" t="s">
        <v>203</v>
      </c>
      <c r="E1101" s="20"/>
      <c r="F110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01" s="17"/>
      <c r="J1101" s="90" t="str">
        <f>IF(Table26[[#This Row],[customerSKU]]="","",_xlfn.XLOOKUP(Table26[[#This Row],[customerSKU]],customerSKU!G:G,customerSKU!A:A,"",0,1))</f>
        <v/>
      </c>
      <c r="K1101" s="232">
        <v>45708</v>
      </c>
      <c r="L1101" s="31" t="str">
        <f>IF(Table26[[#This Row],[customerSKU]]="","",_xlfn.XLOOKUP(Table26[[#This Row],[customerSKU]],customerSKU!G:G,customerSKU!B:B,"",0,1))</f>
        <v/>
      </c>
      <c r="M1101" s="22"/>
      <c r="N1101" s="15" t="str">
        <f>Table26[[#This Row],[po_number]]&amp;"-"&amp;Table26[[#This Row],[po_line]]</f>
        <v>-1</v>
      </c>
      <c r="O1101" s="15">
        <v>1</v>
      </c>
      <c r="P1101" s="50"/>
      <c r="Q1101" s="22" t="s">
        <v>4139</v>
      </c>
      <c r="R1101" s="22" t="s">
        <v>569</v>
      </c>
      <c r="S1101" s="22" t="str">
        <f>IF(Table26[[#This Row],[customerSKU]]="","",_xlfn.XLOOKUP(Table26[[#This Row],[customerSKU]],customerSKU!G:G,customerSKU!N:N,"NOT FOUND",0,1))</f>
        <v>NOT FOUND</v>
      </c>
      <c r="T1101" s="20">
        <v>45689</v>
      </c>
      <c r="U1101" s="21">
        <v>6</v>
      </c>
      <c r="V1101" s="22" t="str">
        <f>IF(ISBLANK(Table26[[#This Row],[customerSKU]]),"",_xlfn.XLOOKUP(Table26[[#This Row],[customerSKU]],Table27[customer_SKU],Table27[case_size],"",0,1))</f>
        <v/>
      </c>
      <c r="W1101" s="117" t="str">
        <f t="shared" si="51"/>
        <v/>
      </c>
      <c r="X1101" s="22" t="str">
        <f t="shared" si="52"/>
        <v/>
      </c>
      <c r="Y1101" s="22" t="str">
        <f>IF(Table26[[#This Row],[customerSKU]]="","",_xlfn.XLOOKUP(Table26[[#This Row],[customerSKU]],Table27[customer_SKU],Table27[product_GTIN],"",0,1))</f>
        <v/>
      </c>
      <c r="Z1101" s="25" t="s">
        <v>4140</v>
      </c>
      <c r="AA1101" s="18" t="str" cm="1">
        <f t="array" ref="AA1101">IF(P1101="", "", _xlfn.XLOOKUP(P1101,#REF!,#REF!,NA,0,-1))</f>
        <v/>
      </c>
      <c r="AB1101" s="22"/>
      <c r="AC1101" s="55" t="s">
        <v>116</v>
      </c>
      <c r="AD1101" s="55" t="str">
        <f>IF($AC1101="","",_xlfn.XLOOKUP($AC1101,'[2]Client Info'!$C$2:$C$2535,'[2]Client Info'!$D$2:$D$2535,"",0,1))</f>
        <v>258 W Broadway</v>
      </c>
      <c r="AE1101" s="55" t="str">
        <f>IF($AC1101="","",_xlfn.XLOOKUP($AC1101,'[2]Client Info'!$C$2:$C$2715,'[2]Client Info'!$E$2:$E$2715,"",))</f>
        <v>Vancouver</v>
      </c>
      <c r="AF1101" s="55" t="str">
        <f>IF($AC1101="","",_xlfn.XLOOKUP($AC1101,'[2]Client Info'!$C$2:$C$2715,'[2]Client Info'!$F$2:$F$2715,"",0,1))</f>
        <v xml:space="preserve">BC </v>
      </c>
      <c r="AG1101" s="55" t="s">
        <v>116</v>
      </c>
      <c r="AH1101" s="26" t="str">
        <f>_xlfn.XLOOKUP(Table26[[#This Row],[customerSKU]],customerSKU!G:G,customerSKU!K:K,"NA",0,1)</f>
        <v>NA</v>
      </c>
      <c r="AI1101" s="43" t="str">
        <f>_xlfn.XLOOKUP(Table26[[#This Row],[customerSKU]],customerSKU!G:G,customerSKU!O:O,"not found",0,1)</f>
        <v>not found</v>
      </c>
      <c r="AJ1101" s="22" t="e">
        <f>Table26[[#This Row],[unitprice]]*Table26[[#This Row],[quantity_unit]]</f>
        <v>#VALUE!</v>
      </c>
      <c r="AK1101" s="22" t="e" cm="1">
        <f t="array" ref="AK11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2" spans="1:37" ht="18" customHeight="1">
      <c r="A1102" s="42">
        <v>1137</v>
      </c>
      <c r="B1102" s="42" t="s">
        <v>3357</v>
      </c>
      <c r="C1102" s="90" t="s">
        <v>203</v>
      </c>
      <c r="D1102" s="51"/>
      <c r="E1102" s="51"/>
      <c r="F1102" s="53" t="str">
        <f>IF(OR(ISNUMBER(SEARCH("OCS",Table26[[#This Row],[sales_stream]])),ISNUMBER(SEARCH("AGLC",Table26[[#This Row],[sales_stream]])),ISNUMBER(SEARCH("BCLDB",Table26[[#This Row],[sales_stream]]))),"NEED BOOKING","")</f>
        <v/>
      </c>
      <c r="G1102" s="93"/>
      <c r="H1102" s="53"/>
      <c r="I1102" s="53"/>
      <c r="J1102" s="90" t="str">
        <f>IF(Table26[[#This Row],[customerSKU]]="","",_xlfn.XLOOKUP(Table26[[#This Row],[customerSKU]],customerSKU!G:G,customerSKU!A:A,"",0,1))</f>
        <v/>
      </c>
      <c r="K1102" s="232">
        <v>45708</v>
      </c>
      <c r="L1102" s="49" t="str">
        <f>IF(Table26[[#This Row],[customerSKU]]="","",_xlfn.XLOOKUP(Table26[[#This Row],[customerSKU]],customerSKU!G:G,customerSKU!B:B,"",0,1))</f>
        <v/>
      </c>
      <c r="M1102" s="22"/>
      <c r="N1102" s="15" t="str">
        <f>Table26[[#This Row],[po_number]]&amp;"-"&amp;Table26[[#This Row],[po_line]]</f>
        <v>-1</v>
      </c>
      <c r="O1102" s="15">
        <v>1</v>
      </c>
      <c r="P1102" s="50"/>
      <c r="Q1102" s="22" t="s">
        <v>4086</v>
      </c>
      <c r="R1102" s="22" t="s">
        <v>569</v>
      </c>
      <c r="S1102" s="22" t="s">
        <v>114</v>
      </c>
      <c r="T1102" s="20">
        <v>45631</v>
      </c>
      <c r="U1102" s="52">
        <v>12</v>
      </c>
      <c r="V1102" s="53" t="str">
        <f>IF(ISBLANK(Table26[[#This Row],[customerSKU]]),"",_xlfn.XLOOKUP(Table26[[#This Row],[customerSKU]],Table27[customer_SKU],Table27[case_size],"",0,1))</f>
        <v/>
      </c>
      <c r="W1102" s="116" t="str">
        <f t="shared" si="51"/>
        <v/>
      </c>
      <c r="X1102" s="53" t="str">
        <f t="shared" si="52"/>
        <v/>
      </c>
      <c r="Y1102" s="53" t="str">
        <f>IF(Table26[[#This Row],[customerSKU]]="","",_xlfn.XLOOKUP(Table26[[#This Row],[customerSKU]],Table27[customer_SKU],Table27[product_GTIN],"",0,1))</f>
        <v/>
      </c>
      <c r="Z1102" s="25" t="s">
        <v>3372</v>
      </c>
      <c r="AA1102" s="18" t="str" cm="1">
        <f t="array" ref="AA1102">IF(P1102="", "", _xlfn.XLOOKUP(P1102,#REF!,#REF!,NA,0,-1))</f>
        <v/>
      </c>
      <c r="AB1102" s="53"/>
      <c r="AC1102" s="55" t="s">
        <v>98</v>
      </c>
      <c r="AD1102" s="55" t="str">
        <f>IF($AC1102="","",_xlfn.XLOOKUP($AC1102,'[2]Client Info'!$C$2:$C$2535,'[2]Client Info'!$D$2:$D$2535,"",0,1))</f>
        <v>3923 Victoria Ave</v>
      </c>
      <c r="AE1102" s="55" t="str">
        <f>IF($AC1102="","",_xlfn.XLOOKUP($AC1102,'[2]Client Info'!$C$2:$C$2715,'[2]Client Info'!$E$2:$E$2715,"",))</f>
        <v>Nanaimo</v>
      </c>
      <c r="AF1102" s="55" t="str">
        <f>IF($AC1102="","",_xlfn.XLOOKUP($AC1102,'[2]Client Info'!$C$2:$C$2715,'[2]Client Info'!$F$2:$F$2715,"",0,1))</f>
        <v xml:space="preserve">BC </v>
      </c>
      <c r="AG1102" s="55" t="s">
        <v>98</v>
      </c>
      <c r="AH1102" s="62" t="str">
        <f>_xlfn.XLOOKUP(Table26[[#This Row],[customerSKU]],customerSKU!G:G,customerSKU!K:K,"NA",0,1)</f>
        <v>NA</v>
      </c>
      <c r="AI1102" s="43" t="str">
        <f>_xlfn.XLOOKUP(Table26[[#This Row],[customerSKU]],customerSKU!G:G,customerSKU!O:O,"not found",0,1)</f>
        <v>not found</v>
      </c>
      <c r="AJ1102" s="22" t="e">
        <f>Table26[[#This Row],[unitprice]]*Table26[[#This Row],[quantity_unit]]</f>
        <v>#VALUE!</v>
      </c>
      <c r="AK1102" s="22" t="e" cm="1">
        <f t="array" ref="AK11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3" spans="1:37" ht="18" customHeight="1">
      <c r="A1103" s="42">
        <v>1138</v>
      </c>
      <c r="B1103" s="42" t="s">
        <v>3357</v>
      </c>
      <c r="C1103" s="90" t="s">
        <v>203</v>
      </c>
      <c r="E1103" s="20"/>
      <c r="F1103" s="25"/>
      <c r="G1103" s="93"/>
      <c r="J1103" s="90" t="str">
        <f>IF(Table26[[#This Row],[customerSKU]]="","",_xlfn.XLOOKUP(Table26[[#This Row],[customerSKU]],customerSKU!G:G,customerSKU!A:A,"",0,1))</f>
        <v/>
      </c>
      <c r="K1103" s="232">
        <v>45708</v>
      </c>
      <c r="L1103" s="49" t="str">
        <f>IF(Table26[[#This Row],[customerSKU]]="","",_xlfn.XLOOKUP(Table26[[#This Row],[customerSKU]],customerSKU!G:G,customerSKU!B:B,"",0,1))</f>
        <v/>
      </c>
      <c r="M1103" s="22"/>
      <c r="N1103" s="15" t="str">
        <f>Table26[[#This Row],[po_number]]&amp;"-"&amp;Table26[[#This Row],[po_line]]</f>
        <v>-2</v>
      </c>
      <c r="O1103" s="15">
        <v>2</v>
      </c>
      <c r="P1103" s="50"/>
      <c r="Q1103" s="53" t="s">
        <v>3405</v>
      </c>
      <c r="R1103" s="53" t="s">
        <v>3302</v>
      </c>
      <c r="S1103" s="53" t="s">
        <v>114</v>
      </c>
      <c r="T1103" s="20">
        <v>45623</v>
      </c>
      <c r="U1103" s="52">
        <v>24</v>
      </c>
      <c r="V1103" s="53" t="str">
        <f>IF(ISBLANK(Table26[[#This Row],[customerSKU]]),"",_xlfn.XLOOKUP(Table26[[#This Row],[customerSKU]],Table27[customer_SKU],Table27[case_size],"",0,1))</f>
        <v/>
      </c>
      <c r="W1103" s="116" t="str">
        <f t="shared" si="51"/>
        <v/>
      </c>
      <c r="X1103" s="53" t="str">
        <f t="shared" si="52"/>
        <v/>
      </c>
      <c r="Y1103" s="53" t="str">
        <f>IF(Table26[[#This Row],[customerSKU]]="","",_xlfn.XLOOKUP(Table26[[#This Row],[customerSKU]],Table27[customer_SKU],Table27[product_GTIN],"",0,1))</f>
        <v/>
      </c>
      <c r="Z1103" s="25" t="s">
        <v>3406</v>
      </c>
      <c r="AA1103" s="18" t="str" cm="1">
        <f t="array" ref="AA1103">IF(P1103="", "", _xlfn.XLOOKUP(P1103,#REF!,#REF!,NA,0,-1))</f>
        <v/>
      </c>
      <c r="AB1103" s="22"/>
      <c r="AC1103" s="55" t="s">
        <v>98</v>
      </c>
      <c r="AD1103" s="55" t="str">
        <f>IF($AC1103="","",_xlfn.XLOOKUP($AC1103,'[2]Client Info'!$C$2:$C$2535,'[2]Client Info'!$D$2:$D$2535,"",0,1))</f>
        <v>3923 Victoria Ave</v>
      </c>
      <c r="AE1103" s="55" t="str">
        <f>IF($AC1103="","",_xlfn.XLOOKUP($AC1103,'[2]Client Info'!$C$2:$C$2715,'[2]Client Info'!$E$2:$E$2715,"",))</f>
        <v>Nanaimo</v>
      </c>
      <c r="AF1103" s="55" t="str">
        <f>IF($AC1103="","",_xlfn.XLOOKUP($AC1103,'[2]Client Info'!$C$2:$C$2715,'[2]Client Info'!$F$2:$F$2715,"",0,1))</f>
        <v xml:space="preserve">BC </v>
      </c>
      <c r="AG1103" s="55" t="s">
        <v>98</v>
      </c>
      <c r="AH1103" s="62" t="str">
        <f>_xlfn.XLOOKUP(Table26[[#This Row],[customerSKU]],customerSKU!G:G,customerSKU!K:K,"NA",0,1)</f>
        <v>NA</v>
      </c>
      <c r="AI1103" s="43" t="str">
        <f>_xlfn.XLOOKUP(Table26[[#This Row],[customerSKU]],customerSKU!G:G,customerSKU!O:O,"not found",0,1)</f>
        <v>not found</v>
      </c>
      <c r="AJ1103" s="22" t="e">
        <f>Table26[[#This Row],[unitprice]]*Table26[[#This Row],[quantity_unit]]</f>
        <v>#VALUE!</v>
      </c>
      <c r="AK1103" s="22" t="e" cm="1">
        <f t="array" ref="AK11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4" spans="1:37" ht="18" customHeight="1">
      <c r="A1104" s="42">
        <v>1139</v>
      </c>
      <c r="B1104" s="42" t="s">
        <v>3357</v>
      </c>
      <c r="C1104" s="90" t="s">
        <v>203</v>
      </c>
      <c r="E1104" s="20"/>
      <c r="F1104" s="25"/>
      <c r="G1104" s="93"/>
      <c r="J1104" s="90" t="str">
        <f>IF(Table26[[#This Row],[customerSKU]]="","",_xlfn.XLOOKUP(Table26[[#This Row],[customerSKU]],customerSKU!G:G,customerSKU!A:A,"",0,1))</f>
        <v/>
      </c>
      <c r="K1104" s="232">
        <v>45708</v>
      </c>
      <c r="L1104" s="49" t="str">
        <f>IF(Table26[[#This Row],[customerSKU]]="","",_xlfn.XLOOKUP(Table26[[#This Row],[customerSKU]],customerSKU!G:G,customerSKU!B:B,"",0,1))</f>
        <v/>
      </c>
      <c r="M1104" s="22"/>
      <c r="N1104" s="15" t="str">
        <f>Table26[[#This Row],[po_number]]&amp;"-"&amp;Table26[[#This Row],[po_line]]</f>
        <v>-3</v>
      </c>
      <c r="O1104" s="15">
        <v>3</v>
      </c>
      <c r="P1104" s="50"/>
      <c r="Q1104" s="53" t="s">
        <v>656</v>
      </c>
      <c r="R1104" s="53" t="s">
        <v>3302</v>
      </c>
      <c r="S1104" s="53" t="s">
        <v>114</v>
      </c>
      <c r="T1104" s="20">
        <v>45642</v>
      </c>
      <c r="U1104" s="52">
        <v>24</v>
      </c>
      <c r="V1104" s="53" t="str">
        <f>IF(ISBLANK(Table26[[#This Row],[customerSKU]]),"",_xlfn.XLOOKUP(Table26[[#This Row],[customerSKU]],Table27[customer_SKU],Table27[case_size],"",0,1))</f>
        <v/>
      </c>
      <c r="W1104" s="116" t="str">
        <f t="shared" si="51"/>
        <v/>
      </c>
      <c r="X1104" s="53" t="str">
        <f t="shared" si="52"/>
        <v/>
      </c>
      <c r="Y1104" s="53" t="str">
        <f>IF(Table26[[#This Row],[customerSKU]]="","",_xlfn.XLOOKUP(Table26[[#This Row],[customerSKU]],Table27[customer_SKU],Table27[product_GTIN],"",0,1))</f>
        <v/>
      </c>
      <c r="Z1104" s="25" t="s">
        <v>3367</v>
      </c>
      <c r="AA1104" s="18" t="str" cm="1">
        <f t="array" ref="AA1104">IF(P1104="", "", _xlfn.XLOOKUP(P1104,#REF!,#REF!,NA,0,-1))</f>
        <v/>
      </c>
      <c r="AB1104" s="22"/>
      <c r="AC1104" s="55" t="s">
        <v>98</v>
      </c>
      <c r="AD1104" s="55" t="str">
        <f>IF($AC1104="","",_xlfn.XLOOKUP($AC1104,'[2]Client Info'!$C$2:$C$2535,'[2]Client Info'!$D$2:$D$2535,"",0,1))</f>
        <v>3923 Victoria Ave</v>
      </c>
      <c r="AE1104" s="55" t="str">
        <f>IF($AC1104="","",_xlfn.XLOOKUP($AC1104,'[2]Client Info'!$C$2:$C$2715,'[2]Client Info'!$E$2:$E$2715,"",))</f>
        <v>Nanaimo</v>
      </c>
      <c r="AF1104" s="55" t="str">
        <f>IF($AC1104="","",_xlfn.XLOOKUP($AC1104,'[2]Client Info'!$C$2:$C$2715,'[2]Client Info'!$F$2:$F$2715,"",0,1))</f>
        <v xml:space="preserve">BC </v>
      </c>
      <c r="AG1104" s="55" t="s">
        <v>98</v>
      </c>
      <c r="AH1104" s="62" t="str">
        <f>_xlfn.XLOOKUP(Table26[[#This Row],[customerSKU]],customerSKU!G:G,customerSKU!K:K,"NA",0,1)</f>
        <v>NA</v>
      </c>
      <c r="AI1104" s="43" t="str">
        <f>_xlfn.XLOOKUP(Table26[[#This Row],[customerSKU]],customerSKU!G:G,customerSKU!O:O,"not found",0,1)</f>
        <v>not found</v>
      </c>
      <c r="AJ1104" s="22" t="e">
        <f>Table26[[#This Row],[unitprice]]*Table26[[#This Row],[quantity_unit]]</f>
        <v>#VALUE!</v>
      </c>
      <c r="AK1104" s="22" t="e" cm="1">
        <f t="array" ref="AK11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5" spans="1:37" ht="18" customHeight="1">
      <c r="A1105" s="42">
        <v>1140</v>
      </c>
      <c r="B1105" s="42" t="s">
        <v>3357</v>
      </c>
      <c r="C1105" s="90" t="s">
        <v>203</v>
      </c>
      <c r="E1105" s="20"/>
      <c r="F1105" s="25"/>
      <c r="G1105" s="93"/>
      <c r="J1105" s="90" t="str">
        <f>IF(Table26[[#This Row],[customerSKU]]="","",_xlfn.XLOOKUP(Table26[[#This Row],[customerSKU]],customerSKU!G:G,customerSKU!A:A,"",0,1))</f>
        <v/>
      </c>
      <c r="K1105" s="232">
        <v>45708</v>
      </c>
      <c r="L1105" s="49" t="str">
        <f>IF(Table26[[#This Row],[customerSKU]]="","",_xlfn.XLOOKUP(Table26[[#This Row],[customerSKU]],customerSKU!G:G,customerSKU!B:B,"",0,1))</f>
        <v/>
      </c>
      <c r="M1105" s="22"/>
      <c r="N1105" s="15" t="str">
        <f>Table26[[#This Row],[po_number]]&amp;"-"&amp;Table26[[#This Row],[po_line]]</f>
        <v>-4</v>
      </c>
      <c r="O1105" s="15">
        <v>4</v>
      </c>
      <c r="P1105" s="50"/>
      <c r="Q1105" s="53" t="s">
        <v>3378</v>
      </c>
      <c r="R1105" s="53" t="s">
        <v>3302</v>
      </c>
      <c r="S1105" s="53" t="s">
        <v>114</v>
      </c>
      <c r="T1105" s="20">
        <v>45666</v>
      </c>
      <c r="U1105" s="52">
        <v>24</v>
      </c>
      <c r="V1105" s="53" t="str">
        <f>IF(ISBLANK(Table26[[#This Row],[customerSKU]]),"",_xlfn.XLOOKUP(Table26[[#This Row],[customerSKU]],Table27[customer_SKU],Table27[case_size],"",0,1))</f>
        <v/>
      </c>
      <c r="W1105" s="116" t="str">
        <f t="shared" si="51"/>
        <v/>
      </c>
      <c r="X1105" s="53" t="str">
        <f t="shared" si="52"/>
        <v/>
      </c>
      <c r="Y1105" s="53" t="str">
        <f>IF(Table26[[#This Row],[customerSKU]]="","",_xlfn.XLOOKUP(Table26[[#This Row],[customerSKU]],Table27[customer_SKU],Table27[product_GTIN],"",0,1))</f>
        <v/>
      </c>
      <c r="Z1105" s="25" t="s">
        <v>3379</v>
      </c>
      <c r="AA1105" s="18" t="str" cm="1">
        <f t="array" ref="AA1105">IF(P1105="", "", _xlfn.XLOOKUP(P1105,#REF!,#REF!,NA,0,-1))</f>
        <v/>
      </c>
      <c r="AB1105" s="22"/>
      <c r="AC1105" s="55" t="s">
        <v>98</v>
      </c>
      <c r="AD1105" s="55" t="str">
        <f>IF($AC1105="","",_xlfn.XLOOKUP($AC1105,'[2]Client Info'!$C$2:$C$2535,'[2]Client Info'!$D$2:$D$2535,"",0,1))</f>
        <v>3923 Victoria Ave</v>
      </c>
      <c r="AE1105" s="55" t="str">
        <f>IF($AC1105="","",_xlfn.XLOOKUP($AC1105,'[2]Client Info'!$C$2:$C$2715,'[2]Client Info'!$E$2:$E$2715,"",))</f>
        <v>Nanaimo</v>
      </c>
      <c r="AF1105" s="55" t="str">
        <f>IF($AC1105="","",_xlfn.XLOOKUP($AC1105,'[2]Client Info'!$C$2:$C$2715,'[2]Client Info'!$F$2:$F$2715,"",0,1))</f>
        <v xml:space="preserve">BC </v>
      </c>
      <c r="AG1105" s="55" t="s">
        <v>98</v>
      </c>
      <c r="AH1105" s="62" t="str">
        <f>_xlfn.XLOOKUP(Table26[[#This Row],[customerSKU]],customerSKU!G:G,customerSKU!K:K,"NA",0,1)</f>
        <v>NA</v>
      </c>
      <c r="AI1105" s="43" t="str">
        <f>_xlfn.XLOOKUP(Table26[[#This Row],[customerSKU]],customerSKU!G:G,customerSKU!O:O,"not found",0,1)</f>
        <v>not found</v>
      </c>
      <c r="AJ1105" s="22" t="e">
        <f>Table26[[#This Row],[unitprice]]*Table26[[#This Row],[quantity_unit]]</f>
        <v>#VALUE!</v>
      </c>
      <c r="AK1105" s="22" t="e" cm="1">
        <f t="array" ref="AK11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6" spans="1:37" ht="18" customHeight="1">
      <c r="A1106" s="42">
        <v>1141</v>
      </c>
      <c r="B1106" s="42" t="s">
        <v>3357</v>
      </c>
      <c r="C1106" s="53" t="s">
        <v>203</v>
      </c>
      <c r="E1106" s="20"/>
      <c r="F1106" s="25"/>
      <c r="G1106" s="93"/>
      <c r="J1106" s="90" t="str">
        <f>IF(Table26[[#This Row],[customerSKU]]="","",_xlfn.XLOOKUP(Table26[[#This Row],[customerSKU]],customerSKU!G:G,customerSKU!A:A,"",0,1))</f>
        <v/>
      </c>
      <c r="K1106" s="232">
        <v>45708</v>
      </c>
      <c r="L1106" s="49" t="str">
        <f>IF(Table26[[#This Row],[customerSKU]]="","",_xlfn.XLOOKUP(Table26[[#This Row],[customerSKU]],customerSKU!G:G,customerSKU!B:B,"",0,1))</f>
        <v/>
      </c>
      <c r="M1106" s="22"/>
      <c r="N1106" s="15" t="str">
        <f>Table26[[#This Row],[po_number]]&amp;"-"&amp;Table26[[#This Row],[po_line]]</f>
        <v>-1</v>
      </c>
      <c r="O1106" s="15">
        <v>1</v>
      </c>
      <c r="P1106" s="50"/>
      <c r="Q1106" s="22" t="s">
        <v>1660</v>
      </c>
      <c r="R1106" s="22" t="s">
        <v>569</v>
      </c>
      <c r="S1106" s="90" t="str">
        <f>IF(Table26[[#This Row],[customerSKU]]="","",_xlfn.XLOOKUP(Table26[[#This Row],[customerSKU]],customerSKU!G:G,customerSKU!N:N,"NOT FOUND",0,1))</f>
        <v>NOT FOUND</v>
      </c>
      <c r="T1106" s="20">
        <v>45707</v>
      </c>
      <c r="U1106" s="94">
        <v>24</v>
      </c>
      <c r="V1106" s="22" t="str">
        <f>IF(ISBLANK(Table26[[#This Row],[customerSKU]]),"",_xlfn.XLOOKUP(Table26[[#This Row],[customerSKU]],Table27[customer_SKU],Table27[case_size],"",0,1))</f>
        <v/>
      </c>
      <c r="W1106" s="117" t="str">
        <f t="shared" si="51"/>
        <v/>
      </c>
      <c r="X1106" s="22" t="str">
        <f t="shared" si="52"/>
        <v/>
      </c>
      <c r="Y1106" s="25" t="str">
        <f>IF(Table26[[#This Row],[customerSKU]]="","",_xlfn.XLOOKUP(Table26[[#This Row],[customerSKU]],Table27[customer_SKU],Table27[product_GTIN],"",0,1))</f>
        <v/>
      </c>
      <c r="Z1106" s="25" t="s">
        <v>3373</v>
      </c>
      <c r="AA1106" s="18" t="str" cm="1">
        <f t="array" ref="AA1106">IF(P1106="", "", _xlfn.XLOOKUP(P1106,#REF!,#REF!,NA,0,-1))</f>
        <v/>
      </c>
      <c r="AB1106" s="22"/>
      <c r="AC1106" s="55" t="s">
        <v>117</v>
      </c>
      <c r="AD1106" s="55" t="str">
        <f>IF($AC1106="","",_xlfn.XLOOKUP($AC1106,'[2]Client Info'!$C$2:$C$2535,'[2]Client Info'!$D$2:$D$2535,"",0,1))</f>
        <v>1605 Renfrew St</v>
      </c>
      <c r="AE1106" s="55" t="str">
        <f>IF($AC1106="","",_xlfn.XLOOKUP($AC1106,'[2]Client Info'!$C$2:$C$2715,'[2]Client Info'!$E$2:$E$2715,"",))</f>
        <v>Vancouver</v>
      </c>
      <c r="AF1106" s="55" t="str">
        <f>IF($AC1106="","",_xlfn.XLOOKUP($AC1106,'[2]Client Info'!$C$2:$C$2715,'[2]Client Info'!$F$2:$F$2715,"",0,1))</f>
        <v xml:space="preserve">BC </v>
      </c>
      <c r="AG1106" s="55" t="s">
        <v>117</v>
      </c>
      <c r="AH1106" s="26" t="str">
        <f>_xlfn.XLOOKUP(Table26[[#This Row],[customerSKU]],customerSKU!G:G,customerSKU!K:K,"NA",0,1)</f>
        <v>NA</v>
      </c>
      <c r="AI1106" s="43" t="str">
        <f>_xlfn.XLOOKUP(Table26[[#This Row],[customerSKU]],customerSKU!G:G,customerSKU!O:O,"not found",0,1)</f>
        <v>not found</v>
      </c>
      <c r="AJ1106" s="22" t="e">
        <f>Table26[[#This Row],[unitprice]]*Table26[[#This Row],[quantity_unit]]</f>
        <v>#VALUE!</v>
      </c>
      <c r="AK1106" s="22" t="e" cm="1">
        <f t="array" ref="AK11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7" spans="1:37" ht="24.6" customHeight="1">
      <c r="A1107" s="42">
        <v>1142</v>
      </c>
      <c r="B1107" s="42" t="s">
        <v>3357</v>
      </c>
      <c r="C1107" s="53" t="s">
        <v>203</v>
      </c>
      <c r="E1107" s="20"/>
      <c r="F1107" s="25"/>
      <c r="G1107" s="93"/>
      <c r="J1107" s="90" t="str">
        <f>IF(Table26[[#This Row],[customerSKU]]="","",_xlfn.XLOOKUP(Table26[[#This Row],[customerSKU]],customerSKU!G:G,customerSKU!A:A,"",0,1))</f>
        <v/>
      </c>
      <c r="K1107" s="232">
        <v>45708</v>
      </c>
      <c r="L1107" s="49" t="str">
        <f>IF(Table26[[#This Row],[customerSKU]]="","",_xlfn.XLOOKUP(Table26[[#This Row],[customerSKU]],customerSKU!G:G,customerSKU!B:B,"",0,1))</f>
        <v/>
      </c>
      <c r="M1107" s="22"/>
      <c r="N1107" s="15" t="str">
        <f>Table26[[#This Row],[po_number]]&amp;"-"&amp;Table26[[#This Row],[po_line]]</f>
        <v>-2</v>
      </c>
      <c r="O1107" s="15">
        <v>2</v>
      </c>
      <c r="P1107" s="50"/>
      <c r="Q1107" s="22" t="s">
        <v>4102</v>
      </c>
      <c r="R1107" s="22" t="s">
        <v>569</v>
      </c>
      <c r="S1107" s="90" t="str">
        <f>IF(Table26[[#This Row],[customerSKU]]="","",_xlfn.XLOOKUP(Table26[[#This Row],[customerSKU]],customerSKU!G:G,customerSKU!N:N,"NOT FOUND",0,1))</f>
        <v>NOT FOUND</v>
      </c>
      <c r="T1107" s="20">
        <v>45631</v>
      </c>
      <c r="U1107" s="52">
        <v>24</v>
      </c>
      <c r="V1107" s="22" t="str">
        <f>IF(ISBLANK(Table26[[#This Row],[customerSKU]]),"",_xlfn.XLOOKUP(Table26[[#This Row],[customerSKU]],Table27[customer_SKU],Table27[case_size],"",0,1))</f>
        <v/>
      </c>
      <c r="W1107" s="117" t="str">
        <f t="shared" si="51"/>
        <v/>
      </c>
      <c r="X1107" s="22" t="str">
        <f t="shared" si="52"/>
        <v/>
      </c>
      <c r="Y1107" s="25" t="str">
        <f>IF(Table26[[#This Row],[customerSKU]]="","",_xlfn.XLOOKUP(Table26[[#This Row],[customerSKU]],Table27[customer_SKU],Table27[product_GTIN],"",0,1))</f>
        <v/>
      </c>
      <c r="Z1107" s="25" t="s">
        <v>3372</v>
      </c>
      <c r="AA1107" s="18" t="str" cm="1">
        <f t="array" ref="AA1107">IF(P1107="", "", _xlfn.XLOOKUP(P1107,#REF!,#REF!,NA,0,-1))</f>
        <v/>
      </c>
      <c r="AB1107" s="22"/>
      <c r="AC1107" s="55" t="s">
        <v>117</v>
      </c>
      <c r="AD1107" s="55" t="str">
        <f>IF($AC1107="","",_xlfn.XLOOKUP($AC1107,'[2]Client Info'!$C$2:$C$2535,'[2]Client Info'!$D$2:$D$2535,"",0,1))</f>
        <v>1605 Renfrew St</v>
      </c>
      <c r="AE1107" s="55" t="str">
        <f>IF($AC1107="","",_xlfn.XLOOKUP($AC1107,'[2]Client Info'!$C$2:$C$2715,'[2]Client Info'!$E$2:$E$2715,"",))</f>
        <v>Vancouver</v>
      </c>
      <c r="AF1107" s="55" t="str">
        <f>IF($AC1107="","",_xlfn.XLOOKUP($AC1107,'[2]Client Info'!$C$2:$C$2715,'[2]Client Info'!$F$2:$F$2715,"",0,1))</f>
        <v xml:space="preserve">BC </v>
      </c>
      <c r="AG1107" s="55" t="s">
        <v>117</v>
      </c>
      <c r="AH1107" s="26" t="str">
        <f>_xlfn.XLOOKUP(Table26[[#This Row],[customerSKU]],customerSKU!G:G,customerSKU!K:K,"NA",0,1)</f>
        <v>NA</v>
      </c>
      <c r="AI1107" s="43" t="str">
        <f>_xlfn.XLOOKUP(Table26[[#This Row],[customerSKU]],customerSKU!G:G,customerSKU!O:O,"not found",0,1)</f>
        <v>not found</v>
      </c>
      <c r="AJ1107" s="22" t="e">
        <f>Table26[[#This Row],[unitprice]]*Table26[[#This Row],[quantity_unit]]</f>
        <v>#VALUE!</v>
      </c>
      <c r="AK1107" s="22" t="e" cm="1">
        <f t="array" ref="AK11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8" spans="1:37" ht="18" customHeight="1">
      <c r="A1108" s="42">
        <v>1143</v>
      </c>
      <c r="B1108" s="42" t="s">
        <v>3357</v>
      </c>
      <c r="C1108" s="53" t="s">
        <v>203</v>
      </c>
      <c r="E1108" s="20"/>
      <c r="F1108" s="25"/>
      <c r="G1108" s="93"/>
      <c r="J1108" s="90" t="str">
        <f>IF(Table26[[#This Row],[customerSKU]]="","",_xlfn.XLOOKUP(Table26[[#This Row],[customerSKU]],customerSKU!G:G,customerSKU!A:A,"",0,1))</f>
        <v/>
      </c>
      <c r="K1108" s="232">
        <v>45708</v>
      </c>
      <c r="L1108" s="49" t="str">
        <f>IF(Table26[[#This Row],[customerSKU]]="","",_xlfn.XLOOKUP(Table26[[#This Row],[customerSKU]],customerSKU!G:G,customerSKU!B:B,"",0,1))</f>
        <v/>
      </c>
      <c r="M1108" s="22"/>
      <c r="N1108" s="15" t="str">
        <f>Table26[[#This Row],[po_number]]&amp;"-"&amp;Table26[[#This Row],[po_line]]</f>
        <v>-3</v>
      </c>
      <c r="O1108" s="15">
        <v>3</v>
      </c>
      <c r="P1108" s="50"/>
      <c r="Q1108" s="22" t="s">
        <v>3405</v>
      </c>
      <c r="R1108" s="22" t="s">
        <v>569</v>
      </c>
      <c r="S1108" s="90" t="str">
        <f>IF(Table26[[#This Row],[customerSKU]]="","",_xlfn.XLOOKUP(Table26[[#This Row],[customerSKU]],customerSKU!G:G,customerSKU!N:N,"NOT FOUND",0,1))</f>
        <v>NOT FOUND</v>
      </c>
      <c r="T1108" s="20">
        <v>45623</v>
      </c>
      <c r="U1108" s="94">
        <v>24</v>
      </c>
      <c r="V1108" s="22" t="str">
        <f>IF(ISBLANK(Table26[[#This Row],[customerSKU]]),"",_xlfn.XLOOKUP(Table26[[#This Row],[customerSKU]],Table27[customer_SKU],Table27[case_size],"",0,1))</f>
        <v/>
      </c>
      <c r="W1108" s="117" t="str">
        <f t="shared" si="51"/>
        <v/>
      </c>
      <c r="X1108" s="22" t="str">
        <f t="shared" si="52"/>
        <v/>
      </c>
      <c r="Y1108" s="25" t="str">
        <f>IF(Table26[[#This Row],[customerSKU]]="","",_xlfn.XLOOKUP(Table26[[#This Row],[customerSKU]],Table27[customer_SKU],Table27[product_GTIN],"",0,1))</f>
        <v/>
      </c>
      <c r="Z1108" s="25" t="s">
        <v>3406</v>
      </c>
      <c r="AA1108" s="18" t="str" cm="1">
        <f t="array" ref="AA1108">IF(P1108="", "", _xlfn.XLOOKUP(P1108,#REF!,#REF!,NA,0,-1))</f>
        <v/>
      </c>
      <c r="AB1108" s="22"/>
      <c r="AC1108" s="55" t="s">
        <v>117</v>
      </c>
      <c r="AD1108" s="55" t="str">
        <f>IF($AC1108="","",_xlfn.XLOOKUP($AC1108,'[2]Client Info'!$C$2:$C$2535,'[2]Client Info'!$D$2:$D$2535,"",0,1))</f>
        <v>1605 Renfrew St</v>
      </c>
      <c r="AE1108" s="55" t="str">
        <f>IF($AC1108="","",_xlfn.XLOOKUP($AC1108,'[2]Client Info'!$C$2:$C$2715,'[2]Client Info'!$E$2:$E$2715,"",))</f>
        <v>Vancouver</v>
      </c>
      <c r="AF1108" s="55" t="str">
        <f>IF($AC1108="","",_xlfn.XLOOKUP($AC1108,'[2]Client Info'!$C$2:$C$2715,'[2]Client Info'!$F$2:$F$2715,"",0,1))</f>
        <v xml:space="preserve">BC </v>
      </c>
      <c r="AG1108" s="55" t="s">
        <v>117</v>
      </c>
      <c r="AH1108" s="26" t="str">
        <f>_xlfn.XLOOKUP(Table26[[#This Row],[customerSKU]],customerSKU!G:G,customerSKU!K:K,"NA",0,1)</f>
        <v>NA</v>
      </c>
      <c r="AI1108" s="43" t="str">
        <f>_xlfn.XLOOKUP(Table26[[#This Row],[customerSKU]],customerSKU!G:G,customerSKU!O:O,"not found",0,1)</f>
        <v>not found</v>
      </c>
      <c r="AJ1108" s="22" t="e">
        <f>Table26[[#This Row],[unitprice]]*Table26[[#This Row],[quantity_unit]]</f>
        <v>#VALUE!</v>
      </c>
      <c r="AK1108" s="22" t="e" cm="1">
        <f t="array" ref="AK11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09" spans="1:37" ht="18" customHeight="1">
      <c r="A1109" s="42">
        <v>1144</v>
      </c>
      <c r="B1109" s="42" t="s">
        <v>3357</v>
      </c>
      <c r="C1109" s="53" t="s">
        <v>203</v>
      </c>
      <c r="E1109" s="20"/>
      <c r="F1109" s="25"/>
      <c r="G1109" s="93"/>
      <c r="J1109" s="90" t="str">
        <f>IF(Table26[[#This Row],[customerSKU]]="","",_xlfn.XLOOKUP(Table26[[#This Row],[customerSKU]],customerSKU!G:G,customerSKU!A:A,"",0,1))</f>
        <v/>
      </c>
      <c r="K1109" s="232">
        <v>45708</v>
      </c>
      <c r="L1109" s="49" t="str">
        <f>IF(Table26[[#This Row],[customerSKU]]="","",_xlfn.XLOOKUP(Table26[[#This Row],[customerSKU]],customerSKU!G:G,customerSKU!B:B,"",0,1))</f>
        <v/>
      </c>
      <c r="M1109" s="22"/>
      <c r="N1109" s="15" t="str">
        <f>Table26[[#This Row],[po_number]]&amp;"-"&amp;Table26[[#This Row],[po_line]]</f>
        <v>-4</v>
      </c>
      <c r="O1109" s="15">
        <v>4</v>
      </c>
      <c r="P1109" s="50"/>
      <c r="Q1109" s="22" t="s">
        <v>1314</v>
      </c>
      <c r="R1109" s="22" t="s">
        <v>569</v>
      </c>
      <c r="S1109" s="90" t="str">
        <f>IF(Table26[[#This Row],[customerSKU]]="","",_xlfn.XLOOKUP(Table26[[#This Row],[customerSKU]],customerSKU!G:G,customerSKU!N:N,"NOT FOUND",0,1))</f>
        <v>NOT FOUND</v>
      </c>
      <c r="T1109" s="20">
        <v>45503</v>
      </c>
      <c r="U1109" s="94">
        <v>10</v>
      </c>
      <c r="V1109" s="22" t="str">
        <f>IF(ISBLANK(Table26[[#This Row],[customerSKU]]),"",_xlfn.XLOOKUP(Table26[[#This Row],[customerSKU]],Table27[customer_SKU],Table27[case_size],"",0,1))</f>
        <v/>
      </c>
      <c r="W1109" s="117" t="str">
        <f t="shared" si="51"/>
        <v/>
      </c>
      <c r="X1109" s="22" t="str">
        <f t="shared" si="52"/>
        <v/>
      </c>
      <c r="Y1109" s="25" t="str">
        <f>IF(Table26[[#This Row],[customerSKU]]="","",_xlfn.XLOOKUP(Table26[[#This Row],[customerSKU]],Table27[customer_SKU],Table27[product_GTIN],"",0,1))</f>
        <v/>
      </c>
      <c r="Z1109" s="25" t="s">
        <v>3374</v>
      </c>
      <c r="AA1109" s="18" t="str" cm="1">
        <f t="array" ref="AA1109">IF(P1109="", "", _xlfn.XLOOKUP(P1109,#REF!,#REF!,NA,0,-1))</f>
        <v/>
      </c>
      <c r="AB1109" s="22"/>
      <c r="AC1109" s="55" t="s">
        <v>117</v>
      </c>
      <c r="AD1109" s="55" t="str">
        <f>IF($AC1109="","",_xlfn.XLOOKUP($AC1109,'[2]Client Info'!$C$2:$C$2535,'[2]Client Info'!$D$2:$D$2535,"",0,1))</f>
        <v>1605 Renfrew St</v>
      </c>
      <c r="AE1109" s="55" t="str">
        <f>IF($AC1109="","",_xlfn.XLOOKUP($AC1109,'[2]Client Info'!$C$2:$C$2715,'[2]Client Info'!$E$2:$E$2715,"",))</f>
        <v>Vancouver</v>
      </c>
      <c r="AF1109" s="55" t="str">
        <f>IF($AC1109="","",_xlfn.XLOOKUP($AC1109,'[2]Client Info'!$C$2:$C$2715,'[2]Client Info'!$F$2:$F$2715,"",0,1))</f>
        <v xml:space="preserve">BC </v>
      </c>
      <c r="AG1109" s="55" t="s">
        <v>117</v>
      </c>
      <c r="AH1109" s="26" t="str">
        <f>_xlfn.XLOOKUP(Table26[[#This Row],[customerSKU]],customerSKU!G:G,customerSKU!K:K,"NA",0,1)</f>
        <v>NA</v>
      </c>
      <c r="AI1109" s="43" t="str">
        <f>_xlfn.XLOOKUP(Table26[[#This Row],[customerSKU]],customerSKU!G:G,customerSKU!O:O,"not found",0,1)</f>
        <v>not found</v>
      </c>
      <c r="AJ1109" s="22" t="e">
        <f>Table26[[#This Row],[unitprice]]*Table26[[#This Row],[quantity_unit]]</f>
        <v>#VALUE!</v>
      </c>
      <c r="AK1109" s="22" t="e" cm="1">
        <f t="array" ref="AK11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0" spans="1:37" ht="18" customHeight="1">
      <c r="A1110" s="42">
        <v>1145</v>
      </c>
      <c r="B1110" s="42" t="s">
        <v>3357</v>
      </c>
      <c r="C1110" s="53" t="s">
        <v>203</v>
      </c>
      <c r="E1110" s="20"/>
      <c r="F1110" s="25"/>
      <c r="G1110" s="93"/>
      <c r="J1110" s="90" t="str">
        <f>IF(Table26[[#This Row],[customerSKU]]="","",_xlfn.XLOOKUP(Table26[[#This Row],[customerSKU]],customerSKU!G:G,customerSKU!A:A,"",0,1))</f>
        <v/>
      </c>
      <c r="K1110" s="232">
        <v>45708</v>
      </c>
      <c r="L1110" s="49" t="str">
        <f>IF(Table26[[#This Row],[customerSKU]]="","",_xlfn.XLOOKUP(Table26[[#This Row],[customerSKU]],customerSKU!G:G,customerSKU!B:B,"",0,1))</f>
        <v/>
      </c>
      <c r="M1110" s="22"/>
      <c r="N1110" s="15" t="str">
        <f>Table26[[#This Row],[po_number]]&amp;"-"&amp;Table26[[#This Row],[po_line]]</f>
        <v>-5</v>
      </c>
      <c r="O1110" s="15">
        <v>5</v>
      </c>
      <c r="P1110" s="50"/>
      <c r="Q1110" s="22" t="s">
        <v>1306</v>
      </c>
      <c r="R1110" s="22" t="s">
        <v>569</v>
      </c>
      <c r="S1110" s="90" t="str">
        <f>IF(Table26[[#This Row],[customerSKU]]="","",_xlfn.XLOOKUP(Table26[[#This Row],[customerSKU]],customerSKU!G:G,customerSKU!N:N,"NOT FOUND",0,1))</f>
        <v>NOT FOUND</v>
      </c>
      <c r="T1110" s="20">
        <v>45576</v>
      </c>
      <c r="U1110" s="94">
        <v>2</v>
      </c>
      <c r="V1110" s="22" t="str">
        <f>IF(ISBLANK(Table26[[#This Row],[customerSKU]]),"",_xlfn.XLOOKUP(Table26[[#This Row],[customerSKU]],Table27[customer_SKU],Table27[case_size],"",0,1))</f>
        <v/>
      </c>
      <c r="W1110" s="117" t="str">
        <f t="shared" si="51"/>
        <v/>
      </c>
      <c r="X1110" s="22" t="str">
        <f t="shared" si="52"/>
        <v/>
      </c>
      <c r="Y1110" s="25" t="str">
        <f>IF(Table26[[#This Row],[customerSKU]]="","",_xlfn.XLOOKUP(Table26[[#This Row],[customerSKU]],Table27[customer_SKU],Table27[product_GTIN],"",0,1))</f>
        <v/>
      </c>
      <c r="Z1110" s="25" t="s">
        <v>3374</v>
      </c>
      <c r="AA1110" s="18" t="str" cm="1">
        <f t="array" ref="AA1110">IF(P1110="", "", _xlfn.XLOOKUP(P1110,#REF!,#REF!,NA,0,-1))</f>
        <v/>
      </c>
      <c r="AB1110" s="22"/>
      <c r="AC1110" s="55" t="s">
        <v>117</v>
      </c>
      <c r="AD1110" s="55" t="str">
        <f>IF($AC1110="","",_xlfn.XLOOKUP($AC1110,'[2]Client Info'!$C$2:$C$2535,'[2]Client Info'!$D$2:$D$2535,"",0,1))</f>
        <v>1605 Renfrew St</v>
      </c>
      <c r="AE1110" s="55" t="str">
        <f>IF($AC1110="","",_xlfn.XLOOKUP($AC1110,'[2]Client Info'!$C$2:$C$2715,'[2]Client Info'!$E$2:$E$2715,"",))</f>
        <v>Vancouver</v>
      </c>
      <c r="AF1110" s="55" t="str">
        <f>IF($AC1110="","",_xlfn.XLOOKUP($AC1110,'[2]Client Info'!$C$2:$C$2715,'[2]Client Info'!$F$2:$F$2715,"",0,1))</f>
        <v xml:space="preserve">BC </v>
      </c>
      <c r="AG1110" s="55" t="s">
        <v>117</v>
      </c>
      <c r="AH1110" s="26" t="str">
        <f>_xlfn.XLOOKUP(Table26[[#This Row],[customerSKU]],customerSKU!G:G,customerSKU!K:K,"NA",0,1)</f>
        <v>NA</v>
      </c>
      <c r="AI1110" s="43" t="str">
        <f>_xlfn.XLOOKUP(Table26[[#This Row],[customerSKU]],customerSKU!G:G,customerSKU!O:O,"not found",0,1)</f>
        <v>not found</v>
      </c>
      <c r="AJ1110" s="22" t="e">
        <f>Table26[[#This Row],[unitprice]]*Table26[[#This Row],[quantity_unit]]</f>
        <v>#VALUE!</v>
      </c>
      <c r="AK1110" s="22" t="e" cm="1">
        <f t="array" ref="AK11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1" spans="1:37" ht="18" customHeight="1">
      <c r="A1111" s="42">
        <v>1146</v>
      </c>
      <c r="B1111" s="42" t="s">
        <v>3357</v>
      </c>
      <c r="C1111" s="53" t="s">
        <v>203</v>
      </c>
      <c r="E1111" s="20"/>
      <c r="F1111" s="25"/>
      <c r="G1111" s="93"/>
      <c r="J1111" s="90" t="str">
        <f>IF(Table26[[#This Row],[customerSKU]]="","",_xlfn.XLOOKUP(Table26[[#This Row],[customerSKU]],customerSKU!G:G,customerSKU!A:A,"",0,1))</f>
        <v/>
      </c>
      <c r="K1111" s="232">
        <v>45708</v>
      </c>
      <c r="L1111" s="49" t="str">
        <f>IF(Table26[[#This Row],[customerSKU]]="","",_xlfn.XLOOKUP(Table26[[#This Row],[customerSKU]],customerSKU!G:G,customerSKU!B:B,"",0,1))</f>
        <v/>
      </c>
      <c r="M1111" s="22"/>
      <c r="N1111" s="15" t="str">
        <f>Table26[[#This Row],[po_number]]&amp;"-"&amp;Table26[[#This Row],[po_line]]</f>
        <v>-6</v>
      </c>
      <c r="O1111" s="15">
        <v>6</v>
      </c>
      <c r="P1111" s="50"/>
      <c r="Q1111" s="22" t="s">
        <v>610</v>
      </c>
      <c r="R1111" s="22" t="s">
        <v>569</v>
      </c>
      <c r="S1111" s="22" t="str">
        <f>IF(Table26[[#This Row],[customerSKU]]="","",_xlfn.XLOOKUP(Table26[[#This Row],[customerSKU]],customerSKU!G:G,customerSKU!N:N,"NOT FOUND",0,1))</f>
        <v>NOT FOUND</v>
      </c>
      <c r="T1111" s="20">
        <v>45700</v>
      </c>
      <c r="U1111" s="94">
        <v>24</v>
      </c>
      <c r="V1111" s="22" t="str">
        <f>IF(ISBLANK(Table26[[#This Row],[customerSKU]]),"",_xlfn.XLOOKUP(Table26[[#This Row],[customerSKU]],Table27[customer_SKU],Table27[case_size],"",0,1))</f>
        <v/>
      </c>
      <c r="W1111" s="117" t="str">
        <f t="shared" si="51"/>
        <v/>
      </c>
      <c r="X1111" s="22" t="str">
        <f t="shared" si="52"/>
        <v/>
      </c>
      <c r="Y1111" s="25" t="str">
        <f>IF(Table26[[#This Row],[customerSKU]]="","",_xlfn.XLOOKUP(Table26[[#This Row],[customerSKU]],Table27[customer_SKU],Table27[product_GTIN],"",0,1))</f>
        <v/>
      </c>
      <c r="Z1111" s="25" t="s">
        <v>3448</v>
      </c>
      <c r="AA1111" s="18" t="str" cm="1">
        <f t="array" ref="AA1111">IF(P1111="", "", _xlfn.XLOOKUP(P1111,#REF!,#REF!,NA,0,-1))</f>
        <v/>
      </c>
      <c r="AB1111" s="22"/>
      <c r="AC1111" s="55" t="s">
        <v>117</v>
      </c>
      <c r="AD1111" s="55" t="str">
        <f>IF($AC1111="","",_xlfn.XLOOKUP($AC1111,'[2]Client Info'!$C$2:$C$2535,'[2]Client Info'!$D$2:$D$2535,"",0,1))</f>
        <v>1605 Renfrew St</v>
      </c>
      <c r="AE1111" s="55" t="str">
        <f>IF($AC1111="","",_xlfn.XLOOKUP($AC1111,'[2]Client Info'!$C$2:$C$2715,'[2]Client Info'!$E$2:$E$2715,"",))</f>
        <v>Vancouver</v>
      </c>
      <c r="AF1111" s="55" t="str">
        <f>IF($AC1111="","",_xlfn.XLOOKUP($AC1111,'[2]Client Info'!$C$2:$C$2715,'[2]Client Info'!$F$2:$F$2715,"",0,1))</f>
        <v xml:space="preserve">BC </v>
      </c>
      <c r="AG1111" s="55" t="s">
        <v>117</v>
      </c>
      <c r="AH1111" s="26" t="str">
        <f>_xlfn.XLOOKUP(Table26[[#This Row],[customerSKU]],customerSKU!G:G,customerSKU!K:K,"NA",0,1)</f>
        <v>NA</v>
      </c>
      <c r="AI1111" s="43" t="str">
        <f>_xlfn.XLOOKUP(Table26[[#This Row],[customerSKU]],customerSKU!G:G,customerSKU!O:O,"not found",0,1)</f>
        <v>not found</v>
      </c>
      <c r="AJ1111" s="22" t="e">
        <f>Table26[[#This Row],[unitprice]]*Table26[[#This Row],[quantity_unit]]</f>
        <v>#VALUE!</v>
      </c>
      <c r="AK1111" s="22" t="e" cm="1">
        <f t="array" ref="AK11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2" spans="1:37" ht="18" customHeight="1">
      <c r="A1112" s="42">
        <v>1147</v>
      </c>
      <c r="B1112" s="42" t="s">
        <v>3357</v>
      </c>
      <c r="C1112" s="53" t="s">
        <v>203</v>
      </c>
      <c r="E1112" s="20"/>
      <c r="F1112" s="25"/>
      <c r="G1112" s="93"/>
      <c r="J1112" s="90" t="str">
        <f>IF(Table26[[#This Row],[customerSKU]]="","",_xlfn.XLOOKUP(Table26[[#This Row],[customerSKU]],customerSKU!G:G,customerSKU!A:A,"",0,1))</f>
        <v/>
      </c>
      <c r="K1112" s="232">
        <v>45708</v>
      </c>
      <c r="L1112" s="49" t="str">
        <f>IF(Table26[[#This Row],[customerSKU]]="","",_xlfn.XLOOKUP(Table26[[#This Row],[customerSKU]],customerSKU!G:G,customerSKU!B:B,"",0,1))</f>
        <v/>
      </c>
      <c r="M1112" s="22"/>
      <c r="N1112" s="15" t="str">
        <f>Table26[[#This Row],[po_number]]&amp;"-"&amp;Table26[[#This Row],[po_line]]</f>
        <v>-1</v>
      </c>
      <c r="O1112" s="15">
        <v>1</v>
      </c>
      <c r="P1112" s="50"/>
      <c r="Q1112" s="22" t="s">
        <v>1691</v>
      </c>
      <c r="R1112" s="22" t="s">
        <v>569</v>
      </c>
      <c r="S1112" s="90" t="str">
        <f>IF(Table26[[#This Row],[customerSKU]]="","",_xlfn.XLOOKUP(Table26[[#This Row],[customerSKU]],customerSKU!G:G,customerSKU!N:N,"NOT FOUND",0,1))</f>
        <v>NOT FOUND</v>
      </c>
      <c r="T1112" s="20">
        <v>45685</v>
      </c>
      <c r="U1112" s="94">
        <v>24</v>
      </c>
      <c r="V1112" s="22" t="str">
        <f>IF(ISBLANK(Table26[[#This Row],[customerSKU]]),"",_xlfn.XLOOKUP(Table26[[#This Row],[customerSKU]],Table27[customer_SKU],Table27[case_size],"",0,1))</f>
        <v/>
      </c>
      <c r="W1112" s="117" t="str">
        <f t="shared" si="51"/>
        <v/>
      </c>
      <c r="X1112" s="22" t="str">
        <f t="shared" si="52"/>
        <v/>
      </c>
      <c r="Y1112" s="25" t="str">
        <f>IF(Table26[[#This Row],[customerSKU]]="","",_xlfn.XLOOKUP(Table26[[#This Row],[customerSKU]],Table27[customer_SKU],Table27[product_GTIN],"",0,1))</f>
        <v/>
      </c>
      <c r="Z1112" s="25" t="s">
        <v>3364</v>
      </c>
      <c r="AA1112" s="18" t="str" cm="1">
        <f t="array" ref="AA1112">IF(P1112="", "", _xlfn.XLOOKUP(P1112,#REF!,#REF!,NA,0,-1))</f>
        <v/>
      </c>
      <c r="AB1112" s="22"/>
      <c r="AC1112" s="55" t="s">
        <v>3365</v>
      </c>
      <c r="AD1112" s="55" t="str">
        <f>IF($AC1112="","",_xlfn.XLOOKUP($AC1112,'[2]Client Info'!$C$2:$C$2535,'[2]Client Info'!$D$2:$D$2535,"",0,1))</f>
        <v>Unit 101, 3596 Kingsway</v>
      </c>
      <c r="AE1112" s="55" t="str">
        <f>IF($AC1112="","",_xlfn.XLOOKUP($AC1112,'[2]Client Info'!$C$2:$C$2715,'[2]Client Info'!$E$2:$E$2715,"",))</f>
        <v>Vancouver</v>
      </c>
      <c r="AF1112" s="55" t="str">
        <f>IF($AC1112="","",_xlfn.XLOOKUP($AC1112,'[2]Client Info'!$C$2:$C$2715,'[2]Client Info'!$F$2:$F$2715,"",0,1))</f>
        <v xml:space="preserve">BC </v>
      </c>
      <c r="AG1112" s="55" t="s">
        <v>3365</v>
      </c>
      <c r="AH1112" s="26" t="str">
        <f>_xlfn.XLOOKUP(Table26[[#This Row],[customerSKU]],customerSKU!G:G,customerSKU!K:K,"NA",0,1)</f>
        <v>NA</v>
      </c>
      <c r="AI1112" s="43" t="str">
        <f>_xlfn.XLOOKUP(Table26[[#This Row],[customerSKU]],customerSKU!G:G,customerSKU!O:O,"not found",0,1)</f>
        <v>not found</v>
      </c>
      <c r="AJ1112" s="22" t="e">
        <f>Table26[[#This Row],[unitprice]]*Table26[[#This Row],[quantity_unit]]</f>
        <v>#VALUE!</v>
      </c>
      <c r="AK1112" s="22" t="e" cm="1">
        <f t="array" ref="AK11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3" spans="1:37" ht="18" customHeight="1">
      <c r="A1113" s="42">
        <v>1148</v>
      </c>
      <c r="B1113" s="42" t="s">
        <v>3357</v>
      </c>
      <c r="C1113" s="53" t="s">
        <v>203</v>
      </c>
      <c r="E1113" s="20"/>
      <c r="F1113" s="25"/>
      <c r="G1113" s="93"/>
      <c r="J1113" s="90" t="str">
        <f>IF(Table26[[#This Row],[customerSKU]]="","",_xlfn.XLOOKUP(Table26[[#This Row],[customerSKU]],customerSKU!G:G,customerSKU!A:A,"",0,1))</f>
        <v/>
      </c>
      <c r="K1113" s="232">
        <v>45708</v>
      </c>
      <c r="L1113" s="49" t="str">
        <f>IF(Table26[[#This Row],[customerSKU]]="","",_xlfn.XLOOKUP(Table26[[#This Row],[customerSKU]],customerSKU!G:G,customerSKU!B:B,"",0,1))</f>
        <v/>
      </c>
      <c r="M1113" s="22"/>
      <c r="N1113" s="15" t="str">
        <f>Table26[[#This Row],[po_number]]&amp;"-"&amp;Table26[[#This Row],[po_line]]</f>
        <v>-2</v>
      </c>
      <c r="O1113" s="15">
        <v>2</v>
      </c>
      <c r="P1113" s="50"/>
      <c r="Q1113" s="22" t="s">
        <v>4102</v>
      </c>
      <c r="R1113" s="22" t="s">
        <v>569</v>
      </c>
      <c r="S1113" s="90" t="str">
        <f>IF(Table26[[#This Row],[customerSKU]]="","",_xlfn.XLOOKUP(Table26[[#This Row],[customerSKU]],customerSKU!G:G,customerSKU!N:N,"NOT FOUND",0,1))</f>
        <v>NOT FOUND</v>
      </c>
      <c r="T1113" s="20">
        <v>45631</v>
      </c>
      <c r="U1113" s="94">
        <v>24</v>
      </c>
      <c r="V1113" s="22" t="str">
        <f>IF(ISBLANK(Table26[[#This Row],[customerSKU]]),"",_xlfn.XLOOKUP(Table26[[#This Row],[customerSKU]],Table27[customer_SKU],Table27[case_size],"",0,1))</f>
        <v/>
      </c>
      <c r="W1113" s="117" t="str">
        <f t="shared" si="51"/>
        <v/>
      </c>
      <c r="X1113" s="22" t="str">
        <f t="shared" si="52"/>
        <v/>
      </c>
      <c r="Y1113" s="25" t="str">
        <f>IF(Table26[[#This Row],[customerSKU]]="","",_xlfn.XLOOKUP(Table26[[#This Row],[customerSKU]],Table27[customer_SKU],Table27[product_GTIN],"",0,1))</f>
        <v/>
      </c>
      <c r="Z1113" s="25" t="s">
        <v>3372</v>
      </c>
      <c r="AA1113" s="18" t="str" cm="1">
        <f t="array" ref="AA1113">IF(P1113="", "", _xlfn.XLOOKUP(P1113,#REF!,#REF!,NA,0,-1))</f>
        <v/>
      </c>
      <c r="AB1113" s="22"/>
      <c r="AC1113" s="55" t="s">
        <v>3365</v>
      </c>
      <c r="AD1113" s="55" t="str">
        <f>IF($AC1113="","",_xlfn.XLOOKUP($AC1113,'[2]Client Info'!$C$2:$C$2535,'[2]Client Info'!$D$2:$D$2535,"",0,1))</f>
        <v>Unit 101, 3596 Kingsway</v>
      </c>
      <c r="AE1113" s="55" t="str">
        <f>IF($AC1113="","",_xlfn.XLOOKUP($AC1113,'[2]Client Info'!$C$2:$C$2715,'[2]Client Info'!$E$2:$E$2715,"",))</f>
        <v>Vancouver</v>
      </c>
      <c r="AF1113" s="55" t="str">
        <f>IF($AC1113="","",_xlfn.XLOOKUP($AC1113,'[2]Client Info'!$C$2:$C$2715,'[2]Client Info'!$F$2:$F$2715,"",0,1))</f>
        <v xml:space="preserve">BC </v>
      </c>
      <c r="AG1113" s="55" t="s">
        <v>3365</v>
      </c>
      <c r="AH1113" s="26" t="str">
        <f>_xlfn.XLOOKUP(Table26[[#This Row],[customerSKU]],customerSKU!G:G,customerSKU!K:K,"NA",0,1)</f>
        <v>NA</v>
      </c>
      <c r="AI1113" s="43" t="str">
        <f>_xlfn.XLOOKUP(Table26[[#This Row],[customerSKU]],customerSKU!G:G,customerSKU!O:O,"not found",0,1)</f>
        <v>not found</v>
      </c>
      <c r="AJ1113" s="22" t="e">
        <f>Table26[[#This Row],[unitprice]]*Table26[[#This Row],[quantity_unit]]</f>
        <v>#VALUE!</v>
      </c>
      <c r="AK1113" s="22" t="e" cm="1">
        <f t="array" ref="AK11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4" spans="1:37" ht="18" customHeight="1">
      <c r="A1114" s="42">
        <v>1149</v>
      </c>
      <c r="B1114" s="27" t="s">
        <v>3520</v>
      </c>
      <c r="C1114" s="22" t="s">
        <v>203</v>
      </c>
      <c r="E1114" s="20"/>
      <c r="F111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14" s="17"/>
      <c r="J1114" s="90" t="str">
        <f>IF(Table26[[#This Row],[customerSKU]]="","",_xlfn.XLOOKUP(Table26[[#This Row],[customerSKU]],customerSKU!G:G,customerSKU!A:A,"",0,1))</f>
        <v/>
      </c>
      <c r="K1114" s="232">
        <v>45708</v>
      </c>
      <c r="L1114" s="31" t="str">
        <f>IF(Table26[[#This Row],[customerSKU]]="","",_xlfn.XLOOKUP(Table26[[#This Row],[customerSKU]],customerSKU!G:G,customerSKU!B:B,"",0,1))</f>
        <v/>
      </c>
      <c r="M1114" s="22"/>
      <c r="N1114" s="15" t="str">
        <f>Table26[[#This Row],[po_number]]&amp;"-"&amp;Table26[[#This Row],[po_line]]</f>
        <v>-1</v>
      </c>
      <c r="O1114" s="15">
        <v>1</v>
      </c>
      <c r="P1114" s="50"/>
      <c r="Q1114" s="22" t="s">
        <v>4086</v>
      </c>
      <c r="R1114" s="22" t="s">
        <v>569</v>
      </c>
      <c r="S1114" s="22" t="s">
        <v>132</v>
      </c>
      <c r="T1114" s="20">
        <v>45631</v>
      </c>
      <c r="U1114" s="21">
        <v>12</v>
      </c>
      <c r="V1114" s="22" t="str">
        <f>IF(ISBLANK(Table26[[#This Row],[customerSKU]]),"",_xlfn.XLOOKUP(Table26[[#This Row],[customerSKU]],Table27[customer_SKU],Table27[case_size],"",0,1))</f>
        <v/>
      </c>
      <c r="W1114" s="117" t="str">
        <f t="shared" si="51"/>
        <v/>
      </c>
      <c r="X1114" s="22" t="str">
        <f t="shared" si="52"/>
        <v/>
      </c>
      <c r="Y1114" s="22" t="str">
        <f>IF(Table26[[#This Row],[customerSKU]]="","",_xlfn.XLOOKUP(Table26[[#This Row],[customerSKU]],Table27[customer_SKU],Table27[product_GTIN],"",0,1))</f>
        <v/>
      </c>
      <c r="Z1114" s="25">
        <v>63251</v>
      </c>
      <c r="AA1114" s="18" t="str" cm="1">
        <f t="array" ref="AA1114">IF(P1114="", "", _xlfn.XLOOKUP(P1114,#REF!,#REF!,NA,0,-1))</f>
        <v/>
      </c>
      <c r="AB1114" s="22"/>
      <c r="AC1114" s="55" t="s">
        <v>148</v>
      </c>
      <c r="AD1114" s="55" t="str">
        <f>IF($AC1114="","",_xlfn.XLOOKUP($AC1114,'[2]Client Info'!$C$2:$C$2535,'[2]Client Info'!$D$2:$D$2535,"",0,1))</f>
        <v>1-530 SABOURIN ST</v>
      </c>
      <c r="AE1114" s="55" t="str">
        <f>IF($AC1114="","",_xlfn.XLOOKUP($AC1114,'[2]Client Info'!$C$2:$C$2715,'[2]Client Info'!$E$2:$E$2715,"",))</f>
        <v>ST. PIERRE-JOLYS</v>
      </c>
      <c r="AF1114" s="55" t="str">
        <f>IF($AC1114="","",_xlfn.XLOOKUP($AC1114,'[2]Client Info'!$C$2:$C$2715,'[2]Client Info'!$F$2:$F$2715,"",0,1))</f>
        <v>MB</v>
      </c>
      <c r="AG1114" s="55" t="str">
        <f>IF(ISBLANK(Table26[[#This Row],[customerSKU]]),"",_xlfn.XLOOKUP(Table26[[#This Row],[customerSKU]],Table27[customer_SKU],Table27[billto],"",0,1))</f>
        <v/>
      </c>
      <c r="AH1114" s="26" t="str">
        <f>_xlfn.XLOOKUP(Table26[[#This Row],[customerSKU]],customerSKU!G:G,customerSKU!K:K,"NA",0,1)</f>
        <v>NA</v>
      </c>
      <c r="AI1114" s="43" t="str">
        <f>_xlfn.XLOOKUP(Table26[[#This Row],[customerSKU]],customerSKU!G:G,customerSKU!O:O,"not found",0,1)</f>
        <v>not found</v>
      </c>
      <c r="AJ1114" s="22" t="e">
        <f>Table26[[#This Row],[unitprice]]*Table26[[#This Row],[quantity_unit]]</f>
        <v>#VALUE!</v>
      </c>
      <c r="AK1114" s="22" t="e" cm="1">
        <f t="array" ref="AK11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5" spans="1:37" ht="18" customHeight="1">
      <c r="A1115" s="42">
        <v>1150</v>
      </c>
      <c r="B1115" s="42" t="s">
        <v>3357</v>
      </c>
      <c r="C1115" s="53" t="s">
        <v>203</v>
      </c>
      <c r="E1115" s="20"/>
      <c r="F1115" s="25"/>
      <c r="G1115" s="93"/>
      <c r="J1115" s="90" t="str">
        <f>IF(Table26[[#This Row],[customerSKU]]="","",_xlfn.XLOOKUP(Table26[[#This Row],[customerSKU]],customerSKU!G:G,customerSKU!A:A,"",0,1))</f>
        <v/>
      </c>
      <c r="K1115" s="232">
        <v>45708</v>
      </c>
      <c r="L1115" s="49" t="str">
        <f>IF(Table26[[#This Row],[customerSKU]]="","",_xlfn.XLOOKUP(Table26[[#This Row],[customerSKU]],customerSKU!G:G,customerSKU!B:B,"",0,1))</f>
        <v/>
      </c>
      <c r="M1115" s="22"/>
      <c r="N1115" s="15" t="str">
        <f>Table26[[#This Row],[po_number]]&amp;"-"&amp;Table26[[#This Row],[po_line]]</f>
        <v>-1</v>
      </c>
      <c r="O1115" s="15">
        <v>1</v>
      </c>
      <c r="P1115" s="50"/>
      <c r="S1115" s="90" t="str">
        <f>IF(Table26[[#This Row],[customerSKU]]="","",_xlfn.XLOOKUP(Table26[[#This Row],[customerSKU]],customerSKU!G:G,customerSKU!N:N,"NOT FOUND",0,1))</f>
        <v>NOT FOUND</v>
      </c>
      <c r="T1115" s="20"/>
      <c r="U1115" s="94">
        <v>12</v>
      </c>
      <c r="V1115" s="22" t="str">
        <f>IF(ISBLANK(Table26[[#This Row],[customerSKU]]),"",_xlfn.XLOOKUP(Table26[[#This Row],[customerSKU]],Table27[customer_SKU],Table27[case_size],"",0,1))</f>
        <v/>
      </c>
      <c r="W1115" s="117" t="str">
        <f t="shared" si="51"/>
        <v/>
      </c>
      <c r="X1115" s="22" t="str">
        <f t="shared" si="52"/>
        <v/>
      </c>
      <c r="Y1115" s="25" t="str">
        <f>IF(Table26[[#This Row],[customerSKU]]="","",_xlfn.XLOOKUP(Table26[[#This Row],[customerSKU]],Table27[customer_SKU],Table27[product_GTIN],"",0,1))</f>
        <v/>
      </c>
      <c r="Z1115" s="25">
        <v>61622</v>
      </c>
      <c r="AA1115" s="18" t="str" cm="1">
        <f t="array" ref="AA1115">IF(P1115="", "", _xlfn.XLOOKUP(P1115,#REF!,#REF!,NA,0,-1))</f>
        <v/>
      </c>
      <c r="AB1115" s="22"/>
      <c r="AC1115" s="55" t="str">
        <f>IF(Table26[[#This Row],[customerSKU]]="","",_xlfn.XLOOKUP(Table26[[#This Row],[customerSKU]],customerSKU!G:G,customerSKU!C:C,"",0,1))</f>
        <v/>
      </c>
      <c r="AD1115" s="55" t="str">
        <f>IF($AC1115="","",_xlfn.XLOOKUP($AC1115,'[2]Client Info'!$C$2:$C$2535,'[2]Client Info'!$D$2:$D$2535,"",0,1))</f>
        <v/>
      </c>
      <c r="AE1115" s="55" t="str">
        <f>IF($AC1115="","",_xlfn.XLOOKUP($AC1115,'[2]Client Info'!$C$2:$C$2715,'[2]Client Info'!$E$2:$E$2715,"",))</f>
        <v/>
      </c>
      <c r="AF1115" s="55" t="str">
        <f>IF($AC1115="","",_xlfn.XLOOKUP($AC1115,'[2]Client Info'!$C$2:$C$2715,'[2]Client Info'!$F$2:$F$2715,"",0,1))</f>
        <v/>
      </c>
      <c r="AG1115" s="55" t="str">
        <f>IF(ISBLANK(Table26[[#This Row],[customerSKU]]),"",_xlfn.XLOOKUP(Table26[[#This Row],[customerSKU]],Table27[customer_SKU],Table27[billto],"",0,1))</f>
        <v/>
      </c>
      <c r="AH1115" s="26" t="str">
        <f>_xlfn.XLOOKUP(Table26[[#This Row],[customerSKU]],customerSKU!G:G,customerSKU!K:K,"NA",0,1)</f>
        <v>NA</v>
      </c>
      <c r="AI1115" s="43" t="str">
        <f>_xlfn.XLOOKUP(Table26[[#This Row],[customerSKU]],customerSKU!G:G,customerSKU!O:O,"not found",0,1)</f>
        <v>not found</v>
      </c>
      <c r="AJ1115" s="22" t="e">
        <f>Table26[[#This Row],[unitprice]]*Table26[[#This Row],[quantity_unit]]</f>
        <v>#VALUE!</v>
      </c>
      <c r="AK1115" s="22" t="e" cm="1">
        <f t="array" ref="AK11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6" spans="1:37" ht="18" customHeight="1">
      <c r="A1116" s="42">
        <v>1151</v>
      </c>
      <c r="B1116" s="42" t="s">
        <v>3357</v>
      </c>
      <c r="C1116" s="53" t="s">
        <v>203</v>
      </c>
      <c r="E1116" s="20"/>
      <c r="F1116" s="25"/>
      <c r="G1116" s="93"/>
      <c r="J1116" s="90" t="str">
        <f>IF(Table26[[#This Row],[customerSKU]]="","",_xlfn.XLOOKUP(Table26[[#This Row],[customerSKU]],customerSKU!G:G,customerSKU!A:A,"",0,1))</f>
        <v/>
      </c>
      <c r="K1116" s="232">
        <v>45708</v>
      </c>
      <c r="L1116" s="49" t="str">
        <f>IF(Table26[[#This Row],[customerSKU]]="","",_xlfn.XLOOKUP(Table26[[#This Row],[customerSKU]],customerSKU!G:G,customerSKU!B:B,"",0,1))</f>
        <v/>
      </c>
      <c r="M1116" s="22"/>
      <c r="N1116" s="15" t="str">
        <f>Table26[[#This Row],[po_number]]&amp;"-"&amp;Table26[[#This Row],[po_line]]</f>
        <v>-1</v>
      </c>
      <c r="O1116" s="15">
        <v>1</v>
      </c>
      <c r="P1116" s="50"/>
      <c r="S1116" s="90" t="str">
        <f>IF(Table26[[#This Row],[customerSKU]]="","",_xlfn.XLOOKUP(Table26[[#This Row],[customerSKU]],customerSKU!G:G,customerSKU!N:N,"NOT FOUND",0,1))</f>
        <v>NOT FOUND</v>
      </c>
      <c r="T1116" s="20"/>
      <c r="U1116" s="94">
        <v>12</v>
      </c>
      <c r="V1116" s="22" t="str">
        <f>IF(ISBLANK(Table26[[#This Row],[customerSKU]]),"",_xlfn.XLOOKUP(Table26[[#This Row],[customerSKU]],Table27[customer_SKU],Table27[case_size],"",0,1))</f>
        <v/>
      </c>
      <c r="W1116" s="117" t="str">
        <f t="shared" si="51"/>
        <v/>
      </c>
      <c r="X1116" s="22" t="str">
        <f t="shared" si="52"/>
        <v/>
      </c>
      <c r="Y1116" s="25" t="str">
        <f>IF(Table26[[#This Row],[customerSKU]]="","",_xlfn.XLOOKUP(Table26[[#This Row],[customerSKU]],Table27[customer_SKU],Table27[product_GTIN],"",0,1))</f>
        <v/>
      </c>
      <c r="Z1116" s="25" t="s">
        <v>3381</v>
      </c>
      <c r="AA1116" s="18" t="str" cm="1">
        <f t="array" ref="AA1116">IF(P1116="", "", _xlfn.XLOOKUP(P1116,#REF!,#REF!,NA,0,-1))</f>
        <v/>
      </c>
      <c r="AB1116" s="22"/>
      <c r="AC1116" s="55" t="str">
        <f>IF(Table26[[#This Row],[customerSKU]]="","",_xlfn.XLOOKUP(Table26[[#This Row],[customerSKU]],customerSKU!G:G,customerSKU!C:C,"",0,1))</f>
        <v/>
      </c>
      <c r="AD1116" s="55" t="str">
        <f>IF($AC1116="","",_xlfn.XLOOKUP($AC1116,'[2]Client Info'!$C$2:$C$2535,'[2]Client Info'!$D$2:$D$2535,"",0,1))</f>
        <v/>
      </c>
      <c r="AE1116" s="55" t="str">
        <f>IF($AC1116="","",_xlfn.XLOOKUP($AC1116,'[2]Client Info'!$C$2:$C$2715,'[2]Client Info'!$E$2:$E$2715,"",))</f>
        <v/>
      </c>
      <c r="AF1116" s="55" t="str">
        <f>IF($AC1116="","",_xlfn.XLOOKUP($AC1116,'[2]Client Info'!$C$2:$C$2715,'[2]Client Info'!$F$2:$F$2715,"",0,1))</f>
        <v/>
      </c>
      <c r="AG1116" s="55" t="str">
        <f>IF(ISBLANK(Table26[[#This Row],[customerSKU]]),"",_xlfn.XLOOKUP(Table26[[#This Row],[customerSKU]],Table27[customer_SKU],Table27[billto],"",0,1))</f>
        <v/>
      </c>
      <c r="AH1116" s="26" t="str">
        <f>_xlfn.XLOOKUP(Table26[[#This Row],[customerSKU]],customerSKU!G:G,customerSKU!K:K,"NA",0,1)</f>
        <v>NA</v>
      </c>
      <c r="AI1116" s="43" t="str">
        <f>_xlfn.XLOOKUP(Table26[[#This Row],[customerSKU]],customerSKU!G:G,customerSKU!O:O,"not found",0,1)</f>
        <v>not found</v>
      </c>
      <c r="AJ1116" s="22" t="e">
        <f>Table26[[#This Row],[unitprice]]*Table26[[#This Row],[quantity_unit]]</f>
        <v>#VALUE!</v>
      </c>
      <c r="AK1116" s="22" t="e" cm="1">
        <f t="array" ref="AK11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7" spans="1:37" ht="18" customHeight="1">
      <c r="A1117" s="42">
        <v>1126</v>
      </c>
      <c r="B1117" s="27" t="s">
        <v>3520</v>
      </c>
      <c r="C1117" s="53" t="s">
        <v>203</v>
      </c>
      <c r="E1117" s="20"/>
      <c r="F111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17" s="17"/>
      <c r="J1117" s="90" t="str">
        <f>IF(Table26[[#This Row],[customerSKU]]="","",_xlfn.XLOOKUP(Table26[[#This Row],[customerSKU]],customerSKU!G:G,customerSKU!A:A,"",0,1))</f>
        <v/>
      </c>
      <c r="K1117" s="232">
        <v>45709</v>
      </c>
      <c r="L1117" s="31" t="str">
        <f>IF(Table26[[#This Row],[customerSKU]]="","",_xlfn.XLOOKUP(Table26[[#This Row],[customerSKU]],customerSKU!G:G,customerSKU!B:B,"",0,1))</f>
        <v/>
      </c>
      <c r="M1117" s="22"/>
      <c r="N1117" s="15" t="str">
        <f>Table26[[#This Row],[po_number]]&amp;"-"&amp;Table26[[#This Row],[po_line]]</f>
        <v>-1</v>
      </c>
      <c r="O1117" s="15">
        <v>1</v>
      </c>
      <c r="P1117" s="50"/>
      <c r="Q1117" s="22" t="s">
        <v>4086</v>
      </c>
      <c r="R1117" s="22" t="s">
        <v>569</v>
      </c>
      <c r="S1117" s="22" t="s">
        <v>114</v>
      </c>
      <c r="T1117" s="20">
        <v>45631</v>
      </c>
      <c r="U1117" s="21">
        <v>12</v>
      </c>
      <c r="V1117" s="22" t="str">
        <f>IF(ISBLANK(Table26[[#This Row],[customerSKU]]),"",_xlfn.XLOOKUP(Table26[[#This Row],[customerSKU]],Table27[customer_SKU],Table27[case_size],"",0,1))</f>
        <v/>
      </c>
      <c r="W1117" s="117" t="str">
        <f t="shared" si="51"/>
        <v/>
      </c>
      <c r="X1117" s="22" t="str">
        <f t="shared" si="52"/>
        <v/>
      </c>
      <c r="Y1117" s="22" t="str">
        <f>IF(Table26[[#This Row],[customerSKU]]="","",_xlfn.XLOOKUP(Table26[[#This Row],[customerSKU]],Table27[customer_SKU],Table27[product_GTIN],"",0,1))</f>
        <v/>
      </c>
      <c r="Z1117" s="25" t="s">
        <v>3372</v>
      </c>
      <c r="AA1117" s="18" t="str" cm="1">
        <f t="array" ref="AA1117">IF(P1117="", "", _xlfn.XLOOKUP(P1117,#REF!,#REF!,NA,0,-1))</f>
        <v/>
      </c>
      <c r="AB1117" s="22"/>
      <c r="AC1117" s="55" t="s">
        <v>92</v>
      </c>
      <c r="AD1117" s="55" t="str">
        <f>IF($AC1117="","",_xlfn.XLOOKUP($AC1117,'[2]Client Info'!$C$2:$C$2535,'[2]Client Info'!$D$2:$D$2535,"",0,1))</f>
        <v>137F Dyke Rd</v>
      </c>
      <c r="AE1117" s="55" t="str">
        <f>IF($AC1117="","",_xlfn.XLOOKUP($AC1117,'[2]Client Info'!$C$2:$C$2715,'[2]Client Info'!$E$2:$E$2715,"",))</f>
        <v>Chilliwack</v>
      </c>
      <c r="AF1117" s="55" t="str">
        <f>IF($AC1117="","",_xlfn.XLOOKUP($AC1117,'[2]Client Info'!$C$2:$C$2715,'[2]Client Info'!$F$2:$F$2715,"",0,1))</f>
        <v xml:space="preserve">BC </v>
      </c>
      <c r="AG1117" s="55" t="s">
        <v>92</v>
      </c>
      <c r="AH1117" s="26" t="str">
        <f>_xlfn.XLOOKUP(Table26[[#This Row],[customerSKU]],customerSKU!G:G,customerSKU!K:K,"NA",0,1)</f>
        <v>NA</v>
      </c>
      <c r="AI1117" s="43" t="str">
        <f>_xlfn.XLOOKUP(Table26[[#This Row],[customerSKU]],customerSKU!G:G,customerSKU!O:O,"not found",0,1)</f>
        <v>not found</v>
      </c>
      <c r="AJ1117" s="22" t="e">
        <f>Table26[[#This Row],[unitprice]]*Table26[[#This Row],[quantity_unit]]</f>
        <v>#VALUE!</v>
      </c>
      <c r="AK1117" s="22" t="e" cm="1">
        <f t="array" ref="AK11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8" spans="1:37" ht="18" customHeight="1">
      <c r="A1118" s="42">
        <v>1127</v>
      </c>
      <c r="B1118" s="27" t="s">
        <v>3520</v>
      </c>
      <c r="C1118" s="53" t="s">
        <v>203</v>
      </c>
      <c r="E1118" s="20"/>
      <c r="F1118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18" s="17"/>
      <c r="J1118" s="90" t="str">
        <f>IF(Table26[[#This Row],[customerSKU]]="","",_xlfn.XLOOKUP(Table26[[#This Row],[customerSKU]],customerSKU!G:G,customerSKU!A:A,"",0,1))</f>
        <v/>
      </c>
      <c r="K1118" s="232">
        <v>45709</v>
      </c>
      <c r="L1118" s="31" t="str">
        <f>IF(Table26[[#This Row],[customerSKU]]="","",_xlfn.XLOOKUP(Table26[[#This Row],[customerSKU]],customerSKU!G:G,customerSKU!B:B,"",0,1))</f>
        <v/>
      </c>
      <c r="M1118" s="22"/>
      <c r="N1118" s="15" t="str">
        <f>Table26[[#This Row],[po_number]]&amp;"-"&amp;Table26[[#This Row],[po_line]]</f>
        <v>-2</v>
      </c>
      <c r="O1118" s="15">
        <v>2</v>
      </c>
      <c r="P1118" s="50"/>
      <c r="Q1118" s="22" t="s">
        <v>3405</v>
      </c>
      <c r="R1118" s="22" t="s">
        <v>569</v>
      </c>
      <c r="S1118" s="22" t="s">
        <v>114</v>
      </c>
      <c r="T1118" s="20">
        <v>45623</v>
      </c>
      <c r="U1118" s="21">
        <v>12</v>
      </c>
      <c r="V1118" s="22" t="str">
        <f>IF(ISBLANK(Table26[[#This Row],[customerSKU]]),"",_xlfn.XLOOKUP(Table26[[#This Row],[customerSKU]],Table27[customer_SKU],Table27[case_size],"",0,1))</f>
        <v/>
      </c>
      <c r="W1118" s="117" t="str">
        <f t="shared" si="51"/>
        <v/>
      </c>
      <c r="X1118" s="22" t="str">
        <f t="shared" si="52"/>
        <v/>
      </c>
      <c r="Y1118" s="22" t="str">
        <f>IF(Table26[[#This Row],[customerSKU]]="","",_xlfn.XLOOKUP(Table26[[#This Row],[customerSKU]],Table27[customer_SKU],Table27[product_GTIN],"",0,1))</f>
        <v/>
      </c>
      <c r="Z1118" s="25" t="s">
        <v>3406</v>
      </c>
      <c r="AA1118" s="18" t="str" cm="1">
        <f t="array" ref="AA1118">IF(P1118="", "", _xlfn.XLOOKUP(P1118,#REF!,#REF!,NA,0,-1))</f>
        <v/>
      </c>
      <c r="AB1118" s="22"/>
      <c r="AC1118" s="55" t="s">
        <v>92</v>
      </c>
      <c r="AD1118" s="55" t="str">
        <f>IF($AC1118="","",_xlfn.XLOOKUP($AC1118,'[2]Client Info'!$C$2:$C$2535,'[2]Client Info'!$D$2:$D$2535,"",0,1))</f>
        <v>137F Dyke Rd</v>
      </c>
      <c r="AE1118" s="55" t="str">
        <f>IF($AC1118="","",_xlfn.XLOOKUP($AC1118,'[2]Client Info'!$C$2:$C$2715,'[2]Client Info'!$E$2:$E$2715,"",))</f>
        <v>Chilliwack</v>
      </c>
      <c r="AF1118" s="55" t="str">
        <f>IF($AC1118="","",_xlfn.XLOOKUP($AC1118,'[2]Client Info'!$C$2:$C$2715,'[2]Client Info'!$F$2:$F$2715,"",0,1))</f>
        <v xml:space="preserve">BC </v>
      </c>
      <c r="AG1118" s="55" t="s">
        <v>92</v>
      </c>
      <c r="AH1118" s="26" t="str">
        <f>_xlfn.XLOOKUP(Table26[[#This Row],[customerSKU]],customerSKU!G:G,customerSKU!K:K,"NA",0,1)</f>
        <v>NA</v>
      </c>
      <c r="AI1118" s="43" t="str">
        <f>_xlfn.XLOOKUP(Table26[[#This Row],[customerSKU]],customerSKU!G:G,customerSKU!O:O,"not found",0,1)</f>
        <v>not found</v>
      </c>
      <c r="AJ1118" s="22" t="e">
        <f>Table26[[#This Row],[unitprice]]*Table26[[#This Row],[quantity_unit]]</f>
        <v>#VALUE!</v>
      </c>
      <c r="AK1118" s="22" t="e" cm="1">
        <f t="array" ref="AK11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19" spans="1:37" ht="18" customHeight="1">
      <c r="A1119" s="42">
        <v>1128</v>
      </c>
      <c r="B1119" s="27" t="s">
        <v>3520</v>
      </c>
      <c r="C1119" s="53" t="s">
        <v>203</v>
      </c>
      <c r="E1119" s="20"/>
      <c r="F1119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19" s="17"/>
      <c r="J1119" s="90" t="str">
        <f>IF(Table26[[#This Row],[customerSKU]]="","",_xlfn.XLOOKUP(Table26[[#This Row],[customerSKU]],customerSKU!G:G,customerSKU!A:A,"",0,1))</f>
        <v/>
      </c>
      <c r="K1119" s="232">
        <v>45709</v>
      </c>
      <c r="L1119" s="31" t="str">
        <f>IF(Table26[[#This Row],[customerSKU]]="","",_xlfn.XLOOKUP(Table26[[#This Row],[customerSKU]],customerSKU!G:G,customerSKU!B:B,"",0,1))</f>
        <v/>
      </c>
      <c r="M1119" s="22"/>
      <c r="N1119" s="15" t="str">
        <f>Table26[[#This Row],[po_number]]&amp;"-"&amp;Table26[[#This Row],[po_line]]</f>
        <v>-3</v>
      </c>
      <c r="O1119" s="15">
        <v>3</v>
      </c>
      <c r="P1119" s="50"/>
      <c r="Q1119" s="22" t="s">
        <v>1309</v>
      </c>
      <c r="R1119" s="22" t="s">
        <v>569</v>
      </c>
      <c r="S1119" s="22" t="s">
        <v>114</v>
      </c>
      <c r="T1119" s="20">
        <v>45623</v>
      </c>
      <c r="U1119" s="21">
        <v>3</v>
      </c>
      <c r="V1119" s="22" t="str">
        <f>IF(ISBLANK(Table26[[#This Row],[customerSKU]]),"",_xlfn.XLOOKUP(Table26[[#This Row],[customerSKU]],Table27[customer_SKU],Table27[case_size],"",0,1))</f>
        <v/>
      </c>
      <c r="W1119" s="117" t="str">
        <f t="shared" si="51"/>
        <v/>
      </c>
      <c r="X1119" s="22" t="str">
        <f t="shared" si="52"/>
        <v/>
      </c>
      <c r="Y1119" s="22" t="str">
        <f>IF(Table26[[#This Row],[customerSKU]]="","",_xlfn.XLOOKUP(Table26[[#This Row],[customerSKU]],Table27[customer_SKU],Table27[product_GTIN],"",0,1))</f>
        <v/>
      </c>
      <c r="Z1119" s="25" t="s">
        <v>3447</v>
      </c>
      <c r="AA1119" s="18" t="str" cm="1">
        <f t="array" ref="AA1119">IF(P1119="", "", _xlfn.XLOOKUP(P1119,#REF!,#REF!,NA,0,-1))</f>
        <v/>
      </c>
      <c r="AB1119" s="22"/>
      <c r="AC1119" s="55" t="s">
        <v>92</v>
      </c>
      <c r="AD1119" s="55" t="str">
        <f>IF($AC1119="","",_xlfn.XLOOKUP($AC1119,'[2]Client Info'!$C$2:$C$2535,'[2]Client Info'!$D$2:$D$2535,"",0,1))</f>
        <v>137F Dyke Rd</v>
      </c>
      <c r="AE1119" s="55" t="str">
        <f>IF($AC1119="","",_xlfn.XLOOKUP($AC1119,'[2]Client Info'!$C$2:$C$2715,'[2]Client Info'!$E$2:$E$2715,"",))</f>
        <v>Chilliwack</v>
      </c>
      <c r="AF1119" s="55" t="str">
        <f>IF($AC1119="","",_xlfn.XLOOKUP($AC1119,'[2]Client Info'!$C$2:$C$2715,'[2]Client Info'!$F$2:$F$2715,"",0,1))</f>
        <v xml:space="preserve">BC </v>
      </c>
      <c r="AG1119" s="55" t="s">
        <v>92</v>
      </c>
      <c r="AH1119" s="26" t="str">
        <f>_xlfn.XLOOKUP(Table26[[#This Row],[customerSKU]],customerSKU!G:G,customerSKU!K:K,"NA",0,1)</f>
        <v>NA</v>
      </c>
      <c r="AI1119" s="43" t="str">
        <f>_xlfn.XLOOKUP(Table26[[#This Row],[customerSKU]],customerSKU!G:G,customerSKU!O:O,"not found",0,1)</f>
        <v>not found</v>
      </c>
      <c r="AJ1119" s="22" t="e">
        <f>Table26[[#This Row],[unitprice]]*Table26[[#This Row],[quantity_unit]]</f>
        <v>#VALUE!</v>
      </c>
      <c r="AK1119" s="22" t="e" cm="1">
        <f t="array" ref="AK11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0" spans="1:37" ht="18" customHeight="1">
      <c r="A1120" s="42">
        <v>1129</v>
      </c>
      <c r="B1120" s="27" t="s">
        <v>3520</v>
      </c>
      <c r="C1120" s="53" t="s">
        <v>203</v>
      </c>
      <c r="E1120" s="20"/>
      <c r="F1120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20" s="17"/>
      <c r="J1120" s="90" t="str">
        <f>IF(Table26[[#This Row],[customerSKU]]="","",_xlfn.XLOOKUP(Table26[[#This Row],[customerSKU]],customerSKU!G:G,customerSKU!A:A,"",0,1))</f>
        <v/>
      </c>
      <c r="K1120" s="232">
        <v>45709</v>
      </c>
      <c r="L1120" s="31" t="str">
        <f>IF(Table26[[#This Row],[customerSKU]]="","",_xlfn.XLOOKUP(Table26[[#This Row],[customerSKU]],customerSKU!G:G,customerSKU!B:B,"",0,1))</f>
        <v/>
      </c>
      <c r="M1120" s="22"/>
      <c r="N1120" s="15" t="str">
        <f>Table26[[#This Row],[po_number]]&amp;"-"&amp;Table26[[#This Row],[po_line]]</f>
        <v>-4</v>
      </c>
      <c r="O1120" s="15">
        <v>4</v>
      </c>
      <c r="P1120" s="50"/>
      <c r="Q1120" s="22" t="s">
        <v>1735</v>
      </c>
      <c r="R1120" s="22" t="s">
        <v>569</v>
      </c>
      <c r="S1120" s="22" t="str">
        <f>IF(Table26[[#This Row],[customerSKU]]="","",_xlfn.XLOOKUP(Table26[[#This Row],[customerSKU]],customerSKU!G:G,customerSKU!N:N,"NOT FOUND",0,1))</f>
        <v>NOT FOUND</v>
      </c>
      <c r="T1120" s="20">
        <v>45707</v>
      </c>
      <c r="U1120" s="21">
        <v>9</v>
      </c>
      <c r="V1120" s="22" t="str">
        <f>IF(ISBLANK(Table26[[#This Row],[customerSKU]]),"",_xlfn.XLOOKUP(Table26[[#This Row],[customerSKU]],Table27[customer_SKU],Table27[case_size],"",0,1))</f>
        <v/>
      </c>
      <c r="W1120" s="117" t="str">
        <f t="shared" si="51"/>
        <v/>
      </c>
      <c r="X1120" s="22" t="str">
        <f t="shared" si="52"/>
        <v/>
      </c>
      <c r="Y1120" s="22" t="str">
        <f>IF(Table26[[#This Row],[customerSKU]]="","",_xlfn.XLOOKUP(Table26[[#This Row],[customerSKU]],Table27[customer_SKU],Table27[product_GTIN],"",0,1))</f>
        <v/>
      </c>
      <c r="Z1120" s="25" t="s">
        <v>3447</v>
      </c>
      <c r="AA1120" s="18" t="str" cm="1">
        <f t="array" ref="AA1120">IF(P1120="", "", _xlfn.XLOOKUP(P1120,#REF!,#REF!,NA,0,-1))</f>
        <v/>
      </c>
      <c r="AB1120" s="22"/>
      <c r="AC1120" s="55" t="s">
        <v>92</v>
      </c>
      <c r="AD1120" s="55" t="str">
        <f>IF($AC1120="","",_xlfn.XLOOKUP($AC1120,'[2]Client Info'!$C$2:$C$2535,'[2]Client Info'!$D$2:$D$2535,"",0,1))</f>
        <v>137F Dyke Rd</v>
      </c>
      <c r="AE1120" s="55" t="str">
        <f>IF($AC1120="","",_xlfn.XLOOKUP($AC1120,'[2]Client Info'!$C$2:$C$2715,'[2]Client Info'!$E$2:$E$2715,"",))</f>
        <v>Chilliwack</v>
      </c>
      <c r="AF1120" s="55" t="str">
        <f>IF($AC1120="","",_xlfn.XLOOKUP($AC1120,'[2]Client Info'!$C$2:$C$2715,'[2]Client Info'!$F$2:$F$2715,"",0,1))</f>
        <v xml:space="preserve">BC </v>
      </c>
      <c r="AG1120" s="55" t="s">
        <v>92</v>
      </c>
      <c r="AH1120" s="26" t="str">
        <f>_xlfn.XLOOKUP(Table26[[#This Row],[customerSKU]],customerSKU!G:G,customerSKU!K:K,"NA",0,1)</f>
        <v>NA</v>
      </c>
      <c r="AI1120" s="43" t="str">
        <f>_xlfn.XLOOKUP(Table26[[#This Row],[customerSKU]],customerSKU!G:G,customerSKU!O:O,"not found",0,1)</f>
        <v>not found</v>
      </c>
      <c r="AJ1120" s="22" t="e">
        <f>Table26[[#This Row],[unitprice]]*Table26[[#This Row],[quantity_unit]]</f>
        <v>#VALUE!</v>
      </c>
      <c r="AK1120" s="22" t="e" cm="1">
        <f t="array" ref="AK11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1" spans="1:37" ht="18" customHeight="1">
      <c r="A1121" s="42">
        <v>1130</v>
      </c>
      <c r="B1121" s="27" t="s">
        <v>3520</v>
      </c>
      <c r="C1121" s="53" t="s">
        <v>203</v>
      </c>
      <c r="E1121" s="20"/>
      <c r="F1121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21" s="17"/>
      <c r="J1121" s="90" t="str">
        <f>IF(Table26[[#This Row],[customerSKU]]="","",_xlfn.XLOOKUP(Table26[[#This Row],[customerSKU]],customerSKU!G:G,customerSKU!A:A,"",0,1))</f>
        <v/>
      </c>
      <c r="K1121" s="232">
        <v>45709</v>
      </c>
      <c r="L1121" s="31" t="str">
        <f>IF(Table26[[#This Row],[customerSKU]]="","",_xlfn.XLOOKUP(Table26[[#This Row],[customerSKU]],customerSKU!G:G,customerSKU!B:B,"",0,1))</f>
        <v/>
      </c>
      <c r="M1121" s="22"/>
      <c r="N1121" s="15" t="str">
        <f>Table26[[#This Row],[po_number]]&amp;"-"&amp;Table26[[#This Row],[po_line]]</f>
        <v>-5</v>
      </c>
      <c r="O1121" s="15">
        <v>5</v>
      </c>
      <c r="P1121" s="50"/>
      <c r="Q1121" s="22" t="s">
        <v>1306</v>
      </c>
      <c r="R1121" s="22" t="s">
        <v>569</v>
      </c>
      <c r="S1121" s="22" t="str">
        <f>IF(Table26[[#This Row],[customerSKU]]="","",_xlfn.XLOOKUP(Table26[[#This Row],[customerSKU]],customerSKU!G:G,customerSKU!N:N,"NOT FOUND",0,1))</f>
        <v>NOT FOUND</v>
      </c>
      <c r="T1121" s="20">
        <v>45576</v>
      </c>
      <c r="U1121" s="21">
        <v>12</v>
      </c>
      <c r="V1121" s="22" t="str">
        <f>IF(ISBLANK(Table26[[#This Row],[customerSKU]]),"",_xlfn.XLOOKUP(Table26[[#This Row],[customerSKU]],Table27[customer_SKU],Table27[case_size],"",0,1))</f>
        <v/>
      </c>
      <c r="W1121" s="117" t="str">
        <f t="shared" si="51"/>
        <v/>
      </c>
      <c r="X1121" s="22" t="str">
        <f t="shared" si="52"/>
        <v/>
      </c>
      <c r="Y1121" s="22" t="str">
        <f>IF(Table26[[#This Row],[customerSKU]]="","",_xlfn.XLOOKUP(Table26[[#This Row],[customerSKU]],Table27[customer_SKU],Table27[product_GTIN],"",0,1))</f>
        <v/>
      </c>
      <c r="Z1121" s="25" t="s">
        <v>3374</v>
      </c>
      <c r="AA1121" s="18" t="str" cm="1">
        <f t="array" ref="AA1121">IF(P1121="", "", _xlfn.XLOOKUP(P1121,#REF!,#REF!,NA,0,-1))</f>
        <v/>
      </c>
      <c r="AB1121" s="22"/>
      <c r="AC1121" s="55" t="s">
        <v>92</v>
      </c>
      <c r="AD1121" s="55" t="str">
        <f>IF($AC1121="","",_xlfn.XLOOKUP($AC1121,'[2]Client Info'!$C$2:$C$2535,'[2]Client Info'!$D$2:$D$2535,"",0,1))</f>
        <v>137F Dyke Rd</v>
      </c>
      <c r="AE1121" s="55" t="str">
        <f>IF($AC1121="","",_xlfn.XLOOKUP($AC1121,'[2]Client Info'!$C$2:$C$2715,'[2]Client Info'!$E$2:$E$2715,"",))</f>
        <v>Chilliwack</v>
      </c>
      <c r="AF1121" s="55" t="str">
        <f>IF($AC1121="","",_xlfn.XLOOKUP($AC1121,'[2]Client Info'!$C$2:$C$2715,'[2]Client Info'!$F$2:$F$2715,"",0,1))</f>
        <v xml:space="preserve">BC </v>
      </c>
      <c r="AG1121" s="55" t="s">
        <v>92</v>
      </c>
      <c r="AH1121" s="26" t="str">
        <f>_xlfn.XLOOKUP(Table26[[#This Row],[customerSKU]],customerSKU!G:G,customerSKU!K:K,"NA",0,1)</f>
        <v>NA</v>
      </c>
      <c r="AI1121" s="43" t="str">
        <f>_xlfn.XLOOKUP(Table26[[#This Row],[customerSKU]],customerSKU!G:G,customerSKU!O:O,"not found",0,1)</f>
        <v>not found</v>
      </c>
      <c r="AJ1121" s="22" t="e">
        <f>Table26[[#This Row],[unitprice]]*Table26[[#This Row],[quantity_unit]]</f>
        <v>#VALUE!</v>
      </c>
      <c r="AK1121" s="22" t="e" cm="1">
        <f t="array" ref="AK11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2" spans="1:37" ht="18" customHeight="1">
      <c r="A1122" s="42">
        <v>1131</v>
      </c>
      <c r="B1122" s="27" t="s">
        <v>3520</v>
      </c>
      <c r="C1122" s="53" t="s">
        <v>203</v>
      </c>
      <c r="E1122" s="20"/>
      <c r="F1122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22" s="17"/>
      <c r="J1122" s="90" t="str">
        <f>IF(Table26[[#This Row],[customerSKU]]="","",_xlfn.XLOOKUP(Table26[[#This Row],[customerSKU]],customerSKU!G:G,customerSKU!A:A,"",0,1))</f>
        <v/>
      </c>
      <c r="K1122" s="232">
        <v>45709</v>
      </c>
      <c r="L1122" s="31" t="str">
        <f>IF(Table26[[#This Row],[customerSKU]]="","",_xlfn.XLOOKUP(Table26[[#This Row],[customerSKU]],customerSKU!G:G,customerSKU!B:B,"",0,1))</f>
        <v/>
      </c>
      <c r="M1122" s="22"/>
      <c r="N1122" s="15" t="str">
        <f>Table26[[#This Row],[po_number]]&amp;"-"&amp;Table26[[#This Row],[po_line]]</f>
        <v>-6</v>
      </c>
      <c r="O1122" s="15">
        <v>6</v>
      </c>
      <c r="P1122" s="50"/>
      <c r="Q1122" s="22" t="s">
        <v>610</v>
      </c>
      <c r="R1122" s="22" t="s">
        <v>569</v>
      </c>
      <c r="S1122" s="22" t="str">
        <f>IF(Table26[[#This Row],[customerSKU]]="","",_xlfn.XLOOKUP(Table26[[#This Row],[customerSKU]],customerSKU!G:G,customerSKU!N:N,"NOT FOUND",0,1))</f>
        <v>NOT FOUND</v>
      </c>
      <c r="T1122" s="20">
        <v>45700</v>
      </c>
      <c r="U1122" s="21">
        <v>12</v>
      </c>
      <c r="V1122" s="22" t="str">
        <f>IF(ISBLANK(Table26[[#This Row],[customerSKU]]),"",_xlfn.XLOOKUP(Table26[[#This Row],[customerSKU]],Table27[customer_SKU],Table27[case_size],"",0,1))</f>
        <v/>
      </c>
      <c r="W1122" s="117" t="str">
        <f t="shared" si="51"/>
        <v/>
      </c>
      <c r="X1122" s="22" t="str">
        <f t="shared" si="52"/>
        <v/>
      </c>
      <c r="Y1122" s="22" t="str">
        <f>IF(Table26[[#This Row],[customerSKU]]="","",_xlfn.XLOOKUP(Table26[[#This Row],[customerSKU]],Table27[customer_SKU],Table27[product_GTIN],"",0,1))</f>
        <v/>
      </c>
      <c r="Z1122" s="25" t="s">
        <v>3448</v>
      </c>
      <c r="AA1122" s="18" t="str" cm="1">
        <f t="array" ref="AA1122">IF(P1122="", "", _xlfn.XLOOKUP(P1122,#REF!,#REF!,NA,0,-1))</f>
        <v/>
      </c>
      <c r="AB1122" s="22"/>
      <c r="AC1122" s="55" t="s">
        <v>92</v>
      </c>
      <c r="AD1122" s="55" t="str">
        <f>IF($AC1122="","",_xlfn.XLOOKUP($AC1122,'[2]Client Info'!$C$2:$C$2535,'[2]Client Info'!$D$2:$D$2535,"",0,1))</f>
        <v>137F Dyke Rd</v>
      </c>
      <c r="AE1122" s="55" t="str">
        <f>IF($AC1122="","",_xlfn.XLOOKUP($AC1122,'[2]Client Info'!$C$2:$C$2715,'[2]Client Info'!$E$2:$E$2715,"",))</f>
        <v>Chilliwack</v>
      </c>
      <c r="AF1122" s="55" t="str">
        <f>IF($AC1122="","",_xlfn.XLOOKUP($AC1122,'[2]Client Info'!$C$2:$C$2715,'[2]Client Info'!$F$2:$F$2715,"",0,1))</f>
        <v xml:space="preserve">BC </v>
      </c>
      <c r="AG1122" s="55" t="s">
        <v>92</v>
      </c>
      <c r="AH1122" s="26" t="str">
        <f>_xlfn.XLOOKUP(Table26[[#This Row],[customerSKU]],customerSKU!G:G,customerSKU!K:K,"NA",0,1)</f>
        <v>NA</v>
      </c>
      <c r="AI1122" s="43" t="str">
        <f>_xlfn.XLOOKUP(Table26[[#This Row],[customerSKU]],customerSKU!G:G,customerSKU!O:O,"not found",0,1)</f>
        <v>not found</v>
      </c>
      <c r="AJ1122" s="22" t="e">
        <f>Table26[[#This Row],[unitprice]]*Table26[[#This Row],[quantity_unit]]</f>
        <v>#VALUE!</v>
      </c>
      <c r="AK1122" s="22" t="e" cm="1">
        <f t="array" ref="AK11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3" spans="1:37" ht="18" customHeight="1">
      <c r="A1123" s="42">
        <v>1132</v>
      </c>
      <c r="B1123" s="27" t="s">
        <v>3520</v>
      </c>
      <c r="C1123" s="53" t="s">
        <v>203</v>
      </c>
      <c r="E1123" s="20"/>
      <c r="F1123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23" s="17"/>
      <c r="J1123" s="90" t="str">
        <f>IF(Table26[[#This Row],[customerSKU]]="","",_xlfn.XLOOKUP(Table26[[#This Row],[customerSKU]],customerSKU!G:G,customerSKU!A:A,"",0,1))</f>
        <v/>
      </c>
      <c r="K1123" s="232">
        <v>45709</v>
      </c>
      <c r="L1123" s="31" t="str">
        <f>IF(Table26[[#This Row],[customerSKU]]="","",_xlfn.XLOOKUP(Table26[[#This Row],[customerSKU]],customerSKU!G:G,customerSKU!B:B,"",0,1))</f>
        <v/>
      </c>
      <c r="M1123" s="22"/>
      <c r="N1123" s="15" t="str">
        <f>Table26[[#This Row],[po_number]]&amp;"-"&amp;Table26[[#This Row],[po_line]]</f>
        <v>-7</v>
      </c>
      <c r="O1123" s="15">
        <v>7</v>
      </c>
      <c r="P1123" s="50"/>
      <c r="Q1123" s="22" t="s">
        <v>4137</v>
      </c>
      <c r="R1123" s="22" t="s">
        <v>569</v>
      </c>
      <c r="S1123" s="22" t="str">
        <f>IF(Table26[[#This Row],[customerSKU]]="","",_xlfn.XLOOKUP(Table26[[#This Row],[customerSKU]],customerSKU!G:G,customerSKU!N:N,"NOT FOUND",0,1))</f>
        <v>NOT FOUND</v>
      </c>
      <c r="T1123" s="20">
        <v>45001</v>
      </c>
      <c r="U1123" s="21">
        <v>6</v>
      </c>
      <c r="V1123" s="22" t="str">
        <f>IF(ISBLANK(Table26[[#This Row],[customerSKU]]),"",_xlfn.XLOOKUP(Table26[[#This Row],[customerSKU]],Table27[customer_SKU],Table27[case_size],"",0,1))</f>
        <v/>
      </c>
      <c r="W1123" s="117" t="str">
        <f t="shared" si="51"/>
        <v/>
      </c>
      <c r="X1123" s="22" t="str">
        <f t="shared" si="52"/>
        <v/>
      </c>
      <c r="Y1123" s="22" t="str">
        <f>IF(Table26[[#This Row],[customerSKU]]="","",_xlfn.XLOOKUP(Table26[[#This Row],[customerSKU]],Table27[customer_SKU],Table27[product_GTIN],"",0,1))</f>
        <v/>
      </c>
      <c r="Z1123" s="25" t="s">
        <v>4138</v>
      </c>
      <c r="AA1123" s="18" t="str" cm="1">
        <f t="array" ref="AA1123">IF(P1123="", "", _xlfn.XLOOKUP(P1123,#REF!,#REF!,NA,0,-1))</f>
        <v/>
      </c>
      <c r="AB1123" s="22"/>
      <c r="AC1123" s="55" t="s">
        <v>92</v>
      </c>
      <c r="AD1123" s="55" t="str">
        <f>IF($AC1123="","",_xlfn.XLOOKUP($AC1123,'[2]Client Info'!$C$2:$C$2535,'[2]Client Info'!$D$2:$D$2535,"",0,1))</f>
        <v>137F Dyke Rd</v>
      </c>
      <c r="AE1123" s="55" t="str">
        <f>IF($AC1123="","",_xlfn.XLOOKUP($AC1123,'[2]Client Info'!$C$2:$C$2715,'[2]Client Info'!$E$2:$E$2715,"",))</f>
        <v>Chilliwack</v>
      </c>
      <c r="AF1123" s="55" t="str">
        <f>IF($AC1123="","",_xlfn.XLOOKUP($AC1123,'[2]Client Info'!$C$2:$C$2715,'[2]Client Info'!$F$2:$F$2715,"",0,1))</f>
        <v xml:space="preserve">BC </v>
      </c>
      <c r="AG1123" s="55" t="s">
        <v>92</v>
      </c>
      <c r="AH1123" s="26" t="str">
        <f>_xlfn.XLOOKUP(Table26[[#This Row],[customerSKU]],customerSKU!G:G,customerSKU!K:K,"NA",0,1)</f>
        <v>NA</v>
      </c>
      <c r="AI1123" s="43" t="str">
        <f>_xlfn.XLOOKUP(Table26[[#This Row],[customerSKU]],customerSKU!G:G,customerSKU!O:O,"not found",0,1)</f>
        <v>not found</v>
      </c>
      <c r="AJ1123" s="22" t="e">
        <f>Table26[[#This Row],[unitprice]]*Table26[[#This Row],[quantity_unit]]</f>
        <v>#VALUE!</v>
      </c>
      <c r="AK1123" s="22" t="e" cm="1">
        <f t="array" ref="AK11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4" spans="1:37" ht="24.6" customHeight="1">
      <c r="A1124" s="42">
        <v>1133</v>
      </c>
      <c r="B1124" s="42" t="s">
        <v>3357</v>
      </c>
      <c r="C1124" s="53" t="s">
        <v>203</v>
      </c>
      <c r="E1124" s="20"/>
      <c r="F1124" s="25"/>
      <c r="G1124" s="93"/>
      <c r="J1124" s="90" t="str">
        <f>IF(Table26[[#This Row],[customerSKU]]="","",_xlfn.XLOOKUP(Table26[[#This Row],[customerSKU]],customerSKU!G:G,customerSKU!A:A,"",0,1))</f>
        <v/>
      </c>
      <c r="K1124" s="232">
        <v>45709</v>
      </c>
      <c r="L1124" s="49" t="str">
        <f>IF(Table26[[#This Row],[customerSKU]]="","",_xlfn.XLOOKUP(Table26[[#This Row],[customerSKU]],customerSKU!G:G,customerSKU!B:B,"",0,1))</f>
        <v/>
      </c>
      <c r="M1124" s="22"/>
      <c r="N1124" s="15" t="str">
        <f>Table26[[#This Row],[po_number]]&amp;"-"&amp;Table26[[#This Row],[po_line]]</f>
        <v>-1</v>
      </c>
      <c r="O1124" s="15">
        <v>1</v>
      </c>
      <c r="P1124" s="50"/>
      <c r="Q1124" s="22" t="s">
        <v>656</v>
      </c>
      <c r="R1124" s="22" t="s">
        <v>569</v>
      </c>
      <c r="S1124" s="90" t="s">
        <v>132</v>
      </c>
      <c r="T1124" s="20">
        <v>45642</v>
      </c>
      <c r="U1124" s="94">
        <v>12</v>
      </c>
      <c r="V1124" s="22" t="str">
        <f>IF(ISBLANK(Table26[[#This Row],[customerSKU]]),"",_xlfn.XLOOKUP(Table26[[#This Row],[customerSKU]],Table27[customer_SKU],Table27[case_size],"",0,1))</f>
        <v/>
      </c>
      <c r="W1124" s="117" t="str">
        <f t="shared" si="51"/>
        <v/>
      </c>
      <c r="X1124" s="22" t="str">
        <f t="shared" si="52"/>
        <v/>
      </c>
      <c r="Y1124" s="25" t="str">
        <f>IF(Table26[[#This Row],[customerSKU]]="","",_xlfn.XLOOKUP(Table26[[#This Row],[customerSKU]],Table27[customer_SKU],Table27[product_GTIN],"",0,1))</f>
        <v/>
      </c>
      <c r="Z1124" s="25" t="s">
        <v>3624</v>
      </c>
      <c r="AA1124" s="18" t="str" cm="1">
        <f t="array" ref="AA1124">IF(P1124="", "", _xlfn.XLOOKUP(P1124,#REF!,#REF!,NA,0,-1))</f>
        <v/>
      </c>
      <c r="AB1124" s="22"/>
      <c r="AC1124" s="55" t="s">
        <v>148</v>
      </c>
      <c r="AD1124" s="55" t="str">
        <f>IF($AC1124="","",_xlfn.XLOOKUP($AC1124,'[2]Client Info'!$C$2:$C$2535,'[2]Client Info'!$D$2:$D$2535,"",0,1))</f>
        <v>1-530 SABOURIN ST</v>
      </c>
      <c r="AE1124" s="55" t="str">
        <f>IF($AC1124="","",_xlfn.XLOOKUP($AC1124,'[2]Client Info'!$C$2:$C$2715,'[2]Client Info'!$E$2:$E$2715,"",))</f>
        <v>ST. PIERRE-JOLYS</v>
      </c>
      <c r="AF1124" s="55" t="str">
        <f>IF($AC1124="","",_xlfn.XLOOKUP($AC1124,'[2]Client Info'!$C$2:$C$2715,'[2]Client Info'!$F$2:$F$2715,"",0,1))</f>
        <v>MB</v>
      </c>
      <c r="AG1124" s="55" t="s">
        <v>148</v>
      </c>
      <c r="AH1124" s="26" t="str">
        <f>_xlfn.XLOOKUP(Table26[[#This Row],[customerSKU]],customerSKU!G:G,customerSKU!K:K,"NA",0,1)</f>
        <v>NA</v>
      </c>
      <c r="AI1124" s="43" t="str">
        <f>_xlfn.XLOOKUP(Table26[[#This Row],[customerSKU]],customerSKU!G:G,customerSKU!O:O,"not found",0,1)</f>
        <v>not found</v>
      </c>
      <c r="AJ1124" s="22" t="e">
        <f>Table26[[#This Row],[unitprice]]*Table26[[#This Row],[quantity_unit]]</f>
        <v>#VALUE!</v>
      </c>
      <c r="AK1124" s="22" t="e" cm="1">
        <f t="array" ref="AK11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5" spans="1:37" ht="18" customHeight="1">
      <c r="A1125" s="42">
        <v>1134</v>
      </c>
      <c r="B1125" s="42" t="s">
        <v>3357</v>
      </c>
      <c r="C1125" s="22" t="s">
        <v>3360</v>
      </c>
      <c r="E1125" s="20"/>
      <c r="F1125" s="25"/>
      <c r="G1125" s="93"/>
      <c r="J1125" s="90" t="str">
        <f>IF(Table26[[#This Row],[customerSKU]]="","",_xlfn.XLOOKUP(Table26[[#This Row],[customerSKU]],customerSKU!G:G,customerSKU!A:A,"",0,1))</f>
        <v/>
      </c>
      <c r="K1125" s="232">
        <v>45709</v>
      </c>
      <c r="L1125" s="49" t="str">
        <f>IF(Table26[[#This Row],[customerSKU]]="","",_xlfn.XLOOKUP(Table26[[#This Row],[customerSKU]],customerSKU!G:G,customerSKU!B:B,"",0,1))</f>
        <v/>
      </c>
      <c r="M1125" s="22"/>
      <c r="N1125" s="15" t="str">
        <f>Table26[[#This Row],[po_number]]&amp;"-"&amp;Table26[[#This Row],[po_line]]</f>
        <v>-1</v>
      </c>
      <c r="O1125" s="15">
        <v>1</v>
      </c>
      <c r="P1125" s="50"/>
      <c r="S1125" s="90" t="str">
        <f>IF(Table26[[#This Row],[customerSKU]]="","",_xlfn.XLOOKUP(Table26[[#This Row],[customerSKU]],customerSKU!G:G,customerSKU!N:N,"NOT FOUND",0,1))</f>
        <v>NOT FOUND</v>
      </c>
      <c r="T1125" s="20"/>
      <c r="U1125" s="94">
        <v>12</v>
      </c>
      <c r="V1125" s="22" t="str">
        <f>IF(ISBLANK(Table26[[#This Row],[customerSKU]]),"",_xlfn.XLOOKUP(Table26[[#This Row],[customerSKU]],Table27[customer_SKU],Table27[case_size],"",0,1))</f>
        <v/>
      </c>
      <c r="W1125" s="117" t="str">
        <f t="shared" si="51"/>
        <v/>
      </c>
      <c r="X1125" s="22" t="str">
        <f t="shared" si="52"/>
        <v/>
      </c>
      <c r="Y1125" s="25" t="str">
        <f>IF(Table26[[#This Row],[customerSKU]]="","",_xlfn.XLOOKUP(Table26[[#This Row],[customerSKU]],Table27[customer_SKU],Table27[product_GTIN],"",0,1))</f>
        <v/>
      </c>
      <c r="Z1125" s="25" t="s">
        <v>3452</v>
      </c>
      <c r="AA1125" s="18" t="str" cm="1">
        <f t="array" ref="AA1125">IF(P1125="", "", _xlfn.XLOOKUP(P1125,#REF!,#REF!,NA,0,-1))</f>
        <v/>
      </c>
      <c r="AB1125" s="22"/>
      <c r="AC1125" s="55" t="str">
        <f>IF(Table26[[#This Row],[customerSKU]]="","",_xlfn.XLOOKUP(Table26[[#This Row],[customerSKU]],customerSKU!G:G,customerSKU!C:C,"",0,1))</f>
        <v/>
      </c>
      <c r="AD1125" s="55" t="str">
        <f>IF($AC1125="","",_xlfn.XLOOKUP($AC1125,'[2]Client Info'!$C$2:$C$2535,'[2]Client Info'!$D$2:$D$2535,"",0,1))</f>
        <v/>
      </c>
      <c r="AE1125" s="55" t="str">
        <f>IF($AC1125="","",_xlfn.XLOOKUP($AC1125,'[2]Client Info'!$C$2:$C$2715,'[2]Client Info'!$E$2:$E$2715,"",))</f>
        <v/>
      </c>
      <c r="AF1125" s="55" t="str">
        <f>IF($AC1125="","",_xlfn.XLOOKUP($AC1125,'[2]Client Info'!$C$2:$C$2715,'[2]Client Info'!$F$2:$F$2715,"",0,1))</f>
        <v/>
      </c>
      <c r="AG1125" s="55" t="str">
        <f>IF(ISBLANK(Table26[[#This Row],[customerSKU]]),"",_xlfn.XLOOKUP(Table26[[#This Row],[customerSKU]],Table27[customer_SKU],Table27[billto],"",0,1))</f>
        <v/>
      </c>
      <c r="AH1125" s="26" t="str">
        <f>_xlfn.XLOOKUP(Table26[[#This Row],[customerSKU]],customerSKU!G:G,customerSKU!K:K,"NA",0,1)</f>
        <v>NA</v>
      </c>
      <c r="AI1125" s="43" t="str">
        <f>_xlfn.XLOOKUP(Table26[[#This Row],[customerSKU]],customerSKU!G:G,customerSKU!O:O,"not found",0,1)</f>
        <v>not found</v>
      </c>
      <c r="AJ1125" s="22" t="e">
        <f>Table26[[#This Row],[unitprice]]*Table26[[#This Row],[quantity_unit]]</f>
        <v>#VALUE!</v>
      </c>
      <c r="AK1125" s="22" t="e" cm="1">
        <f t="array" ref="AK11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6" spans="1:37" ht="18" customHeight="1">
      <c r="A1126" s="42">
        <v>1124</v>
      </c>
      <c r="B1126" s="249" t="s">
        <v>3520</v>
      </c>
      <c r="C1126" s="90" t="s">
        <v>203</v>
      </c>
      <c r="D1126" s="235"/>
      <c r="E1126" s="235"/>
      <c r="F1126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126" s="119"/>
      <c r="H1126" s="90"/>
      <c r="I1126" s="90"/>
      <c r="J1126" s="90" t="str">
        <f>IF(Table26[[#This Row],[customerSKU]]="","",_xlfn.XLOOKUP(Table26[[#This Row],[customerSKU]],customerSKU!G:G,customerSKU!A:A,"",0,1))</f>
        <v/>
      </c>
      <c r="K1126" s="232">
        <v>45712</v>
      </c>
      <c r="L1126" s="233" t="str">
        <f>IF(Table26[[#This Row],[customerSKU]]="","",_xlfn.XLOOKUP(Table26[[#This Row],[customerSKU]],customerSKU!G:G,customerSKU!B:B,"",0,1))</f>
        <v/>
      </c>
      <c r="M1126" s="90"/>
      <c r="N1126" s="55" t="str">
        <f>Table26[[#This Row],[po_number]]&amp;"-"&amp;Table26[[#This Row],[po_line]]</f>
        <v>-1</v>
      </c>
      <c r="O1126" s="55">
        <v>1</v>
      </c>
      <c r="P1126" s="234"/>
      <c r="Q1126" s="90" t="s">
        <v>1314</v>
      </c>
      <c r="R1126" s="90" t="s">
        <v>3302</v>
      </c>
      <c r="S1126" s="90" t="str">
        <f>IF(Table26[[#This Row],[customerSKU]]="","",_xlfn.XLOOKUP(Table26[[#This Row],[customerSKU]],customerSKU!G:G,customerSKU!N:N,"NOT FOUND",0,1))</f>
        <v>NOT FOUND</v>
      </c>
      <c r="T1126" s="20">
        <v>45503</v>
      </c>
      <c r="U1126" s="236">
        <v>12</v>
      </c>
      <c r="V1126" s="90" t="str">
        <f>IF(ISBLANK(Table26[[#This Row],[customerSKU]]),"",_xlfn.XLOOKUP(Table26[[#This Row],[customerSKU]],Table27[customer_SKU],Table27[case_size],"",0,1))</f>
        <v/>
      </c>
      <c r="W1126" s="237" t="str">
        <f t="shared" si="51"/>
        <v/>
      </c>
      <c r="X1126" s="90" t="str">
        <f t="shared" si="52"/>
        <v/>
      </c>
      <c r="Y1126" s="90" t="str">
        <f>IF(Table26[[#This Row],[customerSKU]]="","",_xlfn.XLOOKUP(Table26[[#This Row],[customerSKU]],Table27[customer_SKU],Table27[product_GTIN],"",0,1))</f>
        <v/>
      </c>
      <c r="Z1126" s="25" t="s">
        <v>3374</v>
      </c>
      <c r="AA1126" s="18" t="str" cm="1">
        <f t="array" ref="AA1126">IF(P1126="", "", _xlfn.XLOOKUP(P1126,#REF!,#REF!,NA,0,-1))</f>
        <v/>
      </c>
      <c r="AB1126" s="90"/>
      <c r="AC1126" s="55" t="s">
        <v>4175</v>
      </c>
      <c r="AD1126" s="55" t="str">
        <f>IF($AC1126="","",_xlfn.XLOOKUP($AC1126,'[2]Client Info'!$C$2:$C$2535,'[2]Client Info'!$D$2:$D$2535,"",0,1))</f>
        <v>9750 Chemainus Road</v>
      </c>
      <c r="AE1126" s="55" t="str">
        <f>IF($AC1126="","",_xlfn.XLOOKUP($AC1126,'[2]Client Info'!$C$2:$C$2715,'[2]Client Info'!$E$2:$E$2715,"",))</f>
        <v>Chemainus</v>
      </c>
      <c r="AF1126" s="55" t="str">
        <f>IF($AC1126="","",_xlfn.XLOOKUP($AC1126,'[2]Client Info'!$C$2:$C$2715,'[2]Client Info'!$F$2:$F$2715,"",0,1))</f>
        <v xml:space="preserve">BC </v>
      </c>
      <c r="AG1126" s="55" t="s">
        <v>4175</v>
      </c>
      <c r="AH1126" s="245" t="str">
        <f>_xlfn.XLOOKUP(Table26[[#This Row],[customerSKU]],customerSKU!G:G,customerSKU!K:K,"NA",0,1)</f>
        <v>NA</v>
      </c>
      <c r="AI1126" s="43" t="str">
        <f>_xlfn.XLOOKUP(Table26[[#This Row],[customerSKU]],customerSKU!G:G,customerSKU!O:O,"not found",0,1)</f>
        <v>not found</v>
      </c>
      <c r="AJ1126" s="22" t="e">
        <f>Table26[[#This Row],[unitprice]]*Table26[[#This Row],[quantity_unit]]</f>
        <v>#VALUE!</v>
      </c>
      <c r="AK1126" s="22" t="e" cm="1">
        <f t="array" ref="AK11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7" spans="1:37" ht="18" customHeight="1">
      <c r="A1127" s="42">
        <v>1125</v>
      </c>
      <c r="B1127" s="249" t="s">
        <v>3520</v>
      </c>
      <c r="C1127" s="90" t="s">
        <v>203</v>
      </c>
      <c r="D1127" s="235"/>
      <c r="E1127" s="235"/>
      <c r="F1127" s="90" t="str">
        <f>IF(OR(ISNUMBER(SEARCH("OCS",Table26[[#This Row],[sales_stream]])),ISNUMBER(SEARCH("AGLC",Table26[[#This Row],[sales_stream]])),ISNUMBER(SEARCH("BCLDB",Table26[[#This Row],[sales_stream]]))),"NEED BOOKING","")</f>
        <v/>
      </c>
      <c r="G1127" s="119"/>
      <c r="H1127" s="90"/>
      <c r="I1127" s="90"/>
      <c r="J1127" s="90" t="str">
        <f>IF(Table26[[#This Row],[customerSKU]]="","",_xlfn.XLOOKUP(Table26[[#This Row],[customerSKU]],customerSKU!G:G,customerSKU!A:A,"",0,1))</f>
        <v/>
      </c>
      <c r="K1127" s="232">
        <v>45712</v>
      </c>
      <c r="L1127" s="233" t="str">
        <f>IF(Table26[[#This Row],[customerSKU]]="","",_xlfn.XLOOKUP(Table26[[#This Row],[customerSKU]],customerSKU!G:G,customerSKU!B:B,"",0,1))</f>
        <v/>
      </c>
      <c r="M1127" s="90"/>
      <c r="N1127" s="55" t="str">
        <f>Table26[[#This Row],[po_number]]&amp;"-"&amp;Table26[[#This Row],[po_line]]</f>
        <v>-2</v>
      </c>
      <c r="O1127" s="55">
        <v>2</v>
      </c>
      <c r="P1127" s="234"/>
      <c r="Q1127" s="90" t="s">
        <v>610</v>
      </c>
      <c r="R1127" s="90" t="s">
        <v>3302</v>
      </c>
      <c r="S1127" s="90" t="str">
        <f>IF(Table26[[#This Row],[customerSKU]]="","",_xlfn.XLOOKUP(Table26[[#This Row],[customerSKU]],customerSKU!G:G,customerSKU!N:N,"NOT FOUND",0,1))</f>
        <v>NOT FOUND</v>
      </c>
      <c r="T1127" s="20">
        <v>45700</v>
      </c>
      <c r="U1127" s="236">
        <v>12</v>
      </c>
      <c r="V1127" s="90" t="str">
        <f>IF(ISBLANK(Table26[[#This Row],[customerSKU]]),"",_xlfn.XLOOKUP(Table26[[#This Row],[customerSKU]],Table27[customer_SKU],Table27[case_size],"",0,1))</f>
        <v/>
      </c>
      <c r="W1127" s="237" t="str">
        <f t="shared" si="51"/>
        <v/>
      </c>
      <c r="X1127" s="90" t="str">
        <f t="shared" si="52"/>
        <v/>
      </c>
      <c r="Y1127" s="90" t="str">
        <f>IF(Table26[[#This Row],[customerSKU]]="","",_xlfn.XLOOKUP(Table26[[#This Row],[customerSKU]],Table27[customer_SKU],Table27[product_GTIN],"",0,1))</f>
        <v/>
      </c>
      <c r="Z1127" s="25" t="s">
        <v>3448</v>
      </c>
      <c r="AA1127" s="18" t="str" cm="1">
        <f t="array" ref="AA1127">IF(P1127="", "", _xlfn.XLOOKUP(P1127,#REF!,#REF!,NA,0,-1))</f>
        <v/>
      </c>
      <c r="AB1127" s="90"/>
      <c r="AC1127" s="55" t="s">
        <v>4175</v>
      </c>
      <c r="AD1127" s="55" t="str">
        <f>IF($AC1127="","",_xlfn.XLOOKUP($AC1127,'[2]Client Info'!$C$2:$C$2535,'[2]Client Info'!$D$2:$D$2535,"",0,1))</f>
        <v>9750 Chemainus Road</v>
      </c>
      <c r="AE1127" s="55" t="str">
        <f>IF($AC1127="","",_xlfn.XLOOKUP($AC1127,'[2]Client Info'!$C$2:$C$2715,'[2]Client Info'!$E$2:$E$2715,"",))</f>
        <v>Chemainus</v>
      </c>
      <c r="AF1127" s="55" t="str">
        <f>IF($AC1127="","",_xlfn.XLOOKUP($AC1127,'[2]Client Info'!$C$2:$C$2715,'[2]Client Info'!$F$2:$F$2715,"",0,1))</f>
        <v xml:space="preserve">BC </v>
      </c>
      <c r="AG1127" s="55" t="s">
        <v>4175</v>
      </c>
      <c r="AH1127" s="245" t="str">
        <f>_xlfn.XLOOKUP(Table26[[#This Row],[customerSKU]],customerSKU!G:G,customerSKU!K:K,"NA",0,1)</f>
        <v>NA</v>
      </c>
      <c r="AI1127" s="43" t="str">
        <f>_xlfn.XLOOKUP(Table26[[#This Row],[customerSKU]],customerSKU!G:G,customerSKU!O:O,"not found",0,1)</f>
        <v>not found</v>
      </c>
      <c r="AJ1127" s="22" t="e">
        <f>Table26[[#This Row],[unitprice]]*Table26[[#This Row],[quantity_unit]]</f>
        <v>#VALUE!</v>
      </c>
      <c r="AK1127" s="22" t="e" cm="1">
        <f t="array" ref="AK11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8" spans="1:37" ht="18" customHeight="1">
      <c r="A1128" s="42">
        <v>1108</v>
      </c>
      <c r="B1128" s="42" t="s">
        <v>3357</v>
      </c>
      <c r="C1128" s="22" t="s">
        <v>203</v>
      </c>
      <c r="D1128" s="20">
        <v>45716</v>
      </c>
      <c r="E1128" s="20"/>
      <c r="F1128" s="25"/>
      <c r="G1128" s="93"/>
      <c r="J1128" s="90" t="str">
        <f>IF(Table26[[#This Row],[customerSKU]]="","",_xlfn.XLOOKUP(Table26[[#This Row],[customerSKU]],customerSKU!G:G,customerSKU!A:A,"",0,1))</f>
        <v/>
      </c>
      <c r="K1128" s="232">
        <v>45713</v>
      </c>
      <c r="L1128" s="49" t="str">
        <f>IF(Table26[[#This Row],[customerSKU]]="","",_xlfn.XLOOKUP(Table26[[#This Row],[customerSKU]],customerSKU!G:G,customerSKU!B:B,"",0,1))</f>
        <v/>
      </c>
      <c r="M1128" s="22"/>
      <c r="N1128" s="15" t="str">
        <f>Table26[[#This Row],[po_number]]&amp;"-"&amp;Table26[[#This Row],[po_line]]</f>
        <v>-1</v>
      </c>
      <c r="O1128" s="15">
        <v>1</v>
      </c>
      <c r="P1128" s="50"/>
      <c r="Q1128" s="22" t="s">
        <v>3368</v>
      </c>
      <c r="R1128" s="22" t="s">
        <v>3369</v>
      </c>
      <c r="S1128" s="90" t="str">
        <f>IF(Table26[[#This Row],[customerSKU]]="","",_xlfn.XLOOKUP(Table26[[#This Row],[customerSKU]],customerSKU!G:G,customerSKU!N:N,"NOT FOUND",0,1))</f>
        <v>NOT FOUND</v>
      </c>
      <c r="T1128" s="20">
        <v>45590</v>
      </c>
      <c r="U1128" s="94">
        <v>12</v>
      </c>
      <c r="V1128" s="22" t="str">
        <f>IF(ISBLANK(Table26[[#This Row],[customerSKU]]),"",_xlfn.XLOOKUP(Table26[[#This Row],[customerSKU]],Table27[customer_SKU],Table27[case_size],"",0,1))</f>
        <v/>
      </c>
      <c r="W1128" s="117" t="str">
        <f t="shared" si="51"/>
        <v/>
      </c>
      <c r="X1128" s="22" t="str">
        <f t="shared" si="52"/>
        <v/>
      </c>
      <c r="Y1128" s="25" t="str">
        <f>IF(Table26[[#This Row],[customerSKU]]="","",_xlfn.XLOOKUP(Table26[[#This Row],[customerSKU]],Table27[customer_SKU],Table27[product_GTIN],"",0,1))</f>
        <v/>
      </c>
      <c r="Z1128" s="25">
        <v>991969</v>
      </c>
      <c r="AA1128" s="18" t="str" cm="1">
        <f t="array" ref="AA1128">IF(P1128="", "", _xlfn.XLOOKUP(P1128,#REF!,#REF!,NA,0,-1))</f>
        <v/>
      </c>
      <c r="AB1128" s="22"/>
      <c r="AC1128" s="55" t="str">
        <f>IF(Table26[[#This Row],[customerSKU]]="","",_xlfn.XLOOKUP(Table26[[#This Row],[customerSKU]],customerSKU!G:G,customerSKU!C:C,"",0,1))</f>
        <v/>
      </c>
      <c r="AD1128" s="55" t="str">
        <f>IF($AC1128="","",_xlfn.XLOOKUP($AC1128,'[2]Client Info'!$C$2:$C$2535,'[2]Client Info'!$D$2:$D$2535,"",0,1))</f>
        <v/>
      </c>
      <c r="AE1128" s="55" t="str">
        <f>IF($AC1128="","",_xlfn.XLOOKUP($AC1128,'[2]Client Info'!$C$2:$C$2715,'[2]Client Info'!$E$2:$E$2715,"",))</f>
        <v/>
      </c>
      <c r="AF1128" s="55" t="str">
        <f>IF($AC1128="","",_xlfn.XLOOKUP($AC1128,'[2]Client Info'!$C$2:$C$2715,'[2]Client Info'!$F$2:$F$2715,"",0,1))</f>
        <v/>
      </c>
      <c r="AG1128" s="55" t="str">
        <f>IF(ISBLANK(Table26[[#This Row],[customerSKU]]),"",_xlfn.XLOOKUP(Table26[[#This Row],[customerSKU]],Table27[customer_SKU],Table27[billto],"",0,1))</f>
        <v/>
      </c>
      <c r="AH1128" s="26" t="str">
        <f>_xlfn.XLOOKUP(Table26[[#This Row],[customerSKU]],customerSKU!G:G,customerSKU!K:K,"NA",0,1)</f>
        <v>NA</v>
      </c>
      <c r="AI1128" s="43" t="str">
        <f>_xlfn.XLOOKUP(Table26[[#This Row],[customerSKU]],customerSKU!G:G,customerSKU!O:O,"not found",0,1)</f>
        <v>not found</v>
      </c>
      <c r="AJ1128" s="22" t="e">
        <f>Table26[[#This Row],[unitprice]]*Table26[[#This Row],[quantity_unit]]</f>
        <v>#VALUE!</v>
      </c>
      <c r="AK1128" s="22" t="e" cm="1">
        <f t="array" ref="AK11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29" spans="1:37" ht="18" customHeight="1">
      <c r="A1129" s="42">
        <v>1109</v>
      </c>
      <c r="B1129" s="42" t="s">
        <v>3357</v>
      </c>
      <c r="C1129" s="22" t="s">
        <v>203</v>
      </c>
      <c r="D1129" s="20">
        <v>45716</v>
      </c>
      <c r="E1129" s="20"/>
      <c r="F1129" s="25"/>
      <c r="G1129" s="93"/>
      <c r="J1129" s="90" t="str">
        <f>IF(Table26[[#This Row],[customerSKU]]="","",_xlfn.XLOOKUP(Table26[[#This Row],[customerSKU]],customerSKU!G:G,customerSKU!A:A,"",0,1))</f>
        <v/>
      </c>
      <c r="K1129" s="232">
        <v>45713</v>
      </c>
      <c r="L1129" s="49" t="str">
        <f>IF(Table26[[#This Row],[customerSKU]]="","",_xlfn.XLOOKUP(Table26[[#This Row],[customerSKU]],customerSKU!G:G,customerSKU!B:B,"",0,1))</f>
        <v/>
      </c>
      <c r="M1129" s="22"/>
      <c r="N1129" s="15" t="str">
        <f>Table26[[#This Row],[po_number]]&amp;"-"&amp;Table26[[#This Row],[po_line]]</f>
        <v>-2</v>
      </c>
      <c r="O1129" s="15">
        <v>2</v>
      </c>
      <c r="P1129" s="50"/>
      <c r="Q1129" s="22" t="s">
        <v>862</v>
      </c>
      <c r="R1129" s="22" t="s">
        <v>3369</v>
      </c>
      <c r="S1129" s="90" t="str">
        <f>IF(Table26[[#This Row],[customerSKU]]="","",_xlfn.XLOOKUP(Table26[[#This Row],[customerSKU]],customerSKU!G:G,customerSKU!N:N,"NOT FOUND",0,1))</f>
        <v>NOT FOUND</v>
      </c>
      <c r="T1129" s="20">
        <v>45488</v>
      </c>
      <c r="U1129" s="94">
        <v>18</v>
      </c>
      <c r="V1129" s="22" t="str">
        <f>IF(ISBLANK(Table26[[#This Row],[customerSKU]]),"",_xlfn.XLOOKUP(Table26[[#This Row],[customerSKU]],Table27[customer_SKU],Table27[case_size],"",0,1))</f>
        <v/>
      </c>
      <c r="W1129" s="117" t="str">
        <f t="shared" si="51"/>
        <v/>
      </c>
      <c r="X1129" s="22" t="str">
        <f t="shared" si="52"/>
        <v/>
      </c>
      <c r="Y1129" s="25" t="str">
        <f>IF(Table26[[#This Row],[customerSKU]]="","",_xlfn.XLOOKUP(Table26[[#This Row],[customerSKU]],Table27[customer_SKU],Table27[product_GTIN],"",0,1))</f>
        <v/>
      </c>
      <c r="Z1129" s="25">
        <v>990835</v>
      </c>
      <c r="AA1129" s="18" t="str" cm="1">
        <f t="array" ref="AA1129">IF(P1129="", "", _xlfn.XLOOKUP(P1129,#REF!,#REF!,NA,0,-1))</f>
        <v/>
      </c>
      <c r="AB1129" s="22"/>
      <c r="AC1129" s="55" t="str">
        <f>IF(Table26[[#This Row],[customerSKU]]="","",_xlfn.XLOOKUP(Table26[[#This Row],[customerSKU]],customerSKU!G:G,customerSKU!C:C,"",0,1))</f>
        <v/>
      </c>
      <c r="AD1129" s="55" t="str">
        <f>IF($AC1129="","",_xlfn.XLOOKUP($AC1129,'[2]Client Info'!$C$2:$C$2535,'[2]Client Info'!$D$2:$D$2535,"",0,1))</f>
        <v/>
      </c>
      <c r="AE1129" s="55" t="str">
        <f>IF($AC1129="","",_xlfn.XLOOKUP($AC1129,'[2]Client Info'!$C$2:$C$2715,'[2]Client Info'!$E$2:$E$2715,"",))</f>
        <v/>
      </c>
      <c r="AF1129" s="55" t="str">
        <f>IF($AC1129="","",_xlfn.XLOOKUP($AC1129,'[2]Client Info'!$C$2:$C$2715,'[2]Client Info'!$F$2:$F$2715,"",0,1))</f>
        <v/>
      </c>
      <c r="AG1129" s="55" t="str">
        <f>IF(ISBLANK(Table26[[#This Row],[customerSKU]]),"",_xlfn.XLOOKUP(Table26[[#This Row],[customerSKU]],Table27[customer_SKU],Table27[billto],"",0,1))</f>
        <v/>
      </c>
      <c r="AH1129" s="26" t="str">
        <f>_xlfn.XLOOKUP(Table26[[#This Row],[customerSKU]],customerSKU!G:G,customerSKU!K:K,"NA",0,1)</f>
        <v>NA</v>
      </c>
      <c r="AI1129" s="43" t="str">
        <f>_xlfn.XLOOKUP(Table26[[#This Row],[customerSKU]],customerSKU!G:G,customerSKU!O:O,"not found",0,1)</f>
        <v>not found</v>
      </c>
      <c r="AJ1129" s="22" t="e">
        <f>Table26[[#This Row],[unitprice]]*Table26[[#This Row],[quantity_unit]]</f>
        <v>#VALUE!</v>
      </c>
      <c r="AK1129" s="22" t="e" cm="1">
        <f t="array" ref="AK11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0" spans="1:37" ht="18" customHeight="1">
      <c r="A1130" s="42">
        <v>1110</v>
      </c>
      <c r="B1130" s="42" t="s">
        <v>3357</v>
      </c>
      <c r="C1130" s="22" t="s">
        <v>203</v>
      </c>
      <c r="D1130" s="20">
        <v>45716</v>
      </c>
      <c r="E1130" s="20"/>
      <c r="F1130" s="25"/>
      <c r="G1130" s="93"/>
      <c r="J1130" s="90" t="str">
        <f>IF(Table26[[#This Row],[customerSKU]]="","",_xlfn.XLOOKUP(Table26[[#This Row],[customerSKU]],customerSKU!G:G,customerSKU!A:A,"",0,1))</f>
        <v/>
      </c>
      <c r="K1130" s="232">
        <v>45713</v>
      </c>
      <c r="L1130" s="49" t="str">
        <f>IF(Table26[[#This Row],[customerSKU]]="","",_xlfn.XLOOKUP(Table26[[#This Row],[customerSKU]],customerSKU!G:G,customerSKU!B:B,"",0,1))</f>
        <v/>
      </c>
      <c r="M1130" s="22"/>
      <c r="N1130" s="15" t="str">
        <f>Table26[[#This Row],[po_number]]&amp;"-"&amp;Table26[[#This Row],[po_line]]</f>
        <v>-3</v>
      </c>
      <c r="O1130" s="15">
        <v>3</v>
      </c>
      <c r="P1130" s="50"/>
      <c r="Q1130" s="22" t="s">
        <v>1377</v>
      </c>
      <c r="R1130" s="22" t="s">
        <v>569</v>
      </c>
      <c r="S1130" s="90" t="str">
        <f>IF(Table26[[#This Row],[customerSKU]]="","",_xlfn.XLOOKUP(Table26[[#This Row],[customerSKU]],customerSKU!G:G,customerSKU!N:N,"NOT FOUND",0,1))</f>
        <v>NOT FOUND</v>
      </c>
      <c r="T1130" s="20">
        <v>45569</v>
      </c>
      <c r="U1130" s="94">
        <v>24</v>
      </c>
      <c r="V1130" s="22" t="str">
        <f>IF(ISBLANK(Table26[[#This Row],[customerSKU]]),"",_xlfn.XLOOKUP(Table26[[#This Row],[customerSKU]],Table27[customer_SKU],Table27[case_size],"",0,1))</f>
        <v/>
      </c>
      <c r="W1130" s="117" t="str">
        <f t="shared" si="51"/>
        <v/>
      </c>
      <c r="X1130" s="22" t="str">
        <f t="shared" si="52"/>
        <v/>
      </c>
      <c r="Y1130" s="25" t="str">
        <f>IF(Table26[[#This Row],[customerSKU]]="","",_xlfn.XLOOKUP(Table26[[#This Row],[customerSKU]],Table27[customer_SKU],Table27[product_GTIN],"",0,1))</f>
        <v/>
      </c>
      <c r="Z1130" s="25">
        <v>991669</v>
      </c>
      <c r="AA1130" s="18" t="str" cm="1">
        <f t="array" ref="AA1130">IF(P1130="", "", _xlfn.XLOOKUP(P1130,#REF!,#REF!,NA,0,-1))</f>
        <v/>
      </c>
      <c r="AB1130" s="22"/>
      <c r="AC1130" s="55" t="str">
        <f>IF(Table26[[#This Row],[customerSKU]]="","",_xlfn.XLOOKUP(Table26[[#This Row],[customerSKU]],customerSKU!G:G,customerSKU!C:C,"",0,1))</f>
        <v/>
      </c>
      <c r="AD1130" s="55" t="str">
        <f>IF($AC1130="","",_xlfn.XLOOKUP($AC1130,'[2]Client Info'!$C$2:$C$2535,'[2]Client Info'!$D$2:$D$2535,"",0,1))</f>
        <v/>
      </c>
      <c r="AE1130" s="55" t="str">
        <f>IF($AC1130="","",_xlfn.XLOOKUP($AC1130,'[2]Client Info'!$C$2:$C$2715,'[2]Client Info'!$E$2:$E$2715,"",))</f>
        <v/>
      </c>
      <c r="AF1130" s="55" t="str">
        <f>IF($AC1130="","",_xlfn.XLOOKUP($AC1130,'[2]Client Info'!$C$2:$C$2715,'[2]Client Info'!$F$2:$F$2715,"",0,1))</f>
        <v/>
      </c>
      <c r="AG1130" s="55" t="str">
        <f>IF(ISBLANK(Table26[[#This Row],[customerSKU]]),"",_xlfn.XLOOKUP(Table26[[#This Row],[customerSKU]],Table27[customer_SKU],Table27[billto],"",0,1))</f>
        <v/>
      </c>
      <c r="AH1130" s="26" t="str">
        <f>_xlfn.XLOOKUP(Table26[[#This Row],[customerSKU]],customerSKU!G:G,customerSKU!K:K,"NA",0,1)</f>
        <v>NA</v>
      </c>
      <c r="AI1130" s="43" t="str">
        <f>_xlfn.XLOOKUP(Table26[[#This Row],[customerSKU]],customerSKU!G:G,customerSKU!O:O,"not found",0,1)</f>
        <v>not found</v>
      </c>
      <c r="AJ1130" s="22" t="e">
        <f>Table26[[#This Row],[unitprice]]*Table26[[#This Row],[quantity_unit]]</f>
        <v>#VALUE!</v>
      </c>
      <c r="AK1130" s="22" t="e" cm="1">
        <f t="array" ref="AK11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1" spans="1:37" ht="18" customHeight="1">
      <c r="A1131" s="42">
        <v>1111</v>
      </c>
      <c r="B1131" s="42" t="s">
        <v>3357</v>
      </c>
      <c r="C1131" s="22" t="s">
        <v>203</v>
      </c>
      <c r="D1131" s="20">
        <v>45716</v>
      </c>
      <c r="E1131" s="20"/>
      <c r="F1131" s="25"/>
      <c r="G1131" s="93"/>
      <c r="J1131" s="90" t="str">
        <f>IF(Table26[[#This Row],[customerSKU]]="","",_xlfn.XLOOKUP(Table26[[#This Row],[customerSKU]],customerSKU!G:G,customerSKU!A:A,"",0,1))</f>
        <v/>
      </c>
      <c r="K1131" s="232">
        <v>45713</v>
      </c>
      <c r="L1131" s="49" t="str">
        <f>IF(Table26[[#This Row],[customerSKU]]="","",_xlfn.XLOOKUP(Table26[[#This Row],[customerSKU]],customerSKU!G:G,customerSKU!B:B,"",0,1))</f>
        <v/>
      </c>
      <c r="M1131" s="22"/>
      <c r="N1131" s="15" t="str">
        <f>Table26[[#This Row],[po_number]]&amp;"-"&amp;Table26[[#This Row],[po_line]]</f>
        <v>-4</v>
      </c>
      <c r="O1131" s="15">
        <v>4</v>
      </c>
      <c r="P1131" s="50"/>
      <c r="Q1131" s="22" t="s">
        <v>1382</v>
      </c>
      <c r="R1131" s="22" t="s">
        <v>569</v>
      </c>
      <c r="S1131" s="90" t="str">
        <f>IF(Table26[[#This Row],[customerSKU]]="","",_xlfn.XLOOKUP(Table26[[#This Row],[customerSKU]],customerSKU!G:G,customerSKU!N:N,"NOT FOUND",0,1))</f>
        <v>NOT FOUND</v>
      </c>
      <c r="T1131" s="20">
        <v>45679</v>
      </c>
      <c r="U1131" s="94">
        <v>36</v>
      </c>
      <c r="V1131" s="22" t="str">
        <f>IF(ISBLANK(Table26[[#This Row],[customerSKU]]),"",_xlfn.XLOOKUP(Table26[[#This Row],[customerSKU]],Table27[customer_SKU],Table27[case_size],"",0,1))</f>
        <v/>
      </c>
      <c r="W1131" s="117" t="str">
        <f t="shared" si="51"/>
        <v/>
      </c>
      <c r="X1131" s="22" t="str">
        <f t="shared" si="52"/>
        <v/>
      </c>
      <c r="Y1131" s="25" t="str">
        <f>IF(Table26[[#This Row],[customerSKU]]="","",_xlfn.XLOOKUP(Table26[[#This Row],[customerSKU]],Table27[customer_SKU],Table27[product_GTIN],"",0,1))</f>
        <v/>
      </c>
      <c r="Z1131" s="25" t="s">
        <v>3888</v>
      </c>
      <c r="AA1131" s="18" t="str" cm="1">
        <f t="array" ref="AA1131">IF(P1131="", "", _xlfn.XLOOKUP(P1131,#REF!,#REF!,NA,0,-1))</f>
        <v/>
      </c>
      <c r="AB1131" s="22"/>
      <c r="AC1131" s="55" t="str">
        <f>IF(Table26[[#This Row],[customerSKU]]="","",_xlfn.XLOOKUP(Table26[[#This Row],[customerSKU]],customerSKU!G:G,customerSKU!C:C,"",0,1))</f>
        <v/>
      </c>
      <c r="AD1131" s="55" t="str">
        <f>IF($AC1131="","",_xlfn.XLOOKUP($AC1131,'[2]Client Info'!$C$2:$C$2535,'[2]Client Info'!$D$2:$D$2535,"",0,1))</f>
        <v/>
      </c>
      <c r="AE1131" s="55" t="str">
        <f>IF($AC1131="","",_xlfn.XLOOKUP($AC1131,'[2]Client Info'!$C$2:$C$2715,'[2]Client Info'!$E$2:$E$2715,"",))</f>
        <v/>
      </c>
      <c r="AF1131" s="55" t="str">
        <f>IF($AC1131="","",_xlfn.XLOOKUP($AC1131,'[2]Client Info'!$C$2:$C$2715,'[2]Client Info'!$F$2:$F$2715,"",0,1))</f>
        <v/>
      </c>
      <c r="AG1131" s="55" t="str">
        <f>IF(ISBLANK(Table26[[#This Row],[customerSKU]]),"",_xlfn.XLOOKUP(Table26[[#This Row],[customerSKU]],Table27[customer_SKU],Table27[billto],"",0,1))</f>
        <v/>
      </c>
      <c r="AH1131" s="26" t="str">
        <f>_xlfn.XLOOKUP(Table26[[#This Row],[customerSKU]],customerSKU!G:G,customerSKU!K:K,"NA",0,1)</f>
        <v>NA</v>
      </c>
      <c r="AI1131" s="43" t="str">
        <f>_xlfn.XLOOKUP(Table26[[#This Row],[customerSKU]],customerSKU!G:G,customerSKU!O:O,"not found",0,1)</f>
        <v>not found</v>
      </c>
      <c r="AJ1131" s="22" t="e">
        <f>Table26[[#This Row],[unitprice]]*Table26[[#This Row],[quantity_unit]]</f>
        <v>#VALUE!</v>
      </c>
      <c r="AK1131" s="22" t="e" cm="1">
        <f t="array" ref="AK11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2" spans="1:37" ht="18" customHeight="1">
      <c r="A1132" s="42">
        <v>1112</v>
      </c>
      <c r="B1132" s="42" t="s">
        <v>3357</v>
      </c>
      <c r="C1132" s="22" t="s">
        <v>203</v>
      </c>
      <c r="D1132" s="20">
        <v>45716</v>
      </c>
      <c r="E1132" s="20"/>
      <c r="F1132" s="25"/>
      <c r="G1132" s="93"/>
      <c r="J1132" s="90" t="str">
        <f>IF(Table26[[#This Row],[customerSKU]]="","",_xlfn.XLOOKUP(Table26[[#This Row],[customerSKU]],customerSKU!G:G,customerSKU!A:A,"",0,1))</f>
        <v/>
      </c>
      <c r="K1132" s="232">
        <v>45713</v>
      </c>
      <c r="L1132" s="49" t="str">
        <f>IF(Table26[[#This Row],[customerSKU]]="","",_xlfn.XLOOKUP(Table26[[#This Row],[customerSKU]],customerSKU!G:G,customerSKU!B:B,"",0,1))</f>
        <v/>
      </c>
      <c r="M1132" s="22"/>
      <c r="N1132" s="15" t="str">
        <f>Table26[[#This Row],[po_number]]&amp;"-"&amp;Table26[[#This Row],[po_line]]</f>
        <v>-5</v>
      </c>
      <c r="O1132" s="15">
        <v>5</v>
      </c>
      <c r="P1132" s="50"/>
      <c r="Q1132" s="22" t="s">
        <v>4096</v>
      </c>
      <c r="R1132" s="22" t="s">
        <v>569</v>
      </c>
      <c r="S1132" s="90" t="str">
        <f>IF(Table26[[#This Row],[customerSKU]]="","",_xlfn.XLOOKUP(Table26[[#This Row],[customerSKU]],customerSKU!G:G,customerSKU!N:N,"NOT FOUND",0,1))</f>
        <v>NOT FOUND</v>
      </c>
      <c r="T1132" s="20">
        <v>45707</v>
      </c>
      <c r="U1132" s="94">
        <f>60-36</f>
        <v>24</v>
      </c>
      <c r="V1132" s="22" t="str">
        <f>IF(ISBLANK(Table26[[#This Row],[customerSKU]]),"",_xlfn.XLOOKUP(Table26[[#This Row],[customerSKU]],Table27[customer_SKU],Table27[case_size],"",0,1))</f>
        <v/>
      </c>
      <c r="W1132" s="117" t="str">
        <f t="shared" si="51"/>
        <v/>
      </c>
      <c r="X1132" s="22" t="str">
        <f t="shared" si="52"/>
        <v/>
      </c>
      <c r="Y1132" s="25" t="str">
        <f>IF(Table26[[#This Row],[customerSKU]]="","",_xlfn.XLOOKUP(Table26[[#This Row],[customerSKU]],Table27[customer_SKU],Table27[product_GTIN],"",0,1))</f>
        <v/>
      </c>
      <c r="Z1132" s="25" t="s">
        <v>3888</v>
      </c>
      <c r="AA1132" s="18" t="str" cm="1">
        <f t="array" ref="AA1132">IF(P1132="", "", _xlfn.XLOOKUP(P1132,#REF!,#REF!,NA,0,-1))</f>
        <v/>
      </c>
      <c r="AB1132" s="22"/>
      <c r="AC1132" s="55" t="str">
        <f>IF(Table26[[#This Row],[customerSKU]]="","",_xlfn.XLOOKUP(Table26[[#This Row],[customerSKU]],customerSKU!G:G,customerSKU!C:C,"",0,1))</f>
        <v/>
      </c>
      <c r="AD1132" s="55" t="str">
        <f>IF($AC1132="","",_xlfn.XLOOKUP($AC1132,'[2]Client Info'!$C$2:$C$2535,'[2]Client Info'!$D$2:$D$2535,"",0,1))</f>
        <v/>
      </c>
      <c r="AE1132" s="55" t="str">
        <f>IF($AC1132="","",_xlfn.XLOOKUP($AC1132,'[2]Client Info'!$C$2:$C$2715,'[2]Client Info'!$E$2:$E$2715,"",))</f>
        <v/>
      </c>
      <c r="AF1132" s="55" t="str">
        <f>IF($AC1132="","",_xlfn.XLOOKUP($AC1132,'[2]Client Info'!$C$2:$C$2715,'[2]Client Info'!$F$2:$F$2715,"",0,1))</f>
        <v/>
      </c>
      <c r="AG1132" s="55" t="str">
        <f>IF(ISBLANK(Table26[[#This Row],[customerSKU]]),"",_xlfn.XLOOKUP(Table26[[#This Row],[customerSKU]],Table27[customer_SKU],Table27[billto],"",0,1))</f>
        <v/>
      </c>
      <c r="AH1132" s="26" t="str">
        <f>_xlfn.XLOOKUP(Table26[[#This Row],[customerSKU]],customerSKU!G:G,customerSKU!K:K,"NA",0,1)</f>
        <v>NA</v>
      </c>
      <c r="AI1132" s="43" t="str">
        <f>_xlfn.XLOOKUP(Table26[[#This Row],[customerSKU]],customerSKU!G:G,customerSKU!O:O,"not found",0,1)</f>
        <v>not found</v>
      </c>
      <c r="AJ1132" s="22" t="e">
        <f>Table26[[#This Row],[unitprice]]*Table26[[#This Row],[quantity_unit]]</f>
        <v>#VALUE!</v>
      </c>
      <c r="AK1132" s="22" t="e" cm="1">
        <f t="array" ref="AK11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3" spans="1:37" ht="18" customHeight="1">
      <c r="A1133" s="42">
        <v>1113</v>
      </c>
      <c r="B1133" s="42" t="s">
        <v>3357</v>
      </c>
      <c r="C1133" s="22" t="s">
        <v>3360</v>
      </c>
      <c r="D1133" s="20">
        <v>45715</v>
      </c>
      <c r="E1133" s="20"/>
      <c r="F1133" s="25"/>
      <c r="G1133" s="93"/>
      <c r="J1133" s="90" t="str">
        <f>IF(Table26[[#This Row],[customerSKU]]="","",_xlfn.XLOOKUP(Table26[[#This Row],[customerSKU]],customerSKU!G:G,customerSKU!A:A,"",0,1))</f>
        <v/>
      </c>
      <c r="K1133" s="232">
        <v>45713</v>
      </c>
      <c r="L1133" s="49" t="str">
        <f>IF(Table26[[#This Row],[customerSKU]]="","",_xlfn.XLOOKUP(Table26[[#This Row],[customerSKU]],customerSKU!G:G,customerSKU!B:B,"",0,1))</f>
        <v/>
      </c>
      <c r="M1133" s="22"/>
      <c r="N1133" s="15" t="str">
        <f>Table26[[#This Row],[po_number]]&amp;"-"&amp;Table26[[#This Row],[po_line]]</f>
        <v>-1</v>
      </c>
      <c r="O1133" s="15">
        <v>1</v>
      </c>
      <c r="P1133" s="50"/>
      <c r="Q1133" s="22" t="s">
        <v>1313</v>
      </c>
      <c r="R1133" s="22" t="s">
        <v>569</v>
      </c>
      <c r="S1133" s="90" t="s">
        <v>170</v>
      </c>
      <c r="T1133" s="20">
        <v>45575</v>
      </c>
      <c r="U1133" s="94">
        <v>24</v>
      </c>
      <c r="V1133" s="22" t="str">
        <f>IF(ISBLANK(Table26[[#This Row],[customerSKU]]),"",_xlfn.XLOOKUP(Table26[[#This Row],[customerSKU]],Table27[customer_SKU],Table27[case_size],"",0,1))</f>
        <v/>
      </c>
      <c r="W1133" s="117" t="str">
        <f t="shared" si="51"/>
        <v/>
      </c>
      <c r="X1133" s="22" t="str">
        <f t="shared" si="52"/>
        <v/>
      </c>
      <c r="Y1133" s="25" t="str">
        <f>IF(Table26[[#This Row],[customerSKU]]="","",_xlfn.XLOOKUP(Table26[[#This Row],[customerSKU]],Table27[customer_SKU],Table27[product_GTIN],"",0,1))</f>
        <v/>
      </c>
      <c r="Z1133" s="25" t="s">
        <v>3421</v>
      </c>
      <c r="AA1133" s="18" t="str" cm="1">
        <f t="array" ref="AA1133">IF(P1133="", "", _xlfn.XLOOKUP(P1133,#REF!,#REF!,NA,0,-1))</f>
        <v/>
      </c>
      <c r="AB1133" s="22"/>
      <c r="AC1133" s="55" t="str">
        <f>IF(Table26[[#This Row],[customerSKU]]="","",_xlfn.XLOOKUP(Table26[[#This Row],[customerSKU]],customerSKU!G:G,customerSKU!C:C,"",0,1))</f>
        <v/>
      </c>
      <c r="AD1133" s="55" t="str">
        <f>IF($AC1133="","",_xlfn.XLOOKUP($AC1133,'[2]Client Info'!$C$2:$C$2535,'[2]Client Info'!$D$2:$D$2535,"",0,1))</f>
        <v/>
      </c>
      <c r="AE1133" s="55" t="str">
        <f>IF($AC1133="","",_xlfn.XLOOKUP($AC1133,'[2]Client Info'!$C$2:$C$2715,'[2]Client Info'!$E$2:$E$2715,"",))</f>
        <v/>
      </c>
      <c r="AF1133" s="55" t="str">
        <f>IF($AC1133="","",_xlfn.XLOOKUP($AC1133,'[2]Client Info'!$C$2:$C$2715,'[2]Client Info'!$F$2:$F$2715,"",0,1))</f>
        <v/>
      </c>
      <c r="AG1133" s="55" t="str">
        <f>IF(ISBLANK(Table26[[#This Row],[customerSKU]]),"",_xlfn.XLOOKUP(Table26[[#This Row],[customerSKU]],Table27[customer_SKU],Table27[billto],"",0,1))</f>
        <v/>
      </c>
      <c r="AH1133" s="26" t="str">
        <f>_xlfn.XLOOKUP(Table26[[#This Row],[customerSKU]],customerSKU!G:G,customerSKU!K:K,"NA",0,1)</f>
        <v>NA</v>
      </c>
      <c r="AI1133" s="43" t="str">
        <f>_xlfn.XLOOKUP(Table26[[#This Row],[customerSKU]],customerSKU!G:G,customerSKU!O:O,"not found",0,1)</f>
        <v>not found</v>
      </c>
      <c r="AJ1133" s="22" t="e">
        <f>Table26[[#This Row],[unitprice]]*Table26[[#This Row],[quantity_unit]]</f>
        <v>#VALUE!</v>
      </c>
      <c r="AK1133" s="22" t="e" cm="1">
        <f t="array" ref="AK11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4" spans="1:37" ht="24.6" customHeight="1">
      <c r="A1134" s="42">
        <v>1114</v>
      </c>
      <c r="B1134" s="42" t="s">
        <v>3357</v>
      </c>
      <c r="C1134" s="22" t="s">
        <v>3360</v>
      </c>
      <c r="D1134" s="20">
        <v>45715</v>
      </c>
      <c r="E1134" s="20"/>
      <c r="F1134" s="25"/>
      <c r="G1134" s="93"/>
      <c r="J1134" s="90" t="str">
        <f>IF(Table26[[#This Row],[customerSKU]]="","",_xlfn.XLOOKUP(Table26[[#This Row],[customerSKU]],customerSKU!G:G,customerSKU!A:A,"",0,1))</f>
        <v/>
      </c>
      <c r="K1134" s="232">
        <v>45713</v>
      </c>
      <c r="L1134" s="49" t="str">
        <f>IF(Table26[[#This Row],[customerSKU]]="","",_xlfn.XLOOKUP(Table26[[#This Row],[customerSKU]],customerSKU!G:G,customerSKU!B:B,"",0,1))</f>
        <v/>
      </c>
      <c r="M1134" s="22"/>
      <c r="N1134" s="15" t="str">
        <f>Table26[[#This Row],[po_number]]&amp;"-"&amp;Table26[[#This Row],[po_line]]</f>
        <v>-2</v>
      </c>
      <c r="O1134" s="15">
        <v>2</v>
      </c>
      <c r="P1134" s="50"/>
      <c r="Q1134" s="22" t="s">
        <v>589</v>
      </c>
      <c r="R1134" s="22" t="s">
        <v>569</v>
      </c>
      <c r="S1134" s="90" t="s">
        <v>170</v>
      </c>
      <c r="T1134" s="20">
        <v>45615</v>
      </c>
      <c r="U1134" s="94">
        <v>48</v>
      </c>
      <c r="V1134" s="22" t="str">
        <f>IF(ISBLANK(Table26[[#This Row],[customerSKU]]),"",_xlfn.XLOOKUP(Table26[[#This Row],[customerSKU]],Table27[customer_SKU],Table27[case_size],"",0,1))</f>
        <v/>
      </c>
      <c r="W1134" s="117" t="str">
        <f t="shared" si="51"/>
        <v/>
      </c>
      <c r="X1134" s="22" t="str">
        <f t="shared" si="52"/>
        <v/>
      </c>
      <c r="Y1134" s="25" t="str">
        <f>IF(Table26[[#This Row],[customerSKU]]="","",_xlfn.XLOOKUP(Table26[[#This Row],[customerSKU]],Table27[customer_SKU],Table27[product_GTIN],"",0,1))</f>
        <v/>
      </c>
      <c r="Z1134" s="25" t="s">
        <v>3421</v>
      </c>
      <c r="AA1134" s="18" t="str" cm="1">
        <f t="array" ref="AA1134">IF(P1134="", "", _xlfn.XLOOKUP(P1134,#REF!,#REF!,NA,0,-1))</f>
        <v/>
      </c>
      <c r="AB1134" s="22"/>
      <c r="AC1134" s="55" t="str">
        <f>IF(Table26[[#This Row],[customerSKU]]="","",_xlfn.XLOOKUP(Table26[[#This Row],[customerSKU]],customerSKU!G:G,customerSKU!C:C,"",0,1))</f>
        <v/>
      </c>
      <c r="AD1134" s="55" t="str">
        <f>IF($AC1134="","",_xlfn.XLOOKUP($AC1134,'[2]Client Info'!$C$2:$C$2535,'[2]Client Info'!$D$2:$D$2535,"",0,1))</f>
        <v/>
      </c>
      <c r="AE1134" s="55" t="str">
        <f>IF($AC1134="","",_xlfn.XLOOKUP($AC1134,'[2]Client Info'!$C$2:$C$2715,'[2]Client Info'!$E$2:$E$2715,"",))</f>
        <v/>
      </c>
      <c r="AF1134" s="55" t="str">
        <f>IF($AC1134="","",_xlfn.XLOOKUP($AC1134,'[2]Client Info'!$C$2:$C$2715,'[2]Client Info'!$F$2:$F$2715,"",0,1))</f>
        <v/>
      </c>
      <c r="AG1134" s="55" t="str">
        <f>IF(ISBLANK(Table26[[#This Row],[customerSKU]]),"",_xlfn.XLOOKUP(Table26[[#This Row],[customerSKU]],Table27[customer_SKU],Table27[billto],"",0,1))</f>
        <v/>
      </c>
      <c r="AH1134" s="26" t="str">
        <f>_xlfn.XLOOKUP(Table26[[#This Row],[customerSKU]],customerSKU!G:G,customerSKU!K:K,"NA",0,1)</f>
        <v>NA</v>
      </c>
      <c r="AI1134" s="43" t="str">
        <f>_xlfn.XLOOKUP(Table26[[#This Row],[customerSKU]],customerSKU!G:G,customerSKU!O:O,"not found",0,1)</f>
        <v>not found</v>
      </c>
      <c r="AJ1134" s="22" t="e">
        <f>Table26[[#This Row],[unitprice]]*Table26[[#This Row],[quantity_unit]]</f>
        <v>#VALUE!</v>
      </c>
      <c r="AK1134" s="22" t="e" cm="1">
        <f t="array" ref="AK11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5" spans="1:37" ht="24.6" customHeight="1">
      <c r="A1135" s="42">
        <v>1115</v>
      </c>
      <c r="B1135" s="42" t="s">
        <v>3357</v>
      </c>
      <c r="C1135" s="22" t="s">
        <v>3360</v>
      </c>
      <c r="D1135" s="20">
        <v>45715</v>
      </c>
      <c r="E1135" s="20"/>
      <c r="F1135" s="25"/>
      <c r="G1135" s="93"/>
      <c r="J1135" s="90" t="str">
        <f>IF(Table26[[#This Row],[customerSKU]]="","",_xlfn.XLOOKUP(Table26[[#This Row],[customerSKU]],customerSKU!G:G,customerSKU!A:A,"",0,1))</f>
        <v/>
      </c>
      <c r="K1135" s="232">
        <v>45713</v>
      </c>
      <c r="L1135" s="49" t="str">
        <f>IF(Table26[[#This Row],[customerSKU]]="","",_xlfn.XLOOKUP(Table26[[#This Row],[customerSKU]],customerSKU!G:G,customerSKU!B:B,"",0,1))</f>
        <v/>
      </c>
      <c r="M1135" s="22"/>
      <c r="N1135" s="15" t="str">
        <f>Table26[[#This Row],[po_number]]&amp;"-"&amp;Table26[[#This Row],[po_line]]</f>
        <v>-3</v>
      </c>
      <c r="O1135" s="15">
        <v>3</v>
      </c>
      <c r="P1135" s="50"/>
      <c r="Q1135" s="22" t="s">
        <v>656</v>
      </c>
      <c r="R1135" s="22" t="s">
        <v>569</v>
      </c>
      <c r="S1135" s="90" t="s">
        <v>170</v>
      </c>
      <c r="T1135" s="20">
        <v>45642</v>
      </c>
      <c r="U1135" s="94">
        <v>96</v>
      </c>
      <c r="V1135" s="22" t="str">
        <f>IF(ISBLANK(Table26[[#This Row],[customerSKU]]),"",_xlfn.XLOOKUP(Table26[[#This Row],[customerSKU]],Table27[customer_SKU],Table27[case_size],"",0,1))</f>
        <v/>
      </c>
      <c r="W1135" s="117" t="str">
        <f t="shared" si="51"/>
        <v/>
      </c>
      <c r="X1135" s="22" t="str">
        <f t="shared" si="52"/>
        <v/>
      </c>
      <c r="Y1135" s="25" t="str">
        <f>IF(Table26[[#This Row],[customerSKU]]="","",_xlfn.XLOOKUP(Table26[[#This Row],[customerSKU]],Table27[customer_SKU],Table27[product_GTIN],"",0,1))</f>
        <v/>
      </c>
      <c r="Z1135" s="25" t="s">
        <v>3422</v>
      </c>
      <c r="AA1135" s="18" t="str" cm="1">
        <f t="array" ref="AA1135">IF(P1135="", "", _xlfn.XLOOKUP(P1135,#REF!,#REF!,NA,0,-1))</f>
        <v/>
      </c>
      <c r="AB1135" s="22"/>
      <c r="AC1135" s="55" t="str">
        <f>IF(Table26[[#This Row],[customerSKU]]="","",_xlfn.XLOOKUP(Table26[[#This Row],[customerSKU]],customerSKU!G:G,customerSKU!C:C,"",0,1))</f>
        <v/>
      </c>
      <c r="AD1135" s="55" t="str">
        <f>IF($AC1135="","",_xlfn.XLOOKUP($AC1135,'[2]Client Info'!$C$2:$C$2535,'[2]Client Info'!$D$2:$D$2535,"",0,1))</f>
        <v/>
      </c>
      <c r="AE1135" s="55" t="str">
        <f>IF($AC1135="","",_xlfn.XLOOKUP($AC1135,'[2]Client Info'!$C$2:$C$2715,'[2]Client Info'!$E$2:$E$2715,"",))</f>
        <v/>
      </c>
      <c r="AF1135" s="55" t="str">
        <f>IF($AC1135="","",_xlfn.XLOOKUP($AC1135,'[2]Client Info'!$C$2:$C$2715,'[2]Client Info'!$F$2:$F$2715,"",0,1))</f>
        <v/>
      </c>
      <c r="AG1135" s="55" t="str">
        <f>IF(ISBLANK(Table26[[#This Row],[customerSKU]]),"",_xlfn.XLOOKUP(Table26[[#This Row],[customerSKU]],Table27[customer_SKU],Table27[billto],"",0,1))</f>
        <v/>
      </c>
      <c r="AH1135" s="26" t="str">
        <f>_xlfn.XLOOKUP(Table26[[#This Row],[customerSKU]],customerSKU!G:G,customerSKU!K:K,"NA",0,1)</f>
        <v>NA</v>
      </c>
      <c r="AI1135" s="43" t="str">
        <f>_xlfn.XLOOKUP(Table26[[#This Row],[customerSKU]],customerSKU!G:G,customerSKU!O:O,"not found",0,1)</f>
        <v>not found</v>
      </c>
      <c r="AJ1135" s="22" t="e">
        <f>Table26[[#This Row],[unitprice]]*Table26[[#This Row],[quantity_unit]]</f>
        <v>#VALUE!</v>
      </c>
      <c r="AK1135" s="22" t="e" cm="1">
        <f t="array" ref="AK11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6" spans="1:37" ht="18" customHeight="1">
      <c r="A1136" s="42">
        <v>1116</v>
      </c>
      <c r="B1136" s="42" t="s">
        <v>3357</v>
      </c>
      <c r="C1136" s="53" t="s">
        <v>203</v>
      </c>
      <c r="E1136" s="20"/>
      <c r="F1136" s="25"/>
      <c r="G1136" s="93"/>
      <c r="J1136" s="90" t="str">
        <f>IF(Table26[[#This Row],[customerSKU]]="","",_xlfn.XLOOKUP(Table26[[#This Row],[customerSKU]],customerSKU!G:G,customerSKU!A:A,"",0,1))</f>
        <v/>
      </c>
      <c r="K1136" s="232">
        <v>45713</v>
      </c>
      <c r="L1136" s="49" t="str">
        <f>IF(Table26[[#This Row],[customerSKU]]="","",_xlfn.XLOOKUP(Table26[[#This Row],[customerSKU]],customerSKU!G:G,customerSKU!B:B,"",0,1))</f>
        <v/>
      </c>
      <c r="M1136" s="22"/>
      <c r="N1136" s="15" t="str">
        <f>Table26[[#This Row],[po_number]]&amp;"-"&amp;Table26[[#This Row],[po_line]]</f>
        <v>-1</v>
      </c>
      <c r="O1136" s="15">
        <v>1</v>
      </c>
      <c r="P1136" s="50"/>
      <c r="Q1136" s="22" t="s">
        <v>1660</v>
      </c>
      <c r="R1136" s="22" t="s">
        <v>569</v>
      </c>
      <c r="S1136" s="90" t="str">
        <f>IF(Table26[[#This Row],[customerSKU]]="","",_xlfn.XLOOKUP(Table26[[#This Row],[customerSKU]],customerSKU!G:G,customerSKU!N:N,"NOT FOUND",0,1))</f>
        <v>NOT FOUND</v>
      </c>
      <c r="T1136" s="20">
        <v>45707</v>
      </c>
      <c r="U1136" s="94">
        <v>96</v>
      </c>
      <c r="V1136" s="22" t="str">
        <f>IF(ISBLANK(Table26[[#This Row],[customerSKU]]),"",_xlfn.XLOOKUP(Table26[[#This Row],[customerSKU]],Table27[customer_SKU],Table27[case_size],"",0,1))</f>
        <v/>
      </c>
      <c r="W1136" s="117" t="str">
        <f t="shared" si="51"/>
        <v/>
      </c>
      <c r="X1136" s="22" t="str">
        <f t="shared" si="52"/>
        <v/>
      </c>
      <c r="Y1136" s="25" t="str">
        <f>IF(Table26[[#This Row],[customerSKU]]="","",_xlfn.XLOOKUP(Table26[[#This Row],[customerSKU]],Table27[customer_SKU],Table27[product_GTIN],"",0,1))</f>
        <v/>
      </c>
      <c r="Z1136" s="25">
        <v>7900446</v>
      </c>
      <c r="AA1136" s="18" t="str" cm="1">
        <f t="array" ref="AA1136">IF(P1136="", "", _xlfn.XLOOKUP(P1136,#REF!,#REF!,NA,0,-1))</f>
        <v/>
      </c>
      <c r="AB1136" s="22"/>
      <c r="AC1136" s="55" t="str">
        <f>IF(Table26[[#This Row],[customerSKU]]="","",_xlfn.XLOOKUP(Table26[[#This Row],[customerSKU]],customerSKU!G:G,customerSKU!C:C,"",0,1))</f>
        <v/>
      </c>
      <c r="AD1136" s="55" t="str">
        <f>IF($AC1136="","",_xlfn.XLOOKUP($AC1136,'[2]Client Info'!$C$2:$C$2535,'[2]Client Info'!$D$2:$D$2535,"",0,1))</f>
        <v/>
      </c>
      <c r="AE1136" s="55" t="str">
        <f>IF($AC1136="","",_xlfn.XLOOKUP($AC1136,'[2]Client Info'!$C$2:$C$2715,'[2]Client Info'!$E$2:$E$2715,"",))</f>
        <v/>
      </c>
      <c r="AF1136" s="55" t="str">
        <f>IF($AC1136="","",_xlfn.XLOOKUP($AC1136,'[2]Client Info'!$C$2:$C$2715,'[2]Client Info'!$F$2:$F$2715,"",0,1))</f>
        <v/>
      </c>
      <c r="AG1136" s="55" t="str">
        <f>IF(ISBLANK(Table26[[#This Row],[customerSKU]]),"",_xlfn.XLOOKUP(Table26[[#This Row],[customerSKU]],Table27[customer_SKU],Table27[billto],"",0,1))</f>
        <v/>
      </c>
      <c r="AH1136" s="26" t="str">
        <f>_xlfn.XLOOKUP(Table26[[#This Row],[customerSKU]],customerSKU!G:G,customerSKU!K:K,"NA",0,1)</f>
        <v>NA</v>
      </c>
      <c r="AI1136" s="43" t="str">
        <f>_xlfn.XLOOKUP(Table26[[#This Row],[customerSKU]],customerSKU!G:G,customerSKU!O:O,"not found",0,1)</f>
        <v>not found</v>
      </c>
      <c r="AJ1136" s="22" t="e">
        <f>Table26[[#This Row],[unitprice]]*Table26[[#This Row],[quantity_unit]]</f>
        <v>#VALUE!</v>
      </c>
      <c r="AK1136" s="22" t="e" cm="1">
        <f t="array" ref="AK11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7" spans="1:37" ht="18" customHeight="1">
      <c r="A1137" s="42">
        <v>1117</v>
      </c>
      <c r="B1137" s="42" t="s">
        <v>3357</v>
      </c>
      <c r="C1137" s="53" t="s">
        <v>203</v>
      </c>
      <c r="E1137" s="20"/>
      <c r="F1137" s="25"/>
      <c r="G1137" s="93"/>
      <c r="J1137" s="90" t="str">
        <f>IF(Table26[[#This Row],[customerSKU]]="","",_xlfn.XLOOKUP(Table26[[#This Row],[customerSKU]],customerSKU!G:G,customerSKU!A:A,"",0,1))</f>
        <v/>
      </c>
      <c r="K1137" s="232">
        <v>45713</v>
      </c>
      <c r="L1137" s="49" t="str">
        <f>IF(Table26[[#This Row],[customerSKU]]="","",_xlfn.XLOOKUP(Table26[[#This Row],[customerSKU]],customerSKU!G:G,customerSKU!B:B,"",0,1))</f>
        <v/>
      </c>
      <c r="M1137" s="22"/>
      <c r="N1137" s="15" t="str">
        <f>Table26[[#This Row],[po_number]]&amp;"-"&amp;Table26[[#This Row],[po_line]]</f>
        <v>-2</v>
      </c>
      <c r="O1137" s="15">
        <v>2</v>
      </c>
      <c r="P1137" s="50"/>
      <c r="Q1137" s="22" t="s">
        <v>589</v>
      </c>
      <c r="R1137" s="22" t="s">
        <v>3302</v>
      </c>
      <c r="S1137" s="90" t="str">
        <f>IF(Table26[[#This Row],[customerSKU]]="","",_xlfn.XLOOKUP(Table26[[#This Row],[customerSKU]],customerSKU!G:G,customerSKU!N:N,"NOT FOUND",0,1))</f>
        <v>NOT FOUND</v>
      </c>
      <c r="T1137" s="20">
        <v>45615</v>
      </c>
      <c r="U1137" s="94">
        <v>120</v>
      </c>
      <c r="V1137" s="22" t="str">
        <f>IF(ISBLANK(Table26[[#This Row],[customerSKU]]),"",_xlfn.XLOOKUP(Table26[[#This Row],[customerSKU]],Table27[customer_SKU],Table27[case_size],"",0,1))</f>
        <v/>
      </c>
      <c r="W1137" s="117" t="str">
        <f t="shared" si="51"/>
        <v/>
      </c>
      <c r="X1137" s="22" t="str">
        <f t="shared" si="52"/>
        <v/>
      </c>
      <c r="Y1137" s="25" t="str">
        <f>IF(Table26[[#This Row],[customerSKU]]="","",_xlfn.XLOOKUP(Table26[[#This Row],[customerSKU]],Table27[customer_SKU],Table27[product_GTIN],"",0,1))</f>
        <v/>
      </c>
      <c r="Z1137" s="25" t="s">
        <v>3970</v>
      </c>
      <c r="AA1137" s="18" t="str" cm="1">
        <f t="array" ref="AA1137">IF(P1137="", "", _xlfn.XLOOKUP(P1137,#REF!,#REF!,NA,0,-1))</f>
        <v/>
      </c>
      <c r="AB1137" s="22"/>
      <c r="AC1137" s="55" t="str">
        <f>IF(Table26[[#This Row],[customerSKU]]="","",_xlfn.XLOOKUP(Table26[[#This Row],[customerSKU]],customerSKU!G:G,customerSKU!C:C,"",0,1))</f>
        <v/>
      </c>
      <c r="AD1137" s="55" t="str">
        <f>IF($AC1137="","",_xlfn.XLOOKUP($AC1137,'[2]Client Info'!$C$2:$C$2535,'[2]Client Info'!$D$2:$D$2535,"",0,1))</f>
        <v/>
      </c>
      <c r="AE1137" s="55" t="str">
        <f>IF($AC1137="","",_xlfn.XLOOKUP($AC1137,'[2]Client Info'!$C$2:$C$2715,'[2]Client Info'!$E$2:$E$2715,"",))</f>
        <v/>
      </c>
      <c r="AF1137" s="55" t="str">
        <f>IF($AC1137="","",_xlfn.XLOOKUP($AC1137,'[2]Client Info'!$C$2:$C$2715,'[2]Client Info'!$F$2:$F$2715,"",0,1))</f>
        <v/>
      </c>
      <c r="AG1137" s="55" t="str">
        <f>IF(ISBLANK(Table26[[#This Row],[customerSKU]]),"",_xlfn.XLOOKUP(Table26[[#This Row],[customerSKU]],Table27[customer_SKU],Table27[billto],"",0,1))</f>
        <v/>
      </c>
      <c r="AH1137" s="26" t="str">
        <f>_xlfn.XLOOKUP(Table26[[#This Row],[customerSKU]],customerSKU!G:G,customerSKU!K:K,"NA",0,1)</f>
        <v>NA</v>
      </c>
      <c r="AI1137" s="43" t="str">
        <f>_xlfn.XLOOKUP(Table26[[#This Row],[customerSKU]],customerSKU!G:G,customerSKU!O:O,"not found",0,1)</f>
        <v>not found</v>
      </c>
      <c r="AJ1137" s="22" t="e">
        <f>Table26[[#This Row],[unitprice]]*Table26[[#This Row],[quantity_unit]]</f>
        <v>#VALUE!</v>
      </c>
      <c r="AK1137" s="22" t="e" cm="1">
        <f t="array" ref="AK11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8" spans="1:37" ht="18" customHeight="1">
      <c r="A1138" s="42">
        <v>1118</v>
      </c>
      <c r="B1138" s="42" t="s">
        <v>3357</v>
      </c>
      <c r="C1138" s="53" t="s">
        <v>203</v>
      </c>
      <c r="E1138" s="20"/>
      <c r="F1138" s="25"/>
      <c r="G1138" s="93"/>
      <c r="J1138" s="90" t="str">
        <f>IF(Table26[[#This Row],[customerSKU]]="","",_xlfn.XLOOKUP(Table26[[#This Row],[customerSKU]],customerSKU!G:G,customerSKU!A:A,"",0,1))</f>
        <v/>
      </c>
      <c r="K1138" s="232">
        <v>45713</v>
      </c>
      <c r="L1138" s="49" t="str">
        <f>IF(Table26[[#This Row],[customerSKU]]="","",_xlfn.XLOOKUP(Table26[[#This Row],[customerSKU]],customerSKU!G:G,customerSKU!B:B,"",0,1))</f>
        <v/>
      </c>
      <c r="M1138" s="22"/>
      <c r="N1138" s="15" t="str">
        <f>Table26[[#This Row],[po_number]]&amp;"-"&amp;Table26[[#This Row],[po_line]]</f>
        <v>-1</v>
      </c>
      <c r="O1138" s="15">
        <v>1</v>
      </c>
      <c r="P1138" s="50"/>
      <c r="Q1138" s="22" t="s">
        <v>862</v>
      </c>
      <c r="R1138" s="22" t="s">
        <v>3419</v>
      </c>
      <c r="S1138" s="90" t="str">
        <f>IF(Table26[[#This Row],[customerSKU]]="","",_xlfn.XLOOKUP(Table26[[#This Row],[customerSKU]],customerSKU!G:G,customerSKU!N:N,"NOT FOUND",0,1))</f>
        <v>NOT FOUND</v>
      </c>
      <c r="T1138" s="20">
        <v>45488</v>
      </c>
      <c r="U1138" s="94">
        <v>12</v>
      </c>
      <c r="V1138" s="22" t="str">
        <f>IF(ISBLANK(Table26[[#This Row],[customerSKU]]),"",_xlfn.XLOOKUP(Table26[[#This Row],[customerSKU]],Table27[customer_SKU],Table27[case_size],"",0,1))</f>
        <v/>
      </c>
      <c r="W1138" s="117" t="str">
        <f t="shared" si="51"/>
        <v/>
      </c>
      <c r="X1138" s="22" t="str">
        <f t="shared" si="52"/>
        <v/>
      </c>
      <c r="Y1138" s="25" t="str">
        <f>IF(Table26[[#This Row],[customerSKU]]="","",_xlfn.XLOOKUP(Table26[[#This Row],[customerSKU]],Table27[customer_SKU],Table27[product_GTIN],"",0,1))</f>
        <v/>
      </c>
      <c r="Z1138" s="25" t="s">
        <v>4075</v>
      </c>
      <c r="AA1138" s="18" t="str" cm="1">
        <f t="array" ref="AA1138">IF(P1138="", "", _xlfn.XLOOKUP(P1138,#REF!,#REF!,NA,0,-1))</f>
        <v/>
      </c>
      <c r="AB1138" s="22"/>
      <c r="AC1138" s="55" t="s">
        <v>4142</v>
      </c>
      <c r="AD1138" s="55" t="str">
        <f>IF($AC1138="","",_xlfn.XLOOKUP($AC1138,'[2]Client Info'!$C$2:$C$2535,'[2]Client Info'!$D$2:$D$2535,"",0,1))</f>
        <v>726 Kingsway</v>
      </c>
      <c r="AE1138" s="55" t="str">
        <f>IF($AC1138="","",_xlfn.XLOOKUP($AC1138,'[2]Client Info'!$C$2:$C$2715,'[2]Client Info'!$E$2:$E$2715,"",))</f>
        <v>Vancouver</v>
      </c>
      <c r="AF1138" s="55" t="str">
        <f>IF($AC1138="","",_xlfn.XLOOKUP($AC1138,'[2]Client Info'!$C$2:$C$2715,'[2]Client Info'!$F$2:$F$2715,"",0,1))</f>
        <v xml:space="preserve">BC </v>
      </c>
      <c r="AG1138" s="55" t="s">
        <v>4142</v>
      </c>
      <c r="AH1138" s="26" t="str">
        <f>_xlfn.XLOOKUP(Table26[[#This Row],[customerSKU]],customerSKU!G:G,customerSKU!K:K,"NA",0,1)</f>
        <v>NA</v>
      </c>
      <c r="AI1138" s="43" t="str">
        <f>_xlfn.XLOOKUP(Table26[[#This Row],[customerSKU]],customerSKU!G:G,customerSKU!O:O,"not found",0,1)</f>
        <v>not found</v>
      </c>
      <c r="AJ1138" s="22" t="e">
        <f>Table26[[#This Row],[unitprice]]*Table26[[#This Row],[quantity_unit]]</f>
        <v>#VALUE!</v>
      </c>
      <c r="AK1138" s="22" t="e" cm="1">
        <f t="array" ref="AK11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39" spans="1:37" ht="18" customHeight="1">
      <c r="A1139" s="42">
        <v>1119</v>
      </c>
      <c r="B1139" s="42" t="s">
        <v>3357</v>
      </c>
      <c r="C1139" s="53" t="s">
        <v>203</v>
      </c>
      <c r="E1139" s="20"/>
      <c r="F1139" s="25"/>
      <c r="G1139" s="93"/>
      <c r="J1139" s="90" t="str">
        <f>IF(Table26[[#This Row],[customerSKU]]="","",_xlfn.XLOOKUP(Table26[[#This Row],[customerSKU]],customerSKU!G:G,customerSKU!A:A,"",0,1))</f>
        <v/>
      </c>
      <c r="K1139" s="232">
        <v>45713</v>
      </c>
      <c r="L1139" s="49" t="str">
        <f>IF(Table26[[#This Row],[customerSKU]]="","",_xlfn.XLOOKUP(Table26[[#This Row],[customerSKU]],customerSKU!G:G,customerSKU!B:B,"",0,1))</f>
        <v/>
      </c>
      <c r="M1139" s="22"/>
      <c r="N1139" s="15" t="str">
        <f>Table26[[#This Row],[po_number]]&amp;"-"&amp;Table26[[#This Row],[po_line]]</f>
        <v>-2</v>
      </c>
      <c r="O1139" s="15">
        <v>2</v>
      </c>
      <c r="P1139" s="50"/>
      <c r="Q1139" s="22" t="s">
        <v>4086</v>
      </c>
      <c r="R1139" s="22" t="s">
        <v>569</v>
      </c>
      <c r="S1139" s="90" t="str">
        <f>IF(Table26[[#This Row],[customerSKU]]="","",_xlfn.XLOOKUP(Table26[[#This Row],[customerSKU]],customerSKU!G:G,customerSKU!N:N,"NOT FOUND",0,1))</f>
        <v>NOT FOUND</v>
      </c>
      <c r="T1139" s="20">
        <v>45631</v>
      </c>
      <c r="U1139" s="94">
        <v>24</v>
      </c>
      <c r="V1139" s="22" t="str">
        <f>IF(ISBLANK(Table26[[#This Row],[customerSKU]]),"",_xlfn.XLOOKUP(Table26[[#This Row],[customerSKU]],Table27[customer_SKU],Table27[case_size],"",0,1))</f>
        <v/>
      </c>
      <c r="W1139" s="117" t="str">
        <f t="shared" si="51"/>
        <v/>
      </c>
      <c r="X1139" s="22" t="str">
        <f t="shared" si="52"/>
        <v/>
      </c>
      <c r="Y1139" s="25" t="str">
        <f>IF(Table26[[#This Row],[customerSKU]]="","",_xlfn.XLOOKUP(Table26[[#This Row],[customerSKU]],Table27[customer_SKU],Table27[product_GTIN],"",0,1))</f>
        <v/>
      </c>
      <c r="Z1139" s="25" t="s">
        <v>3372</v>
      </c>
      <c r="AA1139" s="18" t="str" cm="1">
        <f t="array" ref="AA1139">IF(P1139="", "", _xlfn.XLOOKUP(P1139,#REF!,#REF!,NA,0,-1))</f>
        <v/>
      </c>
      <c r="AB1139" s="22"/>
      <c r="AC1139" s="55" t="s">
        <v>4142</v>
      </c>
      <c r="AD1139" s="55" t="str">
        <f>IF($AC1139="","",_xlfn.XLOOKUP($AC1139,'[2]Client Info'!$C$2:$C$2535,'[2]Client Info'!$D$2:$D$2535,"",0,1))</f>
        <v>726 Kingsway</v>
      </c>
      <c r="AE1139" s="55" t="str">
        <f>IF($AC1139="","",_xlfn.XLOOKUP($AC1139,'[2]Client Info'!$C$2:$C$2715,'[2]Client Info'!$E$2:$E$2715,"",))</f>
        <v>Vancouver</v>
      </c>
      <c r="AF1139" s="55" t="str">
        <f>IF($AC1139="","",_xlfn.XLOOKUP($AC1139,'[2]Client Info'!$C$2:$C$2715,'[2]Client Info'!$F$2:$F$2715,"",0,1))</f>
        <v xml:space="preserve">BC </v>
      </c>
      <c r="AG1139" s="55" t="s">
        <v>4142</v>
      </c>
      <c r="AH1139" s="26" t="str">
        <f>_xlfn.XLOOKUP(Table26[[#This Row],[customerSKU]],customerSKU!G:G,customerSKU!K:K,"NA",0,1)</f>
        <v>NA</v>
      </c>
      <c r="AI1139" s="43" t="str">
        <f>_xlfn.XLOOKUP(Table26[[#This Row],[customerSKU]],customerSKU!G:G,customerSKU!O:O,"not found",0,1)</f>
        <v>not found</v>
      </c>
      <c r="AJ1139" s="22" t="e">
        <f>Table26[[#This Row],[unitprice]]*Table26[[#This Row],[quantity_unit]]</f>
        <v>#VALUE!</v>
      </c>
      <c r="AK1139" s="22" t="e" cm="1">
        <f t="array" ref="AK11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0" spans="1:37" ht="18" customHeight="1">
      <c r="A1140" s="42">
        <v>1120</v>
      </c>
      <c r="B1140" s="42" t="s">
        <v>3357</v>
      </c>
      <c r="C1140" s="53" t="s">
        <v>203</v>
      </c>
      <c r="E1140" s="20"/>
      <c r="F1140" s="25"/>
      <c r="G1140" s="93"/>
      <c r="J1140" s="90" t="str">
        <f>IF(Table26[[#This Row],[customerSKU]]="","",_xlfn.XLOOKUP(Table26[[#This Row],[customerSKU]],customerSKU!G:G,customerSKU!A:A,"",0,1))</f>
        <v/>
      </c>
      <c r="K1140" s="232">
        <v>45713</v>
      </c>
      <c r="L1140" s="49" t="str">
        <f>IF(Table26[[#This Row],[customerSKU]]="","",_xlfn.XLOOKUP(Table26[[#This Row],[customerSKU]],customerSKU!G:G,customerSKU!B:B,"",0,1))</f>
        <v/>
      </c>
      <c r="M1140" s="22"/>
      <c r="N1140" s="15" t="str">
        <f>Table26[[#This Row],[po_number]]&amp;"-"&amp;Table26[[#This Row],[po_line]]</f>
        <v>-3</v>
      </c>
      <c r="O1140" s="15">
        <v>3</v>
      </c>
      <c r="P1140" s="50"/>
      <c r="Q1140" s="22" t="s">
        <v>1314</v>
      </c>
      <c r="R1140" s="22" t="s">
        <v>569</v>
      </c>
      <c r="S1140" s="90" t="str">
        <f>IF(Table26[[#This Row],[customerSKU]]="","",_xlfn.XLOOKUP(Table26[[#This Row],[customerSKU]],customerSKU!G:G,customerSKU!N:N,"NOT FOUND",0,1))</f>
        <v>NOT FOUND</v>
      </c>
      <c r="T1140" s="20">
        <v>45503</v>
      </c>
      <c r="U1140" s="94">
        <v>24</v>
      </c>
      <c r="V1140" s="22" t="str">
        <f>IF(ISBLANK(Table26[[#This Row],[customerSKU]]),"",_xlfn.XLOOKUP(Table26[[#This Row],[customerSKU]],Table27[customer_SKU],Table27[case_size],"",0,1))</f>
        <v/>
      </c>
      <c r="W1140" s="117" t="str">
        <f t="shared" si="51"/>
        <v/>
      </c>
      <c r="X1140" s="22" t="str">
        <f t="shared" si="52"/>
        <v/>
      </c>
      <c r="Y1140" s="25" t="str">
        <f>IF(Table26[[#This Row],[customerSKU]]="","",_xlfn.XLOOKUP(Table26[[#This Row],[customerSKU]],Table27[customer_SKU],Table27[product_GTIN],"",0,1))</f>
        <v/>
      </c>
      <c r="Z1140" s="25" t="s">
        <v>3374</v>
      </c>
      <c r="AA1140" s="18" t="str" cm="1">
        <f t="array" ref="AA1140">IF(P1140="", "", _xlfn.XLOOKUP(P1140,#REF!,#REF!,NA,0,-1))</f>
        <v/>
      </c>
      <c r="AB1140" s="22"/>
      <c r="AC1140" s="55" t="s">
        <v>4142</v>
      </c>
      <c r="AD1140" s="55" t="str">
        <f>IF($AC1140="","",_xlfn.XLOOKUP($AC1140,'[2]Client Info'!$C$2:$C$2535,'[2]Client Info'!$D$2:$D$2535,"",0,1))</f>
        <v>726 Kingsway</v>
      </c>
      <c r="AE1140" s="55" t="str">
        <f>IF($AC1140="","",_xlfn.XLOOKUP($AC1140,'[2]Client Info'!$C$2:$C$2715,'[2]Client Info'!$E$2:$E$2715,"",))</f>
        <v>Vancouver</v>
      </c>
      <c r="AF1140" s="55" t="str">
        <f>IF($AC1140="","",_xlfn.XLOOKUP($AC1140,'[2]Client Info'!$C$2:$C$2715,'[2]Client Info'!$F$2:$F$2715,"",0,1))</f>
        <v xml:space="preserve">BC </v>
      </c>
      <c r="AG1140" s="55" t="s">
        <v>4142</v>
      </c>
      <c r="AH1140" s="26" t="str">
        <f>_xlfn.XLOOKUP(Table26[[#This Row],[customerSKU]],customerSKU!G:G,customerSKU!K:K,"NA",0,1)</f>
        <v>NA</v>
      </c>
      <c r="AI1140" s="43" t="str">
        <f>_xlfn.XLOOKUP(Table26[[#This Row],[customerSKU]],customerSKU!G:G,customerSKU!O:O,"not found",0,1)</f>
        <v>not found</v>
      </c>
      <c r="AJ1140" s="22" t="e">
        <f>Table26[[#This Row],[unitprice]]*Table26[[#This Row],[quantity_unit]]</f>
        <v>#VALUE!</v>
      </c>
      <c r="AK1140" s="22" t="e" cm="1">
        <f t="array" ref="AK11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1" spans="1:37" ht="18" customHeight="1">
      <c r="A1141" s="42">
        <v>1121</v>
      </c>
      <c r="B1141" s="42" t="s">
        <v>3357</v>
      </c>
      <c r="C1141" s="53" t="s">
        <v>203</v>
      </c>
      <c r="E1141" s="20"/>
      <c r="F1141" s="25"/>
      <c r="G1141" s="93"/>
      <c r="J1141" s="90" t="str">
        <f>IF(Table26[[#This Row],[customerSKU]]="","",_xlfn.XLOOKUP(Table26[[#This Row],[customerSKU]],customerSKU!G:G,customerSKU!A:A,"",0,1))</f>
        <v/>
      </c>
      <c r="K1141" s="232">
        <v>45713</v>
      </c>
      <c r="L1141" s="49" t="str">
        <f>IF(Table26[[#This Row],[customerSKU]]="","",_xlfn.XLOOKUP(Table26[[#This Row],[customerSKU]],customerSKU!G:G,customerSKU!B:B,"",0,1))</f>
        <v/>
      </c>
      <c r="M1141" s="22"/>
      <c r="N1141" s="15" t="str">
        <f>Table26[[#This Row],[po_number]]&amp;"-"&amp;Table26[[#This Row],[po_line]]</f>
        <v>-4</v>
      </c>
      <c r="O1141" s="15">
        <v>4</v>
      </c>
      <c r="P1141" s="50"/>
      <c r="Q1141" s="22" t="s">
        <v>4143</v>
      </c>
      <c r="R1141" s="22" t="s">
        <v>569</v>
      </c>
      <c r="S1141" s="90" t="str">
        <f>IF(Table26[[#This Row],[customerSKU]]="","",_xlfn.XLOOKUP(Table26[[#This Row],[customerSKU]],customerSKU!G:G,customerSKU!N:N,"NOT FOUND",0,1))</f>
        <v>NOT FOUND</v>
      </c>
      <c r="T1141" s="20">
        <v>45692</v>
      </c>
      <c r="U1141" s="94">
        <v>24</v>
      </c>
      <c r="V1141" s="22" t="str">
        <f>IF(ISBLANK(Table26[[#This Row],[customerSKU]]),"",_xlfn.XLOOKUP(Table26[[#This Row],[customerSKU]],Table27[customer_SKU],Table27[case_size],"",0,1))</f>
        <v/>
      </c>
      <c r="W1141" s="117" t="str">
        <f t="shared" si="51"/>
        <v/>
      </c>
      <c r="X1141" s="22" t="str">
        <f t="shared" si="52"/>
        <v/>
      </c>
      <c r="Y1141" s="25" t="str">
        <f>IF(Table26[[#This Row],[customerSKU]]="","",_xlfn.XLOOKUP(Table26[[#This Row],[customerSKU]],Table27[customer_SKU],Table27[product_GTIN],"",0,1))</f>
        <v/>
      </c>
      <c r="Z1141" s="25" t="s">
        <v>3389</v>
      </c>
      <c r="AA1141" s="18" t="str" cm="1">
        <f t="array" ref="AA1141">IF(P1141="", "", _xlfn.XLOOKUP(P1141,#REF!,#REF!,NA,0,-1))</f>
        <v/>
      </c>
      <c r="AB1141" s="22"/>
      <c r="AC1141" s="55" t="s">
        <v>4142</v>
      </c>
      <c r="AD1141" s="55" t="str">
        <f>IF($AC1141="","",_xlfn.XLOOKUP($AC1141,'[2]Client Info'!$C$2:$C$2535,'[2]Client Info'!$D$2:$D$2535,"",0,1))</f>
        <v>726 Kingsway</v>
      </c>
      <c r="AE1141" s="55" t="str">
        <f>IF($AC1141="","",_xlfn.XLOOKUP($AC1141,'[2]Client Info'!$C$2:$C$2715,'[2]Client Info'!$E$2:$E$2715,"",))</f>
        <v>Vancouver</v>
      </c>
      <c r="AF1141" s="55" t="str">
        <f>IF($AC1141="","",_xlfn.XLOOKUP($AC1141,'[2]Client Info'!$C$2:$C$2715,'[2]Client Info'!$F$2:$F$2715,"",0,1))</f>
        <v xml:space="preserve">BC </v>
      </c>
      <c r="AG1141" s="55" t="s">
        <v>4142</v>
      </c>
      <c r="AH1141" s="26" t="str">
        <f>_xlfn.XLOOKUP(Table26[[#This Row],[customerSKU]],customerSKU!G:G,customerSKU!K:K,"NA",0,1)</f>
        <v>NA</v>
      </c>
      <c r="AI1141" s="43" t="str">
        <f>_xlfn.XLOOKUP(Table26[[#This Row],[customerSKU]],customerSKU!G:G,customerSKU!O:O,"not found",0,1)</f>
        <v>not found</v>
      </c>
      <c r="AJ1141" s="22" t="e">
        <f>Table26[[#This Row],[unitprice]]*Table26[[#This Row],[quantity_unit]]</f>
        <v>#VALUE!</v>
      </c>
      <c r="AK1141" s="22" t="e" cm="1">
        <f t="array" ref="AK11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2" spans="1:37" ht="18" customHeight="1">
      <c r="A1142" s="42">
        <v>1122</v>
      </c>
      <c r="B1142" s="42" t="s">
        <v>3357</v>
      </c>
      <c r="C1142" s="53" t="s">
        <v>203</v>
      </c>
      <c r="E1142" s="20"/>
      <c r="F1142" s="25"/>
      <c r="G1142" s="93"/>
      <c r="J1142" s="90" t="str">
        <f>IF(Table26[[#This Row],[customerSKU]]="","",_xlfn.XLOOKUP(Table26[[#This Row],[customerSKU]],customerSKU!G:G,customerSKU!A:A,"",0,1))</f>
        <v/>
      </c>
      <c r="K1142" s="232">
        <v>45713</v>
      </c>
      <c r="L1142" s="49" t="str">
        <f>IF(Table26[[#This Row],[customerSKU]]="","",_xlfn.XLOOKUP(Table26[[#This Row],[customerSKU]],customerSKU!G:G,customerSKU!B:B,"",0,1))</f>
        <v/>
      </c>
      <c r="M1142" s="22"/>
      <c r="N1142" s="15" t="str">
        <f>Table26[[#This Row],[po_number]]&amp;"-"&amp;Table26[[#This Row],[po_line]]</f>
        <v>-1</v>
      </c>
      <c r="O1142" s="15">
        <v>1</v>
      </c>
      <c r="P1142" s="50"/>
      <c r="Q1142" s="22" t="s">
        <v>3405</v>
      </c>
      <c r="R1142" s="22" t="s">
        <v>569</v>
      </c>
      <c r="S1142" s="90" t="str">
        <f>IF(Table26[[#This Row],[customerSKU]]="","",_xlfn.XLOOKUP(Table26[[#This Row],[customerSKU]],customerSKU!G:G,customerSKU!N:N,"NOT FOUND",0,1))</f>
        <v>NOT FOUND</v>
      </c>
      <c r="T1142" s="20">
        <v>45623</v>
      </c>
      <c r="U1142" s="94">
        <v>60</v>
      </c>
      <c r="V1142" s="22" t="str">
        <f>IF(ISBLANK(Table26[[#This Row],[customerSKU]]),"",_xlfn.XLOOKUP(Table26[[#This Row],[customerSKU]],Table27[customer_SKU],Table27[case_size],"",0,1))</f>
        <v/>
      </c>
      <c r="W1142" s="117" t="str">
        <f t="shared" si="51"/>
        <v/>
      </c>
      <c r="X1142" s="22" t="str">
        <f t="shared" si="52"/>
        <v/>
      </c>
      <c r="Y1142" s="25" t="str">
        <f>IF(Table26[[#This Row],[customerSKU]]="","",_xlfn.XLOOKUP(Table26[[#This Row],[customerSKU]],Table27[customer_SKU],Table27[product_GTIN],"",0,1))</f>
        <v/>
      </c>
      <c r="Z1142" s="25" t="s">
        <v>3406</v>
      </c>
      <c r="AA1142" s="18" t="str" cm="1">
        <f t="array" ref="AA1142">IF(P1142="", "", _xlfn.XLOOKUP(P1142,#REF!,#REF!,NA,0,-1))</f>
        <v/>
      </c>
      <c r="AB1142" s="22"/>
      <c r="AC1142" s="55" t="s">
        <v>102</v>
      </c>
      <c r="AD1142" s="55" t="str">
        <f>IF($AC1142="","",_xlfn.XLOOKUP($AC1142,'[2]Client Info'!$C$2:$C$2535,'[2]Client Info'!$D$2:$D$2535,"",0,1))</f>
        <v>385-415 Dollarton Highway</v>
      </c>
      <c r="AE1142" s="55" t="str">
        <f>IF($AC1142="","",_xlfn.XLOOKUP($AC1142,'[2]Client Info'!$C$2:$C$2715,'[2]Client Info'!$E$2:$E$2715,"",))</f>
        <v>North Vancouver</v>
      </c>
      <c r="AF1142" s="55" t="str">
        <f>IF($AC1142="","",_xlfn.XLOOKUP($AC1142,'[2]Client Info'!$C$2:$C$2715,'[2]Client Info'!$F$2:$F$2715,"",0,1))</f>
        <v xml:space="preserve">BC </v>
      </c>
      <c r="AG1142" s="55" t="s">
        <v>102</v>
      </c>
      <c r="AH1142" s="26" t="str">
        <f>_xlfn.XLOOKUP(Table26[[#This Row],[customerSKU]],customerSKU!G:G,customerSKU!K:K,"NA",0,1)</f>
        <v>NA</v>
      </c>
      <c r="AI1142" s="43" t="str">
        <f>_xlfn.XLOOKUP(Table26[[#This Row],[customerSKU]],customerSKU!G:G,customerSKU!O:O,"not found",0,1)</f>
        <v>not found</v>
      </c>
      <c r="AJ1142" s="22" t="e">
        <f>Table26[[#This Row],[unitprice]]*Table26[[#This Row],[quantity_unit]]</f>
        <v>#VALUE!</v>
      </c>
      <c r="AK1142" s="22" t="e" cm="1">
        <f t="array" ref="AK11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3" spans="1:37" ht="18" customHeight="1">
      <c r="A1143" s="42">
        <v>1123</v>
      </c>
      <c r="B1143" s="42" t="s">
        <v>3357</v>
      </c>
      <c r="C1143" s="53" t="s">
        <v>3360</v>
      </c>
      <c r="E1143" s="20"/>
      <c r="F1143" s="25"/>
      <c r="G1143" s="93"/>
      <c r="J1143" s="90" t="str">
        <f>IF(Table26[[#This Row],[customerSKU]]="","",_xlfn.XLOOKUP(Table26[[#This Row],[customerSKU]],customerSKU!G:G,customerSKU!A:A,"",0,1))</f>
        <v/>
      </c>
      <c r="K1143" s="232">
        <v>45713</v>
      </c>
      <c r="L1143" s="49" t="str">
        <f>IF(Table26[[#This Row],[customerSKU]]="","",_xlfn.XLOOKUP(Table26[[#This Row],[customerSKU]],customerSKU!G:G,customerSKU!B:B,"",0,1))</f>
        <v/>
      </c>
      <c r="M1143" s="22"/>
      <c r="N1143" s="15" t="str">
        <f>Table26[[#This Row],[po_number]]&amp;"-"&amp;Table26[[#This Row],[po_line]]</f>
        <v>-1</v>
      </c>
      <c r="O1143" s="15">
        <v>1</v>
      </c>
      <c r="P1143" s="50"/>
      <c r="S1143" s="90" t="str">
        <f>IF(Table26[[#This Row],[customerSKU]]="","",_xlfn.XLOOKUP(Table26[[#This Row],[customerSKU]],customerSKU!G:G,customerSKU!N:N,"NOT FOUND",0,1))</f>
        <v>NOT FOUND</v>
      </c>
      <c r="T1143" s="20"/>
      <c r="U1143" s="94">
        <v>12</v>
      </c>
      <c r="V1143" s="22" t="str">
        <f>IF(ISBLANK(Table26[[#This Row],[customerSKU]]),"",_xlfn.XLOOKUP(Table26[[#This Row],[customerSKU]],Table27[customer_SKU],Table27[case_size],"",0,1))</f>
        <v/>
      </c>
      <c r="W1143" s="117" t="str">
        <f t="shared" si="51"/>
        <v/>
      </c>
      <c r="X1143" s="22" t="str">
        <f t="shared" si="52"/>
        <v/>
      </c>
      <c r="Y1143" s="25" t="str">
        <f>IF(Table26[[#This Row],[customerSKU]]="","",_xlfn.XLOOKUP(Table26[[#This Row],[customerSKU]],Table27[customer_SKU],Table27[product_GTIN],"",0,1))</f>
        <v/>
      </c>
      <c r="Z1143" s="25" t="s">
        <v>3497</v>
      </c>
      <c r="AA1143" s="18" t="str" cm="1">
        <f t="array" ref="AA1143">IF(P1143="", "", _xlfn.XLOOKUP(P1143,#REF!,#REF!,NA,0,-1))</f>
        <v/>
      </c>
      <c r="AB1143" s="22" t="s">
        <v>3393</v>
      </c>
      <c r="AC1143" s="55" t="str">
        <f>IF(Table26[[#This Row],[customerSKU]]="","",_xlfn.XLOOKUP(Table26[[#This Row],[customerSKU]],customerSKU!G:G,customerSKU!C:C,"",0,1))</f>
        <v/>
      </c>
      <c r="AD1143" s="55" t="str">
        <f>IF($AC1143="","",_xlfn.XLOOKUP($AC1143,'[2]Client Info'!$C$2:$C$2535,'[2]Client Info'!$D$2:$D$2535,"",0,1))</f>
        <v/>
      </c>
      <c r="AE1143" s="55" t="str">
        <f>IF($AC1143="","",_xlfn.XLOOKUP($AC1143,'[2]Client Info'!$C$2:$C$2715,'[2]Client Info'!$E$2:$E$2715,"",))</f>
        <v/>
      </c>
      <c r="AF1143" s="55" t="str">
        <f>IF($AC1143="","",_xlfn.XLOOKUP($AC1143,'[2]Client Info'!$C$2:$C$2715,'[2]Client Info'!$F$2:$F$2715,"",0,1))</f>
        <v/>
      </c>
      <c r="AG1143" s="55" t="str">
        <f>IF(ISBLANK(Table26[[#This Row],[customerSKU]]),"",_xlfn.XLOOKUP(Table26[[#This Row],[customerSKU]],Table27[customer_SKU],Table27[billto],"",0,1))</f>
        <v/>
      </c>
      <c r="AH1143" s="26" t="str">
        <f>_xlfn.XLOOKUP(Table26[[#This Row],[customerSKU]],customerSKU!G:G,customerSKU!K:K,"NA",0,1)</f>
        <v>NA</v>
      </c>
      <c r="AI1143" s="43" t="str">
        <f>_xlfn.XLOOKUP(Table26[[#This Row],[customerSKU]],customerSKU!G:G,customerSKU!O:O,"not found",0,1)</f>
        <v>not found</v>
      </c>
      <c r="AJ1143" s="22" t="e">
        <f>Table26[[#This Row],[unitprice]]*Table26[[#This Row],[quantity_unit]]</f>
        <v>#VALUE!</v>
      </c>
      <c r="AK1143" s="22" t="e" cm="1">
        <f t="array" ref="AK11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4" spans="1:37" ht="18" customHeight="1">
      <c r="A1144" s="42">
        <v>1106</v>
      </c>
      <c r="B1144" s="27" t="s">
        <v>3520</v>
      </c>
      <c r="C1144" s="22" t="s">
        <v>203</v>
      </c>
      <c r="E1144" s="20"/>
      <c r="F1144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44" s="17"/>
      <c r="J1144" s="90" t="str">
        <f>IF(Table26[[#This Row],[customerSKU]]="","",_xlfn.XLOOKUP(Table26[[#This Row],[customerSKU]],customerSKU!G:G,customerSKU!A:A,"",0,1))</f>
        <v/>
      </c>
      <c r="K1144" s="232">
        <v>45714</v>
      </c>
      <c r="L1144" s="31" t="str">
        <f>IF(Table26[[#This Row],[customerSKU]]="","",_xlfn.XLOOKUP(Table26[[#This Row],[customerSKU]],customerSKU!G:G,customerSKU!B:B,"",0,1))</f>
        <v/>
      </c>
      <c r="M1144" s="22"/>
      <c r="N1144" s="15" t="str">
        <f>Table26[[#This Row],[po_number]]&amp;"-"&amp;Table26[[#This Row],[po_line]]</f>
        <v>-1</v>
      </c>
      <c r="O1144" s="15">
        <v>1</v>
      </c>
      <c r="P1144" s="50"/>
      <c r="Q1144" s="22" t="s">
        <v>1172</v>
      </c>
      <c r="R1144" s="90" t="s">
        <v>3302</v>
      </c>
      <c r="S1144" s="90" t="str">
        <f>IF(Table26[[#This Row],[customerSKU]]="","",_xlfn.XLOOKUP(Table26[[#This Row],[customerSKU]],customerSKU!G:G,customerSKU!N:N,"NOT FOUND",0,1))</f>
        <v>NOT FOUND</v>
      </c>
      <c r="T1144" s="20">
        <v>45588</v>
      </c>
      <c r="U1144" s="21">
        <v>12</v>
      </c>
      <c r="V1144" s="22" t="str">
        <f>IF(ISBLANK(Table26[[#This Row],[customerSKU]]),"",_xlfn.XLOOKUP(Table26[[#This Row],[customerSKU]],Table27[customer_SKU],Table27[case_size],"",0,1))</f>
        <v/>
      </c>
      <c r="W1144" s="117" t="str">
        <f t="shared" si="51"/>
        <v/>
      </c>
      <c r="X1144" s="22" t="str">
        <f t="shared" si="52"/>
        <v/>
      </c>
      <c r="Y1144" s="22" t="str">
        <f>IF(Table26[[#This Row],[customerSKU]]="","",_xlfn.XLOOKUP(Table26[[#This Row],[customerSKU]],Table27[customer_SKU],Table27[product_GTIN],"",0,1))</f>
        <v/>
      </c>
      <c r="Z1144" s="25" t="s">
        <v>3455</v>
      </c>
      <c r="AA1144" s="18" t="str" cm="1">
        <f t="array" ref="AA1144">IF(P1144="", "", _xlfn.XLOOKUP(P1144,#REF!,#REF!,NA,0,-1))</f>
        <v/>
      </c>
      <c r="AB1144" s="22"/>
      <c r="AC1144" s="55" t="s">
        <v>41</v>
      </c>
      <c r="AD1144" s="55" t="str">
        <f>IF($AC1144="","",_xlfn.XLOOKUP($AC1144,'[2]Client Info'!$C$2:$C$2535,'[2]Client Info'!$D$2:$D$2535,"",0,1))</f>
        <v>309 SASKATCHEWAN AVENUE EAST</v>
      </c>
      <c r="AE1144" s="55" t="str">
        <f>IF($AC1144="","",_xlfn.XLOOKUP($AC1144,'[2]Client Info'!$C$2:$C$2715,'[2]Client Info'!$E$2:$E$2715,"",))</f>
        <v>PORTAGE LA PRAIRIE</v>
      </c>
      <c r="AF1144" s="55" t="str">
        <f>IF($AC1144="","",_xlfn.XLOOKUP($AC1144,'[2]Client Info'!$C$2:$C$2715,'[2]Client Info'!$F$2:$F$2715,"",0,1))</f>
        <v>MB</v>
      </c>
      <c r="AG1144" s="55" t="s">
        <v>41</v>
      </c>
      <c r="AH1144" s="26" t="str">
        <f>_xlfn.XLOOKUP(Table26[[#This Row],[customerSKU]],customerSKU!G:G,customerSKU!K:K,"NA",0,1)</f>
        <v>NA</v>
      </c>
      <c r="AI1144" s="43" t="str">
        <f>_xlfn.XLOOKUP(Table26[[#This Row],[customerSKU]],customerSKU!G:G,customerSKU!O:O,"not found",0,1)</f>
        <v>not found</v>
      </c>
      <c r="AJ1144" s="22" t="e">
        <f>Table26[[#This Row],[unitprice]]*Table26[[#This Row],[quantity_unit]]</f>
        <v>#VALUE!</v>
      </c>
      <c r="AK1144" s="22" t="e" cm="1">
        <f t="array" ref="AK11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5" spans="1:37" ht="18" customHeight="1">
      <c r="A1145" s="42">
        <v>1107</v>
      </c>
      <c r="B1145" s="42" t="s">
        <v>3357</v>
      </c>
      <c r="C1145" s="22" t="s">
        <v>203</v>
      </c>
      <c r="D1145" s="20">
        <v>45717</v>
      </c>
      <c r="E1145" s="20"/>
      <c r="F1145" s="25"/>
      <c r="G1145" s="124"/>
      <c r="J1145" s="90" t="str">
        <f>IF(Table26[[#This Row],[customerSKU]]="","",_xlfn.XLOOKUP(Table26[[#This Row],[customerSKU]],customerSKU!G:G,customerSKU!A:A,"",0,1))</f>
        <v/>
      </c>
      <c r="K1145" s="232">
        <v>45714</v>
      </c>
      <c r="L1145" s="49" t="str">
        <f>IF(Table26[[#This Row],[customerSKU]]="","",_xlfn.XLOOKUP(Table26[[#This Row],[customerSKU]],customerSKU!G:G,customerSKU!B:B,"",0,1))</f>
        <v/>
      </c>
      <c r="M1145" s="22"/>
      <c r="N1145" s="15" t="str">
        <f>Table26[[#This Row],[po_number]]&amp;"-"&amp;Table26[[#This Row],[po_line]]</f>
        <v>-1</v>
      </c>
      <c r="O1145" s="15">
        <v>1</v>
      </c>
      <c r="P1145" s="50"/>
      <c r="Q1145" s="22" t="s">
        <v>3294</v>
      </c>
      <c r="R1145" s="22" t="s">
        <v>569</v>
      </c>
      <c r="S1145" s="90" t="str">
        <f>IF(Table26[[#This Row],[customerSKU]]="","",_xlfn.XLOOKUP(Table26[[#This Row],[customerSKU]],customerSKU!G:G,customerSKU!N:N,"NOT FOUND",0,1))</f>
        <v>NOT FOUND</v>
      </c>
      <c r="T1145" s="20">
        <v>45709</v>
      </c>
      <c r="U1145" s="94">
        <v>600</v>
      </c>
      <c r="V1145" s="22" t="str">
        <f>IF(ISBLANK(Table26[[#This Row],[customerSKU]]),"",_xlfn.XLOOKUP(Table26[[#This Row],[customerSKU]],Table27[customer_SKU],Table27[case_size],"",0,1))</f>
        <v/>
      </c>
      <c r="W1145" s="117" t="str">
        <f t="shared" si="51"/>
        <v/>
      </c>
      <c r="X1145" s="22" t="str">
        <f t="shared" si="52"/>
        <v/>
      </c>
      <c r="Y1145" s="25" t="str">
        <f>IF(Table26[[#This Row],[customerSKU]]="","",_xlfn.XLOOKUP(Table26[[#This Row],[customerSKU]],Table27[customer_SKU],Table27[product_GTIN],"",0,1))</f>
        <v/>
      </c>
      <c r="Z1145" s="25" t="s">
        <v>4158</v>
      </c>
      <c r="AA1145" s="18" t="str" cm="1">
        <f t="array" ref="AA1145">IF(P1145="", "", _xlfn.XLOOKUP(P1145,#REF!,#REF!,NA,0,-1))</f>
        <v/>
      </c>
      <c r="AB1145" s="22"/>
      <c r="AC1145" s="55" t="str">
        <f>IF(Table26[[#This Row],[customerSKU]]="","",_xlfn.XLOOKUP(Table26[[#This Row],[customerSKU]],customerSKU!G:G,customerSKU!C:C,"",0,1))</f>
        <v/>
      </c>
      <c r="AD1145" s="55" t="str">
        <f>IF($AC1145="","",_xlfn.XLOOKUP($AC1145,'[2]Client Info'!$C$2:$C$2535,'[2]Client Info'!$D$2:$D$2535,"",0,1))</f>
        <v/>
      </c>
      <c r="AE1145" s="55" t="str">
        <f>IF($AC1145="","",_xlfn.XLOOKUP($AC1145,'[2]Client Info'!$C$2:$C$2715,'[2]Client Info'!$E$2:$E$2715,"",))</f>
        <v/>
      </c>
      <c r="AF1145" s="55" t="str">
        <f>IF($AC1145="","",_xlfn.XLOOKUP($AC1145,'[2]Client Info'!$C$2:$C$2715,'[2]Client Info'!$F$2:$F$2715,"",0,1))</f>
        <v/>
      </c>
      <c r="AG1145" s="55" t="str">
        <f>IF(ISBLANK(Table26[[#This Row],[customerSKU]]),"",_xlfn.XLOOKUP(Table26[[#This Row],[customerSKU]],Table27[customer_SKU],Table27[billto],"",0,1))</f>
        <v/>
      </c>
      <c r="AH1145" s="26" t="str">
        <f>_xlfn.XLOOKUP(Table26[[#This Row],[customerSKU]],customerSKU!G:G,customerSKU!K:K,"NA",0,1)</f>
        <v>NA</v>
      </c>
      <c r="AI1145" s="43" t="str">
        <f>_xlfn.XLOOKUP(Table26[[#This Row],[customerSKU]],customerSKU!G:G,customerSKU!O:O,"not found",0,1)</f>
        <v>not found</v>
      </c>
      <c r="AJ1145" s="22" t="e">
        <f>Table26[[#This Row],[unitprice]]*Table26[[#This Row],[quantity_unit]]</f>
        <v>#VALUE!</v>
      </c>
      <c r="AK1145" s="22" t="e" cm="1">
        <f t="array" ref="AK11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6" spans="1:37" ht="18" customHeight="1">
      <c r="A1146" s="42">
        <v>1101</v>
      </c>
      <c r="B1146" s="42" t="s">
        <v>3357</v>
      </c>
      <c r="C1146" s="53" t="s">
        <v>203</v>
      </c>
      <c r="E1146" s="20"/>
      <c r="F1146" s="25"/>
      <c r="G1146" s="93"/>
      <c r="J1146" s="90" t="str">
        <f>IF(Table26[[#This Row],[customerSKU]]="","",_xlfn.XLOOKUP(Table26[[#This Row],[customerSKU]],customerSKU!G:G,customerSKU!A:A,"",0,1))</f>
        <v/>
      </c>
      <c r="K1146" s="232">
        <v>45715</v>
      </c>
      <c r="L1146" s="49" t="str">
        <f>IF(Table26[[#This Row],[customerSKU]]="","",_xlfn.XLOOKUP(Table26[[#This Row],[customerSKU]],customerSKU!G:G,customerSKU!B:B,"",0,1))</f>
        <v/>
      </c>
      <c r="M1146" s="22"/>
      <c r="N1146" s="15" t="str">
        <f>Table26[[#This Row],[po_number]]&amp;"-"&amp;Table26[[#This Row],[po_line]]</f>
        <v>-1</v>
      </c>
      <c r="O1146" s="15">
        <v>1</v>
      </c>
      <c r="P1146" s="50"/>
      <c r="Q1146" s="22" t="s">
        <v>1575</v>
      </c>
      <c r="R1146" s="22" t="s">
        <v>569</v>
      </c>
      <c r="S1146" s="90" t="str">
        <f>IF(Table26[[#This Row],[customerSKU]]="","",_xlfn.XLOOKUP(Table26[[#This Row],[customerSKU]],customerSKU!G:G,customerSKU!N:N,"NOT FOUND",0,1))</f>
        <v>NOT FOUND</v>
      </c>
      <c r="T1146" s="20">
        <v>45457</v>
      </c>
      <c r="U1146" s="94">
        <v>12</v>
      </c>
      <c r="V1146" s="22" t="str">
        <f>IF(ISBLANK(Table26[[#This Row],[customerSKU]]),"",_xlfn.XLOOKUP(Table26[[#This Row],[customerSKU]],Table27[customer_SKU],Table27[case_size],"",0,1))</f>
        <v/>
      </c>
      <c r="W1146" s="117" t="str">
        <f t="shared" si="51"/>
        <v/>
      </c>
      <c r="X1146" s="22" t="str">
        <f t="shared" si="52"/>
        <v/>
      </c>
      <c r="Y1146" s="25" t="str">
        <f>IF(Table26[[#This Row],[customerSKU]]="","",_xlfn.XLOOKUP(Table26[[#This Row],[customerSKU]],Table27[customer_SKU],Table27[product_GTIN],"",0,1))</f>
        <v/>
      </c>
      <c r="Z1146" s="25" t="s">
        <v>3609</v>
      </c>
      <c r="AA1146" s="18" t="str" cm="1">
        <f t="array" ref="AA1146">IF(P1146="", "", _xlfn.XLOOKUP(P1146,#REF!,#REF!,NA,0,-1))</f>
        <v/>
      </c>
      <c r="AB1146" s="22"/>
      <c r="AC1146" s="55" t="s">
        <v>117</v>
      </c>
      <c r="AD1146" s="55" t="str">
        <f>IF($AC1146="","",_xlfn.XLOOKUP($AC1146,'[2]Client Info'!$C$2:$C$2535,'[2]Client Info'!$D$2:$D$2535,"",0,1))</f>
        <v>1605 Renfrew St</v>
      </c>
      <c r="AE1146" s="55" t="str">
        <f>IF($AC1146="","",_xlfn.XLOOKUP($AC1146,'[2]Client Info'!$C$2:$C$2715,'[2]Client Info'!$E$2:$E$2715,"",))</f>
        <v>Vancouver</v>
      </c>
      <c r="AF1146" s="55" t="str">
        <f>IF($AC1146="","",_xlfn.XLOOKUP($AC1146,'[2]Client Info'!$C$2:$C$2715,'[2]Client Info'!$F$2:$F$2715,"",0,1))</f>
        <v xml:space="preserve">BC </v>
      </c>
      <c r="AG1146" s="55" t="s">
        <v>117</v>
      </c>
      <c r="AH1146" s="26" t="str">
        <f>_xlfn.XLOOKUP(Table26[[#This Row],[customerSKU]],customerSKU!G:G,customerSKU!K:K,"NA",0,1)</f>
        <v>NA</v>
      </c>
      <c r="AI1146" s="43" t="str">
        <f>_xlfn.XLOOKUP(Table26[[#This Row],[customerSKU]],customerSKU!G:G,customerSKU!O:O,"not found",0,1)</f>
        <v>not found</v>
      </c>
      <c r="AJ1146" s="22" t="e">
        <f>Table26[[#This Row],[unitprice]]*Table26[[#This Row],[quantity_unit]]</f>
        <v>#VALUE!</v>
      </c>
      <c r="AK1146" s="22" t="e" cm="1">
        <f t="array" ref="AK11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7" spans="1:37" ht="18" customHeight="1">
      <c r="A1147" s="42">
        <v>1102</v>
      </c>
      <c r="B1147" s="42" t="s">
        <v>3357</v>
      </c>
      <c r="C1147" s="53" t="s">
        <v>203</v>
      </c>
      <c r="E1147" s="20"/>
      <c r="F1147" s="25"/>
      <c r="G1147" s="93"/>
      <c r="J1147" s="90" t="str">
        <f>IF(Table26[[#This Row],[customerSKU]]="","",_xlfn.XLOOKUP(Table26[[#This Row],[customerSKU]],customerSKU!G:G,customerSKU!A:A,"",0,1))</f>
        <v/>
      </c>
      <c r="K1147" s="232">
        <v>45715</v>
      </c>
      <c r="L1147" s="49" t="str">
        <f>IF(Table26[[#This Row],[customerSKU]]="","",_xlfn.XLOOKUP(Table26[[#This Row],[customerSKU]],customerSKU!G:G,customerSKU!B:B,"",0,1))</f>
        <v/>
      </c>
      <c r="M1147" s="22"/>
      <c r="N1147" s="15" t="str">
        <f>Table26[[#This Row],[po_number]]&amp;"-"&amp;Table26[[#This Row],[po_line]]</f>
        <v>-2</v>
      </c>
      <c r="O1147" s="15">
        <v>2</v>
      </c>
      <c r="P1147" s="50"/>
      <c r="Q1147" s="22" t="s">
        <v>587</v>
      </c>
      <c r="R1147" s="22" t="s">
        <v>569</v>
      </c>
      <c r="S1147" s="90" t="str">
        <f>IF(Table26[[#This Row],[customerSKU]]="","",_xlfn.XLOOKUP(Table26[[#This Row],[customerSKU]],customerSKU!G:G,customerSKU!N:N,"NOT FOUND",0,1))</f>
        <v>NOT FOUND</v>
      </c>
      <c r="T1147" s="20">
        <v>45457</v>
      </c>
      <c r="U1147" s="94">
        <v>12</v>
      </c>
      <c r="V1147" s="22" t="str">
        <f>IF(ISBLANK(Table26[[#This Row],[customerSKU]]),"",_xlfn.XLOOKUP(Table26[[#This Row],[customerSKU]],Table27[customer_SKU],Table27[case_size],"",0,1))</f>
        <v/>
      </c>
      <c r="W1147" s="117" t="str">
        <f t="shared" si="51"/>
        <v/>
      </c>
      <c r="X1147" s="22" t="str">
        <f t="shared" si="52"/>
        <v/>
      </c>
      <c r="Y1147" s="25" t="str">
        <f>IF(Table26[[#This Row],[customerSKU]]="","",_xlfn.XLOOKUP(Table26[[#This Row],[customerSKU]],Table27[customer_SKU],Table27[product_GTIN],"",0,1))</f>
        <v/>
      </c>
      <c r="Z1147" s="25" t="s">
        <v>3403</v>
      </c>
      <c r="AA1147" s="18" t="str" cm="1">
        <f t="array" ref="AA1147">IF(P1147="", "", _xlfn.XLOOKUP(P1147,#REF!,#REF!,NA,0,-1))</f>
        <v/>
      </c>
      <c r="AB1147" s="22"/>
      <c r="AC1147" s="55" t="s">
        <v>117</v>
      </c>
      <c r="AD1147" s="55" t="str">
        <f>IF($AC1147="","",_xlfn.XLOOKUP($AC1147,'[2]Client Info'!$C$2:$C$2535,'[2]Client Info'!$D$2:$D$2535,"",0,1))</f>
        <v>1605 Renfrew St</v>
      </c>
      <c r="AE1147" s="55" t="str">
        <f>IF($AC1147="","",_xlfn.XLOOKUP($AC1147,'[2]Client Info'!$C$2:$C$2715,'[2]Client Info'!$E$2:$E$2715,"",))</f>
        <v>Vancouver</v>
      </c>
      <c r="AF1147" s="55" t="str">
        <f>IF($AC1147="","",_xlfn.XLOOKUP($AC1147,'[2]Client Info'!$C$2:$C$2715,'[2]Client Info'!$F$2:$F$2715,"",0,1))</f>
        <v xml:space="preserve">BC </v>
      </c>
      <c r="AG1147" s="55" t="s">
        <v>117</v>
      </c>
      <c r="AH1147" s="26" t="str">
        <f>_xlfn.XLOOKUP(Table26[[#This Row],[customerSKU]],customerSKU!G:G,customerSKU!K:K,"NA",0,1)</f>
        <v>NA</v>
      </c>
      <c r="AI1147" s="43" t="str">
        <f>_xlfn.XLOOKUP(Table26[[#This Row],[customerSKU]],customerSKU!G:G,customerSKU!O:O,"not found",0,1)</f>
        <v>not found</v>
      </c>
      <c r="AJ1147" s="22" t="e">
        <f>Table26[[#This Row],[unitprice]]*Table26[[#This Row],[quantity_unit]]</f>
        <v>#VALUE!</v>
      </c>
      <c r="AK1147" s="22" t="e" cm="1">
        <f t="array" ref="AK11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8" spans="1:37" ht="18" customHeight="1">
      <c r="A1148" s="42">
        <v>1103</v>
      </c>
      <c r="B1148" s="42" t="s">
        <v>3357</v>
      </c>
      <c r="C1148" s="53" t="s">
        <v>203</v>
      </c>
      <c r="E1148" s="20"/>
      <c r="F1148" s="25"/>
      <c r="G1148" s="93"/>
      <c r="J1148" s="90" t="str">
        <f>IF(Table26[[#This Row],[customerSKU]]="","",_xlfn.XLOOKUP(Table26[[#This Row],[customerSKU]],customerSKU!G:G,customerSKU!A:A,"",0,1))</f>
        <v/>
      </c>
      <c r="K1148" s="232">
        <v>45715</v>
      </c>
      <c r="L1148" s="49" t="str">
        <f>IF(Table26[[#This Row],[customerSKU]]="","",_xlfn.XLOOKUP(Table26[[#This Row],[customerSKU]],customerSKU!G:G,customerSKU!B:B,"",0,1))</f>
        <v/>
      </c>
      <c r="M1148" s="22"/>
      <c r="N1148" s="15" t="str">
        <f>Table26[[#This Row],[po_number]]&amp;"-"&amp;Table26[[#This Row],[po_line]]</f>
        <v>-3</v>
      </c>
      <c r="O1148" s="15">
        <v>3</v>
      </c>
      <c r="P1148" s="50"/>
      <c r="Q1148" s="22" t="s">
        <v>565</v>
      </c>
      <c r="R1148" s="22" t="s">
        <v>569</v>
      </c>
      <c r="S1148" s="90" t="str">
        <f>IF(Table26[[#This Row],[customerSKU]]="","",_xlfn.XLOOKUP(Table26[[#This Row],[customerSKU]],customerSKU!G:G,customerSKU!N:N,"NOT FOUND",0,1))</f>
        <v>NOT FOUND</v>
      </c>
      <c r="T1148" s="20">
        <v>45707</v>
      </c>
      <c r="U1148" s="94">
        <v>36</v>
      </c>
      <c r="V1148" s="22" t="str">
        <f>IF(ISBLANK(Table26[[#This Row],[customerSKU]]),"",_xlfn.XLOOKUP(Table26[[#This Row],[customerSKU]],Table27[customer_SKU],Table27[case_size],"",0,1))</f>
        <v/>
      </c>
      <c r="W1148" s="117" t="str">
        <f t="shared" si="51"/>
        <v/>
      </c>
      <c r="X1148" s="22" t="str">
        <f t="shared" si="52"/>
        <v/>
      </c>
      <c r="Y1148" s="25" t="str">
        <f>IF(Table26[[#This Row],[customerSKU]]="","",_xlfn.XLOOKUP(Table26[[#This Row],[customerSKU]],Table27[customer_SKU],Table27[product_GTIN],"",0,1))</f>
        <v/>
      </c>
      <c r="Z1148" s="25" t="s">
        <v>3373</v>
      </c>
      <c r="AA1148" s="18" t="str" cm="1">
        <f t="array" ref="AA1148">IF(P1148="", "", _xlfn.XLOOKUP(P1148,#REF!,#REF!,NA,0,-1))</f>
        <v/>
      </c>
      <c r="AB1148" s="22"/>
      <c r="AC1148" s="55" t="s">
        <v>117</v>
      </c>
      <c r="AD1148" s="55" t="str">
        <f>IF($AC1148="","",_xlfn.XLOOKUP($AC1148,'[2]Client Info'!$C$2:$C$2535,'[2]Client Info'!$D$2:$D$2535,"",0,1))</f>
        <v>1605 Renfrew St</v>
      </c>
      <c r="AE1148" s="55" t="str">
        <f>IF($AC1148="","",_xlfn.XLOOKUP($AC1148,'[2]Client Info'!$C$2:$C$2715,'[2]Client Info'!$E$2:$E$2715,"",))</f>
        <v>Vancouver</v>
      </c>
      <c r="AF1148" s="55" t="str">
        <f>IF($AC1148="","",_xlfn.XLOOKUP($AC1148,'[2]Client Info'!$C$2:$C$2715,'[2]Client Info'!$F$2:$F$2715,"",0,1))</f>
        <v xml:space="preserve">BC </v>
      </c>
      <c r="AG1148" s="55" t="s">
        <v>117</v>
      </c>
      <c r="AH1148" s="26" t="str">
        <f>_xlfn.XLOOKUP(Table26[[#This Row],[customerSKU]],customerSKU!G:G,customerSKU!K:K,"NA",0,1)</f>
        <v>NA</v>
      </c>
      <c r="AI1148" s="43" t="str">
        <f>_xlfn.XLOOKUP(Table26[[#This Row],[customerSKU]],customerSKU!G:G,customerSKU!O:O,"not found",0,1)</f>
        <v>not found</v>
      </c>
      <c r="AJ1148" s="22" t="e">
        <f>Table26[[#This Row],[unitprice]]*Table26[[#This Row],[quantity_unit]]</f>
        <v>#VALUE!</v>
      </c>
      <c r="AK1148" s="22" t="e" cm="1">
        <f t="array" ref="AK11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49" spans="1:37" ht="18" customHeight="1">
      <c r="A1149" s="42">
        <v>1104</v>
      </c>
      <c r="B1149" s="42" t="s">
        <v>3357</v>
      </c>
      <c r="C1149" s="53" t="s">
        <v>203</v>
      </c>
      <c r="E1149" s="20"/>
      <c r="F1149" s="25"/>
      <c r="G1149" s="93"/>
      <c r="J1149" s="90" t="str">
        <f>IF(Table26[[#This Row],[customerSKU]]="","",_xlfn.XLOOKUP(Table26[[#This Row],[customerSKU]],customerSKU!G:G,customerSKU!A:A,"",0,1))</f>
        <v/>
      </c>
      <c r="K1149" s="232">
        <v>45715</v>
      </c>
      <c r="L1149" s="49" t="str">
        <f>IF(Table26[[#This Row],[customerSKU]]="","",_xlfn.XLOOKUP(Table26[[#This Row],[customerSKU]],customerSKU!G:G,customerSKU!B:B,"",0,1))</f>
        <v/>
      </c>
      <c r="M1149" s="22"/>
      <c r="N1149" s="15" t="str">
        <f>Table26[[#This Row],[po_number]]&amp;"-"&amp;Table26[[#This Row],[po_line]]</f>
        <v>-4</v>
      </c>
      <c r="O1149" s="15">
        <v>4</v>
      </c>
      <c r="P1149" s="50"/>
      <c r="Q1149" s="22" t="s">
        <v>4086</v>
      </c>
      <c r="R1149" s="22" t="s">
        <v>569</v>
      </c>
      <c r="S1149" s="90" t="str">
        <f>IF(Table26[[#This Row],[customerSKU]]="","",_xlfn.XLOOKUP(Table26[[#This Row],[customerSKU]],customerSKU!G:G,customerSKU!N:N,"NOT FOUND",0,1))</f>
        <v>NOT FOUND</v>
      </c>
      <c r="T1149" s="20">
        <v>45631</v>
      </c>
      <c r="U1149" s="94">
        <v>24</v>
      </c>
      <c r="V1149" s="22" t="str">
        <f>IF(ISBLANK(Table26[[#This Row],[customerSKU]]),"",_xlfn.XLOOKUP(Table26[[#This Row],[customerSKU]],Table27[customer_SKU],Table27[case_size],"",0,1))</f>
        <v/>
      </c>
      <c r="W1149" s="117" t="str">
        <f t="shared" si="51"/>
        <v/>
      </c>
      <c r="X1149" s="22" t="str">
        <f t="shared" si="52"/>
        <v/>
      </c>
      <c r="Y1149" s="25" t="str">
        <f>IF(Table26[[#This Row],[customerSKU]]="","",_xlfn.XLOOKUP(Table26[[#This Row],[customerSKU]],Table27[customer_SKU],Table27[product_GTIN],"",0,1))</f>
        <v/>
      </c>
      <c r="Z1149" s="25" t="s">
        <v>3372</v>
      </c>
      <c r="AA1149" s="18" t="str" cm="1">
        <f t="array" ref="AA1149">IF(P1149="", "", _xlfn.XLOOKUP(P1149,#REF!,#REF!,NA,0,-1))</f>
        <v/>
      </c>
      <c r="AB1149" s="22"/>
      <c r="AC1149" s="55" t="s">
        <v>117</v>
      </c>
      <c r="AD1149" s="55" t="str">
        <f>IF($AC1149="","",_xlfn.XLOOKUP($AC1149,'[2]Client Info'!$C$2:$C$2535,'[2]Client Info'!$D$2:$D$2535,"",0,1))</f>
        <v>1605 Renfrew St</v>
      </c>
      <c r="AE1149" s="55" t="str">
        <f>IF($AC1149="","",_xlfn.XLOOKUP($AC1149,'[2]Client Info'!$C$2:$C$2715,'[2]Client Info'!$E$2:$E$2715,"",))</f>
        <v>Vancouver</v>
      </c>
      <c r="AF1149" s="55" t="str">
        <f>IF($AC1149="","",_xlfn.XLOOKUP($AC1149,'[2]Client Info'!$C$2:$C$2715,'[2]Client Info'!$F$2:$F$2715,"",0,1))</f>
        <v xml:space="preserve">BC </v>
      </c>
      <c r="AG1149" s="55" t="s">
        <v>117</v>
      </c>
      <c r="AH1149" s="26" t="str">
        <f>_xlfn.XLOOKUP(Table26[[#This Row],[customerSKU]],customerSKU!G:G,customerSKU!K:K,"NA",0,1)</f>
        <v>NA</v>
      </c>
      <c r="AI1149" s="43" t="str">
        <f>_xlfn.XLOOKUP(Table26[[#This Row],[customerSKU]],customerSKU!G:G,customerSKU!O:O,"not found",0,1)</f>
        <v>not found</v>
      </c>
      <c r="AJ1149" s="22" t="e">
        <f>Table26[[#This Row],[unitprice]]*Table26[[#This Row],[quantity_unit]]</f>
        <v>#VALUE!</v>
      </c>
      <c r="AK1149" s="22" t="e" cm="1">
        <f t="array" ref="AK11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0" spans="1:37" ht="24.6" customHeight="1">
      <c r="A1150" s="42">
        <v>1105</v>
      </c>
      <c r="B1150" s="42" t="s">
        <v>3357</v>
      </c>
      <c r="C1150" s="53" t="s">
        <v>203</v>
      </c>
      <c r="E1150" s="20"/>
      <c r="F1150" s="25"/>
      <c r="G1150" s="93"/>
      <c r="J1150" s="90" t="str">
        <f>IF(Table26[[#This Row],[customerSKU]]="","",_xlfn.XLOOKUP(Table26[[#This Row],[customerSKU]],customerSKU!G:G,customerSKU!A:A,"",0,1))</f>
        <v/>
      </c>
      <c r="K1150" s="232">
        <v>45715</v>
      </c>
      <c r="L1150" s="49" t="str">
        <f>IF(Table26[[#This Row],[customerSKU]]="","",_xlfn.XLOOKUP(Table26[[#This Row],[customerSKU]],customerSKU!G:G,customerSKU!B:B,"",0,1))</f>
        <v/>
      </c>
      <c r="M1150" s="22"/>
      <c r="N1150" s="15" t="str">
        <f>Table26[[#This Row],[po_number]]&amp;"-"&amp;Table26[[#This Row],[po_line]]</f>
        <v>-5</v>
      </c>
      <c r="O1150" s="15">
        <v>5</v>
      </c>
      <c r="P1150" s="50"/>
      <c r="Q1150" s="22" t="s">
        <v>3388</v>
      </c>
      <c r="R1150" s="22" t="s">
        <v>569</v>
      </c>
      <c r="S1150" s="90" t="str">
        <f>IF(Table26[[#This Row],[customerSKU]]="","",_xlfn.XLOOKUP(Table26[[#This Row],[customerSKU]],customerSKU!G:G,customerSKU!N:N,"NOT FOUND",0,1))</f>
        <v>NOT FOUND</v>
      </c>
      <c r="T1150" s="20">
        <v>45692</v>
      </c>
      <c r="U1150" s="94">
        <v>12</v>
      </c>
      <c r="V1150" s="22" t="str">
        <f>IF(ISBLANK(Table26[[#This Row],[customerSKU]]),"",_xlfn.XLOOKUP(Table26[[#This Row],[customerSKU]],Table27[customer_SKU],Table27[case_size],"",0,1))</f>
        <v/>
      </c>
      <c r="W1150" s="117" t="str">
        <f t="shared" ref="W1150:W1213" si="53">IFERROR(U1150/V1150, "")</f>
        <v/>
      </c>
      <c r="X1150" s="22" t="str">
        <f t="shared" si="52"/>
        <v/>
      </c>
      <c r="Y1150" s="25" t="str">
        <f>IF(Table26[[#This Row],[customerSKU]]="","",_xlfn.XLOOKUP(Table26[[#This Row],[customerSKU]],Table27[customer_SKU],Table27[product_GTIN],"",0,1))</f>
        <v/>
      </c>
      <c r="Z1150" s="25" t="s">
        <v>3389</v>
      </c>
      <c r="AA1150" s="18" t="str" cm="1">
        <f t="array" ref="AA1150">IF(P1150="", "", _xlfn.XLOOKUP(P1150,#REF!,#REF!,NA,0,-1))</f>
        <v/>
      </c>
      <c r="AB1150" s="22"/>
      <c r="AC1150" s="55" t="s">
        <v>117</v>
      </c>
      <c r="AD1150" s="55" t="str">
        <f>IF($AC1150="","",_xlfn.XLOOKUP($AC1150,'[2]Client Info'!$C$2:$C$2535,'[2]Client Info'!$D$2:$D$2535,"",0,1))</f>
        <v>1605 Renfrew St</v>
      </c>
      <c r="AE1150" s="55" t="str">
        <f>IF($AC1150="","",_xlfn.XLOOKUP($AC1150,'[2]Client Info'!$C$2:$C$2715,'[2]Client Info'!$E$2:$E$2715,"",))</f>
        <v>Vancouver</v>
      </c>
      <c r="AF1150" s="55" t="str">
        <f>IF($AC1150="","",_xlfn.XLOOKUP($AC1150,'[2]Client Info'!$C$2:$C$2715,'[2]Client Info'!$F$2:$F$2715,"",0,1))</f>
        <v xml:space="preserve">BC </v>
      </c>
      <c r="AG1150" s="55" t="s">
        <v>117</v>
      </c>
      <c r="AH1150" s="26" t="str">
        <f>_xlfn.XLOOKUP(Table26[[#This Row],[customerSKU]],customerSKU!G:G,customerSKU!K:K,"NA",0,1)</f>
        <v>NA</v>
      </c>
      <c r="AI1150" s="43" t="str">
        <f>_xlfn.XLOOKUP(Table26[[#This Row],[customerSKU]],customerSKU!G:G,customerSKU!O:O,"not found",0,1)</f>
        <v>not found</v>
      </c>
      <c r="AJ1150" s="22" t="e">
        <f>Table26[[#This Row],[unitprice]]*Table26[[#This Row],[quantity_unit]]</f>
        <v>#VALUE!</v>
      </c>
      <c r="AK1150" s="22" t="e" cm="1">
        <f t="array" ref="AK11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1" spans="1:37" ht="24.6" customHeight="1">
      <c r="A1151" s="42">
        <v>1096</v>
      </c>
      <c r="B1151" s="27" t="s">
        <v>3520</v>
      </c>
      <c r="C1151" s="22" t="s">
        <v>203</v>
      </c>
      <c r="D1151" s="20">
        <v>45719</v>
      </c>
      <c r="E1151" s="20" t="s">
        <v>4099</v>
      </c>
      <c r="F1151" s="22">
        <v>60522</v>
      </c>
      <c r="G1151" s="17"/>
      <c r="J1151" s="90" t="str">
        <f>IF(Table26[[#This Row],[customerSKU]]="","",_xlfn.XLOOKUP(Table26[[#This Row],[customerSKU]],customerSKU!G:G,customerSKU!A:A,"",0,1))</f>
        <v/>
      </c>
      <c r="K1151" s="232">
        <v>45716</v>
      </c>
      <c r="L1151" s="31" t="str">
        <f>IF(Table26[[#This Row],[customerSKU]]="","",_xlfn.XLOOKUP(Table26[[#This Row],[customerSKU]],customerSKU!G:G,customerSKU!B:B,"",0,1))</f>
        <v/>
      </c>
      <c r="M1151" s="22"/>
      <c r="N1151" s="15" t="str">
        <f>Table26[[#This Row],[po_number]]&amp;"-"&amp;Table26[[#This Row],[po_line]]</f>
        <v>-1</v>
      </c>
      <c r="O1151" s="15">
        <v>1</v>
      </c>
      <c r="P1151" s="50"/>
      <c r="Q1151" s="22" t="s">
        <v>1172</v>
      </c>
      <c r="R1151" s="22" t="s">
        <v>569</v>
      </c>
      <c r="S1151" s="22" t="str">
        <f>IF(Table26[[#This Row],[customerSKU]]="","",_xlfn.XLOOKUP(Table26[[#This Row],[customerSKU]],customerSKU!G:G,customerSKU!N:N,"NOT FOUND",0,1))</f>
        <v>NOT FOUND</v>
      </c>
      <c r="T1151" s="20">
        <v>45588</v>
      </c>
      <c r="U1151" s="21">
        <v>72</v>
      </c>
      <c r="V1151" s="22" t="str">
        <f>IF(ISBLANK(Table26[[#This Row],[customerSKU]]),"",_xlfn.XLOOKUP(Table26[[#This Row],[customerSKU]],Table27[customer_SKU],Table27[case_size],"",0,1))</f>
        <v/>
      </c>
      <c r="W1151" s="117" t="str">
        <f t="shared" si="53"/>
        <v/>
      </c>
      <c r="X1151" s="22" t="str">
        <f t="shared" si="52"/>
        <v/>
      </c>
      <c r="Y1151" s="22" t="str">
        <f>IF(Table26[[#This Row],[customerSKU]]="","",_xlfn.XLOOKUP(Table26[[#This Row],[customerSKU]],Table27[customer_SKU],Table27[product_GTIN],"",0,1))</f>
        <v/>
      </c>
      <c r="Z1151" s="25" t="s">
        <v>3409</v>
      </c>
      <c r="AA1151" s="18" t="str" cm="1">
        <f t="array" ref="AA1151">IF(P1151="", "", _xlfn.XLOOKUP(P1151,#REF!,#REF!,NA,0,-1))</f>
        <v/>
      </c>
      <c r="AB1151" s="22"/>
      <c r="AC1151" s="55" t="str">
        <f>IF(Table26[[#This Row],[customerSKU]]="","",_xlfn.XLOOKUP(Table26[[#This Row],[customerSKU]],customerSKU!G:G,customerSKU!C:C,"",0,1))</f>
        <v/>
      </c>
      <c r="AD1151" s="55" t="str">
        <f>IF($AC1151="","",_xlfn.XLOOKUP($AC1151,'[2]Client Info'!$C$2:$C$2535,'[2]Client Info'!$D$2:$D$2535,"",0,1))</f>
        <v/>
      </c>
      <c r="AE1151" s="55" t="str">
        <f>IF($AC1151="","",_xlfn.XLOOKUP($AC1151,'[2]Client Info'!$C$2:$C$2715,'[2]Client Info'!$E$2:$E$2715,"",))</f>
        <v/>
      </c>
      <c r="AF1151" s="55" t="str">
        <f>IF($AC1151="","",_xlfn.XLOOKUP($AC1151,'[2]Client Info'!$C$2:$C$2715,'[2]Client Info'!$F$2:$F$2715,"",0,1))</f>
        <v/>
      </c>
      <c r="AG1151" s="55" t="str">
        <f>IF(ISBLANK(Table26[[#This Row],[customerSKU]]),"",_xlfn.XLOOKUP(Table26[[#This Row],[customerSKU]],Table27[customer_SKU],Table27[billto],"",0,1))</f>
        <v/>
      </c>
      <c r="AH1151" s="26" t="str">
        <f>_xlfn.XLOOKUP(Table26[[#This Row],[customerSKU]],customerSKU!G:G,customerSKU!K:K,"NA",0,1)</f>
        <v>NA</v>
      </c>
      <c r="AI1151" s="43" t="str">
        <f>_xlfn.XLOOKUP(Table26[[#This Row],[customerSKU]],customerSKU!G:G,customerSKU!O:O,"not found",0,1)</f>
        <v>not found</v>
      </c>
      <c r="AJ1151" s="22" t="e">
        <f>Table26[[#This Row],[unitprice]]*Table26[[#This Row],[quantity_unit]]</f>
        <v>#VALUE!</v>
      </c>
      <c r="AK1151" s="22" t="e" cm="1">
        <f t="array" ref="AK11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2" spans="1:37" ht="24.6" customHeight="1">
      <c r="A1152" s="42">
        <v>1097</v>
      </c>
      <c r="B1152" s="42" t="s">
        <v>3357</v>
      </c>
      <c r="C1152" s="53" t="s">
        <v>203</v>
      </c>
      <c r="E1152" s="20"/>
      <c r="F1152" s="25"/>
      <c r="G1152" s="93"/>
      <c r="J1152" s="90" t="str">
        <f>IF(Table26[[#This Row],[customerSKU]]="","",_xlfn.XLOOKUP(Table26[[#This Row],[customerSKU]],customerSKU!G:G,customerSKU!A:A,"",0,1))</f>
        <v/>
      </c>
      <c r="K1152" s="232">
        <v>45716</v>
      </c>
      <c r="L1152" s="49" t="s">
        <v>201</v>
      </c>
      <c r="M1152" s="22"/>
      <c r="N1152" s="15" t="str">
        <f>Table26[[#This Row],[po_number]]&amp;"-"&amp;Table26[[#This Row],[po_line]]</f>
        <v>-1</v>
      </c>
      <c r="O1152" s="15">
        <v>1</v>
      </c>
      <c r="P1152" s="50"/>
      <c r="Q1152" s="22" t="s">
        <v>4124</v>
      </c>
      <c r="R1152" s="22" t="s">
        <v>569</v>
      </c>
      <c r="S1152" s="90" t="str">
        <f>IF(Table26[[#This Row],[customerSKU]]="","",_xlfn.XLOOKUP(Table26[[#This Row],[customerSKU]],customerSKU!G:G,customerSKU!N:N,"NOT FOUND",0,1))</f>
        <v>NOT FOUND</v>
      </c>
      <c r="T1152" s="20">
        <v>45713</v>
      </c>
      <c r="U1152" s="94">
        <f>323*12</f>
        <v>3876</v>
      </c>
      <c r="V1152" s="22">
        <v>12</v>
      </c>
      <c r="W1152" s="117">
        <f t="shared" si="53"/>
        <v>323</v>
      </c>
      <c r="X1152" s="22" t="str">
        <f t="shared" si="52"/>
        <v/>
      </c>
      <c r="Y1152" s="25" t="s">
        <v>3770</v>
      </c>
      <c r="Z1152" s="25" t="s">
        <v>3770</v>
      </c>
      <c r="AA1152" s="18" t="str" cm="1">
        <f t="array" ref="AA1152">IF(P1152="", "", _xlfn.XLOOKUP(P1152,#REF!,#REF!,NA,0,-1))</f>
        <v/>
      </c>
      <c r="AB1152" s="22"/>
      <c r="AC1152" s="55" t="s">
        <v>9</v>
      </c>
      <c r="AD1152" s="55" t="s">
        <v>10</v>
      </c>
      <c r="AE1152" s="55" t="s">
        <v>11</v>
      </c>
      <c r="AF1152" s="55" t="s">
        <v>12</v>
      </c>
      <c r="AG1152" s="55" t="s">
        <v>9</v>
      </c>
      <c r="AH1152" s="26">
        <v>2.76</v>
      </c>
      <c r="AI1152" s="43" t="s">
        <v>9</v>
      </c>
      <c r="AJ1152" s="22">
        <v>10697.759999999998</v>
      </c>
      <c r="AK1152" s="22" t="e" cm="1">
        <f t="array" ref="AK11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3" spans="1:37" ht="18" customHeight="1">
      <c r="A1153" s="42">
        <v>1098</v>
      </c>
      <c r="B1153" s="42" t="s">
        <v>3357</v>
      </c>
      <c r="C1153" s="53" t="s">
        <v>3494</v>
      </c>
      <c r="E1153" s="20"/>
      <c r="F1153" s="25"/>
      <c r="G1153" s="93"/>
      <c r="J1153" s="90" t="str">
        <f>IF(Table26[[#This Row],[customerSKU]]="","",_xlfn.XLOOKUP(Table26[[#This Row],[customerSKU]],customerSKU!G:G,customerSKU!A:A,"",0,1))</f>
        <v/>
      </c>
      <c r="K1153" s="232">
        <v>45716</v>
      </c>
      <c r="L1153" s="49" t="str">
        <f>IF(Table26[[#This Row],[customerSKU]]="","",_xlfn.XLOOKUP(Table26[[#This Row],[customerSKU]],customerSKU!G:G,customerSKU!B:B,"",0,1))</f>
        <v/>
      </c>
      <c r="M1153" s="22"/>
      <c r="N1153" s="15" t="str">
        <f>Table26[[#This Row],[po_number]]&amp;"-"&amp;Table26[[#This Row],[po_line]]</f>
        <v>-1</v>
      </c>
      <c r="O1153" s="15">
        <v>1</v>
      </c>
      <c r="P1153" s="50"/>
      <c r="S1153" s="90" t="str">
        <f>IF(Table26[[#This Row],[customerSKU]]="","",_xlfn.XLOOKUP(Table26[[#This Row],[customerSKU]],customerSKU!G:G,customerSKU!N:N,"NOT FOUND",0,1))</f>
        <v>NOT FOUND</v>
      </c>
      <c r="T1153" s="20"/>
      <c r="U1153" s="94">
        <v>12</v>
      </c>
      <c r="V1153" s="22" t="str">
        <f>IF(ISBLANK(Table26[[#This Row],[customerSKU]]),"",_xlfn.XLOOKUP(Table26[[#This Row],[customerSKU]],Table27[customer_SKU],Table27[case_size],"",0,1))</f>
        <v/>
      </c>
      <c r="W1153" s="117" t="str">
        <f t="shared" si="53"/>
        <v/>
      </c>
      <c r="X1153" s="22" t="str">
        <f t="shared" si="52"/>
        <v/>
      </c>
      <c r="Y1153" s="25" t="str">
        <f>IF(Table26[[#This Row],[customerSKU]]="","",_xlfn.XLOOKUP(Table26[[#This Row],[customerSKU]],Table27[customer_SKU],Table27[product_GTIN],"",0,1))</f>
        <v/>
      </c>
      <c r="Z1153" s="25" t="s">
        <v>3381</v>
      </c>
      <c r="AA1153" s="18" t="str" cm="1">
        <f t="array" ref="AA1153">IF(P1153="", "", _xlfn.XLOOKUP(P1153,#REF!,#REF!,NA,0,-1))</f>
        <v/>
      </c>
      <c r="AB1153" s="22"/>
      <c r="AC1153" s="55" t="str">
        <f>IF(Table26[[#This Row],[customerSKU]]="","",_xlfn.XLOOKUP(Table26[[#This Row],[customerSKU]],customerSKU!G:G,customerSKU!C:C,"",0,1))</f>
        <v/>
      </c>
      <c r="AD1153" s="55" t="str">
        <f>IF($AC1153="","",_xlfn.XLOOKUP($AC1153,'[2]Client Info'!$C$2:$C$2535,'[2]Client Info'!$D$2:$D$2535,"",0,1))</f>
        <v/>
      </c>
      <c r="AE1153" s="55" t="str">
        <f>IF($AC1153="","",_xlfn.XLOOKUP($AC1153,'[2]Client Info'!$C$2:$C$2715,'[2]Client Info'!$E$2:$E$2715,"",))</f>
        <v/>
      </c>
      <c r="AF1153" s="55" t="str">
        <f>IF($AC1153="","",_xlfn.XLOOKUP($AC1153,'[2]Client Info'!$C$2:$C$2715,'[2]Client Info'!$F$2:$F$2715,"",0,1))</f>
        <v/>
      </c>
      <c r="AG1153" s="55" t="str">
        <f>IF(ISBLANK(Table26[[#This Row],[customerSKU]]),"",_xlfn.XLOOKUP(Table26[[#This Row],[customerSKU]],Table27[customer_SKU],Table27[billto],"",0,1))</f>
        <v/>
      </c>
      <c r="AH1153" s="26" t="str">
        <f>_xlfn.XLOOKUP(Table26[[#This Row],[customerSKU]],customerSKU!G:G,customerSKU!K:K,"NA",0,1)</f>
        <v>NA</v>
      </c>
      <c r="AI1153" s="43" t="str">
        <f>_xlfn.XLOOKUP(Table26[[#This Row],[customerSKU]],customerSKU!G:G,customerSKU!O:O,"not found",0,1)</f>
        <v>not found</v>
      </c>
      <c r="AJ1153" s="22" t="e">
        <f>Table26[[#This Row],[unitprice]]*Table26[[#This Row],[quantity_unit]]</f>
        <v>#VALUE!</v>
      </c>
      <c r="AK1153" s="22" t="e" cm="1">
        <f t="array" ref="AK11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4" spans="1:37" ht="18" customHeight="1">
      <c r="A1154" s="42">
        <v>1099</v>
      </c>
      <c r="B1154" s="42" t="s">
        <v>3357</v>
      </c>
      <c r="C1154" s="53" t="s">
        <v>3494</v>
      </c>
      <c r="E1154" s="20"/>
      <c r="F1154" s="25"/>
      <c r="G1154" s="93"/>
      <c r="J1154" s="90" t="str">
        <f>IF(Table26[[#This Row],[customerSKU]]="","",_xlfn.XLOOKUP(Table26[[#This Row],[customerSKU]],customerSKU!G:G,customerSKU!A:A,"",0,1))</f>
        <v/>
      </c>
      <c r="K1154" s="232">
        <v>45716</v>
      </c>
      <c r="L1154" s="49" t="str">
        <f>IF(Table26[[#This Row],[customerSKU]]="","",_xlfn.XLOOKUP(Table26[[#This Row],[customerSKU]],customerSKU!G:G,customerSKU!B:B,"",0,1))</f>
        <v/>
      </c>
      <c r="M1154" s="22"/>
      <c r="N1154" s="15" t="str">
        <f>Table26[[#This Row],[po_number]]&amp;"-"&amp;Table26[[#This Row],[po_line]]</f>
        <v>-1</v>
      </c>
      <c r="O1154" s="15">
        <v>1</v>
      </c>
      <c r="P1154" s="50"/>
      <c r="S1154" s="90" t="str">
        <f>IF(Table26[[#This Row],[customerSKU]]="","",_xlfn.XLOOKUP(Table26[[#This Row],[customerSKU]],customerSKU!G:G,customerSKU!N:N,"NOT FOUND",0,1))</f>
        <v>NOT FOUND</v>
      </c>
      <c r="T1154" s="20"/>
      <c r="U1154" s="94">
        <v>12</v>
      </c>
      <c r="V1154" s="22" t="str">
        <f>IF(ISBLANK(Table26[[#This Row],[customerSKU]]),"",_xlfn.XLOOKUP(Table26[[#This Row],[customerSKU]],Table27[customer_SKU],Table27[case_size],"",0,1))</f>
        <v/>
      </c>
      <c r="W1154" s="117" t="str">
        <f t="shared" si="53"/>
        <v/>
      </c>
      <c r="X1154" s="22" t="str">
        <f t="shared" si="52"/>
        <v/>
      </c>
      <c r="Y1154" s="25" t="str">
        <f>IF(Table26[[#This Row],[customerSKU]]="","",_xlfn.XLOOKUP(Table26[[#This Row],[customerSKU]],Table27[customer_SKU],Table27[product_GTIN],"",0,1))</f>
        <v/>
      </c>
      <c r="Z1154" s="25" t="s">
        <v>3408</v>
      </c>
      <c r="AA1154" s="18" t="str" cm="1">
        <f t="array" ref="AA1154">IF(P1154="", "", _xlfn.XLOOKUP(P1154,#REF!,#REF!,NA,0,-1))</f>
        <v/>
      </c>
      <c r="AB1154" s="22"/>
      <c r="AC1154" s="55" t="str">
        <f>IF(Table26[[#This Row],[customerSKU]]="","",_xlfn.XLOOKUP(Table26[[#This Row],[customerSKU]],customerSKU!G:G,customerSKU!C:C,"",0,1))</f>
        <v/>
      </c>
      <c r="AD1154" s="55" t="str">
        <f>IF($AC1154="","",_xlfn.XLOOKUP($AC1154,'[2]Client Info'!$C$2:$C$2535,'[2]Client Info'!$D$2:$D$2535,"",0,1))</f>
        <v/>
      </c>
      <c r="AE1154" s="55" t="str">
        <f>IF($AC1154="","",_xlfn.XLOOKUP($AC1154,'[2]Client Info'!$C$2:$C$2715,'[2]Client Info'!$E$2:$E$2715,"",))</f>
        <v/>
      </c>
      <c r="AF1154" s="55" t="str">
        <f>IF($AC1154="","",_xlfn.XLOOKUP($AC1154,'[2]Client Info'!$C$2:$C$2715,'[2]Client Info'!$F$2:$F$2715,"",0,1))</f>
        <v/>
      </c>
      <c r="AG1154" s="55" t="str">
        <f>IF(ISBLANK(Table26[[#This Row],[customerSKU]]),"",_xlfn.XLOOKUP(Table26[[#This Row],[customerSKU]],Table27[customer_SKU],Table27[billto],"",0,1))</f>
        <v/>
      </c>
      <c r="AH1154" s="26" t="str">
        <f>_xlfn.XLOOKUP(Table26[[#This Row],[customerSKU]],customerSKU!G:G,customerSKU!K:K,"NA",0,1)</f>
        <v>NA</v>
      </c>
      <c r="AI1154" s="43" t="str">
        <f>_xlfn.XLOOKUP(Table26[[#This Row],[customerSKU]],customerSKU!G:G,customerSKU!O:O,"not found",0,1)</f>
        <v>not found</v>
      </c>
      <c r="AJ1154" s="22" t="e">
        <f>Table26[[#This Row],[unitprice]]*Table26[[#This Row],[quantity_unit]]</f>
        <v>#VALUE!</v>
      </c>
      <c r="AK1154" s="22" t="e" cm="1">
        <f t="array" ref="AK11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5" spans="1:37" ht="18" customHeight="1">
      <c r="A1155" s="42">
        <v>1100</v>
      </c>
      <c r="B1155" s="42" t="s">
        <v>3357</v>
      </c>
      <c r="C1155" s="53" t="s">
        <v>3494</v>
      </c>
      <c r="E1155" s="20"/>
      <c r="F1155" s="25"/>
      <c r="G1155" s="93"/>
      <c r="J1155" s="90" t="str">
        <f>IF(Table26[[#This Row],[customerSKU]]="","",_xlfn.XLOOKUP(Table26[[#This Row],[customerSKU]],customerSKU!G:G,customerSKU!A:A,"",0,1))</f>
        <v/>
      </c>
      <c r="K1155" s="232">
        <v>45716</v>
      </c>
      <c r="L1155" s="49" t="str">
        <f>IF(Table26[[#This Row],[customerSKU]]="","",_xlfn.XLOOKUP(Table26[[#This Row],[customerSKU]],customerSKU!G:G,customerSKU!B:B,"",0,1))</f>
        <v/>
      </c>
      <c r="M1155" s="22"/>
      <c r="N1155" s="15" t="str">
        <f>Table26[[#This Row],[po_number]]&amp;"-"&amp;Table26[[#This Row],[po_line]]</f>
        <v>-2</v>
      </c>
      <c r="O1155" s="15">
        <v>2</v>
      </c>
      <c r="P1155" s="50"/>
      <c r="S1155" s="90" t="str">
        <f>IF(Table26[[#This Row],[customerSKU]]="","",_xlfn.XLOOKUP(Table26[[#This Row],[customerSKU]],customerSKU!G:G,customerSKU!N:N,"NOT FOUND",0,1))</f>
        <v>NOT FOUND</v>
      </c>
      <c r="T1155" s="20"/>
      <c r="U1155" s="94">
        <v>12</v>
      </c>
      <c r="V1155" s="22" t="str">
        <f>IF(ISBLANK(Table26[[#This Row],[customerSKU]]),"",_xlfn.XLOOKUP(Table26[[#This Row],[customerSKU]],Table27[customer_SKU],Table27[case_size],"",0,1))</f>
        <v/>
      </c>
      <c r="W1155" s="117" t="str">
        <f t="shared" si="53"/>
        <v/>
      </c>
      <c r="X1155" s="22" t="str">
        <f t="shared" si="52"/>
        <v/>
      </c>
      <c r="Y1155" s="25" t="str">
        <f>IF(Table26[[#This Row],[customerSKU]]="","",_xlfn.XLOOKUP(Table26[[#This Row],[customerSKU]],Table27[customer_SKU],Table27[product_GTIN],"",0,1))</f>
        <v/>
      </c>
      <c r="Z1155" s="25" t="s">
        <v>3495</v>
      </c>
      <c r="AA1155" s="18" t="str" cm="1">
        <f t="array" ref="AA1155">IF(P1155="", "", _xlfn.XLOOKUP(P1155,#REF!,#REF!,NA,0,-1))</f>
        <v/>
      </c>
      <c r="AB1155" s="22"/>
      <c r="AC1155" s="55" t="str">
        <f>IF(Table26[[#This Row],[customerSKU]]="","",_xlfn.XLOOKUP(Table26[[#This Row],[customerSKU]],customerSKU!G:G,customerSKU!C:C,"",0,1))</f>
        <v/>
      </c>
      <c r="AD1155" s="55" t="str">
        <f>IF($AC1155="","",_xlfn.XLOOKUP($AC1155,'[2]Client Info'!$C$2:$C$2535,'[2]Client Info'!$D$2:$D$2535,"",0,1))</f>
        <v/>
      </c>
      <c r="AE1155" s="55" t="str">
        <f>IF($AC1155="","",_xlfn.XLOOKUP($AC1155,'[2]Client Info'!$C$2:$C$2715,'[2]Client Info'!$E$2:$E$2715,"",))</f>
        <v/>
      </c>
      <c r="AF1155" s="55" t="str">
        <f>IF($AC1155="","",_xlfn.XLOOKUP($AC1155,'[2]Client Info'!$C$2:$C$2715,'[2]Client Info'!$F$2:$F$2715,"",0,1))</f>
        <v/>
      </c>
      <c r="AG1155" s="55" t="str">
        <f>IF(ISBLANK(Table26[[#This Row],[customerSKU]]),"",_xlfn.XLOOKUP(Table26[[#This Row],[customerSKU]],Table27[customer_SKU],Table27[billto],"",0,1))</f>
        <v/>
      </c>
      <c r="AH1155" s="26" t="str">
        <f>_xlfn.XLOOKUP(Table26[[#This Row],[customerSKU]],customerSKU!G:G,customerSKU!K:K,"NA",0,1)</f>
        <v>NA</v>
      </c>
      <c r="AI1155" s="43" t="str">
        <f>_xlfn.XLOOKUP(Table26[[#This Row],[customerSKU]],customerSKU!G:G,customerSKU!O:O,"not found",0,1)</f>
        <v>not found</v>
      </c>
      <c r="AJ1155" s="22" t="e">
        <f>Table26[[#This Row],[unitprice]]*Table26[[#This Row],[quantity_unit]]</f>
        <v>#VALUE!</v>
      </c>
      <c r="AK1155" s="22" t="e" cm="1">
        <f t="array" ref="AK11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6" spans="1:37" ht="18" customHeight="1">
      <c r="A1156" s="42">
        <v>1089</v>
      </c>
      <c r="B1156" s="42" t="s">
        <v>3357</v>
      </c>
      <c r="C1156" s="22" t="s">
        <v>203</v>
      </c>
      <c r="E1156" s="20"/>
      <c r="F1156" s="25"/>
      <c r="G1156" s="93"/>
      <c r="J1156" s="90" t="str">
        <f>IF(Table26[[#This Row],[customerSKU]]="","",_xlfn.XLOOKUP(Table26[[#This Row],[customerSKU]],customerSKU!G:G,customerSKU!A:A,"",0,1))</f>
        <v/>
      </c>
      <c r="K1156" s="232">
        <v>45719</v>
      </c>
      <c r="L1156" s="49" t="str">
        <f>IF(Table26[[#This Row],[customerSKU]]="","",_xlfn.XLOOKUP(Table26[[#This Row],[customerSKU]],customerSKU!G:G,customerSKU!B:B,"",0,1))</f>
        <v/>
      </c>
      <c r="M1156" s="22"/>
      <c r="N1156" s="15" t="str">
        <f>Table26[[#This Row],[po_number]]&amp;"-"&amp;Table26[[#This Row],[po_line]]</f>
        <v>-1</v>
      </c>
      <c r="O1156" s="15">
        <v>1</v>
      </c>
      <c r="P1156" s="50"/>
      <c r="Q1156" s="22" t="s">
        <v>3398</v>
      </c>
      <c r="R1156" s="22" t="s">
        <v>569</v>
      </c>
      <c r="S1156" s="90" t="str">
        <f>IF(Table26[[#This Row],[customerSKU]]="","",_xlfn.XLOOKUP(Table26[[#This Row],[customerSKU]],customerSKU!G:G,customerSKU!N:N,"NOT FOUND",0,1))</f>
        <v>NOT FOUND</v>
      </c>
      <c r="T1156" s="20">
        <v>45639</v>
      </c>
      <c r="U1156" s="94">
        <f>17*12</f>
        <v>204</v>
      </c>
      <c r="V1156" s="22" t="str">
        <f>IF(ISBLANK(Table26[[#This Row],[customerSKU]]),"",_xlfn.XLOOKUP(Table26[[#This Row],[customerSKU]],Table27[customer_SKU],Table27[case_size],"",0,1))</f>
        <v/>
      </c>
      <c r="W1156" s="117" t="str">
        <f t="shared" si="53"/>
        <v/>
      </c>
      <c r="X1156" s="22" t="str">
        <f t="shared" si="52"/>
        <v/>
      </c>
      <c r="Y1156" s="25" t="str">
        <f>IF(Table26[[#This Row],[customerSKU]]="","",_xlfn.XLOOKUP(Table26[[#This Row],[customerSKU]],Table27[customer_SKU],Table27[product_GTIN],"",0,1))</f>
        <v/>
      </c>
      <c r="Z1156" s="25" t="s">
        <v>3965</v>
      </c>
      <c r="AA1156" s="18" t="str" cm="1">
        <f t="array" ref="AA1156">IF(P1156="", "", _xlfn.XLOOKUP(P1156,#REF!,#REF!,NA,0,-1))</f>
        <v/>
      </c>
      <c r="AB1156" s="22"/>
      <c r="AC1156" s="55" t="s">
        <v>2362</v>
      </c>
      <c r="AD1156" s="55" t="str">
        <f>IF($AC1156="","",_xlfn.XLOOKUP($AC1156,'[2]Client Info'!$C$2:$C$2535,'[2]Client Info'!$D$2:$D$2535,"",0,1))</f>
        <v>12622-184 Street NW</v>
      </c>
      <c r="AE1156" s="55" t="str">
        <f>IF($AC1156="","",_xlfn.XLOOKUP($AC1156,'[2]Client Info'!$C$2:$C$2715,'[2]Client Info'!$E$2:$E$2715,"",))</f>
        <v>Edmonton</v>
      </c>
      <c r="AF1156" s="55" t="str">
        <f>IF($AC1156="","",_xlfn.XLOOKUP($AC1156,'[2]Client Info'!$C$2:$C$2715,'[2]Client Info'!$F$2:$F$2715,"",0,1))</f>
        <v>AB</v>
      </c>
      <c r="AG1156" s="55" t="str">
        <f>IF(ISBLANK(Table26[[#This Row],[customerSKU]]),"",_xlfn.XLOOKUP(Table26[[#This Row],[customerSKU]],Table27[customer_SKU],Table27[billto],"",0,1))</f>
        <v/>
      </c>
      <c r="AH1156" s="26" t="str">
        <f>_xlfn.XLOOKUP(Table26[[#This Row],[customerSKU]],customerSKU!G:G,customerSKU!K:K,"NA",0,1)</f>
        <v>NA</v>
      </c>
      <c r="AI1156" s="43" t="str">
        <f>_xlfn.XLOOKUP(Table26[[#This Row],[customerSKU]],customerSKU!G:G,customerSKU!O:O,"not found",0,1)</f>
        <v>not found</v>
      </c>
      <c r="AJ1156" s="22" t="e">
        <f>Table26[[#This Row],[unitprice]]*Table26[[#This Row],[quantity_unit]]</f>
        <v>#VALUE!</v>
      </c>
      <c r="AK1156" s="22" t="e" cm="1">
        <f t="array" ref="AK11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7" spans="1:37" ht="18" customHeight="1">
      <c r="A1157" s="42">
        <v>1090</v>
      </c>
      <c r="B1157" s="27" t="s">
        <v>3520</v>
      </c>
      <c r="C1157" s="22" t="s">
        <v>203</v>
      </c>
      <c r="E1157" s="20"/>
      <c r="F115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157" s="17"/>
      <c r="J1157" s="90" t="str">
        <f>IF(Table26[[#This Row],[customerSKU]]="","",_xlfn.XLOOKUP(Table26[[#This Row],[customerSKU]],customerSKU!G:G,customerSKU!A:A,"",0,1))</f>
        <v/>
      </c>
      <c r="K1157" s="232">
        <v>45719</v>
      </c>
      <c r="L1157" s="31" t="str">
        <f>IF(Table26[[#This Row],[customerSKU]]="","",_xlfn.XLOOKUP(Table26[[#This Row],[customerSKU]],customerSKU!G:G,customerSKU!B:B,"",0,1))</f>
        <v/>
      </c>
      <c r="M1157" s="22"/>
      <c r="N1157" s="15" t="str">
        <f>Table26[[#This Row],[po_number]]&amp;"-"&amp;Table26[[#This Row],[po_line]]</f>
        <v>-1</v>
      </c>
      <c r="O1157" s="15">
        <v>1</v>
      </c>
      <c r="P1157" s="29"/>
      <c r="Q1157" s="22" t="s">
        <v>4117</v>
      </c>
      <c r="R1157" s="22" t="s">
        <v>569</v>
      </c>
      <c r="S1157" s="22" t="str">
        <f>IF(Table26[[#This Row],[customerSKU]]="","",_xlfn.XLOOKUP(Table26[[#This Row],[customerSKU]],customerSKU!G:G,customerSKU!N:N,"NOT FOUND",0,1))</f>
        <v>NOT FOUND</v>
      </c>
      <c r="T1157" s="20">
        <v>45709</v>
      </c>
      <c r="U1157" s="21">
        <v>120</v>
      </c>
      <c r="V1157" s="22" t="str">
        <f>IF(ISBLANK(Table26[[#This Row],[customerSKU]]),"",_xlfn.XLOOKUP(Table26[[#This Row],[customerSKU]],Table27[customer_SKU],Table27[case_size],"",0,1))</f>
        <v/>
      </c>
      <c r="W1157" s="117" t="str">
        <f t="shared" si="53"/>
        <v/>
      </c>
      <c r="X1157" s="22" t="str">
        <f t="shared" si="52"/>
        <v/>
      </c>
      <c r="Y1157" s="22" t="str">
        <f>IF(Table26[[#This Row],[customerSKU]]="","",_xlfn.XLOOKUP(Table26[[#This Row],[customerSKU]],Table27[customer_SKU],Table27[product_GTIN],"",0,1))</f>
        <v/>
      </c>
      <c r="Z1157" s="25" t="s">
        <v>3841</v>
      </c>
      <c r="AA1157" s="18" t="str" cm="1">
        <f t="array" ref="AA1157">IF(P1157="", "", _xlfn.XLOOKUP(P1157,#REF!,#REF!,NA,0,-1))</f>
        <v/>
      </c>
      <c r="AB1157" s="22"/>
      <c r="AC1157" s="55" t="s">
        <v>2362</v>
      </c>
      <c r="AD1157" s="55" t="str">
        <f>IF($AC1157="","",_xlfn.XLOOKUP($AC1157,'[2]Client Info'!$C$2:$C$2535,'[2]Client Info'!$D$2:$D$2535,"",0,1))</f>
        <v>12622-184 Street NW</v>
      </c>
      <c r="AE1157" s="55" t="str">
        <f>IF($AC1157="","",_xlfn.XLOOKUP($AC1157,'[2]Client Info'!$C$2:$C$2715,'[2]Client Info'!$E$2:$E$2715,"",))</f>
        <v>Edmonton</v>
      </c>
      <c r="AF1157" s="55" t="str">
        <f>IF($AC1157="","",_xlfn.XLOOKUP($AC1157,'[2]Client Info'!$C$2:$C$2715,'[2]Client Info'!$F$2:$F$2715,"",0,1))</f>
        <v>AB</v>
      </c>
      <c r="AG1157" s="55" t="str">
        <f>IF(ISBLANK(Table26[[#This Row],[customerSKU]]),"",_xlfn.XLOOKUP(Table26[[#This Row],[customerSKU]],Table27[customer_SKU],Table27[billto],"",0,1))</f>
        <v/>
      </c>
      <c r="AH1157" s="26" t="str">
        <f>_xlfn.XLOOKUP(Table26[[#This Row],[customerSKU]],customerSKU!G:G,customerSKU!K:K,"NA",0,1)</f>
        <v>NA</v>
      </c>
      <c r="AI1157" s="43" t="str">
        <f>_xlfn.XLOOKUP(Table26[[#This Row],[customerSKU]],customerSKU!G:G,customerSKU!O:O,"not found",0,1)</f>
        <v>not found</v>
      </c>
      <c r="AJ1157" s="22" t="e">
        <f>Table26[[#This Row],[unitprice]]*Table26[[#This Row],[quantity_unit]]</f>
        <v>#VALUE!</v>
      </c>
      <c r="AK1157" s="22" t="e" cm="1">
        <f t="array" ref="AK11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8" spans="1:37" ht="18" customHeight="1">
      <c r="A1158" s="42">
        <v>1091</v>
      </c>
      <c r="B1158" s="42" t="s">
        <v>3357</v>
      </c>
      <c r="C1158" s="22" t="s">
        <v>203</v>
      </c>
      <c r="E1158" s="20"/>
      <c r="F1158" s="25"/>
      <c r="G1158" s="93"/>
      <c r="J1158" s="90" t="str">
        <f>IF(Table26[[#This Row],[customerSKU]]="","",_xlfn.XLOOKUP(Table26[[#This Row],[customerSKU]],customerSKU!G:G,customerSKU!A:A,"",0,1))</f>
        <v/>
      </c>
      <c r="K1158" s="232">
        <v>45719</v>
      </c>
      <c r="L1158" s="49" t="str">
        <f>IF(Table26[[#This Row],[customerSKU]]="","",_xlfn.XLOOKUP(Table26[[#This Row],[customerSKU]],customerSKU!G:G,customerSKU!B:B,"",0,1))</f>
        <v/>
      </c>
      <c r="M1158" s="22"/>
      <c r="N1158" s="15" t="str">
        <f>Table26[[#This Row],[po_number]]&amp;"-"&amp;Table26[[#This Row],[po_line]]</f>
        <v>-1</v>
      </c>
      <c r="O1158" s="15">
        <v>1</v>
      </c>
      <c r="P1158" s="50"/>
      <c r="Q1158" s="22" t="s">
        <v>4125</v>
      </c>
      <c r="R1158" s="22" t="s">
        <v>532</v>
      </c>
      <c r="S1158" s="90" t="str">
        <f>IF(Table26[[#This Row],[customerSKU]]="","",_xlfn.XLOOKUP(Table26[[#This Row],[customerSKU]],customerSKU!G:G,customerSKU!N:N,"NOT FOUND",0,1))</f>
        <v>NOT FOUND</v>
      </c>
      <c r="T1158" s="20">
        <v>45719</v>
      </c>
      <c r="U1158" s="94">
        <f>197*12</f>
        <v>2364</v>
      </c>
      <c r="V1158" s="22" t="str">
        <f>IF(ISBLANK(Table26[[#This Row],[customerSKU]]),"",_xlfn.XLOOKUP(Table26[[#This Row],[customerSKU]],Table27[customer_SKU],Table27[case_size],"",0,1))</f>
        <v/>
      </c>
      <c r="W1158" s="117" t="str">
        <f t="shared" si="53"/>
        <v/>
      </c>
      <c r="X1158" s="22" t="str">
        <f t="shared" ref="X1158:X1221" si="54">IFERROR($AA1158*$U1158, "")</f>
        <v/>
      </c>
      <c r="Y1158" s="25" t="str">
        <f>IF(Table26[[#This Row],[customerSKU]]="","",_xlfn.XLOOKUP(Table26[[#This Row],[customerSKU]],Table27[customer_SKU],Table27[product_GTIN],"",0,1))</f>
        <v/>
      </c>
      <c r="Z1158" s="25" t="s">
        <v>3637</v>
      </c>
      <c r="AA1158" s="18" t="str" cm="1">
        <f t="array" ref="AA1158">IF(P1158="", "", _xlfn.XLOOKUP(P1158,#REF!,#REF!,NA,0,-1))</f>
        <v/>
      </c>
      <c r="AB1158" s="22"/>
      <c r="AC1158" s="55" t="str">
        <f>IF(Table26[[#This Row],[customerSKU]]="","",_xlfn.XLOOKUP(Table26[[#This Row],[customerSKU]],customerSKU!G:G,customerSKU!C:C,"",0,1))</f>
        <v/>
      </c>
      <c r="AD1158" s="55" t="str">
        <f>IF($AC1158="","",_xlfn.XLOOKUP($AC1158,'[2]Client Info'!$C$2:$C$2535,'[2]Client Info'!$D$2:$D$2535,"",0,1))</f>
        <v/>
      </c>
      <c r="AE1158" s="55" t="str">
        <f>IF($AC1158="","",_xlfn.XLOOKUP($AC1158,'[2]Client Info'!$C$2:$C$2715,'[2]Client Info'!$E$2:$E$2715,"",))</f>
        <v/>
      </c>
      <c r="AF1158" s="55" t="str">
        <f>IF($AC1158="","",_xlfn.XLOOKUP($AC1158,'[2]Client Info'!$C$2:$C$2715,'[2]Client Info'!$F$2:$F$2715,"",0,1))</f>
        <v/>
      </c>
      <c r="AG1158" s="55" t="str">
        <f>IF(ISBLANK(Table26[[#This Row],[customerSKU]]),"",_xlfn.XLOOKUP(Table26[[#This Row],[customerSKU]],Table27[customer_SKU],Table27[billto],"",0,1))</f>
        <v/>
      </c>
      <c r="AH1158" s="26" t="str">
        <f>_xlfn.XLOOKUP(Table26[[#This Row],[customerSKU]],customerSKU!G:G,customerSKU!K:K,"NA",0,1)</f>
        <v>NA</v>
      </c>
      <c r="AI1158" s="43" t="str">
        <f>_xlfn.XLOOKUP(Table26[[#This Row],[customerSKU]],customerSKU!G:G,customerSKU!O:O,"not found",0,1)</f>
        <v>not found</v>
      </c>
      <c r="AJ1158" s="22" t="e">
        <f>Table26[[#This Row],[unitprice]]*Table26[[#This Row],[quantity_unit]]</f>
        <v>#VALUE!</v>
      </c>
      <c r="AK1158" s="22" t="e" cm="1">
        <f t="array" ref="AK11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59" spans="1:37" ht="18" customHeight="1">
      <c r="A1159" s="42">
        <v>1092</v>
      </c>
      <c r="B1159" s="42" t="s">
        <v>3357</v>
      </c>
      <c r="C1159" s="22" t="s">
        <v>203</v>
      </c>
      <c r="D1159" s="20">
        <v>45722</v>
      </c>
      <c r="E1159" s="20"/>
      <c r="F1159" s="25"/>
      <c r="G1159" s="93"/>
      <c r="J1159" s="90" t="str">
        <f>IF(Table26[[#This Row],[customerSKU]]="","",_xlfn.XLOOKUP(Table26[[#This Row],[customerSKU]],customerSKU!G:G,customerSKU!A:A,"",0,1))</f>
        <v/>
      </c>
      <c r="K1159" s="232">
        <v>45719</v>
      </c>
      <c r="L1159" s="49" t="str">
        <f>IF(Table26[[#This Row],[customerSKU]]="","",_xlfn.XLOOKUP(Table26[[#This Row],[customerSKU]],customerSKU!G:G,customerSKU!B:B,"",0,1))</f>
        <v/>
      </c>
      <c r="M1159" s="22"/>
      <c r="N1159" s="15" t="str">
        <f>Table26[[#This Row],[po_number]]&amp;"-"&amp;Table26[[#This Row],[po_line]]</f>
        <v>-1</v>
      </c>
      <c r="O1159" s="15">
        <v>1</v>
      </c>
      <c r="P1159" s="50"/>
      <c r="Q1159" s="22" t="s">
        <v>1660</v>
      </c>
      <c r="R1159" s="22" t="s">
        <v>569</v>
      </c>
      <c r="S1159" s="90" t="str">
        <f>IF(Table26[[#This Row],[customerSKU]]="","",_xlfn.XLOOKUP(Table26[[#This Row],[customerSKU]],customerSKU!G:G,customerSKU!N:N,"NOT FOUND",0,1))</f>
        <v>NOT FOUND</v>
      </c>
      <c r="T1159" s="20">
        <v>45693</v>
      </c>
      <c r="U1159" s="94">
        <v>60</v>
      </c>
      <c r="V1159" s="22" t="str">
        <f>IF(ISBLANK(Table26[[#This Row],[customerSKU]]),"",_xlfn.XLOOKUP(Table26[[#This Row],[customerSKU]],Table27[customer_SKU],Table27[case_size],"",0,1))</f>
        <v/>
      </c>
      <c r="W1159" s="117" t="str">
        <f t="shared" si="53"/>
        <v/>
      </c>
      <c r="X1159" s="22" t="str">
        <f t="shared" si="54"/>
        <v/>
      </c>
      <c r="Y1159" s="25" t="str">
        <f>IF(Table26[[#This Row],[customerSKU]]="","",_xlfn.XLOOKUP(Table26[[#This Row],[customerSKU]],Table27[customer_SKU],Table27[product_GTIN],"",0,1))</f>
        <v/>
      </c>
      <c r="Z1159" s="25" t="s">
        <v>3442</v>
      </c>
      <c r="AA1159" s="18" t="str" cm="1">
        <f t="array" ref="AA1159">IF(P1159="", "", _xlfn.XLOOKUP(P1159,#REF!,#REF!,NA,0,-1))</f>
        <v/>
      </c>
      <c r="AB1159" s="22"/>
      <c r="AC1159" s="55" t="str">
        <f>IF(Table26[[#This Row],[customerSKU]]="","",_xlfn.XLOOKUP(Table26[[#This Row],[customerSKU]],customerSKU!G:G,customerSKU!C:C,"",0,1))</f>
        <v/>
      </c>
      <c r="AD1159" s="55" t="str">
        <f>IF($AC1159="","",_xlfn.XLOOKUP($AC1159,'[2]Client Info'!$C$2:$C$2535,'[2]Client Info'!$D$2:$D$2535,"",0,1))</f>
        <v/>
      </c>
      <c r="AE1159" s="55" t="str">
        <f>IF($AC1159="","",_xlfn.XLOOKUP($AC1159,'[2]Client Info'!$C$2:$C$2715,'[2]Client Info'!$E$2:$E$2715,"",))</f>
        <v/>
      </c>
      <c r="AF1159" s="55" t="str">
        <f>IF($AC1159="","",_xlfn.XLOOKUP($AC1159,'[2]Client Info'!$C$2:$C$2715,'[2]Client Info'!$F$2:$F$2715,"",0,1))</f>
        <v/>
      </c>
      <c r="AG1159" s="55" t="str">
        <f>IF(ISBLANK(Table26[[#This Row],[customerSKU]]),"",_xlfn.XLOOKUP(Table26[[#This Row],[customerSKU]],Table27[customer_SKU],Table27[billto],"",0,1))</f>
        <v/>
      </c>
      <c r="AH1159" s="26">
        <v>19</v>
      </c>
      <c r="AI1159" s="43" t="str">
        <f>_xlfn.XLOOKUP(Table26[[#This Row],[customerSKU]],customerSKU!G:G,customerSKU!O:O,"not found",0,1)</f>
        <v>not found</v>
      </c>
      <c r="AJ1159" s="22">
        <f>Table26[[#This Row],[unitprice]]*Table26[[#This Row],[quantity_unit]]</f>
        <v>1140</v>
      </c>
      <c r="AK1159" s="227" t="e" cm="1">
        <f t="array" ref="AK11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160" spans="1:37" ht="18" customHeight="1">
      <c r="A1160" s="42">
        <v>1093</v>
      </c>
      <c r="B1160" s="42" t="s">
        <v>3357</v>
      </c>
      <c r="C1160" s="22" t="s">
        <v>203</v>
      </c>
      <c r="D1160" s="20">
        <v>45722</v>
      </c>
      <c r="E1160" s="20"/>
      <c r="F1160" s="25"/>
      <c r="G1160" s="93"/>
      <c r="J1160" s="90" t="str">
        <f>IF(Table26[[#This Row],[customerSKU]]="","",_xlfn.XLOOKUP(Table26[[#This Row],[customerSKU]],customerSKU!G:G,customerSKU!A:A,"",0,1))</f>
        <v/>
      </c>
      <c r="K1160" s="232">
        <v>45719</v>
      </c>
      <c r="L1160" s="49" t="str">
        <f>IF(Table26[[#This Row],[customerSKU]]="","",_xlfn.XLOOKUP(Table26[[#This Row],[customerSKU]],customerSKU!G:G,customerSKU!B:B,"",0,1))</f>
        <v/>
      </c>
      <c r="M1160" s="22"/>
      <c r="N1160" s="15" t="str">
        <f>Table26[[#This Row],[po_number]]&amp;"-"&amp;Table26[[#This Row],[po_line]]</f>
        <v>-2</v>
      </c>
      <c r="O1160" s="15">
        <v>2</v>
      </c>
      <c r="P1160" s="50"/>
      <c r="Q1160" s="22" t="s">
        <v>1660</v>
      </c>
      <c r="R1160" s="22" t="s">
        <v>569</v>
      </c>
      <c r="S1160" s="90" t="str">
        <f>IF(Table26[[#This Row],[customerSKU]]="","",_xlfn.XLOOKUP(Table26[[#This Row],[customerSKU]],customerSKU!G:G,customerSKU!N:N,"NOT FOUND",0,1))</f>
        <v>NOT FOUND</v>
      </c>
      <c r="T1160" s="20">
        <v>45707</v>
      </c>
      <c r="U1160" s="94">
        <v>240</v>
      </c>
      <c r="V1160" s="22" t="str">
        <f>IF(ISBLANK(Table26[[#This Row],[customerSKU]]),"",_xlfn.XLOOKUP(Table26[[#This Row],[customerSKU]],Table27[customer_SKU],Table27[case_size],"",0,1))</f>
        <v/>
      </c>
      <c r="W1160" s="117" t="str">
        <f t="shared" si="53"/>
        <v/>
      </c>
      <c r="X1160" s="22" t="str">
        <f t="shared" si="54"/>
        <v/>
      </c>
      <c r="Y1160" s="25" t="str">
        <f>IF(Table26[[#This Row],[customerSKU]]="","",_xlfn.XLOOKUP(Table26[[#This Row],[customerSKU]],Table27[customer_SKU],Table27[product_GTIN],"",0,1))</f>
        <v/>
      </c>
      <c r="Z1160" s="25" t="s">
        <v>3442</v>
      </c>
      <c r="AA1160" s="18" t="str" cm="1">
        <f t="array" ref="AA1160">IF(P1160="", "", _xlfn.XLOOKUP(P1160,#REF!,#REF!,NA,0,-1))</f>
        <v/>
      </c>
      <c r="AB1160" s="22"/>
      <c r="AC1160" s="55" t="str">
        <f>IF(Table26[[#This Row],[customerSKU]]="","",_xlfn.XLOOKUP(Table26[[#This Row],[customerSKU]],customerSKU!G:G,customerSKU!C:C,"",0,1))</f>
        <v/>
      </c>
      <c r="AD1160" s="55" t="str">
        <f>IF($AC1160="","",_xlfn.XLOOKUP($AC1160,'[2]Client Info'!$C$2:$C$2535,'[2]Client Info'!$D$2:$D$2535,"",0,1))</f>
        <v/>
      </c>
      <c r="AE1160" s="55" t="str">
        <f>IF($AC1160="","",_xlfn.XLOOKUP($AC1160,'[2]Client Info'!$C$2:$C$2715,'[2]Client Info'!$E$2:$E$2715,"",))</f>
        <v/>
      </c>
      <c r="AF1160" s="55" t="str">
        <f>IF($AC1160="","",_xlfn.XLOOKUP($AC1160,'[2]Client Info'!$C$2:$C$2715,'[2]Client Info'!$F$2:$F$2715,"",0,1))</f>
        <v/>
      </c>
      <c r="AG1160" s="55" t="str">
        <f>IF(ISBLANK(Table26[[#This Row],[customerSKU]]),"",_xlfn.XLOOKUP(Table26[[#This Row],[customerSKU]],Table27[customer_SKU],Table27[billto],"",0,1))</f>
        <v/>
      </c>
      <c r="AH1160" s="26">
        <v>19</v>
      </c>
      <c r="AI1160" s="43" t="str">
        <f>_xlfn.XLOOKUP(Table26[[#This Row],[customerSKU]],customerSKU!G:G,customerSKU!O:O,"not found",0,1)</f>
        <v>not found</v>
      </c>
      <c r="AJ1160" s="22">
        <f>Table26[[#This Row],[unitprice]]*Table26[[#This Row],[quantity_unit]]</f>
        <v>4560</v>
      </c>
      <c r="AK1160" s="227" t="e" cm="1">
        <f t="array" ref="AK11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161" spans="1:37" ht="18" customHeight="1">
      <c r="A1161" s="42">
        <v>1094</v>
      </c>
      <c r="B1161" s="42" t="s">
        <v>3357</v>
      </c>
      <c r="C1161" s="22" t="s">
        <v>203</v>
      </c>
      <c r="D1161" s="20">
        <v>45722</v>
      </c>
      <c r="E1161" s="20"/>
      <c r="F1161" s="25"/>
      <c r="G1161" s="93"/>
      <c r="J1161" s="90" t="str">
        <f>IF(Table26[[#This Row],[customerSKU]]="","",_xlfn.XLOOKUP(Table26[[#This Row],[customerSKU]],customerSKU!G:G,customerSKU!A:A,"",0,1))</f>
        <v/>
      </c>
      <c r="K1161" s="232">
        <v>45719</v>
      </c>
      <c r="L1161" s="49" t="str">
        <f>IF(Table26[[#This Row],[customerSKU]]="","",_xlfn.XLOOKUP(Table26[[#This Row],[customerSKU]],customerSKU!G:G,customerSKU!B:B,"",0,1))</f>
        <v/>
      </c>
      <c r="M1161" s="22"/>
      <c r="N1161" s="15" t="str">
        <f>Table26[[#This Row],[po_number]]&amp;"-"&amp;Table26[[#This Row],[po_line]]</f>
        <v>-3</v>
      </c>
      <c r="O1161" s="15">
        <v>3</v>
      </c>
      <c r="P1161" s="50"/>
      <c r="Q1161" s="22" t="s">
        <v>4086</v>
      </c>
      <c r="R1161" s="22" t="s">
        <v>569</v>
      </c>
      <c r="S1161" s="90" t="str">
        <f>IF(Table26[[#This Row],[customerSKU]]="","",_xlfn.XLOOKUP(Table26[[#This Row],[customerSKU]],customerSKU!G:G,customerSKU!N:N,"NOT FOUND",0,1))</f>
        <v>NOT FOUND</v>
      </c>
      <c r="T1161" s="20">
        <v>45631</v>
      </c>
      <c r="U1161" s="94">
        <v>420</v>
      </c>
      <c r="V1161" s="22" t="str">
        <f>IF(ISBLANK(Table26[[#This Row],[customerSKU]]),"",_xlfn.XLOOKUP(Table26[[#This Row],[customerSKU]],Table27[customer_SKU],Table27[case_size],"",0,1))</f>
        <v/>
      </c>
      <c r="W1161" s="117" t="str">
        <f t="shared" si="53"/>
        <v/>
      </c>
      <c r="X1161" s="22" t="str">
        <f t="shared" si="54"/>
        <v/>
      </c>
      <c r="Y1161" s="25" t="str">
        <f>IF(Table26[[#This Row],[customerSKU]]="","",_xlfn.XLOOKUP(Table26[[#This Row],[customerSKU]],Table27[customer_SKU],Table27[product_GTIN],"",0,1))</f>
        <v/>
      </c>
      <c r="Z1161" s="25" t="s">
        <v>3443</v>
      </c>
      <c r="AA1161" s="18" t="str" cm="1">
        <f t="array" ref="AA1161">IF(P1161="", "", _xlfn.XLOOKUP(P1161,#REF!,#REF!,NA,0,-1))</f>
        <v/>
      </c>
      <c r="AB1161" s="22"/>
      <c r="AC1161" s="55" t="str">
        <f>IF(Table26[[#This Row],[customerSKU]]="","",_xlfn.XLOOKUP(Table26[[#This Row],[customerSKU]],customerSKU!G:G,customerSKU!C:C,"",0,1))</f>
        <v/>
      </c>
      <c r="AD1161" s="55" t="str">
        <f>IF($AC1161="","",_xlfn.XLOOKUP($AC1161,'[2]Client Info'!$C$2:$C$2535,'[2]Client Info'!$D$2:$D$2535,"",0,1))</f>
        <v/>
      </c>
      <c r="AE1161" s="55" t="str">
        <f>IF($AC1161="","",_xlfn.XLOOKUP($AC1161,'[2]Client Info'!$C$2:$C$2715,'[2]Client Info'!$E$2:$E$2715,"",))</f>
        <v/>
      </c>
      <c r="AF1161" s="55" t="str">
        <f>IF($AC1161="","",_xlfn.XLOOKUP($AC1161,'[2]Client Info'!$C$2:$C$2715,'[2]Client Info'!$F$2:$F$2715,"",0,1))</f>
        <v/>
      </c>
      <c r="AG1161" s="55" t="str">
        <f>IF(ISBLANK(Table26[[#This Row],[customerSKU]]),"",_xlfn.XLOOKUP(Table26[[#This Row],[customerSKU]],Table27[customer_SKU],Table27[billto],"",0,1))</f>
        <v/>
      </c>
      <c r="AH1161" s="26">
        <v>19</v>
      </c>
      <c r="AI1161" s="43" t="str">
        <f>_xlfn.XLOOKUP(Table26[[#This Row],[customerSKU]],customerSKU!G:G,customerSKU!O:O,"not found",0,1)</f>
        <v>not found</v>
      </c>
      <c r="AJ1161" s="22">
        <f>Table26[[#This Row],[unitprice]]*Table26[[#This Row],[quantity_unit]]</f>
        <v>7980</v>
      </c>
      <c r="AK1161" s="227" t="e" cm="1">
        <f t="array" ref="AK11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162" spans="1:37" ht="18" customHeight="1">
      <c r="A1162" s="42">
        <v>1095</v>
      </c>
      <c r="B1162" s="42" t="s">
        <v>3357</v>
      </c>
      <c r="C1162" s="22" t="s">
        <v>203</v>
      </c>
      <c r="E1162" s="20"/>
      <c r="F1162" s="25"/>
      <c r="G1162" s="93"/>
      <c r="J1162" s="90" t="str">
        <f>IF(Table26[[#This Row],[customerSKU]]="","",_xlfn.XLOOKUP(Table26[[#This Row],[customerSKU]],customerSKU!G:G,customerSKU!A:A,"",0,1))</f>
        <v/>
      </c>
      <c r="K1162" s="232">
        <v>45719</v>
      </c>
      <c r="L1162" s="49" t="str">
        <f>IF(Table26[[#This Row],[customerSKU]]="","",_xlfn.XLOOKUP(Table26[[#This Row],[customerSKU]],customerSKU!G:G,customerSKU!B:B,"",0,1))</f>
        <v/>
      </c>
      <c r="M1162" s="22"/>
      <c r="N1162" s="15" t="str">
        <f>Table26[[#This Row],[po_number]]&amp;"-"&amp;Table26[[#This Row],[po_line]]</f>
        <v>-1</v>
      </c>
      <c r="O1162" s="15">
        <v>1</v>
      </c>
      <c r="P1162" s="50"/>
      <c r="Q1162" s="22" t="s">
        <v>4086</v>
      </c>
      <c r="R1162" s="22" t="s">
        <v>569</v>
      </c>
      <c r="S1162" s="90" t="str">
        <f>IF(Table26[[#This Row],[customerSKU]]="","",_xlfn.XLOOKUP(Table26[[#This Row],[customerSKU]],customerSKU!G:G,customerSKU!N:N,"NOT FOUND",0,1))</f>
        <v>NOT FOUND</v>
      </c>
      <c r="T1162" s="20">
        <v>45631</v>
      </c>
      <c r="U1162" s="94">
        <v>12</v>
      </c>
      <c r="V1162" s="22" t="str">
        <f>IF(ISBLANK(Table26[[#This Row],[customerSKU]]),"",_xlfn.XLOOKUP(Table26[[#This Row],[customerSKU]],Table27[customer_SKU],Table27[case_size],"",0,1))</f>
        <v/>
      </c>
      <c r="W1162" s="117" t="str">
        <f t="shared" si="53"/>
        <v/>
      </c>
      <c r="X1162" s="22" t="str">
        <f t="shared" si="54"/>
        <v/>
      </c>
      <c r="Y1162" s="25" t="str">
        <f>IF(Table26[[#This Row],[customerSKU]]="","",_xlfn.XLOOKUP(Table26[[#This Row],[customerSKU]],Table27[customer_SKU],Table27[product_GTIN],"",0,1))</f>
        <v/>
      </c>
      <c r="Z1162" s="25" t="s">
        <v>3372</v>
      </c>
      <c r="AA1162" s="18" t="str" cm="1">
        <f t="array" ref="AA1162">IF(P1162="", "", _xlfn.XLOOKUP(P1162,#REF!,#REF!,NA,0,-1))</f>
        <v/>
      </c>
      <c r="AB1162" s="22"/>
      <c r="AC1162" s="55" t="s">
        <v>4144</v>
      </c>
      <c r="AD1162" s="55" t="str">
        <f>IF($AC1162="","",_xlfn.XLOOKUP($AC1162,'[2]Client Info'!$C$2:$C$2535,'[2]Client Info'!$D$2:$D$2535,"",0,1))</f>
        <v>2580 Kingsway</v>
      </c>
      <c r="AE1162" s="55" t="str">
        <f>IF($AC1162="","",_xlfn.XLOOKUP($AC1162,'[2]Client Info'!$C$2:$C$2715,'[2]Client Info'!$E$2:$E$2715,"",))</f>
        <v>Vancouver</v>
      </c>
      <c r="AF1162" s="55" t="str">
        <f>IF($AC1162="","",_xlfn.XLOOKUP($AC1162,'[2]Client Info'!$C$2:$C$2715,'[2]Client Info'!$F$2:$F$2715,"",0,1))</f>
        <v xml:space="preserve">BC </v>
      </c>
      <c r="AG1162" s="55" t="s">
        <v>4144</v>
      </c>
      <c r="AH1162" s="26" t="str">
        <f>_xlfn.XLOOKUP(Table26[[#This Row],[customerSKU]],customerSKU!G:G,customerSKU!K:K,"NA",0,1)</f>
        <v>NA</v>
      </c>
      <c r="AI1162" s="43" t="str">
        <f>_xlfn.XLOOKUP(Table26[[#This Row],[customerSKU]],customerSKU!G:G,customerSKU!O:O,"not found",0,1)</f>
        <v>not found</v>
      </c>
      <c r="AJ1162" s="22" t="e">
        <f>Table26[[#This Row],[unitprice]]*Table26[[#This Row],[quantity_unit]]</f>
        <v>#VALUE!</v>
      </c>
      <c r="AK1162" s="22" t="e" cm="1">
        <f t="array" ref="AK11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3" spans="1:37" ht="18" customHeight="1">
      <c r="A1163" s="42">
        <v>1087</v>
      </c>
      <c r="B1163" s="42" t="s">
        <v>3357</v>
      </c>
      <c r="C1163" s="53" t="s">
        <v>3360</v>
      </c>
      <c r="E1163" s="20"/>
      <c r="F1163" s="25"/>
      <c r="G1163" s="93"/>
      <c r="J1163" s="90" t="str">
        <f>IF(Table26[[#This Row],[customerSKU]]="","",_xlfn.XLOOKUP(Table26[[#This Row],[customerSKU]],customerSKU!G:G,customerSKU!A:A,"",0,1))</f>
        <v/>
      </c>
      <c r="K1163" s="232">
        <v>45720</v>
      </c>
      <c r="L1163" s="49" t="str">
        <f>IF(Table26[[#This Row],[customerSKU]]="","",_xlfn.XLOOKUP(Table26[[#This Row],[customerSKU]],customerSKU!G:G,customerSKU!B:B,"",0,1))</f>
        <v/>
      </c>
      <c r="M1163" s="22"/>
      <c r="N1163" s="15" t="str">
        <f>Table26[[#This Row],[po_number]]&amp;"-"&amp;Table26[[#This Row],[po_line]]</f>
        <v>-1</v>
      </c>
      <c r="O1163" s="15">
        <v>1</v>
      </c>
      <c r="P1163" s="50"/>
      <c r="S1163" s="90" t="str">
        <f>IF(Table26[[#This Row],[customerSKU]]="","",_xlfn.XLOOKUP(Table26[[#This Row],[customerSKU]],customerSKU!G:G,customerSKU!N:N,"NOT FOUND",0,1))</f>
        <v>NOT FOUND</v>
      </c>
      <c r="T1163" s="20"/>
      <c r="U1163" s="94">
        <v>12</v>
      </c>
      <c r="V1163" s="22" t="str">
        <f>IF(ISBLANK(Table26[[#This Row],[customerSKU]]),"",_xlfn.XLOOKUP(Table26[[#This Row],[customerSKU]],Table27[customer_SKU],Table27[case_size],"",0,1))</f>
        <v/>
      </c>
      <c r="W1163" s="117" t="str">
        <f t="shared" si="53"/>
        <v/>
      </c>
      <c r="X1163" s="22" t="str">
        <f t="shared" si="54"/>
        <v/>
      </c>
      <c r="Y1163" s="25" t="str">
        <f>IF(Table26[[#This Row],[customerSKU]]="","",_xlfn.XLOOKUP(Table26[[#This Row],[customerSKU]],Table27[customer_SKU],Table27[product_GTIN],"",0,1))</f>
        <v/>
      </c>
      <c r="Z1163" s="25">
        <v>61619</v>
      </c>
      <c r="AA1163" s="18" t="str" cm="1">
        <f t="array" ref="AA1163">IF(P1163="", "", _xlfn.XLOOKUP(P1163,#REF!,#REF!,NA,0,-1))</f>
        <v/>
      </c>
      <c r="AB1163" s="22"/>
      <c r="AC1163" s="55" t="str">
        <f>IF(Table26[[#This Row],[customerSKU]]="","",_xlfn.XLOOKUP(Table26[[#This Row],[customerSKU]],customerSKU!G:G,customerSKU!C:C,"",0,1))</f>
        <v/>
      </c>
      <c r="AD1163" s="55" t="str">
        <f>IF($AC1163="","",_xlfn.XLOOKUP($AC1163,'[2]Client Info'!$C$2:$C$2535,'[2]Client Info'!$D$2:$D$2535,"",0,1))</f>
        <v/>
      </c>
      <c r="AE1163" s="55" t="str">
        <f>IF($AC1163="","",_xlfn.XLOOKUP($AC1163,'[2]Client Info'!$C$2:$C$2715,'[2]Client Info'!$E$2:$E$2715,"",))</f>
        <v/>
      </c>
      <c r="AF1163" s="55" t="str">
        <f>IF($AC1163="","",_xlfn.XLOOKUP($AC1163,'[2]Client Info'!$C$2:$C$2715,'[2]Client Info'!$F$2:$F$2715,"",0,1))</f>
        <v/>
      </c>
      <c r="AG1163" s="55" t="str">
        <f>IF(ISBLANK(Table26[[#This Row],[customerSKU]]),"",_xlfn.XLOOKUP(Table26[[#This Row],[customerSKU]],Table27[customer_SKU],Table27[billto],"",0,1))</f>
        <v/>
      </c>
      <c r="AH1163" s="26" t="str">
        <f>_xlfn.XLOOKUP(Table26[[#This Row],[customerSKU]],customerSKU!G:G,customerSKU!K:K,"NA",0,1)</f>
        <v>NA</v>
      </c>
      <c r="AI1163" s="43" t="str">
        <f>_xlfn.XLOOKUP(Table26[[#This Row],[customerSKU]],customerSKU!G:G,customerSKU!O:O,"not found",0,1)</f>
        <v>not found</v>
      </c>
      <c r="AJ1163" s="22" t="e">
        <f>Table26[[#This Row],[unitprice]]*Table26[[#This Row],[quantity_unit]]</f>
        <v>#VALUE!</v>
      </c>
      <c r="AK1163" s="22" t="e" cm="1">
        <f t="array" ref="AK11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4" spans="1:37" ht="18" customHeight="1">
      <c r="A1164" s="42">
        <v>1088</v>
      </c>
      <c r="B1164" s="42" t="s">
        <v>3357</v>
      </c>
      <c r="C1164" s="53" t="s">
        <v>3360</v>
      </c>
      <c r="E1164" s="20"/>
      <c r="F1164" s="25"/>
      <c r="G1164" s="93"/>
      <c r="J1164" s="90" t="str">
        <f>IF(Table26[[#This Row],[customerSKU]]="","",_xlfn.XLOOKUP(Table26[[#This Row],[customerSKU]],customerSKU!G:G,customerSKU!A:A,"",0,1))</f>
        <v/>
      </c>
      <c r="K1164" s="232">
        <v>45720</v>
      </c>
      <c r="L1164" s="49" t="str">
        <f>IF(Table26[[#This Row],[customerSKU]]="","",_xlfn.XLOOKUP(Table26[[#This Row],[customerSKU]],customerSKU!G:G,customerSKU!B:B,"",0,1))</f>
        <v/>
      </c>
      <c r="M1164" s="22"/>
      <c r="N1164" s="15" t="str">
        <f>Table26[[#This Row],[po_number]]&amp;"-"&amp;Table26[[#This Row],[po_line]]</f>
        <v>-1</v>
      </c>
      <c r="O1164" s="15">
        <v>1</v>
      </c>
      <c r="P1164" s="50"/>
      <c r="S1164" s="90" t="str">
        <f>IF(Table26[[#This Row],[customerSKU]]="","",_xlfn.XLOOKUP(Table26[[#This Row],[customerSKU]],customerSKU!G:G,customerSKU!N:N,"NOT FOUND",0,1))</f>
        <v>NOT FOUND</v>
      </c>
      <c r="T1164" s="20"/>
      <c r="U1164" s="94">
        <v>12</v>
      </c>
      <c r="V1164" s="22" t="str">
        <f>IF(ISBLANK(Table26[[#This Row],[customerSKU]]),"",_xlfn.XLOOKUP(Table26[[#This Row],[customerSKU]],Table27[customer_SKU],Table27[case_size],"",0,1))</f>
        <v/>
      </c>
      <c r="W1164" s="117" t="str">
        <f t="shared" si="53"/>
        <v/>
      </c>
      <c r="X1164" s="22" t="str">
        <f t="shared" si="54"/>
        <v/>
      </c>
      <c r="Y1164" s="25" t="str">
        <f>IF(Table26[[#This Row],[customerSKU]]="","",_xlfn.XLOOKUP(Table26[[#This Row],[customerSKU]],Table27[customer_SKU],Table27[product_GTIN],"",0,1))</f>
        <v/>
      </c>
      <c r="Z1164" s="25">
        <v>61619</v>
      </c>
      <c r="AA1164" s="18" t="str" cm="1">
        <f t="array" ref="AA1164">IF(P1164="", "", _xlfn.XLOOKUP(P1164,#REF!,#REF!,NA,0,-1))</f>
        <v/>
      </c>
      <c r="AB1164" s="22"/>
      <c r="AC1164" s="55" t="str">
        <f>IF(Table26[[#This Row],[customerSKU]]="","",_xlfn.XLOOKUP(Table26[[#This Row],[customerSKU]],customerSKU!G:G,customerSKU!C:C,"",0,1))</f>
        <v/>
      </c>
      <c r="AD1164" s="55" t="str">
        <f>IF($AC1164="","",_xlfn.XLOOKUP($AC1164,'[2]Client Info'!$C$2:$C$2535,'[2]Client Info'!$D$2:$D$2535,"",0,1))</f>
        <v/>
      </c>
      <c r="AE1164" s="55" t="str">
        <f>IF($AC1164="","",_xlfn.XLOOKUP($AC1164,'[2]Client Info'!$C$2:$C$2715,'[2]Client Info'!$E$2:$E$2715,"",))</f>
        <v/>
      </c>
      <c r="AF1164" s="55" t="str">
        <f>IF($AC1164="","",_xlfn.XLOOKUP($AC1164,'[2]Client Info'!$C$2:$C$2715,'[2]Client Info'!$F$2:$F$2715,"",0,1))</f>
        <v/>
      </c>
      <c r="AG1164" s="55" t="str">
        <f>IF(ISBLANK(Table26[[#This Row],[customerSKU]]),"",_xlfn.XLOOKUP(Table26[[#This Row],[customerSKU]],Table27[customer_SKU],Table27[billto],"",0,1))</f>
        <v/>
      </c>
      <c r="AH1164" s="26" t="str">
        <f>_xlfn.XLOOKUP(Table26[[#This Row],[customerSKU]],customerSKU!G:G,customerSKU!K:K,"NA",0,1)</f>
        <v>NA</v>
      </c>
      <c r="AI1164" s="43" t="str">
        <f>_xlfn.XLOOKUP(Table26[[#This Row],[customerSKU]],customerSKU!G:G,customerSKU!O:O,"not found",0,1)</f>
        <v>not found</v>
      </c>
      <c r="AJ1164" s="22" t="e">
        <f>Table26[[#This Row],[unitprice]]*Table26[[#This Row],[quantity_unit]]</f>
        <v>#VALUE!</v>
      </c>
      <c r="AK1164" s="22" t="e" cm="1">
        <f t="array" ref="AK11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5" spans="1:37" ht="18" customHeight="1">
      <c r="A1165" s="42">
        <v>1085</v>
      </c>
      <c r="B1165" s="42" t="s">
        <v>3357</v>
      </c>
      <c r="C1165" s="53" t="s">
        <v>203</v>
      </c>
      <c r="E1165" s="20"/>
      <c r="F1165" s="25"/>
      <c r="G1165" s="119"/>
      <c r="J1165" s="90" t="str">
        <f>IF(Table26[[#This Row],[customerSKU]]="","",_xlfn.XLOOKUP(Table26[[#This Row],[customerSKU]],customerSKU!G:G,customerSKU!A:A,"",0,1))</f>
        <v/>
      </c>
      <c r="K1165" s="232">
        <v>45721</v>
      </c>
      <c r="L1165" s="49" t="str">
        <f>IF(Table26[[#This Row],[customerSKU]]="","",_xlfn.XLOOKUP(Table26[[#This Row],[customerSKU]],customerSKU!G:G,customerSKU!B:B,"",0,1))</f>
        <v/>
      </c>
      <c r="M1165" s="22"/>
      <c r="N1165" s="15" t="str">
        <f>Table26[[#This Row],[po_number]]&amp;"-"&amp;Table26[[#This Row],[po_line]]</f>
        <v>-1</v>
      </c>
      <c r="O1165" s="15">
        <v>1</v>
      </c>
      <c r="P1165" s="50"/>
      <c r="Q1165" s="22" t="s">
        <v>3301</v>
      </c>
      <c r="R1165" s="22" t="s">
        <v>3302</v>
      </c>
      <c r="S1165" s="90" t="str">
        <f>IF(Table26[[#This Row],[customerSKU]]="","",_xlfn.XLOOKUP(Table26[[#This Row],[customerSKU]],customerSKU!G:G,customerSKU!N:N,"NOT FOUND",0,1))</f>
        <v>NOT FOUND</v>
      </c>
      <c r="T1165" s="20">
        <v>45707</v>
      </c>
      <c r="U1165" s="94">
        <f>12*25</f>
        <v>300</v>
      </c>
      <c r="V1165" s="22" t="str">
        <f>IF(ISBLANK(Table26[[#This Row],[customerSKU]]),"",_xlfn.XLOOKUP(Table26[[#This Row],[customerSKU]],Table27[customer_SKU],Table27[case_size],"",0,1))</f>
        <v/>
      </c>
      <c r="W1165" s="117" t="str">
        <f t="shared" si="53"/>
        <v/>
      </c>
      <c r="X1165" s="22" t="str">
        <f t="shared" si="54"/>
        <v/>
      </c>
      <c r="Y1165" s="25" t="str">
        <f>IF(Table26[[#This Row],[customerSKU]]="","",_xlfn.XLOOKUP(Table26[[#This Row],[customerSKU]],Table27[customer_SKU],Table27[product_GTIN],"",0,1))</f>
        <v/>
      </c>
      <c r="Z1165" s="25">
        <v>1068087</v>
      </c>
      <c r="AA1165" s="18" t="str" cm="1">
        <f t="array" ref="AA1165">IF(P1165="", "", _xlfn.XLOOKUP(P1165,#REF!,#REF!,NA,0,-1))</f>
        <v/>
      </c>
      <c r="AB1165" s="22"/>
      <c r="AC1165" s="55" t="s">
        <v>4084</v>
      </c>
      <c r="AD1165" s="55" t="str">
        <f>IF($AC1165="","",_xlfn.XLOOKUP($AC1165,'[2]Client Info'!$C$2:$C$2535,'[2]Client Info'!$D$2:$D$2535,"",0,1))</f>
        <v>1502 BROADWAY ST #3120</v>
      </c>
      <c r="AE1165" s="55" t="str">
        <f>IF($AC1165="","",_xlfn.XLOOKUP($AC1165,'[2]Client Info'!$C$2:$C$2715,'[2]Client Info'!$E$2:$E$2715,"",))</f>
        <v>PORT COQUITLAM</v>
      </c>
      <c r="AF1165" s="55" t="str">
        <f>IF($AC1165="","",_xlfn.XLOOKUP($AC1165,'[2]Client Info'!$C$2:$C$2715,'[2]Client Info'!$F$2:$F$2715,"",0,1))</f>
        <v xml:space="preserve">BC </v>
      </c>
      <c r="AG1165" s="55" t="s">
        <v>4084</v>
      </c>
      <c r="AH1165" s="26" t="str">
        <f>_xlfn.XLOOKUP(Table26[[#This Row],[customerSKU]],customerSKU!G:G,customerSKU!K:K,"NA",0,1)</f>
        <v>NA</v>
      </c>
      <c r="AI1165" s="43" t="str">
        <f>_xlfn.XLOOKUP(Table26[[#This Row],[customerSKU]],customerSKU!G:G,customerSKU!O:O,"not found",0,1)</f>
        <v>not found</v>
      </c>
      <c r="AJ1165" s="22" t="e">
        <f>Table26[[#This Row],[unitprice]]*Table26[[#This Row],[quantity_unit]]</f>
        <v>#VALUE!</v>
      </c>
      <c r="AK1165" s="22" t="e" cm="1">
        <f t="array" ref="AK11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6" spans="1:37" ht="18" customHeight="1">
      <c r="A1166" s="42">
        <v>1086</v>
      </c>
      <c r="B1166" s="42" t="s">
        <v>3357</v>
      </c>
      <c r="C1166" s="53" t="s">
        <v>3360</v>
      </c>
      <c r="D1166" s="20">
        <v>45726</v>
      </c>
      <c r="E1166" s="20"/>
      <c r="F1166" s="25"/>
      <c r="G1166" s="93"/>
      <c r="J1166" s="90" t="str">
        <f>IF(Table26[[#This Row],[customerSKU]]="","",_xlfn.XLOOKUP(Table26[[#This Row],[customerSKU]],customerSKU!G:G,customerSKU!A:A,"",0,1))</f>
        <v/>
      </c>
      <c r="K1166" s="232">
        <v>45721</v>
      </c>
      <c r="L1166" s="49" t="str">
        <f>IF(Table26[[#This Row],[customerSKU]]="","",_xlfn.XLOOKUP(Table26[[#This Row],[customerSKU]],customerSKU!G:G,customerSKU!B:B,"",0,1))</f>
        <v/>
      </c>
      <c r="M1166" s="22"/>
      <c r="N1166" s="15" t="str">
        <f>Table26[[#This Row],[po_number]]&amp;"-"&amp;Table26[[#This Row],[po_line]]</f>
        <v>-1</v>
      </c>
      <c r="O1166" s="15">
        <v>1</v>
      </c>
      <c r="P1166" s="50"/>
      <c r="Q1166" s="22" t="s">
        <v>3362</v>
      </c>
      <c r="R1166" s="22" t="s">
        <v>3302</v>
      </c>
      <c r="S1166" s="90" t="s">
        <v>170</v>
      </c>
      <c r="T1166" s="20">
        <v>45624</v>
      </c>
      <c r="U1166" s="94">
        <v>60</v>
      </c>
      <c r="V1166" s="22" t="str">
        <f>IF(ISBLANK(Table26[[#This Row],[customerSKU]]),"",_xlfn.XLOOKUP(Table26[[#This Row],[customerSKU]],Table27[customer_SKU],Table27[case_size],"",0,1))</f>
        <v/>
      </c>
      <c r="W1166" s="117" t="str">
        <f t="shared" si="53"/>
        <v/>
      </c>
      <c r="X1166" s="22" t="str">
        <f t="shared" si="54"/>
        <v/>
      </c>
      <c r="Y1166" s="25" t="str">
        <f>IF(Table26[[#This Row],[customerSKU]]="","",_xlfn.XLOOKUP(Table26[[#This Row],[customerSKU]],Table27[customer_SKU],Table27[product_GTIN],"",0,1))</f>
        <v/>
      </c>
      <c r="Z1166" s="25" t="s">
        <v>3363</v>
      </c>
      <c r="AA1166" s="18" t="str" cm="1">
        <f t="array" ref="AA1166">IF(P1166="", "", _xlfn.XLOOKUP(P1166,#REF!,#REF!,NA,0,-1))</f>
        <v/>
      </c>
      <c r="AB1166" s="22"/>
      <c r="AC1166" s="55" t="str">
        <f>IF(Table26[[#This Row],[customerSKU]]="","",_xlfn.XLOOKUP(Table26[[#This Row],[customerSKU]],customerSKU!G:G,customerSKU!C:C,"",0,1))</f>
        <v/>
      </c>
      <c r="AD1166" s="55" t="str">
        <f>IF($AC1166="","",_xlfn.XLOOKUP($AC1166,'[2]Client Info'!$C$2:$C$2535,'[2]Client Info'!$D$2:$D$2535,"",0,1))</f>
        <v/>
      </c>
      <c r="AE1166" s="55" t="str">
        <f>IF($AC1166="","",_xlfn.XLOOKUP($AC1166,'[2]Client Info'!$C$2:$C$2715,'[2]Client Info'!$E$2:$E$2715,"",))</f>
        <v/>
      </c>
      <c r="AF1166" s="55" t="str">
        <f>IF($AC1166="","",_xlfn.XLOOKUP($AC1166,'[2]Client Info'!$C$2:$C$2715,'[2]Client Info'!$F$2:$F$2715,"",0,1))</f>
        <v/>
      </c>
      <c r="AG1166" s="55" t="str">
        <f>IF(ISBLANK(Table26[[#This Row],[customerSKU]]),"",_xlfn.XLOOKUP(Table26[[#This Row],[customerSKU]],Table27[customer_SKU],Table27[billto],"",0,1))</f>
        <v/>
      </c>
      <c r="AH1166" s="26" t="str">
        <f>_xlfn.XLOOKUP(Table26[[#This Row],[customerSKU]],customerSKU!G:G,customerSKU!K:K,"NA",0,1)</f>
        <v>NA</v>
      </c>
      <c r="AI1166" s="43" t="str">
        <f>_xlfn.XLOOKUP(Table26[[#This Row],[customerSKU]],customerSKU!G:G,customerSKU!O:O,"not found",0,1)</f>
        <v>not found</v>
      </c>
      <c r="AJ1166" s="22" t="e">
        <f>Table26[[#This Row],[unitprice]]*Table26[[#This Row],[quantity_unit]]</f>
        <v>#VALUE!</v>
      </c>
      <c r="AK1166" s="22" t="e" cm="1">
        <f t="array" ref="AK11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7" spans="1:37" ht="18" customHeight="1">
      <c r="A1167" s="42">
        <v>1084</v>
      </c>
      <c r="B1167" s="42" t="s">
        <v>3357</v>
      </c>
      <c r="C1167" s="22" t="s">
        <v>203</v>
      </c>
      <c r="E1167" s="20"/>
      <c r="F1167" s="25"/>
      <c r="G1167" s="93"/>
      <c r="J1167" s="90" t="str">
        <f>IF(Table26[[#This Row],[customerSKU]]="","",_xlfn.XLOOKUP(Table26[[#This Row],[customerSKU]],customerSKU!G:G,customerSKU!A:A,"",0,1))</f>
        <v/>
      </c>
      <c r="K1167" s="232">
        <v>45723</v>
      </c>
      <c r="L1167" s="49" t="str">
        <f>IF(Table26[[#This Row],[customerSKU]]="","",_xlfn.XLOOKUP(Table26[[#This Row],[customerSKU]],customerSKU!G:G,customerSKU!B:B,"",0,1))</f>
        <v/>
      </c>
      <c r="M1167" s="22"/>
      <c r="N1167" s="15" t="str">
        <f>Table26[[#This Row],[po_number]]&amp;"-"&amp;Table26[[#This Row],[po_line]]</f>
        <v>-1</v>
      </c>
      <c r="O1167" s="15">
        <v>1</v>
      </c>
      <c r="P1167" s="50"/>
      <c r="Q1167" s="22" t="s">
        <v>3378</v>
      </c>
      <c r="R1167" s="22" t="s">
        <v>3369</v>
      </c>
      <c r="S1167" s="90" t="str">
        <f>IF(Table26[[#This Row],[customerSKU]]="","",_xlfn.XLOOKUP(Table26[[#This Row],[customerSKU]],customerSKU!G:G,customerSKU!N:N,"NOT FOUND",0,1))</f>
        <v>NOT FOUND</v>
      </c>
      <c r="T1167" s="20">
        <v>45666</v>
      </c>
      <c r="U1167" s="94">
        <v>3</v>
      </c>
      <c r="V1167" s="22" t="str">
        <f>IF(ISBLANK(Table26[[#This Row],[customerSKU]]),"",_xlfn.XLOOKUP(Table26[[#This Row],[customerSKU]],Table27[customer_SKU],Table27[case_size],"",0,1))</f>
        <v/>
      </c>
      <c r="W1167" s="117" t="str">
        <f t="shared" si="53"/>
        <v/>
      </c>
      <c r="X1167" s="22" t="str">
        <f t="shared" si="54"/>
        <v/>
      </c>
      <c r="Y1167" s="25" t="str">
        <f>IF(Table26[[#This Row],[customerSKU]]="","",_xlfn.XLOOKUP(Table26[[#This Row],[customerSKU]],Table27[customer_SKU],Table27[product_GTIN],"",0,1))</f>
        <v/>
      </c>
      <c r="Z1167" s="25" t="s">
        <v>4180</v>
      </c>
      <c r="AA1167" s="18" t="str" cm="1">
        <f t="array" ref="AA1167">IF(P1167="", "", _xlfn.XLOOKUP(P1167,#REF!,#REF!,NA,0,-1))</f>
        <v/>
      </c>
      <c r="AB1167" s="22"/>
      <c r="AC1167" s="55" t="str">
        <f>IF(Table26[[#This Row],[customerSKU]]="","",_xlfn.XLOOKUP(Table26[[#This Row],[customerSKU]],customerSKU!G:G,customerSKU!C:C,"",0,1))</f>
        <v/>
      </c>
      <c r="AD1167" s="55" t="str">
        <f>IF($AC1167="","",_xlfn.XLOOKUP($AC1167,'[2]Client Info'!$C$2:$C$2535,'[2]Client Info'!$D$2:$D$2535,"",0,1))</f>
        <v/>
      </c>
      <c r="AE1167" s="55" t="str">
        <f>IF($AC1167="","",_xlfn.XLOOKUP($AC1167,'[2]Client Info'!$C$2:$C$2715,'[2]Client Info'!$E$2:$E$2715,"",))</f>
        <v/>
      </c>
      <c r="AF1167" s="55" t="str">
        <f>IF($AC1167="","",_xlfn.XLOOKUP($AC1167,'[2]Client Info'!$C$2:$C$2715,'[2]Client Info'!$F$2:$F$2715,"",0,1))</f>
        <v/>
      </c>
      <c r="AG1167" s="55" t="str">
        <f>IF(ISBLANK(Table26[[#This Row],[customerSKU]]),"",_xlfn.XLOOKUP(Table26[[#This Row],[customerSKU]],Table27[customer_SKU],Table27[billto],"",0,1))</f>
        <v/>
      </c>
      <c r="AH1167" s="26" t="str">
        <f>_xlfn.XLOOKUP(Table26[[#This Row],[customerSKU]],customerSKU!G:G,customerSKU!K:K,"NA",0,1)</f>
        <v>NA</v>
      </c>
      <c r="AI1167" s="43" t="str">
        <f>_xlfn.XLOOKUP(Table26[[#This Row],[customerSKU]],customerSKU!G:G,customerSKU!O:O,"not found",0,1)</f>
        <v>not found</v>
      </c>
      <c r="AJ1167" s="22" t="e">
        <f>Table26[[#This Row],[unitprice]]*Table26[[#This Row],[quantity_unit]]</f>
        <v>#VALUE!</v>
      </c>
      <c r="AK1167" s="22" t="e" cm="1">
        <f t="array" ref="AK11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8" spans="1:37" ht="18" customHeight="1">
      <c r="A1168" s="42">
        <v>1064</v>
      </c>
      <c r="B1168" s="42" t="s">
        <v>3357</v>
      </c>
      <c r="C1168" s="53" t="s">
        <v>203</v>
      </c>
      <c r="E1168" s="20"/>
      <c r="F1168" s="25"/>
      <c r="G1168" s="93"/>
      <c r="J1168" s="90" t="str">
        <f>IF(Table26[[#This Row],[customerSKU]]="","",_xlfn.XLOOKUP(Table26[[#This Row],[customerSKU]],customerSKU!G:G,customerSKU!A:A,"",0,1))</f>
        <v/>
      </c>
      <c r="K1168" s="232">
        <v>45728</v>
      </c>
      <c r="L1168" s="49" t="str">
        <f>IF(Table26[[#This Row],[customerSKU]]="","",_xlfn.XLOOKUP(Table26[[#This Row],[customerSKU]],customerSKU!G:G,customerSKU!B:B,"",0,1))</f>
        <v/>
      </c>
      <c r="M1168" s="22"/>
      <c r="N1168" s="15" t="str">
        <f>Table26[[#This Row],[po_number]]&amp;"-"&amp;Table26[[#This Row],[po_line]]</f>
        <v>-1</v>
      </c>
      <c r="O1168" s="15">
        <v>1</v>
      </c>
      <c r="P1168" s="50"/>
      <c r="Q1168" s="22" t="s">
        <v>1609</v>
      </c>
      <c r="R1168" s="22" t="s">
        <v>569</v>
      </c>
      <c r="S1168" s="90" t="str">
        <f>IF(Table26[[#This Row],[customerSKU]]="","",_xlfn.XLOOKUP(Table26[[#This Row],[customerSKU]],customerSKU!G:G,customerSKU!N:N,"NOT FOUND",0,1))</f>
        <v>NOT FOUND</v>
      </c>
      <c r="T1168" s="20">
        <v>45728</v>
      </c>
      <c r="U1168" s="94">
        <v>24</v>
      </c>
      <c r="V1168" s="22" t="str">
        <f>IF(ISBLANK(Table26[[#This Row],[customerSKU]]),"",_xlfn.XLOOKUP(Table26[[#This Row],[customerSKU]],Table27[customer_SKU],Table27[case_size],"",0,1))</f>
        <v/>
      </c>
      <c r="W1168" s="117" t="str">
        <f t="shared" si="53"/>
        <v/>
      </c>
      <c r="X1168" s="22" t="str">
        <f t="shared" si="54"/>
        <v/>
      </c>
      <c r="Y1168" s="25" t="str">
        <f>IF(Table26[[#This Row],[customerSKU]]="","",_xlfn.XLOOKUP(Table26[[#This Row],[customerSKU]],Table27[customer_SKU],Table27[product_GTIN],"",0,1))</f>
        <v/>
      </c>
      <c r="Z1168" s="25" t="s">
        <v>3416</v>
      </c>
      <c r="AA1168" s="18" t="str" cm="1">
        <f t="array" ref="AA1168">IF(P1168="", "", _xlfn.XLOOKUP(P1168,#REF!,#REF!,NA,0,-1))</f>
        <v/>
      </c>
      <c r="AB1168" s="22"/>
      <c r="AC1168" s="55" t="s">
        <v>3446</v>
      </c>
      <c r="AD1168" s="55" t="str">
        <f>IF($AC1168="","",_xlfn.XLOOKUP($AC1168,'[2]Client Info'!$C$2:$C$2535,'[2]Client Info'!$D$2:$D$2535,"",0,1))</f>
        <v>#102-935 Brunette Ave</v>
      </c>
      <c r="AE1168" s="55" t="str">
        <f>IF($AC1168="","",_xlfn.XLOOKUP($AC1168,'[2]Client Info'!$C$2:$C$2715,'[2]Client Info'!$E$2:$E$2715,"",))</f>
        <v>Coquitlam</v>
      </c>
      <c r="AF1168" s="55" t="str">
        <f>IF($AC1168="","",_xlfn.XLOOKUP($AC1168,'[2]Client Info'!$C$2:$C$2715,'[2]Client Info'!$F$2:$F$2715,"",0,1))</f>
        <v>BC</v>
      </c>
      <c r="AG1168" s="55" t="s">
        <v>3446</v>
      </c>
      <c r="AH1168" s="26" t="str">
        <f>_xlfn.XLOOKUP(Table26[[#This Row],[customerSKU]],customerSKU!G:G,customerSKU!K:K,"NA",0,1)</f>
        <v>NA</v>
      </c>
      <c r="AI1168" s="43" t="str">
        <f>_xlfn.XLOOKUP(Table26[[#This Row],[customerSKU]],customerSKU!G:G,customerSKU!O:O,"not found",0,1)</f>
        <v>not found</v>
      </c>
      <c r="AJ1168" s="22" t="e">
        <f>Table26[[#This Row],[unitprice]]*Table26[[#This Row],[quantity_unit]]</f>
        <v>#VALUE!</v>
      </c>
      <c r="AK1168" s="22" t="e" cm="1">
        <f t="array" ref="AK11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69" spans="1:37" ht="18" customHeight="1">
      <c r="A1169" s="42">
        <v>1065</v>
      </c>
      <c r="B1169" s="42" t="s">
        <v>3357</v>
      </c>
      <c r="C1169" s="53" t="s">
        <v>203</v>
      </c>
      <c r="E1169" s="20"/>
      <c r="F1169" s="25"/>
      <c r="G1169" s="93"/>
      <c r="J1169" s="90" t="str">
        <f>IF(Table26[[#This Row],[customerSKU]]="","",_xlfn.XLOOKUP(Table26[[#This Row],[customerSKU]],customerSKU!G:G,customerSKU!A:A,"",0,1))</f>
        <v/>
      </c>
      <c r="K1169" s="232">
        <v>45728</v>
      </c>
      <c r="L1169" s="49" t="str">
        <f>IF(Table26[[#This Row],[customerSKU]]="","",_xlfn.XLOOKUP(Table26[[#This Row],[customerSKU]],customerSKU!G:G,customerSKU!B:B,"",0,1))</f>
        <v/>
      </c>
      <c r="M1169" s="22"/>
      <c r="N1169" s="15" t="str">
        <f>Table26[[#This Row],[po_number]]&amp;"-"&amp;Table26[[#This Row],[po_line]]</f>
        <v>-2</v>
      </c>
      <c r="O1169" s="15">
        <v>2</v>
      </c>
      <c r="P1169" s="50"/>
      <c r="Q1169" s="22" t="s">
        <v>1575</v>
      </c>
      <c r="R1169" s="22" t="s">
        <v>569</v>
      </c>
      <c r="S1169" s="90" t="str">
        <f>IF(Table26[[#This Row],[customerSKU]]="","",_xlfn.XLOOKUP(Table26[[#This Row],[customerSKU]],customerSKU!G:G,customerSKU!N:N,"NOT FOUND",0,1))</f>
        <v>NOT FOUND</v>
      </c>
      <c r="T1169" s="20">
        <v>45728</v>
      </c>
      <c r="U1169" s="94">
        <v>24</v>
      </c>
      <c r="V1169" s="22" t="str">
        <f>IF(ISBLANK(Table26[[#This Row],[customerSKU]]),"",_xlfn.XLOOKUP(Table26[[#This Row],[customerSKU]],Table27[customer_SKU],Table27[case_size],"",0,1))</f>
        <v/>
      </c>
      <c r="W1169" s="117" t="str">
        <f t="shared" si="53"/>
        <v/>
      </c>
      <c r="X1169" s="22" t="str">
        <f t="shared" si="54"/>
        <v/>
      </c>
      <c r="Y1169" s="25" t="str">
        <f>IF(Table26[[#This Row],[customerSKU]]="","",_xlfn.XLOOKUP(Table26[[#This Row],[customerSKU]],Table27[customer_SKU],Table27[product_GTIN],"",0,1))</f>
        <v/>
      </c>
      <c r="Z1169" s="25" t="s">
        <v>3609</v>
      </c>
      <c r="AA1169" s="18" t="str" cm="1">
        <f t="array" ref="AA1169">IF(P1169="", "", _xlfn.XLOOKUP(P1169,#REF!,#REF!,NA,0,-1))</f>
        <v/>
      </c>
      <c r="AB1169" s="22"/>
      <c r="AC1169" s="55" t="s">
        <v>3446</v>
      </c>
      <c r="AD1169" s="55" t="str">
        <f>IF($AC1169="","",_xlfn.XLOOKUP($AC1169,'[2]Client Info'!$C$2:$C$2535,'[2]Client Info'!$D$2:$D$2535,"",0,1))</f>
        <v>#102-935 Brunette Ave</v>
      </c>
      <c r="AE1169" s="55" t="str">
        <f>IF($AC1169="","",_xlfn.XLOOKUP($AC1169,'[2]Client Info'!$C$2:$C$2715,'[2]Client Info'!$E$2:$E$2715,"",))</f>
        <v>Coquitlam</v>
      </c>
      <c r="AF1169" s="55" t="str">
        <f>IF($AC1169="","",_xlfn.XLOOKUP($AC1169,'[2]Client Info'!$C$2:$C$2715,'[2]Client Info'!$F$2:$F$2715,"",0,1))</f>
        <v>BC</v>
      </c>
      <c r="AG1169" s="55" t="s">
        <v>3446</v>
      </c>
      <c r="AH1169" s="26" t="str">
        <f>_xlfn.XLOOKUP(Table26[[#This Row],[customerSKU]],customerSKU!G:G,customerSKU!K:K,"NA",0,1)</f>
        <v>NA</v>
      </c>
      <c r="AI1169" s="43" t="str">
        <f>_xlfn.XLOOKUP(Table26[[#This Row],[customerSKU]],customerSKU!G:G,customerSKU!O:O,"not found",0,1)</f>
        <v>not found</v>
      </c>
      <c r="AJ1169" s="22" t="e">
        <f>Table26[[#This Row],[unitprice]]*Table26[[#This Row],[quantity_unit]]</f>
        <v>#VALUE!</v>
      </c>
      <c r="AK1169" s="22" t="e" cm="1">
        <f t="array" ref="AK11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0" spans="1:37" ht="18" customHeight="1">
      <c r="A1170" s="42">
        <v>1066</v>
      </c>
      <c r="B1170" s="42" t="s">
        <v>3357</v>
      </c>
      <c r="C1170" s="53" t="s">
        <v>203</v>
      </c>
      <c r="E1170" s="20"/>
      <c r="F1170" s="25"/>
      <c r="G1170" s="93"/>
      <c r="J1170" s="90" t="str">
        <f>IF(Table26[[#This Row],[customerSKU]]="","",_xlfn.XLOOKUP(Table26[[#This Row],[customerSKU]],customerSKU!G:G,customerSKU!A:A,"",0,1))</f>
        <v/>
      </c>
      <c r="K1170" s="232">
        <v>45728</v>
      </c>
      <c r="L1170" s="49" t="str">
        <f>IF(Table26[[#This Row],[customerSKU]]="","",_xlfn.XLOOKUP(Table26[[#This Row],[customerSKU]],customerSKU!G:G,customerSKU!B:B,"",0,1))</f>
        <v/>
      </c>
      <c r="M1170" s="22"/>
      <c r="N1170" s="15" t="str">
        <f>Table26[[#This Row],[po_number]]&amp;"-"&amp;Table26[[#This Row],[po_line]]</f>
        <v>-3</v>
      </c>
      <c r="O1170" s="15">
        <v>3</v>
      </c>
      <c r="P1170" s="50"/>
      <c r="Q1170" s="22" t="s">
        <v>828</v>
      </c>
      <c r="R1170" s="22" t="s">
        <v>569</v>
      </c>
      <c r="S1170" s="90" t="str">
        <f>IF(Table26[[#This Row],[customerSKU]]="","",_xlfn.XLOOKUP(Table26[[#This Row],[customerSKU]],customerSKU!G:G,customerSKU!N:N,"NOT FOUND",0,1))</f>
        <v>NOT FOUND</v>
      </c>
      <c r="T1170" s="20">
        <v>45685</v>
      </c>
      <c r="U1170" s="94">
        <v>24</v>
      </c>
      <c r="V1170" s="22" t="str">
        <f>IF(ISBLANK(Table26[[#This Row],[customerSKU]]),"",_xlfn.XLOOKUP(Table26[[#This Row],[customerSKU]],Table27[customer_SKU],Table27[case_size],"",0,1))</f>
        <v/>
      </c>
      <c r="W1170" s="117" t="str">
        <f t="shared" si="53"/>
        <v/>
      </c>
      <c r="X1170" s="22" t="str">
        <f t="shared" si="54"/>
        <v/>
      </c>
      <c r="Y1170" s="25" t="str">
        <f>IF(Table26[[#This Row],[customerSKU]]="","",_xlfn.XLOOKUP(Table26[[#This Row],[customerSKU]],Table27[customer_SKU],Table27[product_GTIN],"",0,1))</f>
        <v/>
      </c>
      <c r="Z1170" s="25" t="s">
        <v>3364</v>
      </c>
      <c r="AA1170" s="18" t="str" cm="1">
        <f t="array" ref="AA1170">IF(P1170="", "", _xlfn.XLOOKUP(P1170,#REF!,#REF!,NA,0,-1))</f>
        <v/>
      </c>
      <c r="AB1170" s="22"/>
      <c r="AC1170" s="55" t="s">
        <v>3446</v>
      </c>
      <c r="AD1170" s="55" t="str">
        <f>IF($AC1170="","",_xlfn.XLOOKUP($AC1170,'[2]Client Info'!$C$2:$C$2535,'[2]Client Info'!$D$2:$D$2535,"",0,1))</f>
        <v>#102-935 Brunette Ave</v>
      </c>
      <c r="AE1170" s="55" t="str">
        <f>IF($AC1170="","",_xlfn.XLOOKUP($AC1170,'[2]Client Info'!$C$2:$C$2715,'[2]Client Info'!$E$2:$E$2715,"",))</f>
        <v>Coquitlam</v>
      </c>
      <c r="AF1170" s="55" t="str">
        <f>IF($AC1170="","",_xlfn.XLOOKUP($AC1170,'[2]Client Info'!$C$2:$C$2715,'[2]Client Info'!$F$2:$F$2715,"",0,1))</f>
        <v>BC</v>
      </c>
      <c r="AG1170" s="55" t="s">
        <v>3446</v>
      </c>
      <c r="AH1170" s="26" t="str">
        <f>_xlfn.XLOOKUP(Table26[[#This Row],[customerSKU]],customerSKU!G:G,customerSKU!K:K,"NA",0,1)</f>
        <v>NA</v>
      </c>
      <c r="AI1170" s="43" t="str">
        <f>_xlfn.XLOOKUP(Table26[[#This Row],[customerSKU]],customerSKU!G:G,customerSKU!O:O,"not found",0,1)</f>
        <v>not found</v>
      </c>
      <c r="AJ1170" s="22" t="e">
        <f>Table26[[#This Row],[unitprice]]*Table26[[#This Row],[quantity_unit]]</f>
        <v>#VALUE!</v>
      </c>
      <c r="AK1170" s="22" t="e" cm="1">
        <f t="array" ref="AK11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1" spans="1:37" ht="18" customHeight="1">
      <c r="A1171" s="42">
        <v>1067</v>
      </c>
      <c r="B1171" s="42" t="s">
        <v>3357</v>
      </c>
      <c r="C1171" s="53" t="s">
        <v>203</v>
      </c>
      <c r="E1171" s="20"/>
      <c r="F1171" s="25"/>
      <c r="G1171" s="93"/>
      <c r="J1171" s="90" t="str">
        <f>IF(Table26[[#This Row],[customerSKU]]="","",_xlfn.XLOOKUP(Table26[[#This Row],[customerSKU]],customerSKU!G:G,customerSKU!A:A,"",0,1))</f>
        <v/>
      </c>
      <c r="K1171" s="232">
        <v>45728</v>
      </c>
      <c r="L1171" s="49" t="str">
        <f>IF(Table26[[#This Row],[customerSKU]]="","",_xlfn.XLOOKUP(Table26[[#This Row],[customerSKU]],customerSKU!G:G,customerSKU!B:B,"",0,1))</f>
        <v/>
      </c>
      <c r="M1171" s="22"/>
      <c r="N1171" s="15" t="str">
        <f>Table26[[#This Row],[po_number]]&amp;"-"&amp;Table26[[#This Row],[po_line]]</f>
        <v>-4</v>
      </c>
      <c r="O1171" s="15">
        <v>4</v>
      </c>
      <c r="P1171" s="50"/>
      <c r="Q1171" s="22" t="s">
        <v>587</v>
      </c>
      <c r="R1171" s="22" t="s">
        <v>569</v>
      </c>
      <c r="S1171" s="90" t="str">
        <f>IF(Table26[[#This Row],[customerSKU]]="","",_xlfn.XLOOKUP(Table26[[#This Row],[customerSKU]],customerSKU!G:G,customerSKU!N:N,"NOT FOUND",0,1))</f>
        <v>NOT FOUND</v>
      </c>
      <c r="T1171" s="20">
        <v>45728</v>
      </c>
      <c r="U1171" s="94">
        <v>24</v>
      </c>
      <c r="V1171" s="22" t="str">
        <f>IF(ISBLANK(Table26[[#This Row],[customerSKU]]),"",_xlfn.XLOOKUP(Table26[[#This Row],[customerSKU]],Table27[customer_SKU],Table27[case_size],"",0,1))</f>
        <v/>
      </c>
      <c r="W1171" s="117" t="str">
        <f t="shared" si="53"/>
        <v/>
      </c>
      <c r="X1171" s="22" t="str">
        <f t="shared" si="54"/>
        <v/>
      </c>
      <c r="Y1171" s="25" t="str">
        <f>IF(Table26[[#This Row],[customerSKU]]="","",_xlfn.XLOOKUP(Table26[[#This Row],[customerSKU]],Table27[customer_SKU],Table27[product_GTIN],"",0,1))</f>
        <v/>
      </c>
      <c r="Z1171" s="25" t="s">
        <v>3403</v>
      </c>
      <c r="AA1171" s="18" t="str" cm="1">
        <f t="array" ref="AA1171">IF(P1171="", "", _xlfn.XLOOKUP(P1171,#REF!,#REF!,NA,0,-1))</f>
        <v/>
      </c>
      <c r="AB1171" s="22"/>
      <c r="AC1171" s="55" t="s">
        <v>3446</v>
      </c>
      <c r="AD1171" s="55" t="str">
        <f>IF($AC1171="","",_xlfn.XLOOKUP($AC1171,'[2]Client Info'!$C$2:$C$2535,'[2]Client Info'!$D$2:$D$2535,"",0,1))</f>
        <v>#102-935 Brunette Ave</v>
      </c>
      <c r="AE1171" s="55" t="str">
        <f>IF($AC1171="","",_xlfn.XLOOKUP($AC1171,'[2]Client Info'!$C$2:$C$2715,'[2]Client Info'!$E$2:$E$2715,"",))</f>
        <v>Coquitlam</v>
      </c>
      <c r="AF1171" s="55" t="str">
        <f>IF($AC1171="","",_xlfn.XLOOKUP($AC1171,'[2]Client Info'!$C$2:$C$2715,'[2]Client Info'!$F$2:$F$2715,"",0,1))</f>
        <v>BC</v>
      </c>
      <c r="AG1171" s="55" t="s">
        <v>3446</v>
      </c>
      <c r="AH1171" s="26" t="str">
        <f>_xlfn.XLOOKUP(Table26[[#This Row],[customerSKU]],customerSKU!G:G,customerSKU!K:K,"NA",0,1)</f>
        <v>NA</v>
      </c>
      <c r="AI1171" s="43" t="str">
        <f>_xlfn.XLOOKUP(Table26[[#This Row],[customerSKU]],customerSKU!G:G,customerSKU!O:O,"not found",0,1)</f>
        <v>not found</v>
      </c>
      <c r="AJ1171" s="22" t="e">
        <f>Table26[[#This Row],[unitprice]]*Table26[[#This Row],[quantity_unit]]</f>
        <v>#VALUE!</v>
      </c>
      <c r="AK1171" s="22" t="e" cm="1">
        <f t="array" ref="AK11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2" spans="1:37" ht="24.6" customHeight="1">
      <c r="A1172" s="42">
        <v>1068</v>
      </c>
      <c r="B1172" s="42" t="s">
        <v>3357</v>
      </c>
      <c r="C1172" s="53" t="s">
        <v>203</v>
      </c>
      <c r="E1172" s="20"/>
      <c r="F1172" s="25"/>
      <c r="G1172" s="93"/>
      <c r="J1172" s="90" t="str">
        <f>IF(Table26[[#This Row],[customerSKU]]="","",_xlfn.XLOOKUP(Table26[[#This Row],[customerSKU]],customerSKU!G:G,customerSKU!A:A,"",0,1))</f>
        <v/>
      </c>
      <c r="K1172" s="232">
        <v>45728</v>
      </c>
      <c r="L1172" s="49" t="str">
        <f>IF(Table26[[#This Row],[customerSKU]]="","",_xlfn.XLOOKUP(Table26[[#This Row],[customerSKU]],customerSKU!G:G,customerSKU!B:B,"",0,1))</f>
        <v/>
      </c>
      <c r="M1172" s="22"/>
      <c r="N1172" s="15" t="str">
        <f>Table26[[#This Row],[po_number]]&amp;"-"&amp;Table26[[#This Row],[po_line]]</f>
        <v>-5</v>
      </c>
      <c r="O1172" s="15">
        <v>5</v>
      </c>
      <c r="P1172" s="50"/>
      <c r="Q1172" s="22" t="s">
        <v>869</v>
      </c>
      <c r="R1172" s="22" t="s">
        <v>569</v>
      </c>
      <c r="S1172" s="90" t="str">
        <f>IF(Table26[[#This Row],[customerSKU]]="","",_xlfn.XLOOKUP(Table26[[#This Row],[customerSKU]],customerSKU!G:G,customerSKU!N:N,"NOT FOUND",0,1))</f>
        <v>NOT FOUND</v>
      </c>
      <c r="T1172" s="20">
        <v>45728</v>
      </c>
      <c r="U1172" s="94">
        <v>24</v>
      </c>
      <c r="V1172" s="22" t="str">
        <f>IF(ISBLANK(Table26[[#This Row],[customerSKU]]),"",_xlfn.XLOOKUP(Table26[[#This Row],[customerSKU]],Table27[customer_SKU],Table27[case_size],"",0,1))</f>
        <v/>
      </c>
      <c r="W1172" s="117" t="str">
        <f t="shared" si="53"/>
        <v/>
      </c>
      <c r="X1172" s="22" t="str">
        <f t="shared" si="54"/>
        <v/>
      </c>
      <c r="Y1172" s="25" t="str">
        <f>IF(Table26[[#This Row],[customerSKU]]="","",_xlfn.XLOOKUP(Table26[[#This Row],[customerSKU]],Table27[customer_SKU],Table27[product_GTIN],"",0,1))</f>
        <v/>
      </c>
      <c r="Z1172" s="25" t="s">
        <v>3376</v>
      </c>
      <c r="AA1172" s="18" t="str" cm="1">
        <f t="array" ref="AA1172">IF(P1172="", "", _xlfn.XLOOKUP(P1172,#REF!,#REF!,NA,0,-1))</f>
        <v/>
      </c>
      <c r="AB1172" s="22"/>
      <c r="AC1172" s="55" t="s">
        <v>3446</v>
      </c>
      <c r="AD1172" s="55" t="str">
        <f>IF($AC1172="","",_xlfn.XLOOKUP($AC1172,'[2]Client Info'!$C$2:$C$2535,'[2]Client Info'!$D$2:$D$2535,"",0,1))</f>
        <v>#102-935 Brunette Ave</v>
      </c>
      <c r="AE1172" s="55" t="str">
        <f>IF($AC1172="","",_xlfn.XLOOKUP($AC1172,'[2]Client Info'!$C$2:$C$2715,'[2]Client Info'!$E$2:$E$2715,"",))</f>
        <v>Coquitlam</v>
      </c>
      <c r="AF1172" s="55" t="str">
        <f>IF($AC1172="","",_xlfn.XLOOKUP($AC1172,'[2]Client Info'!$C$2:$C$2715,'[2]Client Info'!$F$2:$F$2715,"",0,1))</f>
        <v>BC</v>
      </c>
      <c r="AG1172" s="55" t="s">
        <v>3446</v>
      </c>
      <c r="AH1172" s="26" t="str">
        <f>_xlfn.XLOOKUP(Table26[[#This Row],[customerSKU]],customerSKU!G:G,customerSKU!K:K,"NA",0,1)</f>
        <v>NA</v>
      </c>
      <c r="AI1172" s="43" t="str">
        <f>_xlfn.XLOOKUP(Table26[[#This Row],[customerSKU]],customerSKU!G:G,customerSKU!O:O,"not found",0,1)</f>
        <v>not found</v>
      </c>
      <c r="AJ1172" s="22" t="e">
        <f>Table26[[#This Row],[unitprice]]*Table26[[#This Row],[quantity_unit]]</f>
        <v>#VALUE!</v>
      </c>
      <c r="AK1172" s="22" t="e" cm="1">
        <f t="array" ref="AK11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3" spans="1:37" ht="24.6" customHeight="1">
      <c r="A1173" s="42">
        <v>1069</v>
      </c>
      <c r="B1173" s="42" t="s">
        <v>3357</v>
      </c>
      <c r="C1173" s="53" t="s">
        <v>203</v>
      </c>
      <c r="E1173" s="20"/>
      <c r="F1173" s="25"/>
      <c r="G1173" s="93"/>
      <c r="J1173" s="90" t="str">
        <f>IF(Table26[[#This Row],[customerSKU]]="","",_xlfn.XLOOKUP(Table26[[#This Row],[customerSKU]],customerSKU!G:G,customerSKU!A:A,"",0,1))</f>
        <v/>
      </c>
      <c r="K1173" s="232">
        <v>45728</v>
      </c>
      <c r="L1173" s="49" t="str">
        <f>IF(Table26[[#This Row],[customerSKU]]="","",_xlfn.XLOOKUP(Table26[[#This Row],[customerSKU]],customerSKU!G:G,customerSKU!B:B,"",0,1))</f>
        <v/>
      </c>
      <c r="M1173" s="22"/>
      <c r="N1173" s="15" t="str">
        <f>Table26[[#This Row],[po_number]]&amp;"-"&amp;Table26[[#This Row],[po_line]]</f>
        <v>-6</v>
      </c>
      <c r="O1173" s="15">
        <v>6</v>
      </c>
      <c r="P1173" s="50"/>
      <c r="Q1173" s="22" t="s">
        <v>625</v>
      </c>
      <c r="R1173" s="22" t="s">
        <v>569</v>
      </c>
      <c r="S1173" s="90" t="str">
        <f>IF(Table26[[#This Row],[customerSKU]]="","",_xlfn.XLOOKUP(Table26[[#This Row],[customerSKU]],customerSKU!G:G,customerSKU!N:N,"NOT FOUND",0,1))</f>
        <v>NOT FOUND</v>
      </c>
      <c r="T1173" s="20">
        <v>45707</v>
      </c>
      <c r="U1173" s="94">
        <v>12</v>
      </c>
      <c r="V1173" s="22" t="str">
        <f>IF(ISBLANK(Table26[[#This Row],[customerSKU]]),"",_xlfn.XLOOKUP(Table26[[#This Row],[customerSKU]],Table27[customer_SKU],Table27[case_size],"",0,1))</f>
        <v/>
      </c>
      <c r="W1173" s="117" t="str">
        <f t="shared" si="53"/>
        <v/>
      </c>
      <c r="X1173" s="22" t="str">
        <f t="shared" si="54"/>
        <v/>
      </c>
      <c r="Y1173" s="25" t="str">
        <f>IF(Table26[[#This Row],[customerSKU]]="","",_xlfn.XLOOKUP(Table26[[#This Row],[customerSKU]],Table27[customer_SKU],Table27[product_GTIN],"",0,1))</f>
        <v/>
      </c>
      <c r="Z1173" s="25" t="s">
        <v>3407</v>
      </c>
      <c r="AA1173" s="18" t="str" cm="1">
        <f t="array" ref="AA1173">IF(P1173="", "", _xlfn.XLOOKUP(P1173,#REF!,#REF!,NA,0,-1))</f>
        <v/>
      </c>
      <c r="AB1173" s="22"/>
      <c r="AC1173" s="55" t="s">
        <v>3446</v>
      </c>
      <c r="AD1173" s="55" t="str">
        <f>IF($AC1173="","",_xlfn.XLOOKUP($AC1173,'[2]Client Info'!$C$2:$C$2535,'[2]Client Info'!$D$2:$D$2535,"",0,1))</f>
        <v>#102-935 Brunette Ave</v>
      </c>
      <c r="AE1173" s="55" t="str">
        <f>IF($AC1173="","",_xlfn.XLOOKUP($AC1173,'[2]Client Info'!$C$2:$C$2715,'[2]Client Info'!$E$2:$E$2715,"",))</f>
        <v>Coquitlam</v>
      </c>
      <c r="AF1173" s="55" t="str">
        <f>IF($AC1173="","",_xlfn.XLOOKUP($AC1173,'[2]Client Info'!$C$2:$C$2715,'[2]Client Info'!$F$2:$F$2715,"",0,1))</f>
        <v>BC</v>
      </c>
      <c r="AG1173" s="55" t="s">
        <v>3446</v>
      </c>
      <c r="AH1173" s="26" t="str">
        <f>_xlfn.XLOOKUP(Table26[[#This Row],[customerSKU]],customerSKU!G:G,customerSKU!K:K,"NA",0,1)</f>
        <v>NA</v>
      </c>
      <c r="AI1173" s="43" t="str">
        <f>_xlfn.XLOOKUP(Table26[[#This Row],[customerSKU]],customerSKU!G:G,customerSKU!O:O,"not found",0,1)</f>
        <v>not found</v>
      </c>
      <c r="AJ1173" s="22" t="e">
        <f>Table26[[#This Row],[unitprice]]*Table26[[#This Row],[quantity_unit]]</f>
        <v>#VALUE!</v>
      </c>
      <c r="AK1173" s="22" t="e" cm="1">
        <f t="array" ref="AK11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4" spans="1:37" ht="24.6" customHeight="1">
      <c r="A1174" s="42">
        <v>1070</v>
      </c>
      <c r="B1174" s="42" t="s">
        <v>3357</v>
      </c>
      <c r="C1174" s="53" t="s">
        <v>203</v>
      </c>
      <c r="E1174" s="20"/>
      <c r="F1174" s="25"/>
      <c r="G1174" s="93"/>
      <c r="J1174" s="90" t="str">
        <f>IF(Table26[[#This Row],[customerSKU]]="","",_xlfn.XLOOKUP(Table26[[#This Row],[customerSKU]],customerSKU!G:G,customerSKU!A:A,"",0,1))</f>
        <v/>
      </c>
      <c r="K1174" s="232">
        <v>45728</v>
      </c>
      <c r="L1174" s="49" t="str">
        <f>IF(Table26[[#This Row],[customerSKU]]="","",_xlfn.XLOOKUP(Table26[[#This Row],[customerSKU]],customerSKU!G:G,customerSKU!B:B,"",0,1))</f>
        <v/>
      </c>
      <c r="M1174" s="22"/>
      <c r="N1174" s="15" t="str">
        <f>Table26[[#This Row],[po_number]]&amp;"-"&amp;Table26[[#This Row],[po_line]]</f>
        <v>-7</v>
      </c>
      <c r="O1174" s="15">
        <v>7</v>
      </c>
      <c r="P1174" s="50"/>
      <c r="Q1174" s="22" t="s">
        <v>3378</v>
      </c>
      <c r="R1174" s="22" t="s">
        <v>569</v>
      </c>
      <c r="S1174" s="90" t="str">
        <f>IF(Table26[[#This Row],[customerSKU]]="","",_xlfn.XLOOKUP(Table26[[#This Row],[customerSKU]],customerSKU!G:G,customerSKU!N:N,"NOT FOUND",0,1))</f>
        <v>NOT FOUND</v>
      </c>
      <c r="T1174" s="20">
        <v>45666</v>
      </c>
      <c r="U1174" s="94">
        <v>12</v>
      </c>
      <c r="V1174" s="22" t="str">
        <f>IF(ISBLANK(Table26[[#This Row],[customerSKU]]),"",_xlfn.XLOOKUP(Table26[[#This Row],[customerSKU]],Table27[customer_SKU],Table27[case_size],"",0,1))</f>
        <v/>
      </c>
      <c r="W1174" s="117" t="str">
        <f t="shared" si="53"/>
        <v/>
      </c>
      <c r="X1174" s="22" t="str">
        <f t="shared" si="54"/>
        <v/>
      </c>
      <c r="Y1174" s="25" t="str">
        <f>IF(Table26[[#This Row],[customerSKU]]="","",_xlfn.XLOOKUP(Table26[[#This Row],[customerSKU]],Table27[customer_SKU],Table27[product_GTIN],"",0,1))</f>
        <v/>
      </c>
      <c r="Z1174" s="25" t="s">
        <v>3379</v>
      </c>
      <c r="AA1174" s="18" t="str" cm="1">
        <f t="array" ref="AA1174">IF(P1174="", "", _xlfn.XLOOKUP(P1174,#REF!,#REF!,NA,0,-1))</f>
        <v/>
      </c>
      <c r="AB1174" s="22"/>
      <c r="AC1174" s="55" t="s">
        <v>3446</v>
      </c>
      <c r="AD1174" s="55" t="str">
        <f>IF($AC1174="","",_xlfn.XLOOKUP($AC1174,'[2]Client Info'!$C$2:$C$2535,'[2]Client Info'!$D$2:$D$2535,"",0,1))</f>
        <v>#102-935 Brunette Ave</v>
      </c>
      <c r="AE1174" s="55" t="str">
        <f>IF($AC1174="","",_xlfn.XLOOKUP($AC1174,'[2]Client Info'!$C$2:$C$2715,'[2]Client Info'!$E$2:$E$2715,"",))</f>
        <v>Coquitlam</v>
      </c>
      <c r="AF1174" s="55" t="str">
        <f>IF($AC1174="","",_xlfn.XLOOKUP($AC1174,'[2]Client Info'!$C$2:$C$2715,'[2]Client Info'!$F$2:$F$2715,"",0,1))</f>
        <v>BC</v>
      </c>
      <c r="AG1174" s="55" t="s">
        <v>3446</v>
      </c>
      <c r="AH1174" s="26" t="str">
        <f>_xlfn.XLOOKUP(Table26[[#This Row],[customerSKU]],customerSKU!G:G,customerSKU!K:K,"NA",0,1)</f>
        <v>NA</v>
      </c>
      <c r="AI1174" s="43" t="str">
        <f>_xlfn.XLOOKUP(Table26[[#This Row],[customerSKU]],customerSKU!G:G,customerSKU!O:O,"not found",0,1)</f>
        <v>not found</v>
      </c>
      <c r="AJ1174" s="22" t="e">
        <f>Table26[[#This Row],[unitprice]]*Table26[[#This Row],[quantity_unit]]</f>
        <v>#VALUE!</v>
      </c>
      <c r="AK1174" s="22" t="e" cm="1">
        <f t="array" ref="AK11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5" spans="1:37" ht="24.6" customHeight="1">
      <c r="A1175" s="42">
        <v>1071</v>
      </c>
      <c r="B1175" s="42" t="s">
        <v>3357</v>
      </c>
      <c r="C1175" s="53" t="s">
        <v>203</v>
      </c>
      <c r="E1175" s="20"/>
      <c r="F1175" s="25"/>
      <c r="G1175" s="93"/>
      <c r="J1175" s="90" t="str">
        <f>IF(Table26[[#This Row],[customerSKU]]="","",_xlfn.XLOOKUP(Table26[[#This Row],[customerSKU]],customerSKU!G:G,customerSKU!A:A,"",0,1))</f>
        <v/>
      </c>
      <c r="K1175" s="232">
        <v>45728</v>
      </c>
      <c r="L1175" s="49" t="str">
        <f>IF(Table26[[#This Row],[customerSKU]]="","",_xlfn.XLOOKUP(Table26[[#This Row],[customerSKU]],customerSKU!G:G,customerSKU!B:B,"",0,1))</f>
        <v/>
      </c>
      <c r="M1175" s="22"/>
      <c r="N1175" s="15" t="str">
        <f>Table26[[#This Row],[po_number]]&amp;"-"&amp;Table26[[#This Row],[po_line]]</f>
        <v>-8</v>
      </c>
      <c r="O1175" s="15">
        <v>8</v>
      </c>
      <c r="P1175" s="50"/>
      <c r="Q1175" s="22" t="s">
        <v>1306</v>
      </c>
      <c r="R1175" s="22" t="s">
        <v>569</v>
      </c>
      <c r="S1175" s="90" t="str">
        <f>IF(Table26[[#This Row],[customerSKU]]="","",_xlfn.XLOOKUP(Table26[[#This Row],[customerSKU]],customerSKU!G:G,customerSKU!N:N,"NOT FOUND",0,1))</f>
        <v>NOT FOUND</v>
      </c>
      <c r="T1175" s="20">
        <v>45576</v>
      </c>
      <c r="U1175" s="94">
        <v>12</v>
      </c>
      <c r="V1175" s="22" t="str">
        <f>IF(ISBLANK(Table26[[#This Row],[customerSKU]]),"",_xlfn.XLOOKUP(Table26[[#This Row],[customerSKU]],Table27[customer_SKU],Table27[case_size],"",0,1))</f>
        <v/>
      </c>
      <c r="W1175" s="117" t="str">
        <f t="shared" si="53"/>
        <v/>
      </c>
      <c r="X1175" s="22" t="str">
        <f t="shared" si="54"/>
        <v/>
      </c>
      <c r="Y1175" s="25" t="str">
        <f>IF(Table26[[#This Row],[customerSKU]]="","",_xlfn.XLOOKUP(Table26[[#This Row],[customerSKU]],Table27[customer_SKU],Table27[product_GTIN],"",0,1))</f>
        <v/>
      </c>
      <c r="Z1175" s="25" t="s">
        <v>3374</v>
      </c>
      <c r="AA1175" s="18" t="str" cm="1">
        <f t="array" ref="AA1175">IF(P1175="", "", _xlfn.XLOOKUP(P1175,#REF!,#REF!,NA,0,-1))</f>
        <v/>
      </c>
      <c r="AB1175" s="22"/>
      <c r="AC1175" s="55" t="s">
        <v>3446</v>
      </c>
      <c r="AD1175" s="55" t="str">
        <f>IF($AC1175="","",_xlfn.XLOOKUP($AC1175,'[2]Client Info'!$C$2:$C$2535,'[2]Client Info'!$D$2:$D$2535,"",0,1))</f>
        <v>#102-935 Brunette Ave</v>
      </c>
      <c r="AE1175" s="55" t="str">
        <f>IF($AC1175="","",_xlfn.XLOOKUP($AC1175,'[2]Client Info'!$C$2:$C$2715,'[2]Client Info'!$E$2:$E$2715,"",))</f>
        <v>Coquitlam</v>
      </c>
      <c r="AF1175" s="55" t="str">
        <f>IF($AC1175="","",_xlfn.XLOOKUP($AC1175,'[2]Client Info'!$C$2:$C$2715,'[2]Client Info'!$F$2:$F$2715,"",0,1))</f>
        <v>BC</v>
      </c>
      <c r="AG1175" s="55" t="s">
        <v>3446</v>
      </c>
      <c r="AH1175" s="26" t="str">
        <f>_xlfn.XLOOKUP(Table26[[#This Row],[customerSKU]],customerSKU!G:G,customerSKU!K:K,"NA",0,1)</f>
        <v>NA</v>
      </c>
      <c r="AI1175" s="43" t="str">
        <f>_xlfn.XLOOKUP(Table26[[#This Row],[customerSKU]],customerSKU!G:G,customerSKU!O:O,"not found",0,1)</f>
        <v>not found</v>
      </c>
      <c r="AJ1175" s="22" t="e">
        <f>Table26[[#This Row],[unitprice]]*Table26[[#This Row],[quantity_unit]]</f>
        <v>#VALUE!</v>
      </c>
      <c r="AK1175" s="22" t="e" cm="1">
        <f t="array" ref="AK11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6" spans="1:37" ht="24.6" customHeight="1">
      <c r="A1176" s="42">
        <v>1072</v>
      </c>
      <c r="B1176" s="42" t="s">
        <v>3357</v>
      </c>
      <c r="C1176" s="53" t="s">
        <v>203</v>
      </c>
      <c r="E1176" s="20"/>
      <c r="F1176" s="25"/>
      <c r="G1176" s="93"/>
      <c r="J1176" s="90" t="str">
        <f>IF(Table26[[#This Row],[customerSKU]]="","",_xlfn.XLOOKUP(Table26[[#This Row],[customerSKU]],customerSKU!G:G,customerSKU!A:A,"",0,1))</f>
        <v/>
      </c>
      <c r="K1176" s="232">
        <v>45728</v>
      </c>
      <c r="L1176" s="49" t="str">
        <f>IF(Table26[[#This Row],[customerSKU]]="","",_xlfn.XLOOKUP(Table26[[#This Row],[customerSKU]],customerSKU!G:G,customerSKU!B:B,"",0,1))</f>
        <v/>
      </c>
      <c r="M1176" s="22"/>
      <c r="N1176" s="15" t="str">
        <f>Table26[[#This Row],[po_number]]&amp;"-"&amp;Table26[[#This Row],[po_line]]</f>
        <v>-9</v>
      </c>
      <c r="O1176" s="15">
        <v>9</v>
      </c>
      <c r="P1176" s="50"/>
      <c r="Q1176" s="22" t="s">
        <v>3388</v>
      </c>
      <c r="R1176" s="22" t="s">
        <v>569</v>
      </c>
      <c r="S1176" s="90" t="str">
        <f>IF(Table26[[#This Row],[customerSKU]]="","",_xlfn.XLOOKUP(Table26[[#This Row],[customerSKU]],customerSKU!G:G,customerSKU!N:N,"NOT FOUND",0,1))</f>
        <v>NOT FOUND</v>
      </c>
      <c r="T1176" s="20">
        <v>45692</v>
      </c>
      <c r="U1176" s="94">
        <v>12</v>
      </c>
      <c r="V1176" s="22" t="str">
        <f>IF(ISBLANK(Table26[[#This Row],[customerSKU]]),"",_xlfn.XLOOKUP(Table26[[#This Row],[customerSKU]],Table27[customer_SKU],Table27[case_size],"",0,1))</f>
        <v/>
      </c>
      <c r="W1176" s="117" t="str">
        <f t="shared" si="53"/>
        <v/>
      </c>
      <c r="X1176" s="22" t="str">
        <f t="shared" si="54"/>
        <v/>
      </c>
      <c r="Y1176" s="25" t="str">
        <f>IF(Table26[[#This Row],[customerSKU]]="","",_xlfn.XLOOKUP(Table26[[#This Row],[customerSKU]],Table27[customer_SKU],Table27[product_GTIN],"",0,1))</f>
        <v/>
      </c>
      <c r="Z1176" s="25" t="s">
        <v>3389</v>
      </c>
      <c r="AA1176" s="18" t="str" cm="1">
        <f t="array" ref="AA1176">IF(P1176="", "", _xlfn.XLOOKUP(P1176,#REF!,#REF!,NA,0,-1))</f>
        <v/>
      </c>
      <c r="AB1176" s="22"/>
      <c r="AC1176" s="55" t="s">
        <v>3446</v>
      </c>
      <c r="AD1176" s="55" t="str">
        <f>IF($AC1176="","",_xlfn.XLOOKUP($AC1176,'[2]Client Info'!$C$2:$C$2535,'[2]Client Info'!$D$2:$D$2535,"",0,1))</f>
        <v>#102-935 Brunette Ave</v>
      </c>
      <c r="AE1176" s="55" t="str">
        <f>IF($AC1176="","",_xlfn.XLOOKUP($AC1176,'[2]Client Info'!$C$2:$C$2715,'[2]Client Info'!$E$2:$E$2715,"",))</f>
        <v>Coquitlam</v>
      </c>
      <c r="AF1176" s="55" t="str">
        <f>IF($AC1176="","",_xlfn.XLOOKUP($AC1176,'[2]Client Info'!$C$2:$C$2715,'[2]Client Info'!$F$2:$F$2715,"",0,1))</f>
        <v>BC</v>
      </c>
      <c r="AG1176" s="55" t="s">
        <v>3446</v>
      </c>
      <c r="AH1176" s="26" t="str">
        <f>_xlfn.XLOOKUP(Table26[[#This Row],[customerSKU]],customerSKU!G:G,customerSKU!K:K,"NA",0,1)</f>
        <v>NA</v>
      </c>
      <c r="AI1176" s="43" t="str">
        <f>_xlfn.XLOOKUP(Table26[[#This Row],[customerSKU]],customerSKU!G:G,customerSKU!O:O,"not found",0,1)</f>
        <v>not found</v>
      </c>
      <c r="AJ1176" s="22" t="e">
        <f>Table26[[#This Row],[unitprice]]*Table26[[#This Row],[quantity_unit]]</f>
        <v>#VALUE!</v>
      </c>
      <c r="AK1176" s="22" t="e" cm="1">
        <f t="array" ref="AK11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7" spans="1:37" ht="24.6" customHeight="1">
      <c r="A1177" s="42">
        <v>1073</v>
      </c>
      <c r="B1177" s="42" t="s">
        <v>3357</v>
      </c>
      <c r="C1177" s="53" t="s">
        <v>203</v>
      </c>
      <c r="E1177" s="20"/>
      <c r="F1177" s="25"/>
      <c r="G1177" s="93"/>
      <c r="J1177" s="90" t="str">
        <f>IF(Table26[[#This Row],[customerSKU]]="","",_xlfn.XLOOKUP(Table26[[#This Row],[customerSKU]],customerSKU!G:G,customerSKU!A:A,"",0,1))</f>
        <v/>
      </c>
      <c r="K1177" s="232">
        <v>45728</v>
      </c>
      <c r="L1177" s="49" t="str">
        <f>IF(Table26[[#This Row],[customerSKU]]="","",_xlfn.XLOOKUP(Table26[[#This Row],[customerSKU]],customerSKU!G:G,customerSKU!B:B,"",0,1))</f>
        <v/>
      </c>
      <c r="M1177" s="22"/>
      <c r="N1177" s="15" t="str">
        <f>Table26[[#This Row],[po_number]]&amp;"-"&amp;Table26[[#This Row],[po_line]]</f>
        <v>-10</v>
      </c>
      <c r="O1177" s="15">
        <v>10</v>
      </c>
      <c r="P1177" s="50"/>
      <c r="Q1177" s="22" t="s">
        <v>578</v>
      </c>
      <c r="R1177" s="22" t="s">
        <v>569</v>
      </c>
      <c r="S1177" s="90" t="str">
        <f>IF(Table26[[#This Row],[customerSKU]]="","",_xlfn.XLOOKUP(Table26[[#This Row],[customerSKU]],customerSKU!G:G,customerSKU!N:N,"NOT FOUND",0,1))</f>
        <v>NOT FOUND</v>
      </c>
      <c r="T1177" s="20">
        <v>45700</v>
      </c>
      <c r="U1177" s="94">
        <v>12</v>
      </c>
      <c r="V1177" s="22" t="str">
        <f>IF(ISBLANK(Table26[[#This Row],[customerSKU]]),"",_xlfn.XLOOKUP(Table26[[#This Row],[customerSKU]],Table27[customer_SKU],Table27[case_size],"",0,1))</f>
        <v/>
      </c>
      <c r="W1177" s="117" t="str">
        <f t="shared" si="53"/>
        <v/>
      </c>
      <c r="X1177" s="22" t="str">
        <f t="shared" si="54"/>
        <v/>
      </c>
      <c r="Y1177" s="25" t="str">
        <f>IF(Table26[[#This Row],[customerSKU]]="","",_xlfn.XLOOKUP(Table26[[#This Row],[customerSKU]],Table27[customer_SKU],Table27[product_GTIN],"",0,1))</f>
        <v/>
      </c>
      <c r="Z1177" s="25" t="s">
        <v>3448</v>
      </c>
      <c r="AA1177" s="18" t="str" cm="1">
        <f t="array" ref="AA1177">IF(P1177="", "", _xlfn.XLOOKUP(P1177,#REF!,#REF!,NA,0,-1))</f>
        <v/>
      </c>
      <c r="AB1177" s="22"/>
      <c r="AC1177" s="55" t="s">
        <v>3446</v>
      </c>
      <c r="AD1177" s="55" t="str">
        <f>IF($AC1177="","",_xlfn.XLOOKUP($AC1177,'[2]Client Info'!$C$2:$C$2535,'[2]Client Info'!$D$2:$D$2535,"",0,1))</f>
        <v>#102-935 Brunette Ave</v>
      </c>
      <c r="AE1177" s="55" t="str">
        <f>IF($AC1177="","",_xlfn.XLOOKUP($AC1177,'[2]Client Info'!$C$2:$C$2715,'[2]Client Info'!$E$2:$E$2715,"",))</f>
        <v>Coquitlam</v>
      </c>
      <c r="AF1177" s="55" t="str">
        <f>IF($AC1177="","",_xlfn.XLOOKUP($AC1177,'[2]Client Info'!$C$2:$C$2715,'[2]Client Info'!$F$2:$F$2715,"",0,1))</f>
        <v>BC</v>
      </c>
      <c r="AG1177" s="55" t="s">
        <v>3446</v>
      </c>
      <c r="AH1177" s="26" t="str">
        <f>_xlfn.XLOOKUP(Table26[[#This Row],[customerSKU]],customerSKU!G:G,customerSKU!K:K,"NA",0,1)</f>
        <v>NA</v>
      </c>
      <c r="AI1177" s="43" t="str">
        <f>_xlfn.XLOOKUP(Table26[[#This Row],[customerSKU]],customerSKU!G:G,customerSKU!O:O,"not found",0,1)</f>
        <v>not found</v>
      </c>
      <c r="AJ1177" s="22" t="e">
        <f>Table26[[#This Row],[unitprice]]*Table26[[#This Row],[quantity_unit]]</f>
        <v>#VALUE!</v>
      </c>
      <c r="AK1177" s="22" t="e" cm="1">
        <f t="array" ref="AK11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8" spans="1:37" ht="24.6" customHeight="1">
      <c r="A1178" s="42">
        <v>1074</v>
      </c>
      <c r="B1178" s="42" t="s">
        <v>3357</v>
      </c>
      <c r="C1178" s="53" t="s">
        <v>203</v>
      </c>
      <c r="E1178" s="20"/>
      <c r="F1178" s="25"/>
      <c r="G1178" s="93"/>
      <c r="J1178" s="90" t="str">
        <f>IF(Table26[[#This Row],[customerSKU]]="","",_xlfn.XLOOKUP(Table26[[#This Row],[customerSKU]],customerSKU!G:G,customerSKU!A:A,"",0,1))</f>
        <v/>
      </c>
      <c r="K1178" s="232">
        <v>45728</v>
      </c>
      <c r="L1178" s="49" t="str">
        <f>IF(Table26[[#This Row],[customerSKU]]="","",_xlfn.XLOOKUP(Table26[[#This Row],[customerSKU]],customerSKU!G:G,customerSKU!B:B,"",0,1))</f>
        <v/>
      </c>
      <c r="M1178" s="22"/>
      <c r="N1178" s="15" t="str">
        <f>Table26[[#This Row],[po_number]]&amp;"-"&amp;Table26[[#This Row],[po_line]]</f>
        <v>-1</v>
      </c>
      <c r="O1178" s="15">
        <v>1</v>
      </c>
      <c r="P1178" s="50"/>
      <c r="Q1178" s="22" t="s">
        <v>4086</v>
      </c>
      <c r="R1178" s="22" t="s">
        <v>221</v>
      </c>
      <c r="S1178" s="90" t="str">
        <f>IF(Table26[[#This Row],[customerSKU]]="","",_xlfn.XLOOKUP(Table26[[#This Row],[customerSKU]],customerSKU!G:G,customerSKU!N:N,"NOT FOUND",0,1))</f>
        <v>NOT FOUND</v>
      </c>
      <c r="T1178" s="20">
        <v>45631</v>
      </c>
      <c r="U1178" s="94">
        <v>12</v>
      </c>
      <c r="V1178" s="22" t="str">
        <f>IF(ISBLANK(Table26[[#This Row],[customerSKU]]),"",_xlfn.XLOOKUP(Table26[[#This Row],[customerSKU]],Table27[customer_SKU],Table27[case_size],"",0,1))</f>
        <v/>
      </c>
      <c r="W1178" s="117" t="str">
        <f t="shared" si="53"/>
        <v/>
      </c>
      <c r="X1178" s="22" t="str">
        <f t="shared" si="54"/>
        <v/>
      </c>
      <c r="Y1178" s="25" t="str">
        <f>IF(Table26[[#This Row],[customerSKU]]="","",_xlfn.XLOOKUP(Table26[[#This Row],[customerSKU]],Table27[customer_SKU],Table27[product_GTIN],"",0,1))</f>
        <v/>
      </c>
      <c r="Z1178" s="25" t="s">
        <v>3372</v>
      </c>
      <c r="AA1178" s="18" t="str" cm="1">
        <f t="array" ref="AA1178">IF(P1178="", "", _xlfn.XLOOKUP(P1178,#REF!,#REF!,NA,0,-1))</f>
        <v/>
      </c>
      <c r="AB1178" s="22"/>
      <c r="AC1178" s="55" t="s">
        <v>112</v>
      </c>
      <c r="AD1178" s="55" t="str">
        <f>IF($AC1178="","",_xlfn.XLOOKUP($AC1178,'[2]Client Info'!$C$2:$C$2535,'[2]Client Info'!$D$2:$D$2535,"",0,1))</f>
        <v>725 Nelson Street</v>
      </c>
      <c r="AE1178" s="55" t="str">
        <f>IF($AC1178="","",_xlfn.XLOOKUP($AC1178,'[2]Client Info'!$C$2:$C$2715,'[2]Client Info'!$E$2:$E$2715,"",))</f>
        <v>Vancouver</v>
      </c>
      <c r="AF1178" s="55" t="str">
        <f>IF($AC1178="","",_xlfn.XLOOKUP($AC1178,'[2]Client Info'!$C$2:$C$2715,'[2]Client Info'!$F$2:$F$2715,"",0,1))</f>
        <v xml:space="preserve">BC </v>
      </c>
      <c r="AG1178" s="55" t="s">
        <v>112</v>
      </c>
      <c r="AH1178" s="26" t="str">
        <f>_xlfn.XLOOKUP(Table26[[#This Row],[customerSKU]],customerSKU!G:G,customerSKU!K:K,"NA",0,1)</f>
        <v>NA</v>
      </c>
      <c r="AI1178" s="43" t="str">
        <f>_xlfn.XLOOKUP(Table26[[#This Row],[customerSKU]],customerSKU!G:G,customerSKU!O:O,"not found",0,1)</f>
        <v>not found</v>
      </c>
      <c r="AJ1178" s="22" t="e">
        <f>Table26[[#This Row],[unitprice]]*Table26[[#This Row],[quantity_unit]]</f>
        <v>#VALUE!</v>
      </c>
      <c r="AK1178" s="22" t="e" cm="1">
        <f t="array" ref="AK11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79" spans="1:37" ht="24.6" customHeight="1">
      <c r="A1179" s="42">
        <v>1075</v>
      </c>
      <c r="B1179" s="42" t="s">
        <v>3357</v>
      </c>
      <c r="C1179" s="53" t="s">
        <v>203</v>
      </c>
      <c r="E1179" s="20"/>
      <c r="F1179" s="25"/>
      <c r="G1179" s="93"/>
      <c r="J1179" s="90" t="str">
        <f>IF(Table26[[#This Row],[customerSKU]]="","",_xlfn.XLOOKUP(Table26[[#This Row],[customerSKU]],customerSKU!G:G,customerSKU!A:A,"",0,1))</f>
        <v/>
      </c>
      <c r="K1179" s="232">
        <v>45728</v>
      </c>
      <c r="L1179" s="49" t="str">
        <f>IF(Table26[[#This Row],[customerSKU]]="","",_xlfn.XLOOKUP(Table26[[#This Row],[customerSKU]],customerSKU!G:G,customerSKU!B:B,"",0,1))</f>
        <v/>
      </c>
      <c r="M1179" s="22"/>
      <c r="N1179" s="15" t="str">
        <f>Table26[[#This Row],[po_number]]&amp;"-"&amp;Table26[[#This Row],[po_line]]</f>
        <v>-2</v>
      </c>
      <c r="O1179" s="15">
        <v>2</v>
      </c>
      <c r="P1179" s="50"/>
      <c r="Q1179" s="22" t="s">
        <v>3405</v>
      </c>
      <c r="R1179" s="22" t="s">
        <v>221</v>
      </c>
      <c r="S1179" s="90" t="str">
        <f>IF(Table26[[#This Row],[customerSKU]]="","",_xlfn.XLOOKUP(Table26[[#This Row],[customerSKU]],customerSKU!G:G,customerSKU!N:N,"NOT FOUND",0,1))</f>
        <v>NOT FOUND</v>
      </c>
      <c r="T1179" s="20">
        <v>45623</v>
      </c>
      <c r="U1179" s="94">
        <v>12</v>
      </c>
      <c r="V1179" s="22" t="str">
        <f>IF(ISBLANK(Table26[[#This Row],[customerSKU]]),"",_xlfn.XLOOKUP(Table26[[#This Row],[customerSKU]],Table27[customer_SKU],Table27[case_size],"",0,1))</f>
        <v/>
      </c>
      <c r="W1179" s="117" t="str">
        <f t="shared" si="53"/>
        <v/>
      </c>
      <c r="X1179" s="22" t="str">
        <f t="shared" si="54"/>
        <v/>
      </c>
      <c r="Y1179" s="25" t="str">
        <f>IF(Table26[[#This Row],[customerSKU]]="","",_xlfn.XLOOKUP(Table26[[#This Row],[customerSKU]],Table27[customer_SKU],Table27[product_GTIN],"",0,1))</f>
        <v/>
      </c>
      <c r="Z1179" s="25" t="s">
        <v>3406</v>
      </c>
      <c r="AA1179" s="18" t="str" cm="1">
        <f t="array" ref="AA1179">IF(P1179="", "", _xlfn.XLOOKUP(P1179,#REF!,#REF!,NA,0,-1))</f>
        <v/>
      </c>
      <c r="AB1179" s="22"/>
      <c r="AC1179" s="55" t="s">
        <v>112</v>
      </c>
      <c r="AD1179" s="55" t="str">
        <f>IF($AC1179="","",_xlfn.XLOOKUP($AC1179,'[2]Client Info'!$C$2:$C$2535,'[2]Client Info'!$D$2:$D$2535,"",0,1))</f>
        <v>725 Nelson Street</v>
      </c>
      <c r="AE1179" s="55" t="str">
        <f>IF($AC1179="","",_xlfn.XLOOKUP($AC1179,'[2]Client Info'!$C$2:$C$2715,'[2]Client Info'!$E$2:$E$2715,"",))</f>
        <v>Vancouver</v>
      </c>
      <c r="AF1179" s="55" t="str">
        <f>IF($AC1179="","",_xlfn.XLOOKUP($AC1179,'[2]Client Info'!$C$2:$C$2715,'[2]Client Info'!$F$2:$F$2715,"",0,1))</f>
        <v xml:space="preserve">BC </v>
      </c>
      <c r="AG1179" s="55" t="s">
        <v>112</v>
      </c>
      <c r="AH1179" s="26" t="str">
        <f>_xlfn.XLOOKUP(Table26[[#This Row],[customerSKU]],customerSKU!G:G,customerSKU!K:K,"NA",0,1)</f>
        <v>NA</v>
      </c>
      <c r="AI1179" s="43" t="str">
        <f>_xlfn.XLOOKUP(Table26[[#This Row],[customerSKU]],customerSKU!G:G,customerSKU!O:O,"not found",0,1)</f>
        <v>not found</v>
      </c>
      <c r="AJ1179" s="22" t="e">
        <f>Table26[[#This Row],[unitprice]]*Table26[[#This Row],[quantity_unit]]</f>
        <v>#VALUE!</v>
      </c>
      <c r="AK1179" s="22" t="e" cm="1">
        <f t="array" ref="AK11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0" spans="1:37" ht="24.6" customHeight="1">
      <c r="A1180" s="42">
        <v>1076</v>
      </c>
      <c r="B1180" s="42" t="s">
        <v>3357</v>
      </c>
      <c r="C1180" s="53" t="s">
        <v>203</v>
      </c>
      <c r="E1180" s="20"/>
      <c r="F1180" s="25"/>
      <c r="G1180" s="93"/>
      <c r="J1180" s="90" t="str">
        <f>IF(Table26[[#This Row],[customerSKU]]="","",_xlfn.XLOOKUP(Table26[[#This Row],[customerSKU]],customerSKU!G:G,customerSKU!A:A,"",0,1))</f>
        <v/>
      </c>
      <c r="K1180" s="232">
        <v>45728</v>
      </c>
      <c r="L1180" s="49" t="str">
        <f>IF(Table26[[#This Row],[customerSKU]]="","",_xlfn.XLOOKUP(Table26[[#This Row],[customerSKU]],customerSKU!G:G,customerSKU!B:B,"",0,1))</f>
        <v/>
      </c>
      <c r="M1180" s="22"/>
      <c r="N1180" s="15" t="str">
        <f>Table26[[#This Row],[po_number]]&amp;"-"&amp;Table26[[#This Row],[po_line]]</f>
        <v>-3</v>
      </c>
      <c r="O1180" s="15">
        <v>3</v>
      </c>
      <c r="P1180" s="50"/>
      <c r="Q1180" s="22" t="s">
        <v>656</v>
      </c>
      <c r="R1180" s="22" t="s">
        <v>221</v>
      </c>
      <c r="S1180" s="90" t="str">
        <f>IF(Table26[[#This Row],[customerSKU]]="","",_xlfn.XLOOKUP(Table26[[#This Row],[customerSKU]],customerSKU!G:G,customerSKU!N:N,"NOT FOUND",0,1))</f>
        <v>NOT FOUND</v>
      </c>
      <c r="T1180" s="20">
        <v>45642</v>
      </c>
      <c r="U1180" s="94">
        <v>12</v>
      </c>
      <c r="V1180" s="22" t="str">
        <f>IF(ISBLANK(Table26[[#This Row],[customerSKU]]),"",_xlfn.XLOOKUP(Table26[[#This Row],[customerSKU]],Table27[customer_SKU],Table27[case_size],"",0,1))</f>
        <v/>
      </c>
      <c r="W1180" s="117" t="str">
        <f t="shared" si="53"/>
        <v/>
      </c>
      <c r="X1180" s="22" t="str">
        <f t="shared" si="54"/>
        <v/>
      </c>
      <c r="Y1180" s="25" t="str">
        <f>IF(Table26[[#This Row],[customerSKU]]="","",_xlfn.XLOOKUP(Table26[[#This Row],[customerSKU]],Table27[customer_SKU],Table27[product_GTIN],"",0,1))</f>
        <v/>
      </c>
      <c r="Z1180" s="25" t="s">
        <v>3367</v>
      </c>
      <c r="AA1180" s="18" t="str" cm="1">
        <f t="array" ref="AA1180">IF(P1180="", "", _xlfn.XLOOKUP(P1180,#REF!,#REF!,NA,0,-1))</f>
        <v/>
      </c>
      <c r="AB1180" s="22"/>
      <c r="AC1180" s="55" t="s">
        <v>112</v>
      </c>
      <c r="AD1180" s="55" t="str">
        <f>IF($AC1180="","",_xlfn.XLOOKUP($AC1180,'[2]Client Info'!$C$2:$C$2535,'[2]Client Info'!$D$2:$D$2535,"",0,1))</f>
        <v>725 Nelson Street</v>
      </c>
      <c r="AE1180" s="55" t="str">
        <f>IF($AC1180="","",_xlfn.XLOOKUP($AC1180,'[2]Client Info'!$C$2:$C$2715,'[2]Client Info'!$E$2:$E$2715,"",))</f>
        <v>Vancouver</v>
      </c>
      <c r="AF1180" s="55" t="str">
        <f>IF($AC1180="","",_xlfn.XLOOKUP($AC1180,'[2]Client Info'!$C$2:$C$2715,'[2]Client Info'!$F$2:$F$2715,"",0,1))</f>
        <v xml:space="preserve">BC </v>
      </c>
      <c r="AG1180" s="55" t="s">
        <v>112</v>
      </c>
      <c r="AH1180" s="26" t="str">
        <f>_xlfn.XLOOKUP(Table26[[#This Row],[customerSKU]],customerSKU!G:G,customerSKU!K:K,"NA",0,1)</f>
        <v>NA</v>
      </c>
      <c r="AI1180" s="43" t="str">
        <f>_xlfn.XLOOKUP(Table26[[#This Row],[customerSKU]],customerSKU!G:G,customerSKU!O:O,"not found",0,1)</f>
        <v>not found</v>
      </c>
      <c r="AJ1180" s="22" t="e">
        <f>Table26[[#This Row],[unitprice]]*Table26[[#This Row],[quantity_unit]]</f>
        <v>#VALUE!</v>
      </c>
      <c r="AK1180" s="22" t="e" cm="1">
        <f t="array" ref="AK11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1" spans="1:37" ht="24.6" customHeight="1">
      <c r="A1181" s="42">
        <v>1077</v>
      </c>
      <c r="B1181" s="42" t="s">
        <v>3357</v>
      </c>
      <c r="C1181" s="53" t="s">
        <v>203</v>
      </c>
      <c r="E1181" s="20"/>
      <c r="F1181" s="25"/>
      <c r="G1181" s="93"/>
      <c r="J1181" s="90" t="str">
        <f>IF(Table26[[#This Row],[customerSKU]]="","",_xlfn.XLOOKUP(Table26[[#This Row],[customerSKU]],customerSKU!G:G,customerSKU!A:A,"",0,1))</f>
        <v/>
      </c>
      <c r="K1181" s="232">
        <v>45728</v>
      </c>
      <c r="L1181" s="49" t="str">
        <f>IF(Table26[[#This Row],[customerSKU]]="","",_xlfn.XLOOKUP(Table26[[#This Row],[customerSKU]],customerSKU!G:G,customerSKU!B:B,"",0,1))</f>
        <v/>
      </c>
      <c r="M1181" s="22"/>
      <c r="N1181" s="15" t="str">
        <f>Table26[[#This Row],[po_number]]&amp;"-"&amp;Table26[[#This Row],[po_line]]</f>
        <v>-4</v>
      </c>
      <c r="O1181" s="15">
        <v>4</v>
      </c>
      <c r="P1181" s="50"/>
      <c r="Q1181" s="22" t="s">
        <v>1309</v>
      </c>
      <c r="R1181" s="22" t="s">
        <v>221</v>
      </c>
      <c r="S1181" s="90" t="str">
        <f>IF(Table26[[#This Row],[customerSKU]]="","",_xlfn.XLOOKUP(Table26[[#This Row],[customerSKU]],customerSKU!G:G,customerSKU!N:N,"NOT FOUND",0,1))</f>
        <v>NOT FOUND</v>
      </c>
      <c r="T1181" s="20">
        <v>45697</v>
      </c>
      <c r="U1181" s="94">
        <v>12</v>
      </c>
      <c r="V1181" s="22" t="str">
        <f>IF(ISBLANK(Table26[[#This Row],[customerSKU]]),"",_xlfn.XLOOKUP(Table26[[#This Row],[customerSKU]],Table27[customer_SKU],Table27[case_size],"",0,1))</f>
        <v/>
      </c>
      <c r="W1181" s="117" t="str">
        <f t="shared" si="53"/>
        <v/>
      </c>
      <c r="X1181" s="22" t="str">
        <f t="shared" si="54"/>
        <v/>
      </c>
      <c r="Y1181" s="25" t="str">
        <f>IF(Table26[[#This Row],[customerSKU]]="","",_xlfn.XLOOKUP(Table26[[#This Row],[customerSKU]],Table27[customer_SKU],Table27[product_GTIN],"",0,1))</f>
        <v/>
      </c>
      <c r="Z1181" s="25" t="s">
        <v>3447</v>
      </c>
      <c r="AA1181" s="18" t="str" cm="1">
        <f t="array" ref="AA1181">IF(P1181="", "", _xlfn.XLOOKUP(P1181,#REF!,#REF!,NA,0,-1))</f>
        <v/>
      </c>
      <c r="AB1181" s="22"/>
      <c r="AC1181" s="55" t="s">
        <v>112</v>
      </c>
      <c r="AD1181" s="55" t="str">
        <f>IF($AC1181="","",_xlfn.XLOOKUP($AC1181,'[2]Client Info'!$C$2:$C$2535,'[2]Client Info'!$D$2:$D$2535,"",0,1))</f>
        <v>725 Nelson Street</v>
      </c>
      <c r="AE1181" s="55" t="str">
        <f>IF($AC1181="","",_xlfn.XLOOKUP($AC1181,'[2]Client Info'!$C$2:$C$2715,'[2]Client Info'!$E$2:$E$2715,"",))</f>
        <v>Vancouver</v>
      </c>
      <c r="AF1181" s="55" t="str">
        <f>IF($AC1181="","",_xlfn.XLOOKUP($AC1181,'[2]Client Info'!$C$2:$C$2715,'[2]Client Info'!$F$2:$F$2715,"",0,1))</f>
        <v xml:space="preserve">BC </v>
      </c>
      <c r="AG1181" s="55" t="s">
        <v>112</v>
      </c>
      <c r="AH1181" s="26" t="str">
        <f>_xlfn.XLOOKUP(Table26[[#This Row],[customerSKU]],customerSKU!G:G,customerSKU!K:K,"NA",0,1)</f>
        <v>NA</v>
      </c>
      <c r="AI1181" s="43" t="str">
        <f>_xlfn.XLOOKUP(Table26[[#This Row],[customerSKU]],customerSKU!G:G,customerSKU!O:O,"not found",0,1)</f>
        <v>not found</v>
      </c>
      <c r="AJ1181" s="22" t="e">
        <f>Table26[[#This Row],[unitprice]]*Table26[[#This Row],[quantity_unit]]</f>
        <v>#VALUE!</v>
      </c>
      <c r="AK1181" s="22" t="e" cm="1">
        <f t="array" ref="AK11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2" spans="1:37" ht="24.6" customHeight="1">
      <c r="A1182" s="42">
        <v>1078</v>
      </c>
      <c r="B1182" s="42" t="s">
        <v>3357</v>
      </c>
      <c r="C1182" s="53" t="s">
        <v>203</v>
      </c>
      <c r="E1182" s="20"/>
      <c r="F1182" s="25"/>
      <c r="G1182" s="93"/>
      <c r="J1182" s="90" t="str">
        <f>IF(Table26[[#This Row],[customerSKU]]="","",_xlfn.XLOOKUP(Table26[[#This Row],[customerSKU]],customerSKU!G:G,customerSKU!A:A,"",0,1))</f>
        <v/>
      </c>
      <c r="K1182" s="232">
        <v>45728</v>
      </c>
      <c r="L1182" s="49" t="str">
        <f>IF(Table26[[#This Row],[customerSKU]]="","",_xlfn.XLOOKUP(Table26[[#This Row],[customerSKU]],customerSKU!G:G,customerSKU!B:B,"",0,1))</f>
        <v/>
      </c>
      <c r="M1182" s="22"/>
      <c r="N1182" s="15" t="str">
        <f>Table26[[#This Row],[po_number]]&amp;"-"&amp;Table26[[#This Row],[po_line]]</f>
        <v>-5</v>
      </c>
      <c r="O1182" s="15">
        <v>5</v>
      </c>
      <c r="P1182" s="50"/>
      <c r="Q1182" s="22" t="s">
        <v>625</v>
      </c>
      <c r="R1182" s="22" t="s">
        <v>221</v>
      </c>
      <c r="S1182" s="90" t="str">
        <f>IF(Table26[[#This Row],[customerSKU]]="","",_xlfn.XLOOKUP(Table26[[#This Row],[customerSKU]],customerSKU!G:G,customerSKU!N:N,"NOT FOUND",0,1))</f>
        <v>NOT FOUND</v>
      </c>
      <c r="T1182" s="20">
        <v>45707</v>
      </c>
      <c r="U1182" s="94">
        <v>12</v>
      </c>
      <c r="V1182" s="22" t="str">
        <f>IF(ISBLANK(Table26[[#This Row],[customerSKU]]),"",_xlfn.XLOOKUP(Table26[[#This Row],[customerSKU]],Table27[customer_SKU],Table27[case_size],"",0,1))</f>
        <v/>
      </c>
      <c r="W1182" s="117" t="str">
        <f t="shared" si="53"/>
        <v/>
      </c>
      <c r="X1182" s="22" t="str">
        <f t="shared" si="54"/>
        <v/>
      </c>
      <c r="Y1182" s="25" t="str">
        <f>IF(Table26[[#This Row],[customerSKU]]="","",_xlfn.XLOOKUP(Table26[[#This Row],[customerSKU]],Table27[customer_SKU],Table27[product_GTIN],"",0,1))</f>
        <v/>
      </c>
      <c r="Z1182" s="25" t="s">
        <v>3407</v>
      </c>
      <c r="AA1182" s="18" t="str" cm="1">
        <f t="array" ref="AA1182">IF(P1182="", "", _xlfn.XLOOKUP(P1182,#REF!,#REF!,NA,0,-1))</f>
        <v/>
      </c>
      <c r="AB1182" s="22"/>
      <c r="AC1182" s="55" t="s">
        <v>112</v>
      </c>
      <c r="AD1182" s="55" t="str">
        <f>IF($AC1182="","",_xlfn.XLOOKUP($AC1182,'[2]Client Info'!$C$2:$C$2535,'[2]Client Info'!$D$2:$D$2535,"",0,1))</f>
        <v>725 Nelson Street</v>
      </c>
      <c r="AE1182" s="55" t="str">
        <f>IF($AC1182="","",_xlfn.XLOOKUP($AC1182,'[2]Client Info'!$C$2:$C$2715,'[2]Client Info'!$E$2:$E$2715,"",))</f>
        <v>Vancouver</v>
      </c>
      <c r="AF1182" s="55" t="str">
        <f>IF($AC1182="","",_xlfn.XLOOKUP($AC1182,'[2]Client Info'!$C$2:$C$2715,'[2]Client Info'!$F$2:$F$2715,"",0,1))</f>
        <v xml:space="preserve">BC </v>
      </c>
      <c r="AG1182" s="55" t="s">
        <v>112</v>
      </c>
      <c r="AH1182" s="26" t="str">
        <f>_xlfn.XLOOKUP(Table26[[#This Row],[customerSKU]],customerSKU!G:G,customerSKU!K:K,"NA",0,1)</f>
        <v>NA</v>
      </c>
      <c r="AI1182" s="43" t="str">
        <f>_xlfn.XLOOKUP(Table26[[#This Row],[customerSKU]],customerSKU!G:G,customerSKU!O:O,"not found",0,1)</f>
        <v>not found</v>
      </c>
      <c r="AJ1182" s="22" t="e">
        <f>Table26[[#This Row],[unitprice]]*Table26[[#This Row],[quantity_unit]]</f>
        <v>#VALUE!</v>
      </c>
      <c r="AK1182" s="22" t="e" cm="1">
        <f t="array" ref="AK11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3" spans="1:37" ht="24.6" customHeight="1">
      <c r="A1183" s="42">
        <v>1079</v>
      </c>
      <c r="B1183" s="42" t="s">
        <v>3357</v>
      </c>
      <c r="C1183" s="53" t="s">
        <v>203</v>
      </c>
      <c r="E1183" s="20"/>
      <c r="F1183" s="25"/>
      <c r="G1183" s="93"/>
      <c r="J1183" s="90" t="str">
        <f>IF(Table26[[#This Row],[customerSKU]]="","",_xlfn.XLOOKUP(Table26[[#This Row],[customerSKU]],customerSKU!G:G,customerSKU!A:A,"",0,1))</f>
        <v/>
      </c>
      <c r="K1183" s="232">
        <v>45728</v>
      </c>
      <c r="L1183" s="49" t="str">
        <f>IF(Table26[[#This Row],[customerSKU]]="","",_xlfn.XLOOKUP(Table26[[#This Row],[customerSKU]],customerSKU!G:G,customerSKU!B:B,"",0,1))</f>
        <v/>
      </c>
      <c r="M1183" s="22"/>
      <c r="N1183" s="15" t="str">
        <f>Table26[[#This Row],[po_number]]&amp;"-"&amp;Table26[[#This Row],[po_line]]</f>
        <v>-6</v>
      </c>
      <c r="O1183" s="15">
        <v>6</v>
      </c>
      <c r="P1183" s="50"/>
      <c r="Q1183" s="22" t="s">
        <v>622</v>
      </c>
      <c r="R1183" s="22" t="s">
        <v>221</v>
      </c>
      <c r="S1183" s="90" t="str">
        <f>IF(Table26[[#This Row],[customerSKU]]="","",_xlfn.XLOOKUP(Table26[[#This Row],[customerSKU]],customerSKU!G:G,customerSKU!N:N,"NOT FOUND",0,1))</f>
        <v>NOT FOUND</v>
      </c>
      <c r="T1183" s="20">
        <v>45603</v>
      </c>
      <c r="U1183" s="94">
        <v>12</v>
      </c>
      <c r="V1183" s="22" t="str">
        <f>IF(ISBLANK(Table26[[#This Row],[customerSKU]]),"",_xlfn.XLOOKUP(Table26[[#This Row],[customerSKU]],Table27[customer_SKU],Table27[case_size],"",0,1))</f>
        <v/>
      </c>
      <c r="W1183" s="117" t="str">
        <f t="shared" si="53"/>
        <v/>
      </c>
      <c r="X1183" s="22" t="str">
        <f t="shared" si="54"/>
        <v/>
      </c>
      <c r="Y1183" s="25" t="str">
        <f>IF(Table26[[#This Row],[customerSKU]]="","",_xlfn.XLOOKUP(Table26[[#This Row],[customerSKU]],Table27[customer_SKU],Table27[product_GTIN],"",0,1))</f>
        <v/>
      </c>
      <c r="Z1183" s="25" t="s">
        <v>3434</v>
      </c>
      <c r="AA1183" s="18" t="str" cm="1">
        <f t="array" ref="AA1183">IF(P1183="", "", _xlfn.XLOOKUP(P1183,#REF!,#REF!,NA,0,-1))</f>
        <v/>
      </c>
      <c r="AB1183" s="22"/>
      <c r="AC1183" s="55" t="s">
        <v>112</v>
      </c>
      <c r="AD1183" s="55" t="str">
        <f>IF($AC1183="","",_xlfn.XLOOKUP($AC1183,'[2]Client Info'!$C$2:$C$2535,'[2]Client Info'!$D$2:$D$2535,"",0,1))</f>
        <v>725 Nelson Street</v>
      </c>
      <c r="AE1183" s="55" t="str">
        <f>IF($AC1183="","",_xlfn.XLOOKUP($AC1183,'[2]Client Info'!$C$2:$C$2715,'[2]Client Info'!$E$2:$E$2715,"",))</f>
        <v>Vancouver</v>
      </c>
      <c r="AF1183" s="55" t="str">
        <f>IF($AC1183="","",_xlfn.XLOOKUP($AC1183,'[2]Client Info'!$C$2:$C$2715,'[2]Client Info'!$F$2:$F$2715,"",0,1))</f>
        <v xml:space="preserve">BC </v>
      </c>
      <c r="AG1183" s="55" t="s">
        <v>112</v>
      </c>
      <c r="AH1183" s="26" t="str">
        <f>_xlfn.XLOOKUP(Table26[[#This Row],[customerSKU]],customerSKU!G:G,customerSKU!K:K,"NA",0,1)</f>
        <v>NA</v>
      </c>
      <c r="AI1183" s="43" t="str">
        <f>_xlfn.XLOOKUP(Table26[[#This Row],[customerSKU]],customerSKU!G:G,customerSKU!O:O,"not found",0,1)</f>
        <v>not found</v>
      </c>
      <c r="AJ1183" s="22" t="e">
        <f>Table26[[#This Row],[unitprice]]*Table26[[#This Row],[quantity_unit]]</f>
        <v>#VALUE!</v>
      </c>
      <c r="AK1183" s="22" t="e" cm="1">
        <f t="array" ref="AK11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4" spans="1:37" ht="24.6" customHeight="1">
      <c r="A1184" s="42">
        <v>1080</v>
      </c>
      <c r="B1184" s="42" t="s">
        <v>3357</v>
      </c>
      <c r="C1184" s="53" t="s">
        <v>203</v>
      </c>
      <c r="E1184" s="20"/>
      <c r="F1184" s="25"/>
      <c r="G1184" s="93"/>
      <c r="J1184" s="90" t="str">
        <f>IF(Table26[[#This Row],[customerSKU]]="","",_xlfn.XLOOKUP(Table26[[#This Row],[customerSKU]],customerSKU!G:G,customerSKU!A:A,"",0,1))</f>
        <v/>
      </c>
      <c r="K1184" s="232">
        <v>45728</v>
      </c>
      <c r="L1184" s="49" t="str">
        <f>IF(Table26[[#This Row],[customerSKU]]="","",_xlfn.XLOOKUP(Table26[[#This Row],[customerSKU]],customerSKU!G:G,customerSKU!B:B,"",0,1))</f>
        <v/>
      </c>
      <c r="M1184" s="22"/>
      <c r="N1184" s="15" t="str">
        <f>Table26[[#This Row],[po_number]]&amp;"-"&amp;Table26[[#This Row],[po_line]]</f>
        <v>-1</v>
      </c>
      <c r="O1184" s="15">
        <v>1</v>
      </c>
      <c r="P1184" s="50"/>
      <c r="Q1184" s="22" t="s">
        <v>4170</v>
      </c>
      <c r="R1184" s="22" t="s">
        <v>569</v>
      </c>
      <c r="S1184" s="90" t="str">
        <f>IF(Table26[[#This Row],[customerSKU]]="","",_xlfn.XLOOKUP(Table26[[#This Row],[customerSKU]],customerSKU!G:G,customerSKU!N:N,"NOT FOUND",0,1))</f>
        <v>NOT FOUND</v>
      </c>
      <c r="T1184" s="20">
        <v>45668</v>
      </c>
      <c r="U1184" s="94">
        <v>12</v>
      </c>
      <c r="V1184" s="22" t="str">
        <f>IF(ISBLANK(Table26[[#This Row],[customerSKU]]),"",_xlfn.XLOOKUP(Table26[[#This Row],[customerSKU]],Table27[customer_SKU],Table27[case_size],"",0,1))</f>
        <v/>
      </c>
      <c r="W1184" s="117" t="str">
        <f t="shared" si="53"/>
        <v/>
      </c>
      <c r="X1184" s="22" t="str">
        <f t="shared" si="54"/>
        <v/>
      </c>
      <c r="Y1184" s="25" t="str">
        <f>IF(Table26[[#This Row],[customerSKU]]="","",_xlfn.XLOOKUP(Table26[[#This Row],[customerSKU]],Table27[customer_SKU],Table27[product_GTIN],"",0,1))</f>
        <v/>
      </c>
      <c r="Z1184" s="25" t="s">
        <v>3384</v>
      </c>
      <c r="AA1184" s="18" t="str" cm="1">
        <f t="array" ref="AA1184">IF(P1184="", "", _xlfn.XLOOKUP(P1184,#REF!,#REF!,NA,0,-1))</f>
        <v/>
      </c>
      <c r="AB1184" s="22"/>
      <c r="AC1184" s="55" t="s">
        <v>4173</v>
      </c>
      <c r="AD1184" s="55" t="str">
        <f>IF($AC1184="","",_xlfn.XLOOKUP($AC1184,'[2]Client Info'!$C$2:$C$2535,'[2]Client Info'!$D$2:$D$2535,"",0,1))</f>
        <v>140 Rutland Rd S</v>
      </c>
      <c r="AE1184" s="55" t="str">
        <f>IF($AC1184="","",_xlfn.XLOOKUP($AC1184,'[2]Client Info'!$C$2:$C$2715,'[2]Client Info'!$E$2:$E$2715,"",))</f>
        <v>Kelowna</v>
      </c>
      <c r="AF1184" s="55" t="str">
        <f>IF($AC1184="","",_xlfn.XLOOKUP($AC1184,'[2]Client Info'!$C$2:$C$2715,'[2]Client Info'!$F$2:$F$2715,"",0,1))</f>
        <v xml:space="preserve">BC </v>
      </c>
      <c r="AG1184" s="55" t="s">
        <v>4173</v>
      </c>
      <c r="AH1184" s="26" t="str">
        <f>_xlfn.XLOOKUP(Table26[[#This Row],[customerSKU]],customerSKU!G:G,customerSKU!K:K,"NA",0,1)</f>
        <v>NA</v>
      </c>
      <c r="AI1184" s="43" t="str">
        <f>_xlfn.XLOOKUP(Table26[[#This Row],[customerSKU]],customerSKU!G:G,customerSKU!O:O,"not found",0,1)</f>
        <v>not found</v>
      </c>
      <c r="AJ1184" s="22" t="e">
        <f>Table26[[#This Row],[unitprice]]*Table26[[#This Row],[quantity_unit]]</f>
        <v>#VALUE!</v>
      </c>
      <c r="AK1184" s="22" t="e" cm="1">
        <f t="array" ref="AK11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5" spans="1:37" ht="24.6" customHeight="1">
      <c r="A1185" s="42">
        <v>1081</v>
      </c>
      <c r="B1185" s="42" t="s">
        <v>3357</v>
      </c>
      <c r="C1185" s="53" t="s">
        <v>203</v>
      </c>
      <c r="E1185" s="20"/>
      <c r="F1185" s="25"/>
      <c r="G1185" s="93"/>
      <c r="J1185" s="90" t="str">
        <f>IF(Table26[[#This Row],[customerSKU]]="","",_xlfn.XLOOKUP(Table26[[#This Row],[customerSKU]],customerSKU!G:G,customerSKU!A:A,"",0,1))</f>
        <v/>
      </c>
      <c r="K1185" s="232">
        <v>45728</v>
      </c>
      <c r="L1185" s="49" t="str">
        <f>IF(Table26[[#This Row],[customerSKU]]="","",_xlfn.XLOOKUP(Table26[[#This Row],[customerSKU]],customerSKU!G:G,customerSKU!B:B,"",0,1))</f>
        <v/>
      </c>
      <c r="M1185" s="22"/>
      <c r="N1185" s="15" t="str">
        <f>Table26[[#This Row],[po_number]]&amp;"-"&amp;Table26[[#This Row],[po_line]]</f>
        <v>-1</v>
      </c>
      <c r="O1185" s="15">
        <v>1</v>
      </c>
      <c r="P1185" s="50"/>
      <c r="Q1185" s="22" t="s">
        <v>4170</v>
      </c>
      <c r="R1185" s="22" t="s">
        <v>569</v>
      </c>
      <c r="S1185" s="90" t="str">
        <f>IF(Table26[[#This Row],[customerSKU]]="","",_xlfn.XLOOKUP(Table26[[#This Row],[customerSKU]],customerSKU!G:G,customerSKU!N:N,"NOT FOUND",0,1))</f>
        <v>NOT FOUND</v>
      </c>
      <c r="T1185" s="20">
        <v>45668</v>
      </c>
      <c r="U1185" s="94">
        <v>6</v>
      </c>
      <c r="V1185" s="22" t="str">
        <f>IF(ISBLANK(Table26[[#This Row],[customerSKU]]),"",_xlfn.XLOOKUP(Table26[[#This Row],[customerSKU]],Table27[customer_SKU],Table27[case_size],"",0,1))</f>
        <v/>
      </c>
      <c r="W1185" s="117" t="str">
        <f t="shared" si="53"/>
        <v/>
      </c>
      <c r="X1185" s="22" t="str">
        <f t="shared" si="54"/>
        <v/>
      </c>
      <c r="Y1185" s="25" t="str">
        <f>IF(Table26[[#This Row],[customerSKU]]="","",_xlfn.XLOOKUP(Table26[[#This Row],[customerSKU]],Table27[customer_SKU],Table27[product_GTIN],"",0,1))</f>
        <v/>
      </c>
      <c r="Z1185" s="25" t="s">
        <v>3384</v>
      </c>
      <c r="AA1185" s="18" t="str" cm="1">
        <f t="array" ref="AA1185">IF(P1185="", "", _xlfn.XLOOKUP(P1185,#REF!,#REF!,NA,0,-1))</f>
        <v/>
      </c>
      <c r="AB1185" s="22"/>
      <c r="AC1185" s="55" t="s">
        <v>110</v>
      </c>
      <c r="AD1185" s="55" t="str">
        <f>IF($AC1185="","",_xlfn.XLOOKUP($AC1185,'[2]Client Info'!$C$2:$C$2535,'[2]Client Info'!$D$2:$D$2535,"",0,1))</f>
        <v>4055 Cambie St</v>
      </c>
      <c r="AE1185" s="55" t="str">
        <f>IF($AC1185="","",_xlfn.XLOOKUP($AC1185,'[2]Client Info'!$C$2:$C$2715,'[2]Client Info'!$E$2:$E$2715,"",))</f>
        <v>Vancouver</v>
      </c>
      <c r="AF1185" s="55" t="str">
        <f>IF($AC1185="","",_xlfn.XLOOKUP($AC1185,'[2]Client Info'!$C$2:$C$2715,'[2]Client Info'!$F$2:$F$2715,"",0,1))</f>
        <v xml:space="preserve">BC </v>
      </c>
      <c r="AG1185" s="55" t="s">
        <v>110</v>
      </c>
      <c r="AH1185" s="26" t="str">
        <f>_xlfn.XLOOKUP(Table26[[#This Row],[customerSKU]],customerSKU!G:G,customerSKU!K:K,"NA",0,1)</f>
        <v>NA</v>
      </c>
      <c r="AI1185" s="43" t="str">
        <f>_xlfn.XLOOKUP(Table26[[#This Row],[customerSKU]],customerSKU!G:G,customerSKU!O:O,"not found",0,1)</f>
        <v>not found</v>
      </c>
      <c r="AJ1185" s="22" t="e">
        <f>Table26[[#This Row],[unitprice]]*Table26[[#This Row],[quantity_unit]]</f>
        <v>#VALUE!</v>
      </c>
      <c r="AK1185" s="22" t="e" cm="1">
        <f t="array" ref="AK11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6" spans="1:37" ht="24.6" customHeight="1">
      <c r="A1186" s="42">
        <v>1082</v>
      </c>
      <c r="B1186" s="42" t="s">
        <v>3357</v>
      </c>
      <c r="C1186" s="53" t="s">
        <v>203</v>
      </c>
      <c r="E1186" s="20"/>
      <c r="F1186" s="25"/>
      <c r="G1186" s="93"/>
      <c r="J1186" s="90" t="str">
        <f>IF(Table26[[#This Row],[customerSKU]]="","",_xlfn.XLOOKUP(Table26[[#This Row],[customerSKU]],customerSKU!G:G,customerSKU!A:A,"",0,1))</f>
        <v/>
      </c>
      <c r="K1186" s="232">
        <v>45728</v>
      </c>
      <c r="L1186" s="49" t="str">
        <f>IF(Table26[[#This Row],[customerSKU]]="","",_xlfn.XLOOKUP(Table26[[#This Row],[customerSKU]],customerSKU!G:G,customerSKU!B:B,"",0,1))</f>
        <v/>
      </c>
      <c r="M1186" s="22"/>
      <c r="N1186" s="15" t="str">
        <f>Table26[[#This Row],[po_number]]&amp;"-"&amp;Table26[[#This Row],[po_line]]</f>
        <v>-1</v>
      </c>
      <c r="O1186" s="15">
        <v>1</v>
      </c>
      <c r="P1186" s="50"/>
      <c r="Q1186" s="22" t="s">
        <v>4168</v>
      </c>
      <c r="R1186" s="22" t="s">
        <v>569</v>
      </c>
      <c r="S1186" s="90" t="str">
        <f>IF(Table26[[#This Row],[customerSKU]]="","",_xlfn.XLOOKUP(Table26[[#This Row],[customerSKU]],customerSKU!G:G,customerSKU!N:N,"NOT FOUND",0,1))</f>
        <v>NOT FOUND</v>
      </c>
      <c r="T1186" s="20">
        <v>45668</v>
      </c>
      <c r="U1186" s="94">
        <v>24</v>
      </c>
      <c r="V1186" s="22" t="str">
        <f>IF(ISBLANK(Table26[[#This Row],[customerSKU]]),"",_xlfn.XLOOKUP(Table26[[#This Row],[customerSKU]],Table27[customer_SKU],Table27[case_size],"",0,1))</f>
        <v/>
      </c>
      <c r="W1186" s="117" t="str">
        <f t="shared" si="53"/>
        <v/>
      </c>
      <c r="X1186" s="22" t="str">
        <f t="shared" si="54"/>
        <v/>
      </c>
      <c r="Y1186" s="25" t="str">
        <f>IF(Table26[[#This Row],[customerSKU]]="","",_xlfn.XLOOKUP(Table26[[#This Row],[customerSKU]],Table27[customer_SKU],Table27[product_GTIN],"",0,1))</f>
        <v/>
      </c>
      <c r="Z1186" s="25" t="s">
        <v>4169</v>
      </c>
      <c r="AA1186" s="18" t="str" cm="1">
        <f t="array" ref="AA1186">IF(P1186="", "", _xlfn.XLOOKUP(P1186,#REF!,#REF!,NA,0,-1))</f>
        <v/>
      </c>
      <c r="AB1186" s="22"/>
      <c r="AC1186" s="55" t="s">
        <v>4136</v>
      </c>
      <c r="AD1186" s="55" t="str">
        <f>IF($AC1186="","",_xlfn.XLOOKUP($AC1186,'[2]Client Info'!$C$2:$C$2535,'[2]Client Info'!$D$2:$D$2535,"",0,1))</f>
        <v>540 Ewen Avenue</v>
      </c>
      <c r="AE1186" s="55" t="str">
        <f>IF($AC1186="","",_xlfn.XLOOKUP($AC1186,'[2]Client Info'!$C$2:$C$2715,'[2]Client Info'!$E$2:$E$2715,"",))</f>
        <v>New Westminster</v>
      </c>
      <c r="AF1186" s="55" t="str">
        <f>IF($AC1186="","",_xlfn.XLOOKUP($AC1186,'[2]Client Info'!$C$2:$C$2715,'[2]Client Info'!$F$2:$F$2715,"",0,1))</f>
        <v xml:space="preserve">BC </v>
      </c>
      <c r="AG1186" s="55" t="s">
        <v>4136</v>
      </c>
      <c r="AH1186" s="26" t="str">
        <f>_xlfn.XLOOKUP(Table26[[#This Row],[customerSKU]],customerSKU!G:G,customerSKU!K:K,"NA",0,1)</f>
        <v>NA</v>
      </c>
      <c r="AI1186" s="43" t="str">
        <f>_xlfn.XLOOKUP(Table26[[#This Row],[customerSKU]],customerSKU!G:G,customerSKU!O:O,"not found",0,1)</f>
        <v>not found</v>
      </c>
      <c r="AJ1186" s="22" t="e">
        <f>Table26[[#This Row],[unitprice]]*Table26[[#This Row],[quantity_unit]]</f>
        <v>#VALUE!</v>
      </c>
      <c r="AK1186" s="22" t="e" cm="1">
        <f t="array" ref="AK11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7" spans="1:37" ht="24.6" customHeight="1">
      <c r="A1187" s="42">
        <v>1083</v>
      </c>
      <c r="B1187" s="42" t="s">
        <v>3357</v>
      </c>
      <c r="C1187" s="53" t="s">
        <v>203</v>
      </c>
      <c r="E1187" s="20"/>
      <c r="F1187" s="25"/>
      <c r="G1187" s="93"/>
      <c r="J1187" s="90" t="str">
        <f>IF(Table26[[#This Row],[customerSKU]]="","",_xlfn.XLOOKUP(Table26[[#This Row],[customerSKU]],customerSKU!G:G,customerSKU!A:A,"",0,1))</f>
        <v/>
      </c>
      <c r="K1187" s="232">
        <v>45728</v>
      </c>
      <c r="L1187" s="49" t="str">
        <f>IF(Table26[[#This Row],[customerSKU]]="","",_xlfn.XLOOKUP(Table26[[#This Row],[customerSKU]],customerSKU!G:G,customerSKU!B:B,"",0,1))</f>
        <v/>
      </c>
      <c r="M1187" s="22"/>
      <c r="N1187" s="15" t="str">
        <f>Table26[[#This Row],[po_number]]&amp;"-"&amp;Table26[[#This Row],[po_line]]</f>
        <v>-2</v>
      </c>
      <c r="O1187" s="15">
        <v>2</v>
      </c>
      <c r="P1187" s="50"/>
      <c r="Q1187" s="22" t="s">
        <v>4170</v>
      </c>
      <c r="R1187" s="22" t="s">
        <v>569</v>
      </c>
      <c r="S1187" s="90" t="str">
        <f>IF(Table26[[#This Row],[customerSKU]]="","",_xlfn.XLOOKUP(Table26[[#This Row],[customerSKU]],customerSKU!G:G,customerSKU!N:N,"NOT FOUND",0,1))</f>
        <v>NOT FOUND</v>
      </c>
      <c r="T1187" s="20">
        <v>45668</v>
      </c>
      <c r="U1187" s="94">
        <v>30</v>
      </c>
      <c r="V1187" s="22" t="str">
        <f>IF(ISBLANK(Table26[[#This Row],[customerSKU]]),"",_xlfn.XLOOKUP(Table26[[#This Row],[customerSKU]],Table27[customer_SKU],Table27[case_size],"",0,1))</f>
        <v/>
      </c>
      <c r="W1187" s="117" t="str">
        <f t="shared" si="53"/>
        <v/>
      </c>
      <c r="X1187" s="22" t="str">
        <f t="shared" si="54"/>
        <v/>
      </c>
      <c r="Y1187" s="25" t="str">
        <f>IF(Table26[[#This Row],[customerSKU]]="","",_xlfn.XLOOKUP(Table26[[#This Row],[customerSKU]],Table27[customer_SKU],Table27[product_GTIN],"",0,1))</f>
        <v/>
      </c>
      <c r="Z1187" s="25" t="s">
        <v>3384</v>
      </c>
      <c r="AA1187" s="18" t="str" cm="1">
        <f t="array" ref="AA1187">IF(P1187="", "", _xlfn.XLOOKUP(P1187,#REF!,#REF!,NA,0,-1))</f>
        <v/>
      </c>
      <c r="AB1187" s="22"/>
      <c r="AC1187" s="55" t="s">
        <v>4136</v>
      </c>
      <c r="AD1187" s="55" t="str">
        <f>IF($AC1187="","",_xlfn.XLOOKUP($AC1187,'[2]Client Info'!$C$2:$C$2535,'[2]Client Info'!$D$2:$D$2535,"",0,1))</f>
        <v>540 Ewen Avenue</v>
      </c>
      <c r="AE1187" s="55" t="str">
        <f>IF($AC1187="","",_xlfn.XLOOKUP($AC1187,'[2]Client Info'!$C$2:$C$2715,'[2]Client Info'!$E$2:$E$2715,"",))</f>
        <v>New Westminster</v>
      </c>
      <c r="AF1187" s="55" t="str">
        <f>IF($AC1187="","",_xlfn.XLOOKUP($AC1187,'[2]Client Info'!$C$2:$C$2715,'[2]Client Info'!$F$2:$F$2715,"",0,1))</f>
        <v xml:space="preserve">BC </v>
      </c>
      <c r="AG1187" s="55" t="s">
        <v>4136</v>
      </c>
      <c r="AH1187" s="26" t="str">
        <f>_xlfn.XLOOKUP(Table26[[#This Row],[customerSKU]],customerSKU!G:G,customerSKU!K:K,"NA",0,1)</f>
        <v>NA</v>
      </c>
      <c r="AI1187" s="43" t="str">
        <f>_xlfn.XLOOKUP(Table26[[#This Row],[customerSKU]],customerSKU!G:G,customerSKU!O:O,"not found",0,1)</f>
        <v>not found</v>
      </c>
      <c r="AJ1187" s="22" t="e">
        <f>Table26[[#This Row],[unitprice]]*Table26[[#This Row],[quantity_unit]]</f>
        <v>#VALUE!</v>
      </c>
      <c r="AK1187" s="22" t="e" cm="1">
        <f t="array" ref="AK11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8" spans="1:37" ht="24.6" customHeight="1">
      <c r="A1188" s="42">
        <v>1026</v>
      </c>
      <c r="B1188" s="42" t="s">
        <v>3357</v>
      </c>
      <c r="C1188" s="53" t="s">
        <v>203</v>
      </c>
      <c r="E1188" s="20"/>
      <c r="F1188" s="25"/>
      <c r="G1188" s="93"/>
      <c r="J1188" s="90" t="str">
        <f>IF(Table26[[#This Row],[customerSKU]]="","",_xlfn.XLOOKUP(Table26[[#This Row],[customerSKU]],customerSKU!G:G,customerSKU!A:A,"",0,1))</f>
        <v/>
      </c>
      <c r="K1188" s="232">
        <v>45729</v>
      </c>
      <c r="L1188" s="49" t="str">
        <f>IF(Table26[[#This Row],[customerSKU]]="","",_xlfn.XLOOKUP(Table26[[#This Row],[customerSKU]],customerSKU!G:G,customerSKU!B:B,"",0,1))</f>
        <v/>
      </c>
      <c r="M1188" s="22"/>
      <c r="N1188" s="15" t="str">
        <f>Table26[[#This Row],[po_number]]&amp;"-"&amp;Table26[[#This Row],[po_line]]</f>
        <v>-1</v>
      </c>
      <c r="O1188" s="15">
        <v>1</v>
      </c>
      <c r="P1188" s="50"/>
      <c r="Q1188" s="22" t="s">
        <v>1575</v>
      </c>
      <c r="R1188" s="22" t="s">
        <v>221</v>
      </c>
      <c r="S1188" s="90" t="str">
        <f>IF(Table26[[#This Row],[customerSKU]]="","",_xlfn.XLOOKUP(Table26[[#This Row],[customerSKU]],customerSKU!G:G,customerSKU!N:N,"NOT FOUND",0,1))</f>
        <v>NOT FOUND</v>
      </c>
      <c r="T1188" s="20">
        <v>45457</v>
      </c>
      <c r="U1188" s="94">
        <v>12</v>
      </c>
      <c r="V1188" s="22" t="str">
        <f>IF(ISBLANK(Table26[[#This Row],[customerSKU]]),"",_xlfn.XLOOKUP(Table26[[#This Row],[customerSKU]],Table27[customer_SKU],Table27[case_size],"",0,1))</f>
        <v/>
      </c>
      <c r="W1188" s="117" t="str">
        <f t="shared" si="53"/>
        <v/>
      </c>
      <c r="X1188" s="22" t="str">
        <f t="shared" si="54"/>
        <v/>
      </c>
      <c r="Y1188" s="25" t="str">
        <f>IF(Table26[[#This Row],[customerSKU]]="","",_xlfn.XLOOKUP(Table26[[#This Row],[customerSKU]],Table27[customer_SKU],Table27[product_GTIN],"",0,1))</f>
        <v/>
      </c>
      <c r="Z1188" s="25" t="s">
        <v>3609</v>
      </c>
      <c r="AA1188" s="18" t="str" cm="1">
        <f t="array" ref="AA1188">IF(P1188="", "", _xlfn.XLOOKUP(P1188,#REF!,#REF!,NA,0,-1))</f>
        <v/>
      </c>
      <c r="AB1188" s="22"/>
      <c r="AC1188" s="55" t="s">
        <v>95</v>
      </c>
      <c r="AD1188" s="55" t="str">
        <f>IF($AC1188="","",_xlfn.XLOOKUP($AC1188,'[2]Client Info'!$C$2:$C$2535,'[2]Client Info'!$D$2:$D$2535,"",0,1))</f>
        <v>5 - 3227 264th Street</v>
      </c>
      <c r="AE1188" s="55" t="str">
        <f>IF($AC1188="","",_xlfn.XLOOKUP($AC1188,'[2]Client Info'!$C$2:$C$2715,'[2]Client Info'!$E$2:$E$2715,"",))</f>
        <v>Aldergrove</v>
      </c>
      <c r="AF1188" s="55" t="str">
        <f>IF($AC1188="","",_xlfn.XLOOKUP($AC1188,'[2]Client Info'!$C$2:$C$2715,'[2]Client Info'!$F$2:$F$2715,"",0,1))</f>
        <v xml:space="preserve">BC </v>
      </c>
      <c r="AG1188" s="55" t="s">
        <v>95</v>
      </c>
      <c r="AH1188" s="26" t="str">
        <f>_xlfn.XLOOKUP(Table26[[#This Row],[customerSKU]],customerSKU!G:G,customerSKU!K:K,"NA",0,1)</f>
        <v>NA</v>
      </c>
      <c r="AI1188" s="43" t="str">
        <f>_xlfn.XLOOKUP(Table26[[#This Row],[customerSKU]],customerSKU!G:G,customerSKU!O:O,"not found",0,1)</f>
        <v>not found</v>
      </c>
      <c r="AJ1188" s="22" t="e">
        <f>Table26[[#This Row],[unitprice]]*Table26[[#This Row],[quantity_unit]]</f>
        <v>#VALUE!</v>
      </c>
      <c r="AK1188" s="22" t="e" cm="1">
        <f t="array" ref="AK11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89" spans="1:37" ht="18" customHeight="1">
      <c r="A1189" s="42">
        <v>1027</v>
      </c>
      <c r="B1189" s="42" t="s">
        <v>3357</v>
      </c>
      <c r="C1189" s="53" t="s">
        <v>203</v>
      </c>
      <c r="E1189" s="20"/>
      <c r="F1189" s="25"/>
      <c r="G1189" s="93"/>
      <c r="J1189" s="90" t="str">
        <f>IF(Table26[[#This Row],[customerSKU]]="","",_xlfn.XLOOKUP(Table26[[#This Row],[customerSKU]],customerSKU!G:G,customerSKU!A:A,"",0,1))</f>
        <v/>
      </c>
      <c r="K1189" s="232">
        <v>45729</v>
      </c>
      <c r="L1189" s="49" t="str">
        <f>IF(Table26[[#This Row],[customerSKU]]="","",_xlfn.XLOOKUP(Table26[[#This Row],[customerSKU]],customerSKU!G:G,customerSKU!B:B,"",0,1))</f>
        <v/>
      </c>
      <c r="M1189" s="22"/>
      <c r="N1189" s="15" t="str">
        <f>Table26[[#This Row],[po_number]]&amp;"-"&amp;Table26[[#This Row],[po_line]]</f>
        <v>-2</v>
      </c>
      <c r="O1189" s="15">
        <v>2</v>
      </c>
      <c r="P1189" s="50"/>
      <c r="Q1189" s="22" t="s">
        <v>828</v>
      </c>
      <c r="R1189" s="22" t="s">
        <v>221</v>
      </c>
      <c r="S1189" s="90" t="str">
        <f>IF(Table26[[#This Row],[customerSKU]]="","",_xlfn.XLOOKUP(Table26[[#This Row],[customerSKU]],customerSKU!G:G,customerSKU!N:N,"NOT FOUND",0,1))</f>
        <v>NOT FOUND</v>
      </c>
      <c r="T1189" s="20">
        <v>45685</v>
      </c>
      <c r="U1189" s="94">
        <v>12</v>
      </c>
      <c r="V1189" s="22" t="str">
        <f>IF(ISBLANK(Table26[[#This Row],[customerSKU]]),"",_xlfn.XLOOKUP(Table26[[#This Row],[customerSKU]],Table27[customer_SKU],Table27[case_size],"",0,1))</f>
        <v/>
      </c>
      <c r="W1189" s="117" t="str">
        <f t="shared" si="53"/>
        <v/>
      </c>
      <c r="X1189" s="22" t="str">
        <f t="shared" si="54"/>
        <v/>
      </c>
      <c r="Y1189" s="25" t="str">
        <f>IF(Table26[[#This Row],[customerSKU]]="","",_xlfn.XLOOKUP(Table26[[#This Row],[customerSKU]],Table27[customer_SKU],Table27[product_GTIN],"",0,1))</f>
        <v/>
      </c>
      <c r="Z1189" s="25" t="s">
        <v>3364</v>
      </c>
      <c r="AA1189" s="18" t="str" cm="1">
        <f t="array" ref="AA1189">IF(P1189="", "", _xlfn.XLOOKUP(P1189,#REF!,#REF!,NA,0,-1))</f>
        <v/>
      </c>
      <c r="AB1189" s="22"/>
      <c r="AC1189" s="55" t="s">
        <v>95</v>
      </c>
      <c r="AD1189" s="55" t="str">
        <f>IF($AC1189="","",_xlfn.XLOOKUP($AC1189,'[2]Client Info'!$C$2:$C$2535,'[2]Client Info'!$D$2:$D$2535,"",0,1))</f>
        <v>5 - 3227 264th Street</v>
      </c>
      <c r="AE1189" s="55" t="str">
        <f>IF($AC1189="","",_xlfn.XLOOKUP($AC1189,'[2]Client Info'!$C$2:$C$2715,'[2]Client Info'!$E$2:$E$2715,"",))</f>
        <v>Aldergrove</v>
      </c>
      <c r="AF1189" s="55" t="str">
        <f>IF($AC1189="","",_xlfn.XLOOKUP($AC1189,'[2]Client Info'!$C$2:$C$2715,'[2]Client Info'!$F$2:$F$2715,"",0,1))</f>
        <v xml:space="preserve">BC </v>
      </c>
      <c r="AG1189" s="55" t="s">
        <v>95</v>
      </c>
      <c r="AH1189" s="26" t="str">
        <f>_xlfn.XLOOKUP(Table26[[#This Row],[customerSKU]],customerSKU!G:G,customerSKU!K:K,"NA",0,1)</f>
        <v>NA</v>
      </c>
      <c r="AI1189" s="43" t="str">
        <f>_xlfn.XLOOKUP(Table26[[#This Row],[customerSKU]],customerSKU!G:G,customerSKU!O:O,"not found",0,1)</f>
        <v>not found</v>
      </c>
      <c r="AJ1189" s="22" t="e">
        <f>Table26[[#This Row],[unitprice]]*Table26[[#This Row],[quantity_unit]]</f>
        <v>#VALUE!</v>
      </c>
      <c r="AK1189" s="22" t="e" cm="1">
        <f t="array" ref="AK11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0" spans="1:37" ht="24.6" customHeight="1">
      <c r="A1190" s="42">
        <v>1028</v>
      </c>
      <c r="B1190" s="42" t="s">
        <v>3357</v>
      </c>
      <c r="C1190" s="53" t="s">
        <v>203</v>
      </c>
      <c r="E1190" s="20"/>
      <c r="F1190" s="25"/>
      <c r="G1190" s="93"/>
      <c r="J1190" s="90" t="str">
        <f>IF(Table26[[#This Row],[customerSKU]]="","",_xlfn.XLOOKUP(Table26[[#This Row],[customerSKU]],customerSKU!G:G,customerSKU!A:A,"",0,1))</f>
        <v/>
      </c>
      <c r="K1190" s="232">
        <v>45729</v>
      </c>
      <c r="L1190" s="49" t="str">
        <f>IF(Table26[[#This Row],[customerSKU]]="","",_xlfn.XLOOKUP(Table26[[#This Row],[customerSKU]],customerSKU!G:G,customerSKU!B:B,"",0,1))</f>
        <v/>
      </c>
      <c r="M1190" s="22"/>
      <c r="N1190" s="15" t="str">
        <f>Table26[[#This Row],[po_number]]&amp;"-"&amp;Table26[[#This Row],[po_line]]</f>
        <v>-3</v>
      </c>
      <c r="O1190" s="15">
        <v>3</v>
      </c>
      <c r="P1190" s="50"/>
      <c r="Q1190" s="22" t="s">
        <v>869</v>
      </c>
      <c r="R1190" s="22" t="s">
        <v>221</v>
      </c>
      <c r="S1190" s="90" t="str">
        <f>IF(Table26[[#This Row],[customerSKU]]="","",_xlfn.XLOOKUP(Table26[[#This Row],[customerSKU]],customerSKU!G:G,customerSKU!N:N,"NOT FOUND",0,1))</f>
        <v>NOT FOUND</v>
      </c>
      <c r="T1190" s="20">
        <v>45447</v>
      </c>
      <c r="U1190" s="94">
        <v>12</v>
      </c>
      <c r="V1190" s="22" t="str">
        <f>IF(ISBLANK(Table26[[#This Row],[customerSKU]]),"",_xlfn.XLOOKUP(Table26[[#This Row],[customerSKU]],Table27[customer_SKU],Table27[case_size],"",0,1))</f>
        <v/>
      </c>
      <c r="W1190" s="117" t="str">
        <f t="shared" si="53"/>
        <v/>
      </c>
      <c r="X1190" s="22" t="str">
        <f t="shared" si="54"/>
        <v/>
      </c>
      <c r="Y1190" s="25" t="str">
        <f>IF(Table26[[#This Row],[customerSKU]]="","",_xlfn.XLOOKUP(Table26[[#This Row],[customerSKU]],Table27[customer_SKU],Table27[product_GTIN],"",0,1))</f>
        <v/>
      </c>
      <c r="Z1190" s="25" t="s">
        <v>3376</v>
      </c>
      <c r="AA1190" s="18" t="str" cm="1">
        <f t="array" ref="AA1190">IF(P1190="", "", _xlfn.XLOOKUP(P1190,#REF!,#REF!,NA,0,-1))</f>
        <v/>
      </c>
      <c r="AB1190" s="22"/>
      <c r="AC1190" s="55" t="s">
        <v>95</v>
      </c>
      <c r="AD1190" s="55" t="str">
        <f>IF($AC1190="","",_xlfn.XLOOKUP($AC1190,'[2]Client Info'!$C$2:$C$2535,'[2]Client Info'!$D$2:$D$2535,"",0,1))</f>
        <v>5 - 3227 264th Street</v>
      </c>
      <c r="AE1190" s="55" t="str">
        <f>IF($AC1190="","",_xlfn.XLOOKUP($AC1190,'[2]Client Info'!$C$2:$C$2715,'[2]Client Info'!$E$2:$E$2715,"",))</f>
        <v>Aldergrove</v>
      </c>
      <c r="AF1190" s="55" t="str">
        <f>IF($AC1190="","",_xlfn.XLOOKUP($AC1190,'[2]Client Info'!$C$2:$C$2715,'[2]Client Info'!$F$2:$F$2715,"",0,1))</f>
        <v xml:space="preserve">BC </v>
      </c>
      <c r="AG1190" s="55" t="s">
        <v>95</v>
      </c>
      <c r="AH1190" s="26" t="str">
        <f>_xlfn.XLOOKUP(Table26[[#This Row],[customerSKU]],customerSKU!G:G,customerSKU!K:K,"NA",0,1)</f>
        <v>NA</v>
      </c>
      <c r="AI1190" s="43" t="str">
        <f>_xlfn.XLOOKUP(Table26[[#This Row],[customerSKU]],customerSKU!G:G,customerSKU!O:O,"not found",0,1)</f>
        <v>not found</v>
      </c>
      <c r="AJ1190" s="22" t="e">
        <f>Table26[[#This Row],[unitprice]]*Table26[[#This Row],[quantity_unit]]</f>
        <v>#VALUE!</v>
      </c>
      <c r="AK1190" s="22" t="e" cm="1">
        <f t="array" ref="AK11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1" spans="1:37" ht="24.6" customHeight="1">
      <c r="A1191" s="42">
        <v>1029</v>
      </c>
      <c r="B1191" s="42" t="s">
        <v>3357</v>
      </c>
      <c r="C1191" s="53" t="s">
        <v>203</v>
      </c>
      <c r="E1191" s="20"/>
      <c r="F1191" s="25"/>
      <c r="G1191" s="93"/>
      <c r="J1191" s="90" t="str">
        <f>IF(Table26[[#This Row],[customerSKU]]="","",_xlfn.XLOOKUP(Table26[[#This Row],[customerSKU]],customerSKU!G:G,customerSKU!A:A,"",0,1))</f>
        <v/>
      </c>
      <c r="K1191" s="232">
        <v>45729</v>
      </c>
      <c r="L1191" s="49" t="str">
        <f>IF(Table26[[#This Row],[customerSKU]]="","",_xlfn.XLOOKUP(Table26[[#This Row],[customerSKU]],customerSKU!G:G,customerSKU!B:B,"",0,1))</f>
        <v/>
      </c>
      <c r="M1191" s="22"/>
      <c r="N1191" s="15" t="str">
        <f>Table26[[#This Row],[po_number]]&amp;"-"&amp;Table26[[#This Row],[po_line]]</f>
        <v>-4</v>
      </c>
      <c r="O1191" s="15">
        <v>4</v>
      </c>
      <c r="P1191" s="50"/>
      <c r="Q1191" s="22" t="s">
        <v>565</v>
      </c>
      <c r="R1191" s="22" t="s">
        <v>221</v>
      </c>
      <c r="S1191" s="90" t="str">
        <f>IF(Table26[[#This Row],[customerSKU]]="","",_xlfn.XLOOKUP(Table26[[#This Row],[customerSKU]],customerSKU!G:G,customerSKU!N:N,"NOT FOUND",0,1))</f>
        <v>NOT FOUND</v>
      </c>
      <c r="T1191" s="20">
        <v>45707</v>
      </c>
      <c r="U1191" s="94">
        <v>12</v>
      </c>
      <c r="V1191" s="22" t="str">
        <f>IF(ISBLANK(Table26[[#This Row],[customerSKU]]),"",_xlfn.XLOOKUP(Table26[[#This Row],[customerSKU]],Table27[customer_SKU],Table27[case_size],"",0,1))</f>
        <v/>
      </c>
      <c r="W1191" s="117" t="str">
        <f t="shared" si="53"/>
        <v/>
      </c>
      <c r="X1191" s="22" t="str">
        <f t="shared" si="54"/>
        <v/>
      </c>
      <c r="Y1191" s="25" t="str">
        <f>IF(Table26[[#This Row],[customerSKU]]="","",_xlfn.XLOOKUP(Table26[[#This Row],[customerSKU]],Table27[customer_SKU],Table27[product_GTIN],"",0,1))</f>
        <v/>
      </c>
      <c r="Z1191" s="25" t="s">
        <v>3373</v>
      </c>
      <c r="AA1191" s="18" t="str" cm="1">
        <f t="array" ref="AA1191">IF(P1191="", "", _xlfn.XLOOKUP(P1191,#REF!,#REF!,NA,0,-1))</f>
        <v/>
      </c>
      <c r="AB1191" s="22"/>
      <c r="AC1191" s="55" t="s">
        <v>95</v>
      </c>
      <c r="AD1191" s="55" t="str">
        <f>IF($AC1191="","",_xlfn.XLOOKUP($AC1191,'[2]Client Info'!$C$2:$C$2535,'[2]Client Info'!$D$2:$D$2535,"",0,1))</f>
        <v>5 - 3227 264th Street</v>
      </c>
      <c r="AE1191" s="55" t="str">
        <f>IF($AC1191="","",_xlfn.XLOOKUP($AC1191,'[2]Client Info'!$C$2:$C$2715,'[2]Client Info'!$E$2:$E$2715,"",))</f>
        <v>Aldergrove</v>
      </c>
      <c r="AF1191" s="55" t="str">
        <f>IF($AC1191="","",_xlfn.XLOOKUP($AC1191,'[2]Client Info'!$C$2:$C$2715,'[2]Client Info'!$F$2:$F$2715,"",0,1))</f>
        <v xml:space="preserve">BC </v>
      </c>
      <c r="AG1191" s="55" t="s">
        <v>95</v>
      </c>
      <c r="AH1191" s="26" t="str">
        <f>_xlfn.XLOOKUP(Table26[[#This Row],[customerSKU]],customerSKU!G:G,customerSKU!K:K,"NA",0,1)</f>
        <v>NA</v>
      </c>
      <c r="AI1191" s="43" t="str">
        <f>_xlfn.XLOOKUP(Table26[[#This Row],[customerSKU]],customerSKU!G:G,customerSKU!O:O,"not found",0,1)</f>
        <v>not found</v>
      </c>
      <c r="AJ1191" s="22" t="e">
        <f>Table26[[#This Row],[unitprice]]*Table26[[#This Row],[quantity_unit]]</f>
        <v>#VALUE!</v>
      </c>
      <c r="AK1191" s="22" t="e" cm="1">
        <f t="array" ref="AK11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2" spans="1:37" ht="18" customHeight="1">
      <c r="A1192" s="42">
        <v>1030</v>
      </c>
      <c r="B1192" s="42" t="s">
        <v>3357</v>
      </c>
      <c r="C1192" s="53" t="s">
        <v>203</v>
      </c>
      <c r="E1192" s="20"/>
      <c r="F1192" s="25"/>
      <c r="G1192" s="93"/>
      <c r="J1192" s="90" t="str">
        <f>IF(Table26[[#This Row],[customerSKU]]="","",_xlfn.XLOOKUP(Table26[[#This Row],[customerSKU]],customerSKU!G:G,customerSKU!A:A,"",0,1))</f>
        <v/>
      </c>
      <c r="K1192" s="232">
        <v>45729</v>
      </c>
      <c r="L1192" s="49" t="str">
        <f>IF(Table26[[#This Row],[customerSKU]]="","",_xlfn.XLOOKUP(Table26[[#This Row],[customerSKU]],customerSKU!G:G,customerSKU!B:B,"",0,1))</f>
        <v/>
      </c>
      <c r="M1192" s="22"/>
      <c r="N1192" s="15" t="str">
        <f>Table26[[#This Row],[po_number]]&amp;"-"&amp;Table26[[#This Row],[po_line]]</f>
        <v>-5</v>
      </c>
      <c r="O1192" s="15">
        <v>5</v>
      </c>
      <c r="P1192" s="50"/>
      <c r="Q1192" s="22" t="s">
        <v>4086</v>
      </c>
      <c r="R1192" s="22" t="s">
        <v>221</v>
      </c>
      <c r="S1192" s="90" t="str">
        <f>IF(Table26[[#This Row],[customerSKU]]="","",_xlfn.XLOOKUP(Table26[[#This Row],[customerSKU]],customerSKU!G:G,customerSKU!N:N,"NOT FOUND",0,1))</f>
        <v>NOT FOUND</v>
      </c>
      <c r="T1192" s="20">
        <v>45631</v>
      </c>
      <c r="U1192" s="94">
        <v>1</v>
      </c>
      <c r="V1192" s="22" t="str">
        <f>IF(ISBLANK(Table26[[#This Row],[customerSKU]]),"",_xlfn.XLOOKUP(Table26[[#This Row],[customerSKU]],Table27[customer_SKU],Table27[case_size],"",0,1))</f>
        <v/>
      </c>
      <c r="W1192" s="117" t="str">
        <f t="shared" si="53"/>
        <v/>
      </c>
      <c r="X1192" s="22" t="str">
        <f t="shared" si="54"/>
        <v/>
      </c>
      <c r="Y1192" s="25" t="str">
        <f>IF(Table26[[#This Row],[customerSKU]]="","",_xlfn.XLOOKUP(Table26[[#This Row],[customerSKU]],Table27[customer_SKU],Table27[product_GTIN],"",0,1))</f>
        <v/>
      </c>
      <c r="Z1192" s="25" t="s">
        <v>3372</v>
      </c>
      <c r="AA1192" s="18" t="str" cm="1">
        <f t="array" ref="AA1192">IF(P1192="", "", _xlfn.XLOOKUP(P1192,#REF!,#REF!,NA,0,-1))</f>
        <v/>
      </c>
      <c r="AB1192" s="22"/>
      <c r="AC1192" s="55" t="s">
        <v>95</v>
      </c>
      <c r="AD1192" s="55" t="str">
        <f>IF($AC1192="","",_xlfn.XLOOKUP($AC1192,'[2]Client Info'!$C$2:$C$2535,'[2]Client Info'!$D$2:$D$2535,"",0,1))</f>
        <v>5 - 3227 264th Street</v>
      </c>
      <c r="AE1192" s="55" t="str">
        <f>IF($AC1192="","",_xlfn.XLOOKUP($AC1192,'[2]Client Info'!$C$2:$C$2715,'[2]Client Info'!$E$2:$E$2715,"",))</f>
        <v>Aldergrove</v>
      </c>
      <c r="AF1192" s="55" t="str">
        <f>IF($AC1192="","",_xlfn.XLOOKUP($AC1192,'[2]Client Info'!$C$2:$C$2715,'[2]Client Info'!$F$2:$F$2715,"",0,1))</f>
        <v xml:space="preserve">BC </v>
      </c>
      <c r="AG1192" s="55" t="s">
        <v>95</v>
      </c>
      <c r="AH1192" s="26" t="str">
        <f>_xlfn.XLOOKUP(Table26[[#This Row],[customerSKU]],customerSKU!G:G,customerSKU!K:K,"NA",0,1)</f>
        <v>NA</v>
      </c>
      <c r="AI1192" s="43" t="str">
        <f>_xlfn.XLOOKUP(Table26[[#This Row],[customerSKU]],customerSKU!G:G,customerSKU!O:O,"not found",0,1)</f>
        <v>not found</v>
      </c>
      <c r="AJ1192" s="22" t="e">
        <f>Table26[[#This Row],[unitprice]]*Table26[[#This Row],[quantity_unit]]</f>
        <v>#VALUE!</v>
      </c>
      <c r="AK1192" s="22" t="e" cm="1">
        <f t="array" ref="AK11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3" spans="1:37" ht="18" customHeight="1">
      <c r="A1193" s="42">
        <v>1031</v>
      </c>
      <c r="B1193" s="42" t="s">
        <v>3357</v>
      </c>
      <c r="C1193" s="53" t="s">
        <v>203</v>
      </c>
      <c r="E1193" s="20"/>
      <c r="F1193" s="25"/>
      <c r="G1193" s="93"/>
      <c r="J1193" s="90" t="str">
        <f>IF(Table26[[#This Row],[customerSKU]]="","",_xlfn.XLOOKUP(Table26[[#This Row],[customerSKU]],customerSKU!G:G,customerSKU!A:A,"",0,1))</f>
        <v/>
      </c>
      <c r="K1193" s="232">
        <v>45729</v>
      </c>
      <c r="L1193" s="49" t="str">
        <f>IF(Table26[[#This Row],[customerSKU]]="","",_xlfn.XLOOKUP(Table26[[#This Row],[customerSKU]],customerSKU!G:G,customerSKU!B:B,"",0,1))</f>
        <v/>
      </c>
      <c r="M1193" s="22"/>
      <c r="N1193" s="15" t="str">
        <f>Table26[[#This Row],[po_number]]&amp;"-"&amp;Table26[[#This Row],[po_line]]</f>
        <v>-6</v>
      </c>
      <c r="O1193" s="15">
        <v>6</v>
      </c>
      <c r="P1193" s="50"/>
      <c r="Q1193" s="22" t="s">
        <v>2754</v>
      </c>
      <c r="R1193" s="22" t="s">
        <v>221</v>
      </c>
      <c r="S1193" s="90" t="str">
        <f>IF(Table26[[#This Row],[customerSKU]]="","",_xlfn.XLOOKUP(Table26[[#This Row],[customerSKU]],customerSKU!G:G,customerSKU!N:N,"NOT FOUND",0,1))</f>
        <v>NOT FOUND</v>
      </c>
      <c r="T1193" s="20">
        <v>45721</v>
      </c>
      <c r="U1193" s="94">
        <v>11</v>
      </c>
      <c r="V1193" s="22" t="str">
        <f>IF(ISBLANK(Table26[[#This Row],[customerSKU]]),"",_xlfn.XLOOKUP(Table26[[#This Row],[customerSKU]],Table27[customer_SKU],Table27[case_size],"",0,1))</f>
        <v/>
      </c>
      <c r="W1193" s="117" t="str">
        <f t="shared" si="53"/>
        <v/>
      </c>
      <c r="X1193" s="22" t="str">
        <f t="shared" si="54"/>
        <v/>
      </c>
      <c r="Y1193" s="25" t="str">
        <f>IF(Table26[[#This Row],[customerSKU]]="","",_xlfn.XLOOKUP(Table26[[#This Row],[customerSKU]],Table27[customer_SKU],Table27[product_GTIN],"",0,1))</f>
        <v/>
      </c>
      <c r="Z1193" s="25" t="s">
        <v>3372</v>
      </c>
      <c r="AA1193" s="18" t="str" cm="1">
        <f t="array" ref="AA1193">IF(P1193="", "", _xlfn.XLOOKUP(P1193,#REF!,#REF!,NA,0,-1))</f>
        <v/>
      </c>
      <c r="AB1193" s="22"/>
      <c r="AC1193" s="55" t="s">
        <v>95</v>
      </c>
      <c r="AD1193" s="55" t="str">
        <f>IF($AC1193="","",_xlfn.XLOOKUP($AC1193,'[2]Client Info'!$C$2:$C$2535,'[2]Client Info'!$D$2:$D$2535,"",0,1))</f>
        <v>5 - 3227 264th Street</v>
      </c>
      <c r="AE1193" s="55" t="str">
        <f>IF($AC1193="","",_xlfn.XLOOKUP($AC1193,'[2]Client Info'!$C$2:$C$2715,'[2]Client Info'!$E$2:$E$2715,"",))</f>
        <v>Aldergrove</v>
      </c>
      <c r="AF1193" s="55" t="str">
        <f>IF($AC1193="","",_xlfn.XLOOKUP($AC1193,'[2]Client Info'!$C$2:$C$2715,'[2]Client Info'!$F$2:$F$2715,"",0,1))</f>
        <v xml:space="preserve">BC </v>
      </c>
      <c r="AG1193" s="55" t="s">
        <v>95</v>
      </c>
      <c r="AH1193" s="26" t="str">
        <f>_xlfn.XLOOKUP(Table26[[#This Row],[customerSKU]],customerSKU!G:G,customerSKU!K:K,"NA",0,1)</f>
        <v>NA</v>
      </c>
      <c r="AI1193" s="43" t="str">
        <f>_xlfn.XLOOKUP(Table26[[#This Row],[customerSKU]],customerSKU!G:G,customerSKU!O:O,"not found",0,1)</f>
        <v>not found</v>
      </c>
      <c r="AJ1193" s="22" t="e">
        <f>Table26[[#This Row],[unitprice]]*Table26[[#This Row],[quantity_unit]]</f>
        <v>#VALUE!</v>
      </c>
      <c r="AK1193" s="22" t="e" cm="1">
        <f t="array" ref="AK11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4" spans="1:37" ht="18" customHeight="1">
      <c r="A1194" s="42">
        <v>1032</v>
      </c>
      <c r="B1194" s="42" t="s">
        <v>3357</v>
      </c>
      <c r="C1194" s="53" t="s">
        <v>203</v>
      </c>
      <c r="E1194" s="20"/>
      <c r="F1194" s="25"/>
      <c r="G1194" s="93"/>
      <c r="J1194" s="90" t="str">
        <f>IF(Table26[[#This Row],[customerSKU]]="","",_xlfn.XLOOKUP(Table26[[#This Row],[customerSKU]],customerSKU!G:G,customerSKU!A:A,"",0,1))</f>
        <v/>
      </c>
      <c r="K1194" s="232">
        <v>45729</v>
      </c>
      <c r="L1194" s="49" t="str">
        <f>IF(Table26[[#This Row],[customerSKU]]="","",_xlfn.XLOOKUP(Table26[[#This Row],[customerSKU]],customerSKU!G:G,customerSKU!B:B,"",0,1))</f>
        <v/>
      </c>
      <c r="M1194" s="22"/>
      <c r="N1194" s="15" t="str">
        <f>Table26[[#This Row],[po_number]]&amp;"-"&amp;Table26[[#This Row],[po_line]]</f>
        <v>-7</v>
      </c>
      <c r="O1194" s="15">
        <v>7</v>
      </c>
      <c r="P1194" s="50"/>
      <c r="Q1194" s="22" t="s">
        <v>1313</v>
      </c>
      <c r="R1194" s="22" t="s">
        <v>221</v>
      </c>
      <c r="S1194" s="90" t="str">
        <f>IF(Table26[[#This Row],[customerSKU]]="","",_xlfn.XLOOKUP(Table26[[#This Row],[customerSKU]],customerSKU!G:G,customerSKU!N:N,"NOT FOUND",0,1))</f>
        <v>NOT FOUND</v>
      </c>
      <c r="T1194" s="20">
        <v>45575</v>
      </c>
      <c r="U1194" s="94">
        <v>12</v>
      </c>
      <c r="V1194" s="22" t="str">
        <f>IF(ISBLANK(Table26[[#This Row],[customerSKU]]),"",_xlfn.XLOOKUP(Table26[[#This Row],[customerSKU]],Table27[customer_SKU],Table27[case_size],"",0,1))</f>
        <v/>
      </c>
      <c r="W1194" s="117" t="str">
        <f t="shared" si="53"/>
        <v/>
      </c>
      <c r="X1194" s="22" t="str">
        <f t="shared" si="54"/>
        <v/>
      </c>
      <c r="Y1194" s="25" t="str">
        <f>IF(Table26[[#This Row],[customerSKU]]="","",_xlfn.XLOOKUP(Table26[[#This Row],[customerSKU]],Table27[customer_SKU],Table27[product_GTIN],"",0,1))</f>
        <v/>
      </c>
      <c r="Z1194" s="25" t="s">
        <v>3432</v>
      </c>
      <c r="AA1194" s="18" t="str" cm="1">
        <f t="array" ref="AA1194">IF(P1194="", "", _xlfn.XLOOKUP(P1194,#REF!,#REF!,NA,0,-1))</f>
        <v/>
      </c>
      <c r="AB1194" s="22"/>
      <c r="AC1194" s="55" t="s">
        <v>95</v>
      </c>
      <c r="AD1194" s="55" t="str">
        <f>IF($AC1194="","",_xlfn.XLOOKUP($AC1194,'[2]Client Info'!$C$2:$C$2535,'[2]Client Info'!$D$2:$D$2535,"",0,1))</f>
        <v>5 - 3227 264th Street</v>
      </c>
      <c r="AE1194" s="55" t="str">
        <f>IF($AC1194="","",_xlfn.XLOOKUP($AC1194,'[2]Client Info'!$C$2:$C$2715,'[2]Client Info'!$E$2:$E$2715,"",))</f>
        <v>Aldergrove</v>
      </c>
      <c r="AF1194" s="55" t="str">
        <f>IF($AC1194="","",_xlfn.XLOOKUP($AC1194,'[2]Client Info'!$C$2:$C$2715,'[2]Client Info'!$F$2:$F$2715,"",0,1))</f>
        <v xml:space="preserve">BC </v>
      </c>
      <c r="AG1194" s="55" t="s">
        <v>95</v>
      </c>
      <c r="AH1194" s="26" t="str">
        <f>_xlfn.XLOOKUP(Table26[[#This Row],[customerSKU]],customerSKU!G:G,customerSKU!K:K,"NA",0,1)</f>
        <v>NA</v>
      </c>
      <c r="AI1194" s="43" t="str">
        <f>_xlfn.XLOOKUP(Table26[[#This Row],[customerSKU]],customerSKU!G:G,customerSKU!O:O,"not found",0,1)</f>
        <v>not found</v>
      </c>
      <c r="AJ1194" s="22" t="e">
        <f>Table26[[#This Row],[unitprice]]*Table26[[#This Row],[quantity_unit]]</f>
        <v>#VALUE!</v>
      </c>
      <c r="AK1194" s="22" t="e" cm="1">
        <f t="array" ref="AK11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5" spans="1:37" ht="18" customHeight="1">
      <c r="A1195" s="42">
        <v>1033</v>
      </c>
      <c r="B1195" s="42" t="s">
        <v>3357</v>
      </c>
      <c r="C1195" s="53" t="s">
        <v>203</v>
      </c>
      <c r="E1195" s="20"/>
      <c r="F1195" s="25"/>
      <c r="G1195" s="93"/>
      <c r="J1195" s="90" t="str">
        <f>IF(Table26[[#This Row],[customerSKU]]="","",_xlfn.XLOOKUP(Table26[[#This Row],[customerSKU]],customerSKU!G:G,customerSKU!A:A,"",0,1))</f>
        <v/>
      </c>
      <c r="K1195" s="232">
        <v>45729</v>
      </c>
      <c r="L1195" s="49" t="str">
        <f>IF(Table26[[#This Row],[customerSKU]]="","",_xlfn.XLOOKUP(Table26[[#This Row],[customerSKU]],customerSKU!G:G,customerSKU!B:B,"",0,1))</f>
        <v/>
      </c>
      <c r="M1195" s="22"/>
      <c r="N1195" s="15" t="str">
        <f>Table26[[#This Row],[po_number]]&amp;"-"&amp;Table26[[#This Row],[po_line]]</f>
        <v>-8</v>
      </c>
      <c r="O1195" s="15">
        <v>8</v>
      </c>
      <c r="P1195" s="50"/>
      <c r="Q1195" s="22" t="s">
        <v>905</v>
      </c>
      <c r="R1195" s="22" t="s">
        <v>221</v>
      </c>
      <c r="S1195" s="90" t="str">
        <f>IF(Table26[[#This Row],[customerSKU]]="","",_xlfn.XLOOKUP(Table26[[#This Row],[customerSKU]],customerSKU!G:G,customerSKU!N:N,"NOT FOUND",0,1))</f>
        <v>NOT FOUND</v>
      </c>
      <c r="T1195" s="20">
        <v>45575</v>
      </c>
      <c r="U1195" s="94">
        <v>24</v>
      </c>
      <c r="V1195" s="22" t="str">
        <f>IF(ISBLANK(Table26[[#This Row],[customerSKU]]),"",_xlfn.XLOOKUP(Table26[[#This Row],[customerSKU]],Table27[customer_SKU],Table27[case_size],"",0,1))</f>
        <v/>
      </c>
      <c r="W1195" s="117" t="str">
        <f t="shared" si="53"/>
        <v/>
      </c>
      <c r="X1195" s="22" t="str">
        <f t="shared" si="54"/>
        <v/>
      </c>
      <c r="Y1195" s="25" t="str">
        <f>IF(Table26[[#This Row],[customerSKU]]="","",_xlfn.XLOOKUP(Table26[[#This Row],[customerSKU]],Table27[customer_SKU],Table27[product_GTIN],"",0,1))</f>
        <v/>
      </c>
      <c r="Z1195" s="25" t="s">
        <v>3377</v>
      </c>
      <c r="AA1195" s="18" t="str" cm="1">
        <f t="array" ref="AA1195">IF(P1195="", "", _xlfn.XLOOKUP(P1195,#REF!,#REF!,NA,0,-1))</f>
        <v/>
      </c>
      <c r="AB1195" s="22"/>
      <c r="AC1195" s="55" t="s">
        <v>95</v>
      </c>
      <c r="AD1195" s="55" t="str">
        <f>IF($AC1195="","",_xlfn.XLOOKUP($AC1195,'[2]Client Info'!$C$2:$C$2535,'[2]Client Info'!$D$2:$D$2535,"",0,1))</f>
        <v>5 - 3227 264th Street</v>
      </c>
      <c r="AE1195" s="55" t="str">
        <f>IF($AC1195="","",_xlfn.XLOOKUP($AC1195,'[2]Client Info'!$C$2:$C$2715,'[2]Client Info'!$E$2:$E$2715,"",))</f>
        <v>Aldergrove</v>
      </c>
      <c r="AF1195" s="55" t="str">
        <f>IF($AC1195="","",_xlfn.XLOOKUP($AC1195,'[2]Client Info'!$C$2:$C$2715,'[2]Client Info'!$F$2:$F$2715,"",0,1))</f>
        <v xml:space="preserve">BC </v>
      </c>
      <c r="AG1195" s="55" t="s">
        <v>95</v>
      </c>
      <c r="AH1195" s="26" t="str">
        <f>_xlfn.XLOOKUP(Table26[[#This Row],[customerSKU]],customerSKU!G:G,customerSKU!K:K,"NA",0,1)</f>
        <v>NA</v>
      </c>
      <c r="AI1195" s="43" t="str">
        <f>_xlfn.XLOOKUP(Table26[[#This Row],[customerSKU]],customerSKU!G:G,customerSKU!O:O,"not found",0,1)</f>
        <v>not found</v>
      </c>
      <c r="AJ1195" s="22" t="e">
        <f>Table26[[#This Row],[unitprice]]*Table26[[#This Row],[quantity_unit]]</f>
        <v>#VALUE!</v>
      </c>
      <c r="AK1195" s="22" t="e" cm="1">
        <f t="array" ref="AK11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6" spans="1:37" ht="18" customHeight="1">
      <c r="A1196" s="42">
        <v>1034</v>
      </c>
      <c r="B1196" s="42" t="s">
        <v>3357</v>
      </c>
      <c r="C1196" s="53" t="s">
        <v>203</v>
      </c>
      <c r="E1196" s="20"/>
      <c r="F1196" s="25"/>
      <c r="G1196" s="93"/>
      <c r="J1196" s="90" t="str">
        <f>IF(Table26[[#This Row],[customerSKU]]="","",_xlfn.XLOOKUP(Table26[[#This Row],[customerSKU]],customerSKU!G:G,customerSKU!A:A,"",0,1))</f>
        <v/>
      </c>
      <c r="K1196" s="232">
        <v>45729</v>
      </c>
      <c r="L1196" s="49" t="str">
        <f>IF(Table26[[#This Row],[customerSKU]]="","",_xlfn.XLOOKUP(Table26[[#This Row],[customerSKU]],customerSKU!G:G,customerSKU!B:B,"",0,1))</f>
        <v/>
      </c>
      <c r="M1196" s="22"/>
      <c r="N1196" s="15" t="str">
        <f>Table26[[#This Row],[po_number]]&amp;"-"&amp;Table26[[#This Row],[po_line]]</f>
        <v>-9</v>
      </c>
      <c r="O1196" s="15">
        <v>9</v>
      </c>
      <c r="P1196" s="50"/>
      <c r="Q1196" s="22" t="s">
        <v>3405</v>
      </c>
      <c r="R1196" s="22" t="s">
        <v>221</v>
      </c>
      <c r="S1196" s="90" t="str">
        <f>IF(Table26[[#This Row],[customerSKU]]="","",_xlfn.XLOOKUP(Table26[[#This Row],[customerSKU]],customerSKU!G:G,customerSKU!N:N,"NOT FOUND",0,1))</f>
        <v>NOT FOUND</v>
      </c>
      <c r="T1196" s="20">
        <v>45623</v>
      </c>
      <c r="U1196" s="94">
        <v>12</v>
      </c>
      <c r="V1196" s="22" t="str">
        <f>IF(ISBLANK(Table26[[#This Row],[customerSKU]]),"",_xlfn.XLOOKUP(Table26[[#This Row],[customerSKU]],Table27[customer_SKU],Table27[case_size],"",0,1))</f>
        <v/>
      </c>
      <c r="W1196" s="117" t="str">
        <f t="shared" si="53"/>
        <v/>
      </c>
      <c r="X1196" s="22" t="str">
        <f t="shared" si="54"/>
        <v/>
      </c>
      <c r="Y1196" s="25" t="str">
        <f>IF(Table26[[#This Row],[customerSKU]]="","",_xlfn.XLOOKUP(Table26[[#This Row],[customerSKU]],Table27[customer_SKU],Table27[product_GTIN],"",0,1))</f>
        <v/>
      </c>
      <c r="Z1196" s="25" t="s">
        <v>3406</v>
      </c>
      <c r="AA1196" s="18" t="str" cm="1">
        <f t="array" ref="AA1196">IF(P1196="", "", _xlfn.XLOOKUP(P1196,#REF!,#REF!,NA,0,-1))</f>
        <v/>
      </c>
      <c r="AB1196" s="22"/>
      <c r="AC1196" s="55" t="s">
        <v>95</v>
      </c>
      <c r="AD1196" s="55" t="str">
        <f>IF($AC1196="","",_xlfn.XLOOKUP($AC1196,'[2]Client Info'!$C$2:$C$2535,'[2]Client Info'!$D$2:$D$2535,"",0,1))</f>
        <v>5 - 3227 264th Street</v>
      </c>
      <c r="AE1196" s="55" t="str">
        <f>IF($AC1196="","",_xlfn.XLOOKUP($AC1196,'[2]Client Info'!$C$2:$C$2715,'[2]Client Info'!$E$2:$E$2715,"",))</f>
        <v>Aldergrove</v>
      </c>
      <c r="AF1196" s="55" t="str">
        <f>IF($AC1196="","",_xlfn.XLOOKUP($AC1196,'[2]Client Info'!$C$2:$C$2715,'[2]Client Info'!$F$2:$F$2715,"",0,1))</f>
        <v xml:space="preserve">BC </v>
      </c>
      <c r="AG1196" s="55" t="s">
        <v>95</v>
      </c>
      <c r="AH1196" s="26" t="str">
        <f>_xlfn.XLOOKUP(Table26[[#This Row],[customerSKU]],customerSKU!G:G,customerSKU!K:K,"NA",0,1)</f>
        <v>NA</v>
      </c>
      <c r="AI1196" s="43" t="str">
        <f>_xlfn.XLOOKUP(Table26[[#This Row],[customerSKU]],customerSKU!G:G,customerSKU!O:O,"not found",0,1)</f>
        <v>not found</v>
      </c>
      <c r="AJ1196" s="22" t="e">
        <f>Table26[[#This Row],[unitprice]]*Table26[[#This Row],[quantity_unit]]</f>
        <v>#VALUE!</v>
      </c>
      <c r="AK1196" s="22" t="e" cm="1">
        <f t="array" ref="AK11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7" spans="1:37" ht="18" customHeight="1">
      <c r="A1197" s="42">
        <v>1035</v>
      </c>
      <c r="B1197" s="42" t="s">
        <v>3357</v>
      </c>
      <c r="C1197" s="53" t="s">
        <v>203</v>
      </c>
      <c r="E1197" s="20"/>
      <c r="F1197" s="25"/>
      <c r="G1197" s="93"/>
      <c r="J1197" s="90" t="str">
        <f>IF(Table26[[#This Row],[customerSKU]]="","",_xlfn.XLOOKUP(Table26[[#This Row],[customerSKU]],customerSKU!G:G,customerSKU!A:A,"",0,1))</f>
        <v/>
      </c>
      <c r="K1197" s="232">
        <v>45729</v>
      </c>
      <c r="L1197" s="49" t="str">
        <f>IF(Table26[[#This Row],[customerSKU]]="","",_xlfn.XLOOKUP(Table26[[#This Row],[customerSKU]],customerSKU!G:G,customerSKU!B:B,"",0,1))</f>
        <v/>
      </c>
      <c r="M1197" s="22"/>
      <c r="N1197" s="15" t="str">
        <f>Table26[[#This Row],[po_number]]&amp;"-"&amp;Table26[[#This Row],[po_line]]</f>
        <v>-10</v>
      </c>
      <c r="O1197" s="15">
        <v>10</v>
      </c>
      <c r="P1197" s="50"/>
      <c r="Q1197" s="22" t="s">
        <v>656</v>
      </c>
      <c r="R1197" s="22" t="s">
        <v>221</v>
      </c>
      <c r="S1197" s="90" t="str">
        <f>IF(Table26[[#This Row],[customerSKU]]="","",_xlfn.XLOOKUP(Table26[[#This Row],[customerSKU]],customerSKU!G:G,customerSKU!N:N,"NOT FOUND",0,1))</f>
        <v>NOT FOUND</v>
      </c>
      <c r="T1197" s="20">
        <v>45642</v>
      </c>
      <c r="U1197" s="94">
        <v>12</v>
      </c>
      <c r="V1197" s="22" t="str">
        <f>IF(ISBLANK(Table26[[#This Row],[customerSKU]]),"",_xlfn.XLOOKUP(Table26[[#This Row],[customerSKU]],Table27[customer_SKU],Table27[case_size],"",0,1))</f>
        <v/>
      </c>
      <c r="W1197" s="117" t="str">
        <f t="shared" si="53"/>
        <v/>
      </c>
      <c r="X1197" s="22" t="str">
        <f t="shared" si="54"/>
        <v/>
      </c>
      <c r="Y1197" s="25" t="str">
        <f>IF(Table26[[#This Row],[customerSKU]]="","",_xlfn.XLOOKUP(Table26[[#This Row],[customerSKU]],Table27[customer_SKU],Table27[product_GTIN],"",0,1))</f>
        <v/>
      </c>
      <c r="Z1197" s="25" t="s">
        <v>3367</v>
      </c>
      <c r="AA1197" s="18" t="str" cm="1">
        <f t="array" ref="AA1197">IF(P1197="", "", _xlfn.XLOOKUP(P1197,#REF!,#REF!,NA,0,-1))</f>
        <v/>
      </c>
      <c r="AB1197" s="22"/>
      <c r="AC1197" s="55" t="s">
        <v>95</v>
      </c>
      <c r="AD1197" s="55" t="str">
        <f>IF($AC1197="","",_xlfn.XLOOKUP($AC1197,'[2]Client Info'!$C$2:$C$2535,'[2]Client Info'!$D$2:$D$2535,"",0,1))</f>
        <v>5 - 3227 264th Street</v>
      </c>
      <c r="AE1197" s="55" t="str">
        <f>IF($AC1197="","",_xlfn.XLOOKUP($AC1197,'[2]Client Info'!$C$2:$C$2715,'[2]Client Info'!$E$2:$E$2715,"",))</f>
        <v>Aldergrove</v>
      </c>
      <c r="AF1197" s="55" t="str">
        <f>IF($AC1197="","",_xlfn.XLOOKUP($AC1197,'[2]Client Info'!$C$2:$C$2715,'[2]Client Info'!$F$2:$F$2715,"",0,1))</f>
        <v xml:space="preserve">BC </v>
      </c>
      <c r="AG1197" s="55" t="s">
        <v>95</v>
      </c>
      <c r="AH1197" s="26" t="str">
        <f>_xlfn.XLOOKUP(Table26[[#This Row],[customerSKU]],customerSKU!G:G,customerSKU!K:K,"NA",0,1)</f>
        <v>NA</v>
      </c>
      <c r="AI1197" s="43" t="str">
        <f>_xlfn.XLOOKUP(Table26[[#This Row],[customerSKU]],customerSKU!G:G,customerSKU!O:O,"not found",0,1)</f>
        <v>not found</v>
      </c>
      <c r="AJ1197" s="22" t="e">
        <f>Table26[[#This Row],[unitprice]]*Table26[[#This Row],[quantity_unit]]</f>
        <v>#VALUE!</v>
      </c>
      <c r="AK1197" s="22" t="e" cm="1">
        <f t="array" ref="AK11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8" spans="1:37" ht="18" customHeight="1">
      <c r="A1198" s="42">
        <v>1036</v>
      </c>
      <c r="B1198" s="42" t="s">
        <v>3357</v>
      </c>
      <c r="C1198" s="53" t="s">
        <v>203</v>
      </c>
      <c r="E1198" s="20"/>
      <c r="F1198" s="25"/>
      <c r="G1198" s="93"/>
      <c r="J1198" s="90" t="str">
        <f>IF(Table26[[#This Row],[customerSKU]]="","",_xlfn.XLOOKUP(Table26[[#This Row],[customerSKU]],customerSKU!G:G,customerSKU!A:A,"",0,1))</f>
        <v/>
      </c>
      <c r="K1198" s="232">
        <v>45729</v>
      </c>
      <c r="L1198" s="49" t="str">
        <f>IF(Table26[[#This Row],[customerSKU]]="","",_xlfn.XLOOKUP(Table26[[#This Row],[customerSKU]],customerSKU!G:G,customerSKU!B:B,"",0,1))</f>
        <v/>
      </c>
      <c r="M1198" s="22"/>
      <c r="N1198" s="15" t="str">
        <f>Table26[[#This Row],[po_number]]&amp;"-"&amp;Table26[[#This Row],[po_line]]</f>
        <v>-11</v>
      </c>
      <c r="O1198" s="15">
        <v>11</v>
      </c>
      <c r="P1198" s="50"/>
      <c r="Q1198" s="22" t="s">
        <v>1309</v>
      </c>
      <c r="R1198" s="22" t="s">
        <v>221</v>
      </c>
      <c r="S1198" s="90" t="str">
        <f>IF(Table26[[#This Row],[customerSKU]]="","",_xlfn.XLOOKUP(Table26[[#This Row],[customerSKU]],customerSKU!G:G,customerSKU!N:N,"NOT FOUND",0,1))</f>
        <v>NOT FOUND</v>
      </c>
      <c r="T1198" s="20">
        <v>45697</v>
      </c>
      <c r="U1198" s="94">
        <v>12</v>
      </c>
      <c r="V1198" s="22" t="str">
        <f>IF(ISBLANK(Table26[[#This Row],[customerSKU]]),"",_xlfn.XLOOKUP(Table26[[#This Row],[customerSKU]],Table27[customer_SKU],Table27[case_size],"",0,1))</f>
        <v/>
      </c>
      <c r="W1198" s="117" t="str">
        <f t="shared" si="53"/>
        <v/>
      </c>
      <c r="X1198" s="22" t="str">
        <f t="shared" si="54"/>
        <v/>
      </c>
      <c r="Y1198" s="25" t="str">
        <f>IF(Table26[[#This Row],[customerSKU]]="","",_xlfn.XLOOKUP(Table26[[#This Row],[customerSKU]],Table27[customer_SKU],Table27[product_GTIN],"",0,1))</f>
        <v/>
      </c>
      <c r="Z1198" s="25" t="s">
        <v>3447</v>
      </c>
      <c r="AA1198" s="18" t="str" cm="1">
        <f t="array" ref="AA1198">IF(P1198="", "", _xlfn.XLOOKUP(P1198,#REF!,#REF!,NA,0,-1))</f>
        <v/>
      </c>
      <c r="AB1198" s="22"/>
      <c r="AC1198" s="55" t="s">
        <v>95</v>
      </c>
      <c r="AD1198" s="55" t="str">
        <f>IF($AC1198="","",_xlfn.XLOOKUP($AC1198,'[2]Client Info'!$C$2:$C$2535,'[2]Client Info'!$D$2:$D$2535,"",0,1))</f>
        <v>5 - 3227 264th Street</v>
      </c>
      <c r="AE1198" s="55" t="str">
        <f>IF($AC1198="","",_xlfn.XLOOKUP($AC1198,'[2]Client Info'!$C$2:$C$2715,'[2]Client Info'!$E$2:$E$2715,"",))</f>
        <v>Aldergrove</v>
      </c>
      <c r="AF1198" s="55" t="str">
        <f>IF($AC1198="","",_xlfn.XLOOKUP($AC1198,'[2]Client Info'!$C$2:$C$2715,'[2]Client Info'!$F$2:$F$2715,"",0,1))</f>
        <v xml:space="preserve">BC </v>
      </c>
      <c r="AG1198" s="55" t="s">
        <v>95</v>
      </c>
      <c r="AH1198" s="26" t="str">
        <f>_xlfn.XLOOKUP(Table26[[#This Row],[customerSKU]],customerSKU!G:G,customerSKU!K:K,"NA",0,1)</f>
        <v>NA</v>
      </c>
      <c r="AI1198" s="43" t="str">
        <f>_xlfn.XLOOKUP(Table26[[#This Row],[customerSKU]],customerSKU!G:G,customerSKU!O:O,"not found",0,1)</f>
        <v>not found</v>
      </c>
      <c r="AJ1198" s="22" t="e">
        <f>Table26[[#This Row],[unitprice]]*Table26[[#This Row],[quantity_unit]]</f>
        <v>#VALUE!</v>
      </c>
      <c r="AK1198" s="22" t="e" cm="1">
        <f t="array" ref="AK11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199" spans="1:37" ht="18" customHeight="1">
      <c r="A1199" s="42">
        <v>1037</v>
      </c>
      <c r="B1199" s="42" t="s">
        <v>3357</v>
      </c>
      <c r="C1199" s="53" t="s">
        <v>203</v>
      </c>
      <c r="E1199" s="20"/>
      <c r="F1199" s="25"/>
      <c r="G1199" s="93"/>
      <c r="J1199" s="90" t="str">
        <f>IF(Table26[[#This Row],[customerSKU]]="","",_xlfn.XLOOKUP(Table26[[#This Row],[customerSKU]],customerSKU!G:G,customerSKU!A:A,"",0,1))</f>
        <v/>
      </c>
      <c r="K1199" s="232">
        <v>45729</v>
      </c>
      <c r="L1199" s="49" t="str">
        <f>IF(Table26[[#This Row],[customerSKU]]="","",_xlfn.XLOOKUP(Table26[[#This Row],[customerSKU]],customerSKU!G:G,customerSKU!B:B,"",0,1))</f>
        <v/>
      </c>
      <c r="M1199" s="22"/>
      <c r="N1199" s="15" t="str">
        <f>Table26[[#This Row],[po_number]]&amp;"-"&amp;Table26[[#This Row],[po_line]]</f>
        <v>-1</v>
      </c>
      <c r="O1199" s="15">
        <v>1</v>
      </c>
      <c r="P1199" s="50"/>
      <c r="Q1199" s="22" t="s">
        <v>659</v>
      </c>
      <c r="R1199" s="22" t="s">
        <v>569</v>
      </c>
      <c r="S1199" s="90" t="str">
        <f>IF(Table26[[#This Row],[customerSKU]]="","",_xlfn.XLOOKUP(Table26[[#This Row],[customerSKU]],customerSKU!G:G,customerSKU!N:N,"NOT FOUND",0,1))</f>
        <v>NOT FOUND</v>
      </c>
      <c r="T1199" s="20">
        <v>45638</v>
      </c>
      <c r="U1199" s="94">
        <v>12</v>
      </c>
      <c r="V1199" s="22" t="str">
        <f>IF(ISBLANK(Table26[[#This Row],[customerSKU]]),"",_xlfn.XLOOKUP(Table26[[#This Row],[customerSKU]],Table27[customer_SKU],Table27[case_size],"",0,1))</f>
        <v/>
      </c>
      <c r="W1199" s="117" t="str">
        <f t="shared" si="53"/>
        <v/>
      </c>
      <c r="X1199" s="22" t="str">
        <f t="shared" si="54"/>
        <v/>
      </c>
      <c r="Y1199" s="25" t="str">
        <f>IF(Table26[[#This Row],[customerSKU]]="","",_xlfn.XLOOKUP(Table26[[#This Row],[customerSKU]],Table27[customer_SKU],Table27[product_GTIN],"",0,1))</f>
        <v/>
      </c>
      <c r="Z1199" s="25" t="s">
        <v>3391</v>
      </c>
      <c r="AA1199" s="18" t="str" cm="1">
        <f t="array" ref="AA1199">IF(P1199="", "", _xlfn.XLOOKUP(P1199,#REF!,#REF!,NA,0,-1))</f>
        <v/>
      </c>
      <c r="AB1199" s="22"/>
      <c r="AC1199" s="55" t="s">
        <v>3496</v>
      </c>
      <c r="AD1199" s="55" t="str">
        <f>IF($AC1199="","",_xlfn.XLOOKUP($AC1199,'[2]Client Info'!$C$2:$C$2535,'[2]Client Info'!$D$2:$D$2535,"",0,1))</f>
        <v>11939 240th Street</v>
      </c>
      <c r="AE1199" s="55" t="str">
        <f>IF($AC1199="","",_xlfn.XLOOKUP($AC1199,'[2]Client Info'!$C$2:$C$2715,'[2]Client Info'!$E$2:$E$2715,"",))</f>
        <v>Maple Ridge</v>
      </c>
      <c r="AF1199" s="55" t="str">
        <f>IF($AC1199="","",_xlfn.XLOOKUP($AC1199,'[2]Client Info'!$C$2:$C$2715,'[2]Client Info'!$F$2:$F$2715,"",0,1))</f>
        <v xml:space="preserve">BC </v>
      </c>
      <c r="AG1199" s="55" t="s">
        <v>3496</v>
      </c>
      <c r="AH1199" s="26" t="str">
        <f>_xlfn.XLOOKUP(Table26[[#This Row],[customerSKU]],customerSKU!G:G,customerSKU!K:K,"NA",0,1)</f>
        <v>NA</v>
      </c>
      <c r="AI1199" s="43" t="str">
        <f>_xlfn.XLOOKUP(Table26[[#This Row],[customerSKU]],customerSKU!G:G,customerSKU!O:O,"not found",0,1)</f>
        <v>not found</v>
      </c>
      <c r="AJ1199" s="22" t="e">
        <f>Table26[[#This Row],[unitprice]]*Table26[[#This Row],[quantity_unit]]</f>
        <v>#VALUE!</v>
      </c>
      <c r="AK1199" s="22" t="e" cm="1">
        <f t="array" ref="AK11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0" spans="1:37" ht="18" customHeight="1">
      <c r="A1200" s="42">
        <v>1038</v>
      </c>
      <c r="B1200" s="42" t="s">
        <v>3357</v>
      </c>
      <c r="C1200" s="53" t="s">
        <v>203</v>
      </c>
      <c r="E1200" s="20"/>
      <c r="F1200" s="25"/>
      <c r="G1200" s="93"/>
      <c r="J1200" s="90" t="str">
        <f>IF(Table26[[#This Row],[customerSKU]]="","",_xlfn.XLOOKUP(Table26[[#This Row],[customerSKU]],customerSKU!G:G,customerSKU!A:A,"",0,1))</f>
        <v/>
      </c>
      <c r="K1200" s="232">
        <v>45729</v>
      </c>
      <c r="L1200" s="49" t="str">
        <f>IF(Table26[[#This Row],[customerSKU]]="","",_xlfn.XLOOKUP(Table26[[#This Row],[customerSKU]],customerSKU!G:G,customerSKU!B:B,"",0,1))</f>
        <v/>
      </c>
      <c r="M1200" s="22"/>
      <c r="N1200" s="15" t="str">
        <f>Table26[[#This Row],[po_number]]&amp;"-"&amp;Table26[[#This Row],[po_line]]</f>
        <v>-2</v>
      </c>
      <c r="O1200" s="15">
        <v>2</v>
      </c>
      <c r="P1200" s="50"/>
      <c r="Q1200" s="22" t="s">
        <v>1829</v>
      </c>
      <c r="R1200" s="22" t="s">
        <v>569</v>
      </c>
      <c r="S1200" s="90" t="str">
        <f>IF(Table26[[#This Row],[customerSKU]]="","",_xlfn.XLOOKUP(Table26[[#This Row],[customerSKU]],customerSKU!G:G,customerSKU!N:N,"NOT FOUND",0,1))</f>
        <v>NOT FOUND</v>
      </c>
      <c r="T1200" s="20">
        <v>45721</v>
      </c>
      <c r="U1200" s="94">
        <v>12</v>
      </c>
      <c r="V1200" s="22" t="str">
        <f>IF(ISBLANK(Table26[[#This Row],[customerSKU]]),"",_xlfn.XLOOKUP(Table26[[#This Row],[customerSKU]],Table27[customer_SKU],Table27[case_size],"",0,1))</f>
        <v/>
      </c>
      <c r="W1200" s="117" t="str">
        <f t="shared" si="53"/>
        <v/>
      </c>
      <c r="X1200" s="22" t="str">
        <f t="shared" si="54"/>
        <v/>
      </c>
      <c r="Y1200" s="25" t="str">
        <f>IF(Table26[[#This Row],[customerSKU]]="","",_xlfn.XLOOKUP(Table26[[#This Row],[customerSKU]],Table27[customer_SKU],Table27[product_GTIN],"",0,1))</f>
        <v/>
      </c>
      <c r="Z1200" s="25" t="s">
        <v>3372</v>
      </c>
      <c r="AA1200" s="18" t="str" cm="1">
        <f t="array" ref="AA1200">IF(P1200="", "", _xlfn.XLOOKUP(P1200,#REF!,#REF!,NA,0,-1))</f>
        <v/>
      </c>
      <c r="AB1200" s="22"/>
      <c r="AC1200" s="55" t="s">
        <v>3496</v>
      </c>
      <c r="AD1200" s="55" t="str">
        <f>IF($AC1200="","",_xlfn.XLOOKUP($AC1200,'[2]Client Info'!$C$2:$C$2535,'[2]Client Info'!$D$2:$D$2535,"",0,1))</f>
        <v>11939 240th Street</v>
      </c>
      <c r="AE1200" s="55" t="str">
        <f>IF($AC1200="","",_xlfn.XLOOKUP($AC1200,'[2]Client Info'!$C$2:$C$2715,'[2]Client Info'!$E$2:$E$2715,"",))</f>
        <v>Maple Ridge</v>
      </c>
      <c r="AF1200" s="55" t="str">
        <f>IF($AC1200="","",_xlfn.XLOOKUP($AC1200,'[2]Client Info'!$C$2:$C$2715,'[2]Client Info'!$F$2:$F$2715,"",0,1))</f>
        <v xml:space="preserve">BC </v>
      </c>
      <c r="AG1200" s="55" t="s">
        <v>3496</v>
      </c>
      <c r="AH1200" s="26" t="str">
        <f>_xlfn.XLOOKUP(Table26[[#This Row],[customerSKU]],customerSKU!G:G,customerSKU!K:K,"NA",0,1)</f>
        <v>NA</v>
      </c>
      <c r="AI1200" s="43" t="str">
        <f>_xlfn.XLOOKUP(Table26[[#This Row],[customerSKU]],customerSKU!G:G,customerSKU!O:O,"not found",0,1)</f>
        <v>not found</v>
      </c>
      <c r="AJ1200" s="22" t="e">
        <f>Table26[[#This Row],[unitprice]]*Table26[[#This Row],[quantity_unit]]</f>
        <v>#VALUE!</v>
      </c>
      <c r="AK1200" s="22" t="e" cm="1">
        <f t="array" ref="AK12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1" spans="1:37" ht="18" customHeight="1">
      <c r="A1201" s="42">
        <v>1039</v>
      </c>
      <c r="B1201" s="42" t="s">
        <v>3357</v>
      </c>
      <c r="C1201" s="53" t="s">
        <v>203</v>
      </c>
      <c r="E1201" s="20"/>
      <c r="F1201" s="25"/>
      <c r="G1201" s="93"/>
      <c r="J1201" s="90" t="str">
        <f>IF(Table26[[#This Row],[customerSKU]]="","",_xlfn.XLOOKUP(Table26[[#This Row],[customerSKU]],customerSKU!G:G,customerSKU!A:A,"",0,1))</f>
        <v/>
      </c>
      <c r="K1201" s="232">
        <v>45729</v>
      </c>
      <c r="L1201" s="49" t="str">
        <f>IF(Table26[[#This Row],[customerSKU]]="","",_xlfn.XLOOKUP(Table26[[#This Row],[customerSKU]],customerSKU!G:G,customerSKU!B:B,"",0,1))</f>
        <v/>
      </c>
      <c r="M1201" s="22"/>
      <c r="N1201" s="15" t="str">
        <f>Table26[[#This Row],[po_number]]&amp;"-"&amp;Table26[[#This Row],[po_line]]</f>
        <v>-3</v>
      </c>
      <c r="O1201" s="15">
        <v>3</v>
      </c>
      <c r="P1201" s="50"/>
      <c r="Q1201" s="22" t="s">
        <v>630</v>
      </c>
      <c r="R1201" s="22" t="s">
        <v>569</v>
      </c>
      <c r="S1201" s="90" t="str">
        <f>IF(Table26[[#This Row],[customerSKU]]="","",_xlfn.XLOOKUP(Table26[[#This Row],[customerSKU]],customerSKU!G:G,customerSKU!N:N,"NOT FOUND",0,1))</f>
        <v>NOT FOUND</v>
      </c>
      <c r="T1201" s="20">
        <v>45707</v>
      </c>
      <c r="U1201" s="94">
        <v>11</v>
      </c>
      <c r="V1201" s="22" t="str">
        <f>IF(ISBLANK(Table26[[#This Row],[customerSKU]]),"",_xlfn.XLOOKUP(Table26[[#This Row],[customerSKU]],Table27[customer_SKU],Table27[case_size],"",0,1))</f>
        <v/>
      </c>
      <c r="W1201" s="117" t="str">
        <f t="shared" si="53"/>
        <v/>
      </c>
      <c r="X1201" s="22" t="str">
        <f t="shared" si="54"/>
        <v/>
      </c>
      <c r="Y1201" s="25" t="str">
        <f>IF(Table26[[#This Row],[customerSKU]]="","",_xlfn.XLOOKUP(Table26[[#This Row],[customerSKU]],Table27[customer_SKU],Table27[product_GTIN],"",0,1))</f>
        <v/>
      </c>
      <c r="Z1201" s="25" t="s">
        <v>3386</v>
      </c>
      <c r="AA1201" s="18" t="str" cm="1">
        <f t="array" ref="AA1201">IF(P1201="", "", _xlfn.XLOOKUP(P1201,#REF!,#REF!,NA,0,-1))</f>
        <v/>
      </c>
      <c r="AB1201" s="22"/>
      <c r="AC1201" s="55" t="s">
        <v>3496</v>
      </c>
      <c r="AD1201" s="55" t="str">
        <f>IF($AC1201="","",_xlfn.XLOOKUP($AC1201,'[2]Client Info'!$C$2:$C$2535,'[2]Client Info'!$D$2:$D$2535,"",0,1))</f>
        <v>11939 240th Street</v>
      </c>
      <c r="AE1201" s="55" t="str">
        <f>IF($AC1201="","",_xlfn.XLOOKUP($AC1201,'[2]Client Info'!$C$2:$C$2715,'[2]Client Info'!$E$2:$E$2715,"",))</f>
        <v>Maple Ridge</v>
      </c>
      <c r="AF1201" s="55" t="str">
        <f>IF($AC1201="","",_xlfn.XLOOKUP($AC1201,'[2]Client Info'!$C$2:$C$2715,'[2]Client Info'!$F$2:$F$2715,"",0,1))</f>
        <v xml:space="preserve">BC </v>
      </c>
      <c r="AG1201" s="55" t="s">
        <v>3496</v>
      </c>
      <c r="AH1201" s="26" t="str">
        <f>_xlfn.XLOOKUP(Table26[[#This Row],[customerSKU]],customerSKU!G:G,customerSKU!K:K,"NA",0,1)</f>
        <v>NA</v>
      </c>
      <c r="AI1201" s="43" t="str">
        <f>_xlfn.XLOOKUP(Table26[[#This Row],[customerSKU]],customerSKU!G:G,customerSKU!O:O,"not found",0,1)</f>
        <v>not found</v>
      </c>
      <c r="AJ1201" s="22" t="e">
        <f>Table26[[#This Row],[unitprice]]*Table26[[#This Row],[quantity_unit]]</f>
        <v>#VALUE!</v>
      </c>
      <c r="AK1201" s="22" t="e" cm="1">
        <f t="array" ref="AK12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2" spans="1:37" ht="18" customHeight="1">
      <c r="A1202" s="42">
        <v>1040</v>
      </c>
      <c r="B1202" s="42" t="s">
        <v>3357</v>
      </c>
      <c r="C1202" s="53" t="s">
        <v>203</v>
      </c>
      <c r="E1202" s="20"/>
      <c r="F1202" s="25"/>
      <c r="G1202" s="93"/>
      <c r="J1202" s="90" t="str">
        <f>IF(Table26[[#This Row],[customerSKU]]="","",_xlfn.XLOOKUP(Table26[[#This Row],[customerSKU]],customerSKU!G:G,customerSKU!A:A,"",0,1))</f>
        <v/>
      </c>
      <c r="K1202" s="232">
        <v>45729</v>
      </c>
      <c r="L1202" s="49" t="str">
        <f>IF(Table26[[#This Row],[customerSKU]]="","",_xlfn.XLOOKUP(Table26[[#This Row],[customerSKU]],customerSKU!G:G,customerSKU!B:B,"",0,1))</f>
        <v/>
      </c>
      <c r="M1202" s="22"/>
      <c r="N1202" s="15" t="str">
        <f>Table26[[#This Row],[po_number]]&amp;"-"&amp;Table26[[#This Row],[po_line]]</f>
        <v>-4</v>
      </c>
      <c r="O1202" s="15">
        <v>4</v>
      </c>
      <c r="P1202" s="50"/>
      <c r="Q1202" s="22" t="s">
        <v>630</v>
      </c>
      <c r="R1202" s="22" t="s">
        <v>569</v>
      </c>
      <c r="S1202" s="90" t="str">
        <f>IF(Table26[[#This Row],[customerSKU]]="","",_xlfn.XLOOKUP(Table26[[#This Row],[customerSKU]],customerSKU!G:G,customerSKU!N:N,"NOT FOUND",0,1))</f>
        <v>NOT FOUND</v>
      </c>
      <c r="T1202" s="20">
        <v>45574</v>
      </c>
      <c r="U1202" s="94">
        <v>13</v>
      </c>
      <c r="V1202" s="22" t="str">
        <f>IF(ISBLANK(Table26[[#This Row],[customerSKU]]),"",_xlfn.XLOOKUP(Table26[[#This Row],[customerSKU]],Table27[customer_SKU],Table27[case_size],"",0,1))</f>
        <v/>
      </c>
      <c r="W1202" s="117" t="str">
        <f t="shared" si="53"/>
        <v/>
      </c>
      <c r="X1202" s="22" t="str">
        <f t="shared" si="54"/>
        <v/>
      </c>
      <c r="Y1202" s="25" t="str">
        <f>IF(Table26[[#This Row],[customerSKU]]="","",_xlfn.XLOOKUP(Table26[[#This Row],[customerSKU]],Table27[customer_SKU],Table27[product_GTIN],"",0,1))</f>
        <v/>
      </c>
      <c r="Z1202" s="25" t="s">
        <v>3386</v>
      </c>
      <c r="AA1202" s="18" t="str" cm="1">
        <f t="array" ref="AA1202">IF(P1202="", "", _xlfn.XLOOKUP(P1202,#REF!,#REF!,NA,0,-1))</f>
        <v/>
      </c>
      <c r="AB1202" s="22"/>
      <c r="AC1202" s="55" t="s">
        <v>3496</v>
      </c>
      <c r="AD1202" s="55" t="str">
        <f>IF($AC1202="","",_xlfn.XLOOKUP($AC1202,'[2]Client Info'!$C$2:$C$2535,'[2]Client Info'!$D$2:$D$2535,"",0,1))</f>
        <v>11939 240th Street</v>
      </c>
      <c r="AE1202" s="55" t="str">
        <f>IF($AC1202="","",_xlfn.XLOOKUP($AC1202,'[2]Client Info'!$C$2:$C$2715,'[2]Client Info'!$E$2:$E$2715,"",))</f>
        <v>Maple Ridge</v>
      </c>
      <c r="AF1202" s="55" t="str">
        <f>IF($AC1202="","",_xlfn.XLOOKUP($AC1202,'[2]Client Info'!$C$2:$C$2715,'[2]Client Info'!$F$2:$F$2715,"",0,1))</f>
        <v xml:space="preserve">BC </v>
      </c>
      <c r="AG1202" s="55" t="s">
        <v>3496</v>
      </c>
      <c r="AH1202" s="26" t="str">
        <f>_xlfn.XLOOKUP(Table26[[#This Row],[customerSKU]],customerSKU!G:G,customerSKU!K:K,"NA",0,1)</f>
        <v>NA</v>
      </c>
      <c r="AI1202" s="43" t="str">
        <f>_xlfn.XLOOKUP(Table26[[#This Row],[customerSKU]],customerSKU!G:G,customerSKU!O:O,"not found",0,1)</f>
        <v>not found</v>
      </c>
      <c r="AJ1202" s="22" t="e">
        <f>Table26[[#This Row],[unitprice]]*Table26[[#This Row],[quantity_unit]]</f>
        <v>#VALUE!</v>
      </c>
      <c r="AK1202" s="22" t="e" cm="1">
        <f t="array" ref="AK12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3" spans="1:37" ht="18" customHeight="1">
      <c r="A1203" s="42">
        <v>1041</v>
      </c>
      <c r="B1203" s="42" t="s">
        <v>3357</v>
      </c>
      <c r="C1203" s="53" t="s">
        <v>203</v>
      </c>
      <c r="E1203" s="20"/>
      <c r="F1203" s="25"/>
      <c r="G1203" s="93"/>
      <c r="J1203" s="90" t="str">
        <f>IF(Table26[[#This Row],[customerSKU]]="","",_xlfn.XLOOKUP(Table26[[#This Row],[customerSKU]],customerSKU!G:G,customerSKU!A:A,"",0,1))</f>
        <v/>
      </c>
      <c r="K1203" s="232">
        <v>45729</v>
      </c>
      <c r="L1203" s="49" t="str">
        <f>IF(Table26[[#This Row],[customerSKU]]="","",_xlfn.XLOOKUP(Table26[[#This Row],[customerSKU]],customerSKU!G:G,customerSKU!B:B,"",0,1))</f>
        <v/>
      </c>
      <c r="M1203" s="22"/>
      <c r="N1203" s="15" t="str">
        <f>Table26[[#This Row],[po_number]]&amp;"-"&amp;Table26[[#This Row],[po_line]]</f>
        <v>-5</v>
      </c>
      <c r="O1203" s="15">
        <v>5</v>
      </c>
      <c r="P1203" s="50"/>
      <c r="Q1203" s="22" t="s">
        <v>905</v>
      </c>
      <c r="R1203" s="22" t="s">
        <v>569</v>
      </c>
      <c r="S1203" s="90" t="str">
        <f>IF(Table26[[#This Row],[customerSKU]]="","",_xlfn.XLOOKUP(Table26[[#This Row],[customerSKU]],customerSKU!G:G,customerSKU!N:N,"NOT FOUND",0,1))</f>
        <v>NOT FOUND</v>
      </c>
      <c r="T1203" s="20">
        <v>45575</v>
      </c>
      <c r="U1203" s="94">
        <v>12</v>
      </c>
      <c r="V1203" s="22" t="str">
        <f>IF(ISBLANK(Table26[[#This Row],[customerSKU]]),"",_xlfn.XLOOKUP(Table26[[#This Row],[customerSKU]],Table27[customer_SKU],Table27[case_size],"",0,1))</f>
        <v/>
      </c>
      <c r="W1203" s="117" t="str">
        <f t="shared" si="53"/>
        <v/>
      </c>
      <c r="X1203" s="22" t="str">
        <f t="shared" si="54"/>
        <v/>
      </c>
      <c r="Y1203" s="25" t="str">
        <f>IF(Table26[[#This Row],[customerSKU]]="","",_xlfn.XLOOKUP(Table26[[#This Row],[customerSKU]],Table27[customer_SKU],Table27[product_GTIN],"",0,1))</f>
        <v/>
      </c>
      <c r="Z1203" s="25" t="s">
        <v>3377</v>
      </c>
      <c r="AA1203" s="18" t="str" cm="1">
        <f t="array" ref="AA1203">IF(P1203="", "", _xlfn.XLOOKUP(P1203,#REF!,#REF!,NA,0,-1))</f>
        <v/>
      </c>
      <c r="AB1203" s="22"/>
      <c r="AC1203" s="55" t="s">
        <v>3496</v>
      </c>
      <c r="AD1203" s="55" t="str">
        <f>IF($AC1203="","",_xlfn.XLOOKUP($AC1203,'[2]Client Info'!$C$2:$C$2535,'[2]Client Info'!$D$2:$D$2535,"",0,1))</f>
        <v>11939 240th Street</v>
      </c>
      <c r="AE1203" s="55" t="str">
        <f>IF($AC1203="","",_xlfn.XLOOKUP($AC1203,'[2]Client Info'!$C$2:$C$2715,'[2]Client Info'!$E$2:$E$2715,"",))</f>
        <v>Maple Ridge</v>
      </c>
      <c r="AF1203" s="55" t="str">
        <f>IF($AC1203="","",_xlfn.XLOOKUP($AC1203,'[2]Client Info'!$C$2:$C$2715,'[2]Client Info'!$F$2:$F$2715,"",0,1))</f>
        <v xml:space="preserve">BC </v>
      </c>
      <c r="AG1203" s="55" t="s">
        <v>3496</v>
      </c>
      <c r="AH1203" s="26" t="str">
        <f>_xlfn.XLOOKUP(Table26[[#This Row],[customerSKU]],customerSKU!G:G,customerSKU!K:K,"NA",0,1)</f>
        <v>NA</v>
      </c>
      <c r="AI1203" s="43" t="str">
        <f>_xlfn.XLOOKUP(Table26[[#This Row],[customerSKU]],customerSKU!G:G,customerSKU!O:O,"not found",0,1)</f>
        <v>not found</v>
      </c>
      <c r="AJ1203" s="22" t="e">
        <f>Table26[[#This Row],[unitprice]]*Table26[[#This Row],[quantity_unit]]</f>
        <v>#VALUE!</v>
      </c>
      <c r="AK1203" s="22" t="e" cm="1">
        <f t="array" ref="AK12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4" spans="1:37" ht="18" customHeight="1">
      <c r="A1204" s="42">
        <v>1042</v>
      </c>
      <c r="B1204" s="42" t="s">
        <v>3357</v>
      </c>
      <c r="C1204" s="53" t="s">
        <v>203</v>
      </c>
      <c r="E1204" s="20"/>
      <c r="F1204" s="25"/>
      <c r="G1204" s="93"/>
      <c r="J1204" s="90" t="str">
        <f>IF(Table26[[#This Row],[customerSKU]]="","",_xlfn.XLOOKUP(Table26[[#This Row],[customerSKU]],customerSKU!G:G,customerSKU!A:A,"",0,1))</f>
        <v/>
      </c>
      <c r="K1204" s="232">
        <v>45729</v>
      </c>
      <c r="L1204" s="49" t="str">
        <f>IF(Table26[[#This Row],[customerSKU]]="","",_xlfn.XLOOKUP(Table26[[#This Row],[customerSKU]],customerSKU!G:G,customerSKU!B:B,"",0,1))</f>
        <v/>
      </c>
      <c r="M1204" s="22"/>
      <c r="N1204" s="15" t="str">
        <f>Table26[[#This Row],[po_number]]&amp;"-"&amp;Table26[[#This Row],[po_line]]</f>
        <v>-6</v>
      </c>
      <c r="O1204" s="15">
        <v>6</v>
      </c>
      <c r="P1204" s="50"/>
      <c r="Q1204" s="22" t="s">
        <v>535</v>
      </c>
      <c r="R1204" s="22" t="s">
        <v>569</v>
      </c>
      <c r="S1204" s="90" t="str">
        <f>IF(Table26[[#This Row],[customerSKU]]="","",_xlfn.XLOOKUP(Table26[[#This Row],[customerSKU]],customerSKU!G:G,customerSKU!N:N,"NOT FOUND",0,1))</f>
        <v>NOT FOUND</v>
      </c>
      <c r="T1204" s="20">
        <v>45630</v>
      </c>
      <c r="U1204" s="94">
        <v>12</v>
      </c>
      <c r="V1204" s="22" t="str">
        <f>IF(ISBLANK(Table26[[#This Row],[customerSKU]]),"",_xlfn.XLOOKUP(Table26[[#This Row],[customerSKU]],Table27[customer_SKU],Table27[case_size],"",0,1))</f>
        <v/>
      </c>
      <c r="W1204" s="117" t="str">
        <f t="shared" si="53"/>
        <v/>
      </c>
      <c r="X1204" s="22" t="str">
        <f t="shared" si="54"/>
        <v/>
      </c>
      <c r="Y1204" s="25" t="str">
        <f>IF(Table26[[#This Row],[customerSKU]]="","",_xlfn.XLOOKUP(Table26[[#This Row],[customerSKU]],Table27[customer_SKU],Table27[product_GTIN],"",0,1))</f>
        <v/>
      </c>
      <c r="Z1204" s="25" t="s">
        <v>3433</v>
      </c>
      <c r="AA1204" s="18" t="str" cm="1">
        <f t="array" ref="AA1204">IF(P1204="", "", _xlfn.XLOOKUP(P1204,#REF!,#REF!,NA,0,-1))</f>
        <v/>
      </c>
      <c r="AB1204" s="22"/>
      <c r="AC1204" s="55" t="s">
        <v>3496</v>
      </c>
      <c r="AD1204" s="55" t="str">
        <f>IF($AC1204="","",_xlfn.XLOOKUP($AC1204,'[2]Client Info'!$C$2:$C$2535,'[2]Client Info'!$D$2:$D$2535,"",0,1))</f>
        <v>11939 240th Street</v>
      </c>
      <c r="AE1204" s="55" t="str">
        <f>IF($AC1204="","",_xlfn.XLOOKUP($AC1204,'[2]Client Info'!$C$2:$C$2715,'[2]Client Info'!$E$2:$E$2715,"",))</f>
        <v>Maple Ridge</v>
      </c>
      <c r="AF1204" s="55" t="str">
        <f>IF($AC1204="","",_xlfn.XLOOKUP($AC1204,'[2]Client Info'!$C$2:$C$2715,'[2]Client Info'!$F$2:$F$2715,"",0,1))</f>
        <v xml:space="preserve">BC </v>
      </c>
      <c r="AG1204" s="55" t="s">
        <v>3496</v>
      </c>
      <c r="AH1204" s="26" t="str">
        <f>_xlfn.XLOOKUP(Table26[[#This Row],[customerSKU]],customerSKU!G:G,customerSKU!K:K,"NA",0,1)</f>
        <v>NA</v>
      </c>
      <c r="AI1204" s="43" t="str">
        <f>_xlfn.XLOOKUP(Table26[[#This Row],[customerSKU]],customerSKU!G:G,customerSKU!O:O,"not found",0,1)</f>
        <v>not found</v>
      </c>
      <c r="AJ1204" s="22" t="e">
        <f>Table26[[#This Row],[unitprice]]*Table26[[#This Row],[quantity_unit]]</f>
        <v>#VALUE!</v>
      </c>
      <c r="AK1204" s="22" t="e" cm="1">
        <f t="array" ref="AK12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5" spans="1:37" ht="18" customHeight="1">
      <c r="A1205" s="42">
        <v>1043</v>
      </c>
      <c r="B1205" s="42" t="s">
        <v>3357</v>
      </c>
      <c r="C1205" s="53" t="s">
        <v>203</v>
      </c>
      <c r="E1205" s="20"/>
      <c r="F1205" s="25"/>
      <c r="G1205" s="93"/>
      <c r="J1205" s="90" t="str">
        <f>IF(Table26[[#This Row],[customerSKU]]="","",_xlfn.XLOOKUP(Table26[[#This Row],[customerSKU]],customerSKU!G:G,customerSKU!A:A,"",0,1))</f>
        <v/>
      </c>
      <c r="K1205" s="232">
        <v>45729</v>
      </c>
      <c r="L1205" s="49" t="str">
        <f>IF(Table26[[#This Row],[customerSKU]]="","",_xlfn.XLOOKUP(Table26[[#This Row],[customerSKU]],customerSKU!G:G,customerSKU!B:B,"",0,1))</f>
        <v/>
      </c>
      <c r="M1205" s="22"/>
      <c r="N1205" s="15" t="str">
        <f>Table26[[#This Row],[po_number]]&amp;"-"&amp;Table26[[#This Row],[po_line]]</f>
        <v>-7</v>
      </c>
      <c r="O1205" s="15">
        <v>7</v>
      </c>
      <c r="P1205" s="50"/>
      <c r="Q1205" s="22" t="s">
        <v>656</v>
      </c>
      <c r="R1205" s="22" t="s">
        <v>569</v>
      </c>
      <c r="S1205" s="90" t="str">
        <f>IF(Table26[[#This Row],[customerSKU]]="","",_xlfn.XLOOKUP(Table26[[#This Row],[customerSKU]],customerSKU!G:G,customerSKU!N:N,"NOT FOUND",0,1))</f>
        <v>NOT FOUND</v>
      </c>
      <c r="T1205" s="20">
        <v>45642</v>
      </c>
      <c r="U1205" s="94">
        <v>12</v>
      </c>
      <c r="V1205" s="22" t="str">
        <f>IF(ISBLANK(Table26[[#This Row],[customerSKU]]),"",_xlfn.XLOOKUP(Table26[[#This Row],[customerSKU]],Table27[customer_SKU],Table27[case_size],"",0,1))</f>
        <v/>
      </c>
      <c r="W1205" s="117" t="str">
        <f t="shared" si="53"/>
        <v/>
      </c>
      <c r="X1205" s="22" t="str">
        <f t="shared" si="54"/>
        <v/>
      </c>
      <c r="Y1205" s="25" t="str">
        <f>IF(Table26[[#This Row],[customerSKU]]="","",_xlfn.XLOOKUP(Table26[[#This Row],[customerSKU]],Table27[customer_SKU],Table27[product_GTIN],"",0,1))</f>
        <v/>
      </c>
      <c r="Z1205" s="25" t="s">
        <v>3367</v>
      </c>
      <c r="AA1205" s="18" t="str" cm="1">
        <f t="array" ref="AA1205">IF(P1205="", "", _xlfn.XLOOKUP(P1205,#REF!,#REF!,NA,0,-1))</f>
        <v/>
      </c>
      <c r="AB1205" s="22"/>
      <c r="AC1205" s="55" t="s">
        <v>3496</v>
      </c>
      <c r="AD1205" s="55" t="str">
        <f>IF($AC1205="","",_xlfn.XLOOKUP($AC1205,'[2]Client Info'!$C$2:$C$2535,'[2]Client Info'!$D$2:$D$2535,"",0,1))</f>
        <v>11939 240th Street</v>
      </c>
      <c r="AE1205" s="55" t="str">
        <f>IF($AC1205="","",_xlfn.XLOOKUP($AC1205,'[2]Client Info'!$C$2:$C$2715,'[2]Client Info'!$E$2:$E$2715,"",))</f>
        <v>Maple Ridge</v>
      </c>
      <c r="AF1205" s="55" t="str">
        <f>IF($AC1205="","",_xlfn.XLOOKUP($AC1205,'[2]Client Info'!$C$2:$C$2715,'[2]Client Info'!$F$2:$F$2715,"",0,1))</f>
        <v xml:space="preserve">BC </v>
      </c>
      <c r="AG1205" s="55" t="s">
        <v>3496</v>
      </c>
      <c r="AH1205" s="26" t="str">
        <f>_xlfn.XLOOKUP(Table26[[#This Row],[customerSKU]],customerSKU!G:G,customerSKU!K:K,"NA",0,1)</f>
        <v>NA</v>
      </c>
      <c r="AI1205" s="43" t="str">
        <f>_xlfn.XLOOKUP(Table26[[#This Row],[customerSKU]],customerSKU!G:G,customerSKU!O:O,"not found",0,1)</f>
        <v>not found</v>
      </c>
      <c r="AJ1205" s="22" t="e">
        <f>Table26[[#This Row],[unitprice]]*Table26[[#This Row],[quantity_unit]]</f>
        <v>#VALUE!</v>
      </c>
      <c r="AK1205" s="22" t="e" cm="1">
        <f t="array" ref="AK12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6" spans="1:37" ht="18" customHeight="1">
      <c r="A1206" s="42">
        <v>1044</v>
      </c>
      <c r="B1206" s="42" t="s">
        <v>3357</v>
      </c>
      <c r="C1206" s="53" t="s">
        <v>203</v>
      </c>
      <c r="E1206" s="20"/>
      <c r="F1206" s="25"/>
      <c r="G1206" s="93"/>
      <c r="J1206" s="90" t="str">
        <f>IF(Table26[[#This Row],[customerSKU]]="","",_xlfn.XLOOKUP(Table26[[#This Row],[customerSKU]],customerSKU!G:G,customerSKU!A:A,"",0,1))</f>
        <v/>
      </c>
      <c r="K1206" s="232">
        <v>45729</v>
      </c>
      <c r="L1206" s="49" t="str">
        <f>IF(Table26[[#This Row],[customerSKU]]="","",_xlfn.XLOOKUP(Table26[[#This Row],[customerSKU]],customerSKU!G:G,customerSKU!B:B,"",0,1))</f>
        <v/>
      </c>
      <c r="M1206" s="22"/>
      <c r="N1206" s="15" t="str">
        <f>Table26[[#This Row],[po_number]]&amp;"-"&amp;Table26[[#This Row],[po_line]]</f>
        <v>-8</v>
      </c>
      <c r="O1206" s="15">
        <v>8</v>
      </c>
      <c r="P1206" s="50"/>
      <c r="Q1206" s="22" t="s">
        <v>3378</v>
      </c>
      <c r="R1206" s="22" t="s">
        <v>569</v>
      </c>
      <c r="S1206" s="90" t="str">
        <f>IF(Table26[[#This Row],[customerSKU]]="","",_xlfn.XLOOKUP(Table26[[#This Row],[customerSKU]],customerSKU!G:G,customerSKU!N:N,"NOT FOUND",0,1))</f>
        <v>NOT FOUND</v>
      </c>
      <c r="T1206" s="20">
        <v>45666</v>
      </c>
      <c r="U1206" s="94">
        <v>12</v>
      </c>
      <c r="V1206" s="22" t="str">
        <f>IF(ISBLANK(Table26[[#This Row],[customerSKU]]),"",_xlfn.XLOOKUP(Table26[[#This Row],[customerSKU]],Table27[customer_SKU],Table27[case_size],"",0,1))</f>
        <v/>
      </c>
      <c r="W1206" s="117" t="str">
        <f t="shared" si="53"/>
        <v/>
      </c>
      <c r="X1206" s="22" t="str">
        <f t="shared" si="54"/>
        <v/>
      </c>
      <c r="Y1206" s="25" t="str">
        <f>IF(Table26[[#This Row],[customerSKU]]="","",_xlfn.XLOOKUP(Table26[[#This Row],[customerSKU]],Table27[customer_SKU],Table27[product_GTIN],"",0,1))</f>
        <v/>
      </c>
      <c r="Z1206" s="25" t="s">
        <v>3379</v>
      </c>
      <c r="AA1206" s="18" t="str" cm="1">
        <f t="array" ref="AA1206">IF(P1206="", "", _xlfn.XLOOKUP(P1206,#REF!,#REF!,NA,0,-1))</f>
        <v/>
      </c>
      <c r="AB1206" s="22"/>
      <c r="AC1206" s="55" t="s">
        <v>3496</v>
      </c>
      <c r="AD1206" s="55" t="str">
        <f>IF($AC1206="","",_xlfn.XLOOKUP($AC1206,'[2]Client Info'!$C$2:$C$2535,'[2]Client Info'!$D$2:$D$2535,"",0,1))</f>
        <v>11939 240th Street</v>
      </c>
      <c r="AE1206" s="55" t="str">
        <f>IF($AC1206="","",_xlfn.XLOOKUP($AC1206,'[2]Client Info'!$C$2:$C$2715,'[2]Client Info'!$E$2:$E$2715,"",))</f>
        <v>Maple Ridge</v>
      </c>
      <c r="AF1206" s="55" t="str">
        <f>IF($AC1206="","",_xlfn.XLOOKUP($AC1206,'[2]Client Info'!$C$2:$C$2715,'[2]Client Info'!$F$2:$F$2715,"",0,1))</f>
        <v xml:space="preserve">BC </v>
      </c>
      <c r="AG1206" s="55" t="s">
        <v>3496</v>
      </c>
      <c r="AH1206" s="26" t="str">
        <f>_xlfn.XLOOKUP(Table26[[#This Row],[customerSKU]],customerSKU!G:G,customerSKU!K:K,"NA",0,1)</f>
        <v>NA</v>
      </c>
      <c r="AI1206" s="43" t="str">
        <f>_xlfn.XLOOKUP(Table26[[#This Row],[customerSKU]],customerSKU!G:G,customerSKU!O:O,"not found",0,1)</f>
        <v>not found</v>
      </c>
      <c r="AJ1206" s="22" t="e">
        <f>Table26[[#This Row],[unitprice]]*Table26[[#This Row],[quantity_unit]]</f>
        <v>#VALUE!</v>
      </c>
      <c r="AK1206" s="22" t="e" cm="1">
        <f t="array" ref="AK12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7" spans="1:37" ht="18" customHeight="1">
      <c r="A1207" s="42">
        <v>1045</v>
      </c>
      <c r="B1207" s="42" t="s">
        <v>3357</v>
      </c>
      <c r="C1207" s="53" t="s">
        <v>203</v>
      </c>
      <c r="E1207" s="20"/>
      <c r="F1207" s="25"/>
      <c r="G1207" s="93"/>
      <c r="J1207" s="90" t="str">
        <f>IF(Table26[[#This Row],[customerSKU]]="","",_xlfn.XLOOKUP(Table26[[#This Row],[customerSKU]],customerSKU!G:G,customerSKU!A:A,"",0,1))</f>
        <v/>
      </c>
      <c r="K1207" s="232">
        <v>45729</v>
      </c>
      <c r="L1207" s="49" t="str">
        <f>IF(Table26[[#This Row],[customerSKU]]="","",_xlfn.XLOOKUP(Table26[[#This Row],[customerSKU]],customerSKU!G:G,customerSKU!B:B,"",0,1))</f>
        <v/>
      </c>
      <c r="M1207" s="22"/>
      <c r="N1207" s="15" t="str">
        <f>Table26[[#This Row],[po_number]]&amp;"-"&amp;Table26[[#This Row],[po_line]]</f>
        <v>-1</v>
      </c>
      <c r="O1207" s="15">
        <v>1</v>
      </c>
      <c r="P1207" s="50"/>
      <c r="Q1207" s="22" t="s">
        <v>1609</v>
      </c>
      <c r="R1207" s="22" t="s">
        <v>569</v>
      </c>
      <c r="S1207" s="90" t="str">
        <f>IF(Table26[[#This Row],[customerSKU]]="","",_xlfn.XLOOKUP(Table26[[#This Row],[customerSKU]],customerSKU!G:G,customerSKU!N:N,"NOT FOUND",0,1))</f>
        <v>NOT FOUND</v>
      </c>
      <c r="T1207" s="20">
        <v>45462</v>
      </c>
      <c r="U1207" s="94">
        <v>12</v>
      </c>
      <c r="V1207" s="22" t="str">
        <f>IF(ISBLANK(Table26[[#This Row],[customerSKU]]),"",_xlfn.XLOOKUP(Table26[[#This Row],[customerSKU]],Table27[customer_SKU],Table27[case_size],"",0,1))</f>
        <v/>
      </c>
      <c r="W1207" s="117" t="str">
        <f t="shared" si="53"/>
        <v/>
      </c>
      <c r="X1207" s="22" t="str">
        <f t="shared" si="54"/>
        <v/>
      </c>
      <c r="Y1207" s="25" t="str">
        <f>IF(Table26[[#This Row],[customerSKU]]="","",_xlfn.XLOOKUP(Table26[[#This Row],[customerSKU]],Table27[customer_SKU],Table27[product_GTIN],"",0,1))</f>
        <v/>
      </c>
      <c r="Z1207" s="25" t="s">
        <v>3416</v>
      </c>
      <c r="AA1207" s="18" t="str" cm="1">
        <f t="array" ref="AA1207">IF(P1207="", "", _xlfn.XLOOKUP(P1207,#REF!,#REF!,NA,0,-1))</f>
        <v/>
      </c>
      <c r="AB1207" s="22"/>
      <c r="AC1207" s="55" t="s">
        <v>4068</v>
      </c>
      <c r="AD1207" s="55" t="str">
        <f>IF($AC1207="","",_xlfn.XLOOKUP($AC1207,'[2]Client Info'!$C$2:$C$2535,'[2]Client Info'!$D$2:$D$2535,"",0,1))</f>
        <v>2943 Kingsway</v>
      </c>
      <c r="AE1207" s="55" t="str">
        <f>IF($AC1207="","",_xlfn.XLOOKUP($AC1207,'[2]Client Info'!$C$2:$C$2715,'[2]Client Info'!$E$2:$E$2715,"",))</f>
        <v>Vancouver</v>
      </c>
      <c r="AF1207" s="55" t="str">
        <f>IF($AC1207="","",_xlfn.XLOOKUP($AC1207,'[2]Client Info'!$C$2:$C$2715,'[2]Client Info'!$F$2:$F$2715,"",0,1))</f>
        <v>BC</v>
      </c>
      <c r="AG1207" s="55" t="s">
        <v>4068</v>
      </c>
      <c r="AH1207" s="26" t="str">
        <f>_xlfn.XLOOKUP(Table26[[#This Row],[customerSKU]],customerSKU!G:G,customerSKU!K:K,"NA",0,1)</f>
        <v>NA</v>
      </c>
      <c r="AI1207" s="43" t="str">
        <f>_xlfn.XLOOKUP(Table26[[#This Row],[customerSKU]],customerSKU!G:G,customerSKU!O:O,"not found",0,1)</f>
        <v>not found</v>
      </c>
      <c r="AJ1207" s="22" t="e">
        <f>Table26[[#This Row],[unitprice]]*Table26[[#This Row],[quantity_unit]]</f>
        <v>#VALUE!</v>
      </c>
      <c r="AK1207" s="22" t="e" cm="1">
        <f t="array" ref="AK12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8" spans="1:37" ht="18" customHeight="1">
      <c r="A1208" s="42">
        <v>1046</v>
      </c>
      <c r="B1208" s="42" t="s">
        <v>3357</v>
      </c>
      <c r="C1208" s="53" t="s">
        <v>203</v>
      </c>
      <c r="E1208" s="20"/>
      <c r="F1208" s="25"/>
      <c r="G1208" s="93"/>
      <c r="J1208" s="90" t="str">
        <f>IF(Table26[[#This Row],[customerSKU]]="","",_xlfn.XLOOKUP(Table26[[#This Row],[customerSKU]],customerSKU!G:G,customerSKU!A:A,"",0,1))</f>
        <v/>
      </c>
      <c r="K1208" s="232">
        <v>45729</v>
      </c>
      <c r="L1208" s="49" t="str">
        <f>IF(Table26[[#This Row],[customerSKU]]="","",_xlfn.XLOOKUP(Table26[[#This Row],[customerSKU]],customerSKU!G:G,customerSKU!B:B,"",0,1))</f>
        <v/>
      </c>
      <c r="M1208" s="22"/>
      <c r="N1208" s="15" t="str">
        <f>Table26[[#This Row],[po_number]]&amp;"-"&amp;Table26[[#This Row],[po_line]]</f>
        <v>-2</v>
      </c>
      <c r="O1208" s="15">
        <v>2</v>
      </c>
      <c r="P1208" s="50"/>
      <c r="Q1208" s="22" t="s">
        <v>1575</v>
      </c>
      <c r="R1208" s="22" t="s">
        <v>569</v>
      </c>
      <c r="S1208" s="90" t="str">
        <f>IF(Table26[[#This Row],[customerSKU]]="","",_xlfn.XLOOKUP(Table26[[#This Row],[customerSKU]],customerSKU!G:G,customerSKU!N:N,"NOT FOUND",0,1))</f>
        <v>NOT FOUND</v>
      </c>
      <c r="T1208" s="20">
        <v>45457</v>
      </c>
      <c r="U1208" s="94">
        <v>12</v>
      </c>
      <c r="V1208" s="22" t="str">
        <f>IF(ISBLANK(Table26[[#This Row],[customerSKU]]),"",_xlfn.XLOOKUP(Table26[[#This Row],[customerSKU]],Table27[customer_SKU],Table27[case_size],"",0,1))</f>
        <v/>
      </c>
      <c r="W1208" s="117" t="str">
        <f t="shared" si="53"/>
        <v/>
      </c>
      <c r="X1208" s="22" t="str">
        <f t="shared" si="54"/>
        <v/>
      </c>
      <c r="Y1208" s="25" t="str">
        <f>IF(Table26[[#This Row],[customerSKU]]="","",_xlfn.XLOOKUP(Table26[[#This Row],[customerSKU]],Table27[customer_SKU],Table27[product_GTIN],"",0,1))</f>
        <v/>
      </c>
      <c r="Z1208" s="25" t="s">
        <v>3609</v>
      </c>
      <c r="AA1208" s="18" t="str" cm="1">
        <f t="array" ref="AA1208">IF(P1208="", "", _xlfn.XLOOKUP(P1208,#REF!,#REF!,NA,0,-1))</f>
        <v/>
      </c>
      <c r="AB1208" s="22"/>
      <c r="AC1208" s="55" t="s">
        <v>4068</v>
      </c>
      <c r="AD1208" s="55" t="str">
        <f>IF($AC1208="","",_xlfn.XLOOKUP($AC1208,'[2]Client Info'!$C$2:$C$2535,'[2]Client Info'!$D$2:$D$2535,"",0,1))</f>
        <v>2943 Kingsway</v>
      </c>
      <c r="AE1208" s="55" t="str">
        <f>IF($AC1208="","",_xlfn.XLOOKUP($AC1208,'[2]Client Info'!$C$2:$C$2715,'[2]Client Info'!$E$2:$E$2715,"",))</f>
        <v>Vancouver</v>
      </c>
      <c r="AF1208" s="55" t="str">
        <f>IF($AC1208="","",_xlfn.XLOOKUP($AC1208,'[2]Client Info'!$C$2:$C$2715,'[2]Client Info'!$F$2:$F$2715,"",0,1))</f>
        <v>BC</v>
      </c>
      <c r="AG1208" s="55" t="s">
        <v>4068</v>
      </c>
      <c r="AH1208" s="26" t="str">
        <f>_xlfn.XLOOKUP(Table26[[#This Row],[customerSKU]],customerSKU!G:G,customerSKU!K:K,"NA",0,1)</f>
        <v>NA</v>
      </c>
      <c r="AI1208" s="43" t="str">
        <f>_xlfn.XLOOKUP(Table26[[#This Row],[customerSKU]],customerSKU!G:G,customerSKU!O:O,"not found",0,1)</f>
        <v>not found</v>
      </c>
      <c r="AJ1208" s="22" t="e">
        <f>Table26[[#This Row],[unitprice]]*Table26[[#This Row],[quantity_unit]]</f>
        <v>#VALUE!</v>
      </c>
      <c r="AK1208" s="22" t="e" cm="1">
        <f t="array" ref="AK12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09" spans="1:37" ht="18" customHeight="1">
      <c r="A1209" s="42">
        <v>1047</v>
      </c>
      <c r="B1209" s="42" t="s">
        <v>3357</v>
      </c>
      <c r="C1209" s="53" t="s">
        <v>203</v>
      </c>
      <c r="E1209" s="20"/>
      <c r="F1209" s="25"/>
      <c r="G1209" s="93"/>
      <c r="J1209" s="90" t="str">
        <f>IF(Table26[[#This Row],[customerSKU]]="","",_xlfn.XLOOKUP(Table26[[#This Row],[customerSKU]],customerSKU!G:G,customerSKU!A:A,"",0,1))</f>
        <v/>
      </c>
      <c r="K1209" s="232">
        <v>45729</v>
      </c>
      <c r="L1209" s="49" t="str">
        <f>IF(Table26[[#This Row],[customerSKU]]="","",_xlfn.XLOOKUP(Table26[[#This Row],[customerSKU]],customerSKU!G:G,customerSKU!B:B,"",0,1))</f>
        <v/>
      </c>
      <c r="M1209" s="22"/>
      <c r="N1209" s="15" t="str">
        <f>Table26[[#This Row],[po_number]]&amp;"-"&amp;Table26[[#This Row],[po_line]]</f>
        <v>-3</v>
      </c>
      <c r="O1209" s="15">
        <v>3</v>
      </c>
      <c r="P1209" s="50"/>
      <c r="Q1209" s="22" t="s">
        <v>828</v>
      </c>
      <c r="R1209" s="22" t="s">
        <v>569</v>
      </c>
      <c r="S1209" s="90" t="str">
        <f>IF(Table26[[#This Row],[customerSKU]]="","",_xlfn.XLOOKUP(Table26[[#This Row],[customerSKU]],customerSKU!G:G,customerSKU!N:N,"NOT FOUND",0,1))</f>
        <v>NOT FOUND</v>
      </c>
      <c r="T1209" s="20">
        <v>45685</v>
      </c>
      <c r="U1209" s="94">
        <v>12</v>
      </c>
      <c r="V1209" s="22" t="str">
        <f>IF(ISBLANK(Table26[[#This Row],[customerSKU]]),"",_xlfn.XLOOKUP(Table26[[#This Row],[customerSKU]],Table27[customer_SKU],Table27[case_size],"",0,1))</f>
        <v/>
      </c>
      <c r="W1209" s="117" t="str">
        <f t="shared" si="53"/>
        <v/>
      </c>
      <c r="X1209" s="22" t="str">
        <f t="shared" si="54"/>
        <v/>
      </c>
      <c r="Y1209" s="25" t="str">
        <f>IF(Table26[[#This Row],[customerSKU]]="","",_xlfn.XLOOKUP(Table26[[#This Row],[customerSKU]],Table27[customer_SKU],Table27[product_GTIN],"",0,1))</f>
        <v/>
      </c>
      <c r="Z1209" s="25" t="s">
        <v>3364</v>
      </c>
      <c r="AA1209" s="18" t="str" cm="1">
        <f t="array" ref="AA1209">IF(P1209="", "", _xlfn.XLOOKUP(P1209,#REF!,#REF!,NA,0,-1))</f>
        <v/>
      </c>
      <c r="AB1209" s="22"/>
      <c r="AC1209" s="55" t="s">
        <v>4068</v>
      </c>
      <c r="AD1209" s="55" t="str">
        <f>IF($AC1209="","",_xlfn.XLOOKUP($AC1209,'[2]Client Info'!$C$2:$C$2535,'[2]Client Info'!$D$2:$D$2535,"",0,1))</f>
        <v>2943 Kingsway</v>
      </c>
      <c r="AE1209" s="55" t="str">
        <f>IF($AC1209="","",_xlfn.XLOOKUP($AC1209,'[2]Client Info'!$C$2:$C$2715,'[2]Client Info'!$E$2:$E$2715,"",))</f>
        <v>Vancouver</v>
      </c>
      <c r="AF1209" s="55" t="str">
        <f>IF($AC1209="","",_xlfn.XLOOKUP($AC1209,'[2]Client Info'!$C$2:$C$2715,'[2]Client Info'!$F$2:$F$2715,"",0,1))</f>
        <v>BC</v>
      </c>
      <c r="AG1209" s="55" t="s">
        <v>4068</v>
      </c>
      <c r="AH1209" s="26" t="str">
        <f>_xlfn.XLOOKUP(Table26[[#This Row],[customerSKU]],customerSKU!G:G,customerSKU!K:K,"NA",0,1)</f>
        <v>NA</v>
      </c>
      <c r="AI1209" s="43" t="str">
        <f>_xlfn.XLOOKUP(Table26[[#This Row],[customerSKU]],customerSKU!G:G,customerSKU!O:O,"not found",0,1)</f>
        <v>not found</v>
      </c>
      <c r="AJ1209" s="22" t="e">
        <f>Table26[[#This Row],[unitprice]]*Table26[[#This Row],[quantity_unit]]</f>
        <v>#VALUE!</v>
      </c>
      <c r="AK1209" s="22" t="e" cm="1">
        <f t="array" ref="AK12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0" spans="1:37" ht="18" customHeight="1">
      <c r="A1210" s="42">
        <v>1048</v>
      </c>
      <c r="B1210" s="42" t="s">
        <v>3357</v>
      </c>
      <c r="C1210" s="53" t="s">
        <v>203</v>
      </c>
      <c r="E1210" s="20"/>
      <c r="F1210" s="25"/>
      <c r="G1210" s="93"/>
      <c r="J1210" s="90" t="str">
        <f>IF(Table26[[#This Row],[customerSKU]]="","",_xlfn.XLOOKUP(Table26[[#This Row],[customerSKU]],customerSKU!G:G,customerSKU!A:A,"",0,1))</f>
        <v/>
      </c>
      <c r="K1210" s="232">
        <v>45729</v>
      </c>
      <c r="L1210" s="49" t="str">
        <f>IF(Table26[[#This Row],[customerSKU]]="","",_xlfn.XLOOKUP(Table26[[#This Row],[customerSKU]],customerSKU!G:G,customerSKU!B:B,"",0,1))</f>
        <v/>
      </c>
      <c r="M1210" s="22"/>
      <c r="N1210" s="15" t="str">
        <f>Table26[[#This Row],[po_number]]&amp;"-"&amp;Table26[[#This Row],[po_line]]</f>
        <v>-4</v>
      </c>
      <c r="O1210" s="15">
        <v>4</v>
      </c>
      <c r="P1210" s="50"/>
      <c r="Q1210" s="22" t="s">
        <v>587</v>
      </c>
      <c r="R1210" s="22" t="s">
        <v>569</v>
      </c>
      <c r="S1210" s="90" t="str">
        <f>IF(Table26[[#This Row],[customerSKU]]="","",_xlfn.XLOOKUP(Table26[[#This Row],[customerSKU]],customerSKU!G:G,customerSKU!N:N,"NOT FOUND",0,1))</f>
        <v>NOT FOUND</v>
      </c>
      <c r="T1210" s="20">
        <v>45457</v>
      </c>
      <c r="U1210" s="94">
        <v>12</v>
      </c>
      <c r="V1210" s="22" t="str">
        <f>IF(ISBLANK(Table26[[#This Row],[customerSKU]]),"",_xlfn.XLOOKUP(Table26[[#This Row],[customerSKU]],Table27[customer_SKU],Table27[case_size],"",0,1))</f>
        <v/>
      </c>
      <c r="W1210" s="117" t="str">
        <f t="shared" si="53"/>
        <v/>
      </c>
      <c r="X1210" s="22" t="str">
        <f t="shared" si="54"/>
        <v/>
      </c>
      <c r="Y1210" s="25" t="str">
        <f>IF(Table26[[#This Row],[customerSKU]]="","",_xlfn.XLOOKUP(Table26[[#This Row],[customerSKU]],Table27[customer_SKU],Table27[product_GTIN],"",0,1))</f>
        <v/>
      </c>
      <c r="Z1210" s="25" t="s">
        <v>3403</v>
      </c>
      <c r="AA1210" s="18" t="str" cm="1">
        <f t="array" ref="AA1210">IF(P1210="", "", _xlfn.XLOOKUP(P1210,#REF!,#REF!,NA,0,-1))</f>
        <v/>
      </c>
      <c r="AB1210" s="22"/>
      <c r="AC1210" s="55" t="s">
        <v>4068</v>
      </c>
      <c r="AD1210" s="55" t="str">
        <f>IF($AC1210="","",_xlfn.XLOOKUP($AC1210,'[2]Client Info'!$C$2:$C$2535,'[2]Client Info'!$D$2:$D$2535,"",0,1))</f>
        <v>2943 Kingsway</v>
      </c>
      <c r="AE1210" s="55" t="str">
        <f>IF($AC1210="","",_xlfn.XLOOKUP($AC1210,'[2]Client Info'!$C$2:$C$2715,'[2]Client Info'!$E$2:$E$2715,"",))</f>
        <v>Vancouver</v>
      </c>
      <c r="AF1210" s="55" t="str">
        <f>IF($AC1210="","",_xlfn.XLOOKUP($AC1210,'[2]Client Info'!$C$2:$C$2715,'[2]Client Info'!$F$2:$F$2715,"",0,1))</f>
        <v>BC</v>
      </c>
      <c r="AG1210" s="55" t="s">
        <v>4068</v>
      </c>
      <c r="AH1210" s="26" t="str">
        <f>_xlfn.XLOOKUP(Table26[[#This Row],[customerSKU]],customerSKU!G:G,customerSKU!K:K,"NA",0,1)</f>
        <v>NA</v>
      </c>
      <c r="AI1210" s="43" t="str">
        <f>_xlfn.XLOOKUP(Table26[[#This Row],[customerSKU]],customerSKU!G:G,customerSKU!O:O,"not found",0,1)</f>
        <v>not found</v>
      </c>
      <c r="AJ1210" s="22" t="e">
        <f>Table26[[#This Row],[unitprice]]*Table26[[#This Row],[quantity_unit]]</f>
        <v>#VALUE!</v>
      </c>
      <c r="AK1210" s="22" t="e" cm="1">
        <f t="array" ref="AK12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1" spans="1:37" ht="24.6" customHeight="1">
      <c r="A1211" s="42">
        <v>1049</v>
      </c>
      <c r="B1211" s="42" t="s">
        <v>3357</v>
      </c>
      <c r="C1211" s="53" t="s">
        <v>203</v>
      </c>
      <c r="E1211" s="20"/>
      <c r="F1211" s="25"/>
      <c r="G1211" s="93"/>
      <c r="J1211" s="90" t="str">
        <f>IF(Table26[[#This Row],[customerSKU]]="","",_xlfn.XLOOKUP(Table26[[#This Row],[customerSKU]],customerSKU!G:G,customerSKU!A:A,"",0,1))</f>
        <v/>
      </c>
      <c r="K1211" s="232">
        <v>45729</v>
      </c>
      <c r="L1211" s="49" t="str">
        <f>IF(Table26[[#This Row],[customerSKU]]="","",_xlfn.XLOOKUP(Table26[[#This Row],[customerSKU]],customerSKU!G:G,customerSKU!B:B,"",0,1))</f>
        <v/>
      </c>
      <c r="M1211" s="22"/>
      <c r="N1211" s="15" t="str">
        <f>Table26[[#This Row],[po_number]]&amp;"-"&amp;Table26[[#This Row],[po_line]]</f>
        <v>-5</v>
      </c>
      <c r="O1211" s="15">
        <v>5</v>
      </c>
      <c r="P1211" s="50"/>
      <c r="Q1211" s="22" t="s">
        <v>869</v>
      </c>
      <c r="R1211" s="22" t="s">
        <v>569</v>
      </c>
      <c r="S1211" s="90" t="str">
        <f>IF(Table26[[#This Row],[customerSKU]]="","",_xlfn.XLOOKUP(Table26[[#This Row],[customerSKU]],customerSKU!G:G,customerSKU!N:N,"NOT FOUND",0,1))</f>
        <v>NOT FOUND</v>
      </c>
      <c r="T1211" s="20">
        <v>45447</v>
      </c>
      <c r="U1211" s="94">
        <v>12</v>
      </c>
      <c r="V1211" s="22" t="str">
        <f>IF(ISBLANK(Table26[[#This Row],[customerSKU]]),"",_xlfn.XLOOKUP(Table26[[#This Row],[customerSKU]],Table27[customer_SKU],Table27[case_size],"",0,1))</f>
        <v/>
      </c>
      <c r="W1211" s="117" t="str">
        <f t="shared" si="53"/>
        <v/>
      </c>
      <c r="X1211" s="22" t="str">
        <f t="shared" si="54"/>
        <v/>
      </c>
      <c r="Y1211" s="25" t="str">
        <f>IF(Table26[[#This Row],[customerSKU]]="","",_xlfn.XLOOKUP(Table26[[#This Row],[customerSKU]],Table27[customer_SKU],Table27[product_GTIN],"",0,1))</f>
        <v/>
      </c>
      <c r="Z1211" s="25" t="s">
        <v>3376</v>
      </c>
      <c r="AA1211" s="18" t="str" cm="1">
        <f t="array" ref="AA1211">IF(P1211="", "", _xlfn.XLOOKUP(P1211,#REF!,#REF!,NA,0,-1))</f>
        <v/>
      </c>
      <c r="AB1211" s="22"/>
      <c r="AC1211" s="55" t="s">
        <v>4068</v>
      </c>
      <c r="AD1211" s="55" t="str">
        <f>IF($AC1211="","",_xlfn.XLOOKUP($AC1211,'[2]Client Info'!$C$2:$C$2535,'[2]Client Info'!$D$2:$D$2535,"",0,1))</f>
        <v>2943 Kingsway</v>
      </c>
      <c r="AE1211" s="55" t="str">
        <f>IF($AC1211="","",_xlfn.XLOOKUP($AC1211,'[2]Client Info'!$C$2:$C$2715,'[2]Client Info'!$E$2:$E$2715,"",))</f>
        <v>Vancouver</v>
      </c>
      <c r="AF1211" s="55" t="str">
        <f>IF($AC1211="","",_xlfn.XLOOKUP($AC1211,'[2]Client Info'!$C$2:$C$2715,'[2]Client Info'!$F$2:$F$2715,"",0,1))</f>
        <v>BC</v>
      </c>
      <c r="AG1211" s="55" t="s">
        <v>4068</v>
      </c>
      <c r="AH1211" s="26" t="str">
        <f>_xlfn.XLOOKUP(Table26[[#This Row],[customerSKU]],customerSKU!G:G,customerSKU!K:K,"NA",0,1)</f>
        <v>NA</v>
      </c>
      <c r="AI1211" s="43" t="str">
        <f>_xlfn.XLOOKUP(Table26[[#This Row],[customerSKU]],customerSKU!G:G,customerSKU!O:O,"not found",0,1)</f>
        <v>not found</v>
      </c>
      <c r="AJ1211" s="22" t="e">
        <f>Table26[[#This Row],[unitprice]]*Table26[[#This Row],[quantity_unit]]</f>
        <v>#VALUE!</v>
      </c>
      <c r="AK1211" s="22" t="e" cm="1">
        <f t="array" ref="AK12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2" spans="1:37" ht="18" customHeight="1">
      <c r="A1212" s="42">
        <v>1050</v>
      </c>
      <c r="B1212" s="42" t="s">
        <v>3357</v>
      </c>
      <c r="C1212" s="53" t="s">
        <v>203</v>
      </c>
      <c r="E1212" s="20"/>
      <c r="F1212" s="25"/>
      <c r="G1212" s="93"/>
      <c r="J1212" s="90" t="str">
        <f>IF(Table26[[#This Row],[customerSKU]]="","",_xlfn.XLOOKUP(Table26[[#This Row],[customerSKU]],customerSKU!G:G,customerSKU!A:A,"",0,1))</f>
        <v/>
      </c>
      <c r="K1212" s="232">
        <v>45729</v>
      </c>
      <c r="L1212" s="49" t="str">
        <f>IF(Table26[[#This Row],[customerSKU]]="","",_xlfn.XLOOKUP(Table26[[#This Row],[customerSKU]],customerSKU!G:G,customerSKU!B:B,"",0,1))</f>
        <v/>
      </c>
      <c r="M1212" s="22"/>
      <c r="N1212" s="15" t="str">
        <f>Table26[[#This Row],[po_number]]&amp;"-"&amp;Table26[[#This Row],[po_line]]</f>
        <v>-6</v>
      </c>
      <c r="O1212" s="15">
        <v>6</v>
      </c>
      <c r="P1212" s="50"/>
      <c r="Q1212" s="22" t="s">
        <v>1314</v>
      </c>
      <c r="R1212" s="22" t="s">
        <v>569</v>
      </c>
      <c r="S1212" s="90" t="str">
        <f>IF(Table26[[#This Row],[customerSKU]]="","",_xlfn.XLOOKUP(Table26[[#This Row],[customerSKU]],customerSKU!G:G,customerSKU!N:N,"NOT FOUND",0,1))</f>
        <v>NOT FOUND</v>
      </c>
      <c r="T1212" s="20">
        <v>45503</v>
      </c>
      <c r="U1212" s="94">
        <v>12</v>
      </c>
      <c r="V1212" s="22" t="str">
        <f>IF(ISBLANK(Table26[[#This Row],[customerSKU]]),"",_xlfn.XLOOKUP(Table26[[#This Row],[customerSKU]],Table27[customer_SKU],Table27[case_size],"",0,1))</f>
        <v/>
      </c>
      <c r="W1212" s="117" t="str">
        <f t="shared" si="53"/>
        <v/>
      </c>
      <c r="X1212" s="22" t="str">
        <f t="shared" si="54"/>
        <v/>
      </c>
      <c r="Y1212" s="25" t="str">
        <f>IF(Table26[[#This Row],[customerSKU]]="","",_xlfn.XLOOKUP(Table26[[#This Row],[customerSKU]],Table27[customer_SKU],Table27[product_GTIN],"",0,1))</f>
        <v/>
      </c>
      <c r="Z1212" s="25" t="s">
        <v>3374</v>
      </c>
      <c r="AA1212" s="18" t="str" cm="1">
        <f t="array" ref="AA1212">IF(P1212="", "", _xlfn.XLOOKUP(P1212,#REF!,#REF!,NA,0,-1))</f>
        <v/>
      </c>
      <c r="AB1212" s="22"/>
      <c r="AC1212" s="55" t="s">
        <v>4068</v>
      </c>
      <c r="AD1212" s="55" t="str">
        <f>IF($AC1212="","",_xlfn.XLOOKUP($AC1212,'[2]Client Info'!$C$2:$C$2535,'[2]Client Info'!$D$2:$D$2535,"",0,1))</f>
        <v>2943 Kingsway</v>
      </c>
      <c r="AE1212" s="55" t="str">
        <f>IF($AC1212="","",_xlfn.XLOOKUP($AC1212,'[2]Client Info'!$C$2:$C$2715,'[2]Client Info'!$E$2:$E$2715,"",))</f>
        <v>Vancouver</v>
      </c>
      <c r="AF1212" s="55" t="str">
        <f>IF($AC1212="","",_xlfn.XLOOKUP($AC1212,'[2]Client Info'!$C$2:$C$2715,'[2]Client Info'!$F$2:$F$2715,"",0,1))</f>
        <v>BC</v>
      </c>
      <c r="AG1212" s="55" t="s">
        <v>4068</v>
      </c>
      <c r="AH1212" s="26" t="str">
        <f>_xlfn.XLOOKUP(Table26[[#This Row],[customerSKU]],customerSKU!G:G,customerSKU!K:K,"NA",0,1)</f>
        <v>NA</v>
      </c>
      <c r="AI1212" s="43" t="str">
        <f>_xlfn.XLOOKUP(Table26[[#This Row],[customerSKU]],customerSKU!G:G,customerSKU!O:O,"not found",0,1)</f>
        <v>not found</v>
      </c>
      <c r="AJ1212" s="22" t="e">
        <f>Table26[[#This Row],[unitprice]]*Table26[[#This Row],[quantity_unit]]</f>
        <v>#VALUE!</v>
      </c>
      <c r="AK1212" s="22" t="e" cm="1">
        <f t="array" ref="AK12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3" spans="1:37" ht="18" customHeight="1">
      <c r="A1213" s="42">
        <v>1051</v>
      </c>
      <c r="B1213" s="42" t="s">
        <v>3357</v>
      </c>
      <c r="C1213" s="53" t="s">
        <v>203</v>
      </c>
      <c r="E1213" s="20"/>
      <c r="F1213" s="25"/>
      <c r="G1213" s="93"/>
      <c r="J1213" s="90" t="str">
        <f>IF(Table26[[#This Row],[customerSKU]]="","",_xlfn.XLOOKUP(Table26[[#This Row],[customerSKU]],customerSKU!G:G,customerSKU!A:A,"",0,1))</f>
        <v/>
      </c>
      <c r="K1213" s="232">
        <v>45729</v>
      </c>
      <c r="L1213" s="49" t="str">
        <f>IF(Table26[[#This Row],[customerSKU]]="","",_xlfn.XLOOKUP(Table26[[#This Row],[customerSKU]],customerSKU!G:G,customerSKU!B:B,"",0,1))</f>
        <v/>
      </c>
      <c r="M1213" s="22"/>
      <c r="N1213" s="15" t="str">
        <f>Table26[[#This Row],[po_number]]&amp;"-"&amp;Table26[[#This Row],[po_line]]</f>
        <v>-7</v>
      </c>
      <c r="O1213" s="15">
        <v>7</v>
      </c>
      <c r="P1213" s="50"/>
      <c r="Q1213" s="22" t="s">
        <v>3388</v>
      </c>
      <c r="R1213" s="22" t="s">
        <v>569</v>
      </c>
      <c r="S1213" s="90" t="str">
        <f>IF(Table26[[#This Row],[customerSKU]]="","",_xlfn.XLOOKUP(Table26[[#This Row],[customerSKU]],customerSKU!G:G,customerSKU!N:N,"NOT FOUND",0,1))</f>
        <v>NOT FOUND</v>
      </c>
      <c r="T1213" s="20">
        <v>45692</v>
      </c>
      <c r="U1213" s="94">
        <v>12</v>
      </c>
      <c r="V1213" s="22" t="str">
        <f>IF(ISBLANK(Table26[[#This Row],[customerSKU]]),"",_xlfn.XLOOKUP(Table26[[#This Row],[customerSKU]],Table27[customer_SKU],Table27[case_size],"",0,1))</f>
        <v/>
      </c>
      <c r="W1213" s="117" t="str">
        <f t="shared" si="53"/>
        <v/>
      </c>
      <c r="X1213" s="22" t="str">
        <f t="shared" si="54"/>
        <v/>
      </c>
      <c r="Y1213" s="25" t="str">
        <f>IF(Table26[[#This Row],[customerSKU]]="","",_xlfn.XLOOKUP(Table26[[#This Row],[customerSKU]],Table27[customer_SKU],Table27[product_GTIN],"",0,1))</f>
        <v/>
      </c>
      <c r="Z1213" s="25" t="s">
        <v>3389</v>
      </c>
      <c r="AA1213" s="18" t="str" cm="1">
        <f t="array" ref="AA1213">IF(P1213="", "", _xlfn.XLOOKUP(P1213,#REF!,#REF!,NA,0,-1))</f>
        <v/>
      </c>
      <c r="AB1213" s="22"/>
      <c r="AC1213" s="55" t="s">
        <v>4068</v>
      </c>
      <c r="AD1213" s="55" t="str">
        <f>IF($AC1213="","",_xlfn.XLOOKUP($AC1213,'[2]Client Info'!$C$2:$C$2535,'[2]Client Info'!$D$2:$D$2535,"",0,1))</f>
        <v>2943 Kingsway</v>
      </c>
      <c r="AE1213" s="55" t="str">
        <f>IF($AC1213="","",_xlfn.XLOOKUP($AC1213,'[2]Client Info'!$C$2:$C$2715,'[2]Client Info'!$E$2:$E$2715,"",))</f>
        <v>Vancouver</v>
      </c>
      <c r="AF1213" s="55" t="str">
        <f>IF($AC1213="","",_xlfn.XLOOKUP($AC1213,'[2]Client Info'!$C$2:$C$2715,'[2]Client Info'!$F$2:$F$2715,"",0,1))</f>
        <v>BC</v>
      </c>
      <c r="AG1213" s="55" t="s">
        <v>4068</v>
      </c>
      <c r="AH1213" s="26" t="str">
        <f>_xlfn.XLOOKUP(Table26[[#This Row],[customerSKU]],customerSKU!G:G,customerSKU!K:K,"NA",0,1)</f>
        <v>NA</v>
      </c>
      <c r="AI1213" s="43" t="str">
        <f>_xlfn.XLOOKUP(Table26[[#This Row],[customerSKU]],customerSKU!G:G,customerSKU!O:O,"not found",0,1)</f>
        <v>not found</v>
      </c>
      <c r="AJ1213" s="22" t="e">
        <f>Table26[[#This Row],[unitprice]]*Table26[[#This Row],[quantity_unit]]</f>
        <v>#VALUE!</v>
      </c>
      <c r="AK1213" s="22" t="e" cm="1">
        <f t="array" ref="AK12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4" spans="1:37" ht="18" customHeight="1">
      <c r="A1214" s="42">
        <v>1052</v>
      </c>
      <c r="B1214" s="42" t="s">
        <v>3357</v>
      </c>
      <c r="C1214" s="53" t="s">
        <v>203</v>
      </c>
      <c r="E1214" s="20"/>
      <c r="F1214" s="25"/>
      <c r="G1214" s="93"/>
      <c r="J1214" s="90" t="str">
        <f>IF(Table26[[#This Row],[customerSKU]]="","",_xlfn.XLOOKUP(Table26[[#This Row],[customerSKU]],customerSKU!G:G,customerSKU!A:A,"",0,1))</f>
        <v/>
      </c>
      <c r="K1214" s="232">
        <v>45729</v>
      </c>
      <c r="L1214" s="49" t="str">
        <f>IF(Table26[[#This Row],[customerSKU]]="","",_xlfn.XLOOKUP(Table26[[#This Row],[customerSKU]],customerSKU!G:G,customerSKU!B:B,"",0,1))</f>
        <v/>
      </c>
      <c r="M1214" s="22"/>
      <c r="N1214" s="15" t="str">
        <f>Table26[[#This Row],[po_number]]&amp;"-"&amp;Table26[[#This Row],[po_line]]</f>
        <v>-8</v>
      </c>
      <c r="O1214" s="15">
        <v>8</v>
      </c>
      <c r="P1214" s="50"/>
      <c r="Q1214" s="22" t="s">
        <v>578</v>
      </c>
      <c r="R1214" s="22" t="s">
        <v>569</v>
      </c>
      <c r="S1214" s="90" t="str">
        <f>IF(Table26[[#This Row],[customerSKU]]="","",_xlfn.XLOOKUP(Table26[[#This Row],[customerSKU]],customerSKU!G:G,customerSKU!N:N,"NOT FOUND",0,1))</f>
        <v>NOT FOUND</v>
      </c>
      <c r="T1214" s="20">
        <v>45700</v>
      </c>
      <c r="U1214" s="94">
        <v>12</v>
      </c>
      <c r="V1214" s="22" t="str">
        <f>IF(ISBLANK(Table26[[#This Row],[customerSKU]]),"",_xlfn.XLOOKUP(Table26[[#This Row],[customerSKU]],Table27[customer_SKU],Table27[case_size],"",0,1))</f>
        <v/>
      </c>
      <c r="W1214" s="117" t="str">
        <f t="shared" ref="W1214:W1277" si="55">IFERROR(U1214/V1214, "")</f>
        <v/>
      </c>
      <c r="X1214" s="22" t="str">
        <f t="shared" si="54"/>
        <v/>
      </c>
      <c r="Y1214" s="25" t="str">
        <f>IF(Table26[[#This Row],[customerSKU]]="","",_xlfn.XLOOKUP(Table26[[#This Row],[customerSKU]],Table27[customer_SKU],Table27[product_GTIN],"",0,1))</f>
        <v/>
      </c>
      <c r="Z1214" s="25" t="s">
        <v>3448</v>
      </c>
      <c r="AA1214" s="18" t="str" cm="1">
        <f t="array" ref="AA1214">IF(P1214="", "", _xlfn.XLOOKUP(P1214,#REF!,#REF!,NA,0,-1))</f>
        <v/>
      </c>
      <c r="AB1214" s="22"/>
      <c r="AC1214" s="55" t="s">
        <v>4068</v>
      </c>
      <c r="AD1214" s="55" t="str">
        <f>IF($AC1214="","",_xlfn.XLOOKUP($AC1214,'[2]Client Info'!$C$2:$C$2535,'[2]Client Info'!$D$2:$D$2535,"",0,1))</f>
        <v>2943 Kingsway</v>
      </c>
      <c r="AE1214" s="55" t="str">
        <f>IF($AC1214="","",_xlfn.XLOOKUP($AC1214,'[2]Client Info'!$C$2:$C$2715,'[2]Client Info'!$E$2:$E$2715,"",))</f>
        <v>Vancouver</v>
      </c>
      <c r="AF1214" s="55" t="str">
        <f>IF($AC1214="","",_xlfn.XLOOKUP($AC1214,'[2]Client Info'!$C$2:$C$2715,'[2]Client Info'!$F$2:$F$2715,"",0,1))</f>
        <v>BC</v>
      </c>
      <c r="AG1214" s="55" t="s">
        <v>4068</v>
      </c>
      <c r="AH1214" s="26" t="str">
        <f>_xlfn.XLOOKUP(Table26[[#This Row],[customerSKU]],customerSKU!G:G,customerSKU!K:K,"NA",0,1)</f>
        <v>NA</v>
      </c>
      <c r="AI1214" s="43" t="str">
        <f>_xlfn.XLOOKUP(Table26[[#This Row],[customerSKU]],customerSKU!G:G,customerSKU!O:O,"not found",0,1)</f>
        <v>not found</v>
      </c>
      <c r="AJ1214" s="22" t="e">
        <f>Table26[[#This Row],[unitprice]]*Table26[[#This Row],[quantity_unit]]</f>
        <v>#VALUE!</v>
      </c>
      <c r="AK1214" s="22" t="e" cm="1">
        <f t="array" ref="AK12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5" spans="1:37" ht="18" customHeight="1">
      <c r="A1215" s="42">
        <v>1053</v>
      </c>
      <c r="B1215" s="42" t="s">
        <v>3357</v>
      </c>
      <c r="C1215" s="53" t="s">
        <v>203</v>
      </c>
      <c r="E1215" s="20"/>
      <c r="F1215" s="25"/>
      <c r="G1215" s="93"/>
      <c r="J1215" s="90" t="str">
        <f>IF(Table26[[#This Row],[customerSKU]]="","",_xlfn.XLOOKUP(Table26[[#This Row],[customerSKU]],customerSKU!G:G,customerSKU!A:A,"",0,1))</f>
        <v/>
      </c>
      <c r="K1215" s="232">
        <v>45729</v>
      </c>
      <c r="L1215" s="49" t="str">
        <f>IF(Table26[[#This Row],[customerSKU]]="","",_xlfn.XLOOKUP(Table26[[#This Row],[customerSKU]],customerSKU!G:G,customerSKU!B:B,"",0,1))</f>
        <v/>
      </c>
      <c r="M1215" s="22"/>
      <c r="N1215" s="15" t="str">
        <f>Table26[[#This Row],[po_number]]&amp;"-"&amp;Table26[[#This Row],[po_line]]</f>
        <v>-1</v>
      </c>
      <c r="O1215" s="15">
        <v>1</v>
      </c>
      <c r="P1215" s="50"/>
      <c r="Q1215" s="22" t="s">
        <v>587</v>
      </c>
      <c r="R1215" s="22" t="s">
        <v>569</v>
      </c>
      <c r="S1215" s="90" t="str">
        <f>IF(Table26[[#This Row],[customerSKU]]="","",_xlfn.XLOOKUP(Table26[[#This Row],[customerSKU]],customerSKU!G:G,customerSKU!N:N,"NOT FOUND",0,1))</f>
        <v>NOT FOUND</v>
      </c>
      <c r="T1215" s="20">
        <v>45457</v>
      </c>
      <c r="U1215" s="94">
        <v>24</v>
      </c>
      <c r="V1215" s="22" t="str">
        <f>IF(ISBLANK(Table26[[#This Row],[customerSKU]]),"",_xlfn.XLOOKUP(Table26[[#This Row],[customerSKU]],Table27[customer_SKU],Table27[case_size],"",0,1))</f>
        <v/>
      </c>
      <c r="W1215" s="117" t="str">
        <f t="shared" si="55"/>
        <v/>
      </c>
      <c r="X1215" s="22" t="str">
        <f t="shared" si="54"/>
        <v/>
      </c>
      <c r="Y1215" s="25" t="str">
        <f>IF(Table26[[#This Row],[customerSKU]]="","",_xlfn.XLOOKUP(Table26[[#This Row],[customerSKU]],Table27[customer_SKU],Table27[product_GTIN],"",0,1))</f>
        <v/>
      </c>
      <c r="Z1215" s="25" t="s">
        <v>3403</v>
      </c>
      <c r="AA1215" s="18" t="str" cm="1">
        <f t="array" ref="AA1215">IF(P1215="", "", _xlfn.XLOOKUP(P1215,#REF!,#REF!,NA,0,-1))</f>
        <v/>
      </c>
      <c r="AB1215" s="22"/>
      <c r="AC1215" s="55" t="s">
        <v>3375</v>
      </c>
      <c r="AD1215" s="55" t="str">
        <f>IF($AC1215="","",_xlfn.XLOOKUP($AC1215,'[2]Client Info'!$C$2:$C$2535,'[2]Client Info'!$D$2:$D$2535,"",0,1))</f>
        <v>102-8860 201 Street</v>
      </c>
      <c r="AE1215" s="55" t="str">
        <f>IF($AC1215="","",_xlfn.XLOOKUP($AC1215,'[2]Client Info'!$C$2:$C$2715,'[2]Client Info'!$E$2:$E$2715,"",))</f>
        <v>Langley</v>
      </c>
      <c r="AF1215" s="55" t="str">
        <f>IF($AC1215="","",_xlfn.XLOOKUP($AC1215,'[2]Client Info'!$C$2:$C$2715,'[2]Client Info'!$F$2:$F$2715,"",0,1))</f>
        <v xml:space="preserve">BC </v>
      </c>
      <c r="AG1215" s="55" t="s">
        <v>3375</v>
      </c>
      <c r="AH1215" s="26" t="str">
        <f>_xlfn.XLOOKUP(Table26[[#This Row],[customerSKU]],customerSKU!G:G,customerSKU!K:K,"NA",0,1)</f>
        <v>NA</v>
      </c>
      <c r="AI1215" s="43" t="str">
        <f>_xlfn.XLOOKUP(Table26[[#This Row],[customerSKU]],customerSKU!G:G,customerSKU!O:O,"not found",0,1)</f>
        <v>not found</v>
      </c>
      <c r="AJ1215" s="22" t="e">
        <f>Table26[[#This Row],[unitprice]]*Table26[[#This Row],[quantity_unit]]</f>
        <v>#VALUE!</v>
      </c>
      <c r="AK1215" s="22" t="e" cm="1">
        <f t="array" ref="AK12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6" spans="1:37" ht="18" customHeight="1">
      <c r="A1216" s="42">
        <v>1054</v>
      </c>
      <c r="B1216" s="42" t="s">
        <v>3357</v>
      </c>
      <c r="C1216" s="53" t="s">
        <v>203</v>
      </c>
      <c r="E1216" s="20"/>
      <c r="F1216" s="25"/>
      <c r="G1216" s="93"/>
      <c r="J1216" s="90" t="str">
        <f>IF(Table26[[#This Row],[customerSKU]]="","",_xlfn.XLOOKUP(Table26[[#This Row],[customerSKU]],customerSKU!G:G,customerSKU!A:A,"",0,1))</f>
        <v/>
      </c>
      <c r="K1216" s="232">
        <v>45729</v>
      </c>
      <c r="L1216" s="49" t="str">
        <f>IF(Table26[[#This Row],[customerSKU]]="","",_xlfn.XLOOKUP(Table26[[#This Row],[customerSKU]],customerSKU!G:G,customerSKU!B:B,"",0,1))</f>
        <v/>
      </c>
      <c r="M1216" s="22"/>
      <c r="N1216" s="15" t="str">
        <f>Table26[[#This Row],[po_number]]&amp;"-"&amp;Table26[[#This Row],[po_line]]</f>
        <v>-2</v>
      </c>
      <c r="O1216" s="15">
        <v>2</v>
      </c>
      <c r="P1216" s="50"/>
      <c r="Q1216" s="22" t="s">
        <v>565</v>
      </c>
      <c r="R1216" s="22" t="s">
        <v>569</v>
      </c>
      <c r="S1216" s="90" t="str">
        <f>IF(Table26[[#This Row],[customerSKU]]="","",_xlfn.XLOOKUP(Table26[[#This Row],[customerSKU]],customerSKU!G:G,customerSKU!N:N,"NOT FOUND",0,1))</f>
        <v>NOT FOUND</v>
      </c>
      <c r="T1216" s="20">
        <v>45707</v>
      </c>
      <c r="U1216" s="94">
        <v>24</v>
      </c>
      <c r="V1216" s="22" t="str">
        <f>IF(ISBLANK(Table26[[#This Row],[customerSKU]]),"",_xlfn.XLOOKUP(Table26[[#This Row],[customerSKU]],Table27[customer_SKU],Table27[case_size],"",0,1))</f>
        <v/>
      </c>
      <c r="W1216" s="117" t="str">
        <f t="shared" si="55"/>
        <v/>
      </c>
      <c r="X1216" s="22" t="str">
        <f t="shared" si="54"/>
        <v/>
      </c>
      <c r="Y1216" s="25" t="str">
        <f>IF(Table26[[#This Row],[customerSKU]]="","",_xlfn.XLOOKUP(Table26[[#This Row],[customerSKU]],Table27[customer_SKU],Table27[product_GTIN],"",0,1))</f>
        <v/>
      </c>
      <c r="Z1216" s="25" t="s">
        <v>3373</v>
      </c>
      <c r="AA1216" s="18" t="str" cm="1">
        <f t="array" ref="AA1216">IF(P1216="", "", _xlfn.XLOOKUP(P1216,#REF!,#REF!,NA,0,-1))</f>
        <v/>
      </c>
      <c r="AB1216" s="22"/>
      <c r="AC1216" s="55" t="s">
        <v>3375</v>
      </c>
      <c r="AD1216" s="55" t="str">
        <f>IF($AC1216="","",_xlfn.XLOOKUP($AC1216,'[2]Client Info'!$C$2:$C$2535,'[2]Client Info'!$D$2:$D$2535,"",0,1))</f>
        <v>102-8860 201 Street</v>
      </c>
      <c r="AE1216" s="55" t="str">
        <f>IF($AC1216="","",_xlfn.XLOOKUP($AC1216,'[2]Client Info'!$C$2:$C$2715,'[2]Client Info'!$E$2:$E$2715,"",))</f>
        <v>Langley</v>
      </c>
      <c r="AF1216" s="55" t="str">
        <f>IF($AC1216="","",_xlfn.XLOOKUP($AC1216,'[2]Client Info'!$C$2:$C$2715,'[2]Client Info'!$F$2:$F$2715,"",0,1))</f>
        <v xml:space="preserve">BC </v>
      </c>
      <c r="AG1216" s="55" t="s">
        <v>3375</v>
      </c>
      <c r="AH1216" s="26" t="str">
        <f>_xlfn.XLOOKUP(Table26[[#This Row],[customerSKU]],customerSKU!G:G,customerSKU!K:K,"NA",0,1)</f>
        <v>NA</v>
      </c>
      <c r="AI1216" s="43" t="str">
        <f>_xlfn.XLOOKUP(Table26[[#This Row],[customerSKU]],customerSKU!G:G,customerSKU!O:O,"not found",0,1)</f>
        <v>not found</v>
      </c>
      <c r="AJ1216" s="22" t="e">
        <f>Table26[[#This Row],[unitprice]]*Table26[[#This Row],[quantity_unit]]</f>
        <v>#VALUE!</v>
      </c>
      <c r="AK1216" s="22" t="e" cm="1">
        <f t="array" ref="AK12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7" spans="1:37" ht="18" customHeight="1">
      <c r="A1217" s="42">
        <v>1055</v>
      </c>
      <c r="B1217" s="42" t="s">
        <v>3357</v>
      </c>
      <c r="C1217" s="53" t="s">
        <v>203</v>
      </c>
      <c r="E1217" s="20"/>
      <c r="F1217" s="25"/>
      <c r="G1217" s="93"/>
      <c r="J1217" s="90" t="str">
        <f>IF(Table26[[#This Row],[customerSKU]]="","",_xlfn.XLOOKUP(Table26[[#This Row],[customerSKU]],customerSKU!G:G,customerSKU!A:A,"",0,1))</f>
        <v/>
      </c>
      <c r="K1217" s="232">
        <v>45729</v>
      </c>
      <c r="L1217" s="49" t="str">
        <f>IF(Table26[[#This Row],[customerSKU]]="","",_xlfn.XLOOKUP(Table26[[#This Row],[customerSKU]],customerSKU!G:G,customerSKU!B:B,"",0,1))</f>
        <v/>
      </c>
      <c r="M1217" s="22"/>
      <c r="N1217" s="15" t="str">
        <f>Table26[[#This Row],[po_number]]&amp;"-"&amp;Table26[[#This Row],[po_line]]</f>
        <v>-3</v>
      </c>
      <c r="O1217" s="15">
        <v>3</v>
      </c>
      <c r="P1217" s="50"/>
      <c r="Q1217" s="22" t="s">
        <v>1829</v>
      </c>
      <c r="R1217" s="22" t="s">
        <v>569</v>
      </c>
      <c r="S1217" s="90" t="str">
        <f>IF(Table26[[#This Row],[customerSKU]]="","",_xlfn.XLOOKUP(Table26[[#This Row],[customerSKU]],customerSKU!G:G,customerSKU!N:N,"NOT FOUND",0,1))</f>
        <v>NOT FOUND</v>
      </c>
      <c r="T1217" s="20">
        <v>45721</v>
      </c>
      <c r="U1217" s="94">
        <v>12</v>
      </c>
      <c r="V1217" s="22" t="str">
        <f>IF(ISBLANK(Table26[[#This Row],[customerSKU]]),"",_xlfn.XLOOKUP(Table26[[#This Row],[customerSKU]],Table27[customer_SKU],Table27[case_size],"",0,1))</f>
        <v/>
      </c>
      <c r="W1217" s="117" t="str">
        <f t="shared" si="55"/>
        <v/>
      </c>
      <c r="X1217" s="22" t="str">
        <f t="shared" si="54"/>
        <v/>
      </c>
      <c r="Y1217" s="25" t="str">
        <f>IF(Table26[[#This Row],[customerSKU]]="","",_xlfn.XLOOKUP(Table26[[#This Row],[customerSKU]],Table27[customer_SKU],Table27[product_GTIN],"",0,1))</f>
        <v/>
      </c>
      <c r="Z1217" s="25" t="s">
        <v>3372</v>
      </c>
      <c r="AA1217" s="18" t="str" cm="1">
        <f t="array" ref="AA1217">IF(P1217="", "", _xlfn.XLOOKUP(P1217,#REF!,#REF!,NA,0,-1))</f>
        <v/>
      </c>
      <c r="AB1217" s="22"/>
      <c r="AC1217" s="55" t="s">
        <v>3375</v>
      </c>
      <c r="AD1217" s="55" t="str">
        <f>IF($AC1217="","",_xlfn.XLOOKUP($AC1217,'[2]Client Info'!$C$2:$C$2535,'[2]Client Info'!$D$2:$D$2535,"",0,1))</f>
        <v>102-8860 201 Street</v>
      </c>
      <c r="AE1217" s="55" t="str">
        <f>IF($AC1217="","",_xlfn.XLOOKUP($AC1217,'[2]Client Info'!$C$2:$C$2715,'[2]Client Info'!$E$2:$E$2715,"",))</f>
        <v>Langley</v>
      </c>
      <c r="AF1217" s="55" t="str">
        <f>IF($AC1217="","",_xlfn.XLOOKUP($AC1217,'[2]Client Info'!$C$2:$C$2715,'[2]Client Info'!$F$2:$F$2715,"",0,1))</f>
        <v xml:space="preserve">BC </v>
      </c>
      <c r="AG1217" s="55" t="s">
        <v>3375</v>
      </c>
      <c r="AH1217" s="26" t="str">
        <f>_xlfn.XLOOKUP(Table26[[#This Row],[customerSKU]],customerSKU!G:G,customerSKU!K:K,"NA",0,1)</f>
        <v>NA</v>
      </c>
      <c r="AI1217" s="43" t="str">
        <f>_xlfn.XLOOKUP(Table26[[#This Row],[customerSKU]],customerSKU!G:G,customerSKU!O:O,"not found",0,1)</f>
        <v>not found</v>
      </c>
      <c r="AJ1217" s="22" t="e">
        <f>Table26[[#This Row],[unitprice]]*Table26[[#This Row],[quantity_unit]]</f>
        <v>#VALUE!</v>
      </c>
      <c r="AK1217" s="22" t="e" cm="1">
        <f t="array" ref="AK12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8" spans="1:37" ht="18" customHeight="1">
      <c r="A1218" s="42">
        <v>1056</v>
      </c>
      <c r="B1218" s="42" t="s">
        <v>3357</v>
      </c>
      <c r="C1218" s="53" t="s">
        <v>203</v>
      </c>
      <c r="E1218" s="20"/>
      <c r="F1218" s="25"/>
      <c r="G1218" s="93"/>
      <c r="J1218" s="90" t="str">
        <f>IF(Table26[[#This Row],[customerSKU]]="","",_xlfn.XLOOKUP(Table26[[#This Row],[customerSKU]],customerSKU!G:G,customerSKU!A:A,"",0,1))</f>
        <v/>
      </c>
      <c r="K1218" s="232">
        <v>45729</v>
      </c>
      <c r="L1218" s="49" t="str">
        <f>IF(Table26[[#This Row],[customerSKU]]="","",_xlfn.XLOOKUP(Table26[[#This Row],[customerSKU]],customerSKU!G:G,customerSKU!B:B,"",0,1))</f>
        <v/>
      </c>
      <c r="M1218" s="22"/>
      <c r="N1218" s="15" t="str">
        <f>Table26[[#This Row],[po_number]]&amp;"-"&amp;Table26[[#This Row],[po_line]]</f>
        <v>-4</v>
      </c>
      <c r="O1218" s="15">
        <v>4</v>
      </c>
      <c r="P1218" s="50"/>
      <c r="Q1218" s="22" t="s">
        <v>1312</v>
      </c>
      <c r="R1218" s="22" t="s">
        <v>569</v>
      </c>
      <c r="S1218" s="90" t="str">
        <f>IF(Table26[[#This Row],[customerSKU]]="","",_xlfn.XLOOKUP(Table26[[#This Row],[customerSKU]],customerSKU!G:G,customerSKU!N:N,"NOT FOUND",0,1))</f>
        <v>NOT FOUND</v>
      </c>
      <c r="T1218" s="20">
        <v>45660</v>
      </c>
      <c r="U1218" s="94">
        <v>24</v>
      </c>
      <c r="V1218" s="22" t="str">
        <f>IF(ISBLANK(Table26[[#This Row],[customerSKU]]),"",_xlfn.XLOOKUP(Table26[[#This Row],[customerSKU]],Table27[customer_SKU],Table27[case_size],"",0,1))</f>
        <v/>
      </c>
      <c r="W1218" s="117" t="str">
        <f t="shared" si="55"/>
        <v/>
      </c>
      <c r="X1218" s="22" t="str">
        <f t="shared" si="54"/>
        <v/>
      </c>
      <c r="Y1218" s="25" t="str">
        <f>IF(Table26[[#This Row],[customerSKU]]="","",_xlfn.XLOOKUP(Table26[[#This Row],[customerSKU]],Table27[customer_SKU],Table27[product_GTIN],"",0,1))</f>
        <v/>
      </c>
      <c r="Z1218" s="25" t="s">
        <v>3387</v>
      </c>
      <c r="AA1218" s="18" t="str" cm="1">
        <f t="array" ref="AA1218">IF(P1218="", "", _xlfn.XLOOKUP(P1218,#REF!,#REF!,NA,0,-1))</f>
        <v/>
      </c>
      <c r="AB1218" s="22"/>
      <c r="AC1218" s="55" t="s">
        <v>3375</v>
      </c>
      <c r="AD1218" s="55" t="str">
        <f>IF($AC1218="","",_xlfn.XLOOKUP($AC1218,'[2]Client Info'!$C$2:$C$2535,'[2]Client Info'!$D$2:$D$2535,"",0,1))</f>
        <v>102-8860 201 Street</v>
      </c>
      <c r="AE1218" s="55" t="str">
        <f>IF($AC1218="","",_xlfn.XLOOKUP($AC1218,'[2]Client Info'!$C$2:$C$2715,'[2]Client Info'!$E$2:$E$2715,"",))</f>
        <v>Langley</v>
      </c>
      <c r="AF1218" s="55" t="str">
        <f>IF($AC1218="","",_xlfn.XLOOKUP($AC1218,'[2]Client Info'!$C$2:$C$2715,'[2]Client Info'!$F$2:$F$2715,"",0,1))</f>
        <v xml:space="preserve">BC </v>
      </c>
      <c r="AG1218" s="55" t="s">
        <v>3375</v>
      </c>
      <c r="AH1218" s="26" t="str">
        <f>_xlfn.XLOOKUP(Table26[[#This Row],[customerSKU]],customerSKU!G:G,customerSKU!K:K,"NA",0,1)</f>
        <v>NA</v>
      </c>
      <c r="AI1218" s="43" t="str">
        <f>_xlfn.XLOOKUP(Table26[[#This Row],[customerSKU]],customerSKU!G:G,customerSKU!O:O,"not found",0,1)</f>
        <v>not found</v>
      </c>
      <c r="AJ1218" s="22" t="e">
        <f>Table26[[#This Row],[unitprice]]*Table26[[#This Row],[quantity_unit]]</f>
        <v>#VALUE!</v>
      </c>
      <c r="AK1218" s="22" t="e" cm="1">
        <f t="array" ref="AK12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19" spans="1:37" ht="18" customHeight="1">
      <c r="A1219" s="42">
        <v>1057</v>
      </c>
      <c r="B1219" s="42" t="s">
        <v>3357</v>
      </c>
      <c r="C1219" s="53" t="s">
        <v>203</v>
      </c>
      <c r="E1219" s="20"/>
      <c r="F1219" s="25"/>
      <c r="G1219" s="93"/>
      <c r="J1219" s="90" t="str">
        <f>IF(Table26[[#This Row],[customerSKU]]="","",_xlfn.XLOOKUP(Table26[[#This Row],[customerSKU]],customerSKU!G:G,customerSKU!A:A,"",0,1))</f>
        <v/>
      </c>
      <c r="K1219" s="232">
        <v>45729</v>
      </c>
      <c r="L1219" s="49" t="str">
        <f>IF(Table26[[#This Row],[customerSKU]]="","",_xlfn.XLOOKUP(Table26[[#This Row],[customerSKU]],customerSKU!G:G,customerSKU!B:B,"",0,1))</f>
        <v/>
      </c>
      <c r="M1219" s="22"/>
      <c r="N1219" s="15" t="str">
        <f>Table26[[#This Row],[po_number]]&amp;"-"&amp;Table26[[#This Row],[po_line]]</f>
        <v>-1</v>
      </c>
      <c r="O1219" s="15">
        <v>1</v>
      </c>
      <c r="P1219" s="50"/>
      <c r="Q1219" s="22" t="s">
        <v>885</v>
      </c>
      <c r="R1219" s="22" t="s">
        <v>569</v>
      </c>
      <c r="S1219" s="90" t="str">
        <f>IF(Table26[[#This Row],[customerSKU]]="","",_xlfn.XLOOKUP(Table26[[#This Row],[customerSKU]],customerSKU!G:G,customerSKU!N:N,"NOT FOUND",0,1))</f>
        <v>NOT FOUND</v>
      </c>
      <c r="T1219" s="20">
        <v>45728</v>
      </c>
      <c r="U1219" s="94">
        <v>36</v>
      </c>
      <c r="V1219" s="22" t="str">
        <f>IF(ISBLANK(Table26[[#This Row],[customerSKU]]),"",_xlfn.XLOOKUP(Table26[[#This Row],[customerSKU]],Table27[customer_SKU],Table27[case_size],"",0,1))</f>
        <v/>
      </c>
      <c r="W1219" s="117" t="str">
        <f t="shared" si="55"/>
        <v/>
      </c>
      <c r="X1219" s="22" t="str">
        <f t="shared" si="54"/>
        <v/>
      </c>
      <c r="Y1219" s="25" t="str">
        <f>IF(Table26[[#This Row],[customerSKU]]="","",_xlfn.XLOOKUP(Table26[[#This Row],[customerSKU]],Table27[customer_SKU],Table27[product_GTIN],"",0,1))</f>
        <v/>
      </c>
      <c r="Z1219" s="25" t="s">
        <v>3849</v>
      </c>
      <c r="AA1219" s="18" t="str" cm="1">
        <f t="array" ref="AA1219">IF(P1219="", "", _xlfn.XLOOKUP(P1219,#REF!,#REF!,NA,0,-1))</f>
        <v/>
      </c>
      <c r="AB1219" s="22" t="s">
        <v>4151</v>
      </c>
      <c r="AC1219" s="55" t="str">
        <f>IF(Table26[[#This Row],[customerSKU]]="","",_xlfn.XLOOKUP(Table26[[#This Row],[customerSKU]],customerSKU!G:G,customerSKU!C:C,"",0,1))</f>
        <v/>
      </c>
      <c r="AD1219" s="55" t="str">
        <f>IF($AC1219="","",_xlfn.XLOOKUP($AC1219,'[2]Client Info'!$C$2:$C$2535,'[2]Client Info'!$D$2:$D$2535,"",0,1))</f>
        <v/>
      </c>
      <c r="AE1219" s="55" t="str">
        <f>IF($AC1219="","",_xlfn.XLOOKUP($AC1219,'[2]Client Info'!$C$2:$C$2715,'[2]Client Info'!$E$2:$E$2715,"",))</f>
        <v/>
      </c>
      <c r="AF1219" s="55" t="str">
        <f>IF($AC1219="","",_xlfn.XLOOKUP($AC1219,'[2]Client Info'!$C$2:$C$2715,'[2]Client Info'!$F$2:$F$2715,"",0,1))</f>
        <v/>
      </c>
      <c r="AG1219" s="55" t="str">
        <f>IF(ISBLANK(Table26[[#This Row],[customerSKU]]),"",_xlfn.XLOOKUP(Table26[[#This Row],[customerSKU]],Table27[customer_SKU],Table27[billto],"",0,1))</f>
        <v/>
      </c>
      <c r="AH1219" s="26" t="str">
        <f>_xlfn.XLOOKUP(Table26[[#This Row],[customerSKU]],customerSKU!G:G,customerSKU!K:K,"NA",0,1)</f>
        <v>NA</v>
      </c>
      <c r="AI1219" s="43" t="str">
        <f>_xlfn.XLOOKUP(Table26[[#This Row],[customerSKU]],customerSKU!G:G,customerSKU!O:O,"not found",0,1)</f>
        <v>not found</v>
      </c>
      <c r="AJ1219" s="22" t="e">
        <f>Table26[[#This Row],[unitprice]]*Table26[[#This Row],[quantity_unit]]</f>
        <v>#VALUE!</v>
      </c>
      <c r="AK1219" s="22" t="e" cm="1">
        <f t="array" ref="AK12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0" spans="1:37" ht="18" customHeight="1">
      <c r="A1220" s="42">
        <v>1058</v>
      </c>
      <c r="B1220" s="42" t="s">
        <v>3357</v>
      </c>
      <c r="C1220" s="53" t="s">
        <v>203</v>
      </c>
      <c r="E1220" s="20"/>
      <c r="F1220" s="25"/>
      <c r="G1220" s="93"/>
      <c r="J1220" s="90" t="str">
        <f>IF(Table26[[#This Row],[customerSKU]]="","",_xlfn.XLOOKUP(Table26[[#This Row],[customerSKU]],customerSKU!G:G,customerSKU!A:A,"",0,1))</f>
        <v/>
      </c>
      <c r="K1220" s="232">
        <v>45729</v>
      </c>
      <c r="L1220" s="49" t="str">
        <f>IF(Table26[[#This Row],[customerSKU]]="","",_xlfn.XLOOKUP(Table26[[#This Row],[customerSKU]],customerSKU!G:G,customerSKU!B:B,"",0,1))</f>
        <v/>
      </c>
      <c r="M1220" s="22"/>
      <c r="N1220" s="15" t="str">
        <f>Table26[[#This Row],[po_number]]&amp;"-"&amp;Table26[[#This Row],[po_line]]</f>
        <v>-2</v>
      </c>
      <c r="O1220" s="15">
        <v>2</v>
      </c>
      <c r="P1220" s="50"/>
      <c r="Q1220" s="22" t="s">
        <v>885</v>
      </c>
      <c r="R1220" s="22" t="s">
        <v>569</v>
      </c>
      <c r="S1220" s="90" t="str">
        <f>IF(Table26[[#This Row],[customerSKU]]="","",_xlfn.XLOOKUP(Table26[[#This Row],[customerSKU]],customerSKU!G:G,customerSKU!N:N,"NOT FOUND",0,1))</f>
        <v>NOT FOUND</v>
      </c>
      <c r="T1220" s="20">
        <v>45728</v>
      </c>
      <c r="U1220" s="94">
        <v>84</v>
      </c>
      <c r="V1220" s="22" t="str">
        <f>IF(ISBLANK(Table26[[#This Row],[customerSKU]]),"",_xlfn.XLOOKUP(Table26[[#This Row],[customerSKU]],Table27[customer_SKU],Table27[case_size],"",0,1))</f>
        <v/>
      </c>
      <c r="W1220" s="117" t="str">
        <f t="shared" si="55"/>
        <v/>
      </c>
      <c r="X1220" s="22" t="str">
        <f t="shared" si="54"/>
        <v/>
      </c>
      <c r="Y1220" s="25" t="str">
        <f>IF(Table26[[#This Row],[customerSKU]]="","",_xlfn.XLOOKUP(Table26[[#This Row],[customerSKU]],Table27[customer_SKU],Table27[product_GTIN],"",0,1))</f>
        <v/>
      </c>
      <c r="Z1220" s="25" t="s">
        <v>3849</v>
      </c>
      <c r="AA1220" s="18" t="str" cm="1">
        <f t="array" ref="AA1220">IF(P1220="", "", _xlfn.XLOOKUP(P1220,#REF!,#REF!,NA,0,-1))</f>
        <v/>
      </c>
      <c r="AB1220" s="22" t="s">
        <v>4152</v>
      </c>
      <c r="AC1220" s="55" t="str">
        <f>IF(Table26[[#This Row],[customerSKU]]="","",_xlfn.XLOOKUP(Table26[[#This Row],[customerSKU]],customerSKU!G:G,customerSKU!C:C,"",0,1))</f>
        <v/>
      </c>
      <c r="AD1220" s="55" t="str">
        <f>IF($AC1220="","",_xlfn.XLOOKUP($AC1220,'[2]Client Info'!$C$2:$C$2535,'[2]Client Info'!$D$2:$D$2535,"",0,1))</f>
        <v/>
      </c>
      <c r="AE1220" s="55" t="str">
        <f>IF($AC1220="","",_xlfn.XLOOKUP($AC1220,'[2]Client Info'!$C$2:$C$2715,'[2]Client Info'!$E$2:$E$2715,"",))</f>
        <v/>
      </c>
      <c r="AF1220" s="55" t="str">
        <f>IF($AC1220="","",_xlfn.XLOOKUP($AC1220,'[2]Client Info'!$C$2:$C$2715,'[2]Client Info'!$F$2:$F$2715,"",0,1))</f>
        <v/>
      </c>
      <c r="AG1220" s="55" t="str">
        <f>IF(ISBLANK(Table26[[#This Row],[customerSKU]]),"",_xlfn.XLOOKUP(Table26[[#This Row],[customerSKU]],Table27[customer_SKU],Table27[billto],"",0,1))</f>
        <v/>
      </c>
      <c r="AH1220" s="26" t="str">
        <f>_xlfn.XLOOKUP(Table26[[#This Row],[customerSKU]],customerSKU!G:G,customerSKU!K:K,"NA",0,1)</f>
        <v>NA</v>
      </c>
      <c r="AI1220" s="43" t="str">
        <f>_xlfn.XLOOKUP(Table26[[#This Row],[customerSKU]],customerSKU!G:G,customerSKU!O:O,"not found",0,1)</f>
        <v>not found</v>
      </c>
      <c r="AJ1220" s="22" t="e">
        <f>Table26[[#This Row],[unitprice]]*Table26[[#This Row],[quantity_unit]]</f>
        <v>#VALUE!</v>
      </c>
      <c r="AK1220" s="22" t="e" cm="1">
        <f t="array" ref="AK12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1" spans="1:37" ht="18" customHeight="1">
      <c r="A1221" s="42">
        <v>1059</v>
      </c>
      <c r="B1221" s="42" t="s">
        <v>3357</v>
      </c>
      <c r="C1221" s="53" t="s">
        <v>203</v>
      </c>
      <c r="E1221" s="20"/>
      <c r="F1221" s="25"/>
      <c r="G1221" s="93"/>
      <c r="J1221" s="90" t="str">
        <f>IF(Table26[[#This Row],[customerSKU]]="","",_xlfn.XLOOKUP(Table26[[#This Row],[customerSKU]],customerSKU!G:G,customerSKU!A:A,"",0,1))</f>
        <v/>
      </c>
      <c r="K1221" s="232">
        <v>45729</v>
      </c>
      <c r="L1221" s="49" t="str">
        <f>IF(Table26[[#This Row],[customerSKU]]="","",_xlfn.XLOOKUP(Table26[[#This Row],[customerSKU]],customerSKU!G:G,customerSKU!B:B,"",0,1))</f>
        <v/>
      </c>
      <c r="M1221" s="22"/>
      <c r="N1221" s="15" t="str">
        <f>Table26[[#This Row],[po_number]]&amp;"-"&amp;Table26[[#This Row],[po_line]]</f>
        <v>-3</v>
      </c>
      <c r="O1221" s="15">
        <v>3</v>
      </c>
      <c r="P1221" s="50"/>
      <c r="Q1221" s="22" t="s">
        <v>3894</v>
      </c>
      <c r="R1221" s="22" t="s">
        <v>569</v>
      </c>
      <c r="S1221" s="90" t="str">
        <f>IF(Table26[[#This Row],[customerSKU]]="","",_xlfn.XLOOKUP(Table26[[#This Row],[customerSKU]],customerSKU!G:G,customerSKU!N:N,"NOT FOUND",0,1))</f>
        <v>NOT FOUND</v>
      </c>
      <c r="T1221" s="20">
        <v>45728</v>
      </c>
      <c r="U1221" s="94">
        <v>36</v>
      </c>
      <c r="V1221" s="22" t="str">
        <f>IF(ISBLANK(Table26[[#This Row],[customerSKU]]),"",_xlfn.XLOOKUP(Table26[[#This Row],[customerSKU]],Table27[customer_SKU],Table27[case_size],"",0,1))</f>
        <v/>
      </c>
      <c r="W1221" s="117" t="str">
        <f t="shared" si="55"/>
        <v/>
      </c>
      <c r="X1221" s="22" t="str">
        <f t="shared" si="54"/>
        <v/>
      </c>
      <c r="Y1221" s="25" t="str">
        <f>IF(Table26[[#This Row],[customerSKU]]="","",_xlfn.XLOOKUP(Table26[[#This Row],[customerSKU]],Table27[customer_SKU],Table27[product_GTIN],"",0,1))</f>
        <v/>
      </c>
      <c r="Z1221" s="25" t="s">
        <v>3849</v>
      </c>
      <c r="AA1221" s="18" t="str" cm="1">
        <f t="array" ref="AA1221">IF(P1221="", "", _xlfn.XLOOKUP(P1221,#REF!,#REF!,NA,0,-1))</f>
        <v/>
      </c>
      <c r="AB1221" s="22" t="s">
        <v>4153</v>
      </c>
      <c r="AC1221" s="55" t="str">
        <f>IF(Table26[[#This Row],[customerSKU]]="","",_xlfn.XLOOKUP(Table26[[#This Row],[customerSKU]],customerSKU!G:G,customerSKU!C:C,"",0,1))</f>
        <v/>
      </c>
      <c r="AD1221" s="55" t="str">
        <f>IF($AC1221="","",_xlfn.XLOOKUP($AC1221,'[2]Client Info'!$C$2:$C$2535,'[2]Client Info'!$D$2:$D$2535,"",0,1))</f>
        <v/>
      </c>
      <c r="AE1221" s="55" t="str">
        <f>IF($AC1221="","",_xlfn.XLOOKUP($AC1221,'[2]Client Info'!$C$2:$C$2715,'[2]Client Info'!$E$2:$E$2715,"",))</f>
        <v/>
      </c>
      <c r="AF1221" s="55" t="str">
        <f>IF($AC1221="","",_xlfn.XLOOKUP($AC1221,'[2]Client Info'!$C$2:$C$2715,'[2]Client Info'!$F$2:$F$2715,"",0,1))</f>
        <v/>
      </c>
      <c r="AG1221" s="55" t="str">
        <f>IF(ISBLANK(Table26[[#This Row],[customerSKU]]),"",_xlfn.XLOOKUP(Table26[[#This Row],[customerSKU]],Table27[customer_SKU],Table27[billto],"",0,1))</f>
        <v/>
      </c>
      <c r="AH1221" s="26" t="str">
        <f>_xlfn.XLOOKUP(Table26[[#This Row],[customerSKU]],customerSKU!G:G,customerSKU!K:K,"NA",0,1)</f>
        <v>NA</v>
      </c>
      <c r="AI1221" s="43" t="str">
        <f>_xlfn.XLOOKUP(Table26[[#This Row],[customerSKU]],customerSKU!G:G,customerSKU!O:O,"not found",0,1)</f>
        <v>not found</v>
      </c>
      <c r="AJ1221" s="22" t="e">
        <f>Table26[[#This Row],[unitprice]]*Table26[[#This Row],[quantity_unit]]</f>
        <v>#VALUE!</v>
      </c>
      <c r="AK1221" s="22" t="e" cm="1">
        <f t="array" ref="AK12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2" spans="1:37" ht="18" customHeight="1">
      <c r="A1222" s="42">
        <v>1060</v>
      </c>
      <c r="B1222" s="42" t="s">
        <v>3357</v>
      </c>
      <c r="C1222" s="53" t="s">
        <v>203</v>
      </c>
      <c r="E1222" s="20"/>
      <c r="F1222" s="25"/>
      <c r="G1222" s="93"/>
      <c r="J1222" s="90" t="str">
        <f>IF(Table26[[#This Row],[customerSKU]]="","",_xlfn.XLOOKUP(Table26[[#This Row],[customerSKU]],customerSKU!G:G,customerSKU!A:A,"",0,1))</f>
        <v/>
      </c>
      <c r="K1222" s="232">
        <v>45729</v>
      </c>
      <c r="L1222" s="49" t="str">
        <f>IF(Table26[[#This Row],[customerSKU]]="","",_xlfn.XLOOKUP(Table26[[#This Row],[customerSKU]],customerSKU!G:G,customerSKU!B:B,"",0,1))</f>
        <v/>
      </c>
      <c r="M1222" s="22"/>
      <c r="N1222" s="15" t="str">
        <f>Table26[[#This Row],[po_number]]&amp;"-"&amp;Table26[[#This Row],[po_line]]</f>
        <v>-4</v>
      </c>
      <c r="O1222" s="15">
        <v>4</v>
      </c>
      <c r="P1222" s="50"/>
      <c r="Q1222" s="24" t="s">
        <v>4154</v>
      </c>
      <c r="R1222" s="22" t="s">
        <v>569</v>
      </c>
      <c r="S1222" s="90" t="str">
        <f>IF(Table26[[#This Row],[customerSKU]]="","",_xlfn.XLOOKUP(Table26[[#This Row],[customerSKU]],customerSKU!G:G,customerSKU!N:N,"NOT FOUND",0,1))</f>
        <v>NOT FOUND</v>
      </c>
      <c r="T1222" s="20">
        <v>45728</v>
      </c>
      <c r="U1222" s="94">
        <f>15*12</f>
        <v>180</v>
      </c>
      <c r="V1222" s="22" t="str">
        <f>IF(ISBLANK(Table26[[#This Row],[customerSKU]]),"",_xlfn.XLOOKUP(Table26[[#This Row],[customerSKU]],Table27[customer_SKU],Table27[case_size],"",0,1))</f>
        <v/>
      </c>
      <c r="W1222" s="117" t="str">
        <f t="shared" si="55"/>
        <v/>
      </c>
      <c r="X1222" s="22" t="str">
        <f t="shared" ref="X1222:X1285" si="56">IFERROR($AA1222*$U1222, "")</f>
        <v/>
      </c>
      <c r="Y1222" s="25" t="str">
        <f>IF(Table26[[#This Row],[customerSKU]]="","",_xlfn.XLOOKUP(Table26[[#This Row],[customerSKU]],Table27[customer_SKU],Table27[product_GTIN],"",0,1))</f>
        <v/>
      </c>
      <c r="Z1222" s="25" t="s">
        <v>3849</v>
      </c>
      <c r="AA1222" s="18" t="str" cm="1">
        <f t="array" ref="AA1222">IF(P1222="", "", _xlfn.XLOOKUP(P1222,#REF!,#REF!,NA,0,-1))</f>
        <v/>
      </c>
      <c r="AB1222" s="22" t="s">
        <v>4151</v>
      </c>
      <c r="AC1222" s="55" t="str">
        <f>IF(Table26[[#This Row],[customerSKU]]="","",_xlfn.XLOOKUP(Table26[[#This Row],[customerSKU]],customerSKU!G:G,customerSKU!C:C,"",0,1))</f>
        <v/>
      </c>
      <c r="AD1222" s="55" t="str">
        <f>IF($AC1222="","",_xlfn.XLOOKUP($AC1222,'[2]Client Info'!$C$2:$C$2535,'[2]Client Info'!$D$2:$D$2535,"",0,1))</f>
        <v/>
      </c>
      <c r="AE1222" s="55" t="str">
        <f>IF($AC1222="","",_xlfn.XLOOKUP($AC1222,'[2]Client Info'!$C$2:$C$2715,'[2]Client Info'!$E$2:$E$2715,"",))</f>
        <v/>
      </c>
      <c r="AF1222" s="55" t="str">
        <f>IF($AC1222="","",_xlfn.XLOOKUP($AC1222,'[2]Client Info'!$C$2:$C$2715,'[2]Client Info'!$F$2:$F$2715,"",0,1))</f>
        <v/>
      </c>
      <c r="AG1222" s="55" t="str">
        <f>IF(ISBLANK(Table26[[#This Row],[customerSKU]]),"",_xlfn.XLOOKUP(Table26[[#This Row],[customerSKU]],Table27[customer_SKU],Table27[billto],"",0,1))</f>
        <v/>
      </c>
      <c r="AH1222" s="26" t="str">
        <f>_xlfn.XLOOKUP(Table26[[#This Row],[customerSKU]],customerSKU!G:G,customerSKU!K:K,"NA",0,1)</f>
        <v>NA</v>
      </c>
      <c r="AI1222" s="43" t="str">
        <f>_xlfn.XLOOKUP(Table26[[#This Row],[customerSKU]],customerSKU!G:G,customerSKU!O:O,"not found",0,1)</f>
        <v>not found</v>
      </c>
      <c r="AJ1222" s="22" t="e">
        <f>Table26[[#This Row],[unitprice]]*Table26[[#This Row],[quantity_unit]]</f>
        <v>#VALUE!</v>
      </c>
      <c r="AK1222" s="22" t="e" cm="1">
        <f t="array" ref="AK12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3" spans="1:37" ht="18" customHeight="1">
      <c r="A1223" s="42">
        <v>1061</v>
      </c>
      <c r="B1223" s="42" t="s">
        <v>3357</v>
      </c>
      <c r="C1223" s="53" t="s">
        <v>203</v>
      </c>
      <c r="E1223" s="20"/>
      <c r="F1223" s="25"/>
      <c r="G1223" s="93"/>
      <c r="J1223" s="90" t="str">
        <f>IF(Table26[[#This Row],[customerSKU]]="","",_xlfn.XLOOKUP(Table26[[#This Row],[customerSKU]],customerSKU!G:G,customerSKU!A:A,"",0,1))</f>
        <v/>
      </c>
      <c r="K1223" s="232">
        <v>45729</v>
      </c>
      <c r="L1223" s="49" t="str">
        <f>IF(Table26[[#This Row],[customerSKU]]="","",_xlfn.XLOOKUP(Table26[[#This Row],[customerSKU]],customerSKU!G:G,customerSKU!B:B,"",0,1))</f>
        <v/>
      </c>
      <c r="M1223" s="22"/>
      <c r="N1223" s="15" t="str">
        <f>Table26[[#This Row],[po_number]]&amp;"-"&amp;Table26[[#This Row],[po_line]]</f>
        <v>-5</v>
      </c>
      <c r="O1223" s="15">
        <v>5</v>
      </c>
      <c r="P1223" s="50"/>
      <c r="Q1223" s="22" t="s">
        <v>3894</v>
      </c>
      <c r="R1223" s="22" t="s">
        <v>569</v>
      </c>
      <c r="S1223" s="90" t="str">
        <f>IF(Table26[[#This Row],[customerSKU]]="","",_xlfn.XLOOKUP(Table26[[#This Row],[customerSKU]],customerSKU!G:G,customerSKU!N:N,"NOT FOUND",0,1))</f>
        <v>NOT FOUND</v>
      </c>
      <c r="T1223" s="20">
        <v>45523</v>
      </c>
      <c r="U1223" s="94">
        <v>12</v>
      </c>
      <c r="V1223" s="22" t="str">
        <f>IF(ISBLANK(Table26[[#This Row],[customerSKU]]),"",_xlfn.XLOOKUP(Table26[[#This Row],[customerSKU]],Table27[customer_SKU],Table27[case_size],"",0,1))</f>
        <v/>
      </c>
      <c r="W1223" s="117" t="str">
        <f t="shared" si="55"/>
        <v/>
      </c>
      <c r="X1223" s="22" t="str">
        <f t="shared" si="56"/>
        <v/>
      </c>
      <c r="Y1223" s="25" t="str">
        <f>IF(Table26[[#This Row],[customerSKU]]="","",_xlfn.XLOOKUP(Table26[[#This Row],[customerSKU]],Table27[customer_SKU],Table27[product_GTIN],"",0,1))</f>
        <v/>
      </c>
      <c r="Z1223" s="25" t="s">
        <v>3849</v>
      </c>
      <c r="AA1223" s="18" t="str" cm="1">
        <f t="array" ref="AA1223">IF(P1223="", "", _xlfn.XLOOKUP(P1223,#REF!,#REF!,NA,0,-1))</f>
        <v/>
      </c>
      <c r="AB1223" s="22"/>
      <c r="AC1223" s="55" t="str">
        <f>IF(Table26[[#This Row],[customerSKU]]="","",_xlfn.XLOOKUP(Table26[[#This Row],[customerSKU]],customerSKU!G:G,customerSKU!C:C,"",0,1))</f>
        <v/>
      </c>
      <c r="AD1223" s="55" t="str">
        <f>IF($AC1223="","",_xlfn.XLOOKUP($AC1223,'[2]Client Info'!$C$2:$C$2535,'[2]Client Info'!$D$2:$D$2535,"",0,1))</f>
        <v/>
      </c>
      <c r="AE1223" s="55" t="str">
        <f>IF($AC1223="","",_xlfn.XLOOKUP($AC1223,'[2]Client Info'!$C$2:$C$2715,'[2]Client Info'!$E$2:$E$2715,"",))</f>
        <v/>
      </c>
      <c r="AF1223" s="55" t="str">
        <f>IF($AC1223="","",_xlfn.XLOOKUP($AC1223,'[2]Client Info'!$C$2:$C$2715,'[2]Client Info'!$F$2:$F$2715,"",0,1))</f>
        <v/>
      </c>
      <c r="AG1223" s="55" t="str">
        <f>IF(ISBLANK(Table26[[#This Row],[customerSKU]]),"",_xlfn.XLOOKUP(Table26[[#This Row],[customerSKU]],Table27[customer_SKU],Table27[billto],"",0,1))</f>
        <v/>
      </c>
      <c r="AH1223" s="26" t="str">
        <f>_xlfn.XLOOKUP(Table26[[#This Row],[customerSKU]],customerSKU!G:G,customerSKU!K:K,"NA",0,1)</f>
        <v>NA</v>
      </c>
      <c r="AI1223" s="43" t="str">
        <f>_xlfn.XLOOKUP(Table26[[#This Row],[customerSKU]],customerSKU!G:G,customerSKU!O:O,"not found",0,1)</f>
        <v>not found</v>
      </c>
      <c r="AJ1223" s="22" t="e">
        <f>Table26[[#This Row],[unitprice]]*Table26[[#This Row],[quantity_unit]]</f>
        <v>#VALUE!</v>
      </c>
      <c r="AK1223" s="22" t="e" cm="1">
        <f t="array" ref="AK12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4" spans="1:37" ht="18" customHeight="1">
      <c r="A1224" s="42">
        <v>1062</v>
      </c>
      <c r="B1224" s="42" t="s">
        <v>3357</v>
      </c>
      <c r="C1224" s="53" t="s">
        <v>3360</v>
      </c>
      <c r="E1224" s="20"/>
      <c r="F1224" s="25"/>
      <c r="G1224" s="93"/>
      <c r="J1224" s="90" t="str">
        <f>IF(Table26[[#This Row],[customerSKU]]="","",_xlfn.XLOOKUP(Table26[[#This Row],[customerSKU]],customerSKU!G:G,customerSKU!A:A,"",0,1))</f>
        <v/>
      </c>
      <c r="K1224" s="232">
        <v>45729</v>
      </c>
      <c r="L1224" s="49" t="str">
        <f>IF(Table26[[#This Row],[customerSKU]]="","",_xlfn.XLOOKUP(Table26[[#This Row],[customerSKU]],customerSKU!G:G,customerSKU!B:B,"",0,1))</f>
        <v/>
      </c>
      <c r="M1224" s="22"/>
      <c r="N1224" s="15" t="str">
        <f>Table26[[#This Row],[po_number]]&amp;"-"&amp;Table26[[#This Row],[po_line]]</f>
        <v>-1</v>
      </c>
      <c r="O1224" s="15">
        <v>1</v>
      </c>
      <c r="P1224" s="50"/>
      <c r="S1224" s="90" t="str">
        <f>IF(Table26[[#This Row],[customerSKU]]="","",_xlfn.XLOOKUP(Table26[[#This Row],[customerSKU]],customerSKU!G:G,customerSKU!N:N,"NOT FOUND",0,1))</f>
        <v>NOT FOUND</v>
      </c>
      <c r="T1224" s="20"/>
      <c r="U1224" s="94">
        <v>24</v>
      </c>
      <c r="V1224" s="22" t="str">
        <f>IF(ISBLANK(Table26[[#This Row],[customerSKU]]),"",_xlfn.XLOOKUP(Table26[[#This Row],[customerSKU]],Table27[customer_SKU],Table27[case_size],"",0,1))</f>
        <v/>
      </c>
      <c r="W1224" s="117" t="str">
        <f t="shared" si="55"/>
        <v/>
      </c>
      <c r="X1224" s="22" t="str">
        <f t="shared" si="56"/>
        <v/>
      </c>
      <c r="Y1224" s="25" t="str">
        <f>IF(Table26[[#This Row],[customerSKU]]="","",_xlfn.XLOOKUP(Table26[[#This Row],[customerSKU]],Table27[customer_SKU],Table27[product_GTIN],"",0,1))</f>
        <v/>
      </c>
      <c r="Z1224" s="25" t="s">
        <v>3452</v>
      </c>
      <c r="AA1224" s="18" t="str" cm="1">
        <f t="array" ref="AA1224">IF(P1224="", "", _xlfn.XLOOKUP(P1224,#REF!,#REF!,NA,0,-1))</f>
        <v/>
      </c>
      <c r="AB1224" s="22"/>
      <c r="AC1224" s="55" t="str">
        <f>IF(Table26[[#This Row],[customerSKU]]="","",_xlfn.XLOOKUP(Table26[[#This Row],[customerSKU]],customerSKU!G:G,customerSKU!C:C,"",0,1))</f>
        <v/>
      </c>
      <c r="AD1224" s="55" t="str">
        <f>IF($AC1224="","",_xlfn.XLOOKUP($AC1224,'[2]Client Info'!$C$2:$C$2535,'[2]Client Info'!$D$2:$D$2535,"",0,1))</f>
        <v/>
      </c>
      <c r="AE1224" s="55" t="str">
        <f>IF($AC1224="","",_xlfn.XLOOKUP($AC1224,'[2]Client Info'!$C$2:$C$2715,'[2]Client Info'!$E$2:$E$2715,"",))</f>
        <v/>
      </c>
      <c r="AF1224" s="55" t="str">
        <f>IF($AC1224="","",_xlfn.XLOOKUP($AC1224,'[2]Client Info'!$C$2:$C$2715,'[2]Client Info'!$F$2:$F$2715,"",0,1))</f>
        <v/>
      </c>
      <c r="AG1224" s="55" t="str">
        <f>IF(ISBLANK(Table26[[#This Row],[customerSKU]]),"",_xlfn.XLOOKUP(Table26[[#This Row],[customerSKU]],Table27[customer_SKU],Table27[billto],"",0,1))</f>
        <v/>
      </c>
      <c r="AH1224" s="26" t="str">
        <f>_xlfn.XLOOKUP(Table26[[#This Row],[customerSKU]],customerSKU!G:G,customerSKU!K:K,"NA",0,1)</f>
        <v>NA</v>
      </c>
      <c r="AI1224" s="43" t="str">
        <f>_xlfn.XLOOKUP(Table26[[#This Row],[customerSKU]],customerSKU!G:G,customerSKU!O:O,"not found",0,1)</f>
        <v>not found</v>
      </c>
      <c r="AJ1224" s="22" t="e">
        <f>Table26[[#This Row],[unitprice]]*Table26[[#This Row],[quantity_unit]]</f>
        <v>#VALUE!</v>
      </c>
      <c r="AK1224" s="22" t="e" cm="1">
        <f t="array" ref="AK12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5" spans="1:37" ht="18" customHeight="1">
      <c r="A1225" s="42">
        <v>1063</v>
      </c>
      <c r="B1225" s="42" t="s">
        <v>3357</v>
      </c>
      <c r="C1225" s="53" t="s">
        <v>3360</v>
      </c>
      <c r="E1225" s="20"/>
      <c r="F1225" s="25"/>
      <c r="G1225" s="93"/>
      <c r="J1225" s="90" t="str">
        <f>IF(Table26[[#This Row],[customerSKU]]="","",_xlfn.XLOOKUP(Table26[[#This Row],[customerSKU]],customerSKU!G:G,customerSKU!A:A,"",0,1))</f>
        <v/>
      </c>
      <c r="K1225" s="232">
        <v>45729</v>
      </c>
      <c r="L1225" s="49" t="str">
        <f>IF(Table26[[#This Row],[customerSKU]]="","",_xlfn.XLOOKUP(Table26[[#This Row],[customerSKU]],customerSKU!G:G,customerSKU!B:B,"",0,1))</f>
        <v/>
      </c>
      <c r="M1225" s="22"/>
      <c r="N1225" s="15" t="str">
        <f>Table26[[#This Row],[po_number]]&amp;"-"&amp;Table26[[#This Row],[po_line]]</f>
        <v>-1</v>
      </c>
      <c r="O1225" s="15">
        <v>1</v>
      </c>
      <c r="P1225" s="50"/>
      <c r="S1225" s="90" t="str">
        <f>IF(Table26[[#This Row],[customerSKU]]="","",_xlfn.XLOOKUP(Table26[[#This Row],[customerSKU]],customerSKU!G:G,customerSKU!N:N,"NOT FOUND",0,1))</f>
        <v>NOT FOUND</v>
      </c>
      <c r="T1225" s="20"/>
      <c r="U1225" s="94">
        <v>12</v>
      </c>
      <c r="V1225" s="22" t="str">
        <f>IF(ISBLANK(Table26[[#This Row],[customerSKU]]),"",_xlfn.XLOOKUP(Table26[[#This Row],[customerSKU]],Table27[customer_SKU],Table27[case_size],"",0,1))</f>
        <v/>
      </c>
      <c r="W1225" s="117" t="str">
        <f t="shared" si="55"/>
        <v/>
      </c>
      <c r="X1225" s="22" t="str">
        <f t="shared" si="56"/>
        <v/>
      </c>
      <c r="Y1225" s="25" t="str">
        <f>IF(Table26[[#This Row],[customerSKU]]="","",_xlfn.XLOOKUP(Table26[[#This Row],[customerSKU]],Table27[customer_SKU],Table27[product_GTIN],"",0,1))</f>
        <v/>
      </c>
      <c r="Z1225" s="25" t="s">
        <v>3381</v>
      </c>
      <c r="AA1225" s="18" t="str" cm="1">
        <f t="array" ref="AA1225">IF(P1225="", "", _xlfn.XLOOKUP(P1225,#REF!,#REF!,NA,0,-1))</f>
        <v/>
      </c>
      <c r="AB1225" s="22"/>
      <c r="AC1225" s="55" t="str">
        <f>IF(Table26[[#This Row],[customerSKU]]="","",_xlfn.XLOOKUP(Table26[[#This Row],[customerSKU]],customerSKU!G:G,customerSKU!C:C,"",0,1))</f>
        <v/>
      </c>
      <c r="AD1225" s="55" t="str">
        <f>IF($AC1225="","",_xlfn.XLOOKUP($AC1225,'[2]Client Info'!$C$2:$C$2535,'[2]Client Info'!$D$2:$D$2535,"",0,1))</f>
        <v/>
      </c>
      <c r="AE1225" s="55" t="str">
        <f>IF($AC1225="","",_xlfn.XLOOKUP($AC1225,'[2]Client Info'!$C$2:$C$2715,'[2]Client Info'!$E$2:$E$2715,"",))</f>
        <v/>
      </c>
      <c r="AF1225" s="55" t="str">
        <f>IF($AC1225="","",_xlfn.XLOOKUP($AC1225,'[2]Client Info'!$C$2:$C$2715,'[2]Client Info'!$F$2:$F$2715,"",0,1))</f>
        <v/>
      </c>
      <c r="AG1225" s="55" t="str">
        <f>IF(ISBLANK(Table26[[#This Row],[customerSKU]]),"",_xlfn.XLOOKUP(Table26[[#This Row],[customerSKU]],Table27[customer_SKU],Table27[billto],"",0,1))</f>
        <v/>
      </c>
      <c r="AH1225" s="26" t="str">
        <f>_xlfn.XLOOKUP(Table26[[#This Row],[customerSKU]],customerSKU!G:G,customerSKU!K:K,"NA",0,1)</f>
        <v>NA</v>
      </c>
      <c r="AI1225" s="43" t="str">
        <f>_xlfn.XLOOKUP(Table26[[#This Row],[customerSKU]],customerSKU!G:G,customerSKU!O:O,"not found",0,1)</f>
        <v>not found</v>
      </c>
      <c r="AJ1225" s="22" t="e">
        <f>Table26[[#This Row],[unitprice]]*Table26[[#This Row],[quantity_unit]]</f>
        <v>#VALUE!</v>
      </c>
      <c r="AK1225" s="22" t="e" cm="1">
        <f t="array" ref="AK12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6" spans="1:37" ht="18" customHeight="1">
      <c r="A1226" s="42">
        <v>1016</v>
      </c>
      <c r="B1226" s="42" t="s">
        <v>3357</v>
      </c>
      <c r="C1226" s="53" t="s">
        <v>203</v>
      </c>
      <c r="E1226" s="20"/>
      <c r="F1226" s="25"/>
      <c r="G1226" s="93"/>
      <c r="J1226" s="90" t="str">
        <f>IF(Table26[[#This Row],[customerSKU]]="","",_xlfn.XLOOKUP(Table26[[#This Row],[customerSKU]],customerSKU!G:G,customerSKU!A:A,"",0,1))</f>
        <v/>
      </c>
      <c r="K1226" s="232">
        <v>45730</v>
      </c>
      <c r="L1226" s="49" t="str">
        <f>IF(Table26[[#This Row],[customerSKU]]="","",_xlfn.XLOOKUP(Table26[[#This Row],[customerSKU]],customerSKU!G:G,customerSKU!B:B,"",0,1))</f>
        <v/>
      </c>
      <c r="M1226" s="22"/>
      <c r="N1226" s="15" t="str">
        <f>Table26[[#This Row],[po_number]]&amp;"-"&amp;Table26[[#This Row],[po_line]]</f>
        <v>-1</v>
      </c>
      <c r="O1226" s="15">
        <v>1</v>
      </c>
      <c r="P1226" s="50"/>
      <c r="Q1226" s="22" t="s">
        <v>565</v>
      </c>
      <c r="R1226" s="22" t="s">
        <v>569</v>
      </c>
      <c r="S1226" s="90" t="str">
        <f>IF(Table26[[#This Row],[customerSKU]]="","",_xlfn.XLOOKUP(Table26[[#This Row],[customerSKU]],customerSKU!G:G,customerSKU!N:N,"NOT FOUND",0,1))</f>
        <v>NOT FOUND</v>
      </c>
      <c r="T1226" s="20">
        <v>45707</v>
      </c>
      <c r="U1226" s="94">
        <v>24</v>
      </c>
      <c r="V1226" s="22" t="str">
        <f>IF(ISBLANK(Table26[[#This Row],[customerSKU]]),"",_xlfn.XLOOKUP(Table26[[#This Row],[customerSKU]],Table27[customer_SKU],Table27[case_size],"",0,1))</f>
        <v/>
      </c>
      <c r="W1226" s="117" t="str">
        <f t="shared" si="55"/>
        <v/>
      </c>
      <c r="X1226" s="22" t="str">
        <f t="shared" si="56"/>
        <v/>
      </c>
      <c r="Y1226" s="25" t="str">
        <f>IF(Table26[[#This Row],[customerSKU]]="","",_xlfn.XLOOKUP(Table26[[#This Row],[customerSKU]],Table27[customer_SKU],Table27[product_GTIN],"",0,1))</f>
        <v/>
      </c>
      <c r="Z1226" s="25" t="s">
        <v>3373</v>
      </c>
      <c r="AA1226" s="18" t="str" cm="1">
        <f t="array" ref="AA1226">IF(P1226="", "", _xlfn.XLOOKUP(P1226,#REF!,#REF!,NA,0,-1))</f>
        <v/>
      </c>
      <c r="AB1226" s="22"/>
      <c r="AC1226" s="55" t="s">
        <v>117</v>
      </c>
      <c r="AD1226" s="55" t="str">
        <f>IF($AC1226="","",_xlfn.XLOOKUP($AC1226,'[2]Client Info'!$C$2:$C$2535,'[2]Client Info'!$D$2:$D$2535,"",0,1))</f>
        <v>1605 Renfrew St</v>
      </c>
      <c r="AE1226" s="55" t="str">
        <f>IF($AC1226="","",_xlfn.XLOOKUP($AC1226,'[2]Client Info'!$C$2:$C$2715,'[2]Client Info'!$E$2:$E$2715,"",))</f>
        <v>Vancouver</v>
      </c>
      <c r="AF1226" s="55" t="str">
        <f>IF($AC1226="","",_xlfn.XLOOKUP($AC1226,'[2]Client Info'!$C$2:$C$2715,'[2]Client Info'!$F$2:$F$2715,"",0,1))</f>
        <v xml:space="preserve">BC </v>
      </c>
      <c r="AG1226" s="55" t="s">
        <v>117</v>
      </c>
      <c r="AH1226" s="26" t="str">
        <f>_xlfn.XLOOKUP(Table26[[#This Row],[customerSKU]],customerSKU!G:G,customerSKU!K:K,"NA",0,1)</f>
        <v>NA</v>
      </c>
      <c r="AI1226" s="43" t="str">
        <f>_xlfn.XLOOKUP(Table26[[#This Row],[customerSKU]],customerSKU!G:G,customerSKU!O:O,"not found",0,1)</f>
        <v>not found</v>
      </c>
      <c r="AJ1226" s="22" t="e">
        <f>Table26[[#This Row],[unitprice]]*Table26[[#This Row],[quantity_unit]]</f>
        <v>#VALUE!</v>
      </c>
      <c r="AK1226" s="22" t="e" cm="1">
        <f t="array" ref="AK12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7" spans="1:37" ht="18" customHeight="1">
      <c r="A1227" s="42">
        <v>1017</v>
      </c>
      <c r="B1227" s="42" t="s">
        <v>3357</v>
      </c>
      <c r="C1227" s="53" t="s">
        <v>203</v>
      </c>
      <c r="E1227" s="20"/>
      <c r="F1227" s="25"/>
      <c r="G1227" s="93"/>
      <c r="J1227" s="90" t="str">
        <f>IF(Table26[[#This Row],[customerSKU]]="","",_xlfn.XLOOKUP(Table26[[#This Row],[customerSKU]],customerSKU!G:G,customerSKU!A:A,"",0,1))</f>
        <v/>
      </c>
      <c r="K1227" s="232">
        <v>45730</v>
      </c>
      <c r="L1227" s="49" t="str">
        <f>IF(Table26[[#This Row],[customerSKU]]="","",_xlfn.XLOOKUP(Table26[[#This Row],[customerSKU]],customerSKU!G:G,customerSKU!B:B,"",0,1))</f>
        <v/>
      </c>
      <c r="M1227" s="22"/>
      <c r="N1227" s="15" t="str">
        <f>Table26[[#This Row],[po_number]]&amp;"-"&amp;Table26[[#This Row],[po_line]]</f>
        <v>-2</v>
      </c>
      <c r="O1227" s="15">
        <v>2</v>
      </c>
      <c r="P1227" s="50"/>
      <c r="Q1227" s="22" t="s">
        <v>1829</v>
      </c>
      <c r="R1227" s="22" t="s">
        <v>569</v>
      </c>
      <c r="S1227" s="90" t="str">
        <f>IF(Table26[[#This Row],[customerSKU]]="","",_xlfn.XLOOKUP(Table26[[#This Row],[customerSKU]],customerSKU!G:G,customerSKU!N:N,"NOT FOUND",0,1))</f>
        <v>NOT FOUND</v>
      </c>
      <c r="T1227" s="20">
        <v>45721</v>
      </c>
      <c r="U1227" s="94">
        <v>24</v>
      </c>
      <c r="V1227" s="22" t="str">
        <f>IF(ISBLANK(Table26[[#This Row],[customerSKU]]),"",_xlfn.XLOOKUP(Table26[[#This Row],[customerSKU]],Table27[customer_SKU],Table27[case_size],"",0,1))</f>
        <v/>
      </c>
      <c r="W1227" s="117" t="str">
        <f t="shared" si="55"/>
        <v/>
      </c>
      <c r="X1227" s="22" t="str">
        <f t="shared" si="56"/>
        <v/>
      </c>
      <c r="Y1227" s="25" t="str">
        <f>IF(Table26[[#This Row],[customerSKU]]="","",_xlfn.XLOOKUP(Table26[[#This Row],[customerSKU]],Table27[customer_SKU],Table27[product_GTIN],"",0,1))</f>
        <v/>
      </c>
      <c r="Z1227" s="25" t="s">
        <v>3372</v>
      </c>
      <c r="AA1227" s="18" t="str" cm="1">
        <f t="array" ref="AA1227">IF(P1227="", "", _xlfn.XLOOKUP(P1227,#REF!,#REF!,NA,0,-1))</f>
        <v/>
      </c>
      <c r="AB1227" s="22"/>
      <c r="AC1227" s="55" t="s">
        <v>117</v>
      </c>
      <c r="AD1227" s="55" t="str">
        <f>IF($AC1227="","",_xlfn.XLOOKUP($AC1227,'[2]Client Info'!$C$2:$C$2535,'[2]Client Info'!$D$2:$D$2535,"",0,1))</f>
        <v>1605 Renfrew St</v>
      </c>
      <c r="AE1227" s="55" t="str">
        <f>IF($AC1227="","",_xlfn.XLOOKUP($AC1227,'[2]Client Info'!$C$2:$C$2715,'[2]Client Info'!$E$2:$E$2715,"",))</f>
        <v>Vancouver</v>
      </c>
      <c r="AF1227" s="55" t="str">
        <f>IF($AC1227="","",_xlfn.XLOOKUP($AC1227,'[2]Client Info'!$C$2:$C$2715,'[2]Client Info'!$F$2:$F$2715,"",0,1))</f>
        <v xml:space="preserve">BC </v>
      </c>
      <c r="AG1227" s="55" t="s">
        <v>117</v>
      </c>
      <c r="AH1227" s="26" t="str">
        <f>_xlfn.XLOOKUP(Table26[[#This Row],[customerSKU]],customerSKU!G:G,customerSKU!K:K,"NA",0,1)</f>
        <v>NA</v>
      </c>
      <c r="AI1227" s="43" t="str">
        <f>_xlfn.XLOOKUP(Table26[[#This Row],[customerSKU]],customerSKU!G:G,customerSKU!O:O,"not found",0,1)</f>
        <v>not found</v>
      </c>
      <c r="AJ1227" s="22" t="e">
        <f>Table26[[#This Row],[unitprice]]*Table26[[#This Row],[quantity_unit]]</f>
        <v>#VALUE!</v>
      </c>
      <c r="AK1227" s="22" t="e" cm="1">
        <f t="array" ref="AK12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8" spans="1:37" ht="18" customHeight="1">
      <c r="A1228" s="42">
        <v>1018</v>
      </c>
      <c r="B1228" s="42" t="s">
        <v>3357</v>
      </c>
      <c r="C1228" s="53" t="s">
        <v>203</v>
      </c>
      <c r="E1228" s="20"/>
      <c r="F1228" s="25"/>
      <c r="G1228" s="93"/>
      <c r="J1228" s="90" t="str">
        <f>IF(Table26[[#This Row],[customerSKU]]="","",_xlfn.XLOOKUP(Table26[[#This Row],[customerSKU]],customerSKU!G:G,customerSKU!A:A,"",0,1))</f>
        <v/>
      </c>
      <c r="K1228" s="232">
        <v>45730</v>
      </c>
      <c r="L1228" s="49" t="str">
        <f>IF(Table26[[#This Row],[customerSKU]]="","",_xlfn.XLOOKUP(Table26[[#This Row],[customerSKU]],customerSKU!G:G,customerSKU!B:B,"",0,1))</f>
        <v/>
      </c>
      <c r="M1228" s="22"/>
      <c r="N1228" s="15" t="str">
        <f>Table26[[#This Row],[po_number]]&amp;"-"&amp;Table26[[#This Row],[po_line]]</f>
        <v>-3</v>
      </c>
      <c r="O1228" s="15">
        <v>3</v>
      </c>
      <c r="P1228" s="50"/>
      <c r="Q1228" s="22" t="s">
        <v>3405</v>
      </c>
      <c r="R1228" s="22" t="s">
        <v>569</v>
      </c>
      <c r="S1228" s="90" t="str">
        <f>IF(Table26[[#This Row],[customerSKU]]="","",_xlfn.XLOOKUP(Table26[[#This Row],[customerSKU]],customerSKU!G:G,customerSKU!N:N,"NOT FOUND",0,1))</f>
        <v>NOT FOUND</v>
      </c>
      <c r="T1228" s="20">
        <v>45623</v>
      </c>
      <c r="U1228" s="94">
        <v>12</v>
      </c>
      <c r="V1228" s="22" t="str">
        <f>IF(ISBLANK(Table26[[#This Row],[customerSKU]]),"",_xlfn.XLOOKUP(Table26[[#This Row],[customerSKU]],Table27[customer_SKU],Table27[case_size],"",0,1))</f>
        <v/>
      </c>
      <c r="W1228" s="117" t="str">
        <f t="shared" si="55"/>
        <v/>
      </c>
      <c r="X1228" s="22" t="str">
        <f t="shared" si="56"/>
        <v/>
      </c>
      <c r="Y1228" s="25" t="str">
        <f>IF(Table26[[#This Row],[customerSKU]]="","",_xlfn.XLOOKUP(Table26[[#This Row],[customerSKU]],Table27[customer_SKU],Table27[product_GTIN],"",0,1))</f>
        <v/>
      </c>
      <c r="Z1228" s="25" t="s">
        <v>3406</v>
      </c>
      <c r="AA1228" s="18" t="str" cm="1">
        <f t="array" ref="AA1228">IF(P1228="", "", _xlfn.XLOOKUP(P1228,#REF!,#REF!,NA,0,-1))</f>
        <v/>
      </c>
      <c r="AB1228" s="22"/>
      <c r="AC1228" s="55" t="s">
        <v>117</v>
      </c>
      <c r="AD1228" s="55" t="str">
        <f>IF($AC1228="","",_xlfn.XLOOKUP($AC1228,'[2]Client Info'!$C$2:$C$2535,'[2]Client Info'!$D$2:$D$2535,"",0,1))</f>
        <v>1605 Renfrew St</v>
      </c>
      <c r="AE1228" s="55" t="str">
        <f>IF($AC1228="","",_xlfn.XLOOKUP($AC1228,'[2]Client Info'!$C$2:$C$2715,'[2]Client Info'!$E$2:$E$2715,"",))</f>
        <v>Vancouver</v>
      </c>
      <c r="AF1228" s="55" t="str">
        <f>IF($AC1228="","",_xlfn.XLOOKUP($AC1228,'[2]Client Info'!$C$2:$C$2715,'[2]Client Info'!$F$2:$F$2715,"",0,1))</f>
        <v xml:space="preserve">BC </v>
      </c>
      <c r="AG1228" s="55" t="s">
        <v>117</v>
      </c>
      <c r="AH1228" s="26" t="str">
        <f>_xlfn.XLOOKUP(Table26[[#This Row],[customerSKU]],customerSKU!G:G,customerSKU!K:K,"NA",0,1)</f>
        <v>NA</v>
      </c>
      <c r="AI1228" s="43" t="str">
        <f>_xlfn.XLOOKUP(Table26[[#This Row],[customerSKU]],customerSKU!G:G,customerSKU!O:O,"not found",0,1)</f>
        <v>not found</v>
      </c>
      <c r="AJ1228" s="22" t="e">
        <f>Table26[[#This Row],[unitprice]]*Table26[[#This Row],[quantity_unit]]</f>
        <v>#VALUE!</v>
      </c>
      <c r="AK1228" s="22" t="e" cm="1">
        <f t="array" ref="AK12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29" spans="1:37" ht="18" customHeight="1">
      <c r="A1229" s="42">
        <v>1019</v>
      </c>
      <c r="B1229" s="42" t="s">
        <v>3357</v>
      </c>
      <c r="C1229" s="53" t="s">
        <v>203</v>
      </c>
      <c r="E1229" s="20"/>
      <c r="F1229" s="25"/>
      <c r="G1229" s="93"/>
      <c r="J1229" s="90" t="str">
        <f>IF(Table26[[#This Row],[customerSKU]]="","",_xlfn.XLOOKUP(Table26[[#This Row],[customerSKU]],customerSKU!G:G,customerSKU!A:A,"",0,1))</f>
        <v/>
      </c>
      <c r="K1229" s="232">
        <v>45730</v>
      </c>
      <c r="L1229" s="49" t="str">
        <f>IF(Table26[[#This Row],[customerSKU]]="","",_xlfn.XLOOKUP(Table26[[#This Row],[customerSKU]],customerSKU!G:G,customerSKU!B:B,"",0,1))</f>
        <v/>
      </c>
      <c r="M1229" s="22"/>
      <c r="N1229" s="15" t="str">
        <f>Table26[[#This Row],[po_number]]&amp;"-"&amp;Table26[[#This Row],[po_line]]</f>
        <v>-4</v>
      </c>
      <c r="O1229" s="15">
        <v>4</v>
      </c>
      <c r="P1229" s="50"/>
      <c r="Q1229" s="22" t="s">
        <v>1309</v>
      </c>
      <c r="R1229" s="22" t="s">
        <v>569</v>
      </c>
      <c r="S1229" s="90" t="str">
        <f>IF(Table26[[#This Row],[customerSKU]]="","",_xlfn.XLOOKUP(Table26[[#This Row],[customerSKU]],customerSKU!G:G,customerSKU!N:N,"NOT FOUND",0,1))</f>
        <v>NOT FOUND</v>
      </c>
      <c r="T1229" s="20">
        <v>45697</v>
      </c>
      <c r="U1229" s="94">
        <v>12</v>
      </c>
      <c r="V1229" s="22" t="str">
        <f>IF(ISBLANK(Table26[[#This Row],[customerSKU]]),"",_xlfn.XLOOKUP(Table26[[#This Row],[customerSKU]],Table27[customer_SKU],Table27[case_size],"",0,1))</f>
        <v/>
      </c>
      <c r="W1229" s="117" t="str">
        <f t="shared" si="55"/>
        <v/>
      </c>
      <c r="X1229" s="22" t="str">
        <f t="shared" si="56"/>
        <v/>
      </c>
      <c r="Y1229" s="25" t="str">
        <f>IF(Table26[[#This Row],[customerSKU]]="","",_xlfn.XLOOKUP(Table26[[#This Row],[customerSKU]],Table27[customer_SKU],Table27[product_GTIN],"",0,1))</f>
        <v/>
      </c>
      <c r="Z1229" s="25" t="s">
        <v>3447</v>
      </c>
      <c r="AA1229" s="18" t="str" cm="1">
        <f t="array" ref="AA1229">IF(P1229="", "", _xlfn.XLOOKUP(P1229,#REF!,#REF!,NA,0,-1))</f>
        <v/>
      </c>
      <c r="AB1229" s="22"/>
      <c r="AC1229" s="55" t="s">
        <v>117</v>
      </c>
      <c r="AD1229" s="55" t="str">
        <f>IF($AC1229="","",_xlfn.XLOOKUP($AC1229,'[2]Client Info'!$C$2:$C$2535,'[2]Client Info'!$D$2:$D$2535,"",0,1))</f>
        <v>1605 Renfrew St</v>
      </c>
      <c r="AE1229" s="55" t="str">
        <f>IF($AC1229="","",_xlfn.XLOOKUP($AC1229,'[2]Client Info'!$C$2:$C$2715,'[2]Client Info'!$E$2:$E$2715,"",))</f>
        <v>Vancouver</v>
      </c>
      <c r="AF1229" s="55" t="str">
        <f>IF($AC1229="","",_xlfn.XLOOKUP($AC1229,'[2]Client Info'!$C$2:$C$2715,'[2]Client Info'!$F$2:$F$2715,"",0,1))</f>
        <v xml:space="preserve">BC </v>
      </c>
      <c r="AG1229" s="55" t="s">
        <v>117</v>
      </c>
      <c r="AH1229" s="26" t="str">
        <f>_xlfn.XLOOKUP(Table26[[#This Row],[customerSKU]],customerSKU!G:G,customerSKU!K:K,"NA",0,1)</f>
        <v>NA</v>
      </c>
      <c r="AI1229" s="43" t="str">
        <f>_xlfn.XLOOKUP(Table26[[#This Row],[customerSKU]],customerSKU!G:G,customerSKU!O:O,"not found",0,1)</f>
        <v>not found</v>
      </c>
      <c r="AJ1229" s="22" t="e">
        <f>Table26[[#This Row],[unitprice]]*Table26[[#This Row],[quantity_unit]]</f>
        <v>#VALUE!</v>
      </c>
      <c r="AK1229" s="22" t="e" cm="1">
        <f t="array" ref="AK12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0" spans="1:37" ht="18" customHeight="1">
      <c r="A1230" s="42">
        <v>1020</v>
      </c>
      <c r="B1230" s="42" t="s">
        <v>3357</v>
      </c>
      <c r="C1230" s="53" t="s">
        <v>203</v>
      </c>
      <c r="E1230" s="20"/>
      <c r="F1230" s="25"/>
      <c r="G1230" s="93"/>
      <c r="J1230" s="90" t="str">
        <f>IF(Table26[[#This Row],[customerSKU]]="","",_xlfn.XLOOKUP(Table26[[#This Row],[customerSKU]],customerSKU!G:G,customerSKU!A:A,"",0,1))</f>
        <v/>
      </c>
      <c r="K1230" s="232">
        <v>45730</v>
      </c>
      <c r="L1230" s="49" t="str">
        <f>IF(Table26[[#This Row],[customerSKU]]="","",_xlfn.XLOOKUP(Table26[[#This Row],[customerSKU]],customerSKU!G:G,customerSKU!B:B,"",0,1))</f>
        <v/>
      </c>
      <c r="M1230" s="22"/>
      <c r="N1230" s="15" t="str">
        <f>Table26[[#This Row],[po_number]]&amp;"-"&amp;Table26[[#This Row],[po_line]]</f>
        <v>-1</v>
      </c>
      <c r="O1230" s="15">
        <v>1</v>
      </c>
      <c r="P1230" s="50"/>
      <c r="Q1230" s="22" t="s">
        <v>659</v>
      </c>
      <c r="R1230" s="22" t="s">
        <v>221</v>
      </c>
      <c r="S1230" s="90" t="str">
        <f>IF(Table26[[#This Row],[customerSKU]]="","",_xlfn.XLOOKUP(Table26[[#This Row],[customerSKU]],customerSKU!G:G,customerSKU!N:N,"NOT FOUND",0,1))</f>
        <v>NOT FOUND</v>
      </c>
      <c r="T1230" s="20">
        <v>45638</v>
      </c>
      <c r="U1230" s="94">
        <v>12</v>
      </c>
      <c r="V1230" s="22" t="str">
        <f>IF(ISBLANK(Table26[[#This Row],[customerSKU]]),"",_xlfn.XLOOKUP(Table26[[#This Row],[customerSKU]],Table27[customer_SKU],Table27[case_size],"",0,1))</f>
        <v/>
      </c>
      <c r="W1230" s="117" t="str">
        <f t="shared" si="55"/>
        <v/>
      </c>
      <c r="X1230" s="22" t="str">
        <f t="shared" si="56"/>
        <v/>
      </c>
      <c r="Y1230" s="25" t="str">
        <f>IF(Table26[[#This Row],[customerSKU]]="","",_xlfn.XLOOKUP(Table26[[#This Row],[customerSKU]],Table27[customer_SKU],Table27[product_GTIN],"",0,1))</f>
        <v/>
      </c>
      <c r="Z1230" s="25" t="s">
        <v>3391</v>
      </c>
      <c r="AA1230" s="18" t="str" cm="1">
        <f t="array" ref="AA1230">IF(P1230="", "", _xlfn.XLOOKUP(P1230,#REF!,#REF!,NA,0,-1))</f>
        <v/>
      </c>
      <c r="AB1230" s="22"/>
      <c r="AC1230" s="55" t="s">
        <v>166</v>
      </c>
      <c r="AD1230" s="55" t="str">
        <f>IF($AC1230="","",_xlfn.XLOOKUP($AC1230,'[2]Client Info'!$C$2:$C$2535,'[2]Client Info'!$D$2:$D$2535,"",0,1))</f>
        <v>4621 Lakelse Avenue</v>
      </c>
      <c r="AE1230" s="55" t="str">
        <f>IF($AC1230="","",_xlfn.XLOOKUP($AC1230,'[2]Client Info'!$C$2:$C$2715,'[2]Client Info'!$E$2:$E$2715,"",))</f>
        <v>TERRACE</v>
      </c>
      <c r="AF1230" s="55" t="str">
        <f>IF($AC1230="","",_xlfn.XLOOKUP($AC1230,'[2]Client Info'!$C$2:$C$2715,'[2]Client Info'!$F$2:$F$2715,"",0,1))</f>
        <v>BC</v>
      </c>
      <c r="AG1230" s="55" t="s">
        <v>166</v>
      </c>
      <c r="AH1230" s="26" t="str">
        <f>_xlfn.XLOOKUP(Table26[[#This Row],[customerSKU]],customerSKU!G:G,customerSKU!K:K,"NA",0,1)</f>
        <v>NA</v>
      </c>
      <c r="AI1230" s="43" t="str">
        <f>_xlfn.XLOOKUP(Table26[[#This Row],[customerSKU]],customerSKU!G:G,customerSKU!O:O,"not found",0,1)</f>
        <v>not found</v>
      </c>
      <c r="AJ1230" s="22" t="e">
        <f>Table26[[#This Row],[unitprice]]*Table26[[#This Row],[quantity_unit]]</f>
        <v>#VALUE!</v>
      </c>
      <c r="AK1230" s="22" t="e" cm="1">
        <f t="array" ref="AK12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1" spans="1:37" ht="18" customHeight="1">
      <c r="A1231" s="42">
        <v>1021</v>
      </c>
      <c r="B1231" s="42" t="s">
        <v>3357</v>
      </c>
      <c r="C1231" s="53" t="s">
        <v>203</v>
      </c>
      <c r="E1231" s="20"/>
      <c r="F1231" s="25"/>
      <c r="G1231" s="93"/>
      <c r="J1231" s="90" t="str">
        <f>IF(Table26[[#This Row],[customerSKU]]="","",_xlfn.XLOOKUP(Table26[[#This Row],[customerSKU]],customerSKU!G:G,customerSKU!A:A,"",0,1))</f>
        <v/>
      </c>
      <c r="K1231" s="232">
        <v>45730</v>
      </c>
      <c r="L1231" s="49" t="str">
        <f>IF(Table26[[#This Row],[customerSKU]]="","",_xlfn.XLOOKUP(Table26[[#This Row],[customerSKU]],customerSKU!G:G,customerSKU!B:B,"",0,1))</f>
        <v/>
      </c>
      <c r="M1231" s="22"/>
      <c r="N1231" s="15" t="str">
        <f>Table26[[#This Row],[po_number]]&amp;"-"&amp;Table26[[#This Row],[po_line]]</f>
        <v>-2</v>
      </c>
      <c r="O1231" s="15">
        <v>2</v>
      </c>
      <c r="P1231" s="50"/>
      <c r="Q1231" s="22" t="s">
        <v>828</v>
      </c>
      <c r="R1231" s="22" t="s">
        <v>221</v>
      </c>
      <c r="S1231" s="90" t="str">
        <f>IF(Table26[[#This Row],[customerSKU]]="","",_xlfn.XLOOKUP(Table26[[#This Row],[customerSKU]],customerSKU!G:G,customerSKU!N:N,"NOT FOUND",0,1))</f>
        <v>NOT FOUND</v>
      </c>
      <c r="T1231" s="20">
        <v>45685</v>
      </c>
      <c r="U1231" s="94">
        <v>12</v>
      </c>
      <c r="V1231" s="22" t="str">
        <f>IF(ISBLANK(Table26[[#This Row],[customerSKU]]),"",_xlfn.XLOOKUP(Table26[[#This Row],[customerSKU]],Table27[customer_SKU],Table27[case_size],"",0,1))</f>
        <v/>
      </c>
      <c r="W1231" s="117" t="str">
        <f t="shared" si="55"/>
        <v/>
      </c>
      <c r="X1231" s="22" t="str">
        <f t="shared" si="56"/>
        <v/>
      </c>
      <c r="Y1231" s="25" t="str">
        <f>IF(Table26[[#This Row],[customerSKU]]="","",_xlfn.XLOOKUP(Table26[[#This Row],[customerSKU]],Table27[customer_SKU],Table27[product_GTIN],"",0,1))</f>
        <v/>
      </c>
      <c r="Z1231" s="25" t="s">
        <v>3416</v>
      </c>
      <c r="AA1231" s="18" t="str" cm="1">
        <f t="array" ref="AA1231">IF(P1231="", "", _xlfn.XLOOKUP(P1231,#REF!,#REF!,NA,0,-1))</f>
        <v/>
      </c>
      <c r="AB1231" s="22"/>
      <c r="AC1231" s="55" t="s">
        <v>166</v>
      </c>
      <c r="AD1231" s="55" t="str">
        <f>IF($AC1231="","",_xlfn.XLOOKUP($AC1231,'[2]Client Info'!$C$2:$C$2535,'[2]Client Info'!$D$2:$D$2535,"",0,1))</f>
        <v>4621 Lakelse Avenue</v>
      </c>
      <c r="AE1231" s="55" t="str">
        <f>IF($AC1231="","",_xlfn.XLOOKUP($AC1231,'[2]Client Info'!$C$2:$C$2715,'[2]Client Info'!$E$2:$E$2715,"",))</f>
        <v>TERRACE</v>
      </c>
      <c r="AF1231" s="55" t="str">
        <f>IF($AC1231="","",_xlfn.XLOOKUP($AC1231,'[2]Client Info'!$C$2:$C$2715,'[2]Client Info'!$F$2:$F$2715,"",0,1))</f>
        <v>BC</v>
      </c>
      <c r="AG1231" s="55" t="s">
        <v>166</v>
      </c>
      <c r="AH1231" s="26" t="str">
        <f>_xlfn.XLOOKUP(Table26[[#This Row],[customerSKU]],customerSKU!G:G,customerSKU!K:K,"NA",0,1)</f>
        <v>NA</v>
      </c>
      <c r="AI1231" s="43" t="str">
        <f>_xlfn.XLOOKUP(Table26[[#This Row],[customerSKU]],customerSKU!G:G,customerSKU!O:O,"not found",0,1)</f>
        <v>not found</v>
      </c>
      <c r="AJ1231" s="22" t="e">
        <f>Table26[[#This Row],[unitprice]]*Table26[[#This Row],[quantity_unit]]</f>
        <v>#VALUE!</v>
      </c>
      <c r="AK1231" s="22" t="e" cm="1">
        <f t="array" ref="AK12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2" spans="1:37" ht="24.6" customHeight="1">
      <c r="A1232" s="42">
        <v>1022</v>
      </c>
      <c r="B1232" s="42" t="s">
        <v>3357</v>
      </c>
      <c r="C1232" s="53" t="s">
        <v>203</v>
      </c>
      <c r="E1232" s="20"/>
      <c r="F1232" s="25"/>
      <c r="G1232" s="93"/>
      <c r="J1232" s="90" t="str">
        <f>IF(Table26[[#This Row],[customerSKU]]="","",_xlfn.XLOOKUP(Table26[[#This Row],[customerSKU]],customerSKU!G:G,customerSKU!A:A,"",0,1))</f>
        <v/>
      </c>
      <c r="K1232" s="232">
        <v>45730</v>
      </c>
      <c r="L1232" s="49" t="str">
        <f>IF(Table26[[#This Row],[customerSKU]]="","",_xlfn.XLOOKUP(Table26[[#This Row],[customerSKU]],customerSKU!G:G,customerSKU!B:B,"",0,1))</f>
        <v/>
      </c>
      <c r="M1232" s="22"/>
      <c r="N1232" s="15" t="str">
        <f>Table26[[#This Row],[po_number]]&amp;"-"&amp;Table26[[#This Row],[po_line]]</f>
        <v>-3</v>
      </c>
      <c r="O1232" s="15">
        <v>3</v>
      </c>
      <c r="P1232" s="50"/>
      <c r="Q1232" s="22" t="s">
        <v>828</v>
      </c>
      <c r="R1232" s="22" t="s">
        <v>221</v>
      </c>
      <c r="S1232" s="90" t="str">
        <f>IF(Table26[[#This Row],[customerSKU]]="","",_xlfn.XLOOKUP(Table26[[#This Row],[customerSKU]],customerSKU!G:G,customerSKU!N:N,"NOT FOUND",0,1))</f>
        <v>NOT FOUND</v>
      </c>
      <c r="T1232" s="20">
        <v>45685</v>
      </c>
      <c r="U1232" s="94">
        <v>12</v>
      </c>
      <c r="V1232" s="22" t="str">
        <f>IF(ISBLANK(Table26[[#This Row],[customerSKU]]),"",_xlfn.XLOOKUP(Table26[[#This Row],[customerSKU]],Table27[customer_SKU],Table27[case_size],"",0,1))</f>
        <v/>
      </c>
      <c r="W1232" s="117" t="str">
        <f t="shared" si="55"/>
        <v/>
      </c>
      <c r="X1232" s="22" t="str">
        <f t="shared" si="56"/>
        <v/>
      </c>
      <c r="Y1232" s="25" t="str">
        <f>IF(Table26[[#This Row],[customerSKU]]="","",_xlfn.XLOOKUP(Table26[[#This Row],[customerSKU]],Table27[customer_SKU],Table27[product_GTIN],"",0,1))</f>
        <v/>
      </c>
      <c r="Z1232" s="25" t="s">
        <v>3364</v>
      </c>
      <c r="AA1232" s="18" t="str" cm="1">
        <f t="array" ref="AA1232">IF(P1232="", "", _xlfn.XLOOKUP(P1232,#REF!,#REF!,NA,0,-1))</f>
        <v/>
      </c>
      <c r="AB1232" s="22"/>
      <c r="AC1232" s="55" t="s">
        <v>166</v>
      </c>
      <c r="AD1232" s="55" t="str">
        <f>IF($AC1232="","",_xlfn.XLOOKUP($AC1232,'[2]Client Info'!$C$2:$C$2535,'[2]Client Info'!$D$2:$D$2535,"",0,1))</f>
        <v>4621 Lakelse Avenue</v>
      </c>
      <c r="AE1232" s="55" t="str">
        <f>IF($AC1232="","",_xlfn.XLOOKUP($AC1232,'[2]Client Info'!$C$2:$C$2715,'[2]Client Info'!$E$2:$E$2715,"",))</f>
        <v>TERRACE</v>
      </c>
      <c r="AF1232" s="55" t="str">
        <f>IF($AC1232="","",_xlfn.XLOOKUP($AC1232,'[2]Client Info'!$C$2:$C$2715,'[2]Client Info'!$F$2:$F$2715,"",0,1))</f>
        <v>BC</v>
      </c>
      <c r="AG1232" s="55" t="s">
        <v>166</v>
      </c>
      <c r="AH1232" s="26" t="str">
        <f>_xlfn.XLOOKUP(Table26[[#This Row],[customerSKU]],customerSKU!G:G,customerSKU!K:K,"NA",0,1)</f>
        <v>NA</v>
      </c>
      <c r="AI1232" s="43" t="str">
        <f>_xlfn.XLOOKUP(Table26[[#This Row],[customerSKU]],customerSKU!G:G,customerSKU!O:O,"not found",0,1)</f>
        <v>not found</v>
      </c>
      <c r="AJ1232" s="22" t="e">
        <f>Table26[[#This Row],[unitprice]]*Table26[[#This Row],[quantity_unit]]</f>
        <v>#VALUE!</v>
      </c>
      <c r="AK1232" s="22" t="e" cm="1">
        <f t="array" ref="AK12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3" spans="1:37" ht="18" customHeight="1">
      <c r="A1233" s="42">
        <v>1023</v>
      </c>
      <c r="B1233" s="42" t="s">
        <v>3357</v>
      </c>
      <c r="C1233" s="53" t="s">
        <v>203</v>
      </c>
      <c r="E1233" s="20"/>
      <c r="F1233" s="25"/>
      <c r="G1233" s="93"/>
      <c r="J1233" s="90" t="str">
        <f>IF(Table26[[#This Row],[customerSKU]]="","",_xlfn.XLOOKUP(Table26[[#This Row],[customerSKU]],customerSKU!G:G,customerSKU!A:A,"",0,1))</f>
        <v/>
      </c>
      <c r="K1233" s="232">
        <v>45730</v>
      </c>
      <c r="L1233" s="49" t="str">
        <f>IF(Table26[[#This Row],[customerSKU]]="","",_xlfn.XLOOKUP(Table26[[#This Row],[customerSKU]],customerSKU!G:G,customerSKU!B:B,"",0,1))</f>
        <v/>
      </c>
      <c r="M1233" s="22"/>
      <c r="N1233" s="15" t="str">
        <f>Table26[[#This Row],[po_number]]&amp;"-"&amp;Table26[[#This Row],[po_line]]</f>
        <v>-4</v>
      </c>
      <c r="O1233" s="15">
        <v>4</v>
      </c>
      <c r="P1233" s="50"/>
      <c r="Q1233" s="22" t="s">
        <v>1829</v>
      </c>
      <c r="R1233" s="22" t="s">
        <v>221</v>
      </c>
      <c r="S1233" s="90" t="str">
        <f>IF(Table26[[#This Row],[customerSKU]]="","",_xlfn.XLOOKUP(Table26[[#This Row],[customerSKU]],customerSKU!G:G,customerSKU!N:N,"NOT FOUND",0,1))</f>
        <v>NOT FOUND</v>
      </c>
      <c r="T1233" s="20">
        <v>45721</v>
      </c>
      <c r="U1233" s="94">
        <v>12</v>
      </c>
      <c r="V1233" s="22" t="str">
        <f>IF(ISBLANK(Table26[[#This Row],[customerSKU]]),"",_xlfn.XLOOKUP(Table26[[#This Row],[customerSKU]],Table27[customer_SKU],Table27[case_size],"",0,1))</f>
        <v/>
      </c>
      <c r="W1233" s="117" t="str">
        <f t="shared" si="55"/>
        <v/>
      </c>
      <c r="X1233" s="22" t="str">
        <f t="shared" si="56"/>
        <v/>
      </c>
      <c r="Y1233" s="25" t="str">
        <f>IF(Table26[[#This Row],[customerSKU]]="","",_xlfn.XLOOKUP(Table26[[#This Row],[customerSKU]],Table27[customer_SKU],Table27[product_GTIN],"",0,1))</f>
        <v/>
      </c>
      <c r="Z1233" s="25" t="s">
        <v>3372</v>
      </c>
      <c r="AA1233" s="18" t="str" cm="1">
        <f t="array" ref="AA1233">IF(P1233="", "", _xlfn.XLOOKUP(P1233,#REF!,#REF!,NA,0,-1))</f>
        <v/>
      </c>
      <c r="AB1233" s="22"/>
      <c r="AC1233" s="55" t="s">
        <v>166</v>
      </c>
      <c r="AD1233" s="55" t="str">
        <f>IF($AC1233="","",_xlfn.XLOOKUP($AC1233,'[2]Client Info'!$C$2:$C$2535,'[2]Client Info'!$D$2:$D$2535,"",0,1))</f>
        <v>4621 Lakelse Avenue</v>
      </c>
      <c r="AE1233" s="55" t="str">
        <f>IF($AC1233="","",_xlfn.XLOOKUP($AC1233,'[2]Client Info'!$C$2:$C$2715,'[2]Client Info'!$E$2:$E$2715,"",))</f>
        <v>TERRACE</v>
      </c>
      <c r="AF1233" s="55" t="str">
        <f>IF($AC1233="","",_xlfn.XLOOKUP($AC1233,'[2]Client Info'!$C$2:$C$2715,'[2]Client Info'!$F$2:$F$2715,"",0,1))</f>
        <v>BC</v>
      </c>
      <c r="AG1233" s="55" t="s">
        <v>166</v>
      </c>
      <c r="AH1233" s="26" t="str">
        <f>_xlfn.XLOOKUP(Table26[[#This Row],[customerSKU]],customerSKU!G:G,customerSKU!K:K,"NA",0,1)</f>
        <v>NA</v>
      </c>
      <c r="AI1233" s="43" t="str">
        <f>_xlfn.XLOOKUP(Table26[[#This Row],[customerSKU]],customerSKU!G:G,customerSKU!O:O,"not found",0,1)</f>
        <v>not found</v>
      </c>
      <c r="AJ1233" s="22" t="e">
        <f>Table26[[#This Row],[unitprice]]*Table26[[#This Row],[quantity_unit]]</f>
        <v>#VALUE!</v>
      </c>
      <c r="AK1233" s="22" t="e" cm="1">
        <f t="array" ref="AK12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4" spans="1:37" ht="24.6" customHeight="1">
      <c r="A1234" s="42">
        <v>1024</v>
      </c>
      <c r="B1234" s="42" t="s">
        <v>3357</v>
      </c>
      <c r="C1234" s="53" t="s">
        <v>203</v>
      </c>
      <c r="E1234" s="20"/>
      <c r="F1234" s="25"/>
      <c r="G1234" s="93"/>
      <c r="J1234" s="90" t="str">
        <f>IF(Table26[[#This Row],[customerSKU]]="","",_xlfn.XLOOKUP(Table26[[#This Row],[customerSKU]],customerSKU!G:G,customerSKU!A:A,"",0,1))</f>
        <v/>
      </c>
      <c r="K1234" s="232">
        <v>45730</v>
      </c>
      <c r="L1234" s="49" t="str">
        <f>IF(Table26[[#This Row],[customerSKU]]="","",_xlfn.XLOOKUP(Table26[[#This Row],[customerSKU]],customerSKU!G:G,customerSKU!B:B,"",0,1))</f>
        <v/>
      </c>
      <c r="M1234" s="22"/>
      <c r="N1234" s="15" t="str">
        <f>Table26[[#This Row],[po_number]]&amp;"-"&amp;Table26[[#This Row],[po_line]]</f>
        <v>-5</v>
      </c>
      <c r="O1234" s="15">
        <v>5</v>
      </c>
      <c r="P1234" s="50"/>
      <c r="Q1234" s="22" t="s">
        <v>625</v>
      </c>
      <c r="R1234" s="22" t="s">
        <v>221</v>
      </c>
      <c r="S1234" s="90" t="str">
        <f>IF(Table26[[#This Row],[customerSKU]]="","",_xlfn.XLOOKUP(Table26[[#This Row],[customerSKU]],customerSKU!G:G,customerSKU!N:N,"NOT FOUND",0,1))</f>
        <v>NOT FOUND</v>
      </c>
      <c r="T1234" s="20">
        <v>45707</v>
      </c>
      <c r="U1234" s="94">
        <v>12</v>
      </c>
      <c r="V1234" s="22" t="str">
        <f>IF(ISBLANK(Table26[[#This Row],[customerSKU]]),"",_xlfn.XLOOKUP(Table26[[#This Row],[customerSKU]],Table27[customer_SKU],Table27[case_size],"",0,1))</f>
        <v/>
      </c>
      <c r="W1234" s="117" t="str">
        <f t="shared" si="55"/>
        <v/>
      </c>
      <c r="X1234" s="22" t="str">
        <f t="shared" si="56"/>
        <v/>
      </c>
      <c r="Y1234" s="25" t="str">
        <f>IF(Table26[[#This Row],[customerSKU]]="","",_xlfn.XLOOKUP(Table26[[#This Row],[customerSKU]],Table27[customer_SKU],Table27[product_GTIN],"",0,1))</f>
        <v/>
      </c>
      <c r="Z1234" s="25" t="s">
        <v>3407</v>
      </c>
      <c r="AA1234" s="18" t="str" cm="1">
        <f t="array" ref="AA1234">IF(P1234="", "", _xlfn.XLOOKUP(P1234,#REF!,#REF!,NA,0,-1))</f>
        <v/>
      </c>
      <c r="AB1234" s="22"/>
      <c r="AC1234" s="55" t="s">
        <v>166</v>
      </c>
      <c r="AD1234" s="55" t="str">
        <f>IF($AC1234="","",_xlfn.XLOOKUP($AC1234,'[2]Client Info'!$C$2:$C$2535,'[2]Client Info'!$D$2:$D$2535,"",0,1))</f>
        <v>4621 Lakelse Avenue</v>
      </c>
      <c r="AE1234" s="55" t="str">
        <f>IF($AC1234="","",_xlfn.XLOOKUP($AC1234,'[2]Client Info'!$C$2:$C$2715,'[2]Client Info'!$E$2:$E$2715,"",))</f>
        <v>TERRACE</v>
      </c>
      <c r="AF1234" s="55" t="str">
        <f>IF($AC1234="","",_xlfn.XLOOKUP($AC1234,'[2]Client Info'!$C$2:$C$2715,'[2]Client Info'!$F$2:$F$2715,"",0,1))</f>
        <v>BC</v>
      </c>
      <c r="AG1234" s="55" t="s">
        <v>166</v>
      </c>
      <c r="AH1234" s="26" t="str">
        <f>_xlfn.XLOOKUP(Table26[[#This Row],[customerSKU]],customerSKU!G:G,customerSKU!K:K,"NA",0,1)</f>
        <v>NA</v>
      </c>
      <c r="AI1234" s="43" t="str">
        <f>_xlfn.XLOOKUP(Table26[[#This Row],[customerSKU]],customerSKU!G:G,customerSKU!O:O,"not found",0,1)</f>
        <v>not found</v>
      </c>
      <c r="AJ1234" s="22" t="e">
        <f>Table26[[#This Row],[unitprice]]*Table26[[#This Row],[quantity_unit]]</f>
        <v>#VALUE!</v>
      </c>
      <c r="AK1234" s="22" t="e" cm="1">
        <f t="array" ref="AK12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5" spans="1:37" ht="24.6" customHeight="1">
      <c r="A1235" s="42">
        <v>1025</v>
      </c>
      <c r="B1235" s="42" t="s">
        <v>3357</v>
      </c>
      <c r="C1235" s="53" t="s">
        <v>203</v>
      </c>
      <c r="E1235" s="20"/>
      <c r="F1235" s="25"/>
      <c r="G1235" s="93"/>
      <c r="J1235" s="90" t="str">
        <f>IF(Table26[[#This Row],[customerSKU]]="","",_xlfn.XLOOKUP(Table26[[#This Row],[customerSKU]],customerSKU!G:G,customerSKU!A:A,"",0,1))</f>
        <v/>
      </c>
      <c r="K1235" s="232">
        <v>45730</v>
      </c>
      <c r="L1235" s="49" t="str">
        <f>IF(Table26[[#This Row],[customerSKU]]="","",_xlfn.XLOOKUP(Table26[[#This Row],[customerSKU]],customerSKU!G:G,customerSKU!B:B,"",0,1))</f>
        <v/>
      </c>
      <c r="M1235" s="22"/>
      <c r="N1235" s="15" t="str">
        <f>Table26[[#This Row],[po_number]]&amp;"-"&amp;Table26[[#This Row],[po_line]]</f>
        <v>-6</v>
      </c>
      <c r="O1235" s="15">
        <v>6</v>
      </c>
      <c r="P1235" s="50"/>
      <c r="Q1235" s="22" t="s">
        <v>3378</v>
      </c>
      <c r="R1235" s="22" t="s">
        <v>221</v>
      </c>
      <c r="S1235" s="90" t="str">
        <f>IF(Table26[[#This Row],[customerSKU]]="","",_xlfn.XLOOKUP(Table26[[#This Row],[customerSKU]],customerSKU!G:G,customerSKU!N:N,"NOT FOUND",0,1))</f>
        <v>NOT FOUND</v>
      </c>
      <c r="T1235" s="20">
        <v>45666</v>
      </c>
      <c r="U1235" s="94">
        <v>12</v>
      </c>
      <c r="V1235" s="22" t="str">
        <f>IF(ISBLANK(Table26[[#This Row],[customerSKU]]),"",_xlfn.XLOOKUP(Table26[[#This Row],[customerSKU]],Table27[customer_SKU],Table27[case_size],"",0,1))</f>
        <v/>
      </c>
      <c r="W1235" s="117" t="str">
        <f t="shared" si="55"/>
        <v/>
      </c>
      <c r="X1235" s="22" t="str">
        <f t="shared" si="56"/>
        <v/>
      </c>
      <c r="Y1235" s="25" t="str">
        <f>IF(Table26[[#This Row],[customerSKU]]="","",_xlfn.XLOOKUP(Table26[[#This Row],[customerSKU]],Table27[customer_SKU],Table27[product_GTIN],"",0,1))</f>
        <v/>
      </c>
      <c r="Z1235" s="25" t="s">
        <v>3379</v>
      </c>
      <c r="AA1235" s="18" t="str" cm="1">
        <f t="array" ref="AA1235">IF(P1235="", "", _xlfn.XLOOKUP(P1235,#REF!,#REF!,NA,0,-1))</f>
        <v/>
      </c>
      <c r="AB1235" s="22"/>
      <c r="AC1235" s="55" t="s">
        <v>166</v>
      </c>
      <c r="AD1235" s="55" t="str">
        <f>IF($AC1235="","",_xlfn.XLOOKUP($AC1235,'[2]Client Info'!$C$2:$C$2535,'[2]Client Info'!$D$2:$D$2535,"",0,1))</f>
        <v>4621 Lakelse Avenue</v>
      </c>
      <c r="AE1235" s="55" t="str">
        <f>IF($AC1235="","",_xlfn.XLOOKUP($AC1235,'[2]Client Info'!$C$2:$C$2715,'[2]Client Info'!$E$2:$E$2715,"",))</f>
        <v>TERRACE</v>
      </c>
      <c r="AF1235" s="55" t="str">
        <f>IF($AC1235="","",_xlfn.XLOOKUP($AC1235,'[2]Client Info'!$C$2:$C$2715,'[2]Client Info'!$F$2:$F$2715,"",0,1))</f>
        <v>BC</v>
      </c>
      <c r="AG1235" s="55" t="s">
        <v>166</v>
      </c>
      <c r="AH1235" s="26" t="str">
        <f>_xlfn.XLOOKUP(Table26[[#This Row],[customerSKU]],customerSKU!G:G,customerSKU!K:K,"NA",0,1)</f>
        <v>NA</v>
      </c>
      <c r="AI1235" s="43" t="str">
        <f>_xlfn.XLOOKUP(Table26[[#This Row],[customerSKU]],customerSKU!G:G,customerSKU!O:O,"not found",0,1)</f>
        <v>not found</v>
      </c>
      <c r="AJ1235" s="22" t="e">
        <f>Table26[[#This Row],[unitprice]]*Table26[[#This Row],[quantity_unit]]</f>
        <v>#VALUE!</v>
      </c>
      <c r="AK1235" s="22" t="e" cm="1">
        <f t="array" ref="AK12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</row>
    <row r="1236" spans="1:37" ht="18" customHeight="1">
      <c r="A1236" s="42">
        <v>1008</v>
      </c>
      <c r="B1236" s="42" t="s">
        <v>3357</v>
      </c>
      <c r="C1236" s="53" t="s">
        <v>203</v>
      </c>
      <c r="E1236" s="20"/>
      <c r="F1236" s="25"/>
      <c r="G1236" s="93"/>
      <c r="J1236" s="90" t="str">
        <f>IF(Table26[[#This Row],[customerSKU]]="","",_xlfn.XLOOKUP(Table26[[#This Row],[customerSKU]],customerSKU!G:G,customerSKU!A:A,"",0,1))</f>
        <v/>
      </c>
      <c r="K1236" s="232">
        <v>45733</v>
      </c>
      <c r="L1236" s="49" t="str">
        <f>IF(Table26[[#This Row],[customerSKU]]="","",_xlfn.XLOOKUP(Table26[[#This Row],[customerSKU]],customerSKU!G:G,customerSKU!B:B,"",0,1))</f>
        <v/>
      </c>
      <c r="M1236" s="22"/>
      <c r="N1236" s="15" t="str">
        <f>Table26[[#This Row],[po_number]]&amp;"-"&amp;Table26[[#This Row],[po_line]]</f>
        <v>-1</v>
      </c>
      <c r="O1236" s="15">
        <v>1</v>
      </c>
      <c r="P1236" s="50"/>
      <c r="Q1236" s="22" t="s">
        <v>659</v>
      </c>
      <c r="R1236" s="22" t="s">
        <v>221</v>
      </c>
      <c r="S1236" s="90" t="str">
        <f>IF(Table26[[#This Row],[customerSKU]]="","",_xlfn.XLOOKUP(Table26[[#This Row],[customerSKU]],customerSKU!G:G,customerSKU!N:N,"NOT FOUND",0,1))</f>
        <v>NOT FOUND</v>
      </c>
      <c r="T1236" s="20">
        <v>45638</v>
      </c>
      <c r="U1236" s="94">
        <v>12</v>
      </c>
      <c r="V1236" s="22" t="str">
        <f>IF(ISBLANK(Table26[[#This Row],[customerSKU]]),"",_xlfn.XLOOKUP(Table26[[#This Row],[customerSKU]],Table27[customer_SKU],Table27[case_size],"",0,1))</f>
        <v/>
      </c>
      <c r="W1236" s="117" t="str">
        <f t="shared" si="55"/>
        <v/>
      </c>
      <c r="X1236" s="22" t="str">
        <f t="shared" si="56"/>
        <v/>
      </c>
      <c r="Y1236" s="25" t="str">
        <f>IF(Table26[[#This Row],[customerSKU]]="","",_xlfn.XLOOKUP(Table26[[#This Row],[customerSKU]],Table27[customer_SKU],Table27[product_GTIN],"",0,1))</f>
        <v/>
      </c>
      <c r="Z1236" s="25" t="s">
        <v>3391</v>
      </c>
      <c r="AA1236" s="18" t="str" cm="1">
        <f t="array" ref="AA1236">IF(P1236="", "", _xlfn.XLOOKUP(P1236,#REF!,#REF!,NA,0,-1))</f>
        <v/>
      </c>
      <c r="AB1236" s="22"/>
      <c r="AC1236" s="55" t="s">
        <v>106</v>
      </c>
      <c r="AD1236" s="55" t="str">
        <f>IF($AC1236="","",_xlfn.XLOOKUP($AC1236,'[2]Client Info'!$C$2:$C$2535,'[2]Client Info'!$D$2:$D$2535,"",0,1))</f>
        <v>112-19150 Lougheed Hwy</v>
      </c>
      <c r="AE1236" s="55" t="str">
        <f>IF($AC1236="","",_xlfn.XLOOKUP($AC1236,'[2]Client Info'!$C$2:$C$2715,'[2]Client Info'!$E$2:$E$2715,"",))</f>
        <v>Pitt Meadows</v>
      </c>
      <c r="AF1236" s="55" t="str">
        <f>IF($AC1236="","",_xlfn.XLOOKUP($AC1236,'[2]Client Info'!$C$2:$C$2715,'[2]Client Info'!$F$2:$F$2715,"",0,1))</f>
        <v xml:space="preserve">BC </v>
      </c>
      <c r="AG1236" s="55" t="s">
        <v>106</v>
      </c>
      <c r="AH1236" s="26" t="str">
        <f>_xlfn.XLOOKUP(Table26[[#This Row],[customerSKU]],customerSKU!G:G,customerSKU!K:K,"NA",0,1)</f>
        <v>NA</v>
      </c>
      <c r="AI1236" s="43" t="str">
        <f>_xlfn.XLOOKUP(Table26[[#This Row],[customerSKU]],customerSKU!G:G,customerSKU!O:O,"not found",0,1)</f>
        <v>not found</v>
      </c>
      <c r="AJ1236" s="22" t="e">
        <f>Table26[[#This Row],[unitprice]]*Table26[[#This Row],[quantity_unit]]</f>
        <v>#VALUE!</v>
      </c>
      <c r="AK1236" s="117" t="e" cm="1">
        <f t="array" ref="AK12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37" spans="1:37" ht="18" customHeight="1">
      <c r="A1237" s="42">
        <v>1009</v>
      </c>
      <c r="B1237" s="42" t="s">
        <v>3357</v>
      </c>
      <c r="C1237" s="53" t="s">
        <v>203</v>
      </c>
      <c r="E1237" s="20"/>
      <c r="F1237" s="25"/>
      <c r="G1237" s="93"/>
      <c r="J1237" s="90" t="str">
        <f>IF(Table26[[#This Row],[customerSKU]]="","",_xlfn.XLOOKUP(Table26[[#This Row],[customerSKU]],customerSKU!G:G,customerSKU!A:A,"",0,1))</f>
        <v/>
      </c>
      <c r="K1237" s="232">
        <v>45733</v>
      </c>
      <c r="L1237" s="49" t="str">
        <f>IF(Table26[[#This Row],[customerSKU]]="","",_xlfn.XLOOKUP(Table26[[#This Row],[customerSKU]],customerSKU!G:G,customerSKU!B:B,"",0,1))</f>
        <v/>
      </c>
      <c r="M1237" s="22"/>
      <c r="N1237" s="15" t="str">
        <f>Table26[[#This Row],[po_number]]&amp;"-"&amp;Table26[[#This Row],[po_line]]</f>
        <v>-2</v>
      </c>
      <c r="O1237" s="15">
        <v>2</v>
      </c>
      <c r="P1237" s="50"/>
      <c r="Q1237" s="22" t="s">
        <v>659</v>
      </c>
      <c r="R1237" s="22" t="s">
        <v>221</v>
      </c>
      <c r="S1237" s="90" t="str">
        <f>IF(Table26[[#This Row],[customerSKU]]="","",_xlfn.XLOOKUP(Table26[[#This Row],[customerSKU]],customerSKU!G:G,customerSKU!N:N,"NOT FOUND",0,1))</f>
        <v>NOT FOUND</v>
      </c>
      <c r="T1237" s="20">
        <v>45638</v>
      </c>
      <c r="U1237" s="94">
        <v>24</v>
      </c>
      <c r="V1237" s="22" t="str">
        <f>IF(ISBLANK(Table26[[#This Row],[customerSKU]]),"",_xlfn.XLOOKUP(Table26[[#This Row],[customerSKU]],Table27[customer_SKU],Table27[case_size],"",0,1))</f>
        <v/>
      </c>
      <c r="W1237" s="117" t="str">
        <f t="shared" si="55"/>
        <v/>
      </c>
      <c r="X1237" s="22" t="str">
        <f t="shared" si="56"/>
        <v/>
      </c>
      <c r="Y1237" s="25" t="str">
        <f>IF(Table26[[#This Row],[customerSKU]]="","",_xlfn.XLOOKUP(Table26[[#This Row],[customerSKU]],Table27[customer_SKU],Table27[product_GTIN],"",0,1))</f>
        <v/>
      </c>
      <c r="Z1237" s="25" t="s">
        <v>3391</v>
      </c>
      <c r="AA1237" s="18" t="str" cm="1">
        <f t="array" ref="AA1237">IF(P1237="", "", _xlfn.XLOOKUP(P1237,#REF!,#REF!,NA,0,-1))</f>
        <v/>
      </c>
      <c r="AB1237" s="22"/>
      <c r="AC1237" s="55" t="s">
        <v>106</v>
      </c>
      <c r="AD1237" s="55" t="str">
        <f>IF($AC1237="","",_xlfn.XLOOKUP($AC1237,'[2]Client Info'!$C$2:$C$2535,'[2]Client Info'!$D$2:$D$2535,"",0,1))</f>
        <v>112-19150 Lougheed Hwy</v>
      </c>
      <c r="AE1237" s="55" t="str">
        <f>IF($AC1237="","",_xlfn.XLOOKUP($AC1237,'[2]Client Info'!$C$2:$C$2715,'[2]Client Info'!$E$2:$E$2715,"",))</f>
        <v>Pitt Meadows</v>
      </c>
      <c r="AF1237" s="55" t="str">
        <f>IF($AC1237="","",_xlfn.XLOOKUP($AC1237,'[2]Client Info'!$C$2:$C$2715,'[2]Client Info'!$F$2:$F$2715,"",0,1))</f>
        <v xml:space="preserve">BC </v>
      </c>
      <c r="AG1237" s="55" t="s">
        <v>106</v>
      </c>
      <c r="AH1237" s="26" t="str">
        <f>_xlfn.XLOOKUP(Table26[[#This Row],[customerSKU]],customerSKU!G:G,customerSKU!K:K,"NA",0,1)</f>
        <v>NA</v>
      </c>
      <c r="AI1237" s="43" t="str">
        <f>_xlfn.XLOOKUP(Table26[[#This Row],[customerSKU]],customerSKU!G:G,customerSKU!O:O,"not found",0,1)</f>
        <v>not found</v>
      </c>
      <c r="AJ1237" s="22" t="e">
        <f>Table26[[#This Row],[unitprice]]*Table26[[#This Row],[quantity_unit]]</f>
        <v>#VALUE!</v>
      </c>
      <c r="AK1237" s="117" t="e" cm="1">
        <f t="array" ref="AK12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38" spans="1:37" ht="24.6" customHeight="1">
      <c r="A1238" s="42">
        <v>1010</v>
      </c>
      <c r="B1238" s="42" t="s">
        <v>3357</v>
      </c>
      <c r="C1238" s="53" t="s">
        <v>203</v>
      </c>
      <c r="E1238" s="20"/>
      <c r="F1238" s="25"/>
      <c r="G1238" s="93"/>
      <c r="J1238" s="90" t="str">
        <f>IF(Table26[[#This Row],[customerSKU]]="","",_xlfn.XLOOKUP(Table26[[#This Row],[customerSKU]],customerSKU!G:G,customerSKU!A:A,"",0,1))</f>
        <v/>
      </c>
      <c r="K1238" s="232">
        <v>45733</v>
      </c>
      <c r="L1238" s="49" t="str">
        <f>IF(Table26[[#This Row],[customerSKU]]="","",_xlfn.XLOOKUP(Table26[[#This Row],[customerSKU]],customerSKU!G:G,customerSKU!B:B,"",0,1))</f>
        <v/>
      </c>
      <c r="M1238" s="22"/>
      <c r="N1238" s="15" t="str">
        <f>Table26[[#This Row],[po_number]]&amp;"-"&amp;Table26[[#This Row],[po_line]]</f>
        <v>-3</v>
      </c>
      <c r="O1238" s="15">
        <v>3</v>
      </c>
      <c r="P1238" s="50"/>
      <c r="Q1238" s="22" t="s">
        <v>565</v>
      </c>
      <c r="R1238" s="22" t="s">
        <v>221</v>
      </c>
      <c r="S1238" s="90" t="str">
        <f>IF(Table26[[#This Row],[customerSKU]]="","",_xlfn.XLOOKUP(Table26[[#This Row],[customerSKU]],customerSKU!G:G,customerSKU!N:N,"NOT FOUND",0,1))</f>
        <v>NOT FOUND</v>
      </c>
      <c r="T1238" s="20">
        <v>45707</v>
      </c>
      <c r="U1238" s="94">
        <v>12</v>
      </c>
      <c r="V1238" s="22" t="str">
        <f>IF(ISBLANK(Table26[[#This Row],[customerSKU]]),"",_xlfn.XLOOKUP(Table26[[#This Row],[customerSKU]],Table27[customer_SKU],Table27[case_size],"",0,1))</f>
        <v/>
      </c>
      <c r="W1238" s="117" t="str">
        <f t="shared" si="55"/>
        <v/>
      </c>
      <c r="X1238" s="22" t="str">
        <f t="shared" si="56"/>
        <v/>
      </c>
      <c r="Y1238" s="25" t="str">
        <f>IF(Table26[[#This Row],[customerSKU]]="","",_xlfn.XLOOKUP(Table26[[#This Row],[customerSKU]],Table27[customer_SKU],Table27[product_GTIN],"",0,1))</f>
        <v/>
      </c>
      <c r="Z1238" s="25" t="s">
        <v>3373</v>
      </c>
      <c r="AA1238" s="18" t="str" cm="1">
        <f t="array" ref="AA1238">IF(P1238="", "", _xlfn.XLOOKUP(P1238,#REF!,#REF!,NA,0,-1))</f>
        <v/>
      </c>
      <c r="AB1238" s="22"/>
      <c r="AC1238" s="55" t="s">
        <v>106</v>
      </c>
      <c r="AD1238" s="55" t="str">
        <f>IF($AC1238="","",_xlfn.XLOOKUP($AC1238,'[2]Client Info'!$C$2:$C$2535,'[2]Client Info'!$D$2:$D$2535,"",0,1))</f>
        <v>112-19150 Lougheed Hwy</v>
      </c>
      <c r="AE1238" s="55" t="str">
        <f>IF($AC1238="","",_xlfn.XLOOKUP($AC1238,'[2]Client Info'!$C$2:$C$2715,'[2]Client Info'!$E$2:$E$2715,"",))</f>
        <v>Pitt Meadows</v>
      </c>
      <c r="AF1238" s="55" t="str">
        <f>IF($AC1238="","",_xlfn.XLOOKUP($AC1238,'[2]Client Info'!$C$2:$C$2715,'[2]Client Info'!$F$2:$F$2715,"",0,1))</f>
        <v xml:space="preserve">BC </v>
      </c>
      <c r="AG1238" s="55" t="s">
        <v>106</v>
      </c>
      <c r="AH1238" s="26" t="str">
        <f>_xlfn.XLOOKUP(Table26[[#This Row],[customerSKU]],customerSKU!G:G,customerSKU!K:K,"NA",0,1)</f>
        <v>NA</v>
      </c>
      <c r="AI1238" s="43" t="str">
        <f>_xlfn.XLOOKUP(Table26[[#This Row],[customerSKU]],customerSKU!G:G,customerSKU!O:O,"not found",0,1)</f>
        <v>not found</v>
      </c>
      <c r="AJ1238" s="22" t="e">
        <f>Table26[[#This Row],[unitprice]]*Table26[[#This Row],[quantity_unit]]</f>
        <v>#VALUE!</v>
      </c>
      <c r="AK1238" s="117" t="e" cm="1">
        <f t="array" ref="AK12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39" spans="1:37" ht="24.6" customHeight="1">
      <c r="A1239" s="42">
        <v>1011</v>
      </c>
      <c r="B1239" s="42" t="s">
        <v>3357</v>
      </c>
      <c r="C1239" s="53" t="s">
        <v>203</v>
      </c>
      <c r="E1239" s="20"/>
      <c r="F1239" s="25"/>
      <c r="G1239" s="93"/>
      <c r="J1239" s="90" t="str">
        <f>IF(Table26[[#This Row],[customerSKU]]="","",_xlfn.XLOOKUP(Table26[[#This Row],[customerSKU]],customerSKU!G:G,customerSKU!A:A,"",0,1))</f>
        <v/>
      </c>
      <c r="K1239" s="232">
        <v>45733</v>
      </c>
      <c r="L1239" s="49" t="str">
        <f>IF(Table26[[#This Row],[customerSKU]]="","",_xlfn.XLOOKUP(Table26[[#This Row],[customerSKU]],customerSKU!G:G,customerSKU!B:B,"",0,1))</f>
        <v/>
      </c>
      <c r="M1239" s="22"/>
      <c r="N1239" s="15" t="str">
        <f>Table26[[#This Row],[po_number]]&amp;"-"&amp;Table26[[#This Row],[po_line]]</f>
        <v>-4</v>
      </c>
      <c r="O1239" s="15">
        <v>4</v>
      </c>
      <c r="P1239" s="50"/>
      <c r="Q1239" s="22" t="s">
        <v>1829</v>
      </c>
      <c r="R1239" s="22" t="s">
        <v>221</v>
      </c>
      <c r="S1239" s="90" t="str">
        <f>IF(Table26[[#This Row],[customerSKU]]="","",_xlfn.XLOOKUP(Table26[[#This Row],[customerSKU]],customerSKU!G:G,customerSKU!N:N,"NOT FOUND",0,1))</f>
        <v>NOT FOUND</v>
      </c>
      <c r="T1239" s="20">
        <v>45721</v>
      </c>
      <c r="U1239" s="94">
        <v>12</v>
      </c>
      <c r="V1239" s="22" t="str">
        <f>IF(ISBLANK(Table26[[#This Row],[customerSKU]]),"",_xlfn.XLOOKUP(Table26[[#This Row],[customerSKU]],Table27[customer_SKU],Table27[case_size],"",0,1))</f>
        <v/>
      </c>
      <c r="W1239" s="117" t="str">
        <f t="shared" si="55"/>
        <v/>
      </c>
      <c r="X1239" s="22" t="str">
        <f t="shared" si="56"/>
        <v/>
      </c>
      <c r="Y1239" s="25" t="str">
        <f>IF(Table26[[#This Row],[customerSKU]]="","",_xlfn.XLOOKUP(Table26[[#This Row],[customerSKU]],Table27[customer_SKU],Table27[product_GTIN],"",0,1))</f>
        <v/>
      </c>
      <c r="Z1239" s="25" t="s">
        <v>3372</v>
      </c>
      <c r="AA1239" s="18" t="str" cm="1">
        <f t="array" ref="AA1239">IF(P1239="", "", _xlfn.XLOOKUP(P1239,#REF!,#REF!,NA,0,-1))</f>
        <v/>
      </c>
      <c r="AB1239" s="22"/>
      <c r="AC1239" s="55" t="s">
        <v>106</v>
      </c>
      <c r="AD1239" s="55" t="str">
        <f>IF($AC1239="","",_xlfn.XLOOKUP($AC1239,'[2]Client Info'!$C$2:$C$2535,'[2]Client Info'!$D$2:$D$2535,"",0,1))</f>
        <v>112-19150 Lougheed Hwy</v>
      </c>
      <c r="AE1239" s="55" t="str">
        <f>IF($AC1239="","",_xlfn.XLOOKUP($AC1239,'[2]Client Info'!$C$2:$C$2715,'[2]Client Info'!$E$2:$E$2715,"",))</f>
        <v>Pitt Meadows</v>
      </c>
      <c r="AF1239" s="55" t="str">
        <f>IF($AC1239="","",_xlfn.XLOOKUP($AC1239,'[2]Client Info'!$C$2:$C$2715,'[2]Client Info'!$F$2:$F$2715,"",0,1))</f>
        <v xml:space="preserve">BC </v>
      </c>
      <c r="AG1239" s="55" t="s">
        <v>106</v>
      </c>
      <c r="AH1239" s="26" t="str">
        <f>_xlfn.XLOOKUP(Table26[[#This Row],[customerSKU]],customerSKU!G:G,customerSKU!K:K,"NA",0,1)</f>
        <v>NA</v>
      </c>
      <c r="AI1239" s="43" t="str">
        <f>_xlfn.XLOOKUP(Table26[[#This Row],[customerSKU]],customerSKU!G:G,customerSKU!O:O,"not found",0,1)</f>
        <v>not found</v>
      </c>
      <c r="AJ1239" s="22" t="e">
        <f>Table26[[#This Row],[unitprice]]*Table26[[#This Row],[quantity_unit]]</f>
        <v>#VALUE!</v>
      </c>
      <c r="AK1239" s="117" t="e" cm="1">
        <f t="array" ref="AK12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0" spans="1:37" ht="24.6" customHeight="1">
      <c r="A1240" s="42">
        <v>1012</v>
      </c>
      <c r="B1240" s="42" t="s">
        <v>3357</v>
      </c>
      <c r="C1240" s="53" t="s">
        <v>203</v>
      </c>
      <c r="E1240" s="20"/>
      <c r="F1240" s="25"/>
      <c r="G1240" s="93"/>
      <c r="J1240" s="90" t="str">
        <f>IF(Table26[[#This Row],[customerSKU]]="","",_xlfn.XLOOKUP(Table26[[#This Row],[customerSKU]],customerSKU!G:G,customerSKU!A:A,"",0,1))</f>
        <v/>
      </c>
      <c r="K1240" s="232">
        <v>45733</v>
      </c>
      <c r="L1240" s="49" t="str">
        <f>IF(Table26[[#This Row],[customerSKU]]="","",_xlfn.XLOOKUP(Table26[[#This Row],[customerSKU]],customerSKU!G:G,customerSKU!B:B,"",0,1))</f>
        <v/>
      </c>
      <c r="M1240" s="22"/>
      <c r="N1240" s="15" t="str">
        <f>Table26[[#This Row],[po_number]]&amp;"-"&amp;Table26[[#This Row],[po_line]]</f>
        <v>-5</v>
      </c>
      <c r="O1240" s="15">
        <v>5</v>
      </c>
      <c r="P1240" s="50"/>
      <c r="Q1240" s="22" t="s">
        <v>905</v>
      </c>
      <c r="R1240" s="22" t="s">
        <v>221</v>
      </c>
      <c r="S1240" s="90" t="str">
        <f>IF(Table26[[#This Row],[customerSKU]]="","",_xlfn.XLOOKUP(Table26[[#This Row],[customerSKU]],customerSKU!G:G,customerSKU!N:N,"NOT FOUND",0,1))</f>
        <v>NOT FOUND</v>
      </c>
      <c r="T1240" s="20">
        <v>45575</v>
      </c>
      <c r="U1240" s="94">
        <v>24</v>
      </c>
      <c r="V1240" s="22" t="str">
        <f>IF(ISBLANK(Table26[[#This Row],[customerSKU]]),"",_xlfn.XLOOKUP(Table26[[#This Row],[customerSKU]],Table27[customer_SKU],Table27[case_size],"",0,1))</f>
        <v/>
      </c>
      <c r="W1240" s="117" t="str">
        <f t="shared" si="55"/>
        <v/>
      </c>
      <c r="X1240" s="22" t="str">
        <f t="shared" si="56"/>
        <v/>
      </c>
      <c r="Y1240" s="25" t="str">
        <f>IF(Table26[[#This Row],[customerSKU]]="","",_xlfn.XLOOKUP(Table26[[#This Row],[customerSKU]],Table27[customer_SKU],Table27[product_GTIN],"",0,1))</f>
        <v/>
      </c>
      <c r="Z1240" s="25" t="s">
        <v>3377</v>
      </c>
      <c r="AA1240" s="18" t="str" cm="1">
        <f t="array" ref="AA1240">IF(P1240="", "", _xlfn.XLOOKUP(P1240,#REF!,#REF!,NA,0,-1))</f>
        <v/>
      </c>
      <c r="AB1240" s="22"/>
      <c r="AC1240" s="55" t="s">
        <v>106</v>
      </c>
      <c r="AD1240" s="55" t="str">
        <f>IF($AC1240="","",_xlfn.XLOOKUP($AC1240,'[2]Client Info'!$C$2:$C$2535,'[2]Client Info'!$D$2:$D$2535,"",0,1))</f>
        <v>112-19150 Lougheed Hwy</v>
      </c>
      <c r="AE1240" s="55" t="str">
        <f>IF($AC1240="","",_xlfn.XLOOKUP($AC1240,'[2]Client Info'!$C$2:$C$2715,'[2]Client Info'!$E$2:$E$2715,"",))</f>
        <v>Pitt Meadows</v>
      </c>
      <c r="AF1240" s="55" t="str">
        <f>IF($AC1240="","",_xlfn.XLOOKUP($AC1240,'[2]Client Info'!$C$2:$C$2715,'[2]Client Info'!$F$2:$F$2715,"",0,1))</f>
        <v xml:space="preserve">BC </v>
      </c>
      <c r="AG1240" s="55" t="s">
        <v>106</v>
      </c>
      <c r="AH1240" s="26" t="str">
        <f>_xlfn.XLOOKUP(Table26[[#This Row],[customerSKU]],customerSKU!G:G,customerSKU!K:K,"NA",0,1)</f>
        <v>NA</v>
      </c>
      <c r="AI1240" s="43" t="str">
        <f>_xlfn.XLOOKUP(Table26[[#This Row],[customerSKU]],customerSKU!G:G,customerSKU!O:O,"not found",0,1)</f>
        <v>not found</v>
      </c>
      <c r="AJ1240" s="22" t="e">
        <f>Table26[[#This Row],[unitprice]]*Table26[[#This Row],[quantity_unit]]</f>
        <v>#VALUE!</v>
      </c>
      <c r="AK1240" s="117" t="e" cm="1">
        <f t="array" ref="AK12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1" spans="1:37" ht="24.6" customHeight="1">
      <c r="A1241" s="42">
        <v>1013</v>
      </c>
      <c r="B1241" s="42" t="s">
        <v>3357</v>
      </c>
      <c r="C1241" s="53" t="s">
        <v>203</v>
      </c>
      <c r="E1241" s="20"/>
      <c r="F1241" s="25"/>
      <c r="G1241" s="93"/>
      <c r="J1241" s="90" t="str">
        <f>IF(Table26[[#This Row],[customerSKU]]="","",_xlfn.XLOOKUP(Table26[[#This Row],[customerSKU]],customerSKU!G:G,customerSKU!A:A,"",0,1))</f>
        <v/>
      </c>
      <c r="K1241" s="232">
        <v>45733</v>
      </c>
      <c r="L1241" s="49" t="str">
        <f>IF(Table26[[#This Row],[customerSKU]]="","",_xlfn.XLOOKUP(Table26[[#This Row],[customerSKU]],customerSKU!G:G,customerSKU!B:B,"",0,1))</f>
        <v/>
      </c>
      <c r="M1241" s="22"/>
      <c r="N1241" s="15" t="str">
        <f>Table26[[#This Row],[po_number]]&amp;"-"&amp;Table26[[#This Row],[po_line]]</f>
        <v>-6</v>
      </c>
      <c r="O1241" s="15">
        <v>6</v>
      </c>
      <c r="P1241" s="50"/>
      <c r="Q1241" s="22" t="s">
        <v>656</v>
      </c>
      <c r="R1241" s="22" t="s">
        <v>221</v>
      </c>
      <c r="S1241" s="90" t="str">
        <f>IF(Table26[[#This Row],[customerSKU]]="","",_xlfn.XLOOKUP(Table26[[#This Row],[customerSKU]],customerSKU!G:G,customerSKU!N:N,"NOT FOUND",0,1))</f>
        <v>NOT FOUND</v>
      </c>
      <c r="T1241" s="20">
        <v>45642</v>
      </c>
      <c r="U1241" s="94">
        <v>24</v>
      </c>
      <c r="V1241" s="22" t="str">
        <f>IF(ISBLANK(Table26[[#This Row],[customerSKU]]),"",_xlfn.XLOOKUP(Table26[[#This Row],[customerSKU]],Table27[customer_SKU],Table27[case_size],"",0,1))</f>
        <v/>
      </c>
      <c r="W1241" s="117" t="str">
        <f t="shared" si="55"/>
        <v/>
      </c>
      <c r="X1241" s="22" t="str">
        <f t="shared" si="56"/>
        <v/>
      </c>
      <c r="Y1241" s="25" t="str">
        <f>IF(Table26[[#This Row],[customerSKU]]="","",_xlfn.XLOOKUP(Table26[[#This Row],[customerSKU]],Table27[customer_SKU],Table27[product_GTIN],"",0,1))</f>
        <v/>
      </c>
      <c r="Z1241" s="25" t="s">
        <v>3367</v>
      </c>
      <c r="AA1241" s="18" t="str" cm="1">
        <f t="array" ref="AA1241">IF(P1241="", "", _xlfn.XLOOKUP(P1241,#REF!,#REF!,NA,0,-1))</f>
        <v/>
      </c>
      <c r="AB1241" s="22"/>
      <c r="AC1241" s="55" t="s">
        <v>106</v>
      </c>
      <c r="AD1241" s="55" t="str">
        <f>IF($AC1241="","",_xlfn.XLOOKUP($AC1241,'[2]Client Info'!$C$2:$C$2535,'[2]Client Info'!$D$2:$D$2535,"",0,1))</f>
        <v>112-19150 Lougheed Hwy</v>
      </c>
      <c r="AE1241" s="55" t="str">
        <f>IF($AC1241="","",_xlfn.XLOOKUP($AC1241,'[2]Client Info'!$C$2:$C$2715,'[2]Client Info'!$E$2:$E$2715,"",))</f>
        <v>Pitt Meadows</v>
      </c>
      <c r="AF1241" s="55" t="str">
        <f>IF($AC1241="","",_xlfn.XLOOKUP($AC1241,'[2]Client Info'!$C$2:$C$2715,'[2]Client Info'!$F$2:$F$2715,"",0,1))</f>
        <v xml:space="preserve">BC </v>
      </c>
      <c r="AG1241" s="55" t="s">
        <v>106</v>
      </c>
      <c r="AH1241" s="26" t="str">
        <f>_xlfn.XLOOKUP(Table26[[#This Row],[customerSKU]],customerSKU!G:G,customerSKU!K:K,"NA",0,1)</f>
        <v>NA</v>
      </c>
      <c r="AI1241" s="43" t="str">
        <f>_xlfn.XLOOKUP(Table26[[#This Row],[customerSKU]],customerSKU!G:G,customerSKU!O:O,"not found",0,1)</f>
        <v>not found</v>
      </c>
      <c r="AJ1241" s="22" t="e">
        <f>Table26[[#This Row],[unitprice]]*Table26[[#This Row],[quantity_unit]]</f>
        <v>#VALUE!</v>
      </c>
      <c r="AK1241" s="117" t="e" cm="1">
        <f t="array" ref="AK12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2" spans="1:37" ht="24.6" customHeight="1">
      <c r="A1242" s="42">
        <v>1014</v>
      </c>
      <c r="B1242" s="42" t="s">
        <v>3357</v>
      </c>
      <c r="C1242" s="53" t="s">
        <v>203</v>
      </c>
      <c r="E1242" s="20"/>
      <c r="F1242" s="25"/>
      <c r="G1242" s="93"/>
      <c r="J1242" s="90" t="str">
        <f>IF(Table26[[#This Row],[customerSKU]]="","",_xlfn.XLOOKUP(Table26[[#This Row],[customerSKU]],customerSKU!G:G,customerSKU!A:A,"",0,1))</f>
        <v/>
      </c>
      <c r="K1242" s="232">
        <v>45733</v>
      </c>
      <c r="L1242" s="49" t="str">
        <f>IF(Table26[[#This Row],[customerSKU]]="","",_xlfn.XLOOKUP(Table26[[#This Row],[customerSKU]],customerSKU!G:G,customerSKU!B:B,"",0,1))</f>
        <v/>
      </c>
      <c r="M1242" s="22"/>
      <c r="N1242" s="15" t="str">
        <f>Table26[[#This Row],[po_number]]&amp;"-"&amp;Table26[[#This Row],[po_line]]</f>
        <v>-7</v>
      </c>
      <c r="O1242" s="15">
        <v>7</v>
      </c>
      <c r="P1242" s="50"/>
      <c r="Q1242" s="22" t="s">
        <v>625</v>
      </c>
      <c r="R1242" s="22" t="s">
        <v>221</v>
      </c>
      <c r="S1242" s="90" t="str">
        <f>IF(Table26[[#This Row],[customerSKU]]="","",_xlfn.XLOOKUP(Table26[[#This Row],[customerSKU]],customerSKU!G:G,customerSKU!N:N,"NOT FOUND",0,1))</f>
        <v>NOT FOUND</v>
      </c>
      <c r="T1242" s="20">
        <v>45707</v>
      </c>
      <c r="U1242" s="94">
        <v>12</v>
      </c>
      <c r="V1242" s="22" t="str">
        <f>IF(ISBLANK(Table26[[#This Row],[customerSKU]]),"",_xlfn.XLOOKUP(Table26[[#This Row],[customerSKU]],Table27[customer_SKU],Table27[case_size],"",0,1))</f>
        <v/>
      </c>
      <c r="W1242" s="117" t="str">
        <f t="shared" si="55"/>
        <v/>
      </c>
      <c r="X1242" s="22" t="str">
        <f t="shared" si="56"/>
        <v/>
      </c>
      <c r="Y1242" s="25" t="str">
        <f>IF(Table26[[#This Row],[customerSKU]]="","",_xlfn.XLOOKUP(Table26[[#This Row],[customerSKU]],Table27[customer_SKU],Table27[product_GTIN],"",0,1))</f>
        <v/>
      </c>
      <c r="Z1242" s="25" t="s">
        <v>3407</v>
      </c>
      <c r="AA1242" s="18" t="str" cm="1">
        <f t="array" ref="AA1242">IF(P1242="", "", _xlfn.XLOOKUP(P1242,#REF!,#REF!,NA,0,-1))</f>
        <v/>
      </c>
      <c r="AB1242" s="22"/>
      <c r="AC1242" s="55" t="s">
        <v>106</v>
      </c>
      <c r="AD1242" s="55" t="str">
        <f>IF($AC1242="","",_xlfn.XLOOKUP($AC1242,'[2]Client Info'!$C$2:$C$2535,'[2]Client Info'!$D$2:$D$2535,"",0,1))</f>
        <v>112-19150 Lougheed Hwy</v>
      </c>
      <c r="AE1242" s="55" t="str">
        <f>IF($AC1242="","",_xlfn.XLOOKUP($AC1242,'[2]Client Info'!$C$2:$C$2715,'[2]Client Info'!$E$2:$E$2715,"",))</f>
        <v>Pitt Meadows</v>
      </c>
      <c r="AF1242" s="55" t="str">
        <f>IF($AC1242="","",_xlfn.XLOOKUP($AC1242,'[2]Client Info'!$C$2:$C$2715,'[2]Client Info'!$F$2:$F$2715,"",0,1))</f>
        <v xml:space="preserve">BC </v>
      </c>
      <c r="AG1242" s="55" t="s">
        <v>106</v>
      </c>
      <c r="AH1242" s="26" t="str">
        <f>_xlfn.XLOOKUP(Table26[[#This Row],[customerSKU]],customerSKU!G:G,customerSKU!K:K,"NA",0,1)</f>
        <v>NA</v>
      </c>
      <c r="AI1242" s="43" t="str">
        <f>_xlfn.XLOOKUP(Table26[[#This Row],[customerSKU]],customerSKU!G:G,customerSKU!O:O,"not found",0,1)</f>
        <v>not found</v>
      </c>
      <c r="AJ1242" s="22" t="e">
        <f>Table26[[#This Row],[unitprice]]*Table26[[#This Row],[quantity_unit]]</f>
        <v>#VALUE!</v>
      </c>
      <c r="AK1242" s="117" t="e" cm="1">
        <f t="array" ref="AK12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3" spans="1:37" ht="18" customHeight="1">
      <c r="A1243" s="42">
        <v>1015</v>
      </c>
      <c r="B1243" s="42" t="s">
        <v>3357</v>
      </c>
      <c r="C1243" s="53" t="s">
        <v>203</v>
      </c>
      <c r="E1243" s="20"/>
      <c r="F1243" s="25"/>
      <c r="G1243" s="93"/>
      <c r="J1243" s="90" t="str">
        <f>IF(Table26[[#This Row],[customerSKU]]="","",_xlfn.XLOOKUP(Table26[[#This Row],[customerSKU]],customerSKU!G:G,customerSKU!A:A,"",0,1))</f>
        <v/>
      </c>
      <c r="K1243" s="232">
        <v>45733</v>
      </c>
      <c r="L1243" s="49" t="str">
        <f>IF(Table26[[#This Row],[customerSKU]]="","",_xlfn.XLOOKUP(Table26[[#This Row],[customerSKU]],customerSKU!G:G,customerSKU!B:B,"",0,1))</f>
        <v/>
      </c>
      <c r="M1243" s="22"/>
      <c r="N1243" s="15" t="str">
        <f>Table26[[#This Row],[po_number]]&amp;"-"&amp;Table26[[#This Row],[po_line]]</f>
        <v>-8</v>
      </c>
      <c r="O1243" s="15">
        <v>8</v>
      </c>
      <c r="P1243" s="50"/>
      <c r="Q1243" s="22" t="s">
        <v>3378</v>
      </c>
      <c r="R1243" s="22" t="s">
        <v>221</v>
      </c>
      <c r="S1243" s="90" t="str">
        <f>IF(Table26[[#This Row],[customerSKU]]="","",_xlfn.XLOOKUP(Table26[[#This Row],[customerSKU]],customerSKU!G:G,customerSKU!N:N,"NOT FOUND",0,1))</f>
        <v>NOT FOUND</v>
      </c>
      <c r="T1243" s="20">
        <v>45666</v>
      </c>
      <c r="U1243" s="94">
        <v>12</v>
      </c>
      <c r="V1243" s="22" t="str">
        <f>IF(ISBLANK(Table26[[#This Row],[customerSKU]]),"",_xlfn.XLOOKUP(Table26[[#This Row],[customerSKU]],Table27[customer_SKU],Table27[case_size],"",0,1))</f>
        <v/>
      </c>
      <c r="W1243" s="117" t="str">
        <f t="shared" si="55"/>
        <v/>
      </c>
      <c r="X1243" s="22" t="str">
        <f t="shared" si="56"/>
        <v/>
      </c>
      <c r="Y1243" s="25" t="str">
        <f>IF(Table26[[#This Row],[customerSKU]]="","",_xlfn.XLOOKUP(Table26[[#This Row],[customerSKU]],Table27[customer_SKU],Table27[product_GTIN],"",0,1))</f>
        <v/>
      </c>
      <c r="Z1243" s="25" t="s">
        <v>3379</v>
      </c>
      <c r="AA1243" s="18" t="str" cm="1">
        <f t="array" ref="AA1243">IF(P1243="", "", _xlfn.XLOOKUP(P1243,#REF!,#REF!,NA,0,-1))</f>
        <v/>
      </c>
      <c r="AB1243" s="22"/>
      <c r="AC1243" s="55" t="s">
        <v>106</v>
      </c>
      <c r="AD1243" s="55" t="str">
        <f>IF($AC1243="","",_xlfn.XLOOKUP($AC1243,'[2]Client Info'!$C$2:$C$2535,'[2]Client Info'!$D$2:$D$2535,"",0,1))</f>
        <v>112-19150 Lougheed Hwy</v>
      </c>
      <c r="AE1243" s="55" t="str">
        <f>IF($AC1243="","",_xlfn.XLOOKUP($AC1243,'[2]Client Info'!$C$2:$C$2715,'[2]Client Info'!$E$2:$E$2715,"",))</f>
        <v>Pitt Meadows</v>
      </c>
      <c r="AF1243" s="55" t="str">
        <f>IF($AC1243="","",_xlfn.XLOOKUP($AC1243,'[2]Client Info'!$C$2:$C$2715,'[2]Client Info'!$F$2:$F$2715,"",0,1))</f>
        <v xml:space="preserve">BC </v>
      </c>
      <c r="AG1243" s="55" t="s">
        <v>106</v>
      </c>
      <c r="AH1243" s="26" t="str">
        <f>_xlfn.XLOOKUP(Table26[[#This Row],[customerSKU]],customerSKU!G:G,customerSKU!K:K,"NA",0,1)</f>
        <v>NA</v>
      </c>
      <c r="AI1243" s="43" t="str">
        <f>_xlfn.XLOOKUP(Table26[[#This Row],[customerSKU]],customerSKU!G:G,customerSKU!O:O,"not found",0,1)</f>
        <v>not found</v>
      </c>
      <c r="AJ1243" s="22" t="e">
        <f>Table26[[#This Row],[unitprice]]*Table26[[#This Row],[quantity_unit]]</f>
        <v>#VALUE!</v>
      </c>
      <c r="AK1243" s="117" t="e" cm="1">
        <f t="array" ref="AK12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4" spans="1:37" ht="18" customHeight="1">
      <c r="A1244" s="42">
        <v>1005</v>
      </c>
      <c r="B1244" s="42" t="s">
        <v>3357</v>
      </c>
      <c r="C1244" s="53" t="s">
        <v>203</v>
      </c>
      <c r="E1244" s="20"/>
      <c r="F1244" s="25"/>
      <c r="G1244" s="119"/>
      <c r="I1244" s="203">
        <v>45730</v>
      </c>
      <c r="J1244" s="90" t="str">
        <f>IF(Table26[[#This Row],[customerSKU]]="","",_xlfn.XLOOKUP(Table26[[#This Row],[customerSKU]],customerSKU!G:G,customerSKU!A:A,"",0,1))</f>
        <v/>
      </c>
      <c r="K1244" s="232">
        <v>45734</v>
      </c>
      <c r="L1244" s="49" t="str">
        <f>IF(Table26[[#This Row],[customerSKU]]="","",_xlfn.XLOOKUP(Table26[[#This Row],[customerSKU]],customerSKU!G:G,customerSKU!B:B,"",0,1))</f>
        <v/>
      </c>
      <c r="M1244" s="22"/>
      <c r="N1244" s="15" t="str">
        <f>Table26[[#This Row],[po_number]]&amp;"-"&amp;Table26[[#This Row],[po_line]]</f>
        <v>-1</v>
      </c>
      <c r="O1244" s="15">
        <v>1</v>
      </c>
      <c r="P1244" s="50"/>
      <c r="Q1244" s="22" t="s">
        <v>3305</v>
      </c>
      <c r="R1244" s="22" t="s">
        <v>569</v>
      </c>
      <c r="S1244" s="90" t="str">
        <f>IF(Table26[[#This Row],[customerSKU]]="","",_xlfn.XLOOKUP(Table26[[#This Row],[customerSKU]],customerSKU!G:G,customerSKU!N:N,"NOT FOUND",0,1))</f>
        <v>NOT FOUND</v>
      </c>
      <c r="T1244" s="20">
        <v>45730</v>
      </c>
      <c r="U1244" s="94">
        <f>41*12</f>
        <v>492</v>
      </c>
      <c r="V1244" s="22" t="str">
        <f>IF(ISBLANK(Table26[[#This Row],[customerSKU]]),"",_xlfn.XLOOKUP(Table26[[#This Row],[customerSKU]],Table27[customer_SKU],Table27[case_size],"",0,1))</f>
        <v/>
      </c>
      <c r="W1244" s="117" t="str">
        <f t="shared" si="55"/>
        <v/>
      </c>
      <c r="X1244" s="22" t="str">
        <f t="shared" si="56"/>
        <v/>
      </c>
      <c r="Y1244" s="25" t="str">
        <f>IF(Table26[[#This Row],[customerSKU]]="","",_xlfn.XLOOKUP(Table26[[#This Row],[customerSKU]],Table27[customer_SKU],Table27[product_GTIN],"",0,1))</f>
        <v/>
      </c>
      <c r="Z1244" s="25" t="s">
        <v>3358</v>
      </c>
      <c r="AA1244" s="18" t="str" cm="1">
        <f t="array" ref="AA1244">IF(P1244="", "", _xlfn.XLOOKUP(P1244,#REF!,#REF!,NA,0,-1))</f>
        <v/>
      </c>
      <c r="AB1244" s="22"/>
      <c r="AC1244" s="55" t="str">
        <f>IF(Table26[[#This Row],[customerSKU]]="","",_xlfn.XLOOKUP(Table26[[#This Row],[customerSKU]],customerSKU!G:G,customerSKU!C:C,"",0,1))</f>
        <v/>
      </c>
      <c r="AD1244" s="55" t="str">
        <f>IF($AC1244="","",_xlfn.XLOOKUP($AC1244,'[2]Client Info'!$C$2:$C$2535,'[2]Client Info'!$D$2:$D$2535,"",0,1))</f>
        <v/>
      </c>
      <c r="AE1244" s="55" t="str">
        <f>IF($AC1244="","",_xlfn.XLOOKUP($AC1244,'[2]Client Info'!$C$2:$C$2715,'[2]Client Info'!$E$2:$E$2715,"",))</f>
        <v/>
      </c>
      <c r="AF1244" s="55" t="str">
        <f>IF($AC1244="","",_xlfn.XLOOKUP($AC1244,'[2]Client Info'!$C$2:$C$2715,'[2]Client Info'!$F$2:$F$2715,"",0,1))</f>
        <v/>
      </c>
      <c r="AG1244" s="55" t="str">
        <f>IF(ISBLANK(Table26[[#This Row],[customerSKU]]),"",_xlfn.XLOOKUP(Table26[[#This Row],[customerSKU]],Table27[customer_SKU],Table27[billto],"",0,1))</f>
        <v/>
      </c>
      <c r="AH1244" s="26" t="str">
        <f>_xlfn.XLOOKUP(Table26[[#This Row],[customerSKU]],customerSKU!G:G,customerSKU!K:K,"NA",0,1)</f>
        <v>NA</v>
      </c>
      <c r="AI1244" s="43" t="str">
        <f>_xlfn.XLOOKUP(Table26[[#This Row],[customerSKU]],customerSKU!G:G,customerSKU!O:O,"not found",0,1)</f>
        <v>not found</v>
      </c>
      <c r="AJ1244" s="22" t="e">
        <f>Table26[[#This Row],[unitprice]]*Table26[[#This Row],[quantity_unit]]</f>
        <v>#VALUE!</v>
      </c>
      <c r="AK1244" s="117" t="e" cm="1">
        <f t="array" ref="AK1244">_xlfn.IFS(Table26[[#This Row],[sales_stream]]="BCDD_BURB",Table26[[#This Row],[Product Price]]*1.05,Table26[[#This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Price]],Table26[[#This Row],[sales_stream]]="OCS_redistribution",Table26[[#This Row],[Product Price]]*1.13)</f>
        <v>#N/A</v>
      </c>
    </row>
    <row r="1245" spans="1:37" ht="18" customHeight="1">
      <c r="A1245" s="42">
        <v>1006</v>
      </c>
      <c r="B1245" s="42" t="s">
        <v>3357</v>
      </c>
      <c r="C1245" s="53" t="s">
        <v>203</v>
      </c>
      <c r="E1245" s="20"/>
      <c r="F1245" s="25"/>
      <c r="G1245" s="119"/>
      <c r="I1245" s="203">
        <v>45730</v>
      </c>
      <c r="J1245" s="90" t="str">
        <f>IF(Table26[[#This Row],[customerSKU]]="","",_xlfn.XLOOKUP(Table26[[#This Row],[customerSKU]],customerSKU!G:G,customerSKU!A:A,"",0,1))</f>
        <v/>
      </c>
      <c r="K1245" s="232">
        <v>45734</v>
      </c>
      <c r="L1245" s="49" t="str">
        <f>IF(Table26[[#This Row],[customerSKU]]="","",_xlfn.XLOOKUP(Table26[[#This Row],[customerSKU]],customerSKU!G:G,customerSKU!B:B,"",0,1))</f>
        <v/>
      </c>
      <c r="M1245" s="22"/>
      <c r="N1245" s="15" t="str">
        <f>Table26[[#This Row],[po_number]]&amp;"-"&amp;Table26[[#This Row],[po_line]]</f>
        <v>-2</v>
      </c>
      <c r="O1245" s="15">
        <v>2</v>
      </c>
      <c r="P1245" s="50"/>
      <c r="Q1245" s="22" t="s">
        <v>3311</v>
      </c>
      <c r="R1245" s="22" t="s">
        <v>569</v>
      </c>
      <c r="S1245" s="90" t="str">
        <f>IF(Table26[[#This Row],[customerSKU]]="","",_xlfn.XLOOKUP(Table26[[#This Row],[customerSKU]],customerSKU!G:G,customerSKU!N:N,"NOT FOUND",0,1))</f>
        <v>NOT FOUND</v>
      </c>
      <c r="T1245" s="20">
        <v>45723</v>
      </c>
      <c r="U1245" s="94">
        <f>41*12</f>
        <v>492</v>
      </c>
      <c r="V1245" s="22" t="str">
        <f>IF(ISBLANK(Table26[[#This Row],[customerSKU]]),"",_xlfn.XLOOKUP(Table26[[#This Row],[customerSKU]],Table27[customer_SKU],Table27[case_size],"",0,1))</f>
        <v/>
      </c>
      <c r="W1245" s="117" t="str">
        <f t="shared" si="55"/>
        <v/>
      </c>
      <c r="X1245" s="22" t="str">
        <f t="shared" si="56"/>
        <v/>
      </c>
      <c r="Y1245" s="25" t="str">
        <f>IF(Table26[[#This Row],[customerSKU]]="","",_xlfn.XLOOKUP(Table26[[#This Row],[customerSKU]],Table27[customer_SKU],Table27[product_GTIN],"",0,1))</f>
        <v/>
      </c>
      <c r="Z1245" s="25" t="s">
        <v>3359</v>
      </c>
      <c r="AA1245" s="18" t="str" cm="1">
        <f t="array" ref="AA1245">IF(P1245="", "", _xlfn.XLOOKUP(P1245,#REF!,#REF!,NA,0,-1))</f>
        <v/>
      </c>
      <c r="AB1245" s="22"/>
      <c r="AC1245" s="55" t="str">
        <f>IF(Table26[[#This Row],[customerSKU]]="","",_xlfn.XLOOKUP(Table26[[#This Row],[customerSKU]],customerSKU!G:G,customerSKU!C:C,"",0,1))</f>
        <v/>
      </c>
      <c r="AD1245" s="55" t="str">
        <f>IF($AC1245="","",_xlfn.XLOOKUP($AC1245,'[2]Client Info'!$C$2:$C$2535,'[2]Client Info'!$D$2:$D$2535,"",0,1))</f>
        <v/>
      </c>
      <c r="AE1245" s="55" t="str">
        <f>IF($AC1245="","",_xlfn.XLOOKUP($AC1245,'[2]Client Info'!$C$2:$C$2715,'[2]Client Info'!$E$2:$E$2715,"",))</f>
        <v/>
      </c>
      <c r="AF1245" s="55" t="str">
        <f>IF($AC1245="","",_xlfn.XLOOKUP($AC1245,'[2]Client Info'!$C$2:$C$2715,'[2]Client Info'!$F$2:$F$2715,"",0,1))</f>
        <v/>
      </c>
      <c r="AG1245" s="55" t="str">
        <f>IF(ISBLANK(Table26[[#This Row],[customerSKU]]),"",_xlfn.XLOOKUP(Table26[[#This Row],[customerSKU]],Table27[customer_SKU],Table27[billto],"",0,1))</f>
        <v/>
      </c>
      <c r="AH1245" s="26" t="str">
        <f>_xlfn.XLOOKUP(Table26[[#This Row],[customerSKU]],customerSKU!G:G,customerSKU!K:K,"NA",0,1)</f>
        <v>NA</v>
      </c>
      <c r="AI1245" s="43" t="str">
        <f>_xlfn.XLOOKUP(Table26[[#This Row],[customerSKU]],customerSKU!G:G,customerSKU!O:O,"not found",0,1)</f>
        <v>not found</v>
      </c>
      <c r="AJ1245" s="22" t="e">
        <f>Table26[[#This Row],[unitprice]]*Table26[[#This Row],[quantity_unit]]</f>
        <v>#VALUE!</v>
      </c>
      <c r="AK1245" s="117" t="e" cm="1">
        <f t="array" ref="AK1245">_xlfn.IFS(Table26[[#This Row],[sales_stream]]="BCDD_BURB",Table26[[#This Row],[Product Price]]*1.05,Table26[[#This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Price]],Table26[[#This Row],[sales_stream]]="OCS_redistribution",Table26[[#This Row],[Product Price]]*1.13)</f>
        <v>#N/A</v>
      </c>
    </row>
    <row r="1246" spans="1:37" ht="18" customHeight="1">
      <c r="A1246" s="42">
        <v>1007</v>
      </c>
      <c r="B1246" s="42" t="s">
        <v>3357</v>
      </c>
      <c r="C1246" s="53" t="s">
        <v>3360</v>
      </c>
      <c r="E1246" s="20"/>
      <c r="F1246" s="25"/>
      <c r="G1246" s="93"/>
      <c r="I1246" s="203">
        <v>45734</v>
      </c>
      <c r="J1246" s="90" t="str">
        <f>IF(Table26[[#This Row],[customerSKU]]="","",_xlfn.XLOOKUP(Table26[[#This Row],[customerSKU]],customerSKU!G:G,customerSKU!A:A,"",0,1))</f>
        <v/>
      </c>
      <c r="K1246" s="232">
        <v>45734</v>
      </c>
      <c r="L1246" s="49" t="str">
        <f>IF(Table26[[#This Row],[customerSKU]]="","",_xlfn.XLOOKUP(Table26[[#This Row],[customerSKU]],customerSKU!G:G,customerSKU!B:B,"",0,1))</f>
        <v/>
      </c>
      <c r="M1246" s="22"/>
      <c r="N1246" s="15" t="str">
        <f>Table26[[#This Row],[po_number]]&amp;"-"&amp;Table26[[#This Row],[po_line]]</f>
        <v>-1</v>
      </c>
      <c r="O1246" s="15">
        <v>1</v>
      </c>
      <c r="P1246" s="50"/>
      <c r="S1246" s="90" t="str">
        <f>IF(Table26[[#This Row],[customerSKU]]="","",_xlfn.XLOOKUP(Table26[[#This Row],[customerSKU]],customerSKU!G:G,customerSKU!N:N,"NOT FOUND",0,1))</f>
        <v>NOT FOUND</v>
      </c>
      <c r="T1246" s="20"/>
      <c r="U1246" s="94">
        <v>12</v>
      </c>
      <c r="V1246" s="22" t="str">
        <f>IF(ISBLANK(Table26[[#This Row],[customerSKU]]),"",_xlfn.XLOOKUP(Table26[[#This Row],[customerSKU]],Table27[customer_SKU],Table27[case_size],"",0,1))</f>
        <v/>
      </c>
      <c r="W1246" s="117" t="str">
        <f t="shared" si="55"/>
        <v/>
      </c>
      <c r="X1246" s="22" t="str">
        <f t="shared" si="56"/>
        <v/>
      </c>
      <c r="Y1246" s="25" t="str">
        <f>IF(Table26[[#This Row],[customerSKU]]="","",_xlfn.XLOOKUP(Table26[[#This Row],[customerSKU]],Table27[customer_SKU],Table27[product_GTIN],"",0,1))</f>
        <v/>
      </c>
      <c r="Z1246" s="25">
        <v>61619</v>
      </c>
      <c r="AA1246" s="18" t="str" cm="1">
        <f t="array" ref="AA1246">IF(P1246="", "", _xlfn.XLOOKUP(P1246,#REF!,#REF!,NA,0,-1))</f>
        <v/>
      </c>
      <c r="AB1246" s="22"/>
      <c r="AC1246" s="55" t="str">
        <f>IF(Table26[[#This Row],[customerSKU]]="","",_xlfn.XLOOKUP(Table26[[#This Row],[customerSKU]],customerSKU!G:G,customerSKU!C:C,"",0,1))</f>
        <v/>
      </c>
      <c r="AD1246" s="55" t="str">
        <f>IF($AC1246="","",_xlfn.XLOOKUP($AC1246,'[2]Client Info'!$C$2:$C$2535,'[2]Client Info'!$D$2:$D$2535,"",0,1))</f>
        <v/>
      </c>
      <c r="AE1246" s="55" t="str">
        <f>IF($AC1246="","",_xlfn.XLOOKUP($AC1246,'[2]Client Info'!$C$2:$C$2715,'[2]Client Info'!$E$2:$E$2715,"",))</f>
        <v/>
      </c>
      <c r="AF1246" s="55" t="str">
        <f>IF($AC1246="","",_xlfn.XLOOKUP($AC1246,'[2]Client Info'!$C$2:$C$2715,'[2]Client Info'!$F$2:$F$2715,"",0,1))</f>
        <v/>
      </c>
      <c r="AG1246" s="55" t="str">
        <f>IF(ISBLANK(Table26[[#This Row],[customerSKU]]),"",_xlfn.XLOOKUP(Table26[[#This Row],[customerSKU]],Table27[customer_SKU],Table27[billto],"",0,1))</f>
        <v/>
      </c>
      <c r="AH1246" s="26" t="str">
        <f>_xlfn.XLOOKUP(Table26[[#This Row],[customerSKU]],customerSKU!G:G,customerSKU!K:K,"NA",0,1)</f>
        <v>NA</v>
      </c>
      <c r="AI1246" s="43" t="str">
        <f>_xlfn.XLOOKUP(Table26[[#This Row],[customerSKU]],customerSKU!G:G,customerSKU!O:O,"not found",0,1)</f>
        <v>not found</v>
      </c>
      <c r="AJ1246" s="22" t="e">
        <f>Table26[[#This Row],[unitprice]]*Table26[[#This Row],[quantity_unit]]</f>
        <v>#VALUE!</v>
      </c>
      <c r="AK1246" s="117" t="e" cm="1">
        <f t="array" ref="AK12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7" spans="1:37" ht="18" customHeight="1">
      <c r="A1247" s="42">
        <v>984</v>
      </c>
      <c r="B1247" s="42" t="s">
        <v>3357</v>
      </c>
      <c r="C1247" s="53" t="s">
        <v>203</v>
      </c>
      <c r="E1247" s="20"/>
      <c r="F1247" s="25"/>
      <c r="G1247" s="93"/>
      <c r="I1247" s="203">
        <v>45735</v>
      </c>
      <c r="J1247" s="90" t="str">
        <f>IF(Table26[[#This Row],[customerSKU]]="","",_xlfn.XLOOKUP(Table26[[#This Row],[customerSKU]],customerSKU!G:G,customerSKU!A:A,"",0,1))</f>
        <v/>
      </c>
      <c r="K1247" s="232">
        <v>45735</v>
      </c>
      <c r="L1247" s="49" t="str">
        <f>IF(Table26[[#This Row],[customerSKU]]="","",_xlfn.XLOOKUP(Table26[[#This Row],[customerSKU]],customerSKU!G:G,customerSKU!B:B,"",0,1))</f>
        <v/>
      </c>
      <c r="M1247" s="22"/>
      <c r="N1247" s="15" t="str">
        <f>Table26[[#This Row],[po_number]]&amp;"-"&amp;Table26[[#This Row],[po_line]]</f>
        <v>-1</v>
      </c>
      <c r="O1247" s="15">
        <v>1</v>
      </c>
      <c r="P1247" s="50"/>
      <c r="Q1247" s="22" t="s">
        <v>3368</v>
      </c>
      <c r="R1247" s="22" t="s">
        <v>3369</v>
      </c>
      <c r="S1247" s="90" t="str">
        <f>IF(Table26[[#This Row],[customerSKU]]="","",_xlfn.XLOOKUP(Table26[[#This Row],[customerSKU]],customerSKU!G:G,customerSKU!N:N,"NOT FOUND",0,1))</f>
        <v>NOT FOUND</v>
      </c>
      <c r="T1247" s="20">
        <v>45590</v>
      </c>
      <c r="U1247" s="94">
        <v>12</v>
      </c>
      <c r="V1247" s="22" t="str">
        <f>IF(ISBLANK(Table26[[#This Row],[customerSKU]]),"",_xlfn.XLOOKUP(Table26[[#This Row],[customerSKU]],Table27[customer_SKU],Table27[case_size],"",0,1))</f>
        <v/>
      </c>
      <c r="W1247" s="117" t="str">
        <f t="shared" si="55"/>
        <v/>
      </c>
      <c r="X1247" s="22" t="str">
        <f t="shared" si="56"/>
        <v/>
      </c>
      <c r="Y1247" s="25" t="str">
        <f>IF(Table26[[#This Row],[customerSKU]]="","",_xlfn.XLOOKUP(Table26[[#This Row],[customerSKU]],Table27[customer_SKU],Table27[product_GTIN],"",0,1))</f>
        <v/>
      </c>
      <c r="Z1247" s="25" t="s">
        <v>3370</v>
      </c>
      <c r="AA1247" s="18" t="str" cm="1">
        <f t="array" ref="AA1247">IF(P1247="", "", _xlfn.XLOOKUP(P1247,#REF!,#REF!,NA,0,-1))</f>
        <v/>
      </c>
      <c r="AB1247" s="22"/>
      <c r="AC1247" s="55" t="s">
        <v>167</v>
      </c>
      <c r="AD1247" s="55" t="str">
        <f>IF($AC1247="","",_xlfn.XLOOKUP($AC1247,'[2]Client Info'!$C$2:$C$2535,'[2]Client Info'!$D$2:$D$2535,"",0,1))</f>
        <v>726 Kingsway</v>
      </c>
      <c r="AE1247" s="55" t="str">
        <f>IF($AC1247="","",_xlfn.XLOOKUP($AC1247,'[2]Client Info'!$C$2:$C$2715,'[2]Client Info'!$E$2:$E$2715,"",))</f>
        <v>Vancouver</v>
      </c>
      <c r="AF1247" s="55" t="str">
        <f>IF($AC1247="","",_xlfn.XLOOKUP($AC1247,'[2]Client Info'!$C$2:$C$2715,'[2]Client Info'!$F$2:$F$2715,"",0,1))</f>
        <v xml:space="preserve">BC </v>
      </c>
      <c r="AG1247" s="55" t="s">
        <v>167</v>
      </c>
      <c r="AH1247" s="26" t="str">
        <f>_xlfn.XLOOKUP(Table26[[#This Row],[customerSKU]],customerSKU!G:G,customerSKU!K:K,"NA",0,1)</f>
        <v>NA</v>
      </c>
      <c r="AI1247" s="43" t="str">
        <f>_xlfn.XLOOKUP(Table26[[#This Row],[customerSKU]],customerSKU!G:G,customerSKU!O:O,"not found",0,1)</f>
        <v>not found</v>
      </c>
      <c r="AJ1247" s="22" t="e">
        <f>Table26[[#This Row],[unitprice]]*Table26[[#This Row],[quantity_unit]]</f>
        <v>#VALUE!</v>
      </c>
      <c r="AK1247" s="117" t="e" cm="1">
        <f t="array" ref="AK12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8" spans="1:37" ht="18" customHeight="1">
      <c r="A1248" s="42">
        <v>985</v>
      </c>
      <c r="B1248" s="42" t="s">
        <v>3357</v>
      </c>
      <c r="C1248" s="53" t="s">
        <v>203</v>
      </c>
      <c r="E1248" s="20"/>
      <c r="F1248" s="25"/>
      <c r="G1248" s="93"/>
      <c r="I1248" s="203">
        <v>45735</v>
      </c>
      <c r="J1248" s="90" t="str">
        <f>IF(Table26[[#This Row],[customerSKU]]="","",_xlfn.XLOOKUP(Table26[[#This Row],[customerSKU]],customerSKU!G:G,customerSKU!A:A,"",0,1))</f>
        <v/>
      </c>
      <c r="K1248" s="232">
        <v>45735</v>
      </c>
      <c r="L1248" s="49" t="str">
        <f>IF(Table26[[#This Row],[customerSKU]]="","",_xlfn.XLOOKUP(Table26[[#This Row],[customerSKU]],customerSKU!G:G,customerSKU!B:B,"",0,1))</f>
        <v/>
      </c>
      <c r="M1248" s="22"/>
      <c r="N1248" s="15" t="str">
        <f>Table26[[#This Row],[po_number]]&amp;"-"&amp;Table26[[#This Row],[po_line]]</f>
        <v>-2</v>
      </c>
      <c r="O1248" s="15">
        <v>2</v>
      </c>
      <c r="P1248" s="50"/>
      <c r="Q1248" s="22" t="s">
        <v>565</v>
      </c>
      <c r="R1248" s="22" t="s">
        <v>3302</v>
      </c>
      <c r="S1248" s="90" t="str">
        <f>IF(Table26[[#This Row],[customerSKU]]="","",_xlfn.XLOOKUP(Table26[[#This Row],[customerSKU]],customerSKU!G:G,customerSKU!N:N,"NOT FOUND",0,1))</f>
        <v>NOT FOUND</v>
      </c>
      <c r="T1248" s="20">
        <v>45707</v>
      </c>
      <c r="U1248" s="94">
        <v>24</v>
      </c>
      <c r="V1248" s="22" t="str">
        <f>IF(ISBLANK(Table26[[#This Row],[customerSKU]]),"",_xlfn.XLOOKUP(Table26[[#This Row],[customerSKU]],Table27[customer_SKU],Table27[case_size],"",0,1))</f>
        <v/>
      </c>
      <c r="W1248" s="117" t="str">
        <f t="shared" si="55"/>
        <v/>
      </c>
      <c r="X1248" s="22" t="str">
        <f t="shared" si="56"/>
        <v/>
      </c>
      <c r="Y1248" s="25" t="str">
        <f>IF(Table26[[#This Row],[customerSKU]]="","",_xlfn.XLOOKUP(Table26[[#This Row],[customerSKU]],Table27[customer_SKU],Table27[product_GTIN],"",0,1))</f>
        <v/>
      </c>
      <c r="Z1248" s="25" t="s">
        <v>3373</v>
      </c>
      <c r="AA1248" s="18" t="str" cm="1">
        <f t="array" ref="AA1248">IF(P1248="", "", _xlfn.XLOOKUP(P1248,#REF!,#REF!,NA,0,-1))</f>
        <v/>
      </c>
      <c r="AB1248" s="22"/>
      <c r="AC1248" s="55" t="s">
        <v>167</v>
      </c>
      <c r="AD1248" s="55" t="str">
        <f>IF($AC1248="","",_xlfn.XLOOKUP($AC1248,'[2]Client Info'!$C$2:$C$2535,'[2]Client Info'!$D$2:$D$2535,"",0,1))</f>
        <v>726 Kingsway</v>
      </c>
      <c r="AE1248" s="55" t="str">
        <f>IF($AC1248="","",_xlfn.XLOOKUP($AC1248,'[2]Client Info'!$C$2:$C$2715,'[2]Client Info'!$E$2:$E$2715,"",))</f>
        <v>Vancouver</v>
      </c>
      <c r="AF1248" s="55" t="str">
        <f>IF($AC1248="","",_xlfn.XLOOKUP($AC1248,'[2]Client Info'!$C$2:$C$2715,'[2]Client Info'!$F$2:$F$2715,"",0,1))</f>
        <v xml:space="preserve">BC </v>
      </c>
      <c r="AG1248" s="55" t="s">
        <v>167</v>
      </c>
      <c r="AH1248" s="26" t="str">
        <f>_xlfn.XLOOKUP(Table26[[#This Row],[customerSKU]],customerSKU!G:G,customerSKU!K:K,"NA",0,1)</f>
        <v>NA</v>
      </c>
      <c r="AI1248" s="43" t="str">
        <f>_xlfn.XLOOKUP(Table26[[#This Row],[customerSKU]],customerSKU!G:G,customerSKU!O:O,"not found",0,1)</f>
        <v>not found</v>
      </c>
      <c r="AJ1248" s="22" t="e">
        <f>Table26[[#This Row],[unitprice]]*Table26[[#This Row],[quantity_unit]]</f>
        <v>#VALUE!</v>
      </c>
      <c r="AK1248" s="117" t="e" cm="1">
        <f t="array" ref="AK12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49" spans="1:37" ht="18" customHeight="1">
      <c r="A1249" s="42">
        <v>986</v>
      </c>
      <c r="B1249" s="42" t="s">
        <v>3357</v>
      </c>
      <c r="C1249" s="53" t="s">
        <v>203</v>
      </c>
      <c r="E1249" s="20"/>
      <c r="F1249" s="25"/>
      <c r="G1249" s="93"/>
      <c r="I1249" s="203">
        <v>45735</v>
      </c>
      <c r="J1249" s="90" t="str">
        <f>IF(Table26[[#This Row],[customerSKU]]="","",_xlfn.XLOOKUP(Table26[[#This Row],[customerSKU]],customerSKU!G:G,customerSKU!A:A,"",0,1))</f>
        <v/>
      </c>
      <c r="K1249" s="232">
        <v>45735</v>
      </c>
      <c r="L1249" s="49" t="str">
        <f>IF(Table26[[#This Row],[customerSKU]]="","",_xlfn.XLOOKUP(Table26[[#This Row],[customerSKU]],customerSKU!G:G,customerSKU!B:B,"",0,1))</f>
        <v/>
      </c>
      <c r="M1249" s="22"/>
      <c r="N1249" s="15" t="str">
        <f>Table26[[#This Row],[po_number]]&amp;"-"&amp;Table26[[#This Row],[po_line]]</f>
        <v>-3</v>
      </c>
      <c r="O1249" s="15">
        <v>3</v>
      </c>
      <c r="P1249" s="50"/>
      <c r="Q1249" s="22" t="s">
        <v>574</v>
      </c>
      <c r="R1249" s="22" t="s">
        <v>3302</v>
      </c>
      <c r="S1249" s="90" t="str">
        <f>IF(Table26[[#This Row],[customerSKU]]="","",_xlfn.XLOOKUP(Table26[[#This Row],[customerSKU]],customerSKU!G:G,customerSKU!N:N,"NOT FOUND",0,1))</f>
        <v>NOT FOUND</v>
      </c>
      <c r="T1249" s="20">
        <v>45728</v>
      </c>
      <c r="U1249" s="94">
        <v>48</v>
      </c>
      <c r="V1249" s="22" t="str">
        <f>IF(ISBLANK(Table26[[#This Row],[customerSKU]]),"",_xlfn.XLOOKUP(Table26[[#This Row],[customerSKU]],Table27[customer_SKU],Table27[case_size],"",0,1))</f>
        <v/>
      </c>
      <c r="W1249" s="117" t="str">
        <f t="shared" si="55"/>
        <v/>
      </c>
      <c r="X1249" s="22" t="str">
        <f t="shared" si="56"/>
        <v/>
      </c>
      <c r="Y1249" s="25" t="str">
        <f>IF(Table26[[#This Row],[customerSKU]]="","",_xlfn.XLOOKUP(Table26[[#This Row],[customerSKU]],Table27[customer_SKU],Table27[product_GTIN],"",0,1))</f>
        <v/>
      </c>
      <c r="Z1249" s="25" t="s">
        <v>3366</v>
      </c>
      <c r="AA1249" s="18" t="str" cm="1">
        <f t="array" ref="AA1249">IF(P1249="", "", _xlfn.XLOOKUP(P1249,#REF!,#REF!,NA,0,-1))</f>
        <v/>
      </c>
      <c r="AB1249" s="22"/>
      <c r="AC1249" s="55" t="s">
        <v>167</v>
      </c>
      <c r="AD1249" s="55" t="str">
        <f>IF($AC1249="","",_xlfn.XLOOKUP($AC1249,'[2]Client Info'!$C$2:$C$2535,'[2]Client Info'!$D$2:$D$2535,"",0,1))</f>
        <v>726 Kingsway</v>
      </c>
      <c r="AE1249" s="55" t="str">
        <f>IF($AC1249="","",_xlfn.XLOOKUP($AC1249,'[2]Client Info'!$C$2:$C$2715,'[2]Client Info'!$E$2:$E$2715,"",))</f>
        <v>Vancouver</v>
      </c>
      <c r="AF1249" s="55" t="str">
        <f>IF($AC1249="","",_xlfn.XLOOKUP($AC1249,'[2]Client Info'!$C$2:$C$2715,'[2]Client Info'!$F$2:$F$2715,"",0,1))</f>
        <v xml:space="preserve">BC </v>
      </c>
      <c r="AG1249" s="55" t="s">
        <v>167</v>
      </c>
      <c r="AH1249" s="26" t="str">
        <f>_xlfn.XLOOKUP(Table26[[#This Row],[customerSKU]],customerSKU!G:G,customerSKU!K:K,"NA",0,1)</f>
        <v>NA</v>
      </c>
      <c r="AI1249" s="43" t="str">
        <f>_xlfn.XLOOKUP(Table26[[#This Row],[customerSKU]],customerSKU!G:G,customerSKU!O:O,"not found",0,1)</f>
        <v>not found</v>
      </c>
      <c r="AJ1249" s="22" t="e">
        <f>Table26[[#This Row],[unitprice]]*Table26[[#This Row],[quantity_unit]]</f>
        <v>#VALUE!</v>
      </c>
      <c r="AK1249" s="117" t="e" cm="1">
        <f t="array" ref="AK12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0" spans="1:37" ht="18" customHeight="1">
      <c r="A1250" s="42">
        <v>987</v>
      </c>
      <c r="B1250" s="42" t="s">
        <v>3357</v>
      </c>
      <c r="C1250" s="53" t="s">
        <v>203</v>
      </c>
      <c r="E1250" s="20"/>
      <c r="F1250" s="25"/>
      <c r="G1250" s="93"/>
      <c r="I1250" s="203">
        <v>45735</v>
      </c>
      <c r="J1250" s="90" t="str">
        <f>IF(Table26[[#This Row],[customerSKU]]="","",_xlfn.XLOOKUP(Table26[[#This Row],[customerSKU]],customerSKU!G:G,customerSKU!A:A,"",0,1))</f>
        <v/>
      </c>
      <c r="K1250" s="232">
        <v>45735</v>
      </c>
      <c r="L1250" s="49" t="str">
        <f>IF(Table26[[#This Row],[customerSKU]]="","",_xlfn.XLOOKUP(Table26[[#This Row],[customerSKU]],customerSKU!G:G,customerSKU!B:B,"",0,1))</f>
        <v/>
      </c>
      <c r="M1250" s="22"/>
      <c r="N1250" s="15" t="str">
        <f>Table26[[#This Row],[po_number]]&amp;"-"&amp;Table26[[#This Row],[po_line]]</f>
        <v>-4</v>
      </c>
      <c r="O1250" s="15">
        <v>4</v>
      </c>
      <c r="P1250" s="50"/>
      <c r="Q1250" s="22" t="s">
        <v>1306</v>
      </c>
      <c r="R1250" s="22" t="s">
        <v>3302</v>
      </c>
      <c r="S1250" s="90" t="str">
        <f>IF(Table26[[#This Row],[customerSKU]]="","",_xlfn.XLOOKUP(Table26[[#This Row],[customerSKU]],customerSKU!G:G,customerSKU!N:N,"NOT FOUND",0,1))</f>
        <v>NOT FOUND</v>
      </c>
      <c r="T1250" s="20">
        <v>45576</v>
      </c>
      <c r="U1250" s="94">
        <v>24</v>
      </c>
      <c r="V1250" s="22" t="str">
        <f>IF(ISBLANK(Table26[[#This Row],[customerSKU]]),"",_xlfn.XLOOKUP(Table26[[#This Row],[customerSKU]],Table27[customer_SKU],Table27[case_size],"",0,1))</f>
        <v/>
      </c>
      <c r="W1250" s="117" t="str">
        <f t="shared" si="55"/>
        <v/>
      </c>
      <c r="X1250" s="22" t="str">
        <f t="shared" si="56"/>
        <v/>
      </c>
      <c r="Y1250" s="25" t="str">
        <f>IF(Table26[[#This Row],[customerSKU]]="","",_xlfn.XLOOKUP(Table26[[#This Row],[customerSKU]],Table27[customer_SKU],Table27[product_GTIN],"",0,1))</f>
        <v/>
      </c>
      <c r="Z1250" s="25" t="s">
        <v>3374</v>
      </c>
      <c r="AA1250" s="18" t="str" cm="1">
        <f t="array" ref="AA1250">IF(P1250="", "", _xlfn.XLOOKUP(P1250,#REF!,#REF!,NA,0,-1))</f>
        <v/>
      </c>
      <c r="AB1250" s="22"/>
      <c r="AC1250" s="55" t="s">
        <v>167</v>
      </c>
      <c r="AD1250" s="55" t="str">
        <f>IF($AC1250="","",_xlfn.XLOOKUP($AC1250,'[2]Client Info'!$C$2:$C$2535,'[2]Client Info'!$D$2:$D$2535,"",0,1))</f>
        <v>726 Kingsway</v>
      </c>
      <c r="AE1250" s="55" t="str">
        <f>IF($AC1250="","",_xlfn.XLOOKUP($AC1250,'[2]Client Info'!$C$2:$C$2715,'[2]Client Info'!$E$2:$E$2715,"",))</f>
        <v>Vancouver</v>
      </c>
      <c r="AF1250" s="55" t="str">
        <f>IF($AC1250="","",_xlfn.XLOOKUP($AC1250,'[2]Client Info'!$C$2:$C$2715,'[2]Client Info'!$F$2:$F$2715,"",0,1))</f>
        <v xml:space="preserve">BC </v>
      </c>
      <c r="AG1250" s="55" t="s">
        <v>167</v>
      </c>
      <c r="AH1250" s="26" t="str">
        <f>_xlfn.XLOOKUP(Table26[[#This Row],[customerSKU]],customerSKU!G:G,customerSKU!K:K,"NA",0,1)</f>
        <v>NA</v>
      </c>
      <c r="AI1250" s="43" t="str">
        <f>_xlfn.XLOOKUP(Table26[[#This Row],[customerSKU]],customerSKU!G:G,customerSKU!O:O,"not found",0,1)</f>
        <v>not found</v>
      </c>
      <c r="AJ1250" s="22" t="e">
        <f>Table26[[#This Row],[unitprice]]*Table26[[#This Row],[quantity_unit]]</f>
        <v>#VALUE!</v>
      </c>
      <c r="AK1250" s="117" t="e" cm="1">
        <f t="array" ref="AK12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1" spans="1:37" ht="18" customHeight="1">
      <c r="A1251" s="42">
        <v>988</v>
      </c>
      <c r="B1251" s="42" t="s">
        <v>3357</v>
      </c>
      <c r="C1251" s="53" t="s">
        <v>203</v>
      </c>
      <c r="E1251" s="20"/>
      <c r="F1251" s="25"/>
      <c r="G1251" s="93"/>
      <c r="I1251" s="203">
        <v>45735</v>
      </c>
      <c r="J1251" s="90" t="str">
        <f>IF(Table26[[#This Row],[customerSKU]]="","",_xlfn.XLOOKUP(Table26[[#This Row],[customerSKU]],customerSKU!G:G,customerSKU!A:A,"",0,1))</f>
        <v/>
      </c>
      <c r="K1251" s="232">
        <v>45735</v>
      </c>
      <c r="L1251" s="49" t="str">
        <f>IF(Table26[[#This Row],[customerSKU]]="","",_xlfn.XLOOKUP(Table26[[#This Row],[customerSKU]],customerSKU!G:G,customerSKU!B:B,"",0,1))</f>
        <v/>
      </c>
      <c r="M1251" s="22"/>
      <c r="N1251" s="15" t="str">
        <f>Table26[[#This Row],[po_number]]&amp;"-"&amp;Table26[[#This Row],[po_line]]</f>
        <v>-1</v>
      </c>
      <c r="O1251" s="15">
        <v>1</v>
      </c>
      <c r="P1251" s="50"/>
      <c r="Q1251" s="22" t="s">
        <v>885</v>
      </c>
      <c r="R1251" s="22" t="s">
        <v>569</v>
      </c>
      <c r="S1251" s="90" t="str">
        <f>IF(Table26[[#This Row],[customerSKU]]="","",_xlfn.XLOOKUP(Table26[[#This Row],[customerSKU]],customerSKU!G:G,customerSKU!N:N,"NOT FOUND",0,1))</f>
        <v>NOT FOUND</v>
      </c>
      <c r="T1251" s="20">
        <v>45423</v>
      </c>
      <c r="U1251" s="94">
        <v>8</v>
      </c>
      <c r="V1251" s="22" t="str">
        <f>IF(ISBLANK(Table26[[#This Row],[customerSKU]]),"",_xlfn.XLOOKUP(Table26[[#This Row],[customerSKU]],Table27[customer_SKU],Table27[case_size],"",0,1))</f>
        <v/>
      </c>
      <c r="W1251" s="117" t="str">
        <f t="shared" si="55"/>
        <v/>
      </c>
      <c r="X1251" s="22" t="str">
        <f t="shared" si="56"/>
        <v/>
      </c>
      <c r="Y1251" s="25" t="str">
        <f>IF(Table26[[#This Row],[customerSKU]]="","",_xlfn.XLOOKUP(Table26[[#This Row],[customerSKU]],Table27[customer_SKU],Table27[product_GTIN],"",0,1))</f>
        <v/>
      </c>
      <c r="Z1251" s="25">
        <v>1054766</v>
      </c>
      <c r="AA1251" s="18" t="str" cm="1">
        <f t="array" ref="AA1251">IF(P1251="", "", _xlfn.XLOOKUP(P1251,#REF!,#REF!,NA,0,-1))</f>
        <v/>
      </c>
      <c r="AB1251" s="22"/>
      <c r="AC1251" s="55" t="s">
        <v>3375</v>
      </c>
      <c r="AD1251" s="55" t="str">
        <f>IF($AC1251="","",_xlfn.XLOOKUP($AC1251,'[2]Client Info'!$C$2:$C$2535,'[2]Client Info'!$D$2:$D$2535,"",0,1))</f>
        <v>102-8860 201 Street</v>
      </c>
      <c r="AE1251" s="55" t="str">
        <f>IF($AC1251="","",_xlfn.XLOOKUP($AC1251,'[2]Client Info'!$C$2:$C$2715,'[2]Client Info'!$E$2:$E$2715,"",))</f>
        <v>Langley</v>
      </c>
      <c r="AF1251" s="55" t="str">
        <f>IF($AC1251="","",_xlfn.XLOOKUP($AC1251,'[2]Client Info'!$C$2:$C$2715,'[2]Client Info'!$F$2:$F$2715,"",0,1))</f>
        <v xml:space="preserve">BC </v>
      </c>
      <c r="AG1251" s="55" t="s">
        <v>3375</v>
      </c>
      <c r="AH1251" s="26" t="str">
        <f>_xlfn.XLOOKUP(Table26[[#This Row],[customerSKU]],customerSKU!G:G,customerSKU!K:K,"NA",0,1)</f>
        <v>NA</v>
      </c>
      <c r="AI1251" s="43" t="str">
        <f>_xlfn.XLOOKUP(Table26[[#This Row],[customerSKU]],customerSKU!G:G,customerSKU!O:O,"not found",0,1)</f>
        <v>not found</v>
      </c>
      <c r="AJ1251" s="22" t="e">
        <f>Table26[[#This Row],[unitprice]]*Table26[[#This Row],[quantity_unit]]</f>
        <v>#VALUE!</v>
      </c>
      <c r="AK1251" s="117" t="e" cm="1">
        <f t="array" ref="AK12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2" spans="1:37" ht="18" customHeight="1">
      <c r="A1252" s="42">
        <v>989</v>
      </c>
      <c r="B1252" s="42" t="s">
        <v>3357</v>
      </c>
      <c r="C1252" s="53" t="s">
        <v>203</v>
      </c>
      <c r="E1252" s="20"/>
      <c r="F1252" s="25"/>
      <c r="G1252" s="93"/>
      <c r="I1252" s="203">
        <v>45735</v>
      </c>
      <c r="J1252" s="90" t="str">
        <f>IF(Table26[[#This Row],[customerSKU]]="","",_xlfn.XLOOKUP(Table26[[#This Row],[customerSKU]],customerSKU!G:G,customerSKU!A:A,"",0,1))</f>
        <v/>
      </c>
      <c r="K1252" s="232">
        <v>45735</v>
      </c>
      <c r="L1252" s="49" t="str">
        <f>IF(Table26[[#This Row],[customerSKU]]="","",_xlfn.XLOOKUP(Table26[[#This Row],[customerSKU]],customerSKU!G:G,customerSKU!B:B,"",0,1))</f>
        <v/>
      </c>
      <c r="M1252" s="22"/>
      <c r="N1252" s="15" t="str">
        <f>Table26[[#This Row],[po_number]]&amp;"-"&amp;Table26[[#This Row],[po_line]]</f>
        <v>-2</v>
      </c>
      <c r="O1252" s="15">
        <v>2</v>
      </c>
      <c r="P1252" s="50"/>
      <c r="Q1252" s="22" t="s">
        <v>1377</v>
      </c>
      <c r="R1252" s="22" t="s">
        <v>569</v>
      </c>
      <c r="S1252" s="90" t="str">
        <f>IF(Table26[[#This Row],[customerSKU]]="","",_xlfn.XLOOKUP(Table26[[#This Row],[customerSKU]],customerSKU!G:G,customerSKU!N:N,"NOT FOUND",0,1))</f>
        <v>NOT FOUND</v>
      </c>
      <c r="T1252" s="20">
        <v>45560</v>
      </c>
      <c r="U1252" s="94">
        <v>16</v>
      </c>
      <c r="V1252" s="22" t="str">
        <f>IF(ISBLANK(Table26[[#This Row],[customerSKU]]),"",_xlfn.XLOOKUP(Table26[[#This Row],[customerSKU]],Table27[customer_SKU],Table27[case_size],"",0,1))</f>
        <v/>
      </c>
      <c r="W1252" s="117" t="str">
        <f t="shared" si="55"/>
        <v/>
      </c>
      <c r="X1252" s="22" t="str">
        <f t="shared" si="56"/>
        <v/>
      </c>
      <c r="Y1252" s="25" t="str">
        <f>IF(Table26[[#This Row],[customerSKU]]="","",_xlfn.XLOOKUP(Table26[[#This Row],[customerSKU]],Table27[customer_SKU],Table27[product_GTIN],"",0,1))</f>
        <v/>
      </c>
      <c r="Z1252" s="25">
        <v>1054766</v>
      </c>
      <c r="AA1252" s="18" t="str" cm="1">
        <f t="array" ref="AA1252">IF(P1252="", "", _xlfn.XLOOKUP(P1252,#REF!,#REF!,NA,0,-1))</f>
        <v/>
      </c>
      <c r="AB1252" s="22"/>
      <c r="AC1252" s="55" t="s">
        <v>3375</v>
      </c>
      <c r="AD1252" s="55" t="str">
        <f>IF($AC1252="","",_xlfn.XLOOKUP($AC1252,'[2]Client Info'!$C$2:$C$2535,'[2]Client Info'!$D$2:$D$2535,"",0,1))</f>
        <v>102-8860 201 Street</v>
      </c>
      <c r="AE1252" s="55" t="str">
        <f>IF($AC1252="","",_xlfn.XLOOKUP($AC1252,'[2]Client Info'!$C$2:$C$2715,'[2]Client Info'!$E$2:$E$2715,"",))</f>
        <v>Langley</v>
      </c>
      <c r="AF1252" s="55" t="str">
        <f>IF($AC1252="","",_xlfn.XLOOKUP($AC1252,'[2]Client Info'!$C$2:$C$2715,'[2]Client Info'!$F$2:$F$2715,"",0,1))</f>
        <v xml:space="preserve">BC </v>
      </c>
      <c r="AG1252" s="55" t="s">
        <v>3375</v>
      </c>
      <c r="AH1252" s="26" t="str">
        <f>_xlfn.XLOOKUP(Table26[[#This Row],[customerSKU]],customerSKU!G:G,customerSKU!K:K,"NA",0,1)</f>
        <v>NA</v>
      </c>
      <c r="AI1252" s="43" t="str">
        <f>_xlfn.XLOOKUP(Table26[[#This Row],[customerSKU]],customerSKU!G:G,customerSKU!O:O,"not found",0,1)</f>
        <v>not found</v>
      </c>
      <c r="AJ1252" s="22" t="e">
        <f>Table26[[#This Row],[unitprice]]*Table26[[#This Row],[quantity_unit]]</f>
        <v>#VALUE!</v>
      </c>
      <c r="AK1252" s="117" t="e" cm="1">
        <f t="array" ref="AK125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3" spans="1:37" ht="18" customHeight="1">
      <c r="A1253" s="42">
        <v>990</v>
      </c>
      <c r="B1253" s="42" t="s">
        <v>3357</v>
      </c>
      <c r="C1253" s="53" t="s">
        <v>203</v>
      </c>
      <c r="E1253" s="20"/>
      <c r="F1253" s="25"/>
      <c r="G1253" s="93"/>
      <c r="I1253" s="203">
        <v>45735</v>
      </c>
      <c r="J1253" s="90" t="str">
        <f>IF(Table26[[#This Row],[customerSKU]]="","",_xlfn.XLOOKUP(Table26[[#This Row],[customerSKU]],customerSKU!G:G,customerSKU!A:A,"",0,1))</f>
        <v/>
      </c>
      <c r="K1253" s="232">
        <v>45735</v>
      </c>
      <c r="L1253" s="49" t="str">
        <f>IF(Table26[[#This Row],[customerSKU]]="","",_xlfn.XLOOKUP(Table26[[#This Row],[customerSKU]],customerSKU!G:G,customerSKU!B:B,"",0,1))</f>
        <v/>
      </c>
      <c r="M1253" s="22"/>
      <c r="N1253" s="15" t="str">
        <f>Table26[[#This Row],[po_number]]&amp;"-"&amp;Table26[[#This Row],[po_line]]</f>
        <v>-3</v>
      </c>
      <c r="O1253" s="15">
        <v>3</v>
      </c>
      <c r="P1253" s="50"/>
      <c r="Q1253" s="22" t="s">
        <v>869</v>
      </c>
      <c r="R1253" s="22" t="s">
        <v>569</v>
      </c>
      <c r="S1253" s="90" t="str">
        <f>IF(Table26[[#This Row],[customerSKU]]="","",_xlfn.XLOOKUP(Table26[[#This Row],[customerSKU]],customerSKU!G:G,customerSKU!N:N,"NOT FOUND",0,1))</f>
        <v>NOT FOUND</v>
      </c>
      <c r="T1253" s="20">
        <v>45728</v>
      </c>
      <c r="U1253" s="94">
        <v>36</v>
      </c>
      <c r="V1253" s="22" t="str">
        <f>IF(ISBLANK(Table26[[#This Row],[customerSKU]]),"",_xlfn.XLOOKUP(Table26[[#This Row],[customerSKU]],Table27[customer_SKU],Table27[case_size],"",0,1))</f>
        <v/>
      </c>
      <c r="W1253" s="117" t="str">
        <f t="shared" si="55"/>
        <v/>
      </c>
      <c r="X1253" s="22" t="str">
        <f t="shared" si="56"/>
        <v/>
      </c>
      <c r="Y1253" s="25" t="str">
        <f>IF(Table26[[#This Row],[customerSKU]]="","",_xlfn.XLOOKUP(Table26[[#This Row],[customerSKU]],Table27[customer_SKU],Table27[product_GTIN],"",0,1))</f>
        <v/>
      </c>
      <c r="Z1253" s="25" t="s">
        <v>3376</v>
      </c>
      <c r="AA1253" s="18" t="str" cm="1">
        <f t="array" ref="AA1253">IF(P1253="", "", _xlfn.XLOOKUP(P1253,#REF!,#REF!,NA,0,-1))</f>
        <v/>
      </c>
      <c r="AB1253" s="22"/>
      <c r="AC1253" s="55" t="s">
        <v>3375</v>
      </c>
      <c r="AD1253" s="55" t="str">
        <f>IF($AC1253="","",_xlfn.XLOOKUP($AC1253,'[2]Client Info'!$C$2:$C$2535,'[2]Client Info'!$D$2:$D$2535,"",0,1))</f>
        <v>102-8860 201 Street</v>
      </c>
      <c r="AE1253" s="55" t="str">
        <f>IF($AC1253="","",_xlfn.XLOOKUP($AC1253,'[2]Client Info'!$C$2:$C$2715,'[2]Client Info'!$E$2:$E$2715,"",))</f>
        <v>Langley</v>
      </c>
      <c r="AF1253" s="55" t="str">
        <f>IF($AC1253="","",_xlfn.XLOOKUP($AC1253,'[2]Client Info'!$C$2:$C$2715,'[2]Client Info'!$F$2:$F$2715,"",0,1))</f>
        <v xml:space="preserve">BC </v>
      </c>
      <c r="AG1253" s="55" t="s">
        <v>3375</v>
      </c>
      <c r="AH1253" s="26" t="str">
        <f>_xlfn.XLOOKUP(Table26[[#This Row],[customerSKU]],customerSKU!G:G,customerSKU!K:K,"NA",0,1)</f>
        <v>NA</v>
      </c>
      <c r="AI1253" s="43" t="str">
        <f>_xlfn.XLOOKUP(Table26[[#This Row],[customerSKU]],customerSKU!G:G,customerSKU!O:O,"not found",0,1)</f>
        <v>not found</v>
      </c>
      <c r="AJ1253" s="22" t="e">
        <f>Table26[[#This Row],[unitprice]]*Table26[[#This Row],[quantity_unit]]</f>
        <v>#VALUE!</v>
      </c>
      <c r="AK1253" s="117" t="e" cm="1">
        <f t="array" ref="AK125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4" spans="1:37" ht="18" customHeight="1">
      <c r="A1254" s="42">
        <v>991</v>
      </c>
      <c r="B1254" s="42" t="s">
        <v>3357</v>
      </c>
      <c r="C1254" s="53" t="s">
        <v>203</v>
      </c>
      <c r="E1254" s="20"/>
      <c r="F1254" s="25"/>
      <c r="G1254" s="93"/>
      <c r="I1254" s="203">
        <v>45735</v>
      </c>
      <c r="J1254" s="90" t="str">
        <f>IF(Table26[[#This Row],[customerSKU]]="","",_xlfn.XLOOKUP(Table26[[#This Row],[customerSKU]],customerSKU!G:G,customerSKU!A:A,"",0,1))</f>
        <v/>
      </c>
      <c r="K1254" s="232">
        <v>45735</v>
      </c>
      <c r="L1254" s="49" t="str">
        <f>IF(Table26[[#This Row],[customerSKU]]="","",_xlfn.XLOOKUP(Table26[[#This Row],[customerSKU]],customerSKU!G:G,customerSKU!B:B,"",0,1))</f>
        <v/>
      </c>
      <c r="M1254" s="22"/>
      <c r="N1254" s="15" t="str">
        <f>Table26[[#This Row],[po_number]]&amp;"-"&amp;Table26[[#This Row],[po_line]]</f>
        <v>-4</v>
      </c>
      <c r="O1254" s="15">
        <v>4</v>
      </c>
      <c r="P1254" s="50"/>
      <c r="Q1254" s="22" t="s">
        <v>905</v>
      </c>
      <c r="R1254" s="22" t="s">
        <v>569</v>
      </c>
      <c r="S1254" s="90" t="str">
        <f>IF(Table26[[#This Row],[customerSKU]]="","",_xlfn.XLOOKUP(Table26[[#This Row],[customerSKU]],customerSKU!G:G,customerSKU!N:N,"NOT FOUND",0,1))</f>
        <v>NOT FOUND</v>
      </c>
      <c r="T1254" s="20">
        <v>45575</v>
      </c>
      <c r="U1254" s="94">
        <v>36</v>
      </c>
      <c r="V1254" s="22" t="str">
        <f>IF(ISBLANK(Table26[[#This Row],[customerSKU]]),"",_xlfn.XLOOKUP(Table26[[#This Row],[customerSKU]],Table27[customer_SKU],Table27[case_size],"",0,1))</f>
        <v/>
      </c>
      <c r="W1254" s="117" t="str">
        <f t="shared" si="55"/>
        <v/>
      </c>
      <c r="X1254" s="22" t="str">
        <f t="shared" si="56"/>
        <v/>
      </c>
      <c r="Y1254" s="25" t="str">
        <f>IF(Table26[[#This Row],[customerSKU]]="","",_xlfn.XLOOKUP(Table26[[#This Row],[customerSKU]],Table27[customer_SKU],Table27[product_GTIN],"",0,1))</f>
        <v/>
      </c>
      <c r="Z1254" s="25" t="s">
        <v>3377</v>
      </c>
      <c r="AA1254" s="18" t="str" cm="1">
        <f t="array" ref="AA1254">IF(P1254="", "", _xlfn.XLOOKUP(P1254,#REF!,#REF!,NA,0,-1))</f>
        <v/>
      </c>
      <c r="AB1254" s="22"/>
      <c r="AC1254" s="55" t="s">
        <v>3375</v>
      </c>
      <c r="AD1254" s="55" t="str">
        <f>IF($AC1254="","",_xlfn.XLOOKUP($AC1254,'[2]Client Info'!$C$2:$C$2535,'[2]Client Info'!$D$2:$D$2535,"",0,1))</f>
        <v>102-8860 201 Street</v>
      </c>
      <c r="AE1254" s="55" t="str">
        <f>IF($AC1254="","",_xlfn.XLOOKUP($AC1254,'[2]Client Info'!$C$2:$C$2715,'[2]Client Info'!$E$2:$E$2715,"",))</f>
        <v>Langley</v>
      </c>
      <c r="AF1254" s="55" t="str">
        <f>IF($AC1254="","",_xlfn.XLOOKUP($AC1254,'[2]Client Info'!$C$2:$C$2715,'[2]Client Info'!$F$2:$F$2715,"",0,1))</f>
        <v xml:space="preserve">BC </v>
      </c>
      <c r="AG1254" s="55" t="s">
        <v>3375</v>
      </c>
      <c r="AH1254" s="26" t="str">
        <f>_xlfn.XLOOKUP(Table26[[#This Row],[customerSKU]],customerSKU!G:G,customerSKU!K:K,"NA",0,1)</f>
        <v>NA</v>
      </c>
      <c r="AI1254" s="43" t="str">
        <f>_xlfn.XLOOKUP(Table26[[#This Row],[customerSKU]],customerSKU!G:G,customerSKU!O:O,"not found",0,1)</f>
        <v>not found</v>
      </c>
      <c r="AJ1254" s="22" t="e">
        <f>Table26[[#This Row],[unitprice]]*Table26[[#This Row],[quantity_unit]]</f>
        <v>#VALUE!</v>
      </c>
      <c r="AK1254" s="117" t="e" cm="1">
        <f t="array" ref="AK125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5" spans="1:37" ht="18" customHeight="1">
      <c r="A1255" s="42">
        <v>992</v>
      </c>
      <c r="B1255" s="42" t="s">
        <v>3357</v>
      </c>
      <c r="C1255" s="53" t="s">
        <v>203</v>
      </c>
      <c r="E1255" s="20"/>
      <c r="F1255" s="25"/>
      <c r="G1255" s="93"/>
      <c r="I1255" s="203">
        <v>45735</v>
      </c>
      <c r="J1255" s="90" t="str">
        <f>IF(Table26[[#This Row],[customerSKU]]="","",_xlfn.XLOOKUP(Table26[[#This Row],[customerSKU]],customerSKU!G:G,customerSKU!A:A,"",0,1))</f>
        <v/>
      </c>
      <c r="K1255" s="232">
        <v>45735</v>
      </c>
      <c r="L1255" s="49" t="str">
        <f>IF(Table26[[#This Row],[customerSKU]]="","",_xlfn.XLOOKUP(Table26[[#This Row],[customerSKU]],customerSKU!G:G,customerSKU!B:B,"",0,1))</f>
        <v/>
      </c>
      <c r="M1255" s="22"/>
      <c r="N1255" s="15" t="str">
        <f>Table26[[#This Row],[po_number]]&amp;"-"&amp;Table26[[#This Row],[po_line]]</f>
        <v>-5</v>
      </c>
      <c r="O1255" s="15">
        <v>5</v>
      </c>
      <c r="P1255" s="50"/>
      <c r="Q1255" s="22" t="s">
        <v>656</v>
      </c>
      <c r="R1255" s="22" t="s">
        <v>569</v>
      </c>
      <c r="S1255" s="90" t="str">
        <f>IF(Table26[[#This Row],[customerSKU]]="","",_xlfn.XLOOKUP(Table26[[#This Row],[customerSKU]],customerSKU!G:G,customerSKU!N:N,"NOT FOUND",0,1))</f>
        <v>NOT FOUND</v>
      </c>
      <c r="T1255" s="20">
        <v>45642</v>
      </c>
      <c r="U1255" s="94">
        <v>36</v>
      </c>
      <c r="V1255" s="22" t="str">
        <f>IF(ISBLANK(Table26[[#This Row],[customerSKU]]),"",_xlfn.XLOOKUP(Table26[[#This Row],[customerSKU]],Table27[customer_SKU],Table27[case_size],"",0,1))</f>
        <v/>
      </c>
      <c r="W1255" s="117" t="str">
        <f t="shared" si="55"/>
        <v/>
      </c>
      <c r="X1255" s="22" t="str">
        <f t="shared" si="56"/>
        <v/>
      </c>
      <c r="Y1255" s="25" t="str">
        <f>IF(Table26[[#This Row],[customerSKU]]="","",_xlfn.XLOOKUP(Table26[[#This Row],[customerSKU]],Table27[customer_SKU],Table27[product_GTIN],"",0,1))</f>
        <v/>
      </c>
      <c r="Z1255" s="25" t="s">
        <v>3367</v>
      </c>
      <c r="AA1255" s="18" t="str" cm="1">
        <f t="array" ref="AA1255">IF(P1255="", "", _xlfn.XLOOKUP(P1255,#REF!,#REF!,NA,0,-1))</f>
        <v/>
      </c>
      <c r="AB1255" s="22"/>
      <c r="AC1255" s="55" t="s">
        <v>3375</v>
      </c>
      <c r="AD1255" s="55" t="str">
        <f>IF($AC1255="","",_xlfn.XLOOKUP($AC1255,'[2]Client Info'!$C$2:$C$2535,'[2]Client Info'!$D$2:$D$2535,"",0,1))</f>
        <v>102-8860 201 Street</v>
      </c>
      <c r="AE1255" s="55" t="str">
        <f>IF($AC1255="","",_xlfn.XLOOKUP($AC1255,'[2]Client Info'!$C$2:$C$2715,'[2]Client Info'!$E$2:$E$2715,"",))</f>
        <v>Langley</v>
      </c>
      <c r="AF1255" s="55" t="str">
        <f>IF($AC1255="","",_xlfn.XLOOKUP($AC1255,'[2]Client Info'!$C$2:$C$2715,'[2]Client Info'!$F$2:$F$2715,"",0,1))</f>
        <v xml:space="preserve">BC </v>
      </c>
      <c r="AG1255" s="55" t="s">
        <v>3375</v>
      </c>
      <c r="AH1255" s="26" t="str">
        <f>_xlfn.XLOOKUP(Table26[[#This Row],[customerSKU]],customerSKU!G:G,customerSKU!K:K,"NA",0,1)</f>
        <v>NA</v>
      </c>
      <c r="AI1255" s="43" t="str">
        <f>_xlfn.XLOOKUP(Table26[[#This Row],[customerSKU]],customerSKU!G:G,customerSKU!O:O,"not found",0,1)</f>
        <v>not found</v>
      </c>
      <c r="AJ1255" s="22" t="e">
        <f>Table26[[#This Row],[unitprice]]*Table26[[#This Row],[quantity_unit]]</f>
        <v>#VALUE!</v>
      </c>
      <c r="AK1255" s="117" t="e" cm="1">
        <f t="array" ref="AK125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6" spans="1:37" ht="18" customHeight="1">
      <c r="A1256" s="42">
        <v>993</v>
      </c>
      <c r="B1256" s="42" t="s">
        <v>3357</v>
      </c>
      <c r="C1256" s="53" t="s">
        <v>203</v>
      </c>
      <c r="E1256" s="20"/>
      <c r="F1256" s="25"/>
      <c r="G1256" s="93"/>
      <c r="I1256" s="203">
        <v>45735</v>
      </c>
      <c r="J1256" s="90" t="str">
        <f>IF(Table26[[#This Row],[customerSKU]]="","",_xlfn.XLOOKUP(Table26[[#This Row],[customerSKU]],customerSKU!G:G,customerSKU!A:A,"",0,1))</f>
        <v/>
      </c>
      <c r="K1256" s="232">
        <v>45735</v>
      </c>
      <c r="L1256" s="49" t="str">
        <f>IF(Table26[[#This Row],[customerSKU]]="","",_xlfn.XLOOKUP(Table26[[#This Row],[customerSKU]],customerSKU!G:G,customerSKU!B:B,"",0,1))</f>
        <v/>
      </c>
      <c r="M1256" s="22"/>
      <c r="N1256" s="15" t="str">
        <f>Table26[[#This Row],[po_number]]&amp;"-"&amp;Table26[[#This Row],[po_line]]</f>
        <v>-6</v>
      </c>
      <c r="O1256" s="15">
        <v>6</v>
      </c>
      <c r="P1256" s="50"/>
      <c r="Q1256" s="22" t="s">
        <v>3378</v>
      </c>
      <c r="R1256" s="22" t="s">
        <v>569</v>
      </c>
      <c r="S1256" s="90" t="str">
        <f>IF(Table26[[#This Row],[customerSKU]]="","",_xlfn.XLOOKUP(Table26[[#This Row],[customerSKU]],customerSKU!G:G,customerSKU!N:N,"NOT FOUND",0,1))</f>
        <v>NOT FOUND</v>
      </c>
      <c r="T1256" s="20">
        <v>45714</v>
      </c>
      <c r="U1256" s="94">
        <v>12</v>
      </c>
      <c r="V1256" s="22" t="str">
        <f>IF(ISBLANK(Table26[[#This Row],[customerSKU]]),"",_xlfn.XLOOKUP(Table26[[#This Row],[customerSKU]],Table27[customer_SKU],Table27[case_size],"",0,1))</f>
        <v/>
      </c>
      <c r="W1256" s="117" t="str">
        <f t="shared" si="55"/>
        <v/>
      </c>
      <c r="X1256" s="22" t="str">
        <f t="shared" si="56"/>
        <v/>
      </c>
      <c r="Y1256" s="25" t="str">
        <f>IF(Table26[[#This Row],[customerSKU]]="","",_xlfn.XLOOKUP(Table26[[#This Row],[customerSKU]],Table27[customer_SKU],Table27[product_GTIN],"",0,1))</f>
        <v/>
      </c>
      <c r="Z1256" s="25" t="s">
        <v>3379</v>
      </c>
      <c r="AA1256" s="18" t="str" cm="1">
        <f t="array" ref="AA1256">IF(P1256="", "", _xlfn.XLOOKUP(P1256,#REF!,#REF!,NA,0,-1))</f>
        <v/>
      </c>
      <c r="AB1256" s="22"/>
      <c r="AC1256" s="55" t="s">
        <v>3375</v>
      </c>
      <c r="AD1256" s="55" t="str">
        <f>IF($AC1256="","",_xlfn.XLOOKUP($AC1256,'[2]Client Info'!$C$2:$C$2535,'[2]Client Info'!$D$2:$D$2535,"",0,1))</f>
        <v>102-8860 201 Street</v>
      </c>
      <c r="AE1256" s="55" t="str">
        <f>IF($AC1256="","",_xlfn.XLOOKUP($AC1256,'[2]Client Info'!$C$2:$C$2715,'[2]Client Info'!$E$2:$E$2715,"",))</f>
        <v>Langley</v>
      </c>
      <c r="AF1256" s="55" t="str">
        <f>IF($AC1256="","",_xlfn.XLOOKUP($AC1256,'[2]Client Info'!$C$2:$C$2715,'[2]Client Info'!$F$2:$F$2715,"",0,1))</f>
        <v xml:space="preserve">BC </v>
      </c>
      <c r="AG1256" s="55" t="s">
        <v>3375</v>
      </c>
      <c r="AH1256" s="26" t="str">
        <f>_xlfn.XLOOKUP(Table26[[#This Row],[customerSKU]],customerSKU!G:G,customerSKU!K:K,"NA",0,1)</f>
        <v>NA</v>
      </c>
      <c r="AI1256" s="43" t="str">
        <f>_xlfn.XLOOKUP(Table26[[#This Row],[customerSKU]],customerSKU!G:G,customerSKU!O:O,"not found",0,1)</f>
        <v>not found</v>
      </c>
      <c r="AJ1256" s="22" t="e">
        <f>Table26[[#This Row],[unitprice]]*Table26[[#This Row],[quantity_unit]]</f>
        <v>#VALUE!</v>
      </c>
      <c r="AK1256" s="117" t="e" cm="1">
        <f t="array" ref="AK125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7" spans="1:37" ht="18" customHeight="1">
      <c r="A1257" s="42">
        <v>994</v>
      </c>
      <c r="B1257" s="42" t="s">
        <v>3357</v>
      </c>
      <c r="C1257" s="53" t="s">
        <v>3494</v>
      </c>
      <c r="D1257" s="20">
        <v>45729</v>
      </c>
      <c r="E1257" s="20"/>
      <c r="F1257" s="22" t="str">
        <f>IF(OR(ISNUMBER(SEARCH("OCS",Table26[[#This Row],[sales_stream]])),ISNUMBER(SEARCH("AGLC",Table26[[#This Row],[sales_stream]])),ISNUMBER(SEARCH("BCLDB",Table26[[#This Row],[sales_stream]]))),"NEED BOOKING","")</f>
        <v/>
      </c>
      <c r="G1257" s="93"/>
      <c r="J1257" s="90" t="str">
        <f>IF(Table26[[#This Row],[customerSKU]]="","",_xlfn.XLOOKUP(Table26[[#This Row],[customerSKU]],customerSKU!G:G,customerSKU!A:A,"",0,1))</f>
        <v/>
      </c>
      <c r="K1257" s="232">
        <v>45735</v>
      </c>
      <c r="L1257" s="49" t="str">
        <f>IF(Table26[[#This Row],[customerSKU]]="","",_xlfn.XLOOKUP(Table26[[#This Row],[customerSKU]],customerSKU!G:G,customerSKU!B:B,"",0,1))</f>
        <v/>
      </c>
      <c r="M1257" s="22"/>
      <c r="N1257" s="15" t="str">
        <f>Table26[[#This Row],[po_number]]&amp;"-"&amp;Table26[[#This Row],[po_line]]</f>
        <v>-1</v>
      </c>
      <c r="O1257" s="15">
        <v>1</v>
      </c>
      <c r="P1257" s="50"/>
      <c r="S1257" s="90" t="str">
        <f>IF(Table26[[#This Row],[customerSKU]]="","",_xlfn.XLOOKUP(Table26[[#This Row],[customerSKU]],customerSKU!G:G,customerSKU!N:N,"NOT FOUND",0,1))</f>
        <v>NOT FOUND</v>
      </c>
      <c r="T1257" s="20"/>
      <c r="U1257" s="94">
        <v>60</v>
      </c>
      <c r="V1257" s="22" t="str">
        <f>IF(ISBLANK(Table26[[#This Row],[customerSKU]]),"",_xlfn.XLOOKUP(Table26[[#This Row],[customerSKU]],Table27[customer_SKU],Table27[case_size],"",0,1))</f>
        <v/>
      </c>
      <c r="W1257" s="117" t="str">
        <f t="shared" si="55"/>
        <v/>
      </c>
      <c r="X1257" s="22" t="str">
        <f t="shared" si="56"/>
        <v/>
      </c>
      <c r="Y1257" s="25" t="str">
        <f>IF(Table26[[#This Row],[customerSKU]]="","",_xlfn.XLOOKUP(Table26[[#This Row],[customerSKU]],Table27[customer_SKU],Table27[product_GTIN],"",0,1))</f>
        <v/>
      </c>
      <c r="Z1257" s="25" t="s">
        <v>3409</v>
      </c>
      <c r="AA1257" s="18" t="str" cm="1">
        <f t="array" ref="AA1257">IF(P1257="", "", _xlfn.XLOOKUP(P1257,#REF!,#REF!,NA,0,-1))</f>
        <v/>
      </c>
      <c r="AB1257" s="22"/>
      <c r="AC1257" s="55" t="str">
        <f>IF(Table26[[#This Row],[customerSKU]]="","",_xlfn.XLOOKUP(Table26[[#This Row],[customerSKU]],customerSKU!G:G,customerSKU!C:C,"",0,1))</f>
        <v/>
      </c>
      <c r="AD1257" s="55" t="str">
        <f>IF($AC1257="","",_xlfn.XLOOKUP($AC1257,'[2]Client Info'!$C$2:$C$2535,'[2]Client Info'!$D$2:$D$2535,"",0,1))</f>
        <v/>
      </c>
      <c r="AE1257" s="55" t="str">
        <f>IF($AC1257="","",_xlfn.XLOOKUP($AC1257,'[2]Client Info'!$C$2:$C$2715,'[2]Client Info'!$E$2:$E$2715,"",))</f>
        <v/>
      </c>
      <c r="AF1257" s="55" t="str">
        <f>IF($AC1257="","",_xlfn.XLOOKUP($AC1257,'[2]Client Info'!$C$2:$C$2715,'[2]Client Info'!$F$2:$F$2715,"",0,1))</f>
        <v/>
      </c>
      <c r="AG1257" s="55" t="str">
        <f>IF(ISBLANK(Table26[[#This Row],[customerSKU]]),"",_xlfn.XLOOKUP(Table26[[#This Row],[customerSKU]],Table27[customer_SKU],Table27[billto],"",0,1))</f>
        <v/>
      </c>
      <c r="AH1257" s="26" t="str">
        <f>_xlfn.XLOOKUP(Table26[[#This Row],[customerSKU]],customerSKU!G:G,customerSKU!K:K,"NA",0,1)</f>
        <v>NA</v>
      </c>
      <c r="AI1257" s="43" t="str">
        <f>_xlfn.XLOOKUP(Table26[[#This Row],[customerSKU]],customerSKU!G:G,customerSKU!O:O,"not found",0,1)</f>
        <v>not found</v>
      </c>
      <c r="AJ1257" s="22" t="e">
        <f>Table26[[#This Row],[unitprice]]*Table26[[#This Row],[quantity_unit]]</f>
        <v>#VALUE!</v>
      </c>
      <c r="AK1257" s="117" t="e" cm="1">
        <f t="array" ref="AK125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8" spans="1:37" ht="18" customHeight="1">
      <c r="A1258" s="42">
        <v>995</v>
      </c>
      <c r="B1258" s="42" t="s">
        <v>3357</v>
      </c>
      <c r="C1258" s="53" t="s">
        <v>3494</v>
      </c>
      <c r="D1258" s="20">
        <v>45736</v>
      </c>
      <c r="E1258" s="20"/>
      <c r="F1258" s="25"/>
      <c r="G1258" s="93"/>
      <c r="J1258" s="90" t="str">
        <f>IF(Table26[[#This Row],[customerSKU]]="","",_xlfn.XLOOKUP(Table26[[#This Row],[customerSKU]],customerSKU!G:G,customerSKU!A:A,"",0,1))</f>
        <v/>
      </c>
      <c r="K1258" s="232">
        <v>45735</v>
      </c>
      <c r="L1258" s="49" t="str">
        <f>IF(Table26[[#This Row],[customerSKU]]="","",_xlfn.XLOOKUP(Table26[[#This Row],[customerSKU]],customerSKU!G:G,customerSKU!B:B,"",0,1))</f>
        <v/>
      </c>
      <c r="M1258" s="22"/>
      <c r="N1258" s="15" t="str">
        <f>Table26[[#This Row],[po_number]]&amp;"-"&amp;Table26[[#This Row],[po_line]]</f>
        <v>-1</v>
      </c>
      <c r="O1258" s="15">
        <v>1</v>
      </c>
      <c r="P1258" s="50"/>
      <c r="Q1258" s="22" t="s">
        <v>4086</v>
      </c>
      <c r="R1258" s="22" t="s">
        <v>3302</v>
      </c>
      <c r="S1258" s="90" t="str">
        <f>IF(Table26[[#This Row],[customerSKU]]="","",_xlfn.XLOOKUP(Table26[[#This Row],[customerSKU]],customerSKU!G:G,customerSKU!N:N,"NOT FOUND",0,1))</f>
        <v>NOT FOUND</v>
      </c>
      <c r="T1258" s="20">
        <v>45631</v>
      </c>
      <c r="U1258" s="94">
        <v>240</v>
      </c>
      <c r="V1258" s="22" t="str">
        <f>IF(ISBLANK(Table26[[#This Row],[customerSKU]]),"",_xlfn.XLOOKUP(Table26[[#This Row],[customerSKU]],Table27[customer_SKU],Table27[case_size],"",0,1))</f>
        <v/>
      </c>
      <c r="W1258" s="117" t="str">
        <f t="shared" si="55"/>
        <v/>
      </c>
      <c r="X1258" s="22" t="str">
        <f t="shared" si="56"/>
        <v/>
      </c>
      <c r="Y1258" s="25" t="str">
        <f>IF(Table26[[#This Row],[customerSKU]]="","",_xlfn.XLOOKUP(Table26[[#This Row],[customerSKU]],Table27[customer_SKU],Table27[product_GTIN],"",0,1))</f>
        <v/>
      </c>
      <c r="Z1258" s="25" t="s">
        <v>3382</v>
      </c>
      <c r="AA1258" s="18" t="str" cm="1">
        <f t="array" ref="AA1258">IF(P1258="", "", _xlfn.XLOOKUP(P1258,#REF!,#REF!,NA,0,-1))</f>
        <v/>
      </c>
      <c r="AB1258" s="22"/>
      <c r="AC1258" s="55" t="str">
        <f>IF(Table26[[#This Row],[customerSKU]]="","",_xlfn.XLOOKUP(Table26[[#This Row],[customerSKU]],customerSKU!G:G,customerSKU!C:C,"",0,1))</f>
        <v/>
      </c>
      <c r="AD1258" s="55" t="str">
        <f>IF($AC1258="","",_xlfn.XLOOKUP($AC1258,'[2]Client Info'!$C$2:$C$2535,'[2]Client Info'!$D$2:$D$2535,"",0,1))</f>
        <v/>
      </c>
      <c r="AE1258" s="55" t="str">
        <f>IF($AC1258="","",_xlfn.XLOOKUP($AC1258,'[2]Client Info'!$C$2:$C$2715,'[2]Client Info'!$E$2:$E$2715,"",))</f>
        <v/>
      </c>
      <c r="AF1258" s="55" t="str">
        <f>IF($AC1258="","",_xlfn.XLOOKUP($AC1258,'[2]Client Info'!$C$2:$C$2715,'[2]Client Info'!$F$2:$F$2715,"",0,1))</f>
        <v/>
      </c>
      <c r="AG1258" s="55" t="str">
        <f>IF(ISBLANK(Table26[[#This Row],[customerSKU]]),"",_xlfn.XLOOKUP(Table26[[#This Row],[customerSKU]],Table27[customer_SKU],Table27[billto],"",0,1))</f>
        <v/>
      </c>
      <c r="AH1258" s="26" t="str">
        <f>_xlfn.XLOOKUP(Table26[[#This Row],[customerSKU]],customerSKU!G:G,customerSKU!K:K,"NA",0,1)</f>
        <v>NA</v>
      </c>
      <c r="AI1258" s="43" t="str">
        <f>_xlfn.XLOOKUP(Table26[[#This Row],[customerSKU]],customerSKU!G:G,customerSKU!O:O,"not found",0,1)</f>
        <v>not found</v>
      </c>
      <c r="AJ1258" s="22" t="e">
        <f>Table26[[#This Row],[unitprice]]*Table26[[#This Row],[quantity_unit]]</f>
        <v>#VALUE!</v>
      </c>
      <c r="AK1258" s="117" t="e" cm="1">
        <f t="array" ref="AK125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59" spans="1:37" ht="18" customHeight="1">
      <c r="A1259" s="42">
        <v>996</v>
      </c>
      <c r="B1259" s="42" t="s">
        <v>3357</v>
      </c>
      <c r="C1259" s="53" t="s">
        <v>3494</v>
      </c>
      <c r="D1259" s="20">
        <v>45736</v>
      </c>
      <c r="E1259" s="20"/>
      <c r="F1259" s="25"/>
      <c r="G1259" s="93"/>
      <c r="J1259" s="90" t="str">
        <f>IF(Table26[[#This Row],[customerSKU]]="","",_xlfn.XLOOKUP(Table26[[#This Row],[customerSKU]],customerSKU!G:G,customerSKU!A:A,"",0,1))</f>
        <v/>
      </c>
      <c r="K1259" s="232">
        <v>45735</v>
      </c>
      <c r="L1259" s="49" t="str">
        <f>IF(Table26[[#This Row],[customerSKU]]="","",_xlfn.XLOOKUP(Table26[[#This Row],[customerSKU]],customerSKU!G:G,customerSKU!B:B,"",0,1))</f>
        <v/>
      </c>
      <c r="M1259" s="22"/>
      <c r="N1259" s="15" t="str">
        <f>Table26[[#This Row],[po_number]]&amp;"-"&amp;Table26[[#This Row],[po_line]]</f>
        <v>-2</v>
      </c>
      <c r="O1259" s="15">
        <v>2</v>
      </c>
      <c r="P1259" s="50"/>
      <c r="Q1259" s="22" t="s">
        <v>4159</v>
      </c>
      <c r="R1259" s="22" t="s">
        <v>3302</v>
      </c>
      <c r="S1259" s="90" t="str">
        <f>IF(Table26[[#This Row],[customerSKU]]="","",_xlfn.XLOOKUP(Table26[[#This Row],[customerSKU]],customerSKU!G:G,customerSKU!N:N,"NOT FOUND",0,1))</f>
        <v>NOT FOUND</v>
      </c>
      <c r="T1259" s="20">
        <v>45714</v>
      </c>
      <c r="U1259" s="94">
        <v>150</v>
      </c>
      <c r="V1259" s="22" t="str">
        <f>IF(ISBLANK(Table26[[#This Row],[customerSKU]]),"",_xlfn.XLOOKUP(Table26[[#This Row],[customerSKU]],Table27[customer_SKU],Table27[case_size],"",0,1))</f>
        <v/>
      </c>
      <c r="W1259" s="117" t="str">
        <f t="shared" si="55"/>
        <v/>
      </c>
      <c r="X1259" s="22" t="str">
        <f t="shared" si="56"/>
        <v/>
      </c>
      <c r="Y1259" s="25" t="str">
        <f>IF(Table26[[#This Row],[customerSKU]]="","",_xlfn.XLOOKUP(Table26[[#This Row],[customerSKU]],Table27[customer_SKU],Table27[product_GTIN],"",0,1))</f>
        <v/>
      </c>
      <c r="Z1259" s="25" t="s">
        <v>4160</v>
      </c>
      <c r="AA1259" s="18" t="str" cm="1">
        <f t="array" ref="AA1259">IF(P1259="", "", _xlfn.XLOOKUP(P1259,#REF!,#REF!,NA,0,-1))</f>
        <v/>
      </c>
      <c r="AB1259" s="22"/>
      <c r="AC1259" s="55" t="str">
        <f>IF(Table26[[#This Row],[customerSKU]]="","",_xlfn.XLOOKUP(Table26[[#This Row],[customerSKU]],customerSKU!G:G,customerSKU!C:C,"",0,1))</f>
        <v/>
      </c>
      <c r="AD1259" s="55" t="str">
        <f>IF($AC1259="","",_xlfn.XLOOKUP($AC1259,'[2]Client Info'!$C$2:$C$2535,'[2]Client Info'!$D$2:$D$2535,"",0,1))</f>
        <v/>
      </c>
      <c r="AE1259" s="55" t="str">
        <f>IF($AC1259="","",_xlfn.XLOOKUP($AC1259,'[2]Client Info'!$C$2:$C$2715,'[2]Client Info'!$E$2:$E$2715,"",))</f>
        <v/>
      </c>
      <c r="AF1259" s="55" t="str">
        <f>IF($AC1259="","",_xlfn.XLOOKUP($AC1259,'[2]Client Info'!$C$2:$C$2715,'[2]Client Info'!$F$2:$F$2715,"",0,1))</f>
        <v/>
      </c>
      <c r="AG1259" s="55" t="str">
        <f>IF(ISBLANK(Table26[[#This Row],[customerSKU]]),"",_xlfn.XLOOKUP(Table26[[#This Row],[customerSKU]],Table27[customer_SKU],Table27[billto],"",0,1))</f>
        <v/>
      </c>
      <c r="AH1259" s="26" t="str">
        <f>_xlfn.XLOOKUP(Table26[[#This Row],[customerSKU]],customerSKU!G:G,customerSKU!K:K,"NA",0,1)</f>
        <v>NA</v>
      </c>
      <c r="AI1259" s="43" t="str">
        <f>_xlfn.XLOOKUP(Table26[[#This Row],[customerSKU]],customerSKU!G:G,customerSKU!O:O,"not found",0,1)</f>
        <v>not found</v>
      </c>
      <c r="AJ1259" s="22" t="e">
        <f>Table26[[#This Row],[unitprice]]*Table26[[#This Row],[quantity_unit]]</f>
        <v>#VALUE!</v>
      </c>
      <c r="AK1259" s="117" t="e" cm="1">
        <f t="array" ref="AK12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0" spans="1:37" ht="18" customHeight="1">
      <c r="A1260" s="42">
        <v>997</v>
      </c>
      <c r="B1260" s="42" t="s">
        <v>3357</v>
      </c>
      <c r="C1260" s="53" t="s">
        <v>3494</v>
      </c>
      <c r="D1260" s="20">
        <v>45736</v>
      </c>
      <c r="E1260" s="20"/>
      <c r="F1260" s="25"/>
      <c r="G1260" s="93"/>
      <c r="J1260" s="90" t="str">
        <f>IF(Table26[[#This Row],[customerSKU]]="","",_xlfn.XLOOKUP(Table26[[#This Row],[customerSKU]],customerSKU!G:G,customerSKU!A:A,"",0,1))</f>
        <v/>
      </c>
      <c r="K1260" s="232">
        <v>45735</v>
      </c>
      <c r="L1260" s="49" t="str">
        <f>IF(Table26[[#This Row],[customerSKU]]="","",_xlfn.XLOOKUP(Table26[[#This Row],[customerSKU]],customerSKU!G:G,customerSKU!B:B,"",0,1))</f>
        <v/>
      </c>
      <c r="M1260" s="22"/>
      <c r="N1260" s="15" t="str">
        <f>Table26[[#This Row],[po_number]]&amp;"-"&amp;Table26[[#This Row],[po_line]]</f>
        <v>-3</v>
      </c>
      <c r="O1260" s="15">
        <v>3</v>
      </c>
      <c r="P1260" s="50"/>
      <c r="Q1260" s="22" t="s">
        <v>589</v>
      </c>
      <c r="R1260" s="22" t="s">
        <v>3302</v>
      </c>
      <c r="S1260" s="90" t="str">
        <f>IF(Table26[[#This Row],[customerSKU]]="","",_xlfn.XLOOKUP(Table26[[#This Row],[customerSKU]],customerSKU!G:G,customerSKU!N:N,"NOT FOUND",0,1))</f>
        <v>NOT FOUND</v>
      </c>
      <c r="T1260" s="20">
        <v>45615</v>
      </c>
      <c r="U1260" s="94">
        <v>300</v>
      </c>
      <c r="V1260" s="22" t="str">
        <f>IF(ISBLANK(Table26[[#This Row],[customerSKU]]),"",_xlfn.XLOOKUP(Table26[[#This Row],[customerSKU]],Table27[customer_SKU],Table27[case_size],"",0,1))</f>
        <v/>
      </c>
      <c r="W1260" s="117" t="str">
        <f t="shared" si="55"/>
        <v/>
      </c>
      <c r="X1260" s="22" t="str">
        <f t="shared" si="56"/>
        <v/>
      </c>
      <c r="Y1260" s="25" t="str">
        <f>IF(Table26[[#This Row],[customerSKU]]="","",_xlfn.XLOOKUP(Table26[[#This Row],[customerSKU]],Table27[customer_SKU],Table27[product_GTIN],"",0,1))</f>
        <v/>
      </c>
      <c r="Z1260" s="25" t="s">
        <v>3472</v>
      </c>
      <c r="AA1260" s="18" t="str" cm="1">
        <f t="array" ref="AA1260">IF(P1260="", "", _xlfn.XLOOKUP(P1260,#REF!,#REF!,NA,0,-1))</f>
        <v/>
      </c>
      <c r="AB1260" s="22"/>
      <c r="AC1260" s="55" t="str">
        <f>IF(Table26[[#This Row],[customerSKU]]="","",_xlfn.XLOOKUP(Table26[[#This Row],[customerSKU]],customerSKU!G:G,customerSKU!C:C,"",0,1))</f>
        <v/>
      </c>
      <c r="AD1260" s="55" t="str">
        <f>IF($AC1260="","",_xlfn.XLOOKUP($AC1260,'[2]Client Info'!$C$2:$C$2535,'[2]Client Info'!$D$2:$D$2535,"",0,1))</f>
        <v/>
      </c>
      <c r="AE1260" s="55" t="str">
        <f>IF($AC1260="","",_xlfn.XLOOKUP($AC1260,'[2]Client Info'!$C$2:$C$2715,'[2]Client Info'!$E$2:$E$2715,"",))</f>
        <v/>
      </c>
      <c r="AF1260" s="55" t="str">
        <f>IF($AC1260="","",_xlfn.XLOOKUP($AC1260,'[2]Client Info'!$C$2:$C$2715,'[2]Client Info'!$F$2:$F$2715,"",0,1))</f>
        <v/>
      </c>
      <c r="AG1260" s="55" t="str">
        <f>IF(ISBLANK(Table26[[#This Row],[customerSKU]]),"",_xlfn.XLOOKUP(Table26[[#This Row],[customerSKU]],Table27[customer_SKU],Table27[billto],"",0,1))</f>
        <v/>
      </c>
      <c r="AH1260" s="26" t="str">
        <f>_xlfn.XLOOKUP(Table26[[#This Row],[customerSKU]],customerSKU!G:G,customerSKU!K:K,"NA",0,1)</f>
        <v>NA</v>
      </c>
      <c r="AI1260" s="43" t="str">
        <f>_xlfn.XLOOKUP(Table26[[#This Row],[customerSKU]],customerSKU!G:G,customerSKU!O:O,"not found",0,1)</f>
        <v>not found</v>
      </c>
      <c r="AJ1260" s="22" t="e">
        <f>Table26[[#This Row],[unitprice]]*Table26[[#This Row],[quantity_unit]]</f>
        <v>#VALUE!</v>
      </c>
      <c r="AK1260" s="117" t="e" cm="1">
        <f t="array" ref="AK126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1" spans="1:37" ht="18" customHeight="1">
      <c r="A1261" s="42">
        <v>998</v>
      </c>
      <c r="B1261" s="42" t="s">
        <v>3357</v>
      </c>
      <c r="C1261" s="53" t="s">
        <v>3494</v>
      </c>
      <c r="D1261" s="20">
        <v>45736</v>
      </c>
      <c r="E1261" s="20"/>
      <c r="F1261" s="25"/>
      <c r="G1261" s="93"/>
      <c r="J1261" s="90" t="str">
        <f>IF(Table26[[#This Row],[customerSKU]]="","",_xlfn.XLOOKUP(Table26[[#This Row],[customerSKU]],customerSKU!G:G,customerSKU!A:A,"",0,1))</f>
        <v/>
      </c>
      <c r="K1261" s="232">
        <v>45735</v>
      </c>
      <c r="L1261" s="49" t="str">
        <f>IF(Table26[[#This Row],[customerSKU]]="","",_xlfn.XLOOKUP(Table26[[#This Row],[customerSKU]],customerSKU!G:G,customerSKU!B:B,"",0,1))</f>
        <v/>
      </c>
      <c r="M1261" s="22"/>
      <c r="N1261" s="15" t="str">
        <f>Table26[[#This Row],[po_number]]&amp;"-"&amp;Table26[[#This Row],[po_line]]</f>
        <v>-4</v>
      </c>
      <c r="O1261" s="15">
        <v>4</v>
      </c>
      <c r="P1261" s="50"/>
      <c r="Q1261" s="24" t="s">
        <v>1311</v>
      </c>
      <c r="R1261" s="22" t="s">
        <v>3302</v>
      </c>
      <c r="S1261" s="90" t="str">
        <f>IF(Table26[[#This Row],[customerSKU]]="","",_xlfn.XLOOKUP(Table26[[#This Row],[customerSKU]],customerSKU!G:G,customerSKU!N:N,"NOT FOUND",0,1))</f>
        <v>NOT FOUND</v>
      </c>
      <c r="T1261" s="20">
        <v>45616</v>
      </c>
      <c r="U1261" s="94">
        <v>84</v>
      </c>
      <c r="V1261" s="22" t="str">
        <f>IF(ISBLANK(Table26[[#This Row],[customerSKU]]),"",_xlfn.XLOOKUP(Table26[[#This Row],[customerSKU]],Table27[customer_SKU],Table27[case_size],"",0,1))</f>
        <v/>
      </c>
      <c r="W1261" s="117" t="str">
        <f t="shared" si="55"/>
        <v/>
      </c>
      <c r="X1261" s="22" t="str">
        <f t="shared" si="56"/>
        <v/>
      </c>
      <c r="Y1261" s="25" t="str">
        <f>IF(Table26[[#This Row],[customerSKU]]="","",_xlfn.XLOOKUP(Table26[[#This Row],[customerSKU]],Table27[customer_SKU],Table27[product_GTIN],"",0,1))</f>
        <v/>
      </c>
      <c r="Z1261" s="25" t="s">
        <v>4161</v>
      </c>
      <c r="AA1261" s="18" t="str" cm="1">
        <f t="array" ref="AA1261">IF(P1261="", "", _xlfn.XLOOKUP(P1261,#REF!,#REF!,NA,0,-1))</f>
        <v/>
      </c>
      <c r="AB1261" s="22"/>
      <c r="AC1261" s="55" t="str">
        <f>IF(Table26[[#This Row],[customerSKU]]="","",_xlfn.XLOOKUP(Table26[[#This Row],[customerSKU]],customerSKU!G:G,customerSKU!C:C,"",0,1))</f>
        <v/>
      </c>
      <c r="AD1261" s="55" t="str">
        <f>IF($AC1261="","",_xlfn.XLOOKUP($AC1261,'[2]Client Info'!$C$2:$C$2535,'[2]Client Info'!$D$2:$D$2535,"",0,1))</f>
        <v/>
      </c>
      <c r="AE1261" s="55" t="str">
        <f>IF($AC1261="","",_xlfn.XLOOKUP($AC1261,'[2]Client Info'!$C$2:$C$2715,'[2]Client Info'!$E$2:$E$2715,"",))</f>
        <v/>
      </c>
      <c r="AF1261" s="55" t="str">
        <f>IF($AC1261="","",_xlfn.XLOOKUP($AC1261,'[2]Client Info'!$C$2:$C$2715,'[2]Client Info'!$F$2:$F$2715,"",0,1))</f>
        <v/>
      </c>
      <c r="AG1261" s="55" t="str">
        <f>IF(ISBLANK(Table26[[#This Row],[customerSKU]]),"",_xlfn.XLOOKUP(Table26[[#This Row],[customerSKU]],Table27[customer_SKU],Table27[billto],"",0,1))</f>
        <v/>
      </c>
      <c r="AH1261" s="26" t="str">
        <f>_xlfn.XLOOKUP(Table26[[#This Row],[customerSKU]],customerSKU!G:G,customerSKU!K:K,"NA",0,1)</f>
        <v>NA</v>
      </c>
      <c r="AI1261" s="43" t="str">
        <f>_xlfn.XLOOKUP(Table26[[#This Row],[customerSKU]],customerSKU!G:G,customerSKU!O:O,"not found",0,1)</f>
        <v>not found</v>
      </c>
      <c r="AJ1261" s="22" t="e">
        <f>Table26[[#This Row],[unitprice]]*Table26[[#This Row],[quantity_unit]]</f>
        <v>#VALUE!</v>
      </c>
      <c r="AK1261" s="117" t="e" cm="1">
        <f t="array" ref="AK126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2" spans="1:37" ht="18" customHeight="1">
      <c r="A1262" s="42">
        <v>999</v>
      </c>
      <c r="B1262" s="42" t="s">
        <v>3357</v>
      </c>
      <c r="C1262" s="53" t="s">
        <v>3494</v>
      </c>
      <c r="D1262" s="20">
        <v>45736</v>
      </c>
      <c r="E1262" s="20"/>
      <c r="F1262" s="25"/>
      <c r="G1262" s="93"/>
      <c r="J1262" s="90" t="str">
        <f>IF(Table26[[#This Row],[customerSKU]]="","",_xlfn.XLOOKUP(Table26[[#This Row],[customerSKU]],customerSKU!G:G,customerSKU!A:A,"",0,1))</f>
        <v/>
      </c>
      <c r="K1262" s="232">
        <v>45735</v>
      </c>
      <c r="L1262" s="49" t="str">
        <f>IF(Table26[[#This Row],[customerSKU]]="","",_xlfn.XLOOKUP(Table26[[#This Row],[customerSKU]],customerSKU!G:G,customerSKU!B:B,"",0,1))</f>
        <v/>
      </c>
      <c r="M1262" s="22"/>
      <c r="N1262" s="15" t="str">
        <f>Table26[[#This Row],[po_number]]&amp;"-"&amp;Table26[[#This Row],[po_line]]</f>
        <v>-5</v>
      </c>
      <c r="O1262" s="15">
        <v>5</v>
      </c>
      <c r="P1262" s="50"/>
      <c r="Q1262" s="22" t="s">
        <v>545</v>
      </c>
      <c r="R1262" s="22" t="s">
        <v>3302</v>
      </c>
      <c r="S1262" s="90" t="str">
        <f>IF(Table26[[#This Row],[customerSKU]]="","",_xlfn.XLOOKUP(Table26[[#This Row],[customerSKU]],customerSKU!G:G,customerSKU!N:N,"NOT FOUND",0,1))</f>
        <v>NOT FOUND</v>
      </c>
      <c r="T1262" s="20">
        <v>45670</v>
      </c>
      <c r="U1262" s="94">
        <v>156</v>
      </c>
      <c r="V1262" s="22" t="str">
        <f>IF(ISBLANK(Table26[[#This Row],[customerSKU]]),"",_xlfn.XLOOKUP(Table26[[#This Row],[customerSKU]],Table27[customer_SKU],Table27[case_size],"",0,1))</f>
        <v/>
      </c>
      <c r="W1262" s="117" t="str">
        <f t="shared" si="55"/>
        <v/>
      </c>
      <c r="X1262" s="22" t="str">
        <f t="shared" si="56"/>
        <v/>
      </c>
      <c r="Y1262" s="25" t="str">
        <f>IF(Table26[[#This Row],[customerSKU]]="","",_xlfn.XLOOKUP(Table26[[#This Row],[customerSKU]],Table27[customer_SKU],Table27[product_GTIN],"",0,1))</f>
        <v/>
      </c>
      <c r="Z1262" s="25" t="s">
        <v>4161</v>
      </c>
      <c r="AA1262" s="18" t="str" cm="1">
        <f t="array" ref="AA1262">IF(P1262="", "", _xlfn.XLOOKUP(P1262,#REF!,#REF!,NA,0,-1))</f>
        <v/>
      </c>
      <c r="AB1262" s="22"/>
      <c r="AC1262" s="55" t="str">
        <f>IF(Table26[[#This Row],[customerSKU]]="","",_xlfn.XLOOKUP(Table26[[#This Row],[customerSKU]],customerSKU!G:G,customerSKU!C:C,"",0,1))</f>
        <v/>
      </c>
      <c r="AD1262" s="55" t="str">
        <f>IF($AC1262="","",_xlfn.XLOOKUP($AC1262,'[2]Client Info'!$C$2:$C$2535,'[2]Client Info'!$D$2:$D$2535,"",0,1))</f>
        <v/>
      </c>
      <c r="AE1262" s="55" t="str">
        <f>IF($AC1262="","",_xlfn.XLOOKUP($AC1262,'[2]Client Info'!$C$2:$C$2715,'[2]Client Info'!$E$2:$E$2715,"",))</f>
        <v/>
      </c>
      <c r="AF1262" s="55" t="str">
        <f>IF($AC1262="","",_xlfn.XLOOKUP($AC1262,'[2]Client Info'!$C$2:$C$2715,'[2]Client Info'!$F$2:$F$2715,"",0,1))</f>
        <v/>
      </c>
      <c r="AG1262" s="55" t="str">
        <f>IF(ISBLANK(Table26[[#This Row],[customerSKU]]),"",_xlfn.XLOOKUP(Table26[[#This Row],[customerSKU]],Table27[customer_SKU],Table27[billto],"",0,1))</f>
        <v/>
      </c>
      <c r="AH1262" s="26" t="str">
        <f>_xlfn.XLOOKUP(Table26[[#This Row],[customerSKU]],customerSKU!G:G,customerSKU!K:K,"NA",0,1)</f>
        <v>NA</v>
      </c>
      <c r="AI1262" s="43" t="str">
        <f>_xlfn.XLOOKUP(Table26[[#This Row],[customerSKU]],customerSKU!G:G,customerSKU!O:O,"not found",0,1)</f>
        <v>not found</v>
      </c>
      <c r="AJ1262" s="22" t="e">
        <f>Table26[[#This Row],[unitprice]]*Table26[[#This Row],[quantity_unit]]</f>
        <v>#VALUE!</v>
      </c>
      <c r="AK1262" s="117" t="e" cm="1">
        <f t="array" ref="AK126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3" spans="1:37" ht="18" customHeight="1">
      <c r="A1263" s="42">
        <v>1000</v>
      </c>
      <c r="B1263" s="42" t="s">
        <v>3357</v>
      </c>
      <c r="C1263" s="53" t="s">
        <v>3494</v>
      </c>
      <c r="D1263" s="20">
        <v>45736</v>
      </c>
      <c r="E1263" s="20"/>
      <c r="F1263" s="25"/>
      <c r="G1263" s="93"/>
      <c r="J1263" s="90" t="str">
        <f>IF(Table26[[#This Row],[customerSKU]]="","",_xlfn.XLOOKUP(Table26[[#This Row],[customerSKU]],customerSKU!G:G,customerSKU!A:A,"",0,1))</f>
        <v/>
      </c>
      <c r="K1263" s="232">
        <v>45735</v>
      </c>
      <c r="L1263" s="49" t="str">
        <f>IF(Table26[[#This Row],[customerSKU]]="","",_xlfn.XLOOKUP(Table26[[#This Row],[customerSKU]],customerSKU!G:G,customerSKU!B:B,"",0,1))</f>
        <v/>
      </c>
      <c r="M1263" s="22"/>
      <c r="N1263" s="15" t="str">
        <f>Table26[[#This Row],[po_number]]&amp;"-"&amp;Table26[[#This Row],[po_line]]</f>
        <v>-6</v>
      </c>
      <c r="O1263" s="15">
        <v>6</v>
      </c>
      <c r="P1263" s="50"/>
      <c r="Q1263" s="22" t="s">
        <v>535</v>
      </c>
      <c r="R1263" s="22" t="s">
        <v>3302</v>
      </c>
      <c r="S1263" s="90" t="str">
        <f>IF(Table26[[#This Row],[customerSKU]]="","",_xlfn.XLOOKUP(Table26[[#This Row],[customerSKU]],customerSKU!G:G,customerSKU!N:N,"NOT FOUND",0,1))</f>
        <v>NOT FOUND</v>
      </c>
      <c r="T1263" s="20">
        <v>45630</v>
      </c>
      <c r="U1263" s="94">
        <v>240</v>
      </c>
      <c r="V1263" s="22" t="str">
        <f>IF(ISBLANK(Table26[[#This Row],[customerSKU]]),"",_xlfn.XLOOKUP(Table26[[#This Row],[customerSKU]],Table27[customer_SKU],Table27[case_size],"",0,1))</f>
        <v/>
      </c>
      <c r="W1263" s="117" t="str">
        <f t="shared" si="55"/>
        <v/>
      </c>
      <c r="X1263" s="22" t="str">
        <f t="shared" si="56"/>
        <v/>
      </c>
      <c r="Y1263" s="25" t="str">
        <f>IF(Table26[[#This Row],[customerSKU]]="","",_xlfn.XLOOKUP(Table26[[#This Row],[customerSKU]],Table27[customer_SKU],Table27[product_GTIN],"",0,1))</f>
        <v/>
      </c>
      <c r="Z1263" s="25" t="s">
        <v>4162</v>
      </c>
      <c r="AA1263" s="18" t="str" cm="1">
        <f t="array" ref="AA1263">IF(P1263="", "", _xlfn.XLOOKUP(P1263,#REF!,#REF!,NA,0,-1))</f>
        <v/>
      </c>
      <c r="AB1263" s="22"/>
      <c r="AC1263" s="55" t="str">
        <f>IF(Table26[[#This Row],[customerSKU]]="","",_xlfn.XLOOKUP(Table26[[#This Row],[customerSKU]],customerSKU!G:G,customerSKU!C:C,"",0,1))</f>
        <v/>
      </c>
      <c r="AD1263" s="55" t="str">
        <f>IF($AC1263="","",_xlfn.XLOOKUP($AC1263,'[2]Client Info'!$C$2:$C$2535,'[2]Client Info'!$D$2:$D$2535,"",0,1))</f>
        <v/>
      </c>
      <c r="AE1263" s="55" t="str">
        <f>IF($AC1263="","",_xlfn.XLOOKUP($AC1263,'[2]Client Info'!$C$2:$C$2715,'[2]Client Info'!$E$2:$E$2715,"",))</f>
        <v/>
      </c>
      <c r="AF1263" s="55" t="str">
        <f>IF($AC1263="","",_xlfn.XLOOKUP($AC1263,'[2]Client Info'!$C$2:$C$2715,'[2]Client Info'!$F$2:$F$2715,"",0,1))</f>
        <v/>
      </c>
      <c r="AG1263" s="55" t="str">
        <f>IF(ISBLANK(Table26[[#This Row],[customerSKU]]),"",_xlfn.XLOOKUP(Table26[[#This Row],[customerSKU]],Table27[customer_SKU],Table27[billto],"",0,1))</f>
        <v/>
      </c>
      <c r="AH1263" s="26" t="str">
        <f>_xlfn.XLOOKUP(Table26[[#This Row],[customerSKU]],customerSKU!G:G,customerSKU!K:K,"NA",0,1)</f>
        <v>NA</v>
      </c>
      <c r="AI1263" s="43" t="str">
        <f>_xlfn.XLOOKUP(Table26[[#This Row],[customerSKU]],customerSKU!G:G,customerSKU!O:O,"not found",0,1)</f>
        <v>not found</v>
      </c>
      <c r="AJ1263" s="22" t="e">
        <f>Table26[[#This Row],[unitprice]]*Table26[[#This Row],[quantity_unit]]</f>
        <v>#VALUE!</v>
      </c>
      <c r="AK1263" s="117" t="e" cm="1">
        <f t="array" ref="AK126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4" spans="1:37" ht="18" customHeight="1">
      <c r="A1264" s="42">
        <v>1001</v>
      </c>
      <c r="B1264" s="42" t="s">
        <v>3357</v>
      </c>
      <c r="C1264" s="53" t="s">
        <v>3494</v>
      </c>
      <c r="D1264" s="20">
        <v>45736</v>
      </c>
      <c r="E1264" s="20"/>
      <c r="F1264" s="25"/>
      <c r="G1264" s="93"/>
      <c r="J1264" s="90" t="str">
        <f>IF(Table26[[#This Row],[customerSKU]]="","",_xlfn.XLOOKUP(Table26[[#This Row],[customerSKU]],customerSKU!G:G,customerSKU!A:A,"",0,1))</f>
        <v/>
      </c>
      <c r="K1264" s="232">
        <v>45735</v>
      </c>
      <c r="L1264" s="49" t="str">
        <f>IF(Table26[[#This Row],[customerSKU]]="","",_xlfn.XLOOKUP(Table26[[#This Row],[customerSKU]],customerSKU!G:G,customerSKU!B:B,"",0,1))</f>
        <v/>
      </c>
      <c r="M1264" s="22"/>
      <c r="N1264" s="15" t="str">
        <f>Table26[[#This Row],[po_number]]&amp;"-"&amp;Table26[[#This Row],[po_line]]</f>
        <v>-7</v>
      </c>
      <c r="O1264" s="15">
        <v>7</v>
      </c>
      <c r="P1264" s="50"/>
      <c r="Q1264" s="22" t="s">
        <v>656</v>
      </c>
      <c r="R1264" s="22" t="s">
        <v>3302</v>
      </c>
      <c r="S1264" s="90" t="str">
        <f>IF(Table26[[#This Row],[customerSKU]]="","",_xlfn.XLOOKUP(Table26[[#This Row],[customerSKU]],customerSKU!G:G,customerSKU!N:N,"NOT FOUND",0,1))</f>
        <v>NOT FOUND</v>
      </c>
      <c r="T1264" s="20">
        <v>45642</v>
      </c>
      <c r="U1264" s="94">
        <v>120</v>
      </c>
      <c r="V1264" s="22" t="str">
        <f>IF(ISBLANK(Table26[[#This Row],[customerSKU]]),"",_xlfn.XLOOKUP(Table26[[#This Row],[customerSKU]],Table27[customer_SKU],Table27[case_size],"",0,1))</f>
        <v/>
      </c>
      <c r="W1264" s="117" t="str">
        <f t="shared" si="55"/>
        <v/>
      </c>
      <c r="X1264" s="22" t="str">
        <f t="shared" si="56"/>
        <v/>
      </c>
      <c r="Y1264" s="25" t="str">
        <f>IF(Table26[[#This Row],[customerSKU]]="","",_xlfn.XLOOKUP(Table26[[#This Row],[customerSKU]],Table27[customer_SKU],Table27[product_GTIN],"",0,1))</f>
        <v/>
      </c>
      <c r="Z1264" s="25" t="s">
        <v>4163</v>
      </c>
      <c r="AA1264" s="18" t="str" cm="1">
        <f t="array" ref="AA1264">IF(P1264="", "", _xlfn.XLOOKUP(P1264,#REF!,#REF!,NA,0,-1))</f>
        <v/>
      </c>
      <c r="AB1264" s="22"/>
      <c r="AC1264" s="55" t="str">
        <f>IF(Table26[[#This Row],[customerSKU]]="","",_xlfn.XLOOKUP(Table26[[#This Row],[customerSKU]],customerSKU!G:G,customerSKU!C:C,"",0,1))</f>
        <v/>
      </c>
      <c r="AD1264" s="55" t="str">
        <f>IF($AC1264="","",_xlfn.XLOOKUP($AC1264,'[2]Client Info'!$C$2:$C$2535,'[2]Client Info'!$D$2:$D$2535,"",0,1))</f>
        <v/>
      </c>
      <c r="AE1264" s="55" t="str">
        <f>IF($AC1264="","",_xlfn.XLOOKUP($AC1264,'[2]Client Info'!$C$2:$C$2715,'[2]Client Info'!$E$2:$E$2715,"",))</f>
        <v/>
      </c>
      <c r="AF1264" s="55" t="str">
        <f>IF($AC1264="","",_xlfn.XLOOKUP($AC1264,'[2]Client Info'!$C$2:$C$2715,'[2]Client Info'!$F$2:$F$2715,"",0,1))</f>
        <v/>
      </c>
      <c r="AG1264" s="55" t="str">
        <f>IF(ISBLANK(Table26[[#This Row],[customerSKU]]),"",_xlfn.XLOOKUP(Table26[[#This Row],[customerSKU]],Table27[customer_SKU],Table27[billto],"",0,1))</f>
        <v/>
      </c>
      <c r="AH1264" s="26" t="str">
        <f>_xlfn.XLOOKUP(Table26[[#This Row],[customerSKU]],customerSKU!G:G,customerSKU!K:K,"NA",0,1)</f>
        <v>NA</v>
      </c>
      <c r="AI1264" s="43" t="str">
        <f>_xlfn.XLOOKUP(Table26[[#This Row],[customerSKU]],customerSKU!G:G,customerSKU!O:O,"not found",0,1)</f>
        <v>not found</v>
      </c>
      <c r="AJ1264" s="22" t="e">
        <f>Table26[[#This Row],[unitprice]]*Table26[[#This Row],[quantity_unit]]</f>
        <v>#VALUE!</v>
      </c>
      <c r="AK1264" s="117" t="e" cm="1">
        <f t="array" ref="AK126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5" spans="1:37" ht="18" customHeight="1">
      <c r="A1265" s="42">
        <v>1002</v>
      </c>
      <c r="B1265" s="42" t="s">
        <v>3357</v>
      </c>
      <c r="C1265" s="53" t="s">
        <v>3494</v>
      </c>
      <c r="D1265" s="20">
        <v>45736</v>
      </c>
      <c r="E1265" s="20"/>
      <c r="F1265" s="25"/>
      <c r="G1265" s="93"/>
      <c r="J1265" s="90" t="str">
        <f>IF(Table26[[#This Row],[customerSKU]]="","",_xlfn.XLOOKUP(Table26[[#This Row],[customerSKU]],customerSKU!G:G,customerSKU!A:A,"",0,1))</f>
        <v/>
      </c>
      <c r="K1265" s="232">
        <v>45735</v>
      </c>
      <c r="L1265" s="49" t="str">
        <f>IF(Table26[[#This Row],[customerSKU]]="","",_xlfn.XLOOKUP(Table26[[#This Row],[customerSKU]],customerSKU!G:G,customerSKU!B:B,"",0,1))</f>
        <v/>
      </c>
      <c r="M1265" s="22"/>
      <c r="N1265" s="15" t="str">
        <f>Table26[[#This Row],[po_number]]&amp;"-"&amp;Table26[[#This Row],[po_line]]</f>
        <v>-8</v>
      </c>
      <c r="O1265" s="15">
        <v>8</v>
      </c>
      <c r="P1265" s="50"/>
      <c r="Q1265" s="22" t="s">
        <v>1375</v>
      </c>
      <c r="R1265" s="22" t="s">
        <v>3302</v>
      </c>
      <c r="S1265" s="90" t="str">
        <f>IF(Table26[[#This Row],[customerSKU]]="","",_xlfn.XLOOKUP(Table26[[#This Row],[customerSKU]],customerSKU!G:G,customerSKU!N:N,"NOT FOUND",0,1))</f>
        <v>NOT FOUND</v>
      </c>
      <c r="T1265" s="20">
        <v>45629</v>
      </c>
      <c r="U1265" s="94">
        <f>15*12</f>
        <v>180</v>
      </c>
      <c r="V1265" s="22" t="str">
        <f>IF(ISBLANK(Table26[[#This Row],[customerSKU]]),"",_xlfn.XLOOKUP(Table26[[#This Row],[customerSKU]],Table27[customer_SKU],Table27[case_size],"",0,1))</f>
        <v/>
      </c>
      <c r="W1265" s="117" t="str">
        <f t="shared" si="55"/>
        <v/>
      </c>
      <c r="X1265" s="22" t="str">
        <f t="shared" si="56"/>
        <v/>
      </c>
      <c r="Y1265" s="25" t="str">
        <f>IF(Table26[[#This Row],[customerSKU]]="","",_xlfn.XLOOKUP(Table26[[#This Row],[customerSKU]],Table27[customer_SKU],Table27[product_GTIN],"",0,1))</f>
        <v/>
      </c>
      <c r="Z1265" s="25" t="s">
        <v>4164</v>
      </c>
      <c r="AA1265" s="18" t="str" cm="1">
        <f t="array" ref="AA1265">IF(P1265="", "", _xlfn.XLOOKUP(P1265,#REF!,#REF!,NA,0,-1))</f>
        <v/>
      </c>
      <c r="AB1265" s="22"/>
      <c r="AC1265" s="55" t="str">
        <f>IF(Table26[[#This Row],[customerSKU]]="","",_xlfn.XLOOKUP(Table26[[#This Row],[customerSKU]],customerSKU!G:G,customerSKU!C:C,"",0,1))</f>
        <v/>
      </c>
      <c r="AD1265" s="55" t="str">
        <f>IF($AC1265="","",_xlfn.XLOOKUP($AC1265,'[2]Client Info'!$C$2:$C$2535,'[2]Client Info'!$D$2:$D$2535,"",0,1))</f>
        <v/>
      </c>
      <c r="AE1265" s="55" t="str">
        <f>IF($AC1265="","",_xlfn.XLOOKUP($AC1265,'[2]Client Info'!$C$2:$C$2715,'[2]Client Info'!$E$2:$E$2715,"",))</f>
        <v/>
      </c>
      <c r="AF1265" s="55" t="str">
        <f>IF($AC1265="","",_xlfn.XLOOKUP($AC1265,'[2]Client Info'!$C$2:$C$2715,'[2]Client Info'!$F$2:$F$2715,"",0,1))</f>
        <v/>
      </c>
      <c r="AG1265" s="55" t="str">
        <f>IF(ISBLANK(Table26[[#This Row],[customerSKU]]),"",_xlfn.XLOOKUP(Table26[[#This Row],[customerSKU]],Table27[customer_SKU],Table27[billto],"",0,1))</f>
        <v/>
      </c>
      <c r="AH1265" s="26" t="str">
        <f>_xlfn.XLOOKUP(Table26[[#This Row],[customerSKU]],customerSKU!G:G,customerSKU!K:K,"NA",0,1)</f>
        <v>NA</v>
      </c>
      <c r="AI1265" s="43" t="str">
        <f>_xlfn.XLOOKUP(Table26[[#This Row],[customerSKU]],customerSKU!G:G,customerSKU!O:O,"not found",0,1)</f>
        <v>not found</v>
      </c>
      <c r="AJ1265" s="22" t="e">
        <f>Table26[[#This Row],[unitprice]]*Table26[[#This Row],[quantity_unit]]</f>
        <v>#VALUE!</v>
      </c>
      <c r="AK1265" s="117" t="e" cm="1">
        <f t="array" ref="AK126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6" spans="1:37" ht="18" customHeight="1">
      <c r="A1266" s="42">
        <v>1003</v>
      </c>
      <c r="B1266" s="42" t="s">
        <v>3357</v>
      </c>
      <c r="C1266" s="53" t="s">
        <v>3494</v>
      </c>
      <c r="D1266" s="20">
        <v>45736</v>
      </c>
      <c r="E1266" s="20"/>
      <c r="F1266" s="25"/>
      <c r="G1266" s="93"/>
      <c r="J1266" s="90" t="str">
        <f>IF(Table26[[#This Row],[customerSKU]]="","",_xlfn.XLOOKUP(Table26[[#This Row],[customerSKU]],customerSKU!G:G,customerSKU!A:A,"",0,1))</f>
        <v/>
      </c>
      <c r="K1266" s="232">
        <v>45735</v>
      </c>
      <c r="L1266" s="49" t="str">
        <f>IF(Table26[[#This Row],[customerSKU]]="","",_xlfn.XLOOKUP(Table26[[#This Row],[customerSKU]],customerSKU!G:G,customerSKU!B:B,"",0,1))</f>
        <v/>
      </c>
      <c r="M1266" s="22"/>
      <c r="N1266" s="15" t="str">
        <f>Table26[[#This Row],[po_number]]&amp;"-"&amp;Table26[[#This Row],[po_line]]</f>
        <v>-9</v>
      </c>
      <c r="O1266" s="15">
        <v>9</v>
      </c>
      <c r="P1266" s="50"/>
      <c r="Q1266" s="22" t="s">
        <v>4165</v>
      </c>
      <c r="R1266" s="22" t="s">
        <v>3302</v>
      </c>
      <c r="S1266" s="90" t="str">
        <f>IF(Table26[[#This Row],[customerSKU]]="","",_xlfn.XLOOKUP(Table26[[#This Row],[customerSKU]],customerSKU!G:G,customerSKU!N:N,"NOT FOUND",0,1))</f>
        <v>NOT FOUND</v>
      </c>
      <c r="T1266" s="20">
        <v>45694</v>
      </c>
      <c r="U1266" s="94">
        <f>15*12</f>
        <v>180</v>
      </c>
      <c r="V1266" s="22" t="str">
        <f>IF(ISBLANK(Table26[[#This Row],[customerSKU]]),"",_xlfn.XLOOKUP(Table26[[#This Row],[customerSKU]],Table27[customer_SKU],Table27[case_size],"",0,1))</f>
        <v/>
      </c>
      <c r="W1266" s="117" t="str">
        <f t="shared" si="55"/>
        <v/>
      </c>
      <c r="X1266" s="22" t="str">
        <f t="shared" si="56"/>
        <v/>
      </c>
      <c r="Y1266" s="25" t="str">
        <f>IF(Table26[[#This Row],[customerSKU]]="","",_xlfn.XLOOKUP(Table26[[#This Row],[customerSKU]],Table27[customer_SKU],Table27[product_GTIN],"",0,1))</f>
        <v/>
      </c>
      <c r="Z1266" s="25" t="s">
        <v>4164</v>
      </c>
      <c r="AA1266" s="18" t="str" cm="1">
        <f t="array" ref="AA1266">IF(P1266="", "", _xlfn.XLOOKUP(P1266,#REF!,#REF!,NA,0,-1))</f>
        <v/>
      </c>
      <c r="AB1266" s="22"/>
      <c r="AC1266" s="55" t="str">
        <f>IF(Table26[[#This Row],[customerSKU]]="","",_xlfn.XLOOKUP(Table26[[#This Row],[customerSKU]],customerSKU!G:G,customerSKU!C:C,"",0,1))</f>
        <v/>
      </c>
      <c r="AD1266" s="55" t="str">
        <f>IF($AC1266="","",_xlfn.XLOOKUP($AC1266,'[2]Client Info'!$C$2:$C$2535,'[2]Client Info'!$D$2:$D$2535,"",0,1))</f>
        <v/>
      </c>
      <c r="AE1266" s="55" t="str">
        <f>IF($AC1266="","",_xlfn.XLOOKUP($AC1266,'[2]Client Info'!$C$2:$C$2715,'[2]Client Info'!$E$2:$E$2715,"",))</f>
        <v/>
      </c>
      <c r="AF1266" s="55" t="str">
        <f>IF($AC1266="","",_xlfn.XLOOKUP($AC1266,'[2]Client Info'!$C$2:$C$2715,'[2]Client Info'!$F$2:$F$2715,"",0,1))</f>
        <v/>
      </c>
      <c r="AG1266" s="55" t="str">
        <f>IF(ISBLANK(Table26[[#This Row],[customerSKU]]),"",_xlfn.XLOOKUP(Table26[[#This Row],[customerSKU]],Table27[customer_SKU],Table27[billto],"",0,1))</f>
        <v/>
      </c>
      <c r="AH1266" s="26" t="str">
        <f>_xlfn.XLOOKUP(Table26[[#This Row],[customerSKU]],customerSKU!G:G,customerSKU!K:K,"NA",0,1)</f>
        <v>NA</v>
      </c>
      <c r="AI1266" s="43" t="str">
        <f>_xlfn.XLOOKUP(Table26[[#This Row],[customerSKU]],customerSKU!G:G,customerSKU!O:O,"not found",0,1)</f>
        <v>not found</v>
      </c>
      <c r="AJ1266" s="22" t="e">
        <f>Table26[[#This Row],[unitprice]]*Table26[[#This Row],[quantity_unit]]</f>
        <v>#VALUE!</v>
      </c>
      <c r="AK1266" s="117" t="e" cm="1">
        <f t="array" ref="AK126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7" spans="1:37" ht="18" customHeight="1">
      <c r="A1267" s="42">
        <v>1004</v>
      </c>
      <c r="B1267" s="42" t="s">
        <v>3357</v>
      </c>
      <c r="C1267" s="53" t="s">
        <v>3494</v>
      </c>
      <c r="D1267" s="20">
        <v>45736</v>
      </c>
      <c r="E1267" s="20"/>
      <c r="F1267" s="25"/>
      <c r="G1267" s="93"/>
      <c r="J1267" s="90" t="str">
        <f>IF(Table26[[#This Row],[customerSKU]]="","",_xlfn.XLOOKUP(Table26[[#This Row],[customerSKU]],customerSKU!G:G,customerSKU!A:A,"",0,1))</f>
        <v/>
      </c>
      <c r="K1267" s="232">
        <v>45735</v>
      </c>
      <c r="L1267" s="49" t="str">
        <f>IF(Table26[[#This Row],[customerSKU]]="","",_xlfn.XLOOKUP(Table26[[#This Row],[customerSKU]],customerSKU!G:G,customerSKU!B:B,"",0,1))</f>
        <v/>
      </c>
      <c r="M1267" s="22"/>
      <c r="N1267" s="15" t="str">
        <f>Table26[[#This Row],[po_number]]&amp;"-"&amp;Table26[[#This Row],[po_line]]</f>
        <v>-10</v>
      </c>
      <c r="O1267" s="15">
        <v>10</v>
      </c>
      <c r="P1267" s="50"/>
      <c r="Q1267" s="22" t="s">
        <v>622</v>
      </c>
      <c r="R1267" s="22" t="s">
        <v>3302</v>
      </c>
      <c r="S1267" s="90" t="str">
        <f>IF(Table26[[#This Row],[customerSKU]]="","",_xlfn.XLOOKUP(Table26[[#This Row],[customerSKU]],customerSKU!G:G,customerSKU!N:N,"NOT FOUND",0,1))</f>
        <v>NOT FOUND</v>
      </c>
      <c r="T1267" s="20">
        <v>45603</v>
      </c>
      <c r="U1267" s="94">
        <v>180</v>
      </c>
      <c r="V1267" s="22" t="str">
        <f>IF(ISBLANK(Table26[[#This Row],[customerSKU]]),"",_xlfn.XLOOKUP(Table26[[#This Row],[customerSKU]],Table27[customer_SKU],Table27[case_size],"",0,1))</f>
        <v/>
      </c>
      <c r="W1267" s="117" t="str">
        <f t="shared" si="55"/>
        <v/>
      </c>
      <c r="X1267" s="22" t="str">
        <f t="shared" si="56"/>
        <v/>
      </c>
      <c r="Y1267" s="25" t="str">
        <f>IF(Table26[[#This Row],[customerSKU]]="","",_xlfn.XLOOKUP(Table26[[#This Row],[customerSKU]],Table27[customer_SKU],Table27[product_GTIN],"",0,1))</f>
        <v/>
      </c>
      <c r="Z1267" s="25" t="s">
        <v>4166</v>
      </c>
      <c r="AA1267" s="18" t="str" cm="1">
        <f t="array" ref="AA1267">IF(P1267="", "", _xlfn.XLOOKUP(P1267,#REF!,#REF!,NA,0,-1))</f>
        <v/>
      </c>
      <c r="AB1267" s="22"/>
      <c r="AC1267" s="55" t="str">
        <f>IF(Table26[[#This Row],[customerSKU]]="","",_xlfn.XLOOKUP(Table26[[#This Row],[customerSKU]],customerSKU!G:G,customerSKU!C:C,"",0,1))</f>
        <v/>
      </c>
      <c r="AD1267" s="55" t="str">
        <f>IF($AC1267="","",_xlfn.XLOOKUP($AC1267,'[2]Client Info'!$C$2:$C$2535,'[2]Client Info'!$D$2:$D$2535,"",0,1))</f>
        <v/>
      </c>
      <c r="AE1267" s="55" t="str">
        <f>IF($AC1267="","",_xlfn.XLOOKUP($AC1267,'[2]Client Info'!$C$2:$C$2715,'[2]Client Info'!$E$2:$E$2715,"",))</f>
        <v/>
      </c>
      <c r="AF1267" s="55" t="str">
        <f>IF($AC1267="","",_xlfn.XLOOKUP($AC1267,'[2]Client Info'!$C$2:$C$2715,'[2]Client Info'!$F$2:$F$2715,"",0,1))</f>
        <v/>
      </c>
      <c r="AG1267" s="55" t="str">
        <f>IF(ISBLANK(Table26[[#This Row],[customerSKU]]),"",_xlfn.XLOOKUP(Table26[[#This Row],[customerSKU]],Table27[customer_SKU],Table27[billto],"",0,1))</f>
        <v/>
      </c>
      <c r="AH1267" s="26" t="str">
        <f>_xlfn.XLOOKUP(Table26[[#This Row],[customerSKU]],customerSKU!G:G,customerSKU!K:K,"NA",0,1)</f>
        <v>NA</v>
      </c>
      <c r="AI1267" s="43" t="str">
        <f>_xlfn.XLOOKUP(Table26[[#This Row],[customerSKU]],customerSKU!G:G,customerSKU!O:O,"not found",0,1)</f>
        <v>not found</v>
      </c>
      <c r="AJ1267" s="22" t="e">
        <f>Table26[[#This Row],[unitprice]]*Table26[[#This Row],[quantity_unit]]</f>
        <v>#VALUE!</v>
      </c>
      <c r="AK1267" s="117" t="e" cm="1">
        <f t="array" ref="AK126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8" spans="1:37" ht="18" customHeight="1">
      <c r="A1268" s="42">
        <v>973</v>
      </c>
      <c r="B1268" s="42" t="s">
        <v>3357</v>
      </c>
      <c r="C1268" s="53" t="s">
        <v>203</v>
      </c>
      <c r="E1268" s="20"/>
      <c r="F1268" s="25"/>
      <c r="G1268" s="93"/>
      <c r="I1268" s="203">
        <v>45734</v>
      </c>
      <c r="J1268" s="90" t="str">
        <f>IF(Table26[[#This Row],[customerSKU]]="","",_xlfn.XLOOKUP(Table26[[#This Row],[customerSKU]],customerSKU!G:G,customerSKU!A:A,"",0,1))</f>
        <v/>
      </c>
      <c r="K1268" s="232">
        <v>45736</v>
      </c>
      <c r="L1268" s="49" t="str">
        <f>IF(Table26[[#This Row],[customerSKU]]="","",_xlfn.XLOOKUP(Table26[[#This Row],[customerSKU]],customerSKU!G:G,customerSKU!B:B,"",0,1))</f>
        <v/>
      </c>
      <c r="M1268" s="22"/>
      <c r="N1268" s="15" t="str">
        <f>Table26[[#This Row],[po_number]]&amp;"-"&amp;Table26[[#This Row],[po_line]]</f>
        <v>-1</v>
      </c>
      <c r="O1268" s="15">
        <v>1</v>
      </c>
      <c r="P1268" s="50"/>
      <c r="Q1268" s="22" t="s">
        <v>828</v>
      </c>
      <c r="R1268" s="22" t="s">
        <v>221</v>
      </c>
      <c r="S1268" s="90" t="str">
        <f>IF(Table26[[#This Row],[customerSKU]]="","",_xlfn.XLOOKUP(Table26[[#This Row],[customerSKU]],customerSKU!G:G,customerSKU!N:N,"NOT FOUND",0,1))</f>
        <v>NOT FOUND</v>
      </c>
      <c r="T1268" s="20">
        <v>45685</v>
      </c>
      <c r="U1268" s="94">
        <v>36</v>
      </c>
      <c r="V1268" s="22" t="str">
        <f>IF(ISBLANK(Table26[[#This Row],[customerSKU]]),"",_xlfn.XLOOKUP(Table26[[#This Row],[customerSKU]],Table27[customer_SKU],Table27[case_size],"",0,1))</f>
        <v/>
      </c>
      <c r="W1268" s="117" t="str">
        <f t="shared" si="55"/>
        <v/>
      </c>
      <c r="X1268" s="22" t="str">
        <f t="shared" si="56"/>
        <v/>
      </c>
      <c r="Y1268" s="25" t="str">
        <f>IF(Table26[[#This Row],[customerSKU]]="","",_xlfn.XLOOKUP(Table26[[#This Row],[customerSKU]],Table27[customer_SKU],Table27[product_GTIN],"",0,1))</f>
        <v/>
      </c>
      <c r="Z1268" s="25" t="s">
        <v>3364</v>
      </c>
      <c r="AA1268" s="18" t="str" cm="1">
        <f t="array" ref="AA1268">IF(P1268="", "", _xlfn.XLOOKUP(P1268,#REF!,#REF!,NA,0,-1))</f>
        <v/>
      </c>
      <c r="AB1268" s="22"/>
      <c r="AC1268" s="55" t="s">
        <v>3365</v>
      </c>
      <c r="AD1268" s="55" t="str">
        <f>IF($AC1268="","",_xlfn.XLOOKUP($AC1268,'[2]Client Info'!$C$2:$C$2535,'[2]Client Info'!$D$2:$D$2535,"",0,1))</f>
        <v>Unit 101, 3596 Kingsway</v>
      </c>
      <c r="AE1268" s="55" t="str">
        <f>IF($AC1268="","",_xlfn.XLOOKUP($AC1268,'[2]Client Info'!$C$2:$C$2715,'[2]Client Info'!$E$2:$E$2715,"",))</f>
        <v>Vancouver</v>
      </c>
      <c r="AF1268" s="55" t="str">
        <f>IF($AC1268="","",_xlfn.XLOOKUP($AC1268,'[2]Client Info'!$C$2:$C$2715,'[2]Client Info'!$F$2:$F$2715,"",0,1))</f>
        <v xml:space="preserve">BC </v>
      </c>
      <c r="AG1268" s="55" t="s">
        <v>3365</v>
      </c>
      <c r="AH1268" s="26" t="str">
        <f>_xlfn.XLOOKUP(Table26[[#This Row],[customerSKU]],customerSKU!G:G,customerSKU!K:K,"NA",0,1)</f>
        <v>NA</v>
      </c>
      <c r="AI1268" s="43" t="str">
        <f>_xlfn.XLOOKUP(Table26[[#This Row],[customerSKU]],customerSKU!G:G,customerSKU!O:O,"not found",0,1)</f>
        <v>not found</v>
      </c>
      <c r="AJ1268" s="22" t="e">
        <f>Table26[[#This Row],[unitprice]]*Table26[[#This Row],[quantity_unit]]</f>
        <v>#VALUE!</v>
      </c>
      <c r="AK1268" s="117" t="e" cm="1">
        <f t="array" ref="AK126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69" spans="1:37" ht="18" customHeight="1">
      <c r="A1269" s="42">
        <v>974</v>
      </c>
      <c r="B1269" s="42" t="s">
        <v>3357</v>
      </c>
      <c r="C1269" s="53" t="s">
        <v>203</v>
      </c>
      <c r="E1269" s="20"/>
      <c r="F1269" s="25"/>
      <c r="G1269" s="93"/>
      <c r="I1269" s="203">
        <v>45734</v>
      </c>
      <c r="J1269" s="90" t="str">
        <f>IF(Table26[[#This Row],[customerSKU]]="","",_xlfn.XLOOKUP(Table26[[#This Row],[customerSKU]],customerSKU!G:G,customerSKU!A:A,"",0,1))</f>
        <v/>
      </c>
      <c r="K1269" s="232">
        <v>45736</v>
      </c>
      <c r="L1269" s="49" t="str">
        <f>IF(Table26[[#This Row],[customerSKU]]="","",_xlfn.XLOOKUP(Table26[[#This Row],[customerSKU]],customerSKU!G:G,customerSKU!B:B,"",0,1))</f>
        <v/>
      </c>
      <c r="M1269" s="22"/>
      <c r="N1269" s="15" t="str">
        <f>Table26[[#This Row],[po_number]]&amp;"-"&amp;Table26[[#This Row],[po_line]]</f>
        <v>-2</v>
      </c>
      <c r="O1269" s="15">
        <v>2</v>
      </c>
      <c r="P1269" s="50"/>
      <c r="Q1269" s="24" t="s">
        <v>574</v>
      </c>
      <c r="R1269" s="22" t="s">
        <v>569</v>
      </c>
      <c r="S1269" s="90" t="str">
        <f>IF(Table26[[#This Row],[customerSKU]]="","",_xlfn.XLOOKUP(Table26[[#This Row],[customerSKU]],customerSKU!G:G,customerSKU!N:N,"NOT FOUND",0,1))</f>
        <v>NOT FOUND</v>
      </c>
      <c r="T1269" s="20">
        <v>45728</v>
      </c>
      <c r="U1269" s="94">
        <v>24</v>
      </c>
      <c r="V1269" s="22" t="str">
        <f>IF(ISBLANK(Table26[[#This Row],[customerSKU]]),"",_xlfn.XLOOKUP(Table26[[#This Row],[customerSKU]],Table27[customer_SKU],Table27[case_size],"",0,1))</f>
        <v/>
      </c>
      <c r="W1269" s="117" t="str">
        <f t="shared" si="55"/>
        <v/>
      </c>
      <c r="X1269" s="22" t="str">
        <f t="shared" si="56"/>
        <v/>
      </c>
      <c r="Y1269" s="25" t="str">
        <f>IF(Table26[[#This Row],[customerSKU]]="","",_xlfn.XLOOKUP(Table26[[#This Row],[customerSKU]],Table27[customer_SKU],Table27[product_GTIN],"",0,1))</f>
        <v/>
      </c>
      <c r="Z1269" s="25" t="s">
        <v>3366</v>
      </c>
      <c r="AA1269" s="18" t="str" cm="1">
        <f t="array" ref="AA1269">IF(P1269="", "", _xlfn.XLOOKUP(P1269,#REF!,#REF!,NA,0,-1))</f>
        <v/>
      </c>
      <c r="AB1269" s="22"/>
      <c r="AC1269" s="55" t="s">
        <v>3365</v>
      </c>
      <c r="AD1269" s="55" t="str">
        <f>IF($AC1269="","",_xlfn.XLOOKUP($AC1269,'[2]Client Info'!$C$2:$C$2535,'[2]Client Info'!$D$2:$D$2535,"",0,1))</f>
        <v>Unit 101, 3596 Kingsway</v>
      </c>
      <c r="AE1269" s="55" t="str">
        <f>IF($AC1269="","",_xlfn.XLOOKUP($AC1269,'[2]Client Info'!$C$2:$C$2715,'[2]Client Info'!$E$2:$E$2715,"",))</f>
        <v>Vancouver</v>
      </c>
      <c r="AF1269" s="55" t="str">
        <f>IF($AC1269="","",_xlfn.XLOOKUP($AC1269,'[2]Client Info'!$C$2:$C$2715,'[2]Client Info'!$F$2:$F$2715,"",0,1))</f>
        <v xml:space="preserve">BC </v>
      </c>
      <c r="AG1269" s="55" t="s">
        <v>3365</v>
      </c>
      <c r="AH1269" s="26" t="str">
        <f>_xlfn.XLOOKUP(Table26[[#This Row],[customerSKU]],customerSKU!G:G,customerSKU!K:K,"NA",0,1)</f>
        <v>NA</v>
      </c>
      <c r="AI1269" s="43" t="str">
        <f>_xlfn.XLOOKUP(Table26[[#This Row],[customerSKU]],customerSKU!G:G,customerSKU!O:O,"not found",0,1)</f>
        <v>not found</v>
      </c>
      <c r="AJ1269" s="22" t="e">
        <f>Table26[[#This Row],[unitprice]]*Table26[[#This Row],[quantity_unit]]</f>
        <v>#VALUE!</v>
      </c>
      <c r="AK1269" s="117" t="e" cm="1">
        <f t="array" ref="AK126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0" spans="1:37" ht="18" customHeight="1">
      <c r="A1270" s="42">
        <v>975</v>
      </c>
      <c r="B1270" s="42" t="s">
        <v>3357</v>
      </c>
      <c r="C1270" s="53" t="s">
        <v>203</v>
      </c>
      <c r="E1270" s="20"/>
      <c r="F1270" s="25"/>
      <c r="G1270" s="93"/>
      <c r="I1270" s="203">
        <v>45734</v>
      </c>
      <c r="J1270" s="90" t="str">
        <f>IF(Table26[[#This Row],[customerSKU]]="","",_xlfn.XLOOKUP(Table26[[#This Row],[customerSKU]],customerSKU!G:G,customerSKU!A:A,"",0,1))</f>
        <v/>
      </c>
      <c r="K1270" s="232">
        <v>45736</v>
      </c>
      <c r="L1270" s="49" t="str">
        <f>IF(Table26[[#This Row],[customerSKU]]="","",_xlfn.XLOOKUP(Table26[[#This Row],[customerSKU]],customerSKU!G:G,customerSKU!B:B,"",0,1))</f>
        <v/>
      </c>
      <c r="M1270" s="22"/>
      <c r="N1270" s="15" t="str">
        <f>Table26[[#This Row],[po_number]]&amp;"-"&amp;Table26[[#This Row],[po_line]]</f>
        <v>-3</v>
      </c>
      <c r="O1270" s="15">
        <v>3</v>
      </c>
      <c r="P1270" s="50"/>
      <c r="Q1270" s="22" t="s">
        <v>656</v>
      </c>
      <c r="R1270" s="22" t="s">
        <v>221</v>
      </c>
      <c r="S1270" s="90" t="str">
        <f>IF(Table26[[#This Row],[customerSKU]]="","",_xlfn.XLOOKUP(Table26[[#This Row],[customerSKU]],customerSKU!G:G,customerSKU!N:N,"NOT FOUND",0,1))</f>
        <v>NOT FOUND</v>
      </c>
      <c r="T1270" s="20">
        <v>45642</v>
      </c>
      <c r="U1270" s="94">
        <v>12</v>
      </c>
      <c r="V1270" s="22" t="str">
        <f>IF(ISBLANK(Table26[[#This Row],[customerSKU]]),"",_xlfn.XLOOKUP(Table26[[#This Row],[customerSKU]],Table27[customer_SKU],Table27[case_size],"",0,1))</f>
        <v/>
      </c>
      <c r="W1270" s="117" t="str">
        <f t="shared" si="55"/>
        <v/>
      </c>
      <c r="X1270" s="22" t="str">
        <f t="shared" si="56"/>
        <v/>
      </c>
      <c r="Y1270" s="25" t="str">
        <f>IF(Table26[[#This Row],[customerSKU]]="","",_xlfn.XLOOKUP(Table26[[#This Row],[customerSKU]],Table27[customer_SKU],Table27[product_GTIN],"",0,1))</f>
        <v/>
      </c>
      <c r="Z1270" s="25" t="s">
        <v>3367</v>
      </c>
      <c r="AA1270" s="18" t="str" cm="1">
        <f t="array" ref="AA1270">IF(P1270="", "", _xlfn.XLOOKUP(P1270,#REF!,#REF!,NA,0,-1))</f>
        <v/>
      </c>
      <c r="AB1270" s="22"/>
      <c r="AC1270" s="55" t="s">
        <v>3365</v>
      </c>
      <c r="AD1270" s="55" t="str">
        <f>IF($AC1270="","",_xlfn.XLOOKUP($AC1270,'[2]Client Info'!$C$2:$C$2535,'[2]Client Info'!$D$2:$D$2535,"",0,1))</f>
        <v>Unit 101, 3596 Kingsway</v>
      </c>
      <c r="AE1270" s="55" t="str">
        <f>IF($AC1270="","",_xlfn.XLOOKUP($AC1270,'[2]Client Info'!$C$2:$C$2715,'[2]Client Info'!$E$2:$E$2715,"",))</f>
        <v>Vancouver</v>
      </c>
      <c r="AF1270" s="55" t="str">
        <f>IF($AC1270="","",_xlfn.XLOOKUP($AC1270,'[2]Client Info'!$C$2:$C$2715,'[2]Client Info'!$F$2:$F$2715,"",0,1))</f>
        <v xml:space="preserve">BC </v>
      </c>
      <c r="AG1270" s="55" t="s">
        <v>3365</v>
      </c>
      <c r="AH1270" s="26" t="str">
        <f>_xlfn.XLOOKUP(Table26[[#This Row],[customerSKU]],customerSKU!G:G,customerSKU!K:K,"NA",0,1)</f>
        <v>NA</v>
      </c>
      <c r="AI1270" s="43" t="str">
        <f>_xlfn.XLOOKUP(Table26[[#This Row],[customerSKU]],customerSKU!G:G,customerSKU!O:O,"not found",0,1)</f>
        <v>not found</v>
      </c>
      <c r="AJ1270" s="22" t="e">
        <f>Table26[[#This Row],[unitprice]]*Table26[[#This Row],[quantity_unit]]</f>
        <v>#VALUE!</v>
      </c>
      <c r="AK1270" s="117" t="e" cm="1">
        <f t="array" ref="AK127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1" spans="1:37" ht="18" customHeight="1">
      <c r="A1271" s="42">
        <v>976</v>
      </c>
      <c r="B1271" s="42" t="s">
        <v>3357</v>
      </c>
      <c r="C1271" s="53" t="s">
        <v>203</v>
      </c>
      <c r="E1271" s="20"/>
      <c r="F1271" s="25"/>
      <c r="G1271" s="93"/>
      <c r="I1271" s="203">
        <v>45735</v>
      </c>
      <c r="J1271" s="90" t="str">
        <f>IF(Table26[[#This Row],[customerSKU]]="","",_xlfn.XLOOKUP(Table26[[#This Row],[customerSKU]],customerSKU!G:G,customerSKU!A:A,"",0,1))</f>
        <v/>
      </c>
      <c r="K1271" s="232">
        <v>45736</v>
      </c>
      <c r="L1271" s="49" t="str">
        <f>IF(Table26[[#This Row],[customerSKU]]="","",_xlfn.XLOOKUP(Table26[[#This Row],[customerSKU]],customerSKU!G:G,customerSKU!B:B,"",0,1))</f>
        <v/>
      </c>
      <c r="M1271" s="22"/>
      <c r="N1271" s="15" t="str">
        <f>Table26[[#This Row],[po_number]]&amp;"-"&amp;Table26[[#This Row],[po_line]]</f>
        <v>-1</v>
      </c>
      <c r="O1271" s="15">
        <v>1</v>
      </c>
      <c r="P1271" s="50"/>
      <c r="Q1271" s="22" t="s">
        <v>3368</v>
      </c>
      <c r="R1271" s="22" t="s">
        <v>3369</v>
      </c>
      <c r="S1271" s="90" t="str">
        <f>IF(Table26[[#This Row],[customerSKU]]="","",_xlfn.XLOOKUP(Table26[[#This Row],[customerSKU]],customerSKU!G:G,customerSKU!N:N,"NOT FOUND",0,1))</f>
        <v>NOT FOUND</v>
      </c>
      <c r="T1271" s="20">
        <v>45590</v>
      </c>
      <c r="U1271" s="94">
        <v>24</v>
      </c>
      <c r="V1271" s="22" t="str">
        <f>IF(ISBLANK(Table26[[#This Row],[customerSKU]]),"",_xlfn.XLOOKUP(Table26[[#This Row],[customerSKU]],Table27[customer_SKU],Table27[case_size],"",0,1))</f>
        <v/>
      </c>
      <c r="W1271" s="117" t="str">
        <f t="shared" si="55"/>
        <v/>
      </c>
      <c r="X1271" s="22" t="str">
        <f t="shared" si="56"/>
        <v/>
      </c>
      <c r="Y1271" s="25" t="str">
        <f>IF(Table26[[#This Row],[customerSKU]]="","",_xlfn.XLOOKUP(Table26[[#This Row],[customerSKU]],Table27[customer_SKU],Table27[product_GTIN],"",0,1))</f>
        <v/>
      </c>
      <c r="Z1271" s="25" t="s">
        <v>3370</v>
      </c>
      <c r="AA1271" s="18" t="str" cm="1">
        <f t="array" ref="AA1271">IF(P1271="", "", _xlfn.XLOOKUP(P1271,#REF!,#REF!,NA,0,-1))</f>
        <v/>
      </c>
      <c r="AB1271" s="22"/>
      <c r="AC1271" s="55" t="s">
        <v>3371</v>
      </c>
      <c r="AD1271" s="55" t="str">
        <f>IF($AC1271="","",_xlfn.XLOOKUP($AC1271,'[2]Client Info'!$C$2:$C$2535,'[2]Client Info'!$D$2:$D$2535,"",0,1))</f>
        <v>385 Martin St</v>
      </c>
      <c r="AE1271" s="55" t="str">
        <f>IF($AC1271="","",_xlfn.XLOOKUP($AC1271,'[2]Client Info'!$C$2:$C$2715,'[2]Client Info'!$E$2:$E$2715,"",))</f>
        <v>Penticton</v>
      </c>
      <c r="AF1271" s="55" t="str">
        <f>IF($AC1271="","",_xlfn.XLOOKUP($AC1271,'[2]Client Info'!$C$2:$C$2715,'[2]Client Info'!$F$2:$F$2715,"",0,1))</f>
        <v xml:space="preserve">BC </v>
      </c>
      <c r="AG1271" s="55" t="s">
        <v>3371</v>
      </c>
      <c r="AH1271" s="26" t="str">
        <f>_xlfn.XLOOKUP(Table26[[#This Row],[customerSKU]],customerSKU!G:G,customerSKU!K:K,"NA",0,1)</f>
        <v>NA</v>
      </c>
      <c r="AI1271" s="43" t="str">
        <f>_xlfn.XLOOKUP(Table26[[#This Row],[customerSKU]],customerSKU!G:G,customerSKU!O:O,"not found",0,1)</f>
        <v>not found</v>
      </c>
      <c r="AJ1271" s="22" t="e">
        <f>Table26[[#This Row],[unitprice]]*Table26[[#This Row],[quantity_unit]]</f>
        <v>#VALUE!</v>
      </c>
      <c r="AK1271" s="117" t="e" cm="1">
        <f t="array" ref="AK127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2" spans="1:37" ht="18" customHeight="1">
      <c r="A1272" s="42">
        <v>977</v>
      </c>
      <c r="B1272" s="42" t="s">
        <v>3357</v>
      </c>
      <c r="C1272" s="53" t="s">
        <v>203</v>
      </c>
      <c r="E1272" s="20"/>
      <c r="F1272" s="25"/>
      <c r="G1272" s="93"/>
      <c r="I1272" s="203">
        <v>45735</v>
      </c>
      <c r="J1272" s="90" t="str">
        <f>IF(Table26[[#This Row],[customerSKU]]="","",_xlfn.XLOOKUP(Table26[[#This Row],[customerSKU]],customerSKU!G:G,customerSKU!A:A,"",0,1))</f>
        <v/>
      </c>
      <c r="K1272" s="232">
        <v>45736</v>
      </c>
      <c r="L1272" s="49" t="str">
        <f>IF(Table26[[#This Row],[customerSKU]]="","",_xlfn.XLOOKUP(Table26[[#This Row],[customerSKU]],customerSKU!G:G,customerSKU!B:B,"",0,1))</f>
        <v/>
      </c>
      <c r="M1272" s="22"/>
      <c r="N1272" s="15" t="str">
        <f>Table26[[#This Row],[po_number]]&amp;"-"&amp;Table26[[#This Row],[po_line]]</f>
        <v>-2</v>
      </c>
      <c r="O1272" s="15">
        <v>2</v>
      </c>
      <c r="P1272" s="50"/>
      <c r="Q1272" s="22" t="s">
        <v>1829</v>
      </c>
      <c r="R1272" s="22" t="s">
        <v>3302</v>
      </c>
      <c r="S1272" s="90" t="str">
        <f>IF(Table26[[#This Row],[customerSKU]]="","",_xlfn.XLOOKUP(Table26[[#This Row],[customerSKU]],customerSKU!G:G,customerSKU!N:N,"NOT FOUND",0,1))</f>
        <v>NOT FOUND</v>
      </c>
      <c r="T1272" s="20">
        <v>45721</v>
      </c>
      <c r="U1272" s="94">
        <v>24</v>
      </c>
      <c r="V1272" s="22" t="str">
        <f>IF(ISBLANK(Table26[[#This Row],[customerSKU]]),"",_xlfn.XLOOKUP(Table26[[#This Row],[customerSKU]],Table27[customer_SKU],Table27[case_size],"",0,1))</f>
        <v/>
      </c>
      <c r="W1272" s="117" t="str">
        <f t="shared" si="55"/>
        <v/>
      </c>
      <c r="X1272" s="22" t="str">
        <f t="shared" si="56"/>
        <v/>
      </c>
      <c r="Y1272" s="25" t="str">
        <f>IF(Table26[[#This Row],[customerSKU]]="","",_xlfn.XLOOKUP(Table26[[#This Row],[customerSKU]],Table27[customer_SKU],Table27[product_GTIN],"",0,1))</f>
        <v/>
      </c>
      <c r="Z1272" s="25" t="s">
        <v>3372</v>
      </c>
      <c r="AA1272" s="18" t="str" cm="1">
        <f t="array" ref="AA1272">IF(P1272="", "", _xlfn.XLOOKUP(P1272,#REF!,#REF!,NA,0,-1))</f>
        <v/>
      </c>
      <c r="AB1272" s="22"/>
      <c r="AC1272" s="55" t="s">
        <v>3371</v>
      </c>
      <c r="AD1272" s="55" t="str">
        <f>IF($AC1272="","",_xlfn.XLOOKUP($AC1272,'[2]Client Info'!$C$2:$C$2535,'[2]Client Info'!$D$2:$D$2535,"",0,1))</f>
        <v>385 Martin St</v>
      </c>
      <c r="AE1272" s="55" t="str">
        <f>IF($AC1272="","",_xlfn.XLOOKUP($AC1272,'[2]Client Info'!$C$2:$C$2715,'[2]Client Info'!$E$2:$E$2715,"",))</f>
        <v>Penticton</v>
      </c>
      <c r="AF1272" s="55" t="str">
        <f>IF($AC1272="","",_xlfn.XLOOKUP($AC1272,'[2]Client Info'!$C$2:$C$2715,'[2]Client Info'!$F$2:$F$2715,"",0,1))</f>
        <v xml:space="preserve">BC </v>
      </c>
      <c r="AG1272" s="55" t="s">
        <v>3371</v>
      </c>
      <c r="AH1272" s="26" t="str">
        <f>_xlfn.XLOOKUP(Table26[[#This Row],[customerSKU]],customerSKU!G:G,customerSKU!K:K,"NA",0,1)</f>
        <v>NA</v>
      </c>
      <c r="AI1272" s="43" t="str">
        <f>_xlfn.XLOOKUP(Table26[[#This Row],[customerSKU]],customerSKU!G:G,customerSKU!O:O,"not found",0,1)</f>
        <v>not found</v>
      </c>
      <c r="AJ1272" s="22" t="e">
        <f>Table26[[#This Row],[unitprice]]*Table26[[#This Row],[quantity_unit]]</f>
        <v>#VALUE!</v>
      </c>
      <c r="AK1272" s="117" t="e" cm="1">
        <f t="array" ref="AK12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3" spans="1:37" ht="18" customHeight="1">
      <c r="A1273" s="42">
        <v>978</v>
      </c>
      <c r="B1273" s="42" t="s">
        <v>3357</v>
      </c>
      <c r="C1273" s="53" t="s">
        <v>3360</v>
      </c>
      <c r="E1273" s="20"/>
      <c r="F1273" s="25"/>
      <c r="G1273" s="93"/>
      <c r="I1273" s="203">
        <v>45735</v>
      </c>
      <c r="J1273" s="90" t="str">
        <f>IF(Table26[[#This Row],[customerSKU]]="","",_xlfn.XLOOKUP(Table26[[#This Row],[customerSKU]],customerSKU!G:G,customerSKU!A:A,"",0,1))</f>
        <v/>
      </c>
      <c r="K1273" s="232">
        <v>45736</v>
      </c>
      <c r="L1273" s="49" t="str">
        <f>IF(Table26[[#This Row],[customerSKU]]="","",_xlfn.XLOOKUP(Table26[[#This Row],[customerSKU]],customerSKU!G:G,customerSKU!B:B,"",0,1))</f>
        <v/>
      </c>
      <c r="M1273" s="22"/>
      <c r="N1273" s="15" t="str">
        <f>Table26[[#This Row],[po_number]]&amp;"-"&amp;Table26[[#This Row],[po_line]]</f>
        <v>-1</v>
      </c>
      <c r="O1273" s="15">
        <v>1</v>
      </c>
      <c r="P1273" s="50"/>
      <c r="S1273" s="90" t="str">
        <f>IF(Table26[[#This Row],[customerSKU]]="","",_xlfn.XLOOKUP(Table26[[#This Row],[customerSKU]],customerSKU!G:G,customerSKU!N:N,"NOT FOUND",0,1))</f>
        <v>NOT FOUND</v>
      </c>
      <c r="T1273" s="20"/>
      <c r="U1273" s="94">
        <v>12</v>
      </c>
      <c r="V1273" s="22" t="str">
        <f>IF(ISBLANK(Table26[[#This Row],[customerSKU]]),"",_xlfn.XLOOKUP(Table26[[#This Row],[customerSKU]],Table27[customer_SKU],Table27[case_size],"",0,1))</f>
        <v/>
      </c>
      <c r="W1273" s="117" t="str">
        <f t="shared" si="55"/>
        <v/>
      </c>
      <c r="X1273" s="22" t="str">
        <f t="shared" si="56"/>
        <v/>
      </c>
      <c r="Y1273" s="25" t="str">
        <f>IF(Table26[[#This Row],[customerSKU]]="","",_xlfn.XLOOKUP(Table26[[#This Row],[customerSKU]],Table27[customer_SKU],Table27[product_GTIN],"",0,1))</f>
        <v/>
      </c>
      <c r="Z1273" s="25" t="s">
        <v>3380</v>
      </c>
      <c r="AA1273" s="18" t="str" cm="1">
        <f t="array" ref="AA1273">IF(P1273="", "", _xlfn.XLOOKUP(P1273,#REF!,#REF!,NA,0,-1))</f>
        <v/>
      </c>
      <c r="AB1273" s="22"/>
      <c r="AC1273" s="55" t="str">
        <f>IF(Table26[[#This Row],[customerSKU]]="","",_xlfn.XLOOKUP(Table26[[#This Row],[customerSKU]],customerSKU!G:G,customerSKU!C:C,"",0,1))</f>
        <v/>
      </c>
      <c r="AD1273" s="55" t="str">
        <f>IF($AC1273="","",_xlfn.XLOOKUP($AC1273,'[2]Client Info'!$C$2:$C$2535,'[2]Client Info'!$D$2:$D$2535,"",0,1))</f>
        <v/>
      </c>
      <c r="AE1273" s="55" t="str">
        <f>IF($AC1273="","",_xlfn.XLOOKUP($AC1273,'[2]Client Info'!$C$2:$C$2715,'[2]Client Info'!$E$2:$E$2715,"",))</f>
        <v/>
      </c>
      <c r="AF1273" s="55" t="str">
        <f>IF($AC1273="","",_xlfn.XLOOKUP($AC1273,'[2]Client Info'!$C$2:$C$2715,'[2]Client Info'!$F$2:$F$2715,"",0,1))</f>
        <v/>
      </c>
      <c r="AG1273" s="55" t="str">
        <f>IF(ISBLANK(Table26[[#This Row],[customerSKU]]),"",_xlfn.XLOOKUP(Table26[[#This Row],[customerSKU]],Table27[customer_SKU],Table27[billto],"",0,1))</f>
        <v/>
      </c>
      <c r="AH1273" s="26" t="str">
        <f>_xlfn.XLOOKUP(Table26[[#This Row],[customerSKU]],customerSKU!G:G,customerSKU!K:K,"NA",0,1)</f>
        <v>NA</v>
      </c>
      <c r="AI1273" s="43" t="str">
        <f>_xlfn.XLOOKUP(Table26[[#This Row],[customerSKU]],customerSKU!G:G,customerSKU!O:O,"not found",0,1)</f>
        <v>not found</v>
      </c>
      <c r="AJ1273" s="22" t="e">
        <f>Table26[[#This Row],[unitprice]]*Table26[[#This Row],[quantity_unit]]</f>
        <v>#VALUE!</v>
      </c>
      <c r="AK1273" s="117" t="e" cm="1">
        <f t="array" ref="AK127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4" spans="1:37" ht="18" customHeight="1">
      <c r="A1274" s="42">
        <v>979</v>
      </c>
      <c r="B1274" s="42" t="s">
        <v>3357</v>
      </c>
      <c r="C1274" s="53" t="s">
        <v>3360</v>
      </c>
      <c r="E1274" s="20"/>
      <c r="F1274" s="25"/>
      <c r="G1274" s="93"/>
      <c r="I1274" s="203">
        <v>45735</v>
      </c>
      <c r="J1274" s="90" t="str">
        <f>IF(Table26[[#This Row],[customerSKU]]="","",_xlfn.XLOOKUP(Table26[[#This Row],[customerSKU]],customerSKU!G:G,customerSKU!A:A,"",0,1))</f>
        <v/>
      </c>
      <c r="K1274" s="232">
        <v>45736</v>
      </c>
      <c r="L1274" s="49" t="str">
        <f>IF(Table26[[#This Row],[customerSKU]]="","",_xlfn.XLOOKUP(Table26[[#This Row],[customerSKU]],customerSKU!G:G,customerSKU!B:B,"",0,1))</f>
        <v/>
      </c>
      <c r="M1274" s="22"/>
      <c r="N1274" s="15" t="str">
        <f>Table26[[#This Row],[po_number]]&amp;"-"&amp;Table26[[#This Row],[po_line]]</f>
        <v>-1</v>
      </c>
      <c r="O1274" s="15">
        <v>1</v>
      </c>
      <c r="P1274" s="50"/>
      <c r="S1274" s="90" t="str">
        <f>IF(Table26[[#This Row],[customerSKU]]="","",_xlfn.XLOOKUP(Table26[[#This Row],[customerSKU]],customerSKU!G:G,customerSKU!N:N,"NOT FOUND",0,1))</f>
        <v>NOT FOUND</v>
      </c>
      <c r="T1274" s="20"/>
      <c r="U1274" s="94">
        <v>12</v>
      </c>
      <c r="V1274" s="22" t="str">
        <f>IF(ISBLANK(Table26[[#This Row],[customerSKU]]),"",_xlfn.XLOOKUP(Table26[[#This Row],[customerSKU]],Table27[customer_SKU],Table27[case_size],"",0,1))</f>
        <v/>
      </c>
      <c r="W1274" s="117" t="str">
        <f t="shared" si="55"/>
        <v/>
      </c>
      <c r="X1274" s="22" t="str">
        <f t="shared" si="56"/>
        <v/>
      </c>
      <c r="Y1274" s="25" t="str">
        <f>IF(Table26[[#This Row],[customerSKU]]="","",_xlfn.XLOOKUP(Table26[[#This Row],[customerSKU]],Table27[customer_SKU],Table27[product_GTIN],"",0,1))</f>
        <v/>
      </c>
      <c r="Z1274" s="25" t="s">
        <v>3381</v>
      </c>
      <c r="AA1274" s="18" t="str" cm="1">
        <f t="array" ref="AA1274">IF(P1274="", "", _xlfn.XLOOKUP(P1274,#REF!,#REF!,NA,0,-1))</f>
        <v/>
      </c>
      <c r="AB1274" s="22"/>
      <c r="AC1274" s="55" t="str">
        <f>IF(Table26[[#This Row],[customerSKU]]="","",_xlfn.XLOOKUP(Table26[[#This Row],[customerSKU]],customerSKU!G:G,customerSKU!C:C,"",0,1))</f>
        <v/>
      </c>
      <c r="AD1274" s="55" t="str">
        <f>IF($AC1274="","",_xlfn.XLOOKUP($AC1274,'[2]Client Info'!$C$2:$C$2535,'[2]Client Info'!$D$2:$D$2535,"",0,1))</f>
        <v/>
      </c>
      <c r="AE1274" s="55" t="str">
        <f>IF($AC1274="","",_xlfn.XLOOKUP($AC1274,'[2]Client Info'!$C$2:$C$2715,'[2]Client Info'!$E$2:$E$2715,"",))</f>
        <v/>
      </c>
      <c r="AF1274" s="55" t="str">
        <f>IF($AC1274="","",_xlfn.XLOOKUP($AC1274,'[2]Client Info'!$C$2:$C$2715,'[2]Client Info'!$F$2:$F$2715,"",0,1))</f>
        <v/>
      </c>
      <c r="AG1274" s="55" t="str">
        <f>IF(ISBLANK(Table26[[#This Row],[customerSKU]]),"",_xlfn.XLOOKUP(Table26[[#This Row],[customerSKU]],Table27[customer_SKU],Table27[billto],"",0,1))</f>
        <v/>
      </c>
      <c r="AH1274" s="26" t="str">
        <f>_xlfn.XLOOKUP(Table26[[#This Row],[customerSKU]],customerSKU!G:G,customerSKU!K:K,"NA",0,1)</f>
        <v>NA</v>
      </c>
      <c r="AI1274" s="43" t="str">
        <f>_xlfn.XLOOKUP(Table26[[#This Row],[customerSKU]],customerSKU!G:G,customerSKU!O:O,"not found",0,1)</f>
        <v>not found</v>
      </c>
      <c r="AJ1274" s="22" t="e">
        <f>Table26[[#This Row],[unitprice]]*Table26[[#This Row],[quantity_unit]]</f>
        <v>#VALUE!</v>
      </c>
      <c r="AK1274" s="117" t="e" cm="1">
        <f t="array" ref="AK127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5" spans="1:37" ht="18" customHeight="1">
      <c r="A1275" s="42">
        <v>980</v>
      </c>
      <c r="B1275" s="42" t="s">
        <v>3357</v>
      </c>
      <c r="C1275" s="53" t="s">
        <v>203</v>
      </c>
      <c r="E1275" s="20"/>
      <c r="F1275" s="25"/>
      <c r="G1275" s="93"/>
      <c r="I1275" s="203">
        <v>45736</v>
      </c>
      <c r="J1275" s="90" t="str">
        <f>IF(Table26[[#This Row],[customerSKU]]="","",_xlfn.XLOOKUP(Table26[[#This Row],[customerSKU]],customerSKU!G:G,customerSKU!A:A,"",0,1))</f>
        <v/>
      </c>
      <c r="K1275" s="232">
        <v>45736</v>
      </c>
      <c r="L1275" s="49" t="str">
        <f>IF(Table26[[#This Row],[customerSKU]]="","",_xlfn.XLOOKUP(Table26[[#This Row],[customerSKU]],customerSKU!G:G,customerSKU!B:B,"",0,1))</f>
        <v/>
      </c>
      <c r="M1275" s="22"/>
      <c r="N1275" s="15" t="str">
        <f>Table26[[#This Row],[po_number]]&amp;"-"&amp;Table26[[#This Row],[po_line]]</f>
        <v>-1</v>
      </c>
      <c r="O1275" s="15">
        <v>1</v>
      </c>
      <c r="P1275" s="50"/>
      <c r="Q1275" s="22" t="s">
        <v>630</v>
      </c>
      <c r="R1275" s="22" t="s">
        <v>569</v>
      </c>
      <c r="S1275" s="90" t="str">
        <f>IF(Table26[[#This Row],[customerSKU]]="","",_xlfn.XLOOKUP(Table26[[#This Row],[customerSKU]],customerSKU!G:G,customerSKU!N:N,"NOT FOUND",0,1))</f>
        <v>NOT FOUND</v>
      </c>
      <c r="T1275" s="20">
        <v>45707</v>
      </c>
      <c r="U1275" s="94">
        <v>12</v>
      </c>
      <c r="V1275" s="22" t="str">
        <f>IF(ISBLANK(Table26[[#This Row],[customerSKU]]),"",_xlfn.XLOOKUP(Table26[[#This Row],[customerSKU]],Table27[customer_SKU],Table27[case_size],"",0,1))</f>
        <v/>
      </c>
      <c r="W1275" s="117" t="str">
        <f t="shared" si="55"/>
        <v/>
      </c>
      <c r="X1275" s="22" t="str">
        <f t="shared" si="56"/>
        <v/>
      </c>
      <c r="Y1275" s="25" t="str">
        <f>IF(Table26[[#This Row],[customerSKU]]="","",_xlfn.XLOOKUP(Table26[[#This Row],[customerSKU]],Table27[customer_SKU],Table27[product_GTIN],"",0,1))</f>
        <v/>
      </c>
      <c r="Z1275" s="25" t="s">
        <v>3386</v>
      </c>
      <c r="AA1275" s="18" t="str" cm="1">
        <f t="array" ref="AA1275">IF(P1275="", "", _xlfn.XLOOKUP(P1275,#REF!,#REF!,NA,0,-1))</f>
        <v/>
      </c>
      <c r="AB1275" s="22"/>
      <c r="AC1275" s="55" t="s">
        <v>92</v>
      </c>
      <c r="AD1275" s="55" t="str">
        <f>IF($AC1275="","",_xlfn.XLOOKUP($AC1275,'[2]Client Info'!$C$2:$C$2535,'[2]Client Info'!$D$2:$D$2535,"",0,1))</f>
        <v>137F Dyke Rd</v>
      </c>
      <c r="AE1275" s="55" t="str">
        <f>IF($AC1275="","",_xlfn.XLOOKUP($AC1275,'[2]Client Info'!$C$2:$C$2715,'[2]Client Info'!$E$2:$E$2715,"",))</f>
        <v>Chilliwack</v>
      </c>
      <c r="AF1275" s="55" t="str">
        <f>IF($AC1275="","",_xlfn.XLOOKUP($AC1275,'[2]Client Info'!$C$2:$C$2715,'[2]Client Info'!$F$2:$F$2715,"",0,1))</f>
        <v xml:space="preserve">BC </v>
      </c>
      <c r="AG1275" s="55" t="s">
        <v>92</v>
      </c>
      <c r="AH1275" s="26" t="str">
        <f>_xlfn.XLOOKUP(Table26[[#This Row],[customerSKU]],customerSKU!G:G,customerSKU!K:K,"NA",0,1)</f>
        <v>NA</v>
      </c>
      <c r="AI1275" s="43" t="str">
        <f>_xlfn.XLOOKUP(Table26[[#This Row],[customerSKU]],customerSKU!G:G,customerSKU!O:O,"not found",0,1)</f>
        <v>not found</v>
      </c>
      <c r="AJ1275" s="22" t="e">
        <f>Table26[[#This Row],[unitprice]]*Table26[[#This Row],[quantity_unit]]</f>
        <v>#VALUE!</v>
      </c>
      <c r="AK1275" s="117" t="e" cm="1">
        <f t="array" ref="AK127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6" spans="1:37" ht="18" customHeight="1">
      <c r="A1276" s="42">
        <v>981</v>
      </c>
      <c r="B1276" s="42" t="s">
        <v>3357</v>
      </c>
      <c r="C1276" s="53" t="s">
        <v>203</v>
      </c>
      <c r="E1276" s="20"/>
      <c r="F1276" s="25"/>
      <c r="G1276" s="93"/>
      <c r="I1276" s="203">
        <v>45736</v>
      </c>
      <c r="J1276" s="90" t="str">
        <f>IF(Table26[[#This Row],[customerSKU]]="","",_xlfn.XLOOKUP(Table26[[#This Row],[customerSKU]],customerSKU!G:G,customerSKU!A:A,"",0,1))</f>
        <v/>
      </c>
      <c r="K1276" s="232">
        <v>45736</v>
      </c>
      <c r="L1276" s="49" t="str">
        <f>IF(Table26[[#This Row],[customerSKU]]="","",_xlfn.XLOOKUP(Table26[[#This Row],[customerSKU]],customerSKU!G:G,customerSKU!B:B,"",0,1))</f>
        <v/>
      </c>
      <c r="M1276" s="22"/>
      <c r="N1276" s="15" t="str">
        <f>Table26[[#This Row],[po_number]]&amp;"-"&amp;Table26[[#This Row],[po_line]]</f>
        <v>-2</v>
      </c>
      <c r="O1276" s="15">
        <v>2</v>
      </c>
      <c r="P1276" s="50"/>
      <c r="Q1276" s="22" t="s">
        <v>1312</v>
      </c>
      <c r="R1276" s="22" t="s">
        <v>569</v>
      </c>
      <c r="S1276" s="90" t="str">
        <f>IF(Table26[[#This Row],[customerSKU]]="","",_xlfn.XLOOKUP(Table26[[#This Row],[customerSKU]],customerSKU!G:G,customerSKU!N:N,"NOT FOUND",0,1))</f>
        <v>NOT FOUND</v>
      </c>
      <c r="T1276" s="20">
        <v>45660</v>
      </c>
      <c r="U1276" s="94">
        <v>12</v>
      </c>
      <c r="V1276" s="22" t="str">
        <f>IF(ISBLANK(Table26[[#This Row],[customerSKU]]),"",_xlfn.XLOOKUP(Table26[[#This Row],[customerSKU]],Table27[customer_SKU],Table27[case_size],"",0,1))</f>
        <v/>
      </c>
      <c r="W1276" s="117" t="str">
        <f t="shared" si="55"/>
        <v/>
      </c>
      <c r="X1276" s="22" t="str">
        <f t="shared" si="56"/>
        <v/>
      </c>
      <c r="Y1276" s="25" t="str">
        <f>IF(Table26[[#This Row],[customerSKU]]="","",_xlfn.XLOOKUP(Table26[[#This Row],[customerSKU]],Table27[customer_SKU],Table27[product_GTIN],"",0,1))</f>
        <v/>
      </c>
      <c r="Z1276" s="25" t="s">
        <v>3387</v>
      </c>
      <c r="AA1276" s="18" t="str" cm="1">
        <f t="array" ref="AA1276">IF(P1276="", "", _xlfn.XLOOKUP(P1276,#REF!,#REF!,NA,0,-1))</f>
        <v/>
      </c>
      <c r="AB1276" s="22"/>
      <c r="AC1276" s="55" t="s">
        <v>92</v>
      </c>
      <c r="AD1276" s="55" t="str">
        <f>IF($AC1276="","",_xlfn.XLOOKUP($AC1276,'[2]Client Info'!$C$2:$C$2535,'[2]Client Info'!$D$2:$D$2535,"",0,1))</f>
        <v>137F Dyke Rd</v>
      </c>
      <c r="AE1276" s="55" t="str">
        <f>IF($AC1276="","",_xlfn.XLOOKUP($AC1276,'[2]Client Info'!$C$2:$C$2715,'[2]Client Info'!$E$2:$E$2715,"",))</f>
        <v>Chilliwack</v>
      </c>
      <c r="AF1276" s="55" t="str">
        <f>IF($AC1276="","",_xlfn.XLOOKUP($AC1276,'[2]Client Info'!$C$2:$C$2715,'[2]Client Info'!$F$2:$F$2715,"",0,1))</f>
        <v xml:space="preserve">BC </v>
      </c>
      <c r="AG1276" s="55" t="s">
        <v>92</v>
      </c>
      <c r="AH1276" s="26" t="str">
        <f>_xlfn.XLOOKUP(Table26[[#This Row],[customerSKU]],customerSKU!G:G,customerSKU!K:K,"NA",0,1)</f>
        <v>NA</v>
      </c>
      <c r="AI1276" s="43" t="str">
        <f>_xlfn.XLOOKUP(Table26[[#This Row],[customerSKU]],customerSKU!G:G,customerSKU!O:O,"not found",0,1)</f>
        <v>not found</v>
      </c>
      <c r="AJ1276" s="22" t="e">
        <f>Table26[[#This Row],[unitprice]]*Table26[[#This Row],[quantity_unit]]</f>
        <v>#VALUE!</v>
      </c>
      <c r="AK1276" s="117" t="e" cm="1">
        <f t="array" ref="AK127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7" spans="1:37" ht="18" customHeight="1">
      <c r="A1277" s="42">
        <v>982</v>
      </c>
      <c r="B1277" s="42" t="s">
        <v>3357</v>
      </c>
      <c r="C1277" s="53" t="s">
        <v>203</v>
      </c>
      <c r="E1277" s="20"/>
      <c r="F1277" s="25"/>
      <c r="G1277" s="93"/>
      <c r="I1277" s="203">
        <v>45736</v>
      </c>
      <c r="J1277" s="90" t="str">
        <f>IF(Table26[[#This Row],[customerSKU]]="","",_xlfn.XLOOKUP(Table26[[#This Row],[customerSKU]],customerSKU!G:G,customerSKU!A:A,"",0,1))</f>
        <v/>
      </c>
      <c r="K1277" s="232">
        <v>45736</v>
      </c>
      <c r="L1277" s="49" t="str">
        <f>IF(Table26[[#This Row],[customerSKU]]="","",_xlfn.XLOOKUP(Table26[[#This Row],[customerSKU]],customerSKU!G:G,customerSKU!B:B,"",0,1))</f>
        <v/>
      </c>
      <c r="M1277" s="22"/>
      <c r="N1277" s="15" t="str">
        <f>Table26[[#This Row],[po_number]]&amp;"-"&amp;Table26[[#This Row],[po_line]]</f>
        <v>-3</v>
      </c>
      <c r="O1277" s="15">
        <v>3</v>
      </c>
      <c r="P1277" s="50"/>
      <c r="Q1277" s="22" t="s">
        <v>1314</v>
      </c>
      <c r="R1277" s="22" t="s">
        <v>569</v>
      </c>
      <c r="S1277" s="90" t="str">
        <f>IF(Table26[[#This Row],[customerSKU]]="","",_xlfn.XLOOKUP(Table26[[#This Row],[customerSKU]],customerSKU!G:G,customerSKU!N:N,"NOT FOUND",0,1))</f>
        <v>NOT FOUND</v>
      </c>
      <c r="T1277" s="20">
        <v>45503</v>
      </c>
      <c r="U1277" s="94">
        <v>12</v>
      </c>
      <c r="V1277" s="22" t="str">
        <f>IF(ISBLANK(Table26[[#This Row],[customerSKU]]),"",_xlfn.XLOOKUP(Table26[[#This Row],[customerSKU]],Table27[customer_SKU],Table27[case_size],"",0,1))</f>
        <v/>
      </c>
      <c r="W1277" s="117" t="str">
        <f t="shared" si="55"/>
        <v/>
      </c>
      <c r="X1277" s="22" t="str">
        <f t="shared" si="56"/>
        <v/>
      </c>
      <c r="Y1277" s="25" t="str">
        <f>IF(Table26[[#This Row],[customerSKU]]="","",_xlfn.XLOOKUP(Table26[[#This Row],[customerSKU]],Table27[customer_SKU],Table27[product_GTIN],"",0,1))</f>
        <v/>
      </c>
      <c r="Z1277" s="25" t="s">
        <v>3374</v>
      </c>
      <c r="AA1277" s="18" t="str" cm="1">
        <f t="array" ref="AA1277">IF(P1277="", "", _xlfn.XLOOKUP(P1277,#REF!,#REF!,NA,0,-1))</f>
        <v/>
      </c>
      <c r="AB1277" s="22"/>
      <c r="AC1277" s="55" t="s">
        <v>92</v>
      </c>
      <c r="AD1277" s="55" t="str">
        <f>IF($AC1277="","",_xlfn.XLOOKUP($AC1277,'[2]Client Info'!$C$2:$C$2535,'[2]Client Info'!$D$2:$D$2535,"",0,1))</f>
        <v>137F Dyke Rd</v>
      </c>
      <c r="AE1277" s="55" t="str">
        <f>IF($AC1277="","",_xlfn.XLOOKUP($AC1277,'[2]Client Info'!$C$2:$C$2715,'[2]Client Info'!$E$2:$E$2715,"",))</f>
        <v>Chilliwack</v>
      </c>
      <c r="AF1277" s="55" t="str">
        <f>IF($AC1277="","",_xlfn.XLOOKUP($AC1277,'[2]Client Info'!$C$2:$C$2715,'[2]Client Info'!$F$2:$F$2715,"",0,1))</f>
        <v xml:space="preserve">BC </v>
      </c>
      <c r="AG1277" s="55" t="s">
        <v>92</v>
      </c>
      <c r="AH1277" s="26" t="str">
        <f>_xlfn.XLOOKUP(Table26[[#This Row],[customerSKU]],customerSKU!G:G,customerSKU!K:K,"NA",0,1)</f>
        <v>NA</v>
      </c>
      <c r="AI1277" s="43" t="str">
        <f>_xlfn.XLOOKUP(Table26[[#This Row],[customerSKU]],customerSKU!G:G,customerSKU!O:O,"not found",0,1)</f>
        <v>not found</v>
      </c>
      <c r="AJ1277" s="22" t="e">
        <f>Table26[[#This Row],[unitprice]]*Table26[[#This Row],[quantity_unit]]</f>
        <v>#VALUE!</v>
      </c>
      <c r="AK1277" s="117" t="e" cm="1">
        <f t="array" ref="AK127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8" spans="1:37" ht="18" customHeight="1">
      <c r="A1278" s="42">
        <v>983</v>
      </c>
      <c r="B1278" s="42" t="s">
        <v>3357</v>
      </c>
      <c r="C1278" s="53" t="s">
        <v>203</v>
      </c>
      <c r="E1278" s="20"/>
      <c r="F1278" s="25"/>
      <c r="G1278" s="93"/>
      <c r="I1278" s="203">
        <v>45736</v>
      </c>
      <c r="J1278" s="90" t="str">
        <f>IF(Table26[[#This Row],[customerSKU]]="","",_xlfn.XLOOKUP(Table26[[#This Row],[customerSKU]],customerSKU!G:G,customerSKU!A:A,"",0,1))</f>
        <v/>
      </c>
      <c r="K1278" s="232">
        <v>45736</v>
      </c>
      <c r="L1278" s="49" t="str">
        <f>IF(Table26[[#This Row],[customerSKU]]="","",_xlfn.XLOOKUP(Table26[[#This Row],[customerSKU]],customerSKU!G:G,customerSKU!B:B,"",0,1))</f>
        <v/>
      </c>
      <c r="M1278" s="22"/>
      <c r="N1278" s="15" t="str">
        <f>Table26[[#This Row],[po_number]]&amp;"-"&amp;Table26[[#This Row],[po_line]]</f>
        <v>-4</v>
      </c>
      <c r="O1278" s="15">
        <v>4</v>
      </c>
      <c r="P1278" s="50"/>
      <c r="Q1278" s="22" t="s">
        <v>3388</v>
      </c>
      <c r="R1278" s="22" t="s">
        <v>569</v>
      </c>
      <c r="S1278" s="90" t="str">
        <f>IF(Table26[[#This Row],[customerSKU]]="","",_xlfn.XLOOKUP(Table26[[#This Row],[customerSKU]],customerSKU!G:G,customerSKU!N:N,"NOT FOUND",0,1))</f>
        <v>NOT FOUND</v>
      </c>
      <c r="T1278" s="20">
        <v>45692</v>
      </c>
      <c r="U1278" s="94">
        <v>36</v>
      </c>
      <c r="V1278" s="22" t="str">
        <f>IF(ISBLANK(Table26[[#This Row],[customerSKU]]),"",_xlfn.XLOOKUP(Table26[[#This Row],[customerSKU]],Table27[customer_SKU],Table27[case_size],"",0,1))</f>
        <v/>
      </c>
      <c r="W1278" s="117" t="str">
        <f t="shared" ref="W1278:W1332" si="57">IFERROR(U1278/V1278, "")</f>
        <v/>
      </c>
      <c r="X1278" s="22" t="str">
        <f t="shared" si="56"/>
        <v/>
      </c>
      <c r="Y1278" s="25" t="str">
        <f>IF(Table26[[#This Row],[customerSKU]]="","",_xlfn.XLOOKUP(Table26[[#This Row],[customerSKU]],Table27[customer_SKU],Table27[product_GTIN],"",0,1))</f>
        <v/>
      </c>
      <c r="Z1278" s="25" t="s">
        <v>3389</v>
      </c>
      <c r="AA1278" s="18" t="str" cm="1">
        <f t="array" ref="AA1278">IF(P1278="", "", _xlfn.XLOOKUP(P1278,#REF!,#REF!,NA,0,-1))</f>
        <v/>
      </c>
      <c r="AB1278" s="22"/>
      <c r="AC1278" s="55" t="s">
        <v>92</v>
      </c>
      <c r="AD1278" s="55" t="str">
        <f>IF($AC1278="","",_xlfn.XLOOKUP($AC1278,'[2]Client Info'!$C$2:$C$2535,'[2]Client Info'!$D$2:$D$2535,"",0,1))</f>
        <v>137F Dyke Rd</v>
      </c>
      <c r="AE1278" s="55" t="str">
        <f>IF($AC1278="","",_xlfn.XLOOKUP($AC1278,'[2]Client Info'!$C$2:$C$2715,'[2]Client Info'!$E$2:$E$2715,"",))</f>
        <v>Chilliwack</v>
      </c>
      <c r="AF1278" s="55" t="str">
        <f>IF($AC1278="","",_xlfn.XLOOKUP($AC1278,'[2]Client Info'!$C$2:$C$2715,'[2]Client Info'!$F$2:$F$2715,"",0,1))</f>
        <v xml:space="preserve">BC </v>
      </c>
      <c r="AG1278" s="55" t="s">
        <v>92</v>
      </c>
      <c r="AH1278" s="26" t="str">
        <f>_xlfn.XLOOKUP(Table26[[#This Row],[customerSKU]],customerSKU!G:G,customerSKU!K:K,"NA",0,1)</f>
        <v>NA</v>
      </c>
      <c r="AI1278" s="43" t="str">
        <f>_xlfn.XLOOKUP(Table26[[#This Row],[customerSKU]],customerSKU!G:G,customerSKU!O:O,"not found",0,1)</f>
        <v>not found</v>
      </c>
      <c r="AJ1278" s="22" t="e">
        <f>Table26[[#This Row],[unitprice]]*Table26[[#This Row],[quantity_unit]]</f>
        <v>#VALUE!</v>
      </c>
      <c r="AK1278" s="117" t="e" cm="1">
        <f t="array" ref="AK127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79" spans="1:37" ht="18" customHeight="1">
      <c r="A1279" s="42">
        <v>956</v>
      </c>
      <c r="B1279" s="42" t="s">
        <v>3357</v>
      </c>
      <c r="C1279" s="53" t="s">
        <v>3360</v>
      </c>
      <c r="D1279" s="20">
        <v>45736</v>
      </c>
      <c r="E1279" s="20"/>
      <c r="F1279" s="25"/>
      <c r="G1279" s="93"/>
      <c r="I1279" s="203">
        <v>45733</v>
      </c>
      <c r="J1279" s="90" t="s">
        <v>3361</v>
      </c>
      <c r="K1279" s="232">
        <v>45737</v>
      </c>
      <c r="L1279" s="49" t="str">
        <f>IF(Table26[[#This Row],[customerSKU]]="","",_xlfn.XLOOKUP(Table26[[#This Row],[customerSKU]],customerSKU!G:G,customerSKU!B:B,"",0,1))</f>
        <v/>
      </c>
      <c r="M1279" s="22"/>
      <c r="N1279" s="15" t="str">
        <f>Table26[[#This Row],[po_number]]&amp;"-"&amp;Table26[[#This Row],[po_line]]</f>
        <v>-1</v>
      </c>
      <c r="O1279" s="15">
        <v>1</v>
      </c>
      <c r="P1279" s="50"/>
      <c r="Q1279" s="22" t="s">
        <v>3362</v>
      </c>
      <c r="R1279" s="22" t="s">
        <v>3302</v>
      </c>
      <c r="S1279" s="90" t="str">
        <f>IF(Table26[[#This Row],[customerSKU]]="","",_xlfn.XLOOKUP(Table26[[#This Row],[customerSKU]],customerSKU!G:G,customerSKU!N:N,"NOT FOUND",0,1))</f>
        <v>NOT FOUND</v>
      </c>
      <c r="T1279" s="20">
        <v>45624</v>
      </c>
      <c r="U1279" s="94">
        <v>72</v>
      </c>
      <c r="V1279" s="22" t="str">
        <f>IF(ISBLANK(Table26[[#This Row],[customerSKU]]),"",_xlfn.XLOOKUP(Table26[[#This Row],[customerSKU]],Table27[customer_SKU],Table27[case_size],"",0,1))</f>
        <v/>
      </c>
      <c r="W1279" s="117" t="str">
        <f t="shared" si="57"/>
        <v/>
      </c>
      <c r="X1279" s="22" t="str">
        <f t="shared" si="56"/>
        <v/>
      </c>
      <c r="Y1279" s="25" t="str">
        <f>IF(Table26[[#This Row],[customerSKU]]="","",_xlfn.XLOOKUP(Table26[[#This Row],[customerSKU]],Table27[customer_SKU],Table27[product_GTIN],"",0,1))</f>
        <v/>
      </c>
      <c r="Z1279" s="25" t="s">
        <v>3363</v>
      </c>
      <c r="AA1279" s="18" t="str" cm="1">
        <f t="array" ref="AA1279">IF(P1279="", "", _xlfn.XLOOKUP(P1279,#REF!,#REF!,NA,0,-1))</f>
        <v/>
      </c>
      <c r="AB1279" s="22"/>
      <c r="AC1279" s="55" t="str">
        <f>IF(Table26[[#This Row],[customerSKU]]="","",_xlfn.XLOOKUP(Table26[[#This Row],[customerSKU]],customerSKU!G:G,customerSKU!C:C,"",0,1))</f>
        <v/>
      </c>
      <c r="AD1279" s="55" t="str">
        <f>IF($AC1279="","",_xlfn.XLOOKUP($AC1279,'[2]Client Info'!$C$2:$C$2535,'[2]Client Info'!$D$2:$D$2535,"",0,1))</f>
        <v/>
      </c>
      <c r="AE1279" s="55" t="str">
        <f>IF($AC1279="","",_xlfn.XLOOKUP($AC1279,'[2]Client Info'!$C$2:$C$2715,'[2]Client Info'!$E$2:$E$2715,"",))</f>
        <v/>
      </c>
      <c r="AF1279" s="55" t="str">
        <f>IF($AC1279="","",_xlfn.XLOOKUP($AC1279,'[2]Client Info'!$C$2:$C$2715,'[2]Client Info'!$F$2:$F$2715,"",0,1))</f>
        <v/>
      </c>
      <c r="AG1279" s="55" t="str">
        <f>IF(ISBLANK(Table26[[#This Row],[customerSKU]]),"",_xlfn.XLOOKUP(Table26[[#This Row],[customerSKU]],Table27[customer_SKU],Table27[billto],"",0,1))</f>
        <v/>
      </c>
      <c r="AH1279" s="26" t="str">
        <f>_xlfn.XLOOKUP(Table26[[#This Row],[customerSKU]],customerSKU!G:G,customerSKU!K:K,"NA",0,1)</f>
        <v>NA</v>
      </c>
      <c r="AI1279" s="43" t="str">
        <f>_xlfn.XLOOKUP(Table26[[#This Row],[customerSKU]],customerSKU!G:G,customerSKU!O:O,"not found",0,1)</f>
        <v>not found</v>
      </c>
      <c r="AJ1279" s="22" t="e">
        <f>Table26[[#This Row],[unitprice]]*Table26[[#This Row],[quantity_unit]]</f>
        <v>#VALUE!</v>
      </c>
      <c r="AK1279" s="117" t="e" cm="1">
        <f t="array" ref="AK127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Price]],Table26[[#This Row],[sales_stream]]="OCS_redistribution",Table26[[#This Row],[Product Price]]*1.13)</f>
        <v>#VALUE!</v>
      </c>
    </row>
    <row r="1280" spans="1:37" ht="18" customHeight="1">
      <c r="A1280" s="42">
        <v>957</v>
      </c>
      <c r="B1280" s="42" t="s">
        <v>3357</v>
      </c>
      <c r="C1280" s="53" t="s">
        <v>3360</v>
      </c>
      <c r="E1280" s="20"/>
      <c r="F1280" s="25"/>
      <c r="G1280" s="93"/>
      <c r="I1280" s="203">
        <v>45736</v>
      </c>
      <c r="J1280" s="90" t="str">
        <f>IF(Table26[[#This Row],[customerSKU]]="","",_xlfn.XLOOKUP(Table26[[#This Row],[customerSKU]],customerSKU!G:G,customerSKU!A:A,"",0,1))</f>
        <v/>
      </c>
      <c r="K1280" s="232">
        <v>45737</v>
      </c>
      <c r="L1280" s="49" t="str">
        <f>IF(Table26[[#This Row],[customerSKU]]="","",_xlfn.XLOOKUP(Table26[[#This Row],[customerSKU]],customerSKU!G:G,customerSKU!B:B,"",0,1))</f>
        <v/>
      </c>
      <c r="M1280" s="22"/>
      <c r="N1280" s="15" t="str">
        <f>Table26[[#This Row],[po_number]]&amp;"-"&amp;Table26[[#This Row],[po_line]]</f>
        <v>-1</v>
      </c>
      <c r="O1280" s="15">
        <v>1</v>
      </c>
      <c r="P1280" s="50"/>
      <c r="S1280" s="90" t="str">
        <f>IF(Table26[[#This Row],[customerSKU]]="","",_xlfn.XLOOKUP(Table26[[#This Row],[customerSKU]],customerSKU!G:G,customerSKU!N:N,"NOT FOUND",0,1))</f>
        <v>NOT FOUND</v>
      </c>
      <c r="T1280" s="20"/>
      <c r="U1280" s="94">
        <v>12</v>
      </c>
      <c r="V1280" s="22" t="str">
        <f>IF(ISBLANK(Table26[[#This Row],[customerSKU]]),"",_xlfn.XLOOKUP(Table26[[#This Row],[customerSKU]],Table27[customer_SKU],Table27[case_size],"",0,1))</f>
        <v/>
      </c>
      <c r="W1280" s="117" t="str">
        <f t="shared" si="57"/>
        <v/>
      </c>
      <c r="X1280" s="22" t="str">
        <f t="shared" si="56"/>
        <v/>
      </c>
      <c r="Y1280" s="25" t="str">
        <f>IF(Table26[[#This Row],[customerSKU]]="","",_xlfn.XLOOKUP(Table26[[#This Row],[customerSKU]],Table27[customer_SKU],Table27[product_GTIN],"",0,1))</f>
        <v/>
      </c>
      <c r="Z1280" s="25" t="s">
        <v>3390</v>
      </c>
      <c r="AA1280" s="18" t="str" cm="1">
        <f t="array" ref="AA1280">IF(P1280="", "", _xlfn.XLOOKUP(P1280,#REF!,#REF!,NA,0,-1))</f>
        <v/>
      </c>
      <c r="AB1280" s="22"/>
      <c r="AC1280" s="55" t="str">
        <f>IF(Table26[[#This Row],[customerSKU]]="","",_xlfn.XLOOKUP(Table26[[#This Row],[customerSKU]],customerSKU!G:G,customerSKU!C:C,"",0,1))</f>
        <v/>
      </c>
      <c r="AD1280" s="55" t="str">
        <f>IF($AC1280="","",_xlfn.XLOOKUP($AC1280,'[2]Client Info'!$C$2:$C$2535,'[2]Client Info'!$D$2:$D$2535,"",0,1))</f>
        <v/>
      </c>
      <c r="AE1280" s="55" t="str">
        <f>IF($AC1280="","",_xlfn.XLOOKUP($AC1280,'[2]Client Info'!$C$2:$C$2715,'[2]Client Info'!$E$2:$E$2715,"",))</f>
        <v/>
      </c>
      <c r="AF1280" s="55" t="str">
        <f>IF($AC1280="","",_xlfn.XLOOKUP($AC1280,'[2]Client Info'!$C$2:$C$2715,'[2]Client Info'!$F$2:$F$2715,"",0,1))</f>
        <v/>
      </c>
      <c r="AG1280" s="55" t="str">
        <f>IF(ISBLANK(Table26[[#This Row],[customerSKU]]),"",_xlfn.XLOOKUP(Table26[[#This Row],[customerSKU]],Table27[customer_SKU],Table27[billto],"",0,1))</f>
        <v/>
      </c>
      <c r="AH1280" s="26" t="str">
        <f>_xlfn.XLOOKUP(Table26[[#This Row],[customerSKU]],customerSKU!G:G,customerSKU!K:K,"NA",0,1)</f>
        <v>NA</v>
      </c>
      <c r="AI1280" s="43" t="str">
        <f>_xlfn.XLOOKUP(Table26[[#This Row],[customerSKU]],customerSKU!G:G,customerSKU!O:O,"not found",0,1)</f>
        <v>not found</v>
      </c>
      <c r="AJ1280" s="22" t="e">
        <f>Table26[[#This Row],[unitprice]]*Table26[[#This Row],[quantity_unit]]</f>
        <v>#VALUE!</v>
      </c>
      <c r="AK1280" s="117" t="e" cm="1">
        <f t="array" ref="AK128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1" spans="1:37" ht="18" customHeight="1">
      <c r="A1281" s="42">
        <v>958</v>
      </c>
      <c r="B1281" s="42" t="s">
        <v>3357</v>
      </c>
      <c r="C1281" s="53" t="s">
        <v>203</v>
      </c>
      <c r="E1281" s="20"/>
      <c r="F1281" s="25"/>
      <c r="G1281" s="93"/>
      <c r="I1281" s="203">
        <v>45737</v>
      </c>
      <c r="J1281" s="90" t="str">
        <f>IF(Table26[[#This Row],[customerSKU]]="","",_xlfn.XLOOKUP(Table26[[#This Row],[customerSKU]],customerSKU!G:G,customerSKU!A:A,"",0,1))</f>
        <v/>
      </c>
      <c r="K1281" s="232">
        <v>45737</v>
      </c>
      <c r="L1281" s="49" t="str">
        <f>IF(Table26[[#This Row],[customerSKU]]="","",_xlfn.XLOOKUP(Table26[[#This Row],[customerSKU]],customerSKU!G:G,customerSKU!B:B,"",0,1))</f>
        <v/>
      </c>
      <c r="M1281" s="22"/>
      <c r="N1281" s="15" t="str">
        <f>Table26[[#This Row],[po_number]]&amp;"-"&amp;Table26[[#This Row],[po_line]]</f>
        <v>-1</v>
      </c>
      <c r="O1281" s="15">
        <v>1</v>
      </c>
      <c r="P1281" s="50"/>
      <c r="Q1281" s="22" t="s">
        <v>659</v>
      </c>
      <c r="R1281" s="22" t="s">
        <v>3302</v>
      </c>
      <c r="S1281" s="90" t="str">
        <f>IF(Table26[[#This Row],[customerSKU]]="","",_xlfn.XLOOKUP(Table26[[#This Row],[customerSKU]],customerSKU!G:G,customerSKU!N:N,"NOT FOUND",0,1))</f>
        <v>NOT FOUND</v>
      </c>
      <c r="T1281" s="20">
        <v>45638</v>
      </c>
      <c r="U1281" s="94">
        <v>12</v>
      </c>
      <c r="V1281" s="22" t="str">
        <f>IF(ISBLANK(Table26[[#This Row],[customerSKU]]),"",_xlfn.XLOOKUP(Table26[[#This Row],[customerSKU]],Table27[customer_SKU],Table27[case_size],"",0,1))</f>
        <v/>
      </c>
      <c r="W1281" s="117" t="str">
        <f t="shared" si="57"/>
        <v/>
      </c>
      <c r="X1281" s="22" t="str">
        <f t="shared" si="56"/>
        <v/>
      </c>
      <c r="Y1281" s="25" t="str">
        <f>IF(Table26[[#This Row],[customerSKU]]="","",_xlfn.XLOOKUP(Table26[[#This Row],[customerSKU]],Table27[customer_SKU],Table27[product_GTIN],"",0,1))</f>
        <v/>
      </c>
      <c r="Z1281" s="25" t="s">
        <v>3391</v>
      </c>
      <c r="AA1281" s="18" t="str" cm="1">
        <f t="array" ref="AA1281">IF(P1281="", "", _xlfn.XLOOKUP(P1281,#REF!,#REF!,NA,0,-1))</f>
        <v/>
      </c>
      <c r="AB1281" s="22"/>
      <c r="AC1281" s="55" t="s">
        <v>90</v>
      </c>
      <c r="AD1281" s="55" t="str">
        <f>IF($AC1281="","",_xlfn.XLOOKUP($AC1281,'[2]Client Info'!$C$2:$C$2535,'[2]Client Info'!$D$2:$D$2535,"",0,1))</f>
        <v>5 - 3227 264th Street</v>
      </c>
      <c r="AE1281" s="55" t="str">
        <f>IF($AC1281="","",_xlfn.XLOOKUP($AC1281,'[2]Client Info'!$C$2:$C$2715,'[2]Client Info'!$E$2:$E$2715,"",))</f>
        <v>Aldergrove</v>
      </c>
      <c r="AF1281" s="55" t="str">
        <f>IF($AC1281="","",_xlfn.XLOOKUP($AC1281,'[2]Client Info'!$C$2:$C$2715,'[2]Client Info'!$F$2:$F$2715,"",0,1))</f>
        <v xml:space="preserve">BC </v>
      </c>
      <c r="AG1281" s="55" t="s">
        <v>90</v>
      </c>
      <c r="AH1281" s="26" t="str">
        <f>_xlfn.XLOOKUP(Table26[[#This Row],[customerSKU]],customerSKU!G:G,customerSKU!K:K,"NA",0,1)</f>
        <v>NA</v>
      </c>
      <c r="AI1281" s="43" t="str">
        <f>_xlfn.XLOOKUP(Table26[[#This Row],[customerSKU]],customerSKU!G:G,customerSKU!O:O,"not found",0,1)</f>
        <v>not found</v>
      </c>
      <c r="AJ1281" s="22" t="e">
        <f>Table26[[#This Row],[unitprice]]*Table26[[#This Row],[quantity_unit]]</f>
        <v>#VALUE!</v>
      </c>
      <c r="AK1281" s="117" t="e" cm="1">
        <f t="array" ref="AK128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2" spans="1:37" ht="18" customHeight="1">
      <c r="A1282" s="42">
        <v>959</v>
      </c>
      <c r="B1282" s="42" t="s">
        <v>3357</v>
      </c>
      <c r="C1282" s="53" t="s">
        <v>203</v>
      </c>
      <c r="E1282" s="20"/>
      <c r="F1282" s="25"/>
      <c r="G1282" s="93"/>
      <c r="I1282" s="203">
        <v>45737</v>
      </c>
      <c r="J1282" s="90" t="str">
        <f>IF(Table26[[#This Row],[customerSKU]]="","",_xlfn.XLOOKUP(Table26[[#This Row],[customerSKU]],customerSKU!G:G,customerSKU!A:A,"",0,1))</f>
        <v/>
      </c>
      <c r="K1282" s="232">
        <v>45737</v>
      </c>
      <c r="L1282" s="49" t="str">
        <f>IF(Table26[[#This Row],[customerSKU]]="","",_xlfn.XLOOKUP(Table26[[#This Row],[customerSKU]],customerSKU!G:G,customerSKU!B:B,"",0,1))</f>
        <v/>
      </c>
      <c r="M1282" s="22"/>
      <c r="N1282" s="15" t="str">
        <f>Table26[[#This Row],[po_number]]&amp;"-"&amp;Table26[[#This Row],[po_line]]</f>
        <v>-2</v>
      </c>
      <c r="O1282" s="15">
        <v>2</v>
      </c>
      <c r="P1282" s="50"/>
      <c r="Q1282" s="22" t="s">
        <v>682</v>
      </c>
      <c r="R1282" s="22" t="s">
        <v>3302</v>
      </c>
      <c r="S1282" s="90" t="str">
        <f>IF(Table26[[#This Row],[customerSKU]]="","",_xlfn.XLOOKUP(Table26[[#This Row],[customerSKU]],customerSKU!G:G,customerSKU!N:N,"NOT FOUND",0,1))</f>
        <v>NOT FOUND</v>
      </c>
      <c r="T1282" s="20">
        <v>45588</v>
      </c>
      <c r="U1282" s="94">
        <v>12</v>
      </c>
      <c r="V1282" s="22" t="str">
        <f>IF(ISBLANK(Table26[[#This Row],[customerSKU]]),"",_xlfn.XLOOKUP(Table26[[#This Row],[customerSKU]],Table27[customer_SKU],Table27[case_size],"",0,1))</f>
        <v/>
      </c>
      <c r="W1282" s="117" t="str">
        <f t="shared" si="57"/>
        <v/>
      </c>
      <c r="X1282" s="22" t="str">
        <f t="shared" si="56"/>
        <v/>
      </c>
      <c r="Y1282" s="25" t="str">
        <f>IF(Table26[[#This Row],[customerSKU]]="","",_xlfn.XLOOKUP(Table26[[#This Row],[customerSKU]],Table27[customer_SKU],Table27[product_GTIN],"",0,1))</f>
        <v/>
      </c>
      <c r="Z1282" s="25" t="s">
        <v>3392</v>
      </c>
      <c r="AA1282" s="18" t="str" cm="1">
        <f t="array" ref="AA1282">IF(P1282="", "", _xlfn.XLOOKUP(P1282,#REF!,#REF!,NA,0,-1))</f>
        <v/>
      </c>
      <c r="AB1282" s="22" t="s">
        <v>3393</v>
      </c>
      <c r="AC1282" s="55" t="s">
        <v>90</v>
      </c>
      <c r="AD1282" s="55" t="str">
        <f>IF($AC1282="","",_xlfn.XLOOKUP($AC1282,'[2]Client Info'!$C$2:$C$2535,'[2]Client Info'!$D$2:$D$2535,"",0,1))</f>
        <v>5 - 3227 264th Street</v>
      </c>
      <c r="AE1282" s="55" t="str">
        <f>IF($AC1282="","",_xlfn.XLOOKUP($AC1282,'[2]Client Info'!$C$2:$C$2715,'[2]Client Info'!$E$2:$E$2715,"",))</f>
        <v>Aldergrove</v>
      </c>
      <c r="AF1282" s="55" t="str">
        <f>IF($AC1282="","",_xlfn.XLOOKUP($AC1282,'[2]Client Info'!$C$2:$C$2715,'[2]Client Info'!$F$2:$F$2715,"",0,1))</f>
        <v xml:space="preserve">BC </v>
      </c>
      <c r="AG1282" s="55" t="s">
        <v>90</v>
      </c>
      <c r="AH1282" s="26" t="str">
        <f>_xlfn.XLOOKUP(Table26[[#This Row],[customerSKU]],customerSKU!G:G,customerSKU!K:K,"NA",0,1)</f>
        <v>NA</v>
      </c>
      <c r="AI1282" s="43" t="str">
        <f>_xlfn.XLOOKUP(Table26[[#This Row],[customerSKU]],customerSKU!G:G,customerSKU!O:O,"not found",0,1)</f>
        <v>not found</v>
      </c>
      <c r="AJ1282" s="22" t="e">
        <f>Table26[[#This Row],[unitprice]]*Table26[[#This Row],[quantity_unit]]</f>
        <v>#VALUE!</v>
      </c>
      <c r="AK1282" s="117" t="e" cm="1">
        <f t="array" ref="AK128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3" spans="1:37" ht="18" customHeight="1">
      <c r="A1283" s="42">
        <v>960</v>
      </c>
      <c r="B1283" s="42" t="s">
        <v>3357</v>
      </c>
      <c r="C1283" s="53" t="s">
        <v>203</v>
      </c>
      <c r="E1283" s="20"/>
      <c r="F1283" s="25"/>
      <c r="G1283" s="93"/>
      <c r="I1283" s="203">
        <v>45737</v>
      </c>
      <c r="J1283" s="90" t="str">
        <f>IF(Table26[[#This Row],[customerSKU]]="","",_xlfn.XLOOKUP(Table26[[#This Row],[customerSKU]],customerSKU!G:G,customerSKU!A:A,"",0,1))</f>
        <v/>
      </c>
      <c r="K1283" s="232">
        <v>45737</v>
      </c>
      <c r="L1283" s="49" t="str">
        <f>IF(Table26[[#This Row],[customerSKU]]="","",_xlfn.XLOOKUP(Table26[[#This Row],[customerSKU]],customerSKU!G:G,customerSKU!B:B,"",0,1))</f>
        <v/>
      </c>
      <c r="M1283" s="22"/>
      <c r="N1283" s="15" t="str">
        <f>Table26[[#This Row],[po_number]]&amp;"-"&amp;Table26[[#This Row],[po_line]]</f>
        <v>-3</v>
      </c>
      <c r="O1283" s="15">
        <v>3</v>
      </c>
      <c r="P1283" s="50"/>
      <c r="Q1283" s="22" t="s">
        <v>565</v>
      </c>
      <c r="R1283" s="22" t="s">
        <v>3302</v>
      </c>
      <c r="S1283" s="90" t="str">
        <f>IF(Table26[[#This Row],[customerSKU]]="","",_xlfn.XLOOKUP(Table26[[#This Row],[customerSKU]],customerSKU!G:G,customerSKU!N:N,"NOT FOUND",0,1))</f>
        <v>NOT FOUND</v>
      </c>
      <c r="T1283" s="20">
        <v>45707</v>
      </c>
      <c r="U1283" s="94">
        <v>12</v>
      </c>
      <c r="V1283" s="22" t="str">
        <f>IF(ISBLANK(Table26[[#This Row],[customerSKU]]),"",_xlfn.XLOOKUP(Table26[[#This Row],[customerSKU]],Table27[customer_SKU],Table27[case_size],"",0,1))</f>
        <v/>
      </c>
      <c r="W1283" s="117" t="str">
        <f t="shared" si="57"/>
        <v/>
      </c>
      <c r="X1283" s="22" t="str">
        <f t="shared" si="56"/>
        <v/>
      </c>
      <c r="Y1283" s="25" t="str">
        <f>IF(Table26[[#This Row],[customerSKU]]="","",_xlfn.XLOOKUP(Table26[[#This Row],[customerSKU]],Table27[customer_SKU],Table27[product_GTIN],"",0,1))</f>
        <v/>
      </c>
      <c r="Z1283" s="25" t="s">
        <v>3373</v>
      </c>
      <c r="AA1283" s="18" t="str" cm="1">
        <f t="array" ref="AA1283">IF(P1283="", "", _xlfn.XLOOKUP(P1283,#REF!,#REF!,NA,0,-1))</f>
        <v/>
      </c>
      <c r="AB1283" s="22"/>
      <c r="AC1283" s="55" t="s">
        <v>90</v>
      </c>
      <c r="AD1283" s="55" t="str">
        <f>IF($AC1283="","",_xlfn.XLOOKUP($AC1283,'[2]Client Info'!$C$2:$C$2535,'[2]Client Info'!$D$2:$D$2535,"",0,1))</f>
        <v>5 - 3227 264th Street</v>
      </c>
      <c r="AE1283" s="55" t="str">
        <f>IF($AC1283="","",_xlfn.XLOOKUP($AC1283,'[2]Client Info'!$C$2:$C$2715,'[2]Client Info'!$E$2:$E$2715,"",))</f>
        <v>Aldergrove</v>
      </c>
      <c r="AF1283" s="55" t="str">
        <f>IF($AC1283="","",_xlfn.XLOOKUP($AC1283,'[2]Client Info'!$C$2:$C$2715,'[2]Client Info'!$F$2:$F$2715,"",0,1))</f>
        <v xml:space="preserve">BC </v>
      </c>
      <c r="AG1283" s="55" t="s">
        <v>90</v>
      </c>
      <c r="AH1283" s="26" t="str">
        <f>_xlfn.XLOOKUP(Table26[[#This Row],[customerSKU]],customerSKU!G:G,customerSKU!K:K,"NA",0,1)</f>
        <v>NA</v>
      </c>
      <c r="AI1283" s="43" t="str">
        <f>_xlfn.XLOOKUP(Table26[[#This Row],[customerSKU]],customerSKU!G:G,customerSKU!O:O,"not found",0,1)</f>
        <v>not found</v>
      </c>
      <c r="AJ1283" s="22" t="e">
        <f>Table26[[#This Row],[unitprice]]*Table26[[#This Row],[quantity_unit]]</f>
        <v>#VALUE!</v>
      </c>
      <c r="AK1283" s="117" t="e" cm="1">
        <f t="array" ref="AK128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4" spans="1:37" ht="18" customHeight="1">
      <c r="A1284" s="42">
        <v>961</v>
      </c>
      <c r="B1284" s="42" t="s">
        <v>3357</v>
      </c>
      <c r="C1284" s="53" t="s">
        <v>203</v>
      </c>
      <c r="E1284" s="20"/>
      <c r="F1284" s="25"/>
      <c r="G1284" s="93"/>
      <c r="I1284" s="203">
        <v>45737</v>
      </c>
      <c r="J1284" s="90" t="str">
        <f>IF(Table26[[#This Row],[customerSKU]]="","",_xlfn.XLOOKUP(Table26[[#This Row],[customerSKU]],customerSKU!G:G,customerSKU!A:A,"",0,1))</f>
        <v/>
      </c>
      <c r="K1284" s="232">
        <v>45737</v>
      </c>
      <c r="L1284" s="49" t="str">
        <f>IF(Table26[[#This Row],[customerSKU]]="","",_xlfn.XLOOKUP(Table26[[#This Row],[customerSKU]],customerSKU!G:G,customerSKU!B:B,"",0,1))</f>
        <v/>
      </c>
      <c r="M1284" s="22"/>
      <c r="N1284" s="15" t="str">
        <f>Table26[[#This Row],[po_number]]&amp;"-"&amp;Table26[[#This Row],[po_line]]</f>
        <v>-4</v>
      </c>
      <c r="O1284" s="15">
        <v>4</v>
      </c>
      <c r="P1284" s="50"/>
      <c r="Q1284" s="22" t="s">
        <v>1829</v>
      </c>
      <c r="R1284" s="22" t="s">
        <v>3302</v>
      </c>
      <c r="S1284" s="90" t="str">
        <f>IF(Table26[[#This Row],[customerSKU]]="","",_xlfn.XLOOKUP(Table26[[#This Row],[customerSKU]],customerSKU!G:G,customerSKU!N:N,"NOT FOUND",0,1))</f>
        <v>NOT FOUND</v>
      </c>
      <c r="T1284" s="20">
        <v>45721</v>
      </c>
      <c r="U1284" s="94">
        <v>12</v>
      </c>
      <c r="V1284" s="22" t="str">
        <f>IF(ISBLANK(Table26[[#This Row],[customerSKU]]),"",_xlfn.XLOOKUP(Table26[[#This Row],[customerSKU]],Table27[customer_SKU],Table27[case_size],"",0,1))</f>
        <v/>
      </c>
      <c r="W1284" s="117" t="str">
        <f t="shared" si="57"/>
        <v/>
      </c>
      <c r="X1284" s="22" t="str">
        <f t="shared" si="56"/>
        <v/>
      </c>
      <c r="Y1284" s="25" t="str">
        <f>IF(Table26[[#This Row],[customerSKU]]="","",_xlfn.XLOOKUP(Table26[[#This Row],[customerSKU]],Table27[customer_SKU],Table27[product_GTIN],"",0,1))</f>
        <v/>
      </c>
      <c r="Z1284" s="25" t="s">
        <v>3372</v>
      </c>
      <c r="AA1284" s="18" t="str" cm="1">
        <f t="array" ref="AA1284">IF(P1284="", "", _xlfn.XLOOKUP(P1284,#REF!,#REF!,NA,0,-1))</f>
        <v/>
      </c>
      <c r="AB1284" s="22"/>
      <c r="AC1284" s="55" t="s">
        <v>90</v>
      </c>
      <c r="AD1284" s="55" t="str">
        <f>IF($AC1284="","",_xlfn.XLOOKUP($AC1284,'[2]Client Info'!$C$2:$C$2535,'[2]Client Info'!$D$2:$D$2535,"",0,1))</f>
        <v>5 - 3227 264th Street</v>
      </c>
      <c r="AE1284" s="55" t="str">
        <f>IF($AC1284="","",_xlfn.XLOOKUP($AC1284,'[2]Client Info'!$C$2:$C$2715,'[2]Client Info'!$E$2:$E$2715,"",))</f>
        <v>Aldergrove</v>
      </c>
      <c r="AF1284" s="55" t="str">
        <f>IF($AC1284="","",_xlfn.XLOOKUP($AC1284,'[2]Client Info'!$C$2:$C$2715,'[2]Client Info'!$F$2:$F$2715,"",0,1))</f>
        <v xml:space="preserve">BC </v>
      </c>
      <c r="AG1284" s="55" t="s">
        <v>90</v>
      </c>
      <c r="AH1284" s="26" t="str">
        <f>_xlfn.XLOOKUP(Table26[[#This Row],[customerSKU]],customerSKU!G:G,customerSKU!K:K,"NA",0,1)</f>
        <v>NA</v>
      </c>
      <c r="AI1284" s="43" t="str">
        <f>_xlfn.XLOOKUP(Table26[[#This Row],[customerSKU]],customerSKU!G:G,customerSKU!O:O,"not found",0,1)</f>
        <v>not found</v>
      </c>
      <c r="AJ1284" s="22" t="e">
        <f>Table26[[#This Row],[unitprice]]*Table26[[#This Row],[quantity_unit]]</f>
        <v>#VALUE!</v>
      </c>
      <c r="AK1284" s="117" t="e" cm="1">
        <f t="array" ref="AK128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5" spans="1:37" ht="18" customHeight="1">
      <c r="A1285" s="42">
        <v>962</v>
      </c>
      <c r="B1285" s="42" t="s">
        <v>3357</v>
      </c>
      <c r="C1285" s="53" t="s">
        <v>203</v>
      </c>
      <c r="E1285" s="20"/>
      <c r="F1285" s="25"/>
      <c r="G1285" s="93"/>
      <c r="I1285" s="203">
        <v>45737</v>
      </c>
      <c r="J1285" s="90" t="str">
        <f>IF(Table26[[#This Row],[customerSKU]]="","",_xlfn.XLOOKUP(Table26[[#This Row],[customerSKU]],customerSKU!G:G,customerSKU!A:A,"",0,1))</f>
        <v/>
      </c>
      <c r="K1285" s="232">
        <v>45737</v>
      </c>
      <c r="L1285" s="49" t="str">
        <f>IF(Table26[[#This Row],[customerSKU]]="","",_xlfn.XLOOKUP(Table26[[#This Row],[customerSKU]],customerSKU!G:G,customerSKU!B:B,"",0,1))</f>
        <v/>
      </c>
      <c r="M1285" s="22"/>
      <c r="N1285" s="15" t="str">
        <f>Table26[[#This Row],[po_number]]&amp;"-"&amp;Table26[[#This Row],[po_line]]</f>
        <v>-5</v>
      </c>
      <c r="O1285" s="15">
        <v>5</v>
      </c>
      <c r="P1285" s="50"/>
      <c r="Q1285" s="22" t="s">
        <v>630</v>
      </c>
      <c r="R1285" s="22" t="s">
        <v>3302</v>
      </c>
      <c r="S1285" s="90" t="str">
        <f>IF(Table26[[#This Row],[customerSKU]]="","",_xlfn.XLOOKUP(Table26[[#This Row],[customerSKU]],customerSKU!G:G,customerSKU!N:N,"NOT FOUND",0,1))</f>
        <v>NOT FOUND</v>
      </c>
      <c r="T1285" s="20">
        <v>45707</v>
      </c>
      <c r="U1285" s="94">
        <v>12</v>
      </c>
      <c r="V1285" s="22" t="str">
        <f>IF(ISBLANK(Table26[[#This Row],[customerSKU]]),"",_xlfn.XLOOKUP(Table26[[#This Row],[customerSKU]],Table27[customer_SKU],Table27[case_size],"",0,1))</f>
        <v/>
      </c>
      <c r="W1285" s="117" t="str">
        <f t="shared" si="57"/>
        <v/>
      </c>
      <c r="X1285" s="22" t="str">
        <f t="shared" si="56"/>
        <v/>
      </c>
      <c r="Y1285" s="25" t="str">
        <f>IF(Table26[[#This Row],[customerSKU]]="","",_xlfn.XLOOKUP(Table26[[#This Row],[customerSKU]],Table27[customer_SKU],Table27[product_GTIN],"",0,1))</f>
        <v/>
      </c>
      <c r="Z1285" s="25" t="s">
        <v>3386</v>
      </c>
      <c r="AA1285" s="18" t="str" cm="1">
        <f t="array" ref="AA1285">IF(P1285="", "", _xlfn.XLOOKUP(P1285,#REF!,#REF!,NA,0,-1))</f>
        <v/>
      </c>
      <c r="AB1285" s="22"/>
      <c r="AC1285" s="55" t="s">
        <v>90</v>
      </c>
      <c r="AD1285" s="55" t="str">
        <f>IF($AC1285="","",_xlfn.XLOOKUP($AC1285,'[2]Client Info'!$C$2:$C$2535,'[2]Client Info'!$D$2:$D$2535,"",0,1))</f>
        <v>5 - 3227 264th Street</v>
      </c>
      <c r="AE1285" s="55" t="str">
        <f>IF($AC1285="","",_xlfn.XLOOKUP($AC1285,'[2]Client Info'!$C$2:$C$2715,'[2]Client Info'!$E$2:$E$2715,"",))</f>
        <v>Aldergrove</v>
      </c>
      <c r="AF1285" s="55" t="str">
        <f>IF($AC1285="","",_xlfn.XLOOKUP($AC1285,'[2]Client Info'!$C$2:$C$2715,'[2]Client Info'!$F$2:$F$2715,"",0,1))</f>
        <v xml:space="preserve">BC </v>
      </c>
      <c r="AG1285" s="55" t="s">
        <v>90</v>
      </c>
      <c r="AH1285" s="26" t="str">
        <f>_xlfn.XLOOKUP(Table26[[#This Row],[customerSKU]],customerSKU!G:G,customerSKU!K:K,"NA",0,1)</f>
        <v>NA</v>
      </c>
      <c r="AI1285" s="43" t="str">
        <f>_xlfn.XLOOKUP(Table26[[#This Row],[customerSKU]],customerSKU!G:G,customerSKU!O:O,"not found",0,1)</f>
        <v>not found</v>
      </c>
      <c r="AJ1285" s="22" t="e">
        <f>Table26[[#This Row],[unitprice]]*Table26[[#This Row],[quantity_unit]]</f>
        <v>#VALUE!</v>
      </c>
      <c r="AK1285" s="117" t="e" cm="1">
        <f t="array" ref="AK128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6" spans="1:37" ht="24.6" customHeight="1">
      <c r="A1286" s="42">
        <v>963</v>
      </c>
      <c r="B1286" s="42" t="s">
        <v>3357</v>
      </c>
      <c r="C1286" s="53" t="s">
        <v>203</v>
      </c>
      <c r="E1286" s="20"/>
      <c r="F1286" s="25"/>
      <c r="G1286" s="93"/>
      <c r="I1286" s="203">
        <v>45737</v>
      </c>
      <c r="J1286" s="90" t="str">
        <f>IF(Table26[[#This Row],[customerSKU]]="","",_xlfn.XLOOKUP(Table26[[#This Row],[customerSKU]],customerSKU!G:G,customerSKU!A:A,"",0,1))</f>
        <v/>
      </c>
      <c r="K1286" s="232">
        <v>45737</v>
      </c>
      <c r="L1286" s="49" t="str">
        <f>IF(Table26[[#This Row],[customerSKU]]="","",_xlfn.XLOOKUP(Table26[[#This Row],[customerSKU]],customerSKU!G:G,customerSKU!B:B,"",0,1))</f>
        <v/>
      </c>
      <c r="M1286" s="22"/>
      <c r="N1286" s="15" t="str">
        <f>Table26[[#This Row],[po_number]]&amp;"-"&amp;Table26[[#This Row],[po_line]]</f>
        <v>-6</v>
      </c>
      <c r="O1286" s="15">
        <v>6</v>
      </c>
      <c r="P1286" s="50"/>
      <c r="Q1286" s="22" t="s">
        <v>574</v>
      </c>
      <c r="R1286" s="22" t="s">
        <v>3302</v>
      </c>
      <c r="S1286" s="90" t="str">
        <f>IF(Table26[[#This Row],[customerSKU]]="","",_xlfn.XLOOKUP(Table26[[#This Row],[customerSKU]],customerSKU!G:G,customerSKU!N:N,"NOT FOUND",0,1))</f>
        <v>NOT FOUND</v>
      </c>
      <c r="T1286" s="20">
        <v>45728</v>
      </c>
      <c r="U1286" s="94">
        <v>12</v>
      </c>
      <c r="V1286" s="22" t="str">
        <f>IF(ISBLANK(Table26[[#This Row],[customerSKU]]),"",_xlfn.XLOOKUP(Table26[[#This Row],[customerSKU]],Table27[customer_SKU],Table27[case_size],"",0,1))</f>
        <v/>
      </c>
      <c r="W1286" s="117" t="str">
        <f t="shared" si="57"/>
        <v/>
      </c>
      <c r="X1286" s="22" t="str">
        <f t="shared" ref="X1286:X1349" si="58">IFERROR($AA1286*$U1286, "")</f>
        <v/>
      </c>
      <c r="Y1286" s="25" t="str">
        <f>IF(Table26[[#This Row],[customerSKU]]="","",_xlfn.XLOOKUP(Table26[[#This Row],[customerSKU]],Table27[customer_SKU],Table27[product_GTIN],"",0,1))</f>
        <v/>
      </c>
      <c r="Z1286" s="25" t="s">
        <v>3366</v>
      </c>
      <c r="AA1286" s="18" t="str" cm="1">
        <f t="array" ref="AA1286">IF(P1286="", "", _xlfn.XLOOKUP(P1286,#REF!,#REF!,NA,0,-1))</f>
        <v/>
      </c>
      <c r="AB1286" s="22"/>
      <c r="AC1286" s="55" t="s">
        <v>90</v>
      </c>
      <c r="AD1286" s="55" t="str">
        <f>IF($AC1286="","",_xlfn.XLOOKUP($AC1286,'[2]Client Info'!$C$2:$C$2535,'[2]Client Info'!$D$2:$D$2535,"",0,1))</f>
        <v>5 - 3227 264th Street</v>
      </c>
      <c r="AE1286" s="55" t="str">
        <f>IF($AC1286="","",_xlfn.XLOOKUP($AC1286,'[2]Client Info'!$C$2:$C$2715,'[2]Client Info'!$E$2:$E$2715,"",))</f>
        <v>Aldergrove</v>
      </c>
      <c r="AF1286" s="55" t="str">
        <f>IF($AC1286="","",_xlfn.XLOOKUP($AC1286,'[2]Client Info'!$C$2:$C$2715,'[2]Client Info'!$F$2:$F$2715,"",0,1))</f>
        <v xml:space="preserve">BC </v>
      </c>
      <c r="AG1286" s="55" t="s">
        <v>90</v>
      </c>
      <c r="AH1286" s="26" t="str">
        <f>_xlfn.XLOOKUP(Table26[[#This Row],[customerSKU]],customerSKU!G:G,customerSKU!K:K,"NA",0,1)</f>
        <v>NA</v>
      </c>
      <c r="AI1286" s="43" t="str">
        <f>_xlfn.XLOOKUP(Table26[[#This Row],[customerSKU]],customerSKU!G:G,customerSKU!O:O,"not found",0,1)</f>
        <v>not found</v>
      </c>
      <c r="AJ1286" s="22" t="e">
        <f>Table26[[#This Row],[unitprice]]*Table26[[#This Row],[quantity_unit]]</f>
        <v>#VALUE!</v>
      </c>
      <c r="AK1286" s="117" t="e" cm="1">
        <f t="array" ref="AK128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7" spans="1:37" ht="18" customHeight="1">
      <c r="A1287" s="42">
        <v>964</v>
      </c>
      <c r="B1287" s="42" t="s">
        <v>3357</v>
      </c>
      <c r="C1287" s="53" t="s">
        <v>203</v>
      </c>
      <c r="E1287" s="20"/>
      <c r="F1287" s="25"/>
      <c r="G1287" s="93"/>
      <c r="I1287" s="203">
        <v>45737</v>
      </c>
      <c r="J1287" s="90" t="str">
        <f>IF(Table26[[#This Row],[customerSKU]]="","",_xlfn.XLOOKUP(Table26[[#This Row],[customerSKU]],customerSKU!G:G,customerSKU!A:A,"",0,1))</f>
        <v/>
      </c>
      <c r="K1287" s="232">
        <v>45737</v>
      </c>
      <c r="L1287" s="49" t="str">
        <f>IF(Table26[[#This Row],[customerSKU]]="","",_xlfn.XLOOKUP(Table26[[#This Row],[customerSKU]],customerSKU!G:G,customerSKU!B:B,"",0,1))</f>
        <v/>
      </c>
      <c r="M1287" s="22"/>
      <c r="N1287" s="15" t="str">
        <f>Table26[[#This Row],[po_number]]&amp;"-"&amp;Table26[[#This Row],[po_line]]</f>
        <v>-7</v>
      </c>
      <c r="O1287" s="15">
        <v>7</v>
      </c>
      <c r="P1287" s="50"/>
      <c r="Q1287" s="22" t="s">
        <v>905</v>
      </c>
      <c r="R1287" s="22" t="s">
        <v>3302</v>
      </c>
      <c r="S1287" s="90" t="str">
        <f>IF(Table26[[#This Row],[customerSKU]]="","",_xlfn.XLOOKUP(Table26[[#This Row],[customerSKU]],customerSKU!G:G,customerSKU!N:N,"NOT FOUND",0,1))</f>
        <v>NOT FOUND</v>
      </c>
      <c r="T1287" s="20">
        <v>45575</v>
      </c>
      <c r="U1287" s="94">
        <v>12</v>
      </c>
      <c r="V1287" s="22" t="str">
        <f>IF(ISBLANK(Table26[[#This Row],[customerSKU]]),"",_xlfn.XLOOKUP(Table26[[#This Row],[customerSKU]],Table27[customer_SKU],Table27[case_size],"",0,1))</f>
        <v/>
      </c>
      <c r="W1287" s="117" t="str">
        <f t="shared" si="57"/>
        <v/>
      </c>
      <c r="X1287" s="22" t="str">
        <f t="shared" si="58"/>
        <v/>
      </c>
      <c r="Y1287" s="25" t="str">
        <f>IF(Table26[[#This Row],[customerSKU]]="","",_xlfn.XLOOKUP(Table26[[#This Row],[customerSKU]],Table27[customer_SKU],Table27[product_GTIN],"",0,1))</f>
        <v/>
      </c>
      <c r="Z1287" s="25" t="s">
        <v>3377</v>
      </c>
      <c r="AA1287" s="18" t="str" cm="1">
        <f t="array" ref="AA1287">IF(P1287="", "", _xlfn.XLOOKUP(P1287,#REF!,#REF!,NA,0,-1))</f>
        <v/>
      </c>
      <c r="AB1287" s="22"/>
      <c r="AC1287" s="55" t="s">
        <v>90</v>
      </c>
      <c r="AD1287" s="55" t="str">
        <f>IF($AC1287="","",_xlfn.XLOOKUP($AC1287,'[2]Client Info'!$C$2:$C$2535,'[2]Client Info'!$D$2:$D$2535,"",0,1))</f>
        <v>5 - 3227 264th Street</v>
      </c>
      <c r="AE1287" s="55" t="str">
        <f>IF($AC1287="","",_xlfn.XLOOKUP($AC1287,'[2]Client Info'!$C$2:$C$2715,'[2]Client Info'!$E$2:$E$2715,"",))</f>
        <v>Aldergrove</v>
      </c>
      <c r="AF1287" s="55" t="str">
        <f>IF($AC1287="","",_xlfn.XLOOKUP($AC1287,'[2]Client Info'!$C$2:$C$2715,'[2]Client Info'!$F$2:$F$2715,"",0,1))</f>
        <v xml:space="preserve">BC </v>
      </c>
      <c r="AG1287" s="55" t="s">
        <v>90</v>
      </c>
      <c r="AH1287" s="26" t="str">
        <f>_xlfn.XLOOKUP(Table26[[#This Row],[customerSKU]],customerSKU!G:G,customerSKU!K:K,"NA",0,1)</f>
        <v>NA</v>
      </c>
      <c r="AI1287" s="43" t="str">
        <f>_xlfn.XLOOKUP(Table26[[#This Row],[customerSKU]],customerSKU!G:G,customerSKU!O:O,"not found",0,1)</f>
        <v>not found</v>
      </c>
      <c r="AJ1287" s="22" t="e">
        <f>Table26[[#This Row],[unitprice]]*Table26[[#This Row],[quantity_unit]]</f>
        <v>#VALUE!</v>
      </c>
      <c r="AK1287" s="117" t="e" cm="1">
        <f t="array" ref="AK128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88" spans="1:37" ht="18" customHeight="1">
      <c r="A1288" s="42">
        <v>965</v>
      </c>
      <c r="B1288" s="42" t="s">
        <v>3357</v>
      </c>
      <c r="C1288" s="53" t="s">
        <v>203</v>
      </c>
      <c r="E1288" s="20"/>
      <c r="F1288" s="25"/>
      <c r="G1288" s="93"/>
      <c r="I1288" s="203">
        <v>45737</v>
      </c>
      <c r="J1288" s="90" t="s">
        <v>3394</v>
      </c>
      <c r="K1288" s="232">
        <v>45737</v>
      </c>
      <c r="L1288" s="49" t="str">
        <f>IF(Table26[[#This Row],[customerSKU]]="","",_xlfn.XLOOKUP(Table26[[#This Row],[customerSKU]],customerSKU!G:G,customerSKU!B:B,"",0,1))</f>
        <v/>
      </c>
      <c r="M1288" s="22"/>
      <c r="N1288" s="15" t="str">
        <f>Table26[[#This Row],[po_number]]&amp;"-"&amp;Table26[[#This Row],[po_line]]</f>
        <v>-1</v>
      </c>
      <c r="O1288" s="15">
        <v>1</v>
      </c>
      <c r="P1288" s="50"/>
      <c r="Q1288" s="22" t="s">
        <v>565</v>
      </c>
      <c r="R1288" s="22" t="s">
        <v>3302</v>
      </c>
      <c r="S1288" s="90" t="str">
        <f>IF(Table26[[#This Row],[customerSKU]]="","",_xlfn.XLOOKUP(Table26[[#This Row],[customerSKU]],customerSKU!G:G,customerSKU!N:N,"NOT FOUND",0,1))</f>
        <v>NOT FOUND</v>
      </c>
      <c r="T1288" s="20">
        <v>45707</v>
      </c>
      <c r="U1288" s="94">
        <v>12</v>
      </c>
      <c r="V1288" s="22" t="str">
        <f>IF(ISBLANK(Table26[[#This Row],[customerSKU]]),"",_xlfn.XLOOKUP(Table26[[#This Row],[customerSKU]],Table27[customer_SKU],Table27[case_size],"",0,1))</f>
        <v/>
      </c>
      <c r="W1288" s="117" t="str">
        <f t="shared" si="57"/>
        <v/>
      </c>
      <c r="X1288" s="22" t="str">
        <f t="shared" si="58"/>
        <v/>
      </c>
      <c r="Y1288" s="25" t="str">
        <f>IF(Table26[[#This Row],[customerSKU]]="","",_xlfn.XLOOKUP(Table26[[#This Row],[customerSKU]],Table27[customer_SKU],Table27[product_GTIN],"",0,1))</f>
        <v/>
      </c>
      <c r="Z1288" s="25">
        <v>63249</v>
      </c>
      <c r="AA1288" s="18" t="str" cm="1">
        <f t="array" ref="AA1288">IF(P1288="", "", _xlfn.XLOOKUP(P1288,#REF!,#REF!,NA,0,-1))</f>
        <v/>
      </c>
      <c r="AB1288" s="22"/>
      <c r="AC1288" s="55" t="s">
        <v>168</v>
      </c>
      <c r="AD1288" s="55" t="str">
        <f>IF($AC1288="","",_xlfn.XLOOKUP($AC1288,'[2]Client Info'!$C$2:$C$2535,'[2]Client Info'!$D$2:$D$2535,"",0,1))</f>
        <v>383 PTH 9</v>
      </c>
      <c r="AE1288" s="55" t="str">
        <f>IF($AC1288="","",_xlfn.XLOOKUP($AC1288,'[2]Client Info'!$C$2:$C$2715,'[2]Client Info'!$E$2:$E$2715,"",))</f>
        <v>WINNIPEG BEACH</v>
      </c>
      <c r="AF1288" s="55" t="str">
        <f>IF($AC1288="","",_xlfn.XLOOKUP($AC1288,'[2]Client Info'!$C$2:$C$2715,'[2]Client Info'!$F$2:$F$2715,"",0,1))</f>
        <v>MB</v>
      </c>
      <c r="AG1288" s="55" t="str">
        <f>IF(ISBLANK(Table26[[#This Row],[customerSKU]]),"",_xlfn.XLOOKUP(Table26[[#This Row],[customerSKU]],Table27[customer_SKU],Table27[billto],"",0,1))</f>
        <v/>
      </c>
      <c r="AH1288" s="26" t="str">
        <f>_xlfn.XLOOKUP(Table26[[#This Row],[customerSKU]],customerSKU!G:G,customerSKU!K:K,"NA",0,1)</f>
        <v>NA</v>
      </c>
      <c r="AI1288" s="43" t="str">
        <f>_xlfn.XLOOKUP(Table26[[#This Row],[customerSKU]],customerSKU!G:G,customerSKU!O:O,"not found",0,1)</f>
        <v>not found</v>
      </c>
      <c r="AJ1288" s="22" t="e">
        <f>Table26[[#This Row],[unitprice]]*Table26[[#This Row],[quantity_unit]]</f>
        <v>#VALUE!</v>
      </c>
      <c r="AK1288" s="117" t="e" cm="1">
        <f t="array" ref="AK128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#VALUE!</v>
      </c>
    </row>
    <row r="1289" spans="1:37" ht="18" customHeight="1">
      <c r="A1289" s="42">
        <v>966</v>
      </c>
      <c r="B1289" s="42" t="s">
        <v>3357</v>
      </c>
      <c r="C1289" s="53" t="s">
        <v>3360</v>
      </c>
      <c r="E1289" s="20"/>
      <c r="F1289" s="25"/>
      <c r="G1289" s="93"/>
      <c r="I1289" s="203">
        <v>45737</v>
      </c>
      <c r="J1289" s="90" t="str">
        <f>IF(Table26[[#This Row],[customerSKU]]="","",_xlfn.XLOOKUP(Table26[[#This Row],[customerSKU]],customerSKU!G:G,customerSKU!A:A,"",0,1))</f>
        <v/>
      </c>
      <c r="K1289" s="232">
        <v>45737</v>
      </c>
      <c r="L1289" s="49" t="str">
        <f>IF(Table26[[#This Row],[customerSKU]]="","",_xlfn.XLOOKUP(Table26[[#This Row],[customerSKU]],customerSKU!G:G,customerSKU!B:B,"",0,1))</f>
        <v/>
      </c>
      <c r="M1289" s="22"/>
      <c r="N1289" s="15" t="str">
        <f>Table26[[#This Row],[po_number]]&amp;"-"&amp;Table26[[#This Row],[po_line]]</f>
        <v>-1</v>
      </c>
      <c r="O1289" s="15">
        <v>1</v>
      </c>
      <c r="P1289" s="50"/>
      <c r="S1289" s="90" t="str">
        <f>IF(Table26[[#This Row],[customerSKU]]="","",_xlfn.XLOOKUP(Table26[[#This Row],[customerSKU]],customerSKU!G:G,customerSKU!N:N,"NOT FOUND",0,1))</f>
        <v>NOT FOUND</v>
      </c>
      <c r="T1289" s="20"/>
      <c r="U1289" s="94">
        <v>24</v>
      </c>
      <c r="V1289" s="22" t="str">
        <f>IF(ISBLANK(Table26[[#This Row],[customerSKU]]),"",_xlfn.XLOOKUP(Table26[[#This Row],[customerSKU]],Table27[customer_SKU],Table27[case_size],"",0,1))</f>
        <v/>
      </c>
      <c r="W1289" s="117" t="str">
        <f t="shared" si="57"/>
        <v/>
      </c>
      <c r="X1289" s="22" t="str">
        <f t="shared" si="58"/>
        <v/>
      </c>
      <c r="Y1289" s="25" t="str">
        <f>IF(Table26[[#This Row],[customerSKU]]="","",_xlfn.XLOOKUP(Table26[[#This Row],[customerSKU]],Table27[customer_SKU],Table27[product_GTIN],"",0,1))</f>
        <v/>
      </c>
      <c r="Z1289" s="25" t="s">
        <v>3395</v>
      </c>
      <c r="AA1289" s="18" t="str" cm="1">
        <f t="array" ref="AA1289">IF(P1289="", "", _xlfn.XLOOKUP(P1289,#REF!,#REF!,NA,0,-1))</f>
        <v/>
      </c>
      <c r="AB1289" s="22"/>
      <c r="AC1289" s="55" t="str">
        <f>IF(Table26[[#This Row],[customerSKU]]="","",_xlfn.XLOOKUP(Table26[[#This Row],[customerSKU]],customerSKU!G:G,customerSKU!C:C,"",0,1))</f>
        <v/>
      </c>
      <c r="AD1289" s="55" t="str">
        <f>IF($AC1289="","",_xlfn.XLOOKUP($AC1289,'[2]Client Info'!$C$2:$C$2535,'[2]Client Info'!$D$2:$D$2535,"",0,1))</f>
        <v/>
      </c>
      <c r="AE1289" s="55" t="str">
        <f>IF($AC1289="","",_xlfn.XLOOKUP($AC1289,'[2]Client Info'!$C$2:$C$2715,'[2]Client Info'!$E$2:$E$2715,"",))</f>
        <v/>
      </c>
      <c r="AF1289" s="55" t="str">
        <f>IF($AC1289="","",_xlfn.XLOOKUP($AC1289,'[2]Client Info'!$C$2:$C$2715,'[2]Client Info'!$F$2:$F$2715,"",0,1))</f>
        <v/>
      </c>
      <c r="AG1289" s="55" t="str">
        <f>IF(ISBLANK(Table26[[#This Row],[customerSKU]]),"",_xlfn.XLOOKUP(Table26[[#This Row],[customerSKU]],Table27[customer_SKU],Table27[billto],"",0,1))</f>
        <v/>
      </c>
      <c r="AH1289" s="26" t="str">
        <f>_xlfn.XLOOKUP(Table26[[#This Row],[customerSKU]],customerSKU!G:G,customerSKU!K:K,"NA",0,1)</f>
        <v>NA</v>
      </c>
      <c r="AI1289" s="43" t="str">
        <f>_xlfn.XLOOKUP(Table26[[#This Row],[customerSKU]],customerSKU!G:G,customerSKU!O:O,"not found",0,1)</f>
        <v>not found</v>
      </c>
      <c r="AJ1289" s="22" t="e">
        <f>Table26[[#This Row],[unitprice]]*Table26[[#This Row],[quantity_unit]]</f>
        <v>#VALUE!</v>
      </c>
      <c r="AK1289" s="117" t="e" cm="1">
        <f t="array" ref="AK128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0" spans="1:37" ht="18" customHeight="1">
      <c r="A1290" s="42">
        <v>967</v>
      </c>
      <c r="B1290" s="42" t="s">
        <v>3357</v>
      </c>
      <c r="C1290" s="53" t="s">
        <v>3494</v>
      </c>
      <c r="E1290" s="20"/>
      <c r="F1290" s="25"/>
      <c r="G1290" s="93"/>
      <c r="J1290" s="90" t="str">
        <f>IF(Table26[[#This Row],[customerSKU]]="","",_xlfn.XLOOKUP(Table26[[#This Row],[customerSKU]],customerSKU!G:G,customerSKU!A:A,"",0,1))</f>
        <v/>
      </c>
      <c r="K1290" s="232">
        <v>45737</v>
      </c>
      <c r="L1290" s="49" t="str">
        <f>IF(Table26[[#This Row],[customerSKU]]="","",_xlfn.XLOOKUP(Table26[[#This Row],[customerSKU]],customerSKU!G:G,customerSKU!B:B,"",0,1))</f>
        <v/>
      </c>
      <c r="M1290" s="22"/>
      <c r="N1290" s="15" t="str">
        <f>Table26[[#This Row],[po_number]]&amp;"-"&amp;Table26[[#This Row],[po_line]]</f>
        <v>-1</v>
      </c>
      <c r="O1290" s="15">
        <v>1</v>
      </c>
      <c r="P1290" s="50"/>
      <c r="Q1290" s="22" t="s">
        <v>3378</v>
      </c>
      <c r="R1290" s="22" t="s">
        <v>3302</v>
      </c>
      <c r="S1290" s="90" t="str">
        <f>IF(Table26[[#This Row],[customerSKU]]="","",_xlfn.XLOOKUP(Table26[[#This Row],[customerSKU]],customerSKU!G:G,customerSKU!N:N,"NOT FOUND",0,1))</f>
        <v>NOT FOUND</v>
      </c>
      <c r="T1290" s="20">
        <v>45714</v>
      </c>
      <c r="U1290" s="94">
        <v>24</v>
      </c>
      <c r="V1290" s="22" t="str">
        <f>IF(ISBLANK(Table26[[#This Row],[customerSKU]]),"",_xlfn.XLOOKUP(Table26[[#This Row],[customerSKU]],Table27[customer_SKU],Table27[case_size],"",0,1))</f>
        <v/>
      </c>
      <c r="W1290" s="117" t="str">
        <f t="shared" si="57"/>
        <v/>
      </c>
      <c r="X1290" s="22" t="str">
        <f t="shared" si="58"/>
        <v/>
      </c>
      <c r="Y1290" s="25" t="str">
        <f>IF(Table26[[#This Row],[customerSKU]]="","",_xlfn.XLOOKUP(Table26[[#This Row],[customerSKU]],Table27[customer_SKU],Table27[product_GTIN],"",0,1))</f>
        <v/>
      </c>
      <c r="Z1290" s="25">
        <v>995292</v>
      </c>
      <c r="AA1290" s="18" t="str" cm="1">
        <f t="array" ref="AA1290">IF(P1290="", "", _xlfn.XLOOKUP(P1290,#REF!,#REF!,NA,0,-1))</f>
        <v/>
      </c>
      <c r="AB1290" s="22"/>
      <c r="AC1290" s="55" t="str">
        <f>IF(Table26[[#This Row],[customerSKU]]="","",_xlfn.XLOOKUP(Table26[[#This Row],[customerSKU]],customerSKU!G:G,customerSKU!C:C,"",0,1))</f>
        <v/>
      </c>
      <c r="AD1290" s="55" t="str">
        <f>IF($AC1290="","",_xlfn.XLOOKUP($AC1290,'[2]Client Info'!$C$2:$C$2535,'[2]Client Info'!$D$2:$D$2535,"",0,1))</f>
        <v/>
      </c>
      <c r="AE1290" s="55" t="str">
        <f>IF($AC1290="","",_xlfn.XLOOKUP($AC1290,'[2]Client Info'!$C$2:$C$2715,'[2]Client Info'!$E$2:$E$2715,"",))</f>
        <v/>
      </c>
      <c r="AF1290" s="55" t="str">
        <f>IF($AC1290="","",_xlfn.XLOOKUP($AC1290,'[2]Client Info'!$C$2:$C$2715,'[2]Client Info'!$F$2:$F$2715,"",0,1))</f>
        <v/>
      </c>
      <c r="AG1290" s="55" t="str">
        <f>IF(ISBLANK(Table26[[#This Row],[customerSKU]]),"",_xlfn.XLOOKUP(Table26[[#This Row],[customerSKU]],Table27[customer_SKU],Table27[billto],"",0,1))</f>
        <v/>
      </c>
      <c r="AH1290" s="26" t="str">
        <f>_xlfn.XLOOKUP(Table26[[#This Row],[customerSKU]],customerSKU!G:G,customerSKU!K:K,"NA",0,1)</f>
        <v>NA</v>
      </c>
      <c r="AI1290" s="43" t="str">
        <f>_xlfn.XLOOKUP(Table26[[#This Row],[customerSKU]],customerSKU!G:G,customerSKU!O:O,"not found",0,1)</f>
        <v>not found</v>
      </c>
      <c r="AJ1290" s="22" t="e">
        <f>Table26[[#This Row],[unitprice]]*Table26[[#This Row],[quantity_unit]]</f>
        <v>#VALUE!</v>
      </c>
      <c r="AK1290" s="117" t="e" cm="1">
        <f t="array" ref="AK129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1" spans="1:37" ht="18" customHeight="1">
      <c r="A1291" s="42">
        <v>968</v>
      </c>
      <c r="B1291" s="42" t="s">
        <v>3357</v>
      </c>
      <c r="C1291" s="53" t="s">
        <v>3494</v>
      </c>
      <c r="E1291" s="20"/>
      <c r="F1291" s="25"/>
      <c r="G1291" s="93"/>
      <c r="J1291" s="90" t="str">
        <f>IF(Table26[[#This Row],[customerSKU]]="","",_xlfn.XLOOKUP(Table26[[#This Row],[customerSKU]],customerSKU!G:G,customerSKU!A:A,"",0,1))</f>
        <v/>
      </c>
      <c r="K1291" s="232">
        <v>45737</v>
      </c>
      <c r="L1291" s="49" t="str">
        <f>IF(Table26[[#This Row],[customerSKU]]="","",_xlfn.XLOOKUP(Table26[[#This Row],[customerSKU]],customerSKU!G:G,customerSKU!B:B,"",0,1))</f>
        <v/>
      </c>
      <c r="M1291" s="22"/>
      <c r="N1291" s="15" t="str">
        <f>Table26[[#This Row],[po_number]]&amp;"-"&amp;Table26[[#This Row],[po_line]]</f>
        <v>-2</v>
      </c>
      <c r="O1291" s="15">
        <v>2</v>
      </c>
      <c r="P1291" s="50"/>
      <c r="Q1291" s="22" t="s">
        <v>4097</v>
      </c>
      <c r="R1291" s="22" t="s">
        <v>3302</v>
      </c>
      <c r="S1291" s="90" t="str">
        <f>IF(Table26[[#This Row],[customerSKU]]="","",_xlfn.XLOOKUP(Table26[[#This Row],[customerSKU]],customerSKU!G:G,customerSKU!N:N,"NOT FOUND",0,1))</f>
        <v>NOT FOUND</v>
      </c>
      <c r="T1291" s="20">
        <v>45735</v>
      </c>
      <c r="U1291" s="94">
        <v>60</v>
      </c>
      <c r="V1291" s="22" t="str">
        <f>IF(ISBLANK(Table26[[#This Row],[customerSKU]]),"",_xlfn.XLOOKUP(Table26[[#This Row],[customerSKU]],Table27[customer_SKU],Table27[case_size],"",0,1))</f>
        <v/>
      </c>
      <c r="W1291" s="117" t="str">
        <f t="shared" si="57"/>
        <v/>
      </c>
      <c r="X1291" s="22" t="str">
        <f t="shared" si="58"/>
        <v/>
      </c>
      <c r="Y1291" s="25" t="str">
        <f>IF(Table26[[#This Row],[customerSKU]]="","",_xlfn.XLOOKUP(Table26[[#This Row],[customerSKU]],Table27[customer_SKU],Table27[product_GTIN],"",0,1))</f>
        <v/>
      </c>
      <c r="Z1291" s="25" t="s">
        <v>4098</v>
      </c>
      <c r="AA1291" s="18" t="str" cm="1">
        <f t="array" ref="AA1291">IF(P1291="", "", _xlfn.XLOOKUP(P1291,#REF!,#REF!,NA,0,-1))</f>
        <v/>
      </c>
      <c r="AB1291" s="22"/>
      <c r="AC1291" s="55" t="str">
        <f>IF(Table26[[#This Row],[customerSKU]]="","",_xlfn.XLOOKUP(Table26[[#This Row],[customerSKU]],customerSKU!G:G,customerSKU!C:C,"",0,1))</f>
        <v/>
      </c>
      <c r="AD1291" s="55" t="str">
        <f>IF($AC1291="","",_xlfn.XLOOKUP($AC1291,'[2]Client Info'!$C$2:$C$2535,'[2]Client Info'!$D$2:$D$2535,"",0,1))</f>
        <v/>
      </c>
      <c r="AE1291" s="55" t="str">
        <f>IF($AC1291="","",_xlfn.XLOOKUP($AC1291,'[2]Client Info'!$C$2:$C$2715,'[2]Client Info'!$E$2:$E$2715,"",))</f>
        <v/>
      </c>
      <c r="AF1291" s="55" t="str">
        <f>IF($AC1291="","",_xlfn.XLOOKUP($AC1291,'[2]Client Info'!$C$2:$C$2715,'[2]Client Info'!$F$2:$F$2715,"",0,1))</f>
        <v/>
      </c>
      <c r="AG1291" s="55" t="str">
        <f>IF(ISBLANK(Table26[[#This Row],[customerSKU]]),"",_xlfn.XLOOKUP(Table26[[#This Row],[customerSKU]],Table27[customer_SKU],Table27[billto],"",0,1))</f>
        <v/>
      </c>
      <c r="AH1291" s="26" t="str">
        <f>_xlfn.XLOOKUP(Table26[[#This Row],[customerSKU]],customerSKU!G:G,customerSKU!K:K,"NA",0,1)</f>
        <v>NA</v>
      </c>
      <c r="AI1291" s="43" t="str">
        <f>_xlfn.XLOOKUP(Table26[[#This Row],[customerSKU]],customerSKU!G:G,customerSKU!O:O,"not found",0,1)</f>
        <v>not found</v>
      </c>
      <c r="AJ1291" s="22" t="e">
        <f>Table26[[#This Row],[unitprice]]*Table26[[#This Row],[quantity_unit]]</f>
        <v>#VALUE!</v>
      </c>
      <c r="AK1291" s="117" t="e" cm="1">
        <f t="array" ref="AK129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2" spans="1:37" ht="18" customHeight="1">
      <c r="A1292" s="42">
        <v>969</v>
      </c>
      <c r="B1292" s="42" t="s">
        <v>3357</v>
      </c>
      <c r="C1292" s="53" t="s">
        <v>3494</v>
      </c>
      <c r="E1292" s="20"/>
      <c r="F1292" s="25"/>
      <c r="G1292" s="93"/>
      <c r="J1292" s="90" t="str">
        <f>IF(Table26[[#This Row],[customerSKU]]="","",_xlfn.XLOOKUP(Table26[[#This Row],[customerSKU]],customerSKU!G:G,customerSKU!A:A,"",0,1))</f>
        <v/>
      </c>
      <c r="K1292" s="232">
        <v>45737</v>
      </c>
      <c r="L1292" s="49" t="str">
        <f>IF(Table26[[#This Row],[customerSKU]]="","",_xlfn.XLOOKUP(Table26[[#This Row],[customerSKU]],customerSKU!G:G,customerSKU!B:B,"",0,1))</f>
        <v/>
      </c>
      <c r="M1292" s="22"/>
      <c r="N1292" s="15" t="str">
        <f>Table26[[#This Row],[po_number]]&amp;"-"&amp;Table26[[#This Row],[po_line]]</f>
        <v>-3</v>
      </c>
      <c r="O1292" s="15">
        <v>3</v>
      </c>
      <c r="P1292" s="50"/>
      <c r="Q1292" s="22" t="s">
        <v>1313</v>
      </c>
      <c r="R1292" s="22" t="s">
        <v>3302</v>
      </c>
      <c r="S1292" s="90" t="str">
        <f>IF(Table26[[#This Row],[customerSKU]]="","",_xlfn.XLOOKUP(Table26[[#This Row],[customerSKU]],customerSKU!G:G,customerSKU!N:N,"NOT FOUND",0,1))</f>
        <v>NOT FOUND</v>
      </c>
      <c r="T1292" s="20">
        <v>45575</v>
      </c>
      <c r="U1292" s="94">
        <v>12</v>
      </c>
      <c r="V1292" s="22" t="str">
        <f>IF(ISBLANK(Table26[[#This Row],[customerSKU]]),"",_xlfn.XLOOKUP(Table26[[#This Row],[customerSKU]],Table27[customer_SKU],Table27[case_size],"",0,1))</f>
        <v/>
      </c>
      <c r="W1292" s="117" t="str">
        <f t="shared" si="57"/>
        <v/>
      </c>
      <c r="X1292" s="22" t="str">
        <f t="shared" si="58"/>
        <v/>
      </c>
      <c r="Y1292" s="25" t="str">
        <f>IF(Table26[[#This Row],[customerSKU]]="","",_xlfn.XLOOKUP(Table26[[#This Row],[customerSKU]],Table27[customer_SKU],Table27[product_GTIN],"",0,1))</f>
        <v/>
      </c>
      <c r="Z1292" s="25">
        <v>994667</v>
      </c>
      <c r="AA1292" s="18" t="str" cm="1">
        <f t="array" ref="AA1292">IF(P1292="", "", _xlfn.XLOOKUP(P1292,#REF!,#REF!,NA,0,-1))</f>
        <v/>
      </c>
      <c r="AB1292" s="22"/>
      <c r="AC1292" s="55" t="str">
        <f>IF(Table26[[#This Row],[customerSKU]]="","",_xlfn.XLOOKUP(Table26[[#This Row],[customerSKU]],customerSKU!G:G,customerSKU!C:C,"",0,1))</f>
        <v/>
      </c>
      <c r="AD1292" s="55" t="str">
        <f>IF($AC1292="","",_xlfn.XLOOKUP($AC1292,'[2]Client Info'!$C$2:$C$2535,'[2]Client Info'!$D$2:$D$2535,"",0,1))</f>
        <v/>
      </c>
      <c r="AE1292" s="55" t="str">
        <f>IF($AC1292="","",_xlfn.XLOOKUP($AC1292,'[2]Client Info'!$C$2:$C$2715,'[2]Client Info'!$E$2:$E$2715,"",))</f>
        <v/>
      </c>
      <c r="AF1292" s="55" t="str">
        <f>IF($AC1292="","",_xlfn.XLOOKUP($AC1292,'[2]Client Info'!$C$2:$C$2715,'[2]Client Info'!$F$2:$F$2715,"",0,1))</f>
        <v/>
      </c>
      <c r="AG1292" s="55" t="str">
        <f>IF(ISBLANK(Table26[[#This Row],[customerSKU]]),"",_xlfn.XLOOKUP(Table26[[#This Row],[customerSKU]],Table27[customer_SKU],Table27[billto],"",0,1))</f>
        <v/>
      </c>
      <c r="AH1292" s="26" t="str">
        <f>_xlfn.XLOOKUP(Table26[[#This Row],[customerSKU]],customerSKU!G:G,customerSKU!K:K,"NA",0,1)</f>
        <v>NA</v>
      </c>
      <c r="AI1292" s="43" t="str">
        <f>_xlfn.XLOOKUP(Table26[[#This Row],[customerSKU]],customerSKU!G:G,customerSKU!O:O,"not found",0,1)</f>
        <v>not found</v>
      </c>
      <c r="AJ1292" s="22" t="e">
        <f>Table26[[#This Row],[unitprice]]*Table26[[#This Row],[quantity_unit]]</f>
        <v>#VALUE!</v>
      </c>
      <c r="AK1292" s="117" t="e" cm="1">
        <f t="array" ref="AK12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3" spans="1:37" ht="24.6" customHeight="1">
      <c r="A1293" s="42">
        <v>970</v>
      </c>
      <c r="B1293" s="42" t="s">
        <v>3357</v>
      </c>
      <c r="C1293" s="53" t="s">
        <v>3494</v>
      </c>
      <c r="E1293" s="20"/>
      <c r="F1293" s="25"/>
      <c r="G1293" s="93"/>
      <c r="J1293" s="90" t="str">
        <f>IF(Table26[[#This Row],[customerSKU]]="","",_xlfn.XLOOKUP(Table26[[#This Row],[customerSKU]],customerSKU!G:G,customerSKU!A:A,"",0,1))</f>
        <v/>
      </c>
      <c r="K1293" s="232">
        <v>45737</v>
      </c>
      <c r="L1293" s="49" t="str">
        <f>IF(Table26[[#This Row],[customerSKU]]="","",_xlfn.XLOOKUP(Table26[[#This Row],[customerSKU]],customerSKU!G:G,customerSKU!B:B,"",0,1))</f>
        <v/>
      </c>
      <c r="M1293" s="22"/>
      <c r="N1293" s="15" t="str">
        <f>Table26[[#This Row],[po_number]]&amp;"-"&amp;Table26[[#This Row],[po_line]]</f>
        <v>-4</v>
      </c>
      <c r="O1293" s="15">
        <v>4</v>
      </c>
      <c r="P1293" s="50"/>
      <c r="Q1293" s="22" t="s">
        <v>630</v>
      </c>
      <c r="R1293" s="22" t="s">
        <v>3302</v>
      </c>
      <c r="S1293" s="90" t="str">
        <f>IF(Table26[[#This Row],[customerSKU]]="","",_xlfn.XLOOKUP(Table26[[#This Row],[customerSKU]],customerSKU!G:G,customerSKU!N:N,"NOT FOUND",0,1))</f>
        <v>NOT FOUND</v>
      </c>
      <c r="T1293" s="20">
        <v>45707</v>
      </c>
      <c r="U1293" s="94">
        <v>12</v>
      </c>
      <c r="V1293" s="22" t="str">
        <f>IF(ISBLANK(Table26[[#This Row],[customerSKU]]),"",_xlfn.XLOOKUP(Table26[[#This Row],[customerSKU]],Table27[customer_SKU],Table27[case_size],"",0,1))</f>
        <v/>
      </c>
      <c r="W1293" s="117" t="str">
        <f t="shared" si="57"/>
        <v/>
      </c>
      <c r="X1293" s="22" t="str">
        <f t="shared" si="58"/>
        <v/>
      </c>
      <c r="Y1293" s="25" t="str">
        <f>IF(Table26[[#This Row],[customerSKU]]="","",_xlfn.XLOOKUP(Table26[[#This Row],[customerSKU]],Table27[customer_SKU],Table27[product_GTIN],"",0,1))</f>
        <v/>
      </c>
      <c r="Z1293" s="25">
        <v>994668</v>
      </c>
      <c r="AA1293" s="18" t="str" cm="1">
        <f t="array" ref="AA1293">IF(P1293="", "", _xlfn.XLOOKUP(P1293,#REF!,#REF!,NA,0,-1))</f>
        <v/>
      </c>
      <c r="AB1293" s="22"/>
      <c r="AC1293" s="55" t="str">
        <f>IF(Table26[[#This Row],[customerSKU]]="","",_xlfn.XLOOKUP(Table26[[#This Row],[customerSKU]],customerSKU!G:G,customerSKU!C:C,"",0,1))</f>
        <v/>
      </c>
      <c r="AD1293" s="55" t="str">
        <f>IF($AC1293="","",_xlfn.XLOOKUP($AC1293,'[2]Client Info'!$C$2:$C$2535,'[2]Client Info'!$D$2:$D$2535,"",0,1))</f>
        <v/>
      </c>
      <c r="AE1293" s="55" t="str">
        <f>IF($AC1293="","",_xlfn.XLOOKUP($AC1293,'[2]Client Info'!$C$2:$C$2715,'[2]Client Info'!$E$2:$E$2715,"",))</f>
        <v/>
      </c>
      <c r="AF1293" s="55" t="str">
        <f>IF($AC1293="","",_xlfn.XLOOKUP($AC1293,'[2]Client Info'!$C$2:$C$2715,'[2]Client Info'!$F$2:$F$2715,"",0,1))</f>
        <v/>
      </c>
      <c r="AG1293" s="55" t="str">
        <f>IF(ISBLANK(Table26[[#This Row],[customerSKU]]),"",_xlfn.XLOOKUP(Table26[[#This Row],[customerSKU]],Table27[customer_SKU],Table27[billto],"",0,1))</f>
        <v/>
      </c>
      <c r="AH1293" s="26" t="str">
        <f>_xlfn.XLOOKUP(Table26[[#This Row],[customerSKU]],customerSKU!G:G,customerSKU!K:K,"NA",0,1)</f>
        <v>NA</v>
      </c>
      <c r="AI1293" s="43" t="str">
        <f>_xlfn.XLOOKUP(Table26[[#This Row],[customerSKU]],customerSKU!G:G,customerSKU!O:O,"not found",0,1)</f>
        <v>not found</v>
      </c>
      <c r="AJ1293" s="22" t="e">
        <f>Table26[[#This Row],[unitprice]]*Table26[[#This Row],[quantity_unit]]</f>
        <v>#VALUE!</v>
      </c>
      <c r="AK1293" s="117" t="e" cm="1">
        <f t="array" ref="AK12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4" spans="1:37" ht="24.6" customHeight="1">
      <c r="A1294" s="42">
        <v>971</v>
      </c>
      <c r="B1294" s="42" t="s">
        <v>3357</v>
      </c>
      <c r="C1294" s="53" t="s">
        <v>3494</v>
      </c>
      <c r="E1294" s="20"/>
      <c r="F1294" s="25"/>
      <c r="G1294" s="93"/>
      <c r="J1294" s="90" t="str">
        <f>IF(Table26[[#This Row],[customerSKU]]="","",_xlfn.XLOOKUP(Table26[[#This Row],[customerSKU]],customerSKU!G:G,customerSKU!A:A,"",0,1))</f>
        <v/>
      </c>
      <c r="K1294" s="232">
        <v>45737</v>
      </c>
      <c r="L1294" s="49" t="str">
        <f>IF(Table26[[#This Row],[customerSKU]]="","",_xlfn.XLOOKUP(Table26[[#This Row],[customerSKU]],customerSKU!G:G,customerSKU!B:B,"",0,1))</f>
        <v/>
      </c>
      <c r="M1294" s="22"/>
      <c r="N1294" s="15" t="str">
        <f>Table26[[#This Row],[po_number]]&amp;"-"&amp;Table26[[#This Row],[po_line]]</f>
        <v>-5</v>
      </c>
      <c r="O1294" s="15">
        <v>5</v>
      </c>
      <c r="P1294" s="50"/>
      <c r="Q1294" s="22" t="s">
        <v>775</v>
      </c>
      <c r="R1294" s="22" t="s">
        <v>3302</v>
      </c>
      <c r="S1294" s="90" t="str">
        <f>IF(Table26[[#This Row],[customerSKU]]="","",_xlfn.XLOOKUP(Table26[[#This Row],[customerSKU]],customerSKU!G:G,customerSKU!N:N,"NOT FOUND",0,1))</f>
        <v>NOT FOUND</v>
      </c>
      <c r="T1294" s="20">
        <v>45630</v>
      </c>
      <c r="U1294" s="94">
        <v>2</v>
      </c>
      <c r="V1294" s="22" t="str">
        <f>IF(ISBLANK(Table26[[#This Row],[customerSKU]]),"",_xlfn.XLOOKUP(Table26[[#This Row],[customerSKU]],Table27[customer_SKU],Table27[case_size],"",0,1))</f>
        <v/>
      </c>
      <c r="W1294" s="117" t="str">
        <f t="shared" si="57"/>
        <v/>
      </c>
      <c r="X1294" s="22" t="str">
        <f t="shared" si="58"/>
        <v/>
      </c>
      <c r="Y1294" s="25" t="str">
        <f>IF(Table26[[#This Row],[customerSKU]]="","",_xlfn.XLOOKUP(Table26[[#This Row],[customerSKU]],Table27[customer_SKU],Table27[product_GTIN],"",0,1))</f>
        <v/>
      </c>
      <c r="Z1294" s="25">
        <v>992357</v>
      </c>
      <c r="AA1294" s="18" t="str" cm="1">
        <f t="array" ref="AA1294">IF(P1294="", "", _xlfn.XLOOKUP(P1294,#REF!,#REF!,NA,0,-1))</f>
        <v/>
      </c>
      <c r="AB1294" s="22"/>
      <c r="AC1294" s="55" t="str">
        <f>IF(Table26[[#This Row],[customerSKU]]="","",_xlfn.XLOOKUP(Table26[[#This Row],[customerSKU]],customerSKU!G:G,customerSKU!C:C,"",0,1))</f>
        <v/>
      </c>
      <c r="AD1294" s="55" t="str">
        <f>IF($AC1294="","",_xlfn.XLOOKUP($AC1294,'[2]Client Info'!$C$2:$C$2535,'[2]Client Info'!$D$2:$D$2535,"",0,1))</f>
        <v/>
      </c>
      <c r="AE1294" s="55" t="str">
        <f>IF($AC1294="","",_xlfn.XLOOKUP($AC1294,'[2]Client Info'!$C$2:$C$2715,'[2]Client Info'!$E$2:$E$2715,"",))</f>
        <v/>
      </c>
      <c r="AF1294" s="55" t="str">
        <f>IF($AC1294="","",_xlfn.XLOOKUP($AC1294,'[2]Client Info'!$C$2:$C$2715,'[2]Client Info'!$F$2:$F$2715,"",0,1))</f>
        <v/>
      </c>
      <c r="AG1294" s="55" t="str">
        <f>IF(ISBLANK(Table26[[#This Row],[customerSKU]]),"",_xlfn.XLOOKUP(Table26[[#This Row],[customerSKU]],Table27[customer_SKU],Table27[billto],"",0,1))</f>
        <v/>
      </c>
      <c r="AH1294" s="26" t="str">
        <f>_xlfn.XLOOKUP(Table26[[#This Row],[customerSKU]],customerSKU!G:G,customerSKU!K:K,"NA",0,1)</f>
        <v>NA</v>
      </c>
      <c r="AI1294" s="43" t="str">
        <f>_xlfn.XLOOKUP(Table26[[#This Row],[customerSKU]],customerSKU!G:G,customerSKU!O:O,"not found",0,1)</f>
        <v>not found</v>
      </c>
      <c r="AJ1294" s="22" t="e">
        <f>Table26[[#This Row],[unitprice]]*Table26[[#This Row],[quantity_unit]]</f>
        <v>#VALUE!</v>
      </c>
      <c r="AK1294" s="117" t="e" cm="1">
        <f t="array" ref="AK12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5" spans="1:37" ht="18" customHeight="1">
      <c r="A1295" s="42">
        <v>972</v>
      </c>
      <c r="B1295" s="42" t="s">
        <v>3357</v>
      </c>
      <c r="C1295" s="53" t="s">
        <v>3494</v>
      </c>
      <c r="E1295" s="20"/>
      <c r="F1295" s="25"/>
      <c r="G1295" s="93"/>
      <c r="J1295" s="90" t="str">
        <f>IF(Table26[[#This Row],[customerSKU]]="","",_xlfn.XLOOKUP(Table26[[#This Row],[customerSKU]],customerSKU!G:G,customerSKU!A:A,"",0,1))</f>
        <v/>
      </c>
      <c r="K1295" s="232">
        <v>45737</v>
      </c>
      <c r="L1295" s="49" t="str">
        <f>IF(Table26[[#This Row],[customerSKU]]="","",_xlfn.XLOOKUP(Table26[[#This Row],[customerSKU]],customerSKU!G:G,customerSKU!B:B,"",0,1))</f>
        <v/>
      </c>
      <c r="M1295" s="22"/>
      <c r="N1295" s="15" t="str">
        <f>Table26[[#This Row],[po_number]]&amp;"-"&amp;Table26[[#This Row],[po_line]]</f>
        <v>-6</v>
      </c>
      <c r="O1295" s="15">
        <v>6</v>
      </c>
      <c r="P1295" s="50"/>
      <c r="Q1295" s="22" t="s">
        <v>775</v>
      </c>
      <c r="R1295" s="22" t="s">
        <v>3302</v>
      </c>
      <c r="S1295" s="90" t="str">
        <f>IF(Table26[[#This Row],[customerSKU]]="","",_xlfn.XLOOKUP(Table26[[#This Row],[customerSKU]],customerSKU!G:G,customerSKU!N:N,"NOT FOUND",0,1))</f>
        <v>NOT FOUND</v>
      </c>
      <c r="T1295" s="20">
        <v>45523</v>
      </c>
      <c r="U1295" s="94">
        <v>10</v>
      </c>
      <c r="V1295" s="22" t="str">
        <f>IF(ISBLANK(Table26[[#This Row],[customerSKU]]),"",_xlfn.XLOOKUP(Table26[[#This Row],[customerSKU]],Table27[customer_SKU],Table27[case_size],"",0,1))</f>
        <v/>
      </c>
      <c r="W1295" s="117" t="str">
        <f t="shared" si="57"/>
        <v/>
      </c>
      <c r="X1295" s="22" t="str">
        <f t="shared" si="58"/>
        <v/>
      </c>
      <c r="Y1295" s="25" t="str">
        <f>IF(Table26[[#This Row],[customerSKU]]="","",_xlfn.XLOOKUP(Table26[[#This Row],[customerSKU]],Table27[customer_SKU],Table27[product_GTIN],"",0,1))</f>
        <v/>
      </c>
      <c r="Z1295" s="25">
        <v>992357</v>
      </c>
      <c r="AA1295" s="18" t="str" cm="1">
        <f t="array" ref="AA1295">IF(P1295="", "", _xlfn.XLOOKUP(P1295,#REF!,#REF!,NA,0,-1))</f>
        <v/>
      </c>
      <c r="AB1295" s="22"/>
      <c r="AC1295" s="55" t="str">
        <f>IF(Table26[[#This Row],[customerSKU]]="","",_xlfn.XLOOKUP(Table26[[#This Row],[customerSKU]],customerSKU!G:G,customerSKU!C:C,"",0,1))</f>
        <v/>
      </c>
      <c r="AD1295" s="55" t="str">
        <f>IF($AC1295="","",_xlfn.XLOOKUP($AC1295,'[2]Client Info'!$C$2:$C$2535,'[2]Client Info'!$D$2:$D$2535,"",0,1))</f>
        <v/>
      </c>
      <c r="AE1295" s="55" t="str">
        <f>IF($AC1295="","",_xlfn.XLOOKUP($AC1295,'[2]Client Info'!$C$2:$C$2715,'[2]Client Info'!$E$2:$E$2715,"",))</f>
        <v/>
      </c>
      <c r="AF1295" s="55" t="str">
        <f>IF($AC1295="","",_xlfn.XLOOKUP($AC1295,'[2]Client Info'!$C$2:$C$2715,'[2]Client Info'!$F$2:$F$2715,"",0,1))</f>
        <v/>
      </c>
      <c r="AG1295" s="55" t="str">
        <f>IF(ISBLANK(Table26[[#This Row],[customerSKU]]),"",_xlfn.XLOOKUP(Table26[[#This Row],[customerSKU]],Table27[customer_SKU],Table27[billto],"",0,1))</f>
        <v/>
      </c>
      <c r="AH1295" s="26" t="str">
        <f>_xlfn.XLOOKUP(Table26[[#This Row],[customerSKU]],customerSKU!G:G,customerSKU!K:K,"NA",0,1)</f>
        <v>NA</v>
      </c>
      <c r="AI1295" s="43" t="str">
        <f>_xlfn.XLOOKUP(Table26[[#This Row],[customerSKU]],customerSKU!G:G,customerSKU!O:O,"not found",0,1)</f>
        <v>not found</v>
      </c>
      <c r="AJ1295" s="22" t="e">
        <f>Table26[[#This Row],[unitprice]]*Table26[[#This Row],[quantity_unit]]</f>
        <v>#VALUE!</v>
      </c>
      <c r="AK1295" s="117" t="e" cm="1">
        <f t="array" ref="AK12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Row],[sales_stream]]="OCS",Table26[[#This Row],[Product Price]]*1.13,Table26[[#This Row],[sales_stream]]="AGLC",Table26[[#This Row],[Product Price]],Table26[[#This Row],[sales_stream]]="YLC",Table26[[#This Row],[Product Price]])</f>
        <v>#N/A</v>
      </c>
    </row>
    <row r="1296" spans="1:37" ht="18" customHeight="1">
      <c r="A1296" s="42">
        <v>953</v>
      </c>
      <c r="B1296" s="42" t="s">
        <v>3357</v>
      </c>
      <c r="C1296" s="53" t="s">
        <v>203</v>
      </c>
      <c r="E1296" s="20"/>
      <c r="F1296" s="25"/>
      <c r="G1296" s="93"/>
      <c r="I1296" s="19">
        <v>45740</v>
      </c>
      <c r="J1296" s="90" t="str">
        <f>IF(Table26[[#This Row],[customerSKU]]="","",_xlfn.XLOOKUP(Table26[[#This Row],[customerSKU]],customerSKU!G:G,customerSKU!A:A,"",0,1))</f>
        <v/>
      </c>
      <c r="K1296" s="232">
        <v>45740</v>
      </c>
      <c r="L1296" s="49" t="str">
        <f>IF(Table26[[#This Row],[customerSKU]]="","",_xlfn.XLOOKUP(Table26[[#This Row],[customerSKU]],customerSKU!G:G,customerSKU!B:B,"",0,1))</f>
        <v/>
      </c>
      <c r="M1296" s="22"/>
      <c r="N1296" s="15" t="str">
        <f>Table26[[#This Row],[po_number]]&amp;"-"&amp;Table26[[#This Row],[po_line]]</f>
        <v>-1</v>
      </c>
      <c r="O1296" s="15">
        <v>1</v>
      </c>
      <c r="P1296" s="50"/>
      <c r="Q1296" s="22" t="s">
        <v>3396</v>
      </c>
      <c r="R1296" s="22" t="s">
        <v>569</v>
      </c>
      <c r="S1296" s="90" t="str">
        <f>IF(Table26[[#This Row],[customerSKU]]="","",_xlfn.XLOOKUP(Table26[[#This Row],[customerSKU]],customerSKU!G:G,customerSKU!N:N,"NOT FOUND",0,1))</f>
        <v>NOT FOUND</v>
      </c>
      <c r="T1296" s="20">
        <v>45723</v>
      </c>
      <c r="U1296" s="94">
        <v>240</v>
      </c>
      <c r="V1296" s="22" t="str">
        <f>IF(ISBLANK(Table26[[#This Row],[customerSKU]]),"",_xlfn.XLOOKUP(Table26[[#This Row],[customerSKU]],Table27[customer_SKU],Table27[case_size],"",0,1))</f>
        <v/>
      </c>
      <c r="W1296" s="117" t="str">
        <f t="shared" si="57"/>
        <v/>
      </c>
      <c r="X1296" s="22" t="str">
        <f t="shared" si="58"/>
        <v/>
      </c>
      <c r="Y1296" s="25" t="str">
        <f>IF(Table26[[#This Row],[customerSKU]]="","",_xlfn.XLOOKUP(Table26[[#This Row],[customerSKU]],Table27[customer_SKU],Table27[product_GTIN],"",0,1))</f>
        <v/>
      </c>
      <c r="Z1296" s="25" t="s">
        <v>3397</v>
      </c>
      <c r="AA1296" s="18" t="str" cm="1">
        <f t="array" ref="AA1296">IF(P1296="", "", _xlfn.XLOOKUP(P1296,#REF!,#REF!,NA,0,-1))</f>
        <v/>
      </c>
      <c r="AB1296" s="22"/>
      <c r="AC1296" s="55" t="str">
        <f>IF(Table26[[#This Row],[customerSKU]]="","",_xlfn.XLOOKUP(Table26[[#This Row],[customerSKU]],customerSKU!G:G,customerSKU!C:C,"",0,1))</f>
        <v/>
      </c>
      <c r="AD1296" s="55" t="str">
        <f>IF($AC1296="","",_xlfn.XLOOKUP($AC1296,'[2]Client Info'!$C$2:$C$2535,'[2]Client Info'!$D$2:$D$2535,"",0,1))</f>
        <v/>
      </c>
      <c r="AE1296" s="55" t="str">
        <f>IF($AC1296="","",_xlfn.XLOOKUP($AC1296,'[2]Client Info'!$C$2:$C$2715,'[2]Client Info'!$E$2:$E$2715,"",))</f>
        <v/>
      </c>
      <c r="AF1296" s="55" t="str">
        <f>IF($AC1296="","",_xlfn.XLOOKUP($AC1296,'[2]Client Info'!$C$2:$C$2715,'[2]Client Info'!$F$2:$F$2715,"",0,1))</f>
        <v/>
      </c>
      <c r="AG1296" s="55" t="str">
        <f>IF(ISBLANK(Table26[[#This Row],[customerSKU]]),"",_xlfn.XLOOKUP(Table26[[#This Row],[customerSKU]],Table27[customer_SKU],Table27[billto],"",0,1))</f>
        <v/>
      </c>
      <c r="AH1296" s="26" t="str">
        <f>_xlfn.XLOOKUP(Table26[[#This Row],[customerSKU]],customerSKU!G:G,customerSKU!K:K,"NA",0,1)</f>
        <v>NA</v>
      </c>
      <c r="AI1296" s="43" t="str">
        <f>_xlfn.XLOOKUP(Table26[[#This Row],[customerSKU]],customerSKU!G:G,customerSKU!O:O,"not found",0,1)</f>
        <v>not found</v>
      </c>
      <c r="AJ1296" s="22" t="e">
        <f>Table26[[#This Row],[unitprice]]*Table26[[#This Row],[quantity_unit]]</f>
        <v>#VALUE!</v>
      </c>
      <c r="AK1296" s="117" t="e" cm="1">
        <f t="array" ref="AK12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297" spans="1:37" ht="18" customHeight="1">
      <c r="A1297" s="42">
        <v>954</v>
      </c>
      <c r="B1297" s="42" t="s">
        <v>3357</v>
      </c>
      <c r="C1297" s="53" t="s">
        <v>203</v>
      </c>
      <c r="E1297" s="20"/>
      <c r="F1297" s="25"/>
      <c r="G1297" s="93"/>
      <c r="I1297" s="19">
        <v>45740</v>
      </c>
      <c r="J1297" s="90" t="str">
        <f>IF(Table26[[#This Row],[customerSKU]]="","",_xlfn.XLOOKUP(Table26[[#This Row],[customerSKU]],customerSKU!G:G,customerSKU!A:A,"",0,1))</f>
        <v/>
      </c>
      <c r="K1297" s="232">
        <v>45740</v>
      </c>
      <c r="L1297" s="49" t="str">
        <f>IF(Table26[[#This Row],[customerSKU]]="","",_xlfn.XLOOKUP(Table26[[#This Row],[customerSKU]],customerSKU!G:G,customerSKU!B:B,"",0,1))</f>
        <v/>
      </c>
      <c r="M1297" s="22"/>
      <c r="N1297" s="15" t="str">
        <f>Table26[[#This Row],[po_number]]&amp;"-"&amp;Table26[[#This Row],[po_line]]</f>
        <v>-1</v>
      </c>
      <c r="O1297" s="15">
        <v>1</v>
      </c>
      <c r="P1297" s="50"/>
      <c r="Q1297" s="22" t="s">
        <v>3398</v>
      </c>
      <c r="R1297" s="22" t="s">
        <v>3302</v>
      </c>
      <c r="S1297" s="90" t="str">
        <f>IF(Table26[[#This Row],[customerSKU]]="","",_xlfn.XLOOKUP(Table26[[#This Row],[customerSKU]],customerSKU!G:G,customerSKU!N:N,"NOT FOUND",0,1))</f>
        <v>NOT FOUND</v>
      </c>
      <c r="T1297" s="20">
        <v>45639</v>
      </c>
      <c r="U1297" s="94">
        <v>36</v>
      </c>
      <c r="V1297" s="22" t="str">
        <f>IF(ISBLANK(Table26[[#This Row],[customerSKU]]),"",_xlfn.XLOOKUP(Table26[[#This Row],[customerSKU]],Table27[customer_SKU],Table27[case_size],"",0,1))</f>
        <v/>
      </c>
      <c r="W1297" s="117" t="str">
        <f t="shared" si="57"/>
        <v/>
      </c>
      <c r="X1297" s="22" t="str">
        <f t="shared" si="58"/>
        <v/>
      </c>
      <c r="Y1297" s="25" t="str">
        <f>IF(Table26[[#This Row],[customerSKU]]="","",_xlfn.XLOOKUP(Table26[[#This Row],[customerSKU]],Table27[customer_SKU],Table27[product_GTIN],"",0,1))</f>
        <v/>
      </c>
      <c r="Z1297" s="25" t="s">
        <v>3399</v>
      </c>
      <c r="AA1297" s="18" t="str" cm="1">
        <f t="array" ref="AA1297">IF(P1297="", "", _xlfn.XLOOKUP(P1297,#REF!,#REF!,NA,0,-1))</f>
        <v/>
      </c>
      <c r="AB1297" s="22"/>
      <c r="AC1297" s="55" t="s">
        <v>3400</v>
      </c>
      <c r="AD1297" s="55" t="str">
        <f>IF($AC1297="","",_xlfn.XLOOKUP($AC1297,'[2]Client Info'!$C$2:$C$2535,'[2]Client Info'!$D$2:$D$2535,"",0,1))</f>
        <v>9031 Quartz Road</v>
      </c>
      <c r="AE1297" s="55" t="str">
        <f>IF($AC1297="","",_xlfn.XLOOKUP($AC1297,'[2]Client Info'!$C$2:$C$2715,'[2]Client Info'!$E$2:$E$2715,"",))</f>
        <v>White Horse</v>
      </c>
      <c r="AF1297" s="55" t="str">
        <f>IF($AC1297="","",_xlfn.XLOOKUP($AC1297,'[2]Client Info'!$C$2:$C$2715,'[2]Client Info'!$F$2:$F$2715,"",0,1))</f>
        <v>YT</v>
      </c>
      <c r="AG1297" s="55" t="str">
        <f>IF(ISBLANK(Table26[[#This Row],[customerSKU]]),"",_xlfn.XLOOKUP(Table26[[#This Row],[customerSKU]],Table27[customer_SKU],Table27[billto],"",0,1))</f>
        <v/>
      </c>
      <c r="AH1297" s="26" t="str">
        <f>_xlfn.XLOOKUP(Table26[[#This Row],[customerSKU]],customerSKU!G:G,customerSKU!K:K,"NA",0,1)</f>
        <v>NA</v>
      </c>
      <c r="AI1297" s="43" t="str">
        <f>_xlfn.XLOOKUP(Table26[[#This Row],[customerSKU]],customerSKU!G:G,customerSKU!O:O,"not found",0,1)</f>
        <v>not found</v>
      </c>
      <c r="AJ1297" s="22" t="e">
        <f>Table26[[#This Row],[unitprice]]*Table26[[#This Row],[quantity_unit]]</f>
        <v>#VALUE!</v>
      </c>
      <c r="AK1297" s="117" t="e" cm="1">
        <f t="array" ref="AK12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298" spans="1:37" ht="18" customHeight="1">
      <c r="A1298" s="42">
        <v>955</v>
      </c>
      <c r="B1298" s="42" t="s">
        <v>3357</v>
      </c>
      <c r="C1298" s="53" t="s">
        <v>203</v>
      </c>
      <c r="E1298" s="20"/>
      <c r="F1298" s="25"/>
      <c r="G1298" s="93"/>
      <c r="I1298" s="19">
        <v>45740</v>
      </c>
      <c r="J1298" s="90" t="str">
        <f>IF(Table26[[#This Row],[customerSKU]]="","",_xlfn.XLOOKUP(Table26[[#This Row],[customerSKU]],customerSKU!G:G,customerSKU!A:A,"",0,1))</f>
        <v/>
      </c>
      <c r="K1298" s="232">
        <v>45740</v>
      </c>
      <c r="L1298" s="49" t="str">
        <f>IF(Table26[[#This Row],[customerSKU]]="","",_xlfn.XLOOKUP(Table26[[#This Row],[customerSKU]],customerSKU!G:G,customerSKU!B:B,"",0,1))</f>
        <v/>
      </c>
      <c r="M1298" s="22"/>
      <c r="N1298" s="15" t="str">
        <f>Table26[[#This Row],[po_number]]&amp;"-"&amp;Table26[[#This Row],[po_line]]</f>
        <v>-2</v>
      </c>
      <c r="O1298" s="15">
        <v>2</v>
      </c>
      <c r="P1298" s="50"/>
      <c r="Q1298" s="22" t="s">
        <v>3401</v>
      </c>
      <c r="R1298" s="22" t="s">
        <v>3302</v>
      </c>
      <c r="S1298" s="90" t="str">
        <f>IF(Table26[[#This Row],[customerSKU]]="","",_xlfn.XLOOKUP(Table26[[#This Row],[customerSKU]],customerSKU!G:G,customerSKU!N:N,"NOT FOUND",0,1))</f>
        <v>NOT FOUND</v>
      </c>
      <c r="T1298" s="20">
        <v>45721</v>
      </c>
      <c r="U1298" s="94">
        <v>24</v>
      </c>
      <c r="V1298" s="22" t="str">
        <f>IF(ISBLANK(Table26[[#This Row],[customerSKU]]),"",_xlfn.XLOOKUP(Table26[[#This Row],[customerSKU]],Table27[customer_SKU],Table27[case_size],"",0,1))</f>
        <v/>
      </c>
      <c r="W1298" s="117" t="str">
        <f t="shared" si="57"/>
        <v/>
      </c>
      <c r="X1298" s="22" t="str">
        <f t="shared" si="58"/>
        <v/>
      </c>
      <c r="Y1298" s="25" t="str">
        <f>IF(Table26[[#This Row],[customerSKU]]="","",_xlfn.XLOOKUP(Table26[[#This Row],[customerSKU]],Table27[customer_SKU],Table27[product_GTIN],"",0,1))</f>
        <v/>
      </c>
      <c r="Z1298" s="25" t="s">
        <v>3399</v>
      </c>
      <c r="AA1298" s="18" t="str" cm="1">
        <f t="array" ref="AA1298">IF(P1298="", "", _xlfn.XLOOKUP(P1298,#REF!,#REF!,NA,0,-1))</f>
        <v/>
      </c>
      <c r="AB1298" s="22"/>
      <c r="AC1298" s="55" t="s">
        <v>3400</v>
      </c>
      <c r="AD1298" s="55" t="str">
        <f>IF($AC1298="","",_xlfn.XLOOKUP($AC1298,'[2]Client Info'!$C$2:$C$2535,'[2]Client Info'!$D$2:$D$2535,"",0,1))</f>
        <v>9031 Quartz Road</v>
      </c>
      <c r="AE1298" s="55" t="str">
        <f>IF($AC1298="","",_xlfn.XLOOKUP($AC1298,'[2]Client Info'!$C$2:$C$2715,'[2]Client Info'!$E$2:$E$2715,"",))</f>
        <v>White Horse</v>
      </c>
      <c r="AF1298" s="55" t="str">
        <f>IF($AC1298="","",_xlfn.XLOOKUP($AC1298,'[2]Client Info'!$C$2:$C$2715,'[2]Client Info'!$F$2:$F$2715,"",0,1))</f>
        <v>YT</v>
      </c>
      <c r="AG1298" s="55" t="str">
        <f>IF(ISBLANK(Table26[[#This Row],[customerSKU]]),"",_xlfn.XLOOKUP(Table26[[#This Row],[customerSKU]],Table27[customer_SKU],Table27[billto],"",0,1))</f>
        <v/>
      </c>
      <c r="AH1298" s="26" t="str">
        <f>_xlfn.XLOOKUP(Table26[[#This Row],[customerSKU]],customerSKU!G:G,customerSKU!K:K,"NA",0,1)</f>
        <v>NA</v>
      </c>
      <c r="AI1298" s="43" t="str">
        <f>_xlfn.XLOOKUP(Table26[[#This Row],[customerSKU]],customerSKU!G:G,customerSKU!O:O,"not found",0,1)</f>
        <v>not found</v>
      </c>
      <c r="AJ1298" s="22" t="e">
        <f>Table26[[#This Row],[unitprice]]*Table26[[#This Row],[quantity_unit]]</f>
        <v>#VALUE!</v>
      </c>
      <c r="AK1298" s="117" t="e" cm="1">
        <f t="array" ref="AK12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299" spans="1:37" ht="18" customHeight="1">
      <c r="A1299" s="42">
        <v>951</v>
      </c>
      <c r="B1299" s="42" t="s">
        <v>3357</v>
      </c>
      <c r="C1299" s="53" t="s">
        <v>203</v>
      </c>
      <c r="E1299" s="20"/>
      <c r="F1299" s="25"/>
      <c r="G1299" s="93"/>
      <c r="I1299" s="19">
        <v>45735</v>
      </c>
      <c r="J1299" s="90" t="str">
        <f>IF(Table26[[#This Row],[customerSKU]]="","",_xlfn.XLOOKUP(Table26[[#This Row],[customerSKU]],customerSKU!G:G,customerSKU!A:A,"",0,1))</f>
        <v/>
      </c>
      <c r="K1299" s="232">
        <v>45741</v>
      </c>
      <c r="L1299" s="49" t="str">
        <f>IF(Table26[[#This Row],[customerSKU]]="","",_xlfn.XLOOKUP(Table26[[#This Row],[customerSKU]],customerSKU!G:G,customerSKU!B:B,"",0,1))</f>
        <v/>
      </c>
      <c r="M1299" s="22"/>
      <c r="N1299" s="15" t="str">
        <f>Table26[[#This Row],[po_number]]&amp;"-"&amp;Table26[[#This Row],[po_line]]</f>
        <v>-1</v>
      </c>
      <c r="O1299" s="15">
        <v>1</v>
      </c>
      <c r="P1299" s="50"/>
      <c r="Q1299" s="22" t="s">
        <v>3284</v>
      </c>
      <c r="R1299" s="22" t="s">
        <v>532</v>
      </c>
      <c r="S1299" s="90" t="str">
        <f>IF(Table26[[#This Row],[customerSKU]]="","",_xlfn.XLOOKUP(Table26[[#This Row],[customerSKU]],customerSKU!G:G,customerSKU!N:N,"NOT FOUND",0,1))</f>
        <v>NOT FOUND</v>
      </c>
      <c r="T1299" s="20">
        <v>45736</v>
      </c>
      <c r="U1299" s="94">
        <v>120</v>
      </c>
      <c r="V1299" s="22" t="str">
        <f>IF(ISBLANK(Table26[[#This Row],[customerSKU]]),"",_xlfn.XLOOKUP(Table26[[#This Row],[customerSKU]],Table27[customer_SKU],Table27[case_size],"",0,1))</f>
        <v/>
      </c>
      <c r="W1299" s="117" t="str">
        <f t="shared" si="57"/>
        <v/>
      </c>
      <c r="X1299" s="22" t="str">
        <f t="shared" si="58"/>
        <v/>
      </c>
      <c r="Y1299" s="25" t="str">
        <f>IF(Table26[[#This Row],[customerSKU]]="","",_xlfn.XLOOKUP(Table26[[#This Row],[customerSKU]],Table27[customer_SKU],Table27[product_GTIN],"",0,1))</f>
        <v/>
      </c>
      <c r="Z1299" s="25" t="s">
        <v>3382</v>
      </c>
      <c r="AA1299" s="18" t="str" cm="1">
        <f t="array" ref="AA1299">IF(P1299="", "", _xlfn.XLOOKUP(P1299,#REF!,#REF!,NA,0,-1))</f>
        <v/>
      </c>
      <c r="AB1299" s="22"/>
      <c r="AC1299" s="55" t="str">
        <f>IF(Table26[[#This Row],[customerSKU]]="","",_xlfn.XLOOKUP(Table26[[#This Row],[customerSKU]],customerSKU!G:G,customerSKU!C:C,"",0,1))</f>
        <v/>
      </c>
      <c r="AD1299" s="55" t="str">
        <f>IF($AC1299="","",_xlfn.XLOOKUP($AC1299,'[2]Client Info'!$C$2:$C$2535,'[2]Client Info'!$D$2:$D$2535,"",0,1))</f>
        <v/>
      </c>
      <c r="AE1299" s="55" t="str">
        <f>IF($AC1299="","",_xlfn.XLOOKUP($AC1299,'[2]Client Info'!$C$2:$C$2715,'[2]Client Info'!$E$2:$E$2715,"",))</f>
        <v/>
      </c>
      <c r="AF1299" s="55" t="str">
        <f>IF($AC1299="","",_xlfn.XLOOKUP($AC1299,'[2]Client Info'!$C$2:$C$2715,'[2]Client Info'!$F$2:$F$2715,"",0,1))</f>
        <v/>
      </c>
      <c r="AG1299" s="55" t="str">
        <f>IF(ISBLANK(Table26[[#This Row],[customerSKU]]),"",_xlfn.XLOOKUP(Table26[[#This Row],[customerSKU]],Table27[customer_SKU],Table27[billto],"",0,1))</f>
        <v/>
      </c>
      <c r="AH1299" s="26" t="str">
        <f>_xlfn.XLOOKUP(Table26[[#This Row],[customerSKU]],customerSKU!G:G,customerSKU!K:K,"NA",0,1)</f>
        <v>NA</v>
      </c>
      <c r="AI1299" s="43" t="str">
        <f>_xlfn.XLOOKUP(Table26[[#This Row],[customerSKU]],customerSKU!G:G,customerSKU!O:O,"not found",0,1)</f>
        <v>not found</v>
      </c>
      <c r="AJ1299" s="22" t="e">
        <f>Table26[[#This Row],[unitprice]]*Table26[[#This Row],[quantity_unit]]</f>
        <v>#VALUE!</v>
      </c>
      <c r="AK1299" s="117" t="e" cm="1">
        <f t="array" ref="AK12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0" spans="1:37" ht="18" customHeight="1">
      <c r="A1300" s="42">
        <v>952</v>
      </c>
      <c r="B1300" s="42" t="s">
        <v>3357</v>
      </c>
      <c r="C1300" s="53" t="s">
        <v>203</v>
      </c>
      <c r="E1300" s="20"/>
      <c r="F1300" s="25"/>
      <c r="G1300" s="93"/>
      <c r="I1300" s="19">
        <v>45741</v>
      </c>
      <c r="J1300" s="90" t="str">
        <f>IF(Table26[[#This Row],[customerSKU]]="","",_xlfn.XLOOKUP(Table26[[#This Row],[customerSKU]],customerSKU!G:G,customerSKU!A:A,"",0,1))</f>
        <v/>
      </c>
      <c r="K1300" s="232">
        <v>45741</v>
      </c>
      <c r="L1300" s="49" t="str">
        <f>IF(Table26[[#This Row],[customerSKU]]="","",_xlfn.XLOOKUP(Table26[[#This Row],[customerSKU]],customerSKU!G:G,customerSKU!B:B,"",0,1))</f>
        <v/>
      </c>
      <c r="M1300" s="22"/>
      <c r="N1300" s="15" t="str">
        <f>Table26[[#This Row],[po_number]]&amp;"-"&amp;Table26[[#This Row],[po_line]]</f>
        <v>-1</v>
      </c>
      <c r="O1300" s="15">
        <v>1</v>
      </c>
      <c r="P1300" s="50"/>
      <c r="Q1300" s="22" t="s">
        <v>574</v>
      </c>
      <c r="R1300" s="22" t="s">
        <v>569</v>
      </c>
      <c r="S1300" s="90" t="str">
        <f>IF(Table26[[#This Row],[customerSKU]]="","",_xlfn.XLOOKUP(Table26[[#This Row],[customerSKU]],customerSKU!G:G,customerSKU!N:N,"NOT FOUND",0,1))</f>
        <v>NOT FOUND</v>
      </c>
      <c r="T1300" s="20">
        <v>45728</v>
      </c>
      <c r="U1300" s="94">
        <v>36</v>
      </c>
      <c r="V1300" s="22" t="str">
        <f>IF(ISBLANK(Table26[[#This Row],[customerSKU]]),"",_xlfn.XLOOKUP(Table26[[#This Row],[customerSKU]],Table27[customer_SKU],Table27[case_size],"",0,1))</f>
        <v/>
      </c>
      <c r="W1300" s="117" t="str">
        <f t="shared" si="57"/>
        <v/>
      </c>
      <c r="X1300" s="22" t="str">
        <f t="shared" si="58"/>
        <v/>
      </c>
      <c r="Y1300" s="25" t="str">
        <f>IF(Table26[[#This Row],[customerSKU]]="","",_xlfn.XLOOKUP(Table26[[#This Row],[customerSKU]],Table27[customer_SKU],Table27[product_GTIN],"",0,1))</f>
        <v/>
      </c>
      <c r="Z1300" s="25" t="s">
        <v>3366</v>
      </c>
      <c r="AA1300" s="18" t="str" cm="1">
        <f t="array" ref="AA1300">IF(P1300="", "", _xlfn.XLOOKUP(P1300,#REF!,#REF!,NA,0,-1))</f>
        <v/>
      </c>
      <c r="AB1300" s="22"/>
      <c r="AC1300" s="55" t="s">
        <v>167</v>
      </c>
      <c r="AD1300" s="55" t="str">
        <f>IF($AC1300="","",_xlfn.XLOOKUP($AC1300,'[2]Client Info'!$C$2:$C$2535,'[2]Client Info'!$D$2:$D$2535,"",0,1))</f>
        <v>726 Kingsway</v>
      </c>
      <c r="AE1300" s="55" t="str">
        <f>IF($AC1300="","",_xlfn.XLOOKUP($AC1300,'[2]Client Info'!$C$2:$C$2715,'[2]Client Info'!$E$2:$E$2715,"",))</f>
        <v>Vancouver</v>
      </c>
      <c r="AF1300" s="55" t="str">
        <f>IF($AC1300="","",_xlfn.XLOOKUP($AC1300,'[2]Client Info'!$C$2:$C$2715,'[2]Client Info'!$F$2:$F$2715,"",0,1))</f>
        <v xml:space="preserve">BC </v>
      </c>
      <c r="AG1300" s="55" t="s">
        <v>167</v>
      </c>
      <c r="AH1300" s="26" t="str">
        <f>_xlfn.XLOOKUP(Table26[[#This Row],[customerSKU]],customerSKU!G:G,customerSKU!K:K,"NA",0,1)</f>
        <v>NA</v>
      </c>
      <c r="AI1300" s="43" t="str">
        <f>_xlfn.XLOOKUP(Table26[[#This Row],[customerSKU]],customerSKU!G:G,customerSKU!O:O,"not found",0,1)</f>
        <v>not found</v>
      </c>
      <c r="AJ1300" s="22" t="e">
        <f>Table26[[#This Row],[unitprice]]*Table26[[#This Row],[quantity_unit]]</f>
        <v>#VALUE!</v>
      </c>
      <c r="AK1300" s="117" t="e" cm="1">
        <f t="array" ref="AK13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1" spans="1:37" ht="18" customHeight="1">
      <c r="A1301" s="42">
        <v>934</v>
      </c>
      <c r="B1301" s="42" t="s">
        <v>3357</v>
      </c>
      <c r="C1301" s="53" t="s">
        <v>203</v>
      </c>
      <c r="E1301" s="20"/>
      <c r="F1301" s="25"/>
      <c r="G1301" s="93"/>
      <c r="I1301" s="19">
        <v>45742</v>
      </c>
      <c r="J1301" s="90" t="str">
        <f>IF(Table26[[#This Row],[customerSKU]]="","",_xlfn.XLOOKUP(Table26[[#This Row],[customerSKU]],customerSKU!G:G,customerSKU!A:A,"",0,1))</f>
        <v/>
      </c>
      <c r="K1301" s="232">
        <v>45742</v>
      </c>
      <c r="L1301" s="49" t="str">
        <f>IF(Table26[[#This Row],[customerSKU]]="","",_xlfn.XLOOKUP(Table26[[#This Row],[customerSKU]],customerSKU!G:G,customerSKU!B:B,"",0,1))</f>
        <v/>
      </c>
      <c r="M1301" s="22"/>
      <c r="N1301" s="15" t="str">
        <f>Table26[[#This Row],[po_number]]&amp;"-"&amp;Table26[[#This Row],[po_line]]</f>
        <v>-1</v>
      </c>
      <c r="O1301" s="15">
        <v>1</v>
      </c>
      <c r="P1301" s="50"/>
      <c r="Q1301" s="22" t="s">
        <v>587</v>
      </c>
      <c r="R1301" s="22" t="s">
        <v>569</v>
      </c>
      <c r="S1301" s="90" t="s">
        <v>114</v>
      </c>
      <c r="T1301" s="20">
        <v>45728</v>
      </c>
      <c r="U1301" s="94">
        <v>24</v>
      </c>
      <c r="V1301" s="22" t="str">
        <f>IF(ISBLANK(Table26[[#This Row],[customerSKU]]),"",_xlfn.XLOOKUP(Table26[[#This Row],[customerSKU]],Table27[customer_SKU],Table27[case_size],"",0,1))</f>
        <v/>
      </c>
      <c r="W1301" s="117" t="str">
        <f t="shared" si="57"/>
        <v/>
      </c>
      <c r="X1301" s="22" t="str">
        <f t="shared" si="58"/>
        <v/>
      </c>
      <c r="Y1301" s="25" t="str">
        <f>IF(Table26[[#This Row],[customerSKU]]="","",_xlfn.XLOOKUP(Table26[[#This Row],[customerSKU]],Table27[customer_SKU],Table27[product_GTIN],"",0,1))</f>
        <v/>
      </c>
      <c r="Z1301" s="25" t="s">
        <v>3403</v>
      </c>
      <c r="AA1301" s="18" t="str" cm="1">
        <f t="array" ref="AA1301">IF(P1301="", "", _xlfn.XLOOKUP(P1301,#REF!,#REF!,NA,0,-1))</f>
        <v/>
      </c>
      <c r="AB1301" s="22"/>
      <c r="AC1301" s="55" t="s">
        <v>3404</v>
      </c>
      <c r="AD1301" s="55" t="str">
        <f>IF($AC1301="","",_xlfn.XLOOKUP($AC1301,'[2]Client Info'!$C$2:$C$2535,'[2]Client Info'!$D$2:$D$2535,"",0,1))</f>
        <v>2223 COMMERCIAL DR</v>
      </c>
      <c r="AE1301" s="55" t="str">
        <f>IF($AC1301="","",_xlfn.XLOOKUP($AC1301,'[2]Client Info'!$C$2:$C$2715,'[2]Client Info'!$E$2:$E$2715,"",))</f>
        <v>VANCOUVER</v>
      </c>
      <c r="AF1301" s="55" t="str">
        <f>IF($AC1301="","",_xlfn.XLOOKUP($AC1301,'[2]Client Info'!$C$2:$C$2715,'[2]Client Info'!$F$2:$F$2715,"",0,1))</f>
        <v>BC</v>
      </c>
      <c r="AG1301" s="55" t="s">
        <v>3404</v>
      </c>
      <c r="AH1301" s="26" t="str">
        <f>_xlfn.XLOOKUP(Table26[[#This Row],[customerSKU]],customerSKU!G:G,customerSKU!K:K,"NA",0,1)</f>
        <v>NA</v>
      </c>
      <c r="AI1301" s="43" t="str">
        <f>_xlfn.XLOOKUP(Table26[[#This Row],[customerSKU]],customerSKU!G:G,customerSKU!O:O,"not found",0,1)</f>
        <v>not found</v>
      </c>
      <c r="AJ1301" s="22" t="e">
        <f>Table26[[#This Row],[unitprice]]*Table26[[#This Row],[quantity_unit]]</f>
        <v>#VALUE!</v>
      </c>
      <c r="AK1301" s="117" t="e" cm="1">
        <f t="array" ref="AK13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2" spans="1:37" ht="18" customHeight="1">
      <c r="A1302" s="42">
        <v>935</v>
      </c>
      <c r="B1302" s="42" t="s">
        <v>3357</v>
      </c>
      <c r="C1302" s="53" t="s">
        <v>203</v>
      </c>
      <c r="E1302" s="20"/>
      <c r="F1302" s="25"/>
      <c r="G1302" s="93"/>
      <c r="I1302" s="19">
        <v>45742</v>
      </c>
      <c r="J1302" s="90" t="str">
        <f>IF(Table26[[#This Row],[customerSKU]]="","",_xlfn.XLOOKUP(Table26[[#This Row],[customerSKU]],customerSKU!G:G,customerSKU!A:A,"",0,1))</f>
        <v/>
      </c>
      <c r="K1302" s="232">
        <v>45742</v>
      </c>
      <c r="L1302" s="49" t="str">
        <f>IF(Table26[[#This Row],[customerSKU]]="","",_xlfn.XLOOKUP(Table26[[#This Row],[customerSKU]],customerSKU!G:G,customerSKU!B:B,"",0,1))</f>
        <v/>
      </c>
      <c r="M1302" s="22"/>
      <c r="N1302" s="15" t="str">
        <f>Table26[[#This Row],[po_number]]&amp;"-"&amp;Table26[[#This Row],[po_line]]</f>
        <v>-2</v>
      </c>
      <c r="O1302" s="15">
        <v>2</v>
      </c>
      <c r="P1302" s="50"/>
      <c r="Q1302" s="22" t="s">
        <v>869</v>
      </c>
      <c r="R1302" s="22" t="s">
        <v>569</v>
      </c>
      <c r="S1302" s="90" t="s">
        <v>114</v>
      </c>
      <c r="T1302" s="20">
        <v>45728</v>
      </c>
      <c r="U1302" s="94">
        <v>6</v>
      </c>
      <c r="V1302" s="22" t="str">
        <f>IF(ISBLANK(Table26[[#This Row],[customerSKU]]),"",_xlfn.XLOOKUP(Table26[[#This Row],[customerSKU]],Table27[customer_SKU],Table27[case_size],"",0,1))</f>
        <v/>
      </c>
      <c r="W1302" s="117" t="str">
        <f t="shared" si="57"/>
        <v/>
      </c>
      <c r="X1302" s="22" t="str">
        <f t="shared" si="58"/>
        <v/>
      </c>
      <c r="Y1302" s="25" t="str">
        <f>IF(Table26[[#This Row],[customerSKU]]="","",_xlfn.XLOOKUP(Table26[[#This Row],[customerSKU]],Table27[customer_SKU],Table27[product_GTIN],"",0,1))</f>
        <v/>
      </c>
      <c r="Z1302" s="25" t="s">
        <v>3376</v>
      </c>
      <c r="AA1302" s="18" t="str" cm="1">
        <f t="array" ref="AA1302">IF(P1302="", "", _xlfn.XLOOKUP(P1302,#REF!,#REF!,NA,0,-1))</f>
        <v/>
      </c>
      <c r="AB1302" s="22"/>
      <c r="AC1302" s="55" t="s">
        <v>3404</v>
      </c>
      <c r="AD1302" s="55" t="str">
        <f>IF($AC1302="","",_xlfn.XLOOKUP($AC1302,'[2]Client Info'!$C$2:$C$2535,'[2]Client Info'!$D$2:$D$2535,"",0,1))</f>
        <v>2223 COMMERCIAL DR</v>
      </c>
      <c r="AE1302" s="55" t="str">
        <f>IF($AC1302="","",_xlfn.XLOOKUP($AC1302,'[2]Client Info'!$C$2:$C$2715,'[2]Client Info'!$E$2:$E$2715,"",))</f>
        <v>VANCOUVER</v>
      </c>
      <c r="AF1302" s="55" t="str">
        <f>IF($AC1302="","",_xlfn.XLOOKUP($AC1302,'[2]Client Info'!$C$2:$C$2715,'[2]Client Info'!$F$2:$F$2715,"",0,1))</f>
        <v>BC</v>
      </c>
      <c r="AG1302" s="55" t="s">
        <v>3404</v>
      </c>
      <c r="AH1302" s="26" t="str">
        <f>_xlfn.XLOOKUP(Table26[[#This Row],[customerSKU]],customerSKU!G:G,customerSKU!K:K,"NA",0,1)</f>
        <v>NA</v>
      </c>
      <c r="AI1302" s="43" t="str">
        <f>_xlfn.XLOOKUP(Table26[[#This Row],[customerSKU]],customerSKU!G:G,customerSKU!O:O,"not found",0,1)</f>
        <v>not found</v>
      </c>
      <c r="AJ1302" s="22" t="e">
        <f>Table26[[#This Row],[unitprice]]*Table26[[#This Row],[quantity_unit]]</f>
        <v>#VALUE!</v>
      </c>
      <c r="AK1302" s="117" t="e" cm="1">
        <f t="array" ref="AK13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3" spans="1:37" ht="18" customHeight="1">
      <c r="A1303" s="42">
        <v>936</v>
      </c>
      <c r="B1303" s="42" t="s">
        <v>3357</v>
      </c>
      <c r="C1303" s="53" t="s">
        <v>203</v>
      </c>
      <c r="E1303" s="20"/>
      <c r="F1303" s="25"/>
      <c r="G1303" s="93"/>
      <c r="I1303" s="19">
        <v>45742</v>
      </c>
      <c r="J1303" s="90" t="str">
        <f>IF(Table26[[#This Row],[customerSKU]]="","",_xlfn.XLOOKUP(Table26[[#This Row],[customerSKU]],customerSKU!G:G,customerSKU!A:A,"",0,1))</f>
        <v/>
      </c>
      <c r="K1303" s="232">
        <v>45742</v>
      </c>
      <c r="L1303" s="49" t="str">
        <f>IF(Table26[[#This Row],[customerSKU]]="","",_xlfn.XLOOKUP(Table26[[#This Row],[customerSKU]],customerSKU!G:G,customerSKU!B:B,"",0,1))</f>
        <v/>
      </c>
      <c r="M1303" s="22"/>
      <c r="N1303" s="15" t="str">
        <f>Table26[[#This Row],[po_number]]&amp;"-"&amp;Table26[[#This Row],[po_line]]</f>
        <v>-3</v>
      </c>
      <c r="O1303" s="15">
        <v>3</v>
      </c>
      <c r="P1303" s="50"/>
      <c r="Q1303" s="22" t="s">
        <v>869</v>
      </c>
      <c r="R1303" s="22" t="s">
        <v>569</v>
      </c>
      <c r="S1303" s="90" t="s">
        <v>114</v>
      </c>
      <c r="T1303" s="20">
        <v>45742</v>
      </c>
      <c r="U1303" s="94">
        <v>18</v>
      </c>
      <c r="V1303" s="22" t="str">
        <f>IF(ISBLANK(Table26[[#This Row],[customerSKU]]),"",_xlfn.XLOOKUP(Table26[[#This Row],[customerSKU]],Table27[customer_SKU],Table27[case_size],"",0,1))</f>
        <v/>
      </c>
      <c r="W1303" s="117" t="str">
        <f t="shared" si="57"/>
        <v/>
      </c>
      <c r="X1303" s="22" t="str">
        <f t="shared" si="58"/>
        <v/>
      </c>
      <c r="Y1303" s="25" t="str">
        <f>IF(Table26[[#This Row],[customerSKU]]="","",_xlfn.XLOOKUP(Table26[[#This Row],[customerSKU]],Table27[customer_SKU],Table27[product_GTIN],"",0,1))</f>
        <v/>
      </c>
      <c r="Z1303" s="25" t="s">
        <v>3376</v>
      </c>
      <c r="AA1303" s="18" t="str" cm="1">
        <f t="array" ref="AA1303">IF(P1303="", "", _xlfn.XLOOKUP(P1303,#REF!,#REF!,NA,0,-1))</f>
        <v/>
      </c>
      <c r="AB1303" s="22"/>
      <c r="AC1303" s="55" t="s">
        <v>3404</v>
      </c>
      <c r="AD1303" s="55" t="str">
        <f>IF($AC1303="","",_xlfn.XLOOKUP($AC1303,'[2]Client Info'!$C$2:$C$2535,'[2]Client Info'!$D$2:$D$2535,"",0,1))</f>
        <v>2223 COMMERCIAL DR</v>
      </c>
      <c r="AE1303" s="55" t="str">
        <f>IF($AC1303="","",_xlfn.XLOOKUP($AC1303,'[2]Client Info'!$C$2:$C$2715,'[2]Client Info'!$E$2:$E$2715,"",))</f>
        <v>VANCOUVER</v>
      </c>
      <c r="AF1303" s="55" t="str">
        <f>IF($AC1303="","",_xlfn.XLOOKUP($AC1303,'[2]Client Info'!$C$2:$C$2715,'[2]Client Info'!$F$2:$F$2715,"",0,1))</f>
        <v>BC</v>
      </c>
      <c r="AG1303" s="55" t="s">
        <v>3404</v>
      </c>
      <c r="AH1303" s="26" t="str">
        <f>_xlfn.XLOOKUP(Table26[[#This Row],[customerSKU]],customerSKU!G:G,customerSKU!K:K,"NA",0,1)</f>
        <v>NA</v>
      </c>
      <c r="AI1303" s="43" t="str">
        <f>_xlfn.XLOOKUP(Table26[[#This Row],[customerSKU]],customerSKU!G:G,customerSKU!O:O,"not found",0,1)</f>
        <v>not found</v>
      </c>
      <c r="AJ1303" s="22" t="e">
        <f>Table26[[#This Row],[unitprice]]*Table26[[#This Row],[quantity_unit]]</f>
        <v>#VALUE!</v>
      </c>
      <c r="AK1303" s="117" t="e" cm="1">
        <f t="array" ref="AK130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4" spans="1:37" ht="18" customHeight="1">
      <c r="A1304" s="42">
        <v>937</v>
      </c>
      <c r="B1304" s="42" t="s">
        <v>3357</v>
      </c>
      <c r="C1304" s="53" t="s">
        <v>203</v>
      </c>
      <c r="E1304" s="20"/>
      <c r="F1304" s="25"/>
      <c r="G1304" s="93"/>
      <c r="I1304" s="19">
        <v>45742</v>
      </c>
      <c r="J1304" s="90" t="str">
        <f>IF(Table26[[#This Row],[customerSKU]]="","",_xlfn.XLOOKUP(Table26[[#This Row],[customerSKU]],customerSKU!G:G,customerSKU!A:A,"",0,1))</f>
        <v/>
      </c>
      <c r="K1304" s="232">
        <v>45742</v>
      </c>
      <c r="L1304" s="49" t="str">
        <f>IF(Table26[[#This Row],[customerSKU]]="","",_xlfn.XLOOKUP(Table26[[#This Row],[customerSKU]],customerSKU!G:G,customerSKU!B:B,"",0,1))</f>
        <v/>
      </c>
      <c r="M1304" s="22"/>
      <c r="N1304" s="15" t="str">
        <f>Table26[[#This Row],[po_number]]&amp;"-"&amp;Table26[[#This Row],[po_line]]</f>
        <v>-4</v>
      </c>
      <c r="O1304" s="15">
        <v>4</v>
      </c>
      <c r="P1304" s="50"/>
      <c r="Q1304" s="22" t="s">
        <v>565</v>
      </c>
      <c r="R1304" s="22" t="s">
        <v>569</v>
      </c>
      <c r="S1304" s="90" t="s">
        <v>114</v>
      </c>
      <c r="T1304" s="20">
        <v>45707</v>
      </c>
      <c r="U1304" s="94">
        <v>12</v>
      </c>
      <c r="V1304" s="22" t="str">
        <f>IF(ISBLANK(Table26[[#This Row],[customerSKU]]),"",_xlfn.XLOOKUP(Table26[[#This Row],[customerSKU]],Table27[customer_SKU],Table27[case_size],"",0,1))</f>
        <v/>
      </c>
      <c r="W1304" s="117" t="str">
        <f t="shared" si="57"/>
        <v/>
      </c>
      <c r="X1304" s="22" t="str">
        <f t="shared" si="58"/>
        <v/>
      </c>
      <c r="Y1304" s="25" t="str">
        <f>IF(Table26[[#This Row],[customerSKU]]="","",_xlfn.XLOOKUP(Table26[[#This Row],[customerSKU]],Table27[customer_SKU],Table27[product_GTIN],"",0,1))</f>
        <v/>
      </c>
      <c r="Z1304" s="25" t="s">
        <v>3373</v>
      </c>
      <c r="AA1304" s="18" t="str" cm="1">
        <f t="array" ref="AA1304">IF(P1304="", "", _xlfn.XLOOKUP(P1304,#REF!,#REF!,NA,0,-1))</f>
        <v/>
      </c>
      <c r="AB1304" s="22"/>
      <c r="AC1304" s="55" t="s">
        <v>3404</v>
      </c>
      <c r="AD1304" s="55" t="str">
        <f>IF($AC1304="","",_xlfn.XLOOKUP($AC1304,'[2]Client Info'!$C$2:$C$2535,'[2]Client Info'!$D$2:$D$2535,"",0,1))</f>
        <v>2223 COMMERCIAL DR</v>
      </c>
      <c r="AE1304" s="55" t="str">
        <f>IF($AC1304="","",_xlfn.XLOOKUP($AC1304,'[2]Client Info'!$C$2:$C$2715,'[2]Client Info'!$E$2:$E$2715,"",))</f>
        <v>VANCOUVER</v>
      </c>
      <c r="AF1304" s="55" t="str">
        <f>IF($AC1304="","",_xlfn.XLOOKUP($AC1304,'[2]Client Info'!$C$2:$C$2715,'[2]Client Info'!$F$2:$F$2715,"",0,1))</f>
        <v>BC</v>
      </c>
      <c r="AG1304" s="55" t="s">
        <v>3404</v>
      </c>
      <c r="AH1304" s="26" t="str">
        <f>_xlfn.XLOOKUP(Table26[[#This Row],[customerSKU]],customerSKU!G:G,customerSKU!K:K,"NA",0,1)</f>
        <v>NA</v>
      </c>
      <c r="AI1304" s="43" t="str">
        <f>_xlfn.XLOOKUP(Table26[[#This Row],[customerSKU]],customerSKU!G:G,customerSKU!O:O,"not found",0,1)</f>
        <v>not found</v>
      </c>
      <c r="AJ1304" s="22" t="e">
        <f>Table26[[#This Row],[unitprice]]*Table26[[#This Row],[quantity_unit]]</f>
        <v>#VALUE!</v>
      </c>
      <c r="AK1304" s="117" t="e" cm="1">
        <f t="array" ref="AK130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5" spans="1:37" ht="18" customHeight="1">
      <c r="A1305" s="42">
        <v>938</v>
      </c>
      <c r="B1305" s="42" t="s">
        <v>3357</v>
      </c>
      <c r="C1305" s="53" t="s">
        <v>203</v>
      </c>
      <c r="E1305" s="20"/>
      <c r="F1305" s="25"/>
      <c r="G1305" s="93"/>
      <c r="I1305" s="19">
        <v>45742</v>
      </c>
      <c r="J1305" s="90" t="str">
        <f>IF(Table26[[#This Row],[customerSKU]]="","",_xlfn.XLOOKUP(Table26[[#This Row],[customerSKU]],customerSKU!G:G,customerSKU!A:A,"",0,1))</f>
        <v/>
      </c>
      <c r="K1305" s="232">
        <v>45742</v>
      </c>
      <c r="L1305" s="49" t="str">
        <f>IF(Table26[[#This Row],[customerSKU]]="","",_xlfn.XLOOKUP(Table26[[#This Row],[customerSKU]],customerSKU!G:G,customerSKU!B:B,"",0,1))</f>
        <v/>
      </c>
      <c r="M1305" s="22"/>
      <c r="N1305" s="15" t="str">
        <f>Table26[[#This Row],[po_number]]&amp;"-"&amp;Table26[[#This Row],[po_line]]</f>
        <v>-5</v>
      </c>
      <c r="O1305" s="15">
        <v>5</v>
      </c>
      <c r="P1305" s="50"/>
      <c r="Q1305" s="22" t="s">
        <v>1591</v>
      </c>
      <c r="R1305" s="22" t="s">
        <v>569</v>
      </c>
      <c r="S1305" s="90" t="s">
        <v>114</v>
      </c>
      <c r="T1305" s="20">
        <v>45742</v>
      </c>
      <c r="U1305" s="94">
        <v>12</v>
      </c>
      <c r="V1305" s="22" t="str">
        <f>IF(ISBLANK(Table26[[#This Row],[customerSKU]]),"",_xlfn.XLOOKUP(Table26[[#This Row],[customerSKU]],Table27[customer_SKU],Table27[case_size],"",0,1))</f>
        <v/>
      </c>
      <c r="W1305" s="117" t="str">
        <f t="shared" si="57"/>
        <v/>
      </c>
      <c r="X1305" s="22" t="str">
        <f t="shared" si="58"/>
        <v/>
      </c>
      <c r="Y1305" s="25" t="str">
        <f>IF(Table26[[#This Row],[customerSKU]]="","",_xlfn.XLOOKUP(Table26[[#This Row],[customerSKU]],Table27[customer_SKU],Table27[product_GTIN],"",0,1))</f>
        <v/>
      </c>
      <c r="Z1305" s="25" t="s">
        <v>3372</v>
      </c>
      <c r="AA1305" s="18" t="str" cm="1">
        <f t="array" ref="AA1305">IF(P1305="", "", _xlfn.XLOOKUP(P1305,#REF!,#REF!,NA,0,-1))</f>
        <v/>
      </c>
      <c r="AB1305" s="22"/>
      <c r="AC1305" s="55" t="s">
        <v>3404</v>
      </c>
      <c r="AD1305" s="55" t="str">
        <f>IF($AC1305="","",_xlfn.XLOOKUP($AC1305,'[2]Client Info'!$C$2:$C$2535,'[2]Client Info'!$D$2:$D$2535,"",0,1))</f>
        <v>2223 COMMERCIAL DR</v>
      </c>
      <c r="AE1305" s="55" t="str">
        <f>IF($AC1305="","",_xlfn.XLOOKUP($AC1305,'[2]Client Info'!$C$2:$C$2715,'[2]Client Info'!$E$2:$E$2715,"",))</f>
        <v>VANCOUVER</v>
      </c>
      <c r="AF1305" s="55" t="str">
        <f>IF($AC1305="","",_xlfn.XLOOKUP($AC1305,'[2]Client Info'!$C$2:$C$2715,'[2]Client Info'!$F$2:$F$2715,"",0,1))</f>
        <v>BC</v>
      </c>
      <c r="AG1305" s="55" t="s">
        <v>3404</v>
      </c>
      <c r="AH1305" s="26" t="str">
        <f>_xlfn.XLOOKUP(Table26[[#This Row],[customerSKU]],customerSKU!G:G,customerSKU!K:K,"NA",0,1)</f>
        <v>NA</v>
      </c>
      <c r="AI1305" s="43" t="str">
        <f>_xlfn.XLOOKUP(Table26[[#This Row],[customerSKU]],customerSKU!G:G,customerSKU!O:O,"not found",0,1)</f>
        <v>not found</v>
      </c>
      <c r="AJ1305" s="22" t="e">
        <f>Table26[[#This Row],[unitprice]]*Table26[[#This Row],[quantity_unit]]</f>
        <v>#VALUE!</v>
      </c>
      <c r="AK1305" s="117" t="e" cm="1">
        <f t="array" ref="AK130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6" spans="1:37" ht="18" customHeight="1">
      <c r="A1306" s="42">
        <v>939</v>
      </c>
      <c r="B1306" s="42" t="s">
        <v>3357</v>
      </c>
      <c r="C1306" s="53" t="s">
        <v>203</v>
      </c>
      <c r="E1306" s="20"/>
      <c r="F1306" s="25"/>
      <c r="G1306" s="93"/>
      <c r="I1306" s="19">
        <v>45742</v>
      </c>
      <c r="J1306" s="90" t="str">
        <f>IF(Table26[[#This Row],[customerSKU]]="","",_xlfn.XLOOKUP(Table26[[#This Row],[customerSKU]],customerSKU!G:G,customerSKU!A:A,"",0,1))</f>
        <v/>
      </c>
      <c r="K1306" s="232">
        <v>45742</v>
      </c>
      <c r="L1306" s="49" t="str">
        <f>IF(Table26[[#This Row],[customerSKU]]="","",_xlfn.XLOOKUP(Table26[[#This Row],[customerSKU]],customerSKU!G:G,customerSKU!B:B,"",0,1))</f>
        <v/>
      </c>
      <c r="M1306" s="22"/>
      <c r="N1306" s="15" t="str">
        <f>Table26[[#This Row],[po_number]]&amp;"-"&amp;Table26[[#This Row],[po_line]]</f>
        <v>-6</v>
      </c>
      <c r="O1306" s="15">
        <v>6</v>
      </c>
      <c r="P1306" s="50"/>
      <c r="Q1306" s="22" t="s">
        <v>3405</v>
      </c>
      <c r="R1306" s="22" t="s">
        <v>569</v>
      </c>
      <c r="S1306" s="90" t="s">
        <v>114</v>
      </c>
      <c r="T1306" s="20">
        <v>45623</v>
      </c>
      <c r="U1306" s="94">
        <v>12</v>
      </c>
      <c r="V1306" s="22" t="str">
        <f>IF(ISBLANK(Table26[[#This Row],[customerSKU]]),"",_xlfn.XLOOKUP(Table26[[#This Row],[customerSKU]],Table27[customer_SKU],Table27[case_size],"",0,1))</f>
        <v/>
      </c>
      <c r="W1306" s="117" t="str">
        <f t="shared" si="57"/>
        <v/>
      </c>
      <c r="X1306" s="22" t="str">
        <f t="shared" si="58"/>
        <v/>
      </c>
      <c r="Y1306" s="25" t="str">
        <f>IF(Table26[[#This Row],[customerSKU]]="","",_xlfn.XLOOKUP(Table26[[#This Row],[customerSKU]],Table27[customer_SKU],Table27[product_GTIN],"",0,1))</f>
        <v/>
      </c>
      <c r="Z1306" s="25" t="s">
        <v>3406</v>
      </c>
      <c r="AA1306" s="18" t="str" cm="1">
        <f t="array" ref="AA1306">IF(P1306="", "", _xlfn.XLOOKUP(P1306,#REF!,#REF!,NA,0,-1))</f>
        <v/>
      </c>
      <c r="AB1306" s="22"/>
      <c r="AC1306" s="55" t="s">
        <v>3404</v>
      </c>
      <c r="AD1306" s="55" t="str">
        <f>IF($AC1306="","",_xlfn.XLOOKUP($AC1306,'[2]Client Info'!$C$2:$C$2535,'[2]Client Info'!$D$2:$D$2535,"",0,1))</f>
        <v>2223 COMMERCIAL DR</v>
      </c>
      <c r="AE1306" s="55" t="str">
        <f>IF($AC1306="","",_xlfn.XLOOKUP($AC1306,'[2]Client Info'!$C$2:$C$2715,'[2]Client Info'!$E$2:$E$2715,"",))</f>
        <v>VANCOUVER</v>
      </c>
      <c r="AF1306" s="55" t="str">
        <f>IF($AC1306="","",_xlfn.XLOOKUP($AC1306,'[2]Client Info'!$C$2:$C$2715,'[2]Client Info'!$F$2:$F$2715,"",0,1))</f>
        <v>BC</v>
      </c>
      <c r="AG1306" s="55" t="s">
        <v>3404</v>
      </c>
      <c r="AH1306" s="26" t="str">
        <f>_xlfn.XLOOKUP(Table26[[#This Row],[customerSKU]],customerSKU!G:G,customerSKU!K:K,"NA",0,1)</f>
        <v>NA</v>
      </c>
      <c r="AI1306" s="43" t="str">
        <f>_xlfn.XLOOKUP(Table26[[#This Row],[customerSKU]],customerSKU!G:G,customerSKU!O:O,"not found",0,1)</f>
        <v>not found</v>
      </c>
      <c r="AJ1306" s="22" t="e">
        <f>Table26[[#This Row],[unitprice]]*Table26[[#This Row],[quantity_unit]]</f>
        <v>#VALUE!</v>
      </c>
      <c r="AK1306" s="117" t="e" cm="1">
        <f t="array" ref="AK130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7" spans="1:37" ht="18" customHeight="1">
      <c r="A1307" s="42">
        <v>940</v>
      </c>
      <c r="B1307" s="42" t="s">
        <v>3357</v>
      </c>
      <c r="C1307" s="53" t="s">
        <v>203</v>
      </c>
      <c r="E1307" s="20"/>
      <c r="F1307" s="25"/>
      <c r="G1307" s="93"/>
      <c r="I1307" s="19">
        <v>45742</v>
      </c>
      <c r="J1307" s="90" t="str">
        <f>IF(Table26[[#This Row],[customerSKU]]="","",_xlfn.XLOOKUP(Table26[[#This Row],[customerSKU]],customerSKU!G:G,customerSKU!A:A,"",0,1))</f>
        <v/>
      </c>
      <c r="K1307" s="232">
        <v>45742</v>
      </c>
      <c r="L1307" s="49" t="str">
        <f>IF(Table26[[#This Row],[customerSKU]]="","",_xlfn.XLOOKUP(Table26[[#This Row],[customerSKU]],customerSKU!G:G,customerSKU!B:B,"",0,1))</f>
        <v/>
      </c>
      <c r="M1307" s="22"/>
      <c r="N1307" s="15" t="str">
        <f>Table26[[#This Row],[po_number]]&amp;"-"&amp;Table26[[#This Row],[po_line]]</f>
        <v>-7</v>
      </c>
      <c r="O1307" s="15">
        <v>7</v>
      </c>
      <c r="P1307" s="50"/>
      <c r="Q1307" s="22" t="s">
        <v>656</v>
      </c>
      <c r="R1307" s="22" t="s">
        <v>569</v>
      </c>
      <c r="S1307" s="90" t="s">
        <v>114</v>
      </c>
      <c r="T1307" s="20">
        <v>45642</v>
      </c>
      <c r="U1307" s="94">
        <v>12</v>
      </c>
      <c r="V1307" s="22" t="str">
        <f>IF(ISBLANK(Table26[[#This Row],[customerSKU]]),"",_xlfn.XLOOKUP(Table26[[#This Row],[customerSKU]],Table27[customer_SKU],Table27[case_size],"",0,1))</f>
        <v/>
      </c>
      <c r="W1307" s="117" t="str">
        <f t="shared" si="57"/>
        <v/>
      </c>
      <c r="X1307" s="22" t="str">
        <f t="shared" si="58"/>
        <v/>
      </c>
      <c r="Y1307" s="25" t="str">
        <f>IF(Table26[[#This Row],[customerSKU]]="","",_xlfn.XLOOKUP(Table26[[#This Row],[customerSKU]],Table27[customer_SKU],Table27[product_GTIN],"",0,1))</f>
        <v/>
      </c>
      <c r="Z1307" s="25" t="s">
        <v>3367</v>
      </c>
      <c r="AA1307" s="18" t="str" cm="1">
        <f t="array" ref="AA1307">IF(P1307="", "", _xlfn.XLOOKUP(P1307,#REF!,#REF!,NA,0,-1))</f>
        <v/>
      </c>
      <c r="AB1307" s="22"/>
      <c r="AC1307" s="55" t="s">
        <v>3404</v>
      </c>
      <c r="AD1307" s="55" t="str">
        <f>IF($AC1307="","",_xlfn.XLOOKUP($AC1307,'[2]Client Info'!$C$2:$C$2535,'[2]Client Info'!$D$2:$D$2535,"",0,1))</f>
        <v>2223 COMMERCIAL DR</v>
      </c>
      <c r="AE1307" s="55" t="str">
        <f>IF($AC1307="","",_xlfn.XLOOKUP($AC1307,'[2]Client Info'!$C$2:$C$2715,'[2]Client Info'!$E$2:$E$2715,"",))</f>
        <v>VANCOUVER</v>
      </c>
      <c r="AF1307" s="55" t="str">
        <f>IF($AC1307="","",_xlfn.XLOOKUP($AC1307,'[2]Client Info'!$C$2:$C$2715,'[2]Client Info'!$F$2:$F$2715,"",0,1))</f>
        <v>BC</v>
      </c>
      <c r="AG1307" s="55" t="s">
        <v>3404</v>
      </c>
      <c r="AH1307" s="26" t="str">
        <f>_xlfn.XLOOKUP(Table26[[#This Row],[customerSKU]],customerSKU!G:G,customerSKU!K:K,"NA",0,1)</f>
        <v>NA</v>
      </c>
      <c r="AI1307" s="43" t="str">
        <f>_xlfn.XLOOKUP(Table26[[#This Row],[customerSKU]],customerSKU!G:G,customerSKU!O:O,"not found",0,1)</f>
        <v>not found</v>
      </c>
      <c r="AJ1307" s="22" t="e">
        <f>Table26[[#This Row],[unitprice]]*Table26[[#This Row],[quantity_unit]]</f>
        <v>#VALUE!</v>
      </c>
      <c r="AK1307" s="117" t="e" cm="1">
        <f t="array" ref="AK13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8" spans="1:37" ht="18" customHeight="1">
      <c r="A1308" s="42">
        <v>941</v>
      </c>
      <c r="B1308" s="42" t="s">
        <v>3357</v>
      </c>
      <c r="C1308" s="53" t="s">
        <v>203</v>
      </c>
      <c r="E1308" s="20"/>
      <c r="F1308" s="25"/>
      <c r="G1308" s="93"/>
      <c r="I1308" s="19">
        <v>45742</v>
      </c>
      <c r="J1308" s="90" t="str">
        <f>IF(Table26[[#This Row],[customerSKU]]="","",_xlfn.XLOOKUP(Table26[[#This Row],[customerSKU]],customerSKU!G:G,customerSKU!A:A,"",0,1))</f>
        <v/>
      </c>
      <c r="K1308" s="232">
        <v>45742</v>
      </c>
      <c r="L1308" s="49" t="str">
        <f>IF(Table26[[#This Row],[customerSKU]]="","",_xlfn.XLOOKUP(Table26[[#This Row],[customerSKU]],customerSKU!G:G,customerSKU!B:B,"",0,1))</f>
        <v/>
      </c>
      <c r="M1308" s="22"/>
      <c r="N1308" s="15" t="str">
        <f>Table26[[#This Row],[po_number]]&amp;"-"&amp;Table26[[#This Row],[po_line]]</f>
        <v>-8</v>
      </c>
      <c r="O1308" s="15">
        <v>8</v>
      </c>
      <c r="P1308" s="50"/>
      <c r="Q1308" s="22" t="s">
        <v>625</v>
      </c>
      <c r="R1308" s="22" t="s">
        <v>569</v>
      </c>
      <c r="S1308" s="90" t="s">
        <v>114</v>
      </c>
      <c r="T1308" s="20">
        <v>45707</v>
      </c>
      <c r="U1308" s="94">
        <v>12</v>
      </c>
      <c r="V1308" s="22" t="str">
        <f>IF(ISBLANK(Table26[[#This Row],[customerSKU]]),"",_xlfn.XLOOKUP(Table26[[#This Row],[customerSKU]],Table27[customer_SKU],Table27[case_size],"",0,1))</f>
        <v/>
      </c>
      <c r="W1308" s="117" t="str">
        <f t="shared" si="57"/>
        <v/>
      </c>
      <c r="X1308" s="22" t="str">
        <f t="shared" si="58"/>
        <v/>
      </c>
      <c r="Y1308" s="25" t="str">
        <f>IF(Table26[[#This Row],[customerSKU]]="","",_xlfn.XLOOKUP(Table26[[#This Row],[customerSKU]],Table27[customer_SKU],Table27[product_GTIN],"",0,1))</f>
        <v/>
      </c>
      <c r="Z1308" s="25" t="s">
        <v>3407</v>
      </c>
      <c r="AA1308" s="18" t="str" cm="1">
        <f t="array" ref="AA1308">IF(P1308="", "", _xlfn.XLOOKUP(P1308,#REF!,#REF!,NA,0,-1))</f>
        <v/>
      </c>
      <c r="AB1308" s="22"/>
      <c r="AC1308" s="55" t="s">
        <v>3404</v>
      </c>
      <c r="AD1308" s="55" t="str">
        <f>IF($AC1308="","",_xlfn.XLOOKUP($AC1308,'[2]Client Info'!$C$2:$C$2535,'[2]Client Info'!$D$2:$D$2535,"",0,1))</f>
        <v>2223 COMMERCIAL DR</v>
      </c>
      <c r="AE1308" s="55" t="str">
        <f>IF($AC1308="","",_xlfn.XLOOKUP($AC1308,'[2]Client Info'!$C$2:$C$2715,'[2]Client Info'!$E$2:$E$2715,"",))</f>
        <v>VANCOUVER</v>
      </c>
      <c r="AF1308" s="55" t="str">
        <f>IF($AC1308="","",_xlfn.XLOOKUP($AC1308,'[2]Client Info'!$C$2:$C$2715,'[2]Client Info'!$F$2:$F$2715,"",0,1))</f>
        <v>BC</v>
      </c>
      <c r="AG1308" s="55" t="s">
        <v>3404</v>
      </c>
      <c r="AH1308" s="26" t="str">
        <f>_xlfn.XLOOKUP(Table26[[#This Row],[customerSKU]],customerSKU!G:G,customerSKU!K:K,"NA",0,1)</f>
        <v>NA</v>
      </c>
      <c r="AI1308" s="43" t="str">
        <f>_xlfn.XLOOKUP(Table26[[#This Row],[customerSKU]],customerSKU!G:G,customerSKU!O:O,"not found",0,1)</f>
        <v>not found</v>
      </c>
      <c r="AJ1308" s="22" t="e">
        <f>Table26[[#This Row],[unitprice]]*Table26[[#This Row],[quantity_unit]]</f>
        <v>#VALUE!</v>
      </c>
      <c r="AK1308" s="117" t="e" cm="1">
        <f t="array" ref="AK130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09" spans="1:37" ht="18" customHeight="1">
      <c r="A1309" s="42">
        <v>942</v>
      </c>
      <c r="B1309" s="42" t="s">
        <v>3357</v>
      </c>
      <c r="C1309" s="53" t="s">
        <v>3360</v>
      </c>
      <c r="E1309" s="20"/>
      <c r="F1309" s="25"/>
      <c r="G1309" s="93"/>
      <c r="I1309" s="19">
        <v>45742</v>
      </c>
      <c r="J1309" s="90" t="str">
        <f>IF(Table26[[#This Row],[customerSKU]]="","",_xlfn.XLOOKUP(Table26[[#This Row],[customerSKU]],customerSKU!G:G,customerSKU!A:A,"",0,1))</f>
        <v/>
      </c>
      <c r="K1309" s="232">
        <v>45742</v>
      </c>
      <c r="L1309" s="49" t="str">
        <f>IF(Table26[[#This Row],[customerSKU]]="","",_xlfn.XLOOKUP(Table26[[#This Row],[customerSKU]],customerSKU!G:G,customerSKU!B:B,"",0,1))</f>
        <v/>
      </c>
      <c r="M1309" s="22"/>
      <c r="N1309" s="15" t="str">
        <f>Table26[[#This Row],[po_number]]&amp;"-"&amp;Table26[[#This Row],[po_line]]</f>
        <v>-1</v>
      </c>
      <c r="O1309" s="15">
        <v>1</v>
      </c>
      <c r="P1309" s="50"/>
      <c r="S1309" s="90" t="str">
        <f>IF(Table26[[#This Row],[customerSKU]]="","",_xlfn.XLOOKUP(Table26[[#This Row],[customerSKU]],customerSKU!G:G,customerSKU!N:N,"NOT FOUND",0,1))</f>
        <v>NOT FOUND</v>
      </c>
      <c r="T1309" s="20"/>
      <c r="U1309" s="94">
        <v>12</v>
      </c>
      <c r="V1309" s="22" t="str">
        <f>IF(ISBLANK(Table26[[#This Row],[customerSKU]]),"",_xlfn.XLOOKUP(Table26[[#This Row],[customerSKU]],Table27[customer_SKU],Table27[case_size],"",0,1))</f>
        <v/>
      </c>
      <c r="W1309" s="117" t="str">
        <f t="shared" si="57"/>
        <v/>
      </c>
      <c r="X1309" s="22" t="str">
        <f t="shared" si="58"/>
        <v/>
      </c>
      <c r="Y1309" s="25" t="str">
        <f>IF(Table26[[#This Row],[customerSKU]]="","",_xlfn.XLOOKUP(Table26[[#This Row],[customerSKU]],Table27[customer_SKU],Table27[product_GTIN],"",0,1))</f>
        <v/>
      </c>
      <c r="Z1309" s="25" t="s">
        <v>3408</v>
      </c>
      <c r="AA1309" s="18" t="str" cm="1">
        <f t="array" ref="AA1309">IF(P1309="", "", _xlfn.XLOOKUP(P1309,#REF!,#REF!,NA,0,-1))</f>
        <v/>
      </c>
      <c r="AB1309" s="22"/>
      <c r="AC1309" s="55" t="str">
        <f>IF(Table26[[#This Row],[customerSKU]]="","",_xlfn.XLOOKUP(Table26[[#This Row],[customerSKU]],customerSKU!G:G,customerSKU!C:C,"",0,1))</f>
        <v/>
      </c>
      <c r="AD1309" s="55" t="str">
        <f>IF($AC1309="","",_xlfn.XLOOKUP($AC1309,'[2]Client Info'!$C$2:$C$2535,'[2]Client Info'!$D$2:$D$2535,"",0,1))</f>
        <v/>
      </c>
      <c r="AE1309" s="55" t="str">
        <f>IF($AC1309="","",_xlfn.XLOOKUP($AC1309,'[2]Client Info'!$C$2:$C$2715,'[2]Client Info'!$E$2:$E$2715,"",))</f>
        <v/>
      </c>
      <c r="AF1309" s="55" t="str">
        <f>IF($AC1309="","",_xlfn.XLOOKUP($AC1309,'[2]Client Info'!$C$2:$C$2715,'[2]Client Info'!$F$2:$F$2715,"",0,1))</f>
        <v/>
      </c>
      <c r="AG1309" s="55" t="str">
        <f>IF(ISBLANK(Table26[[#This Row],[customerSKU]]),"",_xlfn.XLOOKUP(Table26[[#This Row],[customerSKU]],Table27[customer_SKU],Table27[billto],"",0,1))</f>
        <v/>
      </c>
      <c r="AH1309" s="26" t="str">
        <f>_xlfn.XLOOKUP(Table26[[#This Row],[customerSKU]],customerSKU!G:G,customerSKU!K:K,"NA",0,1)</f>
        <v>NA</v>
      </c>
      <c r="AI1309" s="43" t="str">
        <f>_xlfn.XLOOKUP(Table26[[#This Row],[customerSKU]],customerSKU!G:G,customerSKU!O:O,"not found",0,1)</f>
        <v>not found</v>
      </c>
      <c r="AJ1309" s="22" t="e">
        <f>Table26[[#This Row],[unitprice]]*Table26[[#This Row],[quantity_unit]]</f>
        <v>#VALUE!</v>
      </c>
      <c r="AK1309" s="117" t="e" cm="1">
        <f t="array" ref="AK130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0" spans="1:37" ht="18" customHeight="1">
      <c r="A1310" s="42">
        <v>943</v>
      </c>
      <c r="B1310" s="42" t="s">
        <v>3357</v>
      </c>
      <c r="C1310" s="53" t="s">
        <v>200</v>
      </c>
      <c r="E1310" s="20"/>
      <c r="F1310" s="25"/>
      <c r="G1310" s="93"/>
      <c r="I1310" s="22" t="s">
        <v>204</v>
      </c>
      <c r="J1310" s="90" t="s">
        <v>3768</v>
      </c>
      <c r="K1310" s="232">
        <v>45742</v>
      </c>
      <c r="L1310" s="49" t="s">
        <v>201</v>
      </c>
      <c r="M1310" s="22"/>
      <c r="N1310" s="15" t="str">
        <f>Table26[[#This Row],[po_number]]&amp;"-"&amp;Table26[[#This Row],[po_line]]</f>
        <v>-1</v>
      </c>
      <c r="O1310" s="15">
        <v>1</v>
      </c>
      <c r="P1310" s="50"/>
      <c r="Q1310" s="22" t="s">
        <v>3769</v>
      </c>
      <c r="R1310" s="22" t="s">
        <v>3419</v>
      </c>
      <c r="S1310" s="90" t="s">
        <v>3770</v>
      </c>
      <c r="T1310" s="20">
        <v>45745</v>
      </c>
      <c r="U1310" s="94">
        <v>600</v>
      </c>
      <c r="V1310" s="22" t="str">
        <f>IF(ISBLANK(Table26[[#This Row],[customerSKU]]),"",_xlfn.XLOOKUP(Table26[[#This Row],[customerSKU]],Table27[customer_SKU],Table27[case_size],"",0,1))</f>
        <v/>
      </c>
      <c r="W1310" s="117" t="str">
        <f t="shared" si="57"/>
        <v/>
      </c>
      <c r="X1310" s="22" t="str">
        <f t="shared" si="58"/>
        <v/>
      </c>
      <c r="Y1310" s="25" t="str">
        <f>IF(Table26[[#This Row],[customerSKU]]="","",_xlfn.XLOOKUP(Table26[[#This Row],[customerSKU]],Table27[customer_SKU],Table27[product_GTIN],"",0,1))</f>
        <v/>
      </c>
      <c r="Z1310" s="25"/>
      <c r="AA1310" s="18" t="str" cm="1">
        <f t="array" ref="AA1310">IF(P1310="", "", _xlfn.XLOOKUP(P1310,#REF!,#REF!,NA,0,-1))</f>
        <v/>
      </c>
      <c r="AB1310" s="22"/>
      <c r="AC1310" s="55" t="s">
        <v>3771</v>
      </c>
      <c r="AD1310" s="55" t="str">
        <f>IF($AC1310="","",_xlfn.XLOOKUP($AC1310,'[2]Client Info'!$C$2:$C$2535,'[2]Client Info'!$D$2:$D$2535,"",0,1))</f>
        <v>Unit 116-1776 Broadway st</v>
      </c>
      <c r="AE1310" s="55" t="str">
        <f>IF($AC1310="","",_xlfn.XLOOKUP($AC1310,'[2]Client Info'!$C$2:$C$2715,'[2]Client Info'!$E$2:$E$2715,"",))</f>
        <v>PORT COQUITLAM</v>
      </c>
      <c r="AF1310" s="55" t="str">
        <f>IF($AC1310="","",_xlfn.XLOOKUP($AC1310,'[2]Client Info'!$C$2:$C$2715,'[2]Client Info'!$F$2:$F$2715,"",0,1))</f>
        <v>BC</v>
      </c>
      <c r="AG1310" s="55" t="s">
        <v>3772</v>
      </c>
      <c r="AH1310" s="26" t="str">
        <f>_xlfn.XLOOKUP(Table26[[#This Row],[customerSKU]],customerSKU!G:G,customerSKU!K:K,"NA",0,1)</f>
        <v>NA</v>
      </c>
      <c r="AI1310" s="43" t="str">
        <f>_xlfn.XLOOKUP(Table26[[#This Row],[customerSKU]],customerSKU!G:G,customerSKU!O:O,"not found",0,1)</f>
        <v>not found</v>
      </c>
      <c r="AJ1310" s="22" t="e">
        <f>Table26[[#This Row],[unitprice]]*Table26[[#This Row],[quantity_unit]]</f>
        <v>#VALUE!</v>
      </c>
      <c r="AK1310" s="117" t="e" cm="1">
        <f t="array" ref="AK131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1" spans="1:37" ht="18" customHeight="1">
      <c r="A1311" s="42">
        <v>944</v>
      </c>
      <c r="B1311" s="42" t="s">
        <v>3357</v>
      </c>
      <c r="C1311" s="53" t="s">
        <v>200</v>
      </c>
      <c r="E1311" s="20"/>
      <c r="F1311" s="25"/>
      <c r="G1311" s="93"/>
      <c r="I1311" s="22" t="s">
        <v>204</v>
      </c>
      <c r="J1311" s="90" t="s">
        <v>3768</v>
      </c>
      <c r="K1311" s="232">
        <v>45742</v>
      </c>
      <c r="L1311" s="49" t="s">
        <v>201</v>
      </c>
      <c r="M1311" s="22"/>
      <c r="N1311" s="15" t="str">
        <f>Table26[[#This Row],[po_number]]&amp;"-"&amp;Table26[[#This Row],[po_line]]</f>
        <v>-2</v>
      </c>
      <c r="O1311" s="15">
        <v>2</v>
      </c>
      <c r="P1311" s="50"/>
      <c r="Q1311" s="22" t="s">
        <v>3773</v>
      </c>
      <c r="R1311" s="22" t="s">
        <v>3419</v>
      </c>
      <c r="S1311" s="90" t="s">
        <v>3770</v>
      </c>
      <c r="T1311" s="20">
        <v>45739</v>
      </c>
      <c r="U1311" s="94">
        <v>300</v>
      </c>
      <c r="V1311" s="22" t="str">
        <f>IF(ISBLANK(Table26[[#This Row],[customerSKU]]),"",_xlfn.XLOOKUP(Table26[[#This Row],[customerSKU]],Table27[customer_SKU],Table27[case_size],"",0,1))</f>
        <v/>
      </c>
      <c r="W1311" s="117" t="str">
        <f t="shared" si="57"/>
        <v/>
      </c>
      <c r="X1311" s="22" t="str">
        <f t="shared" si="58"/>
        <v/>
      </c>
      <c r="Y1311" s="25" t="str">
        <f>IF(Table26[[#This Row],[customerSKU]]="","",_xlfn.XLOOKUP(Table26[[#This Row],[customerSKU]],Table27[customer_SKU],Table27[product_GTIN],"",0,1))</f>
        <v/>
      </c>
      <c r="Z1311" s="25"/>
      <c r="AA1311" s="18" t="str" cm="1">
        <f t="array" ref="AA1311">IF(P1311="", "", _xlfn.XLOOKUP(P1311,#REF!,#REF!,NA,0,-1))</f>
        <v/>
      </c>
      <c r="AB1311" s="22"/>
      <c r="AC1311" s="55" t="s">
        <v>3771</v>
      </c>
      <c r="AD1311" s="55" t="str">
        <f>IF($AC1311="","",_xlfn.XLOOKUP($AC1311,'[2]Client Info'!$C$2:$C$2535,'[2]Client Info'!$D$2:$D$2535,"",0,1))</f>
        <v>Unit 116-1776 Broadway st</v>
      </c>
      <c r="AE1311" s="55" t="str">
        <f>IF($AC1311="","",_xlfn.XLOOKUP($AC1311,'[2]Client Info'!$C$2:$C$2715,'[2]Client Info'!$E$2:$E$2715,"",))</f>
        <v>PORT COQUITLAM</v>
      </c>
      <c r="AF1311" s="55" t="str">
        <f>IF($AC1311="","",_xlfn.XLOOKUP($AC1311,'[2]Client Info'!$C$2:$C$2715,'[2]Client Info'!$F$2:$F$2715,"",0,1))</f>
        <v>BC</v>
      </c>
      <c r="AG1311" s="55" t="s">
        <v>3772</v>
      </c>
      <c r="AH1311" s="26" t="str">
        <f>_xlfn.XLOOKUP(Table26[[#This Row],[customerSKU]],customerSKU!G:G,customerSKU!K:K,"NA",0,1)</f>
        <v>NA</v>
      </c>
      <c r="AI1311" s="43" t="str">
        <f>_xlfn.XLOOKUP(Table26[[#This Row],[customerSKU]],customerSKU!G:G,customerSKU!O:O,"not found",0,1)</f>
        <v>not found</v>
      </c>
      <c r="AJ1311" s="22" t="e">
        <f>Table26[[#This Row],[unitprice]]*Table26[[#This Row],[quantity_unit]]</f>
        <v>#VALUE!</v>
      </c>
      <c r="AK1311" s="117" t="e" cm="1">
        <f t="array" ref="AK131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2" spans="1:37" ht="18" customHeight="1">
      <c r="A1312" s="42">
        <v>945</v>
      </c>
      <c r="B1312" s="42" t="s">
        <v>3357</v>
      </c>
      <c r="C1312" s="53" t="s">
        <v>200</v>
      </c>
      <c r="E1312" s="20"/>
      <c r="F1312" s="25"/>
      <c r="G1312" s="93"/>
      <c r="I1312" s="22" t="s">
        <v>204</v>
      </c>
      <c r="J1312" s="90" t="s">
        <v>3768</v>
      </c>
      <c r="K1312" s="232">
        <v>45742</v>
      </c>
      <c r="L1312" s="49" t="s">
        <v>201</v>
      </c>
      <c r="M1312" s="22"/>
      <c r="N1312" s="15" t="str">
        <f>Table26[[#This Row],[po_number]]&amp;"-"&amp;Table26[[#This Row],[po_line]]</f>
        <v>-3</v>
      </c>
      <c r="O1312" s="15">
        <v>3</v>
      </c>
      <c r="P1312" s="50"/>
      <c r="Q1312" s="22" t="s">
        <v>3774</v>
      </c>
      <c r="R1312" s="22" t="s">
        <v>3419</v>
      </c>
      <c r="S1312" s="90" t="s">
        <v>3770</v>
      </c>
      <c r="T1312" s="20">
        <v>45725</v>
      </c>
      <c r="U1312" s="94">
        <v>420</v>
      </c>
      <c r="V1312" s="22" t="str">
        <f>IF(ISBLANK(Table26[[#This Row],[customerSKU]]),"",_xlfn.XLOOKUP(Table26[[#This Row],[customerSKU]],Table27[customer_SKU],Table27[case_size],"",0,1))</f>
        <v/>
      </c>
      <c r="W1312" s="117" t="str">
        <f t="shared" si="57"/>
        <v/>
      </c>
      <c r="X1312" s="22" t="str">
        <f t="shared" si="58"/>
        <v/>
      </c>
      <c r="Y1312" s="25" t="str">
        <f>IF(Table26[[#This Row],[customerSKU]]="","",_xlfn.XLOOKUP(Table26[[#This Row],[customerSKU]],Table27[customer_SKU],Table27[product_GTIN],"",0,1))</f>
        <v/>
      </c>
      <c r="Z1312" s="25"/>
      <c r="AA1312" s="18" t="str" cm="1">
        <f t="array" ref="AA1312">IF(P1312="", "", _xlfn.XLOOKUP(P1312,#REF!,#REF!,NA,0,-1))</f>
        <v/>
      </c>
      <c r="AB1312" s="22"/>
      <c r="AC1312" s="55" t="s">
        <v>3771</v>
      </c>
      <c r="AD1312" s="55" t="str">
        <f>IF($AC1312="","",_xlfn.XLOOKUP($AC1312,'[2]Client Info'!$C$2:$C$2535,'[2]Client Info'!$D$2:$D$2535,"",0,1))</f>
        <v>Unit 116-1776 Broadway st</v>
      </c>
      <c r="AE1312" s="55" t="str">
        <f>IF($AC1312="","",_xlfn.XLOOKUP($AC1312,'[2]Client Info'!$C$2:$C$2715,'[2]Client Info'!$E$2:$E$2715,"",))</f>
        <v>PORT COQUITLAM</v>
      </c>
      <c r="AF1312" s="55" t="str">
        <f>IF($AC1312="","",_xlfn.XLOOKUP($AC1312,'[2]Client Info'!$C$2:$C$2715,'[2]Client Info'!$F$2:$F$2715,"",0,1))</f>
        <v>BC</v>
      </c>
      <c r="AG1312" s="55" t="s">
        <v>3772</v>
      </c>
      <c r="AH1312" s="26" t="str">
        <f>_xlfn.XLOOKUP(Table26[[#This Row],[customerSKU]],customerSKU!G:G,customerSKU!K:K,"NA",0,1)</f>
        <v>NA</v>
      </c>
      <c r="AI1312" s="43" t="str">
        <f>_xlfn.XLOOKUP(Table26[[#This Row],[customerSKU]],customerSKU!G:G,customerSKU!O:O,"not found",0,1)</f>
        <v>not found</v>
      </c>
      <c r="AJ1312" s="22" t="e">
        <f>Table26[[#This Row],[unitprice]]*Table26[[#This Row],[quantity_unit]]</f>
        <v>#VALUE!</v>
      </c>
      <c r="AK1312" s="117" t="e" cm="1">
        <f t="array" ref="AK131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3" spans="1:37" ht="18" customHeight="1">
      <c r="A1313" s="42">
        <v>946</v>
      </c>
      <c r="B1313" s="42" t="s">
        <v>3357</v>
      </c>
      <c r="C1313" s="53" t="s">
        <v>203</v>
      </c>
      <c r="E1313" s="20"/>
      <c r="F1313" s="25"/>
      <c r="G1313" s="93"/>
      <c r="J1313" s="90" t="str">
        <f>IF(Table26[[#This Row],[customerSKU]]="","",_xlfn.XLOOKUP(Table26[[#This Row],[customerSKU]],customerSKU!G:G,customerSKU!A:A,"",0,1))</f>
        <v/>
      </c>
      <c r="K1313" s="232">
        <v>45742</v>
      </c>
      <c r="L1313" s="49" t="str">
        <f>IF(Table26[[#This Row],[customerSKU]]="","",_xlfn.XLOOKUP(Table26[[#This Row],[customerSKU]],customerSKU!G:G,customerSKU!B:B,"",0,1))</f>
        <v/>
      </c>
      <c r="M1313" s="22"/>
      <c r="N1313" s="15" t="str">
        <f>Table26[[#This Row],[po_number]]&amp;"-"&amp;Table26[[#This Row],[po_line]]</f>
        <v>-1</v>
      </c>
      <c r="O1313" s="15">
        <v>1</v>
      </c>
      <c r="P1313" s="50"/>
      <c r="Q1313" s="22" t="s">
        <v>1622</v>
      </c>
      <c r="R1313" s="22" t="s">
        <v>569</v>
      </c>
      <c r="S1313" s="90" t="str">
        <f>IF(Table26[[#This Row],[customerSKU]]="","",_xlfn.XLOOKUP(Table26[[#This Row],[customerSKU]],customerSKU!G:G,customerSKU!N:N,"NOT FOUND",0,1))</f>
        <v>NOT FOUND</v>
      </c>
      <c r="T1313" s="20">
        <v>45714</v>
      </c>
      <c r="U1313" s="94">
        <v>12</v>
      </c>
      <c r="V1313" s="22" t="str">
        <f>IF(ISBLANK(Table26[[#This Row],[customerSKU]]),"",_xlfn.XLOOKUP(Table26[[#This Row],[customerSKU]],Table27[customer_SKU],Table27[case_size],"",0,1))</f>
        <v/>
      </c>
      <c r="W1313" s="117" t="str">
        <f t="shared" si="57"/>
        <v/>
      </c>
      <c r="X1313" s="22" t="str">
        <f t="shared" si="58"/>
        <v/>
      </c>
      <c r="Y1313" s="25" t="str">
        <f>IF(Table26[[#This Row],[customerSKU]]="","",_xlfn.XLOOKUP(Table26[[#This Row],[customerSKU]],Table27[customer_SKU],Table27[product_GTIN],"",0,1))</f>
        <v/>
      </c>
      <c r="Z1313" s="25" t="s">
        <v>3464</v>
      </c>
      <c r="AA1313" s="18" t="str" cm="1">
        <f t="array" ref="AA1313">IF(P1313="", "", _xlfn.XLOOKUP(P1313,#REF!,#REF!,NA,0,-1))</f>
        <v/>
      </c>
      <c r="AB1313" s="22"/>
      <c r="AC1313" s="55" t="s">
        <v>3496</v>
      </c>
      <c r="AD1313" s="55" t="str">
        <f>IF($AC1313="","",_xlfn.XLOOKUP($AC1313,'[2]Client Info'!$C$2:$C$2535,'[2]Client Info'!$D$2:$D$2535,"",0,1))</f>
        <v>11939 240th Street</v>
      </c>
      <c r="AE1313" s="55" t="str">
        <f>IF($AC1313="","",_xlfn.XLOOKUP($AC1313,'[2]Client Info'!$C$2:$C$2715,'[2]Client Info'!$E$2:$E$2715,"",))</f>
        <v>Maple Ridge</v>
      </c>
      <c r="AF1313" s="55" t="str">
        <f>IF($AC1313="","",_xlfn.XLOOKUP($AC1313,'[2]Client Info'!$C$2:$C$2715,'[2]Client Info'!$F$2:$F$2715,"",0,1))</f>
        <v xml:space="preserve">BC </v>
      </c>
      <c r="AG1313" s="55" t="s">
        <v>3496</v>
      </c>
      <c r="AH1313" s="26" t="str">
        <f>_xlfn.XLOOKUP(Table26[[#This Row],[customerSKU]],customerSKU!G:G,customerSKU!K:K,"NA",0,1)</f>
        <v>NA</v>
      </c>
      <c r="AI1313" s="43" t="str">
        <f>_xlfn.XLOOKUP(Table26[[#This Row],[customerSKU]],customerSKU!G:G,customerSKU!O:O,"not found",0,1)</f>
        <v>not found</v>
      </c>
      <c r="AJ1313" s="22" t="e">
        <f>Table26[[#This Row],[unitprice]]*Table26[[#This Row],[quantity_unit]]</f>
        <v>#VALUE!</v>
      </c>
      <c r="AK1313" s="117" t="e" cm="1">
        <f t="array" ref="AK13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4" spans="1:37" ht="18" customHeight="1">
      <c r="A1314" s="42">
        <v>947</v>
      </c>
      <c r="B1314" s="42" t="s">
        <v>3357</v>
      </c>
      <c r="C1314" s="53" t="s">
        <v>203</v>
      </c>
      <c r="E1314" s="20"/>
      <c r="F1314" s="25"/>
      <c r="G1314" s="93"/>
      <c r="J1314" s="90" t="str">
        <f>IF(Table26[[#This Row],[customerSKU]]="","",_xlfn.XLOOKUP(Table26[[#This Row],[customerSKU]],customerSKU!G:G,customerSKU!A:A,"",0,1))</f>
        <v/>
      </c>
      <c r="K1314" s="232">
        <v>45742</v>
      </c>
      <c r="L1314" s="49" t="str">
        <f>IF(Table26[[#This Row],[customerSKU]]="","",_xlfn.XLOOKUP(Table26[[#This Row],[customerSKU]],customerSKU!G:G,customerSKU!B:B,"",0,1))</f>
        <v/>
      </c>
      <c r="M1314" s="22"/>
      <c r="N1314" s="15" t="str">
        <f>Table26[[#This Row],[po_number]]&amp;"-"&amp;Table26[[#This Row],[po_line]]</f>
        <v>-1</v>
      </c>
      <c r="O1314" s="15">
        <v>1</v>
      </c>
      <c r="P1314" s="50"/>
      <c r="Q1314" s="22" t="s">
        <v>1622</v>
      </c>
      <c r="R1314" s="22" t="s">
        <v>569</v>
      </c>
      <c r="S1314" s="90" t="str">
        <f>IF(Table26[[#This Row],[customerSKU]]="","",_xlfn.XLOOKUP(Table26[[#This Row],[customerSKU]],customerSKU!G:G,customerSKU!N:N,"NOT FOUND",0,1))</f>
        <v>NOT FOUND</v>
      </c>
      <c r="T1314" s="20">
        <v>45714</v>
      </c>
      <c r="U1314" s="94">
        <v>12</v>
      </c>
      <c r="V1314" s="22" t="str">
        <f>IF(ISBLANK(Table26[[#This Row],[customerSKU]]),"",_xlfn.XLOOKUP(Table26[[#This Row],[customerSKU]],Table27[customer_SKU],Table27[case_size],"",0,1))</f>
        <v/>
      </c>
      <c r="W1314" s="117" t="str">
        <f t="shared" si="57"/>
        <v/>
      </c>
      <c r="X1314" s="22" t="str">
        <f t="shared" si="58"/>
        <v/>
      </c>
      <c r="Y1314" s="25" t="str">
        <f>IF(Table26[[#This Row],[customerSKU]]="","",_xlfn.XLOOKUP(Table26[[#This Row],[customerSKU]],Table27[customer_SKU],Table27[product_GTIN],"",0,1))</f>
        <v/>
      </c>
      <c r="Z1314" s="25" t="s">
        <v>3464</v>
      </c>
      <c r="AA1314" s="18" t="str" cm="1">
        <f t="array" ref="AA1314">IF(P1314="", "", _xlfn.XLOOKUP(P1314,#REF!,#REF!,NA,0,-1))</f>
        <v/>
      </c>
      <c r="AB1314" s="22"/>
      <c r="AC1314" s="55" t="s">
        <v>106</v>
      </c>
      <c r="AD1314" s="55" t="str">
        <f>IF($AC1314="","",_xlfn.XLOOKUP($AC1314,'[2]Client Info'!$C$2:$C$2535,'[2]Client Info'!$D$2:$D$2535,"",0,1))</f>
        <v>112-19150 Lougheed Hwy</v>
      </c>
      <c r="AE1314" s="55" t="str">
        <f>IF($AC1314="","",_xlfn.XLOOKUP($AC1314,'[2]Client Info'!$C$2:$C$2715,'[2]Client Info'!$E$2:$E$2715,"",))</f>
        <v>Pitt Meadows</v>
      </c>
      <c r="AF1314" s="55" t="str">
        <f>IF($AC1314="","",_xlfn.XLOOKUP($AC1314,'[2]Client Info'!$C$2:$C$2715,'[2]Client Info'!$F$2:$F$2715,"",0,1))</f>
        <v xml:space="preserve">BC </v>
      </c>
      <c r="AG1314" s="55" t="s">
        <v>106</v>
      </c>
      <c r="AH1314" s="26" t="str">
        <f>_xlfn.XLOOKUP(Table26[[#This Row],[customerSKU]],customerSKU!G:G,customerSKU!K:K,"NA",0,1)</f>
        <v>NA</v>
      </c>
      <c r="AI1314" s="43" t="str">
        <f>_xlfn.XLOOKUP(Table26[[#This Row],[customerSKU]],customerSKU!G:G,customerSKU!O:O,"not found",0,1)</f>
        <v>not found</v>
      </c>
      <c r="AJ1314" s="22" t="e">
        <f>Table26[[#This Row],[unitprice]]*Table26[[#This Row],[quantity_unit]]</f>
        <v>#VALUE!</v>
      </c>
      <c r="AK1314" s="117" t="e" cm="1">
        <f t="array" ref="AK131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5" spans="1:37" ht="18" customHeight="1">
      <c r="A1315" s="42">
        <v>948</v>
      </c>
      <c r="B1315" s="42" t="s">
        <v>3357</v>
      </c>
      <c r="C1315" s="53" t="s">
        <v>203</v>
      </c>
      <c r="E1315" s="20"/>
      <c r="F1315" s="25"/>
      <c r="G1315" s="93"/>
      <c r="J1315" s="90" t="s">
        <v>3394</v>
      </c>
      <c r="K1315" s="232">
        <v>45742</v>
      </c>
      <c r="L1315" s="49" t="str">
        <f>IF(Table26[[#This Row],[customerSKU]]="","",_xlfn.XLOOKUP(Table26[[#This Row],[customerSKU]],customerSKU!G:G,customerSKU!B:B,"",0,1))</f>
        <v/>
      </c>
      <c r="M1315" s="22"/>
      <c r="N1315" s="15" t="str">
        <f>Table26[[#This Row],[po_number]]&amp;"-"&amp;Table26[[#This Row],[po_line]]</f>
        <v>-1</v>
      </c>
      <c r="O1315" s="15">
        <v>1</v>
      </c>
      <c r="P1315" s="50"/>
      <c r="Q1315" s="22" t="s">
        <v>1622</v>
      </c>
      <c r="R1315" s="22" t="s">
        <v>569</v>
      </c>
      <c r="S1315" s="90" t="str">
        <f>IF(Table26[[#This Row],[customerSKU]]="","",_xlfn.XLOOKUP(Table26[[#This Row],[customerSKU]],customerSKU!G:G,customerSKU!N:N,"NOT FOUND",0,1))</f>
        <v>NOT FOUND</v>
      </c>
      <c r="T1315" s="20">
        <v>45714</v>
      </c>
      <c r="U1315" s="94">
        <v>12</v>
      </c>
      <c r="V1315" s="22" t="str">
        <f>IF(ISBLANK(Table26[[#This Row],[customerSKU]]),"",_xlfn.XLOOKUP(Table26[[#This Row],[customerSKU]],Table27[customer_SKU],Table27[case_size],"",0,1))</f>
        <v/>
      </c>
      <c r="W1315" s="117" t="str">
        <f t="shared" si="57"/>
        <v/>
      </c>
      <c r="X1315" s="22" t="str">
        <f t="shared" si="58"/>
        <v/>
      </c>
      <c r="Y1315" s="25" t="str">
        <f>IF(Table26[[#This Row],[customerSKU]]="","",_xlfn.XLOOKUP(Table26[[#This Row],[customerSKU]],Table27[customer_SKU],Table27[product_GTIN],"",0,1))</f>
        <v/>
      </c>
      <c r="Z1315" s="25" t="s">
        <v>3455</v>
      </c>
      <c r="AA1315" s="18" t="str" cm="1">
        <f t="array" ref="AA1315">IF(P1315="", "", _xlfn.XLOOKUP(P1315,#REF!,#REF!,NA,0,-1))</f>
        <v/>
      </c>
      <c r="AB1315" s="22"/>
      <c r="AC1315" s="55" t="s">
        <v>4155</v>
      </c>
      <c r="AD1315" s="55" t="str">
        <f>IF($AC1315="","",_xlfn.XLOOKUP($AC1315,'[2]Client Info'!$C$2:$C$2535,'[2]Client Info'!$D$2:$D$2535,"",0,1))</f>
        <v>1-827 DAKOTA ST</v>
      </c>
      <c r="AE1315" s="55" t="str">
        <f>IF($AC1315="","",_xlfn.XLOOKUP($AC1315,'[2]Client Info'!$C$2:$C$2715,'[2]Client Info'!$E$2:$E$2715,"",))</f>
        <v>Winnipeg</v>
      </c>
      <c r="AF1315" s="55" t="str">
        <f>IF($AC1315="","",_xlfn.XLOOKUP($AC1315,'[2]Client Info'!$C$2:$C$2715,'[2]Client Info'!$F$2:$F$2715,"",0,1))</f>
        <v>MB</v>
      </c>
      <c r="AG1315" s="55" t="str">
        <f>IF(ISBLANK(Table26[[#This Row],[customerSKU]]),"",_xlfn.XLOOKUP(Table26[[#This Row],[customerSKU]],Table27[customer_SKU],Table27[billto],"",0,1))</f>
        <v/>
      </c>
      <c r="AH1315" s="26" t="str">
        <f>_xlfn.XLOOKUP(Table26[[#This Row],[customerSKU]],customerSKU!G:G,customerSKU!K:K,"NA",0,1)</f>
        <v>NA</v>
      </c>
      <c r="AI1315" s="43" t="str">
        <f>_xlfn.XLOOKUP(Table26[[#This Row],[customerSKU]],customerSKU!G:G,customerSKU!O:O,"not found",0,1)</f>
        <v>not found</v>
      </c>
      <c r="AJ1315" s="22" t="e">
        <f>Table26[[#This Row],[unitprice]]*Table26[[#This Row],[quantity_unit]]</f>
        <v>#VALUE!</v>
      </c>
      <c r="AK1315" s="117" t="e" cm="1">
        <f t="array" ref="AK131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#VALUE!</v>
      </c>
    </row>
    <row r="1316" spans="1:37" ht="18" customHeight="1">
      <c r="A1316" s="42">
        <v>949</v>
      </c>
      <c r="B1316" s="42" t="s">
        <v>3357</v>
      </c>
      <c r="C1316" s="53" t="s">
        <v>203</v>
      </c>
      <c r="E1316" s="20"/>
      <c r="F1316" s="25"/>
      <c r="G1316" s="93"/>
      <c r="J1316" s="90" t="s">
        <v>3394</v>
      </c>
      <c r="K1316" s="232">
        <v>45742</v>
      </c>
      <c r="L1316" s="49" t="str">
        <f>IF(Table26[[#This Row],[customerSKU]]="","",_xlfn.XLOOKUP(Table26[[#This Row],[customerSKU]],customerSKU!G:G,customerSKU!B:B,"",0,1))</f>
        <v/>
      </c>
      <c r="M1316" s="22"/>
      <c r="N1316" s="15" t="str">
        <f>Table26[[#This Row],[po_number]]&amp;"-"&amp;Table26[[#This Row],[po_line]]</f>
        <v>-1</v>
      </c>
      <c r="O1316" s="15">
        <v>1</v>
      </c>
      <c r="P1316" s="50"/>
      <c r="Q1316" s="22" t="s">
        <v>1622</v>
      </c>
      <c r="R1316" s="22" t="s">
        <v>569</v>
      </c>
      <c r="S1316" s="90" t="str">
        <f>IF(Table26[[#This Row],[customerSKU]]="","",_xlfn.XLOOKUP(Table26[[#This Row],[customerSKU]],customerSKU!G:G,customerSKU!N:N,"NOT FOUND",0,1))</f>
        <v>NOT FOUND</v>
      </c>
      <c r="T1316" s="20">
        <v>45714</v>
      </c>
      <c r="U1316" s="94">
        <v>12</v>
      </c>
      <c r="V1316" s="22" t="str">
        <f>IF(ISBLANK(Table26[[#This Row],[customerSKU]]),"",_xlfn.XLOOKUP(Table26[[#This Row],[customerSKU]],Table27[customer_SKU],Table27[case_size],"",0,1))</f>
        <v/>
      </c>
      <c r="W1316" s="117" t="str">
        <f t="shared" si="57"/>
        <v/>
      </c>
      <c r="X1316" s="22" t="str">
        <f t="shared" si="58"/>
        <v/>
      </c>
      <c r="Y1316" s="25" t="str">
        <f>IF(Table26[[#This Row],[customerSKU]]="","",_xlfn.XLOOKUP(Table26[[#This Row],[customerSKU]],Table27[customer_SKU],Table27[product_GTIN],"",0,1))</f>
        <v/>
      </c>
      <c r="Z1316" s="25" t="s">
        <v>3455</v>
      </c>
      <c r="AA1316" s="18" t="str" cm="1">
        <f t="array" ref="AA1316">IF(P1316="", "", _xlfn.XLOOKUP(P1316,#REF!,#REF!,NA,0,-1))</f>
        <v/>
      </c>
      <c r="AB1316" s="22"/>
      <c r="AC1316" s="55" t="s">
        <v>4156</v>
      </c>
      <c r="AD1316" s="55" t="str">
        <f>IF($AC1316="","",_xlfn.XLOOKUP($AC1316,'[2]Client Info'!$C$2:$C$2535,'[2]Client Info'!$D$2:$D$2535,"",0,1))</f>
        <v>48-1570 18TH ST</v>
      </c>
      <c r="AE1316" s="55" t="str">
        <f>IF($AC1316="","",_xlfn.XLOOKUP($AC1316,'[2]Client Info'!$C$2:$C$2715,'[2]Client Info'!$E$2:$E$2715,"",))</f>
        <v>Brandon</v>
      </c>
      <c r="AF1316" s="55" t="str">
        <f>IF($AC1316="","",_xlfn.XLOOKUP($AC1316,'[2]Client Info'!$C$2:$C$2715,'[2]Client Info'!$F$2:$F$2715,"",0,1))</f>
        <v>MB</v>
      </c>
      <c r="AG1316" s="55" t="str">
        <f>IF(ISBLANK(Table26[[#This Row],[customerSKU]]),"",_xlfn.XLOOKUP(Table26[[#This Row],[customerSKU]],Table27[customer_SKU],Table27[billto],"",0,1))</f>
        <v/>
      </c>
      <c r="AH1316" s="26" t="str">
        <f>_xlfn.XLOOKUP(Table26[[#This Row],[customerSKU]],customerSKU!G:G,customerSKU!K:K,"NA",0,1)</f>
        <v>NA</v>
      </c>
      <c r="AI1316" s="43" t="str">
        <f>_xlfn.XLOOKUP(Table26[[#This Row],[customerSKU]],customerSKU!G:G,customerSKU!O:O,"not found",0,1)</f>
        <v>not found</v>
      </c>
      <c r="AJ1316" s="22" t="e">
        <f>Table26[[#This Row],[unitprice]]*Table26[[#This Row],[quantity_unit]]</f>
        <v>#VALUE!</v>
      </c>
      <c r="AK1316" s="117" t="e" cm="1">
        <f t="array" ref="AK131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#VALUE!</v>
      </c>
    </row>
    <row r="1317" spans="1:37" ht="18" customHeight="1">
      <c r="A1317" s="42">
        <v>950</v>
      </c>
      <c r="B1317" s="42" t="s">
        <v>3357</v>
      </c>
      <c r="C1317" s="53" t="s">
        <v>203</v>
      </c>
      <c r="E1317" s="20"/>
      <c r="F1317" s="25"/>
      <c r="G1317" s="93"/>
      <c r="J1317" s="90" t="s">
        <v>3394</v>
      </c>
      <c r="K1317" s="232">
        <v>45742</v>
      </c>
      <c r="L1317" s="49" t="str">
        <f>IF(Table26[[#This Row],[customerSKU]]="","",_xlfn.XLOOKUP(Table26[[#This Row],[customerSKU]],customerSKU!G:G,customerSKU!B:B,"",0,1))</f>
        <v/>
      </c>
      <c r="M1317" s="22"/>
      <c r="N1317" s="15" t="str">
        <f>Table26[[#This Row],[po_number]]&amp;"-"&amp;Table26[[#This Row],[po_line]]</f>
        <v>-1</v>
      </c>
      <c r="O1317" s="15">
        <v>1</v>
      </c>
      <c r="P1317" s="50"/>
      <c r="Q1317" s="22" t="s">
        <v>1622</v>
      </c>
      <c r="R1317" s="22" t="s">
        <v>569</v>
      </c>
      <c r="S1317" s="90" t="str">
        <f>IF(Table26[[#This Row],[customerSKU]]="","",_xlfn.XLOOKUP(Table26[[#This Row],[customerSKU]],customerSKU!G:G,customerSKU!N:N,"NOT FOUND",0,1))</f>
        <v>NOT FOUND</v>
      </c>
      <c r="T1317" s="20">
        <v>45714</v>
      </c>
      <c r="U1317" s="94">
        <v>12</v>
      </c>
      <c r="V1317" s="22" t="str">
        <f>IF(ISBLANK(Table26[[#This Row],[customerSKU]]),"",_xlfn.XLOOKUP(Table26[[#This Row],[customerSKU]],Table27[customer_SKU],Table27[case_size],"",0,1))</f>
        <v/>
      </c>
      <c r="W1317" s="117" t="str">
        <f t="shared" si="57"/>
        <v/>
      </c>
      <c r="X1317" s="22" t="str">
        <f t="shared" si="58"/>
        <v/>
      </c>
      <c r="Y1317" s="25" t="str">
        <f>IF(Table26[[#This Row],[customerSKU]]="","",_xlfn.XLOOKUP(Table26[[#This Row],[customerSKU]],Table27[customer_SKU],Table27[product_GTIN],"",0,1))</f>
        <v/>
      </c>
      <c r="Z1317" s="25" t="s">
        <v>3455</v>
      </c>
      <c r="AA1317" s="18" t="str" cm="1">
        <f t="array" ref="AA1317">IF(P1317="", "", _xlfn.XLOOKUP(P1317,#REF!,#REF!,NA,0,-1))</f>
        <v/>
      </c>
      <c r="AB1317" s="22"/>
      <c r="AC1317" s="55" t="s">
        <v>169</v>
      </c>
      <c r="AD1317" s="55" t="str">
        <f>IF($AC1317="","",_xlfn.XLOOKUP($AC1317,'[2]Client Info'!$C$2:$C$2535,'[2]Client Info'!$D$2:$D$2535,"",0,1))</f>
        <v>UNIT 655-1615 REGENT AVE WEST</v>
      </c>
      <c r="AE1317" s="55" t="str">
        <f>IF($AC1317="","",_xlfn.XLOOKUP($AC1317,'[2]Client Info'!$C$2:$C$2715,'[2]Client Info'!$E$2:$E$2715,"",))</f>
        <v>WINNIPEG</v>
      </c>
      <c r="AF1317" s="55" t="str">
        <f>IF($AC1317="","",_xlfn.XLOOKUP($AC1317,'[2]Client Info'!$C$2:$C$2715,'[2]Client Info'!$F$2:$F$2715,"",0,1))</f>
        <v>MB</v>
      </c>
      <c r="AG1317" s="55" t="str">
        <f>IF(ISBLANK(Table26[[#This Row],[customerSKU]]),"",_xlfn.XLOOKUP(Table26[[#This Row],[customerSKU]],Table27[customer_SKU],Table27[billto],"",0,1))</f>
        <v/>
      </c>
      <c r="AH1317" s="26" t="str">
        <f>_xlfn.XLOOKUP(Table26[[#This Row],[customerSKU]],customerSKU!G:G,customerSKU!K:K,"NA",0,1)</f>
        <v>NA</v>
      </c>
      <c r="AI1317" s="43" t="str">
        <f>_xlfn.XLOOKUP(Table26[[#This Row],[customerSKU]],customerSKU!G:G,customerSKU!O:O,"not found",0,1)</f>
        <v>not found</v>
      </c>
      <c r="AJ1317" s="22" t="e">
        <f>Table26[[#This Row],[unitprice]]*Table26[[#This Row],[quantity_unit]]</f>
        <v>#VALUE!</v>
      </c>
      <c r="AK1317" s="117" t="e" cm="1">
        <f t="array" ref="AK131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#VALUE!</v>
      </c>
    </row>
    <row r="1318" spans="1:37" ht="24.6" customHeight="1">
      <c r="A1318" s="42">
        <v>930</v>
      </c>
      <c r="B1318" s="42" t="s">
        <v>3357</v>
      </c>
      <c r="C1318" s="53" t="s">
        <v>3360</v>
      </c>
      <c r="E1318" s="20"/>
      <c r="F1318" s="25"/>
      <c r="G1318" s="93"/>
      <c r="I1318" s="19">
        <v>45741</v>
      </c>
      <c r="J1318" s="90" t="str">
        <f>IF(Table26[[#This Row],[customerSKU]]="","",_xlfn.XLOOKUP(Table26[[#This Row],[customerSKU]],customerSKU!G:G,customerSKU!A:A,"",0,1))</f>
        <v/>
      </c>
      <c r="K1318" s="232">
        <v>45743</v>
      </c>
      <c r="L1318" s="49" t="str">
        <f>IF(Table26[[#This Row],[customerSKU]]="","",_xlfn.XLOOKUP(Table26[[#This Row],[customerSKU]],customerSKU!G:G,customerSKU!B:B,"",0,1))</f>
        <v/>
      </c>
      <c r="M1318" s="22"/>
      <c r="N1318" s="15" t="str">
        <f>Table26[[#This Row],[po_number]]&amp;"-"&amp;Table26[[#This Row],[po_line]]</f>
        <v>-1</v>
      </c>
      <c r="O1318" s="15">
        <v>1</v>
      </c>
      <c r="P1318" s="50"/>
      <c r="S1318" s="90" t="str">
        <f>IF(Table26[[#This Row],[customerSKU]]="","",_xlfn.XLOOKUP(Table26[[#This Row],[customerSKU]],customerSKU!G:G,customerSKU!N:N,"NOT FOUND",0,1))</f>
        <v>NOT FOUND</v>
      </c>
      <c r="T1318" s="20"/>
      <c r="U1318" s="94">
        <v>12</v>
      </c>
      <c r="V1318" s="22" t="str">
        <f>IF(ISBLANK(Table26[[#This Row],[customerSKU]]),"",_xlfn.XLOOKUP(Table26[[#This Row],[customerSKU]],Table27[customer_SKU],Table27[case_size],"",0,1))</f>
        <v/>
      </c>
      <c r="W1318" s="117" t="str">
        <f t="shared" si="57"/>
        <v/>
      </c>
      <c r="X1318" s="22" t="str">
        <f t="shared" si="58"/>
        <v/>
      </c>
      <c r="Y1318" s="25" t="str">
        <f>IF(Table26[[#This Row],[customerSKU]]="","",_xlfn.XLOOKUP(Table26[[#This Row],[customerSKU]],Table27[customer_SKU],Table27[product_GTIN],"",0,1))</f>
        <v/>
      </c>
      <c r="Z1318" s="25" t="s">
        <v>3402</v>
      </c>
      <c r="AA1318" s="18" t="str" cm="1">
        <f t="array" ref="AA1318">IF(P1318="", "", _xlfn.XLOOKUP(P1318,#REF!,#REF!,NA,0,-1))</f>
        <v/>
      </c>
      <c r="AB1318" s="22"/>
      <c r="AC1318" s="55" t="str">
        <f>IF(Table26[[#This Row],[customerSKU]]="","",_xlfn.XLOOKUP(Table26[[#This Row],[customerSKU]],customerSKU!G:G,customerSKU!C:C,"",0,1))</f>
        <v/>
      </c>
      <c r="AD1318" s="55" t="str">
        <f>IF($AC1318="","",_xlfn.XLOOKUP($AC1318,'[2]Client Info'!$C$2:$C$2535,'[2]Client Info'!$D$2:$D$2535,"",0,1))</f>
        <v/>
      </c>
      <c r="AE1318" s="55" t="str">
        <f>IF($AC1318="","",_xlfn.XLOOKUP($AC1318,'[2]Client Info'!$C$2:$C$2715,'[2]Client Info'!$E$2:$E$2715,"",))</f>
        <v/>
      </c>
      <c r="AF1318" s="55" t="str">
        <f>IF($AC1318="","",_xlfn.XLOOKUP($AC1318,'[2]Client Info'!$C$2:$C$2715,'[2]Client Info'!$F$2:$F$2715,"",0,1))</f>
        <v/>
      </c>
      <c r="AG1318" s="55" t="str">
        <f>IF(ISBLANK(Table26[[#This Row],[customerSKU]]),"",_xlfn.XLOOKUP(Table26[[#This Row],[customerSKU]],Table27[customer_SKU],Table27[billto],"",0,1))</f>
        <v/>
      </c>
      <c r="AH1318" s="26" t="str">
        <f>_xlfn.XLOOKUP(Table26[[#This Row],[customerSKU]],customerSKU!G:G,customerSKU!K:K,"NA",0,1)</f>
        <v>NA</v>
      </c>
      <c r="AI1318" s="43" t="str">
        <f>_xlfn.XLOOKUP(Table26[[#This Row],[customerSKU]],customerSKU!G:G,customerSKU!O:O,"not found",0,1)</f>
        <v>not found</v>
      </c>
      <c r="AJ1318" s="22" t="e">
        <f>Table26[[#This Row],[unitprice]]*Table26[[#This Row],[quantity_unit]]</f>
        <v>#VALUE!</v>
      </c>
      <c r="AK1318" s="117" t="e" cm="1">
        <f t="array" ref="AK131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19" spans="1:37" ht="24.6" customHeight="1">
      <c r="A1319" s="42">
        <v>931</v>
      </c>
      <c r="B1319" s="42" t="s">
        <v>3357</v>
      </c>
      <c r="C1319" s="53" t="s">
        <v>203</v>
      </c>
      <c r="E1319" s="20"/>
      <c r="F1319" s="25"/>
      <c r="G1319" s="93"/>
      <c r="I1319" s="19">
        <v>45743</v>
      </c>
      <c r="J1319" s="90" t="s">
        <v>618</v>
      </c>
      <c r="K1319" s="232">
        <v>45743</v>
      </c>
      <c r="L1319" s="49" t="s">
        <v>3417</v>
      </c>
      <c r="M1319" s="22"/>
      <c r="N1319" s="15" t="str">
        <f>Table26[[#This Row],[po_number]]&amp;"-"&amp;Table26[[#This Row],[po_line]]</f>
        <v>-1</v>
      </c>
      <c r="O1319" s="15">
        <v>1</v>
      </c>
      <c r="P1319" s="50"/>
      <c r="Q1319" s="22" t="s">
        <v>3418</v>
      </c>
      <c r="R1319" s="22" t="s">
        <v>3419</v>
      </c>
      <c r="S1319" s="90" t="s">
        <v>3420</v>
      </c>
      <c r="T1319" s="20">
        <v>45702</v>
      </c>
      <c r="U1319" s="94">
        <v>1</v>
      </c>
      <c r="V1319" s="22" t="str">
        <f>IF(ISBLANK(Table26[[#This Row],[customerSKU]]),"",_xlfn.XLOOKUP(Table26[[#This Row],[customerSKU]],Table27[customer_SKU],Table27[case_size],"",0,1))</f>
        <v/>
      </c>
      <c r="W1319" s="117" t="str">
        <f t="shared" si="57"/>
        <v/>
      </c>
      <c r="X1319" s="22" t="str">
        <f t="shared" si="58"/>
        <v/>
      </c>
      <c r="Y1319" s="25" t="str">
        <f>IF(Table26[[#This Row],[customerSKU]]="","",_xlfn.XLOOKUP(Table26[[#This Row],[customerSKU]],Table27[customer_SKU],Table27[product_GTIN],"",0,1))</f>
        <v/>
      </c>
      <c r="Z1319" s="25"/>
      <c r="AA1319" s="18" t="str" cm="1">
        <f t="array" ref="AA1319">IF(P1319="", "", _xlfn.XLOOKUP(P1319,#REF!,#REF!,NA,0,-1))</f>
        <v/>
      </c>
      <c r="AB1319" s="22"/>
      <c r="AC1319" s="55" t="str">
        <f>IF(Table26[[#This Row],[customerSKU]]="","",_xlfn.XLOOKUP(Table26[[#This Row],[customerSKU]],customerSKU!G:G,customerSKU!C:C,"",0,1))</f>
        <v/>
      </c>
      <c r="AD1319" s="55" t="str">
        <f>IF($AC1319="","",_xlfn.XLOOKUP($AC1319,'[2]Client Info'!$C$2:$C$2535,'[2]Client Info'!$D$2:$D$2535,"",0,1))</f>
        <v/>
      </c>
      <c r="AE1319" s="55" t="str">
        <f>IF($AC1319="","",_xlfn.XLOOKUP($AC1319,'[2]Client Info'!$C$2:$C$2715,'[2]Client Info'!$E$2:$E$2715,"",))</f>
        <v/>
      </c>
      <c r="AF1319" s="55" t="str">
        <f>IF($AC1319="","",_xlfn.XLOOKUP($AC1319,'[2]Client Info'!$C$2:$C$2715,'[2]Client Info'!$F$2:$F$2715,"",0,1))</f>
        <v/>
      </c>
      <c r="AG1319" s="55" t="str">
        <f>IF(ISBLANK(Table26[[#This Row],[customerSKU]]),"",_xlfn.XLOOKUP(Table26[[#This Row],[customerSKU]],Table27[customer_SKU],Table27[billto],"",0,1))</f>
        <v/>
      </c>
      <c r="AH1319" s="26" t="str">
        <f>_xlfn.XLOOKUP(Table26[[#This Row],[customerSKU]],customerSKU!G:G,customerSKU!K:K,"NA",0,1)</f>
        <v>NA</v>
      </c>
      <c r="AI1319" s="43" t="str">
        <f>_xlfn.XLOOKUP(Table26[[#This Row],[customerSKU]],customerSKU!G:G,customerSKU!O:O,"not found",0,1)</f>
        <v>not found</v>
      </c>
      <c r="AJ1319" s="22" t="e">
        <f>Table26[[#This Row],[unitprice]]*Table26[[#This Row],[quantity_unit]]</f>
        <v>#VALUE!</v>
      </c>
      <c r="AK1319" s="117" t="e" cm="1">
        <f t="array" ref="AK131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0" spans="1:37" ht="24.6" customHeight="1">
      <c r="A1320" s="42">
        <v>932</v>
      </c>
      <c r="B1320" s="42" t="s">
        <v>3357</v>
      </c>
      <c r="C1320" s="53" t="s">
        <v>3360</v>
      </c>
      <c r="D1320" s="20">
        <v>45754</v>
      </c>
      <c r="E1320" s="20" t="s">
        <v>4100</v>
      </c>
      <c r="F1320" s="25"/>
      <c r="G1320" s="93"/>
      <c r="J1320" s="90" t="str">
        <f>IF(Table26[[#This Row],[customerSKU]]="","",_xlfn.XLOOKUP(Table26[[#This Row],[customerSKU]],customerSKU!G:G,customerSKU!A:A,"",0,1))</f>
        <v/>
      </c>
      <c r="K1320" s="232">
        <v>45743</v>
      </c>
      <c r="L1320" s="49" t="str">
        <f>IF(Table26[[#This Row],[customerSKU]]="","",_xlfn.XLOOKUP(Table26[[#This Row],[customerSKU]],customerSKU!G:G,customerSKU!B:B,"",0,1))</f>
        <v/>
      </c>
      <c r="M1320" s="22"/>
      <c r="N1320" s="15" t="str">
        <f>Table26[[#This Row],[po_number]]&amp;"-"&amp;Table26[[#This Row],[po_line]]</f>
        <v>-1</v>
      </c>
      <c r="O1320" s="15">
        <v>1</v>
      </c>
      <c r="P1320" s="50"/>
      <c r="Q1320" s="22" t="s">
        <v>659</v>
      </c>
      <c r="R1320" s="22" t="s">
        <v>569</v>
      </c>
      <c r="S1320" s="22" t="str">
        <f>IF(Table26[[#This Row],[customerSKU]]="","",_xlfn.XLOOKUP(Table26[[#This Row],[customerSKU]],customerSKU!G:G,customerSKU!N:N,"NOT FOUND",0,1))</f>
        <v>NOT FOUND</v>
      </c>
      <c r="T1320" s="20">
        <v>45638</v>
      </c>
      <c r="U1320" s="94">
        <v>96</v>
      </c>
      <c r="V1320" s="22" t="str">
        <f>IF(ISBLANK(Table26[[#This Row],[customerSKU]]),"",_xlfn.XLOOKUP(Table26[[#This Row],[customerSKU]],Table27[customer_SKU],Table27[case_size],"",0,1))</f>
        <v/>
      </c>
      <c r="W1320" s="117" t="str">
        <f t="shared" si="57"/>
        <v/>
      </c>
      <c r="X1320" s="22" t="str">
        <f t="shared" si="58"/>
        <v/>
      </c>
      <c r="Y1320" s="25" t="str">
        <f>IF(Table26[[#This Row],[customerSKU]]="","",_xlfn.XLOOKUP(Table26[[#This Row],[customerSKU]],Table27[customer_SKU],Table27[product_GTIN],"",0,1))</f>
        <v/>
      </c>
      <c r="Z1320" s="25" t="s">
        <v>3468</v>
      </c>
      <c r="AA1320" s="18" t="str" cm="1">
        <f t="array" ref="AA1320">IF(P1320="", "", _xlfn.XLOOKUP(P1320,#REF!,#REF!,NA,0,-1))</f>
        <v/>
      </c>
      <c r="AB1320" s="22"/>
      <c r="AC1320" s="55" t="str">
        <f>IF(Table26[[#This Row],[customerSKU]]="","",_xlfn.XLOOKUP(Table26[[#This Row],[customerSKU]],customerSKU!G:G,customerSKU!C:C,"",0,1))</f>
        <v/>
      </c>
      <c r="AD1320" s="55" t="str">
        <f>IF($AC1320="","",_xlfn.XLOOKUP($AC1320,'[2]Client Info'!$C$2:$C$2535,'[2]Client Info'!$D$2:$D$2535,"",0,1))</f>
        <v/>
      </c>
      <c r="AE1320" s="55" t="str">
        <f>IF($AC1320="","",_xlfn.XLOOKUP($AC1320,'[2]Client Info'!$C$2:$C$2715,'[2]Client Info'!$E$2:$E$2715,"",))</f>
        <v/>
      </c>
      <c r="AF1320" s="55" t="str">
        <f>IF($AC1320="","",_xlfn.XLOOKUP($AC1320,'[2]Client Info'!$C$2:$C$2715,'[2]Client Info'!$F$2:$F$2715,"",0,1))</f>
        <v/>
      </c>
      <c r="AG1320" s="55" t="str">
        <f>IF(ISBLANK(Table26[[#This Row],[customerSKU]]),"",_xlfn.XLOOKUP(Table26[[#This Row],[customerSKU]],Table27[customer_SKU],Table27[billto],"",0,1))</f>
        <v/>
      </c>
      <c r="AH1320" s="26" t="str">
        <f>_xlfn.XLOOKUP(Table26[[#This Row],[customerSKU]],customerSKU!G:G,customerSKU!K:K,"NA",0,1)</f>
        <v>NA</v>
      </c>
      <c r="AI1320" s="43" t="str">
        <f>_xlfn.XLOOKUP(Table26[[#This Row],[customerSKU]],customerSKU!G:G,customerSKU!O:O,"not found",0,1)</f>
        <v>not found</v>
      </c>
      <c r="AJ1320" s="22" t="e">
        <f>Table26[[#This Row],[unitprice]]*Table26[[#This Row],[quantity_unit]]</f>
        <v>#VALUE!</v>
      </c>
      <c r="AK1320" s="117" t="e" cm="1">
        <f t="array" ref="AK132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1" spans="1:37" ht="18" customHeight="1">
      <c r="A1321" s="42">
        <v>933</v>
      </c>
      <c r="B1321" s="42" t="s">
        <v>3357</v>
      </c>
      <c r="C1321" s="53" t="s">
        <v>3360</v>
      </c>
      <c r="D1321" s="20">
        <v>45754</v>
      </c>
      <c r="E1321" s="20" t="s">
        <v>4100</v>
      </c>
      <c r="F1321" s="25"/>
      <c r="G1321" s="93"/>
      <c r="J1321" s="90" t="str">
        <f>IF(Table26[[#This Row],[customerSKU]]="","",_xlfn.XLOOKUP(Table26[[#This Row],[customerSKU]],customerSKU!G:G,customerSKU!A:A,"",0,1))</f>
        <v/>
      </c>
      <c r="K1321" s="232">
        <v>45743</v>
      </c>
      <c r="L1321" s="49" t="str">
        <f>IF(Table26[[#This Row],[customerSKU]]="","",_xlfn.XLOOKUP(Table26[[#This Row],[customerSKU]],customerSKU!G:G,customerSKU!B:B,"",0,1))</f>
        <v/>
      </c>
      <c r="M1321" s="22"/>
      <c r="N1321" s="15" t="str">
        <f>Table26[[#This Row],[po_number]]&amp;"-"&amp;Table26[[#This Row],[po_line]]</f>
        <v>-2</v>
      </c>
      <c r="O1321" s="15">
        <v>2</v>
      </c>
      <c r="P1321" s="50"/>
      <c r="Q1321" s="22" t="s">
        <v>3388</v>
      </c>
      <c r="R1321" s="22" t="s">
        <v>569</v>
      </c>
      <c r="S1321" s="22" t="str">
        <f>IF(Table26[[#This Row],[customerSKU]]="","",_xlfn.XLOOKUP(Table26[[#This Row],[customerSKU]],customerSKU!G:G,customerSKU!N:N,"NOT FOUND",0,1))</f>
        <v>NOT FOUND</v>
      </c>
      <c r="T1321" s="20">
        <v>45692</v>
      </c>
      <c r="U1321" s="94">
        <v>504</v>
      </c>
      <c r="V1321" s="22" t="str">
        <f>IF(ISBLANK(Table26[[#This Row],[customerSKU]]),"",_xlfn.XLOOKUP(Table26[[#This Row],[customerSKU]],Table27[customer_SKU],Table27[case_size],"",0,1))</f>
        <v/>
      </c>
      <c r="W1321" s="117" t="str">
        <f t="shared" si="57"/>
        <v/>
      </c>
      <c r="X1321" s="22" t="str">
        <f t="shared" si="58"/>
        <v/>
      </c>
      <c r="Y1321" s="25" t="str">
        <f>IF(Table26[[#This Row],[customerSKU]]="","",_xlfn.XLOOKUP(Table26[[#This Row],[customerSKU]],Table27[customer_SKU],Table27[product_GTIN],"",0,1))</f>
        <v/>
      </c>
      <c r="Z1321" s="25" t="s">
        <v>3576</v>
      </c>
      <c r="AA1321" s="18" t="str" cm="1">
        <f t="array" ref="AA1321">IF(P1321="", "", _xlfn.XLOOKUP(P1321,#REF!,#REF!,NA,0,-1))</f>
        <v/>
      </c>
      <c r="AB1321" s="22"/>
      <c r="AC1321" s="55" t="str">
        <f>IF(Table26[[#This Row],[customerSKU]]="","",_xlfn.XLOOKUP(Table26[[#This Row],[customerSKU]],customerSKU!G:G,customerSKU!C:C,"",0,1))</f>
        <v/>
      </c>
      <c r="AD1321" s="55" t="str">
        <f>IF($AC1321="","",_xlfn.XLOOKUP($AC1321,'[2]Client Info'!$C$2:$C$2535,'[2]Client Info'!$D$2:$D$2535,"",0,1))</f>
        <v/>
      </c>
      <c r="AE1321" s="55" t="str">
        <f>IF($AC1321="","",_xlfn.XLOOKUP($AC1321,'[2]Client Info'!$C$2:$C$2715,'[2]Client Info'!$E$2:$E$2715,"",))</f>
        <v/>
      </c>
      <c r="AF1321" s="55" t="str">
        <f>IF($AC1321="","",_xlfn.XLOOKUP($AC1321,'[2]Client Info'!$C$2:$C$2715,'[2]Client Info'!$F$2:$F$2715,"",0,1))</f>
        <v/>
      </c>
      <c r="AG1321" s="55" t="str">
        <f>IF(ISBLANK(Table26[[#This Row],[customerSKU]]),"",_xlfn.XLOOKUP(Table26[[#This Row],[customerSKU]],Table27[customer_SKU],Table27[billto],"",0,1))</f>
        <v/>
      </c>
      <c r="AH1321" s="26" t="str">
        <f>_xlfn.XLOOKUP(Table26[[#This Row],[customerSKU]],customerSKU!G:G,customerSKU!K:K,"NA",0,1)</f>
        <v>NA</v>
      </c>
      <c r="AI1321" s="43" t="str">
        <f>_xlfn.XLOOKUP(Table26[[#This Row],[customerSKU]],customerSKU!G:G,customerSKU!O:O,"not found",0,1)</f>
        <v>not found</v>
      </c>
      <c r="AJ1321" s="22" t="e">
        <f>Table26[[#This Row],[unitprice]]*Table26[[#This Row],[quantity_unit]]</f>
        <v>#VALUE!</v>
      </c>
      <c r="AK1321" s="117" t="e" cm="1">
        <f t="array" ref="AK132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2" spans="1:37" ht="18" customHeight="1">
      <c r="A1322" s="42">
        <v>900</v>
      </c>
      <c r="B1322" s="42" t="s">
        <v>3357</v>
      </c>
      <c r="C1322" s="53" t="s">
        <v>203</v>
      </c>
      <c r="E1322" s="20"/>
      <c r="F13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2" s="93"/>
      <c r="I1322" s="19">
        <v>45743</v>
      </c>
      <c r="J1322" s="90" t="str">
        <f>IF(Table26[[#This Row],[customerSKU]]="","",_xlfn.XLOOKUP(Table26[[#This Row],[customerSKU]],customerSKU!G:G,customerSKU!A:A,"",0,1))</f>
        <v/>
      </c>
      <c r="K1322" s="232">
        <v>45744</v>
      </c>
      <c r="L1322" s="49" t="str">
        <f>IF(Table26[[#This Row],[customerSKU]]="","",_xlfn.XLOOKUP(Table26[[#This Row],[customerSKU]],customerSKU!G:G,customerSKU!B:B,"",0,1))</f>
        <v/>
      </c>
      <c r="M1322" s="22"/>
      <c r="N1322" s="15" t="str">
        <f>Table26[[#This Row],[po_number]]&amp;"-"&amp;Table26[[#This Row],[po_line]]</f>
        <v>-1</v>
      </c>
      <c r="O1322" s="15">
        <v>1</v>
      </c>
      <c r="P1322" s="50"/>
      <c r="Q1322" s="22" t="s">
        <v>905</v>
      </c>
      <c r="R1322" s="22" t="s">
        <v>569</v>
      </c>
      <c r="S1322" s="90" t="str">
        <f>IF(Table26[[#This Row],[customerSKU]]="","",_xlfn.XLOOKUP(Table26[[#This Row],[customerSKU]],customerSKU!G:G,customerSKU!N:N,"NOT FOUND",0,1))</f>
        <v>NOT FOUND</v>
      </c>
      <c r="T1322" s="20">
        <v>45575</v>
      </c>
      <c r="U1322" s="94">
        <v>48</v>
      </c>
      <c r="V1322" s="22" t="str">
        <f>IF(ISBLANK(Table26[[#This Row],[customerSKU]]),"",_xlfn.XLOOKUP(Table26[[#This Row],[customerSKU]],Table27[customer_SKU],Table27[case_size],"",0,1))</f>
        <v/>
      </c>
      <c r="W1322" s="117" t="str">
        <f t="shared" si="57"/>
        <v/>
      </c>
      <c r="X1322" s="22" t="str">
        <f t="shared" si="58"/>
        <v/>
      </c>
      <c r="Y1322" s="25" t="str">
        <f>IF(Table26[[#This Row],[customerSKU]]="","",_xlfn.XLOOKUP(Table26[[#This Row],[customerSKU]],Table27[customer_SKU],Table27[product_GTIN],"",0,1))</f>
        <v/>
      </c>
      <c r="Z1322" s="25">
        <v>7900386</v>
      </c>
      <c r="AA1322" s="18" t="str" cm="1">
        <f t="array" ref="AA1322">IF(P1322="", "", _xlfn.XLOOKUP(P1322,#REF!,#REF!,NA,0,-1))</f>
        <v/>
      </c>
      <c r="AB1322" s="22"/>
      <c r="AC1322" s="55" t="str">
        <f>IF(Table26[[#This Row],[customerSKU]]="","",_xlfn.XLOOKUP(Table26[[#This Row],[customerSKU]],customerSKU!G:G,customerSKU!C:C,"",0,1))</f>
        <v/>
      </c>
      <c r="AD1322" s="55" t="str">
        <f>IF($AC1322="","",_xlfn.XLOOKUP($AC1322,'[2]Client Info'!$C$2:$C$2535,'[2]Client Info'!$D$2:$D$2535,"",0,1))</f>
        <v/>
      </c>
      <c r="AE1322" s="55" t="str">
        <f>IF($AC1322="","",_xlfn.XLOOKUP($AC1322,'[2]Client Info'!$C$2:$C$2715,'[2]Client Info'!$E$2:$E$2715,"",))</f>
        <v/>
      </c>
      <c r="AF1322" s="55" t="str">
        <f>IF($AC1322="","",_xlfn.XLOOKUP($AC1322,'[2]Client Info'!$C$2:$C$2715,'[2]Client Info'!$F$2:$F$2715,"",0,1))</f>
        <v/>
      </c>
      <c r="AG1322" s="55" t="str">
        <f>IF(ISBLANK(Table26[[#This Row],[customerSKU]]),"",_xlfn.XLOOKUP(Table26[[#This Row],[customerSKU]],Table27[customer_SKU],Table27[billto],"",0,1))</f>
        <v/>
      </c>
      <c r="AH1322" s="26" t="str">
        <f>_xlfn.XLOOKUP(Table26[[#This Row],[customerSKU]],customerSKU!G:G,customerSKU!K:K,"NA",0,1)</f>
        <v>NA</v>
      </c>
      <c r="AI1322" s="43" t="str">
        <f>_xlfn.XLOOKUP(Table26[[#This Row],[customerSKU]],customerSKU!G:G,customerSKU!O:O,"not found",0,1)</f>
        <v>not found</v>
      </c>
      <c r="AJ1322" s="22" t="e">
        <f>Table26[[#This Row],[unitprice]]*Table26[[#This Row],[quantity_unit]]</f>
        <v>#VALUE!</v>
      </c>
      <c r="AK1322" s="117" t="e" cm="1">
        <f t="array" ref="AK132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3" spans="1:37" ht="18" customHeight="1">
      <c r="A1323" s="42">
        <v>901</v>
      </c>
      <c r="B1323" s="42" t="s">
        <v>3357</v>
      </c>
      <c r="C1323" s="53" t="s">
        <v>203</v>
      </c>
      <c r="E1323" s="20"/>
      <c r="F13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3" s="93"/>
      <c r="I1323" s="19">
        <v>45743</v>
      </c>
      <c r="J1323" s="90" t="str">
        <f>IF(Table26[[#This Row],[customerSKU]]="","",_xlfn.XLOOKUP(Table26[[#This Row],[customerSKU]],customerSKU!G:G,customerSKU!A:A,"",0,1))</f>
        <v/>
      </c>
      <c r="K1323" s="232">
        <v>45744</v>
      </c>
      <c r="L1323" s="49" t="str">
        <f>IF(Table26[[#This Row],[customerSKU]]="","",_xlfn.XLOOKUP(Table26[[#This Row],[customerSKU]],customerSKU!G:G,customerSKU!B:B,"",0,1))</f>
        <v/>
      </c>
      <c r="M1323" s="22"/>
      <c r="N1323" s="15" t="str">
        <f>Table26[[#This Row],[po_number]]&amp;"-"&amp;Table26[[#This Row],[po_line]]</f>
        <v>-2</v>
      </c>
      <c r="O1323" s="15">
        <v>2</v>
      </c>
      <c r="P1323" s="50"/>
      <c r="Q1323" s="22" t="s">
        <v>1312</v>
      </c>
      <c r="R1323" s="22" t="s">
        <v>569</v>
      </c>
      <c r="S1323" s="90" t="str">
        <f>IF(Table26[[#This Row],[customerSKU]]="","",_xlfn.XLOOKUP(Table26[[#This Row],[customerSKU]],customerSKU!G:G,customerSKU!N:N,"NOT FOUND",0,1))</f>
        <v>NOT FOUND</v>
      </c>
      <c r="T1323" s="20">
        <v>45660</v>
      </c>
      <c r="U1323" s="94">
        <v>48</v>
      </c>
      <c r="V1323" s="22" t="str">
        <f>IF(ISBLANK(Table26[[#This Row],[customerSKU]]),"",_xlfn.XLOOKUP(Table26[[#This Row],[customerSKU]],Table27[customer_SKU],Table27[case_size],"",0,1))</f>
        <v/>
      </c>
      <c r="W1323" s="117" t="str">
        <f t="shared" si="57"/>
        <v/>
      </c>
      <c r="X1323" s="22" t="str">
        <f t="shared" si="58"/>
        <v/>
      </c>
      <c r="Y1323" s="25" t="str">
        <f>IF(Table26[[#This Row],[customerSKU]]="","",_xlfn.XLOOKUP(Table26[[#This Row],[customerSKU]],Table27[customer_SKU],Table27[product_GTIN],"",0,1))</f>
        <v/>
      </c>
      <c r="Z1323" s="25">
        <v>7900384</v>
      </c>
      <c r="AA1323" s="18" t="str" cm="1">
        <f t="array" ref="AA1323">IF(P1323="", "", _xlfn.XLOOKUP(P1323,#REF!,#REF!,NA,0,-1))</f>
        <v/>
      </c>
      <c r="AB1323" s="22"/>
      <c r="AC1323" s="55" t="str">
        <f>IF(Table26[[#This Row],[customerSKU]]="","",_xlfn.XLOOKUP(Table26[[#This Row],[customerSKU]],customerSKU!G:G,customerSKU!C:C,"",0,1))</f>
        <v/>
      </c>
      <c r="AD1323" s="55" t="str">
        <f>IF($AC1323="","",_xlfn.XLOOKUP($AC1323,'[2]Client Info'!$C$2:$C$2535,'[2]Client Info'!$D$2:$D$2535,"",0,1))</f>
        <v/>
      </c>
      <c r="AE1323" s="55" t="str">
        <f>IF($AC1323="","",_xlfn.XLOOKUP($AC1323,'[2]Client Info'!$C$2:$C$2715,'[2]Client Info'!$E$2:$E$2715,"",))</f>
        <v/>
      </c>
      <c r="AF1323" s="55" t="str">
        <f>IF($AC1323="","",_xlfn.XLOOKUP($AC1323,'[2]Client Info'!$C$2:$C$2715,'[2]Client Info'!$F$2:$F$2715,"",0,1))</f>
        <v/>
      </c>
      <c r="AG1323" s="55" t="str">
        <f>IF(ISBLANK(Table26[[#This Row],[customerSKU]]),"",_xlfn.XLOOKUP(Table26[[#This Row],[customerSKU]],Table27[customer_SKU],Table27[billto],"",0,1))</f>
        <v/>
      </c>
      <c r="AH1323" s="26" t="str">
        <f>_xlfn.XLOOKUP(Table26[[#This Row],[customerSKU]],customerSKU!G:G,customerSKU!K:K,"NA",0,1)</f>
        <v>NA</v>
      </c>
      <c r="AI1323" s="43" t="str">
        <f>_xlfn.XLOOKUP(Table26[[#This Row],[customerSKU]],customerSKU!G:G,customerSKU!O:O,"not found",0,1)</f>
        <v>not found</v>
      </c>
      <c r="AJ1323" s="22" t="e">
        <f>Table26[[#This Row],[unitprice]]*Table26[[#This Row],[quantity_unit]]</f>
        <v>#VALUE!</v>
      </c>
      <c r="AK1323" s="117" t="e" cm="1">
        <f t="array" ref="AK132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4" spans="1:37" ht="18" customHeight="1">
      <c r="A1324" s="42">
        <v>902</v>
      </c>
      <c r="B1324" s="42" t="s">
        <v>3357</v>
      </c>
      <c r="C1324" s="53" t="s">
        <v>203</v>
      </c>
      <c r="E1324" s="20"/>
      <c r="F13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4" s="93"/>
      <c r="I1324" s="19">
        <v>45743</v>
      </c>
      <c r="J1324" s="90" t="str">
        <f>IF(Table26[[#This Row],[customerSKU]]="","",_xlfn.XLOOKUP(Table26[[#This Row],[customerSKU]],customerSKU!G:G,customerSKU!A:A,"",0,1))</f>
        <v/>
      </c>
      <c r="K1324" s="232">
        <v>45744</v>
      </c>
      <c r="L1324" s="49" t="str">
        <f>IF(Table26[[#This Row],[customerSKU]]="","",_xlfn.XLOOKUP(Table26[[#This Row],[customerSKU]],customerSKU!G:G,customerSKU!B:B,"",0,1))</f>
        <v/>
      </c>
      <c r="M1324" s="22"/>
      <c r="N1324" s="15" t="str">
        <f>Table26[[#This Row],[po_number]]&amp;"-"&amp;Table26[[#This Row],[po_line]]</f>
        <v>-3</v>
      </c>
      <c r="O1324" s="15">
        <v>3</v>
      </c>
      <c r="P1324" s="50"/>
      <c r="Q1324" s="22" t="s">
        <v>630</v>
      </c>
      <c r="R1324" s="22" t="s">
        <v>569</v>
      </c>
      <c r="S1324" s="90" t="str">
        <f>IF(Table26[[#This Row],[customerSKU]]="","",_xlfn.XLOOKUP(Table26[[#This Row],[customerSKU]],customerSKU!G:G,customerSKU!N:N,"NOT FOUND",0,1))</f>
        <v>NOT FOUND</v>
      </c>
      <c r="T1324" s="20">
        <v>45707</v>
      </c>
      <c r="U1324" s="94">
        <v>48</v>
      </c>
      <c r="V1324" s="22" t="str">
        <f>IF(ISBLANK(Table26[[#This Row],[customerSKU]]),"",_xlfn.XLOOKUP(Table26[[#This Row],[customerSKU]],Table27[customer_SKU],Table27[case_size],"",0,1))</f>
        <v/>
      </c>
      <c r="W1324" s="117" t="str">
        <f t="shared" si="57"/>
        <v/>
      </c>
      <c r="X1324" s="22" t="str">
        <f t="shared" si="58"/>
        <v/>
      </c>
      <c r="Y1324" s="25" t="str">
        <f>IF(Table26[[#This Row],[customerSKU]]="","",_xlfn.XLOOKUP(Table26[[#This Row],[customerSKU]],Table27[customer_SKU],Table27[product_GTIN],"",0,1))</f>
        <v/>
      </c>
      <c r="Z1324" s="25">
        <v>7900417</v>
      </c>
      <c r="AA1324" s="18" t="str" cm="1">
        <f t="array" ref="AA1324">IF(P1324="", "", _xlfn.XLOOKUP(P1324,#REF!,#REF!,NA,0,-1))</f>
        <v/>
      </c>
      <c r="AB1324" s="22"/>
      <c r="AC1324" s="55" t="str">
        <f>IF(Table26[[#This Row],[customerSKU]]="","",_xlfn.XLOOKUP(Table26[[#This Row],[customerSKU]],customerSKU!G:G,customerSKU!C:C,"",0,1))</f>
        <v/>
      </c>
      <c r="AD1324" s="55" t="str">
        <f>IF($AC1324="","",_xlfn.XLOOKUP($AC1324,'[2]Client Info'!$C$2:$C$2535,'[2]Client Info'!$D$2:$D$2535,"",0,1))</f>
        <v/>
      </c>
      <c r="AE1324" s="55" t="str">
        <f>IF($AC1324="","",_xlfn.XLOOKUP($AC1324,'[2]Client Info'!$C$2:$C$2715,'[2]Client Info'!$E$2:$E$2715,"",))</f>
        <v/>
      </c>
      <c r="AF1324" s="55" t="str">
        <f>IF($AC1324="","",_xlfn.XLOOKUP($AC1324,'[2]Client Info'!$C$2:$C$2715,'[2]Client Info'!$F$2:$F$2715,"",0,1))</f>
        <v/>
      </c>
      <c r="AG1324" s="55" t="str">
        <f>IF(ISBLANK(Table26[[#This Row],[customerSKU]]),"",_xlfn.XLOOKUP(Table26[[#This Row],[customerSKU]],Table27[customer_SKU],Table27[billto],"",0,1))</f>
        <v/>
      </c>
      <c r="AH1324" s="26" t="str">
        <f>_xlfn.XLOOKUP(Table26[[#This Row],[customerSKU]],customerSKU!G:G,customerSKU!K:K,"NA",0,1)</f>
        <v>NA</v>
      </c>
      <c r="AI1324" s="43" t="str">
        <f>_xlfn.XLOOKUP(Table26[[#This Row],[customerSKU]],customerSKU!G:G,customerSKU!O:O,"not found",0,1)</f>
        <v>not found</v>
      </c>
      <c r="AJ1324" s="22" t="e">
        <f>Table26[[#This Row],[unitprice]]*Table26[[#This Row],[quantity_unit]]</f>
        <v>#VALUE!</v>
      </c>
      <c r="AK1324" s="117" t="e" cm="1">
        <f t="array" ref="AK13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5" spans="1:37" ht="18" customHeight="1">
      <c r="A1325" s="42">
        <v>903</v>
      </c>
      <c r="B1325" s="42" t="s">
        <v>3357</v>
      </c>
      <c r="C1325" s="53" t="s">
        <v>203</v>
      </c>
      <c r="E1325" s="20"/>
      <c r="F13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5" s="93"/>
      <c r="I1325" s="19">
        <v>45743</v>
      </c>
      <c r="J1325" s="90" t="str">
        <f>IF(Table26[[#This Row],[customerSKU]]="","",_xlfn.XLOOKUP(Table26[[#This Row],[customerSKU]],customerSKU!G:G,customerSKU!A:A,"",0,1))</f>
        <v/>
      </c>
      <c r="K1325" s="232">
        <v>45744</v>
      </c>
      <c r="L1325" s="49" t="str">
        <f>IF(Table26[[#This Row],[customerSKU]]="","",_xlfn.XLOOKUP(Table26[[#This Row],[customerSKU]],customerSKU!G:G,customerSKU!B:B,"",0,1))</f>
        <v/>
      </c>
      <c r="M1325" s="22"/>
      <c r="N1325" s="15" t="str">
        <f>Table26[[#This Row],[po_number]]&amp;"-"&amp;Table26[[#This Row],[po_line]]</f>
        <v>-4</v>
      </c>
      <c r="O1325" s="15">
        <v>4</v>
      </c>
      <c r="P1325" s="50"/>
      <c r="Q1325" s="22" t="s">
        <v>565</v>
      </c>
      <c r="R1325" s="22" t="s">
        <v>569</v>
      </c>
      <c r="S1325" s="90" t="str">
        <f>IF(Table26[[#This Row],[customerSKU]]="","",_xlfn.XLOOKUP(Table26[[#This Row],[customerSKU]],customerSKU!G:G,customerSKU!N:N,"NOT FOUND",0,1))</f>
        <v>NOT FOUND</v>
      </c>
      <c r="T1325" s="20">
        <v>45707</v>
      </c>
      <c r="U1325" s="94">
        <v>11</v>
      </c>
      <c r="V1325" s="22" t="str">
        <f>IF(ISBLANK(Table26[[#This Row],[customerSKU]]),"",_xlfn.XLOOKUP(Table26[[#This Row],[customerSKU]],Table27[customer_SKU],Table27[case_size],"",0,1))</f>
        <v/>
      </c>
      <c r="W1325" s="117" t="str">
        <f t="shared" si="57"/>
        <v/>
      </c>
      <c r="X1325" s="22" t="str">
        <f t="shared" si="58"/>
        <v/>
      </c>
      <c r="Y1325" s="25" t="str">
        <f>IF(Table26[[#This Row],[customerSKU]]="","",_xlfn.XLOOKUP(Table26[[#This Row],[customerSKU]],Table27[customer_SKU],Table27[product_GTIN],"",0,1))</f>
        <v/>
      </c>
      <c r="Z1325" s="25">
        <v>7900446</v>
      </c>
      <c r="AA1325" s="18" t="str" cm="1">
        <f t="array" ref="AA1325">IF(P1325="", "", _xlfn.XLOOKUP(P1325,#REF!,#REF!,NA,0,-1))</f>
        <v/>
      </c>
      <c r="AB1325" s="22"/>
      <c r="AC1325" s="55" t="str">
        <f>IF(Table26[[#This Row],[customerSKU]]="","",_xlfn.XLOOKUP(Table26[[#This Row],[customerSKU]],customerSKU!G:G,customerSKU!C:C,"",0,1))</f>
        <v/>
      </c>
      <c r="AD1325" s="55" t="str">
        <f>IF($AC1325="","",_xlfn.XLOOKUP($AC1325,'[2]Client Info'!$C$2:$C$2535,'[2]Client Info'!$D$2:$D$2535,"",0,1))</f>
        <v/>
      </c>
      <c r="AE1325" s="55" t="str">
        <f>IF($AC1325="","",_xlfn.XLOOKUP($AC1325,'[2]Client Info'!$C$2:$C$2715,'[2]Client Info'!$E$2:$E$2715,"",))</f>
        <v/>
      </c>
      <c r="AF1325" s="55" t="str">
        <f>IF($AC1325="","",_xlfn.XLOOKUP($AC1325,'[2]Client Info'!$C$2:$C$2715,'[2]Client Info'!$F$2:$F$2715,"",0,1))</f>
        <v/>
      </c>
      <c r="AG1325" s="55" t="str">
        <f>IF(ISBLANK(Table26[[#This Row],[customerSKU]]),"",_xlfn.XLOOKUP(Table26[[#This Row],[customerSKU]],Table27[customer_SKU],Table27[billto],"",0,1))</f>
        <v/>
      </c>
      <c r="AH1325" s="26" t="str">
        <f>_xlfn.XLOOKUP(Table26[[#This Row],[customerSKU]],customerSKU!G:G,customerSKU!K:K,"NA",0,1)</f>
        <v>NA</v>
      </c>
      <c r="AI1325" s="43" t="str">
        <f>_xlfn.XLOOKUP(Table26[[#This Row],[customerSKU]],customerSKU!G:G,customerSKU!O:O,"not found",0,1)</f>
        <v>not found</v>
      </c>
      <c r="AJ1325" s="22" t="e">
        <f>Table26[[#This Row],[unitprice]]*Table26[[#This Row],[quantity_unit]]</f>
        <v>#VALUE!</v>
      </c>
      <c r="AK1325" s="117" t="e" cm="1">
        <f t="array" ref="AK132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6" spans="1:37" ht="18" customHeight="1">
      <c r="A1326" s="42">
        <v>904</v>
      </c>
      <c r="B1326" s="42" t="s">
        <v>3357</v>
      </c>
      <c r="C1326" s="53" t="s">
        <v>203</v>
      </c>
      <c r="E1326" s="20"/>
      <c r="F13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6" s="93"/>
      <c r="I1326" s="19">
        <v>45743</v>
      </c>
      <c r="J1326" s="90" t="str">
        <f>IF(Table26[[#This Row],[customerSKU]]="","",_xlfn.XLOOKUP(Table26[[#This Row],[customerSKU]],customerSKU!G:G,customerSKU!A:A,"",0,1))</f>
        <v/>
      </c>
      <c r="K1326" s="232">
        <v>45744</v>
      </c>
      <c r="L1326" s="49" t="str">
        <f>IF(Table26[[#This Row],[customerSKU]]="","",_xlfn.XLOOKUP(Table26[[#This Row],[customerSKU]],customerSKU!G:G,customerSKU!B:B,"",0,1))</f>
        <v/>
      </c>
      <c r="M1326" s="22"/>
      <c r="N1326" s="15" t="str">
        <f>Table26[[#This Row],[po_number]]&amp;"-"&amp;Table26[[#This Row],[po_line]]</f>
        <v>-5</v>
      </c>
      <c r="O1326" s="15">
        <v>5</v>
      </c>
      <c r="P1326" s="50"/>
      <c r="Q1326" s="22" t="s">
        <v>565</v>
      </c>
      <c r="R1326" s="22" t="s">
        <v>569</v>
      </c>
      <c r="S1326" s="90" t="str">
        <f>IF(Table26[[#This Row],[customerSKU]]="","",_xlfn.XLOOKUP(Table26[[#This Row],[customerSKU]],customerSKU!G:G,customerSKU!N:N,"NOT FOUND",0,1))</f>
        <v>NOT FOUND</v>
      </c>
      <c r="T1326" s="20">
        <v>45742</v>
      </c>
      <c r="U1326" s="94">
        <v>37</v>
      </c>
      <c r="V1326" s="22" t="str">
        <f>IF(ISBLANK(Table26[[#This Row],[customerSKU]]),"",_xlfn.XLOOKUP(Table26[[#This Row],[customerSKU]],Table27[customer_SKU],Table27[case_size],"",0,1))</f>
        <v/>
      </c>
      <c r="W1326" s="117" t="str">
        <f t="shared" si="57"/>
        <v/>
      </c>
      <c r="X1326" s="22" t="str">
        <f t="shared" si="58"/>
        <v/>
      </c>
      <c r="Y1326" s="25" t="str">
        <f>IF(Table26[[#This Row],[customerSKU]]="","",_xlfn.XLOOKUP(Table26[[#This Row],[customerSKU]],Table27[customer_SKU],Table27[product_GTIN],"",0,1))</f>
        <v/>
      </c>
      <c r="Z1326" s="25">
        <v>7900446</v>
      </c>
      <c r="AA1326" s="18" t="str" cm="1">
        <f t="array" ref="AA1326">IF(P1326="", "", _xlfn.XLOOKUP(P1326,#REF!,#REF!,NA,0,-1))</f>
        <v/>
      </c>
      <c r="AB1326" s="22"/>
      <c r="AC1326" s="55" t="str">
        <f>IF(Table26[[#This Row],[customerSKU]]="","",_xlfn.XLOOKUP(Table26[[#This Row],[customerSKU]],customerSKU!G:G,customerSKU!C:C,"",0,1))</f>
        <v/>
      </c>
      <c r="AD1326" s="55" t="str">
        <f>IF($AC1326="","",_xlfn.XLOOKUP($AC1326,'[2]Client Info'!$C$2:$C$2535,'[2]Client Info'!$D$2:$D$2535,"",0,1))</f>
        <v/>
      </c>
      <c r="AE1326" s="55" t="str">
        <f>IF($AC1326="","",_xlfn.XLOOKUP($AC1326,'[2]Client Info'!$C$2:$C$2715,'[2]Client Info'!$E$2:$E$2715,"",))</f>
        <v/>
      </c>
      <c r="AF1326" s="55" t="str">
        <f>IF($AC1326="","",_xlfn.XLOOKUP($AC1326,'[2]Client Info'!$C$2:$C$2715,'[2]Client Info'!$F$2:$F$2715,"",0,1))</f>
        <v/>
      </c>
      <c r="AG1326" s="55" t="str">
        <f>IF(ISBLANK(Table26[[#This Row],[customerSKU]]),"",_xlfn.XLOOKUP(Table26[[#This Row],[customerSKU]],Table27[customer_SKU],Table27[billto],"",0,1))</f>
        <v/>
      </c>
      <c r="AH1326" s="26" t="str">
        <f>_xlfn.XLOOKUP(Table26[[#This Row],[customerSKU]],customerSKU!G:G,customerSKU!K:K,"NA",0,1)</f>
        <v>NA</v>
      </c>
      <c r="AI1326" s="43" t="str">
        <f>_xlfn.XLOOKUP(Table26[[#This Row],[customerSKU]],customerSKU!G:G,customerSKU!O:O,"not found",0,1)</f>
        <v>not found</v>
      </c>
      <c r="AJ1326" s="22" t="e">
        <f>Table26[[#This Row],[unitprice]]*Table26[[#This Row],[quantity_unit]]</f>
        <v>#VALUE!</v>
      </c>
      <c r="AK1326" s="117" t="e" cm="1">
        <f t="array" ref="AK132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7" spans="1:37" ht="18" customHeight="1">
      <c r="A1327" s="42">
        <v>905</v>
      </c>
      <c r="B1327" s="42" t="s">
        <v>3357</v>
      </c>
      <c r="C1327" s="53" t="s">
        <v>203</v>
      </c>
      <c r="E1327" s="20"/>
      <c r="F13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7" s="93"/>
      <c r="I1327" s="19">
        <v>45743</v>
      </c>
      <c r="J1327" s="90" t="str">
        <f>IF(Table26[[#This Row],[customerSKU]]="","",_xlfn.XLOOKUP(Table26[[#This Row],[customerSKU]],customerSKU!G:G,customerSKU!A:A,"",0,1))</f>
        <v/>
      </c>
      <c r="K1327" s="232">
        <v>45744</v>
      </c>
      <c r="L1327" s="49" t="str">
        <f>IF(Table26[[#This Row],[customerSKU]]="","",_xlfn.XLOOKUP(Table26[[#This Row],[customerSKU]],customerSKU!G:G,customerSKU!B:B,"",0,1))</f>
        <v/>
      </c>
      <c r="M1327" s="22"/>
      <c r="N1327" s="15" t="str">
        <f>Table26[[#This Row],[po_number]]&amp;"-"&amp;Table26[[#This Row],[po_line]]</f>
        <v>-6</v>
      </c>
      <c r="O1327" s="15">
        <v>6</v>
      </c>
      <c r="P1327" s="50"/>
      <c r="Q1327" s="22" t="s">
        <v>1313</v>
      </c>
      <c r="R1327" s="22" t="s">
        <v>569</v>
      </c>
      <c r="S1327" s="90" t="str">
        <f>IF(Table26[[#This Row],[customerSKU]]="","",_xlfn.XLOOKUP(Table26[[#This Row],[customerSKU]],customerSKU!G:G,customerSKU!N:N,"NOT FOUND",0,1))</f>
        <v>NOT FOUND</v>
      </c>
      <c r="T1327" s="20">
        <v>45575</v>
      </c>
      <c r="U1327" s="94">
        <v>48</v>
      </c>
      <c r="V1327" s="22" t="str">
        <f>IF(ISBLANK(Table26[[#This Row],[customerSKU]]),"",_xlfn.XLOOKUP(Table26[[#This Row],[customerSKU]],Table27[customer_SKU],Table27[case_size],"",0,1))</f>
        <v/>
      </c>
      <c r="W1327" s="117" t="str">
        <f t="shared" si="57"/>
        <v/>
      </c>
      <c r="X1327" s="22" t="str">
        <f t="shared" si="58"/>
        <v/>
      </c>
      <c r="Y1327" s="25" t="str">
        <f>IF(Table26[[#This Row],[customerSKU]]="","",_xlfn.XLOOKUP(Table26[[#This Row],[customerSKU]],Table27[customer_SKU],Table27[product_GTIN],"",0,1))</f>
        <v/>
      </c>
      <c r="Z1327" s="25" t="s">
        <v>3414</v>
      </c>
      <c r="AA1327" s="18" t="str" cm="1">
        <f t="array" ref="AA1327">IF(P1327="", "", _xlfn.XLOOKUP(P1327,#REF!,#REF!,NA,0,-1))</f>
        <v/>
      </c>
      <c r="AB1327" s="22"/>
      <c r="AC1327" s="55" t="str">
        <f>IF(Table26[[#This Row],[customerSKU]]="","",_xlfn.XLOOKUP(Table26[[#This Row],[customerSKU]],customerSKU!G:G,customerSKU!C:C,"",0,1))</f>
        <v/>
      </c>
      <c r="AD1327" s="55" t="str">
        <f>IF($AC1327="","",_xlfn.XLOOKUP($AC1327,'[2]Client Info'!$C$2:$C$2535,'[2]Client Info'!$D$2:$D$2535,"",0,1))</f>
        <v/>
      </c>
      <c r="AE1327" s="55" t="str">
        <f>IF($AC1327="","",_xlfn.XLOOKUP($AC1327,'[2]Client Info'!$C$2:$C$2715,'[2]Client Info'!$E$2:$E$2715,"",))</f>
        <v/>
      </c>
      <c r="AF1327" s="55" t="str">
        <f>IF($AC1327="","",_xlfn.XLOOKUP($AC1327,'[2]Client Info'!$C$2:$C$2715,'[2]Client Info'!$F$2:$F$2715,"",0,1))</f>
        <v/>
      </c>
      <c r="AG1327" s="55" t="str">
        <f>IF(ISBLANK(Table26[[#This Row],[customerSKU]]),"",_xlfn.XLOOKUP(Table26[[#This Row],[customerSKU]],Table27[customer_SKU],Table27[billto],"",0,1))</f>
        <v/>
      </c>
      <c r="AH1327" s="26" t="str">
        <f>_xlfn.XLOOKUP(Table26[[#This Row],[customerSKU]],customerSKU!G:G,customerSKU!K:K,"NA",0,1)</f>
        <v>NA</v>
      </c>
      <c r="AI1327" s="43" t="str">
        <f>_xlfn.XLOOKUP(Table26[[#This Row],[customerSKU]],customerSKU!G:G,customerSKU!O:O,"not found",0,1)</f>
        <v>not found</v>
      </c>
      <c r="AJ1327" s="22" t="e">
        <f>Table26[[#This Row],[unitprice]]*Table26[[#This Row],[quantity_unit]]</f>
        <v>#VALUE!</v>
      </c>
      <c r="AK1327" s="117" t="e" cm="1">
        <f t="array" ref="AK132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8" spans="1:37" ht="18" customHeight="1">
      <c r="A1328" s="42">
        <v>906</v>
      </c>
      <c r="B1328" s="42" t="s">
        <v>3357</v>
      </c>
      <c r="C1328" s="53" t="s">
        <v>203</v>
      </c>
      <c r="E1328" s="20"/>
      <c r="F13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8" s="93"/>
      <c r="I1328" s="19">
        <v>45743</v>
      </c>
      <c r="J1328" s="90" t="str">
        <f>IF(Table26[[#This Row],[customerSKU]]="","",_xlfn.XLOOKUP(Table26[[#This Row],[customerSKU]],customerSKU!G:G,customerSKU!A:A,"",0,1))</f>
        <v/>
      </c>
      <c r="K1328" s="232">
        <v>45744</v>
      </c>
      <c r="L1328" s="49" t="str">
        <f>IF(Table26[[#This Row],[customerSKU]]="","",_xlfn.XLOOKUP(Table26[[#This Row],[customerSKU]],customerSKU!G:G,customerSKU!B:B,"",0,1))</f>
        <v/>
      </c>
      <c r="M1328" s="22"/>
      <c r="N1328" s="15" t="str">
        <f>Table26[[#This Row],[po_number]]&amp;"-"&amp;Table26[[#This Row],[po_line]]</f>
        <v>-7</v>
      </c>
      <c r="O1328" s="15">
        <v>7</v>
      </c>
      <c r="P1328" s="50"/>
      <c r="Q1328" s="22" t="s">
        <v>3415</v>
      </c>
      <c r="R1328" s="22" t="s">
        <v>569</v>
      </c>
      <c r="S1328" s="90" t="str">
        <f>IF(Table26[[#This Row],[customerSKU]]="","",_xlfn.XLOOKUP(Table26[[#This Row],[customerSKU]],customerSKU!G:G,customerSKU!N:N,"NOT FOUND",0,1))</f>
        <v>NOT FOUND</v>
      </c>
      <c r="T1328" s="20">
        <v>45674</v>
      </c>
      <c r="U1328" s="94">
        <v>14</v>
      </c>
      <c r="V1328" s="22" t="str">
        <f>IF(ISBLANK(Table26[[#This Row],[customerSKU]]),"",_xlfn.XLOOKUP(Table26[[#This Row],[customerSKU]],Table27[customer_SKU],Table27[case_size],"",0,1))</f>
        <v/>
      </c>
      <c r="W1328" s="117" t="str">
        <f t="shared" si="57"/>
        <v/>
      </c>
      <c r="X1328" s="22" t="str">
        <f t="shared" si="58"/>
        <v/>
      </c>
      <c r="Y1328" s="25" t="str">
        <f>IF(Table26[[#This Row],[customerSKU]]="","",_xlfn.XLOOKUP(Table26[[#This Row],[customerSKU]],Table27[customer_SKU],Table27[product_GTIN],"",0,1))</f>
        <v/>
      </c>
      <c r="Z1328" s="25">
        <v>7900357</v>
      </c>
      <c r="AA1328" s="18" t="str" cm="1">
        <f t="array" ref="AA1328">IF(P1328="", "", _xlfn.XLOOKUP(P1328,#REF!,#REF!,NA,0,-1))</f>
        <v/>
      </c>
      <c r="AB1328" s="22"/>
      <c r="AC1328" s="55" t="str">
        <f>IF(Table26[[#This Row],[customerSKU]]="","",_xlfn.XLOOKUP(Table26[[#This Row],[customerSKU]],customerSKU!G:G,customerSKU!C:C,"",0,1))</f>
        <v/>
      </c>
      <c r="AD1328" s="55" t="str">
        <f>IF($AC1328="","",_xlfn.XLOOKUP($AC1328,'[2]Client Info'!$C$2:$C$2535,'[2]Client Info'!$D$2:$D$2535,"",0,1))</f>
        <v/>
      </c>
      <c r="AE1328" s="55" t="str">
        <f>IF($AC1328="","",_xlfn.XLOOKUP($AC1328,'[2]Client Info'!$C$2:$C$2715,'[2]Client Info'!$E$2:$E$2715,"",))</f>
        <v/>
      </c>
      <c r="AF1328" s="55" t="str">
        <f>IF($AC1328="","",_xlfn.XLOOKUP($AC1328,'[2]Client Info'!$C$2:$C$2715,'[2]Client Info'!$F$2:$F$2715,"",0,1))</f>
        <v/>
      </c>
      <c r="AG1328" s="55" t="str">
        <f>IF(ISBLANK(Table26[[#This Row],[customerSKU]]),"",_xlfn.XLOOKUP(Table26[[#This Row],[customerSKU]],Table27[customer_SKU],Table27[billto],"",0,1))</f>
        <v/>
      </c>
      <c r="AH1328" s="26" t="str">
        <f>_xlfn.XLOOKUP(Table26[[#This Row],[customerSKU]],customerSKU!G:G,customerSKU!K:K,"NA",0,1)</f>
        <v>NA</v>
      </c>
      <c r="AI1328" s="43" t="str">
        <f>_xlfn.XLOOKUP(Table26[[#This Row],[customerSKU]],customerSKU!G:G,customerSKU!O:O,"not found",0,1)</f>
        <v>not found</v>
      </c>
      <c r="AJ1328" s="22" t="e">
        <f>Table26[[#This Row],[unitprice]]*Table26[[#This Row],[quantity_unit]]</f>
        <v>#VALUE!</v>
      </c>
      <c r="AK1328" s="117" t="e" cm="1">
        <f t="array" ref="AK132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29" spans="1:37" ht="18" customHeight="1">
      <c r="A1329" s="42">
        <v>907</v>
      </c>
      <c r="B1329" s="42" t="s">
        <v>3357</v>
      </c>
      <c r="C1329" s="53" t="s">
        <v>203</v>
      </c>
      <c r="E1329" s="20"/>
      <c r="F13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29" s="93"/>
      <c r="I1329" s="19">
        <v>45743</v>
      </c>
      <c r="J1329" s="90" t="str">
        <f>IF(Table26[[#This Row],[customerSKU]]="","",_xlfn.XLOOKUP(Table26[[#This Row],[customerSKU]],customerSKU!G:G,customerSKU!A:A,"",0,1))</f>
        <v/>
      </c>
      <c r="K1329" s="232">
        <v>45744</v>
      </c>
      <c r="L1329" s="49" t="str">
        <f>IF(Table26[[#This Row],[customerSKU]]="","",_xlfn.XLOOKUP(Table26[[#This Row],[customerSKU]],customerSKU!G:G,customerSKU!B:B,"",0,1))</f>
        <v/>
      </c>
      <c r="M1329" s="22"/>
      <c r="N1329" s="15" t="str">
        <f>Table26[[#This Row],[po_number]]&amp;"-"&amp;Table26[[#This Row],[po_line]]</f>
        <v>-8</v>
      </c>
      <c r="O1329" s="15">
        <v>8</v>
      </c>
      <c r="P1329" s="50"/>
      <c r="Q1329" s="22" t="s">
        <v>525</v>
      </c>
      <c r="R1329" s="22" t="s">
        <v>569</v>
      </c>
      <c r="S1329" s="90" t="str">
        <f>IF(Table26[[#This Row],[customerSKU]]="","",_xlfn.XLOOKUP(Table26[[#This Row],[customerSKU]],customerSKU!G:G,customerSKU!N:N,"NOT FOUND",0,1))</f>
        <v>NOT FOUND</v>
      </c>
      <c r="T1329" s="20">
        <v>45588</v>
      </c>
      <c r="U1329" s="94">
        <v>22</v>
      </c>
      <c r="V1329" s="22" t="str">
        <f>IF(ISBLANK(Table26[[#This Row],[customerSKU]]),"",_xlfn.XLOOKUP(Table26[[#This Row],[customerSKU]],Table27[customer_SKU],Table27[case_size],"",0,1))</f>
        <v/>
      </c>
      <c r="W1329" s="117" t="str">
        <f t="shared" si="57"/>
        <v/>
      </c>
      <c r="X1329" s="22" t="str">
        <f t="shared" si="58"/>
        <v/>
      </c>
      <c r="Y1329" s="25" t="str">
        <f>IF(Table26[[#This Row],[customerSKU]]="","",_xlfn.XLOOKUP(Table26[[#This Row],[customerSKU]],Table27[customer_SKU],Table27[product_GTIN],"",0,1))</f>
        <v/>
      </c>
      <c r="Z1329" s="25">
        <v>7900357</v>
      </c>
      <c r="AA1329" s="18" t="str" cm="1">
        <f t="array" ref="AA1329">IF(P1329="", "", _xlfn.XLOOKUP(P1329,#REF!,#REF!,NA,0,-1))</f>
        <v/>
      </c>
      <c r="AB1329" s="22"/>
      <c r="AC1329" s="55" t="str">
        <f>IF(Table26[[#This Row],[customerSKU]]="","",_xlfn.XLOOKUP(Table26[[#This Row],[customerSKU]],customerSKU!G:G,customerSKU!C:C,"",0,1))</f>
        <v/>
      </c>
      <c r="AD1329" s="55" t="str">
        <f>IF($AC1329="","",_xlfn.XLOOKUP($AC1329,'[2]Client Info'!$C$2:$C$2535,'[2]Client Info'!$D$2:$D$2535,"",0,1))</f>
        <v/>
      </c>
      <c r="AE1329" s="55" t="str">
        <f>IF($AC1329="","",_xlfn.XLOOKUP($AC1329,'[2]Client Info'!$C$2:$C$2715,'[2]Client Info'!$E$2:$E$2715,"",))</f>
        <v/>
      </c>
      <c r="AF1329" s="55" t="str">
        <f>IF($AC1329="","",_xlfn.XLOOKUP($AC1329,'[2]Client Info'!$C$2:$C$2715,'[2]Client Info'!$F$2:$F$2715,"",0,1))</f>
        <v/>
      </c>
      <c r="AG1329" s="55" t="str">
        <f>IF(ISBLANK(Table26[[#This Row],[customerSKU]]),"",_xlfn.XLOOKUP(Table26[[#This Row],[customerSKU]],Table27[customer_SKU],Table27[billto],"",0,1))</f>
        <v/>
      </c>
      <c r="AH1329" s="26" t="str">
        <f>_xlfn.XLOOKUP(Table26[[#This Row],[customerSKU]],customerSKU!G:G,customerSKU!K:K,"NA",0,1)</f>
        <v>NA</v>
      </c>
      <c r="AI1329" s="43" t="str">
        <f>_xlfn.XLOOKUP(Table26[[#This Row],[customerSKU]],customerSKU!G:G,customerSKU!O:O,"not found",0,1)</f>
        <v>not found</v>
      </c>
      <c r="AJ1329" s="22" t="e">
        <f>Table26[[#This Row],[unitprice]]*Table26[[#This Row],[quantity_unit]]</f>
        <v>#VALUE!</v>
      </c>
      <c r="AK1329" s="117" t="e" cm="1">
        <f t="array" ref="AK132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0" spans="1:37" ht="18" customHeight="1">
      <c r="A1330" s="42">
        <v>908</v>
      </c>
      <c r="B1330" s="42" t="s">
        <v>3357</v>
      </c>
      <c r="C1330" s="53" t="s">
        <v>203</v>
      </c>
      <c r="E1330" s="20"/>
      <c r="F13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30" s="93"/>
      <c r="I1330" s="19">
        <v>45743</v>
      </c>
      <c r="J1330" s="90" t="str">
        <f>IF(Table26[[#This Row],[customerSKU]]="","",_xlfn.XLOOKUP(Table26[[#This Row],[customerSKU]],customerSKU!G:G,customerSKU!A:A,"",0,1))</f>
        <v/>
      </c>
      <c r="K1330" s="232">
        <v>45744</v>
      </c>
      <c r="L1330" s="49" t="str">
        <f>IF(Table26[[#This Row],[customerSKU]]="","",_xlfn.XLOOKUP(Table26[[#This Row],[customerSKU]],customerSKU!G:G,customerSKU!B:B,"",0,1))</f>
        <v/>
      </c>
      <c r="M1330" s="22"/>
      <c r="N1330" s="15" t="str">
        <f>Table26[[#This Row],[po_number]]&amp;"-"&amp;Table26[[#This Row],[po_line]]</f>
        <v>-1</v>
      </c>
      <c r="O1330" s="15">
        <v>1</v>
      </c>
      <c r="P1330" s="50"/>
      <c r="Q1330" s="22" t="s">
        <v>1609</v>
      </c>
      <c r="R1330" s="22" t="s">
        <v>569</v>
      </c>
      <c r="S1330" s="90" t="str">
        <f>IF(Table26[[#This Row],[customerSKU]]="","",_xlfn.XLOOKUP(Table26[[#This Row],[customerSKU]],customerSKU!G:G,customerSKU!N:N,"NOT FOUND",0,1))</f>
        <v>NOT FOUND</v>
      </c>
      <c r="T1330" s="20">
        <v>45728</v>
      </c>
      <c r="U1330" s="94">
        <v>24</v>
      </c>
      <c r="V1330" s="22" t="str">
        <f>IF(ISBLANK(Table26[[#This Row],[customerSKU]]),"",_xlfn.XLOOKUP(Table26[[#This Row],[customerSKU]],Table27[customer_SKU],Table27[case_size],"",0,1))</f>
        <v/>
      </c>
      <c r="W1330" s="117" t="str">
        <f t="shared" si="57"/>
        <v/>
      </c>
      <c r="X1330" s="22" t="str">
        <f t="shared" si="58"/>
        <v/>
      </c>
      <c r="Y1330" s="25" t="str">
        <f>IF(Table26[[#This Row],[customerSKU]]="","",_xlfn.XLOOKUP(Table26[[#This Row],[customerSKU]],Table27[customer_SKU],Table27[product_GTIN],"",0,1))</f>
        <v/>
      </c>
      <c r="Z1330" s="25" t="s">
        <v>3416</v>
      </c>
      <c r="AA1330" s="18" t="str" cm="1">
        <f t="array" ref="AA1330">IF(P1330="", "", _xlfn.XLOOKUP(P1330,#REF!,#REF!,NA,0,-1))</f>
        <v/>
      </c>
      <c r="AB1330" s="22"/>
      <c r="AC1330" s="55" t="s">
        <v>3375</v>
      </c>
      <c r="AD1330" s="55" t="str">
        <f>IF($AC1330="","",_xlfn.XLOOKUP($AC1330,'[2]Client Info'!$C$2:$C$2535,'[2]Client Info'!$D$2:$D$2535,"",0,1))</f>
        <v>102-8860 201 Street</v>
      </c>
      <c r="AE1330" s="55" t="str">
        <f>IF($AC1330="","",_xlfn.XLOOKUP($AC1330,'[2]Client Info'!$C$2:$C$2715,'[2]Client Info'!$E$2:$E$2715,"",))</f>
        <v>Langley</v>
      </c>
      <c r="AF1330" s="55" t="str">
        <f>IF($AC1330="","",_xlfn.XLOOKUP($AC1330,'[2]Client Info'!$C$2:$C$2715,'[2]Client Info'!$F$2:$F$2715,"",0,1))</f>
        <v xml:space="preserve">BC </v>
      </c>
      <c r="AG1330" s="55" t="s">
        <v>3375</v>
      </c>
      <c r="AH1330" s="26" t="str">
        <f>_xlfn.XLOOKUP(Table26[[#This Row],[customerSKU]],customerSKU!G:G,customerSKU!K:K,"NA",0,1)</f>
        <v>NA</v>
      </c>
      <c r="AI1330" s="43" t="str">
        <f>_xlfn.XLOOKUP(Table26[[#This Row],[customerSKU]],customerSKU!G:G,customerSKU!O:O,"not found",0,1)</f>
        <v>not found</v>
      </c>
      <c r="AJ1330" s="22" t="e">
        <f>Table26[[#This Row],[unitprice]]*Table26[[#This Row],[quantity_unit]]</f>
        <v>#VALUE!</v>
      </c>
      <c r="AK1330" s="117" t="e" cm="1">
        <f t="array" ref="AK133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1" spans="1:37" ht="24.6" customHeight="1">
      <c r="A1331" s="42">
        <v>909</v>
      </c>
      <c r="B1331" s="42" t="s">
        <v>3357</v>
      </c>
      <c r="C1331" s="53" t="s">
        <v>203</v>
      </c>
      <c r="E1331" s="20"/>
      <c r="F13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31" s="93"/>
      <c r="I1331" s="19">
        <v>45743</v>
      </c>
      <c r="J1331" s="90" t="str">
        <f>IF(Table26[[#This Row],[customerSKU]]="","",_xlfn.XLOOKUP(Table26[[#This Row],[customerSKU]],customerSKU!G:G,customerSKU!A:A,"",0,1))</f>
        <v/>
      </c>
      <c r="K1331" s="232">
        <v>45744</v>
      </c>
      <c r="L1331" s="49" t="str">
        <f>IF(Table26[[#This Row],[customerSKU]]="","",_xlfn.XLOOKUP(Table26[[#This Row],[customerSKU]],customerSKU!G:G,customerSKU!B:B,"",0,1))</f>
        <v/>
      </c>
      <c r="M1331" s="22"/>
      <c r="N1331" s="15" t="str">
        <f>Table26[[#This Row],[po_number]]&amp;"-"&amp;Table26[[#This Row],[po_line]]</f>
        <v>-2</v>
      </c>
      <c r="O1331" s="15">
        <v>2</v>
      </c>
      <c r="P1331" s="50"/>
      <c r="Q1331" s="22" t="s">
        <v>1591</v>
      </c>
      <c r="R1331" s="22" t="s">
        <v>569</v>
      </c>
      <c r="S1331" s="90" t="str">
        <f>IF(Table26[[#This Row],[customerSKU]]="","",_xlfn.XLOOKUP(Table26[[#This Row],[customerSKU]],customerSKU!G:G,customerSKU!N:N,"NOT FOUND",0,1))</f>
        <v>NOT FOUND</v>
      </c>
      <c r="T1331" s="20">
        <v>45742</v>
      </c>
      <c r="U1331" s="94">
        <v>24</v>
      </c>
      <c r="V1331" s="22" t="str">
        <f>IF(ISBLANK(Table26[[#This Row],[customerSKU]]),"",_xlfn.XLOOKUP(Table26[[#This Row],[customerSKU]],Table27[customer_SKU],Table27[case_size],"",0,1))</f>
        <v/>
      </c>
      <c r="W1331" s="117" t="str">
        <f t="shared" si="57"/>
        <v/>
      </c>
      <c r="X1331" s="22" t="str">
        <f t="shared" si="58"/>
        <v/>
      </c>
      <c r="Y1331" s="25" t="str">
        <f>IF(Table26[[#This Row],[customerSKU]]="","",_xlfn.XLOOKUP(Table26[[#This Row],[customerSKU]],Table27[customer_SKU],Table27[product_GTIN],"",0,1))</f>
        <v/>
      </c>
      <c r="Z1331" s="25" t="s">
        <v>3372</v>
      </c>
      <c r="AA1331" s="18" t="str" cm="1">
        <f t="array" ref="AA1331">IF(P1331="", "", _xlfn.XLOOKUP(P1331,#REF!,#REF!,NA,0,-1))</f>
        <v/>
      </c>
      <c r="AB1331" s="22"/>
      <c r="AC1331" s="55" t="s">
        <v>3375</v>
      </c>
      <c r="AD1331" s="55" t="str">
        <f>IF($AC1331="","",_xlfn.XLOOKUP($AC1331,'[2]Client Info'!$C$2:$C$2535,'[2]Client Info'!$D$2:$D$2535,"",0,1))</f>
        <v>102-8860 201 Street</v>
      </c>
      <c r="AE1331" s="55" t="str">
        <f>IF($AC1331="","",_xlfn.XLOOKUP($AC1331,'[2]Client Info'!$C$2:$C$2715,'[2]Client Info'!$E$2:$E$2715,"",))</f>
        <v>Langley</v>
      </c>
      <c r="AF1331" s="55" t="str">
        <f>IF($AC1331="","",_xlfn.XLOOKUP($AC1331,'[2]Client Info'!$C$2:$C$2715,'[2]Client Info'!$F$2:$F$2715,"",0,1))</f>
        <v xml:space="preserve">BC </v>
      </c>
      <c r="AG1331" s="55" t="s">
        <v>3375</v>
      </c>
      <c r="AH1331" s="26" t="str">
        <f>_xlfn.XLOOKUP(Table26[[#This Row],[customerSKU]],customerSKU!G:G,customerSKU!K:K,"NA",0,1)</f>
        <v>NA</v>
      </c>
      <c r="AI1331" s="43" t="str">
        <f>_xlfn.XLOOKUP(Table26[[#This Row],[customerSKU]],customerSKU!G:G,customerSKU!O:O,"not found",0,1)</f>
        <v>not found</v>
      </c>
      <c r="AJ1331" s="22" t="e">
        <f>Table26[[#This Row],[unitprice]]*Table26[[#This Row],[quantity_unit]]</f>
        <v>#VALUE!</v>
      </c>
      <c r="AK1331" s="117" t="e" cm="1">
        <f t="array" ref="AK133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2" spans="1:37" ht="18" customHeight="1">
      <c r="A1332" s="42">
        <v>910</v>
      </c>
      <c r="B1332" s="42" t="s">
        <v>3357</v>
      </c>
      <c r="C1332" s="53" t="s">
        <v>203</v>
      </c>
      <c r="E1332" s="20"/>
      <c r="F13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32" s="93"/>
      <c r="I1332" s="19">
        <v>45743</v>
      </c>
      <c r="J1332" s="90" t="str">
        <f>IF(Table26[[#This Row],[customerSKU]]="","",_xlfn.XLOOKUP(Table26[[#This Row],[customerSKU]],customerSKU!G:G,customerSKU!A:A,"",0,1))</f>
        <v/>
      </c>
      <c r="K1332" s="232">
        <v>45744</v>
      </c>
      <c r="L1332" s="49" t="str">
        <f>IF(Table26[[#This Row],[customerSKU]]="","",_xlfn.XLOOKUP(Table26[[#This Row],[customerSKU]],customerSKU!G:G,customerSKU!B:B,"",0,1))</f>
        <v/>
      </c>
      <c r="M1332" s="22"/>
      <c r="N1332" s="15" t="str">
        <f>Table26[[#This Row],[po_number]]&amp;"-"&amp;Table26[[#This Row],[po_line]]</f>
        <v>-3</v>
      </c>
      <c r="O1332" s="15">
        <v>3</v>
      </c>
      <c r="P1332" s="50"/>
      <c r="Q1332" s="22" t="s">
        <v>3388</v>
      </c>
      <c r="R1332" s="22" t="s">
        <v>569</v>
      </c>
      <c r="S1332" s="90" t="str">
        <f>IF(Table26[[#This Row],[customerSKU]]="","",_xlfn.XLOOKUP(Table26[[#This Row],[customerSKU]],customerSKU!G:G,customerSKU!N:N,"NOT FOUND",0,1))</f>
        <v>NOT FOUND</v>
      </c>
      <c r="T1332" s="20">
        <v>45692</v>
      </c>
      <c r="U1332" s="94">
        <v>24</v>
      </c>
      <c r="V1332" s="22" t="str">
        <f>IF(ISBLANK(Table26[[#This Row],[customerSKU]]),"",_xlfn.XLOOKUP(Table26[[#This Row],[customerSKU]],Table27[customer_SKU],Table27[case_size],"",0,1))</f>
        <v/>
      </c>
      <c r="W1332" s="117" t="str">
        <f t="shared" si="57"/>
        <v/>
      </c>
      <c r="X1332" s="22" t="str">
        <f t="shared" si="58"/>
        <v/>
      </c>
      <c r="Y1332" s="25" t="str">
        <f>IF(Table26[[#This Row],[customerSKU]]="","",_xlfn.XLOOKUP(Table26[[#This Row],[customerSKU]],Table27[customer_SKU],Table27[product_GTIN],"",0,1))</f>
        <v/>
      </c>
      <c r="Z1332" s="25" t="s">
        <v>3389</v>
      </c>
      <c r="AA1332" s="18" t="str" cm="1">
        <f t="array" ref="AA1332">IF(P1332="", "", _xlfn.XLOOKUP(P1332,#REF!,#REF!,NA,0,-1))</f>
        <v/>
      </c>
      <c r="AB1332" s="22"/>
      <c r="AC1332" s="55" t="s">
        <v>3375</v>
      </c>
      <c r="AD1332" s="55" t="str">
        <f>IF($AC1332="","",_xlfn.XLOOKUP($AC1332,'[2]Client Info'!$C$2:$C$2535,'[2]Client Info'!$D$2:$D$2535,"",0,1))</f>
        <v>102-8860 201 Street</v>
      </c>
      <c r="AE1332" s="55" t="str">
        <f>IF($AC1332="","",_xlfn.XLOOKUP($AC1332,'[2]Client Info'!$C$2:$C$2715,'[2]Client Info'!$E$2:$E$2715,"",))</f>
        <v>Langley</v>
      </c>
      <c r="AF1332" s="55" t="str">
        <f>IF($AC1332="","",_xlfn.XLOOKUP($AC1332,'[2]Client Info'!$C$2:$C$2715,'[2]Client Info'!$F$2:$F$2715,"",0,1))</f>
        <v xml:space="preserve">BC </v>
      </c>
      <c r="AG1332" s="55" t="s">
        <v>3375</v>
      </c>
      <c r="AH1332" s="26" t="str">
        <f>_xlfn.XLOOKUP(Table26[[#This Row],[customerSKU]],customerSKU!G:G,customerSKU!K:K,"NA",0,1)</f>
        <v>NA</v>
      </c>
      <c r="AI1332" s="43" t="str">
        <f>_xlfn.XLOOKUP(Table26[[#This Row],[customerSKU]],customerSKU!G:G,customerSKU!O:O,"not found",0,1)</f>
        <v>not found</v>
      </c>
      <c r="AJ1332" s="22" t="e">
        <f>Table26[[#This Row],[unitprice]]*Table26[[#This Row],[quantity_unit]]</f>
        <v>#VALUE!</v>
      </c>
      <c r="AK1332" s="117" t="e" cm="1">
        <f t="array" ref="AK133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3" spans="1:37" ht="18" customHeight="1">
      <c r="A1333" s="42">
        <v>911</v>
      </c>
      <c r="B1333" s="42" t="s">
        <v>3357</v>
      </c>
      <c r="C1333" s="53" t="s">
        <v>203</v>
      </c>
      <c r="E1333" s="20"/>
      <c r="F1333" s="25"/>
      <c r="G1333" s="93"/>
      <c r="J1333" s="90" t="str">
        <f>IF(Table26[[#This Row],[customerSKU]]="","",_xlfn.XLOOKUP(Table26[[#This Row],[customerSKU]],customerSKU!G:G,customerSKU!A:A,"",0,1))</f>
        <v/>
      </c>
      <c r="K1333" s="232">
        <v>45744</v>
      </c>
      <c r="L1333" s="49" t="str">
        <f>IF(Table26[[#This Row],[customerSKU]]="","",_xlfn.XLOOKUP(Table26[[#This Row],[customerSKU]],customerSKU!G:G,customerSKU!B:B,"",0,1))</f>
        <v/>
      </c>
      <c r="M1333" s="22"/>
      <c r="N1333" s="15" t="str">
        <f>Table26[[#This Row],[po_number]]&amp;"-"&amp;Table26[[#This Row],[po_line]]</f>
        <v>-1</v>
      </c>
      <c r="O1333" s="15">
        <v>1</v>
      </c>
      <c r="P1333" s="50"/>
      <c r="Q1333" s="22" t="s">
        <v>659</v>
      </c>
      <c r="R1333" s="22" t="s">
        <v>3419</v>
      </c>
      <c r="S1333" s="90" t="str">
        <f>IF(Table26[[#This Row],[customerSKU]]="","",_xlfn.XLOOKUP(Table26[[#This Row],[customerSKU]],customerSKU!G:G,customerSKU!N:N,"NOT FOUND",0,1))</f>
        <v>NOT FOUND</v>
      </c>
      <c r="T1333" s="20">
        <v>45638</v>
      </c>
      <c r="U1333" s="94">
        <v>120</v>
      </c>
      <c r="V1333" s="22" t="str">
        <f>IF(ISBLANK(Table26[[#This Row],[customerSKU]]),"",_xlfn.XLOOKUP(Table26[[#This Row],[customerSKU]],Table27[customer_SKU],Table27[case_size],"",0,1))</f>
        <v/>
      </c>
      <c r="W1333" s="117">
        <v>1</v>
      </c>
      <c r="X1333" s="22" t="str">
        <f t="shared" si="58"/>
        <v/>
      </c>
      <c r="Y1333" s="25" t="str">
        <f>IF(Table26[[#This Row],[customerSKU]]="","",_xlfn.XLOOKUP(Table26[[#This Row],[customerSKU]],Table27[customer_SKU],Table27[product_GTIN],"",0,1))</f>
        <v/>
      </c>
      <c r="Z1333" s="25" t="s">
        <v>3560</v>
      </c>
      <c r="AA1333" s="18" t="str" cm="1">
        <f t="array" ref="AA1333">IF(P1333="", "", _xlfn.XLOOKUP(P1333,#REF!,#REF!,NA,0,-1))</f>
        <v/>
      </c>
      <c r="AB1333" s="22"/>
      <c r="AC1333" s="55" t="s">
        <v>19</v>
      </c>
      <c r="AD1333" s="55" t="str">
        <f>IF($AC1333="","",_xlfn.XLOOKUP($AC1333,'[2]Client Info'!$C$2:$C$2535,'[2]Client Info'!$D$2:$D$2535,"",0,1))</f>
        <v>58, rue de la Pépinière,</v>
      </c>
      <c r="AE1333" s="55" t="str">
        <f>IF($AC1333="","",_xlfn.XLOOKUP($AC1333,'[2]Client Info'!$C$2:$C$2715,'[2]Client Info'!$E$2:$E$2715,"",))</f>
        <v>Saint-Jean-sur-Richelieu</v>
      </c>
      <c r="AF1333" s="55" t="str">
        <f>IF($AC1333="","",_xlfn.XLOOKUP($AC1333,'[2]Client Info'!$C$2:$C$2715,'[2]Client Info'!$F$2:$F$2715,"",0,1))</f>
        <v>QC</v>
      </c>
      <c r="AG1333" s="55" t="s">
        <v>19</v>
      </c>
      <c r="AH1333" s="26" t="str">
        <f>_xlfn.XLOOKUP(Table26[[#This Row],[customerSKU]],customerSKU!G:G,customerSKU!K:K,"NA",0,1)</f>
        <v>NA</v>
      </c>
      <c r="AI1333" s="43" t="str">
        <f>_xlfn.XLOOKUP(Table26[[#This Row],[customerSKU]],customerSKU!G:G,customerSKU!O:O,"not found",0,1)</f>
        <v>not found</v>
      </c>
      <c r="AJ1333" s="22" t="e">
        <f>Table26[[#This Row],[unitprice]]*Table26[[#This Row],[quantity_unit]]</f>
        <v>#VALUE!</v>
      </c>
      <c r="AK1333" s="117" t="e" cm="1">
        <f t="array" ref="AK133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4" spans="1:37" ht="18" customHeight="1">
      <c r="A1334" s="42">
        <v>912</v>
      </c>
      <c r="B1334" s="42" t="s">
        <v>3357</v>
      </c>
      <c r="C1334" s="53" t="s">
        <v>203</v>
      </c>
      <c r="E1334" s="20"/>
      <c r="F1334" s="25"/>
      <c r="G1334" s="93"/>
      <c r="J1334" s="90" t="str">
        <f>IF(Table26[[#This Row],[customerSKU]]="","",_xlfn.XLOOKUP(Table26[[#This Row],[customerSKU]],customerSKU!G:G,customerSKU!A:A,"",0,1))</f>
        <v/>
      </c>
      <c r="K1334" s="232">
        <v>45744</v>
      </c>
      <c r="L1334" s="49" t="str">
        <f>IF(Table26[[#This Row],[customerSKU]]="","",_xlfn.XLOOKUP(Table26[[#This Row],[customerSKU]],customerSKU!G:G,customerSKU!B:B,"",0,1))</f>
        <v/>
      </c>
      <c r="M1334" s="22"/>
      <c r="N1334" s="15" t="str">
        <f>Table26[[#This Row],[po_number]]&amp;"-"&amp;Table26[[#This Row],[po_line]]</f>
        <v>-2</v>
      </c>
      <c r="O1334" s="15">
        <v>2</v>
      </c>
      <c r="P1334" s="50"/>
      <c r="Q1334" s="22" t="s">
        <v>3887</v>
      </c>
      <c r="R1334" s="22" t="s">
        <v>3419</v>
      </c>
      <c r="S1334" s="90" t="str">
        <f>IF(Table26[[#This Row],[customerSKU]]="","",_xlfn.XLOOKUP(Table26[[#This Row],[customerSKU]],customerSKU!G:G,customerSKU!N:N,"NOT FOUND",0,1))</f>
        <v>NOT FOUND</v>
      </c>
      <c r="T1334" s="20">
        <v>45649</v>
      </c>
      <c r="U1334" s="94">
        <v>120</v>
      </c>
      <c r="V1334" s="22" t="str">
        <f>IF(ISBLANK(Table26[[#This Row],[customerSKU]]),"",_xlfn.XLOOKUP(Table26[[#This Row],[customerSKU]],Table27[customer_SKU],Table27[case_size],"",0,1))</f>
        <v/>
      </c>
      <c r="W1334" s="117">
        <v>1</v>
      </c>
      <c r="X1334" s="22" t="str">
        <f t="shared" si="58"/>
        <v/>
      </c>
      <c r="Y1334" s="25" t="str">
        <f>IF(Table26[[#This Row],[customerSKU]]="","",_xlfn.XLOOKUP(Table26[[#This Row],[customerSKU]],Table27[customer_SKU],Table27[product_GTIN],"",0,1))</f>
        <v/>
      </c>
      <c r="Z1334" s="25" t="s">
        <v>3695</v>
      </c>
      <c r="AA1334" s="18" t="str" cm="1">
        <f t="array" ref="AA1334">IF(P1334="", "", _xlfn.XLOOKUP(P1334,#REF!,#REF!,NA,0,-1))</f>
        <v/>
      </c>
      <c r="AB1334" s="22"/>
      <c r="AC1334" s="55" t="s">
        <v>19</v>
      </c>
      <c r="AD1334" s="55" t="str">
        <f>IF($AC1334="","",_xlfn.XLOOKUP($AC1334,'[2]Client Info'!$C$2:$C$2535,'[2]Client Info'!$D$2:$D$2535,"",0,1))</f>
        <v>58, rue de la Pépinière,</v>
      </c>
      <c r="AE1334" s="55" t="str">
        <f>IF($AC1334="","",_xlfn.XLOOKUP($AC1334,'[2]Client Info'!$C$2:$C$2715,'[2]Client Info'!$E$2:$E$2715,"",))</f>
        <v>Saint-Jean-sur-Richelieu</v>
      </c>
      <c r="AF1334" s="55" t="str">
        <f>IF($AC1334="","",_xlfn.XLOOKUP($AC1334,'[2]Client Info'!$C$2:$C$2715,'[2]Client Info'!$F$2:$F$2715,"",0,1))</f>
        <v>QC</v>
      </c>
      <c r="AG1334" s="55" t="s">
        <v>19</v>
      </c>
      <c r="AH1334" s="26" t="str">
        <f>_xlfn.XLOOKUP(Table26[[#This Row],[customerSKU]],customerSKU!G:G,customerSKU!K:K,"NA",0,1)</f>
        <v>NA</v>
      </c>
      <c r="AI1334" s="43" t="str">
        <f>_xlfn.XLOOKUP(Table26[[#This Row],[customerSKU]],customerSKU!G:G,customerSKU!O:O,"not found",0,1)</f>
        <v>not found</v>
      </c>
      <c r="AJ1334" s="22" t="e">
        <f>Table26[[#This Row],[unitprice]]*Table26[[#This Row],[quantity_unit]]</f>
        <v>#VALUE!</v>
      </c>
      <c r="AK1334" s="117" t="e" cm="1">
        <f t="array" ref="AK133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5" spans="1:37" ht="18" customHeight="1">
      <c r="A1335" s="42">
        <v>913</v>
      </c>
      <c r="B1335" s="42" t="s">
        <v>3357</v>
      </c>
      <c r="C1335" s="53" t="s">
        <v>203</v>
      </c>
      <c r="E1335" s="20"/>
      <c r="F1335" s="25"/>
      <c r="G1335" s="93"/>
      <c r="J1335" s="90" t="str">
        <f>IF(Table26[[#This Row],[customerSKU]]="","",_xlfn.XLOOKUP(Table26[[#This Row],[customerSKU]],customerSKU!G:G,customerSKU!A:A,"",0,1))</f>
        <v/>
      </c>
      <c r="K1335" s="232">
        <v>45744</v>
      </c>
      <c r="L1335" s="49" t="str">
        <f>IF(Table26[[#This Row],[customerSKU]]="","",_xlfn.XLOOKUP(Table26[[#This Row],[customerSKU]],customerSKU!G:G,customerSKU!B:B,"",0,1))</f>
        <v/>
      </c>
      <c r="M1335" s="22"/>
      <c r="N1335" s="15" t="str">
        <f>Table26[[#This Row],[po_number]]&amp;"-"&amp;Table26[[#This Row],[po_line]]</f>
        <v>-3</v>
      </c>
      <c r="O1335" s="15">
        <v>3</v>
      </c>
      <c r="P1335" s="50"/>
      <c r="Q1335" s="22" t="s">
        <v>1622</v>
      </c>
      <c r="R1335" s="22" t="s">
        <v>3419</v>
      </c>
      <c r="S1335" s="90" t="str">
        <f>IF(Table26[[#This Row],[customerSKU]]="","",_xlfn.XLOOKUP(Table26[[#This Row],[customerSKU]],customerSKU!G:G,customerSKU!N:N,"NOT FOUND",0,1))</f>
        <v>NOT FOUND</v>
      </c>
      <c r="T1335" s="20">
        <v>45714</v>
      </c>
      <c r="U1335" s="94">
        <v>120</v>
      </c>
      <c r="V1335" s="22" t="str">
        <f>IF(ISBLANK(Table26[[#This Row],[customerSKU]]),"",_xlfn.XLOOKUP(Table26[[#This Row],[customerSKU]],Table27[customer_SKU],Table27[case_size],"",0,1))</f>
        <v/>
      </c>
      <c r="W1335" s="117">
        <v>1</v>
      </c>
      <c r="X1335" s="22" t="str">
        <f t="shared" si="58"/>
        <v/>
      </c>
      <c r="Y1335" s="25" t="str">
        <f>IF(Table26[[#This Row],[customerSKU]]="","",_xlfn.XLOOKUP(Table26[[#This Row],[customerSKU]],Table27[customer_SKU],Table27[product_GTIN],"",0,1))</f>
        <v/>
      </c>
      <c r="Z1335" s="25" t="s">
        <v>3561</v>
      </c>
      <c r="AA1335" s="18" t="str" cm="1">
        <f t="array" ref="AA1335">IF(P1335="", "", _xlfn.XLOOKUP(P1335,#REF!,#REF!,NA,0,-1))</f>
        <v/>
      </c>
      <c r="AB1335" s="22"/>
      <c r="AC1335" s="55" t="s">
        <v>19</v>
      </c>
      <c r="AD1335" s="55" t="str">
        <f>IF($AC1335="","",_xlfn.XLOOKUP($AC1335,'[2]Client Info'!$C$2:$C$2535,'[2]Client Info'!$D$2:$D$2535,"",0,1))</f>
        <v>58, rue de la Pépinière,</v>
      </c>
      <c r="AE1335" s="55" t="str">
        <f>IF($AC1335="","",_xlfn.XLOOKUP($AC1335,'[2]Client Info'!$C$2:$C$2715,'[2]Client Info'!$E$2:$E$2715,"",))</f>
        <v>Saint-Jean-sur-Richelieu</v>
      </c>
      <c r="AF1335" s="55" t="str">
        <f>IF($AC1335="","",_xlfn.XLOOKUP($AC1335,'[2]Client Info'!$C$2:$C$2715,'[2]Client Info'!$F$2:$F$2715,"",0,1))</f>
        <v>QC</v>
      </c>
      <c r="AG1335" s="55" t="s">
        <v>19</v>
      </c>
      <c r="AH1335" s="26" t="str">
        <f>_xlfn.XLOOKUP(Table26[[#This Row],[customerSKU]],customerSKU!G:G,customerSKU!K:K,"NA",0,1)</f>
        <v>NA</v>
      </c>
      <c r="AI1335" s="43" t="str">
        <f>_xlfn.XLOOKUP(Table26[[#This Row],[customerSKU]],customerSKU!G:G,customerSKU!O:O,"not found",0,1)</f>
        <v>not found</v>
      </c>
      <c r="AJ1335" s="22" t="e">
        <f>Table26[[#This Row],[unitprice]]*Table26[[#This Row],[quantity_unit]]</f>
        <v>#VALUE!</v>
      </c>
      <c r="AK1335" s="117" t="e" cm="1">
        <f t="array" ref="AK133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6" spans="1:37" ht="24.6" customHeight="1">
      <c r="A1336" s="42">
        <v>914</v>
      </c>
      <c r="B1336" s="42" t="s">
        <v>3357</v>
      </c>
      <c r="C1336" s="53" t="s">
        <v>203</v>
      </c>
      <c r="E1336" s="20"/>
      <c r="F1336" s="25"/>
      <c r="G1336" s="93"/>
      <c r="J1336" s="90" t="str">
        <f>IF(Table26[[#This Row],[customerSKU]]="","",_xlfn.XLOOKUP(Table26[[#This Row],[customerSKU]],customerSKU!G:G,customerSKU!A:A,"",0,1))</f>
        <v/>
      </c>
      <c r="K1336" s="232">
        <v>45744</v>
      </c>
      <c r="L1336" s="49" t="str">
        <f>IF(Table26[[#This Row],[customerSKU]]="","",_xlfn.XLOOKUP(Table26[[#This Row],[customerSKU]],customerSKU!G:G,customerSKU!B:B,"",0,1))</f>
        <v/>
      </c>
      <c r="M1336" s="22"/>
      <c r="N1336" s="15" t="str">
        <f>Table26[[#This Row],[po_number]]&amp;"-"&amp;Table26[[#This Row],[po_line]]</f>
        <v>-4</v>
      </c>
      <c r="O1336" s="15">
        <v>4</v>
      </c>
      <c r="P1336" s="50"/>
      <c r="Q1336" s="22" t="s">
        <v>565</v>
      </c>
      <c r="R1336" s="22" t="s">
        <v>3419</v>
      </c>
      <c r="S1336" s="90" t="str">
        <f>IF(Table26[[#This Row],[customerSKU]]="","",_xlfn.XLOOKUP(Table26[[#This Row],[customerSKU]],customerSKU!G:G,customerSKU!N:N,"NOT FOUND",0,1))</f>
        <v>NOT FOUND</v>
      </c>
      <c r="T1336" s="20">
        <v>45742</v>
      </c>
      <c r="U1336" s="94">
        <v>60</v>
      </c>
      <c r="V1336" s="22" t="str">
        <f>IF(ISBLANK(Table26[[#This Row],[customerSKU]]),"",_xlfn.XLOOKUP(Table26[[#This Row],[customerSKU]],Table27[customer_SKU],Table27[case_size],"",0,1))</f>
        <v/>
      </c>
      <c r="W1336" s="117">
        <v>1</v>
      </c>
      <c r="X1336" s="22" t="str">
        <f t="shared" si="58"/>
        <v/>
      </c>
      <c r="Y1336" s="25" t="str">
        <f>IF(Table26[[#This Row],[customerSKU]]="","",_xlfn.XLOOKUP(Table26[[#This Row],[customerSKU]],Table27[customer_SKU],Table27[product_GTIN],"",0,1))</f>
        <v/>
      </c>
      <c r="Z1336" s="25" t="s">
        <v>3562</v>
      </c>
      <c r="AA1336" s="18" t="str" cm="1">
        <f t="array" ref="AA1336">IF(P1336="", "", _xlfn.XLOOKUP(P1336,#REF!,#REF!,NA,0,-1))</f>
        <v/>
      </c>
      <c r="AB1336" s="22"/>
      <c r="AC1336" s="55" t="s">
        <v>19</v>
      </c>
      <c r="AD1336" s="55" t="str">
        <f>IF($AC1336="","",_xlfn.XLOOKUP($AC1336,'[2]Client Info'!$C$2:$C$2535,'[2]Client Info'!$D$2:$D$2535,"",0,1))</f>
        <v>58, rue de la Pépinière,</v>
      </c>
      <c r="AE1336" s="55" t="str">
        <f>IF($AC1336="","",_xlfn.XLOOKUP($AC1336,'[2]Client Info'!$C$2:$C$2715,'[2]Client Info'!$E$2:$E$2715,"",))</f>
        <v>Saint-Jean-sur-Richelieu</v>
      </c>
      <c r="AF1336" s="55" t="str">
        <f>IF($AC1336="","",_xlfn.XLOOKUP($AC1336,'[2]Client Info'!$C$2:$C$2715,'[2]Client Info'!$F$2:$F$2715,"",0,1))</f>
        <v>QC</v>
      </c>
      <c r="AG1336" s="55" t="s">
        <v>19</v>
      </c>
      <c r="AH1336" s="26" t="str">
        <f>_xlfn.XLOOKUP(Table26[[#This Row],[customerSKU]],customerSKU!G:G,customerSKU!K:K,"NA",0,1)</f>
        <v>NA</v>
      </c>
      <c r="AI1336" s="43" t="str">
        <f>_xlfn.XLOOKUP(Table26[[#This Row],[customerSKU]],customerSKU!G:G,customerSKU!O:O,"not found",0,1)</f>
        <v>not found</v>
      </c>
      <c r="AJ1336" s="22" t="e">
        <f>Table26[[#This Row],[unitprice]]*Table26[[#This Row],[quantity_unit]]</f>
        <v>#VALUE!</v>
      </c>
      <c r="AK1336" s="117" t="e" cm="1">
        <f t="array" ref="AK133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7" spans="1:37" ht="18" customHeight="1">
      <c r="A1337" s="42">
        <v>915</v>
      </c>
      <c r="B1337" s="42" t="s">
        <v>3357</v>
      </c>
      <c r="C1337" s="53" t="s">
        <v>203</v>
      </c>
      <c r="E1337" s="20"/>
      <c r="F1337" s="25"/>
      <c r="G1337" s="93"/>
      <c r="J1337" s="90" t="str">
        <f>IF(Table26[[#This Row],[customerSKU]]="","",_xlfn.XLOOKUP(Table26[[#This Row],[customerSKU]],customerSKU!G:G,customerSKU!A:A,"",0,1))</f>
        <v/>
      </c>
      <c r="K1337" s="232">
        <v>45744</v>
      </c>
      <c r="L1337" s="49" t="str">
        <f>IF(Table26[[#This Row],[customerSKU]]="","",_xlfn.XLOOKUP(Table26[[#This Row],[customerSKU]],customerSKU!G:G,customerSKU!B:B,"",0,1))</f>
        <v/>
      </c>
      <c r="M1337" s="22"/>
      <c r="N1337" s="15" t="str">
        <f>Table26[[#This Row],[po_number]]&amp;"-"&amp;Table26[[#This Row],[po_line]]</f>
        <v>-5</v>
      </c>
      <c r="O1337" s="15">
        <v>5</v>
      </c>
      <c r="P1337" s="50"/>
      <c r="Q1337" s="22" t="s">
        <v>565</v>
      </c>
      <c r="R1337" s="22" t="s">
        <v>3419</v>
      </c>
      <c r="S1337" s="90" t="str">
        <f>IF(Table26[[#This Row],[customerSKU]]="","",_xlfn.XLOOKUP(Table26[[#This Row],[customerSKU]],customerSKU!G:G,customerSKU!N:N,"NOT FOUND",0,1))</f>
        <v>NOT FOUND</v>
      </c>
      <c r="T1337" s="20">
        <v>45707</v>
      </c>
      <c r="U1337" s="94">
        <v>60</v>
      </c>
      <c r="V1337" s="22" t="str">
        <f>IF(ISBLANK(Table26[[#This Row],[customerSKU]]),"",_xlfn.XLOOKUP(Table26[[#This Row],[customerSKU]],Table27[customer_SKU],Table27[case_size],"",0,1))</f>
        <v/>
      </c>
      <c r="W1337" s="117">
        <v>1</v>
      </c>
      <c r="X1337" s="22" t="str">
        <f t="shared" si="58"/>
        <v/>
      </c>
      <c r="Y1337" s="25" t="str">
        <f>IF(Table26[[#This Row],[customerSKU]]="","",_xlfn.XLOOKUP(Table26[[#This Row],[customerSKU]],Table27[customer_SKU],Table27[product_GTIN],"",0,1))</f>
        <v/>
      </c>
      <c r="Z1337" s="25" t="s">
        <v>3562</v>
      </c>
      <c r="AA1337" s="18" t="str" cm="1">
        <f t="array" ref="AA1337">IF(P1337="", "", _xlfn.XLOOKUP(P1337,#REF!,#REF!,NA,0,-1))</f>
        <v/>
      </c>
      <c r="AB1337" s="22"/>
      <c r="AC1337" s="55" t="s">
        <v>19</v>
      </c>
      <c r="AD1337" s="55" t="str">
        <f>IF($AC1337="","",_xlfn.XLOOKUP($AC1337,'[2]Client Info'!$C$2:$C$2535,'[2]Client Info'!$D$2:$D$2535,"",0,1))</f>
        <v>58, rue de la Pépinière,</v>
      </c>
      <c r="AE1337" s="55" t="str">
        <f>IF($AC1337="","",_xlfn.XLOOKUP($AC1337,'[2]Client Info'!$C$2:$C$2715,'[2]Client Info'!$E$2:$E$2715,"",))</f>
        <v>Saint-Jean-sur-Richelieu</v>
      </c>
      <c r="AF1337" s="55" t="str">
        <f>IF($AC1337="","",_xlfn.XLOOKUP($AC1337,'[2]Client Info'!$C$2:$C$2715,'[2]Client Info'!$F$2:$F$2715,"",0,1))</f>
        <v>QC</v>
      </c>
      <c r="AG1337" s="55" t="s">
        <v>19</v>
      </c>
      <c r="AH1337" s="26" t="str">
        <f>_xlfn.XLOOKUP(Table26[[#This Row],[customerSKU]],customerSKU!G:G,customerSKU!K:K,"NA",0,1)</f>
        <v>NA</v>
      </c>
      <c r="AI1337" s="43" t="str">
        <f>_xlfn.XLOOKUP(Table26[[#This Row],[customerSKU]],customerSKU!G:G,customerSKU!O:O,"not found",0,1)</f>
        <v>not found</v>
      </c>
      <c r="AJ1337" s="22" t="e">
        <f>Table26[[#This Row],[unitprice]]*Table26[[#This Row],[quantity_unit]]</f>
        <v>#VALUE!</v>
      </c>
      <c r="AK1337" s="117" t="e" cm="1">
        <f t="array" ref="AK133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8" spans="1:37" ht="18" customHeight="1">
      <c r="A1338" s="42">
        <v>916</v>
      </c>
      <c r="B1338" s="42" t="s">
        <v>3357</v>
      </c>
      <c r="C1338" s="53" t="s">
        <v>203</v>
      </c>
      <c r="E1338" s="20"/>
      <c r="F1338" s="25"/>
      <c r="G1338" s="93"/>
      <c r="J1338" s="90" t="str">
        <f>IF(Table26[[#This Row],[customerSKU]]="","",_xlfn.XLOOKUP(Table26[[#This Row],[customerSKU]],customerSKU!G:G,customerSKU!A:A,"",0,1))</f>
        <v/>
      </c>
      <c r="K1338" s="232">
        <v>45744</v>
      </c>
      <c r="L1338" s="49" t="str">
        <f>IF(Table26[[#This Row],[customerSKU]]="","",_xlfn.XLOOKUP(Table26[[#This Row],[customerSKU]],customerSKU!G:G,customerSKU!B:B,"",0,1))</f>
        <v/>
      </c>
      <c r="M1338" s="22"/>
      <c r="N1338" s="15" t="str">
        <f>Table26[[#This Row],[po_number]]&amp;"-"&amp;Table26[[#This Row],[po_line]]</f>
        <v>-6</v>
      </c>
      <c r="O1338" s="15">
        <v>6</v>
      </c>
      <c r="P1338" s="50"/>
      <c r="Q1338" s="22" t="s">
        <v>1591</v>
      </c>
      <c r="R1338" s="22" t="s">
        <v>3419</v>
      </c>
      <c r="S1338" s="90" t="str">
        <f>IF(Table26[[#This Row],[customerSKU]]="","",_xlfn.XLOOKUP(Table26[[#This Row],[customerSKU]],customerSKU!G:G,customerSKU!N:N,"NOT FOUND",0,1))</f>
        <v>NOT FOUND</v>
      </c>
      <c r="T1338" s="20">
        <v>45736</v>
      </c>
      <c r="U1338" s="94">
        <v>120</v>
      </c>
      <c r="V1338" s="22" t="str">
        <f>IF(ISBLANK(Table26[[#This Row],[customerSKU]]),"",_xlfn.XLOOKUP(Table26[[#This Row],[customerSKU]],Table27[customer_SKU],Table27[case_size],"",0,1))</f>
        <v/>
      </c>
      <c r="W1338" s="117">
        <v>1</v>
      </c>
      <c r="X1338" s="22" t="str">
        <f t="shared" si="58"/>
        <v/>
      </c>
      <c r="Y1338" s="25" t="str">
        <f>IF(Table26[[#This Row],[customerSKU]]="","",_xlfn.XLOOKUP(Table26[[#This Row],[customerSKU]],Table27[customer_SKU],Table27[product_GTIN],"",0,1))</f>
        <v/>
      </c>
      <c r="Z1338" s="25" t="s">
        <v>3696</v>
      </c>
      <c r="AA1338" s="18" t="str" cm="1">
        <f t="array" ref="AA1338">IF(P1338="", "", _xlfn.XLOOKUP(P1338,#REF!,#REF!,NA,0,-1))</f>
        <v/>
      </c>
      <c r="AB1338" s="22"/>
      <c r="AC1338" s="55" t="s">
        <v>19</v>
      </c>
      <c r="AD1338" s="55" t="str">
        <f>IF($AC1338="","",_xlfn.XLOOKUP($AC1338,'[2]Client Info'!$C$2:$C$2535,'[2]Client Info'!$D$2:$D$2535,"",0,1))</f>
        <v>58, rue de la Pépinière,</v>
      </c>
      <c r="AE1338" s="55" t="str">
        <f>IF($AC1338="","",_xlfn.XLOOKUP($AC1338,'[2]Client Info'!$C$2:$C$2715,'[2]Client Info'!$E$2:$E$2715,"",))</f>
        <v>Saint-Jean-sur-Richelieu</v>
      </c>
      <c r="AF1338" s="55" t="str">
        <f>IF($AC1338="","",_xlfn.XLOOKUP($AC1338,'[2]Client Info'!$C$2:$C$2715,'[2]Client Info'!$F$2:$F$2715,"",0,1))</f>
        <v>QC</v>
      </c>
      <c r="AG1338" s="55" t="s">
        <v>19</v>
      </c>
      <c r="AH1338" s="26" t="str">
        <f>_xlfn.XLOOKUP(Table26[[#This Row],[customerSKU]],customerSKU!G:G,customerSKU!K:K,"NA",0,1)</f>
        <v>NA</v>
      </c>
      <c r="AI1338" s="43" t="str">
        <f>_xlfn.XLOOKUP(Table26[[#This Row],[customerSKU]],customerSKU!G:G,customerSKU!O:O,"not found",0,1)</f>
        <v>not found</v>
      </c>
      <c r="AJ1338" s="22" t="e">
        <f>Table26[[#This Row],[unitprice]]*Table26[[#This Row],[quantity_unit]]</f>
        <v>#VALUE!</v>
      </c>
      <c r="AK1338" s="117" t="e" cm="1">
        <f t="array" ref="AK133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39" spans="1:37" ht="18" customHeight="1">
      <c r="A1339" s="42">
        <v>917</v>
      </c>
      <c r="B1339" s="42" t="s">
        <v>3357</v>
      </c>
      <c r="C1339" s="53" t="s">
        <v>203</v>
      </c>
      <c r="E1339" s="20"/>
      <c r="F1339" s="25"/>
      <c r="G1339" s="93"/>
      <c r="J1339" s="90" t="str">
        <f>IF(Table26[[#This Row],[customerSKU]]="","",_xlfn.XLOOKUP(Table26[[#This Row],[customerSKU]],customerSKU!G:G,customerSKU!A:A,"",0,1))</f>
        <v/>
      </c>
      <c r="K1339" s="232">
        <v>45744</v>
      </c>
      <c r="L1339" s="49" t="str">
        <f>IF(Table26[[#This Row],[customerSKU]]="","",_xlfn.XLOOKUP(Table26[[#This Row],[customerSKU]],customerSKU!G:G,customerSKU!B:B,"",0,1))</f>
        <v/>
      </c>
      <c r="M1339" s="22"/>
      <c r="N1339" s="15" t="str">
        <f>Table26[[#This Row],[po_number]]&amp;"-"&amp;Table26[[#This Row],[po_line]]</f>
        <v>-7</v>
      </c>
      <c r="O1339" s="15">
        <v>7</v>
      </c>
      <c r="P1339" s="50"/>
      <c r="Q1339" s="22" t="s">
        <v>4087</v>
      </c>
      <c r="R1339" s="22" t="s">
        <v>3419</v>
      </c>
      <c r="S1339" s="90" t="str">
        <f>IF(Table26[[#This Row],[customerSKU]]="","",_xlfn.XLOOKUP(Table26[[#This Row],[customerSKU]],customerSKU!G:G,customerSKU!N:N,"NOT FOUND",0,1))</f>
        <v>NOT FOUND</v>
      </c>
      <c r="T1339" s="20">
        <v>45735</v>
      </c>
      <c r="U1339" s="94">
        <v>120</v>
      </c>
      <c r="V1339" s="22" t="str">
        <f>IF(ISBLANK(Table26[[#This Row],[customerSKU]]),"",_xlfn.XLOOKUP(Table26[[#This Row],[customerSKU]],Table27[customer_SKU],Table27[case_size],"",0,1))</f>
        <v/>
      </c>
      <c r="W1339" s="117">
        <v>1</v>
      </c>
      <c r="X1339" s="22" t="str">
        <f t="shared" si="58"/>
        <v/>
      </c>
      <c r="Y1339" s="25" t="str">
        <f>IF(Table26[[#This Row],[customerSKU]]="","",_xlfn.XLOOKUP(Table26[[#This Row],[customerSKU]],Table27[customer_SKU],Table27[product_GTIN],"",0,1))</f>
        <v/>
      </c>
      <c r="Z1339" s="25" t="s">
        <v>4088</v>
      </c>
      <c r="AA1339" s="18" t="str" cm="1">
        <f t="array" ref="AA1339">IF(P1339="", "", _xlfn.XLOOKUP(P1339,#REF!,#REF!,NA,0,-1))</f>
        <v/>
      </c>
      <c r="AB1339" s="22"/>
      <c r="AC1339" s="55" t="s">
        <v>19</v>
      </c>
      <c r="AD1339" s="55" t="str">
        <f>IF($AC1339="","",_xlfn.XLOOKUP($AC1339,'[2]Client Info'!$C$2:$C$2535,'[2]Client Info'!$D$2:$D$2535,"",0,1))</f>
        <v>58, rue de la Pépinière,</v>
      </c>
      <c r="AE1339" s="55" t="str">
        <f>IF($AC1339="","",_xlfn.XLOOKUP($AC1339,'[2]Client Info'!$C$2:$C$2715,'[2]Client Info'!$E$2:$E$2715,"",))</f>
        <v>Saint-Jean-sur-Richelieu</v>
      </c>
      <c r="AF1339" s="55" t="str">
        <f>IF($AC1339="","",_xlfn.XLOOKUP($AC1339,'[2]Client Info'!$C$2:$C$2715,'[2]Client Info'!$F$2:$F$2715,"",0,1))</f>
        <v>QC</v>
      </c>
      <c r="AG1339" s="55" t="s">
        <v>19</v>
      </c>
      <c r="AH1339" s="26" t="str">
        <f>_xlfn.XLOOKUP(Table26[[#This Row],[customerSKU]],customerSKU!G:G,customerSKU!K:K,"NA",0,1)</f>
        <v>NA</v>
      </c>
      <c r="AI1339" s="43" t="str">
        <f>_xlfn.XLOOKUP(Table26[[#This Row],[customerSKU]],customerSKU!G:G,customerSKU!O:O,"not found",0,1)</f>
        <v>not found</v>
      </c>
      <c r="AJ1339" s="22" t="e">
        <f>Table26[[#This Row],[unitprice]]*Table26[[#This Row],[quantity_unit]]</f>
        <v>#VALUE!</v>
      </c>
      <c r="AK1339" s="117" t="e" cm="1">
        <f t="array" ref="AK133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0" spans="1:37" ht="18" customHeight="1">
      <c r="A1340" s="42">
        <v>918</v>
      </c>
      <c r="B1340" s="42" t="s">
        <v>3357</v>
      </c>
      <c r="C1340" s="53" t="s">
        <v>203</v>
      </c>
      <c r="E1340" s="20"/>
      <c r="F1340" s="25"/>
      <c r="G1340" s="93"/>
      <c r="J1340" s="90" t="str">
        <f>IF(Table26[[#This Row],[customerSKU]]="","",_xlfn.XLOOKUP(Table26[[#This Row],[customerSKU]],customerSKU!G:G,customerSKU!A:A,"",0,1))</f>
        <v/>
      </c>
      <c r="K1340" s="232">
        <v>45744</v>
      </c>
      <c r="L1340" s="49" t="str">
        <f>IF(Table26[[#This Row],[customerSKU]]="","",_xlfn.XLOOKUP(Table26[[#This Row],[customerSKU]],customerSKU!G:G,customerSKU!B:B,"",0,1))</f>
        <v/>
      </c>
      <c r="M1340" s="22"/>
      <c r="N1340" s="15" t="str">
        <f>Table26[[#This Row],[po_number]]&amp;"-"&amp;Table26[[#This Row],[po_line]]</f>
        <v>-8</v>
      </c>
      <c r="O1340" s="15">
        <v>8</v>
      </c>
      <c r="P1340" s="50"/>
      <c r="Q1340" s="22" t="s">
        <v>3405</v>
      </c>
      <c r="R1340" s="22" t="s">
        <v>3419</v>
      </c>
      <c r="S1340" s="90" t="str">
        <f>IF(Table26[[#This Row],[customerSKU]]="","",_xlfn.XLOOKUP(Table26[[#This Row],[customerSKU]],customerSKU!G:G,customerSKU!N:N,"NOT FOUND",0,1))</f>
        <v>NOT FOUND</v>
      </c>
      <c r="T1340" s="20">
        <v>45623</v>
      </c>
      <c r="U1340" s="94">
        <v>120</v>
      </c>
      <c r="V1340" s="22" t="str">
        <f>IF(ISBLANK(Table26[[#This Row],[customerSKU]]),"",_xlfn.XLOOKUP(Table26[[#This Row],[customerSKU]],Table27[customer_SKU],Table27[case_size],"",0,1))</f>
        <v/>
      </c>
      <c r="W1340" s="117">
        <v>1</v>
      </c>
      <c r="X1340" s="22" t="str">
        <f t="shared" si="58"/>
        <v/>
      </c>
      <c r="Y1340" s="25" t="str">
        <f>IF(Table26[[#This Row],[customerSKU]]="","",_xlfn.XLOOKUP(Table26[[#This Row],[customerSKU]],Table27[customer_SKU],Table27[product_GTIN],"",0,1))</f>
        <v/>
      </c>
      <c r="Z1340" s="25" t="s">
        <v>3564</v>
      </c>
      <c r="AA1340" s="18" t="str" cm="1">
        <f t="array" ref="AA1340">IF(P1340="", "", _xlfn.XLOOKUP(P1340,#REF!,#REF!,NA,0,-1))</f>
        <v/>
      </c>
      <c r="AB1340" s="22"/>
      <c r="AC1340" s="55" t="s">
        <v>19</v>
      </c>
      <c r="AD1340" s="55" t="str">
        <f>IF($AC1340="","",_xlfn.XLOOKUP($AC1340,'[2]Client Info'!$C$2:$C$2535,'[2]Client Info'!$D$2:$D$2535,"",0,1))</f>
        <v>58, rue de la Pépinière,</v>
      </c>
      <c r="AE1340" s="55" t="str">
        <f>IF($AC1340="","",_xlfn.XLOOKUP($AC1340,'[2]Client Info'!$C$2:$C$2715,'[2]Client Info'!$E$2:$E$2715,"",))</f>
        <v>Saint-Jean-sur-Richelieu</v>
      </c>
      <c r="AF1340" s="55" t="str">
        <f>IF($AC1340="","",_xlfn.XLOOKUP($AC1340,'[2]Client Info'!$C$2:$C$2715,'[2]Client Info'!$F$2:$F$2715,"",0,1))</f>
        <v>QC</v>
      </c>
      <c r="AG1340" s="55" t="s">
        <v>19</v>
      </c>
      <c r="AH1340" s="26" t="str">
        <f>_xlfn.XLOOKUP(Table26[[#This Row],[customerSKU]],customerSKU!G:G,customerSKU!K:K,"NA",0,1)</f>
        <v>NA</v>
      </c>
      <c r="AI1340" s="43" t="str">
        <f>_xlfn.XLOOKUP(Table26[[#This Row],[customerSKU]],customerSKU!G:G,customerSKU!O:O,"not found",0,1)</f>
        <v>not found</v>
      </c>
      <c r="AJ1340" s="22" t="e">
        <f>Table26[[#This Row],[unitprice]]*Table26[[#This Row],[quantity_unit]]</f>
        <v>#VALUE!</v>
      </c>
      <c r="AK1340" s="117" t="e" cm="1">
        <f t="array" ref="AK134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1" spans="1:37" ht="18" customHeight="1">
      <c r="A1341" s="42">
        <v>919</v>
      </c>
      <c r="B1341" s="42" t="s">
        <v>3357</v>
      </c>
      <c r="C1341" s="53" t="s">
        <v>203</v>
      </c>
      <c r="E1341" s="20"/>
      <c r="F1341" s="25"/>
      <c r="G1341" s="93"/>
      <c r="J1341" s="90" t="str">
        <f>IF(Table26[[#This Row],[customerSKU]]="","",_xlfn.XLOOKUP(Table26[[#This Row],[customerSKU]],customerSKU!G:G,customerSKU!A:A,"",0,1))</f>
        <v/>
      </c>
      <c r="K1341" s="232">
        <v>45744</v>
      </c>
      <c r="L1341" s="49" t="str">
        <f>IF(Table26[[#This Row],[customerSKU]]="","",_xlfn.XLOOKUP(Table26[[#This Row],[customerSKU]],customerSKU!G:G,customerSKU!B:B,"",0,1))</f>
        <v/>
      </c>
      <c r="M1341" s="22"/>
      <c r="N1341" s="15" t="str">
        <f>Table26[[#This Row],[po_number]]&amp;"-"&amp;Table26[[#This Row],[po_line]]</f>
        <v>-9</v>
      </c>
      <c r="O1341" s="15">
        <v>9</v>
      </c>
      <c r="P1341" s="50"/>
      <c r="Q1341" s="22" t="s">
        <v>656</v>
      </c>
      <c r="R1341" s="22" t="s">
        <v>3419</v>
      </c>
      <c r="S1341" s="90" t="str">
        <f>IF(Table26[[#This Row],[customerSKU]]="","",_xlfn.XLOOKUP(Table26[[#This Row],[customerSKU]],customerSKU!G:G,customerSKU!N:N,"NOT FOUND",0,1))</f>
        <v>NOT FOUND</v>
      </c>
      <c r="T1341" s="20">
        <v>45642</v>
      </c>
      <c r="U1341" s="94">
        <v>120</v>
      </c>
      <c r="V1341" s="22" t="str">
        <f>IF(ISBLANK(Table26[[#This Row],[customerSKU]]),"",_xlfn.XLOOKUP(Table26[[#This Row],[customerSKU]],Table27[customer_SKU],Table27[case_size],"",0,1))</f>
        <v/>
      </c>
      <c r="W1341" s="117">
        <v>1</v>
      </c>
      <c r="X1341" s="22" t="str">
        <f t="shared" si="58"/>
        <v/>
      </c>
      <c r="Y1341" s="25" t="str">
        <f>IF(Table26[[#This Row],[customerSKU]]="","",_xlfn.XLOOKUP(Table26[[#This Row],[customerSKU]],Table27[customer_SKU],Table27[product_GTIN],"",0,1))</f>
        <v/>
      </c>
      <c r="Z1341" s="25" t="s">
        <v>3697</v>
      </c>
      <c r="AA1341" s="18" t="str" cm="1">
        <f t="array" ref="AA1341">IF(P1341="", "", _xlfn.XLOOKUP(P1341,#REF!,#REF!,NA,0,-1))</f>
        <v/>
      </c>
      <c r="AB1341" s="22"/>
      <c r="AC1341" s="55" t="s">
        <v>19</v>
      </c>
      <c r="AD1341" s="55" t="str">
        <f>IF($AC1341="","",_xlfn.XLOOKUP($AC1341,'[2]Client Info'!$C$2:$C$2535,'[2]Client Info'!$D$2:$D$2535,"",0,1))</f>
        <v>58, rue de la Pépinière,</v>
      </c>
      <c r="AE1341" s="55" t="str">
        <f>IF($AC1341="","",_xlfn.XLOOKUP($AC1341,'[2]Client Info'!$C$2:$C$2715,'[2]Client Info'!$E$2:$E$2715,"",))</f>
        <v>Saint-Jean-sur-Richelieu</v>
      </c>
      <c r="AF1341" s="55" t="str">
        <f>IF($AC1341="","",_xlfn.XLOOKUP($AC1341,'[2]Client Info'!$C$2:$C$2715,'[2]Client Info'!$F$2:$F$2715,"",0,1))</f>
        <v>QC</v>
      </c>
      <c r="AG1341" s="55" t="s">
        <v>19</v>
      </c>
      <c r="AH1341" s="26" t="str">
        <f>_xlfn.XLOOKUP(Table26[[#This Row],[customerSKU]],customerSKU!G:G,customerSKU!K:K,"NA",0,1)</f>
        <v>NA</v>
      </c>
      <c r="AI1341" s="43" t="str">
        <f>_xlfn.XLOOKUP(Table26[[#This Row],[customerSKU]],customerSKU!G:G,customerSKU!O:O,"not found",0,1)</f>
        <v>not found</v>
      </c>
      <c r="AJ1341" s="22" t="e">
        <f>Table26[[#This Row],[unitprice]]*Table26[[#This Row],[quantity_unit]]</f>
        <v>#VALUE!</v>
      </c>
      <c r="AK1341" s="117" t="e" cm="1">
        <f t="array" ref="AK134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2" spans="1:37" ht="18" customHeight="1">
      <c r="A1342" s="42">
        <v>920</v>
      </c>
      <c r="B1342" s="42" t="s">
        <v>3357</v>
      </c>
      <c r="C1342" s="53" t="s">
        <v>203</v>
      </c>
      <c r="E1342" s="20"/>
      <c r="F1342" s="25"/>
      <c r="G1342" s="93"/>
      <c r="J1342" s="90" t="str">
        <f>IF(Table26[[#This Row],[customerSKU]]="","",_xlfn.XLOOKUP(Table26[[#This Row],[customerSKU]],customerSKU!G:G,customerSKU!A:A,"",0,1))</f>
        <v/>
      </c>
      <c r="K1342" s="232">
        <v>45744</v>
      </c>
      <c r="L1342" s="49" t="str">
        <f>IF(Table26[[#This Row],[customerSKU]]="","",_xlfn.XLOOKUP(Table26[[#This Row],[customerSKU]],customerSKU!G:G,customerSKU!B:B,"",0,1))</f>
        <v/>
      </c>
      <c r="M1342" s="22"/>
      <c r="N1342" s="15" t="str">
        <f>Table26[[#This Row],[po_number]]&amp;"-"&amp;Table26[[#This Row],[po_line]]</f>
        <v>-10</v>
      </c>
      <c r="O1342" s="15">
        <v>10</v>
      </c>
      <c r="P1342" s="50"/>
      <c r="Q1342" s="22" t="s">
        <v>1309</v>
      </c>
      <c r="R1342" s="22" t="s">
        <v>3419</v>
      </c>
      <c r="S1342" s="90" t="str">
        <f>IF(Table26[[#This Row],[customerSKU]]="","",_xlfn.XLOOKUP(Table26[[#This Row],[customerSKU]],customerSKU!G:G,customerSKU!N:N,"NOT FOUND",0,1))</f>
        <v>NOT FOUND</v>
      </c>
      <c r="T1342" s="20">
        <v>45697</v>
      </c>
      <c r="U1342" s="94">
        <v>120</v>
      </c>
      <c r="V1342" s="22" t="str">
        <f>IF(ISBLANK(Table26[[#This Row],[customerSKU]]),"",_xlfn.XLOOKUP(Table26[[#This Row],[customerSKU]],Table27[customer_SKU],Table27[case_size],"",0,1))</f>
        <v/>
      </c>
      <c r="W1342" s="117">
        <v>1</v>
      </c>
      <c r="X1342" s="22" t="str">
        <f t="shared" si="58"/>
        <v/>
      </c>
      <c r="Y1342" s="25" t="str">
        <f>IF(Table26[[#This Row],[customerSKU]]="","",_xlfn.XLOOKUP(Table26[[#This Row],[customerSKU]],Table27[customer_SKU],Table27[product_GTIN],"",0,1))</f>
        <v/>
      </c>
      <c r="Z1342" s="25" t="s">
        <v>3698</v>
      </c>
      <c r="AA1342" s="18" t="str" cm="1">
        <f t="array" ref="AA1342">IF(P1342="", "", _xlfn.XLOOKUP(P1342,#REF!,#REF!,NA,0,-1))</f>
        <v/>
      </c>
      <c r="AB1342" s="22"/>
      <c r="AC1342" s="55" t="s">
        <v>19</v>
      </c>
      <c r="AD1342" s="55" t="str">
        <f>IF($AC1342="","",_xlfn.XLOOKUP($AC1342,'[2]Client Info'!$C$2:$C$2535,'[2]Client Info'!$D$2:$D$2535,"",0,1))</f>
        <v>58, rue de la Pépinière,</v>
      </c>
      <c r="AE1342" s="55" t="str">
        <f>IF($AC1342="","",_xlfn.XLOOKUP($AC1342,'[2]Client Info'!$C$2:$C$2715,'[2]Client Info'!$E$2:$E$2715,"",))</f>
        <v>Saint-Jean-sur-Richelieu</v>
      </c>
      <c r="AF1342" s="55" t="str">
        <f>IF($AC1342="","",_xlfn.XLOOKUP($AC1342,'[2]Client Info'!$C$2:$C$2715,'[2]Client Info'!$F$2:$F$2715,"",0,1))</f>
        <v>QC</v>
      </c>
      <c r="AG1342" s="55" t="s">
        <v>19</v>
      </c>
      <c r="AH1342" s="26" t="str">
        <f>_xlfn.XLOOKUP(Table26[[#This Row],[customerSKU]],customerSKU!G:G,customerSKU!K:K,"NA",0,1)</f>
        <v>NA</v>
      </c>
      <c r="AI1342" s="43" t="str">
        <f>_xlfn.XLOOKUP(Table26[[#This Row],[customerSKU]],customerSKU!G:G,customerSKU!O:O,"not found",0,1)</f>
        <v>not found</v>
      </c>
      <c r="AJ1342" s="22" t="e">
        <f>Table26[[#This Row],[unitprice]]*Table26[[#This Row],[quantity_unit]]</f>
        <v>#VALUE!</v>
      </c>
      <c r="AK1342" s="117" t="e" cm="1">
        <f t="array" ref="AK134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3" spans="1:37" ht="18" customHeight="1">
      <c r="A1343" s="42">
        <v>921</v>
      </c>
      <c r="B1343" s="42" t="s">
        <v>3357</v>
      </c>
      <c r="C1343" s="53" t="s">
        <v>203</v>
      </c>
      <c r="E1343" s="20"/>
      <c r="F1343" s="25"/>
      <c r="G1343" s="93"/>
      <c r="J1343" s="90" t="str">
        <f>IF(Table26[[#This Row],[customerSKU]]="","",_xlfn.XLOOKUP(Table26[[#This Row],[customerSKU]],customerSKU!G:G,customerSKU!A:A,"",0,1))</f>
        <v/>
      </c>
      <c r="K1343" s="232">
        <v>45744</v>
      </c>
      <c r="L1343" s="49" t="str">
        <f>IF(Table26[[#This Row],[customerSKU]]="","",_xlfn.XLOOKUP(Table26[[#This Row],[customerSKU]],customerSKU!G:G,customerSKU!B:B,"",0,1))</f>
        <v/>
      </c>
      <c r="M1343" s="22"/>
      <c r="N1343" s="15" t="str">
        <f>Table26[[#This Row],[po_number]]&amp;"-"&amp;Table26[[#This Row],[po_line]]</f>
        <v>-11</v>
      </c>
      <c r="O1343" s="15">
        <v>11</v>
      </c>
      <c r="P1343" s="50"/>
      <c r="Q1343" s="22" t="s">
        <v>4089</v>
      </c>
      <c r="R1343" s="22" t="s">
        <v>3419</v>
      </c>
      <c r="S1343" s="90" t="str">
        <f>IF(Table26[[#This Row],[customerSKU]]="","",_xlfn.XLOOKUP(Table26[[#This Row],[customerSKU]],customerSKU!G:G,customerSKU!N:N,"NOT FOUND",0,1))</f>
        <v>NOT FOUND</v>
      </c>
      <c r="T1343" s="20">
        <v>45735</v>
      </c>
      <c r="U1343" s="94">
        <v>120</v>
      </c>
      <c r="V1343" s="22" t="str">
        <f>IF(ISBLANK(Table26[[#This Row],[customerSKU]]),"",_xlfn.XLOOKUP(Table26[[#This Row],[customerSKU]],Table27[customer_SKU],Table27[case_size],"",0,1))</f>
        <v/>
      </c>
      <c r="W1343" s="117">
        <v>1</v>
      </c>
      <c r="X1343" s="22" t="str">
        <f t="shared" si="58"/>
        <v/>
      </c>
      <c r="Y1343" s="25" t="str">
        <f>IF(Table26[[#This Row],[customerSKU]]="","",_xlfn.XLOOKUP(Table26[[#This Row],[customerSKU]],Table27[customer_SKU],Table27[product_GTIN],"",0,1))</f>
        <v/>
      </c>
      <c r="Z1343" s="25" t="s">
        <v>4090</v>
      </c>
      <c r="AA1343" s="18" t="str" cm="1">
        <f t="array" ref="AA1343">IF(P1343="", "", _xlfn.XLOOKUP(P1343,#REF!,#REF!,NA,0,-1))</f>
        <v/>
      </c>
      <c r="AB1343" s="22"/>
      <c r="AC1343" s="55" t="s">
        <v>19</v>
      </c>
      <c r="AD1343" s="55" t="str">
        <f>IF($AC1343="","",_xlfn.XLOOKUP($AC1343,'[2]Client Info'!$C$2:$C$2535,'[2]Client Info'!$D$2:$D$2535,"",0,1))</f>
        <v>58, rue de la Pépinière,</v>
      </c>
      <c r="AE1343" s="55" t="str">
        <f>IF($AC1343="","",_xlfn.XLOOKUP($AC1343,'[2]Client Info'!$C$2:$C$2715,'[2]Client Info'!$E$2:$E$2715,"",))</f>
        <v>Saint-Jean-sur-Richelieu</v>
      </c>
      <c r="AF1343" s="55" t="str">
        <f>IF($AC1343="","",_xlfn.XLOOKUP($AC1343,'[2]Client Info'!$C$2:$C$2715,'[2]Client Info'!$F$2:$F$2715,"",0,1))</f>
        <v>QC</v>
      </c>
      <c r="AG1343" s="55" t="s">
        <v>19</v>
      </c>
      <c r="AH1343" s="26" t="str">
        <f>_xlfn.XLOOKUP(Table26[[#This Row],[customerSKU]],customerSKU!G:G,customerSKU!K:K,"NA",0,1)</f>
        <v>NA</v>
      </c>
      <c r="AI1343" s="43" t="str">
        <f>_xlfn.XLOOKUP(Table26[[#This Row],[customerSKU]],customerSKU!G:G,customerSKU!O:O,"not found",0,1)</f>
        <v>not found</v>
      </c>
      <c r="AJ1343" s="22" t="e">
        <f>Table26[[#This Row],[unitprice]]*Table26[[#This Row],[quantity_unit]]</f>
        <v>#VALUE!</v>
      </c>
      <c r="AK1343" s="117" t="e" cm="1">
        <f t="array" ref="AK13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4" spans="1:37" ht="18" customHeight="1">
      <c r="A1344" s="42">
        <v>922</v>
      </c>
      <c r="B1344" s="42" t="s">
        <v>3357</v>
      </c>
      <c r="C1344" s="53" t="s">
        <v>203</v>
      </c>
      <c r="E1344" s="20"/>
      <c r="F1344" s="25"/>
      <c r="G1344" s="93"/>
      <c r="J1344" s="90" t="str">
        <f>IF(Table26[[#This Row],[customerSKU]]="","",_xlfn.XLOOKUP(Table26[[#This Row],[customerSKU]],customerSKU!G:G,customerSKU!A:A,"",0,1))</f>
        <v/>
      </c>
      <c r="K1344" s="232">
        <v>45744</v>
      </c>
      <c r="L1344" s="49" t="str">
        <f>IF(Table26[[#This Row],[customerSKU]]="","",_xlfn.XLOOKUP(Table26[[#This Row],[customerSKU]],customerSKU!G:G,customerSKU!B:B,"",0,1))</f>
        <v/>
      </c>
      <c r="M1344" s="22"/>
      <c r="N1344" s="15" t="str">
        <f>Table26[[#This Row],[po_number]]&amp;"-"&amp;Table26[[#This Row],[po_line]]</f>
        <v>-12</v>
      </c>
      <c r="O1344" s="15">
        <v>12</v>
      </c>
      <c r="P1344" s="50"/>
      <c r="Q1344" s="22" t="s">
        <v>3378</v>
      </c>
      <c r="R1344" s="22" t="s">
        <v>3419</v>
      </c>
      <c r="S1344" s="90" t="str">
        <f>IF(Table26[[#This Row],[customerSKU]]="","",_xlfn.XLOOKUP(Table26[[#This Row],[customerSKU]],customerSKU!G:G,customerSKU!N:N,"NOT FOUND",0,1))</f>
        <v>NOT FOUND</v>
      </c>
      <c r="T1344" s="20">
        <v>45714</v>
      </c>
      <c r="U1344" s="94">
        <v>120</v>
      </c>
      <c r="V1344" s="22" t="str">
        <f>IF(ISBLANK(Table26[[#This Row],[customerSKU]]),"",_xlfn.XLOOKUP(Table26[[#This Row],[customerSKU]],Table27[customer_SKU],Table27[case_size],"",0,1))</f>
        <v/>
      </c>
      <c r="W1344" s="117">
        <v>1</v>
      </c>
      <c r="X1344" s="22" t="str">
        <f t="shared" si="58"/>
        <v/>
      </c>
      <c r="Y1344" s="25" t="str">
        <f>IF(Table26[[#This Row],[customerSKU]]="","",_xlfn.XLOOKUP(Table26[[#This Row],[customerSKU]],Table27[customer_SKU],Table27[product_GTIN],"",0,1))</f>
        <v/>
      </c>
      <c r="Z1344" s="25" t="s">
        <v>3699</v>
      </c>
      <c r="AA1344" s="18" t="str" cm="1">
        <f t="array" ref="AA1344">IF(P1344="", "", _xlfn.XLOOKUP(P1344,#REF!,#REF!,NA,0,-1))</f>
        <v/>
      </c>
      <c r="AB1344" s="22"/>
      <c r="AC1344" s="55" t="s">
        <v>19</v>
      </c>
      <c r="AD1344" s="55" t="str">
        <f>IF($AC1344="","",_xlfn.XLOOKUP($AC1344,'[2]Client Info'!$C$2:$C$2535,'[2]Client Info'!$D$2:$D$2535,"",0,1))</f>
        <v>58, rue de la Pépinière,</v>
      </c>
      <c r="AE1344" s="55" t="str">
        <f>IF($AC1344="","",_xlfn.XLOOKUP($AC1344,'[2]Client Info'!$C$2:$C$2715,'[2]Client Info'!$E$2:$E$2715,"",))</f>
        <v>Saint-Jean-sur-Richelieu</v>
      </c>
      <c r="AF1344" s="55" t="str">
        <f>IF($AC1344="","",_xlfn.XLOOKUP($AC1344,'[2]Client Info'!$C$2:$C$2715,'[2]Client Info'!$F$2:$F$2715,"",0,1))</f>
        <v>QC</v>
      </c>
      <c r="AG1344" s="55" t="s">
        <v>19</v>
      </c>
      <c r="AH1344" s="26" t="str">
        <f>_xlfn.XLOOKUP(Table26[[#This Row],[customerSKU]],customerSKU!G:G,customerSKU!K:K,"NA",0,1)</f>
        <v>NA</v>
      </c>
      <c r="AI1344" s="43" t="str">
        <f>_xlfn.XLOOKUP(Table26[[#This Row],[customerSKU]],customerSKU!G:G,customerSKU!O:O,"not found",0,1)</f>
        <v>not found</v>
      </c>
      <c r="AJ1344" s="22" t="e">
        <f>Table26[[#This Row],[unitprice]]*Table26[[#This Row],[quantity_unit]]</f>
        <v>#VALUE!</v>
      </c>
      <c r="AK1344" s="117" t="e" cm="1">
        <f t="array" ref="AK13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5" spans="1:37" ht="24.6" customHeight="1">
      <c r="A1345" s="42">
        <v>923</v>
      </c>
      <c r="B1345" s="42" t="s">
        <v>3357</v>
      </c>
      <c r="C1345" s="53" t="s">
        <v>203</v>
      </c>
      <c r="E1345" s="20"/>
      <c r="F1345" s="25"/>
      <c r="G1345" s="93"/>
      <c r="J1345" s="90" t="str">
        <f>IF(Table26[[#This Row],[customerSKU]]="","",_xlfn.XLOOKUP(Table26[[#This Row],[customerSKU]],customerSKU!G:G,customerSKU!A:A,"",0,1))</f>
        <v/>
      </c>
      <c r="K1345" s="232">
        <v>45744</v>
      </c>
      <c r="L1345" s="49" t="str">
        <f>IF(Table26[[#This Row],[customerSKU]]="","",_xlfn.XLOOKUP(Table26[[#This Row],[customerSKU]],customerSKU!G:G,customerSKU!B:B,"",0,1))</f>
        <v/>
      </c>
      <c r="M1345" s="22"/>
      <c r="N1345" s="15" t="str">
        <f>Table26[[#This Row],[po_number]]&amp;"-"&amp;Table26[[#This Row],[po_line]]</f>
        <v>-13</v>
      </c>
      <c r="O1345" s="15">
        <v>13</v>
      </c>
      <c r="P1345" s="50"/>
      <c r="Q1345" s="22" t="s">
        <v>1324</v>
      </c>
      <c r="R1345" s="22" t="s">
        <v>3419</v>
      </c>
      <c r="S1345" s="90" t="str">
        <f>IF(Table26[[#This Row],[customerSKU]]="","",_xlfn.XLOOKUP(Table26[[#This Row],[customerSKU]],customerSKU!G:G,customerSKU!N:N,"NOT FOUND",0,1))</f>
        <v>NOT FOUND</v>
      </c>
      <c r="T1345" s="20">
        <v>45735</v>
      </c>
      <c r="U1345" s="94">
        <v>25</v>
      </c>
      <c r="V1345" s="22" t="str">
        <f>IF(ISBLANK(Table26[[#This Row],[customerSKU]]),"",_xlfn.XLOOKUP(Table26[[#This Row],[customerSKU]],Table27[customer_SKU],Table27[case_size],"",0,1))</f>
        <v/>
      </c>
      <c r="W1345" s="117">
        <v>1</v>
      </c>
      <c r="X1345" s="22" t="str">
        <f t="shared" si="58"/>
        <v/>
      </c>
      <c r="Y1345" s="25" t="str">
        <f>IF(Table26[[#This Row],[customerSKU]]="","",_xlfn.XLOOKUP(Table26[[#This Row],[customerSKU]],Table27[customer_SKU],Table27[product_GTIN],"",0,1))</f>
        <v/>
      </c>
      <c r="Z1345" s="25" t="s">
        <v>3700</v>
      </c>
      <c r="AA1345" s="18" t="str" cm="1">
        <f t="array" ref="AA1345">IF(P1345="", "", _xlfn.XLOOKUP(P1345,#REF!,#REF!,NA,0,-1))</f>
        <v/>
      </c>
      <c r="AB1345" s="22"/>
      <c r="AC1345" s="55" t="s">
        <v>19</v>
      </c>
      <c r="AD1345" s="55" t="str">
        <f>IF($AC1345="","",_xlfn.XLOOKUP($AC1345,'[2]Client Info'!$C$2:$C$2535,'[2]Client Info'!$D$2:$D$2535,"",0,1))</f>
        <v>58, rue de la Pépinière,</v>
      </c>
      <c r="AE1345" s="55" t="str">
        <f>IF($AC1345="","",_xlfn.XLOOKUP($AC1345,'[2]Client Info'!$C$2:$C$2715,'[2]Client Info'!$E$2:$E$2715,"",))</f>
        <v>Saint-Jean-sur-Richelieu</v>
      </c>
      <c r="AF1345" s="55" t="str">
        <f>IF($AC1345="","",_xlfn.XLOOKUP($AC1345,'[2]Client Info'!$C$2:$C$2715,'[2]Client Info'!$F$2:$F$2715,"",0,1))</f>
        <v>QC</v>
      </c>
      <c r="AG1345" s="55" t="s">
        <v>19</v>
      </c>
      <c r="AH1345" s="26" t="str">
        <f>_xlfn.XLOOKUP(Table26[[#This Row],[customerSKU]],customerSKU!G:G,customerSKU!K:K,"NA",0,1)</f>
        <v>NA</v>
      </c>
      <c r="AI1345" s="43" t="str">
        <f>_xlfn.XLOOKUP(Table26[[#This Row],[customerSKU]],customerSKU!G:G,customerSKU!O:O,"not found",0,1)</f>
        <v>not found</v>
      </c>
      <c r="AJ1345" s="22" t="e">
        <f>Table26[[#This Row],[unitprice]]*Table26[[#This Row],[quantity_unit]]</f>
        <v>#VALUE!</v>
      </c>
      <c r="AK1345" s="117" t="e" cm="1">
        <f t="array" ref="AK13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6" spans="1:37" ht="18" customHeight="1">
      <c r="A1346" s="42">
        <v>924</v>
      </c>
      <c r="B1346" s="42" t="s">
        <v>3357</v>
      </c>
      <c r="C1346" s="53" t="s">
        <v>203</v>
      </c>
      <c r="E1346" s="20"/>
      <c r="F1346" s="25"/>
      <c r="G1346" s="93"/>
      <c r="J1346" s="90" t="str">
        <f>IF(Table26[[#This Row],[customerSKU]]="","",_xlfn.XLOOKUP(Table26[[#This Row],[customerSKU]],customerSKU!G:G,customerSKU!A:A,"",0,1))</f>
        <v/>
      </c>
      <c r="K1346" s="232">
        <v>45744</v>
      </c>
      <c r="L1346" s="49" t="str">
        <f>IF(Table26[[#This Row],[customerSKU]]="","",_xlfn.XLOOKUP(Table26[[#This Row],[customerSKU]],customerSKU!G:G,customerSKU!B:B,"",0,1))</f>
        <v/>
      </c>
      <c r="M1346" s="22"/>
      <c r="N1346" s="15" t="str">
        <f>Table26[[#This Row],[po_number]]&amp;"-"&amp;Table26[[#This Row],[po_line]]</f>
        <v>-14</v>
      </c>
      <c r="O1346" s="15">
        <v>14</v>
      </c>
      <c r="P1346" s="50"/>
      <c r="Q1346" s="22" t="s">
        <v>1324</v>
      </c>
      <c r="R1346" s="22" t="s">
        <v>3419</v>
      </c>
      <c r="S1346" s="90" t="str">
        <f>IF(Table26[[#This Row],[customerSKU]]="","",_xlfn.XLOOKUP(Table26[[#This Row],[customerSKU]],customerSKU!G:G,customerSKU!N:N,"NOT FOUND",0,1))</f>
        <v>NOT FOUND</v>
      </c>
      <c r="T1346" s="20">
        <v>45629</v>
      </c>
      <c r="U1346" s="94">
        <v>95</v>
      </c>
      <c r="V1346" s="22" t="str">
        <f>IF(ISBLANK(Table26[[#This Row],[customerSKU]]),"",_xlfn.XLOOKUP(Table26[[#This Row],[customerSKU]],Table27[customer_SKU],Table27[case_size],"",0,1))</f>
        <v/>
      </c>
      <c r="W1346" s="117">
        <v>1</v>
      </c>
      <c r="X1346" s="22" t="str">
        <f t="shared" si="58"/>
        <v/>
      </c>
      <c r="Y1346" s="25" t="str">
        <f>IF(Table26[[#This Row],[customerSKU]]="","",_xlfn.XLOOKUP(Table26[[#This Row],[customerSKU]],Table27[customer_SKU],Table27[product_GTIN],"",0,1))</f>
        <v/>
      </c>
      <c r="Z1346" s="25" t="s">
        <v>3700</v>
      </c>
      <c r="AA1346" s="18" t="str" cm="1">
        <f t="array" ref="AA1346">IF(P1346="", "", _xlfn.XLOOKUP(P1346,#REF!,#REF!,NA,0,-1))</f>
        <v/>
      </c>
      <c r="AB1346" s="22"/>
      <c r="AC1346" s="55" t="s">
        <v>19</v>
      </c>
      <c r="AD1346" s="55" t="str">
        <f>IF($AC1346="","",_xlfn.XLOOKUP($AC1346,'[2]Client Info'!$C$2:$C$2535,'[2]Client Info'!$D$2:$D$2535,"",0,1))</f>
        <v>58, rue de la Pépinière,</v>
      </c>
      <c r="AE1346" s="55" t="str">
        <f>IF($AC1346="","",_xlfn.XLOOKUP($AC1346,'[2]Client Info'!$C$2:$C$2715,'[2]Client Info'!$E$2:$E$2715,"",))</f>
        <v>Saint-Jean-sur-Richelieu</v>
      </c>
      <c r="AF1346" s="55" t="str">
        <f>IF($AC1346="","",_xlfn.XLOOKUP($AC1346,'[2]Client Info'!$C$2:$C$2715,'[2]Client Info'!$F$2:$F$2715,"",0,1))</f>
        <v>QC</v>
      </c>
      <c r="AG1346" s="55" t="s">
        <v>19</v>
      </c>
      <c r="AH1346" s="26" t="str">
        <f>_xlfn.XLOOKUP(Table26[[#This Row],[customerSKU]],customerSKU!G:G,customerSKU!K:K,"NA",0,1)</f>
        <v>NA</v>
      </c>
      <c r="AI1346" s="43" t="str">
        <f>_xlfn.XLOOKUP(Table26[[#This Row],[customerSKU]],customerSKU!G:G,customerSKU!O:O,"not found",0,1)</f>
        <v>not found</v>
      </c>
      <c r="AJ1346" s="22" t="e">
        <f>Table26[[#This Row],[unitprice]]*Table26[[#This Row],[quantity_unit]]</f>
        <v>#VALUE!</v>
      </c>
      <c r="AK1346" s="117" t="e" cm="1">
        <f t="array" ref="AK13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7" spans="1:37" ht="18" customHeight="1">
      <c r="A1347" s="42">
        <v>925</v>
      </c>
      <c r="B1347" s="42" t="s">
        <v>3357</v>
      </c>
      <c r="C1347" s="53" t="s">
        <v>203</v>
      </c>
      <c r="E1347" s="20"/>
      <c r="F1347" s="25"/>
      <c r="G1347" s="93"/>
      <c r="J1347" s="90" t="str">
        <f>IF(Table26[[#This Row],[customerSKU]]="","",_xlfn.XLOOKUP(Table26[[#This Row],[customerSKU]],customerSKU!G:G,customerSKU!A:A,"",0,1))</f>
        <v/>
      </c>
      <c r="K1347" s="232">
        <v>45744</v>
      </c>
      <c r="L1347" s="49" t="str">
        <f>IF(Table26[[#This Row],[customerSKU]]="","",_xlfn.XLOOKUP(Table26[[#This Row],[customerSKU]],customerSKU!G:G,customerSKU!B:B,"",0,1))</f>
        <v/>
      </c>
      <c r="M1347" s="22"/>
      <c r="N1347" s="15" t="str">
        <f>Table26[[#This Row],[po_number]]&amp;"-"&amp;Table26[[#This Row],[po_line]]</f>
        <v>-15</v>
      </c>
      <c r="O1347" s="15">
        <v>15</v>
      </c>
      <c r="P1347" s="50"/>
      <c r="Q1347" s="22" t="s">
        <v>3415</v>
      </c>
      <c r="R1347" s="22" t="s">
        <v>3419</v>
      </c>
      <c r="S1347" s="90" t="str">
        <f>IF(Table26[[#This Row],[customerSKU]]="","",_xlfn.XLOOKUP(Table26[[#This Row],[customerSKU]],customerSKU!G:G,customerSKU!N:N,"NOT FOUND",0,1))</f>
        <v>NOT FOUND</v>
      </c>
      <c r="T1347" s="20">
        <v>45674</v>
      </c>
      <c r="U1347" s="94">
        <v>60</v>
      </c>
      <c r="V1347" s="22" t="str">
        <f>IF(ISBLANK(Table26[[#This Row],[customerSKU]]),"",_xlfn.XLOOKUP(Table26[[#This Row],[customerSKU]],Table27[customer_SKU],Table27[case_size],"",0,1))</f>
        <v/>
      </c>
      <c r="W1347" s="117">
        <v>1</v>
      </c>
      <c r="X1347" s="22" t="str">
        <f t="shared" si="58"/>
        <v/>
      </c>
      <c r="Y1347" s="25" t="str">
        <f>IF(Table26[[#This Row],[customerSKU]]="","",_xlfn.XLOOKUP(Table26[[#This Row],[customerSKU]],Table27[customer_SKU],Table27[product_GTIN],"",0,1))</f>
        <v/>
      </c>
      <c r="Z1347" s="25" t="s">
        <v>3702</v>
      </c>
      <c r="AA1347" s="18" t="str" cm="1">
        <f t="array" ref="AA1347">IF(P1347="", "", _xlfn.XLOOKUP(P1347,#REF!,#REF!,NA,0,-1))</f>
        <v/>
      </c>
      <c r="AB1347" s="22"/>
      <c r="AC1347" s="55" t="s">
        <v>19</v>
      </c>
      <c r="AD1347" s="55" t="str">
        <f>IF($AC1347="","",_xlfn.XLOOKUP($AC1347,'[2]Client Info'!$C$2:$C$2535,'[2]Client Info'!$D$2:$D$2535,"",0,1))</f>
        <v>58, rue de la Pépinière,</v>
      </c>
      <c r="AE1347" s="55" t="str">
        <f>IF($AC1347="","",_xlfn.XLOOKUP($AC1347,'[2]Client Info'!$C$2:$C$2715,'[2]Client Info'!$E$2:$E$2715,"",))</f>
        <v>Saint-Jean-sur-Richelieu</v>
      </c>
      <c r="AF1347" s="55" t="str">
        <f>IF($AC1347="","",_xlfn.XLOOKUP($AC1347,'[2]Client Info'!$C$2:$C$2715,'[2]Client Info'!$F$2:$F$2715,"",0,1))</f>
        <v>QC</v>
      </c>
      <c r="AG1347" s="55" t="s">
        <v>19</v>
      </c>
      <c r="AH1347" s="26" t="str">
        <f>_xlfn.XLOOKUP(Table26[[#This Row],[customerSKU]],customerSKU!G:G,customerSKU!K:K,"NA",0,1)</f>
        <v>NA</v>
      </c>
      <c r="AI1347" s="43" t="str">
        <f>_xlfn.XLOOKUP(Table26[[#This Row],[customerSKU]],customerSKU!G:G,customerSKU!O:O,"not found",0,1)</f>
        <v>not found</v>
      </c>
      <c r="AJ1347" s="22" t="e">
        <f>Table26[[#This Row],[unitprice]]*Table26[[#This Row],[quantity_unit]]</f>
        <v>#VALUE!</v>
      </c>
      <c r="AK1347" s="117" t="e" cm="1">
        <f t="array" ref="AK134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8" spans="1:37" ht="18" customHeight="1">
      <c r="A1348" s="42">
        <v>926</v>
      </c>
      <c r="B1348" s="42" t="s">
        <v>3357</v>
      </c>
      <c r="C1348" s="53" t="s">
        <v>203</v>
      </c>
      <c r="E1348" s="20"/>
      <c r="F1348" s="25"/>
      <c r="G1348" s="93"/>
      <c r="J1348" s="90" t="str">
        <f>IF(Table26[[#This Row],[customerSKU]]="","",_xlfn.XLOOKUP(Table26[[#This Row],[customerSKU]],customerSKU!G:G,customerSKU!A:A,"",0,1))</f>
        <v/>
      </c>
      <c r="K1348" s="232">
        <v>45744</v>
      </c>
      <c r="L1348" s="49" t="str">
        <f>IF(Table26[[#This Row],[customerSKU]]="","",_xlfn.XLOOKUP(Table26[[#This Row],[customerSKU]],customerSKU!G:G,customerSKU!B:B,"",0,1))</f>
        <v/>
      </c>
      <c r="M1348" s="22"/>
      <c r="N1348" s="15" t="str">
        <f>Table26[[#This Row],[po_number]]&amp;"-"&amp;Table26[[#This Row],[po_line]]</f>
        <v>-16</v>
      </c>
      <c r="O1348" s="15">
        <v>16</v>
      </c>
      <c r="P1348" s="50"/>
      <c r="Q1348" s="22" t="s">
        <v>525</v>
      </c>
      <c r="R1348" s="22" t="s">
        <v>3419</v>
      </c>
      <c r="S1348" s="90" t="str">
        <f>IF(Table26[[#This Row],[customerSKU]]="","",_xlfn.XLOOKUP(Table26[[#This Row],[customerSKU]],customerSKU!G:G,customerSKU!N:N,"NOT FOUND",0,1))</f>
        <v>NOT FOUND</v>
      </c>
      <c r="T1348" s="20">
        <v>45588</v>
      </c>
      <c r="U1348" s="94">
        <v>60</v>
      </c>
      <c r="V1348" s="22" t="str">
        <f>IF(ISBLANK(Table26[[#This Row],[customerSKU]]),"",_xlfn.XLOOKUP(Table26[[#This Row],[customerSKU]],Table27[customer_SKU],Table27[case_size],"",0,1))</f>
        <v/>
      </c>
      <c r="W1348" s="117">
        <v>1</v>
      </c>
      <c r="X1348" s="22" t="str">
        <f t="shared" si="58"/>
        <v/>
      </c>
      <c r="Y1348" s="25" t="str">
        <f>IF(Table26[[#This Row],[customerSKU]]="","",_xlfn.XLOOKUP(Table26[[#This Row],[customerSKU]],Table27[customer_SKU],Table27[product_GTIN],"",0,1))</f>
        <v/>
      </c>
      <c r="Z1348" s="25" t="s">
        <v>3702</v>
      </c>
      <c r="AA1348" s="18" t="str" cm="1">
        <f t="array" ref="AA1348">IF(P1348="", "", _xlfn.XLOOKUP(P1348,#REF!,#REF!,NA,0,-1))</f>
        <v/>
      </c>
      <c r="AB1348" s="22"/>
      <c r="AC1348" s="55" t="s">
        <v>19</v>
      </c>
      <c r="AD1348" s="55" t="str">
        <f>IF($AC1348="","",_xlfn.XLOOKUP($AC1348,'[2]Client Info'!$C$2:$C$2535,'[2]Client Info'!$D$2:$D$2535,"",0,1))</f>
        <v>58, rue de la Pépinière,</v>
      </c>
      <c r="AE1348" s="55" t="str">
        <f>IF($AC1348="","",_xlfn.XLOOKUP($AC1348,'[2]Client Info'!$C$2:$C$2715,'[2]Client Info'!$E$2:$E$2715,"",))</f>
        <v>Saint-Jean-sur-Richelieu</v>
      </c>
      <c r="AF1348" s="55" t="str">
        <f>IF($AC1348="","",_xlfn.XLOOKUP($AC1348,'[2]Client Info'!$C$2:$C$2715,'[2]Client Info'!$F$2:$F$2715,"",0,1))</f>
        <v>QC</v>
      </c>
      <c r="AG1348" s="55" t="s">
        <v>19</v>
      </c>
      <c r="AH1348" s="26" t="str">
        <f>_xlfn.XLOOKUP(Table26[[#This Row],[customerSKU]],customerSKU!G:G,customerSKU!K:K,"NA",0,1)</f>
        <v>NA</v>
      </c>
      <c r="AI1348" s="43" t="str">
        <f>_xlfn.XLOOKUP(Table26[[#This Row],[customerSKU]],customerSKU!G:G,customerSKU!O:O,"not found",0,1)</f>
        <v>not found</v>
      </c>
      <c r="AJ1348" s="22" t="e">
        <f>Table26[[#This Row],[unitprice]]*Table26[[#This Row],[quantity_unit]]</f>
        <v>#VALUE!</v>
      </c>
      <c r="AK1348" s="117" t="e" cm="1">
        <f t="array" ref="AK134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49" spans="1:37" ht="18" customHeight="1">
      <c r="A1349" s="42">
        <v>927</v>
      </c>
      <c r="B1349" s="42" t="s">
        <v>3357</v>
      </c>
      <c r="C1349" s="90" t="s">
        <v>203</v>
      </c>
      <c r="D1349" s="20">
        <v>45733</v>
      </c>
      <c r="E1349" s="20"/>
      <c r="F1349" s="25"/>
      <c r="G1349" s="93"/>
      <c r="J1349" s="90" t="str">
        <f>IF(Table26[[#This Row],[customerSKU]]="","",_xlfn.XLOOKUP(Table26[[#This Row],[customerSKU]],customerSKU!G:G,customerSKU!A:A,"",0,1))</f>
        <v/>
      </c>
      <c r="K1349" s="232">
        <v>45744</v>
      </c>
      <c r="L1349" s="49" t="str">
        <f>IF(Table26[[#This Row],[customerSKU]]="","",_xlfn.XLOOKUP(Table26[[#This Row],[customerSKU]],customerSKU!G:G,customerSKU!B:B,"",0,1))</f>
        <v/>
      </c>
      <c r="M1349" s="22"/>
      <c r="N1349" s="15" t="str">
        <f>Table26[[#This Row],[po_number]]&amp;"-"&amp;Table26[[#This Row],[po_line]]</f>
        <v>-1</v>
      </c>
      <c r="O1349" s="15">
        <v>1</v>
      </c>
      <c r="P1349" s="50"/>
      <c r="Q1349" s="22" t="s">
        <v>3774</v>
      </c>
      <c r="R1349" s="22" t="s">
        <v>569</v>
      </c>
      <c r="S1349" s="90" t="str">
        <f>IF(Table26[[#This Row],[customerSKU]]="","",_xlfn.XLOOKUP(Table26[[#This Row],[customerSKU]],customerSKU!G:G,customerSKU!N:N,"NOT FOUND",0,1))</f>
        <v>NOT FOUND</v>
      </c>
      <c r="T1349" s="20">
        <v>45725</v>
      </c>
      <c r="U1349" s="94">
        <v>420</v>
      </c>
      <c r="V1349" s="22" t="str">
        <f>IF(ISBLANK(Table26[[#This Row],[customerSKU]]),"",_xlfn.XLOOKUP(Table26[[#This Row],[customerSKU]],Table27[customer_SKU],Table27[case_size],"",0,1))</f>
        <v/>
      </c>
      <c r="W1349" s="117" t="str">
        <f t="shared" ref="W1349:W1412" si="59">IFERROR(U1349/V1349, "")</f>
        <v/>
      </c>
      <c r="X1349" s="22" t="str">
        <f t="shared" si="58"/>
        <v/>
      </c>
      <c r="Y1349" s="25" t="str">
        <f>IF(Table26[[#This Row],[customerSKU]]="","",_xlfn.XLOOKUP(Table26[[#This Row],[customerSKU]],Table27[customer_SKU],Table27[product_GTIN],"",0,1))</f>
        <v/>
      </c>
      <c r="Z1349" s="273" t="s">
        <v>3630</v>
      </c>
      <c r="AA1349" s="18" t="str" cm="1">
        <f t="array" ref="AA1349">IF(P1349="", "", _xlfn.XLOOKUP(P1349,#REF!,#REF!,NA,0,-1))</f>
        <v/>
      </c>
      <c r="AB1349" s="22"/>
      <c r="AC1349" s="55" t="str">
        <f>IF(Table26[[#This Row],[customerSKU]]="","",_xlfn.XLOOKUP(Table26[[#This Row],[customerSKU]],customerSKU!G:G,customerSKU!C:C,"",0,1))</f>
        <v/>
      </c>
      <c r="AD1349" s="55" t="str">
        <f>IF($AC1349="","",_xlfn.XLOOKUP($AC1349,'[2]Client Info'!$C$2:$C$2535,'[2]Client Info'!$D$2:$D$2535,"",0,1))</f>
        <v/>
      </c>
      <c r="AE1349" s="55" t="str">
        <f>IF($AC1349="","",_xlfn.XLOOKUP($AC1349,'[2]Client Info'!$C$2:$C$2715,'[2]Client Info'!$E$2:$E$2715,"",))</f>
        <v/>
      </c>
      <c r="AF1349" s="55" t="str">
        <f>IF($AC1349="","",_xlfn.XLOOKUP($AC1349,'[2]Client Info'!$C$2:$C$2715,'[2]Client Info'!$F$2:$F$2715,"",0,1))</f>
        <v/>
      </c>
      <c r="AG1349" s="55" t="str">
        <f>IF(ISBLANK(Table26[[#This Row],[customerSKU]]),"",_xlfn.XLOOKUP(Table26[[#This Row],[customerSKU]],Table27[customer_SKU],Table27[billto],"",0,1))</f>
        <v/>
      </c>
      <c r="AH1349" s="26" t="str">
        <f>_xlfn.XLOOKUP(Table26[[#This Row],[customerSKU]],customerSKU!G:G,customerSKU!K:K,"NA",0,1)</f>
        <v>NA</v>
      </c>
      <c r="AI1349" s="43" t="str">
        <f>_xlfn.XLOOKUP(Table26[[#This Row],[customerSKU]],customerSKU!G:G,customerSKU!O:O,"not found",0,1)</f>
        <v>not found</v>
      </c>
      <c r="AJ1349" s="22" t="e">
        <f>Table26[[#This Row],[unitprice]]*Table26[[#This Row],[quantity_unit]]</f>
        <v>#VALUE!</v>
      </c>
      <c r="AK1349" s="117" t="e" cm="1">
        <f t="array" ref="AK13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50" spans="1:37" ht="24.6" customHeight="1">
      <c r="A1350" s="42">
        <v>928</v>
      </c>
      <c r="B1350" s="42" t="s">
        <v>3357</v>
      </c>
      <c r="C1350" s="90" t="s">
        <v>203</v>
      </c>
      <c r="D1350" s="20">
        <v>45740</v>
      </c>
      <c r="E1350" s="20"/>
      <c r="F1350" s="25"/>
      <c r="G1350" s="93"/>
      <c r="J1350" s="90" t="str">
        <f>IF(Table26[[#This Row],[customerSKU]]="","",_xlfn.XLOOKUP(Table26[[#This Row],[customerSKU]],customerSKU!G:G,customerSKU!A:A,"",0,1))</f>
        <v/>
      </c>
      <c r="K1350" s="232">
        <v>45744</v>
      </c>
      <c r="L1350" s="49" t="str">
        <f>IF(Table26[[#This Row],[customerSKU]]="","",_xlfn.XLOOKUP(Table26[[#This Row],[customerSKU]],customerSKU!G:G,customerSKU!B:B,"",0,1))</f>
        <v/>
      </c>
      <c r="M1350" s="22"/>
      <c r="N1350" s="15" t="str">
        <f>Table26[[#This Row],[po_number]]&amp;"-"&amp;Table26[[#This Row],[po_line]]</f>
        <v>-1</v>
      </c>
      <c r="O1350" s="15">
        <v>1</v>
      </c>
      <c r="P1350" s="50"/>
      <c r="Q1350" s="22" t="s">
        <v>3773</v>
      </c>
      <c r="R1350" s="22" t="s">
        <v>569</v>
      </c>
      <c r="S1350" s="90" t="str">
        <f>IF(Table26[[#This Row],[customerSKU]]="","",_xlfn.XLOOKUP(Table26[[#This Row],[customerSKU]],customerSKU!G:G,customerSKU!N:N,"NOT FOUND",0,1))</f>
        <v>NOT FOUND</v>
      </c>
      <c r="T1350" s="20">
        <v>45739</v>
      </c>
      <c r="U1350" s="94">
        <v>300</v>
      </c>
      <c r="V1350" s="22" t="str">
        <f>IF(ISBLANK(Table26[[#This Row],[customerSKU]]),"",_xlfn.XLOOKUP(Table26[[#This Row],[customerSKU]],Table27[customer_SKU],Table27[case_size],"",0,1))</f>
        <v/>
      </c>
      <c r="W1350" s="117" t="str">
        <f t="shared" si="59"/>
        <v/>
      </c>
      <c r="X1350" s="22" t="str">
        <f t="shared" ref="X1350:X1413" si="60">IFERROR($AA1350*$U1350, "")</f>
        <v/>
      </c>
      <c r="Y1350" s="25" t="str">
        <f>IF(Table26[[#This Row],[customerSKU]]="","",_xlfn.XLOOKUP(Table26[[#This Row],[customerSKU]],Table27[customer_SKU],Table27[product_GTIN],"",0,1))</f>
        <v/>
      </c>
      <c r="Z1350" s="273" t="s">
        <v>3557</v>
      </c>
      <c r="AA1350" s="18" t="str" cm="1">
        <f t="array" ref="AA1350">IF(P1350="", "", _xlfn.XLOOKUP(P1350,#REF!,#REF!,NA,0,-1))</f>
        <v/>
      </c>
      <c r="AB1350" s="22"/>
      <c r="AC1350" s="55" t="str">
        <f>IF(Table26[[#This Row],[customerSKU]]="","",_xlfn.XLOOKUP(Table26[[#This Row],[customerSKU]],customerSKU!G:G,customerSKU!C:C,"",0,1))</f>
        <v/>
      </c>
      <c r="AD1350" s="55" t="str">
        <f>IF($AC1350="","",_xlfn.XLOOKUP($AC1350,'[2]Client Info'!$C$2:$C$2535,'[2]Client Info'!$D$2:$D$2535,"",0,1))</f>
        <v/>
      </c>
      <c r="AE1350" s="55" t="str">
        <f>IF($AC1350="","",_xlfn.XLOOKUP($AC1350,'[2]Client Info'!$C$2:$C$2715,'[2]Client Info'!$E$2:$E$2715,"",))</f>
        <v/>
      </c>
      <c r="AF1350" s="55" t="str">
        <f>IF($AC1350="","",_xlfn.XLOOKUP($AC1350,'[2]Client Info'!$C$2:$C$2715,'[2]Client Info'!$F$2:$F$2715,"",0,1))</f>
        <v/>
      </c>
      <c r="AG1350" s="55" t="str">
        <f>IF(ISBLANK(Table26[[#This Row],[customerSKU]]),"",_xlfn.XLOOKUP(Table26[[#This Row],[customerSKU]],Table27[customer_SKU],Table27[billto],"",0,1))</f>
        <v/>
      </c>
      <c r="AH1350" s="26" t="str">
        <f>_xlfn.XLOOKUP(Table26[[#This Row],[customerSKU]],customerSKU!G:G,customerSKU!K:K,"NA",0,1)</f>
        <v>NA</v>
      </c>
      <c r="AI1350" s="43" t="str">
        <f>_xlfn.XLOOKUP(Table26[[#This Row],[customerSKU]],customerSKU!G:G,customerSKU!O:O,"not found",0,1)</f>
        <v>not found</v>
      </c>
      <c r="AJ1350" s="22" t="e">
        <f>Table26[[#This Row],[unitprice]]*Table26[[#This Row],[quantity_unit]]</f>
        <v>#VALUE!</v>
      </c>
      <c r="AK1350" s="117" t="e" cm="1">
        <f t="array" ref="AK135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51" spans="1:37" ht="24.6" customHeight="1">
      <c r="A1351" s="42">
        <v>929</v>
      </c>
      <c r="B1351" s="42" t="s">
        <v>3357</v>
      </c>
      <c r="C1351" s="53" t="s">
        <v>203</v>
      </c>
      <c r="D1351" s="20">
        <v>45744</v>
      </c>
      <c r="E1351" s="20"/>
      <c r="F1351" s="25"/>
      <c r="G1351" s="93"/>
      <c r="J1351" s="90" t="str">
        <f>IF(Table26[[#This Row],[customerSKU]]="","",_xlfn.XLOOKUP(Table26[[#This Row],[customerSKU]],customerSKU!G:G,customerSKU!A:A,"",0,1))</f>
        <v/>
      </c>
      <c r="K1351" s="232">
        <v>45744</v>
      </c>
      <c r="L1351" s="49" t="str">
        <f>IF(Table26[[#This Row],[customerSKU]]="","",_xlfn.XLOOKUP(Table26[[#This Row],[customerSKU]],customerSKU!G:G,customerSKU!B:B,"",0,1))</f>
        <v/>
      </c>
      <c r="M1351" s="22"/>
      <c r="N1351" s="15" t="str">
        <f>Table26[[#This Row],[po_number]]&amp;"-"&amp;Table26[[#This Row],[po_line]]</f>
        <v>-1</v>
      </c>
      <c r="O1351" s="15">
        <v>1</v>
      </c>
      <c r="P1351" s="50"/>
      <c r="Q1351" s="22" t="s">
        <v>3769</v>
      </c>
      <c r="R1351" s="22" t="s">
        <v>569</v>
      </c>
      <c r="S1351" s="90" t="str">
        <f>IF(Table26[[#This Row],[customerSKU]]="","",_xlfn.XLOOKUP(Table26[[#This Row],[customerSKU]],customerSKU!G:G,customerSKU!N:N,"NOT FOUND",0,1))</f>
        <v>NOT FOUND</v>
      </c>
      <c r="T1351" s="20">
        <v>45745</v>
      </c>
      <c r="U1351" s="94">
        <v>600</v>
      </c>
      <c r="V1351" s="22" t="str">
        <f>IF(ISBLANK(Table26[[#This Row],[customerSKU]]),"",_xlfn.XLOOKUP(Table26[[#This Row],[customerSKU]],Table27[customer_SKU],Table27[case_size],"",0,1))</f>
        <v/>
      </c>
      <c r="W1351" s="117" t="str">
        <f t="shared" si="59"/>
        <v/>
      </c>
      <c r="X1351" s="22" t="str">
        <f t="shared" si="60"/>
        <v/>
      </c>
      <c r="Y1351" s="25" t="str">
        <f>IF(Table26[[#This Row],[customerSKU]]="","",_xlfn.XLOOKUP(Table26[[#This Row],[customerSKU]],Table27[customer_SKU],Table27[product_GTIN],"",0,1))</f>
        <v/>
      </c>
      <c r="Z1351" s="273" t="s">
        <v>4042</v>
      </c>
      <c r="AA1351" s="18" t="str" cm="1">
        <f t="array" ref="AA1351">IF(P1351="", "", _xlfn.XLOOKUP(P1351,#REF!,#REF!,NA,0,-1))</f>
        <v/>
      </c>
      <c r="AB1351" s="22"/>
      <c r="AC1351" s="55" t="str">
        <f>IF(Table26[[#This Row],[customerSKU]]="","",_xlfn.XLOOKUP(Table26[[#This Row],[customerSKU]],customerSKU!G:G,customerSKU!C:C,"",0,1))</f>
        <v/>
      </c>
      <c r="AD1351" s="55" t="str">
        <f>IF($AC1351="","",_xlfn.XLOOKUP($AC1351,'[2]Client Info'!$C$2:$C$2535,'[2]Client Info'!$D$2:$D$2535,"",0,1))</f>
        <v/>
      </c>
      <c r="AE1351" s="55" t="str">
        <f>IF($AC1351="","",_xlfn.XLOOKUP($AC1351,'[2]Client Info'!$C$2:$C$2715,'[2]Client Info'!$E$2:$E$2715,"",))</f>
        <v/>
      </c>
      <c r="AF1351" s="55" t="str">
        <f>IF($AC1351="","",_xlfn.XLOOKUP($AC1351,'[2]Client Info'!$C$2:$C$2715,'[2]Client Info'!$F$2:$F$2715,"",0,1))</f>
        <v/>
      </c>
      <c r="AG1351" s="55" t="str">
        <f>IF(ISBLANK(Table26[[#This Row],[customerSKU]]),"",_xlfn.XLOOKUP(Table26[[#This Row],[customerSKU]],Table27[customer_SKU],Table27[billto],"",0,1))</f>
        <v/>
      </c>
      <c r="AH1351" s="26" t="str">
        <f>_xlfn.XLOOKUP(Table26[[#This Row],[customerSKU]],customerSKU!G:G,customerSKU!K:K,"NA",0,1)</f>
        <v>NA</v>
      </c>
      <c r="AI1351" s="43" t="str">
        <f>_xlfn.XLOOKUP(Table26[[#This Row],[customerSKU]],customerSKU!G:G,customerSKU!O:O,"not found",0,1)</f>
        <v>not found</v>
      </c>
      <c r="AJ1351" s="22" t="e">
        <f>Table26[[#This Row],[unitprice]]*Table26[[#This Row],[quantity_unit]]</f>
        <v>#VALUE!</v>
      </c>
      <c r="AK1351" s="117" t="e" cm="1">
        <f t="array" ref="AK135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Row],[sales_stream]]="BCLDB_WT",Table26[[#This Row],[Product Price]],Table26[[#This Row],[sales_stream]]="MEDICIBIS",Table26[[#This Row],[Product Price]]*2639448/2513760,Table26[[#This Row],[sales_stream]]="OCS",Table26[[#This Row],[Product Price]]*1.13,Table26[[#This Row],[sales_stream]]="CANNMART",Table26[[#This Row],[Product Price]]*1.126,Table26[[#This Row],[sales_stream]]="BCDD_AV",Table26[[#This Row],[Product Price]],Table26[[#This Row],[sales_stream]]="NTLCC",Table26[[#This Row],[Product Price]],Table26[[#This Row],[sales_stream]]="AGLC",Table26[[#This Row],[Product Price]])</f>
        <v>#N/A</v>
      </c>
    </row>
    <row r="1352" spans="1:37" ht="18" customHeight="1">
      <c r="A1352" s="42">
        <v>894</v>
      </c>
      <c r="B1352" s="42" t="s">
        <v>3357</v>
      </c>
      <c r="C1352" s="53" t="s">
        <v>203</v>
      </c>
      <c r="E1352" s="20"/>
      <c r="F13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2" s="93"/>
      <c r="I1352" s="19">
        <v>45747</v>
      </c>
      <c r="J1352" s="90" t="str">
        <f>IF(Table26[[#This Row],[customerSKU]]="","",_xlfn.XLOOKUP(Table26[[#This Row],[customerSKU]],customerSKU!G:G,customerSKU!A:A,"",0,1))</f>
        <v/>
      </c>
      <c r="K1352" s="232">
        <v>45748</v>
      </c>
      <c r="L1352" s="49" t="str">
        <f>IF(Table26[[#This Row],[customerSKU]]="","",_xlfn.XLOOKUP(Table26[[#This Row],[customerSKU]],customerSKU!G:G,customerSKU!B:B,"",0,1))</f>
        <v/>
      </c>
      <c r="M1352" s="22"/>
      <c r="N1352" s="15" t="str">
        <f>Table26[[#This Row],[po_number]]&amp;"-"&amp;Table26[[#This Row],[po_line]]</f>
        <v>-1</v>
      </c>
      <c r="O1352" s="15">
        <v>1</v>
      </c>
      <c r="P1352" s="50"/>
      <c r="Q1352" s="22" t="s">
        <v>574</v>
      </c>
      <c r="R1352" s="22" t="s">
        <v>569</v>
      </c>
      <c r="S1352" s="90" t="str">
        <f>IF(Table26[[#This Row],[customerSKU]]="","",_xlfn.XLOOKUP(Table26[[#This Row],[customerSKU]],customerSKU!G:G,customerSKU!N:N,"NOT FOUND",0,1))</f>
        <v>NOT FOUND</v>
      </c>
      <c r="T1352" s="20">
        <v>45728</v>
      </c>
      <c r="U1352" s="94">
        <v>120</v>
      </c>
      <c r="V1352" s="22" t="str">
        <f>IF(ISBLANK(Table26[[#This Row],[customerSKU]]),"",_xlfn.XLOOKUP(Table26[[#This Row],[customerSKU]],Table27[customer_SKU],Table27[case_size],"",0,1))</f>
        <v/>
      </c>
      <c r="W1352" s="117" t="str">
        <f t="shared" si="59"/>
        <v/>
      </c>
      <c r="X1352" s="22" t="str">
        <f t="shared" si="60"/>
        <v/>
      </c>
      <c r="Y1352" s="25" t="str">
        <f>IF(Table26[[#This Row],[customerSKU]]="","",_xlfn.XLOOKUP(Table26[[#This Row],[customerSKU]],Table27[customer_SKU],Table27[product_GTIN],"",0,1))</f>
        <v/>
      </c>
      <c r="Z1352" s="25" t="s">
        <v>3366</v>
      </c>
      <c r="AA1352" s="18" t="str" cm="1">
        <f t="array" ref="AA1352">IF(P1352="", "", _xlfn.XLOOKUP(P1352,#REF!,#REF!,NA,0,-1))</f>
        <v/>
      </c>
      <c r="AB1352" s="22"/>
      <c r="AC1352" s="55" t="s">
        <v>167</v>
      </c>
      <c r="AD1352" s="55" t="str">
        <f>IF($AC1352="","",_xlfn.XLOOKUP($AC1352,'[2]Client Info'!$C$2:$C$2535,'[2]Client Info'!$D$2:$D$2535,"",0,1))</f>
        <v>726 Kingsway</v>
      </c>
      <c r="AE1352" s="55" t="str">
        <f>IF($AC1352="","",_xlfn.XLOOKUP($AC1352,'[2]Client Info'!$C$2:$C$2715,'[2]Client Info'!$E$2:$E$2715,"",))</f>
        <v>Vancouver</v>
      </c>
      <c r="AF1352" s="55" t="str">
        <f>IF($AC1352="","",_xlfn.XLOOKUP($AC1352,'[2]Client Info'!$C$2:$C$2715,'[2]Client Info'!$F$2:$F$2715,"",0,1))</f>
        <v xml:space="preserve">BC </v>
      </c>
      <c r="AG1352" s="55" t="s">
        <v>167</v>
      </c>
      <c r="AH1352" s="224" t="str">
        <f>_xlfn.XLOOKUP(Table26[[#This Row],[customerSKU]],customerSKU!G:G,customerSKU!K:K,"NA",0,1)</f>
        <v>NA</v>
      </c>
      <c r="AI1352" s="225" t="str">
        <f>_xlfn.XLOOKUP(Table26[[#This Row],[customerSKU]],customerSKU!G:G,customerSKU!O:O,"not found",0,1)</f>
        <v>not found</v>
      </c>
      <c r="AJ1352" s="226" t="e">
        <f>Table26[[#This Row],[unitprice]]*Table26[[#This Row],[quantity_unit]]</f>
        <v>#VALUE!</v>
      </c>
      <c r="AK1352" s="227" t="e" cm="1">
        <f t="array" ref="AK13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3" spans="1:37" ht="18" customHeight="1">
      <c r="A1353" s="42">
        <v>895</v>
      </c>
      <c r="B1353" s="42" t="s">
        <v>3357</v>
      </c>
      <c r="C1353" s="53" t="s">
        <v>203</v>
      </c>
      <c r="E1353" s="20"/>
      <c r="F13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3" s="93"/>
      <c r="I1353" s="19">
        <v>45747</v>
      </c>
      <c r="J1353" s="90" t="str">
        <f>IF(Table26[[#This Row],[customerSKU]]="","",_xlfn.XLOOKUP(Table26[[#This Row],[customerSKU]],customerSKU!G:G,customerSKU!A:A,"",0,1))</f>
        <v/>
      </c>
      <c r="K1353" s="232">
        <v>45748</v>
      </c>
      <c r="L1353" s="49" t="str">
        <f>IF(Table26[[#This Row],[customerSKU]]="","",_xlfn.XLOOKUP(Table26[[#This Row],[customerSKU]],customerSKU!G:G,customerSKU!B:B,"",0,1))</f>
        <v/>
      </c>
      <c r="M1353" s="22"/>
      <c r="N1353" s="15" t="str">
        <f>Table26[[#This Row],[po_number]]&amp;"-"&amp;Table26[[#This Row],[po_line]]</f>
        <v>-1</v>
      </c>
      <c r="O1353" s="15">
        <v>1</v>
      </c>
      <c r="P1353" s="50"/>
      <c r="Q1353" s="22" t="s">
        <v>565</v>
      </c>
      <c r="R1353" s="22" t="s">
        <v>569</v>
      </c>
      <c r="S1353" s="90" t="str">
        <f>IF(Table26[[#This Row],[customerSKU]]="","",_xlfn.XLOOKUP(Table26[[#This Row],[customerSKU]],customerSKU!G:G,customerSKU!N:N,"NOT FOUND",0,1))</f>
        <v>NOT FOUND</v>
      </c>
      <c r="T1353" s="20">
        <v>45742</v>
      </c>
      <c r="U1353" s="94">
        <v>12</v>
      </c>
      <c r="V1353" s="22" t="str">
        <f>IF(ISBLANK(Table26[[#This Row],[customerSKU]]),"",_xlfn.XLOOKUP(Table26[[#This Row],[customerSKU]],Table27[customer_SKU],Table27[case_size],"",0,1))</f>
        <v/>
      </c>
      <c r="W1353" s="117" t="str">
        <f t="shared" si="59"/>
        <v/>
      </c>
      <c r="X1353" s="22" t="str">
        <f t="shared" si="60"/>
        <v/>
      </c>
      <c r="Y1353" s="25" t="str">
        <f>IF(Table26[[#This Row],[customerSKU]]="","",_xlfn.XLOOKUP(Table26[[#This Row],[customerSKU]],Table27[customer_SKU],Table27[product_GTIN],"",0,1))</f>
        <v/>
      </c>
      <c r="Z1353" s="25" t="s">
        <v>3373</v>
      </c>
      <c r="AA1353" s="18" t="str" cm="1">
        <f t="array" ref="AA1353">IF(P1353="", "", _xlfn.XLOOKUP(P1353,#REF!,#REF!,NA,0,-1))</f>
        <v/>
      </c>
      <c r="AB1353" s="22"/>
      <c r="AC1353" s="55" t="s">
        <v>3424</v>
      </c>
      <c r="AD1353" s="55" t="str">
        <f>IF($AC1353="","",_xlfn.XLOOKUP($AC1353,'[2]Client Info'!$C$2:$C$2535,'[2]Client Info'!$D$2:$D$2535,"",0,1))</f>
        <v>3695 W 4TH AVENUE</v>
      </c>
      <c r="AE1353" s="55" t="str">
        <f>IF($AC1353="","",_xlfn.XLOOKUP($AC1353,'[2]Client Info'!$C$2:$C$2715,'[2]Client Info'!$E$2:$E$2715,"",))</f>
        <v>Vancouver</v>
      </c>
      <c r="AF1353" s="55" t="str">
        <f>IF($AC1353="","",_xlfn.XLOOKUP($AC1353,'[2]Client Info'!$C$2:$C$2715,'[2]Client Info'!$F$2:$F$2715,"",0,1))</f>
        <v xml:space="preserve">BC </v>
      </c>
      <c r="AG1353" s="55" t="s">
        <v>3424</v>
      </c>
      <c r="AH1353" s="224" t="str">
        <f>_xlfn.XLOOKUP(Table26[[#This Row],[customerSKU]],customerSKU!G:G,customerSKU!K:K,"NA",0,1)</f>
        <v>NA</v>
      </c>
      <c r="AI1353" s="225" t="str">
        <f>_xlfn.XLOOKUP(Table26[[#This Row],[customerSKU]],customerSKU!G:G,customerSKU!O:O,"not found",0,1)</f>
        <v>not found</v>
      </c>
      <c r="AJ1353" s="226" t="e">
        <f>Table26[[#This Row],[unitprice]]*Table26[[#This Row],[quantity_unit]]</f>
        <v>#VALUE!</v>
      </c>
      <c r="AK1353" s="227" t="e" cm="1">
        <f t="array" ref="AK13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4" spans="1:37" ht="18" customHeight="1">
      <c r="A1354" s="42">
        <v>896</v>
      </c>
      <c r="B1354" s="42" t="s">
        <v>3357</v>
      </c>
      <c r="C1354" s="53" t="s">
        <v>203</v>
      </c>
      <c r="E1354" s="20"/>
      <c r="F13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4" s="93"/>
      <c r="I1354" s="19">
        <v>45747</v>
      </c>
      <c r="J1354" s="90" t="str">
        <f>IF(Table26[[#This Row],[customerSKU]]="","",_xlfn.XLOOKUP(Table26[[#This Row],[customerSKU]],customerSKU!G:G,customerSKU!A:A,"",0,1))</f>
        <v/>
      </c>
      <c r="K1354" s="232">
        <v>45748</v>
      </c>
      <c r="L1354" s="49" t="str">
        <f>IF(Table26[[#This Row],[customerSKU]]="","",_xlfn.XLOOKUP(Table26[[#This Row],[customerSKU]],customerSKU!G:G,customerSKU!B:B,"",0,1))</f>
        <v/>
      </c>
      <c r="M1354" s="22"/>
      <c r="N1354" s="15" t="str">
        <f>Table26[[#This Row],[po_number]]&amp;"-"&amp;Table26[[#This Row],[po_line]]</f>
        <v>-2</v>
      </c>
      <c r="O1354" s="15">
        <v>2</v>
      </c>
      <c r="P1354" s="50"/>
      <c r="Q1354" s="22" t="s">
        <v>3284</v>
      </c>
      <c r="R1354" s="22" t="s">
        <v>569</v>
      </c>
      <c r="S1354" s="90" t="str">
        <f>IF(Table26[[#This Row],[customerSKU]]="","",_xlfn.XLOOKUP(Table26[[#This Row],[customerSKU]],customerSKU!G:G,customerSKU!N:N,"NOT FOUND",0,1))</f>
        <v>NOT FOUND</v>
      </c>
      <c r="T1354" s="20">
        <v>45742</v>
      </c>
      <c r="U1354" s="94">
        <v>11</v>
      </c>
      <c r="V1354" s="22" t="str">
        <f>IF(ISBLANK(Table26[[#This Row],[customerSKU]]),"",_xlfn.XLOOKUP(Table26[[#This Row],[customerSKU]],Table27[customer_SKU],Table27[case_size],"",0,1))</f>
        <v/>
      </c>
      <c r="W1354" s="117" t="str">
        <f t="shared" si="59"/>
        <v/>
      </c>
      <c r="X1354" s="22" t="str">
        <f t="shared" si="60"/>
        <v/>
      </c>
      <c r="Y1354" s="25" t="str">
        <f>IF(Table26[[#This Row],[customerSKU]]="","",_xlfn.XLOOKUP(Table26[[#This Row],[customerSKU]],Table27[customer_SKU],Table27[product_GTIN],"",0,1))</f>
        <v/>
      </c>
      <c r="Z1354" s="25" t="s">
        <v>3372</v>
      </c>
      <c r="AA1354" s="18" t="str" cm="1">
        <f t="array" ref="AA1354">IF(P1354="", "", _xlfn.XLOOKUP(P1354,#REF!,#REF!,NA,0,-1))</f>
        <v/>
      </c>
      <c r="AB1354" s="22"/>
      <c r="AC1354" s="55" t="s">
        <v>3424</v>
      </c>
      <c r="AD1354" s="55" t="str">
        <f>IF($AC1354="","",_xlfn.XLOOKUP($AC1354,'[2]Client Info'!$C$2:$C$2535,'[2]Client Info'!$D$2:$D$2535,"",0,1))</f>
        <v>3695 W 4TH AVENUE</v>
      </c>
      <c r="AE1354" s="55" t="str">
        <f>IF($AC1354="","",_xlfn.XLOOKUP($AC1354,'[2]Client Info'!$C$2:$C$2715,'[2]Client Info'!$E$2:$E$2715,"",))</f>
        <v>Vancouver</v>
      </c>
      <c r="AF1354" s="55" t="str">
        <f>IF($AC1354="","",_xlfn.XLOOKUP($AC1354,'[2]Client Info'!$C$2:$C$2715,'[2]Client Info'!$F$2:$F$2715,"",0,1))</f>
        <v xml:space="preserve">BC </v>
      </c>
      <c r="AG1354" s="55" t="s">
        <v>3424</v>
      </c>
      <c r="AH1354" s="224" t="str">
        <f>_xlfn.XLOOKUP(Table26[[#This Row],[customerSKU]],customerSKU!G:G,customerSKU!K:K,"NA",0,1)</f>
        <v>NA</v>
      </c>
      <c r="AI1354" s="225" t="str">
        <f>_xlfn.XLOOKUP(Table26[[#This Row],[customerSKU]],customerSKU!G:G,customerSKU!O:O,"not found",0,1)</f>
        <v>not found</v>
      </c>
      <c r="AJ1354" s="226" t="e">
        <f>Table26[[#This Row],[unitprice]]*Table26[[#This Row],[quantity_unit]]</f>
        <v>#VALUE!</v>
      </c>
      <c r="AK1354" s="227" t="e" cm="1">
        <f t="array" ref="AK13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5" spans="1:37" ht="18" customHeight="1">
      <c r="A1355" s="42">
        <v>897</v>
      </c>
      <c r="B1355" s="42" t="s">
        <v>3357</v>
      </c>
      <c r="C1355" s="53" t="s">
        <v>203</v>
      </c>
      <c r="E1355" s="20"/>
      <c r="F13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5" s="93"/>
      <c r="I1355" s="19">
        <v>45747</v>
      </c>
      <c r="J1355" s="90" t="str">
        <f>IF(Table26[[#This Row],[customerSKU]]="","",_xlfn.XLOOKUP(Table26[[#This Row],[customerSKU]],customerSKU!G:G,customerSKU!A:A,"",0,1))</f>
        <v/>
      </c>
      <c r="K1355" s="232">
        <v>45748</v>
      </c>
      <c r="L1355" s="49" t="str">
        <f>IF(Table26[[#This Row],[customerSKU]]="","",_xlfn.XLOOKUP(Table26[[#This Row],[customerSKU]],customerSKU!G:G,customerSKU!B:B,"",0,1))</f>
        <v/>
      </c>
      <c r="M1355" s="22"/>
      <c r="N1355" s="15" t="str">
        <f>Table26[[#This Row],[po_number]]&amp;"-"&amp;Table26[[#This Row],[po_line]]</f>
        <v>-3</v>
      </c>
      <c r="O1355" s="15">
        <v>3</v>
      </c>
      <c r="P1355" s="50"/>
      <c r="Q1355" s="22" t="s">
        <v>3284</v>
      </c>
      <c r="R1355" s="22" t="s">
        <v>569</v>
      </c>
      <c r="S1355" s="90" t="str">
        <f>IF(Table26[[#This Row],[customerSKU]]="","",_xlfn.XLOOKUP(Table26[[#This Row],[customerSKU]],customerSKU!G:G,customerSKU!N:N,"NOT FOUND",0,1))</f>
        <v>NOT FOUND</v>
      </c>
      <c r="T1355" s="20">
        <v>45736</v>
      </c>
      <c r="U1355" s="94">
        <v>1</v>
      </c>
      <c r="V1355" s="22" t="str">
        <f>IF(ISBLANK(Table26[[#This Row],[customerSKU]]),"",_xlfn.XLOOKUP(Table26[[#This Row],[customerSKU]],Table27[customer_SKU],Table27[case_size],"",0,1))</f>
        <v/>
      </c>
      <c r="W1355" s="117" t="str">
        <f t="shared" si="59"/>
        <v/>
      </c>
      <c r="X1355" s="22" t="str">
        <f t="shared" si="60"/>
        <v/>
      </c>
      <c r="Y1355" s="25" t="str">
        <f>IF(Table26[[#This Row],[customerSKU]]="","",_xlfn.XLOOKUP(Table26[[#This Row],[customerSKU]],Table27[customer_SKU],Table27[product_GTIN],"",0,1))</f>
        <v/>
      </c>
      <c r="Z1355" s="25" t="s">
        <v>3372</v>
      </c>
      <c r="AA1355" s="18" t="str" cm="1">
        <f t="array" ref="AA1355">IF(P1355="", "", _xlfn.XLOOKUP(P1355,#REF!,#REF!,NA,0,-1))</f>
        <v/>
      </c>
      <c r="AB1355" s="22"/>
      <c r="AC1355" s="55" t="s">
        <v>3424</v>
      </c>
      <c r="AD1355" s="55" t="str">
        <f>IF($AC1355="","",_xlfn.XLOOKUP($AC1355,'[2]Client Info'!$C$2:$C$2535,'[2]Client Info'!$D$2:$D$2535,"",0,1))</f>
        <v>3695 W 4TH AVENUE</v>
      </c>
      <c r="AE1355" s="55" t="str">
        <f>IF($AC1355="","",_xlfn.XLOOKUP($AC1355,'[2]Client Info'!$C$2:$C$2715,'[2]Client Info'!$E$2:$E$2715,"",))</f>
        <v>Vancouver</v>
      </c>
      <c r="AF1355" s="55" t="str">
        <f>IF($AC1355="","",_xlfn.XLOOKUP($AC1355,'[2]Client Info'!$C$2:$C$2715,'[2]Client Info'!$F$2:$F$2715,"",0,1))</f>
        <v xml:space="preserve">BC </v>
      </c>
      <c r="AG1355" s="55" t="s">
        <v>3424</v>
      </c>
      <c r="AH1355" s="224" t="str">
        <f>_xlfn.XLOOKUP(Table26[[#This Row],[customerSKU]],customerSKU!G:G,customerSKU!K:K,"NA",0,1)</f>
        <v>NA</v>
      </c>
      <c r="AI1355" s="225" t="str">
        <f>_xlfn.XLOOKUP(Table26[[#This Row],[customerSKU]],customerSKU!G:G,customerSKU!O:O,"not found",0,1)</f>
        <v>not found</v>
      </c>
      <c r="AJ1355" s="226" t="e">
        <f>Table26[[#This Row],[unitprice]]*Table26[[#This Row],[quantity_unit]]</f>
        <v>#VALUE!</v>
      </c>
      <c r="AK1355" s="227" t="e" cm="1">
        <f t="array" ref="AK13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6" spans="1:37" ht="18" customHeight="1">
      <c r="A1356" s="42">
        <v>898</v>
      </c>
      <c r="B1356" s="42" t="s">
        <v>3357</v>
      </c>
      <c r="C1356" s="53" t="s">
        <v>3360</v>
      </c>
      <c r="E1356" s="20"/>
      <c r="F13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6" s="93"/>
      <c r="I1356" s="19">
        <v>45748</v>
      </c>
      <c r="J1356" s="90" t="str">
        <f>IF(Table26[[#This Row],[customerSKU]]="","",_xlfn.XLOOKUP(Table26[[#This Row],[customerSKU]],customerSKU!G:G,customerSKU!A:A,"",0,1))</f>
        <v/>
      </c>
      <c r="K1356" s="232">
        <v>45748</v>
      </c>
      <c r="L1356" s="49" t="str">
        <f>IF(Table26[[#This Row],[customerSKU]]="","",_xlfn.XLOOKUP(Table26[[#This Row],[customerSKU]],customerSKU!G:G,customerSKU!B:B,"",0,1))</f>
        <v/>
      </c>
      <c r="M1356" s="22"/>
      <c r="N1356" s="15" t="str">
        <f>Table26[[#This Row],[po_number]]&amp;"-"&amp;Table26[[#This Row],[po_line]]</f>
        <v>-1</v>
      </c>
      <c r="O1356" s="15">
        <v>1</v>
      </c>
      <c r="P1356" s="50"/>
      <c r="S1356" s="90" t="str">
        <f>IF(Table26[[#This Row],[customerSKU]]="","",_xlfn.XLOOKUP(Table26[[#This Row],[customerSKU]],customerSKU!G:G,customerSKU!N:N,"NOT FOUND",0,1))</f>
        <v>NOT FOUND</v>
      </c>
      <c r="T1356" s="20"/>
      <c r="U1356" s="94">
        <v>12</v>
      </c>
      <c r="V1356" s="22" t="str">
        <f>IF(ISBLANK(Table26[[#This Row],[customerSKU]]),"",_xlfn.XLOOKUP(Table26[[#This Row],[customerSKU]],Table27[customer_SKU],Table27[case_size],"",0,1))</f>
        <v/>
      </c>
      <c r="W1356" s="117" t="str">
        <f t="shared" si="59"/>
        <v/>
      </c>
      <c r="X1356" s="22" t="str">
        <f t="shared" si="60"/>
        <v/>
      </c>
      <c r="Y1356" s="25" t="str">
        <f>IF(Table26[[#This Row],[customerSKU]]="","",_xlfn.XLOOKUP(Table26[[#This Row],[customerSKU]],Table27[customer_SKU],Table27[product_GTIN],"",0,1))</f>
        <v/>
      </c>
      <c r="Z1356" s="25" t="s">
        <v>3395</v>
      </c>
      <c r="AA1356" s="18" t="str" cm="1">
        <f t="array" ref="AA1356">IF(P1356="", "", _xlfn.XLOOKUP(P1356,#REF!,#REF!,NA,0,-1))</f>
        <v/>
      </c>
      <c r="AB1356" s="22"/>
      <c r="AC1356" s="55" t="str">
        <f>IF(Table26[[#This Row],[customerSKU]]="","",_xlfn.XLOOKUP(Table26[[#This Row],[customerSKU]],customerSKU!G:G,customerSKU!C:C,"",0,1))</f>
        <v/>
      </c>
      <c r="AD1356" s="55" t="str">
        <f>IF($AC1356="","",_xlfn.XLOOKUP($AC1356,'[2]Client Info'!$C$2:$C$2535,'[2]Client Info'!$D$2:$D$2535,"",0,1))</f>
        <v/>
      </c>
      <c r="AE1356" s="55" t="str">
        <f>IF($AC1356="","",_xlfn.XLOOKUP($AC1356,'[2]Client Info'!$C$2:$C$2715,'[2]Client Info'!$E$2:$E$2715,"",))</f>
        <v/>
      </c>
      <c r="AF1356" s="55" t="str">
        <f>IF($AC1356="","",_xlfn.XLOOKUP($AC1356,'[2]Client Info'!$C$2:$C$2715,'[2]Client Info'!$F$2:$F$2715,"",0,1))</f>
        <v/>
      </c>
      <c r="AG1356" s="55" t="str">
        <f>IF(ISBLANK(Table26[[#This Row],[customerSKU]]),"",_xlfn.XLOOKUP(Table26[[#This Row],[customerSKU]],Table27[customer_SKU],Table27[billto],"",0,1))</f>
        <v/>
      </c>
      <c r="AH1356" s="224" t="str">
        <f>_xlfn.XLOOKUP(Table26[[#This Row],[customerSKU]],customerSKU!G:G,customerSKU!K:K,"NA",0,1)</f>
        <v>NA</v>
      </c>
      <c r="AI1356" s="225" t="str">
        <f>_xlfn.XLOOKUP(Table26[[#This Row],[customerSKU]],customerSKU!G:G,customerSKU!O:O,"not found",0,1)</f>
        <v>not found</v>
      </c>
      <c r="AJ1356" s="226" t="e">
        <f>Table26[[#This Row],[unitprice]]*Table26[[#This Row],[quantity_unit]]</f>
        <v>#VALUE!</v>
      </c>
      <c r="AK1356" s="227" t="e" cm="1">
        <f t="array" ref="AK13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7" spans="1:37" ht="18" customHeight="1">
      <c r="A1357" s="42">
        <v>899</v>
      </c>
      <c r="B1357" s="42" t="s">
        <v>3357</v>
      </c>
      <c r="C1357" s="53" t="s">
        <v>3360</v>
      </c>
      <c r="E1357" s="20"/>
      <c r="F13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7" s="93"/>
      <c r="I1357" s="19">
        <v>45748</v>
      </c>
      <c r="J1357" s="90" t="str">
        <f>IF(Table26[[#This Row],[customerSKU]]="","",_xlfn.XLOOKUP(Table26[[#This Row],[customerSKU]],customerSKU!G:G,customerSKU!A:A,"",0,1))</f>
        <v/>
      </c>
      <c r="K1357" s="232">
        <v>45748</v>
      </c>
      <c r="L1357" s="49" t="str">
        <f>IF(Table26[[#This Row],[customerSKU]]="","",_xlfn.XLOOKUP(Table26[[#This Row],[customerSKU]],customerSKU!G:G,customerSKU!B:B,"",0,1))</f>
        <v/>
      </c>
      <c r="M1357" s="22"/>
      <c r="N1357" s="15" t="str">
        <f>Table26[[#This Row],[po_number]]&amp;"-"&amp;Table26[[#This Row],[po_line]]</f>
        <v>-2</v>
      </c>
      <c r="O1357" s="15">
        <v>2</v>
      </c>
      <c r="P1357" s="50"/>
      <c r="S1357" s="90" t="str">
        <f>IF(Table26[[#This Row],[customerSKU]]="","",_xlfn.XLOOKUP(Table26[[#This Row],[customerSKU]],customerSKU!G:G,customerSKU!N:N,"NOT FOUND",0,1))</f>
        <v>NOT FOUND</v>
      </c>
      <c r="T1357" s="20"/>
      <c r="U1357" s="94">
        <v>12</v>
      </c>
      <c r="V1357" s="22" t="str">
        <f>IF(ISBLANK(Table26[[#This Row],[customerSKU]]),"",_xlfn.XLOOKUP(Table26[[#This Row],[customerSKU]],Table27[customer_SKU],Table27[case_size],"",0,1))</f>
        <v/>
      </c>
      <c r="W1357" s="117" t="str">
        <f t="shared" si="59"/>
        <v/>
      </c>
      <c r="X1357" s="22" t="str">
        <f t="shared" si="60"/>
        <v/>
      </c>
      <c r="Y1357" s="25" t="str">
        <f>IF(Table26[[#This Row],[customerSKU]]="","",_xlfn.XLOOKUP(Table26[[#This Row],[customerSKU]],Table27[customer_SKU],Table27[product_GTIN],"",0,1))</f>
        <v/>
      </c>
      <c r="Z1357" s="25" t="s">
        <v>3381</v>
      </c>
      <c r="AA1357" s="18" t="str" cm="1">
        <f t="array" ref="AA1357">IF(P1357="", "", _xlfn.XLOOKUP(P1357,#REF!,#REF!,NA,0,-1))</f>
        <v/>
      </c>
      <c r="AB1357" s="22"/>
      <c r="AC1357" s="55" t="str">
        <f>IF(Table26[[#This Row],[customerSKU]]="","",_xlfn.XLOOKUP(Table26[[#This Row],[customerSKU]],customerSKU!G:G,customerSKU!C:C,"",0,1))</f>
        <v/>
      </c>
      <c r="AD1357" s="55" t="str">
        <f>IF($AC1357="","",_xlfn.XLOOKUP($AC1357,'[2]Client Info'!$C$2:$C$2535,'[2]Client Info'!$D$2:$D$2535,"",0,1))</f>
        <v/>
      </c>
      <c r="AE1357" s="55" t="str">
        <f>IF($AC1357="","",_xlfn.XLOOKUP($AC1357,'[2]Client Info'!$C$2:$C$2715,'[2]Client Info'!$E$2:$E$2715,"",))</f>
        <v/>
      </c>
      <c r="AF1357" s="55" t="str">
        <f>IF($AC1357="","",_xlfn.XLOOKUP($AC1357,'[2]Client Info'!$C$2:$C$2715,'[2]Client Info'!$F$2:$F$2715,"",0,1))</f>
        <v/>
      </c>
      <c r="AG1357" s="55" t="str">
        <f>IF(ISBLANK(Table26[[#This Row],[customerSKU]]),"",_xlfn.XLOOKUP(Table26[[#This Row],[customerSKU]],Table27[customer_SKU],Table27[billto],"",0,1))</f>
        <v/>
      </c>
      <c r="AH1357" s="224" t="str">
        <f>_xlfn.XLOOKUP(Table26[[#This Row],[customerSKU]],customerSKU!G:G,customerSKU!K:K,"NA",0,1)</f>
        <v>NA</v>
      </c>
      <c r="AI1357" s="225" t="str">
        <f>_xlfn.XLOOKUP(Table26[[#This Row],[customerSKU]],customerSKU!G:G,customerSKU!O:O,"not found",0,1)</f>
        <v>not found</v>
      </c>
      <c r="AJ1357" s="226" t="e">
        <f>Table26[[#This Row],[unitprice]]*Table26[[#This Row],[quantity_unit]]</f>
        <v>#VALUE!</v>
      </c>
      <c r="AK1357" s="227" t="e" cm="1">
        <f t="array" ref="AK13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8" spans="1:37" ht="18" customHeight="1">
      <c r="A1358" s="42">
        <v>893</v>
      </c>
      <c r="B1358" s="42" t="s">
        <v>3357</v>
      </c>
      <c r="C1358" s="53" t="s">
        <v>203</v>
      </c>
      <c r="E1358" s="20"/>
      <c r="F13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58" s="93"/>
      <c r="I1358" s="19">
        <v>45749</v>
      </c>
      <c r="J1358" s="90" t="str">
        <f>IF(Table26[[#This Row],[customerSKU]]="","",_xlfn.XLOOKUP(Table26[[#This Row],[customerSKU]],customerSKU!G:G,customerSKU!A:A,"",0,1))</f>
        <v/>
      </c>
      <c r="K1358" s="232">
        <v>45749</v>
      </c>
      <c r="L1358" s="49" t="str">
        <f>IF(Table26[[#This Row],[customerSKU]]="","",_xlfn.XLOOKUP(Table26[[#This Row],[customerSKU]],customerSKU!G:G,customerSKU!B:B,"",0,1))</f>
        <v/>
      </c>
      <c r="M1358" s="22"/>
      <c r="N1358" s="15" t="str">
        <f>Table26[[#This Row],[po_number]]&amp;"-"&amp;Table26[[#This Row],[po_line]]</f>
        <v>-1</v>
      </c>
      <c r="O1358" s="15">
        <v>1</v>
      </c>
      <c r="P1358" s="50"/>
      <c r="Q1358" s="22" t="s">
        <v>565</v>
      </c>
      <c r="R1358" s="22" t="s">
        <v>569</v>
      </c>
      <c r="S1358" s="90" t="str">
        <f>IF(Table26[[#This Row],[customerSKU]]="","",_xlfn.XLOOKUP(Table26[[#This Row],[customerSKU]],customerSKU!G:G,customerSKU!N:N,"NOT FOUND",0,1))</f>
        <v>NOT FOUND</v>
      </c>
      <c r="T1358" s="20">
        <v>45742</v>
      </c>
      <c r="U1358" s="94">
        <v>12</v>
      </c>
      <c r="V1358" s="22" t="str">
        <f>IF(ISBLANK(Table26[[#This Row],[customerSKU]]),"",_xlfn.XLOOKUP(Table26[[#This Row],[customerSKU]],Table27[customer_SKU],Table27[case_size],"",0,1))</f>
        <v/>
      </c>
      <c r="W1358" s="117" t="str">
        <f t="shared" si="59"/>
        <v/>
      </c>
      <c r="X1358" s="22" t="str">
        <f t="shared" si="60"/>
        <v/>
      </c>
      <c r="Y1358" s="25" t="str">
        <f>IF(Table26[[#This Row],[customerSKU]]="","",_xlfn.XLOOKUP(Table26[[#This Row],[customerSKU]],Table27[customer_SKU],Table27[product_GTIN],"",0,1))</f>
        <v/>
      </c>
      <c r="Z1358" s="25">
        <v>63249</v>
      </c>
      <c r="AA1358" s="18" t="str" cm="1">
        <f t="array" ref="AA1358">IF(P1358="", "", _xlfn.XLOOKUP(P1358,#REF!,#REF!,NA,0,-1))</f>
        <v/>
      </c>
      <c r="AB1358" s="22"/>
      <c r="AC1358" s="55" t="s">
        <v>3426</v>
      </c>
      <c r="AD1358" s="55" t="str">
        <f>IF($AC1358="","",_xlfn.XLOOKUP($AC1358,'[2]Client Info'!$C$2:$C$2535,'[2]Client Info'!$D$2:$D$2535,"",0,1))</f>
        <v>78-7TH AVE</v>
      </c>
      <c r="AE1358" s="55" t="str">
        <f>IF($AC1358="","",_xlfn.XLOOKUP($AC1358,'[2]Client Info'!$C$2:$C$2715,'[2]Client Info'!$E$2:$E$2715,"",))</f>
        <v>GIMLI</v>
      </c>
      <c r="AF1358" s="55" t="str">
        <f>IF($AC1358="","",_xlfn.XLOOKUP($AC1358,'[2]Client Info'!$C$2:$C$2715,'[2]Client Info'!$F$2:$F$2715,"",0,1))</f>
        <v>MB</v>
      </c>
      <c r="AG1358" s="55" t="str">
        <f>IF(ISBLANK(Table26[[#This Row],[customerSKU]]),"",_xlfn.XLOOKUP(Table26[[#This Row],[customerSKU]],Table27[customer_SKU],Table27[billto],"",0,1))</f>
        <v/>
      </c>
      <c r="AH1358" s="224" t="str">
        <f>_xlfn.XLOOKUP(Table26[[#This Row],[customerSKU]],customerSKU!G:G,customerSKU!K:K,"NA",0,1)</f>
        <v>NA</v>
      </c>
      <c r="AI1358" s="225" t="str">
        <f>_xlfn.XLOOKUP(Table26[[#This Row],[customerSKU]],customerSKU!G:G,customerSKU!O:O,"not found",0,1)</f>
        <v>not found</v>
      </c>
      <c r="AJ1358" s="226" t="e">
        <f>Table26[[#This Row],[unitprice]]*Table26[[#This Row],[quantity_unit]]</f>
        <v>#VALUE!</v>
      </c>
      <c r="AK1358" s="227" t="e" cm="1">
        <f t="array" ref="AK13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59" spans="1:37" ht="18" customHeight="1">
      <c r="A1359" s="42">
        <v>876</v>
      </c>
      <c r="B1359" s="42" t="s">
        <v>3357</v>
      </c>
      <c r="C1359" s="53" t="s">
        <v>3360</v>
      </c>
      <c r="D1359" s="20">
        <v>45764</v>
      </c>
      <c r="E1359" s="20"/>
      <c r="F1359" s="22"/>
      <c r="G1359" s="93"/>
      <c r="I1359" s="19">
        <v>45743</v>
      </c>
      <c r="J1359" s="90" t="s">
        <v>3361</v>
      </c>
      <c r="K1359" s="232">
        <v>45750</v>
      </c>
      <c r="L1359" s="49" t="str">
        <f>IF(Table26[[#This Row],[customerSKU]]="","",_xlfn.XLOOKUP(Table26[[#This Row],[customerSKU]],customerSKU!G:G,customerSKU!B:B,"",0,1))</f>
        <v/>
      </c>
      <c r="M1359" s="22"/>
      <c r="N1359" s="15" t="str">
        <f>Table26[[#This Row],[po_number]]&amp;"-"&amp;Table26[[#This Row],[po_line]]</f>
        <v>-1</v>
      </c>
      <c r="O1359" s="15">
        <v>1</v>
      </c>
      <c r="P1359" s="50"/>
      <c r="Q1359" s="22" t="s">
        <v>1622</v>
      </c>
      <c r="R1359" s="22" t="s">
        <v>3302</v>
      </c>
      <c r="S1359" s="90" t="str">
        <f>IF(Table26[[#This Row],[customerSKU]]="","",_xlfn.XLOOKUP(Table26[[#This Row],[customerSKU]],customerSKU!G:G,customerSKU!N:N,"NOT FOUND",0,1))</f>
        <v>NOT FOUND</v>
      </c>
      <c r="T1359" s="20">
        <v>45714</v>
      </c>
      <c r="U1359" s="94">
        <v>96</v>
      </c>
      <c r="V1359" s="22" t="str">
        <f>IF(ISBLANK(Table26[[#This Row],[customerSKU]]),"",_xlfn.XLOOKUP(Table26[[#This Row],[customerSKU]],Table27[customer_SKU],Table27[case_size],"",0,1))</f>
        <v/>
      </c>
      <c r="W1359" s="117" t="str">
        <f t="shared" si="59"/>
        <v/>
      </c>
      <c r="X1359" s="22" t="str">
        <f t="shared" si="60"/>
        <v/>
      </c>
      <c r="Y1359" s="25" t="str">
        <f>IF(Table26[[#This Row],[customerSKU]]="","",_xlfn.XLOOKUP(Table26[[#This Row],[customerSKU]],Table27[customer_SKU],Table27[product_GTIN],"",0,1))</f>
        <v/>
      </c>
      <c r="Z1359" s="25" t="s">
        <v>3409</v>
      </c>
      <c r="AA1359" s="18" t="str" cm="1">
        <f t="array" ref="AA1359">IF(P1359="", "", _xlfn.XLOOKUP(P1359,#REF!,#REF!,NA,0,-1))</f>
        <v/>
      </c>
      <c r="AB1359" s="22"/>
      <c r="AC1359" s="55" t="str">
        <f>IF(Table26[[#This Row],[customerSKU]]="","",_xlfn.XLOOKUP(Table26[[#This Row],[customerSKU]],customerSKU!G:G,customerSKU!C:C,"",0,1))</f>
        <v/>
      </c>
      <c r="AD1359" s="55" t="str">
        <f>IF($AC1359="","",_xlfn.XLOOKUP($AC1359,'[2]Client Info'!$C$2:$C$2535,'[2]Client Info'!$D$2:$D$2535,"",0,1))</f>
        <v/>
      </c>
      <c r="AE1359" s="55" t="str">
        <f>IF($AC1359="","",_xlfn.XLOOKUP($AC1359,'[2]Client Info'!$C$2:$C$2715,'[2]Client Info'!$E$2:$E$2715,"",))</f>
        <v/>
      </c>
      <c r="AF1359" s="55" t="str">
        <f>IF($AC1359="","",_xlfn.XLOOKUP($AC1359,'[2]Client Info'!$C$2:$C$2715,'[2]Client Info'!$F$2:$F$2715,"",0,1))</f>
        <v/>
      </c>
      <c r="AG1359" s="55" t="str">
        <f>IF(ISBLANK(Table26[[#This Row],[customerSKU]]),"",_xlfn.XLOOKUP(Table26[[#This Row],[customerSKU]],Table27[customer_SKU],Table27[billto],"",0,1))</f>
        <v/>
      </c>
      <c r="AH1359" s="224" t="str">
        <f>_xlfn.XLOOKUP(Table26[[#This Row],[customerSKU]],customerSKU!G:G,customerSKU!K:K,"NA",0,1)</f>
        <v>NA</v>
      </c>
      <c r="AI1359" s="225" t="str">
        <f>_xlfn.XLOOKUP(Table26[[#This Row],[customerSKU]],customerSKU!G:G,customerSKU!O:O,"not found",0,1)</f>
        <v>not found</v>
      </c>
      <c r="AJ1359" s="226" t="e">
        <f>Table26[[#This Row],[unitprice]]*Table26[[#This Row],[quantity_unit]]</f>
        <v>#VALUE!</v>
      </c>
      <c r="AK1359" s="227" t="e" cm="1">
        <f t="array" ref="AK135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Price]]*1.05,Table26[[#This Row],[sales_stream]]="OCS_redistribution",Table26[[#This Row],[Product Price]]*1.266)</f>
        <v>#VALUE!</v>
      </c>
    </row>
    <row r="1360" spans="1:37" ht="18" customHeight="1">
      <c r="A1360" s="42">
        <v>877</v>
      </c>
      <c r="B1360" s="42" t="s">
        <v>3357</v>
      </c>
      <c r="C1360" s="53" t="s">
        <v>3360</v>
      </c>
      <c r="E1360" s="20"/>
      <c r="F1360" s="22"/>
      <c r="G1360" s="93"/>
      <c r="I1360" s="19">
        <v>45747</v>
      </c>
      <c r="J1360" s="90" t="s">
        <v>3361</v>
      </c>
      <c r="K1360" s="232">
        <v>45750</v>
      </c>
      <c r="L1360" s="49" t="str">
        <f>IF(Table26[[#This Row],[customerSKU]]="","",_xlfn.XLOOKUP(Table26[[#This Row],[customerSKU]],customerSKU!G:G,customerSKU!B:B,"",0,1))</f>
        <v/>
      </c>
      <c r="M1360" s="22"/>
      <c r="N1360" s="15" t="str">
        <f>Table26[[#This Row],[po_number]]&amp;"-"&amp;Table26[[#This Row],[po_line]]</f>
        <v>-1</v>
      </c>
      <c r="O1360" s="15">
        <v>1</v>
      </c>
      <c r="P1360" s="50"/>
      <c r="Q1360" s="22" t="s">
        <v>1313</v>
      </c>
      <c r="R1360" s="22" t="s">
        <v>569</v>
      </c>
      <c r="S1360" s="90" t="str">
        <f>IF(Table26[[#This Row],[customerSKU]]="","",_xlfn.XLOOKUP(Table26[[#This Row],[customerSKU]],customerSKU!G:G,customerSKU!N:N,"NOT FOUND",0,1))</f>
        <v>NOT FOUND</v>
      </c>
      <c r="T1360" s="20">
        <v>45575</v>
      </c>
      <c r="U1360" s="94">
        <v>48</v>
      </c>
      <c r="V1360" s="22" t="str">
        <f>IF(ISBLANK(Table26[[#This Row],[customerSKU]]),"",_xlfn.XLOOKUP(Table26[[#This Row],[customerSKU]],Table27[customer_SKU],Table27[case_size],"",0,1))</f>
        <v/>
      </c>
      <c r="W1360" s="117" t="str">
        <f t="shared" si="59"/>
        <v/>
      </c>
      <c r="X1360" s="22" t="str">
        <f t="shared" si="60"/>
        <v/>
      </c>
      <c r="Y1360" s="25" t="str">
        <f>IF(Table26[[#This Row],[customerSKU]]="","",_xlfn.XLOOKUP(Table26[[#This Row],[customerSKU]],Table27[customer_SKU],Table27[product_GTIN],"",0,1))</f>
        <v/>
      </c>
      <c r="Z1360" s="25" t="s">
        <v>3421</v>
      </c>
      <c r="AA1360" s="18" t="str" cm="1">
        <f t="array" ref="AA1360">IF(P1360="", "", _xlfn.XLOOKUP(P1360,#REF!,#REF!,NA,0,-1))</f>
        <v/>
      </c>
      <c r="AB1360" s="22"/>
      <c r="AC1360" s="55" t="str">
        <f>IF(Table26[[#This Row],[customerSKU]]="","",_xlfn.XLOOKUP(Table26[[#This Row],[customerSKU]],customerSKU!G:G,customerSKU!C:C,"",0,1))</f>
        <v/>
      </c>
      <c r="AD1360" s="55" t="str">
        <f>IF($AC1360="","",_xlfn.XLOOKUP($AC1360,'[2]Client Info'!$C$2:$C$2535,'[2]Client Info'!$D$2:$D$2535,"",0,1))</f>
        <v/>
      </c>
      <c r="AE1360" s="55" t="str">
        <f>IF($AC1360="","",_xlfn.XLOOKUP($AC1360,'[2]Client Info'!$C$2:$C$2715,'[2]Client Info'!$E$2:$E$2715,"",))</f>
        <v/>
      </c>
      <c r="AF1360" s="55" t="str">
        <f>IF($AC1360="","",_xlfn.XLOOKUP($AC1360,'[2]Client Info'!$C$2:$C$2715,'[2]Client Info'!$F$2:$F$2715,"",0,1))</f>
        <v/>
      </c>
      <c r="AG1360" s="55" t="str">
        <f>IF(ISBLANK(Table26[[#This Row],[customerSKU]]),"",_xlfn.XLOOKUP(Table26[[#This Row],[customerSKU]],Table27[customer_SKU],Table27[billto],"",0,1))</f>
        <v/>
      </c>
      <c r="AH1360" s="224" t="str">
        <f>_xlfn.XLOOKUP(Table26[[#This Row],[customerSKU]],customerSKU!G:G,customerSKU!K:K,"NA",0,1)</f>
        <v>NA</v>
      </c>
      <c r="AI1360" s="225" t="str">
        <f>_xlfn.XLOOKUP(Table26[[#This Row],[customerSKU]],customerSKU!G:G,customerSKU!O:O,"not found",0,1)</f>
        <v>not found</v>
      </c>
      <c r="AJ1360" s="226" t="e">
        <f>Table26[[#This Row],[unitprice]]*Table26[[#This Row],[quantity_unit]]</f>
        <v>#VALUE!</v>
      </c>
      <c r="AK1360" s="227" t="e" cm="1">
        <f t="array" ref="AK13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#VALUE!</v>
      </c>
    </row>
    <row r="1361" spans="1:37" ht="18" customHeight="1">
      <c r="A1361" s="42">
        <v>878</v>
      </c>
      <c r="B1361" s="42" t="s">
        <v>3357</v>
      </c>
      <c r="C1361" s="53" t="s">
        <v>3360</v>
      </c>
      <c r="E1361" s="20"/>
      <c r="F1361" s="22"/>
      <c r="G1361" s="93"/>
      <c r="I1361" s="19">
        <v>45747</v>
      </c>
      <c r="J1361" s="90" t="s">
        <v>3361</v>
      </c>
      <c r="K1361" s="232">
        <v>45750</v>
      </c>
      <c r="L1361" s="49" t="str">
        <f>IF(Table26[[#This Row],[customerSKU]]="","",_xlfn.XLOOKUP(Table26[[#This Row],[customerSKU]],customerSKU!G:G,customerSKU!B:B,"",0,1))</f>
        <v/>
      </c>
      <c r="M1361" s="22"/>
      <c r="N1361" s="15" t="str">
        <f>Table26[[#This Row],[po_number]]&amp;"-"&amp;Table26[[#This Row],[po_line]]</f>
        <v>-2</v>
      </c>
      <c r="O1361" s="15">
        <v>2</v>
      </c>
      <c r="P1361" s="50"/>
      <c r="Q1361" s="22" t="s">
        <v>656</v>
      </c>
      <c r="R1361" s="22" t="s">
        <v>569</v>
      </c>
      <c r="S1361" s="90" t="str">
        <f>IF(Table26[[#This Row],[customerSKU]]="","",_xlfn.XLOOKUP(Table26[[#This Row],[customerSKU]],customerSKU!G:G,customerSKU!N:N,"NOT FOUND",0,1))</f>
        <v>NOT FOUND</v>
      </c>
      <c r="T1361" s="20">
        <v>45642</v>
      </c>
      <c r="U1361" s="94">
        <v>24</v>
      </c>
      <c r="V1361" s="22" t="str">
        <f>IF(ISBLANK(Table26[[#This Row],[customerSKU]]),"",_xlfn.XLOOKUP(Table26[[#This Row],[customerSKU]],Table27[customer_SKU],Table27[case_size],"",0,1))</f>
        <v/>
      </c>
      <c r="W1361" s="117" t="str">
        <f t="shared" si="59"/>
        <v/>
      </c>
      <c r="X1361" s="22" t="str">
        <f t="shared" si="60"/>
        <v/>
      </c>
      <c r="Y1361" s="25" t="str">
        <f>IF(Table26[[#This Row],[customerSKU]]="","",_xlfn.XLOOKUP(Table26[[#This Row],[customerSKU]],Table27[customer_SKU],Table27[product_GTIN],"",0,1))</f>
        <v/>
      </c>
      <c r="Z1361" s="25" t="s">
        <v>3422</v>
      </c>
      <c r="AA1361" s="18" t="str" cm="1">
        <f t="array" ref="AA1361">IF(P1361="", "", _xlfn.XLOOKUP(P1361,#REF!,#REF!,NA,0,-1))</f>
        <v/>
      </c>
      <c r="AB1361" s="22"/>
      <c r="AC1361" s="55" t="str">
        <f>IF(Table26[[#This Row],[customerSKU]]="","",_xlfn.XLOOKUP(Table26[[#This Row],[customerSKU]],customerSKU!G:G,customerSKU!C:C,"",0,1))</f>
        <v/>
      </c>
      <c r="AD1361" s="55" t="str">
        <f>IF($AC1361="","",_xlfn.XLOOKUP($AC1361,'[2]Client Info'!$C$2:$C$2535,'[2]Client Info'!$D$2:$D$2535,"",0,1))</f>
        <v/>
      </c>
      <c r="AE1361" s="55" t="str">
        <f>IF($AC1361="","",_xlfn.XLOOKUP($AC1361,'[2]Client Info'!$C$2:$C$2715,'[2]Client Info'!$E$2:$E$2715,"",))</f>
        <v/>
      </c>
      <c r="AF1361" s="55" t="str">
        <f>IF($AC1361="","",_xlfn.XLOOKUP($AC1361,'[2]Client Info'!$C$2:$C$2715,'[2]Client Info'!$F$2:$F$2715,"",0,1))</f>
        <v/>
      </c>
      <c r="AG1361" s="55" t="str">
        <f>IF(ISBLANK(Table26[[#This Row],[customerSKU]]),"",_xlfn.XLOOKUP(Table26[[#This Row],[customerSKU]],Table27[customer_SKU],Table27[billto],"",0,1))</f>
        <v/>
      </c>
      <c r="AH1361" s="224" t="str">
        <f>_xlfn.XLOOKUP(Table26[[#This Row],[customerSKU]],customerSKU!G:G,customerSKU!K:K,"NA",0,1)</f>
        <v>NA</v>
      </c>
      <c r="AI1361" s="225" t="str">
        <f>_xlfn.XLOOKUP(Table26[[#This Row],[customerSKU]],customerSKU!G:G,customerSKU!O:O,"not found",0,1)</f>
        <v>not found</v>
      </c>
      <c r="AJ1361" s="226" t="e">
        <f>Table26[[#This Row],[unitprice]]*Table26[[#This Row],[quantity_unit]]</f>
        <v>#VALUE!</v>
      </c>
      <c r="AK1361" s="227" t="e" cm="1">
        <f t="array" ref="AK13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#VALUE!</v>
      </c>
    </row>
    <row r="1362" spans="1:37" ht="18" customHeight="1">
      <c r="A1362" s="42">
        <v>879</v>
      </c>
      <c r="B1362" s="42" t="s">
        <v>3357</v>
      </c>
      <c r="C1362" s="53" t="s">
        <v>3360</v>
      </c>
      <c r="E1362" s="20"/>
      <c r="F1362" s="22"/>
      <c r="G1362" s="93"/>
      <c r="I1362" s="19">
        <v>45747</v>
      </c>
      <c r="J1362" s="90" t="s">
        <v>3361</v>
      </c>
      <c r="K1362" s="232">
        <v>45750</v>
      </c>
      <c r="L1362" s="49" t="str">
        <f>IF(Table26[[#This Row],[customerSKU]]="","",_xlfn.XLOOKUP(Table26[[#This Row],[customerSKU]],customerSKU!G:G,customerSKU!B:B,"",0,1))</f>
        <v/>
      </c>
      <c r="M1362" s="22"/>
      <c r="N1362" s="15" t="str">
        <f>Table26[[#This Row],[po_number]]&amp;"-"&amp;Table26[[#This Row],[po_line]]</f>
        <v>-3</v>
      </c>
      <c r="O1362" s="15">
        <v>3</v>
      </c>
      <c r="P1362" s="50"/>
      <c r="Q1362" s="22" t="s">
        <v>3423</v>
      </c>
      <c r="R1362" s="22" t="s">
        <v>3302</v>
      </c>
      <c r="S1362" s="90" t="str">
        <f>IF(Table26[[#This Row],[customerSKU]]="","",_xlfn.XLOOKUP(Table26[[#This Row],[customerSKU]],customerSKU!G:G,customerSKU!N:N,"NOT FOUND",0,1))</f>
        <v>NOT FOUND</v>
      </c>
      <c r="T1362" s="20">
        <v>45624</v>
      </c>
      <c r="U1362" s="94">
        <v>24</v>
      </c>
      <c r="V1362" s="22" t="str">
        <f>IF(ISBLANK(Table26[[#This Row],[customerSKU]]),"",_xlfn.XLOOKUP(Table26[[#This Row],[customerSKU]],Table27[customer_SKU],Table27[case_size],"",0,1))</f>
        <v/>
      </c>
      <c r="W1362" s="117" t="str">
        <f t="shared" si="59"/>
        <v/>
      </c>
      <c r="X1362" s="22" t="str">
        <f t="shared" si="60"/>
        <v/>
      </c>
      <c r="Y1362" s="25" t="str">
        <f>IF(Table26[[#This Row],[customerSKU]]="","",_xlfn.XLOOKUP(Table26[[#This Row],[customerSKU]],Table27[customer_SKU],Table27[product_GTIN],"",0,1))</f>
        <v/>
      </c>
      <c r="Z1362" s="25" t="s">
        <v>3363</v>
      </c>
      <c r="AA1362" s="18" t="str" cm="1">
        <f t="array" ref="AA1362">IF(P1362="", "", _xlfn.XLOOKUP(P1362,#REF!,#REF!,NA,0,-1))</f>
        <v/>
      </c>
      <c r="AB1362" s="22"/>
      <c r="AC1362" s="55" t="str">
        <f>IF(Table26[[#This Row],[customerSKU]]="","",_xlfn.XLOOKUP(Table26[[#This Row],[customerSKU]],customerSKU!G:G,customerSKU!C:C,"",0,1))</f>
        <v/>
      </c>
      <c r="AD1362" s="55" t="str">
        <f>IF($AC1362="","",_xlfn.XLOOKUP($AC1362,'[2]Client Info'!$C$2:$C$2535,'[2]Client Info'!$D$2:$D$2535,"",0,1))</f>
        <v/>
      </c>
      <c r="AE1362" s="55" t="str">
        <f>IF($AC1362="","",_xlfn.XLOOKUP($AC1362,'[2]Client Info'!$C$2:$C$2715,'[2]Client Info'!$E$2:$E$2715,"",))</f>
        <v/>
      </c>
      <c r="AF1362" s="55" t="str">
        <f>IF($AC1362="","",_xlfn.XLOOKUP($AC1362,'[2]Client Info'!$C$2:$C$2715,'[2]Client Info'!$F$2:$F$2715,"",0,1))</f>
        <v/>
      </c>
      <c r="AG1362" s="55" t="str">
        <f>IF(ISBLANK(Table26[[#This Row],[customerSKU]]),"",_xlfn.XLOOKUP(Table26[[#This Row],[customerSKU]],Table27[customer_SKU],Table27[billto],"",0,1))</f>
        <v/>
      </c>
      <c r="AH1362" s="224" t="str">
        <f>_xlfn.XLOOKUP(Table26[[#This Row],[customerSKU]],customerSKU!G:G,customerSKU!K:K,"NA",0,1)</f>
        <v>NA</v>
      </c>
      <c r="AI1362" s="225" t="str">
        <f>_xlfn.XLOOKUP(Table26[[#This Row],[customerSKU]],customerSKU!G:G,customerSKU!O:O,"not found",0,1)</f>
        <v>not found</v>
      </c>
      <c r="AJ1362" s="226" t="e">
        <f>Table26[[#This Row],[unitprice]]*Table26[[#This Row],[quantity_unit]]</f>
        <v>#VALUE!</v>
      </c>
      <c r="AK1362" s="227" t="e" cm="1">
        <f t="array" ref="AK13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#VALUE!</v>
      </c>
    </row>
    <row r="1363" spans="1:37" ht="18" customHeight="1">
      <c r="A1363" s="42">
        <v>880</v>
      </c>
      <c r="B1363" s="42" t="s">
        <v>3357</v>
      </c>
      <c r="C1363" s="53" t="s">
        <v>3360</v>
      </c>
      <c r="E1363" s="20"/>
      <c r="F1363" s="22"/>
      <c r="G1363" s="93"/>
      <c r="I1363" s="19">
        <v>45747</v>
      </c>
      <c r="J1363" s="90" t="s">
        <v>3361</v>
      </c>
      <c r="K1363" s="232">
        <v>45750</v>
      </c>
      <c r="L1363" s="49" t="str">
        <f>IF(Table26[[#This Row],[customerSKU]]="","",_xlfn.XLOOKUP(Table26[[#This Row],[customerSKU]],customerSKU!G:G,customerSKU!B:B,"",0,1))</f>
        <v/>
      </c>
      <c r="M1363" s="22"/>
      <c r="N1363" s="15" t="str">
        <f>Table26[[#This Row],[po_number]]&amp;"-"&amp;Table26[[#This Row],[po_line]]</f>
        <v>-4</v>
      </c>
      <c r="O1363" s="15">
        <v>4</v>
      </c>
      <c r="P1363" s="50"/>
      <c r="Q1363" s="22" t="s">
        <v>610</v>
      </c>
      <c r="R1363" s="22" t="s">
        <v>3302</v>
      </c>
      <c r="S1363" s="90" t="str">
        <f>IF(Table26[[#This Row],[customerSKU]]="","",_xlfn.XLOOKUP(Table26[[#This Row],[customerSKU]],customerSKU!G:G,customerSKU!N:N,"NOT FOUND",0,1))</f>
        <v>NOT FOUND</v>
      </c>
      <c r="T1363" s="20">
        <v>45700</v>
      </c>
      <c r="U1363" s="94">
        <v>36</v>
      </c>
      <c r="V1363" s="22" t="str">
        <f>IF(ISBLANK(Table26[[#This Row],[customerSKU]]),"",_xlfn.XLOOKUP(Table26[[#This Row],[customerSKU]],Table27[customer_SKU],Table27[case_size],"",0,1))</f>
        <v/>
      </c>
      <c r="W1363" s="117" t="str">
        <f t="shared" si="59"/>
        <v/>
      </c>
      <c r="X1363" s="22" t="str">
        <f t="shared" si="60"/>
        <v/>
      </c>
      <c r="Y1363" s="25" t="str">
        <f>IF(Table26[[#This Row],[customerSKU]]="","",_xlfn.XLOOKUP(Table26[[#This Row],[customerSKU]],Table27[customer_SKU],Table27[product_GTIN],"",0,1))</f>
        <v/>
      </c>
      <c r="Z1363" s="25" t="s">
        <v>3363</v>
      </c>
      <c r="AA1363" s="18" t="str" cm="1">
        <f t="array" ref="AA1363">IF(P1363="", "", _xlfn.XLOOKUP(P1363,#REF!,#REF!,NA,0,-1))</f>
        <v/>
      </c>
      <c r="AB1363" s="22"/>
      <c r="AC1363" s="55" t="str">
        <f>IF(Table26[[#This Row],[customerSKU]]="","",_xlfn.XLOOKUP(Table26[[#This Row],[customerSKU]],customerSKU!G:G,customerSKU!C:C,"",0,1))</f>
        <v/>
      </c>
      <c r="AD1363" s="55" t="str">
        <f>IF($AC1363="","",_xlfn.XLOOKUP($AC1363,'[2]Client Info'!$C$2:$C$2535,'[2]Client Info'!$D$2:$D$2535,"",0,1))</f>
        <v/>
      </c>
      <c r="AE1363" s="55" t="str">
        <f>IF($AC1363="","",_xlfn.XLOOKUP($AC1363,'[2]Client Info'!$C$2:$C$2715,'[2]Client Info'!$E$2:$E$2715,"",))</f>
        <v/>
      </c>
      <c r="AF1363" s="55" t="str">
        <f>IF($AC1363="","",_xlfn.XLOOKUP($AC1363,'[2]Client Info'!$C$2:$C$2715,'[2]Client Info'!$F$2:$F$2715,"",0,1))</f>
        <v/>
      </c>
      <c r="AG1363" s="55" t="str">
        <f>IF(ISBLANK(Table26[[#This Row],[customerSKU]]),"",_xlfn.XLOOKUP(Table26[[#This Row],[customerSKU]],Table27[customer_SKU],Table27[billto],"",0,1))</f>
        <v/>
      </c>
      <c r="AH1363" s="224" t="str">
        <f>_xlfn.XLOOKUP(Table26[[#This Row],[customerSKU]],customerSKU!G:G,customerSKU!K:K,"NA",0,1)</f>
        <v>NA</v>
      </c>
      <c r="AI1363" s="225" t="str">
        <f>_xlfn.XLOOKUP(Table26[[#This Row],[customerSKU]],customerSKU!G:G,customerSKU!O:O,"not found",0,1)</f>
        <v>not found</v>
      </c>
      <c r="AJ1363" s="226" t="e">
        <f>Table26[[#This Row],[unitprice]]*Table26[[#This Row],[quantity_unit]]</f>
        <v>#VALUE!</v>
      </c>
      <c r="AK1363" s="227" t="e" cm="1">
        <f t="array" ref="AK13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#VALUE!</v>
      </c>
    </row>
    <row r="1364" spans="1:37" ht="18" customHeight="1">
      <c r="A1364" s="42">
        <v>881</v>
      </c>
      <c r="B1364" s="42" t="s">
        <v>3357</v>
      </c>
      <c r="C1364" s="53" t="s">
        <v>203</v>
      </c>
      <c r="E1364" s="20"/>
      <c r="F13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4" s="93"/>
      <c r="I1364" s="19">
        <v>45748</v>
      </c>
      <c r="J1364" s="90" t="str">
        <f>IF(Table26[[#This Row],[customerSKU]]="","",_xlfn.XLOOKUP(Table26[[#This Row],[customerSKU]],customerSKU!G:G,customerSKU!A:A,"",0,1))</f>
        <v/>
      </c>
      <c r="K1364" s="232">
        <v>45750</v>
      </c>
      <c r="L1364" s="49" t="str">
        <f>IF(Table26[[#This Row],[customerSKU]]="","",_xlfn.XLOOKUP(Table26[[#This Row],[customerSKU]],customerSKU!G:G,customerSKU!B:B,"",0,1))</f>
        <v/>
      </c>
      <c r="M1364" s="22"/>
      <c r="N1364" s="15" t="str">
        <f>Table26[[#This Row],[po_number]]&amp;"-"&amp;Table26[[#This Row],[po_line]]</f>
        <v>-1</v>
      </c>
      <c r="O1364" s="15">
        <v>1</v>
      </c>
      <c r="P1364" s="50"/>
      <c r="Q1364" s="22" t="s">
        <v>565</v>
      </c>
      <c r="R1364" s="22" t="s">
        <v>569</v>
      </c>
      <c r="S1364" s="90" t="str">
        <f>IF(Table26[[#This Row],[customerSKU]]="","",_xlfn.XLOOKUP(Table26[[#This Row],[customerSKU]],customerSKU!G:G,customerSKU!N:N,"NOT FOUND",0,1))</f>
        <v>NOT FOUND</v>
      </c>
      <c r="T1364" s="20">
        <v>45742</v>
      </c>
      <c r="U1364" s="94">
        <v>36</v>
      </c>
      <c r="V1364" s="22" t="str">
        <f>IF(ISBLANK(Table26[[#This Row],[customerSKU]]),"",_xlfn.XLOOKUP(Table26[[#This Row],[customerSKU]],Table27[customer_SKU],Table27[case_size],"",0,1))</f>
        <v/>
      </c>
      <c r="W1364" s="117" t="str">
        <f t="shared" si="59"/>
        <v/>
      </c>
      <c r="X1364" s="22" t="str">
        <f t="shared" si="60"/>
        <v/>
      </c>
      <c r="Y1364" s="25" t="str">
        <f>IF(Table26[[#This Row],[customerSKU]]="","",_xlfn.XLOOKUP(Table26[[#This Row],[customerSKU]],Table27[customer_SKU],Table27[product_GTIN],"",0,1))</f>
        <v/>
      </c>
      <c r="Z1364" s="25" t="s">
        <v>3373</v>
      </c>
      <c r="AA1364" s="18" t="str" cm="1">
        <f t="array" ref="AA1364">IF(P1364="", "", _xlfn.XLOOKUP(P1364,#REF!,#REF!,NA,0,-1))</f>
        <v/>
      </c>
      <c r="AB1364" s="22"/>
      <c r="AC1364" s="55" t="s">
        <v>117</v>
      </c>
      <c r="AD1364" s="55" t="str">
        <f>IF($AC1364="","",_xlfn.XLOOKUP($AC1364,'[2]Client Info'!$C$2:$C$2535,'[2]Client Info'!$D$2:$D$2535,"",0,1))</f>
        <v>1605 Renfrew St</v>
      </c>
      <c r="AE1364" s="55" t="str">
        <f>IF($AC1364="","",_xlfn.XLOOKUP($AC1364,'[2]Client Info'!$C$2:$C$2715,'[2]Client Info'!$E$2:$E$2715,"",))</f>
        <v>Vancouver</v>
      </c>
      <c r="AF1364" s="55" t="str">
        <f>IF($AC1364="","",_xlfn.XLOOKUP($AC1364,'[2]Client Info'!$C$2:$C$2715,'[2]Client Info'!$F$2:$F$2715,"",0,1))</f>
        <v xml:space="preserve">BC </v>
      </c>
      <c r="AG1364" s="55" t="s">
        <v>117</v>
      </c>
      <c r="AH1364" s="224" t="str">
        <f>_xlfn.XLOOKUP(Table26[[#This Row],[customerSKU]],customerSKU!G:G,customerSKU!K:K,"NA",0,1)</f>
        <v>NA</v>
      </c>
      <c r="AI1364" s="225" t="str">
        <f>_xlfn.XLOOKUP(Table26[[#This Row],[customerSKU]],customerSKU!G:G,customerSKU!O:O,"not found",0,1)</f>
        <v>not found</v>
      </c>
      <c r="AJ1364" s="226" t="e">
        <f>Table26[[#This Row],[unitprice]]*Table26[[#This Row],[quantity_unit]]</f>
        <v>#VALUE!</v>
      </c>
      <c r="AK1364" s="227" t="e" cm="1">
        <f t="array" ref="AK13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65" spans="1:37" ht="24.6" customHeight="1">
      <c r="A1365" s="42">
        <v>882</v>
      </c>
      <c r="B1365" s="42" t="s">
        <v>3357</v>
      </c>
      <c r="C1365" s="53" t="s">
        <v>203</v>
      </c>
      <c r="E1365" s="20"/>
      <c r="F13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5" s="93"/>
      <c r="I1365" s="19">
        <v>45748</v>
      </c>
      <c r="J1365" s="90" t="str">
        <f>IF(Table26[[#This Row],[customerSKU]]="","",_xlfn.XLOOKUP(Table26[[#This Row],[customerSKU]],customerSKU!G:G,customerSKU!A:A,"",0,1))</f>
        <v/>
      </c>
      <c r="K1365" s="232">
        <v>45750</v>
      </c>
      <c r="L1365" s="49" t="str">
        <f>IF(Table26[[#This Row],[customerSKU]]="","",_xlfn.XLOOKUP(Table26[[#This Row],[customerSKU]],customerSKU!G:G,customerSKU!B:B,"",0,1))</f>
        <v/>
      </c>
      <c r="M1365" s="22"/>
      <c r="N1365" s="15" t="str">
        <f>Table26[[#This Row],[po_number]]&amp;"-"&amp;Table26[[#This Row],[po_line]]</f>
        <v>-2</v>
      </c>
      <c r="O1365" s="15">
        <v>2</v>
      </c>
      <c r="P1365" s="50"/>
      <c r="Q1365" s="24" t="s">
        <v>3284</v>
      </c>
      <c r="R1365" s="22" t="s">
        <v>569</v>
      </c>
      <c r="S1365" s="90" t="str">
        <f>IF(Table26[[#This Row],[customerSKU]]="","",_xlfn.XLOOKUP(Table26[[#This Row],[customerSKU]],customerSKU!G:G,customerSKU!N:N,"NOT FOUND",0,1))</f>
        <v>NOT FOUND</v>
      </c>
      <c r="T1365" s="20">
        <v>45742</v>
      </c>
      <c r="U1365" s="94">
        <v>24</v>
      </c>
      <c r="V1365" s="22" t="str">
        <f>IF(ISBLANK(Table26[[#This Row],[customerSKU]]),"",_xlfn.XLOOKUP(Table26[[#This Row],[customerSKU]],Table27[customer_SKU],Table27[case_size],"",0,1))</f>
        <v/>
      </c>
      <c r="W1365" s="117" t="str">
        <f t="shared" si="59"/>
        <v/>
      </c>
      <c r="X1365" s="22" t="str">
        <f t="shared" si="60"/>
        <v/>
      </c>
      <c r="Y1365" s="25" t="str">
        <f>IF(Table26[[#This Row],[customerSKU]]="","",_xlfn.XLOOKUP(Table26[[#This Row],[customerSKU]],Table27[customer_SKU],Table27[product_GTIN],"",0,1))</f>
        <v/>
      </c>
      <c r="Z1365" s="25" t="s">
        <v>3372</v>
      </c>
      <c r="AA1365" s="18" t="str" cm="1">
        <f t="array" ref="AA1365">IF(P1365="", "", _xlfn.XLOOKUP(P1365,#REF!,#REF!,NA,0,-1))</f>
        <v/>
      </c>
      <c r="AB1365" s="22"/>
      <c r="AC1365" s="55" t="s">
        <v>117</v>
      </c>
      <c r="AD1365" s="55" t="str">
        <f>IF($AC1365="","",_xlfn.XLOOKUP($AC1365,'[2]Client Info'!$C$2:$C$2535,'[2]Client Info'!$D$2:$D$2535,"",0,1))</f>
        <v>1605 Renfrew St</v>
      </c>
      <c r="AE1365" s="55" t="str">
        <f>IF($AC1365="","",_xlfn.XLOOKUP($AC1365,'[2]Client Info'!$C$2:$C$2715,'[2]Client Info'!$E$2:$E$2715,"",))</f>
        <v>Vancouver</v>
      </c>
      <c r="AF1365" s="55" t="str">
        <f>IF($AC1365="","",_xlfn.XLOOKUP($AC1365,'[2]Client Info'!$C$2:$C$2715,'[2]Client Info'!$F$2:$F$2715,"",0,1))</f>
        <v xml:space="preserve">BC </v>
      </c>
      <c r="AG1365" s="55" t="s">
        <v>117</v>
      </c>
      <c r="AH1365" s="224" t="str">
        <f>_xlfn.XLOOKUP(Table26[[#This Row],[customerSKU]],customerSKU!G:G,customerSKU!K:K,"NA",0,1)</f>
        <v>NA</v>
      </c>
      <c r="AI1365" s="225" t="str">
        <f>_xlfn.XLOOKUP(Table26[[#This Row],[customerSKU]],customerSKU!G:G,customerSKU!O:O,"not found",0,1)</f>
        <v>not found</v>
      </c>
      <c r="AJ1365" s="226" t="e">
        <f>Table26[[#This Row],[unitprice]]*Table26[[#This Row],[quantity_unit]]</f>
        <v>#VALUE!</v>
      </c>
      <c r="AK1365" s="227" t="e" cm="1">
        <f t="array" ref="AK13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66" spans="1:37" ht="24.6" customHeight="1">
      <c r="A1366" s="42">
        <v>883</v>
      </c>
      <c r="B1366" s="42" t="s">
        <v>3357</v>
      </c>
      <c r="C1366" s="53" t="s">
        <v>203</v>
      </c>
      <c r="E1366" s="20"/>
      <c r="F13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6" s="93"/>
      <c r="I1366" s="19">
        <v>45748</v>
      </c>
      <c r="J1366" s="90" t="str">
        <f>IF(Table26[[#This Row],[customerSKU]]="","",_xlfn.XLOOKUP(Table26[[#This Row],[customerSKU]],customerSKU!G:G,customerSKU!A:A,"",0,1))</f>
        <v/>
      </c>
      <c r="K1366" s="232">
        <v>45750</v>
      </c>
      <c r="L1366" s="49" t="str">
        <f>IF(Table26[[#This Row],[customerSKU]]="","",_xlfn.XLOOKUP(Table26[[#This Row],[customerSKU]],customerSKU!G:G,customerSKU!B:B,"",0,1))</f>
        <v/>
      </c>
      <c r="M1366" s="22"/>
      <c r="N1366" s="15" t="str">
        <f>Table26[[#This Row],[po_number]]&amp;"-"&amp;Table26[[#This Row],[po_line]]</f>
        <v>-3</v>
      </c>
      <c r="O1366" s="15">
        <v>3</v>
      </c>
      <c r="P1366" s="50"/>
      <c r="Q1366" s="22" t="s">
        <v>1637</v>
      </c>
      <c r="R1366" s="22" t="s">
        <v>569</v>
      </c>
      <c r="S1366" s="90" t="str">
        <f>IF(Table26[[#This Row],[customerSKU]]="","",_xlfn.XLOOKUP(Table26[[#This Row],[customerSKU]],customerSKU!G:G,customerSKU!N:N,"NOT FOUND",0,1))</f>
        <v>NOT FOUND</v>
      </c>
      <c r="T1366" s="20">
        <v>45749</v>
      </c>
      <c r="U1366" s="94">
        <v>24</v>
      </c>
      <c r="V1366" s="22" t="str">
        <f>IF(ISBLANK(Table26[[#This Row],[customerSKU]]),"",_xlfn.XLOOKUP(Table26[[#This Row],[customerSKU]],Table27[customer_SKU],Table27[case_size],"",0,1))</f>
        <v/>
      </c>
      <c r="W1366" s="117" t="str">
        <f t="shared" si="59"/>
        <v/>
      </c>
      <c r="X1366" s="22" t="str">
        <f t="shared" si="60"/>
        <v/>
      </c>
      <c r="Y1366" s="25" t="str">
        <f>IF(Table26[[#This Row],[customerSKU]]="","",_xlfn.XLOOKUP(Table26[[#This Row],[customerSKU]],Table27[customer_SKU],Table27[product_GTIN],"",0,1))</f>
        <v/>
      </c>
      <c r="Z1366" s="25" t="s">
        <v>3366</v>
      </c>
      <c r="AA1366" s="18" t="str" cm="1">
        <f t="array" ref="AA1366">IF(P1366="", "", _xlfn.XLOOKUP(P1366,#REF!,#REF!,NA,0,-1))</f>
        <v/>
      </c>
      <c r="AB1366" s="22"/>
      <c r="AC1366" s="55" t="s">
        <v>117</v>
      </c>
      <c r="AD1366" s="55" t="str">
        <f>IF($AC1366="","",_xlfn.XLOOKUP($AC1366,'[2]Client Info'!$C$2:$C$2535,'[2]Client Info'!$D$2:$D$2535,"",0,1))</f>
        <v>1605 Renfrew St</v>
      </c>
      <c r="AE1366" s="55" t="str">
        <f>IF($AC1366="","",_xlfn.XLOOKUP($AC1366,'[2]Client Info'!$C$2:$C$2715,'[2]Client Info'!$E$2:$E$2715,"",))</f>
        <v>Vancouver</v>
      </c>
      <c r="AF1366" s="55" t="str">
        <f>IF($AC1366="","",_xlfn.XLOOKUP($AC1366,'[2]Client Info'!$C$2:$C$2715,'[2]Client Info'!$F$2:$F$2715,"",0,1))</f>
        <v xml:space="preserve">BC </v>
      </c>
      <c r="AG1366" s="55" t="s">
        <v>117</v>
      </c>
      <c r="AH1366" s="224" t="str">
        <f>_xlfn.XLOOKUP(Table26[[#This Row],[customerSKU]],customerSKU!G:G,customerSKU!K:K,"NA",0,1)</f>
        <v>NA</v>
      </c>
      <c r="AI1366" s="225" t="str">
        <f>_xlfn.XLOOKUP(Table26[[#This Row],[customerSKU]],customerSKU!G:G,customerSKU!O:O,"not found",0,1)</f>
        <v>not found</v>
      </c>
      <c r="AJ1366" s="226" t="e">
        <f>Table26[[#This Row],[unitprice]]*Table26[[#This Row],[quantity_unit]]</f>
        <v>#VALUE!</v>
      </c>
      <c r="AK1366" s="227" t="e" cm="1">
        <f t="array" ref="AK13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67" spans="1:37" ht="24.6" customHeight="1">
      <c r="A1367" s="42">
        <v>884</v>
      </c>
      <c r="B1367" s="42" t="s">
        <v>3357</v>
      </c>
      <c r="C1367" s="53" t="s">
        <v>203</v>
      </c>
      <c r="E1367" s="20"/>
      <c r="F13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7" s="93"/>
      <c r="I1367" s="19">
        <v>45748</v>
      </c>
      <c r="J1367" s="90" t="str">
        <f>IF(Table26[[#This Row],[customerSKU]]="","",_xlfn.XLOOKUP(Table26[[#This Row],[customerSKU]],customerSKU!G:G,customerSKU!A:A,"",0,1))</f>
        <v/>
      </c>
      <c r="K1367" s="232">
        <v>45750</v>
      </c>
      <c r="L1367" s="49" t="str">
        <f>IF(Table26[[#This Row],[customerSKU]]="","",_xlfn.XLOOKUP(Table26[[#This Row],[customerSKU]],customerSKU!G:G,customerSKU!B:B,"",0,1))</f>
        <v/>
      </c>
      <c r="M1367" s="22"/>
      <c r="N1367" s="15" t="str">
        <f>Table26[[#This Row],[po_number]]&amp;"-"&amp;Table26[[#This Row],[po_line]]</f>
        <v>-1</v>
      </c>
      <c r="O1367" s="15">
        <v>1</v>
      </c>
      <c r="P1367" s="50"/>
      <c r="Q1367" s="22" t="s">
        <v>3284</v>
      </c>
      <c r="R1367" s="22" t="s">
        <v>569</v>
      </c>
      <c r="S1367" s="90" t="str">
        <f>IF(Table26[[#This Row],[customerSKU]]="","",_xlfn.XLOOKUP(Table26[[#This Row],[customerSKU]],customerSKU!G:G,customerSKU!N:N,"NOT FOUND",0,1))</f>
        <v>NOT FOUND</v>
      </c>
      <c r="T1367" s="20">
        <v>45742</v>
      </c>
      <c r="U1367" s="94">
        <v>24</v>
      </c>
      <c r="V1367" s="22" t="str">
        <f>IF(ISBLANK(Table26[[#This Row],[customerSKU]]),"",_xlfn.XLOOKUP(Table26[[#This Row],[customerSKU]],Table27[customer_SKU],Table27[case_size],"",0,1))</f>
        <v/>
      </c>
      <c r="W1367" s="117" t="str">
        <f t="shared" si="59"/>
        <v/>
      </c>
      <c r="X1367" s="22" t="str">
        <f t="shared" si="60"/>
        <v/>
      </c>
      <c r="Y1367" s="25" t="str">
        <f>IF(Table26[[#This Row],[customerSKU]]="","",_xlfn.XLOOKUP(Table26[[#This Row],[customerSKU]],Table27[customer_SKU],Table27[product_GTIN],"",0,1))</f>
        <v/>
      </c>
      <c r="Z1367" s="25" t="s">
        <v>3372</v>
      </c>
      <c r="AA1367" s="18" t="str" cm="1">
        <f t="array" ref="AA1367">IF(P1367="", "", _xlfn.XLOOKUP(P1367,#REF!,#REF!,NA,0,-1))</f>
        <v/>
      </c>
      <c r="AB1367" s="22"/>
      <c r="AC1367" s="55" t="s">
        <v>3425</v>
      </c>
      <c r="AD1367" s="55" t="str">
        <f>IF($AC1367="","",_xlfn.XLOOKUP($AC1367,'[2]Client Info'!$C$2:$C$2535,'[2]Client Info'!$D$2:$D$2535,"",0,1))</f>
        <v>1453 Bellevue Ave</v>
      </c>
      <c r="AE1367" s="55" t="str">
        <f>IF($AC1367="","",_xlfn.XLOOKUP($AC1367,'[2]Client Info'!$C$2:$C$2715,'[2]Client Info'!$E$2:$E$2715,"",))</f>
        <v>West Vancouver</v>
      </c>
      <c r="AF1367" s="55" t="str">
        <f>IF($AC1367="","",_xlfn.XLOOKUP($AC1367,'[2]Client Info'!$C$2:$C$2715,'[2]Client Info'!$F$2:$F$2715,"",0,1))</f>
        <v xml:space="preserve">BC </v>
      </c>
      <c r="AG1367" s="55" t="s">
        <v>3425</v>
      </c>
      <c r="AH1367" s="224" t="str">
        <f>_xlfn.XLOOKUP(Table26[[#This Row],[customerSKU]],customerSKU!G:G,customerSKU!K:K,"NA",0,1)</f>
        <v>NA</v>
      </c>
      <c r="AI1367" s="225" t="str">
        <f>_xlfn.XLOOKUP(Table26[[#This Row],[customerSKU]],customerSKU!G:G,customerSKU!O:O,"not found",0,1)</f>
        <v>not found</v>
      </c>
      <c r="AJ1367" s="226" t="e">
        <f>Table26[[#This Row],[unitprice]]*Table26[[#This Row],[quantity_unit]]</f>
        <v>#VALUE!</v>
      </c>
      <c r="AK1367" s="227" t="e" cm="1">
        <f t="array" ref="AK13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68" spans="1:37" ht="24.6" customHeight="1">
      <c r="A1368" s="42">
        <v>885</v>
      </c>
      <c r="B1368" s="42" t="s">
        <v>3357</v>
      </c>
      <c r="C1368" s="53" t="s">
        <v>203</v>
      </c>
      <c r="E1368" s="20"/>
      <c r="F13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8" s="93"/>
      <c r="I1368" s="19">
        <v>45748</v>
      </c>
      <c r="J1368" s="90" t="str">
        <f>IF(Table26[[#This Row],[customerSKU]]="","",_xlfn.XLOOKUP(Table26[[#This Row],[customerSKU]],customerSKU!G:G,customerSKU!A:A,"",0,1))</f>
        <v/>
      </c>
      <c r="K1368" s="232">
        <v>45750</v>
      </c>
      <c r="L1368" s="49" t="str">
        <f>IF(Table26[[#This Row],[customerSKU]]="","",_xlfn.XLOOKUP(Table26[[#This Row],[customerSKU]],customerSKU!G:G,customerSKU!B:B,"",0,1))</f>
        <v/>
      </c>
      <c r="M1368" s="22"/>
      <c r="N1368" s="15" t="str">
        <f>Table26[[#This Row],[po_number]]&amp;"-"&amp;Table26[[#This Row],[po_line]]</f>
        <v>-2</v>
      </c>
      <c r="O1368" s="15">
        <v>2</v>
      </c>
      <c r="P1368" s="50"/>
      <c r="Q1368" s="22" t="s">
        <v>574</v>
      </c>
      <c r="R1368" s="22" t="s">
        <v>569</v>
      </c>
      <c r="S1368" s="90" t="str">
        <f>IF(Table26[[#This Row],[customerSKU]]="","",_xlfn.XLOOKUP(Table26[[#This Row],[customerSKU]],customerSKU!G:G,customerSKU!N:N,"NOT FOUND",0,1))</f>
        <v>NOT FOUND</v>
      </c>
      <c r="T1368" s="20">
        <v>45728</v>
      </c>
      <c r="U1368" s="94">
        <v>10</v>
      </c>
      <c r="V1368" s="22" t="str">
        <f>IF(ISBLANK(Table26[[#This Row],[customerSKU]]),"",_xlfn.XLOOKUP(Table26[[#This Row],[customerSKU]],Table27[customer_SKU],Table27[case_size],"",0,1))</f>
        <v/>
      </c>
      <c r="W1368" s="117" t="str">
        <f t="shared" si="59"/>
        <v/>
      </c>
      <c r="X1368" s="22" t="str">
        <f t="shared" si="60"/>
        <v/>
      </c>
      <c r="Y1368" s="25" t="str">
        <f>IF(Table26[[#This Row],[customerSKU]]="","",_xlfn.XLOOKUP(Table26[[#This Row],[customerSKU]],Table27[customer_SKU],Table27[product_GTIN],"",0,1))</f>
        <v/>
      </c>
      <c r="Z1368" s="25" t="s">
        <v>3366</v>
      </c>
      <c r="AA1368" s="18" t="str" cm="1">
        <f t="array" ref="AA1368">IF(P1368="", "", _xlfn.XLOOKUP(P1368,#REF!,#REF!,NA,0,-1))</f>
        <v/>
      </c>
      <c r="AB1368" s="22"/>
      <c r="AC1368" s="55" t="s">
        <v>3425</v>
      </c>
      <c r="AD1368" s="55" t="str">
        <f>IF($AC1368="","",_xlfn.XLOOKUP($AC1368,'[2]Client Info'!$C$2:$C$2535,'[2]Client Info'!$D$2:$D$2535,"",0,1))</f>
        <v>1453 Bellevue Ave</v>
      </c>
      <c r="AE1368" s="55" t="str">
        <f>IF($AC1368="","",_xlfn.XLOOKUP($AC1368,'[2]Client Info'!$C$2:$C$2715,'[2]Client Info'!$E$2:$E$2715,"",))</f>
        <v>West Vancouver</v>
      </c>
      <c r="AF1368" s="55" t="str">
        <f>IF($AC1368="","",_xlfn.XLOOKUP($AC1368,'[2]Client Info'!$C$2:$C$2715,'[2]Client Info'!$F$2:$F$2715,"",0,1))</f>
        <v xml:space="preserve">BC </v>
      </c>
      <c r="AG1368" s="55" t="s">
        <v>3425</v>
      </c>
      <c r="AH1368" s="224" t="str">
        <f>_xlfn.XLOOKUP(Table26[[#This Row],[customerSKU]],customerSKU!G:G,customerSKU!K:K,"NA",0,1)</f>
        <v>NA</v>
      </c>
      <c r="AI1368" s="225" t="str">
        <f>_xlfn.XLOOKUP(Table26[[#This Row],[customerSKU]],customerSKU!G:G,customerSKU!O:O,"not found",0,1)</f>
        <v>not found</v>
      </c>
      <c r="AJ1368" s="226" t="e">
        <f>Table26[[#This Row],[unitprice]]*Table26[[#This Row],[quantity_unit]]</f>
        <v>#VALUE!</v>
      </c>
      <c r="AK1368" s="227" t="e" cm="1">
        <f t="array" ref="AK13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69" spans="1:37" ht="18" customHeight="1">
      <c r="A1369" s="42">
        <v>886</v>
      </c>
      <c r="B1369" s="42" t="s">
        <v>3357</v>
      </c>
      <c r="C1369" s="53" t="s">
        <v>203</v>
      </c>
      <c r="E1369" s="20"/>
      <c r="F13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69" s="93"/>
      <c r="I1369" s="19">
        <v>45748</v>
      </c>
      <c r="J1369" s="90" t="str">
        <f>IF(Table26[[#This Row],[customerSKU]]="","",_xlfn.XLOOKUP(Table26[[#This Row],[customerSKU]],customerSKU!G:G,customerSKU!A:A,"",0,1))</f>
        <v/>
      </c>
      <c r="K1369" s="232">
        <v>45750</v>
      </c>
      <c r="L1369" s="49" t="str">
        <f>IF(Table26[[#This Row],[customerSKU]]="","",_xlfn.XLOOKUP(Table26[[#This Row],[customerSKU]],customerSKU!G:G,customerSKU!B:B,"",0,1))</f>
        <v/>
      </c>
      <c r="M1369" s="22"/>
      <c r="N1369" s="15" t="str">
        <f>Table26[[#This Row],[po_number]]&amp;"-"&amp;Table26[[#This Row],[po_line]]</f>
        <v>-3</v>
      </c>
      <c r="O1369" s="15">
        <v>3</v>
      </c>
      <c r="P1369" s="50"/>
      <c r="Q1369" s="22" t="s">
        <v>1637</v>
      </c>
      <c r="R1369" s="22" t="s">
        <v>569</v>
      </c>
      <c r="S1369" s="90" t="str">
        <f>IF(Table26[[#This Row],[customerSKU]]="","",_xlfn.XLOOKUP(Table26[[#This Row],[customerSKU]],customerSKU!G:G,customerSKU!N:N,"NOT FOUND",0,1))</f>
        <v>NOT FOUND</v>
      </c>
      <c r="T1369" s="20">
        <v>45749</v>
      </c>
      <c r="U1369" s="94">
        <v>2</v>
      </c>
      <c r="V1369" s="22" t="str">
        <f>IF(ISBLANK(Table26[[#This Row],[customerSKU]]),"",_xlfn.XLOOKUP(Table26[[#This Row],[customerSKU]],Table27[customer_SKU],Table27[case_size],"",0,1))</f>
        <v/>
      </c>
      <c r="W1369" s="117" t="str">
        <f t="shared" si="59"/>
        <v/>
      </c>
      <c r="X1369" s="22" t="str">
        <f t="shared" si="60"/>
        <v/>
      </c>
      <c r="Y1369" s="25" t="str">
        <f>IF(Table26[[#This Row],[customerSKU]]="","",_xlfn.XLOOKUP(Table26[[#This Row],[customerSKU]],Table27[customer_SKU],Table27[product_GTIN],"",0,1))</f>
        <v/>
      </c>
      <c r="Z1369" s="25" t="s">
        <v>3366</v>
      </c>
      <c r="AA1369" s="18" t="str" cm="1">
        <f t="array" ref="AA1369">IF(P1369="", "", _xlfn.XLOOKUP(P1369,#REF!,#REF!,NA,0,-1))</f>
        <v/>
      </c>
      <c r="AB1369" s="22"/>
      <c r="AC1369" s="55" t="s">
        <v>3425</v>
      </c>
      <c r="AD1369" s="55" t="str">
        <f>IF($AC1369="","",_xlfn.XLOOKUP($AC1369,'[2]Client Info'!$C$2:$C$2535,'[2]Client Info'!$D$2:$D$2535,"",0,1))</f>
        <v>1453 Bellevue Ave</v>
      </c>
      <c r="AE1369" s="55" t="str">
        <f>IF($AC1369="","",_xlfn.XLOOKUP($AC1369,'[2]Client Info'!$C$2:$C$2715,'[2]Client Info'!$E$2:$E$2715,"",))</f>
        <v>West Vancouver</v>
      </c>
      <c r="AF1369" s="55" t="str">
        <f>IF($AC1369="","",_xlfn.XLOOKUP($AC1369,'[2]Client Info'!$C$2:$C$2715,'[2]Client Info'!$F$2:$F$2715,"",0,1))</f>
        <v xml:space="preserve">BC </v>
      </c>
      <c r="AG1369" s="55" t="s">
        <v>3425</v>
      </c>
      <c r="AH1369" s="224" t="str">
        <f>_xlfn.XLOOKUP(Table26[[#This Row],[customerSKU]],customerSKU!G:G,customerSKU!K:K,"NA",0,1)</f>
        <v>NA</v>
      </c>
      <c r="AI1369" s="225" t="str">
        <f>_xlfn.XLOOKUP(Table26[[#This Row],[customerSKU]],customerSKU!G:G,customerSKU!O:O,"not found",0,1)</f>
        <v>not found</v>
      </c>
      <c r="AJ1369" s="226" t="e">
        <f>Table26[[#This Row],[unitprice]]*Table26[[#This Row],[quantity_unit]]</f>
        <v>#VALUE!</v>
      </c>
      <c r="AK1369" s="227" t="e" cm="1">
        <f t="array" ref="AK13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0" spans="1:37" ht="18" customHeight="1">
      <c r="A1370" s="42">
        <v>887</v>
      </c>
      <c r="B1370" s="42" t="s">
        <v>3357</v>
      </c>
      <c r="C1370" s="53" t="s">
        <v>203</v>
      </c>
      <c r="E1370" s="20"/>
      <c r="F13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0" s="93"/>
      <c r="I1370" s="19">
        <v>45750</v>
      </c>
      <c r="J1370" s="90" t="str">
        <f>IF(Table26[[#This Row],[customerSKU]]="","",_xlfn.XLOOKUP(Table26[[#This Row],[customerSKU]],customerSKU!G:G,customerSKU!A:A,"",0,1))</f>
        <v/>
      </c>
      <c r="K1370" s="232">
        <v>45750</v>
      </c>
      <c r="L1370" s="49" t="str">
        <f>IF(Table26[[#This Row],[customerSKU]]="","",_xlfn.XLOOKUP(Table26[[#This Row],[customerSKU]],customerSKU!G:G,customerSKU!B:B,"",0,1))</f>
        <v/>
      </c>
      <c r="M1370" s="22"/>
      <c r="N1370" s="15" t="str">
        <f>Table26[[#This Row],[po_number]]&amp;"-"&amp;Table26[[#This Row],[po_line]]</f>
        <v>-1</v>
      </c>
      <c r="O1370" s="15">
        <v>1</v>
      </c>
      <c r="P1370" s="50"/>
      <c r="Q1370" s="22" t="s">
        <v>3368</v>
      </c>
      <c r="R1370" s="22" t="s">
        <v>3369</v>
      </c>
      <c r="S1370" s="90" t="str">
        <f>IF(Table26[[#This Row],[customerSKU]]="","",_xlfn.XLOOKUP(Table26[[#This Row],[customerSKU]],customerSKU!G:G,customerSKU!N:N,"NOT FOUND",0,1))</f>
        <v>NOT FOUND</v>
      </c>
      <c r="T1370" s="20">
        <v>45590</v>
      </c>
      <c r="U1370" s="94">
        <v>12</v>
      </c>
      <c r="V1370" s="22" t="str">
        <f>IF(ISBLANK(Table26[[#This Row],[customerSKU]]),"",_xlfn.XLOOKUP(Table26[[#This Row],[customerSKU]],Table27[customer_SKU],Table27[case_size],"",0,1))</f>
        <v/>
      </c>
      <c r="W1370" s="117" t="str">
        <f t="shared" si="59"/>
        <v/>
      </c>
      <c r="X1370" s="22" t="str">
        <f t="shared" si="60"/>
        <v/>
      </c>
      <c r="Y1370" s="25" t="str">
        <f>IF(Table26[[#This Row],[customerSKU]]="","",_xlfn.XLOOKUP(Table26[[#This Row],[customerSKU]],Table27[customer_SKU],Table27[product_GTIN],"",0,1))</f>
        <v/>
      </c>
      <c r="Z1370" s="25" t="s">
        <v>3370</v>
      </c>
      <c r="AA1370" s="18" t="str" cm="1">
        <f t="array" ref="AA1370">IF(P1370="", "", _xlfn.XLOOKUP(P1370,#REF!,#REF!,NA,0,-1))</f>
        <v/>
      </c>
      <c r="AB1370" s="22"/>
      <c r="AC1370" s="55" t="s">
        <v>100</v>
      </c>
      <c r="AD1370" s="55" t="str">
        <f>IF($AC1370="","",_xlfn.XLOOKUP($AC1370,'[2]Client Info'!$C$2:$C$2535,'[2]Client Info'!$D$2:$D$2535,"",0,1))</f>
        <v>115 1st St. E</v>
      </c>
      <c r="AE1370" s="55" t="str">
        <f>IF($AC1370="","",_xlfn.XLOOKUP($AC1370,'[2]Client Info'!$C$2:$C$2715,'[2]Client Info'!$E$2:$E$2715,"",))</f>
        <v>North Vancouver</v>
      </c>
      <c r="AF1370" s="55" t="str">
        <f>IF($AC1370="","",_xlfn.XLOOKUP($AC1370,'[2]Client Info'!$C$2:$C$2715,'[2]Client Info'!$F$2:$F$2715,"",0,1))</f>
        <v xml:space="preserve">BC </v>
      </c>
      <c r="AG1370" s="55" t="s">
        <v>100</v>
      </c>
      <c r="AH1370" s="224" t="str">
        <f>_xlfn.XLOOKUP(Table26[[#This Row],[customerSKU]],customerSKU!G:G,customerSKU!K:K,"NA",0,1)</f>
        <v>NA</v>
      </c>
      <c r="AI1370" s="225" t="str">
        <f>_xlfn.XLOOKUP(Table26[[#This Row],[customerSKU]],customerSKU!G:G,customerSKU!O:O,"not found",0,1)</f>
        <v>not found</v>
      </c>
      <c r="AJ1370" s="226" t="e">
        <f>Table26[[#This Row],[unitprice]]*Table26[[#This Row],[quantity_unit]]</f>
        <v>#VALUE!</v>
      </c>
      <c r="AK1370" s="227" t="e" cm="1">
        <f t="array" ref="AK13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1" spans="1:37" ht="18" customHeight="1">
      <c r="A1371" s="42">
        <v>888</v>
      </c>
      <c r="B1371" s="42" t="s">
        <v>3357</v>
      </c>
      <c r="C1371" s="53" t="s">
        <v>203</v>
      </c>
      <c r="E1371" s="20"/>
      <c r="F13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1" s="93"/>
      <c r="I1371" s="19">
        <v>45750</v>
      </c>
      <c r="J1371" s="90" t="str">
        <f>IF(Table26[[#This Row],[customerSKU]]="","",_xlfn.XLOOKUP(Table26[[#This Row],[customerSKU]],customerSKU!G:G,customerSKU!A:A,"",0,1))</f>
        <v/>
      </c>
      <c r="K1371" s="232">
        <v>45750</v>
      </c>
      <c r="L1371" s="49" t="str">
        <f>IF(Table26[[#This Row],[customerSKU]]="","",_xlfn.XLOOKUP(Table26[[#This Row],[customerSKU]],customerSKU!G:G,customerSKU!B:B,"",0,1))</f>
        <v/>
      </c>
      <c r="M1371" s="22"/>
      <c r="N1371" s="15" t="str">
        <f>Table26[[#This Row],[po_number]]&amp;"-"&amp;Table26[[#This Row],[po_line]]</f>
        <v>-2</v>
      </c>
      <c r="O1371" s="15">
        <v>2</v>
      </c>
      <c r="P1371" s="50"/>
      <c r="Q1371" s="22" t="s">
        <v>1609</v>
      </c>
      <c r="R1371" s="22" t="s">
        <v>569</v>
      </c>
      <c r="S1371" s="90" t="str">
        <f>IF(Table26[[#This Row],[customerSKU]]="","",_xlfn.XLOOKUP(Table26[[#This Row],[customerSKU]],customerSKU!G:G,customerSKU!N:N,"NOT FOUND",0,1))</f>
        <v>NOT FOUND</v>
      </c>
      <c r="T1371" s="20">
        <v>45742</v>
      </c>
      <c r="U1371" s="94">
        <v>12</v>
      </c>
      <c r="V1371" s="22" t="str">
        <f>IF(ISBLANK(Table26[[#This Row],[customerSKU]]),"",_xlfn.XLOOKUP(Table26[[#This Row],[customerSKU]],Table27[customer_SKU],Table27[case_size],"",0,1))</f>
        <v/>
      </c>
      <c r="W1371" s="117" t="str">
        <f t="shared" si="59"/>
        <v/>
      </c>
      <c r="X1371" s="22" t="str">
        <f t="shared" si="60"/>
        <v/>
      </c>
      <c r="Y1371" s="25" t="str">
        <f>IF(Table26[[#This Row],[customerSKU]]="","",_xlfn.XLOOKUP(Table26[[#This Row],[customerSKU]],Table27[customer_SKU],Table27[product_GTIN],"",0,1))</f>
        <v/>
      </c>
      <c r="Z1371" s="25" t="s">
        <v>3416</v>
      </c>
      <c r="AA1371" s="18" t="str" cm="1">
        <f t="array" ref="AA1371">IF(P1371="", "", _xlfn.XLOOKUP(P1371,#REF!,#REF!,NA,0,-1))</f>
        <v/>
      </c>
      <c r="AB1371" s="22"/>
      <c r="AC1371" s="55" t="s">
        <v>100</v>
      </c>
      <c r="AD1371" s="55" t="str">
        <f>IF($AC1371="","",_xlfn.XLOOKUP($AC1371,'[2]Client Info'!$C$2:$C$2535,'[2]Client Info'!$D$2:$D$2535,"",0,1))</f>
        <v>115 1st St. E</v>
      </c>
      <c r="AE1371" s="55" t="str">
        <f>IF($AC1371="","",_xlfn.XLOOKUP($AC1371,'[2]Client Info'!$C$2:$C$2715,'[2]Client Info'!$E$2:$E$2715,"",))</f>
        <v>North Vancouver</v>
      </c>
      <c r="AF1371" s="55" t="str">
        <f>IF($AC1371="","",_xlfn.XLOOKUP($AC1371,'[2]Client Info'!$C$2:$C$2715,'[2]Client Info'!$F$2:$F$2715,"",0,1))</f>
        <v xml:space="preserve">BC </v>
      </c>
      <c r="AG1371" s="55" t="s">
        <v>100</v>
      </c>
      <c r="AH1371" s="224" t="str">
        <f>_xlfn.XLOOKUP(Table26[[#This Row],[customerSKU]],customerSKU!G:G,customerSKU!K:K,"NA",0,1)</f>
        <v>NA</v>
      </c>
      <c r="AI1371" s="225" t="str">
        <f>_xlfn.XLOOKUP(Table26[[#This Row],[customerSKU]],customerSKU!G:G,customerSKU!O:O,"not found",0,1)</f>
        <v>not found</v>
      </c>
      <c r="AJ1371" s="226" t="e">
        <f>Table26[[#This Row],[unitprice]]*Table26[[#This Row],[quantity_unit]]</f>
        <v>#VALUE!</v>
      </c>
      <c r="AK1371" s="227" t="e" cm="1">
        <f t="array" ref="AK13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2" spans="1:37" ht="18" customHeight="1">
      <c r="A1372" s="42">
        <v>889</v>
      </c>
      <c r="B1372" s="42" t="s">
        <v>3357</v>
      </c>
      <c r="C1372" s="53" t="s">
        <v>203</v>
      </c>
      <c r="E1372" s="20"/>
      <c r="F13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2" s="93"/>
      <c r="I1372" s="19">
        <v>45750</v>
      </c>
      <c r="J1372" s="90" t="str">
        <f>IF(Table26[[#This Row],[customerSKU]]="","",_xlfn.XLOOKUP(Table26[[#This Row],[customerSKU]],customerSKU!G:G,customerSKU!A:A,"",0,1))</f>
        <v/>
      </c>
      <c r="K1372" s="232">
        <v>45750</v>
      </c>
      <c r="L1372" s="49" t="str">
        <f>IF(Table26[[#This Row],[customerSKU]]="","",_xlfn.XLOOKUP(Table26[[#This Row],[customerSKU]],customerSKU!G:G,customerSKU!B:B,"",0,1))</f>
        <v/>
      </c>
      <c r="M1372" s="22"/>
      <c r="N1372" s="15" t="str">
        <f>Table26[[#This Row],[po_number]]&amp;"-"&amp;Table26[[#This Row],[po_line]]</f>
        <v>-3</v>
      </c>
      <c r="O1372" s="15">
        <v>3</v>
      </c>
      <c r="P1372" s="50"/>
      <c r="Q1372" s="22" t="s">
        <v>565</v>
      </c>
      <c r="R1372" s="22" t="s">
        <v>569</v>
      </c>
      <c r="S1372" s="90" t="str">
        <f>IF(Table26[[#This Row],[customerSKU]]="","",_xlfn.XLOOKUP(Table26[[#This Row],[customerSKU]],customerSKU!G:G,customerSKU!N:N,"NOT FOUND",0,1))</f>
        <v>NOT FOUND</v>
      </c>
      <c r="T1372" s="20">
        <v>45742</v>
      </c>
      <c r="U1372" s="94">
        <v>12</v>
      </c>
      <c r="V1372" s="22" t="str">
        <f>IF(ISBLANK(Table26[[#This Row],[customerSKU]]),"",_xlfn.XLOOKUP(Table26[[#This Row],[customerSKU]],Table27[customer_SKU],Table27[case_size],"",0,1))</f>
        <v/>
      </c>
      <c r="W1372" s="117" t="str">
        <f t="shared" si="59"/>
        <v/>
      </c>
      <c r="X1372" s="22" t="str">
        <f t="shared" si="60"/>
        <v/>
      </c>
      <c r="Y1372" s="25" t="str">
        <f>IF(Table26[[#This Row],[customerSKU]]="","",_xlfn.XLOOKUP(Table26[[#This Row],[customerSKU]],Table27[customer_SKU],Table27[product_GTIN],"",0,1))</f>
        <v/>
      </c>
      <c r="Z1372" s="25" t="s">
        <v>3373</v>
      </c>
      <c r="AA1372" s="18" t="str" cm="1">
        <f t="array" ref="AA1372">IF(P1372="", "", _xlfn.XLOOKUP(P1372,#REF!,#REF!,NA,0,-1))</f>
        <v/>
      </c>
      <c r="AB1372" s="22"/>
      <c r="AC1372" s="55" t="s">
        <v>100</v>
      </c>
      <c r="AD1372" s="55" t="str">
        <f>IF($AC1372="","",_xlfn.XLOOKUP($AC1372,'[2]Client Info'!$C$2:$C$2535,'[2]Client Info'!$D$2:$D$2535,"",0,1))</f>
        <v>115 1st St. E</v>
      </c>
      <c r="AE1372" s="55" t="str">
        <f>IF($AC1372="","",_xlfn.XLOOKUP($AC1372,'[2]Client Info'!$C$2:$C$2715,'[2]Client Info'!$E$2:$E$2715,"",))</f>
        <v>North Vancouver</v>
      </c>
      <c r="AF1372" s="55" t="str">
        <f>IF($AC1372="","",_xlfn.XLOOKUP($AC1372,'[2]Client Info'!$C$2:$C$2715,'[2]Client Info'!$F$2:$F$2715,"",0,1))</f>
        <v xml:space="preserve">BC </v>
      </c>
      <c r="AG1372" s="55" t="s">
        <v>100</v>
      </c>
      <c r="AH1372" s="224" t="str">
        <f>_xlfn.XLOOKUP(Table26[[#This Row],[customerSKU]],customerSKU!G:G,customerSKU!K:K,"NA",0,1)</f>
        <v>NA</v>
      </c>
      <c r="AI1372" s="225" t="str">
        <f>_xlfn.XLOOKUP(Table26[[#This Row],[customerSKU]],customerSKU!G:G,customerSKU!O:O,"not found",0,1)</f>
        <v>not found</v>
      </c>
      <c r="AJ1372" s="226" t="e">
        <f>Table26[[#This Row],[unitprice]]*Table26[[#This Row],[quantity_unit]]</f>
        <v>#VALUE!</v>
      </c>
      <c r="AK1372" s="227" t="e" cm="1">
        <f t="array" ref="AK13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3" spans="1:37" ht="18" customHeight="1">
      <c r="A1373" s="42">
        <v>890</v>
      </c>
      <c r="B1373" s="42" t="s">
        <v>3357</v>
      </c>
      <c r="C1373" s="53" t="s">
        <v>203</v>
      </c>
      <c r="E1373" s="20"/>
      <c r="F13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3" s="93"/>
      <c r="I1373" s="19">
        <v>45750</v>
      </c>
      <c r="J1373" s="90" t="str">
        <f>IF(Table26[[#This Row],[customerSKU]]="","",_xlfn.XLOOKUP(Table26[[#This Row],[customerSKU]],customerSKU!G:G,customerSKU!A:A,"",0,1))</f>
        <v/>
      </c>
      <c r="K1373" s="232">
        <v>45750</v>
      </c>
      <c r="L1373" s="49" t="str">
        <f>IF(Table26[[#This Row],[customerSKU]]="","",_xlfn.XLOOKUP(Table26[[#This Row],[customerSKU]],customerSKU!G:G,customerSKU!B:B,"",0,1))</f>
        <v/>
      </c>
      <c r="M1373" s="22"/>
      <c r="N1373" s="15" t="str">
        <f>Table26[[#This Row],[po_number]]&amp;"-"&amp;Table26[[#This Row],[po_line]]</f>
        <v>-4</v>
      </c>
      <c r="O1373" s="15">
        <v>4</v>
      </c>
      <c r="P1373" s="50"/>
      <c r="Q1373" s="24" t="s">
        <v>3284</v>
      </c>
      <c r="R1373" s="22" t="s">
        <v>569</v>
      </c>
      <c r="S1373" s="90" t="str">
        <f>IF(Table26[[#This Row],[customerSKU]]="","",_xlfn.XLOOKUP(Table26[[#This Row],[customerSKU]],customerSKU!G:G,customerSKU!N:N,"NOT FOUND",0,1))</f>
        <v>NOT FOUND</v>
      </c>
      <c r="T1373" s="20">
        <v>45742</v>
      </c>
      <c r="U1373" s="94">
        <v>12</v>
      </c>
      <c r="V1373" s="22" t="str">
        <f>IF(ISBLANK(Table26[[#This Row],[customerSKU]]),"",_xlfn.XLOOKUP(Table26[[#This Row],[customerSKU]],Table27[customer_SKU],Table27[case_size],"",0,1))</f>
        <v/>
      </c>
      <c r="W1373" s="117" t="str">
        <f t="shared" si="59"/>
        <v/>
      </c>
      <c r="X1373" s="22" t="str">
        <f t="shared" si="60"/>
        <v/>
      </c>
      <c r="Y1373" s="25" t="str">
        <f>IF(Table26[[#This Row],[customerSKU]]="","",_xlfn.XLOOKUP(Table26[[#This Row],[customerSKU]],Table27[customer_SKU],Table27[product_GTIN],"",0,1))</f>
        <v/>
      </c>
      <c r="Z1373" s="25" t="s">
        <v>3372</v>
      </c>
      <c r="AA1373" s="18" t="str" cm="1">
        <f t="array" ref="AA1373">IF(P1373="", "", _xlfn.XLOOKUP(P1373,#REF!,#REF!,NA,0,-1))</f>
        <v/>
      </c>
      <c r="AB1373" s="22"/>
      <c r="AC1373" s="55" t="s">
        <v>100</v>
      </c>
      <c r="AD1373" s="55" t="str">
        <f>IF($AC1373="","",_xlfn.XLOOKUP($AC1373,'[2]Client Info'!$C$2:$C$2535,'[2]Client Info'!$D$2:$D$2535,"",0,1))</f>
        <v>115 1st St. E</v>
      </c>
      <c r="AE1373" s="55" t="str">
        <f>IF($AC1373="","",_xlfn.XLOOKUP($AC1373,'[2]Client Info'!$C$2:$C$2715,'[2]Client Info'!$E$2:$E$2715,"",))</f>
        <v>North Vancouver</v>
      </c>
      <c r="AF1373" s="55" t="str">
        <f>IF($AC1373="","",_xlfn.XLOOKUP($AC1373,'[2]Client Info'!$C$2:$C$2715,'[2]Client Info'!$F$2:$F$2715,"",0,1))</f>
        <v xml:space="preserve">BC </v>
      </c>
      <c r="AG1373" s="55" t="s">
        <v>100</v>
      </c>
      <c r="AH1373" s="224" t="str">
        <f>_xlfn.XLOOKUP(Table26[[#This Row],[customerSKU]],customerSKU!G:G,customerSKU!K:K,"NA",0,1)</f>
        <v>NA</v>
      </c>
      <c r="AI1373" s="225" t="str">
        <f>_xlfn.XLOOKUP(Table26[[#This Row],[customerSKU]],customerSKU!G:G,customerSKU!O:O,"not found",0,1)</f>
        <v>not found</v>
      </c>
      <c r="AJ1373" s="226" t="e">
        <f>Table26[[#This Row],[unitprice]]*Table26[[#This Row],[quantity_unit]]</f>
        <v>#VALUE!</v>
      </c>
      <c r="AK1373" s="227" t="e" cm="1">
        <f t="array" ref="AK13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4" spans="1:37" ht="18" customHeight="1">
      <c r="A1374" s="42">
        <v>891</v>
      </c>
      <c r="B1374" s="42" t="s">
        <v>3357</v>
      </c>
      <c r="C1374" s="53" t="s">
        <v>203</v>
      </c>
      <c r="E1374" s="20"/>
      <c r="F13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4" s="93"/>
      <c r="I1374" s="19">
        <v>45750</v>
      </c>
      <c r="J1374" s="90" t="str">
        <f>IF(Table26[[#This Row],[customerSKU]]="","",_xlfn.XLOOKUP(Table26[[#This Row],[customerSKU]],customerSKU!G:G,customerSKU!A:A,"",0,1))</f>
        <v/>
      </c>
      <c r="K1374" s="232">
        <v>45750</v>
      </c>
      <c r="L1374" s="49" t="str">
        <f>IF(Table26[[#This Row],[customerSKU]]="","",_xlfn.XLOOKUP(Table26[[#This Row],[customerSKU]],customerSKU!G:G,customerSKU!B:B,"",0,1))</f>
        <v/>
      </c>
      <c r="M1374" s="22"/>
      <c r="N1374" s="15" t="str">
        <f>Table26[[#This Row],[po_number]]&amp;"-"&amp;Table26[[#This Row],[po_line]]</f>
        <v>-5</v>
      </c>
      <c r="O1374" s="15">
        <v>5</v>
      </c>
      <c r="P1374" s="50"/>
      <c r="Q1374" s="22" t="s">
        <v>1312</v>
      </c>
      <c r="R1374" s="22" t="s">
        <v>569</v>
      </c>
      <c r="S1374" s="90" t="str">
        <f>IF(Table26[[#This Row],[customerSKU]]="","",_xlfn.XLOOKUP(Table26[[#This Row],[customerSKU]],customerSKU!G:G,customerSKU!N:N,"NOT FOUND",0,1))</f>
        <v>NOT FOUND</v>
      </c>
      <c r="T1374" s="20">
        <v>45660</v>
      </c>
      <c r="U1374" s="94">
        <v>12</v>
      </c>
      <c r="V1374" s="22" t="str">
        <f>IF(ISBLANK(Table26[[#This Row],[customerSKU]]),"",_xlfn.XLOOKUP(Table26[[#This Row],[customerSKU]],Table27[customer_SKU],Table27[case_size],"",0,1))</f>
        <v/>
      </c>
      <c r="W1374" s="117" t="str">
        <f t="shared" si="59"/>
        <v/>
      </c>
      <c r="X1374" s="22" t="str">
        <f t="shared" si="60"/>
        <v/>
      </c>
      <c r="Y1374" s="25" t="str">
        <f>IF(Table26[[#This Row],[customerSKU]]="","",_xlfn.XLOOKUP(Table26[[#This Row],[customerSKU]],Table27[customer_SKU],Table27[product_GTIN],"",0,1))</f>
        <v/>
      </c>
      <c r="Z1374" s="25" t="s">
        <v>3387</v>
      </c>
      <c r="AA1374" s="18" t="str" cm="1">
        <f t="array" ref="AA1374">IF(P1374="", "", _xlfn.XLOOKUP(P1374,#REF!,#REF!,NA,0,-1))</f>
        <v/>
      </c>
      <c r="AB1374" s="22"/>
      <c r="AC1374" s="55" t="s">
        <v>100</v>
      </c>
      <c r="AD1374" s="55" t="str">
        <f>IF($AC1374="","",_xlfn.XLOOKUP($AC1374,'[2]Client Info'!$C$2:$C$2535,'[2]Client Info'!$D$2:$D$2535,"",0,1))</f>
        <v>115 1st St. E</v>
      </c>
      <c r="AE1374" s="55" t="str">
        <f>IF($AC1374="","",_xlfn.XLOOKUP($AC1374,'[2]Client Info'!$C$2:$C$2715,'[2]Client Info'!$E$2:$E$2715,"",))</f>
        <v>North Vancouver</v>
      </c>
      <c r="AF1374" s="55" t="str">
        <f>IF($AC1374="","",_xlfn.XLOOKUP($AC1374,'[2]Client Info'!$C$2:$C$2715,'[2]Client Info'!$F$2:$F$2715,"",0,1))</f>
        <v xml:space="preserve">BC </v>
      </c>
      <c r="AG1374" s="55" t="s">
        <v>100</v>
      </c>
      <c r="AH1374" s="224" t="str">
        <f>_xlfn.XLOOKUP(Table26[[#This Row],[customerSKU]],customerSKU!G:G,customerSKU!K:K,"NA",0,1)</f>
        <v>NA</v>
      </c>
      <c r="AI1374" s="225" t="str">
        <f>_xlfn.XLOOKUP(Table26[[#This Row],[customerSKU]],customerSKU!G:G,customerSKU!O:O,"not found",0,1)</f>
        <v>not found</v>
      </c>
      <c r="AJ1374" s="226" t="e">
        <f>Table26[[#This Row],[unitprice]]*Table26[[#This Row],[quantity_unit]]</f>
        <v>#VALUE!</v>
      </c>
      <c r="AK1374" s="227" t="e" cm="1">
        <f t="array" ref="AK13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5" spans="1:37" ht="18" customHeight="1">
      <c r="A1375" s="42">
        <v>892</v>
      </c>
      <c r="B1375" s="42" t="s">
        <v>3357</v>
      </c>
      <c r="C1375" s="53" t="s">
        <v>203</v>
      </c>
      <c r="E1375" s="20"/>
      <c r="F13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5" s="93"/>
      <c r="I1375" s="19">
        <v>45750</v>
      </c>
      <c r="J1375" s="90" t="str">
        <f>IF(Table26[[#This Row],[customerSKU]]="","",_xlfn.XLOOKUP(Table26[[#This Row],[customerSKU]],customerSKU!G:G,customerSKU!A:A,"",0,1))</f>
        <v/>
      </c>
      <c r="K1375" s="232">
        <v>45750</v>
      </c>
      <c r="L1375" s="49" t="str">
        <f>IF(Table26[[#This Row],[customerSKU]]="","",_xlfn.XLOOKUP(Table26[[#This Row],[customerSKU]],customerSKU!G:G,customerSKU!B:B,"",0,1))</f>
        <v/>
      </c>
      <c r="M1375" s="22"/>
      <c r="N1375" s="15" t="str">
        <f>Table26[[#This Row],[po_number]]&amp;"-"&amp;Table26[[#This Row],[po_line]]</f>
        <v>-6</v>
      </c>
      <c r="O1375" s="15">
        <v>6</v>
      </c>
      <c r="P1375" s="50"/>
      <c r="Q1375" s="22" t="s">
        <v>905</v>
      </c>
      <c r="R1375" s="22" t="s">
        <v>569</v>
      </c>
      <c r="S1375" s="90" t="str">
        <f>IF(Table26[[#This Row],[customerSKU]]="","",_xlfn.XLOOKUP(Table26[[#This Row],[customerSKU]],customerSKU!G:G,customerSKU!N:N,"NOT FOUND",0,1))</f>
        <v>NOT FOUND</v>
      </c>
      <c r="T1375" s="20">
        <v>45575</v>
      </c>
      <c r="U1375" s="94">
        <v>12</v>
      </c>
      <c r="V1375" s="22" t="str">
        <f>IF(ISBLANK(Table26[[#This Row],[customerSKU]]),"",_xlfn.XLOOKUP(Table26[[#This Row],[customerSKU]],Table27[customer_SKU],Table27[case_size],"",0,1))</f>
        <v/>
      </c>
      <c r="W1375" s="117" t="str">
        <f t="shared" si="59"/>
        <v/>
      </c>
      <c r="X1375" s="22" t="str">
        <f t="shared" si="60"/>
        <v/>
      </c>
      <c r="Y1375" s="25" t="str">
        <f>IF(Table26[[#This Row],[customerSKU]]="","",_xlfn.XLOOKUP(Table26[[#This Row],[customerSKU]],Table27[customer_SKU],Table27[product_GTIN],"",0,1))</f>
        <v/>
      </c>
      <c r="Z1375" s="25" t="s">
        <v>3377</v>
      </c>
      <c r="AA1375" s="18" t="str" cm="1">
        <f t="array" ref="AA1375">IF(P1375="", "", _xlfn.XLOOKUP(P1375,#REF!,#REF!,NA,0,-1))</f>
        <v/>
      </c>
      <c r="AB1375" s="22"/>
      <c r="AC1375" s="55" t="s">
        <v>100</v>
      </c>
      <c r="AD1375" s="55" t="str">
        <f>IF($AC1375="","",_xlfn.XLOOKUP($AC1375,'[2]Client Info'!$C$2:$C$2535,'[2]Client Info'!$D$2:$D$2535,"",0,1))</f>
        <v>115 1st St. E</v>
      </c>
      <c r="AE1375" s="55" t="str">
        <f>IF($AC1375="","",_xlfn.XLOOKUP($AC1375,'[2]Client Info'!$C$2:$C$2715,'[2]Client Info'!$E$2:$E$2715,"",))</f>
        <v>North Vancouver</v>
      </c>
      <c r="AF1375" s="55" t="str">
        <f>IF($AC1375="","",_xlfn.XLOOKUP($AC1375,'[2]Client Info'!$C$2:$C$2715,'[2]Client Info'!$F$2:$F$2715,"",0,1))</f>
        <v xml:space="preserve">BC </v>
      </c>
      <c r="AG1375" s="55" t="s">
        <v>100</v>
      </c>
      <c r="AH1375" s="224" t="str">
        <f>_xlfn.XLOOKUP(Table26[[#This Row],[customerSKU]],customerSKU!G:G,customerSKU!K:K,"NA",0,1)</f>
        <v>NA</v>
      </c>
      <c r="AI1375" s="225" t="str">
        <f>_xlfn.XLOOKUP(Table26[[#This Row],[customerSKU]],customerSKU!G:G,customerSKU!O:O,"not found",0,1)</f>
        <v>not found</v>
      </c>
      <c r="AJ1375" s="226" t="e">
        <f>Table26[[#This Row],[unitprice]]*Table26[[#This Row],[quantity_unit]]</f>
        <v>#VALUE!</v>
      </c>
      <c r="AK1375" s="227" t="e" cm="1">
        <f t="array" ref="AK13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6" spans="1:37" ht="18" customHeight="1">
      <c r="A1376" s="42">
        <v>868</v>
      </c>
      <c r="B1376" s="42" t="s">
        <v>3357</v>
      </c>
      <c r="C1376" s="53" t="s">
        <v>203</v>
      </c>
      <c r="E1376" s="20"/>
      <c r="F13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6" s="93"/>
      <c r="I1376" s="19">
        <v>45750</v>
      </c>
      <c r="J1376" s="90" t="str">
        <f>IF(Table26[[#This Row],[customerSKU]]="","",_xlfn.XLOOKUP(Table26[[#This Row],[customerSKU]],customerSKU!G:G,customerSKU!A:A,"",0,1))</f>
        <v/>
      </c>
      <c r="K1376" s="232">
        <v>45751</v>
      </c>
      <c r="L1376" s="49" t="str">
        <f>IF(Table26[[#This Row],[customerSKU]]="","",_xlfn.XLOOKUP(Table26[[#This Row],[customerSKU]],customerSKU!G:G,customerSKU!B:B,"",0,1))</f>
        <v/>
      </c>
      <c r="M1376" s="22"/>
      <c r="N1376" s="15" t="str">
        <f>Table26[[#This Row],[po_number]]&amp;"-"&amp;Table26[[#This Row],[po_line]]</f>
        <v>-1</v>
      </c>
      <c r="O1376" s="15">
        <v>1</v>
      </c>
      <c r="P1376" s="50"/>
      <c r="Q1376" s="22" t="s">
        <v>828</v>
      </c>
      <c r="R1376" s="22" t="s">
        <v>569</v>
      </c>
      <c r="S1376" s="90" t="str">
        <f>IF(Table26[[#This Row],[customerSKU]]="","",_xlfn.XLOOKUP(Table26[[#This Row],[customerSKU]],customerSKU!G:G,customerSKU!N:N,"NOT FOUND",0,1))</f>
        <v>NOT FOUND</v>
      </c>
      <c r="T1376" s="20">
        <v>45735</v>
      </c>
      <c r="U1376" s="94">
        <v>12</v>
      </c>
      <c r="V1376" s="22" t="str">
        <f>IF(ISBLANK(Table26[[#This Row],[customerSKU]]),"",_xlfn.XLOOKUP(Table26[[#This Row],[customerSKU]],Table27[customer_SKU],Table27[case_size],"",0,1))</f>
        <v/>
      </c>
      <c r="W1376" s="117" t="str">
        <f t="shared" si="59"/>
        <v/>
      </c>
      <c r="X1376" s="22" t="str">
        <f t="shared" si="60"/>
        <v/>
      </c>
      <c r="Y1376" s="25" t="str">
        <f>IF(Table26[[#This Row],[customerSKU]]="","",_xlfn.XLOOKUP(Table26[[#This Row],[customerSKU]],Table27[customer_SKU],Table27[product_GTIN],"",0,1))</f>
        <v/>
      </c>
      <c r="Z1376" s="25" t="s">
        <v>3364</v>
      </c>
      <c r="AA1376" s="18" t="str" cm="1">
        <f t="array" ref="AA1376">IF(P1376="", "", _xlfn.XLOOKUP(P1376,#REF!,#REF!,NA,0,-1))</f>
        <v/>
      </c>
      <c r="AB1376" s="22"/>
      <c r="AC1376" s="55" t="s">
        <v>90</v>
      </c>
      <c r="AD1376" s="55" t="str">
        <f>IF($AC1376="","",_xlfn.XLOOKUP($AC1376,'[2]Client Info'!$C$2:$C$2535,'[2]Client Info'!$D$2:$D$2535,"",0,1))</f>
        <v>5 - 3227 264th Street</v>
      </c>
      <c r="AE1376" s="55" t="str">
        <f>IF($AC1376="","",_xlfn.XLOOKUP($AC1376,'[2]Client Info'!$C$2:$C$2715,'[2]Client Info'!$E$2:$E$2715,"",))</f>
        <v>Aldergrove</v>
      </c>
      <c r="AF1376" s="55" t="str">
        <f>IF($AC1376="","",_xlfn.XLOOKUP($AC1376,'[2]Client Info'!$C$2:$C$2715,'[2]Client Info'!$F$2:$F$2715,"",0,1))</f>
        <v xml:space="preserve">BC </v>
      </c>
      <c r="AG1376" s="55" t="s">
        <v>90</v>
      </c>
      <c r="AH1376" s="224" t="str">
        <f>_xlfn.XLOOKUP(Table26[[#This Row],[customerSKU]],customerSKU!G:G,customerSKU!K:K,"NA",0,1)</f>
        <v>NA</v>
      </c>
      <c r="AI1376" s="225" t="str">
        <f>_xlfn.XLOOKUP(Table26[[#This Row],[customerSKU]],customerSKU!G:G,customerSKU!O:O,"not found",0,1)</f>
        <v>not found</v>
      </c>
      <c r="AJ1376" s="226" t="e">
        <f>Table26[[#This Row],[unitprice]]*Table26[[#This Row],[quantity_unit]]</f>
        <v>#VALUE!</v>
      </c>
      <c r="AK1376" s="227" t="e" cm="1">
        <f t="array" ref="AK13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7" spans="1:37" ht="18" customHeight="1">
      <c r="A1377" s="42">
        <v>869</v>
      </c>
      <c r="B1377" s="42" t="s">
        <v>3357</v>
      </c>
      <c r="C1377" s="53" t="s">
        <v>203</v>
      </c>
      <c r="E1377" s="20"/>
      <c r="F13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7" s="93"/>
      <c r="I1377" s="19">
        <v>45750</v>
      </c>
      <c r="J1377" s="90" t="str">
        <f>IF(Table26[[#This Row],[customerSKU]]="","",_xlfn.XLOOKUP(Table26[[#This Row],[customerSKU]],customerSKU!G:G,customerSKU!A:A,"",0,1))</f>
        <v/>
      </c>
      <c r="K1377" s="232">
        <v>45751</v>
      </c>
      <c r="L1377" s="49" t="str">
        <f>IF(Table26[[#This Row],[customerSKU]]="","",_xlfn.XLOOKUP(Table26[[#This Row],[customerSKU]],customerSKU!G:G,customerSKU!B:B,"",0,1))</f>
        <v/>
      </c>
      <c r="M1377" s="22"/>
      <c r="N1377" s="15" t="str">
        <f>Table26[[#This Row],[po_number]]&amp;"-"&amp;Table26[[#This Row],[po_line]]</f>
        <v>-2</v>
      </c>
      <c r="O1377" s="15">
        <v>2</v>
      </c>
      <c r="P1377" s="50"/>
      <c r="Q1377" s="22" t="s">
        <v>565</v>
      </c>
      <c r="R1377" s="22" t="s">
        <v>569</v>
      </c>
      <c r="S1377" s="90" t="str">
        <f>IF(Table26[[#This Row],[customerSKU]]="","",_xlfn.XLOOKUP(Table26[[#This Row],[customerSKU]],customerSKU!G:G,customerSKU!N:N,"NOT FOUND",0,1))</f>
        <v>NOT FOUND</v>
      </c>
      <c r="T1377" s="20">
        <v>45742</v>
      </c>
      <c r="U1377" s="94">
        <v>12</v>
      </c>
      <c r="V1377" s="22" t="str">
        <f>IF(ISBLANK(Table26[[#This Row],[customerSKU]]),"",_xlfn.XLOOKUP(Table26[[#This Row],[customerSKU]],Table27[customer_SKU],Table27[case_size],"",0,1))</f>
        <v/>
      </c>
      <c r="W1377" s="117" t="str">
        <f t="shared" si="59"/>
        <v/>
      </c>
      <c r="X1377" s="22" t="str">
        <f t="shared" si="60"/>
        <v/>
      </c>
      <c r="Y1377" s="25" t="str">
        <f>IF(Table26[[#This Row],[customerSKU]]="","",_xlfn.XLOOKUP(Table26[[#This Row],[customerSKU]],Table27[customer_SKU],Table27[product_GTIN],"",0,1))</f>
        <v/>
      </c>
      <c r="Z1377" s="25" t="s">
        <v>3373</v>
      </c>
      <c r="AA1377" s="18" t="str" cm="1">
        <f t="array" ref="AA1377">IF(P1377="", "", _xlfn.XLOOKUP(P1377,#REF!,#REF!,NA,0,-1))</f>
        <v/>
      </c>
      <c r="AB1377" s="22"/>
      <c r="AC1377" s="55" t="s">
        <v>90</v>
      </c>
      <c r="AD1377" s="55" t="str">
        <f>IF($AC1377="","",_xlfn.XLOOKUP($AC1377,'[2]Client Info'!$C$2:$C$2535,'[2]Client Info'!$D$2:$D$2535,"",0,1))</f>
        <v>5 - 3227 264th Street</v>
      </c>
      <c r="AE1377" s="55" t="str">
        <f>IF($AC1377="","",_xlfn.XLOOKUP($AC1377,'[2]Client Info'!$C$2:$C$2715,'[2]Client Info'!$E$2:$E$2715,"",))</f>
        <v>Aldergrove</v>
      </c>
      <c r="AF1377" s="55" t="str">
        <f>IF($AC1377="","",_xlfn.XLOOKUP($AC1377,'[2]Client Info'!$C$2:$C$2715,'[2]Client Info'!$F$2:$F$2715,"",0,1))</f>
        <v xml:space="preserve">BC </v>
      </c>
      <c r="AG1377" s="55" t="s">
        <v>90</v>
      </c>
      <c r="AH1377" s="224" t="str">
        <f>_xlfn.XLOOKUP(Table26[[#This Row],[customerSKU]],customerSKU!G:G,customerSKU!K:K,"NA",0,1)</f>
        <v>NA</v>
      </c>
      <c r="AI1377" s="225" t="str">
        <f>_xlfn.XLOOKUP(Table26[[#This Row],[customerSKU]],customerSKU!G:G,customerSKU!O:O,"not found",0,1)</f>
        <v>not found</v>
      </c>
      <c r="AJ1377" s="226" t="e">
        <f>Table26[[#This Row],[unitprice]]*Table26[[#This Row],[quantity_unit]]</f>
        <v>#VALUE!</v>
      </c>
      <c r="AK1377" s="227" t="e" cm="1">
        <f t="array" ref="AK13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8" spans="1:37" ht="18" customHeight="1">
      <c r="A1378" s="42">
        <v>870</v>
      </c>
      <c r="B1378" s="42" t="s">
        <v>3357</v>
      </c>
      <c r="C1378" s="53" t="s">
        <v>203</v>
      </c>
      <c r="E1378" s="20"/>
      <c r="F13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8" s="93"/>
      <c r="I1378" s="19">
        <v>45750</v>
      </c>
      <c r="J1378" s="90" t="str">
        <f>IF(Table26[[#This Row],[customerSKU]]="","",_xlfn.XLOOKUP(Table26[[#This Row],[customerSKU]],customerSKU!G:G,customerSKU!A:A,"",0,1))</f>
        <v/>
      </c>
      <c r="K1378" s="232">
        <v>45751</v>
      </c>
      <c r="L1378" s="49" t="str">
        <f>IF(Table26[[#This Row],[customerSKU]]="","",_xlfn.XLOOKUP(Table26[[#This Row],[customerSKU]],customerSKU!G:G,customerSKU!B:B,"",0,1))</f>
        <v/>
      </c>
      <c r="M1378" s="22"/>
      <c r="N1378" s="15" t="str">
        <f>Table26[[#This Row],[po_number]]&amp;"-"&amp;Table26[[#This Row],[po_line]]</f>
        <v>-3</v>
      </c>
      <c r="O1378" s="15">
        <v>3</v>
      </c>
      <c r="P1378" s="50"/>
      <c r="Q1378" s="22" t="s">
        <v>589</v>
      </c>
      <c r="R1378" s="22" t="s">
        <v>569</v>
      </c>
      <c r="S1378" s="90" t="str">
        <f>IF(Table26[[#This Row],[customerSKU]]="","",_xlfn.XLOOKUP(Table26[[#This Row],[customerSKU]],customerSKU!G:G,customerSKU!N:N,"NOT FOUND",0,1))</f>
        <v>NOT FOUND</v>
      </c>
      <c r="T1378" s="20">
        <v>45615</v>
      </c>
      <c r="U1378" s="94">
        <v>12</v>
      </c>
      <c r="V1378" s="22" t="str">
        <f>IF(ISBLANK(Table26[[#This Row],[customerSKU]]),"",_xlfn.XLOOKUP(Table26[[#This Row],[customerSKU]],Table27[customer_SKU],Table27[case_size],"",0,1))</f>
        <v/>
      </c>
      <c r="W1378" s="117" t="str">
        <f t="shared" si="59"/>
        <v/>
      </c>
      <c r="X1378" s="22" t="str">
        <f t="shared" si="60"/>
        <v/>
      </c>
      <c r="Y1378" s="25" t="str">
        <f>IF(Table26[[#This Row],[customerSKU]]="","",_xlfn.XLOOKUP(Table26[[#This Row],[customerSKU]],Table27[customer_SKU],Table27[product_GTIN],"",0,1))</f>
        <v/>
      </c>
      <c r="Z1378" s="25" t="s">
        <v>3432</v>
      </c>
      <c r="AA1378" s="18" t="str" cm="1">
        <f t="array" ref="AA1378">IF(P1378="", "", _xlfn.XLOOKUP(P1378,#REF!,#REF!,NA,0,-1))</f>
        <v/>
      </c>
      <c r="AB1378" s="22"/>
      <c r="AC1378" s="55" t="s">
        <v>90</v>
      </c>
      <c r="AD1378" s="55" t="str">
        <f>IF($AC1378="","",_xlfn.XLOOKUP($AC1378,'[2]Client Info'!$C$2:$C$2535,'[2]Client Info'!$D$2:$D$2535,"",0,1))</f>
        <v>5 - 3227 264th Street</v>
      </c>
      <c r="AE1378" s="55" t="str">
        <f>IF($AC1378="","",_xlfn.XLOOKUP($AC1378,'[2]Client Info'!$C$2:$C$2715,'[2]Client Info'!$E$2:$E$2715,"",))</f>
        <v>Aldergrove</v>
      </c>
      <c r="AF1378" s="55" t="str">
        <f>IF($AC1378="","",_xlfn.XLOOKUP($AC1378,'[2]Client Info'!$C$2:$C$2715,'[2]Client Info'!$F$2:$F$2715,"",0,1))</f>
        <v xml:space="preserve">BC </v>
      </c>
      <c r="AG1378" s="55" t="s">
        <v>90</v>
      </c>
      <c r="AH1378" s="224" t="str">
        <f>_xlfn.XLOOKUP(Table26[[#This Row],[customerSKU]],customerSKU!G:G,customerSKU!K:K,"NA",0,1)</f>
        <v>NA</v>
      </c>
      <c r="AI1378" s="225" t="str">
        <f>_xlfn.XLOOKUP(Table26[[#This Row],[customerSKU]],customerSKU!G:G,customerSKU!O:O,"not found",0,1)</f>
        <v>not found</v>
      </c>
      <c r="AJ1378" s="226" t="e">
        <f>Table26[[#This Row],[unitprice]]*Table26[[#This Row],[quantity_unit]]</f>
        <v>#VALUE!</v>
      </c>
      <c r="AK1378" s="227" t="e" cm="1">
        <f t="array" ref="AK13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79" spans="1:37" ht="18" customHeight="1">
      <c r="A1379" s="42">
        <v>871</v>
      </c>
      <c r="B1379" s="42" t="s">
        <v>3357</v>
      </c>
      <c r="C1379" s="53" t="s">
        <v>203</v>
      </c>
      <c r="E1379" s="20"/>
      <c r="F13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79" s="93"/>
      <c r="I1379" s="19">
        <v>45750</v>
      </c>
      <c r="J1379" s="90" t="str">
        <f>IF(Table26[[#This Row],[customerSKU]]="","",_xlfn.XLOOKUP(Table26[[#This Row],[customerSKU]],customerSKU!G:G,customerSKU!A:A,"",0,1))</f>
        <v/>
      </c>
      <c r="K1379" s="232">
        <v>45751</v>
      </c>
      <c r="L1379" s="49" t="str">
        <f>IF(Table26[[#This Row],[customerSKU]]="","",_xlfn.XLOOKUP(Table26[[#This Row],[customerSKU]],customerSKU!G:G,customerSKU!B:B,"",0,1))</f>
        <v/>
      </c>
      <c r="M1379" s="22"/>
      <c r="N1379" s="15" t="str">
        <f>Table26[[#This Row],[po_number]]&amp;"-"&amp;Table26[[#This Row],[po_line]]</f>
        <v>-4</v>
      </c>
      <c r="O1379" s="15">
        <v>4</v>
      </c>
      <c r="P1379" s="50"/>
      <c r="Q1379" s="22" t="s">
        <v>1637</v>
      </c>
      <c r="R1379" s="22" t="s">
        <v>569</v>
      </c>
      <c r="S1379" s="90" t="str">
        <f>IF(Table26[[#This Row],[customerSKU]]="","",_xlfn.XLOOKUP(Table26[[#This Row],[customerSKU]],customerSKU!G:G,customerSKU!N:N,"NOT FOUND",0,1))</f>
        <v>NOT FOUND</v>
      </c>
      <c r="T1379" s="20">
        <v>45749</v>
      </c>
      <c r="U1379" s="94">
        <v>12</v>
      </c>
      <c r="V1379" s="22" t="str">
        <f>IF(ISBLANK(Table26[[#This Row],[customerSKU]]),"",_xlfn.XLOOKUP(Table26[[#This Row],[customerSKU]],Table27[customer_SKU],Table27[case_size],"",0,1))</f>
        <v/>
      </c>
      <c r="W1379" s="117" t="str">
        <f t="shared" si="59"/>
        <v/>
      </c>
      <c r="X1379" s="22" t="str">
        <f t="shared" si="60"/>
        <v/>
      </c>
      <c r="Y1379" s="25" t="str">
        <f>IF(Table26[[#This Row],[customerSKU]]="","",_xlfn.XLOOKUP(Table26[[#This Row],[customerSKU]],Table27[customer_SKU],Table27[product_GTIN],"",0,1))</f>
        <v/>
      </c>
      <c r="Z1379" s="25" t="s">
        <v>3366</v>
      </c>
      <c r="AA1379" s="18" t="str" cm="1">
        <f t="array" ref="AA1379">IF(P1379="", "", _xlfn.XLOOKUP(P1379,#REF!,#REF!,NA,0,-1))</f>
        <v/>
      </c>
      <c r="AB1379" s="22"/>
      <c r="AC1379" s="55" t="s">
        <v>90</v>
      </c>
      <c r="AD1379" s="55" t="str">
        <f>IF($AC1379="","",_xlfn.XLOOKUP($AC1379,'[2]Client Info'!$C$2:$C$2535,'[2]Client Info'!$D$2:$D$2535,"",0,1))</f>
        <v>5 - 3227 264th Street</v>
      </c>
      <c r="AE1379" s="55" t="str">
        <f>IF($AC1379="","",_xlfn.XLOOKUP($AC1379,'[2]Client Info'!$C$2:$C$2715,'[2]Client Info'!$E$2:$E$2715,"",))</f>
        <v>Aldergrove</v>
      </c>
      <c r="AF1379" s="55" t="str">
        <f>IF($AC1379="","",_xlfn.XLOOKUP($AC1379,'[2]Client Info'!$C$2:$C$2715,'[2]Client Info'!$F$2:$F$2715,"",0,1))</f>
        <v xml:space="preserve">BC </v>
      </c>
      <c r="AG1379" s="55" t="s">
        <v>90</v>
      </c>
      <c r="AH1379" s="224" t="str">
        <f>_xlfn.XLOOKUP(Table26[[#This Row],[customerSKU]],customerSKU!G:G,customerSKU!K:K,"NA",0,1)</f>
        <v>NA</v>
      </c>
      <c r="AI1379" s="225" t="str">
        <f>_xlfn.XLOOKUP(Table26[[#This Row],[customerSKU]],customerSKU!G:G,customerSKU!O:O,"not found",0,1)</f>
        <v>not found</v>
      </c>
      <c r="AJ1379" s="226" t="e">
        <f>Table26[[#This Row],[unitprice]]*Table26[[#This Row],[quantity_unit]]</f>
        <v>#VALUE!</v>
      </c>
      <c r="AK1379" s="227" t="e" cm="1">
        <f t="array" ref="AK13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80" spans="1:37" ht="24.6" customHeight="1">
      <c r="A1380" s="42">
        <v>872</v>
      </c>
      <c r="B1380" s="42" t="s">
        <v>3357</v>
      </c>
      <c r="C1380" s="53" t="s">
        <v>203</v>
      </c>
      <c r="E1380" s="20"/>
      <c r="F13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0" s="93"/>
      <c r="I1380" s="19">
        <v>45750</v>
      </c>
      <c r="J1380" s="90" t="str">
        <f>IF(Table26[[#This Row],[customerSKU]]="","",_xlfn.XLOOKUP(Table26[[#This Row],[customerSKU]],customerSKU!G:G,customerSKU!A:A,"",0,1))</f>
        <v/>
      </c>
      <c r="K1380" s="232">
        <v>45751</v>
      </c>
      <c r="L1380" s="49" t="str">
        <f>IF(Table26[[#This Row],[customerSKU]]="","",_xlfn.XLOOKUP(Table26[[#This Row],[customerSKU]],customerSKU!G:G,customerSKU!B:B,"",0,1))</f>
        <v/>
      </c>
      <c r="M1380" s="22"/>
      <c r="N1380" s="15" t="str">
        <f>Table26[[#This Row],[po_number]]&amp;"-"&amp;Table26[[#This Row],[po_line]]</f>
        <v>-5</v>
      </c>
      <c r="O1380" s="15">
        <v>5</v>
      </c>
      <c r="P1380" s="50"/>
      <c r="Q1380" s="22" t="s">
        <v>535</v>
      </c>
      <c r="R1380" s="22" t="s">
        <v>569</v>
      </c>
      <c r="S1380" s="90" t="str">
        <f>IF(Table26[[#This Row],[customerSKU]]="","",_xlfn.XLOOKUP(Table26[[#This Row],[customerSKU]],customerSKU!G:G,customerSKU!N:N,"NOT FOUND",0,1))</f>
        <v>NOT FOUND</v>
      </c>
      <c r="T1380" s="20">
        <v>45630</v>
      </c>
      <c r="U1380" s="94">
        <v>12</v>
      </c>
      <c r="V1380" s="22" t="str">
        <f>IF(ISBLANK(Table26[[#This Row],[customerSKU]]),"",_xlfn.XLOOKUP(Table26[[#This Row],[customerSKU]],Table27[customer_SKU],Table27[case_size],"",0,1))</f>
        <v/>
      </c>
      <c r="W1380" s="117" t="str">
        <f t="shared" si="59"/>
        <v/>
      </c>
      <c r="X1380" s="22" t="str">
        <f t="shared" si="60"/>
        <v/>
      </c>
      <c r="Y1380" s="25" t="str">
        <f>IF(Table26[[#This Row],[customerSKU]]="","",_xlfn.XLOOKUP(Table26[[#This Row],[customerSKU]],Table27[customer_SKU],Table27[product_GTIN],"",0,1))</f>
        <v/>
      </c>
      <c r="Z1380" s="25" t="s">
        <v>3433</v>
      </c>
      <c r="AA1380" s="18" t="str" cm="1">
        <f t="array" ref="AA1380">IF(P1380="", "", _xlfn.XLOOKUP(P1380,#REF!,#REF!,NA,0,-1))</f>
        <v/>
      </c>
      <c r="AB1380" s="22"/>
      <c r="AC1380" s="55" t="s">
        <v>90</v>
      </c>
      <c r="AD1380" s="55" t="str">
        <f>IF($AC1380="","",_xlfn.XLOOKUP($AC1380,'[2]Client Info'!$C$2:$C$2535,'[2]Client Info'!$D$2:$D$2535,"",0,1))</f>
        <v>5 - 3227 264th Street</v>
      </c>
      <c r="AE1380" s="55" t="str">
        <f>IF($AC1380="","",_xlfn.XLOOKUP($AC1380,'[2]Client Info'!$C$2:$C$2715,'[2]Client Info'!$E$2:$E$2715,"",))</f>
        <v>Aldergrove</v>
      </c>
      <c r="AF1380" s="55" t="str">
        <f>IF($AC1380="","",_xlfn.XLOOKUP($AC1380,'[2]Client Info'!$C$2:$C$2715,'[2]Client Info'!$F$2:$F$2715,"",0,1))</f>
        <v xml:space="preserve">BC </v>
      </c>
      <c r="AG1380" s="55" t="s">
        <v>90</v>
      </c>
      <c r="AH1380" s="224" t="str">
        <f>_xlfn.XLOOKUP(Table26[[#This Row],[customerSKU]],customerSKU!G:G,customerSKU!K:K,"NA",0,1)</f>
        <v>NA</v>
      </c>
      <c r="AI1380" s="225" t="str">
        <f>_xlfn.XLOOKUP(Table26[[#This Row],[customerSKU]],customerSKU!G:G,customerSKU!O:O,"not found",0,1)</f>
        <v>not found</v>
      </c>
      <c r="AJ1380" s="226" t="e">
        <f>Table26[[#This Row],[unitprice]]*Table26[[#This Row],[quantity_unit]]</f>
        <v>#VALUE!</v>
      </c>
      <c r="AK1380" s="227" t="e" cm="1">
        <f t="array" ref="AK13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81" spans="1:37" ht="24.6" customHeight="1">
      <c r="A1381" s="42">
        <v>873</v>
      </c>
      <c r="B1381" s="42" t="s">
        <v>3357</v>
      </c>
      <c r="C1381" s="53" t="s">
        <v>203</v>
      </c>
      <c r="E1381" s="20"/>
      <c r="F13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1" s="93"/>
      <c r="I1381" s="19">
        <v>45750</v>
      </c>
      <c r="J1381" s="90" t="str">
        <f>IF(Table26[[#This Row],[customerSKU]]="","",_xlfn.XLOOKUP(Table26[[#This Row],[customerSKU]],customerSKU!G:G,customerSKU!A:A,"",0,1))</f>
        <v/>
      </c>
      <c r="K1381" s="232">
        <v>45751</v>
      </c>
      <c r="L1381" s="49" t="str">
        <f>IF(Table26[[#This Row],[customerSKU]]="","",_xlfn.XLOOKUP(Table26[[#This Row],[customerSKU]],customerSKU!G:G,customerSKU!B:B,"",0,1))</f>
        <v/>
      </c>
      <c r="M1381" s="22"/>
      <c r="N1381" s="15" t="str">
        <f>Table26[[#This Row],[po_number]]&amp;"-"&amp;Table26[[#This Row],[po_line]]</f>
        <v>-6</v>
      </c>
      <c r="O1381" s="15">
        <v>6</v>
      </c>
      <c r="P1381" s="50"/>
      <c r="Q1381" s="22" t="s">
        <v>622</v>
      </c>
      <c r="R1381" s="22" t="s">
        <v>569</v>
      </c>
      <c r="S1381" s="90" t="str">
        <f>IF(Table26[[#This Row],[customerSKU]]="","",_xlfn.XLOOKUP(Table26[[#This Row],[customerSKU]],customerSKU!G:G,customerSKU!N:N,"NOT FOUND",0,1))</f>
        <v>NOT FOUND</v>
      </c>
      <c r="T1381" s="20">
        <v>45603</v>
      </c>
      <c r="U1381" s="94">
        <v>12</v>
      </c>
      <c r="V1381" s="22" t="str">
        <f>IF(ISBLANK(Table26[[#This Row],[customerSKU]]),"",_xlfn.XLOOKUP(Table26[[#This Row],[customerSKU]],Table27[customer_SKU],Table27[case_size],"",0,1))</f>
        <v/>
      </c>
      <c r="W1381" s="117" t="str">
        <f t="shared" si="59"/>
        <v/>
      </c>
      <c r="X1381" s="22" t="str">
        <f t="shared" si="60"/>
        <v/>
      </c>
      <c r="Y1381" s="25" t="str">
        <f>IF(Table26[[#This Row],[customerSKU]]="","",_xlfn.XLOOKUP(Table26[[#This Row],[customerSKU]],Table27[customer_SKU],Table27[product_GTIN],"",0,1))</f>
        <v/>
      </c>
      <c r="Z1381" s="25" t="s">
        <v>3434</v>
      </c>
      <c r="AA1381" s="18" t="str" cm="1">
        <f t="array" ref="AA1381">IF(P1381="", "", _xlfn.XLOOKUP(P1381,#REF!,#REF!,NA,0,-1))</f>
        <v/>
      </c>
      <c r="AB1381" s="22"/>
      <c r="AC1381" s="55" t="s">
        <v>90</v>
      </c>
      <c r="AD1381" s="55" t="str">
        <f>IF($AC1381="","",_xlfn.XLOOKUP($AC1381,'[2]Client Info'!$C$2:$C$2535,'[2]Client Info'!$D$2:$D$2535,"",0,1))</f>
        <v>5 - 3227 264th Street</v>
      </c>
      <c r="AE1381" s="55" t="str">
        <f>IF($AC1381="","",_xlfn.XLOOKUP($AC1381,'[2]Client Info'!$C$2:$C$2715,'[2]Client Info'!$E$2:$E$2715,"",))</f>
        <v>Aldergrove</v>
      </c>
      <c r="AF1381" s="55" t="str">
        <f>IF($AC1381="","",_xlfn.XLOOKUP($AC1381,'[2]Client Info'!$C$2:$C$2715,'[2]Client Info'!$F$2:$F$2715,"",0,1))</f>
        <v xml:space="preserve">BC </v>
      </c>
      <c r="AG1381" s="55" t="s">
        <v>90</v>
      </c>
      <c r="AH1381" s="224" t="str">
        <f>_xlfn.XLOOKUP(Table26[[#This Row],[customerSKU]],customerSKU!G:G,customerSKU!K:K,"NA",0,1)</f>
        <v>NA</v>
      </c>
      <c r="AI1381" s="225" t="str">
        <f>_xlfn.XLOOKUP(Table26[[#This Row],[customerSKU]],customerSKU!G:G,customerSKU!O:O,"not found",0,1)</f>
        <v>not found</v>
      </c>
      <c r="AJ1381" s="226" t="e">
        <f>Table26[[#This Row],[unitprice]]*Table26[[#This Row],[quantity_unit]]</f>
        <v>#VALUE!</v>
      </c>
      <c r="AK1381" s="227" t="e" cm="1">
        <f t="array" ref="AK13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82" spans="1:37" ht="24.6" customHeight="1">
      <c r="A1382" s="42">
        <v>874</v>
      </c>
      <c r="B1382" s="42" t="s">
        <v>3357</v>
      </c>
      <c r="C1382" s="53" t="s">
        <v>203</v>
      </c>
      <c r="E1382" s="20"/>
      <c r="F13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2" s="93"/>
      <c r="I1382" s="19">
        <v>45750</v>
      </c>
      <c r="J1382" s="90" t="str">
        <f>IF(Table26[[#This Row],[customerSKU]]="","",_xlfn.XLOOKUP(Table26[[#This Row],[customerSKU]],customerSKU!G:G,customerSKU!A:A,"",0,1))</f>
        <v/>
      </c>
      <c r="K1382" s="232">
        <v>45751</v>
      </c>
      <c r="L1382" s="49" t="str">
        <f>IF(Table26[[#This Row],[customerSKU]]="","",_xlfn.XLOOKUP(Table26[[#This Row],[customerSKU]],customerSKU!G:G,customerSKU!B:B,"",0,1))</f>
        <v/>
      </c>
      <c r="M1382" s="22"/>
      <c r="N1382" s="15" t="str">
        <f>Table26[[#This Row],[po_number]]&amp;"-"&amp;Table26[[#This Row],[po_line]]</f>
        <v>-1</v>
      </c>
      <c r="O1382" s="15">
        <v>1</v>
      </c>
      <c r="P1382" s="50"/>
      <c r="Q1382" s="22" t="s">
        <v>3297</v>
      </c>
      <c r="R1382" s="22" t="s">
        <v>569</v>
      </c>
      <c r="S1382" s="90" t="str">
        <f>IF(Table26[[#This Row],[customerSKU]]="","",_xlfn.XLOOKUP(Table26[[#This Row],[customerSKU]],customerSKU!G:G,customerSKU!N:N,"NOT FOUND",0,1))</f>
        <v>NOT FOUND</v>
      </c>
      <c r="T1382" s="20">
        <v>45744</v>
      </c>
      <c r="U1382" s="94">
        <f>12*9</f>
        <v>108</v>
      </c>
      <c r="V1382" s="22" t="str">
        <f>IF(ISBLANK(Table26[[#This Row],[customerSKU]]),"",_xlfn.XLOOKUP(Table26[[#This Row],[customerSKU]],Table27[customer_SKU],Table27[case_size],"",0,1))</f>
        <v/>
      </c>
      <c r="W1382" s="117" t="str">
        <f t="shared" si="59"/>
        <v/>
      </c>
      <c r="X1382" s="22" t="str">
        <f t="shared" si="60"/>
        <v/>
      </c>
      <c r="Y1382" s="25" t="str">
        <f>IF(Table26[[#This Row],[customerSKU]]="","",_xlfn.XLOOKUP(Table26[[#This Row],[customerSKU]],Table27[customer_SKU],Table27[product_GTIN],"",0,1))</f>
        <v/>
      </c>
      <c r="Z1382" s="25" t="s">
        <v>3435</v>
      </c>
      <c r="AA1382" s="18" t="str" cm="1">
        <f t="array" ref="AA1382">IF(P1382="", "", _xlfn.XLOOKUP(P1382,#REF!,#REF!,NA,0,-1))</f>
        <v/>
      </c>
      <c r="AB1382" s="22"/>
      <c r="AC1382" s="55" t="str">
        <f>IF(Table26[[#This Row],[customerSKU]]="","",_xlfn.XLOOKUP(Table26[[#This Row],[customerSKU]],customerSKU!G:G,customerSKU!C:C,"",0,1))</f>
        <v/>
      </c>
      <c r="AD1382" s="55" t="str">
        <f>IF($AC1382="","",_xlfn.XLOOKUP($AC1382,'[2]Client Info'!$C$2:$C$2535,'[2]Client Info'!$D$2:$D$2535,"",0,1))</f>
        <v/>
      </c>
      <c r="AE1382" s="55" t="str">
        <f>IF($AC1382="","",_xlfn.XLOOKUP($AC1382,'[2]Client Info'!$C$2:$C$2715,'[2]Client Info'!$E$2:$E$2715,"",))</f>
        <v/>
      </c>
      <c r="AF1382" s="55" t="str">
        <f>IF($AC1382="","",_xlfn.XLOOKUP($AC1382,'[2]Client Info'!$C$2:$C$2715,'[2]Client Info'!$F$2:$F$2715,"",0,1))</f>
        <v/>
      </c>
      <c r="AG1382" s="55" t="str">
        <f>IF(ISBLANK(Table26[[#This Row],[customerSKU]]),"",_xlfn.XLOOKUP(Table26[[#This Row],[customerSKU]],Table27[customer_SKU],Table27[billto],"",0,1))</f>
        <v/>
      </c>
      <c r="AH1382" s="224" t="str">
        <f>_xlfn.XLOOKUP(Table26[[#This Row],[customerSKU]],customerSKU!G:G,customerSKU!K:K,"NA",0,1)</f>
        <v>NA</v>
      </c>
      <c r="AI1382" s="225" t="str">
        <f>_xlfn.XLOOKUP(Table26[[#This Row],[customerSKU]],customerSKU!G:G,customerSKU!O:O,"not found",0,1)</f>
        <v>not found</v>
      </c>
      <c r="AJ1382" s="226" t="e">
        <f>Table26[[#This Row],[unitprice]]*Table26[[#This Row],[quantity_unit]]</f>
        <v>#VALUE!</v>
      </c>
      <c r="AK1382" s="227" t="e" cm="1">
        <f t="array" ref="AK13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83" spans="1:37" ht="24.6" customHeight="1">
      <c r="A1383" s="42">
        <v>875</v>
      </c>
      <c r="B1383" s="42" t="s">
        <v>3357</v>
      </c>
      <c r="C1383" s="53" t="s">
        <v>203</v>
      </c>
      <c r="E1383" s="20"/>
      <c r="F13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3" s="93"/>
      <c r="I1383" s="19">
        <v>45750</v>
      </c>
      <c r="J1383" s="90" t="str">
        <f>IF(Table26[[#This Row],[customerSKU]]="","",_xlfn.XLOOKUP(Table26[[#This Row],[customerSKU]],customerSKU!G:G,customerSKU!A:A,"",0,1))</f>
        <v/>
      </c>
      <c r="K1383" s="232">
        <v>45751</v>
      </c>
      <c r="L1383" s="49" t="str">
        <f>IF(Table26[[#This Row],[customerSKU]]="","",_xlfn.XLOOKUP(Table26[[#This Row],[customerSKU]],customerSKU!G:G,customerSKU!B:B,"",0,1))</f>
        <v/>
      </c>
      <c r="M1383" s="22"/>
      <c r="N1383" s="15" t="str">
        <f>Table26[[#This Row],[po_number]]&amp;"-"&amp;Table26[[#This Row],[po_line]]</f>
        <v>-2</v>
      </c>
      <c r="O1383" s="15">
        <v>2</v>
      </c>
      <c r="P1383" s="50"/>
      <c r="Q1383" s="22" t="s">
        <v>3309</v>
      </c>
      <c r="R1383" s="22" t="s">
        <v>569</v>
      </c>
      <c r="S1383" s="90" t="str">
        <f>IF(Table26[[#This Row],[customerSKU]]="","",_xlfn.XLOOKUP(Table26[[#This Row],[customerSKU]],customerSKU!G:G,customerSKU!N:N,"NOT FOUND",0,1))</f>
        <v>NOT FOUND</v>
      </c>
      <c r="T1383" s="20">
        <v>45744</v>
      </c>
      <c r="U1383" s="94">
        <f>12*13</f>
        <v>156</v>
      </c>
      <c r="V1383" s="22" t="str">
        <f>IF(ISBLANK(Table26[[#This Row],[customerSKU]]),"",_xlfn.XLOOKUP(Table26[[#This Row],[customerSKU]],Table27[customer_SKU],Table27[case_size],"",0,1))</f>
        <v/>
      </c>
      <c r="W1383" s="117" t="str">
        <f t="shared" si="59"/>
        <v/>
      </c>
      <c r="X1383" s="22" t="str">
        <f t="shared" si="60"/>
        <v/>
      </c>
      <c r="Y1383" s="25" t="str">
        <f>IF(Table26[[#This Row],[customerSKU]]="","",_xlfn.XLOOKUP(Table26[[#This Row],[customerSKU]],Table27[customer_SKU],Table27[product_GTIN],"",0,1))</f>
        <v/>
      </c>
      <c r="Z1383" s="25">
        <v>1068059</v>
      </c>
      <c r="AA1383" s="18" t="str" cm="1">
        <f t="array" ref="AA1383">IF(P1383="", "", _xlfn.XLOOKUP(P1383,#REF!,#REF!,NA,0,-1))</f>
        <v/>
      </c>
      <c r="AB1383" s="22"/>
      <c r="AC1383" s="55" t="str">
        <f>IF(Table26[[#This Row],[customerSKU]]="","",_xlfn.XLOOKUP(Table26[[#This Row],[customerSKU]],customerSKU!G:G,customerSKU!C:C,"",0,1))</f>
        <v/>
      </c>
      <c r="AD1383" s="55" t="str">
        <f>IF($AC1383="","",_xlfn.XLOOKUP($AC1383,'[2]Client Info'!$C$2:$C$2535,'[2]Client Info'!$D$2:$D$2535,"",0,1))</f>
        <v/>
      </c>
      <c r="AE1383" s="55" t="str">
        <f>IF($AC1383="","",_xlfn.XLOOKUP($AC1383,'[2]Client Info'!$C$2:$C$2715,'[2]Client Info'!$E$2:$E$2715,"",))</f>
        <v/>
      </c>
      <c r="AF1383" s="55" t="str">
        <f>IF($AC1383="","",_xlfn.XLOOKUP($AC1383,'[2]Client Info'!$C$2:$C$2715,'[2]Client Info'!$F$2:$F$2715,"",0,1))</f>
        <v/>
      </c>
      <c r="AG1383" s="55" t="str">
        <f>IF(ISBLANK(Table26[[#This Row],[customerSKU]]),"",_xlfn.XLOOKUP(Table26[[#This Row],[customerSKU]],Table27[customer_SKU],Table27[billto],"",0,1))</f>
        <v/>
      </c>
      <c r="AH1383" s="224" t="str">
        <f>_xlfn.XLOOKUP(Table26[[#This Row],[customerSKU]],customerSKU!G:G,customerSKU!K:K,"NA",0,1)</f>
        <v>NA</v>
      </c>
      <c r="AI1383" s="225" t="str">
        <f>_xlfn.XLOOKUP(Table26[[#This Row],[customerSKU]],customerSKU!G:G,customerSKU!O:O,"not found",0,1)</f>
        <v>not found</v>
      </c>
      <c r="AJ1383" s="226" t="e">
        <f>Table26[[#This Row],[unitprice]]*Table26[[#This Row],[quantity_unit]]</f>
        <v>#VALUE!</v>
      </c>
      <c r="AK1383" s="227" t="e" cm="1">
        <f t="array" ref="AK13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384" spans="1:37" ht="24.6" customHeight="1">
      <c r="A1384" s="42">
        <v>864</v>
      </c>
      <c r="B1384" s="42" t="s">
        <v>3357</v>
      </c>
      <c r="C1384" s="53" t="s">
        <v>203</v>
      </c>
      <c r="E1384" s="20"/>
      <c r="F13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4" s="93"/>
      <c r="I1384" s="19">
        <v>45743</v>
      </c>
      <c r="J1384" s="90" t="str">
        <f>IF(Table26[[#This Row],[customerSKU]]="","",_xlfn.XLOOKUP(Table26[[#This Row],[customerSKU]],customerSKU!G:G,customerSKU!A:A,"",0,1))</f>
        <v/>
      </c>
      <c r="K1384" s="232">
        <v>45754</v>
      </c>
      <c r="L1384" s="49" t="str">
        <f>IF(Table26[[#This Row],[customerSKU]]="","",_xlfn.XLOOKUP(Table26[[#This Row],[customerSKU]],customerSKU!G:G,customerSKU!B:B,"",0,1))</f>
        <v/>
      </c>
      <c r="M1384" s="262"/>
      <c r="N1384" s="366" t="str">
        <f>Table26[[#This Row],[po_number]]&amp;"-"&amp;Table26[[#This Row],[po_line]]</f>
        <v>-1</v>
      </c>
      <c r="O1384" s="366">
        <v>1</v>
      </c>
      <c r="P1384" s="50"/>
      <c r="Q1384" s="22" t="s">
        <v>3410</v>
      </c>
      <c r="R1384" s="22" t="s">
        <v>569</v>
      </c>
      <c r="S1384" s="90" t="str">
        <f>IF(Table26[[#This Row],[customerSKU]]="","",_xlfn.XLOOKUP(Table26[[#This Row],[customerSKU]],customerSKU!G:G,customerSKU!N:N,"NOT FOUND",0,1))</f>
        <v>NOT FOUND</v>
      </c>
      <c r="T1384" s="20">
        <v>45744</v>
      </c>
      <c r="U1384" s="94">
        <f>47*12</f>
        <v>564</v>
      </c>
      <c r="V1384" s="22" t="str">
        <f>IF(ISBLANK(Table26[[#This Row],[customerSKU]]),"",_xlfn.XLOOKUP(Table26[[#This Row],[customerSKU]],Table27[customer_SKU],Table27[case_size],"",0,1))</f>
        <v/>
      </c>
      <c r="W1384" s="117" t="str">
        <f t="shared" si="59"/>
        <v/>
      </c>
      <c r="X1384" s="22" t="str">
        <f t="shared" si="60"/>
        <v/>
      </c>
      <c r="Y1384" s="25" t="str">
        <f>IF(Table26[[#This Row],[customerSKU]]="","",_xlfn.XLOOKUP(Table26[[#This Row],[customerSKU]],Table27[customer_SKU],Table27[product_GTIN],"",0,1))</f>
        <v/>
      </c>
      <c r="Z1384" s="25" t="s">
        <v>3411</v>
      </c>
      <c r="AA1384" s="18" t="str" cm="1">
        <f t="array" ref="AA1384">IF(P1384="", "", _xlfn.XLOOKUP(P1384,#REF!,#REF!,NA,0,-1))</f>
        <v/>
      </c>
      <c r="AB1384" s="22"/>
      <c r="AC1384" s="55" t="str">
        <f>IF(Table26[[#This Row],[customerSKU]]="","",_xlfn.XLOOKUP(Table26[[#This Row],[customerSKU]],customerSKU!G:G,customerSKU!C:C,"",0,1))</f>
        <v/>
      </c>
      <c r="AD1384" s="55" t="str">
        <f>IF($AC1384="","",_xlfn.XLOOKUP($AC1384,'[2]Client Info'!$C$2:$C$2535,'[2]Client Info'!$D$2:$D$2535,"",0,1))</f>
        <v/>
      </c>
      <c r="AE1384" s="55" t="str">
        <f>IF($AC1384="","",_xlfn.XLOOKUP($AC1384,'[2]Client Info'!$C$2:$C$2715,'[2]Client Info'!$E$2:$E$2715,"",))</f>
        <v/>
      </c>
      <c r="AF1384" s="55" t="str">
        <f>IF($AC1384="","",_xlfn.XLOOKUP($AC1384,'[2]Client Info'!$C$2:$C$2715,'[2]Client Info'!$F$2:$F$2715,"",0,1))</f>
        <v/>
      </c>
      <c r="AG1384" s="55" t="str">
        <f>IF(ISBLANK(Table26[[#This Row],[customerSKU]]),"",_xlfn.XLOOKUP(Table26[[#This Row],[customerSKU]],Table27[customer_SKU],Table27[billto],"",0,1))</f>
        <v/>
      </c>
      <c r="AH1384" s="26" t="str">
        <f>_xlfn.XLOOKUP(Table26[[#This Row],[customerSKU]],customerSKU!G:G,customerSKU!K:K,"NA",0,1)</f>
        <v>NA</v>
      </c>
      <c r="AI1384" s="43" t="str">
        <f>_xlfn.XLOOKUP(Table26[[#This Row],[customerSKU]],customerSKU!G:G,customerSKU!O:O,"not found",0,1)</f>
        <v>not found</v>
      </c>
      <c r="AJ1384" s="22" t="e">
        <f>Table26[[#This Row],[unitprice]]*Table26[[#This Row],[quantity_unit]]</f>
        <v>#VALUE!</v>
      </c>
      <c r="AK1384" s="227" t="e" cm="1">
        <f t="array" ref="AK13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385" spans="1:37" ht="24.6" customHeight="1">
      <c r="A1385" s="42">
        <v>865</v>
      </c>
      <c r="B1385" s="42" t="s">
        <v>3357</v>
      </c>
      <c r="C1385" s="53" t="s">
        <v>3360</v>
      </c>
      <c r="E1385" s="20"/>
      <c r="F13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5" s="93"/>
      <c r="H1385" s="19"/>
      <c r="I1385" s="19">
        <v>45754</v>
      </c>
      <c r="J1385" s="90" t="str">
        <f>IF(Table26[[#This Row],[customerSKU]]="","",_xlfn.XLOOKUP(Table26[[#This Row],[customerSKU]],customerSKU!G:G,customerSKU!A:A,"",0,1))</f>
        <v/>
      </c>
      <c r="K1385" s="232">
        <v>45754</v>
      </c>
      <c r="L1385" s="49" t="str">
        <f>IF(Table26[[#This Row],[customerSKU]]="","",_xlfn.XLOOKUP(Table26[[#This Row],[customerSKU]],customerSKU!G:G,customerSKU!B:B,"",0,1))</f>
        <v/>
      </c>
      <c r="M1385" s="262"/>
      <c r="N1385" s="366" t="str">
        <f>Table26[[#This Row],[po_number]]&amp;"-"&amp;Table26[[#This Row],[po_line]]</f>
        <v>-1</v>
      </c>
      <c r="O1385" s="366">
        <v>1</v>
      </c>
      <c r="P1385" s="50"/>
      <c r="S1385" s="90" t="str">
        <f>IF(Table26[[#This Row],[customerSKU]]="","",_xlfn.XLOOKUP(Table26[[#This Row],[customerSKU]],customerSKU!G:G,customerSKU!N:N,"NOT FOUND",0,1))</f>
        <v>NOT FOUND</v>
      </c>
      <c r="T1385" s="20"/>
      <c r="U1385" s="94">
        <v>12</v>
      </c>
      <c r="V1385" s="22" t="str">
        <f>IF(ISBLANK(Table26[[#This Row],[customerSKU]]),"",_xlfn.XLOOKUP(Table26[[#This Row],[customerSKU]],Table27[customer_SKU],Table27[case_size],"",0,1))</f>
        <v/>
      </c>
      <c r="W1385" s="117" t="str">
        <f t="shared" si="59"/>
        <v/>
      </c>
      <c r="X1385" s="22" t="str">
        <f t="shared" si="60"/>
        <v/>
      </c>
      <c r="Y1385" s="25" t="str">
        <f>IF(Table26[[#This Row],[customerSKU]]="","",_xlfn.XLOOKUP(Table26[[#This Row],[customerSKU]],Table27[customer_SKU],Table27[product_GTIN],"",0,1))</f>
        <v/>
      </c>
      <c r="Z1385" s="25" t="s">
        <v>3451</v>
      </c>
      <c r="AA1385" s="18" t="str" cm="1">
        <f t="array" ref="AA1385">IF(P1385="", "", _xlfn.XLOOKUP(P1385,#REF!,#REF!,NA,0,-1))</f>
        <v/>
      </c>
      <c r="AB1385" s="22"/>
      <c r="AC1385" s="55" t="str">
        <f>IF(Table26[[#This Row],[customerSKU]]="","",_xlfn.XLOOKUP(Table26[[#This Row],[customerSKU]],customerSKU!G:G,customerSKU!C:C,"",0,1))</f>
        <v/>
      </c>
      <c r="AD1385" s="55" t="str">
        <f>IF($AC1385="","",_xlfn.XLOOKUP($AC1385,'[2]Client Info'!$C$2:$C$2535,'[2]Client Info'!$D$2:$D$2535,"",0,1))</f>
        <v/>
      </c>
      <c r="AE1385" s="55" t="str">
        <f>IF($AC1385="","",_xlfn.XLOOKUP($AC1385,'[2]Client Info'!$C$2:$C$2715,'[2]Client Info'!$E$2:$E$2715,"",))</f>
        <v/>
      </c>
      <c r="AF1385" s="55" t="str">
        <f>IF($AC1385="","",_xlfn.XLOOKUP($AC1385,'[2]Client Info'!$C$2:$C$2715,'[2]Client Info'!$F$2:$F$2715,"",0,1))</f>
        <v/>
      </c>
      <c r="AG1385" s="55" t="str">
        <f>IF(ISBLANK(Table26[[#This Row],[customerSKU]]),"",_xlfn.XLOOKUP(Table26[[#This Row],[customerSKU]],Table27[customer_SKU],Table27[billto],"",0,1))</f>
        <v/>
      </c>
      <c r="AH1385" s="26" t="str">
        <f>_xlfn.XLOOKUP(Table26[[#This Row],[customerSKU]],customerSKU!G:G,customerSKU!K:K,"NA",0,1)</f>
        <v>NA</v>
      </c>
      <c r="AI1385" s="43" t="str">
        <f>_xlfn.XLOOKUP(Table26[[#This Row],[customerSKU]],customerSKU!G:G,customerSKU!O:O,"not found",0,1)</f>
        <v>not found</v>
      </c>
      <c r="AJ1385" s="22" t="e">
        <f>Table26[[#This Row],[unitprice]]*Table26[[#This Row],[quantity_unit]]</f>
        <v>#VALUE!</v>
      </c>
      <c r="AK1385" s="227" t="e" cm="1">
        <f t="array" ref="AK13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86" spans="1:37" ht="24.6" customHeight="1">
      <c r="A1386" s="42">
        <v>866</v>
      </c>
      <c r="B1386" s="42" t="s">
        <v>3357</v>
      </c>
      <c r="C1386" s="53" t="s">
        <v>3360</v>
      </c>
      <c r="E1386" s="20"/>
      <c r="F13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6" s="93"/>
      <c r="H1386" s="19"/>
      <c r="I1386" s="19">
        <v>45754</v>
      </c>
      <c r="J1386" s="90" t="str">
        <f>IF(Table26[[#This Row],[customerSKU]]="","",_xlfn.XLOOKUP(Table26[[#This Row],[customerSKU]],customerSKU!G:G,customerSKU!A:A,"",0,1))</f>
        <v/>
      </c>
      <c r="K1386" s="232">
        <v>45754</v>
      </c>
      <c r="L1386" s="49" t="str">
        <f>IF(Table26[[#This Row],[customerSKU]]="","",_xlfn.XLOOKUP(Table26[[#This Row],[customerSKU]],customerSKU!G:G,customerSKU!B:B,"",0,1))</f>
        <v/>
      </c>
      <c r="M1386" s="262"/>
      <c r="N1386" s="366" t="str">
        <f>Table26[[#This Row],[po_number]]&amp;"-"&amp;Table26[[#This Row],[po_line]]</f>
        <v>-2</v>
      </c>
      <c r="O1386" s="366">
        <v>2</v>
      </c>
      <c r="P1386" s="50"/>
      <c r="S1386" s="90" t="str">
        <f>IF(Table26[[#This Row],[customerSKU]]="","",_xlfn.XLOOKUP(Table26[[#This Row],[customerSKU]],customerSKU!G:G,customerSKU!N:N,"NOT FOUND",0,1))</f>
        <v>NOT FOUND</v>
      </c>
      <c r="T1386" s="20"/>
      <c r="U1386" s="94">
        <v>12</v>
      </c>
      <c r="V1386" s="22" t="str">
        <f>IF(ISBLANK(Table26[[#This Row],[customerSKU]]),"",_xlfn.XLOOKUP(Table26[[#This Row],[customerSKU]],Table27[customer_SKU],Table27[case_size],"",0,1))</f>
        <v/>
      </c>
      <c r="W1386" s="117" t="str">
        <f t="shared" si="59"/>
        <v/>
      </c>
      <c r="X1386" s="22" t="str">
        <f t="shared" si="60"/>
        <v/>
      </c>
      <c r="Y1386" s="25" t="str">
        <f>IF(Table26[[#This Row],[customerSKU]]="","",_xlfn.XLOOKUP(Table26[[#This Row],[customerSKU]],Table27[customer_SKU],Table27[product_GTIN],"",0,1))</f>
        <v/>
      </c>
      <c r="Z1386" s="25" t="s">
        <v>3452</v>
      </c>
      <c r="AA1386" s="18" t="str" cm="1">
        <f t="array" ref="AA1386">IF(P1386="", "", _xlfn.XLOOKUP(P1386,#REF!,#REF!,NA,0,-1))</f>
        <v/>
      </c>
      <c r="AB1386" s="22"/>
      <c r="AC1386" s="55" t="str">
        <f>IF(Table26[[#This Row],[customerSKU]]="","",_xlfn.XLOOKUP(Table26[[#This Row],[customerSKU]],customerSKU!G:G,customerSKU!C:C,"",0,1))</f>
        <v/>
      </c>
      <c r="AD1386" s="55" t="str">
        <f>IF($AC1386="","",_xlfn.XLOOKUP($AC1386,'[2]Client Info'!$C$2:$C$2535,'[2]Client Info'!$D$2:$D$2535,"",0,1))</f>
        <v/>
      </c>
      <c r="AE1386" s="55" t="str">
        <f>IF($AC1386="","",_xlfn.XLOOKUP($AC1386,'[2]Client Info'!$C$2:$C$2715,'[2]Client Info'!$E$2:$E$2715,"",))</f>
        <v/>
      </c>
      <c r="AF1386" s="55" t="str">
        <f>IF($AC1386="","",_xlfn.XLOOKUP($AC1386,'[2]Client Info'!$C$2:$C$2715,'[2]Client Info'!$F$2:$F$2715,"",0,1))</f>
        <v/>
      </c>
      <c r="AG1386" s="55" t="str">
        <f>IF(ISBLANK(Table26[[#This Row],[customerSKU]]),"",_xlfn.XLOOKUP(Table26[[#This Row],[customerSKU]],Table27[customer_SKU],Table27[billto],"",0,1))</f>
        <v/>
      </c>
      <c r="AH1386" s="26" t="str">
        <f>_xlfn.XLOOKUP(Table26[[#This Row],[customerSKU]],customerSKU!G:G,customerSKU!K:K,"NA",0,1)</f>
        <v>NA</v>
      </c>
      <c r="AI1386" s="43" t="str">
        <f>_xlfn.XLOOKUP(Table26[[#This Row],[customerSKU]],customerSKU!G:G,customerSKU!O:O,"not found",0,1)</f>
        <v>not found</v>
      </c>
      <c r="AJ1386" s="22" t="e">
        <f>Table26[[#This Row],[unitprice]]*Table26[[#This Row],[quantity_unit]]</f>
        <v>#VALUE!</v>
      </c>
      <c r="AK1386" s="227" t="e" cm="1">
        <f t="array" ref="AK13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87" spans="1:37" ht="18" customHeight="1">
      <c r="A1387" s="42">
        <v>867</v>
      </c>
      <c r="B1387" s="42" t="s">
        <v>3357</v>
      </c>
      <c r="C1387" s="53" t="s">
        <v>3360</v>
      </c>
      <c r="E1387" s="20"/>
      <c r="F13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7" s="93"/>
      <c r="H1387" s="19"/>
      <c r="I1387" s="19">
        <v>45754</v>
      </c>
      <c r="J1387" s="90" t="str">
        <f>IF(Table26[[#This Row],[customerSKU]]="","",_xlfn.XLOOKUP(Table26[[#This Row],[customerSKU]],customerSKU!G:G,customerSKU!A:A,"",0,1))</f>
        <v/>
      </c>
      <c r="K1387" s="232">
        <v>45754</v>
      </c>
      <c r="L1387" s="49" t="str">
        <f>IF(Table26[[#This Row],[customerSKU]]="","",_xlfn.XLOOKUP(Table26[[#This Row],[customerSKU]],customerSKU!G:G,customerSKU!B:B,"",0,1))</f>
        <v/>
      </c>
      <c r="M1387" s="262"/>
      <c r="N1387" s="366" t="str">
        <f>Table26[[#This Row],[po_number]]&amp;"-"&amp;Table26[[#This Row],[po_line]]</f>
        <v>-1</v>
      </c>
      <c r="O1387" s="366">
        <v>1</v>
      </c>
      <c r="P1387" s="50"/>
      <c r="S1387" s="90" t="str">
        <f>IF(Table26[[#This Row],[customerSKU]]="","",_xlfn.XLOOKUP(Table26[[#This Row],[customerSKU]],customerSKU!G:G,customerSKU!N:N,"NOT FOUND",0,1))</f>
        <v>NOT FOUND</v>
      </c>
      <c r="T1387" s="20"/>
      <c r="U1387" s="94">
        <v>12</v>
      </c>
      <c r="V1387" s="22" t="str">
        <f>IF(ISBLANK(Table26[[#This Row],[customerSKU]]),"",_xlfn.XLOOKUP(Table26[[#This Row],[customerSKU]],Table27[customer_SKU],Table27[case_size],"",0,1))</f>
        <v/>
      </c>
      <c r="W1387" s="117" t="str">
        <f t="shared" si="59"/>
        <v/>
      </c>
      <c r="X1387" s="22" t="str">
        <f t="shared" si="60"/>
        <v/>
      </c>
      <c r="Y1387" s="25" t="str">
        <f>IF(Table26[[#This Row],[customerSKU]]="","",_xlfn.XLOOKUP(Table26[[#This Row],[customerSKU]],Table27[customer_SKU],Table27[product_GTIN],"",0,1))</f>
        <v/>
      </c>
      <c r="Z1387" s="25" t="s">
        <v>3380</v>
      </c>
      <c r="AA1387" s="18" t="str" cm="1">
        <f t="array" ref="AA1387">IF(P1387="", "", _xlfn.XLOOKUP(P1387,#REF!,#REF!,NA,0,-1))</f>
        <v/>
      </c>
      <c r="AB1387" s="22"/>
      <c r="AC1387" s="55" t="str">
        <f>IF(Table26[[#This Row],[customerSKU]]="","",_xlfn.XLOOKUP(Table26[[#This Row],[customerSKU]],customerSKU!G:G,customerSKU!C:C,"",0,1))</f>
        <v/>
      </c>
      <c r="AD1387" s="55" t="str">
        <f>IF($AC1387="","",_xlfn.XLOOKUP($AC1387,'[2]Client Info'!$C$2:$C$2535,'[2]Client Info'!$D$2:$D$2535,"",0,1))</f>
        <v/>
      </c>
      <c r="AE1387" s="55" t="str">
        <f>IF($AC1387="","",_xlfn.XLOOKUP($AC1387,'[2]Client Info'!$C$2:$C$2715,'[2]Client Info'!$E$2:$E$2715,"",))</f>
        <v/>
      </c>
      <c r="AF1387" s="55" t="str">
        <f>IF($AC1387="","",_xlfn.XLOOKUP($AC1387,'[2]Client Info'!$C$2:$C$2715,'[2]Client Info'!$F$2:$F$2715,"",0,1))</f>
        <v/>
      </c>
      <c r="AG1387" s="55" t="str">
        <f>IF(ISBLANK(Table26[[#This Row],[customerSKU]]),"",_xlfn.XLOOKUP(Table26[[#This Row],[customerSKU]],Table27[customer_SKU],Table27[billto],"",0,1))</f>
        <v/>
      </c>
      <c r="AH1387" s="26" t="str">
        <f>_xlfn.XLOOKUP(Table26[[#This Row],[customerSKU]],customerSKU!G:G,customerSKU!K:K,"NA",0,1)</f>
        <v>NA</v>
      </c>
      <c r="AI1387" s="43" t="str">
        <f>_xlfn.XLOOKUP(Table26[[#This Row],[customerSKU]],customerSKU!G:G,customerSKU!O:O,"not found",0,1)</f>
        <v>not found</v>
      </c>
      <c r="AJ1387" s="22" t="e">
        <f>Table26[[#This Row],[unitprice]]*Table26[[#This Row],[quantity_unit]]</f>
        <v>#VALUE!</v>
      </c>
      <c r="AK1387" s="227" t="e" cm="1">
        <f t="array" ref="AK13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88" spans="1:37" ht="18" customHeight="1">
      <c r="A1388" s="42">
        <v>850</v>
      </c>
      <c r="B1388" s="42" t="s">
        <v>3357</v>
      </c>
      <c r="C1388" s="53" t="s">
        <v>203</v>
      </c>
      <c r="E1388" s="20"/>
      <c r="F13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8" s="93"/>
      <c r="I1388" s="19">
        <v>45743</v>
      </c>
      <c r="J1388" s="90" t="str">
        <f>IF(Table26[[#This Row],[customerSKU]]="","",_xlfn.XLOOKUP(Table26[[#This Row],[customerSKU]],customerSKU!G:G,customerSKU!A:A,"",0,1))</f>
        <v/>
      </c>
      <c r="K1388" s="232">
        <v>45755</v>
      </c>
      <c r="L1388" s="49" t="str">
        <f>IF(Table26[[#This Row],[customerSKU]]="","",_xlfn.XLOOKUP(Table26[[#This Row],[customerSKU]],customerSKU!G:G,customerSKU!B:B,"",0,1))</f>
        <v/>
      </c>
      <c r="M1388" s="262"/>
      <c r="N1388" s="366" t="str">
        <f>Table26[[#This Row],[po_number]]&amp;"-"&amp;Table26[[#This Row],[po_line]]</f>
        <v>-1</v>
      </c>
      <c r="O1388" s="366">
        <v>1</v>
      </c>
      <c r="P1388" s="50"/>
      <c r="Q1388" s="22" t="s">
        <v>3410</v>
      </c>
      <c r="R1388" s="22" t="s">
        <v>569</v>
      </c>
      <c r="S1388" s="90" t="str">
        <f>IF(Table26[[#This Row],[customerSKU]]="","",_xlfn.XLOOKUP(Table26[[#This Row],[customerSKU]],customerSKU!G:G,customerSKU!N:N,"NOT FOUND",0,1))</f>
        <v>NOT FOUND</v>
      </c>
      <c r="T1388" s="20">
        <v>45744</v>
      </c>
      <c r="U1388" s="94">
        <f>15*12</f>
        <v>180</v>
      </c>
      <c r="V1388" s="22" t="str">
        <f>IF(ISBLANK(Table26[[#This Row],[customerSKU]]),"",_xlfn.XLOOKUP(Table26[[#This Row],[customerSKU]],Table27[customer_SKU],Table27[case_size],"",0,1))</f>
        <v/>
      </c>
      <c r="W1388" s="117" t="str">
        <f t="shared" si="59"/>
        <v/>
      </c>
      <c r="X1388" s="22" t="str">
        <f t="shared" si="60"/>
        <v/>
      </c>
      <c r="Y1388" s="25" t="str">
        <f>IF(Table26[[#This Row],[customerSKU]]="","",_xlfn.XLOOKUP(Table26[[#This Row],[customerSKU]],Table27[customer_SKU],Table27[product_GTIN],"",0,1))</f>
        <v/>
      </c>
      <c r="Z1388" s="25" t="s">
        <v>3411</v>
      </c>
      <c r="AA1388" s="18" t="str" cm="1">
        <f t="array" ref="AA1388">IF(P1388="", "", _xlfn.XLOOKUP(P1388,#REF!,#REF!,NA,0,-1))</f>
        <v/>
      </c>
      <c r="AB1388" s="22"/>
      <c r="AC1388" s="55" t="str">
        <f>IF(Table26[[#This Row],[customerSKU]]="","",_xlfn.XLOOKUP(Table26[[#This Row],[customerSKU]],customerSKU!G:G,customerSKU!C:C,"",0,1))</f>
        <v/>
      </c>
      <c r="AD1388" s="55" t="str">
        <f>IF($AC1388="","",_xlfn.XLOOKUP($AC1388,'[2]Client Info'!$C$2:$C$2535,'[2]Client Info'!$D$2:$D$2535,"",0,1))</f>
        <v/>
      </c>
      <c r="AE1388" s="55" t="str">
        <f>IF($AC1388="","",_xlfn.XLOOKUP($AC1388,'[2]Client Info'!$C$2:$C$2715,'[2]Client Info'!$E$2:$E$2715,"",))</f>
        <v/>
      </c>
      <c r="AF1388" s="55" t="str">
        <f>IF($AC1388="","",_xlfn.XLOOKUP($AC1388,'[2]Client Info'!$C$2:$C$2715,'[2]Client Info'!$F$2:$F$2715,"",0,1))</f>
        <v/>
      </c>
      <c r="AG1388" s="55" t="str">
        <f>IF(ISBLANK(Table26[[#This Row],[customerSKU]]),"",_xlfn.XLOOKUP(Table26[[#This Row],[customerSKU]],Table27[customer_SKU],Table27[billto],"",0,1))</f>
        <v/>
      </c>
      <c r="AH1388" s="26" t="str">
        <f>_xlfn.XLOOKUP(Table26[[#This Row],[customerSKU]],customerSKU!G:G,customerSKU!K:K,"NA",0,1)</f>
        <v>NA</v>
      </c>
      <c r="AI1388" s="43" t="str">
        <f>_xlfn.XLOOKUP(Table26[[#This Row],[customerSKU]],customerSKU!G:G,customerSKU!O:O,"not found",0,1)</f>
        <v>not found</v>
      </c>
      <c r="AJ1388" s="22" t="e">
        <f>Table26[[#This Row],[unitprice]]*Table26[[#This Row],[quantity_unit]]</f>
        <v>#VALUE!</v>
      </c>
      <c r="AK1388" s="227" t="e" cm="1">
        <f t="array" ref="AK13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389" spans="1:37" ht="18" customHeight="1">
      <c r="A1389" s="42">
        <v>851</v>
      </c>
      <c r="B1389" s="42" t="s">
        <v>3357</v>
      </c>
      <c r="C1389" s="53" t="s">
        <v>203</v>
      </c>
      <c r="E1389" s="20"/>
      <c r="F13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89" s="93"/>
      <c r="I1389" s="19">
        <v>45743</v>
      </c>
      <c r="J1389" s="90" t="str">
        <f>IF(Table26[[#This Row],[customerSKU]]="","",_xlfn.XLOOKUP(Table26[[#This Row],[customerSKU]],customerSKU!G:G,customerSKU!A:A,"",0,1))</f>
        <v/>
      </c>
      <c r="K1389" s="232">
        <v>45755</v>
      </c>
      <c r="L1389" s="49" t="str">
        <f>IF(Table26[[#This Row],[customerSKU]]="","",_xlfn.XLOOKUP(Table26[[#This Row],[customerSKU]],customerSKU!G:G,customerSKU!B:B,"",0,1))</f>
        <v/>
      </c>
      <c r="M1389" s="262"/>
      <c r="N1389" s="366" t="str">
        <f>Table26[[#This Row],[po_number]]&amp;"-"&amp;Table26[[#This Row],[po_line]]</f>
        <v>-2</v>
      </c>
      <c r="O1389" s="366">
        <v>2</v>
      </c>
      <c r="P1389" s="50"/>
      <c r="Q1389" s="22" t="s">
        <v>3412</v>
      </c>
      <c r="R1389" s="22" t="s">
        <v>569</v>
      </c>
      <c r="S1389" s="90" t="str">
        <f>IF(Table26[[#This Row],[customerSKU]]="","",_xlfn.XLOOKUP(Table26[[#This Row],[customerSKU]],customerSKU!G:G,customerSKU!N:N,"NOT FOUND",0,1))</f>
        <v>NOT FOUND</v>
      </c>
      <c r="T1389" s="20">
        <v>45744</v>
      </c>
      <c r="U1389" s="94">
        <f>112*12</f>
        <v>1344</v>
      </c>
      <c r="V1389" s="22" t="str">
        <f>IF(ISBLANK(Table26[[#This Row],[customerSKU]]),"",_xlfn.XLOOKUP(Table26[[#This Row],[customerSKU]],Table27[customer_SKU],Table27[case_size],"",0,1))</f>
        <v/>
      </c>
      <c r="W1389" s="117" t="str">
        <f t="shared" si="59"/>
        <v/>
      </c>
      <c r="X1389" s="22" t="str">
        <f t="shared" si="60"/>
        <v/>
      </c>
      <c r="Y1389" s="25" t="str">
        <f>IF(Table26[[#This Row],[customerSKU]]="","",_xlfn.XLOOKUP(Table26[[#This Row],[customerSKU]],Table27[customer_SKU],Table27[product_GTIN],"",0,1))</f>
        <v/>
      </c>
      <c r="Z1389" s="25" t="s">
        <v>3413</v>
      </c>
      <c r="AA1389" s="18" t="str" cm="1">
        <f t="array" ref="AA1389">IF(P1389="", "", _xlfn.XLOOKUP(P1389,#REF!,#REF!,NA,0,-1))</f>
        <v/>
      </c>
      <c r="AB1389" s="22"/>
      <c r="AC1389" s="55" t="str">
        <f>IF(Table26[[#This Row],[customerSKU]]="","",_xlfn.XLOOKUP(Table26[[#This Row],[customerSKU]],customerSKU!G:G,customerSKU!C:C,"",0,1))</f>
        <v/>
      </c>
      <c r="AD1389" s="55" t="str">
        <f>IF($AC1389="","",_xlfn.XLOOKUP($AC1389,'[2]Client Info'!$C$2:$C$2535,'[2]Client Info'!$D$2:$D$2535,"",0,1))</f>
        <v/>
      </c>
      <c r="AE1389" s="55" t="str">
        <f>IF($AC1389="","",_xlfn.XLOOKUP($AC1389,'[2]Client Info'!$C$2:$C$2715,'[2]Client Info'!$E$2:$E$2715,"",))</f>
        <v/>
      </c>
      <c r="AF1389" s="55" t="str">
        <f>IF($AC1389="","",_xlfn.XLOOKUP($AC1389,'[2]Client Info'!$C$2:$C$2715,'[2]Client Info'!$F$2:$F$2715,"",0,1))</f>
        <v/>
      </c>
      <c r="AG1389" s="55" t="str">
        <f>IF(ISBLANK(Table26[[#This Row],[customerSKU]]),"",_xlfn.XLOOKUP(Table26[[#This Row],[customerSKU]],Table27[customer_SKU],Table27[billto],"",0,1))</f>
        <v/>
      </c>
      <c r="AH1389" s="26" t="str">
        <f>_xlfn.XLOOKUP(Table26[[#This Row],[customerSKU]],customerSKU!G:G,customerSKU!K:K,"NA",0,1)</f>
        <v>NA</v>
      </c>
      <c r="AI1389" s="43" t="str">
        <f>_xlfn.XLOOKUP(Table26[[#This Row],[customerSKU]],customerSKU!G:G,customerSKU!O:O,"not found",0,1)</f>
        <v>not found</v>
      </c>
      <c r="AJ1389" s="22" t="e">
        <f>Table26[[#This Row],[unitprice]]*Table26[[#This Row],[quantity_unit]]</f>
        <v>#VALUE!</v>
      </c>
      <c r="AK1389" s="227" t="e" cm="1">
        <f t="array" ref="AK13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390" spans="1:37" ht="18" customHeight="1">
      <c r="A1390" s="42">
        <v>852</v>
      </c>
      <c r="B1390" s="42" t="s">
        <v>3357</v>
      </c>
      <c r="C1390" s="53" t="s">
        <v>203</v>
      </c>
      <c r="E1390" s="20"/>
      <c r="F13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0" s="93"/>
      <c r="H1390" s="19"/>
      <c r="I1390" s="19">
        <v>45754</v>
      </c>
      <c r="J1390" s="90" t="str">
        <f>IF(Table26[[#This Row],[customerSKU]]="","",_xlfn.XLOOKUP(Table26[[#This Row],[customerSKU]],customerSKU!G:G,customerSKU!A:A,"",0,1))</f>
        <v/>
      </c>
      <c r="K1390" s="232">
        <v>45755</v>
      </c>
      <c r="L1390" s="49" t="str">
        <f>IF(Table26[[#This Row],[customerSKU]]="","",_xlfn.XLOOKUP(Table26[[#This Row],[customerSKU]],customerSKU!G:G,customerSKU!B:B,"",0,1))</f>
        <v/>
      </c>
      <c r="M1390" s="262"/>
      <c r="N1390" s="366" t="str">
        <f>Table26[[#This Row],[po_number]]&amp;"-"&amp;Table26[[#This Row],[po_line]]</f>
        <v>-1</v>
      </c>
      <c r="O1390" s="366">
        <v>1</v>
      </c>
      <c r="P1390" s="50"/>
      <c r="Q1390" s="22" t="s">
        <v>3401</v>
      </c>
      <c r="R1390" s="22" t="s">
        <v>569</v>
      </c>
      <c r="S1390" s="90" t="str">
        <f>IF(Table26[[#This Row],[customerSKU]]="","",_xlfn.XLOOKUP(Table26[[#This Row],[customerSKU]],customerSKU!G:G,customerSKU!N:N,"NOT FOUND",0,1))</f>
        <v>NOT FOUND</v>
      </c>
      <c r="T1390" s="20">
        <v>45721</v>
      </c>
      <c r="U1390" s="94">
        <v>240</v>
      </c>
      <c r="V1390" s="22" t="str">
        <f>IF(ISBLANK(Table26[[#This Row],[customerSKU]]),"",_xlfn.XLOOKUP(Table26[[#This Row],[customerSKU]],Table27[customer_SKU],Table27[case_size],"",0,1))</f>
        <v/>
      </c>
      <c r="W1390" s="117" t="str">
        <f t="shared" si="59"/>
        <v/>
      </c>
      <c r="X1390" s="22" t="str">
        <f t="shared" si="60"/>
        <v/>
      </c>
      <c r="Y1390" s="25" t="str">
        <f>IF(Table26[[#This Row],[customerSKU]]="","",_xlfn.XLOOKUP(Table26[[#This Row],[customerSKU]],Table27[customer_SKU],Table27[product_GTIN],"",0,1))</f>
        <v/>
      </c>
      <c r="Z1390" s="25" t="s">
        <v>3436</v>
      </c>
      <c r="AA1390" s="18" t="str" cm="1">
        <f t="array" ref="AA1390">IF(P1390="", "", _xlfn.XLOOKUP(P1390,#REF!,#REF!,NA,0,-1))</f>
        <v/>
      </c>
      <c r="AB1390" s="22"/>
      <c r="AC1390" s="55" t="str">
        <f>IF(Table26[[#This Row],[customerSKU]]="","",_xlfn.XLOOKUP(Table26[[#This Row],[customerSKU]],customerSKU!G:G,customerSKU!C:C,"",0,1))</f>
        <v/>
      </c>
      <c r="AD1390" s="55" t="str">
        <f>IF($AC1390="","",_xlfn.XLOOKUP($AC1390,'[2]Client Info'!$C$2:$C$2535,'[2]Client Info'!$D$2:$D$2535,"",0,1))</f>
        <v/>
      </c>
      <c r="AE1390" s="55" t="str">
        <f>IF($AC1390="","",_xlfn.XLOOKUP($AC1390,'[2]Client Info'!$C$2:$C$2715,'[2]Client Info'!$E$2:$E$2715,"",))</f>
        <v/>
      </c>
      <c r="AF1390" s="55" t="str">
        <f>IF($AC1390="","",_xlfn.XLOOKUP($AC1390,'[2]Client Info'!$C$2:$C$2715,'[2]Client Info'!$F$2:$F$2715,"",0,1))</f>
        <v/>
      </c>
      <c r="AG1390" s="55" t="str">
        <f>IF(ISBLANK(Table26[[#This Row],[customerSKU]]),"",_xlfn.XLOOKUP(Table26[[#This Row],[customerSKU]],Table27[customer_SKU],Table27[billto],"",0,1))</f>
        <v/>
      </c>
      <c r="AH1390" s="26" t="str">
        <f>_xlfn.XLOOKUP(Table26[[#This Row],[customerSKU]],customerSKU!G:G,customerSKU!K:K,"NA",0,1)</f>
        <v>NA</v>
      </c>
      <c r="AI1390" s="43" t="str">
        <f>_xlfn.XLOOKUP(Table26[[#This Row],[customerSKU]],customerSKU!G:G,customerSKU!O:O,"not found",0,1)</f>
        <v>not found</v>
      </c>
      <c r="AJ1390" s="22" t="e">
        <f>Table26[[#This Row],[unitprice]]*Table26[[#This Row],[quantity_unit]]</f>
        <v>#VALUE!</v>
      </c>
      <c r="AK1390" s="227" t="e" cm="1">
        <f t="array" ref="AK13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91" spans="1:37" ht="18" customHeight="1">
      <c r="A1391" s="42">
        <v>853</v>
      </c>
      <c r="B1391" s="42" t="s">
        <v>3357</v>
      </c>
      <c r="C1391" s="53" t="s">
        <v>203</v>
      </c>
      <c r="E1391" s="20"/>
      <c r="F13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1" s="93"/>
      <c r="H1391" s="19"/>
      <c r="I1391" s="19">
        <v>45754</v>
      </c>
      <c r="J1391" s="90" t="str">
        <f>IF(Table26[[#This Row],[customerSKU]]="","",_xlfn.XLOOKUP(Table26[[#This Row],[customerSKU]],customerSKU!G:G,customerSKU!A:A,"",0,1))</f>
        <v/>
      </c>
      <c r="K1391" s="232">
        <v>45755</v>
      </c>
      <c r="L1391" s="49" t="str">
        <f>IF(Table26[[#This Row],[customerSKU]]="","",_xlfn.XLOOKUP(Table26[[#This Row],[customerSKU]],customerSKU!G:G,customerSKU!B:B,"",0,1))</f>
        <v/>
      </c>
      <c r="M1391" s="262"/>
      <c r="N1391" s="366" t="str">
        <f>Table26[[#This Row],[po_number]]&amp;"-"&amp;Table26[[#This Row],[po_line]]</f>
        <v>-2</v>
      </c>
      <c r="O1391" s="366">
        <v>2</v>
      </c>
      <c r="P1391" s="50"/>
      <c r="Q1391" s="22" t="s">
        <v>3437</v>
      </c>
      <c r="R1391" s="22" t="s">
        <v>569</v>
      </c>
      <c r="S1391" s="90" t="str">
        <f>IF(Table26[[#This Row],[customerSKU]]="","",_xlfn.XLOOKUP(Table26[[#This Row],[customerSKU]],customerSKU!G:G,customerSKU!N:N,"NOT FOUND",0,1))</f>
        <v>NOT FOUND</v>
      </c>
      <c r="T1391" s="20">
        <v>45723</v>
      </c>
      <c r="U1391" s="94">
        <f>28*12</f>
        <v>336</v>
      </c>
      <c r="V1391" s="22" t="str">
        <f>IF(ISBLANK(Table26[[#This Row],[customerSKU]]),"",_xlfn.XLOOKUP(Table26[[#This Row],[customerSKU]],Table27[customer_SKU],Table27[case_size],"",0,1))</f>
        <v/>
      </c>
      <c r="W1391" s="117" t="str">
        <f t="shared" si="59"/>
        <v/>
      </c>
      <c r="X1391" s="22" t="str">
        <f t="shared" si="60"/>
        <v/>
      </c>
      <c r="Y1391" s="25" t="str">
        <f>IF(Table26[[#This Row],[customerSKU]]="","",_xlfn.XLOOKUP(Table26[[#This Row],[customerSKU]],Table27[customer_SKU],Table27[product_GTIN],"",0,1))</f>
        <v/>
      </c>
      <c r="Z1391" s="25" t="s">
        <v>3438</v>
      </c>
      <c r="AA1391" s="18" t="str" cm="1">
        <f t="array" ref="AA1391">IF(P1391="", "", _xlfn.XLOOKUP(P1391,#REF!,#REF!,NA,0,-1))</f>
        <v/>
      </c>
      <c r="AB1391" s="22"/>
      <c r="AC1391" s="55" t="str">
        <f>IF(Table26[[#This Row],[customerSKU]]="","",_xlfn.XLOOKUP(Table26[[#This Row],[customerSKU]],customerSKU!G:G,customerSKU!C:C,"",0,1))</f>
        <v/>
      </c>
      <c r="AD1391" s="55" t="str">
        <f>IF($AC1391="","",_xlfn.XLOOKUP($AC1391,'[2]Client Info'!$C$2:$C$2535,'[2]Client Info'!$D$2:$D$2535,"",0,1))</f>
        <v/>
      </c>
      <c r="AE1391" s="55" t="str">
        <f>IF($AC1391="","",_xlfn.XLOOKUP($AC1391,'[2]Client Info'!$C$2:$C$2715,'[2]Client Info'!$E$2:$E$2715,"",))</f>
        <v/>
      </c>
      <c r="AF1391" s="55" t="str">
        <f>IF($AC1391="","",_xlfn.XLOOKUP($AC1391,'[2]Client Info'!$C$2:$C$2715,'[2]Client Info'!$F$2:$F$2715,"",0,1))</f>
        <v/>
      </c>
      <c r="AG1391" s="55" t="str">
        <f>IF(ISBLANK(Table26[[#This Row],[customerSKU]]),"",_xlfn.XLOOKUP(Table26[[#This Row],[customerSKU]],Table27[customer_SKU],Table27[billto],"",0,1))</f>
        <v/>
      </c>
      <c r="AH1391" s="26" t="str">
        <f>_xlfn.XLOOKUP(Table26[[#This Row],[customerSKU]],customerSKU!G:G,customerSKU!K:K,"NA",0,1)</f>
        <v>NA</v>
      </c>
      <c r="AI1391" s="43" t="str">
        <f>_xlfn.XLOOKUP(Table26[[#This Row],[customerSKU]],customerSKU!G:G,customerSKU!O:O,"not found",0,1)</f>
        <v>not found</v>
      </c>
      <c r="AJ1391" s="22" t="e">
        <f>Table26[[#This Row],[unitprice]]*Table26[[#This Row],[quantity_unit]]</f>
        <v>#VALUE!</v>
      </c>
      <c r="AK1391" s="227" t="e" cm="1">
        <f t="array" ref="AK13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92" spans="1:37" ht="18" customHeight="1">
      <c r="A1392" s="42">
        <v>854</v>
      </c>
      <c r="B1392" s="42" t="s">
        <v>3357</v>
      </c>
      <c r="C1392" s="53" t="s">
        <v>203</v>
      </c>
      <c r="E1392" s="20"/>
      <c r="F13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2" s="93"/>
      <c r="H1392" s="19"/>
      <c r="I1392" s="19">
        <v>45754</v>
      </c>
      <c r="J1392" s="90" t="str">
        <f>IF(Table26[[#This Row],[customerSKU]]="","",_xlfn.XLOOKUP(Table26[[#This Row],[customerSKU]],customerSKU!G:G,customerSKU!A:A,"",0,1))</f>
        <v/>
      </c>
      <c r="K1392" s="232">
        <v>45755</v>
      </c>
      <c r="L1392" s="49" t="str">
        <f>IF(Table26[[#This Row],[customerSKU]]="","",_xlfn.XLOOKUP(Table26[[#This Row],[customerSKU]],customerSKU!G:G,customerSKU!B:B,"",0,1))</f>
        <v/>
      </c>
      <c r="M1392" s="262"/>
      <c r="N1392" s="366" t="str">
        <f>Table26[[#This Row],[po_number]]&amp;"-"&amp;Table26[[#This Row],[po_line]]</f>
        <v>-3</v>
      </c>
      <c r="O1392" s="366">
        <v>3</v>
      </c>
      <c r="P1392" s="50"/>
      <c r="Q1392" s="22" t="s">
        <v>3437</v>
      </c>
      <c r="R1392" s="22" t="s">
        <v>569</v>
      </c>
      <c r="S1392" s="90" t="str">
        <f>IF(Table26[[#This Row],[customerSKU]]="","",_xlfn.XLOOKUP(Table26[[#This Row],[customerSKU]],customerSKU!G:G,customerSKU!N:N,"NOT FOUND",0,1))</f>
        <v>NOT FOUND</v>
      </c>
      <c r="T1392" s="20">
        <v>45723</v>
      </c>
      <c r="U1392" s="94">
        <v>120</v>
      </c>
      <c r="V1392" s="22" t="str">
        <f>IF(ISBLANK(Table26[[#This Row],[customerSKU]]),"",_xlfn.XLOOKUP(Table26[[#This Row],[customerSKU]],Table27[customer_SKU],Table27[case_size],"",0,1))</f>
        <v/>
      </c>
      <c r="W1392" s="117" t="str">
        <f t="shared" si="59"/>
        <v/>
      </c>
      <c r="X1392" s="22" t="str">
        <f t="shared" si="60"/>
        <v/>
      </c>
      <c r="Y1392" s="25" t="str">
        <f>IF(Table26[[#This Row],[customerSKU]]="","",_xlfn.XLOOKUP(Table26[[#This Row],[customerSKU]],Table27[customer_SKU],Table27[product_GTIN],"",0,1))</f>
        <v/>
      </c>
      <c r="Z1392" s="25" t="s">
        <v>3439</v>
      </c>
      <c r="AA1392" s="18" t="str" cm="1">
        <f t="array" ref="AA1392">IF(P1392="", "", _xlfn.XLOOKUP(P1392,#REF!,#REF!,NA,0,-1))</f>
        <v/>
      </c>
      <c r="AB1392" s="22"/>
      <c r="AC1392" s="55" t="str">
        <f>IF(Table26[[#This Row],[customerSKU]]="","",_xlfn.XLOOKUP(Table26[[#This Row],[customerSKU]],customerSKU!G:G,customerSKU!C:C,"",0,1))</f>
        <v/>
      </c>
      <c r="AD1392" s="55" t="str">
        <f>IF($AC1392="","",_xlfn.XLOOKUP($AC1392,'[2]Client Info'!$C$2:$C$2535,'[2]Client Info'!$D$2:$D$2535,"",0,1))</f>
        <v/>
      </c>
      <c r="AE1392" s="55" t="str">
        <f>IF($AC1392="","",_xlfn.XLOOKUP($AC1392,'[2]Client Info'!$C$2:$C$2715,'[2]Client Info'!$E$2:$E$2715,"",))</f>
        <v/>
      </c>
      <c r="AF1392" s="55" t="str">
        <f>IF($AC1392="","",_xlfn.XLOOKUP($AC1392,'[2]Client Info'!$C$2:$C$2715,'[2]Client Info'!$F$2:$F$2715,"",0,1))</f>
        <v/>
      </c>
      <c r="AG1392" s="55" t="str">
        <f>IF(ISBLANK(Table26[[#This Row],[customerSKU]]),"",_xlfn.XLOOKUP(Table26[[#This Row],[customerSKU]],Table27[customer_SKU],Table27[billto],"",0,1))</f>
        <v/>
      </c>
      <c r="AH1392" s="26" t="str">
        <f>_xlfn.XLOOKUP(Table26[[#This Row],[customerSKU]],customerSKU!G:G,customerSKU!K:K,"NA",0,1)</f>
        <v>NA</v>
      </c>
      <c r="AI1392" s="43" t="str">
        <f>_xlfn.XLOOKUP(Table26[[#This Row],[customerSKU]],customerSKU!G:G,customerSKU!O:O,"not found",0,1)</f>
        <v>not found</v>
      </c>
      <c r="AJ1392" s="22" t="e">
        <f>Table26[[#This Row],[unitprice]]*Table26[[#This Row],[quantity_unit]]</f>
        <v>#VALUE!</v>
      </c>
      <c r="AK1392" s="227" t="e" cm="1">
        <f t="array" ref="AK13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93" spans="1:37" ht="18" customHeight="1">
      <c r="A1393" s="42">
        <v>855</v>
      </c>
      <c r="B1393" s="42" t="s">
        <v>3357</v>
      </c>
      <c r="C1393" s="53" t="s">
        <v>203</v>
      </c>
      <c r="E1393" s="20"/>
      <c r="F13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3" s="93"/>
      <c r="H1393" s="19"/>
      <c r="I1393" s="19">
        <v>45754</v>
      </c>
      <c r="J1393" s="90" t="str">
        <f>IF(Table26[[#This Row],[customerSKU]]="","",_xlfn.XLOOKUP(Table26[[#This Row],[customerSKU]],customerSKU!G:G,customerSKU!A:A,"",0,1))</f>
        <v/>
      </c>
      <c r="K1393" s="232">
        <v>45755</v>
      </c>
      <c r="L1393" s="49" t="str">
        <f>IF(Table26[[#This Row],[customerSKU]]="","",_xlfn.XLOOKUP(Table26[[#This Row],[customerSKU]],customerSKU!G:G,customerSKU!B:B,"",0,1))</f>
        <v/>
      </c>
      <c r="M1393" s="262"/>
      <c r="N1393" s="366" t="str">
        <f>Table26[[#This Row],[po_number]]&amp;"-"&amp;Table26[[#This Row],[po_line]]</f>
        <v>-1</v>
      </c>
      <c r="O1393" s="366">
        <v>1</v>
      </c>
      <c r="P1393" s="50"/>
      <c r="Q1393" s="22" t="s">
        <v>3440</v>
      </c>
      <c r="R1393" s="22" t="s">
        <v>569</v>
      </c>
      <c r="S1393" s="90" t="str">
        <f>IF(Table26[[#This Row],[customerSKU]]="","",_xlfn.XLOOKUP(Table26[[#This Row],[customerSKU]],customerSKU!G:G,customerSKU!N:N,"NOT FOUND",0,1))</f>
        <v>NOT FOUND</v>
      </c>
      <c r="T1393" s="20">
        <v>45754</v>
      </c>
      <c r="U1393" s="94">
        <v>480</v>
      </c>
      <c r="V1393" s="22" t="str">
        <f>IF(ISBLANK(Table26[[#This Row],[customerSKU]]),"",_xlfn.XLOOKUP(Table26[[#This Row],[customerSKU]],Table27[customer_SKU],Table27[case_size],"",0,1))</f>
        <v/>
      </c>
      <c r="W1393" s="117" t="str">
        <f t="shared" si="59"/>
        <v/>
      </c>
      <c r="X1393" s="22" t="str">
        <f t="shared" si="60"/>
        <v/>
      </c>
      <c r="Y1393" s="25" t="str">
        <f>IF(Table26[[#This Row],[customerSKU]]="","",_xlfn.XLOOKUP(Table26[[#This Row],[customerSKU]],Table27[customer_SKU],Table27[product_GTIN],"",0,1))</f>
        <v/>
      </c>
      <c r="Z1393" s="25" t="s">
        <v>3441</v>
      </c>
      <c r="AA1393" s="18" t="str" cm="1">
        <f t="array" ref="AA1393">IF(P1393="", "", _xlfn.XLOOKUP(P1393,#REF!,#REF!,NA,0,-1))</f>
        <v/>
      </c>
      <c r="AB1393" s="22"/>
      <c r="AC1393" s="55" t="str">
        <f>IF(Table26[[#This Row],[customerSKU]]="","",_xlfn.XLOOKUP(Table26[[#This Row],[customerSKU]],customerSKU!G:G,customerSKU!C:C,"",0,1))</f>
        <v/>
      </c>
      <c r="AD1393" s="55" t="str">
        <f>IF($AC1393="","",_xlfn.XLOOKUP($AC1393,'[2]Client Info'!$C$2:$C$2535,'[2]Client Info'!$D$2:$D$2535,"",0,1))</f>
        <v/>
      </c>
      <c r="AE1393" s="55" t="str">
        <f>IF($AC1393="","",_xlfn.XLOOKUP($AC1393,'[2]Client Info'!$C$2:$C$2715,'[2]Client Info'!$E$2:$E$2715,"",))</f>
        <v/>
      </c>
      <c r="AF1393" s="55" t="str">
        <f>IF($AC1393="","",_xlfn.XLOOKUP($AC1393,'[2]Client Info'!$C$2:$C$2715,'[2]Client Info'!$F$2:$F$2715,"",0,1))</f>
        <v/>
      </c>
      <c r="AG1393" s="55" t="str">
        <f>IF(ISBLANK(Table26[[#This Row],[customerSKU]]),"",_xlfn.XLOOKUP(Table26[[#This Row],[customerSKU]],Table27[customer_SKU],Table27[billto],"",0,1))</f>
        <v/>
      </c>
      <c r="AH1393" s="26" t="str">
        <f>_xlfn.XLOOKUP(Table26[[#This Row],[customerSKU]],customerSKU!G:G,customerSKU!K:K,"NA",0,1)</f>
        <v>NA</v>
      </c>
      <c r="AI1393" s="43" t="str">
        <f>_xlfn.XLOOKUP(Table26[[#This Row],[customerSKU]],customerSKU!G:G,customerSKU!O:O,"not found",0,1)</f>
        <v>not found</v>
      </c>
      <c r="AJ1393" s="22" t="e">
        <f>Table26[[#This Row],[unitprice]]*Table26[[#This Row],[quantity_unit]]</f>
        <v>#VALUE!</v>
      </c>
      <c r="AK1393" s="227" t="e" cm="1">
        <f t="array" ref="AK13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394" spans="1:37" ht="18" customHeight="1">
      <c r="A1394" s="42">
        <v>856</v>
      </c>
      <c r="B1394" s="42" t="s">
        <v>3357</v>
      </c>
      <c r="C1394" s="53" t="s">
        <v>203</v>
      </c>
      <c r="E1394" s="20"/>
      <c r="F13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4" s="93"/>
      <c r="H1394" s="19"/>
      <c r="I1394" s="19">
        <v>45754</v>
      </c>
      <c r="J1394" s="90" t="s">
        <v>3444</v>
      </c>
      <c r="K1394" s="232">
        <v>45755</v>
      </c>
      <c r="L1394" s="49" t="str">
        <f>IF(Table26[[#This Row],[customerSKU]]="","",_xlfn.XLOOKUP(Table26[[#This Row],[customerSKU]],customerSKU!G:G,customerSKU!B:B,"",0,1))</f>
        <v/>
      </c>
      <c r="M1394" s="262"/>
      <c r="N1394" s="366" t="str">
        <f>Table26[[#This Row],[po_number]]&amp;"-"&amp;Table26[[#This Row],[po_line]]</f>
        <v>-1</v>
      </c>
      <c r="O1394" s="366">
        <v>1</v>
      </c>
      <c r="P1394" s="50"/>
      <c r="Q1394" s="22" t="s">
        <v>1632</v>
      </c>
      <c r="R1394" s="22" t="s">
        <v>569</v>
      </c>
      <c r="S1394" s="90" t="str">
        <f>IF(Table26[[#This Row],[customerSKU]]="","",_xlfn.XLOOKUP(Table26[[#This Row],[customerSKU]],customerSKU!G:G,customerSKU!N:N,"NOT FOUND",0,1))</f>
        <v>NOT FOUND</v>
      </c>
      <c r="T1394" s="20">
        <v>45756</v>
      </c>
      <c r="U1394" s="94">
        <v>12</v>
      </c>
      <c r="V1394" s="22" t="str">
        <f>IF(ISBLANK(Table26[[#This Row],[customerSKU]]),"",_xlfn.XLOOKUP(Table26[[#This Row],[customerSKU]],Table27[customer_SKU],Table27[case_size],"",0,1))</f>
        <v/>
      </c>
      <c r="W1394" s="117" t="str">
        <f t="shared" si="59"/>
        <v/>
      </c>
      <c r="X1394" s="22" t="str">
        <f t="shared" si="60"/>
        <v/>
      </c>
      <c r="Y1394" s="25" t="str">
        <f>IF(Table26[[#This Row],[customerSKU]]="","",_xlfn.XLOOKUP(Table26[[#This Row],[customerSKU]],Table27[customer_SKU],Table27[product_GTIN],"",0,1))</f>
        <v/>
      </c>
      <c r="Z1394" s="25" t="s">
        <v>3445</v>
      </c>
      <c r="AA1394" s="18" t="str" cm="1">
        <f t="array" ref="AA1394">IF(P1394="", "", _xlfn.XLOOKUP(P1394,#REF!,#REF!,NA,0,-1))</f>
        <v/>
      </c>
      <c r="AB1394" s="22"/>
      <c r="AC1394" s="55" t="s">
        <v>3449</v>
      </c>
      <c r="AD1394" s="55" t="str">
        <f>IF($AC1394="","",_xlfn.XLOOKUP($AC1394,'[2]Client Info'!$C$2:$C$2535,'[2]Client Info'!$D$2:$D$2535,"",0,1))</f>
        <v>11939 240th Street</v>
      </c>
      <c r="AE1394" s="55" t="str">
        <f>IF($AC1394="","",_xlfn.XLOOKUP($AC1394,'[2]Client Info'!$C$2:$C$2715,'[2]Client Info'!$E$2:$E$2715,"",))</f>
        <v>Maple Ridge</v>
      </c>
      <c r="AF1394" s="55" t="str">
        <f>IF($AC1394="","",_xlfn.XLOOKUP($AC1394,'[2]Client Info'!$C$2:$C$2715,'[2]Client Info'!$F$2:$F$2715,"",0,1))</f>
        <v xml:space="preserve">BC </v>
      </c>
      <c r="AG1394" s="55" t="s">
        <v>3449</v>
      </c>
      <c r="AH1394" s="26" t="str">
        <f>_xlfn.XLOOKUP(Table26[[#This Row],[customerSKU]],customerSKU!G:G,customerSKU!K:K,"NA",0,1)</f>
        <v>NA</v>
      </c>
      <c r="AI1394" s="43" t="str">
        <f>_xlfn.XLOOKUP(Table26[[#This Row],[customerSKU]],customerSKU!G:G,customerSKU!O:O,"not found",0,1)</f>
        <v>not found</v>
      </c>
      <c r="AJ1394" s="22" t="e">
        <f>Table26[[#This Row],[unitprice]]*Table26[[#This Row],[quantity_unit]]</f>
        <v>#VALUE!</v>
      </c>
      <c r="AK1394" s="227" t="e" cm="1">
        <f t="array" ref="AK13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395" spans="1:37" ht="18" customHeight="1">
      <c r="A1395" s="42">
        <v>857</v>
      </c>
      <c r="B1395" s="42" t="s">
        <v>3357</v>
      </c>
      <c r="C1395" s="53" t="s">
        <v>203</v>
      </c>
      <c r="E1395" s="20"/>
      <c r="F13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5" s="93"/>
      <c r="H1395" s="19"/>
      <c r="I1395" s="19">
        <v>45754</v>
      </c>
      <c r="J1395" s="90" t="s">
        <v>3444</v>
      </c>
      <c r="K1395" s="232">
        <v>45755</v>
      </c>
      <c r="L1395" s="49" t="str">
        <f>IF(Table26[[#This Row],[customerSKU]]="","",_xlfn.XLOOKUP(Table26[[#This Row],[customerSKU]],customerSKU!G:G,customerSKU!B:B,"",0,1))</f>
        <v/>
      </c>
      <c r="M1395" s="262"/>
      <c r="N1395" s="366" t="str">
        <f>Table26[[#This Row],[po_number]]&amp;"-"&amp;Table26[[#This Row],[po_line]]</f>
        <v>-2</v>
      </c>
      <c r="O1395" s="366">
        <v>2</v>
      </c>
      <c r="P1395" s="50"/>
      <c r="Q1395" s="24" t="s">
        <v>1313</v>
      </c>
      <c r="R1395" s="22" t="s">
        <v>569</v>
      </c>
      <c r="S1395" s="90" t="str">
        <f>IF(Table26[[#This Row],[customerSKU]]="","",_xlfn.XLOOKUP(Table26[[#This Row],[customerSKU]],customerSKU!G:G,customerSKU!N:N,"NOT FOUND",0,1))</f>
        <v>NOT FOUND</v>
      </c>
      <c r="T1395" s="20">
        <v>45575</v>
      </c>
      <c r="U1395" s="94">
        <v>5</v>
      </c>
      <c r="V1395" s="22" t="str">
        <f>IF(ISBLANK(Table26[[#This Row],[customerSKU]]),"",_xlfn.XLOOKUP(Table26[[#This Row],[customerSKU]],Table27[customer_SKU],Table27[case_size],"",0,1))</f>
        <v/>
      </c>
      <c r="W1395" s="117" t="str">
        <f t="shared" si="59"/>
        <v/>
      </c>
      <c r="X1395" s="22" t="str">
        <f t="shared" si="60"/>
        <v/>
      </c>
      <c r="Y1395" s="25" t="str">
        <f>IF(Table26[[#This Row],[customerSKU]]="","",_xlfn.XLOOKUP(Table26[[#This Row],[customerSKU]],Table27[customer_SKU],Table27[product_GTIN],"",0,1))</f>
        <v/>
      </c>
      <c r="Z1395" s="25" t="s">
        <v>3432</v>
      </c>
      <c r="AA1395" s="18" t="str" cm="1">
        <f t="array" ref="AA1395">IF(P1395="", "", _xlfn.XLOOKUP(P1395,#REF!,#REF!,NA,0,-1))</f>
        <v/>
      </c>
      <c r="AB1395" s="22"/>
      <c r="AC1395" s="55" t="s">
        <v>3449</v>
      </c>
      <c r="AD1395" s="55" t="str">
        <f>IF($AC1395="","",_xlfn.XLOOKUP($AC1395,'[2]Client Info'!$C$2:$C$2535,'[2]Client Info'!$D$2:$D$2535,"",0,1))</f>
        <v>11939 240th Street</v>
      </c>
      <c r="AE1395" s="55" t="str">
        <f>IF($AC1395="","",_xlfn.XLOOKUP($AC1395,'[2]Client Info'!$C$2:$C$2715,'[2]Client Info'!$E$2:$E$2715,"",))</f>
        <v>Maple Ridge</v>
      </c>
      <c r="AF1395" s="55" t="str">
        <f>IF($AC1395="","",_xlfn.XLOOKUP($AC1395,'[2]Client Info'!$C$2:$C$2715,'[2]Client Info'!$F$2:$F$2715,"",0,1))</f>
        <v xml:space="preserve">BC </v>
      </c>
      <c r="AG1395" s="55" t="s">
        <v>3449</v>
      </c>
      <c r="AH1395" s="26" t="str">
        <f>_xlfn.XLOOKUP(Table26[[#This Row],[customerSKU]],customerSKU!G:G,customerSKU!K:K,"NA",0,1)</f>
        <v>NA</v>
      </c>
      <c r="AI1395" s="43" t="str">
        <f>_xlfn.XLOOKUP(Table26[[#This Row],[customerSKU]],customerSKU!G:G,customerSKU!O:O,"not found",0,1)</f>
        <v>not found</v>
      </c>
      <c r="AJ1395" s="22" t="e">
        <f>Table26[[#This Row],[unitprice]]*Table26[[#This Row],[quantity_unit]]</f>
        <v>#VALUE!</v>
      </c>
      <c r="AK1395" s="227" t="e" cm="1">
        <f t="array" ref="AK13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396" spans="1:37" ht="18" customHeight="1">
      <c r="A1396" s="42">
        <v>858</v>
      </c>
      <c r="B1396" s="42" t="s">
        <v>3357</v>
      </c>
      <c r="C1396" s="53" t="s">
        <v>203</v>
      </c>
      <c r="E1396" s="20"/>
      <c r="F13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6" s="93"/>
      <c r="H1396" s="19"/>
      <c r="I1396" s="19">
        <v>45754</v>
      </c>
      <c r="J1396" s="90" t="s">
        <v>3444</v>
      </c>
      <c r="K1396" s="232">
        <v>45755</v>
      </c>
      <c r="L1396" s="49" t="str">
        <f>IF(Table26[[#This Row],[customerSKU]]="","",_xlfn.XLOOKUP(Table26[[#This Row],[customerSKU]],customerSKU!G:G,customerSKU!B:B,"",0,1))</f>
        <v/>
      </c>
      <c r="M1396" s="262"/>
      <c r="N1396" s="366" t="str">
        <f>Table26[[#This Row],[po_number]]&amp;"-"&amp;Table26[[#This Row],[po_line]]</f>
        <v>-3</v>
      </c>
      <c r="O1396" s="366">
        <v>3</v>
      </c>
      <c r="P1396" s="50"/>
      <c r="Q1396" s="24" t="s">
        <v>589</v>
      </c>
      <c r="R1396" s="22" t="s">
        <v>569</v>
      </c>
      <c r="S1396" s="90" t="str">
        <f>IF(Table26[[#This Row],[customerSKU]]="","",_xlfn.XLOOKUP(Table26[[#This Row],[customerSKU]],customerSKU!G:G,customerSKU!N:N,"NOT FOUND",0,1))</f>
        <v>NOT FOUND</v>
      </c>
      <c r="T1396" s="20">
        <v>45581</v>
      </c>
      <c r="U1396" s="94">
        <v>7</v>
      </c>
      <c r="V1396" s="22" t="str">
        <f>IF(ISBLANK(Table26[[#This Row],[customerSKU]]),"",_xlfn.XLOOKUP(Table26[[#This Row],[customerSKU]],Table27[customer_SKU],Table27[case_size],"",0,1))</f>
        <v/>
      </c>
      <c r="W1396" s="117" t="str">
        <f t="shared" si="59"/>
        <v/>
      </c>
      <c r="X1396" s="22" t="str">
        <f t="shared" si="60"/>
        <v/>
      </c>
      <c r="Y1396" s="25" t="str">
        <f>IF(Table26[[#This Row],[customerSKU]]="","",_xlfn.XLOOKUP(Table26[[#This Row],[customerSKU]],Table27[customer_SKU],Table27[product_GTIN],"",0,1))</f>
        <v/>
      </c>
      <c r="Z1396" s="25" t="s">
        <v>3432</v>
      </c>
      <c r="AA1396" s="18" t="str" cm="1">
        <f t="array" ref="AA1396">IF(P1396="", "", _xlfn.XLOOKUP(P1396,#REF!,#REF!,NA,0,-1))</f>
        <v/>
      </c>
      <c r="AB1396" s="22"/>
      <c r="AC1396" s="55" t="s">
        <v>3449</v>
      </c>
      <c r="AD1396" s="55" t="str">
        <f>IF($AC1396="","",_xlfn.XLOOKUP($AC1396,'[2]Client Info'!$C$2:$C$2535,'[2]Client Info'!$D$2:$D$2535,"",0,1))</f>
        <v>11939 240th Street</v>
      </c>
      <c r="AE1396" s="55" t="str">
        <f>IF($AC1396="","",_xlfn.XLOOKUP($AC1396,'[2]Client Info'!$C$2:$C$2715,'[2]Client Info'!$E$2:$E$2715,"",))</f>
        <v>Maple Ridge</v>
      </c>
      <c r="AF1396" s="55" t="str">
        <f>IF($AC1396="","",_xlfn.XLOOKUP($AC1396,'[2]Client Info'!$C$2:$C$2715,'[2]Client Info'!$F$2:$F$2715,"",0,1))</f>
        <v xml:space="preserve">BC </v>
      </c>
      <c r="AG1396" s="55" t="s">
        <v>3449</v>
      </c>
      <c r="AH1396" s="26" t="str">
        <f>_xlfn.XLOOKUP(Table26[[#This Row],[customerSKU]],customerSKU!G:G,customerSKU!K:K,"NA",0,1)</f>
        <v>NA</v>
      </c>
      <c r="AI1396" s="43" t="str">
        <f>_xlfn.XLOOKUP(Table26[[#This Row],[customerSKU]],customerSKU!G:G,customerSKU!O:O,"not found",0,1)</f>
        <v>not found</v>
      </c>
      <c r="AJ1396" s="22" t="e">
        <f>Table26[[#This Row],[unitprice]]*Table26[[#This Row],[quantity_unit]]</f>
        <v>#VALUE!</v>
      </c>
      <c r="AK1396" s="227" t="e" cm="1">
        <f t="array" ref="AK13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397" spans="1:37" ht="18" customHeight="1">
      <c r="A1397" s="42">
        <v>859</v>
      </c>
      <c r="B1397" s="42" t="s">
        <v>3357</v>
      </c>
      <c r="C1397" s="53" t="s">
        <v>203</v>
      </c>
      <c r="E1397" s="20"/>
      <c r="F13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7" s="93"/>
      <c r="H1397" s="19"/>
      <c r="I1397" s="19">
        <v>45754</v>
      </c>
      <c r="J1397" s="90" t="s">
        <v>3444</v>
      </c>
      <c r="K1397" s="232">
        <v>45755</v>
      </c>
      <c r="L1397" s="49" t="str">
        <f>IF(Table26[[#This Row],[customerSKU]]="","",_xlfn.XLOOKUP(Table26[[#This Row],[customerSKU]],customerSKU!G:G,customerSKU!B:B,"",0,1))</f>
        <v/>
      </c>
      <c r="M1397" s="262"/>
      <c r="N1397" s="366" t="str">
        <f>Table26[[#This Row],[po_number]]&amp;"-"&amp;Table26[[#This Row],[po_line]]</f>
        <v>-4</v>
      </c>
      <c r="O1397" s="366">
        <v>4</v>
      </c>
      <c r="P1397" s="50"/>
      <c r="Q1397" s="24" t="s">
        <v>574</v>
      </c>
      <c r="R1397" s="22" t="s">
        <v>569</v>
      </c>
      <c r="S1397" s="90" t="str">
        <f>IF(Table26[[#This Row],[customerSKU]]="","",_xlfn.XLOOKUP(Table26[[#This Row],[customerSKU]],customerSKU!G:G,customerSKU!N:N,"NOT FOUND",0,1))</f>
        <v>NOT FOUND</v>
      </c>
      <c r="T1397" s="20">
        <v>45749</v>
      </c>
      <c r="U1397" s="94">
        <v>24</v>
      </c>
      <c r="V1397" s="22" t="str">
        <f>IF(ISBLANK(Table26[[#This Row],[customerSKU]]),"",_xlfn.XLOOKUP(Table26[[#This Row],[customerSKU]],Table27[customer_SKU],Table27[case_size],"",0,1))</f>
        <v/>
      </c>
      <c r="W1397" s="117" t="str">
        <f t="shared" si="59"/>
        <v/>
      </c>
      <c r="X1397" s="22" t="str">
        <f t="shared" si="60"/>
        <v/>
      </c>
      <c r="Y1397" s="25" t="str">
        <f>IF(Table26[[#This Row],[customerSKU]]="","",_xlfn.XLOOKUP(Table26[[#This Row],[customerSKU]],Table27[customer_SKU],Table27[product_GTIN],"",0,1))</f>
        <v/>
      </c>
      <c r="Z1397" s="25" t="s">
        <v>3366</v>
      </c>
      <c r="AA1397" s="18" t="str" cm="1">
        <f t="array" ref="AA1397">IF(P1397="", "", _xlfn.XLOOKUP(P1397,#REF!,#REF!,NA,0,-1))</f>
        <v/>
      </c>
      <c r="AB1397" s="22"/>
      <c r="AC1397" s="55" t="s">
        <v>3449</v>
      </c>
      <c r="AD1397" s="55" t="str">
        <f>IF($AC1397="","",_xlfn.XLOOKUP($AC1397,'[2]Client Info'!$C$2:$C$2535,'[2]Client Info'!$D$2:$D$2535,"",0,1))</f>
        <v>11939 240th Street</v>
      </c>
      <c r="AE1397" s="55" t="str">
        <f>IF($AC1397="","",_xlfn.XLOOKUP($AC1397,'[2]Client Info'!$C$2:$C$2715,'[2]Client Info'!$E$2:$E$2715,"",))</f>
        <v>Maple Ridge</v>
      </c>
      <c r="AF1397" s="55" t="str">
        <f>IF($AC1397="","",_xlfn.XLOOKUP($AC1397,'[2]Client Info'!$C$2:$C$2715,'[2]Client Info'!$F$2:$F$2715,"",0,1))</f>
        <v xml:space="preserve">BC </v>
      </c>
      <c r="AG1397" s="55" t="s">
        <v>3449</v>
      </c>
      <c r="AH1397" s="26" t="str">
        <f>_xlfn.XLOOKUP(Table26[[#This Row],[customerSKU]],customerSKU!G:G,customerSKU!K:K,"NA",0,1)</f>
        <v>NA</v>
      </c>
      <c r="AI1397" s="43" t="str">
        <f>_xlfn.XLOOKUP(Table26[[#This Row],[customerSKU]],customerSKU!G:G,customerSKU!O:O,"not found",0,1)</f>
        <v>not found</v>
      </c>
      <c r="AJ1397" s="22" t="e">
        <f>Table26[[#This Row],[unitprice]]*Table26[[#This Row],[quantity_unit]]</f>
        <v>#VALUE!</v>
      </c>
      <c r="AK1397" s="227" t="e" cm="1">
        <f t="array" ref="AK13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398" spans="1:37" ht="18" customHeight="1">
      <c r="A1398" s="42">
        <v>860</v>
      </c>
      <c r="B1398" s="42" t="s">
        <v>3357</v>
      </c>
      <c r="C1398" s="53" t="s">
        <v>203</v>
      </c>
      <c r="E1398" s="20"/>
      <c r="F13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8" s="93"/>
      <c r="H1398" s="19"/>
      <c r="I1398" s="19">
        <v>45754</v>
      </c>
      <c r="J1398" s="90" t="s">
        <v>3444</v>
      </c>
      <c r="K1398" s="232">
        <v>45755</v>
      </c>
      <c r="L1398" s="49" t="str">
        <f>IF(Table26[[#This Row],[customerSKU]]="","",_xlfn.XLOOKUP(Table26[[#This Row],[customerSKU]],customerSKU!G:G,customerSKU!B:B,"",0,1))</f>
        <v/>
      </c>
      <c r="M1398" s="262"/>
      <c r="N1398" s="366" t="str">
        <f>Table26[[#This Row],[po_number]]&amp;"-"&amp;Table26[[#This Row],[po_line]]</f>
        <v>-5</v>
      </c>
      <c r="O1398" s="366">
        <v>5</v>
      </c>
      <c r="P1398" s="50"/>
      <c r="Q1398" s="22" t="s">
        <v>905</v>
      </c>
      <c r="R1398" s="22" t="s">
        <v>569</v>
      </c>
      <c r="S1398" s="90" t="str">
        <f>IF(Table26[[#This Row],[customerSKU]]="","",_xlfn.XLOOKUP(Table26[[#This Row],[customerSKU]],customerSKU!G:G,customerSKU!N:N,"NOT FOUND",0,1))</f>
        <v>NOT FOUND</v>
      </c>
      <c r="T1398" s="20">
        <v>45575</v>
      </c>
      <c r="U1398" s="94">
        <v>12</v>
      </c>
      <c r="V1398" s="22" t="str">
        <f>IF(ISBLANK(Table26[[#This Row],[customerSKU]]),"",_xlfn.XLOOKUP(Table26[[#This Row],[customerSKU]],Table27[customer_SKU],Table27[case_size],"",0,1))</f>
        <v/>
      </c>
      <c r="W1398" s="117" t="str">
        <f t="shared" si="59"/>
        <v/>
      </c>
      <c r="X1398" s="22" t="str">
        <f t="shared" si="60"/>
        <v/>
      </c>
      <c r="Y1398" s="25" t="str">
        <f>IF(Table26[[#This Row],[customerSKU]]="","",_xlfn.XLOOKUP(Table26[[#This Row],[customerSKU]],Table27[customer_SKU],Table27[product_GTIN],"",0,1))</f>
        <v/>
      </c>
      <c r="Z1398" s="25" t="s">
        <v>3377</v>
      </c>
      <c r="AA1398" s="18" t="str" cm="1">
        <f t="array" ref="AA1398">IF(P1398="", "", _xlfn.XLOOKUP(P1398,#REF!,#REF!,NA,0,-1))</f>
        <v/>
      </c>
      <c r="AB1398" s="22"/>
      <c r="AC1398" s="55" t="s">
        <v>3449</v>
      </c>
      <c r="AD1398" s="55" t="str">
        <f>IF($AC1398="","",_xlfn.XLOOKUP($AC1398,'[2]Client Info'!$C$2:$C$2535,'[2]Client Info'!$D$2:$D$2535,"",0,1))</f>
        <v>11939 240th Street</v>
      </c>
      <c r="AE1398" s="55" t="str">
        <f>IF($AC1398="","",_xlfn.XLOOKUP($AC1398,'[2]Client Info'!$C$2:$C$2715,'[2]Client Info'!$E$2:$E$2715,"",))</f>
        <v>Maple Ridge</v>
      </c>
      <c r="AF1398" s="55" t="str">
        <f>IF($AC1398="","",_xlfn.XLOOKUP($AC1398,'[2]Client Info'!$C$2:$C$2715,'[2]Client Info'!$F$2:$F$2715,"",0,1))</f>
        <v xml:space="preserve">BC </v>
      </c>
      <c r="AG1398" s="55" t="s">
        <v>3449</v>
      </c>
      <c r="AH1398" s="26" t="str">
        <f>_xlfn.XLOOKUP(Table26[[#This Row],[customerSKU]],customerSKU!G:G,customerSKU!K:K,"NA",0,1)</f>
        <v>NA</v>
      </c>
      <c r="AI1398" s="43" t="str">
        <f>_xlfn.XLOOKUP(Table26[[#This Row],[customerSKU]],customerSKU!G:G,customerSKU!O:O,"not found",0,1)</f>
        <v>not found</v>
      </c>
      <c r="AJ1398" s="22" t="e">
        <f>Table26[[#This Row],[unitprice]]*Table26[[#This Row],[quantity_unit]]</f>
        <v>#VALUE!</v>
      </c>
      <c r="AK1398" s="227" t="e" cm="1">
        <f t="array" ref="AK13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399" spans="1:37" ht="24.6" customHeight="1">
      <c r="A1399" s="42">
        <v>861</v>
      </c>
      <c r="B1399" s="42" t="s">
        <v>3357</v>
      </c>
      <c r="C1399" s="53" t="s">
        <v>203</v>
      </c>
      <c r="E1399" s="20"/>
      <c r="F13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399" s="93"/>
      <c r="H1399" s="19"/>
      <c r="I1399" s="19">
        <v>45754</v>
      </c>
      <c r="J1399" s="90" t="s">
        <v>3444</v>
      </c>
      <c r="K1399" s="232">
        <v>45755</v>
      </c>
      <c r="L1399" s="49" t="str">
        <f>IF(Table26[[#This Row],[customerSKU]]="","",_xlfn.XLOOKUP(Table26[[#This Row],[customerSKU]],customerSKU!G:G,customerSKU!B:B,"",0,1))</f>
        <v/>
      </c>
      <c r="M1399" s="262"/>
      <c r="N1399" s="366" t="str">
        <f>Table26[[#This Row],[po_number]]&amp;"-"&amp;Table26[[#This Row],[po_line]]</f>
        <v>-6</v>
      </c>
      <c r="O1399" s="366">
        <v>6</v>
      </c>
      <c r="P1399" s="50"/>
      <c r="Q1399" s="24" t="s">
        <v>535</v>
      </c>
      <c r="R1399" s="22" t="s">
        <v>569</v>
      </c>
      <c r="S1399" s="90" t="str">
        <f>IF(Table26[[#This Row],[customerSKU]]="","",_xlfn.XLOOKUP(Table26[[#This Row],[customerSKU]],customerSKU!G:G,customerSKU!N:N,"NOT FOUND",0,1))</f>
        <v>NOT FOUND</v>
      </c>
      <c r="T1399" s="20">
        <v>45630</v>
      </c>
      <c r="U1399" s="94">
        <v>12</v>
      </c>
      <c r="V1399" s="22" t="str">
        <f>IF(ISBLANK(Table26[[#This Row],[customerSKU]]),"",_xlfn.XLOOKUP(Table26[[#This Row],[customerSKU]],Table27[customer_SKU],Table27[case_size],"",0,1))</f>
        <v/>
      </c>
      <c r="W1399" s="117" t="str">
        <f t="shared" si="59"/>
        <v/>
      </c>
      <c r="X1399" s="22" t="str">
        <f t="shared" si="60"/>
        <v/>
      </c>
      <c r="Y1399" s="25" t="str">
        <f>IF(Table26[[#This Row],[customerSKU]]="","",_xlfn.XLOOKUP(Table26[[#This Row],[customerSKU]],Table27[customer_SKU],Table27[product_GTIN],"",0,1))</f>
        <v/>
      </c>
      <c r="Z1399" s="25" t="s">
        <v>3433</v>
      </c>
      <c r="AA1399" s="18" t="str" cm="1">
        <f t="array" ref="AA1399">IF(P1399="", "", _xlfn.XLOOKUP(P1399,#REF!,#REF!,NA,0,-1))</f>
        <v/>
      </c>
      <c r="AB1399" s="22"/>
      <c r="AC1399" s="55" t="s">
        <v>3449</v>
      </c>
      <c r="AD1399" s="55" t="str">
        <f>IF($AC1399="","",_xlfn.XLOOKUP($AC1399,'[2]Client Info'!$C$2:$C$2535,'[2]Client Info'!$D$2:$D$2535,"",0,1))</f>
        <v>11939 240th Street</v>
      </c>
      <c r="AE1399" s="55" t="str">
        <f>IF($AC1399="","",_xlfn.XLOOKUP($AC1399,'[2]Client Info'!$C$2:$C$2715,'[2]Client Info'!$E$2:$E$2715,"",))</f>
        <v>Maple Ridge</v>
      </c>
      <c r="AF1399" s="55" t="str">
        <f>IF($AC1399="","",_xlfn.XLOOKUP($AC1399,'[2]Client Info'!$C$2:$C$2715,'[2]Client Info'!$F$2:$F$2715,"",0,1))</f>
        <v xml:space="preserve">BC </v>
      </c>
      <c r="AG1399" s="55" t="s">
        <v>3449</v>
      </c>
      <c r="AH1399" s="26" t="str">
        <f>_xlfn.XLOOKUP(Table26[[#This Row],[customerSKU]],customerSKU!G:G,customerSKU!K:K,"NA",0,1)</f>
        <v>NA</v>
      </c>
      <c r="AI1399" s="43" t="str">
        <f>_xlfn.XLOOKUP(Table26[[#This Row],[customerSKU]],customerSKU!G:G,customerSKU!O:O,"not found",0,1)</f>
        <v>not found</v>
      </c>
      <c r="AJ1399" s="22" t="e">
        <f>Table26[[#This Row],[unitprice]]*Table26[[#This Row],[quantity_unit]]</f>
        <v>#VALUE!</v>
      </c>
      <c r="AK1399" s="227" t="e" cm="1">
        <f t="array" ref="AK13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400" spans="1:37" ht="24.6" customHeight="1">
      <c r="A1400" s="42">
        <v>862</v>
      </c>
      <c r="B1400" s="42" t="s">
        <v>3357</v>
      </c>
      <c r="C1400" s="53" t="s">
        <v>203</v>
      </c>
      <c r="E1400" s="20"/>
      <c r="F14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0" s="93"/>
      <c r="H1400" s="19"/>
      <c r="I1400" s="19">
        <v>45754</v>
      </c>
      <c r="J1400" s="90" t="s">
        <v>3444</v>
      </c>
      <c r="K1400" s="232">
        <v>45755</v>
      </c>
      <c r="L1400" s="49" t="str">
        <f>IF(Table26[[#This Row],[customerSKU]]="","",_xlfn.XLOOKUP(Table26[[#This Row],[customerSKU]],customerSKU!G:G,customerSKU!B:B,"",0,1))</f>
        <v/>
      </c>
      <c r="M1400" s="262"/>
      <c r="N1400" s="366" t="str">
        <f>Table26[[#This Row],[po_number]]&amp;"-"&amp;Table26[[#This Row],[po_line]]</f>
        <v>-7</v>
      </c>
      <c r="O1400" s="366">
        <v>7</v>
      </c>
      <c r="P1400" s="50"/>
      <c r="Q1400" s="24" t="s">
        <v>625</v>
      </c>
      <c r="R1400" s="22" t="s">
        <v>569</v>
      </c>
      <c r="S1400" s="90" t="str">
        <f>IF(Table26[[#This Row],[customerSKU]]="","",_xlfn.XLOOKUP(Table26[[#This Row],[customerSKU]],customerSKU!G:G,customerSKU!N:N,"NOT FOUND",0,1))</f>
        <v>NOT FOUND</v>
      </c>
      <c r="T1400" s="20">
        <v>45707</v>
      </c>
      <c r="U1400" s="94">
        <v>12</v>
      </c>
      <c r="V1400" s="22" t="str">
        <f>IF(ISBLANK(Table26[[#This Row],[customerSKU]]),"",_xlfn.XLOOKUP(Table26[[#This Row],[customerSKU]],Table27[customer_SKU],Table27[case_size],"",0,1))</f>
        <v/>
      </c>
      <c r="W1400" s="117" t="str">
        <f t="shared" si="59"/>
        <v/>
      </c>
      <c r="X1400" s="22" t="str">
        <f t="shared" si="60"/>
        <v/>
      </c>
      <c r="Y1400" s="25" t="str">
        <f>IF(Table26[[#This Row],[customerSKU]]="","",_xlfn.XLOOKUP(Table26[[#This Row],[customerSKU]],Table27[customer_SKU],Table27[product_GTIN],"",0,1))</f>
        <v/>
      </c>
      <c r="Z1400" s="25" t="s">
        <v>3407</v>
      </c>
      <c r="AA1400" s="18" t="str" cm="1">
        <f t="array" ref="AA1400">IF(P1400="", "", _xlfn.XLOOKUP(P1400,#REF!,#REF!,NA,0,-1))</f>
        <v/>
      </c>
      <c r="AB1400" s="22"/>
      <c r="AC1400" s="55" t="s">
        <v>3449</v>
      </c>
      <c r="AD1400" s="55" t="str">
        <f>IF($AC1400="","",_xlfn.XLOOKUP($AC1400,'[2]Client Info'!$C$2:$C$2535,'[2]Client Info'!$D$2:$D$2535,"",0,1))</f>
        <v>11939 240th Street</v>
      </c>
      <c r="AE1400" s="55" t="str">
        <f>IF($AC1400="","",_xlfn.XLOOKUP($AC1400,'[2]Client Info'!$C$2:$C$2715,'[2]Client Info'!$E$2:$E$2715,"",))</f>
        <v>Maple Ridge</v>
      </c>
      <c r="AF1400" s="55" t="str">
        <f>IF($AC1400="","",_xlfn.XLOOKUP($AC1400,'[2]Client Info'!$C$2:$C$2715,'[2]Client Info'!$F$2:$F$2715,"",0,1))</f>
        <v xml:space="preserve">BC </v>
      </c>
      <c r="AG1400" s="55" t="s">
        <v>3449</v>
      </c>
      <c r="AH1400" s="26" t="str">
        <f>_xlfn.XLOOKUP(Table26[[#This Row],[customerSKU]],customerSKU!G:G,customerSKU!K:K,"NA",0,1)</f>
        <v>NA</v>
      </c>
      <c r="AI1400" s="43" t="str">
        <f>_xlfn.XLOOKUP(Table26[[#This Row],[customerSKU]],customerSKU!G:G,customerSKU!O:O,"not found",0,1)</f>
        <v>not found</v>
      </c>
      <c r="AJ1400" s="22" t="e">
        <f>Table26[[#This Row],[unitprice]]*Table26[[#This Row],[quantity_unit]]</f>
        <v>#VALUE!</v>
      </c>
      <c r="AK1400" s="227" t="e" cm="1">
        <f t="array" ref="AK14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401" spans="1:37" ht="18" customHeight="1">
      <c r="A1401" s="42">
        <v>863</v>
      </c>
      <c r="B1401" s="42" t="s">
        <v>3357</v>
      </c>
      <c r="C1401" s="53" t="s">
        <v>203</v>
      </c>
      <c r="E1401" s="20"/>
      <c r="F14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1" s="93"/>
      <c r="H1401" s="19"/>
      <c r="I1401" s="19">
        <v>45754</v>
      </c>
      <c r="J1401" s="90" t="s">
        <v>3444</v>
      </c>
      <c r="K1401" s="232">
        <v>45755</v>
      </c>
      <c r="L1401" s="49" t="str">
        <f>IF(Table26[[#This Row],[customerSKU]]="","",_xlfn.XLOOKUP(Table26[[#This Row],[customerSKU]],customerSKU!G:G,customerSKU!B:B,"",0,1))</f>
        <v/>
      </c>
      <c r="M1401" s="262"/>
      <c r="N1401" s="366" t="str">
        <f>Table26[[#This Row],[po_number]]&amp;"-"&amp;Table26[[#This Row],[po_line]]</f>
        <v>-8</v>
      </c>
      <c r="O1401" s="366">
        <v>8</v>
      </c>
      <c r="P1401" s="50"/>
      <c r="Q1401" s="24" t="s">
        <v>559</v>
      </c>
      <c r="R1401" s="22" t="s">
        <v>569</v>
      </c>
      <c r="S1401" s="90" t="str">
        <f>IF(Table26[[#This Row],[customerSKU]]="","",_xlfn.XLOOKUP(Table26[[#This Row],[customerSKU]],customerSKU!G:G,customerSKU!N:N,"NOT FOUND",0,1))</f>
        <v>NOT FOUND</v>
      </c>
      <c r="T1401" s="20">
        <v>45740</v>
      </c>
      <c r="U1401" s="94">
        <v>36</v>
      </c>
      <c r="V1401" s="22" t="str">
        <f>IF(ISBLANK(Table26[[#This Row],[customerSKU]]),"",_xlfn.XLOOKUP(Table26[[#This Row],[customerSKU]],Table27[customer_SKU],Table27[case_size],"",0,1))</f>
        <v/>
      </c>
      <c r="W1401" s="117" t="str">
        <f t="shared" si="59"/>
        <v/>
      </c>
      <c r="X1401" s="22" t="str">
        <f t="shared" si="60"/>
        <v/>
      </c>
      <c r="Y1401" s="25" t="str">
        <f>IF(Table26[[#This Row],[customerSKU]]="","",_xlfn.XLOOKUP(Table26[[#This Row],[customerSKU]],Table27[customer_SKU],Table27[product_GTIN],"",0,1))</f>
        <v/>
      </c>
      <c r="Z1401" s="25" t="s">
        <v>3450</v>
      </c>
      <c r="AA1401" s="18" t="str" cm="1">
        <f t="array" ref="AA1401">IF(P1401="", "", _xlfn.XLOOKUP(P1401,#REF!,#REF!,NA,0,-1))</f>
        <v/>
      </c>
      <c r="AB1401" s="22"/>
      <c r="AC1401" s="55" t="s">
        <v>3449</v>
      </c>
      <c r="AD1401" s="55" t="str">
        <f>IF($AC1401="","",_xlfn.XLOOKUP($AC1401,'[2]Client Info'!$C$2:$C$2535,'[2]Client Info'!$D$2:$D$2535,"",0,1))</f>
        <v>11939 240th Street</v>
      </c>
      <c r="AE1401" s="55" t="str">
        <f>IF($AC1401="","",_xlfn.XLOOKUP($AC1401,'[2]Client Info'!$C$2:$C$2715,'[2]Client Info'!$E$2:$E$2715,"",))</f>
        <v>Maple Ridge</v>
      </c>
      <c r="AF1401" s="55" t="str">
        <f>IF($AC1401="","",_xlfn.XLOOKUP($AC1401,'[2]Client Info'!$C$2:$C$2715,'[2]Client Info'!$F$2:$F$2715,"",0,1))</f>
        <v xml:space="preserve">BC </v>
      </c>
      <c r="AG1401" s="55" t="s">
        <v>3449</v>
      </c>
      <c r="AH1401" s="26" t="str">
        <f>_xlfn.XLOOKUP(Table26[[#This Row],[customerSKU]],customerSKU!G:G,customerSKU!K:K,"NA",0,1)</f>
        <v>NA</v>
      </c>
      <c r="AI1401" s="43" t="str">
        <f>_xlfn.XLOOKUP(Table26[[#This Row],[customerSKU]],customerSKU!G:G,customerSKU!O:O,"not found",0,1)</f>
        <v>not found</v>
      </c>
      <c r="AJ1401" s="22" t="e">
        <f>Table26[[#This Row],[unitprice]]*Table26[[#This Row],[quantity_unit]]</f>
        <v>#VALUE!</v>
      </c>
      <c r="AK1401" s="227" t="e" cm="1">
        <f t="array" ref="AK14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402" spans="1:37" ht="18" customHeight="1">
      <c r="A1402" s="42">
        <v>848</v>
      </c>
      <c r="B1402" s="42" t="s">
        <v>3357</v>
      </c>
      <c r="C1402" s="53" t="s">
        <v>203</v>
      </c>
      <c r="E1402" s="20"/>
      <c r="F14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2" s="93"/>
      <c r="I1402" s="19">
        <v>45755</v>
      </c>
      <c r="J1402" s="90" t="str">
        <f>IF(Table26[[#This Row],[customerSKU]]="","",_xlfn.XLOOKUP(Table26[[#This Row],[customerSKU]],customerSKU!G:G,customerSKU!A:A,"",0,1))</f>
        <v/>
      </c>
      <c r="K1402" s="232">
        <v>45756</v>
      </c>
      <c r="L1402" s="49" t="str">
        <f>IF(Table26[[#This Row],[customerSKU]]="","",_xlfn.XLOOKUP(Table26[[#This Row],[customerSKU]],customerSKU!G:G,customerSKU!B:B,"",0,1))</f>
        <v/>
      </c>
      <c r="M1402" s="262"/>
      <c r="N1402" s="366" t="str">
        <f>Table26[[#This Row],[po_number]]&amp;"-"&amp;Table26[[#This Row],[po_line]]</f>
        <v>-1</v>
      </c>
      <c r="O1402" s="366">
        <v>1</v>
      </c>
      <c r="P1402" s="50"/>
      <c r="Q1402" s="22" t="s">
        <v>3458</v>
      </c>
      <c r="R1402" s="22" t="s">
        <v>569</v>
      </c>
      <c r="S1402" s="90" t="str">
        <f>IF(Table26[[#This Row],[customerSKU]]="","",_xlfn.XLOOKUP(Table26[[#This Row],[customerSKU]],customerSKU!G:G,customerSKU!N:N,"NOT FOUND",0,1))</f>
        <v>NOT FOUND</v>
      </c>
      <c r="T1402" s="20">
        <v>45744</v>
      </c>
      <c r="U1402" s="94">
        <v>480</v>
      </c>
      <c r="V1402" s="22" t="str">
        <f>IF(ISBLANK(Table26[[#This Row],[customerSKU]]),"",_xlfn.XLOOKUP(Table26[[#This Row],[customerSKU]],Table27[customer_SKU],Table27[case_size],"",0,1))</f>
        <v/>
      </c>
      <c r="W1402" s="117" t="str">
        <f t="shared" si="59"/>
        <v/>
      </c>
      <c r="X1402" s="22" t="str">
        <f t="shared" si="60"/>
        <v/>
      </c>
      <c r="Y1402" s="25" t="str">
        <f>IF(Table26[[#This Row],[customerSKU]]="","",_xlfn.XLOOKUP(Table26[[#This Row],[customerSKU]],Table27[customer_SKU],Table27[product_GTIN],"",0,1))</f>
        <v/>
      </c>
      <c r="Z1402" s="25" t="s">
        <v>3459</v>
      </c>
      <c r="AA1402" s="18" t="str" cm="1">
        <f t="array" ref="AA1402">IF(P1402="", "", _xlfn.XLOOKUP(P1402,#REF!,#REF!,NA,0,-1))</f>
        <v/>
      </c>
      <c r="AB1402" s="22"/>
      <c r="AC1402" s="55" t="str">
        <f>IF(Table26[[#This Row],[customerSKU]]="","",_xlfn.XLOOKUP(Table26[[#This Row],[customerSKU]],customerSKU!G:G,customerSKU!C:C,"",0,1))</f>
        <v/>
      </c>
      <c r="AD1402" s="55" t="str">
        <f>IF($AC1402="","",_xlfn.XLOOKUP($AC1402,'[2]Client Info'!$C$2:$C$2535,'[2]Client Info'!$D$2:$D$2535,"",0,1))</f>
        <v/>
      </c>
      <c r="AE1402" s="55" t="str">
        <f>IF($AC1402="","",_xlfn.XLOOKUP($AC1402,'[2]Client Info'!$C$2:$C$2715,'[2]Client Info'!$E$2:$E$2715,"",))</f>
        <v/>
      </c>
      <c r="AF1402" s="55" t="str">
        <f>IF($AC1402="","",_xlfn.XLOOKUP($AC1402,'[2]Client Info'!$C$2:$C$2715,'[2]Client Info'!$F$2:$F$2715,"",0,1))</f>
        <v/>
      </c>
      <c r="AG1402" s="55" t="str">
        <f>IF(ISBLANK(Table26[[#This Row],[customerSKU]]),"",_xlfn.XLOOKUP(Table26[[#This Row],[customerSKU]],Table27[customer_SKU],Table27[billto],"",0,1))</f>
        <v/>
      </c>
      <c r="AH1402" s="26" t="str">
        <f>_xlfn.XLOOKUP(Table26[[#This Row],[customerSKU]],customerSKU!G:G,customerSKU!K:K,"NA",0,1)</f>
        <v>NA</v>
      </c>
      <c r="AI1402" s="43" t="str">
        <f>_xlfn.XLOOKUP(Table26[[#This Row],[customerSKU]],customerSKU!G:G,customerSKU!O:O,"not found",0,1)</f>
        <v>not found</v>
      </c>
      <c r="AJ1402" s="22" t="e">
        <f>Table26[[#This Row],[unitprice]]*Table26[[#This Row],[quantity_unit]]</f>
        <v>#VALUE!</v>
      </c>
      <c r="AK1402" s="227" t="e" cm="1">
        <f t="array" ref="AK14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03" spans="1:37" ht="18" customHeight="1">
      <c r="A1403" s="42">
        <v>849</v>
      </c>
      <c r="B1403" s="42" t="s">
        <v>3357</v>
      </c>
      <c r="C1403" s="53" t="s">
        <v>203</v>
      </c>
      <c r="E1403" s="20"/>
      <c r="F14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3" s="93"/>
      <c r="I1403" s="19">
        <v>45756</v>
      </c>
      <c r="J1403" s="90" t="str">
        <f>IF(Table26[[#This Row],[customerSKU]]="","",_xlfn.XLOOKUP(Table26[[#This Row],[customerSKU]],customerSKU!G:G,customerSKU!A:A,"",0,1))</f>
        <v/>
      </c>
      <c r="K1403" s="232">
        <v>45756</v>
      </c>
      <c r="L1403" s="49" t="str">
        <f>IF(Table26[[#This Row],[customerSKU]]="","",_xlfn.XLOOKUP(Table26[[#This Row],[customerSKU]],customerSKU!G:G,customerSKU!B:B,"",0,1))</f>
        <v/>
      </c>
      <c r="M1403" s="262"/>
      <c r="N1403" s="366" t="str">
        <f>Table26[[#This Row],[po_number]]&amp;"-"&amp;Table26[[#This Row],[po_line]]</f>
        <v>-1</v>
      </c>
      <c r="O1403" s="366">
        <v>1</v>
      </c>
      <c r="P1403" s="50"/>
      <c r="Q1403" s="22" t="s">
        <v>3437</v>
      </c>
      <c r="R1403" s="22" t="s">
        <v>569</v>
      </c>
      <c r="S1403" s="90" t="str">
        <f>IF(Table26[[#This Row],[customerSKU]]="","",_xlfn.XLOOKUP(Table26[[#This Row],[customerSKU]],customerSKU!G:G,customerSKU!N:N,"NOT FOUND",0,1))</f>
        <v>NOT FOUND</v>
      </c>
      <c r="T1403" s="20">
        <v>45723</v>
      </c>
      <c r="U1403" s="94">
        <v>24</v>
      </c>
      <c r="V1403" s="22" t="str">
        <f>IF(ISBLANK(Table26[[#This Row],[customerSKU]]),"",_xlfn.XLOOKUP(Table26[[#This Row],[customerSKU]],Table27[customer_SKU],Table27[case_size],"",0,1))</f>
        <v/>
      </c>
      <c r="W1403" s="117" t="str">
        <f t="shared" si="59"/>
        <v/>
      </c>
      <c r="X1403" s="22" t="str">
        <f t="shared" si="60"/>
        <v/>
      </c>
      <c r="Y1403" s="25" t="str">
        <f>IF(Table26[[#This Row],[customerSKU]]="","",_xlfn.XLOOKUP(Table26[[#This Row],[customerSKU]],Table27[customer_SKU],Table27[product_GTIN],"",0,1))</f>
        <v/>
      </c>
      <c r="Z1403" s="25" t="s">
        <v>3463</v>
      </c>
      <c r="AA1403" s="18" t="str" cm="1">
        <f t="array" ref="AA1403">IF(P1403="", "", _xlfn.XLOOKUP(P1403,#REF!,#REF!,NA,0,-1))</f>
        <v/>
      </c>
      <c r="AB1403" s="22"/>
      <c r="AC1403" s="55" t="str">
        <f>IF(Table26[[#This Row],[customerSKU]]="","",_xlfn.XLOOKUP(Table26[[#This Row],[customerSKU]],customerSKU!G:G,customerSKU!C:C,"",0,1))</f>
        <v/>
      </c>
      <c r="AD1403" s="55" t="str">
        <f>IF($AC1403="","",_xlfn.XLOOKUP($AC1403,'[2]Client Info'!$C$2:$C$2535,'[2]Client Info'!$D$2:$D$2535,"",0,1))</f>
        <v/>
      </c>
      <c r="AE1403" s="55" t="str">
        <f>IF($AC1403="","",_xlfn.XLOOKUP($AC1403,'[2]Client Info'!$C$2:$C$2715,'[2]Client Info'!$E$2:$E$2715,"",))</f>
        <v/>
      </c>
      <c r="AF1403" s="55" t="str">
        <f>IF($AC1403="","",_xlfn.XLOOKUP($AC1403,'[2]Client Info'!$C$2:$C$2715,'[2]Client Info'!$F$2:$F$2715,"",0,1))</f>
        <v/>
      </c>
      <c r="AG1403" s="55" t="str">
        <f>IF(ISBLANK(Table26[[#This Row],[customerSKU]]),"",_xlfn.XLOOKUP(Table26[[#This Row],[customerSKU]],Table27[customer_SKU],Table27[billto],"",0,1))</f>
        <v/>
      </c>
      <c r="AH1403" s="26" t="str">
        <f>_xlfn.XLOOKUP(Table26[[#This Row],[customerSKU]],customerSKU!G:G,customerSKU!K:K,"NA",0,1)</f>
        <v>NA</v>
      </c>
      <c r="AI1403" s="43" t="str">
        <f>_xlfn.XLOOKUP(Table26[[#This Row],[customerSKU]],customerSKU!G:G,customerSKU!O:O,"not found",0,1)</f>
        <v>not found</v>
      </c>
      <c r="AJ1403" s="22" t="e">
        <f>Table26[[#This Row],[unitprice]]*Table26[[#This Row],[quantity_unit]]</f>
        <v>#VALUE!</v>
      </c>
      <c r="AK1403" s="227" t="e" cm="1">
        <f t="array" ref="AK14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04" spans="1:37" ht="18" customHeight="1">
      <c r="A1404" s="42">
        <v>800</v>
      </c>
      <c r="B1404" s="42" t="s">
        <v>3357</v>
      </c>
      <c r="C1404" s="53" t="s">
        <v>203</v>
      </c>
      <c r="E1404" s="20"/>
      <c r="F14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4" s="93"/>
      <c r="H1404" s="19"/>
      <c r="I1404" s="19">
        <v>45754</v>
      </c>
      <c r="J1404" s="90" t="s">
        <v>3444</v>
      </c>
      <c r="K1404" s="232">
        <v>45757</v>
      </c>
      <c r="L1404" s="49" t="str">
        <f>IF(Table26[[#This Row],[customerSKU]]="","",_xlfn.XLOOKUP(Table26[[#This Row],[customerSKU]],customerSKU!G:G,customerSKU!B:B,"",0,1))</f>
        <v/>
      </c>
      <c r="M1404" s="262"/>
      <c r="N1404" s="366" t="str">
        <f>Table26[[#This Row],[po_number]]&amp;"-"&amp;Table26[[#This Row],[po_line]]</f>
        <v>-1</v>
      </c>
      <c r="O1404" s="366">
        <v>1</v>
      </c>
      <c r="P1404" s="50"/>
      <c r="Q1404" s="22" t="s">
        <v>1632</v>
      </c>
      <c r="R1404" s="22" t="s">
        <v>569</v>
      </c>
      <c r="S1404" s="90" t="str">
        <f>IF(Table26[[#This Row],[customerSKU]]="","",_xlfn.XLOOKUP(Table26[[#This Row],[customerSKU]],customerSKU!G:G,customerSKU!N:N,"NOT FOUND",0,1))</f>
        <v>NOT FOUND</v>
      </c>
      <c r="T1404" s="20">
        <v>45756</v>
      </c>
      <c r="U1404" s="94">
        <v>24</v>
      </c>
      <c r="V1404" s="22" t="str">
        <f>IF(ISBLANK(Table26[[#This Row],[customerSKU]]),"",_xlfn.XLOOKUP(Table26[[#This Row],[customerSKU]],Table27[customer_SKU],Table27[case_size],"",0,1))</f>
        <v/>
      </c>
      <c r="W1404" s="117" t="str">
        <f t="shared" si="59"/>
        <v/>
      </c>
      <c r="X1404" s="22" t="str">
        <f t="shared" si="60"/>
        <v/>
      </c>
      <c r="Y1404" s="25" t="str">
        <f>IF(Table26[[#This Row],[customerSKU]]="","",_xlfn.XLOOKUP(Table26[[#This Row],[customerSKU]],Table27[customer_SKU],Table27[product_GTIN],"",0,1))</f>
        <v/>
      </c>
      <c r="Z1404" s="25" t="s">
        <v>3445</v>
      </c>
      <c r="AA1404" s="18" t="str" cm="1">
        <f t="array" ref="AA1404">IF(P1404="", "", _xlfn.XLOOKUP(P1404,#REF!,#REF!,NA,0,-1))</f>
        <v/>
      </c>
      <c r="AB1404" s="22"/>
      <c r="AC1404" s="55" t="s">
        <v>3446</v>
      </c>
      <c r="AD1404" s="55" t="str">
        <f>IF($AC1404="","",_xlfn.XLOOKUP($AC1404,'[2]Client Info'!$C$2:$C$2535,'[2]Client Info'!$D$2:$D$2535,"",0,1))</f>
        <v>#102-935 Brunette Ave</v>
      </c>
      <c r="AE1404" s="55" t="str">
        <f>IF($AC1404="","",_xlfn.XLOOKUP($AC1404,'[2]Client Info'!$C$2:$C$2715,'[2]Client Info'!$E$2:$E$2715,"",))</f>
        <v>Coquitlam</v>
      </c>
      <c r="AF1404" s="55" t="str">
        <f>IF($AC1404="","",_xlfn.XLOOKUP($AC1404,'[2]Client Info'!$C$2:$C$2715,'[2]Client Info'!$F$2:$F$2715,"",0,1))</f>
        <v>BC</v>
      </c>
      <c r="AG1404" s="55" t="s">
        <v>3446</v>
      </c>
      <c r="AH1404" s="26" t="str">
        <f>_xlfn.XLOOKUP(Table26[[#This Row],[customerSKU]],customerSKU!G:G,customerSKU!K:K,"NA",0,1)</f>
        <v>NA</v>
      </c>
      <c r="AI1404" s="43" t="str">
        <f>_xlfn.XLOOKUP(Table26[[#This Row],[customerSKU]],customerSKU!G:G,customerSKU!O:O,"not found",0,1)</f>
        <v>not found</v>
      </c>
      <c r="AJ1404" s="22" t="e">
        <f>Table26[[#This Row],[unitprice]]*Table26[[#This Row],[quantity_unit]]</f>
        <v>#VALUE!</v>
      </c>
      <c r="AK1404" s="227" t="e" cm="1">
        <f t="array" ref="AK14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#VALUE!</v>
      </c>
    </row>
    <row r="1405" spans="1:37" ht="18" customHeight="1">
      <c r="A1405" s="42">
        <v>801</v>
      </c>
      <c r="B1405" s="42" t="s">
        <v>3357</v>
      </c>
      <c r="C1405" s="53" t="s">
        <v>203</v>
      </c>
      <c r="E1405" s="20"/>
      <c r="F14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5" s="93"/>
      <c r="H1405" s="19"/>
      <c r="I1405" s="19">
        <v>45754</v>
      </c>
      <c r="J1405" s="90" t="str">
        <f>IF(Table26[[#This Row],[customerSKU]]="","",_xlfn.XLOOKUP(Table26[[#This Row],[customerSKU]],customerSKU!G:G,customerSKU!A:A,"",0,1))</f>
        <v/>
      </c>
      <c r="K1405" s="232">
        <v>45757</v>
      </c>
      <c r="L1405" s="49" t="str">
        <f>IF(Table26[[#This Row],[customerSKU]]="","",_xlfn.XLOOKUP(Table26[[#This Row],[customerSKU]],customerSKU!G:G,customerSKU!B:B,"",0,1))</f>
        <v/>
      </c>
      <c r="M1405" s="262"/>
      <c r="N1405" s="366" t="str">
        <f>Table26[[#This Row],[po_number]]&amp;"-"&amp;Table26[[#This Row],[po_line]]</f>
        <v>-2</v>
      </c>
      <c r="O1405" s="366">
        <v>2</v>
      </c>
      <c r="P1405" s="50"/>
      <c r="Q1405" s="22" t="s">
        <v>587</v>
      </c>
      <c r="R1405" s="22" t="s">
        <v>569</v>
      </c>
      <c r="S1405" s="90" t="str">
        <f>IF(Table26[[#This Row],[customerSKU]]="","",_xlfn.XLOOKUP(Table26[[#This Row],[customerSKU]],customerSKU!G:G,customerSKU!N:N,"NOT FOUND",0,1))</f>
        <v>NOT FOUND</v>
      </c>
      <c r="T1405" s="20">
        <v>45742</v>
      </c>
      <c r="U1405" s="94">
        <v>24</v>
      </c>
      <c r="V1405" s="22" t="str">
        <f>IF(ISBLANK(Table26[[#This Row],[customerSKU]]),"",_xlfn.XLOOKUP(Table26[[#This Row],[customerSKU]],Table27[customer_SKU],Table27[case_size],"",0,1))</f>
        <v/>
      </c>
      <c r="W1405" s="117" t="str">
        <f t="shared" si="59"/>
        <v/>
      </c>
      <c r="X1405" s="22" t="str">
        <f t="shared" si="60"/>
        <v/>
      </c>
      <c r="Y1405" s="25" t="str">
        <f>IF(Table26[[#This Row],[customerSKU]]="","",_xlfn.XLOOKUP(Table26[[#This Row],[customerSKU]],Table27[customer_SKU],Table27[product_GTIN],"",0,1))</f>
        <v/>
      </c>
      <c r="Z1405" s="25" t="s">
        <v>3403</v>
      </c>
      <c r="AA1405" s="18" t="str" cm="1">
        <f t="array" ref="AA1405">IF(P1405="", "", _xlfn.XLOOKUP(P1405,#REF!,#REF!,NA,0,-1))</f>
        <v/>
      </c>
      <c r="AB1405" s="22"/>
      <c r="AC1405" s="55" t="s">
        <v>3446</v>
      </c>
      <c r="AD1405" s="55" t="str">
        <f>IF($AC1405="","",_xlfn.XLOOKUP($AC1405,'[2]Client Info'!$C$2:$C$2535,'[2]Client Info'!$D$2:$D$2535,"",0,1))</f>
        <v>#102-935 Brunette Ave</v>
      </c>
      <c r="AE1405" s="55" t="str">
        <f>IF($AC1405="","",_xlfn.XLOOKUP($AC1405,'[2]Client Info'!$C$2:$C$2715,'[2]Client Info'!$E$2:$E$2715,"",))</f>
        <v>Coquitlam</v>
      </c>
      <c r="AF1405" s="55" t="str">
        <f>IF($AC1405="","",_xlfn.XLOOKUP($AC1405,'[2]Client Info'!$C$2:$C$2715,'[2]Client Info'!$F$2:$F$2715,"",0,1))</f>
        <v>BC</v>
      </c>
      <c r="AG1405" s="55" t="s">
        <v>3446</v>
      </c>
      <c r="AH1405" s="26" t="str">
        <f>_xlfn.XLOOKUP(Table26[[#This Row],[customerSKU]],customerSKU!G:G,customerSKU!K:K,"NA",0,1)</f>
        <v>NA</v>
      </c>
      <c r="AI1405" s="43" t="str">
        <f>_xlfn.XLOOKUP(Table26[[#This Row],[customerSKU]],customerSKU!G:G,customerSKU!O:O,"not found",0,1)</f>
        <v>not found</v>
      </c>
      <c r="AJ1405" s="22" t="e">
        <f>Table26[[#This Row],[unitprice]]*Table26[[#This Row],[quantity_unit]]</f>
        <v>#VALUE!</v>
      </c>
      <c r="AK1405" s="227" t="e" cm="1">
        <f t="array" ref="AK14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06" spans="1:37" ht="24.6" customHeight="1">
      <c r="A1406" s="42">
        <v>802</v>
      </c>
      <c r="B1406" s="42" t="s">
        <v>3357</v>
      </c>
      <c r="C1406" s="53" t="s">
        <v>203</v>
      </c>
      <c r="E1406" s="20"/>
      <c r="F14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6" s="93"/>
      <c r="H1406" s="19"/>
      <c r="I1406" s="19">
        <v>45754</v>
      </c>
      <c r="J1406" s="90" t="str">
        <f>IF(Table26[[#This Row],[customerSKU]]="","",_xlfn.XLOOKUP(Table26[[#This Row],[customerSKU]],customerSKU!G:G,customerSKU!A:A,"",0,1))</f>
        <v/>
      </c>
      <c r="K1406" s="232">
        <v>45757</v>
      </c>
      <c r="L1406" s="49" t="str">
        <f>IF(Table26[[#This Row],[customerSKU]]="","",_xlfn.XLOOKUP(Table26[[#This Row],[customerSKU]],customerSKU!G:G,customerSKU!B:B,"",0,1))</f>
        <v/>
      </c>
      <c r="M1406" s="262"/>
      <c r="N1406" s="366" t="str">
        <f>Table26[[#This Row],[po_number]]&amp;"-"&amp;Table26[[#This Row],[po_line]]</f>
        <v>-3</v>
      </c>
      <c r="O1406" s="366">
        <v>3</v>
      </c>
      <c r="P1406" s="50"/>
      <c r="Q1406" s="22" t="s">
        <v>1660</v>
      </c>
      <c r="R1406" s="22" t="s">
        <v>569</v>
      </c>
      <c r="S1406" s="90" t="str">
        <f>IF(Table26[[#This Row],[customerSKU]]="","",_xlfn.XLOOKUP(Table26[[#This Row],[customerSKU]],customerSKU!G:G,customerSKU!N:N,"NOT FOUND",0,1))</f>
        <v>NOT FOUND</v>
      </c>
      <c r="T1406" s="20">
        <v>45755</v>
      </c>
      <c r="U1406" s="94">
        <v>2</v>
      </c>
      <c r="V1406" s="22" t="str">
        <f>IF(ISBLANK(Table26[[#This Row],[customerSKU]]),"",_xlfn.XLOOKUP(Table26[[#This Row],[customerSKU]],Table27[customer_SKU],Table27[case_size],"",0,1))</f>
        <v/>
      </c>
      <c r="W1406" s="117" t="str">
        <f t="shared" si="59"/>
        <v/>
      </c>
      <c r="X1406" s="22" t="str">
        <f t="shared" si="60"/>
        <v/>
      </c>
      <c r="Y1406" s="25" t="str">
        <f>IF(Table26[[#This Row],[customerSKU]]="","",_xlfn.XLOOKUP(Table26[[#This Row],[customerSKU]],Table27[customer_SKU],Table27[product_GTIN],"",0,1))</f>
        <v/>
      </c>
      <c r="Z1406" s="25" t="s">
        <v>3373</v>
      </c>
      <c r="AA1406" s="18" t="str" cm="1">
        <f t="array" ref="AA1406">IF(P1406="", "", _xlfn.XLOOKUP(P1406,#REF!,#REF!,NA,0,-1))</f>
        <v/>
      </c>
      <c r="AB1406" s="22"/>
      <c r="AC1406" s="55" t="s">
        <v>3446</v>
      </c>
      <c r="AD1406" s="55" t="str">
        <f>IF($AC1406="","",_xlfn.XLOOKUP($AC1406,'[2]Client Info'!$C$2:$C$2535,'[2]Client Info'!$D$2:$D$2535,"",0,1))</f>
        <v>#102-935 Brunette Ave</v>
      </c>
      <c r="AE1406" s="55" t="str">
        <f>IF($AC1406="","",_xlfn.XLOOKUP($AC1406,'[2]Client Info'!$C$2:$C$2715,'[2]Client Info'!$E$2:$E$2715,"",))</f>
        <v>Coquitlam</v>
      </c>
      <c r="AF1406" s="55" t="str">
        <f>IF($AC1406="","",_xlfn.XLOOKUP($AC1406,'[2]Client Info'!$C$2:$C$2715,'[2]Client Info'!$F$2:$F$2715,"",0,1))</f>
        <v>BC</v>
      </c>
      <c r="AG1406" s="55" t="s">
        <v>3446</v>
      </c>
      <c r="AH1406" s="26" t="str">
        <f>_xlfn.XLOOKUP(Table26[[#This Row],[customerSKU]],customerSKU!G:G,customerSKU!K:K,"NA",0,1)</f>
        <v>NA</v>
      </c>
      <c r="AI1406" s="43" t="str">
        <f>_xlfn.XLOOKUP(Table26[[#This Row],[customerSKU]],customerSKU!G:G,customerSKU!O:O,"not found",0,1)</f>
        <v>not found</v>
      </c>
      <c r="AJ1406" s="22" t="e">
        <f>Table26[[#This Row],[unitprice]]*Table26[[#This Row],[quantity_unit]]</f>
        <v>#VALUE!</v>
      </c>
      <c r="AK1406" s="227" t="e" cm="1">
        <f t="array" ref="AK14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07" spans="1:37" ht="18" customHeight="1">
      <c r="A1407" s="42">
        <v>803</v>
      </c>
      <c r="B1407" s="42" t="s">
        <v>3357</v>
      </c>
      <c r="C1407" s="53" t="s">
        <v>203</v>
      </c>
      <c r="E1407" s="20"/>
      <c r="F14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7" s="93"/>
      <c r="H1407" s="19"/>
      <c r="I1407" s="19">
        <v>45754</v>
      </c>
      <c r="J1407" s="90" t="str">
        <f>IF(Table26[[#This Row],[customerSKU]]="","",_xlfn.XLOOKUP(Table26[[#This Row],[customerSKU]],customerSKU!G:G,customerSKU!A:A,"",0,1))</f>
        <v/>
      </c>
      <c r="K1407" s="232">
        <v>45757</v>
      </c>
      <c r="L1407" s="49" t="str">
        <f>IF(Table26[[#This Row],[customerSKU]]="","",_xlfn.XLOOKUP(Table26[[#This Row],[customerSKU]],customerSKU!G:G,customerSKU!B:B,"",0,1))</f>
        <v/>
      </c>
      <c r="M1407" s="262"/>
      <c r="N1407" s="366" t="str">
        <f>Table26[[#This Row],[po_number]]&amp;"-"&amp;Table26[[#This Row],[po_line]]</f>
        <v>-4</v>
      </c>
      <c r="O1407" s="366">
        <v>4</v>
      </c>
      <c r="P1407" s="50"/>
      <c r="Q1407" s="22" t="s">
        <v>1625</v>
      </c>
      <c r="R1407" s="22" t="s">
        <v>569</v>
      </c>
      <c r="S1407" s="90" t="str">
        <f>IF(Table26[[#This Row],[customerSKU]]="","",_xlfn.XLOOKUP(Table26[[#This Row],[customerSKU]],customerSKU!G:G,customerSKU!N:N,"NOT FOUND",0,1))</f>
        <v>NOT FOUND</v>
      </c>
      <c r="T1407" s="20">
        <v>45642</v>
      </c>
      <c r="U1407" s="94">
        <v>10</v>
      </c>
      <c r="V1407" s="22" t="str">
        <f>IF(ISBLANK(Table26[[#This Row],[customerSKU]]),"",_xlfn.XLOOKUP(Table26[[#This Row],[customerSKU]],Table27[customer_SKU],Table27[case_size],"",0,1))</f>
        <v/>
      </c>
      <c r="W1407" s="117" t="str">
        <f t="shared" si="59"/>
        <v/>
      </c>
      <c r="X1407" s="22" t="str">
        <f t="shared" si="60"/>
        <v/>
      </c>
      <c r="Y1407" s="25" t="str">
        <f>IF(Table26[[#This Row],[customerSKU]]="","",_xlfn.XLOOKUP(Table26[[#This Row],[customerSKU]],Table27[customer_SKU],Table27[product_GTIN],"",0,1))</f>
        <v/>
      </c>
      <c r="Z1407" s="25" t="s">
        <v>3373</v>
      </c>
      <c r="AA1407" s="18" t="str" cm="1">
        <f t="array" ref="AA1407">IF(P1407="", "", _xlfn.XLOOKUP(P1407,#REF!,#REF!,NA,0,-1))</f>
        <v/>
      </c>
      <c r="AB1407" s="22"/>
      <c r="AC1407" s="55" t="s">
        <v>3446</v>
      </c>
      <c r="AD1407" s="55" t="str">
        <f>IF($AC1407="","",_xlfn.XLOOKUP($AC1407,'[2]Client Info'!$C$2:$C$2535,'[2]Client Info'!$D$2:$D$2535,"",0,1))</f>
        <v>#102-935 Brunette Ave</v>
      </c>
      <c r="AE1407" s="55" t="str">
        <f>IF($AC1407="","",_xlfn.XLOOKUP($AC1407,'[2]Client Info'!$C$2:$C$2715,'[2]Client Info'!$E$2:$E$2715,"",))</f>
        <v>Coquitlam</v>
      </c>
      <c r="AF1407" s="55" t="str">
        <f>IF($AC1407="","",_xlfn.XLOOKUP($AC1407,'[2]Client Info'!$C$2:$C$2715,'[2]Client Info'!$F$2:$F$2715,"",0,1))</f>
        <v>BC</v>
      </c>
      <c r="AG1407" s="55" t="s">
        <v>3446</v>
      </c>
      <c r="AH1407" s="26" t="str">
        <f>_xlfn.XLOOKUP(Table26[[#This Row],[customerSKU]],customerSKU!G:G,customerSKU!K:K,"NA",0,1)</f>
        <v>NA</v>
      </c>
      <c r="AI1407" s="43" t="str">
        <f>_xlfn.XLOOKUP(Table26[[#This Row],[customerSKU]],customerSKU!G:G,customerSKU!O:O,"not found",0,1)</f>
        <v>not found</v>
      </c>
      <c r="AJ1407" s="22" t="e">
        <f>Table26[[#This Row],[unitprice]]*Table26[[#This Row],[quantity_unit]]</f>
        <v>#VALUE!</v>
      </c>
      <c r="AK1407" s="227" t="e" cm="1">
        <f t="array" ref="AK14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08" spans="1:37" ht="18" customHeight="1">
      <c r="A1408" s="42">
        <v>804</v>
      </c>
      <c r="B1408" s="42" t="s">
        <v>3357</v>
      </c>
      <c r="C1408" s="53" t="s">
        <v>203</v>
      </c>
      <c r="E1408" s="20"/>
      <c r="F14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8" s="93"/>
      <c r="H1408" s="19"/>
      <c r="I1408" s="19">
        <v>45754</v>
      </c>
      <c r="J1408" s="90" t="str">
        <f>IF(Table26[[#This Row],[customerSKU]]="","",_xlfn.XLOOKUP(Table26[[#This Row],[customerSKU]],customerSKU!G:G,customerSKU!A:A,"",0,1))</f>
        <v/>
      </c>
      <c r="K1408" s="232">
        <v>45757</v>
      </c>
      <c r="L1408" s="49" t="str">
        <f>IF(Table26[[#This Row],[customerSKU]]="","",_xlfn.XLOOKUP(Table26[[#This Row],[customerSKU]],customerSKU!G:G,customerSKU!B:B,"",0,1))</f>
        <v/>
      </c>
      <c r="M1408" s="262"/>
      <c r="N1408" s="366" t="str">
        <f>Table26[[#This Row],[po_number]]&amp;"-"&amp;Table26[[#This Row],[po_line]]</f>
        <v>-5</v>
      </c>
      <c r="O1408" s="366">
        <v>5</v>
      </c>
      <c r="P1408" s="50"/>
      <c r="Q1408" s="22" t="s">
        <v>574</v>
      </c>
      <c r="R1408" s="22" t="s">
        <v>569</v>
      </c>
      <c r="S1408" s="90" t="str">
        <f>IF(Table26[[#This Row],[customerSKU]]="","",_xlfn.XLOOKUP(Table26[[#This Row],[customerSKU]],customerSKU!G:G,customerSKU!N:N,"NOT FOUND",0,1))</f>
        <v>NOT FOUND</v>
      </c>
      <c r="T1408" s="20">
        <v>45728</v>
      </c>
      <c r="U1408" s="94">
        <v>24</v>
      </c>
      <c r="V1408" s="22" t="str">
        <f>IF(ISBLANK(Table26[[#This Row],[customerSKU]]),"",_xlfn.XLOOKUP(Table26[[#This Row],[customerSKU]],Table27[customer_SKU],Table27[case_size],"",0,1))</f>
        <v/>
      </c>
      <c r="W1408" s="117" t="str">
        <f t="shared" si="59"/>
        <v/>
      </c>
      <c r="X1408" s="22" t="str">
        <f t="shared" si="60"/>
        <v/>
      </c>
      <c r="Y1408" s="25" t="str">
        <f>IF(Table26[[#This Row],[customerSKU]]="","",_xlfn.XLOOKUP(Table26[[#This Row],[customerSKU]],Table27[customer_SKU],Table27[product_GTIN],"",0,1))</f>
        <v/>
      </c>
      <c r="Z1408" s="25" t="s">
        <v>3366</v>
      </c>
      <c r="AA1408" s="18" t="str" cm="1">
        <f t="array" ref="AA1408">IF(P1408="", "", _xlfn.XLOOKUP(P1408,#REF!,#REF!,NA,0,-1))</f>
        <v/>
      </c>
      <c r="AB1408" s="22"/>
      <c r="AC1408" s="55" t="s">
        <v>3446</v>
      </c>
      <c r="AD1408" s="55" t="str">
        <f>IF($AC1408="","",_xlfn.XLOOKUP($AC1408,'[2]Client Info'!$C$2:$C$2535,'[2]Client Info'!$D$2:$D$2535,"",0,1))</f>
        <v>#102-935 Brunette Ave</v>
      </c>
      <c r="AE1408" s="55" t="str">
        <f>IF($AC1408="","",_xlfn.XLOOKUP($AC1408,'[2]Client Info'!$C$2:$C$2715,'[2]Client Info'!$E$2:$E$2715,"",))</f>
        <v>Coquitlam</v>
      </c>
      <c r="AF1408" s="55" t="str">
        <f>IF($AC1408="","",_xlfn.XLOOKUP($AC1408,'[2]Client Info'!$C$2:$C$2715,'[2]Client Info'!$F$2:$F$2715,"",0,1))</f>
        <v>BC</v>
      </c>
      <c r="AG1408" s="55" t="s">
        <v>3446</v>
      </c>
      <c r="AH1408" s="26" t="str">
        <f>_xlfn.XLOOKUP(Table26[[#This Row],[customerSKU]],customerSKU!G:G,customerSKU!K:K,"NA",0,1)</f>
        <v>NA</v>
      </c>
      <c r="AI1408" s="43" t="str">
        <f>_xlfn.XLOOKUP(Table26[[#This Row],[customerSKU]],customerSKU!G:G,customerSKU!O:O,"not found",0,1)</f>
        <v>not found</v>
      </c>
      <c r="AJ1408" s="22" t="e">
        <f>Table26[[#This Row],[unitprice]]*Table26[[#This Row],[quantity_unit]]</f>
        <v>#VALUE!</v>
      </c>
      <c r="AK1408" s="227" t="e" cm="1">
        <f t="array" ref="AK14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09" spans="1:37" ht="18" customHeight="1">
      <c r="A1409" s="42">
        <v>805</v>
      </c>
      <c r="B1409" s="42" t="s">
        <v>3357</v>
      </c>
      <c r="C1409" s="53" t="s">
        <v>203</v>
      </c>
      <c r="E1409" s="20"/>
      <c r="F14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09" s="93"/>
      <c r="H1409" s="19"/>
      <c r="I1409" s="19">
        <v>45754</v>
      </c>
      <c r="J1409" s="90" t="str">
        <f>IF(Table26[[#This Row],[customerSKU]]="","",_xlfn.XLOOKUP(Table26[[#This Row],[customerSKU]],customerSKU!G:G,customerSKU!A:A,"",0,1))</f>
        <v/>
      </c>
      <c r="K1409" s="232">
        <v>45757</v>
      </c>
      <c r="L1409" s="49" t="str">
        <f>IF(Table26[[#This Row],[customerSKU]]="","",_xlfn.XLOOKUP(Table26[[#This Row],[customerSKU]],customerSKU!G:G,customerSKU!B:B,"",0,1))</f>
        <v/>
      </c>
      <c r="M1409" s="262"/>
      <c r="N1409" s="366" t="str">
        <f>Table26[[#This Row],[po_number]]&amp;"-"&amp;Table26[[#This Row],[po_line]]</f>
        <v>-6</v>
      </c>
      <c r="O1409" s="366">
        <v>6</v>
      </c>
      <c r="P1409" s="50"/>
      <c r="Q1409" s="22" t="s">
        <v>3405</v>
      </c>
      <c r="R1409" s="22" t="s">
        <v>569</v>
      </c>
      <c r="S1409" s="90" t="str">
        <f>IF(Table26[[#This Row],[customerSKU]]="","",_xlfn.XLOOKUP(Table26[[#This Row],[customerSKU]],customerSKU!G:G,customerSKU!N:N,"NOT FOUND",0,1))</f>
        <v>NOT FOUND</v>
      </c>
      <c r="T1409" s="20">
        <v>45623</v>
      </c>
      <c r="U1409" s="94">
        <v>12</v>
      </c>
      <c r="V1409" s="22" t="str">
        <f>IF(ISBLANK(Table26[[#This Row],[customerSKU]]),"",_xlfn.XLOOKUP(Table26[[#This Row],[customerSKU]],Table27[customer_SKU],Table27[case_size],"",0,1))</f>
        <v/>
      </c>
      <c r="W1409" s="117" t="str">
        <f t="shared" si="59"/>
        <v/>
      </c>
      <c r="X1409" s="22" t="str">
        <f t="shared" si="60"/>
        <v/>
      </c>
      <c r="Y1409" s="25" t="str">
        <f>IF(Table26[[#This Row],[customerSKU]]="","",_xlfn.XLOOKUP(Table26[[#This Row],[customerSKU]],Table27[customer_SKU],Table27[product_GTIN],"",0,1))</f>
        <v/>
      </c>
      <c r="Z1409" s="25" t="s">
        <v>3406</v>
      </c>
      <c r="AA1409" s="18" t="str" cm="1">
        <f t="array" ref="AA1409">IF(P1409="", "", _xlfn.XLOOKUP(P1409,#REF!,#REF!,NA,0,-1))</f>
        <v/>
      </c>
      <c r="AB1409" s="22"/>
      <c r="AC1409" s="55" t="s">
        <v>3446</v>
      </c>
      <c r="AD1409" s="55" t="str">
        <f>IF($AC1409="","",_xlfn.XLOOKUP($AC1409,'[2]Client Info'!$C$2:$C$2535,'[2]Client Info'!$D$2:$D$2535,"",0,1))</f>
        <v>#102-935 Brunette Ave</v>
      </c>
      <c r="AE1409" s="55" t="str">
        <f>IF($AC1409="","",_xlfn.XLOOKUP($AC1409,'[2]Client Info'!$C$2:$C$2715,'[2]Client Info'!$E$2:$E$2715,"",))</f>
        <v>Coquitlam</v>
      </c>
      <c r="AF1409" s="55" t="str">
        <f>IF($AC1409="","",_xlfn.XLOOKUP($AC1409,'[2]Client Info'!$C$2:$C$2715,'[2]Client Info'!$F$2:$F$2715,"",0,1))</f>
        <v>BC</v>
      </c>
      <c r="AG1409" s="55" t="s">
        <v>3446</v>
      </c>
      <c r="AH1409" s="26" t="str">
        <f>_xlfn.XLOOKUP(Table26[[#This Row],[customerSKU]],customerSKU!G:G,customerSKU!K:K,"NA",0,1)</f>
        <v>NA</v>
      </c>
      <c r="AI1409" s="43" t="str">
        <f>_xlfn.XLOOKUP(Table26[[#This Row],[customerSKU]],customerSKU!G:G,customerSKU!O:O,"not found",0,1)</f>
        <v>not found</v>
      </c>
      <c r="AJ1409" s="22" t="e">
        <f>Table26[[#This Row],[unitprice]]*Table26[[#This Row],[quantity_unit]]</f>
        <v>#VALUE!</v>
      </c>
      <c r="AK1409" s="227" t="e" cm="1">
        <f t="array" ref="AK14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0" spans="1:37" ht="18" customHeight="1">
      <c r="A1410" s="42">
        <v>806</v>
      </c>
      <c r="B1410" s="42" t="s">
        <v>3357</v>
      </c>
      <c r="C1410" s="53" t="s">
        <v>203</v>
      </c>
      <c r="E1410" s="20"/>
      <c r="F14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0" s="93"/>
      <c r="H1410" s="19"/>
      <c r="I1410" s="19">
        <v>45754</v>
      </c>
      <c r="J1410" s="90" t="str">
        <f>IF(Table26[[#This Row],[customerSKU]]="","",_xlfn.XLOOKUP(Table26[[#This Row],[customerSKU]],customerSKU!G:G,customerSKU!A:A,"",0,1))</f>
        <v/>
      </c>
      <c r="K1410" s="232">
        <v>45757</v>
      </c>
      <c r="L1410" s="49" t="str">
        <f>IF(Table26[[#This Row],[customerSKU]]="","",_xlfn.XLOOKUP(Table26[[#This Row],[customerSKU]],customerSKU!G:G,customerSKU!B:B,"",0,1))</f>
        <v/>
      </c>
      <c r="M1410" s="262"/>
      <c r="N1410" s="366" t="str">
        <f>Table26[[#This Row],[po_number]]&amp;"-"&amp;Table26[[#This Row],[po_line]]</f>
        <v>-7</v>
      </c>
      <c r="O1410" s="366">
        <v>7</v>
      </c>
      <c r="P1410" s="50"/>
      <c r="Q1410" s="22" t="s">
        <v>656</v>
      </c>
      <c r="R1410" s="22" t="s">
        <v>569</v>
      </c>
      <c r="S1410" s="90" t="str">
        <f>IF(Table26[[#This Row],[customerSKU]]="","",_xlfn.XLOOKUP(Table26[[#This Row],[customerSKU]],customerSKU!G:G,customerSKU!N:N,"NOT FOUND",0,1))</f>
        <v>NOT FOUND</v>
      </c>
      <c r="T1410" s="20">
        <v>45749</v>
      </c>
      <c r="U1410" s="94">
        <v>12</v>
      </c>
      <c r="V1410" s="22" t="str">
        <f>IF(ISBLANK(Table26[[#This Row],[customerSKU]]),"",_xlfn.XLOOKUP(Table26[[#This Row],[customerSKU]],Table27[customer_SKU],Table27[case_size],"",0,1))</f>
        <v/>
      </c>
      <c r="W1410" s="117" t="str">
        <f t="shared" si="59"/>
        <v/>
      </c>
      <c r="X1410" s="22" t="str">
        <f t="shared" si="60"/>
        <v/>
      </c>
      <c r="Y1410" s="25" t="str">
        <f>IF(Table26[[#This Row],[customerSKU]]="","",_xlfn.XLOOKUP(Table26[[#This Row],[customerSKU]],Table27[customer_SKU],Table27[product_GTIN],"",0,1))</f>
        <v/>
      </c>
      <c r="Z1410" s="25" t="s">
        <v>3367</v>
      </c>
      <c r="AA1410" s="18" t="str" cm="1">
        <f t="array" ref="AA1410">IF(P1410="", "", _xlfn.XLOOKUP(P1410,#REF!,#REF!,NA,0,-1))</f>
        <v/>
      </c>
      <c r="AB1410" s="22"/>
      <c r="AC1410" s="55" t="s">
        <v>3446</v>
      </c>
      <c r="AD1410" s="55" t="str">
        <f>IF($AC1410="","",_xlfn.XLOOKUP($AC1410,'[2]Client Info'!$C$2:$C$2535,'[2]Client Info'!$D$2:$D$2535,"",0,1))</f>
        <v>#102-935 Brunette Ave</v>
      </c>
      <c r="AE1410" s="55" t="str">
        <f>IF($AC1410="","",_xlfn.XLOOKUP($AC1410,'[2]Client Info'!$C$2:$C$2715,'[2]Client Info'!$E$2:$E$2715,"",))</f>
        <v>Coquitlam</v>
      </c>
      <c r="AF1410" s="55" t="str">
        <f>IF($AC1410="","",_xlfn.XLOOKUP($AC1410,'[2]Client Info'!$C$2:$C$2715,'[2]Client Info'!$F$2:$F$2715,"",0,1))</f>
        <v>BC</v>
      </c>
      <c r="AG1410" s="55" t="s">
        <v>3446</v>
      </c>
      <c r="AH1410" s="26" t="str">
        <f>_xlfn.XLOOKUP(Table26[[#This Row],[customerSKU]],customerSKU!G:G,customerSKU!K:K,"NA",0,1)</f>
        <v>NA</v>
      </c>
      <c r="AI1410" s="43" t="str">
        <f>_xlfn.XLOOKUP(Table26[[#This Row],[customerSKU]],customerSKU!G:G,customerSKU!O:O,"not found",0,1)</f>
        <v>not found</v>
      </c>
      <c r="AJ1410" s="22" t="e">
        <f>Table26[[#This Row],[unitprice]]*Table26[[#This Row],[quantity_unit]]</f>
        <v>#VALUE!</v>
      </c>
      <c r="AK1410" s="227" t="e" cm="1">
        <f t="array" ref="AK14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1" spans="1:37" ht="18" customHeight="1">
      <c r="A1411" s="42">
        <v>807</v>
      </c>
      <c r="B1411" s="42" t="s">
        <v>3357</v>
      </c>
      <c r="C1411" s="53" t="s">
        <v>203</v>
      </c>
      <c r="E1411" s="20"/>
      <c r="F14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1" s="93"/>
      <c r="H1411" s="19"/>
      <c r="I1411" s="19">
        <v>45754</v>
      </c>
      <c r="J1411" s="90" t="str">
        <f>IF(Table26[[#This Row],[customerSKU]]="","",_xlfn.XLOOKUP(Table26[[#This Row],[customerSKU]],customerSKU!G:G,customerSKU!A:A,"",0,1))</f>
        <v/>
      </c>
      <c r="K1411" s="232">
        <v>45757</v>
      </c>
      <c r="L1411" s="49" t="str">
        <f>IF(Table26[[#This Row],[customerSKU]]="","",_xlfn.XLOOKUP(Table26[[#This Row],[customerSKU]],customerSKU!G:G,customerSKU!B:B,"",0,1))</f>
        <v/>
      </c>
      <c r="M1411" s="262"/>
      <c r="N1411" s="366" t="str">
        <f>Table26[[#This Row],[po_number]]&amp;"-"&amp;Table26[[#This Row],[po_line]]</f>
        <v>-8</v>
      </c>
      <c r="O1411" s="366">
        <v>8</v>
      </c>
      <c r="P1411" s="50"/>
      <c r="Q1411" s="22" t="s">
        <v>1309</v>
      </c>
      <c r="R1411" s="22" t="s">
        <v>569</v>
      </c>
      <c r="S1411" s="90" t="str">
        <f>IF(Table26[[#This Row],[customerSKU]]="","",_xlfn.XLOOKUP(Table26[[#This Row],[customerSKU]],customerSKU!G:G,customerSKU!N:N,"NOT FOUND",0,1))</f>
        <v>NOT FOUND</v>
      </c>
      <c r="T1411" s="20">
        <v>45697</v>
      </c>
      <c r="U1411" s="94">
        <v>12</v>
      </c>
      <c r="V1411" s="22" t="str">
        <f>IF(ISBLANK(Table26[[#This Row],[customerSKU]]),"",_xlfn.XLOOKUP(Table26[[#This Row],[customerSKU]],Table27[customer_SKU],Table27[case_size],"",0,1))</f>
        <v/>
      </c>
      <c r="W1411" s="117" t="str">
        <f t="shared" si="59"/>
        <v/>
      </c>
      <c r="X1411" s="22" t="str">
        <f t="shared" si="60"/>
        <v/>
      </c>
      <c r="Y1411" s="25" t="str">
        <f>IF(Table26[[#This Row],[customerSKU]]="","",_xlfn.XLOOKUP(Table26[[#This Row],[customerSKU]],Table27[customer_SKU],Table27[product_GTIN],"",0,1))</f>
        <v/>
      </c>
      <c r="Z1411" s="25" t="s">
        <v>3447</v>
      </c>
      <c r="AA1411" s="18" t="str" cm="1">
        <f t="array" ref="AA1411">IF(P1411="", "", _xlfn.XLOOKUP(P1411,#REF!,#REF!,NA,0,-1))</f>
        <v/>
      </c>
      <c r="AB1411" s="22"/>
      <c r="AC1411" s="55" t="s">
        <v>3446</v>
      </c>
      <c r="AD1411" s="55" t="str">
        <f>IF($AC1411="","",_xlfn.XLOOKUP($AC1411,'[2]Client Info'!$C$2:$C$2535,'[2]Client Info'!$D$2:$D$2535,"",0,1))</f>
        <v>#102-935 Brunette Ave</v>
      </c>
      <c r="AE1411" s="55" t="str">
        <f>IF($AC1411="","",_xlfn.XLOOKUP($AC1411,'[2]Client Info'!$C$2:$C$2715,'[2]Client Info'!$E$2:$E$2715,"",))</f>
        <v>Coquitlam</v>
      </c>
      <c r="AF1411" s="55" t="str">
        <f>IF($AC1411="","",_xlfn.XLOOKUP($AC1411,'[2]Client Info'!$C$2:$C$2715,'[2]Client Info'!$F$2:$F$2715,"",0,1))</f>
        <v>BC</v>
      </c>
      <c r="AG1411" s="55" t="s">
        <v>3446</v>
      </c>
      <c r="AH1411" s="26" t="str">
        <f>_xlfn.XLOOKUP(Table26[[#This Row],[customerSKU]],customerSKU!G:G,customerSKU!K:K,"NA",0,1)</f>
        <v>NA</v>
      </c>
      <c r="AI1411" s="43" t="str">
        <f>_xlfn.XLOOKUP(Table26[[#This Row],[customerSKU]],customerSKU!G:G,customerSKU!O:O,"not found",0,1)</f>
        <v>not found</v>
      </c>
      <c r="AJ1411" s="22" t="e">
        <f>Table26[[#This Row],[unitprice]]*Table26[[#This Row],[quantity_unit]]</f>
        <v>#VALUE!</v>
      </c>
      <c r="AK1411" s="227" t="e" cm="1">
        <f t="array" ref="AK14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2" spans="1:37" ht="18" customHeight="1">
      <c r="A1412" s="42">
        <v>808</v>
      </c>
      <c r="B1412" s="42" t="s">
        <v>3357</v>
      </c>
      <c r="C1412" s="53" t="s">
        <v>203</v>
      </c>
      <c r="E1412" s="20"/>
      <c r="F14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2" s="93"/>
      <c r="H1412" s="19"/>
      <c r="I1412" s="19">
        <v>45754</v>
      </c>
      <c r="J1412" s="90" t="str">
        <f>IF(Table26[[#This Row],[customerSKU]]="","",_xlfn.XLOOKUP(Table26[[#This Row],[customerSKU]],customerSKU!G:G,customerSKU!A:A,"",0,1))</f>
        <v/>
      </c>
      <c r="K1412" s="232">
        <v>45757</v>
      </c>
      <c r="L1412" s="49" t="str">
        <f>IF(Table26[[#This Row],[customerSKU]]="","",_xlfn.XLOOKUP(Table26[[#This Row],[customerSKU]],customerSKU!G:G,customerSKU!B:B,"",0,1))</f>
        <v/>
      </c>
      <c r="M1412" s="262"/>
      <c r="N1412" s="366" t="str">
        <f>Table26[[#This Row],[po_number]]&amp;"-"&amp;Table26[[#This Row],[po_line]]</f>
        <v>-9</v>
      </c>
      <c r="O1412" s="366">
        <v>9</v>
      </c>
      <c r="P1412" s="50"/>
      <c r="Q1412" s="22" t="s">
        <v>622</v>
      </c>
      <c r="R1412" s="22" t="s">
        <v>569</v>
      </c>
      <c r="S1412" s="90" t="str">
        <f>IF(Table26[[#This Row],[customerSKU]]="","",_xlfn.XLOOKUP(Table26[[#This Row],[customerSKU]],customerSKU!G:G,customerSKU!N:N,"NOT FOUND",0,1))</f>
        <v>NOT FOUND</v>
      </c>
      <c r="T1412" s="20">
        <v>45603</v>
      </c>
      <c r="U1412" s="94">
        <v>12</v>
      </c>
      <c r="V1412" s="22" t="str">
        <f>IF(ISBLANK(Table26[[#This Row],[customerSKU]]),"",_xlfn.XLOOKUP(Table26[[#This Row],[customerSKU]],Table27[customer_SKU],Table27[case_size],"",0,1))</f>
        <v/>
      </c>
      <c r="W1412" s="117" t="str">
        <f t="shared" si="59"/>
        <v/>
      </c>
      <c r="X1412" s="22" t="str">
        <f t="shared" si="60"/>
        <v/>
      </c>
      <c r="Y1412" s="25" t="str">
        <f>IF(Table26[[#This Row],[customerSKU]]="","",_xlfn.XLOOKUP(Table26[[#This Row],[customerSKU]],Table27[customer_SKU],Table27[product_GTIN],"",0,1))</f>
        <v/>
      </c>
      <c r="Z1412" s="25" t="s">
        <v>3434</v>
      </c>
      <c r="AA1412" s="18" t="str" cm="1">
        <f t="array" ref="AA1412">IF(P1412="", "", _xlfn.XLOOKUP(P1412,#REF!,#REF!,NA,0,-1))</f>
        <v/>
      </c>
      <c r="AB1412" s="22"/>
      <c r="AC1412" s="55" t="s">
        <v>3446</v>
      </c>
      <c r="AD1412" s="55" t="str">
        <f>IF($AC1412="","",_xlfn.XLOOKUP($AC1412,'[2]Client Info'!$C$2:$C$2535,'[2]Client Info'!$D$2:$D$2535,"",0,1))</f>
        <v>#102-935 Brunette Ave</v>
      </c>
      <c r="AE1412" s="55" t="str">
        <f>IF($AC1412="","",_xlfn.XLOOKUP($AC1412,'[2]Client Info'!$C$2:$C$2715,'[2]Client Info'!$E$2:$E$2715,"",))</f>
        <v>Coquitlam</v>
      </c>
      <c r="AF1412" s="55" t="str">
        <f>IF($AC1412="","",_xlfn.XLOOKUP($AC1412,'[2]Client Info'!$C$2:$C$2715,'[2]Client Info'!$F$2:$F$2715,"",0,1))</f>
        <v>BC</v>
      </c>
      <c r="AG1412" s="55" t="s">
        <v>3446</v>
      </c>
      <c r="AH1412" s="26" t="str">
        <f>_xlfn.XLOOKUP(Table26[[#This Row],[customerSKU]],customerSKU!G:G,customerSKU!K:K,"NA",0,1)</f>
        <v>NA</v>
      </c>
      <c r="AI1412" s="43" t="str">
        <f>_xlfn.XLOOKUP(Table26[[#This Row],[customerSKU]],customerSKU!G:G,customerSKU!O:O,"not found",0,1)</f>
        <v>not found</v>
      </c>
      <c r="AJ1412" s="22" t="e">
        <f>Table26[[#This Row],[unitprice]]*Table26[[#This Row],[quantity_unit]]</f>
        <v>#VALUE!</v>
      </c>
      <c r="AK1412" s="227" t="e" cm="1">
        <f t="array" ref="AK14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3" spans="1:37" ht="18" customHeight="1">
      <c r="A1413" s="42">
        <v>809</v>
      </c>
      <c r="B1413" s="42" t="s">
        <v>3357</v>
      </c>
      <c r="C1413" s="53" t="s">
        <v>203</v>
      </c>
      <c r="E1413" s="20"/>
      <c r="F14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3" s="93"/>
      <c r="H1413" s="19"/>
      <c r="I1413" s="19">
        <v>45754</v>
      </c>
      <c r="J1413" s="90" t="str">
        <f>IF(Table26[[#This Row],[customerSKU]]="","",_xlfn.XLOOKUP(Table26[[#This Row],[customerSKU]],customerSKU!G:G,customerSKU!A:A,"",0,1))</f>
        <v/>
      </c>
      <c r="K1413" s="232">
        <v>45757</v>
      </c>
      <c r="L1413" s="49" t="str">
        <f>IF(Table26[[#This Row],[customerSKU]]="","",_xlfn.XLOOKUP(Table26[[#This Row],[customerSKU]],customerSKU!G:G,customerSKU!B:B,"",0,1))</f>
        <v/>
      </c>
      <c r="M1413" s="262"/>
      <c r="N1413" s="366" t="str">
        <f>Table26[[#This Row],[po_number]]&amp;"-"&amp;Table26[[#This Row],[po_line]]</f>
        <v>-10</v>
      </c>
      <c r="O1413" s="366">
        <v>10</v>
      </c>
      <c r="P1413" s="50"/>
      <c r="Q1413" s="22" t="s">
        <v>1306</v>
      </c>
      <c r="R1413" s="22" t="s">
        <v>569</v>
      </c>
      <c r="S1413" s="90" t="str">
        <f>IF(Table26[[#This Row],[customerSKU]]="","",_xlfn.XLOOKUP(Table26[[#This Row],[customerSKU]],customerSKU!G:G,customerSKU!N:N,"NOT FOUND",0,1))</f>
        <v>NOT FOUND</v>
      </c>
      <c r="T1413" s="20">
        <v>45576</v>
      </c>
      <c r="U1413" s="94">
        <v>12</v>
      </c>
      <c r="V1413" s="22" t="str">
        <f>IF(ISBLANK(Table26[[#This Row],[customerSKU]]),"",_xlfn.XLOOKUP(Table26[[#This Row],[customerSKU]],Table27[customer_SKU],Table27[case_size],"",0,1))</f>
        <v/>
      </c>
      <c r="W1413" s="117" t="str">
        <f t="shared" ref="W1413:W1476" si="61">IFERROR(U1413/V1413, "")</f>
        <v/>
      </c>
      <c r="X1413" s="22" t="str">
        <f t="shared" si="60"/>
        <v/>
      </c>
      <c r="Y1413" s="25" t="str">
        <f>IF(Table26[[#This Row],[customerSKU]]="","",_xlfn.XLOOKUP(Table26[[#This Row],[customerSKU]],Table27[customer_SKU],Table27[product_GTIN],"",0,1))</f>
        <v/>
      </c>
      <c r="Z1413" s="25" t="s">
        <v>3374</v>
      </c>
      <c r="AA1413" s="18" t="str" cm="1">
        <f t="array" ref="AA1413">IF(P1413="", "", _xlfn.XLOOKUP(P1413,#REF!,#REF!,NA,0,-1))</f>
        <v/>
      </c>
      <c r="AB1413" s="22"/>
      <c r="AC1413" s="55" t="s">
        <v>3446</v>
      </c>
      <c r="AD1413" s="55" t="str">
        <f>IF($AC1413="","",_xlfn.XLOOKUP($AC1413,'[2]Client Info'!$C$2:$C$2535,'[2]Client Info'!$D$2:$D$2535,"",0,1))</f>
        <v>#102-935 Brunette Ave</v>
      </c>
      <c r="AE1413" s="55" t="str">
        <f>IF($AC1413="","",_xlfn.XLOOKUP($AC1413,'[2]Client Info'!$C$2:$C$2715,'[2]Client Info'!$E$2:$E$2715,"",))</f>
        <v>Coquitlam</v>
      </c>
      <c r="AF1413" s="55" t="str">
        <f>IF($AC1413="","",_xlfn.XLOOKUP($AC1413,'[2]Client Info'!$C$2:$C$2715,'[2]Client Info'!$F$2:$F$2715,"",0,1))</f>
        <v>BC</v>
      </c>
      <c r="AG1413" s="55" t="s">
        <v>3446</v>
      </c>
      <c r="AH1413" s="26" t="str">
        <f>_xlfn.XLOOKUP(Table26[[#This Row],[customerSKU]],customerSKU!G:G,customerSKU!K:K,"NA",0,1)</f>
        <v>NA</v>
      </c>
      <c r="AI1413" s="43" t="str">
        <f>_xlfn.XLOOKUP(Table26[[#This Row],[customerSKU]],customerSKU!G:G,customerSKU!O:O,"not found",0,1)</f>
        <v>not found</v>
      </c>
      <c r="AJ1413" s="22" t="e">
        <f>Table26[[#This Row],[unitprice]]*Table26[[#This Row],[quantity_unit]]</f>
        <v>#VALUE!</v>
      </c>
      <c r="AK1413" s="227" t="e" cm="1">
        <f t="array" ref="AK14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4" spans="1:37" ht="24.6" customHeight="1">
      <c r="A1414" s="42">
        <v>810</v>
      </c>
      <c r="B1414" s="42" t="s">
        <v>3357</v>
      </c>
      <c r="C1414" s="53" t="s">
        <v>203</v>
      </c>
      <c r="E1414" s="20"/>
      <c r="F14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4" s="93"/>
      <c r="H1414" s="19"/>
      <c r="I1414" s="19">
        <v>45754</v>
      </c>
      <c r="J1414" s="90" t="str">
        <f>IF(Table26[[#This Row],[customerSKU]]="","",_xlfn.XLOOKUP(Table26[[#This Row],[customerSKU]],customerSKU!G:G,customerSKU!A:A,"",0,1))</f>
        <v/>
      </c>
      <c r="K1414" s="232">
        <v>45757</v>
      </c>
      <c r="L1414" s="49" t="str">
        <f>IF(Table26[[#This Row],[customerSKU]]="","",_xlfn.XLOOKUP(Table26[[#This Row],[customerSKU]],customerSKU!G:G,customerSKU!B:B,"",0,1))</f>
        <v/>
      </c>
      <c r="M1414" s="262"/>
      <c r="N1414" s="366" t="str">
        <f>Table26[[#This Row],[po_number]]&amp;"-"&amp;Table26[[#This Row],[po_line]]</f>
        <v>-11</v>
      </c>
      <c r="O1414" s="366">
        <v>11</v>
      </c>
      <c r="P1414" s="50"/>
      <c r="Q1414" s="22" t="s">
        <v>3388</v>
      </c>
      <c r="R1414" s="22" t="s">
        <v>569</v>
      </c>
      <c r="S1414" s="90" t="str">
        <f>IF(Table26[[#This Row],[customerSKU]]="","",_xlfn.XLOOKUP(Table26[[#This Row],[customerSKU]],customerSKU!G:G,customerSKU!N:N,"NOT FOUND",0,1))</f>
        <v>NOT FOUND</v>
      </c>
      <c r="T1414" s="20">
        <v>45692</v>
      </c>
      <c r="U1414" s="94">
        <v>24</v>
      </c>
      <c r="V1414" s="22" t="str">
        <f>IF(ISBLANK(Table26[[#This Row],[customerSKU]]),"",_xlfn.XLOOKUP(Table26[[#This Row],[customerSKU]],Table27[customer_SKU],Table27[case_size],"",0,1))</f>
        <v/>
      </c>
      <c r="W1414" s="117" t="str">
        <f t="shared" si="61"/>
        <v/>
      </c>
      <c r="X1414" s="22" t="str">
        <f t="shared" ref="X1414:X1477" si="62">IFERROR($AA1414*$U1414, "")</f>
        <v/>
      </c>
      <c r="Y1414" s="25" t="str">
        <f>IF(Table26[[#This Row],[customerSKU]]="","",_xlfn.XLOOKUP(Table26[[#This Row],[customerSKU]],Table27[customer_SKU],Table27[product_GTIN],"",0,1))</f>
        <v/>
      </c>
      <c r="Z1414" s="25" t="s">
        <v>3389</v>
      </c>
      <c r="AA1414" s="18" t="str" cm="1">
        <f t="array" ref="AA1414">IF(P1414="", "", _xlfn.XLOOKUP(P1414,#REF!,#REF!,NA,0,-1))</f>
        <v/>
      </c>
      <c r="AB1414" s="22"/>
      <c r="AC1414" s="55" t="s">
        <v>3446</v>
      </c>
      <c r="AD1414" s="55" t="str">
        <f>IF($AC1414="","",_xlfn.XLOOKUP($AC1414,'[2]Client Info'!$C$2:$C$2535,'[2]Client Info'!$D$2:$D$2535,"",0,1))</f>
        <v>#102-935 Brunette Ave</v>
      </c>
      <c r="AE1414" s="55" t="str">
        <f>IF($AC1414="","",_xlfn.XLOOKUP($AC1414,'[2]Client Info'!$C$2:$C$2715,'[2]Client Info'!$E$2:$E$2715,"",))</f>
        <v>Coquitlam</v>
      </c>
      <c r="AF1414" s="55" t="str">
        <f>IF($AC1414="","",_xlfn.XLOOKUP($AC1414,'[2]Client Info'!$C$2:$C$2715,'[2]Client Info'!$F$2:$F$2715,"",0,1))</f>
        <v>BC</v>
      </c>
      <c r="AG1414" s="55" t="s">
        <v>3446</v>
      </c>
      <c r="AH1414" s="26" t="str">
        <f>_xlfn.XLOOKUP(Table26[[#This Row],[customerSKU]],customerSKU!G:G,customerSKU!K:K,"NA",0,1)</f>
        <v>NA</v>
      </c>
      <c r="AI1414" s="43" t="str">
        <f>_xlfn.XLOOKUP(Table26[[#This Row],[customerSKU]],customerSKU!G:G,customerSKU!O:O,"not found",0,1)</f>
        <v>not found</v>
      </c>
      <c r="AJ1414" s="22" t="e">
        <f>Table26[[#This Row],[unitprice]]*Table26[[#This Row],[quantity_unit]]</f>
        <v>#VALUE!</v>
      </c>
      <c r="AK1414" s="227" t="e" cm="1">
        <f t="array" ref="AK14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5" spans="1:37" ht="24.6" customHeight="1">
      <c r="A1415" s="42">
        <v>811</v>
      </c>
      <c r="B1415" s="42" t="s">
        <v>3357</v>
      </c>
      <c r="C1415" s="53" t="s">
        <v>203</v>
      </c>
      <c r="E1415" s="20"/>
      <c r="F14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5" s="93"/>
      <c r="H1415" s="19"/>
      <c r="I1415" s="19">
        <v>45754</v>
      </c>
      <c r="J1415" s="90" t="str">
        <f>IF(Table26[[#This Row],[customerSKU]]="","",_xlfn.XLOOKUP(Table26[[#This Row],[customerSKU]],customerSKU!G:G,customerSKU!A:A,"",0,1))</f>
        <v/>
      </c>
      <c r="K1415" s="232">
        <v>45757</v>
      </c>
      <c r="L1415" s="49" t="str">
        <f>IF(Table26[[#This Row],[customerSKU]]="","",_xlfn.XLOOKUP(Table26[[#This Row],[customerSKU]],customerSKU!G:G,customerSKU!B:B,"",0,1))</f>
        <v/>
      </c>
      <c r="M1415" s="262"/>
      <c r="N1415" s="366" t="str">
        <f>Table26[[#This Row],[po_number]]&amp;"-"&amp;Table26[[#This Row],[po_line]]</f>
        <v>-12</v>
      </c>
      <c r="O1415" s="366">
        <v>12</v>
      </c>
      <c r="P1415" s="50"/>
      <c r="Q1415" s="22" t="s">
        <v>578</v>
      </c>
      <c r="R1415" s="22" t="s">
        <v>569</v>
      </c>
      <c r="S1415" s="90" t="str">
        <f>IF(Table26[[#This Row],[customerSKU]]="","",_xlfn.XLOOKUP(Table26[[#This Row],[customerSKU]],customerSKU!G:G,customerSKU!N:N,"NOT FOUND",0,1))</f>
        <v>NOT FOUND</v>
      </c>
      <c r="T1415" s="20">
        <v>45700</v>
      </c>
      <c r="U1415" s="94">
        <v>24</v>
      </c>
      <c r="V1415" s="22" t="str">
        <f>IF(ISBLANK(Table26[[#This Row],[customerSKU]]),"",_xlfn.XLOOKUP(Table26[[#This Row],[customerSKU]],Table27[customer_SKU],Table27[case_size],"",0,1))</f>
        <v/>
      </c>
      <c r="W1415" s="117" t="str">
        <f t="shared" si="61"/>
        <v/>
      </c>
      <c r="X1415" s="22" t="str">
        <f t="shared" si="62"/>
        <v/>
      </c>
      <c r="Y1415" s="25" t="str">
        <f>IF(Table26[[#This Row],[customerSKU]]="","",_xlfn.XLOOKUP(Table26[[#This Row],[customerSKU]],Table27[customer_SKU],Table27[product_GTIN],"",0,1))</f>
        <v/>
      </c>
      <c r="Z1415" s="25" t="s">
        <v>3448</v>
      </c>
      <c r="AA1415" s="18" t="str" cm="1">
        <f t="array" ref="AA1415">IF(P1415="", "", _xlfn.XLOOKUP(P1415,#REF!,#REF!,NA,0,-1))</f>
        <v/>
      </c>
      <c r="AB1415" s="22"/>
      <c r="AC1415" s="55" t="s">
        <v>3446</v>
      </c>
      <c r="AD1415" s="55" t="str">
        <f>IF($AC1415="","",_xlfn.XLOOKUP($AC1415,'[2]Client Info'!$C$2:$C$2535,'[2]Client Info'!$D$2:$D$2535,"",0,1))</f>
        <v>#102-935 Brunette Ave</v>
      </c>
      <c r="AE1415" s="55" t="str">
        <f>IF($AC1415="","",_xlfn.XLOOKUP($AC1415,'[2]Client Info'!$C$2:$C$2715,'[2]Client Info'!$E$2:$E$2715,"",))</f>
        <v>Coquitlam</v>
      </c>
      <c r="AF1415" s="55" t="str">
        <f>IF($AC1415="","",_xlfn.XLOOKUP($AC1415,'[2]Client Info'!$C$2:$C$2715,'[2]Client Info'!$F$2:$F$2715,"",0,1))</f>
        <v>BC</v>
      </c>
      <c r="AG1415" s="55" t="s">
        <v>3446</v>
      </c>
      <c r="AH1415" s="26" t="str">
        <f>_xlfn.XLOOKUP(Table26[[#This Row],[customerSKU]],customerSKU!G:G,customerSKU!K:K,"NA",0,1)</f>
        <v>NA</v>
      </c>
      <c r="AI1415" s="43" t="str">
        <f>_xlfn.XLOOKUP(Table26[[#This Row],[customerSKU]],customerSKU!G:G,customerSKU!O:O,"not found",0,1)</f>
        <v>not found</v>
      </c>
      <c r="AJ1415" s="22" t="e">
        <f>Table26[[#This Row],[unitprice]]*Table26[[#This Row],[quantity_unit]]</f>
        <v>#VALUE!</v>
      </c>
      <c r="AK1415" s="227" t="e" cm="1">
        <f t="array" ref="AK14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Price]]*1.13)</f>
        <v>#N/A</v>
      </c>
    </row>
    <row r="1416" spans="1:37" ht="24.6" customHeight="1">
      <c r="A1416" s="42">
        <v>812</v>
      </c>
      <c r="B1416" s="42" t="s">
        <v>3357</v>
      </c>
      <c r="C1416" s="53" t="s">
        <v>203</v>
      </c>
      <c r="E1416" s="20"/>
      <c r="F14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6" s="93"/>
      <c r="I1416" s="19">
        <v>45754</v>
      </c>
      <c r="J1416" s="90" t="str">
        <f>IF(Table26[[#This Row],[customerSKU]]="","",_xlfn.XLOOKUP(Table26[[#This Row],[customerSKU]],customerSKU!G:G,customerSKU!A:A,"",0,1))</f>
        <v/>
      </c>
      <c r="K1416" s="232">
        <v>45757</v>
      </c>
      <c r="L1416" s="49" t="str">
        <f>IF(Table26[[#This Row],[customerSKU]]="","",_xlfn.XLOOKUP(Table26[[#This Row],[customerSKU]],customerSKU!G:G,customerSKU!B:B,"",0,1))</f>
        <v/>
      </c>
      <c r="M1416" s="262"/>
      <c r="N1416" s="366" t="str">
        <f>Table26[[#This Row],[po_number]]&amp;"-"&amp;Table26[[#This Row],[po_line]]</f>
        <v>-1</v>
      </c>
      <c r="O1416" s="366">
        <v>1</v>
      </c>
      <c r="P1416" s="50"/>
      <c r="Q1416" s="24" t="s">
        <v>559</v>
      </c>
      <c r="R1416" s="22" t="s">
        <v>569</v>
      </c>
      <c r="S1416" s="90" t="str">
        <f>IF(Table26[[#This Row],[customerSKU]]="","",_xlfn.XLOOKUP(Table26[[#This Row],[customerSKU]],customerSKU!G:G,customerSKU!N:N,"NOT FOUND",0,1))</f>
        <v>NOT FOUND</v>
      </c>
      <c r="T1416" s="20">
        <v>45740</v>
      </c>
      <c r="U1416" s="94">
        <v>24</v>
      </c>
      <c r="V1416" s="22" t="str">
        <f>IF(ISBLANK(Table26[[#This Row],[customerSKU]]),"",_xlfn.XLOOKUP(Table26[[#This Row],[customerSKU]],Table27[customer_SKU],Table27[case_size],"",0,1))</f>
        <v/>
      </c>
      <c r="W1416" s="117" t="str">
        <f t="shared" si="61"/>
        <v/>
      </c>
      <c r="X1416" s="22" t="str">
        <f t="shared" si="62"/>
        <v/>
      </c>
      <c r="Y1416" s="25" t="str">
        <f>IF(Table26[[#This Row],[customerSKU]]="","",_xlfn.XLOOKUP(Table26[[#This Row],[customerSKU]],Table27[customer_SKU],Table27[product_GTIN],"",0,1))</f>
        <v/>
      </c>
      <c r="Z1416" s="25" t="s">
        <v>3450</v>
      </c>
      <c r="AA1416" s="18" t="str" cm="1">
        <f t="array" ref="AA1416">IF(P1416="", "", _xlfn.XLOOKUP(P1416,#REF!,#REF!,NA,0,-1))</f>
        <v/>
      </c>
      <c r="AB1416" s="22"/>
      <c r="AC1416" s="55" t="s">
        <v>3446</v>
      </c>
      <c r="AD1416" s="55" t="str">
        <f>IF($AC1416="","",_xlfn.XLOOKUP($AC1416,'[2]Client Info'!$C$2:$C$2535,'[2]Client Info'!$D$2:$D$2535,"",0,1))</f>
        <v>#102-935 Brunette Ave</v>
      </c>
      <c r="AE1416" s="55" t="str">
        <f>IF($AC1416="","",_xlfn.XLOOKUP($AC1416,'[2]Client Info'!$C$2:$C$2715,'[2]Client Info'!$E$2:$E$2715,"",))</f>
        <v>Coquitlam</v>
      </c>
      <c r="AF1416" s="55" t="str">
        <f>IF($AC1416="","",_xlfn.XLOOKUP($AC1416,'[2]Client Info'!$C$2:$C$2715,'[2]Client Info'!$F$2:$F$2715,"",0,1))</f>
        <v>BC</v>
      </c>
      <c r="AG1416" s="55" t="s">
        <v>3446</v>
      </c>
      <c r="AH1416" s="26" t="str">
        <f>_xlfn.XLOOKUP(Table26[[#This Row],[customerSKU]],customerSKU!G:G,customerSKU!K:K,"NA",0,1)</f>
        <v>NA</v>
      </c>
      <c r="AI1416" s="43" t="str">
        <f>_xlfn.XLOOKUP(Table26[[#This Row],[customerSKU]],customerSKU!G:G,customerSKU!O:O,"not found",0,1)</f>
        <v>not found</v>
      </c>
      <c r="AJ1416" s="22" t="e">
        <f>Table26[[#This Row],[unitprice]]*Table26[[#This Row],[quantity_unit]]</f>
        <v>#VALUE!</v>
      </c>
      <c r="AK1416" s="227" t="e" cm="1">
        <f t="array" ref="AK14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17" spans="1:37" ht="18" customHeight="1">
      <c r="A1417" s="42">
        <v>813</v>
      </c>
      <c r="B1417" s="42" t="s">
        <v>3357</v>
      </c>
      <c r="C1417" s="53" t="s">
        <v>3360</v>
      </c>
      <c r="E1417" s="20"/>
      <c r="F14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7" s="93"/>
      <c r="H1417" s="19"/>
      <c r="I1417" s="19">
        <v>45754</v>
      </c>
      <c r="J1417" s="90" t="str">
        <f>IF(Table26[[#This Row],[customerSKU]]="","",_xlfn.XLOOKUP(Table26[[#This Row],[customerSKU]],customerSKU!G:G,customerSKU!A:A,"",0,1))</f>
        <v/>
      </c>
      <c r="K1417" s="232">
        <v>45757</v>
      </c>
      <c r="L1417" s="49" t="str">
        <f>IF(Table26[[#This Row],[customerSKU]]="","",_xlfn.XLOOKUP(Table26[[#This Row],[customerSKU]],customerSKU!G:G,customerSKU!B:B,"",0,1))</f>
        <v/>
      </c>
      <c r="M1417" s="262"/>
      <c r="N1417" s="366" t="str">
        <f>Table26[[#This Row],[po_number]]&amp;"-"&amp;Table26[[#This Row],[po_line]]</f>
        <v>-1</v>
      </c>
      <c r="O1417" s="366">
        <v>1</v>
      </c>
      <c r="P1417" s="50"/>
      <c r="S1417" s="90" t="str">
        <f>IF(Table26[[#This Row],[customerSKU]]="","",_xlfn.XLOOKUP(Table26[[#This Row],[customerSKU]],customerSKU!G:G,customerSKU!N:N,"NOT FOUND",0,1))</f>
        <v>NOT FOUND</v>
      </c>
      <c r="T1417" s="20"/>
      <c r="U1417" s="94">
        <v>12</v>
      </c>
      <c r="V1417" s="22" t="str">
        <f>IF(ISBLANK(Table26[[#This Row],[customerSKU]]),"",_xlfn.XLOOKUP(Table26[[#This Row],[customerSKU]],Table27[customer_SKU],Table27[case_size],"",0,1))</f>
        <v/>
      </c>
      <c r="W1417" s="117" t="str">
        <f t="shared" si="61"/>
        <v/>
      </c>
      <c r="X1417" s="22" t="str">
        <f t="shared" si="62"/>
        <v/>
      </c>
      <c r="Y1417" s="25" t="str">
        <f>IF(Table26[[#This Row],[customerSKU]]="","",_xlfn.XLOOKUP(Table26[[#This Row],[customerSKU]],Table27[customer_SKU],Table27[product_GTIN],"",0,1))</f>
        <v/>
      </c>
      <c r="Z1417" s="25" t="s">
        <v>3452</v>
      </c>
      <c r="AA1417" s="18" t="str" cm="1">
        <f t="array" ref="AA1417">IF(P1417="", "", _xlfn.XLOOKUP(P1417,#REF!,#REF!,NA,0,-1))</f>
        <v/>
      </c>
      <c r="AB1417" s="22"/>
      <c r="AC1417" s="55" t="str">
        <f>IF(Table26[[#This Row],[customerSKU]]="","",_xlfn.XLOOKUP(Table26[[#This Row],[customerSKU]],customerSKU!G:G,customerSKU!C:C,"",0,1))</f>
        <v/>
      </c>
      <c r="AD1417" s="55" t="str">
        <f>IF($AC1417="","",_xlfn.XLOOKUP($AC1417,'[2]Client Info'!$C$2:$C$2535,'[2]Client Info'!$D$2:$D$2535,"",0,1))</f>
        <v/>
      </c>
      <c r="AE1417" s="55" t="str">
        <f>IF($AC1417="","",_xlfn.XLOOKUP($AC1417,'[2]Client Info'!$C$2:$C$2715,'[2]Client Info'!$E$2:$E$2715,"",))</f>
        <v/>
      </c>
      <c r="AF1417" s="55" t="str">
        <f>IF($AC1417="","",_xlfn.XLOOKUP($AC1417,'[2]Client Info'!$C$2:$C$2715,'[2]Client Info'!$F$2:$F$2715,"",0,1))</f>
        <v/>
      </c>
      <c r="AG1417" s="55" t="str">
        <f>IF(ISBLANK(Table26[[#This Row],[customerSKU]]),"",_xlfn.XLOOKUP(Table26[[#This Row],[customerSKU]],Table27[customer_SKU],Table27[billto],"",0,1))</f>
        <v/>
      </c>
      <c r="AH1417" s="26" t="str">
        <f>_xlfn.XLOOKUP(Table26[[#This Row],[customerSKU]],customerSKU!G:G,customerSKU!K:K,"NA",0,1)</f>
        <v>NA</v>
      </c>
      <c r="AI1417" s="43" t="str">
        <f>_xlfn.XLOOKUP(Table26[[#This Row],[customerSKU]],customerSKU!G:G,customerSKU!O:O,"not found",0,1)</f>
        <v>not found</v>
      </c>
      <c r="AJ1417" s="22" t="e">
        <f>Table26[[#This Row],[unitprice]]*Table26[[#This Row],[quantity_unit]]</f>
        <v>#VALUE!</v>
      </c>
      <c r="AK1417" s="227" t="e" cm="1">
        <f t="array" ref="AK14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418" spans="1:37" ht="18" customHeight="1">
      <c r="A1418" s="42">
        <v>814</v>
      </c>
      <c r="B1418" s="42" t="s">
        <v>3357</v>
      </c>
      <c r="C1418" s="53" t="s">
        <v>203</v>
      </c>
      <c r="E1418" s="20"/>
      <c r="F14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8" s="93"/>
      <c r="H1418" s="19"/>
      <c r="I1418" s="19">
        <v>45754</v>
      </c>
      <c r="J1418" s="90" t="str">
        <f>IF(Table26[[#This Row],[customerSKU]]="","",_xlfn.XLOOKUP(Table26[[#This Row],[customerSKU]],customerSKU!G:G,customerSKU!A:A,"",0,1))</f>
        <v/>
      </c>
      <c r="K1418" s="232">
        <v>45757</v>
      </c>
      <c r="L1418" s="49" t="str">
        <f>IF(Table26[[#This Row],[customerSKU]]="","",_xlfn.XLOOKUP(Table26[[#This Row],[customerSKU]],customerSKU!G:G,customerSKU!B:B,"",0,1))</f>
        <v/>
      </c>
      <c r="M1418" s="22"/>
      <c r="N1418" s="15" t="str">
        <f>Table26[[#This Row],[po_number]]&amp;"-"&amp;Table26[[#This Row],[po_line]]</f>
        <v>-1</v>
      </c>
      <c r="O1418" s="15">
        <v>1</v>
      </c>
      <c r="P1418" s="50"/>
      <c r="Q1418" s="22" t="s">
        <v>883</v>
      </c>
      <c r="R1418" s="22" t="s">
        <v>569</v>
      </c>
      <c r="S1418" s="90" t="str">
        <f>IF(Table26[[#This Row],[customerSKU]]="","",_xlfn.XLOOKUP(Table26[[#This Row],[customerSKU]],customerSKU!G:G,customerSKU!N:N,"NOT FOUND",0,1))</f>
        <v>NOT FOUND</v>
      </c>
      <c r="T1418" s="20">
        <v>45757</v>
      </c>
      <c r="U1418" s="94">
        <v>24</v>
      </c>
      <c r="V1418" s="22" t="str">
        <f>IF(ISBLANK(Table26[[#This Row],[customerSKU]]),"",_xlfn.XLOOKUP(Table26[[#This Row],[customerSKU]],Table27[customer_SKU],Table27[case_size],"",0,1))</f>
        <v/>
      </c>
      <c r="W1418" s="117" t="str">
        <f t="shared" si="61"/>
        <v/>
      </c>
      <c r="X1418" s="22" t="str">
        <f t="shared" si="62"/>
        <v/>
      </c>
      <c r="Y1418" s="25" t="str">
        <f>IF(Table26[[#This Row],[customerSKU]]="","",_xlfn.XLOOKUP(Table26[[#This Row],[customerSKU]],Table27[customer_SKU],Table27[product_GTIN],"",0,1))</f>
        <v/>
      </c>
      <c r="Z1418" s="25" t="s">
        <v>3453</v>
      </c>
      <c r="AA1418" s="18" t="str" cm="1">
        <f t="array" ref="AA1418">IF(P1418="", "", _xlfn.XLOOKUP(P1418,#REF!,#REF!,NA,0,-1))</f>
        <v/>
      </c>
      <c r="AB1418" s="22"/>
      <c r="AC1418" s="55" t="s">
        <v>172</v>
      </c>
      <c r="AD1418" s="55" t="str">
        <f>IF($AC1418="","",_xlfn.XLOOKUP($AC1418,'[2]Client Info'!$C$2:$C$2535,'[2]Client Info'!$D$2:$D$2535,"",0,1))</f>
        <v>6600 ROBLIN BOULEVARD</v>
      </c>
      <c r="AE1418" s="55" t="str">
        <f>IF($AC1418="","",_xlfn.XLOOKUP($AC1418,'[2]Client Info'!$C$2:$C$2715,'[2]Client Info'!$E$2:$E$2715,"",))</f>
        <v>WINNIPEG</v>
      </c>
      <c r="AF1418" s="55" t="str">
        <f>IF($AC1418="","",_xlfn.XLOOKUP($AC1418,'[2]Client Info'!$C$2:$C$2715,'[2]Client Info'!$F$2:$F$2715,"",0,1))</f>
        <v>MB</v>
      </c>
      <c r="AG1418" s="55" t="str">
        <f>IF(ISBLANK(Table26[[#This Row],[customerSKU]]),"",_xlfn.XLOOKUP(Table26[[#This Row],[customerSKU]],Table27[customer_SKU],Table27[billto],"",0,1))</f>
        <v/>
      </c>
      <c r="AH1418" s="26" t="str">
        <f>_xlfn.XLOOKUP(Table26[[#This Row],[customerSKU]],customerSKU!G:G,customerSKU!K:K,"NA",0,1)</f>
        <v>NA</v>
      </c>
      <c r="AI1418" s="43" t="str">
        <f>_xlfn.XLOOKUP(Table26[[#This Row],[customerSKU]],customerSKU!G:G,customerSKU!O:O,"not found",0,1)</f>
        <v>not found</v>
      </c>
      <c r="AJ1418" s="22" t="e">
        <f>Table26[[#This Row],[unitprice]]*Table26[[#This Row],[quantity_unit]]</f>
        <v>#VALUE!</v>
      </c>
      <c r="AK1418" s="227" t="e" cm="1">
        <f t="array" ref="AK14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419" spans="1:37" ht="18" customHeight="1">
      <c r="A1419" s="42">
        <v>815</v>
      </c>
      <c r="B1419" s="42" t="s">
        <v>3357</v>
      </c>
      <c r="C1419" s="53" t="s">
        <v>203</v>
      </c>
      <c r="E1419" s="20"/>
      <c r="F14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19" s="93"/>
      <c r="I1419" s="19">
        <v>45754</v>
      </c>
      <c r="J1419" s="90" t="str">
        <f>IF(Table26[[#This Row],[customerSKU]]="","",_xlfn.XLOOKUP(Table26[[#This Row],[customerSKU]],customerSKU!G:G,customerSKU!A:A,"",0,1))</f>
        <v/>
      </c>
      <c r="K1419" s="232">
        <v>45757</v>
      </c>
      <c r="L1419" s="49" t="str">
        <f>IF(Table26[[#This Row],[customerSKU]]="","",_xlfn.XLOOKUP(Table26[[#This Row],[customerSKU]],customerSKU!G:G,customerSKU!B:B,"",0,1))</f>
        <v/>
      </c>
      <c r="M1419" s="22"/>
      <c r="N1419" s="15" t="str">
        <f>Table26[[#This Row],[po_number]]&amp;"-"&amp;Table26[[#This Row],[po_line]]</f>
        <v>-2</v>
      </c>
      <c r="O1419" s="15">
        <v>2</v>
      </c>
      <c r="P1419" s="50"/>
      <c r="Q1419" s="22" t="s">
        <v>3454</v>
      </c>
      <c r="R1419" s="22" t="s">
        <v>569</v>
      </c>
      <c r="S1419" s="90" t="str">
        <f>IF(Table26[[#This Row],[customerSKU]]="","",_xlfn.XLOOKUP(Table26[[#This Row],[customerSKU]],customerSKU!G:G,customerSKU!N:N,"NOT FOUND",0,1))</f>
        <v>NOT FOUND</v>
      </c>
      <c r="T1419" s="20">
        <v>45714</v>
      </c>
      <c r="U1419" s="94">
        <v>12</v>
      </c>
      <c r="V1419" s="22" t="str">
        <f>IF(ISBLANK(Table26[[#This Row],[customerSKU]]),"",_xlfn.XLOOKUP(Table26[[#This Row],[customerSKU]],Table27[customer_SKU],Table27[case_size],"",0,1))</f>
        <v/>
      </c>
      <c r="W1419" s="117" t="str">
        <f t="shared" si="61"/>
        <v/>
      </c>
      <c r="X1419" s="22" t="str">
        <f t="shared" si="62"/>
        <v/>
      </c>
      <c r="Y1419" s="25" t="str">
        <f>IF(Table26[[#This Row],[customerSKU]]="","",_xlfn.XLOOKUP(Table26[[#This Row],[customerSKU]],Table27[customer_SKU],Table27[product_GTIN],"",0,1))</f>
        <v/>
      </c>
      <c r="Z1419" s="25" t="s">
        <v>3455</v>
      </c>
      <c r="AA1419" s="18" t="str" cm="1">
        <f t="array" ref="AA1419">IF(P1419="", "", _xlfn.XLOOKUP(P1419,#REF!,#REF!,NA,0,-1))</f>
        <v/>
      </c>
      <c r="AB1419" s="22"/>
      <c r="AC1419" s="55" t="s">
        <v>172</v>
      </c>
      <c r="AD1419" s="55" t="str">
        <f>IF($AC1419="","",_xlfn.XLOOKUP($AC1419,'[2]Client Info'!$C$2:$C$2535,'[2]Client Info'!$D$2:$D$2535,"",0,1))</f>
        <v>6600 ROBLIN BOULEVARD</v>
      </c>
      <c r="AE1419" s="55" t="str">
        <f>IF($AC1419="","",_xlfn.XLOOKUP($AC1419,'[2]Client Info'!$C$2:$C$2715,'[2]Client Info'!$E$2:$E$2715,"",))</f>
        <v>WINNIPEG</v>
      </c>
      <c r="AF1419" s="55" t="str">
        <f>IF($AC1419="","",_xlfn.XLOOKUP($AC1419,'[2]Client Info'!$C$2:$C$2715,'[2]Client Info'!$F$2:$F$2715,"",0,1))</f>
        <v>MB</v>
      </c>
      <c r="AG1419" s="55" t="str">
        <f>IF(ISBLANK(Table26[[#This Row],[customerSKU]]),"",_xlfn.XLOOKUP(Table26[[#This Row],[customerSKU]],Table27[customer_SKU],Table27[billto],"",0,1))</f>
        <v/>
      </c>
      <c r="AH1419" s="26" t="str">
        <f>_xlfn.XLOOKUP(Table26[[#This Row],[customerSKU]],customerSKU!G:G,customerSKU!K:K,"NA",0,1)</f>
        <v>NA</v>
      </c>
      <c r="AI1419" s="43" t="str">
        <f>_xlfn.XLOOKUP(Table26[[#This Row],[customerSKU]],customerSKU!G:G,customerSKU!O:O,"not found",0,1)</f>
        <v>not found</v>
      </c>
      <c r="AJ1419" s="22" t="e">
        <f>Table26[[#This Row],[unitprice]]*Table26[[#This Row],[quantity_unit]]</f>
        <v>#VALUE!</v>
      </c>
      <c r="AK1419" s="227" t="e" cm="1">
        <f t="array" ref="AK14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420" spans="1:37" ht="18" customHeight="1">
      <c r="A1420" s="42">
        <v>816</v>
      </c>
      <c r="B1420" s="42" t="s">
        <v>3357</v>
      </c>
      <c r="C1420" s="53" t="s">
        <v>203</v>
      </c>
      <c r="E1420" s="20"/>
      <c r="F1420" s="22"/>
      <c r="G1420" s="93"/>
      <c r="I1420" s="19">
        <v>45755</v>
      </c>
      <c r="J1420" s="90" t="str">
        <f>IF(Table26[[#This Row],[customerSKU]]="","",_xlfn.XLOOKUP(Table26[[#This Row],[customerSKU]],customerSKU!G:G,customerSKU!A:A,"",0,1))</f>
        <v/>
      </c>
      <c r="K1420" s="232">
        <v>45757</v>
      </c>
      <c r="L1420" s="49" t="str">
        <f>IF(Table26[[#This Row],[customerSKU]]="","",_xlfn.XLOOKUP(Table26[[#This Row],[customerSKU]],customerSKU!G:G,customerSKU!B:B,"",0,1))</f>
        <v/>
      </c>
      <c r="M1420" s="262"/>
      <c r="N1420" s="366" t="str">
        <f>Table26[[#This Row],[po_number]]&amp;"-"&amp;Table26[[#This Row],[po_line]]</f>
        <v>-1</v>
      </c>
      <c r="O1420" s="366">
        <v>1</v>
      </c>
      <c r="P1420" s="50"/>
      <c r="Q1420" s="22" t="s">
        <v>1309</v>
      </c>
      <c r="R1420" s="22" t="s">
        <v>569</v>
      </c>
      <c r="S1420" s="90" t="str">
        <f>IF(Table26[[#This Row],[customerSKU]]="","",_xlfn.XLOOKUP(Table26[[#This Row],[customerSKU]],customerSKU!G:G,customerSKU!N:N,"NOT FOUND",0,1))</f>
        <v>NOT FOUND</v>
      </c>
      <c r="T1420" s="20">
        <v>45697</v>
      </c>
      <c r="U1420" s="94">
        <v>10</v>
      </c>
      <c r="V1420" s="22" t="str">
        <f>IF(ISBLANK(Table26[[#This Row],[customerSKU]]),"",_xlfn.XLOOKUP(Table26[[#This Row],[customerSKU]],Table27[customer_SKU],Table27[case_size],"",0,1))</f>
        <v/>
      </c>
      <c r="W1420" s="117" t="str">
        <f t="shared" si="61"/>
        <v/>
      </c>
      <c r="X1420" s="22" t="str">
        <f t="shared" si="62"/>
        <v/>
      </c>
      <c r="Y1420" s="25" t="str">
        <f>IF(Table26[[#This Row],[customerSKU]]="","",_xlfn.XLOOKUP(Table26[[#This Row],[customerSKU]],Table27[customer_SKU],Table27[product_GTIN],"",0,1))</f>
        <v/>
      </c>
      <c r="Z1420" s="25" t="s">
        <v>3406</v>
      </c>
      <c r="AA1420" s="18" t="str" cm="1">
        <f t="array" ref="AA1420">IF(P1420="", "", _xlfn.XLOOKUP(P1420,#REF!,#REF!,NA,0,-1))</f>
        <v/>
      </c>
      <c r="AB1420" s="22"/>
      <c r="AC1420" s="55" t="s">
        <v>171</v>
      </c>
      <c r="AD1420" s="55" t="str">
        <f>IF($AC1420="","",_xlfn.XLOOKUP($AC1420,'[2]Client Info'!$C$2:$C$2535,'[2]Client Info'!$D$2:$D$2535,"",0,1))</f>
        <v>725 NELSON STREET</v>
      </c>
      <c r="AE1420" s="55" t="str">
        <f>IF($AC1420="","",_xlfn.XLOOKUP($AC1420,'[2]Client Info'!$C$2:$C$2715,'[2]Client Info'!$E$2:$E$2715,"",))</f>
        <v>VANCOUVER</v>
      </c>
      <c r="AF1420" s="55" t="str">
        <f>IF($AC1420="","",_xlfn.XLOOKUP($AC1420,'[2]Client Info'!$C$2:$C$2715,'[2]Client Info'!$F$2:$F$2715,"",0,1))</f>
        <v xml:space="preserve">BC </v>
      </c>
      <c r="AG1420" s="55" t="s">
        <v>3460</v>
      </c>
      <c r="AH1420" s="26" t="str">
        <f>_xlfn.XLOOKUP(Table26[[#This Row],[customerSKU]],customerSKU!G:G,customerSKU!K:K,"NA",0,1)</f>
        <v>NA</v>
      </c>
      <c r="AI1420" s="43" t="str">
        <f>_xlfn.XLOOKUP(Table26[[#This Row],[customerSKU]],customerSKU!G:G,customerSKU!O:O,"not found",0,1)</f>
        <v>not found</v>
      </c>
      <c r="AJ1420" s="22" t="e">
        <f>Table26[[#This Row],[unitprice]]*Table26[[#This Row],[quantity_unit]]</f>
        <v>#VALUE!</v>
      </c>
      <c r="AK1420" s="227" t="e" cm="1">
        <f t="array" ref="AK14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1" spans="1:37" ht="18" customHeight="1">
      <c r="A1421" s="42">
        <v>817</v>
      </c>
      <c r="B1421" s="42" t="s">
        <v>3357</v>
      </c>
      <c r="C1421" s="53" t="s">
        <v>203</v>
      </c>
      <c r="E1421" s="20"/>
      <c r="F14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1" s="93"/>
      <c r="I1421" s="19">
        <v>45755</v>
      </c>
      <c r="J1421" s="90" t="str">
        <f>IF(Table26[[#This Row],[customerSKU]]="","",_xlfn.XLOOKUP(Table26[[#This Row],[customerSKU]],customerSKU!G:G,customerSKU!A:A,"",0,1))</f>
        <v/>
      </c>
      <c r="K1421" s="232">
        <v>45757</v>
      </c>
      <c r="L1421" s="49" t="str">
        <f>IF(Table26[[#This Row],[customerSKU]]="","",_xlfn.XLOOKUP(Table26[[#This Row],[customerSKU]],customerSKU!G:G,customerSKU!B:B,"",0,1))</f>
        <v/>
      </c>
      <c r="M1421" s="262"/>
      <c r="N1421" s="366" t="str">
        <f>Table26[[#This Row],[po_number]]&amp;"-"&amp;Table26[[#This Row],[po_line]]</f>
        <v>-2</v>
      </c>
      <c r="O1421" s="366">
        <v>2</v>
      </c>
      <c r="P1421" s="50"/>
      <c r="Q1421" s="22" t="s">
        <v>1670</v>
      </c>
      <c r="R1421" s="22" t="s">
        <v>569</v>
      </c>
      <c r="S1421" s="90" t="str">
        <f>IF(Table26[[#This Row],[customerSKU]]="","",_xlfn.XLOOKUP(Table26[[#This Row],[customerSKU]],customerSKU!G:G,customerSKU!N:N,"NOT FOUND",0,1))</f>
        <v>NOT FOUND</v>
      </c>
      <c r="T1421" s="20">
        <v>45755</v>
      </c>
      <c r="U1421" s="94">
        <v>2</v>
      </c>
      <c r="V1421" s="22" t="str">
        <f>IF(ISBLANK(Table26[[#This Row],[customerSKU]]),"",_xlfn.XLOOKUP(Table26[[#This Row],[customerSKU]],Table27[customer_SKU],Table27[case_size],"",0,1))</f>
        <v/>
      </c>
      <c r="W1421" s="117" t="str">
        <f t="shared" si="61"/>
        <v/>
      </c>
      <c r="X1421" s="22" t="str">
        <f t="shared" si="62"/>
        <v/>
      </c>
      <c r="Y1421" s="25" t="str">
        <f>IF(Table26[[#This Row],[customerSKU]]="","",_xlfn.XLOOKUP(Table26[[#This Row],[customerSKU]],Table27[customer_SKU],Table27[product_GTIN],"",0,1))</f>
        <v/>
      </c>
      <c r="Z1421" s="25" t="s">
        <v>3406</v>
      </c>
      <c r="AA1421" s="18" t="str" cm="1">
        <f t="array" ref="AA1421">IF(P1421="", "", _xlfn.XLOOKUP(P1421,#REF!,#REF!,NA,0,-1))</f>
        <v/>
      </c>
      <c r="AB1421" s="22"/>
      <c r="AC1421" s="55" t="s">
        <v>171</v>
      </c>
      <c r="AD1421" s="55" t="str">
        <f>IF($AC1421="","",_xlfn.XLOOKUP($AC1421,'[2]Client Info'!$C$2:$C$2535,'[2]Client Info'!$D$2:$D$2535,"",0,1))</f>
        <v>725 NELSON STREET</v>
      </c>
      <c r="AE1421" s="55" t="str">
        <f>IF($AC1421="","",_xlfn.XLOOKUP($AC1421,'[2]Client Info'!$C$2:$C$2715,'[2]Client Info'!$E$2:$E$2715,"",))</f>
        <v>VANCOUVER</v>
      </c>
      <c r="AF1421" s="55" t="str">
        <f>IF($AC1421="","",_xlfn.XLOOKUP($AC1421,'[2]Client Info'!$C$2:$C$2715,'[2]Client Info'!$F$2:$F$2715,"",0,1))</f>
        <v xml:space="preserve">BC </v>
      </c>
      <c r="AG1421" s="55" t="s">
        <v>3460</v>
      </c>
      <c r="AH1421" s="26" t="str">
        <f>_xlfn.XLOOKUP(Table26[[#This Row],[customerSKU]],customerSKU!G:G,customerSKU!K:K,"NA",0,1)</f>
        <v>NA</v>
      </c>
      <c r="AI1421" s="43" t="str">
        <f>_xlfn.XLOOKUP(Table26[[#This Row],[customerSKU]],customerSKU!G:G,customerSKU!O:O,"not found",0,1)</f>
        <v>not found</v>
      </c>
      <c r="AJ1421" s="22" t="e">
        <f>Table26[[#This Row],[unitprice]]*Table26[[#This Row],[quantity_unit]]</f>
        <v>#VALUE!</v>
      </c>
      <c r="AK1421" s="227" t="e" cm="1">
        <f t="array" ref="AK14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2" spans="1:37" ht="18" customHeight="1">
      <c r="A1422" s="42">
        <v>818</v>
      </c>
      <c r="B1422" s="42" t="s">
        <v>3357</v>
      </c>
      <c r="C1422" s="53" t="s">
        <v>203</v>
      </c>
      <c r="E1422" s="20"/>
      <c r="F14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2" s="93"/>
      <c r="I1422" s="19">
        <v>45755</v>
      </c>
      <c r="J1422" s="90" t="str">
        <f>IF(Table26[[#This Row],[customerSKU]]="","",_xlfn.XLOOKUP(Table26[[#This Row],[customerSKU]],customerSKU!G:G,customerSKU!A:A,"",0,1))</f>
        <v/>
      </c>
      <c r="K1422" s="232">
        <v>45757</v>
      </c>
      <c r="L1422" s="49" t="str">
        <f>IF(Table26[[#This Row],[customerSKU]]="","",_xlfn.XLOOKUP(Table26[[#This Row],[customerSKU]],customerSKU!G:G,customerSKU!B:B,"",0,1))</f>
        <v/>
      </c>
      <c r="M1422" s="262"/>
      <c r="N1422" s="366" t="str">
        <f>Table26[[#This Row],[po_number]]&amp;"-"&amp;Table26[[#This Row],[po_line]]</f>
        <v>-3</v>
      </c>
      <c r="O1422" s="366">
        <v>3</v>
      </c>
      <c r="P1422" s="50"/>
      <c r="Q1422" s="22" t="s">
        <v>3405</v>
      </c>
      <c r="R1422" s="22" t="s">
        <v>569</v>
      </c>
      <c r="S1422" s="90" t="str">
        <f>IF(Table26[[#This Row],[customerSKU]]="","",_xlfn.XLOOKUP(Table26[[#This Row],[customerSKU]],customerSKU!G:G,customerSKU!N:N,"NOT FOUND",0,1))</f>
        <v>NOT FOUND</v>
      </c>
      <c r="T1422" s="20">
        <v>45623</v>
      </c>
      <c r="U1422" s="94">
        <v>12</v>
      </c>
      <c r="V1422" s="22" t="str">
        <f>IF(ISBLANK(Table26[[#This Row],[customerSKU]]),"",_xlfn.XLOOKUP(Table26[[#This Row],[customerSKU]],Table27[customer_SKU],Table27[case_size],"",0,1))</f>
        <v/>
      </c>
      <c r="W1422" s="117" t="str">
        <f t="shared" si="61"/>
        <v/>
      </c>
      <c r="X1422" s="22" t="str">
        <f t="shared" si="62"/>
        <v/>
      </c>
      <c r="Y1422" s="25" t="str">
        <f>IF(Table26[[#This Row],[customerSKU]]="","",_xlfn.XLOOKUP(Table26[[#This Row],[customerSKU]],Table27[customer_SKU],Table27[product_GTIN],"",0,1))</f>
        <v/>
      </c>
      <c r="Z1422" s="25" t="s">
        <v>3367</v>
      </c>
      <c r="AA1422" s="18" t="str" cm="1">
        <f t="array" ref="AA1422">IF(P1422="", "", _xlfn.XLOOKUP(P1422,#REF!,#REF!,NA,0,-1))</f>
        <v/>
      </c>
      <c r="AB1422" s="22"/>
      <c r="AC1422" s="55" t="s">
        <v>171</v>
      </c>
      <c r="AD1422" s="55" t="str">
        <f>IF($AC1422="","",_xlfn.XLOOKUP($AC1422,'[2]Client Info'!$C$2:$C$2535,'[2]Client Info'!$D$2:$D$2535,"",0,1))</f>
        <v>725 NELSON STREET</v>
      </c>
      <c r="AE1422" s="55" t="str">
        <f>IF($AC1422="","",_xlfn.XLOOKUP($AC1422,'[2]Client Info'!$C$2:$C$2715,'[2]Client Info'!$E$2:$E$2715,"",))</f>
        <v>VANCOUVER</v>
      </c>
      <c r="AF1422" s="55" t="str">
        <f>IF($AC1422="","",_xlfn.XLOOKUP($AC1422,'[2]Client Info'!$C$2:$C$2715,'[2]Client Info'!$F$2:$F$2715,"",0,1))</f>
        <v xml:space="preserve">BC </v>
      </c>
      <c r="AG1422" s="55" t="s">
        <v>3460</v>
      </c>
      <c r="AH1422" s="26" t="str">
        <f>_xlfn.XLOOKUP(Table26[[#This Row],[customerSKU]],customerSKU!G:G,customerSKU!K:K,"NA",0,1)</f>
        <v>NA</v>
      </c>
      <c r="AI1422" s="43" t="str">
        <f>_xlfn.XLOOKUP(Table26[[#This Row],[customerSKU]],customerSKU!G:G,customerSKU!O:O,"not found",0,1)</f>
        <v>not found</v>
      </c>
      <c r="AJ1422" s="22" t="e">
        <f>Table26[[#This Row],[unitprice]]*Table26[[#This Row],[quantity_unit]]</f>
        <v>#VALUE!</v>
      </c>
      <c r="AK1422" s="227" t="e" cm="1">
        <f t="array" ref="AK14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3" spans="1:37" ht="18" customHeight="1">
      <c r="A1423" s="42">
        <v>819</v>
      </c>
      <c r="B1423" s="42" t="s">
        <v>3357</v>
      </c>
      <c r="C1423" s="53" t="s">
        <v>203</v>
      </c>
      <c r="E1423" s="20"/>
      <c r="F14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3" s="93"/>
      <c r="I1423" s="19">
        <v>45755</v>
      </c>
      <c r="J1423" s="90" t="str">
        <f>IF(Table26[[#This Row],[customerSKU]]="","",_xlfn.XLOOKUP(Table26[[#This Row],[customerSKU]],customerSKU!G:G,customerSKU!A:A,"",0,1))</f>
        <v/>
      </c>
      <c r="K1423" s="232">
        <v>45757</v>
      </c>
      <c r="L1423" s="49" t="str">
        <f>IF(Table26[[#This Row],[customerSKU]]="","",_xlfn.XLOOKUP(Table26[[#This Row],[customerSKU]],customerSKU!G:G,customerSKU!B:B,"",0,1))</f>
        <v/>
      </c>
      <c r="M1423" s="262"/>
      <c r="N1423" s="366" t="str">
        <f>Table26[[#This Row],[po_number]]&amp;"-"&amp;Table26[[#This Row],[po_line]]</f>
        <v>-4</v>
      </c>
      <c r="O1423" s="366">
        <v>4</v>
      </c>
      <c r="P1423" s="50"/>
      <c r="Q1423" s="22" t="s">
        <v>656</v>
      </c>
      <c r="R1423" s="22" t="s">
        <v>569</v>
      </c>
      <c r="S1423" s="90" t="str">
        <f>IF(Table26[[#This Row],[customerSKU]]="","",_xlfn.XLOOKUP(Table26[[#This Row],[customerSKU]],customerSKU!G:G,customerSKU!N:N,"NOT FOUND",0,1))</f>
        <v>NOT FOUND</v>
      </c>
      <c r="T1423" s="20">
        <v>45749</v>
      </c>
      <c r="U1423" s="94">
        <v>12</v>
      </c>
      <c r="V1423" s="22" t="str">
        <f>IF(ISBLANK(Table26[[#This Row],[customerSKU]]),"",_xlfn.XLOOKUP(Table26[[#This Row],[customerSKU]],Table27[customer_SKU],Table27[case_size],"",0,1))</f>
        <v/>
      </c>
      <c r="W1423" s="117" t="str">
        <f t="shared" si="61"/>
        <v/>
      </c>
      <c r="X1423" s="22" t="str">
        <f t="shared" si="62"/>
        <v/>
      </c>
      <c r="Y1423" s="25" t="str">
        <f>IF(Table26[[#This Row],[customerSKU]]="","",_xlfn.XLOOKUP(Table26[[#This Row],[customerSKU]],Table27[customer_SKU],Table27[product_GTIN],"",0,1))</f>
        <v/>
      </c>
      <c r="Z1423" s="25" t="s">
        <v>3447</v>
      </c>
      <c r="AA1423" s="18" t="str" cm="1">
        <f t="array" ref="AA1423">IF(P1423="", "", _xlfn.XLOOKUP(P1423,#REF!,#REF!,NA,0,-1))</f>
        <v/>
      </c>
      <c r="AB1423" s="22"/>
      <c r="AC1423" s="55" t="s">
        <v>171</v>
      </c>
      <c r="AD1423" s="55" t="str">
        <f>IF($AC1423="","",_xlfn.XLOOKUP($AC1423,'[2]Client Info'!$C$2:$C$2535,'[2]Client Info'!$D$2:$D$2535,"",0,1))</f>
        <v>725 NELSON STREET</v>
      </c>
      <c r="AE1423" s="55" t="str">
        <f>IF($AC1423="","",_xlfn.XLOOKUP($AC1423,'[2]Client Info'!$C$2:$C$2715,'[2]Client Info'!$E$2:$E$2715,"",))</f>
        <v>VANCOUVER</v>
      </c>
      <c r="AF1423" s="55" t="str">
        <f>IF($AC1423="","",_xlfn.XLOOKUP($AC1423,'[2]Client Info'!$C$2:$C$2715,'[2]Client Info'!$F$2:$F$2715,"",0,1))</f>
        <v xml:space="preserve">BC </v>
      </c>
      <c r="AG1423" s="55" t="s">
        <v>3460</v>
      </c>
      <c r="AH1423" s="26" t="str">
        <f>_xlfn.XLOOKUP(Table26[[#This Row],[customerSKU]],customerSKU!G:G,customerSKU!K:K,"NA",0,1)</f>
        <v>NA</v>
      </c>
      <c r="AI1423" s="43" t="str">
        <f>_xlfn.XLOOKUP(Table26[[#This Row],[customerSKU]],customerSKU!G:G,customerSKU!O:O,"not found",0,1)</f>
        <v>not found</v>
      </c>
      <c r="AJ1423" s="22" t="e">
        <f>Table26[[#This Row],[unitprice]]*Table26[[#This Row],[quantity_unit]]</f>
        <v>#VALUE!</v>
      </c>
      <c r="AK1423" s="227" t="e" cm="1">
        <f t="array" ref="AK14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4" spans="1:37" ht="18" customHeight="1">
      <c r="A1424" s="42">
        <v>820</v>
      </c>
      <c r="B1424" s="42" t="s">
        <v>3357</v>
      </c>
      <c r="C1424" s="53" t="s">
        <v>203</v>
      </c>
      <c r="E1424" s="20"/>
      <c r="F14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4" s="93"/>
      <c r="I1424" s="19">
        <v>45755</v>
      </c>
      <c r="J1424" s="90" t="str">
        <f>IF(Table26[[#This Row],[customerSKU]]="","",_xlfn.XLOOKUP(Table26[[#This Row],[customerSKU]],customerSKU!G:G,customerSKU!A:A,"",0,1))</f>
        <v/>
      </c>
      <c r="K1424" s="232">
        <v>45757</v>
      </c>
      <c r="L1424" s="49" t="str">
        <f>IF(Table26[[#This Row],[customerSKU]]="","",_xlfn.XLOOKUP(Table26[[#This Row],[customerSKU]],customerSKU!G:G,customerSKU!B:B,"",0,1))</f>
        <v/>
      </c>
      <c r="M1424" s="262"/>
      <c r="N1424" s="366" t="str">
        <f>Table26[[#This Row],[po_number]]&amp;"-"&amp;Table26[[#This Row],[po_line]]</f>
        <v>-5</v>
      </c>
      <c r="O1424" s="366">
        <v>5</v>
      </c>
      <c r="P1424" s="50"/>
      <c r="Q1424" s="22" t="s">
        <v>625</v>
      </c>
      <c r="R1424" s="22" t="s">
        <v>569</v>
      </c>
      <c r="S1424" s="90" t="str">
        <f>IF(Table26[[#This Row],[customerSKU]]="","",_xlfn.XLOOKUP(Table26[[#This Row],[customerSKU]],customerSKU!G:G,customerSKU!N:N,"NOT FOUND",0,1))</f>
        <v>NOT FOUND</v>
      </c>
      <c r="T1424" s="20">
        <v>45707</v>
      </c>
      <c r="U1424" s="94">
        <v>12</v>
      </c>
      <c r="V1424" s="22" t="str">
        <f>IF(ISBLANK(Table26[[#This Row],[customerSKU]]),"",_xlfn.XLOOKUP(Table26[[#This Row],[customerSKU]],Table27[customer_SKU],Table27[case_size],"",0,1))</f>
        <v/>
      </c>
      <c r="W1424" s="117" t="str">
        <f t="shared" si="61"/>
        <v/>
      </c>
      <c r="X1424" s="22" t="str">
        <f t="shared" si="62"/>
        <v/>
      </c>
      <c r="Y1424" s="25" t="str">
        <f>IF(Table26[[#This Row],[customerSKU]]="","",_xlfn.XLOOKUP(Table26[[#This Row],[customerSKU]],Table27[customer_SKU],Table27[product_GTIN],"",0,1))</f>
        <v/>
      </c>
      <c r="Z1424" s="25" t="s">
        <v>3407</v>
      </c>
      <c r="AA1424" s="18" t="str" cm="1">
        <f t="array" ref="AA1424">IF(P1424="", "", _xlfn.XLOOKUP(P1424,#REF!,#REF!,NA,0,-1))</f>
        <v/>
      </c>
      <c r="AB1424" s="22"/>
      <c r="AC1424" s="55" t="s">
        <v>171</v>
      </c>
      <c r="AD1424" s="55" t="str">
        <f>IF($AC1424="","",_xlfn.XLOOKUP($AC1424,'[2]Client Info'!$C$2:$C$2535,'[2]Client Info'!$D$2:$D$2535,"",0,1))</f>
        <v>725 NELSON STREET</v>
      </c>
      <c r="AE1424" s="55" t="str">
        <f>IF($AC1424="","",_xlfn.XLOOKUP($AC1424,'[2]Client Info'!$C$2:$C$2715,'[2]Client Info'!$E$2:$E$2715,"",))</f>
        <v>VANCOUVER</v>
      </c>
      <c r="AF1424" s="55" t="str">
        <f>IF($AC1424="","",_xlfn.XLOOKUP($AC1424,'[2]Client Info'!$C$2:$C$2715,'[2]Client Info'!$F$2:$F$2715,"",0,1))</f>
        <v xml:space="preserve">BC </v>
      </c>
      <c r="AG1424" s="55" t="s">
        <v>3460</v>
      </c>
      <c r="AH1424" s="26" t="str">
        <f>_xlfn.XLOOKUP(Table26[[#This Row],[customerSKU]],customerSKU!G:G,customerSKU!K:K,"NA",0,1)</f>
        <v>NA</v>
      </c>
      <c r="AI1424" s="43" t="str">
        <f>_xlfn.XLOOKUP(Table26[[#This Row],[customerSKU]],customerSKU!G:G,customerSKU!O:O,"not found",0,1)</f>
        <v>not found</v>
      </c>
      <c r="AJ1424" s="22" t="e">
        <f>Table26[[#This Row],[unitprice]]*Table26[[#This Row],[quantity_unit]]</f>
        <v>#VALUE!</v>
      </c>
      <c r="AK1424" s="227" t="e" cm="1">
        <f t="array" ref="AK14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5" spans="1:37" ht="18" customHeight="1">
      <c r="A1425" s="42">
        <v>821</v>
      </c>
      <c r="B1425" s="42" t="s">
        <v>3357</v>
      </c>
      <c r="C1425" s="53" t="s">
        <v>203</v>
      </c>
      <c r="E1425" s="20"/>
      <c r="F14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5" s="93"/>
      <c r="I1425" s="19">
        <v>45755</v>
      </c>
      <c r="J1425" s="90" t="str">
        <f>IF(Table26[[#This Row],[customerSKU]]="","",_xlfn.XLOOKUP(Table26[[#This Row],[customerSKU]],customerSKU!G:G,customerSKU!A:A,"",0,1))</f>
        <v/>
      </c>
      <c r="K1425" s="232">
        <v>45757</v>
      </c>
      <c r="L1425" s="49" t="str">
        <f>IF(Table26[[#This Row],[customerSKU]]="","",_xlfn.XLOOKUP(Table26[[#This Row],[customerSKU]],customerSKU!G:G,customerSKU!B:B,"",0,1))</f>
        <v/>
      </c>
      <c r="M1425" s="262"/>
      <c r="N1425" s="366" t="str">
        <f>Table26[[#This Row],[po_number]]&amp;"-"&amp;Table26[[#This Row],[po_line]]</f>
        <v>-6</v>
      </c>
      <c r="O1425" s="366">
        <v>6</v>
      </c>
      <c r="P1425" s="50"/>
      <c r="Q1425" s="22" t="s">
        <v>622</v>
      </c>
      <c r="R1425" s="22" t="s">
        <v>569</v>
      </c>
      <c r="S1425" s="90" t="str">
        <f>IF(Table26[[#This Row],[customerSKU]]="","",_xlfn.XLOOKUP(Table26[[#This Row],[customerSKU]],customerSKU!G:G,customerSKU!N:N,"NOT FOUND",0,1))</f>
        <v>NOT FOUND</v>
      </c>
      <c r="T1425" s="20">
        <v>45603</v>
      </c>
      <c r="U1425" s="94">
        <v>12</v>
      </c>
      <c r="V1425" s="22" t="str">
        <f>IF(ISBLANK(Table26[[#This Row],[customerSKU]]),"",_xlfn.XLOOKUP(Table26[[#This Row],[customerSKU]],Table27[customer_SKU],Table27[case_size],"",0,1))</f>
        <v/>
      </c>
      <c r="W1425" s="117" t="str">
        <f t="shared" si="61"/>
        <v/>
      </c>
      <c r="X1425" s="22" t="str">
        <f t="shared" si="62"/>
        <v/>
      </c>
      <c r="Y1425" s="25" t="str">
        <f>IF(Table26[[#This Row],[customerSKU]]="","",_xlfn.XLOOKUP(Table26[[#This Row],[customerSKU]],Table27[customer_SKU],Table27[product_GTIN],"",0,1))</f>
        <v/>
      </c>
      <c r="Z1425" s="25" t="s">
        <v>3434</v>
      </c>
      <c r="AA1425" s="18" t="str" cm="1">
        <f t="array" ref="AA1425">IF(P1425="", "", _xlfn.XLOOKUP(P1425,#REF!,#REF!,NA,0,-1))</f>
        <v/>
      </c>
      <c r="AB1425" s="22"/>
      <c r="AC1425" s="55" t="s">
        <v>171</v>
      </c>
      <c r="AD1425" s="55" t="str">
        <f>IF($AC1425="","",_xlfn.XLOOKUP($AC1425,'[2]Client Info'!$C$2:$C$2535,'[2]Client Info'!$D$2:$D$2535,"",0,1))</f>
        <v>725 NELSON STREET</v>
      </c>
      <c r="AE1425" s="55" t="str">
        <f>IF($AC1425="","",_xlfn.XLOOKUP($AC1425,'[2]Client Info'!$C$2:$C$2715,'[2]Client Info'!$E$2:$E$2715,"",))</f>
        <v>VANCOUVER</v>
      </c>
      <c r="AF1425" s="55" t="str">
        <f>IF($AC1425="","",_xlfn.XLOOKUP($AC1425,'[2]Client Info'!$C$2:$C$2715,'[2]Client Info'!$F$2:$F$2715,"",0,1))</f>
        <v xml:space="preserve">BC </v>
      </c>
      <c r="AG1425" s="55" t="s">
        <v>3460</v>
      </c>
      <c r="AH1425" s="26" t="str">
        <f>_xlfn.XLOOKUP(Table26[[#This Row],[customerSKU]],customerSKU!G:G,customerSKU!K:K,"NA",0,1)</f>
        <v>NA</v>
      </c>
      <c r="AI1425" s="43" t="str">
        <f>_xlfn.XLOOKUP(Table26[[#This Row],[customerSKU]],customerSKU!G:G,customerSKU!O:O,"not found",0,1)</f>
        <v>not found</v>
      </c>
      <c r="AJ1425" s="22" t="e">
        <f>Table26[[#This Row],[unitprice]]*Table26[[#This Row],[quantity_unit]]</f>
        <v>#VALUE!</v>
      </c>
      <c r="AK1425" s="227" t="e" cm="1">
        <f t="array" ref="AK14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6" spans="1:37" ht="18" customHeight="1">
      <c r="A1426" s="42">
        <v>822</v>
      </c>
      <c r="B1426" s="42" t="s">
        <v>3357</v>
      </c>
      <c r="C1426" s="53" t="s">
        <v>203</v>
      </c>
      <c r="E1426" s="20"/>
      <c r="F14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6" s="93"/>
      <c r="I1426" s="19">
        <v>45755</v>
      </c>
      <c r="J1426" s="90" t="str">
        <f>IF(Table26[[#This Row],[customerSKU]]="","",_xlfn.XLOOKUP(Table26[[#This Row],[customerSKU]],customerSKU!G:G,customerSKU!A:A,"",0,1))</f>
        <v/>
      </c>
      <c r="K1426" s="232">
        <v>45757</v>
      </c>
      <c r="L1426" s="49" t="str">
        <f>IF(Table26[[#This Row],[customerSKU]]="","",_xlfn.XLOOKUP(Table26[[#This Row],[customerSKU]],customerSKU!G:G,customerSKU!B:B,"",0,1))</f>
        <v/>
      </c>
      <c r="M1426" s="262"/>
      <c r="N1426" s="366" t="str">
        <f>Table26[[#This Row],[po_number]]&amp;"-"&amp;Table26[[#This Row],[po_line]]</f>
        <v>-7</v>
      </c>
      <c r="O1426" s="366">
        <v>7</v>
      </c>
      <c r="P1426" s="50"/>
      <c r="Q1426" s="22" t="s">
        <v>559</v>
      </c>
      <c r="R1426" s="22" t="s">
        <v>569</v>
      </c>
      <c r="S1426" s="90" t="str">
        <f>IF(Table26[[#This Row],[customerSKU]]="","",_xlfn.XLOOKUP(Table26[[#This Row],[customerSKU]],customerSKU!G:G,customerSKU!N:N,"NOT FOUND",0,1))</f>
        <v>NOT FOUND</v>
      </c>
      <c r="T1426" s="20">
        <v>45740</v>
      </c>
      <c r="U1426" s="94">
        <v>12</v>
      </c>
      <c r="V1426" s="22" t="str">
        <f>IF(ISBLANK(Table26[[#This Row],[customerSKU]]),"",_xlfn.XLOOKUP(Table26[[#This Row],[customerSKU]],Table27[customer_SKU],Table27[case_size],"",0,1))</f>
        <v/>
      </c>
      <c r="W1426" s="117" t="str">
        <f t="shared" si="61"/>
        <v/>
      </c>
      <c r="X1426" s="22" t="str">
        <f t="shared" si="62"/>
        <v/>
      </c>
      <c r="Y1426" s="25" t="str">
        <f>IF(Table26[[#This Row],[customerSKU]]="","",_xlfn.XLOOKUP(Table26[[#This Row],[customerSKU]],Table27[customer_SKU],Table27[product_GTIN],"",0,1))</f>
        <v/>
      </c>
      <c r="Z1426" s="25" t="s">
        <v>3450</v>
      </c>
      <c r="AA1426" s="18" t="str" cm="1">
        <f t="array" ref="AA1426">IF(P1426="", "", _xlfn.XLOOKUP(P1426,#REF!,#REF!,NA,0,-1))</f>
        <v/>
      </c>
      <c r="AB1426" s="22"/>
      <c r="AC1426" s="55" t="s">
        <v>171</v>
      </c>
      <c r="AD1426" s="55" t="str">
        <f>IF($AC1426="","",_xlfn.XLOOKUP($AC1426,'[2]Client Info'!$C$2:$C$2535,'[2]Client Info'!$D$2:$D$2535,"",0,1))</f>
        <v>725 NELSON STREET</v>
      </c>
      <c r="AE1426" s="55" t="str">
        <f>IF($AC1426="","",_xlfn.XLOOKUP($AC1426,'[2]Client Info'!$C$2:$C$2715,'[2]Client Info'!$E$2:$E$2715,"",))</f>
        <v>VANCOUVER</v>
      </c>
      <c r="AF1426" s="55" t="str">
        <f>IF($AC1426="","",_xlfn.XLOOKUP($AC1426,'[2]Client Info'!$C$2:$C$2715,'[2]Client Info'!$F$2:$F$2715,"",0,1))</f>
        <v xml:space="preserve">BC </v>
      </c>
      <c r="AG1426" s="55" t="s">
        <v>3460</v>
      </c>
      <c r="AH1426" s="26" t="str">
        <f>_xlfn.XLOOKUP(Table26[[#This Row],[customerSKU]],customerSKU!G:G,customerSKU!K:K,"NA",0,1)</f>
        <v>NA</v>
      </c>
      <c r="AI1426" s="43" t="str">
        <f>_xlfn.XLOOKUP(Table26[[#This Row],[customerSKU]],customerSKU!G:G,customerSKU!O:O,"not found",0,1)</f>
        <v>not found</v>
      </c>
      <c r="AJ1426" s="22" t="e">
        <f>Table26[[#This Row],[unitprice]]*Table26[[#This Row],[quantity_unit]]</f>
        <v>#VALUE!</v>
      </c>
      <c r="AK1426" s="227" t="e" cm="1">
        <f t="array" ref="AK14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7" spans="1:37" ht="18" customHeight="1">
      <c r="A1427" s="42">
        <v>823</v>
      </c>
      <c r="B1427" s="42" t="s">
        <v>3357</v>
      </c>
      <c r="C1427" s="53" t="s">
        <v>203</v>
      </c>
      <c r="E1427" s="20"/>
      <c r="F14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7" s="93"/>
      <c r="I1427" s="19">
        <v>45755</v>
      </c>
      <c r="J1427" s="90" t="str">
        <f>IF(Table26[[#This Row],[customerSKU]]="","",_xlfn.XLOOKUP(Table26[[#This Row],[customerSKU]],customerSKU!G:G,customerSKU!A:A,"",0,1))</f>
        <v/>
      </c>
      <c r="K1427" s="232">
        <v>45757</v>
      </c>
      <c r="L1427" s="49" t="str">
        <f>IF(Table26[[#This Row],[customerSKU]]="","",_xlfn.XLOOKUP(Table26[[#This Row],[customerSKU]],customerSKU!G:G,customerSKU!B:B,"",0,1))</f>
        <v/>
      </c>
      <c r="M1427" s="262"/>
      <c r="N1427" s="366" t="str">
        <f>Table26[[#This Row],[po_number]]&amp;"-"&amp;Table26[[#This Row],[po_line]]</f>
        <v>-1</v>
      </c>
      <c r="O1427" s="366">
        <v>1</v>
      </c>
      <c r="P1427" s="50"/>
      <c r="Q1427" s="22" t="s">
        <v>3461</v>
      </c>
      <c r="R1427" s="22" t="s">
        <v>569</v>
      </c>
      <c r="S1427" s="90" t="str">
        <f>IF(Table26[[#This Row],[customerSKU]]="","",_xlfn.XLOOKUP(Table26[[#This Row],[customerSKU]],customerSKU!G:G,customerSKU!N:N,"NOT FOUND",0,1))</f>
        <v>NOT FOUND</v>
      </c>
      <c r="T1427" s="20">
        <v>45588</v>
      </c>
      <c r="U1427" s="94">
        <v>6</v>
      </c>
      <c r="V1427" s="22" t="str">
        <f>IF(ISBLANK(Table26[[#This Row],[customerSKU]]),"",_xlfn.XLOOKUP(Table26[[#This Row],[customerSKU]],Table27[customer_SKU],Table27[case_size],"",0,1))</f>
        <v/>
      </c>
      <c r="W1427" s="117" t="str">
        <f t="shared" si="61"/>
        <v/>
      </c>
      <c r="X1427" s="22" t="str">
        <f t="shared" si="62"/>
        <v/>
      </c>
      <c r="Y1427" s="25" t="str">
        <f>IF(Table26[[#This Row],[customerSKU]]="","",_xlfn.XLOOKUP(Table26[[#This Row],[customerSKU]],Table27[customer_SKU],Table27[product_GTIN],"",0,1))</f>
        <v/>
      </c>
      <c r="Z1427" s="25" t="s">
        <v>3392</v>
      </c>
      <c r="AA1427" s="18" t="str" cm="1">
        <f t="array" ref="AA1427">IF(P1427="", "", _xlfn.XLOOKUP(P1427,#REF!,#REF!,NA,0,-1))</f>
        <v/>
      </c>
      <c r="AB1427" s="22"/>
      <c r="AC1427" s="55" t="s">
        <v>52</v>
      </c>
      <c r="AD1427" s="55" t="str">
        <f>IF($AC1427="","",_xlfn.XLOOKUP($AC1427,'[2]Client Info'!$C$2:$C$2535,'[2]Client Info'!$D$2:$D$2535,"",0,1))</f>
        <v>Unit 9, 2220 Bowen RD</v>
      </c>
      <c r="AE1427" s="55" t="str">
        <f>IF($AC1427="","",_xlfn.XLOOKUP($AC1427,'[2]Client Info'!$C$2:$C$2715,'[2]Client Info'!$E$2:$E$2715,"",))</f>
        <v>Nanaimo</v>
      </c>
      <c r="AF1427" s="55" t="str">
        <f>IF($AC1427="","",_xlfn.XLOOKUP($AC1427,'[2]Client Info'!$C$2:$C$2715,'[2]Client Info'!$F$2:$F$2715,"",0,1))</f>
        <v>BC</v>
      </c>
      <c r="AG1427" s="55" t="s">
        <v>52</v>
      </c>
      <c r="AH1427" s="26" t="str">
        <f>_xlfn.XLOOKUP(Table26[[#This Row],[customerSKU]],customerSKU!G:G,customerSKU!K:K,"NA",0,1)</f>
        <v>NA</v>
      </c>
      <c r="AI1427" s="43" t="str">
        <f>_xlfn.XLOOKUP(Table26[[#This Row],[customerSKU]],customerSKU!G:G,customerSKU!O:O,"not found",0,1)</f>
        <v>not found</v>
      </c>
      <c r="AJ1427" s="22" t="e">
        <f>Table26[[#This Row],[unitprice]]*Table26[[#This Row],[quantity_unit]]</f>
        <v>#VALUE!</v>
      </c>
      <c r="AK1427" s="227" t="e" cm="1">
        <f t="array" ref="AK14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8" spans="1:37" ht="18" customHeight="1">
      <c r="A1428" s="42">
        <v>824</v>
      </c>
      <c r="B1428" s="42" t="s">
        <v>3357</v>
      </c>
      <c r="C1428" s="53" t="s">
        <v>203</v>
      </c>
      <c r="E1428" s="20"/>
      <c r="F14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8" s="93"/>
      <c r="I1428" s="19">
        <v>45755</v>
      </c>
      <c r="J1428" s="90" t="str">
        <f>IF(Table26[[#This Row],[customerSKU]]="","",_xlfn.XLOOKUP(Table26[[#This Row],[customerSKU]],customerSKU!G:G,customerSKU!A:A,"",0,1))</f>
        <v/>
      </c>
      <c r="K1428" s="232">
        <v>45757</v>
      </c>
      <c r="L1428" s="49" t="str">
        <f>IF(Table26[[#This Row],[customerSKU]]="","",_xlfn.XLOOKUP(Table26[[#This Row],[customerSKU]],customerSKU!G:G,customerSKU!B:B,"",0,1))</f>
        <v/>
      </c>
      <c r="M1428" s="262"/>
      <c r="N1428" s="366" t="str">
        <f>Table26[[#This Row],[po_number]]&amp;"-"&amp;Table26[[#This Row],[po_line]]</f>
        <v>-2</v>
      </c>
      <c r="O1428" s="366">
        <v>2</v>
      </c>
      <c r="P1428" s="50"/>
      <c r="Q1428" s="22" t="s">
        <v>3461</v>
      </c>
      <c r="R1428" s="22" t="s">
        <v>569</v>
      </c>
      <c r="S1428" s="90" t="str">
        <f>IF(Table26[[#This Row],[customerSKU]]="","",_xlfn.XLOOKUP(Table26[[#This Row],[customerSKU]],customerSKU!G:G,customerSKU!N:N,"NOT FOUND",0,1))</f>
        <v>NOT FOUND</v>
      </c>
      <c r="T1428" s="20">
        <v>45354</v>
      </c>
      <c r="U1428" s="94">
        <v>6</v>
      </c>
      <c r="V1428" s="22" t="str">
        <f>IF(ISBLANK(Table26[[#This Row],[customerSKU]]),"",_xlfn.XLOOKUP(Table26[[#This Row],[customerSKU]],Table27[customer_SKU],Table27[case_size],"",0,1))</f>
        <v/>
      </c>
      <c r="W1428" s="117" t="str">
        <f t="shared" si="61"/>
        <v/>
      </c>
      <c r="X1428" s="22" t="str">
        <f t="shared" si="62"/>
        <v/>
      </c>
      <c r="Y1428" s="25" t="str">
        <f>IF(Table26[[#This Row],[customerSKU]]="","",_xlfn.XLOOKUP(Table26[[#This Row],[customerSKU]],Table27[customer_SKU],Table27[product_GTIN],"",0,1))</f>
        <v/>
      </c>
      <c r="Z1428" s="25" t="s">
        <v>3392</v>
      </c>
      <c r="AA1428" s="18" t="str" cm="1">
        <f t="array" ref="AA1428">IF(P1428="", "", _xlfn.XLOOKUP(P1428,#REF!,#REF!,NA,0,-1))</f>
        <v/>
      </c>
      <c r="AB1428" s="22"/>
      <c r="AC1428" s="55" t="s">
        <v>52</v>
      </c>
      <c r="AD1428" s="55" t="str">
        <f>IF($AC1428="","",_xlfn.XLOOKUP($AC1428,'[2]Client Info'!$C$2:$C$2535,'[2]Client Info'!$D$2:$D$2535,"",0,1))</f>
        <v>Unit 9, 2220 Bowen RD</v>
      </c>
      <c r="AE1428" s="55" t="str">
        <f>IF($AC1428="","",_xlfn.XLOOKUP($AC1428,'[2]Client Info'!$C$2:$C$2715,'[2]Client Info'!$E$2:$E$2715,"",))</f>
        <v>Nanaimo</v>
      </c>
      <c r="AF1428" s="55" t="str">
        <f>IF($AC1428="","",_xlfn.XLOOKUP($AC1428,'[2]Client Info'!$C$2:$C$2715,'[2]Client Info'!$F$2:$F$2715,"",0,1))</f>
        <v>BC</v>
      </c>
      <c r="AG1428" s="55" t="s">
        <v>52</v>
      </c>
      <c r="AH1428" s="26" t="str">
        <f>_xlfn.XLOOKUP(Table26[[#This Row],[customerSKU]],customerSKU!G:G,customerSKU!K:K,"NA",0,1)</f>
        <v>NA</v>
      </c>
      <c r="AI1428" s="43" t="str">
        <f>_xlfn.XLOOKUP(Table26[[#This Row],[customerSKU]],customerSKU!G:G,customerSKU!O:O,"not found",0,1)</f>
        <v>not found</v>
      </c>
      <c r="AJ1428" s="22" t="e">
        <f>Table26[[#This Row],[unitprice]]*Table26[[#This Row],[quantity_unit]]</f>
        <v>#VALUE!</v>
      </c>
      <c r="AK1428" s="227" t="e" cm="1">
        <f t="array" ref="AK14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29" spans="1:37" ht="18" customHeight="1">
      <c r="A1429" s="42">
        <v>825</v>
      </c>
      <c r="B1429" s="42" t="s">
        <v>3357</v>
      </c>
      <c r="C1429" s="53" t="s">
        <v>203</v>
      </c>
      <c r="E1429" s="20"/>
      <c r="F14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29" s="93"/>
      <c r="I1429" s="19">
        <v>45755</v>
      </c>
      <c r="J1429" s="90" t="str">
        <f>IF(Table26[[#This Row],[customerSKU]]="","",_xlfn.XLOOKUP(Table26[[#This Row],[customerSKU]],customerSKU!G:G,customerSKU!A:A,"",0,1))</f>
        <v/>
      </c>
      <c r="K1429" s="232">
        <v>45757</v>
      </c>
      <c r="L1429" s="49" t="str">
        <f>IF(Table26[[#This Row],[customerSKU]]="","",_xlfn.XLOOKUP(Table26[[#This Row],[customerSKU]],customerSKU!G:G,customerSKU!B:B,"",0,1))</f>
        <v/>
      </c>
      <c r="M1429" s="262"/>
      <c r="N1429" s="366" t="str">
        <f>Table26[[#This Row],[po_number]]&amp;"-"&amp;Table26[[#This Row],[po_line]]</f>
        <v>-3</v>
      </c>
      <c r="O1429" s="366">
        <v>3</v>
      </c>
      <c r="P1429" s="50"/>
      <c r="Q1429" s="22" t="s">
        <v>971</v>
      </c>
      <c r="R1429" s="22" t="s">
        <v>569</v>
      </c>
      <c r="S1429" s="90" t="str">
        <f>IF(Table26[[#This Row],[customerSKU]]="","",_xlfn.XLOOKUP(Table26[[#This Row],[customerSKU]],customerSKU!G:G,customerSKU!N:N,"NOT FOUND",0,1))</f>
        <v>NOT FOUND</v>
      </c>
      <c r="T1429" s="20">
        <v>45467</v>
      </c>
      <c r="U1429" s="94">
        <v>12</v>
      </c>
      <c r="V1429" s="22" t="str">
        <f>IF(ISBLANK(Table26[[#This Row],[customerSKU]]),"",_xlfn.XLOOKUP(Table26[[#This Row],[customerSKU]],Table27[customer_SKU],Table27[case_size],"",0,1))</f>
        <v/>
      </c>
      <c r="W1429" s="117" t="str">
        <f t="shared" si="61"/>
        <v/>
      </c>
      <c r="X1429" s="22" t="str">
        <f t="shared" si="62"/>
        <v/>
      </c>
      <c r="Y1429" s="25" t="str">
        <f>IF(Table26[[#This Row],[customerSKU]]="","",_xlfn.XLOOKUP(Table26[[#This Row],[customerSKU]],Table27[customer_SKU],Table27[product_GTIN],"",0,1))</f>
        <v/>
      </c>
      <c r="Z1429" s="25" t="s">
        <v>3370</v>
      </c>
      <c r="AA1429" s="18" t="str" cm="1">
        <f t="array" ref="AA1429">IF(P1429="", "", _xlfn.XLOOKUP(P1429,#REF!,#REF!,NA,0,-1))</f>
        <v/>
      </c>
      <c r="AB1429" s="22"/>
      <c r="AC1429" s="55" t="s">
        <v>52</v>
      </c>
      <c r="AD1429" s="55" t="str">
        <f>IF($AC1429="","",_xlfn.XLOOKUP($AC1429,'[2]Client Info'!$C$2:$C$2535,'[2]Client Info'!$D$2:$D$2535,"",0,1))</f>
        <v>Unit 9, 2220 Bowen RD</v>
      </c>
      <c r="AE1429" s="55" t="str">
        <f>IF($AC1429="","",_xlfn.XLOOKUP($AC1429,'[2]Client Info'!$C$2:$C$2715,'[2]Client Info'!$E$2:$E$2715,"",))</f>
        <v>Nanaimo</v>
      </c>
      <c r="AF1429" s="55" t="str">
        <f>IF($AC1429="","",_xlfn.XLOOKUP($AC1429,'[2]Client Info'!$C$2:$C$2715,'[2]Client Info'!$F$2:$F$2715,"",0,1))</f>
        <v>BC</v>
      </c>
      <c r="AG1429" s="55" t="s">
        <v>52</v>
      </c>
      <c r="AH1429" s="26" t="str">
        <f>_xlfn.XLOOKUP(Table26[[#This Row],[customerSKU]],customerSKU!G:G,customerSKU!K:K,"NA",0,1)</f>
        <v>NA</v>
      </c>
      <c r="AI1429" s="43" t="str">
        <f>_xlfn.XLOOKUP(Table26[[#This Row],[customerSKU]],customerSKU!G:G,customerSKU!O:O,"not found",0,1)</f>
        <v>not found</v>
      </c>
      <c r="AJ1429" s="22" t="e">
        <f>Table26[[#This Row],[unitprice]]*Table26[[#This Row],[quantity_unit]]</f>
        <v>#VALUE!</v>
      </c>
      <c r="AK1429" s="227" t="e" cm="1">
        <f t="array" ref="AK14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0" spans="1:37" ht="18" customHeight="1">
      <c r="A1430" s="42">
        <v>826</v>
      </c>
      <c r="B1430" s="42" t="s">
        <v>3357</v>
      </c>
      <c r="C1430" s="53" t="s">
        <v>203</v>
      </c>
      <c r="E1430" s="20"/>
      <c r="F14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0" s="93"/>
      <c r="I1430" s="19">
        <v>45755</v>
      </c>
      <c r="J1430" s="90" t="str">
        <f>IF(Table26[[#This Row],[customerSKU]]="","",_xlfn.XLOOKUP(Table26[[#This Row],[customerSKU]],customerSKU!G:G,customerSKU!A:A,"",0,1))</f>
        <v/>
      </c>
      <c r="K1430" s="232">
        <v>45757</v>
      </c>
      <c r="L1430" s="49" t="str">
        <f>IF(Table26[[#This Row],[customerSKU]]="","",_xlfn.XLOOKUP(Table26[[#This Row],[customerSKU]],customerSKU!G:G,customerSKU!B:B,"",0,1))</f>
        <v/>
      </c>
      <c r="M1430" s="262"/>
      <c r="N1430" s="366" t="str">
        <f>Table26[[#This Row],[po_number]]&amp;"-"&amp;Table26[[#This Row],[po_line]]</f>
        <v>-4</v>
      </c>
      <c r="O1430" s="366">
        <v>4</v>
      </c>
      <c r="P1430" s="50"/>
      <c r="Q1430" s="22" t="s">
        <v>3415</v>
      </c>
      <c r="R1430" s="22" t="s">
        <v>569</v>
      </c>
      <c r="S1430" s="90" t="str">
        <f>IF(Table26[[#This Row],[customerSKU]]="","",_xlfn.XLOOKUP(Table26[[#This Row],[customerSKU]],customerSKU!G:G,customerSKU!N:N,"NOT FOUND",0,1))</f>
        <v>NOT FOUND</v>
      </c>
      <c r="T1430" s="20">
        <v>45674</v>
      </c>
      <c r="U1430" s="94">
        <v>12</v>
      </c>
      <c r="V1430" s="22" t="str">
        <f>IF(ISBLANK(Table26[[#This Row],[customerSKU]]),"",_xlfn.XLOOKUP(Table26[[#This Row],[customerSKU]],Table27[customer_SKU],Table27[case_size],"",0,1))</f>
        <v/>
      </c>
      <c r="W1430" s="117" t="str">
        <f t="shared" si="61"/>
        <v/>
      </c>
      <c r="X1430" s="22" t="str">
        <f t="shared" si="62"/>
        <v/>
      </c>
      <c r="Y1430" s="25" t="str">
        <f>IF(Table26[[#This Row],[customerSKU]]="","",_xlfn.XLOOKUP(Table26[[#This Row],[customerSKU]],Table27[customer_SKU],Table27[product_GTIN],"",0,1))</f>
        <v/>
      </c>
      <c r="Z1430" s="25" t="s">
        <v>3462</v>
      </c>
      <c r="AA1430" s="18" t="str" cm="1">
        <f t="array" ref="AA1430">IF(P1430="", "", _xlfn.XLOOKUP(P1430,#REF!,#REF!,NA,0,-1))</f>
        <v/>
      </c>
      <c r="AB1430" s="22"/>
      <c r="AC1430" s="55" t="s">
        <v>52</v>
      </c>
      <c r="AD1430" s="55" t="str">
        <f>IF($AC1430="","",_xlfn.XLOOKUP($AC1430,'[2]Client Info'!$C$2:$C$2535,'[2]Client Info'!$D$2:$D$2535,"",0,1))</f>
        <v>Unit 9, 2220 Bowen RD</v>
      </c>
      <c r="AE1430" s="55" t="str">
        <f>IF($AC1430="","",_xlfn.XLOOKUP($AC1430,'[2]Client Info'!$C$2:$C$2715,'[2]Client Info'!$E$2:$E$2715,"",))</f>
        <v>Nanaimo</v>
      </c>
      <c r="AF1430" s="55" t="str">
        <f>IF($AC1430="","",_xlfn.XLOOKUP($AC1430,'[2]Client Info'!$C$2:$C$2715,'[2]Client Info'!$F$2:$F$2715,"",0,1))</f>
        <v>BC</v>
      </c>
      <c r="AG1430" s="55" t="s">
        <v>52</v>
      </c>
      <c r="AH1430" s="26" t="str">
        <f>_xlfn.XLOOKUP(Table26[[#This Row],[customerSKU]],customerSKU!G:G,customerSKU!K:K,"NA",0,1)</f>
        <v>NA</v>
      </c>
      <c r="AI1430" s="43" t="str">
        <f>_xlfn.XLOOKUP(Table26[[#This Row],[customerSKU]],customerSKU!G:G,customerSKU!O:O,"not found",0,1)</f>
        <v>not found</v>
      </c>
      <c r="AJ1430" s="22" t="e">
        <f>Table26[[#This Row],[unitprice]]*Table26[[#This Row],[quantity_unit]]</f>
        <v>#VALUE!</v>
      </c>
      <c r="AK1430" s="227" t="e" cm="1">
        <f t="array" ref="AK14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1" spans="1:37" ht="18" customHeight="1">
      <c r="A1431" s="42">
        <v>827</v>
      </c>
      <c r="B1431" s="42" t="s">
        <v>3357</v>
      </c>
      <c r="C1431" s="53" t="s">
        <v>203</v>
      </c>
      <c r="E1431" s="20"/>
      <c r="F14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1" s="93"/>
      <c r="I1431" s="19">
        <v>45755</v>
      </c>
      <c r="J1431" s="90" t="str">
        <f>IF(Table26[[#This Row],[customerSKU]]="","",_xlfn.XLOOKUP(Table26[[#This Row],[customerSKU]],customerSKU!G:G,customerSKU!A:A,"",0,1))</f>
        <v/>
      </c>
      <c r="K1431" s="232">
        <v>45757</v>
      </c>
      <c r="L1431" s="49" t="str">
        <f>IF(Table26[[#This Row],[customerSKU]]="","",_xlfn.XLOOKUP(Table26[[#This Row],[customerSKU]],customerSKU!G:G,customerSKU!B:B,"",0,1))</f>
        <v/>
      </c>
      <c r="M1431" s="262"/>
      <c r="N1431" s="366" t="str">
        <f>Table26[[#This Row],[po_number]]&amp;"-"&amp;Table26[[#This Row],[po_line]]</f>
        <v>-1</v>
      </c>
      <c r="O1431" s="366">
        <v>1</v>
      </c>
      <c r="P1431" s="50"/>
      <c r="Q1431" s="22" t="s">
        <v>659</v>
      </c>
      <c r="R1431" s="22" t="s">
        <v>569</v>
      </c>
      <c r="S1431" s="90" t="str">
        <f>IF(Table26[[#This Row],[customerSKU]]="","",_xlfn.XLOOKUP(Table26[[#This Row],[customerSKU]],customerSKU!G:G,customerSKU!N:N,"NOT FOUND",0,1))</f>
        <v>NOT FOUND</v>
      </c>
      <c r="T1431" s="20">
        <v>45638</v>
      </c>
      <c r="U1431" s="94">
        <v>12</v>
      </c>
      <c r="V1431" s="22" t="str">
        <f>IF(ISBLANK(Table26[[#This Row],[customerSKU]]),"",_xlfn.XLOOKUP(Table26[[#This Row],[customerSKU]],Table27[customer_SKU],Table27[case_size],"",0,1))</f>
        <v/>
      </c>
      <c r="W1431" s="117" t="str">
        <f t="shared" si="61"/>
        <v/>
      </c>
      <c r="X1431" s="22" t="str">
        <f t="shared" si="62"/>
        <v/>
      </c>
      <c r="Y1431" s="25" t="str">
        <f>IF(Table26[[#This Row],[customerSKU]]="","",_xlfn.XLOOKUP(Table26[[#This Row],[customerSKU]],Table27[customer_SKU],Table27[product_GTIN],"",0,1))</f>
        <v/>
      </c>
      <c r="Z1431" s="25" t="s">
        <v>3391</v>
      </c>
      <c r="AA1431" s="18" t="str" cm="1">
        <f t="array" ref="AA1431">IF(P1431="", "", _xlfn.XLOOKUP(P1431,#REF!,#REF!,NA,0,-1))</f>
        <v/>
      </c>
      <c r="AB1431" s="22"/>
      <c r="AC1431" s="55" t="s">
        <v>3424</v>
      </c>
      <c r="AD1431" s="55" t="str">
        <f>IF($AC1431="","",_xlfn.XLOOKUP($AC1431,'[2]Client Info'!$C$2:$C$2535,'[2]Client Info'!$D$2:$D$2535,"",0,1))</f>
        <v>3695 W 4TH AVENUE</v>
      </c>
      <c r="AE1431" s="55" t="str">
        <f>IF($AC1431="","",_xlfn.XLOOKUP($AC1431,'[2]Client Info'!$C$2:$C$2715,'[2]Client Info'!$E$2:$E$2715,"",))</f>
        <v>Vancouver</v>
      </c>
      <c r="AF1431" s="55" t="str">
        <f>IF($AC1431="","",_xlfn.XLOOKUP($AC1431,'[2]Client Info'!$C$2:$C$2715,'[2]Client Info'!$F$2:$F$2715,"",0,1))</f>
        <v xml:space="preserve">BC </v>
      </c>
      <c r="AG1431" s="55" t="s">
        <v>3424</v>
      </c>
      <c r="AH1431" s="26" t="str">
        <f>_xlfn.XLOOKUP(Table26[[#This Row],[customerSKU]],customerSKU!G:G,customerSKU!K:K,"NA",0,1)</f>
        <v>NA</v>
      </c>
      <c r="AI1431" s="43" t="str">
        <f>_xlfn.XLOOKUP(Table26[[#This Row],[customerSKU]],customerSKU!G:G,customerSKU!O:O,"not found",0,1)</f>
        <v>not found</v>
      </c>
      <c r="AJ1431" s="22" t="e">
        <f>Table26[[#This Row],[unitprice]]*Table26[[#This Row],[quantity_unit]]</f>
        <v>#VALUE!</v>
      </c>
      <c r="AK1431" s="227" t="e" cm="1">
        <f t="array" ref="AK14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2" spans="1:37" ht="18" customHeight="1">
      <c r="A1432" s="42">
        <v>828</v>
      </c>
      <c r="B1432" s="42" t="s">
        <v>3357</v>
      </c>
      <c r="C1432" s="53" t="s">
        <v>203</v>
      </c>
      <c r="E1432" s="20"/>
      <c r="F14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2" s="93"/>
      <c r="I1432" s="19">
        <v>45755</v>
      </c>
      <c r="J1432" s="90" t="str">
        <f>IF(Table26[[#This Row],[customerSKU]]="","",_xlfn.XLOOKUP(Table26[[#This Row],[customerSKU]],customerSKU!G:G,customerSKU!A:A,"",0,1))</f>
        <v/>
      </c>
      <c r="K1432" s="232">
        <v>45757</v>
      </c>
      <c r="L1432" s="49" t="str">
        <f>IF(Table26[[#This Row],[customerSKU]]="","",_xlfn.XLOOKUP(Table26[[#This Row],[customerSKU]],customerSKU!G:G,customerSKU!B:B,"",0,1))</f>
        <v/>
      </c>
      <c r="M1432" s="262"/>
      <c r="N1432" s="366" t="str">
        <f>Table26[[#This Row],[po_number]]&amp;"-"&amp;Table26[[#This Row],[po_line]]</f>
        <v>-2</v>
      </c>
      <c r="O1432" s="366">
        <v>2</v>
      </c>
      <c r="P1432" s="50"/>
      <c r="Q1432" s="22" t="s">
        <v>1660</v>
      </c>
      <c r="R1432" s="22" t="s">
        <v>569</v>
      </c>
      <c r="S1432" s="90" t="str">
        <f>IF(Table26[[#This Row],[customerSKU]]="","",_xlfn.XLOOKUP(Table26[[#This Row],[customerSKU]],customerSKU!G:G,customerSKU!N:N,"NOT FOUND",0,1))</f>
        <v>NOT FOUND</v>
      </c>
      <c r="T1432" s="20">
        <v>45755</v>
      </c>
      <c r="U1432" s="94">
        <v>24</v>
      </c>
      <c r="V1432" s="22" t="str">
        <f>IF(ISBLANK(Table26[[#This Row],[customerSKU]]),"",_xlfn.XLOOKUP(Table26[[#This Row],[customerSKU]],Table27[customer_SKU],Table27[case_size],"",0,1))</f>
        <v/>
      </c>
      <c r="W1432" s="117" t="str">
        <f t="shared" si="61"/>
        <v/>
      </c>
      <c r="X1432" s="22" t="str">
        <f t="shared" si="62"/>
        <v/>
      </c>
      <c r="Y1432" s="25" t="str">
        <f>IF(Table26[[#This Row],[customerSKU]]="","",_xlfn.XLOOKUP(Table26[[#This Row],[customerSKU]],Table27[customer_SKU],Table27[product_GTIN],"",0,1))</f>
        <v/>
      </c>
      <c r="Z1432" s="25" t="s">
        <v>3373</v>
      </c>
      <c r="AA1432" s="18" t="str" cm="1">
        <f t="array" ref="AA1432">IF(P1432="", "", _xlfn.XLOOKUP(P1432,#REF!,#REF!,NA,0,-1))</f>
        <v/>
      </c>
      <c r="AB1432" s="22"/>
      <c r="AC1432" s="55" t="s">
        <v>3424</v>
      </c>
      <c r="AD1432" s="55" t="str">
        <f>IF($AC1432="","",_xlfn.XLOOKUP($AC1432,'[2]Client Info'!$C$2:$C$2535,'[2]Client Info'!$D$2:$D$2535,"",0,1))</f>
        <v>3695 W 4TH AVENUE</v>
      </c>
      <c r="AE1432" s="55" t="str">
        <f>IF($AC1432="","",_xlfn.XLOOKUP($AC1432,'[2]Client Info'!$C$2:$C$2715,'[2]Client Info'!$E$2:$E$2715,"",))</f>
        <v>Vancouver</v>
      </c>
      <c r="AF1432" s="55" t="str">
        <f>IF($AC1432="","",_xlfn.XLOOKUP($AC1432,'[2]Client Info'!$C$2:$C$2715,'[2]Client Info'!$F$2:$F$2715,"",0,1))</f>
        <v xml:space="preserve">BC </v>
      </c>
      <c r="AG1432" s="55" t="s">
        <v>3424</v>
      </c>
      <c r="AH1432" s="26" t="str">
        <f>_xlfn.XLOOKUP(Table26[[#This Row],[customerSKU]],customerSKU!G:G,customerSKU!K:K,"NA",0,1)</f>
        <v>NA</v>
      </c>
      <c r="AI1432" s="43" t="str">
        <f>_xlfn.XLOOKUP(Table26[[#This Row],[customerSKU]],customerSKU!G:G,customerSKU!O:O,"not found",0,1)</f>
        <v>not found</v>
      </c>
      <c r="AJ1432" s="22" t="e">
        <f>Table26[[#This Row],[unitprice]]*Table26[[#This Row],[quantity_unit]]</f>
        <v>#VALUE!</v>
      </c>
      <c r="AK1432" s="227" t="e" cm="1">
        <f t="array" ref="AK14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3" spans="1:37" ht="18" customHeight="1">
      <c r="A1433" s="42">
        <v>829</v>
      </c>
      <c r="B1433" s="42" t="s">
        <v>3357</v>
      </c>
      <c r="C1433" s="53" t="s">
        <v>203</v>
      </c>
      <c r="E1433" s="20"/>
      <c r="F14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3" s="93"/>
      <c r="I1433" s="19">
        <v>45755</v>
      </c>
      <c r="J1433" s="90" t="str">
        <f>IF(Table26[[#This Row],[customerSKU]]="","",_xlfn.XLOOKUP(Table26[[#This Row],[customerSKU]],customerSKU!G:G,customerSKU!A:A,"",0,1))</f>
        <v/>
      </c>
      <c r="K1433" s="232">
        <v>45757</v>
      </c>
      <c r="L1433" s="49" t="str">
        <f>IF(Table26[[#This Row],[customerSKU]]="","",_xlfn.XLOOKUP(Table26[[#This Row],[customerSKU]],customerSKU!G:G,customerSKU!B:B,"",0,1))</f>
        <v/>
      </c>
      <c r="M1433" s="262"/>
      <c r="N1433" s="366" t="str">
        <f>Table26[[#This Row],[po_number]]&amp;"-"&amp;Table26[[#This Row],[po_line]]</f>
        <v>-3</v>
      </c>
      <c r="O1433" s="366">
        <v>3</v>
      </c>
      <c r="P1433" s="50"/>
      <c r="Q1433" s="22" t="s">
        <v>559</v>
      </c>
      <c r="R1433" s="22" t="s">
        <v>569</v>
      </c>
      <c r="S1433" s="90" t="str">
        <f>IF(Table26[[#This Row],[customerSKU]]="","",_xlfn.XLOOKUP(Table26[[#This Row],[customerSKU]],customerSKU!G:G,customerSKU!N:N,"NOT FOUND",0,1))</f>
        <v>NOT FOUND</v>
      </c>
      <c r="T1433" s="20">
        <v>45740</v>
      </c>
      <c r="U1433" s="94">
        <v>12</v>
      </c>
      <c r="V1433" s="22" t="str">
        <f>IF(ISBLANK(Table26[[#This Row],[customerSKU]]),"",_xlfn.XLOOKUP(Table26[[#This Row],[customerSKU]],Table27[customer_SKU],Table27[case_size],"",0,1))</f>
        <v/>
      </c>
      <c r="W1433" s="117" t="str">
        <f t="shared" si="61"/>
        <v/>
      </c>
      <c r="X1433" s="22" t="str">
        <f t="shared" si="62"/>
        <v/>
      </c>
      <c r="Y1433" s="25" t="str">
        <f>IF(Table26[[#This Row],[customerSKU]]="","",_xlfn.XLOOKUP(Table26[[#This Row],[customerSKU]],Table27[customer_SKU],Table27[product_GTIN],"",0,1))</f>
        <v/>
      </c>
      <c r="Z1433" s="25" t="s">
        <v>3450</v>
      </c>
      <c r="AA1433" s="18" t="str" cm="1">
        <f t="array" ref="AA1433">IF(P1433="", "", _xlfn.XLOOKUP(P1433,#REF!,#REF!,NA,0,-1))</f>
        <v/>
      </c>
      <c r="AB1433" s="22"/>
      <c r="AC1433" s="55" t="s">
        <v>3424</v>
      </c>
      <c r="AD1433" s="55" t="str">
        <f>IF($AC1433="","",_xlfn.XLOOKUP($AC1433,'[2]Client Info'!$C$2:$C$2535,'[2]Client Info'!$D$2:$D$2535,"",0,1))</f>
        <v>3695 W 4TH AVENUE</v>
      </c>
      <c r="AE1433" s="55" t="str">
        <f>IF($AC1433="","",_xlfn.XLOOKUP($AC1433,'[2]Client Info'!$C$2:$C$2715,'[2]Client Info'!$E$2:$E$2715,"",))</f>
        <v>Vancouver</v>
      </c>
      <c r="AF1433" s="55" t="str">
        <f>IF($AC1433="","",_xlfn.XLOOKUP($AC1433,'[2]Client Info'!$C$2:$C$2715,'[2]Client Info'!$F$2:$F$2715,"",0,1))</f>
        <v xml:space="preserve">BC </v>
      </c>
      <c r="AG1433" s="55" t="s">
        <v>3424</v>
      </c>
      <c r="AH1433" s="26" t="str">
        <f>_xlfn.XLOOKUP(Table26[[#This Row],[customerSKU]],customerSKU!G:G,customerSKU!K:K,"NA",0,1)</f>
        <v>NA</v>
      </c>
      <c r="AI1433" s="43" t="str">
        <f>_xlfn.XLOOKUP(Table26[[#This Row],[customerSKU]],customerSKU!G:G,customerSKU!O:O,"not found",0,1)</f>
        <v>not found</v>
      </c>
      <c r="AJ1433" s="22" t="e">
        <f>Table26[[#This Row],[unitprice]]*Table26[[#This Row],[quantity_unit]]</f>
        <v>#VALUE!</v>
      </c>
      <c r="AK1433" s="227" t="e" cm="1">
        <f t="array" ref="AK14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4" spans="1:37" ht="18" customHeight="1">
      <c r="A1434" s="42">
        <v>830</v>
      </c>
      <c r="B1434" s="42" t="s">
        <v>3357</v>
      </c>
      <c r="C1434" s="53" t="s">
        <v>203</v>
      </c>
      <c r="E1434" s="20"/>
      <c r="F14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4" s="93"/>
      <c r="I1434" s="19">
        <v>45756</v>
      </c>
      <c r="J1434" s="90" t="str">
        <f>IF(Table26[[#This Row],[customerSKU]]="","",_xlfn.XLOOKUP(Table26[[#This Row],[customerSKU]],customerSKU!G:G,customerSKU!A:A,"",0,1))</f>
        <v/>
      </c>
      <c r="K1434" s="232">
        <v>45757</v>
      </c>
      <c r="L1434" s="49" t="str">
        <f>IF(Table26[[#This Row],[customerSKU]]="","",_xlfn.XLOOKUP(Table26[[#This Row],[customerSKU]],customerSKU!G:G,customerSKU!B:B,"",0,1))</f>
        <v/>
      </c>
      <c r="M1434" s="262"/>
      <c r="N1434" s="366" t="str">
        <f>Table26[[#This Row],[po_number]]&amp;"-"&amp;Table26[[#This Row],[po_line]]</f>
        <v>-1</v>
      </c>
      <c r="O1434" s="366">
        <v>1</v>
      </c>
      <c r="P1434" s="50"/>
      <c r="Q1434" s="22" t="s">
        <v>559</v>
      </c>
      <c r="R1434" s="22" t="s">
        <v>569</v>
      </c>
      <c r="S1434" s="90" t="str">
        <f>IF(Table26[[#This Row],[customerSKU]]="","",_xlfn.XLOOKUP(Table26[[#This Row],[customerSKU]],customerSKU!G:G,customerSKU!N:N,"NOT FOUND",0,1))</f>
        <v>NOT FOUND</v>
      </c>
      <c r="T1434" s="20">
        <v>45740</v>
      </c>
      <c r="U1434" s="94">
        <v>72</v>
      </c>
      <c r="V1434" s="22" t="str">
        <f>IF(ISBLANK(Table26[[#This Row],[customerSKU]]),"",_xlfn.XLOOKUP(Table26[[#This Row],[customerSKU]],Table27[customer_SKU],Table27[case_size],"",0,1))</f>
        <v/>
      </c>
      <c r="W1434" s="117" t="str">
        <f t="shared" si="61"/>
        <v/>
      </c>
      <c r="X1434" s="22" t="str">
        <f t="shared" si="62"/>
        <v/>
      </c>
      <c r="Y1434" s="25" t="str">
        <f>IF(Table26[[#This Row],[customerSKU]]="","",_xlfn.XLOOKUP(Table26[[#This Row],[customerSKU]],Table27[customer_SKU],Table27[product_GTIN],"",0,1))</f>
        <v/>
      </c>
      <c r="Z1434" s="25" t="s">
        <v>3450</v>
      </c>
      <c r="AA1434" s="18" t="str" cm="1">
        <f t="array" ref="AA1434">IF(P1434="", "", _xlfn.XLOOKUP(P1434,#REF!,#REF!,NA,0,-1))</f>
        <v/>
      </c>
      <c r="AB1434" s="22"/>
      <c r="AC1434" s="55" t="s">
        <v>173</v>
      </c>
      <c r="AD1434" s="55" t="str">
        <f>IF($AC1434="","",_xlfn.XLOOKUP($AC1434,'[2]Client Info'!$C$2:$C$2535,'[2]Client Info'!$D$2:$D$2535,"",0,1))</f>
        <v xml:space="preserve">Unit 101, 945 Reunion Avenue </v>
      </c>
      <c r="AE1434" s="55" t="str">
        <f>IF($AC1434="","",_xlfn.XLOOKUP($AC1434,'[2]Client Info'!$C$2:$C$2715,'[2]Client Info'!$E$2:$E$2715,"",))</f>
        <v>Langford</v>
      </c>
      <c r="AF1434" s="55" t="str">
        <f>IF($AC1434="","",_xlfn.XLOOKUP($AC1434,'[2]Client Info'!$C$2:$C$2715,'[2]Client Info'!$F$2:$F$2715,"",0,1))</f>
        <v>BC</v>
      </c>
      <c r="AG1434" s="55" t="s">
        <v>173</v>
      </c>
      <c r="AH1434" s="26" t="str">
        <f>_xlfn.XLOOKUP(Table26[[#This Row],[customerSKU]],customerSKU!G:G,customerSKU!K:K,"NA",0,1)</f>
        <v>NA</v>
      </c>
      <c r="AI1434" s="43" t="str">
        <f>_xlfn.XLOOKUP(Table26[[#This Row],[customerSKU]],customerSKU!G:G,customerSKU!O:O,"not found",0,1)</f>
        <v>not found</v>
      </c>
      <c r="AJ1434" s="22" t="e">
        <f>Table26[[#This Row],[unitprice]]*Table26[[#This Row],[quantity_unit]]</f>
        <v>#VALUE!</v>
      </c>
      <c r="AK1434" s="227" t="e" cm="1">
        <f t="array" ref="AK14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5" spans="1:37" ht="18" customHeight="1">
      <c r="A1435" s="42">
        <v>831</v>
      </c>
      <c r="B1435" s="42" t="s">
        <v>3357</v>
      </c>
      <c r="C1435" s="53" t="s">
        <v>203</v>
      </c>
      <c r="E1435" s="20"/>
      <c r="F14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5" s="93"/>
      <c r="I1435" s="19">
        <v>45756</v>
      </c>
      <c r="J1435" s="90" t="str">
        <f>IF(Table26[[#This Row],[customerSKU]]="","",_xlfn.XLOOKUP(Table26[[#This Row],[customerSKU]],customerSKU!G:G,customerSKU!A:A,"",0,1))</f>
        <v/>
      </c>
      <c r="K1435" s="232">
        <v>45757</v>
      </c>
      <c r="L1435" s="49" t="str">
        <f>IF(Table26[[#This Row],[customerSKU]]="","",_xlfn.XLOOKUP(Table26[[#This Row],[customerSKU]],customerSKU!G:G,customerSKU!B:B,"",0,1))</f>
        <v/>
      </c>
      <c r="M1435" s="262"/>
      <c r="N1435" s="366" t="str">
        <f>Table26[[#This Row],[po_number]]&amp;"-"&amp;Table26[[#This Row],[po_line]]</f>
        <v>-1</v>
      </c>
      <c r="O1435" s="366">
        <v>1</v>
      </c>
      <c r="P1435" s="50"/>
      <c r="Q1435" s="22" t="s">
        <v>574</v>
      </c>
      <c r="R1435" s="22" t="s">
        <v>569</v>
      </c>
      <c r="S1435" s="90" t="str">
        <f>IF(Table26[[#This Row],[customerSKU]]="","",_xlfn.XLOOKUP(Table26[[#This Row],[customerSKU]],customerSKU!G:G,customerSKU!N:N,"NOT FOUND",0,1))</f>
        <v>NOT FOUND</v>
      </c>
      <c r="T1435" s="20">
        <v>45749</v>
      </c>
      <c r="U1435" s="94">
        <v>72</v>
      </c>
      <c r="V1435" s="22" t="str">
        <f>IF(ISBLANK(Table26[[#This Row],[customerSKU]]),"",_xlfn.XLOOKUP(Table26[[#This Row],[customerSKU]],Table27[customer_SKU],Table27[case_size],"",0,1))</f>
        <v/>
      </c>
      <c r="W1435" s="117" t="str">
        <f t="shared" si="61"/>
        <v/>
      </c>
      <c r="X1435" s="22" t="str">
        <f t="shared" si="62"/>
        <v/>
      </c>
      <c r="Y1435" s="25" t="str">
        <f>IF(Table26[[#This Row],[customerSKU]]="","",_xlfn.XLOOKUP(Table26[[#This Row],[customerSKU]],Table27[customer_SKU],Table27[product_GTIN],"",0,1))</f>
        <v/>
      </c>
      <c r="Z1435" s="25" t="s">
        <v>3366</v>
      </c>
      <c r="AA1435" s="18" t="str" cm="1">
        <f t="array" ref="AA1435">IF(P1435="", "", _xlfn.XLOOKUP(P1435,#REF!,#REF!,NA,0,-1))</f>
        <v/>
      </c>
      <c r="AB1435" s="22"/>
      <c r="AC1435" s="55" t="s">
        <v>167</v>
      </c>
      <c r="AD1435" s="55" t="str">
        <f>IF($AC1435="","",_xlfn.XLOOKUP($AC1435,'[2]Client Info'!$C$2:$C$2535,'[2]Client Info'!$D$2:$D$2535,"",0,1))</f>
        <v>726 Kingsway</v>
      </c>
      <c r="AE1435" s="55" t="str">
        <f>IF($AC1435="","",_xlfn.XLOOKUP($AC1435,'[2]Client Info'!$C$2:$C$2715,'[2]Client Info'!$E$2:$E$2715,"",))</f>
        <v>Vancouver</v>
      </c>
      <c r="AF1435" s="55" t="str">
        <f>IF($AC1435="","",_xlfn.XLOOKUP($AC1435,'[2]Client Info'!$C$2:$C$2715,'[2]Client Info'!$F$2:$F$2715,"",0,1))</f>
        <v xml:space="preserve">BC </v>
      </c>
      <c r="AG1435" s="55" t="s">
        <v>167</v>
      </c>
      <c r="AH1435" s="26" t="str">
        <f>_xlfn.XLOOKUP(Table26[[#This Row],[customerSKU]],customerSKU!G:G,customerSKU!K:K,"NA",0,1)</f>
        <v>NA</v>
      </c>
      <c r="AI1435" s="43" t="str">
        <f>_xlfn.XLOOKUP(Table26[[#This Row],[customerSKU]],customerSKU!G:G,customerSKU!O:O,"not found",0,1)</f>
        <v>not found</v>
      </c>
      <c r="AJ1435" s="22" t="e">
        <f>Table26[[#This Row],[unitprice]]*Table26[[#This Row],[quantity_unit]]</f>
        <v>#VALUE!</v>
      </c>
      <c r="AK1435" s="227" t="e" cm="1">
        <f t="array" ref="AK14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6" spans="1:37" ht="18" customHeight="1">
      <c r="A1436" s="42">
        <v>832</v>
      </c>
      <c r="B1436" s="42" t="s">
        <v>3357</v>
      </c>
      <c r="C1436" s="53" t="s">
        <v>203</v>
      </c>
      <c r="E1436" s="20"/>
      <c r="F14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6" s="93"/>
      <c r="I1436" s="19">
        <v>45756</v>
      </c>
      <c r="J1436" s="90" t="str">
        <f>IF(Table26[[#This Row],[customerSKU]]="","",_xlfn.XLOOKUP(Table26[[#This Row],[customerSKU]],customerSKU!G:G,customerSKU!A:A,"",0,1))</f>
        <v/>
      </c>
      <c r="K1436" s="232">
        <v>45757</v>
      </c>
      <c r="L1436" s="49" t="str">
        <f>IF(Table26[[#This Row],[customerSKU]]="","",_xlfn.XLOOKUP(Table26[[#This Row],[customerSKU]],customerSKU!G:G,customerSKU!B:B,"",0,1))</f>
        <v/>
      </c>
      <c r="M1436" s="262"/>
      <c r="N1436" s="366" t="str">
        <f>Table26[[#This Row],[po_number]]&amp;"-"&amp;Table26[[#This Row],[po_line]]</f>
        <v>-2</v>
      </c>
      <c r="O1436" s="366">
        <v>2</v>
      </c>
      <c r="P1436" s="50"/>
      <c r="Q1436" s="22" t="s">
        <v>559</v>
      </c>
      <c r="R1436" s="22" t="s">
        <v>569</v>
      </c>
      <c r="S1436" s="90" t="str">
        <f>IF(Table26[[#This Row],[customerSKU]]="","",_xlfn.XLOOKUP(Table26[[#This Row],[customerSKU]],customerSKU!G:G,customerSKU!N:N,"NOT FOUND",0,1))</f>
        <v>NOT FOUND</v>
      </c>
      <c r="T1436" s="20">
        <v>45740</v>
      </c>
      <c r="U1436" s="94">
        <v>24</v>
      </c>
      <c r="V1436" s="22" t="str">
        <f>IF(ISBLANK(Table26[[#This Row],[customerSKU]]),"",_xlfn.XLOOKUP(Table26[[#This Row],[customerSKU]],Table27[customer_SKU],Table27[case_size],"",0,1))</f>
        <v/>
      </c>
      <c r="W1436" s="117" t="str">
        <f t="shared" si="61"/>
        <v/>
      </c>
      <c r="X1436" s="22" t="str">
        <f t="shared" si="62"/>
        <v/>
      </c>
      <c r="Y1436" s="25" t="str">
        <f>IF(Table26[[#This Row],[customerSKU]]="","",_xlfn.XLOOKUP(Table26[[#This Row],[customerSKU]],Table27[customer_SKU],Table27[product_GTIN],"",0,1))</f>
        <v/>
      </c>
      <c r="Z1436" s="25" t="s">
        <v>3450</v>
      </c>
      <c r="AA1436" s="18" t="str" cm="1">
        <f t="array" ref="AA1436">IF(P1436="", "", _xlfn.XLOOKUP(P1436,#REF!,#REF!,NA,0,-1))</f>
        <v/>
      </c>
      <c r="AB1436" s="22"/>
      <c r="AC1436" s="55" t="s">
        <v>167</v>
      </c>
      <c r="AD1436" s="55" t="str">
        <f>IF($AC1436="","",_xlfn.XLOOKUP($AC1436,'[2]Client Info'!$C$2:$C$2535,'[2]Client Info'!$D$2:$D$2535,"",0,1))</f>
        <v>726 Kingsway</v>
      </c>
      <c r="AE1436" s="55" t="str">
        <f>IF($AC1436="","",_xlfn.XLOOKUP($AC1436,'[2]Client Info'!$C$2:$C$2715,'[2]Client Info'!$E$2:$E$2715,"",))</f>
        <v>Vancouver</v>
      </c>
      <c r="AF1436" s="55" t="str">
        <f>IF($AC1436="","",_xlfn.XLOOKUP($AC1436,'[2]Client Info'!$C$2:$C$2715,'[2]Client Info'!$F$2:$F$2715,"",0,1))</f>
        <v xml:space="preserve">BC </v>
      </c>
      <c r="AG1436" s="55" t="s">
        <v>167</v>
      </c>
      <c r="AH1436" s="26" t="str">
        <f>_xlfn.XLOOKUP(Table26[[#This Row],[customerSKU]],customerSKU!G:G,customerSKU!K:K,"NA",0,1)</f>
        <v>NA</v>
      </c>
      <c r="AI1436" s="43" t="str">
        <f>_xlfn.XLOOKUP(Table26[[#This Row],[customerSKU]],customerSKU!G:G,customerSKU!O:O,"not found",0,1)</f>
        <v>not found</v>
      </c>
      <c r="AJ1436" s="22" t="e">
        <f>Table26[[#This Row],[unitprice]]*Table26[[#This Row],[quantity_unit]]</f>
        <v>#VALUE!</v>
      </c>
      <c r="AK1436" s="227" t="e" cm="1">
        <f t="array" ref="AK14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7" spans="1:37" ht="18" customHeight="1">
      <c r="A1437" s="42">
        <v>833</v>
      </c>
      <c r="B1437" s="42" t="s">
        <v>3357</v>
      </c>
      <c r="C1437" s="53" t="s">
        <v>203</v>
      </c>
      <c r="E1437" s="20"/>
      <c r="F14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7" s="93"/>
      <c r="I1437" s="19">
        <v>45756</v>
      </c>
      <c r="J1437" s="90" t="str">
        <f>IF(Table26[[#This Row],[customerSKU]]="","",_xlfn.XLOOKUP(Table26[[#This Row],[customerSKU]],customerSKU!G:G,customerSKU!A:A,"",0,1))</f>
        <v/>
      </c>
      <c r="K1437" s="232">
        <v>45757</v>
      </c>
      <c r="L1437" s="49" t="str">
        <f>IF(Table26[[#This Row],[customerSKU]]="","",_xlfn.XLOOKUP(Table26[[#This Row],[customerSKU]],customerSKU!G:G,customerSKU!B:B,"",0,1))</f>
        <v/>
      </c>
      <c r="M1437" s="262"/>
      <c r="N1437" s="366" t="str">
        <f>Table26[[#This Row],[po_number]]&amp;"-"&amp;Table26[[#This Row],[po_line]]</f>
        <v>-1</v>
      </c>
      <c r="O1437" s="366">
        <v>1</v>
      </c>
      <c r="P1437" s="50"/>
      <c r="Q1437" s="263" t="s">
        <v>3465</v>
      </c>
      <c r="R1437" s="22" t="s">
        <v>569</v>
      </c>
      <c r="S1437" s="90" t="str">
        <f>IF(Table26[[#This Row],[customerSKU]]="","",_xlfn.XLOOKUP(Table26[[#This Row],[customerSKU]],customerSKU!G:G,customerSKU!N:N,"NOT FOUND",0,1))</f>
        <v>NOT FOUND</v>
      </c>
      <c r="T1437" s="20">
        <v>45755</v>
      </c>
      <c r="U1437" s="94">
        <v>24</v>
      </c>
      <c r="V1437" s="22" t="str">
        <f>IF(ISBLANK(Table26[[#This Row],[customerSKU]]),"",_xlfn.XLOOKUP(Table26[[#This Row],[customerSKU]],Table27[customer_SKU],Table27[case_size],"",0,1))</f>
        <v/>
      </c>
      <c r="W1437" s="117" t="str">
        <f t="shared" si="61"/>
        <v/>
      </c>
      <c r="X1437" s="22" t="str">
        <f t="shared" si="62"/>
        <v/>
      </c>
      <c r="Y1437" s="25" t="str">
        <f>IF(Table26[[#This Row],[customerSKU]]="","",_xlfn.XLOOKUP(Table26[[#This Row],[customerSKU]],Table27[customer_SKU],Table27[product_GTIN],"",0,1))</f>
        <v/>
      </c>
      <c r="Z1437" s="25" t="s">
        <v>3466</v>
      </c>
      <c r="AA1437" s="18" t="str" cm="1">
        <f t="array" ref="AA1437">IF(P1437="", "", _xlfn.XLOOKUP(P1437,#REF!,#REF!,NA,0,-1))</f>
        <v/>
      </c>
      <c r="AB1437" s="22"/>
      <c r="AC1437" s="55" t="s">
        <v>117</v>
      </c>
      <c r="AD1437" s="55" t="str">
        <f>IF($AC1437="","",_xlfn.XLOOKUP($AC1437,'[2]Client Info'!$C$2:$C$2535,'[2]Client Info'!$D$2:$D$2535,"",0,1))</f>
        <v>1605 Renfrew St</v>
      </c>
      <c r="AE1437" s="55" t="str">
        <f>IF($AC1437="","",_xlfn.XLOOKUP($AC1437,'[2]Client Info'!$C$2:$C$2715,'[2]Client Info'!$E$2:$E$2715,"",))</f>
        <v>Vancouver</v>
      </c>
      <c r="AF1437" s="55" t="str">
        <f>IF($AC1437="","",_xlfn.XLOOKUP($AC1437,'[2]Client Info'!$C$2:$C$2715,'[2]Client Info'!$F$2:$F$2715,"",0,1))</f>
        <v xml:space="preserve">BC </v>
      </c>
      <c r="AG1437" s="55" t="s">
        <v>117</v>
      </c>
      <c r="AH1437" s="26" t="str">
        <f>_xlfn.XLOOKUP(Table26[[#This Row],[customerSKU]],customerSKU!G:G,customerSKU!K:K,"NA",0,1)</f>
        <v>NA</v>
      </c>
      <c r="AI1437" s="43" t="str">
        <f>_xlfn.XLOOKUP(Table26[[#This Row],[customerSKU]],customerSKU!G:G,customerSKU!O:O,"not found",0,1)</f>
        <v>not found</v>
      </c>
      <c r="AJ1437" s="22" t="e">
        <f>Table26[[#This Row],[unitprice]]*Table26[[#This Row],[quantity_unit]]</f>
        <v>#VALUE!</v>
      </c>
      <c r="AK1437" s="227" t="e" cm="1">
        <f t="array" ref="AK14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8" spans="1:37" ht="18" customHeight="1">
      <c r="A1438" s="42">
        <v>834</v>
      </c>
      <c r="B1438" s="42" t="s">
        <v>3357</v>
      </c>
      <c r="C1438" s="53" t="s">
        <v>203</v>
      </c>
      <c r="E1438" s="20"/>
      <c r="F14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8" s="93"/>
      <c r="I1438" s="19">
        <v>45756</v>
      </c>
      <c r="J1438" s="90" t="str">
        <f>IF(Table26[[#This Row],[customerSKU]]="","",_xlfn.XLOOKUP(Table26[[#This Row],[customerSKU]],customerSKU!G:G,customerSKU!A:A,"",0,1))</f>
        <v/>
      </c>
      <c r="K1438" s="232">
        <v>45757</v>
      </c>
      <c r="L1438" s="49" t="str">
        <f>IF(Table26[[#This Row],[customerSKU]]="","",_xlfn.XLOOKUP(Table26[[#This Row],[customerSKU]],customerSKU!G:G,customerSKU!B:B,"",0,1))</f>
        <v/>
      </c>
      <c r="M1438" s="262"/>
      <c r="N1438" s="366" t="str">
        <f>Table26[[#This Row],[po_number]]&amp;"-"&amp;Table26[[#This Row],[po_line]]</f>
        <v>-2</v>
      </c>
      <c r="O1438" s="366">
        <v>2</v>
      </c>
      <c r="P1438" s="50"/>
      <c r="Q1438" s="22" t="s">
        <v>582</v>
      </c>
      <c r="R1438" s="22" t="s">
        <v>569</v>
      </c>
      <c r="S1438" s="90" t="str">
        <f>IF(Table26[[#This Row],[customerSKU]]="","",_xlfn.XLOOKUP(Table26[[#This Row],[customerSKU]],customerSKU!G:G,customerSKU!N:N,"NOT FOUND",0,1))</f>
        <v>NOT FOUND</v>
      </c>
      <c r="T1438" s="20">
        <v>45756</v>
      </c>
      <c r="U1438" s="94">
        <v>24</v>
      </c>
      <c r="V1438" s="22" t="str">
        <f>IF(ISBLANK(Table26[[#This Row],[customerSKU]]),"",_xlfn.XLOOKUP(Table26[[#This Row],[customerSKU]],Table27[customer_SKU],Table27[case_size],"",0,1))</f>
        <v/>
      </c>
      <c r="W1438" s="117" t="str">
        <f t="shared" si="61"/>
        <v/>
      </c>
      <c r="X1438" s="22" t="str">
        <f t="shared" si="62"/>
        <v/>
      </c>
      <c r="Y1438" s="25" t="str">
        <f>IF(Table26[[#This Row],[customerSKU]]="","",_xlfn.XLOOKUP(Table26[[#This Row],[customerSKU]],Table27[customer_SKU],Table27[product_GTIN],"",0,1))</f>
        <v/>
      </c>
      <c r="Z1438" s="25" t="s">
        <v>3445</v>
      </c>
      <c r="AA1438" s="18" t="str" cm="1">
        <f t="array" ref="AA1438">IF(P1438="", "", _xlfn.XLOOKUP(P1438,#REF!,#REF!,NA,0,-1))</f>
        <v/>
      </c>
      <c r="AB1438" s="22"/>
      <c r="AC1438" s="55" t="s">
        <v>117</v>
      </c>
      <c r="AD1438" s="55" t="str">
        <f>IF($AC1438="","",_xlfn.XLOOKUP($AC1438,'[2]Client Info'!$C$2:$C$2535,'[2]Client Info'!$D$2:$D$2535,"",0,1))</f>
        <v>1605 Renfrew St</v>
      </c>
      <c r="AE1438" s="55" t="str">
        <f>IF($AC1438="","",_xlfn.XLOOKUP($AC1438,'[2]Client Info'!$C$2:$C$2715,'[2]Client Info'!$E$2:$E$2715,"",))</f>
        <v>Vancouver</v>
      </c>
      <c r="AF1438" s="55" t="str">
        <f>IF($AC1438="","",_xlfn.XLOOKUP($AC1438,'[2]Client Info'!$C$2:$C$2715,'[2]Client Info'!$F$2:$F$2715,"",0,1))</f>
        <v xml:space="preserve">BC </v>
      </c>
      <c r="AG1438" s="55" t="s">
        <v>117</v>
      </c>
      <c r="AH1438" s="26" t="str">
        <f>_xlfn.XLOOKUP(Table26[[#This Row],[customerSKU]],customerSKU!G:G,customerSKU!K:K,"NA",0,1)</f>
        <v>NA</v>
      </c>
      <c r="AI1438" s="43" t="str">
        <f>_xlfn.XLOOKUP(Table26[[#This Row],[customerSKU]],customerSKU!G:G,customerSKU!O:O,"not found",0,1)</f>
        <v>not found</v>
      </c>
      <c r="AJ1438" s="22" t="e">
        <f>Table26[[#This Row],[unitprice]]*Table26[[#This Row],[quantity_unit]]</f>
        <v>#VALUE!</v>
      </c>
      <c r="AK1438" s="227" t="e" cm="1">
        <f t="array" ref="AK14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39" spans="1:37" ht="18" customHeight="1">
      <c r="A1439" s="42">
        <v>835</v>
      </c>
      <c r="B1439" s="42" t="s">
        <v>3357</v>
      </c>
      <c r="C1439" s="53" t="s">
        <v>203</v>
      </c>
      <c r="E1439" s="20"/>
      <c r="F14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39" s="93"/>
      <c r="I1439" s="19">
        <v>45756</v>
      </c>
      <c r="J1439" s="90" t="str">
        <f>IF(Table26[[#This Row],[customerSKU]]="","",_xlfn.XLOOKUP(Table26[[#This Row],[customerSKU]],customerSKU!G:G,customerSKU!A:A,"",0,1))</f>
        <v/>
      </c>
      <c r="K1439" s="232">
        <v>45757</v>
      </c>
      <c r="L1439" s="49" t="str">
        <f>IF(Table26[[#This Row],[customerSKU]]="","",_xlfn.XLOOKUP(Table26[[#This Row],[customerSKU]],customerSKU!G:G,customerSKU!B:B,"",0,1))</f>
        <v/>
      </c>
      <c r="M1439" s="262"/>
      <c r="N1439" s="366" t="str">
        <f>Table26[[#This Row],[po_number]]&amp;"-"&amp;Table26[[#This Row],[po_line]]</f>
        <v>-3</v>
      </c>
      <c r="O1439" s="366">
        <v>3</v>
      </c>
      <c r="P1439" s="50"/>
      <c r="Q1439" s="22" t="s">
        <v>1670</v>
      </c>
      <c r="R1439" s="22" t="s">
        <v>569</v>
      </c>
      <c r="S1439" s="90" t="str">
        <f>IF(Table26[[#This Row],[customerSKU]]="","",_xlfn.XLOOKUP(Table26[[#This Row],[customerSKU]],customerSKU!G:G,customerSKU!N:N,"NOT FOUND",0,1))</f>
        <v>NOT FOUND</v>
      </c>
      <c r="T1439" s="20">
        <v>45755</v>
      </c>
      <c r="U1439" s="94">
        <v>12</v>
      </c>
      <c r="V1439" s="22" t="str">
        <f>IF(ISBLANK(Table26[[#This Row],[customerSKU]]),"",_xlfn.XLOOKUP(Table26[[#This Row],[customerSKU]],Table27[customer_SKU],Table27[case_size],"",0,1))</f>
        <v/>
      </c>
      <c r="W1439" s="117" t="str">
        <f t="shared" si="61"/>
        <v/>
      </c>
      <c r="X1439" s="22" t="str">
        <f t="shared" si="62"/>
        <v/>
      </c>
      <c r="Y1439" s="25" t="str">
        <f>IF(Table26[[#This Row],[customerSKU]]="","",_xlfn.XLOOKUP(Table26[[#This Row],[customerSKU]],Table27[customer_SKU],Table27[product_GTIN],"",0,1))</f>
        <v/>
      </c>
      <c r="Z1439" s="25" t="s">
        <v>3406</v>
      </c>
      <c r="AA1439" s="18" t="str" cm="1">
        <f t="array" ref="AA1439">IF(P1439="", "", _xlfn.XLOOKUP(P1439,#REF!,#REF!,NA,0,-1))</f>
        <v/>
      </c>
      <c r="AB1439" s="22"/>
      <c r="AC1439" s="55" t="s">
        <v>117</v>
      </c>
      <c r="AD1439" s="55" t="str">
        <f>IF($AC1439="","",_xlfn.XLOOKUP($AC1439,'[2]Client Info'!$C$2:$C$2535,'[2]Client Info'!$D$2:$D$2535,"",0,1))</f>
        <v>1605 Renfrew St</v>
      </c>
      <c r="AE1439" s="55" t="str">
        <f>IF($AC1439="","",_xlfn.XLOOKUP($AC1439,'[2]Client Info'!$C$2:$C$2715,'[2]Client Info'!$E$2:$E$2715,"",))</f>
        <v>Vancouver</v>
      </c>
      <c r="AF1439" s="55" t="str">
        <f>IF($AC1439="","",_xlfn.XLOOKUP($AC1439,'[2]Client Info'!$C$2:$C$2715,'[2]Client Info'!$F$2:$F$2715,"",0,1))</f>
        <v xml:space="preserve">BC </v>
      </c>
      <c r="AG1439" s="55" t="s">
        <v>117</v>
      </c>
      <c r="AH1439" s="26" t="str">
        <f>_xlfn.XLOOKUP(Table26[[#This Row],[customerSKU]],customerSKU!G:G,customerSKU!K:K,"NA",0,1)</f>
        <v>NA</v>
      </c>
      <c r="AI1439" s="43" t="str">
        <f>_xlfn.XLOOKUP(Table26[[#This Row],[customerSKU]],customerSKU!G:G,customerSKU!O:O,"not found",0,1)</f>
        <v>not found</v>
      </c>
      <c r="AJ1439" s="22" t="e">
        <f>Table26[[#This Row],[unitprice]]*Table26[[#This Row],[quantity_unit]]</f>
        <v>#VALUE!</v>
      </c>
      <c r="AK1439" s="227" t="e" cm="1">
        <f t="array" ref="AK14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0" spans="1:37" ht="18" customHeight="1">
      <c r="A1440" s="42">
        <v>836</v>
      </c>
      <c r="B1440" s="42" t="s">
        <v>3357</v>
      </c>
      <c r="C1440" s="53" t="s">
        <v>203</v>
      </c>
      <c r="E1440" s="20"/>
      <c r="F14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0" s="93"/>
      <c r="I1440" s="19">
        <v>45756</v>
      </c>
      <c r="J1440" s="90" t="str">
        <f>IF(Table26[[#This Row],[customerSKU]]="","",_xlfn.XLOOKUP(Table26[[#This Row],[customerSKU]],customerSKU!G:G,customerSKU!A:A,"",0,1))</f>
        <v/>
      </c>
      <c r="K1440" s="232">
        <v>45757</v>
      </c>
      <c r="L1440" s="49" t="str">
        <f>IF(Table26[[#This Row],[customerSKU]]="","",_xlfn.XLOOKUP(Table26[[#This Row],[customerSKU]],customerSKU!G:G,customerSKU!B:B,"",0,1))</f>
        <v/>
      </c>
      <c r="M1440" s="262"/>
      <c r="N1440" s="366" t="str">
        <f>Table26[[#This Row],[po_number]]&amp;"-"&amp;Table26[[#This Row],[po_line]]</f>
        <v>-4</v>
      </c>
      <c r="O1440" s="366">
        <v>4</v>
      </c>
      <c r="P1440" s="50"/>
      <c r="Q1440" s="22" t="s">
        <v>656</v>
      </c>
      <c r="R1440" s="22" t="s">
        <v>569</v>
      </c>
      <c r="S1440" s="90" t="str">
        <f>IF(Table26[[#This Row],[customerSKU]]="","",_xlfn.XLOOKUP(Table26[[#This Row],[customerSKU]],customerSKU!G:G,customerSKU!N:N,"NOT FOUND",0,1))</f>
        <v>NOT FOUND</v>
      </c>
      <c r="T1440" s="20">
        <v>45749</v>
      </c>
      <c r="U1440" s="94">
        <v>12</v>
      </c>
      <c r="V1440" s="22" t="str">
        <f>IF(ISBLANK(Table26[[#This Row],[customerSKU]]),"",_xlfn.XLOOKUP(Table26[[#This Row],[customerSKU]],Table27[customer_SKU],Table27[case_size],"",0,1))</f>
        <v/>
      </c>
      <c r="W1440" s="117" t="str">
        <f t="shared" si="61"/>
        <v/>
      </c>
      <c r="X1440" s="22" t="str">
        <f t="shared" si="62"/>
        <v/>
      </c>
      <c r="Y1440" s="25" t="str">
        <f>IF(Table26[[#This Row],[customerSKU]]="","",_xlfn.XLOOKUP(Table26[[#This Row],[customerSKU]],Table27[customer_SKU],Table27[product_GTIN],"",0,1))</f>
        <v/>
      </c>
      <c r="Z1440" s="25" t="s">
        <v>3367</v>
      </c>
      <c r="AA1440" s="18" t="str" cm="1">
        <f t="array" ref="AA1440">IF(P1440="", "", _xlfn.XLOOKUP(P1440,#REF!,#REF!,NA,0,-1))</f>
        <v/>
      </c>
      <c r="AB1440" s="22"/>
      <c r="AC1440" s="55" t="s">
        <v>117</v>
      </c>
      <c r="AD1440" s="55" t="str">
        <f>IF($AC1440="","",_xlfn.XLOOKUP($AC1440,'[2]Client Info'!$C$2:$C$2535,'[2]Client Info'!$D$2:$D$2535,"",0,1))</f>
        <v>1605 Renfrew St</v>
      </c>
      <c r="AE1440" s="55" t="str">
        <f>IF($AC1440="","",_xlfn.XLOOKUP($AC1440,'[2]Client Info'!$C$2:$C$2715,'[2]Client Info'!$E$2:$E$2715,"",))</f>
        <v>Vancouver</v>
      </c>
      <c r="AF1440" s="55" t="str">
        <f>IF($AC1440="","",_xlfn.XLOOKUP($AC1440,'[2]Client Info'!$C$2:$C$2715,'[2]Client Info'!$F$2:$F$2715,"",0,1))</f>
        <v xml:space="preserve">BC </v>
      </c>
      <c r="AG1440" s="55" t="s">
        <v>117</v>
      </c>
      <c r="AH1440" s="26" t="str">
        <f>_xlfn.XLOOKUP(Table26[[#This Row],[customerSKU]],customerSKU!G:G,customerSKU!K:K,"NA",0,1)</f>
        <v>NA</v>
      </c>
      <c r="AI1440" s="43" t="str">
        <f>_xlfn.XLOOKUP(Table26[[#This Row],[customerSKU]],customerSKU!G:G,customerSKU!O:O,"not found",0,1)</f>
        <v>not found</v>
      </c>
      <c r="AJ1440" s="22" t="e">
        <f>Table26[[#This Row],[unitprice]]*Table26[[#This Row],[quantity_unit]]</f>
        <v>#VALUE!</v>
      </c>
      <c r="AK1440" s="227" t="e" cm="1">
        <f t="array" ref="AK14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1" spans="1:37" ht="18" customHeight="1">
      <c r="A1441" s="42">
        <v>837</v>
      </c>
      <c r="B1441" s="42" t="s">
        <v>3357</v>
      </c>
      <c r="C1441" s="53" t="s">
        <v>203</v>
      </c>
      <c r="E1441" s="20"/>
      <c r="F14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1" s="93"/>
      <c r="I1441" s="19">
        <v>45756</v>
      </c>
      <c r="J1441" s="90" t="str">
        <f>IF(Table26[[#This Row],[customerSKU]]="","",_xlfn.XLOOKUP(Table26[[#This Row],[customerSKU]],customerSKU!G:G,customerSKU!A:A,"",0,1))</f>
        <v/>
      </c>
      <c r="K1441" s="232">
        <v>45757</v>
      </c>
      <c r="L1441" s="49" t="str">
        <f>IF(Table26[[#This Row],[customerSKU]]="","",_xlfn.XLOOKUP(Table26[[#This Row],[customerSKU]],customerSKU!G:G,customerSKU!B:B,"",0,1))</f>
        <v/>
      </c>
      <c r="M1441" s="262"/>
      <c r="N1441" s="366" t="str">
        <f>Table26[[#This Row],[po_number]]&amp;"-"&amp;Table26[[#This Row],[po_line]]</f>
        <v>-5</v>
      </c>
      <c r="O1441" s="366">
        <v>5</v>
      </c>
      <c r="P1441" s="50"/>
      <c r="Q1441" s="22" t="s">
        <v>1309</v>
      </c>
      <c r="R1441" s="22" t="s">
        <v>569</v>
      </c>
      <c r="S1441" s="90" t="str">
        <f>IF(Table26[[#This Row],[customerSKU]]="","",_xlfn.XLOOKUP(Table26[[#This Row],[customerSKU]],customerSKU!G:G,customerSKU!N:N,"NOT FOUND",0,1))</f>
        <v>NOT FOUND</v>
      </c>
      <c r="T1441" s="20">
        <v>45697</v>
      </c>
      <c r="U1441" s="94">
        <v>12</v>
      </c>
      <c r="V1441" s="22" t="str">
        <f>IF(ISBLANK(Table26[[#This Row],[customerSKU]]),"",_xlfn.XLOOKUP(Table26[[#This Row],[customerSKU]],Table27[customer_SKU],Table27[case_size],"",0,1))</f>
        <v/>
      </c>
      <c r="W1441" s="117" t="str">
        <f t="shared" si="61"/>
        <v/>
      </c>
      <c r="X1441" s="22" t="str">
        <f t="shared" si="62"/>
        <v/>
      </c>
      <c r="Y1441" s="25" t="str">
        <f>IF(Table26[[#This Row],[customerSKU]]="","",_xlfn.XLOOKUP(Table26[[#This Row],[customerSKU]],Table27[customer_SKU],Table27[product_GTIN],"",0,1))</f>
        <v/>
      </c>
      <c r="Z1441" s="25" t="s">
        <v>3447</v>
      </c>
      <c r="AA1441" s="18" t="str" cm="1">
        <f t="array" ref="AA1441">IF(P1441="", "", _xlfn.XLOOKUP(P1441,#REF!,#REF!,NA,0,-1))</f>
        <v/>
      </c>
      <c r="AB1441" s="22"/>
      <c r="AC1441" s="55" t="s">
        <v>117</v>
      </c>
      <c r="AD1441" s="55" t="str">
        <f>IF($AC1441="","",_xlfn.XLOOKUP($AC1441,'[2]Client Info'!$C$2:$C$2535,'[2]Client Info'!$D$2:$D$2535,"",0,1))</f>
        <v>1605 Renfrew St</v>
      </c>
      <c r="AE1441" s="55" t="str">
        <f>IF($AC1441="","",_xlfn.XLOOKUP($AC1441,'[2]Client Info'!$C$2:$C$2715,'[2]Client Info'!$E$2:$E$2715,"",))</f>
        <v>Vancouver</v>
      </c>
      <c r="AF1441" s="55" t="str">
        <f>IF($AC1441="","",_xlfn.XLOOKUP($AC1441,'[2]Client Info'!$C$2:$C$2715,'[2]Client Info'!$F$2:$F$2715,"",0,1))</f>
        <v xml:space="preserve">BC </v>
      </c>
      <c r="AG1441" s="55" t="s">
        <v>117</v>
      </c>
      <c r="AH1441" s="26" t="str">
        <f>_xlfn.XLOOKUP(Table26[[#This Row],[customerSKU]],customerSKU!G:G,customerSKU!K:K,"NA",0,1)</f>
        <v>NA</v>
      </c>
      <c r="AI1441" s="43" t="str">
        <f>_xlfn.XLOOKUP(Table26[[#This Row],[customerSKU]],customerSKU!G:G,customerSKU!O:O,"not found",0,1)</f>
        <v>not found</v>
      </c>
      <c r="AJ1441" s="22" t="e">
        <f>Table26[[#This Row],[unitprice]]*Table26[[#This Row],[quantity_unit]]</f>
        <v>#VALUE!</v>
      </c>
      <c r="AK1441" s="227" t="e" cm="1">
        <f t="array" ref="AK14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2" spans="1:37" ht="18" customHeight="1">
      <c r="A1442" s="42">
        <v>838</v>
      </c>
      <c r="B1442" s="42" t="s">
        <v>3357</v>
      </c>
      <c r="C1442" s="53" t="s">
        <v>203</v>
      </c>
      <c r="E1442" s="20"/>
      <c r="F14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2" s="93"/>
      <c r="I1442" s="19">
        <v>45756</v>
      </c>
      <c r="J1442" s="90" t="str">
        <f>IF(Table26[[#This Row],[customerSKU]]="","",_xlfn.XLOOKUP(Table26[[#This Row],[customerSKU]],customerSKU!G:G,customerSKU!A:A,"",0,1))</f>
        <v/>
      </c>
      <c r="K1442" s="232">
        <v>45757</v>
      </c>
      <c r="L1442" s="49" t="str">
        <f>IF(Table26[[#This Row],[customerSKU]]="","",_xlfn.XLOOKUP(Table26[[#This Row],[customerSKU]],customerSKU!G:G,customerSKU!B:B,"",0,1))</f>
        <v/>
      </c>
      <c r="M1442" s="262"/>
      <c r="N1442" s="366" t="str">
        <f>Table26[[#This Row],[po_number]]&amp;"-"&amp;Table26[[#This Row],[po_line]]</f>
        <v>-6</v>
      </c>
      <c r="O1442" s="366">
        <v>6</v>
      </c>
      <c r="P1442" s="50"/>
      <c r="Q1442" s="22" t="s">
        <v>559</v>
      </c>
      <c r="R1442" s="22" t="s">
        <v>569</v>
      </c>
      <c r="S1442" s="90" t="str">
        <f>IF(Table26[[#This Row],[customerSKU]]="","",_xlfn.XLOOKUP(Table26[[#This Row],[customerSKU]],customerSKU!G:G,customerSKU!N:N,"NOT FOUND",0,1))</f>
        <v>NOT FOUND</v>
      </c>
      <c r="T1442" s="20">
        <v>45740</v>
      </c>
      <c r="U1442" s="94">
        <v>12</v>
      </c>
      <c r="V1442" s="22" t="str">
        <f>IF(ISBLANK(Table26[[#This Row],[customerSKU]]),"",_xlfn.XLOOKUP(Table26[[#This Row],[customerSKU]],Table27[customer_SKU],Table27[case_size],"",0,1))</f>
        <v/>
      </c>
      <c r="W1442" s="117" t="str">
        <f t="shared" si="61"/>
        <v/>
      </c>
      <c r="X1442" s="22" t="str">
        <f t="shared" si="62"/>
        <v/>
      </c>
      <c r="Y1442" s="25" t="str">
        <f>IF(Table26[[#This Row],[customerSKU]]="","",_xlfn.XLOOKUP(Table26[[#This Row],[customerSKU]],Table27[customer_SKU],Table27[product_GTIN],"",0,1))</f>
        <v/>
      </c>
      <c r="Z1442" s="25" t="s">
        <v>3450</v>
      </c>
      <c r="AA1442" s="18" t="str" cm="1">
        <f t="array" ref="AA1442">IF(P1442="", "", _xlfn.XLOOKUP(P1442,#REF!,#REF!,NA,0,-1))</f>
        <v/>
      </c>
      <c r="AB1442" s="22"/>
      <c r="AC1442" s="55" t="s">
        <v>117</v>
      </c>
      <c r="AD1442" s="55" t="str">
        <f>IF($AC1442="","",_xlfn.XLOOKUP($AC1442,'[2]Client Info'!$C$2:$C$2535,'[2]Client Info'!$D$2:$D$2535,"",0,1))</f>
        <v>1605 Renfrew St</v>
      </c>
      <c r="AE1442" s="55" t="str">
        <f>IF($AC1442="","",_xlfn.XLOOKUP($AC1442,'[2]Client Info'!$C$2:$C$2715,'[2]Client Info'!$E$2:$E$2715,"",))</f>
        <v>Vancouver</v>
      </c>
      <c r="AF1442" s="55" t="str">
        <f>IF($AC1442="","",_xlfn.XLOOKUP($AC1442,'[2]Client Info'!$C$2:$C$2715,'[2]Client Info'!$F$2:$F$2715,"",0,1))</f>
        <v xml:space="preserve">BC </v>
      </c>
      <c r="AG1442" s="55" t="s">
        <v>117</v>
      </c>
      <c r="AH1442" s="26" t="str">
        <f>_xlfn.XLOOKUP(Table26[[#This Row],[customerSKU]],customerSKU!G:G,customerSKU!K:K,"NA",0,1)</f>
        <v>NA</v>
      </c>
      <c r="AI1442" s="43" t="str">
        <f>_xlfn.XLOOKUP(Table26[[#This Row],[customerSKU]],customerSKU!G:G,customerSKU!O:O,"not found",0,1)</f>
        <v>not found</v>
      </c>
      <c r="AJ1442" s="22" t="e">
        <f>Table26[[#This Row],[unitprice]]*Table26[[#This Row],[quantity_unit]]</f>
        <v>#VALUE!</v>
      </c>
      <c r="AK1442" s="227" t="e" cm="1">
        <f t="array" ref="AK14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3" spans="1:37" ht="18" customHeight="1">
      <c r="A1443" s="42">
        <v>839</v>
      </c>
      <c r="B1443" s="42" t="s">
        <v>3357</v>
      </c>
      <c r="C1443" s="53" t="s">
        <v>203</v>
      </c>
      <c r="E1443" s="20"/>
      <c r="F14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3" s="93"/>
      <c r="I1443" s="19">
        <v>45756</v>
      </c>
      <c r="J1443" s="90" t="str">
        <f>IF(Table26[[#This Row],[customerSKU]]="","",_xlfn.XLOOKUP(Table26[[#This Row],[customerSKU]],customerSKU!G:G,customerSKU!A:A,"",0,1))</f>
        <v/>
      </c>
      <c r="K1443" s="232">
        <v>45757</v>
      </c>
      <c r="L1443" s="49" t="str">
        <f>IF(Table26[[#This Row],[customerSKU]]="","",_xlfn.XLOOKUP(Table26[[#This Row],[customerSKU]],customerSKU!G:G,customerSKU!B:B,"",0,1))</f>
        <v/>
      </c>
      <c r="M1443" s="262"/>
      <c r="N1443" s="366" t="str">
        <f>Table26[[#This Row],[po_number]]&amp;"-"&amp;Table26[[#This Row],[po_line]]</f>
        <v>-1</v>
      </c>
      <c r="O1443" s="366">
        <v>1</v>
      </c>
      <c r="P1443" s="50"/>
      <c r="Q1443" s="22" t="s">
        <v>1670</v>
      </c>
      <c r="R1443" s="22" t="s">
        <v>569</v>
      </c>
      <c r="S1443" s="90" t="str">
        <f>IF(Table26[[#This Row],[customerSKU]]="","",_xlfn.XLOOKUP(Table26[[#This Row],[customerSKU]],customerSKU!G:G,customerSKU!N:N,"NOT FOUND",0,1))</f>
        <v>NOT FOUND</v>
      </c>
      <c r="T1443" s="20">
        <v>45755</v>
      </c>
      <c r="U1443" s="94">
        <v>48</v>
      </c>
      <c r="V1443" s="22" t="str">
        <f>IF(ISBLANK(Table26[[#This Row],[customerSKU]]),"",_xlfn.XLOOKUP(Table26[[#This Row],[customerSKU]],Table27[customer_SKU],Table27[case_size],"",0,1))</f>
        <v/>
      </c>
      <c r="W1443" s="117" t="str">
        <f t="shared" si="61"/>
        <v/>
      </c>
      <c r="X1443" s="22" t="str">
        <f t="shared" si="62"/>
        <v/>
      </c>
      <c r="Y1443" s="25" t="str">
        <f>IF(Table26[[#This Row],[customerSKU]]="","",_xlfn.XLOOKUP(Table26[[#This Row],[customerSKU]],Table27[customer_SKU],Table27[product_GTIN],"",0,1))</f>
        <v/>
      </c>
      <c r="Z1443" s="25" t="s">
        <v>3406</v>
      </c>
      <c r="AA1443" s="18" t="str" cm="1">
        <f t="array" ref="AA1443">IF(P1443="", "", _xlfn.XLOOKUP(P1443,#REF!,#REF!,NA,0,-1))</f>
        <v/>
      </c>
      <c r="AB1443" s="22"/>
      <c r="AC1443" s="55" t="s">
        <v>3467</v>
      </c>
      <c r="AD1443" s="55" t="str">
        <f>IF($AC1443="","",_xlfn.XLOOKUP($AC1443,'[2]Client Info'!$C$2:$C$2535,'[2]Client Info'!$D$2:$D$2535,"",0,1))</f>
        <v>38243 Cleveland Ave, PO Box 276</v>
      </c>
      <c r="AE1443" s="55" t="str">
        <f>IF($AC1443="","",_xlfn.XLOOKUP($AC1443,'[2]Client Info'!$C$2:$C$2715,'[2]Client Info'!$E$2:$E$2715,"",))</f>
        <v>Squamish</v>
      </c>
      <c r="AF1443" s="55" t="str">
        <f>IF($AC1443="","",_xlfn.XLOOKUP($AC1443,'[2]Client Info'!$C$2:$C$2715,'[2]Client Info'!$F$2:$F$2715,"",0,1))</f>
        <v xml:space="preserve">BC </v>
      </c>
      <c r="AG1443" s="55" t="s">
        <v>3467</v>
      </c>
      <c r="AH1443" s="26" t="str">
        <f>_xlfn.XLOOKUP(Table26[[#This Row],[customerSKU]],customerSKU!G:G,customerSKU!K:K,"NA",0,1)</f>
        <v>NA</v>
      </c>
      <c r="AI1443" s="43" t="str">
        <f>_xlfn.XLOOKUP(Table26[[#This Row],[customerSKU]],customerSKU!G:G,customerSKU!O:O,"not found",0,1)</f>
        <v>not found</v>
      </c>
      <c r="AJ1443" s="22" t="e">
        <f>Table26[[#This Row],[unitprice]]*Table26[[#This Row],[quantity_unit]]</f>
        <v>#VALUE!</v>
      </c>
      <c r="AK1443" s="227" t="e" cm="1">
        <f t="array" ref="AK14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4" spans="1:37" ht="18" customHeight="1">
      <c r="A1444" s="42">
        <v>840</v>
      </c>
      <c r="B1444" s="42" t="s">
        <v>3357</v>
      </c>
      <c r="C1444" s="53" t="s">
        <v>203</v>
      </c>
      <c r="E1444" s="20"/>
      <c r="F14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4" s="93"/>
      <c r="I1444" s="19">
        <v>45756</v>
      </c>
      <c r="J1444" s="90" t="str">
        <f>IF(Table26[[#This Row],[customerSKU]]="","",_xlfn.XLOOKUP(Table26[[#This Row],[customerSKU]],customerSKU!G:G,customerSKU!A:A,"",0,1))</f>
        <v/>
      </c>
      <c r="K1444" s="232">
        <v>45757</v>
      </c>
      <c r="L1444" s="49" t="str">
        <f>IF(Table26[[#This Row],[customerSKU]]="","",_xlfn.XLOOKUP(Table26[[#This Row],[customerSKU]],customerSKU!G:G,customerSKU!B:B,"",0,1))</f>
        <v/>
      </c>
      <c r="M1444" s="262"/>
      <c r="N1444" s="366" t="str">
        <f>Table26[[#This Row],[po_number]]&amp;"-"&amp;Table26[[#This Row],[po_line]]</f>
        <v>-2</v>
      </c>
      <c r="O1444" s="366">
        <v>2</v>
      </c>
      <c r="P1444" s="50"/>
      <c r="Q1444" s="22" t="s">
        <v>656</v>
      </c>
      <c r="R1444" s="22" t="s">
        <v>569</v>
      </c>
      <c r="S1444" s="90" t="str">
        <f>IF(Table26[[#This Row],[customerSKU]]="","",_xlfn.XLOOKUP(Table26[[#This Row],[customerSKU]],customerSKU!G:G,customerSKU!N:N,"NOT FOUND",0,1))</f>
        <v>NOT FOUND</v>
      </c>
      <c r="T1444" s="20">
        <v>45749</v>
      </c>
      <c r="U1444" s="94">
        <v>48</v>
      </c>
      <c r="V1444" s="22" t="str">
        <f>IF(ISBLANK(Table26[[#This Row],[customerSKU]]),"",_xlfn.XLOOKUP(Table26[[#This Row],[customerSKU]],Table27[customer_SKU],Table27[case_size],"",0,1))</f>
        <v/>
      </c>
      <c r="W1444" s="117" t="str">
        <f t="shared" si="61"/>
        <v/>
      </c>
      <c r="X1444" s="22" t="str">
        <f t="shared" si="62"/>
        <v/>
      </c>
      <c r="Y1444" s="25" t="str">
        <f>IF(Table26[[#This Row],[customerSKU]]="","",_xlfn.XLOOKUP(Table26[[#This Row],[customerSKU]],Table27[customer_SKU],Table27[product_GTIN],"",0,1))</f>
        <v/>
      </c>
      <c r="Z1444" s="25" t="s">
        <v>3367</v>
      </c>
      <c r="AA1444" s="18" t="str" cm="1">
        <f t="array" ref="AA1444">IF(P1444="", "", _xlfn.XLOOKUP(P1444,#REF!,#REF!,NA,0,-1))</f>
        <v/>
      </c>
      <c r="AB1444" s="22"/>
      <c r="AC1444" s="55" t="s">
        <v>3467</v>
      </c>
      <c r="AD1444" s="55" t="str">
        <f>IF($AC1444="","",_xlfn.XLOOKUP($AC1444,'[2]Client Info'!$C$2:$C$2535,'[2]Client Info'!$D$2:$D$2535,"",0,1))</f>
        <v>38243 Cleveland Ave, PO Box 276</v>
      </c>
      <c r="AE1444" s="55" t="str">
        <f>IF($AC1444="","",_xlfn.XLOOKUP($AC1444,'[2]Client Info'!$C$2:$C$2715,'[2]Client Info'!$E$2:$E$2715,"",))</f>
        <v>Squamish</v>
      </c>
      <c r="AF1444" s="55" t="str">
        <f>IF($AC1444="","",_xlfn.XLOOKUP($AC1444,'[2]Client Info'!$C$2:$C$2715,'[2]Client Info'!$F$2:$F$2715,"",0,1))</f>
        <v xml:space="preserve">BC </v>
      </c>
      <c r="AG1444" s="55" t="s">
        <v>3467</v>
      </c>
      <c r="AH1444" s="26" t="str">
        <f>_xlfn.XLOOKUP(Table26[[#This Row],[customerSKU]],customerSKU!G:G,customerSKU!K:K,"NA",0,1)</f>
        <v>NA</v>
      </c>
      <c r="AI1444" s="43" t="str">
        <f>_xlfn.XLOOKUP(Table26[[#This Row],[customerSKU]],customerSKU!G:G,customerSKU!O:O,"not found",0,1)</f>
        <v>not found</v>
      </c>
      <c r="AJ1444" s="22" t="e">
        <f>Table26[[#This Row],[unitprice]]*Table26[[#This Row],[quantity_unit]]</f>
        <v>#VALUE!</v>
      </c>
      <c r="AK1444" s="227" t="e" cm="1">
        <f t="array" ref="AK14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5" spans="1:37" ht="18" customHeight="1">
      <c r="A1445" s="42">
        <v>841</v>
      </c>
      <c r="B1445" s="42" t="s">
        <v>3357</v>
      </c>
      <c r="C1445" s="53" t="s">
        <v>203</v>
      </c>
      <c r="E1445" s="20"/>
      <c r="F14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5" s="93"/>
      <c r="I1445" s="19">
        <v>45756</v>
      </c>
      <c r="J1445" s="90" t="str">
        <f>IF(Table26[[#This Row],[customerSKU]]="","",_xlfn.XLOOKUP(Table26[[#This Row],[customerSKU]],customerSKU!G:G,customerSKU!A:A,"",0,1))</f>
        <v/>
      </c>
      <c r="K1445" s="232">
        <v>45757</v>
      </c>
      <c r="L1445" s="49" t="str">
        <f>IF(Table26[[#This Row],[customerSKU]]="","",_xlfn.XLOOKUP(Table26[[#This Row],[customerSKU]],customerSKU!G:G,customerSKU!B:B,"",0,1))</f>
        <v/>
      </c>
      <c r="M1445" s="262"/>
      <c r="N1445" s="366" t="str">
        <f>Table26[[#This Row],[po_number]]&amp;"-"&amp;Table26[[#This Row],[po_line]]</f>
        <v>-3</v>
      </c>
      <c r="O1445" s="366">
        <v>3</v>
      </c>
      <c r="P1445" s="50"/>
      <c r="Q1445" s="22" t="s">
        <v>559</v>
      </c>
      <c r="R1445" s="22" t="s">
        <v>569</v>
      </c>
      <c r="S1445" s="90" t="str">
        <f>IF(Table26[[#This Row],[customerSKU]]="","",_xlfn.XLOOKUP(Table26[[#This Row],[customerSKU]],customerSKU!G:G,customerSKU!N:N,"NOT FOUND",0,1))</f>
        <v>NOT FOUND</v>
      </c>
      <c r="T1445" s="20">
        <v>45740</v>
      </c>
      <c r="U1445" s="94">
        <v>24</v>
      </c>
      <c r="V1445" s="22" t="str">
        <f>IF(ISBLANK(Table26[[#This Row],[customerSKU]]),"",_xlfn.XLOOKUP(Table26[[#This Row],[customerSKU]],Table27[customer_SKU],Table27[case_size],"",0,1))</f>
        <v/>
      </c>
      <c r="W1445" s="117" t="str">
        <f t="shared" si="61"/>
        <v/>
      </c>
      <c r="X1445" s="22" t="str">
        <f t="shared" si="62"/>
        <v/>
      </c>
      <c r="Y1445" s="25" t="str">
        <f>IF(Table26[[#This Row],[customerSKU]]="","",_xlfn.XLOOKUP(Table26[[#This Row],[customerSKU]],Table27[customer_SKU],Table27[product_GTIN],"",0,1))</f>
        <v/>
      </c>
      <c r="Z1445" s="25" t="s">
        <v>3450</v>
      </c>
      <c r="AA1445" s="18" t="str" cm="1">
        <f t="array" ref="AA1445">IF(P1445="", "", _xlfn.XLOOKUP(P1445,#REF!,#REF!,NA,0,-1))</f>
        <v/>
      </c>
      <c r="AB1445" s="22"/>
      <c r="AC1445" s="55" t="s">
        <v>3467</v>
      </c>
      <c r="AD1445" s="55" t="str">
        <f>IF($AC1445="","",_xlfn.XLOOKUP($AC1445,'[2]Client Info'!$C$2:$C$2535,'[2]Client Info'!$D$2:$D$2535,"",0,1))</f>
        <v>38243 Cleveland Ave, PO Box 276</v>
      </c>
      <c r="AE1445" s="55" t="str">
        <f>IF($AC1445="","",_xlfn.XLOOKUP($AC1445,'[2]Client Info'!$C$2:$C$2715,'[2]Client Info'!$E$2:$E$2715,"",))</f>
        <v>Squamish</v>
      </c>
      <c r="AF1445" s="55" t="str">
        <f>IF($AC1445="","",_xlfn.XLOOKUP($AC1445,'[2]Client Info'!$C$2:$C$2715,'[2]Client Info'!$F$2:$F$2715,"",0,1))</f>
        <v xml:space="preserve">BC </v>
      </c>
      <c r="AG1445" s="55" t="s">
        <v>3467</v>
      </c>
      <c r="AH1445" s="26" t="str">
        <f>_xlfn.XLOOKUP(Table26[[#This Row],[customerSKU]],customerSKU!G:G,customerSKU!K:K,"NA",0,1)</f>
        <v>NA</v>
      </c>
      <c r="AI1445" s="43" t="str">
        <f>_xlfn.XLOOKUP(Table26[[#This Row],[customerSKU]],customerSKU!G:G,customerSKU!O:O,"not found",0,1)</f>
        <v>not found</v>
      </c>
      <c r="AJ1445" s="22" t="e">
        <f>Table26[[#This Row],[unitprice]]*Table26[[#This Row],[quantity_unit]]</f>
        <v>#VALUE!</v>
      </c>
      <c r="AK1445" s="227" t="e" cm="1">
        <f t="array" ref="AK14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6" spans="1:37" ht="18" customHeight="1">
      <c r="A1446" s="42">
        <v>842</v>
      </c>
      <c r="B1446" s="42" t="s">
        <v>3357</v>
      </c>
      <c r="C1446" s="53" t="s">
        <v>203</v>
      </c>
      <c r="E1446" s="20"/>
      <c r="F14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6" s="93"/>
      <c r="I1446" s="19">
        <v>45757</v>
      </c>
      <c r="J1446" s="90" t="str">
        <f>IF(Table26[[#This Row],[customerSKU]]="","",_xlfn.XLOOKUP(Table26[[#This Row],[customerSKU]],customerSKU!G:G,customerSKU!A:A,"",0,1))</f>
        <v/>
      </c>
      <c r="K1446" s="232">
        <v>45757</v>
      </c>
      <c r="L1446" s="49" t="str">
        <f>IF(Table26[[#This Row],[customerSKU]]="","",_xlfn.XLOOKUP(Table26[[#This Row],[customerSKU]],customerSKU!G:G,customerSKU!B:B,"",0,1))</f>
        <v/>
      </c>
      <c r="M1446" s="262"/>
      <c r="N1446" s="366" t="str">
        <f>Table26[[#This Row],[po_number]]&amp;"-"&amp;Table26[[#This Row],[po_line]]</f>
        <v>-1</v>
      </c>
      <c r="O1446" s="366">
        <v>1</v>
      </c>
      <c r="P1446" s="50"/>
      <c r="Q1446" s="22" t="s">
        <v>828</v>
      </c>
      <c r="R1446" s="22" t="s">
        <v>569</v>
      </c>
      <c r="S1446" s="90" t="str">
        <f>IF(Table26[[#This Row],[customerSKU]]="","",_xlfn.XLOOKUP(Table26[[#This Row],[customerSKU]],customerSKU!G:G,customerSKU!N:N,"NOT FOUND",0,1))</f>
        <v>NOT FOUND</v>
      </c>
      <c r="T1446" s="20">
        <v>45735</v>
      </c>
      <c r="U1446" s="94">
        <v>36</v>
      </c>
      <c r="V1446" s="22" t="str">
        <f>IF(ISBLANK(Table26[[#This Row],[customerSKU]]),"",_xlfn.XLOOKUP(Table26[[#This Row],[customerSKU]],Table27[customer_SKU],Table27[case_size],"",0,1))</f>
        <v/>
      </c>
      <c r="W1446" s="117" t="str">
        <f t="shared" si="61"/>
        <v/>
      </c>
      <c r="X1446" s="22" t="str">
        <f t="shared" si="62"/>
        <v/>
      </c>
      <c r="Y1446" s="25" t="str">
        <f>IF(Table26[[#This Row],[customerSKU]]="","",_xlfn.XLOOKUP(Table26[[#This Row],[customerSKU]],Table27[customer_SKU],Table27[product_GTIN],"",0,1))</f>
        <v/>
      </c>
      <c r="Z1446" s="25" t="s">
        <v>3364</v>
      </c>
      <c r="AA1446" s="18" t="str" cm="1">
        <f t="array" ref="AA1446">IF(P1446="", "", _xlfn.XLOOKUP(P1446,#REF!,#REF!,NA,0,-1))</f>
        <v/>
      </c>
      <c r="AB1446" s="22"/>
      <c r="AC1446" s="55" t="s">
        <v>3375</v>
      </c>
      <c r="AD1446" s="55" t="str">
        <f>IF($AC1446="","",_xlfn.XLOOKUP($AC1446,'[2]Client Info'!$C$2:$C$2535,'[2]Client Info'!$D$2:$D$2535,"",0,1))</f>
        <v>102-8860 201 Street</v>
      </c>
      <c r="AE1446" s="55" t="str">
        <f>IF($AC1446="","",_xlfn.XLOOKUP($AC1446,'[2]Client Info'!$C$2:$C$2715,'[2]Client Info'!$E$2:$E$2715,"",))</f>
        <v>Langley</v>
      </c>
      <c r="AF1446" s="55" t="str">
        <f>IF($AC1446="","",_xlfn.XLOOKUP($AC1446,'[2]Client Info'!$C$2:$C$2715,'[2]Client Info'!$F$2:$F$2715,"",0,1))</f>
        <v xml:space="preserve">BC </v>
      </c>
      <c r="AG1446" s="55" t="s">
        <v>3375</v>
      </c>
      <c r="AH1446" s="26" t="str">
        <f>_xlfn.XLOOKUP(Table26[[#This Row],[customerSKU]],customerSKU!G:G,customerSKU!K:K,"NA",0,1)</f>
        <v>NA</v>
      </c>
      <c r="AI1446" s="43" t="str">
        <f>_xlfn.XLOOKUP(Table26[[#This Row],[customerSKU]],customerSKU!G:G,customerSKU!O:O,"not found",0,1)</f>
        <v>not found</v>
      </c>
      <c r="AJ1446" s="22" t="e">
        <f>Table26[[#This Row],[unitprice]]*Table26[[#This Row],[quantity_unit]]</f>
        <v>#VALUE!</v>
      </c>
      <c r="AK1446" s="227" t="e" cm="1">
        <f t="array" ref="AK14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7" spans="1:37" ht="18" customHeight="1">
      <c r="A1447" s="42">
        <v>843</v>
      </c>
      <c r="B1447" s="42" t="s">
        <v>3357</v>
      </c>
      <c r="C1447" s="53" t="s">
        <v>203</v>
      </c>
      <c r="E1447" s="20"/>
      <c r="F14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7" s="93"/>
      <c r="I1447" s="19">
        <v>45757</v>
      </c>
      <c r="J1447" s="90" t="str">
        <f>IF(Table26[[#This Row],[customerSKU]]="","",_xlfn.XLOOKUP(Table26[[#This Row],[customerSKU]],customerSKU!G:G,customerSKU!A:A,"",0,1))</f>
        <v/>
      </c>
      <c r="K1447" s="232">
        <v>45757</v>
      </c>
      <c r="L1447" s="49" t="str">
        <f>IF(Table26[[#This Row],[customerSKU]]="","",_xlfn.XLOOKUP(Table26[[#This Row],[customerSKU]],customerSKU!G:G,customerSKU!B:B,"",0,1))</f>
        <v/>
      </c>
      <c r="M1447" s="262"/>
      <c r="N1447" s="366" t="str">
        <f>Table26[[#This Row],[po_number]]&amp;"-"&amp;Table26[[#This Row],[po_line]]</f>
        <v>-2</v>
      </c>
      <c r="O1447" s="366">
        <v>2</v>
      </c>
      <c r="P1447" s="50"/>
      <c r="Q1447" s="22" t="s">
        <v>587</v>
      </c>
      <c r="R1447" s="22" t="s">
        <v>569</v>
      </c>
      <c r="S1447" s="90" t="str">
        <f>IF(Table26[[#This Row],[customerSKU]]="","",_xlfn.XLOOKUP(Table26[[#This Row],[customerSKU]],customerSKU!G:G,customerSKU!N:N,"NOT FOUND",0,1))</f>
        <v>NOT FOUND</v>
      </c>
      <c r="T1447" s="20">
        <v>45742</v>
      </c>
      <c r="U1447" s="94">
        <v>24</v>
      </c>
      <c r="V1447" s="22" t="str">
        <f>IF(ISBLANK(Table26[[#This Row],[customerSKU]]),"",_xlfn.XLOOKUP(Table26[[#This Row],[customerSKU]],Table27[customer_SKU],Table27[case_size],"",0,1))</f>
        <v/>
      </c>
      <c r="W1447" s="117" t="str">
        <f t="shared" si="61"/>
        <v/>
      </c>
      <c r="X1447" s="22" t="str">
        <f t="shared" si="62"/>
        <v/>
      </c>
      <c r="Y1447" s="25" t="str">
        <f>IF(Table26[[#This Row],[customerSKU]]="","",_xlfn.XLOOKUP(Table26[[#This Row],[customerSKU]],Table27[customer_SKU],Table27[product_GTIN],"",0,1))</f>
        <v/>
      </c>
      <c r="Z1447" s="25" t="s">
        <v>3469</v>
      </c>
      <c r="AA1447" s="18" t="str" cm="1">
        <f t="array" ref="AA1447">IF(P1447="", "", _xlfn.XLOOKUP(P1447,#REF!,#REF!,NA,0,-1))</f>
        <v/>
      </c>
      <c r="AB1447" s="22"/>
      <c r="AC1447" s="55" t="s">
        <v>3375</v>
      </c>
      <c r="AD1447" s="55" t="str">
        <f>IF($AC1447="","",_xlfn.XLOOKUP($AC1447,'[2]Client Info'!$C$2:$C$2535,'[2]Client Info'!$D$2:$D$2535,"",0,1))</f>
        <v>102-8860 201 Street</v>
      </c>
      <c r="AE1447" s="55" t="str">
        <f>IF($AC1447="","",_xlfn.XLOOKUP($AC1447,'[2]Client Info'!$C$2:$C$2715,'[2]Client Info'!$E$2:$E$2715,"",))</f>
        <v>Langley</v>
      </c>
      <c r="AF1447" s="55" t="str">
        <f>IF($AC1447="","",_xlfn.XLOOKUP($AC1447,'[2]Client Info'!$C$2:$C$2715,'[2]Client Info'!$F$2:$F$2715,"",0,1))</f>
        <v xml:space="preserve">BC </v>
      </c>
      <c r="AG1447" s="55" t="s">
        <v>3375</v>
      </c>
      <c r="AH1447" s="26" t="str">
        <f>_xlfn.XLOOKUP(Table26[[#This Row],[customerSKU]],customerSKU!G:G,customerSKU!K:K,"NA",0,1)</f>
        <v>NA</v>
      </c>
      <c r="AI1447" s="43" t="str">
        <f>_xlfn.XLOOKUP(Table26[[#This Row],[customerSKU]],customerSKU!G:G,customerSKU!O:O,"not found",0,1)</f>
        <v>not found</v>
      </c>
      <c r="AJ1447" s="22" t="e">
        <f>Table26[[#This Row],[unitprice]]*Table26[[#This Row],[quantity_unit]]</f>
        <v>#VALUE!</v>
      </c>
      <c r="AK1447" s="227" t="e" cm="1">
        <f t="array" ref="AK14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8" spans="1:37" ht="18" customHeight="1">
      <c r="A1448" s="42">
        <v>844</v>
      </c>
      <c r="B1448" s="42" t="s">
        <v>3357</v>
      </c>
      <c r="C1448" s="53" t="s">
        <v>203</v>
      </c>
      <c r="E1448" s="20"/>
      <c r="F14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8" s="93"/>
      <c r="I1448" s="19">
        <v>45757</v>
      </c>
      <c r="J1448" s="90" t="str">
        <f>IF(Table26[[#This Row],[customerSKU]]="","",_xlfn.XLOOKUP(Table26[[#This Row],[customerSKU]],customerSKU!G:G,customerSKU!A:A,"",0,1))</f>
        <v/>
      </c>
      <c r="K1448" s="232">
        <v>45757</v>
      </c>
      <c r="L1448" s="49" t="str">
        <f>IF(Table26[[#This Row],[customerSKU]]="","",_xlfn.XLOOKUP(Table26[[#This Row],[customerSKU]],customerSKU!G:G,customerSKU!B:B,"",0,1))</f>
        <v/>
      </c>
      <c r="M1448" s="262"/>
      <c r="N1448" s="366" t="str">
        <f>Table26[[#This Row],[po_number]]&amp;"-"&amp;Table26[[#This Row],[po_line]]</f>
        <v>-3</v>
      </c>
      <c r="O1448" s="366">
        <v>3</v>
      </c>
      <c r="P1448" s="50"/>
      <c r="Q1448" s="22" t="s">
        <v>656</v>
      </c>
      <c r="R1448" s="22" t="s">
        <v>569</v>
      </c>
      <c r="S1448" s="90" t="str">
        <f>IF(Table26[[#This Row],[customerSKU]]="","",_xlfn.XLOOKUP(Table26[[#This Row],[customerSKU]],customerSKU!G:G,customerSKU!N:N,"NOT FOUND",0,1))</f>
        <v>NOT FOUND</v>
      </c>
      <c r="T1448" s="20">
        <v>45749</v>
      </c>
      <c r="U1448" s="94">
        <v>24</v>
      </c>
      <c r="V1448" s="22" t="str">
        <f>IF(ISBLANK(Table26[[#This Row],[customerSKU]]),"",_xlfn.XLOOKUP(Table26[[#This Row],[customerSKU]],Table27[customer_SKU],Table27[case_size],"",0,1))</f>
        <v/>
      </c>
      <c r="W1448" s="117" t="str">
        <f t="shared" si="61"/>
        <v/>
      </c>
      <c r="X1448" s="22" t="str">
        <f t="shared" si="62"/>
        <v/>
      </c>
      <c r="Y1448" s="25" t="str">
        <f>IF(Table26[[#This Row],[customerSKU]]="","",_xlfn.XLOOKUP(Table26[[#This Row],[customerSKU]],Table27[customer_SKU],Table27[product_GTIN],"",0,1))</f>
        <v/>
      </c>
      <c r="Z1448" s="25" t="s">
        <v>3367</v>
      </c>
      <c r="AA1448" s="18" t="str" cm="1">
        <f t="array" ref="AA1448">IF(P1448="", "", _xlfn.XLOOKUP(P1448,#REF!,#REF!,NA,0,-1))</f>
        <v/>
      </c>
      <c r="AB1448" s="22"/>
      <c r="AC1448" s="55" t="s">
        <v>3375</v>
      </c>
      <c r="AD1448" s="55" t="str">
        <f>IF($AC1448="","",_xlfn.XLOOKUP($AC1448,'[2]Client Info'!$C$2:$C$2535,'[2]Client Info'!$D$2:$D$2535,"",0,1))</f>
        <v>102-8860 201 Street</v>
      </c>
      <c r="AE1448" s="55" t="str">
        <f>IF($AC1448="","",_xlfn.XLOOKUP($AC1448,'[2]Client Info'!$C$2:$C$2715,'[2]Client Info'!$E$2:$E$2715,"",))</f>
        <v>Langley</v>
      </c>
      <c r="AF1448" s="55" t="str">
        <f>IF($AC1448="","",_xlfn.XLOOKUP($AC1448,'[2]Client Info'!$C$2:$C$2715,'[2]Client Info'!$F$2:$F$2715,"",0,1))</f>
        <v xml:space="preserve">BC </v>
      </c>
      <c r="AG1448" s="55" t="s">
        <v>3375</v>
      </c>
      <c r="AH1448" s="26" t="str">
        <f>_xlfn.XLOOKUP(Table26[[#This Row],[customerSKU]],customerSKU!G:G,customerSKU!K:K,"NA",0,1)</f>
        <v>NA</v>
      </c>
      <c r="AI1448" s="43" t="str">
        <f>_xlfn.XLOOKUP(Table26[[#This Row],[customerSKU]],customerSKU!G:G,customerSKU!O:O,"not found",0,1)</f>
        <v>not found</v>
      </c>
      <c r="AJ1448" s="22" t="e">
        <f>Table26[[#This Row],[unitprice]]*Table26[[#This Row],[quantity_unit]]</f>
        <v>#VALUE!</v>
      </c>
      <c r="AK1448" s="227" t="e" cm="1">
        <f t="array" ref="AK14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49" spans="1:37" ht="18" customHeight="1">
      <c r="A1449" s="42">
        <v>845</v>
      </c>
      <c r="B1449" s="42" t="s">
        <v>3357</v>
      </c>
      <c r="C1449" s="53" t="s">
        <v>203</v>
      </c>
      <c r="E1449" s="20"/>
      <c r="F14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49" s="93"/>
      <c r="I1449" s="19">
        <v>45757</v>
      </c>
      <c r="J1449" s="90" t="str">
        <f>IF(Table26[[#This Row],[customerSKU]]="","",_xlfn.XLOOKUP(Table26[[#This Row],[customerSKU]],customerSKU!G:G,customerSKU!A:A,"",0,1))</f>
        <v/>
      </c>
      <c r="K1449" s="232">
        <v>45757</v>
      </c>
      <c r="L1449" s="49" t="str">
        <f>IF(Table26[[#This Row],[customerSKU]]="","",_xlfn.XLOOKUP(Table26[[#This Row],[customerSKU]],customerSKU!G:G,customerSKU!B:B,"",0,1))</f>
        <v/>
      </c>
      <c r="M1449" s="262"/>
      <c r="N1449" s="366" t="str">
        <f>Table26[[#This Row],[po_number]]&amp;"-"&amp;Table26[[#This Row],[po_line]]</f>
        <v>-4</v>
      </c>
      <c r="O1449" s="366">
        <v>4</v>
      </c>
      <c r="P1449" s="50"/>
      <c r="Q1449" s="22" t="s">
        <v>559</v>
      </c>
      <c r="R1449" s="22" t="s">
        <v>569</v>
      </c>
      <c r="S1449" s="90" t="str">
        <f>IF(Table26[[#This Row],[customerSKU]]="","",_xlfn.XLOOKUP(Table26[[#This Row],[customerSKU]],customerSKU!G:G,customerSKU!N:N,"NOT FOUND",0,1))</f>
        <v>NOT FOUND</v>
      </c>
      <c r="T1449" s="20">
        <v>45740</v>
      </c>
      <c r="U1449" s="94">
        <v>24</v>
      </c>
      <c r="V1449" s="22" t="str">
        <f>IF(ISBLANK(Table26[[#This Row],[customerSKU]]),"",_xlfn.XLOOKUP(Table26[[#This Row],[customerSKU]],Table27[customer_SKU],Table27[case_size],"",0,1))</f>
        <v/>
      </c>
      <c r="W1449" s="117" t="str">
        <f t="shared" si="61"/>
        <v/>
      </c>
      <c r="X1449" s="22" t="str">
        <f t="shared" si="62"/>
        <v/>
      </c>
      <c r="Y1449" s="25" t="str">
        <f>IF(Table26[[#This Row],[customerSKU]]="","",_xlfn.XLOOKUP(Table26[[#This Row],[customerSKU]],Table27[customer_SKU],Table27[product_GTIN],"",0,1))</f>
        <v/>
      </c>
      <c r="Z1449" s="25" t="s">
        <v>3450</v>
      </c>
      <c r="AA1449" s="18" t="str" cm="1">
        <f t="array" ref="AA1449">IF(P1449="", "", _xlfn.XLOOKUP(P1449,#REF!,#REF!,NA,0,-1))</f>
        <v/>
      </c>
      <c r="AB1449" s="22"/>
      <c r="AC1449" s="55" t="s">
        <v>3375</v>
      </c>
      <c r="AD1449" s="55" t="str">
        <f>IF($AC1449="","",_xlfn.XLOOKUP($AC1449,'[2]Client Info'!$C$2:$C$2535,'[2]Client Info'!$D$2:$D$2535,"",0,1))</f>
        <v>102-8860 201 Street</v>
      </c>
      <c r="AE1449" s="55" t="str">
        <f>IF($AC1449="","",_xlfn.XLOOKUP($AC1449,'[2]Client Info'!$C$2:$C$2715,'[2]Client Info'!$E$2:$E$2715,"",))</f>
        <v>Langley</v>
      </c>
      <c r="AF1449" s="55" t="str">
        <f>IF($AC1449="","",_xlfn.XLOOKUP($AC1449,'[2]Client Info'!$C$2:$C$2715,'[2]Client Info'!$F$2:$F$2715,"",0,1))</f>
        <v xml:space="preserve">BC </v>
      </c>
      <c r="AG1449" s="55" t="s">
        <v>3375</v>
      </c>
      <c r="AH1449" s="26" t="str">
        <f>_xlfn.XLOOKUP(Table26[[#This Row],[customerSKU]],customerSKU!G:G,customerSKU!K:K,"NA",0,1)</f>
        <v>NA</v>
      </c>
      <c r="AI1449" s="43" t="str">
        <f>_xlfn.XLOOKUP(Table26[[#This Row],[customerSKU]],customerSKU!G:G,customerSKU!O:O,"not found",0,1)</f>
        <v>not found</v>
      </c>
      <c r="AJ1449" s="22" t="e">
        <f>Table26[[#This Row],[unitprice]]*Table26[[#This Row],[quantity_unit]]</f>
        <v>#VALUE!</v>
      </c>
      <c r="AK1449" s="227" t="e" cm="1">
        <f t="array" ref="AK14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0" spans="1:37" ht="18" customHeight="1">
      <c r="A1450" s="42">
        <v>846</v>
      </c>
      <c r="B1450" s="42" t="s">
        <v>3357</v>
      </c>
      <c r="C1450" s="53" t="s">
        <v>3360</v>
      </c>
      <c r="E1450" s="20"/>
      <c r="F14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0" s="93"/>
      <c r="I1450" s="19">
        <v>45757</v>
      </c>
      <c r="J1450" s="90" t="str">
        <f>IF(Table26[[#This Row],[customerSKU]]="","",_xlfn.XLOOKUP(Table26[[#This Row],[customerSKU]],customerSKU!G:G,customerSKU!A:A,"",0,1))</f>
        <v/>
      </c>
      <c r="K1450" s="232">
        <v>45757</v>
      </c>
      <c r="L1450" s="49" t="str">
        <f>IF(Table26[[#This Row],[customerSKU]]="","",_xlfn.XLOOKUP(Table26[[#This Row],[customerSKU]],customerSKU!G:G,customerSKU!B:B,"",0,1))</f>
        <v/>
      </c>
      <c r="M1450" s="262"/>
      <c r="N1450" s="366" t="str">
        <f>Table26[[#This Row],[po_number]]&amp;"-"&amp;Table26[[#This Row],[po_line]]</f>
        <v>-1</v>
      </c>
      <c r="O1450" s="366">
        <v>1</v>
      </c>
      <c r="P1450" s="50"/>
      <c r="S1450" s="90" t="str">
        <f>IF(Table26[[#This Row],[customerSKU]]="","",_xlfn.XLOOKUP(Table26[[#This Row],[customerSKU]],customerSKU!G:G,customerSKU!N:N,"NOT FOUND",0,1))</f>
        <v>NOT FOUND</v>
      </c>
      <c r="T1450" s="20"/>
      <c r="U1450" s="94">
        <v>12</v>
      </c>
      <c r="V1450" s="22" t="str">
        <f>IF(ISBLANK(Table26[[#This Row],[customerSKU]]),"",_xlfn.XLOOKUP(Table26[[#This Row],[customerSKU]],Table27[customer_SKU],Table27[case_size],"",0,1))</f>
        <v/>
      </c>
      <c r="W1450" s="117" t="str">
        <f t="shared" si="61"/>
        <v/>
      </c>
      <c r="X1450" s="22" t="str">
        <f t="shared" si="62"/>
        <v/>
      </c>
      <c r="Y1450" s="25" t="str">
        <f>IF(Table26[[#This Row],[customerSKU]]="","",_xlfn.XLOOKUP(Table26[[#This Row],[customerSKU]],Table27[customer_SKU],Table27[product_GTIN],"",0,1))</f>
        <v/>
      </c>
      <c r="Z1450" s="25" t="s">
        <v>3402</v>
      </c>
      <c r="AA1450" s="18" t="str" cm="1">
        <f t="array" ref="AA1450">IF(P1450="", "", _xlfn.XLOOKUP(P1450,#REF!,#REF!,NA,0,-1))</f>
        <v/>
      </c>
      <c r="AB1450" s="22"/>
      <c r="AC1450" s="55" t="str">
        <f>IF(Table26[[#This Row],[customerSKU]]="","",_xlfn.XLOOKUP(Table26[[#This Row],[customerSKU]],customerSKU!G:G,customerSKU!C:C,"",0,1))</f>
        <v/>
      </c>
      <c r="AD1450" s="55" t="str">
        <f>IF($AC1450="","",_xlfn.XLOOKUP($AC1450,'[2]Client Info'!$C$2:$C$2535,'[2]Client Info'!$D$2:$D$2535,"",0,1))</f>
        <v/>
      </c>
      <c r="AE1450" s="55" t="str">
        <f>IF($AC1450="","",_xlfn.XLOOKUP($AC1450,'[2]Client Info'!$C$2:$C$2715,'[2]Client Info'!$E$2:$E$2715,"",))</f>
        <v/>
      </c>
      <c r="AF1450" s="55" t="str">
        <f>IF($AC1450="","",_xlfn.XLOOKUP($AC1450,'[2]Client Info'!$C$2:$C$2715,'[2]Client Info'!$F$2:$F$2715,"",0,1))</f>
        <v/>
      </c>
      <c r="AG1450" s="55" t="str">
        <f>IF(ISBLANK(Table26[[#This Row],[customerSKU]]),"",_xlfn.XLOOKUP(Table26[[#This Row],[customerSKU]],Table27[customer_SKU],Table27[billto],"",0,1))</f>
        <v/>
      </c>
      <c r="AH1450" s="26" t="str">
        <f>_xlfn.XLOOKUP(Table26[[#This Row],[customerSKU]],customerSKU!G:G,customerSKU!K:K,"NA",0,1)</f>
        <v>NA</v>
      </c>
      <c r="AI1450" s="43" t="str">
        <f>_xlfn.XLOOKUP(Table26[[#This Row],[customerSKU]],customerSKU!G:G,customerSKU!O:O,"not found",0,1)</f>
        <v>not found</v>
      </c>
      <c r="AJ1450" s="22" t="e">
        <f>Table26[[#This Row],[unitprice]]*Table26[[#This Row],[quantity_unit]]</f>
        <v>#VALUE!</v>
      </c>
      <c r="AK1450" s="227" t="e" cm="1">
        <f t="array" ref="AK14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1" spans="1:37" ht="24.6" customHeight="1">
      <c r="A1451" s="42">
        <v>847</v>
      </c>
      <c r="B1451" s="42" t="s">
        <v>3357</v>
      </c>
      <c r="C1451" s="53" t="s">
        <v>3360</v>
      </c>
      <c r="E1451" s="20"/>
      <c r="F14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1" s="93"/>
      <c r="I1451" s="19">
        <v>45757</v>
      </c>
      <c r="J1451" s="90" t="str">
        <f>IF(Table26[[#This Row],[customerSKU]]="","",_xlfn.XLOOKUP(Table26[[#This Row],[customerSKU]],customerSKU!G:G,customerSKU!A:A,"",0,1))</f>
        <v/>
      </c>
      <c r="K1451" s="232">
        <v>45757</v>
      </c>
      <c r="L1451" s="49" t="str">
        <f>IF(Table26[[#This Row],[customerSKU]]="","",_xlfn.XLOOKUP(Table26[[#This Row],[customerSKU]],customerSKU!G:G,customerSKU!B:B,"",0,1))</f>
        <v/>
      </c>
      <c r="M1451" s="262"/>
      <c r="N1451" s="366" t="str">
        <f>Table26[[#This Row],[po_number]]&amp;"-"&amp;Table26[[#This Row],[po_line]]</f>
        <v>-2</v>
      </c>
      <c r="O1451" s="366">
        <v>2</v>
      </c>
      <c r="P1451" s="50"/>
      <c r="S1451" s="90" t="str">
        <f>IF(Table26[[#This Row],[customerSKU]]="","",_xlfn.XLOOKUP(Table26[[#This Row],[customerSKU]],customerSKU!G:G,customerSKU!N:N,"NOT FOUND",0,1))</f>
        <v>NOT FOUND</v>
      </c>
      <c r="T1451" s="20"/>
      <c r="U1451" s="94">
        <v>12</v>
      </c>
      <c r="V1451" s="22" t="str">
        <f>IF(ISBLANK(Table26[[#This Row],[customerSKU]]),"",_xlfn.XLOOKUP(Table26[[#This Row],[customerSKU]],Table27[customer_SKU],Table27[case_size],"",0,1))</f>
        <v/>
      </c>
      <c r="W1451" s="117" t="str">
        <f t="shared" si="61"/>
        <v/>
      </c>
      <c r="X1451" s="22" t="str">
        <f t="shared" si="62"/>
        <v/>
      </c>
      <c r="Y1451" s="25" t="str">
        <f>IF(Table26[[#This Row],[customerSKU]]="","",_xlfn.XLOOKUP(Table26[[#This Row],[customerSKU]],Table27[customer_SKU],Table27[product_GTIN],"",0,1))</f>
        <v/>
      </c>
      <c r="Z1451" s="25" t="s">
        <v>3408</v>
      </c>
      <c r="AA1451" s="18" t="str" cm="1">
        <f t="array" ref="AA1451">IF(P1451="", "", _xlfn.XLOOKUP(P1451,#REF!,#REF!,NA,0,-1))</f>
        <v/>
      </c>
      <c r="AB1451" s="22"/>
      <c r="AC1451" s="55" t="str">
        <f>IF(Table26[[#This Row],[customerSKU]]="","",_xlfn.XLOOKUP(Table26[[#This Row],[customerSKU]],customerSKU!G:G,customerSKU!C:C,"",0,1))</f>
        <v/>
      </c>
      <c r="AD1451" s="55" t="str">
        <f>IF($AC1451="","",_xlfn.XLOOKUP($AC1451,'[2]Client Info'!$C$2:$C$2535,'[2]Client Info'!$D$2:$D$2535,"",0,1))</f>
        <v/>
      </c>
      <c r="AE1451" s="55" t="str">
        <f>IF($AC1451="","",_xlfn.XLOOKUP($AC1451,'[2]Client Info'!$C$2:$C$2715,'[2]Client Info'!$E$2:$E$2715,"",))</f>
        <v/>
      </c>
      <c r="AF1451" s="55" t="str">
        <f>IF($AC1451="","",_xlfn.XLOOKUP($AC1451,'[2]Client Info'!$C$2:$C$2715,'[2]Client Info'!$F$2:$F$2715,"",0,1))</f>
        <v/>
      </c>
      <c r="AG1451" s="55" t="str">
        <f>IF(ISBLANK(Table26[[#This Row],[customerSKU]]),"",_xlfn.XLOOKUP(Table26[[#This Row],[customerSKU]],Table27[customer_SKU],Table27[billto],"",0,1))</f>
        <v/>
      </c>
      <c r="AH1451" s="26" t="str">
        <f>_xlfn.XLOOKUP(Table26[[#This Row],[customerSKU]],customerSKU!G:G,customerSKU!K:K,"NA",0,1)</f>
        <v>NA</v>
      </c>
      <c r="AI1451" s="43" t="str">
        <f>_xlfn.XLOOKUP(Table26[[#This Row],[customerSKU]],customerSKU!G:G,customerSKU!O:O,"not found",0,1)</f>
        <v>not found</v>
      </c>
      <c r="AJ1451" s="22" t="e">
        <f>Table26[[#This Row],[unitprice]]*Table26[[#This Row],[quantity_unit]]</f>
        <v>#VALUE!</v>
      </c>
      <c r="AK1451" s="227" t="e" cm="1">
        <f t="array" ref="AK14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2" spans="1:37" ht="18" customHeight="1">
      <c r="A1452" s="42">
        <v>766</v>
      </c>
      <c r="B1452" s="42" t="s">
        <v>3357</v>
      </c>
      <c r="C1452" s="53" t="s">
        <v>203</v>
      </c>
      <c r="E1452" s="20"/>
      <c r="F14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2" s="93"/>
      <c r="I1452" s="19">
        <v>45756</v>
      </c>
      <c r="J1452" s="90" t="str">
        <f>IF(Table26[[#This Row],[customerSKU]]="","",_xlfn.XLOOKUP(Table26[[#This Row],[customerSKU]],customerSKU!G:G,customerSKU!A:A,"",0,1))</f>
        <v/>
      </c>
      <c r="K1452" s="232">
        <v>45761</v>
      </c>
      <c r="L1452" s="49" t="str">
        <f>IF(Table26[[#This Row],[customerSKU]]="","",_xlfn.XLOOKUP(Table26[[#This Row],[customerSKU]],customerSKU!G:G,customerSKU!B:B,"",0,1))</f>
        <v/>
      </c>
      <c r="M1452" s="22"/>
      <c r="N1452" s="15" t="str">
        <f>Table26[[#This Row],[po_number]]&amp;"-"&amp;Table26[[#This Row],[po_line]]</f>
        <v>-1</v>
      </c>
      <c r="O1452" s="15">
        <v>1</v>
      </c>
      <c r="P1452" s="50"/>
      <c r="Q1452" s="22" t="s">
        <v>828</v>
      </c>
      <c r="R1452" s="22" t="s">
        <v>569</v>
      </c>
      <c r="S1452" s="90" t="str">
        <f>IF(Table26[[#This Row],[customerSKU]]="","",_xlfn.XLOOKUP(Table26[[#This Row],[customerSKU]],customerSKU!G:G,customerSKU!N:N,"NOT FOUND",0,1))</f>
        <v>NOT FOUND</v>
      </c>
      <c r="T1452" s="20">
        <v>45735</v>
      </c>
      <c r="U1452" s="94">
        <v>12</v>
      </c>
      <c r="V1452" s="22" t="str">
        <f>IF(ISBLANK(Table26[[#This Row],[customerSKU]]),"",_xlfn.XLOOKUP(Table26[[#This Row],[customerSKU]],Table27[customer_SKU],Table27[case_size],"",0,1))</f>
        <v/>
      </c>
      <c r="W1452" s="117" t="str">
        <f t="shared" si="61"/>
        <v/>
      </c>
      <c r="X1452" s="22" t="str">
        <f t="shared" si="62"/>
        <v/>
      </c>
      <c r="Y1452" s="25" t="str">
        <f>IF(Table26[[#This Row],[customerSKU]]="","",_xlfn.XLOOKUP(Table26[[#This Row],[customerSKU]],Table27[customer_SKU],Table27[product_GTIN],"",0,1))</f>
        <v/>
      </c>
      <c r="Z1452" s="25" t="s">
        <v>3364</v>
      </c>
      <c r="AA1452" s="18" t="str" cm="1">
        <f t="array" ref="AA1452">IF(P1452="", "", _xlfn.XLOOKUP(P1452,#REF!,#REF!,NA,0,-1))</f>
        <v/>
      </c>
      <c r="AB1452" s="22"/>
      <c r="AC1452" s="55" t="s">
        <v>174</v>
      </c>
      <c r="AD1452" s="55" t="str">
        <f>IF($AC1452="","",_xlfn.XLOOKUP($AC1452,'[2]Client Info'!$C$2:$C$2535,'[2]Client Info'!$D$2:$D$2535,"",0,1))</f>
        <v>700 West Broadway</v>
      </c>
      <c r="AE1452" s="55" t="str">
        <f>IF($AC1452="","",_xlfn.XLOOKUP($AC1452,'[2]Client Info'!$C$2:$C$2715,'[2]Client Info'!$E$2:$E$2715,"",))</f>
        <v>Vancouver</v>
      </c>
      <c r="AF1452" s="55" t="str">
        <f>IF($AC1452="","",_xlfn.XLOOKUP($AC1452,'[2]Client Info'!$C$2:$C$2715,'[2]Client Info'!$F$2:$F$2715,"",0,1))</f>
        <v>BC</v>
      </c>
      <c r="AG1452" s="55" t="s">
        <v>174</v>
      </c>
      <c r="AH1452" s="26" t="str">
        <f>_xlfn.XLOOKUP(Table26[[#This Row],[customerSKU]],customerSKU!G:G,customerSKU!K:K,"NA",0,1)</f>
        <v>NA</v>
      </c>
      <c r="AI1452" s="43" t="str">
        <f>_xlfn.XLOOKUP(Table26[[#This Row],[customerSKU]],customerSKU!G:G,customerSKU!O:O,"not found",0,1)</f>
        <v>not found</v>
      </c>
      <c r="AJ1452" s="22" t="e">
        <f>Table26[[#This Row],[unitprice]]*Table26[[#This Row],[quantity_unit]]</f>
        <v>#VALUE!</v>
      </c>
      <c r="AK1452" s="227" t="e" cm="1">
        <f t="array" ref="AK14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3" spans="1:37" ht="18" customHeight="1">
      <c r="A1453" s="42">
        <v>767</v>
      </c>
      <c r="B1453" s="42" t="s">
        <v>3357</v>
      </c>
      <c r="C1453" s="53" t="s">
        <v>203</v>
      </c>
      <c r="E1453" s="20"/>
      <c r="F14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3" s="93"/>
      <c r="I1453" s="19">
        <v>45756</v>
      </c>
      <c r="J1453" s="90" t="str">
        <f>IF(Table26[[#This Row],[customerSKU]]="","",_xlfn.XLOOKUP(Table26[[#This Row],[customerSKU]],customerSKU!G:G,customerSKU!A:A,"",0,1))</f>
        <v/>
      </c>
      <c r="K1453" s="232">
        <v>45761</v>
      </c>
      <c r="L1453" s="49" t="str">
        <f>IF(Table26[[#This Row],[customerSKU]]="","",_xlfn.XLOOKUP(Table26[[#This Row],[customerSKU]],customerSKU!G:G,customerSKU!B:B,"",0,1))</f>
        <v/>
      </c>
      <c r="M1453" s="22"/>
      <c r="N1453" s="15" t="str">
        <f>Table26[[#This Row],[po_number]]&amp;"-"&amp;Table26[[#This Row],[po_line]]</f>
        <v>-2</v>
      </c>
      <c r="O1453" s="15">
        <v>2</v>
      </c>
      <c r="P1453" s="50"/>
      <c r="Q1453" s="22" t="s">
        <v>1172</v>
      </c>
      <c r="R1453" s="22" t="s">
        <v>569</v>
      </c>
      <c r="S1453" s="90" t="str">
        <f>IF(Table26[[#This Row],[customerSKU]]="","",_xlfn.XLOOKUP(Table26[[#This Row],[customerSKU]],customerSKU!G:G,customerSKU!N:N,"NOT FOUND",0,1))</f>
        <v>NOT FOUND</v>
      </c>
      <c r="T1453" s="20">
        <v>45588</v>
      </c>
      <c r="U1453" s="94">
        <v>6</v>
      </c>
      <c r="V1453" s="22" t="str">
        <f>IF(ISBLANK(Table26[[#This Row],[customerSKU]]),"",_xlfn.XLOOKUP(Table26[[#This Row],[customerSKU]],Table27[customer_SKU],Table27[case_size],"",0,1))</f>
        <v/>
      </c>
      <c r="W1453" s="117" t="str">
        <f t="shared" si="61"/>
        <v/>
      </c>
      <c r="X1453" s="22" t="str">
        <f t="shared" si="62"/>
        <v/>
      </c>
      <c r="Y1453" s="25" t="str">
        <f>IF(Table26[[#This Row],[customerSKU]]="","",_xlfn.XLOOKUP(Table26[[#This Row],[customerSKU]],Table27[customer_SKU],Table27[product_GTIN],"",0,1))</f>
        <v/>
      </c>
      <c r="Z1453" s="25" t="s">
        <v>3464</v>
      </c>
      <c r="AA1453" s="18" t="str" cm="1">
        <f t="array" ref="AA1453">IF(P1453="", "", _xlfn.XLOOKUP(P1453,#REF!,#REF!,NA,0,-1))</f>
        <v/>
      </c>
      <c r="AB1453" s="22"/>
      <c r="AC1453" s="55" t="s">
        <v>174</v>
      </c>
      <c r="AD1453" s="55" t="str">
        <f>IF($AC1453="","",_xlfn.XLOOKUP($AC1453,'[2]Client Info'!$C$2:$C$2535,'[2]Client Info'!$D$2:$D$2535,"",0,1))</f>
        <v>700 West Broadway</v>
      </c>
      <c r="AE1453" s="55" t="str">
        <f>IF($AC1453="","",_xlfn.XLOOKUP($AC1453,'[2]Client Info'!$C$2:$C$2715,'[2]Client Info'!$E$2:$E$2715,"",))</f>
        <v>Vancouver</v>
      </c>
      <c r="AF1453" s="55" t="str">
        <f>IF($AC1453="","",_xlfn.XLOOKUP($AC1453,'[2]Client Info'!$C$2:$C$2715,'[2]Client Info'!$F$2:$F$2715,"",0,1))</f>
        <v>BC</v>
      </c>
      <c r="AG1453" s="55" t="s">
        <v>174</v>
      </c>
      <c r="AH1453" s="26" t="str">
        <f>_xlfn.XLOOKUP(Table26[[#This Row],[customerSKU]],customerSKU!G:G,customerSKU!K:K,"NA",0,1)</f>
        <v>NA</v>
      </c>
      <c r="AI1453" s="43" t="str">
        <f>_xlfn.XLOOKUP(Table26[[#This Row],[customerSKU]],customerSKU!G:G,customerSKU!O:O,"not found",0,1)</f>
        <v>not found</v>
      </c>
      <c r="AJ1453" s="22" t="e">
        <f>Table26[[#This Row],[unitprice]]*Table26[[#This Row],[quantity_unit]]</f>
        <v>#VALUE!</v>
      </c>
      <c r="AK1453" s="227" t="e" cm="1">
        <f t="array" ref="AK14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4" spans="1:37" ht="18" customHeight="1">
      <c r="A1454" s="42">
        <v>768</v>
      </c>
      <c r="B1454" s="42" t="s">
        <v>3357</v>
      </c>
      <c r="C1454" s="53" t="s">
        <v>203</v>
      </c>
      <c r="E1454" s="20"/>
      <c r="F14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4" s="93"/>
      <c r="I1454" s="19">
        <v>45756</v>
      </c>
      <c r="J1454" s="90" t="str">
        <f>IF(Table26[[#This Row],[customerSKU]]="","",_xlfn.XLOOKUP(Table26[[#This Row],[customerSKU]],customerSKU!G:G,customerSKU!A:A,"",0,1))</f>
        <v/>
      </c>
      <c r="K1454" s="232">
        <v>45761</v>
      </c>
      <c r="L1454" s="49" t="str">
        <f>IF(Table26[[#This Row],[customerSKU]]="","",_xlfn.XLOOKUP(Table26[[#This Row],[customerSKU]],customerSKU!G:G,customerSKU!B:B,"",0,1))</f>
        <v/>
      </c>
      <c r="M1454" s="22"/>
      <c r="N1454" s="15" t="str">
        <f>Table26[[#This Row],[po_number]]&amp;"-"&amp;Table26[[#This Row],[po_line]]</f>
        <v>-3</v>
      </c>
      <c r="O1454" s="15">
        <v>3</v>
      </c>
      <c r="P1454" s="50"/>
      <c r="Q1454" s="22" t="s">
        <v>1660</v>
      </c>
      <c r="R1454" s="22" t="s">
        <v>569</v>
      </c>
      <c r="S1454" s="90" t="str">
        <f>IF(Table26[[#This Row],[customerSKU]]="","",_xlfn.XLOOKUP(Table26[[#This Row],[customerSKU]],customerSKU!G:G,customerSKU!N:N,"NOT FOUND",0,1))</f>
        <v>NOT FOUND</v>
      </c>
      <c r="T1454" s="20">
        <v>45755</v>
      </c>
      <c r="U1454" s="94">
        <v>12</v>
      </c>
      <c r="V1454" s="22" t="str">
        <f>IF(ISBLANK(Table26[[#This Row],[customerSKU]]),"",_xlfn.XLOOKUP(Table26[[#This Row],[customerSKU]],Table27[customer_SKU],Table27[case_size],"",0,1))</f>
        <v/>
      </c>
      <c r="W1454" s="117" t="str">
        <f t="shared" si="61"/>
        <v/>
      </c>
      <c r="X1454" s="22" t="str">
        <f t="shared" si="62"/>
        <v/>
      </c>
      <c r="Y1454" s="25" t="str">
        <f>IF(Table26[[#This Row],[customerSKU]]="","",_xlfn.XLOOKUP(Table26[[#This Row],[customerSKU]],Table27[customer_SKU],Table27[product_GTIN],"",0,1))</f>
        <v/>
      </c>
      <c r="Z1454" s="25" t="s">
        <v>3373</v>
      </c>
      <c r="AA1454" s="18" t="str" cm="1">
        <f t="array" ref="AA1454">IF(P1454="", "", _xlfn.XLOOKUP(P1454,#REF!,#REF!,NA,0,-1))</f>
        <v/>
      </c>
      <c r="AB1454" s="22"/>
      <c r="AC1454" s="55" t="s">
        <v>174</v>
      </c>
      <c r="AD1454" s="55" t="str">
        <f>IF($AC1454="","",_xlfn.XLOOKUP($AC1454,'[2]Client Info'!$C$2:$C$2535,'[2]Client Info'!$D$2:$D$2535,"",0,1))</f>
        <v>700 West Broadway</v>
      </c>
      <c r="AE1454" s="55" t="str">
        <f>IF($AC1454="","",_xlfn.XLOOKUP($AC1454,'[2]Client Info'!$C$2:$C$2715,'[2]Client Info'!$E$2:$E$2715,"",))</f>
        <v>Vancouver</v>
      </c>
      <c r="AF1454" s="55" t="str">
        <f>IF($AC1454="","",_xlfn.XLOOKUP($AC1454,'[2]Client Info'!$C$2:$C$2715,'[2]Client Info'!$F$2:$F$2715,"",0,1))</f>
        <v>BC</v>
      </c>
      <c r="AG1454" s="55" t="s">
        <v>174</v>
      </c>
      <c r="AH1454" s="26" t="str">
        <f>_xlfn.XLOOKUP(Table26[[#This Row],[customerSKU]],customerSKU!G:G,customerSKU!K:K,"NA",0,1)</f>
        <v>NA</v>
      </c>
      <c r="AI1454" s="43" t="str">
        <f>_xlfn.XLOOKUP(Table26[[#This Row],[customerSKU]],customerSKU!G:G,customerSKU!O:O,"not found",0,1)</f>
        <v>not found</v>
      </c>
      <c r="AJ1454" s="22" t="e">
        <f>Table26[[#This Row],[unitprice]]*Table26[[#This Row],[quantity_unit]]</f>
        <v>#VALUE!</v>
      </c>
      <c r="AK1454" s="227" t="e" cm="1">
        <f t="array" ref="AK14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5" spans="1:37" ht="18" customHeight="1">
      <c r="A1455" s="42">
        <v>769</v>
      </c>
      <c r="B1455" s="42" t="s">
        <v>3357</v>
      </c>
      <c r="C1455" s="53" t="s">
        <v>203</v>
      </c>
      <c r="E1455" s="20"/>
      <c r="F14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5" s="93"/>
      <c r="I1455" s="19">
        <v>45756</v>
      </c>
      <c r="J1455" s="90" t="str">
        <f>IF(Table26[[#This Row],[customerSKU]]="","",_xlfn.XLOOKUP(Table26[[#This Row],[customerSKU]],customerSKU!G:G,customerSKU!A:A,"",0,1))</f>
        <v/>
      </c>
      <c r="K1455" s="232">
        <v>45761</v>
      </c>
      <c r="L1455" s="49" t="str">
        <f>IF(Table26[[#This Row],[customerSKU]]="","",_xlfn.XLOOKUP(Table26[[#This Row],[customerSKU]],customerSKU!G:G,customerSKU!B:B,"",0,1))</f>
        <v/>
      </c>
      <c r="M1455" s="22"/>
      <c r="N1455" s="15" t="str">
        <f>Table26[[#This Row],[po_number]]&amp;"-"&amp;Table26[[#This Row],[po_line]]</f>
        <v>-4</v>
      </c>
      <c r="O1455" s="15">
        <v>4</v>
      </c>
      <c r="P1455" s="50"/>
      <c r="Q1455" s="22" t="s">
        <v>1829</v>
      </c>
      <c r="R1455" s="22" t="s">
        <v>569</v>
      </c>
      <c r="S1455" s="90" t="str">
        <f>IF(Table26[[#This Row],[customerSKU]]="","",_xlfn.XLOOKUP(Table26[[#This Row],[customerSKU]],customerSKU!G:G,customerSKU!N:N,"NOT FOUND",0,1))</f>
        <v>NOT FOUND</v>
      </c>
      <c r="T1455" s="20">
        <v>45721</v>
      </c>
      <c r="U1455" s="94">
        <v>12</v>
      </c>
      <c r="V1455" s="22" t="str">
        <f>IF(ISBLANK(Table26[[#This Row],[customerSKU]]),"",_xlfn.XLOOKUP(Table26[[#This Row],[customerSKU]],Table27[customer_SKU],Table27[case_size],"",0,1))</f>
        <v/>
      </c>
      <c r="W1455" s="117" t="str">
        <f t="shared" si="61"/>
        <v/>
      </c>
      <c r="X1455" s="22" t="str">
        <f t="shared" si="62"/>
        <v/>
      </c>
      <c r="Y1455" s="25" t="str">
        <f>IF(Table26[[#This Row],[customerSKU]]="","",_xlfn.XLOOKUP(Table26[[#This Row],[customerSKU]],Table27[customer_SKU],Table27[product_GTIN],"",0,1))</f>
        <v/>
      </c>
      <c r="Z1455" s="25" t="s">
        <v>3372</v>
      </c>
      <c r="AA1455" s="18" t="str" cm="1">
        <f t="array" ref="AA1455">IF(P1455="", "", _xlfn.XLOOKUP(P1455,#REF!,#REF!,NA,0,-1))</f>
        <v/>
      </c>
      <c r="AB1455" s="22"/>
      <c r="AC1455" s="55" t="s">
        <v>174</v>
      </c>
      <c r="AD1455" s="55" t="str">
        <f>IF($AC1455="","",_xlfn.XLOOKUP($AC1455,'[2]Client Info'!$C$2:$C$2535,'[2]Client Info'!$D$2:$D$2535,"",0,1))</f>
        <v>700 West Broadway</v>
      </c>
      <c r="AE1455" s="55" t="str">
        <f>IF($AC1455="","",_xlfn.XLOOKUP($AC1455,'[2]Client Info'!$C$2:$C$2715,'[2]Client Info'!$E$2:$E$2715,"",))</f>
        <v>Vancouver</v>
      </c>
      <c r="AF1455" s="55" t="str">
        <f>IF($AC1455="","",_xlfn.XLOOKUP($AC1455,'[2]Client Info'!$C$2:$C$2715,'[2]Client Info'!$F$2:$F$2715,"",0,1))</f>
        <v>BC</v>
      </c>
      <c r="AG1455" s="55" t="s">
        <v>174</v>
      </c>
      <c r="AH1455" s="26" t="str">
        <f>_xlfn.XLOOKUP(Table26[[#This Row],[customerSKU]],customerSKU!G:G,customerSKU!K:K,"NA",0,1)</f>
        <v>NA</v>
      </c>
      <c r="AI1455" s="43" t="str">
        <f>_xlfn.XLOOKUP(Table26[[#This Row],[customerSKU]],customerSKU!G:G,customerSKU!O:O,"not found",0,1)</f>
        <v>not found</v>
      </c>
      <c r="AJ1455" s="22" t="e">
        <f>Table26[[#This Row],[unitprice]]*Table26[[#This Row],[quantity_unit]]</f>
        <v>#VALUE!</v>
      </c>
      <c r="AK1455" s="227" t="e" cm="1">
        <f t="array" ref="AK14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6" spans="1:37" ht="18" customHeight="1">
      <c r="A1456" s="42">
        <v>770</v>
      </c>
      <c r="B1456" s="42" t="s">
        <v>3357</v>
      </c>
      <c r="C1456" s="53" t="s">
        <v>203</v>
      </c>
      <c r="E1456" s="20"/>
      <c r="F14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6" s="93"/>
      <c r="I1456" s="19">
        <v>45756</v>
      </c>
      <c r="J1456" s="90" t="str">
        <f>IF(Table26[[#This Row],[customerSKU]]="","",_xlfn.XLOOKUP(Table26[[#This Row],[customerSKU]],customerSKU!G:G,customerSKU!A:A,"",0,1))</f>
        <v/>
      </c>
      <c r="K1456" s="232">
        <v>45761</v>
      </c>
      <c r="L1456" s="49" t="str">
        <f>IF(Table26[[#This Row],[customerSKU]]="","",_xlfn.XLOOKUP(Table26[[#This Row],[customerSKU]],customerSKU!G:G,customerSKU!B:B,"",0,1))</f>
        <v/>
      </c>
      <c r="M1456" s="22"/>
      <c r="N1456" s="15" t="str">
        <f>Table26[[#This Row],[po_number]]&amp;"-"&amp;Table26[[#This Row],[po_line]]</f>
        <v>-5</v>
      </c>
      <c r="O1456" s="15">
        <v>5</v>
      </c>
      <c r="P1456" s="50"/>
      <c r="Q1456" s="22" t="s">
        <v>630</v>
      </c>
      <c r="R1456" s="22" t="s">
        <v>569</v>
      </c>
      <c r="S1456" s="90" t="str">
        <f>IF(Table26[[#This Row],[customerSKU]]="","",_xlfn.XLOOKUP(Table26[[#This Row],[customerSKU]],customerSKU!G:G,customerSKU!N:N,"NOT FOUND",0,1))</f>
        <v>NOT FOUND</v>
      </c>
      <c r="T1456" s="20">
        <v>45707</v>
      </c>
      <c r="U1456" s="94">
        <v>12</v>
      </c>
      <c r="V1456" s="22" t="str">
        <f>IF(ISBLANK(Table26[[#This Row],[customerSKU]]),"",_xlfn.XLOOKUP(Table26[[#This Row],[customerSKU]],Table27[customer_SKU],Table27[case_size],"",0,1))</f>
        <v/>
      </c>
      <c r="W1456" s="117" t="str">
        <f t="shared" si="61"/>
        <v/>
      </c>
      <c r="X1456" s="22" t="str">
        <f t="shared" si="62"/>
        <v/>
      </c>
      <c r="Y1456" s="25" t="str">
        <f>IF(Table26[[#This Row],[customerSKU]]="","",_xlfn.XLOOKUP(Table26[[#This Row],[customerSKU]],Table27[customer_SKU],Table27[product_GTIN],"",0,1))</f>
        <v/>
      </c>
      <c r="Z1456" s="25" t="s">
        <v>3386</v>
      </c>
      <c r="AA1456" s="18" t="str" cm="1">
        <f t="array" ref="AA1456">IF(P1456="", "", _xlfn.XLOOKUP(P1456,#REF!,#REF!,NA,0,-1))</f>
        <v/>
      </c>
      <c r="AB1456" s="22"/>
      <c r="AC1456" s="55" t="s">
        <v>174</v>
      </c>
      <c r="AD1456" s="55" t="str">
        <f>IF($AC1456="","",_xlfn.XLOOKUP($AC1456,'[2]Client Info'!$C$2:$C$2535,'[2]Client Info'!$D$2:$D$2535,"",0,1))</f>
        <v>700 West Broadway</v>
      </c>
      <c r="AE1456" s="55" t="str">
        <f>IF($AC1456="","",_xlfn.XLOOKUP($AC1456,'[2]Client Info'!$C$2:$C$2715,'[2]Client Info'!$E$2:$E$2715,"",))</f>
        <v>Vancouver</v>
      </c>
      <c r="AF1456" s="55" t="str">
        <f>IF($AC1456="","",_xlfn.XLOOKUP($AC1456,'[2]Client Info'!$C$2:$C$2715,'[2]Client Info'!$F$2:$F$2715,"",0,1))</f>
        <v>BC</v>
      </c>
      <c r="AG1456" s="55" t="s">
        <v>174</v>
      </c>
      <c r="AH1456" s="26" t="str">
        <f>_xlfn.XLOOKUP(Table26[[#This Row],[customerSKU]],customerSKU!G:G,customerSKU!K:K,"NA",0,1)</f>
        <v>NA</v>
      </c>
      <c r="AI1456" s="43" t="str">
        <f>_xlfn.XLOOKUP(Table26[[#This Row],[customerSKU]],customerSKU!G:G,customerSKU!O:O,"not found",0,1)</f>
        <v>not found</v>
      </c>
      <c r="AJ1456" s="22" t="e">
        <f>Table26[[#This Row],[unitprice]]*Table26[[#This Row],[quantity_unit]]</f>
        <v>#VALUE!</v>
      </c>
      <c r="AK1456" s="227" t="e" cm="1">
        <f t="array" ref="AK14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7" spans="1:37" ht="18" customHeight="1">
      <c r="A1457" s="42">
        <v>771</v>
      </c>
      <c r="B1457" s="42" t="s">
        <v>3357</v>
      </c>
      <c r="C1457" s="53" t="s">
        <v>203</v>
      </c>
      <c r="E1457" s="20"/>
      <c r="F14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7" s="93"/>
      <c r="I1457" s="19">
        <v>45756</v>
      </c>
      <c r="J1457" s="90" t="str">
        <f>IF(Table26[[#This Row],[customerSKU]]="","",_xlfn.XLOOKUP(Table26[[#This Row],[customerSKU]],customerSKU!G:G,customerSKU!A:A,"",0,1))</f>
        <v/>
      </c>
      <c r="K1457" s="232">
        <v>45761</v>
      </c>
      <c r="L1457" s="49" t="str">
        <f>IF(Table26[[#This Row],[customerSKU]]="","",_xlfn.XLOOKUP(Table26[[#This Row],[customerSKU]],customerSKU!G:G,customerSKU!B:B,"",0,1))</f>
        <v/>
      </c>
      <c r="M1457" s="22"/>
      <c r="N1457" s="15" t="str">
        <f>Table26[[#This Row],[po_number]]&amp;"-"&amp;Table26[[#This Row],[po_line]]</f>
        <v>-6</v>
      </c>
      <c r="O1457" s="15">
        <v>6</v>
      </c>
      <c r="P1457" s="50"/>
      <c r="Q1457" s="22" t="s">
        <v>905</v>
      </c>
      <c r="R1457" s="22" t="s">
        <v>569</v>
      </c>
      <c r="S1457" s="90" t="str">
        <f>IF(Table26[[#This Row],[customerSKU]]="","",_xlfn.XLOOKUP(Table26[[#This Row],[customerSKU]],customerSKU!G:G,customerSKU!N:N,"NOT FOUND",0,1))</f>
        <v>NOT FOUND</v>
      </c>
      <c r="T1457" s="20">
        <v>45575</v>
      </c>
      <c r="U1457" s="94">
        <v>12</v>
      </c>
      <c r="V1457" s="22" t="str">
        <f>IF(ISBLANK(Table26[[#This Row],[customerSKU]]),"",_xlfn.XLOOKUP(Table26[[#This Row],[customerSKU]],Table27[customer_SKU],Table27[case_size],"",0,1))</f>
        <v/>
      </c>
      <c r="W1457" s="117" t="str">
        <f t="shared" si="61"/>
        <v/>
      </c>
      <c r="X1457" s="22" t="str">
        <f t="shared" si="62"/>
        <v/>
      </c>
      <c r="Y1457" s="25" t="str">
        <f>IF(Table26[[#This Row],[customerSKU]]="","",_xlfn.XLOOKUP(Table26[[#This Row],[customerSKU]],Table27[customer_SKU],Table27[product_GTIN],"",0,1))</f>
        <v/>
      </c>
      <c r="Z1457" s="25" t="s">
        <v>3377</v>
      </c>
      <c r="AA1457" s="18" t="str" cm="1">
        <f t="array" ref="AA1457">IF(P1457="", "", _xlfn.XLOOKUP(P1457,#REF!,#REF!,NA,0,-1))</f>
        <v/>
      </c>
      <c r="AB1457" s="22"/>
      <c r="AC1457" s="55" t="s">
        <v>174</v>
      </c>
      <c r="AD1457" s="55" t="str">
        <f>IF($AC1457="","",_xlfn.XLOOKUP($AC1457,'[2]Client Info'!$C$2:$C$2535,'[2]Client Info'!$D$2:$D$2535,"",0,1))</f>
        <v>700 West Broadway</v>
      </c>
      <c r="AE1457" s="55" t="str">
        <f>IF($AC1457="","",_xlfn.XLOOKUP($AC1457,'[2]Client Info'!$C$2:$C$2715,'[2]Client Info'!$E$2:$E$2715,"",))</f>
        <v>Vancouver</v>
      </c>
      <c r="AF1457" s="55" t="str">
        <f>IF($AC1457="","",_xlfn.XLOOKUP($AC1457,'[2]Client Info'!$C$2:$C$2715,'[2]Client Info'!$F$2:$F$2715,"",0,1))</f>
        <v>BC</v>
      </c>
      <c r="AG1457" s="55" t="s">
        <v>174</v>
      </c>
      <c r="AH1457" s="26" t="str">
        <f>_xlfn.XLOOKUP(Table26[[#This Row],[customerSKU]],customerSKU!G:G,customerSKU!K:K,"NA",0,1)</f>
        <v>NA</v>
      </c>
      <c r="AI1457" s="43" t="str">
        <f>_xlfn.XLOOKUP(Table26[[#This Row],[customerSKU]],customerSKU!G:G,customerSKU!O:O,"not found",0,1)</f>
        <v>not found</v>
      </c>
      <c r="AJ1457" s="22" t="e">
        <f>Table26[[#This Row],[unitprice]]*Table26[[#This Row],[quantity_unit]]</f>
        <v>#VALUE!</v>
      </c>
      <c r="AK1457" s="227" t="e" cm="1">
        <f t="array" ref="AK14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8" spans="1:37" ht="18" customHeight="1">
      <c r="A1458" s="42">
        <v>772</v>
      </c>
      <c r="B1458" s="42" t="s">
        <v>3357</v>
      </c>
      <c r="C1458" s="53" t="s">
        <v>203</v>
      </c>
      <c r="E1458" s="20"/>
      <c r="F14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8" s="93"/>
      <c r="I1458" s="19">
        <v>45756</v>
      </c>
      <c r="J1458" s="90" t="str">
        <f>IF(Table26[[#This Row],[customerSKU]]="","",_xlfn.XLOOKUP(Table26[[#This Row],[customerSKU]],customerSKU!G:G,customerSKU!A:A,"",0,1))</f>
        <v/>
      </c>
      <c r="K1458" s="232">
        <v>45761</v>
      </c>
      <c r="L1458" s="49" t="str">
        <f>IF(Table26[[#This Row],[customerSKU]]="","",_xlfn.XLOOKUP(Table26[[#This Row],[customerSKU]],customerSKU!G:G,customerSKU!B:B,"",0,1))</f>
        <v/>
      </c>
      <c r="M1458" s="22"/>
      <c r="N1458" s="15" t="str">
        <f>Table26[[#This Row],[po_number]]&amp;"-"&amp;Table26[[#This Row],[po_line]]</f>
        <v>-7</v>
      </c>
      <c r="O1458" s="15">
        <v>7</v>
      </c>
      <c r="P1458" s="50"/>
      <c r="Q1458" s="22" t="s">
        <v>578</v>
      </c>
      <c r="R1458" s="22" t="s">
        <v>569</v>
      </c>
      <c r="S1458" s="90" t="str">
        <f>IF(Table26[[#This Row],[customerSKU]]="","",_xlfn.XLOOKUP(Table26[[#This Row],[customerSKU]],customerSKU!G:G,customerSKU!N:N,"NOT FOUND",0,1))</f>
        <v>NOT FOUND</v>
      </c>
      <c r="T1458" s="20">
        <v>45700</v>
      </c>
      <c r="U1458" s="94">
        <v>12</v>
      </c>
      <c r="V1458" s="22" t="str">
        <f>IF(ISBLANK(Table26[[#This Row],[customerSKU]]),"",_xlfn.XLOOKUP(Table26[[#This Row],[customerSKU]],Table27[customer_SKU],Table27[case_size],"",0,1))</f>
        <v/>
      </c>
      <c r="W1458" s="117" t="str">
        <f t="shared" si="61"/>
        <v/>
      </c>
      <c r="X1458" s="22" t="str">
        <f t="shared" si="62"/>
        <v/>
      </c>
      <c r="Y1458" s="25" t="str">
        <f>IF(Table26[[#This Row],[customerSKU]]="","",_xlfn.XLOOKUP(Table26[[#This Row],[customerSKU]],Table27[customer_SKU],Table27[product_GTIN],"",0,1))</f>
        <v/>
      </c>
      <c r="Z1458" s="25" t="s">
        <v>3448</v>
      </c>
      <c r="AA1458" s="18" t="str" cm="1">
        <f t="array" ref="AA1458">IF(P1458="", "", _xlfn.XLOOKUP(P1458,#REF!,#REF!,NA,0,-1))</f>
        <v/>
      </c>
      <c r="AB1458" s="22"/>
      <c r="AC1458" s="55" t="s">
        <v>174</v>
      </c>
      <c r="AD1458" s="55" t="str">
        <f>IF($AC1458="","",_xlfn.XLOOKUP($AC1458,'[2]Client Info'!$C$2:$C$2535,'[2]Client Info'!$D$2:$D$2535,"",0,1))</f>
        <v>700 West Broadway</v>
      </c>
      <c r="AE1458" s="55" t="str">
        <f>IF($AC1458="","",_xlfn.XLOOKUP($AC1458,'[2]Client Info'!$C$2:$C$2715,'[2]Client Info'!$E$2:$E$2715,"",))</f>
        <v>Vancouver</v>
      </c>
      <c r="AF1458" s="55" t="str">
        <f>IF($AC1458="","",_xlfn.XLOOKUP($AC1458,'[2]Client Info'!$C$2:$C$2715,'[2]Client Info'!$F$2:$F$2715,"",0,1))</f>
        <v>BC</v>
      </c>
      <c r="AG1458" s="55" t="s">
        <v>174</v>
      </c>
      <c r="AH1458" s="26" t="str">
        <f>_xlfn.XLOOKUP(Table26[[#This Row],[customerSKU]],customerSKU!G:G,customerSKU!K:K,"NA",0,1)</f>
        <v>NA</v>
      </c>
      <c r="AI1458" s="43" t="str">
        <f>_xlfn.XLOOKUP(Table26[[#This Row],[customerSKU]],customerSKU!G:G,customerSKU!O:O,"not found",0,1)</f>
        <v>not found</v>
      </c>
      <c r="AJ1458" s="22" t="e">
        <f>Table26[[#This Row],[unitprice]]*Table26[[#This Row],[quantity_unit]]</f>
        <v>#VALUE!</v>
      </c>
      <c r="AK1458" s="227" t="e" cm="1">
        <f t="array" ref="AK14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59" spans="1:37" ht="18" customHeight="1">
      <c r="A1459" s="42">
        <v>773</v>
      </c>
      <c r="B1459" s="42" t="s">
        <v>3357</v>
      </c>
      <c r="C1459" s="53" t="s">
        <v>203</v>
      </c>
      <c r="E1459" s="20"/>
      <c r="F14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59" s="93"/>
      <c r="I1459" s="19">
        <v>45757</v>
      </c>
      <c r="J1459" s="90" t="str">
        <f>IF(Table26[[#This Row],[customerSKU]]="","",_xlfn.XLOOKUP(Table26[[#This Row],[customerSKU]],customerSKU!G:G,customerSKU!A:A,"",0,1))</f>
        <v/>
      </c>
      <c r="K1459" s="232">
        <v>45761</v>
      </c>
      <c r="L1459" s="49" t="str">
        <f>IF(Table26[[#This Row],[customerSKU]]="","",_xlfn.XLOOKUP(Table26[[#This Row],[customerSKU]],customerSKU!G:G,customerSKU!B:B,"",0,1))</f>
        <v/>
      </c>
      <c r="M1459" s="90"/>
      <c r="N1459" s="55" t="str">
        <f>Table26[[#This Row],[po_number]]&amp;"-"&amp;Table26[[#This Row],[po_line]]</f>
        <v>-1</v>
      </c>
      <c r="O1459" s="55">
        <v>1</v>
      </c>
      <c r="P1459" s="50"/>
      <c r="Q1459" s="22" t="s">
        <v>971</v>
      </c>
      <c r="R1459" s="22" t="s">
        <v>569</v>
      </c>
      <c r="S1459" s="90" t="str">
        <f>IF(Table26[[#This Row],[customerSKU]]="","",_xlfn.XLOOKUP(Table26[[#This Row],[customerSKU]],customerSKU!G:G,customerSKU!N:N,"NOT FOUND",0,1))</f>
        <v>NOT FOUND</v>
      </c>
      <c r="T1459" s="20">
        <v>45467</v>
      </c>
      <c r="U1459" s="94">
        <v>6</v>
      </c>
      <c r="V1459" s="22" t="str">
        <f>IF(ISBLANK(Table26[[#This Row],[customerSKU]]),"",_xlfn.XLOOKUP(Table26[[#This Row],[customerSKU]],Table27[customer_SKU],Table27[case_size],"",0,1))</f>
        <v/>
      </c>
      <c r="W1459" s="117" t="str">
        <f t="shared" si="61"/>
        <v/>
      </c>
      <c r="X1459" s="22" t="str">
        <f t="shared" si="62"/>
        <v/>
      </c>
      <c r="Y1459" s="25" t="str">
        <f>IF(Table26[[#This Row],[customerSKU]]="","",_xlfn.XLOOKUP(Table26[[#This Row],[customerSKU]],Table27[customer_SKU],Table27[product_GTIN],"",0,1))</f>
        <v/>
      </c>
      <c r="Z1459" s="25" t="s">
        <v>3370</v>
      </c>
      <c r="AA1459" s="18" t="str" cm="1">
        <f t="array" ref="AA1459">IF(P1459="", "", _xlfn.XLOOKUP(P1459,#REF!,#REF!,NA,0,-1))</f>
        <v/>
      </c>
      <c r="AB1459" s="22"/>
      <c r="AC1459" s="55" t="s">
        <v>3470</v>
      </c>
      <c r="AD1459" s="55" t="str">
        <f>IF($AC1459="","",_xlfn.XLOOKUP($AC1459,'[2]Client Info'!$C$2:$C$2535,'[2]Client Info'!$D$2:$D$2535,"",0,1))</f>
        <v>103-1520 Barrow Street</v>
      </c>
      <c r="AE1459" s="55" t="str">
        <f>IF($AC1459="","",_xlfn.XLOOKUP($AC1459,'[2]Client Info'!$C$2:$C$2715,'[2]Client Info'!$E$2:$E$2715,"",))</f>
        <v>North Vancouver</v>
      </c>
      <c r="AF1459" s="55" t="str">
        <f>IF($AC1459="","",_xlfn.XLOOKUP($AC1459,'[2]Client Info'!$C$2:$C$2715,'[2]Client Info'!$F$2:$F$2715,"",0,1))</f>
        <v xml:space="preserve">BC </v>
      </c>
      <c r="AG1459" s="55" t="s">
        <v>3470</v>
      </c>
      <c r="AH1459" s="26" t="str">
        <f>_xlfn.XLOOKUP(Table26[[#This Row],[customerSKU]],customerSKU!G:G,customerSKU!K:K,"NA",0,1)</f>
        <v>NA</v>
      </c>
      <c r="AI1459" s="43" t="str">
        <f>_xlfn.XLOOKUP(Table26[[#This Row],[customerSKU]],customerSKU!G:G,customerSKU!O:O,"not found",0,1)</f>
        <v>not found</v>
      </c>
      <c r="AJ1459" s="22" t="e">
        <f>Table26[[#This Row],[unitprice]]*Table26[[#This Row],[quantity_unit]]</f>
        <v>#VALUE!</v>
      </c>
      <c r="AK1459" s="227" t="e" cm="1">
        <f t="array" ref="AK14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0" spans="1:37" ht="18" customHeight="1">
      <c r="A1460" s="42">
        <v>774</v>
      </c>
      <c r="B1460" s="42" t="s">
        <v>3357</v>
      </c>
      <c r="C1460" s="53" t="s">
        <v>203</v>
      </c>
      <c r="E1460" s="20"/>
      <c r="F14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0" s="93"/>
      <c r="I1460" s="19">
        <v>45757</v>
      </c>
      <c r="J1460" s="90" t="str">
        <f>IF(Table26[[#This Row],[customerSKU]]="","",_xlfn.XLOOKUP(Table26[[#This Row],[customerSKU]],customerSKU!G:G,customerSKU!A:A,"",0,1))</f>
        <v/>
      </c>
      <c r="K1460" s="232">
        <v>45761</v>
      </c>
      <c r="L1460" s="49" t="str">
        <f>IF(Table26[[#This Row],[customerSKU]]="","",_xlfn.XLOOKUP(Table26[[#This Row],[customerSKU]],customerSKU!G:G,customerSKU!B:B,"",0,1))</f>
        <v/>
      </c>
      <c r="M1460" s="90"/>
      <c r="N1460" s="55" t="str">
        <f>Table26[[#This Row],[po_number]]&amp;"-"&amp;Table26[[#This Row],[po_line]]</f>
        <v>-2</v>
      </c>
      <c r="O1460" s="55">
        <v>2</v>
      </c>
      <c r="P1460" s="50"/>
      <c r="Q1460" s="22" t="s">
        <v>3368</v>
      </c>
      <c r="R1460" s="22" t="s">
        <v>569</v>
      </c>
      <c r="S1460" s="90" t="str">
        <f>IF(Table26[[#This Row],[customerSKU]]="","",_xlfn.XLOOKUP(Table26[[#This Row],[customerSKU]],customerSKU!G:G,customerSKU!N:N,"NOT FOUND",0,1))</f>
        <v>NOT FOUND</v>
      </c>
      <c r="T1460" s="20">
        <v>45590</v>
      </c>
      <c r="U1460" s="94">
        <v>6</v>
      </c>
      <c r="V1460" s="22" t="str">
        <f>IF(ISBLANK(Table26[[#This Row],[customerSKU]]),"",_xlfn.XLOOKUP(Table26[[#This Row],[customerSKU]],Table27[customer_SKU],Table27[case_size],"",0,1))</f>
        <v/>
      </c>
      <c r="W1460" s="117" t="str">
        <f t="shared" si="61"/>
        <v/>
      </c>
      <c r="X1460" s="22" t="str">
        <f t="shared" si="62"/>
        <v/>
      </c>
      <c r="Y1460" s="25" t="str">
        <f>IF(Table26[[#This Row],[customerSKU]]="","",_xlfn.XLOOKUP(Table26[[#This Row],[customerSKU]],Table27[customer_SKU],Table27[product_GTIN],"",0,1))</f>
        <v/>
      </c>
      <c r="Z1460" s="25" t="s">
        <v>3370</v>
      </c>
      <c r="AA1460" s="18" t="str" cm="1">
        <f t="array" ref="AA1460">IF(P1460="", "", _xlfn.XLOOKUP(P1460,#REF!,#REF!,NA,0,-1))</f>
        <v/>
      </c>
      <c r="AB1460" s="22"/>
      <c r="AC1460" s="55" t="s">
        <v>3470</v>
      </c>
      <c r="AD1460" s="55" t="str">
        <f>IF($AC1460="","",_xlfn.XLOOKUP($AC1460,'Client Info'!$C$2:$C$2497,'Client Info'!$D$2:$D$2497,"",0,1))</f>
        <v/>
      </c>
      <c r="AE1460" s="55" t="str">
        <f>IF($AC1460="","",_xlfn.XLOOKUP($AC1460,'Client Info'!$C$2:$C$2677,'Client Info'!$E$2:$E$2677,"",))</f>
        <v/>
      </c>
      <c r="AF1460" s="55" t="str">
        <f>IF($AC1460="","",_xlfn.XLOOKUP($AC1460,'Client Info'!$C$2:$C$2677,'Client Info'!$F$2:$F$2677,"",0,1))</f>
        <v/>
      </c>
      <c r="AG1460" s="55" t="s">
        <v>3470</v>
      </c>
      <c r="AH1460" s="26" t="str">
        <f>_xlfn.XLOOKUP(Table26[[#This Row],[customerSKU]],customerSKU!G:G,customerSKU!K:K,"NA",0,1)</f>
        <v>NA</v>
      </c>
      <c r="AI1460" s="43" t="str">
        <f>_xlfn.XLOOKUP(Table26[[#This Row],[customerSKU]],customerSKU!G:G,customerSKU!O:O,"not found",0,1)</f>
        <v>not found</v>
      </c>
      <c r="AJ1460" s="22" t="e">
        <f>Table26[[#This Row],[unitprice]]*Table26[[#This Row],[quantity_unit]]</f>
        <v>#VALUE!</v>
      </c>
      <c r="AK1460" s="227" t="e" cm="1">
        <f t="array" ref="AK14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1" spans="1:37" ht="18" customHeight="1">
      <c r="A1461" s="42">
        <v>775</v>
      </c>
      <c r="B1461" s="42" t="s">
        <v>3357</v>
      </c>
      <c r="C1461" s="53" t="s">
        <v>203</v>
      </c>
      <c r="E1461" s="20"/>
      <c r="F14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1" s="93"/>
      <c r="I1461" s="19">
        <v>45757</v>
      </c>
      <c r="J1461" s="90" t="str">
        <f>IF(Table26[[#This Row],[customerSKU]]="","",_xlfn.XLOOKUP(Table26[[#This Row],[customerSKU]],customerSKU!G:G,customerSKU!A:A,"",0,1))</f>
        <v/>
      </c>
      <c r="K1461" s="232">
        <v>45761</v>
      </c>
      <c r="L1461" s="49" t="str">
        <f>IF(Table26[[#This Row],[customerSKU]]="","",_xlfn.XLOOKUP(Table26[[#This Row],[customerSKU]],customerSKU!G:G,customerSKU!B:B,"",0,1))</f>
        <v/>
      </c>
      <c r="M1461" s="90"/>
      <c r="N1461" s="55" t="str">
        <f>Table26[[#This Row],[po_number]]&amp;"-"&amp;Table26[[#This Row],[po_line]]</f>
        <v>-3</v>
      </c>
      <c r="O1461" s="55">
        <v>3</v>
      </c>
      <c r="P1461" s="50"/>
      <c r="Q1461" s="22" t="s">
        <v>828</v>
      </c>
      <c r="R1461" s="22" t="s">
        <v>569</v>
      </c>
      <c r="S1461" s="90" t="str">
        <f>IF(Table26[[#This Row],[customerSKU]]="","",_xlfn.XLOOKUP(Table26[[#This Row],[customerSKU]],customerSKU!G:G,customerSKU!N:N,"NOT FOUND",0,1))</f>
        <v>NOT FOUND</v>
      </c>
      <c r="T1461" s="20">
        <v>45685</v>
      </c>
      <c r="U1461" s="94">
        <v>12</v>
      </c>
      <c r="V1461" s="22" t="str">
        <f>IF(ISBLANK(Table26[[#This Row],[customerSKU]]),"",_xlfn.XLOOKUP(Table26[[#This Row],[customerSKU]],Table27[customer_SKU],Table27[case_size],"",0,1))</f>
        <v/>
      </c>
      <c r="W1461" s="117" t="str">
        <f t="shared" si="61"/>
        <v/>
      </c>
      <c r="X1461" s="22" t="str">
        <f t="shared" si="62"/>
        <v/>
      </c>
      <c r="Y1461" s="25" t="str">
        <f>IF(Table26[[#This Row],[customerSKU]]="","",_xlfn.XLOOKUP(Table26[[#This Row],[customerSKU]],Table27[customer_SKU],Table27[product_GTIN],"",0,1))</f>
        <v/>
      </c>
      <c r="Z1461" s="25" t="s">
        <v>3364</v>
      </c>
      <c r="AA1461" s="18" t="str" cm="1">
        <f t="array" ref="AA1461">IF(P1461="", "", _xlfn.XLOOKUP(P1461,#REF!,#REF!,NA,0,-1))</f>
        <v/>
      </c>
      <c r="AB1461" s="22"/>
      <c r="AC1461" s="55" t="s">
        <v>3470</v>
      </c>
      <c r="AD1461" s="55" t="str">
        <f>IF($AC1461="","",_xlfn.XLOOKUP($AC1461,'[2]Client Info'!$C$2:$C$2535,'[2]Client Info'!$D$2:$D$2535,"",0,1))</f>
        <v>103-1520 Barrow Street</v>
      </c>
      <c r="AE1461" s="55" t="str">
        <f>IF($AC1461="","",_xlfn.XLOOKUP($AC1461,'[2]Client Info'!$C$2:$C$2715,'[2]Client Info'!$E$2:$E$2715,"",))</f>
        <v>North Vancouver</v>
      </c>
      <c r="AF1461" s="55" t="str">
        <f>IF($AC1461="","",_xlfn.XLOOKUP($AC1461,'[2]Client Info'!$C$2:$C$2715,'[2]Client Info'!$F$2:$F$2715,"",0,1))</f>
        <v xml:space="preserve">BC </v>
      </c>
      <c r="AG1461" s="55" t="s">
        <v>3470</v>
      </c>
      <c r="AH1461" s="26" t="str">
        <f>_xlfn.XLOOKUP(Table26[[#This Row],[customerSKU]],customerSKU!G:G,customerSKU!K:K,"NA",0,1)</f>
        <v>NA</v>
      </c>
      <c r="AI1461" s="43" t="str">
        <f>_xlfn.XLOOKUP(Table26[[#This Row],[customerSKU]],customerSKU!G:G,customerSKU!O:O,"not found",0,1)</f>
        <v>not found</v>
      </c>
      <c r="AJ1461" s="22" t="e">
        <f>Table26[[#This Row],[unitprice]]*Table26[[#This Row],[quantity_unit]]</f>
        <v>#VALUE!</v>
      </c>
      <c r="AK1461" s="227" t="e" cm="1">
        <f t="array" ref="AK14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2" spans="1:37" ht="18" customHeight="1">
      <c r="A1462" s="42">
        <v>776</v>
      </c>
      <c r="B1462" s="42" t="s">
        <v>3357</v>
      </c>
      <c r="C1462" s="53" t="s">
        <v>203</v>
      </c>
      <c r="E1462" s="20"/>
      <c r="F14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2" s="93"/>
      <c r="I1462" s="19">
        <v>45757</v>
      </c>
      <c r="J1462" s="90" t="str">
        <f>IF(Table26[[#This Row],[customerSKU]]="","",_xlfn.XLOOKUP(Table26[[#This Row],[customerSKU]],customerSKU!G:G,customerSKU!A:A,"",0,1))</f>
        <v/>
      </c>
      <c r="K1462" s="232">
        <v>45761</v>
      </c>
      <c r="L1462" s="49" t="str">
        <f>IF(Table26[[#This Row],[customerSKU]]="","",_xlfn.XLOOKUP(Table26[[#This Row],[customerSKU]],customerSKU!G:G,customerSKU!B:B,"",0,1))</f>
        <v/>
      </c>
      <c r="M1462" s="90"/>
      <c r="N1462" s="55" t="str">
        <f>Table26[[#This Row],[po_number]]&amp;"-"&amp;Table26[[#This Row],[po_line]]</f>
        <v>-4</v>
      </c>
      <c r="O1462" s="55">
        <v>4</v>
      </c>
      <c r="P1462" s="50"/>
      <c r="Q1462" s="22" t="s">
        <v>587</v>
      </c>
      <c r="R1462" s="22" t="s">
        <v>569</v>
      </c>
      <c r="S1462" s="90" t="str">
        <f>IF(Table26[[#This Row],[customerSKU]]="","",_xlfn.XLOOKUP(Table26[[#This Row],[customerSKU]],customerSKU!G:G,customerSKU!N:N,"NOT FOUND",0,1))</f>
        <v>NOT FOUND</v>
      </c>
      <c r="T1462" s="20">
        <v>45742</v>
      </c>
      <c r="U1462" s="94">
        <v>12</v>
      </c>
      <c r="V1462" s="22" t="str">
        <f>IF(ISBLANK(Table26[[#This Row],[customerSKU]]),"",_xlfn.XLOOKUP(Table26[[#This Row],[customerSKU]],Table27[customer_SKU],Table27[case_size],"",0,1))</f>
        <v/>
      </c>
      <c r="W1462" s="117" t="str">
        <f t="shared" si="61"/>
        <v/>
      </c>
      <c r="X1462" s="22" t="str">
        <f t="shared" si="62"/>
        <v/>
      </c>
      <c r="Y1462" s="25" t="str">
        <f>IF(Table26[[#This Row],[customerSKU]]="","",_xlfn.XLOOKUP(Table26[[#This Row],[customerSKU]],Table27[customer_SKU],Table27[product_GTIN],"",0,1))</f>
        <v/>
      </c>
      <c r="Z1462" s="25" t="s">
        <v>3469</v>
      </c>
      <c r="AA1462" s="18" t="str" cm="1">
        <f t="array" ref="AA1462">IF(P1462="", "", _xlfn.XLOOKUP(P1462,#REF!,#REF!,NA,0,-1))</f>
        <v/>
      </c>
      <c r="AB1462" s="22"/>
      <c r="AC1462" s="55" t="s">
        <v>3470</v>
      </c>
      <c r="AD1462" s="55" t="str">
        <f>IF($AC1462="","",_xlfn.XLOOKUP($AC1462,'[2]Client Info'!$C$2:$C$2535,'[2]Client Info'!$D$2:$D$2535,"",0,1))</f>
        <v>103-1520 Barrow Street</v>
      </c>
      <c r="AE1462" s="55" t="str">
        <f>IF($AC1462="","",_xlfn.XLOOKUP($AC1462,'[2]Client Info'!$C$2:$C$2715,'[2]Client Info'!$E$2:$E$2715,"",))</f>
        <v>North Vancouver</v>
      </c>
      <c r="AF1462" s="55" t="str">
        <f>IF($AC1462="","",_xlfn.XLOOKUP($AC1462,'[2]Client Info'!$C$2:$C$2715,'[2]Client Info'!$F$2:$F$2715,"",0,1))</f>
        <v xml:space="preserve">BC </v>
      </c>
      <c r="AG1462" s="55" t="s">
        <v>3470</v>
      </c>
      <c r="AH1462" s="26" t="str">
        <f>_xlfn.XLOOKUP(Table26[[#This Row],[customerSKU]],customerSKU!G:G,customerSKU!K:K,"NA",0,1)</f>
        <v>NA</v>
      </c>
      <c r="AI1462" s="43" t="str">
        <f>_xlfn.XLOOKUP(Table26[[#This Row],[customerSKU]],customerSKU!G:G,customerSKU!O:O,"not found",0,1)</f>
        <v>not found</v>
      </c>
      <c r="AJ1462" s="22" t="e">
        <f>Table26[[#This Row],[unitprice]]*Table26[[#This Row],[quantity_unit]]</f>
        <v>#VALUE!</v>
      </c>
      <c r="AK1462" s="227" t="e" cm="1">
        <f t="array" ref="AK14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3" spans="1:37" ht="18" customHeight="1">
      <c r="A1463" s="42">
        <v>777</v>
      </c>
      <c r="B1463" s="42" t="s">
        <v>3357</v>
      </c>
      <c r="C1463" s="53" t="s">
        <v>203</v>
      </c>
      <c r="E1463" s="20"/>
      <c r="F14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3" s="93"/>
      <c r="I1463" s="19">
        <v>45757</v>
      </c>
      <c r="J1463" s="90" t="str">
        <f>IF(Table26[[#This Row],[customerSKU]]="","",_xlfn.XLOOKUP(Table26[[#This Row],[customerSKU]],customerSKU!G:G,customerSKU!A:A,"",0,1))</f>
        <v/>
      </c>
      <c r="K1463" s="232">
        <v>45761</v>
      </c>
      <c r="L1463" s="49" t="str">
        <f>IF(Table26[[#This Row],[customerSKU]]="","",_xlfn.XLOOKUP(Table26[[#This Row],[customerSKU]],customerSKU!G:G,customerSKU!B:B,"",0,1))</f>
        <v/>
      </c>
      <c r="M1463" s="90"/>
      <c r="N1463" s="55" t="str">
        <f>Table26[[#This Row],[po_number]]&amp;"-"&amp;Table26[[#This Row],[po_line]]</f>
        <v>-5</v>
      </c>
      <c r="O1463" s="55">
        <v>5</v>
      </c>
      <c r="P1463" s="50"/>
      <c r="Q1463" s="22" t="s">
        <v>869</v>
      </c>
      <c r="R1463" s="22" t="s">
        <v>569</v>
      </c>
      <c r="S1463" s="90" t="str">
        <f>IF(Table26[[#This Row],[customerSKU]]="","",_xlfn.XLOOKUP(Table26[[#This Row],[customerSKU]],customerSKU!G:G,customerSKU!N:N,"NOT FOUND",0,1))</f>
        <v>NOT FOUND</v>
      </c>
      <c r="T1463" s="20">
        <v>45742</v>
      </c>
      <c r="U1463" s="94">
        <v>12</v>
      </c>
      <c r="V1463" s="22" t="str">
        <f>IF(ISBLANK(Table26[[#This Row],[customerSKU]]),"",_xlfn.XLOOKUP(Table26[[#This Row],[customerSKU]],Table27[customer_SKU],Table27[case_size],"",0,1))</f>
        <v/>
      </c>
      <c r="W1463" s="117" t="str">
        <f t="shared" si="61"/>
        <v/>
      </c>
      <c r="X1463" s="22" t="str">
        <f t="shared" si="62"/>
        <v/>
      </c>
      <c r="Y1463" s="25" t="str">
        <f>IF(Table26[[#This Row],[customerSKU]]="","",_xlfn.XLOOKUP(Table26[[#This Row],[customerSKU]],Table27[customer_SKU],Table27[product_GTIN],"",0,1))</f>
        <v/>
      </c>
      <c r="Z1463" s="25" t="s">
        <v>3376</v>
      </c>
      <c r="AA1463" s="18" t="str" cm="1">
        <f t="array" ref="AA1463">IF(P1463="", "", _xlfn.XLOOKUP(P1463,#REF!,#REF!,NA,0,-1))</f>
        <v/>
      </c>
      <c r="AB1463" s="22"/>
      <c r="AC1463" s="55" t="s">
        <v>3470</v>
      </c>
      <c r="AD1463" s="55" t="str">
        <f>IF($AC1463="","",_xlfn.XLOOKUP($AC1463,'[2]Client Info'!$C$2:$C$2535,'[2]Client Info'!$D$2:$D$2535,"",0,1))</f>
        <v>103-1520 Barrow Street</v>
      </c>
      <c r="AE1463" s="55" t="str">
        <f>IF($AC1463="","",_xlfn.XLOOKUP($AC1463,'[2]Client Info'!$C$2:$C$2715,'[2]Client Info'!$E$2:$E$2715,"",))</f>
        <v>North Vancouver</v>
      </c>
      <c r="AF1463" s="55" t="str">
        <f>IF($AC1463="","",_xlfn.XLOOKUP($AC1463,'[2]Client Info'!$C$2:$C$2715,'[2]Client Info'!$F$2:$F$2715,"",0,1))</f>
        <v xml:space="preserve">BC </v>
      </c>
      <c r="AG1463" s="55" t="s">
        <v>3470</v>
      </c>
      <c r="AH1463" s="26" t="str">
        <f>_xlfn.XLOOKUP(Table26[[#This Row],[customerSKU]],customerSKU!G:G,customerSKU!K:K,"NA",0,1)</f>
        <v>NA</v>
      </c>
      <c r="AI1463" s="43" t="str">
        <f>_xlfn.XLOOKUP(Table26[[#This Row],[customerSKU]],customerSKU!G:G,customerSKU!O:O,"not found",0,1)</f>
        <v>not found</v>
      </c>
      <c r="AJ1463" s="22" t="e">
        <f>Table26[[#This Row],[unitprice]]*Table26[[#This Row],[quantity_unit]]</f>
        <v>#VALUE!</v>
      </c>
      <c r="AK1463" s="227" t="e" cm="1">
        <f t="array" ref="AK14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4" spans="1:37" ht="18" customHeight="1">
      <c r="A1464" s="42">
        <v>778</v>
      </c>
      <c r="B1464" s="42" t="s">
        <v>3357</v>
      </c>
      <c r="C1464" s="53" t="s">
        <v>203</v>
      </c>
      <c r="E1464" s="20"/>
      <c r="F14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4" s="93"/>
      <c r="I1464" s="19">
        <v>45757</v>
      </c>
      <c r="J1464" s="90" t="str">
        <f>IF(Table26[[#This Row],[customerSKU]]="","",_xlfn.XLOOKUP(Table26[[#This Row],[customerSKU]],customerSKU!G:G,customerSKU!A:A,"",0,1))</f>
        <v/>
      </c>
      <c r="K1464" s="232">
        <v>45761</v>
      </c>
      <c r="L1464" s="49" t="str">
        <f>IF(Table26[[#This Row],[customerSKU]]="","",_xlfn.XLOOKUP(Table26[[#This Row],[customerSKU]],customerSKU!G:G,customerSKU!B:B,"",0,1))</f>
        <v/>
      </c>
      <c r="M1464" s="90"/>
      <c r="N1464" s="55" t="str">
        <f>Table26[[#This Row],[po_number]]&amp;"-"&amp;Table26[[#This Row],[po_line]]</f>
        <v>-6</v>
      </c>
      <c r="O1464" s="55">
        <v>6</v>
      </c>
      <c r="P1464" s="50"/>
      <c r="Q1464" s="22" t="s">
        <v>1829</v>
      </c>
      <c r="R1464" s="22" t="s">
        <v>569</v>
      </c>
      <c r="S1464" s="90" t="str">
        <f>IF(Table26[[#This Row],[customerSKU]]="","",_xlfn.XLOOKUP(Table26[[#This Row],[customerSKU]],customerSKU!G:G,customerSKU!N:N,"NOT FOUND",0,1))</f>
        <v>NOT FOUND</v>
      </c>
      <c r="T1464" s="20">
        <v>45721</v>
      </c>
      <c r="U1464" s="94">
        <v>12</v>
      </c>
      <c r="V1464" s="22" t="str">
        <f>IF(ISBLANK(Table26[[#This Row],[customerSKU]]),"",_xlfn.XLOOKUP(Table26[[#This Row],[customerSKU]],Table27[customer_SKU],Table27[case_size],"",0,1))</f>
        <v/>
      </c>
      <c r="W1464" s="117" t="str">
        <f t="shared" si="61"/>
        <v/>
      </c>
      <c r="X1464" s="22" t="str">
        <f t="shared" si="62"/>
        <v/>
      </c>
      <c r="Y1464" s="25" t="str">
        <f>IF(Table26[[#This Row],[customerSKU]]="","",_xlfn.XLOOKUP(Table26[[#This Row],[customerSKU]],Table27[customer_SKU],Table27[product_GTIN],"",0,1))</f>
        <v/>
      </c>
      <c r="Z1464" s="25" t="s">
        <v>3372</v>
      </c>
      <c r="AA1464" s="18" t="str" cm="1">
        <f t="array" ref="AA1464">IF(P1464="", "", _xlfn.XLOOKUP(P1464,#REF!,#REF!,NA,0,-1))</f>
        <v/>
      </c>
      <c r="AB1464" s="22"/>
      <c r="AC1464" s="55" t="s">
        <v>3470</v>
      </c>
      <c r="AD1464" s="55" t="str">
        <f>IF($AC1464="","",_xlfn.XLOOKUP($AC1464,'[2]Client Info'!$C$2:$C$2535,'[2]Client Info'!$D$2:$D$2535,"",0,1))</f>
        <v>103-1520 Barrow Street</v>
      </c>
      <c r="AE1464" s="55" t="str">
        <f>IF($AC1464="","",_xlfn.XLOOKUP($AC1464,'[2]Client Info'!$C$2:$C$2715,'[2]Client Info'!$E$2:$E$2715,"",))</f>
        <v>North Vancouver</v>
      </c>
      <c r="AF1464" s="55" t="str">
        <f>IF($AC1464="","",_xlfn.XLOOKUP($AC1464,'[2]Client Info'!$C$2:$C$2715,'[2]Client Info'!$F$2:$F$2715,"",0,1))</f>
        <v xml:space="preserve">BC </v>
      </c>
      <c r="AG1464" s="55" t="s">
        <v>3470</v>
      </c>
      <c r="AH1464" s="26" t="str">
        <f>_xlfn.XLOOKUP(Table26[[#This Row],[customerSKU]],customerSKU!G:G,customerSKU!K:K,"NA",0,1)</f>
        <v>NA</v>
      </c>
      <c r="AI1464" s="43" t="str">
        <f>_xlfn.XLOOKUP(Table26[[#This Row],[customerSKU]],customerSKU!G:G,customerSKU!O:O,"not found",0,1)</f>
        <v>not found</v>
      </c>
      <c r="AJ1464" s="22" t="e">
        <f>Table26[[#This Row],[unitprice]]*Table26[[#This Row],[quantity_unit]]</f>
        <v>#VALUE!</v>
      </c>
      <c r="AK1464" s="227" t="e" cm="1">
        <f t="array" ref="AK14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5" spans="1:37" ht="18" customHeight="1">
      <c r="A1465" s="42">
        <v>779</v>
      </c>
      <c r="B1465" s="42" t="s">
        <v>3357</v>
      </c>
      <c r="C1465" s="53" t="s">
        <v>203</v>
      </c>
      <c r="E1465" s="20"/>
      <c r="F14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5" s="93"/>
      <c r="I1465" s="19">
        <v>45757</v>
      </c>
      <c r="J1465" s="90" t="str">
        <f>IF(Table26[[#This Row],[customerSKU]]="","",_xlfn.XLOOKUP(Table26[[#This Row],[customerSKU]],customerSKU!G:G,customerSKU!A:A,"",0,1))</f>
        <v/>
      </c>
      <c r="K1465" s="232">
        <v>45761</v>
      </c>
      <c r="L1465" s="49" t="str">
        <f>IF(Table26[[#This Row],[customerSKU]]="","",_xlfn.XLOOKUP(Table26[[#This Row],[customerSKU]],customerSKU!G:G,customerSKU!B:B,"",0,1))</f>
        <v/>
      </c>
      <c r="M1465" s="90"/>
      <c r="N1465" s="55" t="str">
        <f>Table26[[#This Row],[po_number]]&amp;"-"&amp;Table26[[#This Row],[po_line]]</f>
        <v>-7</v>
      </c>
      <c r="O1465" s="55">
        <v>7</v>
      </c>
      <c r="P1465" s="50"/>
      <c r="Q1465" s="22" t="s">
        <v>589</v>
      </c>
      <c r="R1465" s="22" t="s">
        <v>569</v>
      </c>
      <c r="S1465" s="90" t="str">
        <f>IF(Table26[[#This Row],[customerSKU]]="","",_xlfn.XLOOKUP(Table26[[#This Row],[customerSKU]],customerSKU!G:G,customerSKU!N:N,"NOT FOUND",0,1))</f>
        <v>NOT FOUND</v>
      </c>
      <c r="T1465" s="20">
        <v>45615</v>
      </c>
      <c r="U1465" s="94">
        <v>12</v>
      </c>
      <c r="V1465" s="22" t="str">
        <f>IF(ISBLANK(Table26[[#This Row],[customerSKU]]),"",_xlfn.XLOOKUP(Table26[[#This Row],[customerSKU]],Table27[customer_SKU],Table27[case_size],"",0,1))</f>
        <v/>
      </c>
      <c r="W1465" s="117" t="str">
        <f t="shared" si="61"/>
        <v/>
      </c>
      <c r="X1465" s="22" t="str">
        <f t="shared" si="62"/>
        <v/>
      </c>
      <c r="Y1465" s="25" t="str">
        <f>IF(Table26[[#This Row],[customerSKU]]="","",_xlfn.XLOOKUP(Table26[[#This Row],[customerSKU]],Table27[customer_SKU],Table27[product_GTIN],"",0,1))</f>
        <v/>
      </c>
      <c r="Z1465" s="25" t="s">
        <v>3432</v>
      </c>
      <c r="AA1465" s="18" t="str" cm="1">
        <f t="array" ref="AA1465">IF(P1465="", "", _xlfn.XLOOKUP(P1465,#REF!,#REF!,NA,0,-1))</f>
        <v/>
      </c>
      <c r="AB1465" s="22"/>
      <c r="AC1465" s="55" t="s">
        <v>3470</v>
      </c>
      <c r="AD1465" s="55" t="str">
        <f>IF($AC1465="","",_xlfn.XLOOKUP($AC1465,'[2]Client Info'!$C$2:$C$2535,'[2]Client Info'!$D$2:$D$2535,"",0,1))</f>
        <v>103-1520 Barrow Street</v>
      </c>
      <c r="AE1465" s="55" t="str">
        <f>IF($AC1465="","",_xlfn.XLOOKUP($AC1465,'[2]Client Info'!$C$2:$C$2715,'[2]Client Info'!$E$2:$E$2715,"",))</f>
        <v>North Vancouver</v>
      </c>
      <c r="AF1465" s="55" t="str">
        <f>IF($AC1465="","",_xlfn.XLOOKUP($AC1465,'[2]Client Info'!$C$2:$C$2715,'[2]Client Info'!$F$2:$F$2715,"",0,1))</f>
        <v xml:space="preserve">BC </v>
      </c>
      <c r="AG1465" s="55" t="s">
        <v>3470</v>
      </c>
      <c r="AH1465" s="26" t="str">
        <f>_xlfn.XLOOKUP(Table26[[#This Row],[customerSKU]],customerSKU!G:G,customerSKU!K:K,"NA",0,1)</f>
        <v>NA</v>
      </c>
      <c r="AI1465" s="43" t="str">
        <f>_xlfn.XLOOKUP(Table26[[#This Row],[customerSKU]],customerSKU!G:G,customerSKU!O:O,"not found",0,1)</f>
        <v>not found</v>
      </c>
      <c r="AJ1465" s="22" t="e">
        <f>Table26[[#This Row],[unitprice]]*Table26[[#This Row],[quantity_unit]]</f>
        <v>#VALUE!</v>
      </c>
      <c r="AK1465" s="227" t="e" cm="1">
        <f t="array" ref="AK14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6" spans="1:37" ht="18" customHeight="1">
      <c r="A1466" s="42">
        <v>780</v>
      </c>
      <c r="B1466" s="42" t="s">
        <v>3357</v>
      </c>
      <c r="C1466" s="53" t="s">
        <v>203</v>
      </c>
      <c r="E1466" s="20"/>
      <c r="F14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6" s="93"/>
      <c r="I1466" s="19">
        <v>45757</v>
      </c>
      <c r="J1466" s="90" t="str">
        <f>IF(Table26[[#This Row],[customerSKU]]="","",_xlfn.XLOOKUP(Table26[[#This Row],[customerSKU]],customerSKU!G:G,customerSKU!A:A,"",0,1))</f>
        <v/>
      </c>
      <c r="K1466" s="232">
        <v>45761</v>
      </c>
      <c r="L1466" s="49" t="str">
        <f>IF(Table26[[#This Row],[customerSKU]]="","",_xlfn.XLOOKUP(Table26[[#This Row],[customerSKU]],customerSKU!G:G,customerSKU!B:B,"",0,1))</f>
        <v/>
      </c>
      <c r="M1466" s="90"/>
      <c r="N1466" s="55" t="str">
        <f>Table26[[#This Row],[po_number]]&amp;"-"&amp;Table26[[#This Row],[po_line]]</f>
        <v>-8</v>
      </c>
      <c r="O1466" s="55">
        <v>8</v>
      </c>
      <c r="P1466" s="50"/>
      <c r="Q1466" s="22" t="s">
        <v>630</v>
      </c>
      <c r="R1466" s="22" t="s">
        <v>569</v>
      </c>
      <c r="S1466" s="90" t="str">
        <f>IF(Table26[[#This Row],[customerSKU]]="","",_xlfn.XLOOKUP(Table26[[#This Row],[customerSKU]],customerSKU!G:G,customerSKU!N:N,"NOT FOUND",0,1))</f>
        <v>NOT FOUND</v>
      </c>
      <c r="T1466" s="20">
        <v>45707</v>
      </c>
      <c r="U1466" s="94">
        <v>12</v>
      </c>
      <c r="V1466" s="22" t="str">
        <f>IF(ISBLANK(Table26[[#This Row],[customerSKU]]),"",_xlfn.XLOOKUP(Table26[[#This Row],[customerSKU]],Table27[customer_SKU],Table27[case_size],"",0,1))</f>
        <v/>
      </c>
      <c r="W1466" s="117" t="str">
        <f t="shared" si="61"/>
        <v/>
      </c>
      <c r="X1466" s="22" t="str">
        <f t="shared" si="62"/>
        <v/>
      </c>
      <c r="Y1466" s="25" t="str">
        <f>IF(Table26[[#This Row],[customerSKU]]="","",_xlfn.XLOOKUP(Table26[[#This Row],[customerSKU]],Table27[customer_SKU],Table27[product_GTIN],"",0,1))</f>
        <v/>
      </c>
      <c r="Z1466" s="25" t="s">
        <v>3386</v>
      </c>
      <c r="AA1466" s="18" t="str" cm="1">
        <f t="array" ref="AA1466">IF(P1466="", "", _xlfn.XLOOKUP(P1466,#REF!,#REF!,NA,0,-1))</f>
        <v/>
      </c>
      <c r="AB1466" s="22"/>
      <c r="AC1466" s="55" t="s">
        <v>3470</v>
      </c>
      <c r="AD1466" s="55" t="str">
        <f>IF($AC1466="","",_xlfn.XLOOKUP($AC1466,'[2]Client Info'!$C$2:$C$2535,'[2]Client Info'!$D$2:$D$2535,"",0,1))</f>
        <v>103-1520 Barrow Street</v>
      </c>
      <c r="AE1466" s="55" t="str">
        <f>IF($AC1466="","",_xlfn.XLOOKUP($AC1466,'[2]Client Info'!$C$2:$C$2715,'[2]Client Info'!$E$2:$E$2715,"",))</f>
        <v>North Vancouver</v>
      </c>
      <c r="AF1466" s="55" t="str">
        <f>IF($AC1466="","",_xlfn.XLOOKUP($AC1466,'[2]Client Info'!$C$2:$C$2715,'[2]Client Info'!$F$2:$F$2715,"",0,1))</f>
        <v xml:space="preserve">BC </v>
      </c>
      <c r="AG1466" s="55" t="s">
        <v>3470</v>
      </c>
      <c r="AH1466" s="26" t="str">
        <f>_xlfn.XLOOKUP(Table26[[#This Row],[customerSKU]],customerSKU!G:G,customerSKU!K:K,"NA",0,1)</f>
        <v>NA</v>
      </c>
      <c r="AI1466" s="43" t="str">
        <f>_xlfn.XLOOKUP(Table26[[#This Row],[customerSKU]],customerSKU!G:G,customerSKU!O:O,"not found",0,1)</f>
        <v>not found</v>
      </c>
      <c r="AJ1466" s="22" t="e">
        <f>Table26[[#This Row],[unitprice]]*Table26[[#This Row],[quantity_unit]]</f>
        <v>#VALUE!</v>
      </c>
      <c r="AK1466" s="227" t="e" cm="1">
        <f t="array" ref="AK14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7" spans="1:37" ht="18" customHeight="1">
      <c r="A1467" s="42">
        <v>781</v>
      </c>
      <c r="B1467" s="42" t="s">
        <v>3357</v>
      </c>
      <c r="C1467" s="53" t="s">
        <v>203</v>
      </c>
      <c r="E1467" s="20"/>
      <c r="F14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7" s="93"/>
      <c r="I1467" s="19">
        <v>45757</v>
      </c>
      <c r="J1467" s="90" t="str">
        <f>IF(Table26[[#This Row],[customerSKU]]="","",_xlfn.XLOOKUP(Table26[[#This Row],[customerSKU]],customerSKU!G:G,customerSKU!A:A,"",0,1))</f>
        <v/>
      </c>
      <c r="K1467" s="232">
        <v>45761</v>
      </c>
      <c r="L1467" s="49" t="str">
        <f>IF(Table26[[#This Row],[customerSKU]]="","",_xlfn.XLOOKUP(Table26[[#This Row],[customerSKU]],customerSKU!G:G,customerSKU!B:B,"",0,1))</f>
        <v/>
      </c>
      <c r="M1467" s="90"/>
      <c r="N1467" s="55" t="str">
        <f>Table26[[#This Row],[po_number]]&amp;"-"&amp;Table26[[#This Row],[po_line]]</f>
        <v>-9</v>
      </c>
      <c r="O1467" s="55">
        <v>9</v>
      </c>
      <c r="P1467" s="50"/>
      <c r="Q1467" s="22" t="s">
        <v>1312</v>
      </c>
      <c r="R1467" s="22" t="s">
        <v>569</v>
      </c>
      <c r="S1467" s="90" t="str">
        <f>IF(Table26[[#This Row],[customerSKU]]="","",_xlfn.XLOOKUP(Table26[[#This Row],[customerSKU]],customerSKU!G:G,customerSKU!N:N,"NOT FOUND",0,1))</f>
        <v>NOT FOUND</v>
      </c>
      <c r="T1467" s="20">
        <v>45660</v>
      </c>
      <c r="U1467" s="94">
        <v>12</v>
      </c>
      <c r="V1467" s="22" t="str">
        <f>IF(ISBLANK(Table26[[#This Row],[customerSKU]]),"",_xlfn.XLOOKUP(Table26[[#This Row],[customerSKU]],Table27[customer_SKU],Table27[case_size],"",0,1))</f>
        <v/>
      </c>
      <c r="W1467" s="117" t="str">
        <f t="shared" si="61"/>
        <v/>
      </c>
      <c r="X1467" s="22" t="str">
        <f t="shared" si="62"/>
        <v/>
      </c>
      <c r="Y1467" s="25" t="str">
        <f>IF(Table26[[#This Row],[customerSKU]]="","",_xlfn.XLOOKUP(Table26[[#This Row],[customerSKU]],Table27[customer_SKU],Table27[product_GTIN],"",0,1))</f>
        <v/>
      </c>
      <c r="Z1467" s="25" t="s">
        <v>3387</v>
      </c>
      <c r="AA1467" s="18" t="str" cm="1">
        <f t="array" ref="AA1467">IF(P1467="", "", _xlfn.XLOOKUP(P1467,#REF!,#REF!,NA,0,-1))</f>
        <v/>
      </c>
      <c r="AB1467" s="22"/>
      <c r="AC1467" s="55" t="s">
        <v>3470</v>
      </c>
      <c r="AD1467" s="55" t="str">
        <f>IF($AC1467="","",_xlfn.XLOOKUP($AC1467,'[2]Client Info'!$C$2:$C$2535,'[2]Client Info'!$D$2:$D$2535,"",0,1))</f>
        <v>103-1520 Barrow Street</v>
      </c>
      <c r="AE1467" s="55" t="str">
        <f>IF($AC1467="","",_xlfn.XLOOKUP($AC1467,'[2]Client Info'!$C$2:$C$2715,'[2]Client Info'!$E$2:$E$2715,"",))</f>
        <v>North Vancouver</v>
      </c>
      <c r="AF1467" s="55" t="str">
        <f>IF($AC1467="","",_xlfn.XLOOKUP($AC1467,'[2]Client Info'!$C$2:$C$2715,'[2]Client Info'!$F$2:$F$2715,"",0,1))</f>
        <v xml:space="preserve">BC </v>
      </c>
      <c r="AG1467" s="55" t="s">
        <v>3470</v>
      </c>
      <c r="AH1467" s="26" t="str">
        <f>_xlfn.XLOOKUP(Table26[[#This Row],[customerSKU]],customerSKU!G:G,customerSKU!K:K,"NA",0,1)</f>
        <v>NA</v>
      </c>
      <c r="AI1467" s="43" t="str">
        <f>_xlfn.XLOOKUP(Table26[[#This Row],[customerSKU]],customerSKU!G:G,customerSKU!O:O,"not found",0,1)</f>
        <v>not found</v>
      </c>
      <c r="AJ1467" s="22" t="e">
        <f>Table26[[#This Row],[unitprice]]*Table26[[#This Row],[quantity_unit]]</f>
        <v>#VALUE!</v>
      </c>
      <c r="AK1467" s="227" t="e" cm="1">
        <f t="array" ref="AK14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8" spans="1:37" ht="18" customHeight="1">
      <c r="A1468" s="42">
        <v>782</v>
      </c>
      <c r="B1468" s="42" t="s">
        <v>3357</v>
      </c>
      <c r="C1468" s="53" t="s">
        <v>203</v>
      </c>
      <c r="E1468" s="20"/>
      <c r="F14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8" s="93"/>
      <c r="I1468" s="19">
        <v>45757</v>
      </c>
      <c r="J1468" s="90" t="str">
        <f>IF(Table26[[#This Row],[customerSKU]]="","",_xlfn.XLOOKUP(Table26[[#This Row],[customerSKU]],customerSKU!G:G,customerSKU!A:A,"",0,1))</f>
        <v/>
      </c>
      <c r="K1468" s="232">
        <v>45761</v>
      </c>
      <c r="L1468" s="49" t="str">
        <f>IF(Table26[[#This Row],[customerSKU]]="","",_xlfn.XLOOKUP(Table26[[#This Row],[customerSKU]],customerSKU!G:G,customerSKU!B:B,"",0,1))</f>
        <v/>
      </c>
      <c r="M1468" s="90"/>
      <c r="N1468" s="55" t="str">
        <f>Table26[[#This Row],[po_number]]&amp;"-"&amp;Table26[[#This Row],[po_line]]</f>
        <v>-10</v>
      </c>
      <c r="O1468" s="55">
        <v>10</v>
      </c>
      <c r="P1468" s="50"/>
      <c r="Q1468" s="22" t="s">
        <v>574</v>
      </c>
      <c r="R1468" s="22" t="s">
        <v>569</v>
      </c>
      <c r="S1468" s="90" t="str">
        <f>IF(Table26[[#This Row],[customerSKU]]="","",_xlfn.XLOOKUP(Table26[[#This Row],[customerSKU]],customerSKU!G:G,customerSKU!N:N,"NOT FOUND",0,1))</f>
        <v>NOT FOUND</v>
      </c>
      <c r="T1468" s="20">
        <v>45749</v>
      </c>
      <c r="U1468" s="94">
        <v>12</v>
      </c>
      <c r="V1468" s="22" t="str">
        <f>IF(ISBLANK(Table26[[#This Row],[customerSKU]]),"",_xlfn.XLOOKUP(Table26[[#This Row],[customerSKU]],Table27[customer_SKU],Table27[case_size],"",0,1))</f>
        <v/>
      </c>
      <c r="W1468" s="117" t="str">
        <f t="shared" si="61"/>
        <v/>
      </c>
      <c r="X1468" s="22" t="str">
        <f t="shared" si="62"/>
        <v/>
      </c>
      <c r="Y1468" s="25" t="str">
        <f>IF(Table26[[#This Row],[customerSKU]]="","",_xlfn.XLOOKUP(Table26[[#This Row],[customerSKU]],Table27[customer_SKU],Table27[product_GTIN],"",0,1))</f>
        <v/>
      </c>
      <c r="Z1468" s="25" t="s">
        <v>3366</v>
      </c>
      <c r="AA1468" s="18" t="str" cm="1">
        <f t="array" ref="AA1468">IF(P1468="", "", _xlfn.XLOOKUP(P1468,#REF!,#REF!,NA,0,-1))</f>
        <v/>
      </c>
      <c r="AB1468" s="22"/>
      <c r="AC1468" s="55" t="s">
        <v>3470</v>
      </c>
      <c r="AD1468" s="55" t="str">
        <f>IF($AC1468="","",_xlfn.XLOOKUP($AC1468,'[2]Client Info'!$C$2:$C$2535,'[2]Client Info'!$D$2:$D$2535,"",0,1))</f>
        <v>103-1520 Barrow Street</v>
      </c>
      <c r="AE1468" s="55" t="str">
        <f>IF($AC1468="","",_xlfn.XLOOKUP($AC1468,'[2]Client Info'!$C$2:$C$2715,'[2]Client Info'!$E$2:$E$2715,"",))</f>
        <v>North Vancouver</v>
      </c>
      <c r="AF1468" s="55" t="str">
        <f>IF($AC1468="","",_xlfn.XLOOKUP($AC1468,'[2]Client Info'!$C$2:$C$2715,'[2]Client Info'!$F$2:$F$2715,"",0,1))</f>
        <v xml:space="preserve">BC </v>
      </c>
      <c r="AG1468" s="55" t="s">
        <v>3470</v>
      </c>
      <c r="AH1468" s="26" t="str">
        <f>_xlfn.XLOOKUP(Table26[[#This Row],[customerSKU]],customerSKU!G:G,customerSKU!K:K,"NA",0,1)</f>
        <v>NA</v>
      </c>
      <c r="AI1468" s="43" t="str">
        <f>_xlfn.XLOOKUP(Table26[[#This Row],[customerSKU]],customerSKU!G:G,customerSKU!O:O,"not found",0,1)</f>
        <v>not found</v>
      </c>
      <c r="AJ1468" s="22" t="e">
        <f>Table26[[#This Row],[unitprice]]*Table26[[#This Row],[quantity_unit]]</f>
        <v>#VALUE!</v>
      </c>
      <c r="AK1468" s="227" t="e" cm="1">
        <f t="array" ref="AK14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69" spans="1:37" ht="18" customHeight="1">
      <c r="A1469" s="42">
        <v>783</v>
      </c>
      <c r="B1469" s="42" t="s">
        <v>3357</v>
      </c>
      <c r="C1469" s="53" t="s">
        <v>203</v>
      </c>
      <c r="E1469" s="20"/>
      <c r="F14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69" s="93"/>
      <c r="I1469" s="19">
        <v>45757</v>
      </c>
      <c r="J1469" s="90" t="str">
        <f>IF(Table26[[#This Row],[customerSKU]]="","",_xlfn.XLOOKUP(Table26[[#This Row],[customerSKU]],customerSKU!G:G,customerSKU!A:A,"",0,1))</f>
        <v/>
      </c>
      <c r="K1469" s="232">
        <v>45761</v>
      </c>
      <c r="L1469" s="49" t="str">
        <f>IF(Table26[[#This Row],[customerSKU]]="","",_xlfn.XLOOKUP(Table26[[#This Row],[customerSKU]],customerSKU!G:G,customerSKU!B:B,"",0,1))</f>
        <v/>
      </c>
      <c r="M1469" s="90"/>
      <c r="N1469" s="55" t="str">
        <f>Table26[[#This Row],[po_number]]&amp;"-"&amp;Table26[[#This Row],[po_line]]</f>
        <v>-11</v>
      </c>
      <c r="O1469" s="55">
        <v>11</v>
      </c>
      <c r="P1469" s="50"/>
      <c r="Q1469" s="22" t="s">
        <v>1712</v>
      </c>
      <c r="R1469" s="22" t="s">
        <v>569</v>
      </c>
      <c r="S1469" s="90" t="str">
        <f>IF(Table26[[#This Row],[customerSKU]]="","",_xlfn.XLOOKUP(Table26[[#This Row],[customerSKU]],customerSKU!G:G,customerSKU!N:N,"NOT FOUND",0,1))</f>
        <v>NOT FOUND</v>
      </c>
      <c r="T1469" s="20">
        <v>45761</v>
      </c>
      <c r="U1469" s="94">
        <v>12</v>
      </c>
      <c r="V1469" s="22" t="str">
        <f>IF(ISBLANK(Table26[[#This Row],[customerSKU]]),"",_xlfn.XLOOKUP(Table26[[#This Row],[customerSKU]],Table27[customer_SKU],Table27[case_size],"",0,1))</f>
        <v/>
      </c>
      <c r="W1469" s="117" t="str">
        <f t="shared" si="61"/>
        <v/>
      </c>
      <c r="X1469" s="22" t="str">
        <f t="shared" si="62"/>
        <v/>
      </c>
      <c r="Y1469" s="25" t="str">
        <f>IF(Table26[[#This Row],[customerSKU]]="","",_xlfn.XLOOKUP(Table26[[#This Row],[customerSKU]],Table27[customer_SKU],Table27[product_GTIN],"",0,1))</f>
        <v/>
      </c>
      <c r="Z1469" s="25" t="s">
        <v>3377</v>
      </c>
      <c r="AA1469" s="18" t="str" cm="1">
        <f t="array" ref="AA1469">IF(P1469="", "", _xlfn.XLOOKUP(P1469,#REF!,#REF!,NA,0,-1))</f>
        <v/>
      </c>
      <c r="AB1469" s="22"/>
      <c r="AC1469" s="55" t="s">
        <v>3470</v>
      </c>
      <c r="AD1469" s="55" t="str">
        <f>IF($AC1469="","",_xlfn.XLOOKUP($AC1469,'[2]Client Info'!$C$2:$C$2535,'[2]Client Info'!$D$2:$D$2535,"",0,1))</f>
        <v>103-1520 Barrow Street</v>
      </c>
      <c r="AE1469" s="55" t="str">
        <f>IF($AC1469="","",_xlfn.XLOOKUP($AC1469,'[2]Client Info'!$C$2:$C$2715,'[2]Client Info'!$E$2:$E$2715,"",))</f>
        <v>North Vancouver</v>
      </c>
      <c r="AF1469" s="55" t="str">
        <f>IF($AC1469="","",_xlfn.XLOOKUP($AC1469,'[2]Client Info'!$C$2:$C$2715,'[2]Client Info'!$F$2:$F$2715,"",0,1))</f>
        <v xml:space="preserve">BC </v>
      </c>
      <c r="AG1469" s="55" t="s">
        <v>3470</v>
      </c>
      <c r="AH1469" s="26" t="str">
        <f>_xlfn.XLOOKUP(Table26[[#This Row],[customerSKU]],customerSKU!G:G,customerSKU!K:K,"NA",0,1)</f>
        <v>NA</v>
      </c>
      <c r="AI1469" s="43" t="str">
        <f>_xlfn.XLOOKUP(Table26[[#This Row],[customerSKU]],customerSKU!G:G,customerSKU!O:O,"not found",0,1)</f>
        <v>not found</v>
      </c>
      <c r="AJ1469" s="22" t="e">
        <f>Table26[[#This Row],[unitprice]]*Table26[[#This Row],[quantity_unit]]</f>
        <v>#VALUE!</v>
      </c>
      <c r="AK1469" s="227" t="e" cm="1">
        <f t="array" ref="AK14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70" spans="1:37" ht="18" customHeight="1">
      <c r="A1470" s="42">
        <v>784</v>
      </c>
      <c r="B1470" s="42" t="s">
        <v>3357</v>
      </c>
      <c r="C1470" s="53" t="s">
        <v>203</v>
      </c>
      <c r="E1470" s="20"/>
      <c r="F14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0" s="93"/>
      <c r="I1470" s="19">
        <v>45757</v>
      </c>
      <c r="J1470" s="90" t="str">
        <f>IF(Table26[[#This Row],[customerSKU]]="","",_xlfn.XLOOKUP(Table26[[#This Row],[customerSKU]],customerSKU!G:G,customerSKU!A:A,"",0,1))</f>
        <v/>
      </c>
      <c r="K1470" s="232">
        <v>45761</v>
      </c>
      <c r="L1470" s="49" t="str">
        <f>IF(Table26[[#This Row],[customerSKU]]="","",_xlfn.XLOOKUP(Table26[[#This Row],[customerSKU]],customerSKU!G:G,customerSKU!B:B,"",0,1))</f>
        <v/>
      </c>
      <c r="M1470" s="90"/>
      <c r="N1470" s="55" t="str">
        <f>Table26[[#This Row],[po_number]]&amp;"-"&amp;Table26[[#This Row],[po_line]]</f>
        <v>-12</v>
      </c>
      <c r="O1470" s="55">
        <v>12</v>
      </c>
      <c r="P1470" s="50"/>
      <c r="Q1470" s="22" t="s">
        <v>535</v>
      </c>
      <c r="R1470" s="22" t="s">
        <v>569</v>
      </c>
      <c r="S1470" s="90" t="str">
        <f>IF(Table26[[#This Row],[customerSKU]]="","",_xlfn.XLOOKUP(Table26[[#This Row],[customerSKU]],customerSKU!G:G,customerSKU!N:N,"NOT FOUND",0,1))</f>
        <v>NOT FOUND</v>
      </c>
      <c r="T1470" s="20">
        <v>45588</v>
      </c>
      <c r="U1470" s="94">
        <v>12</v>
      </c>
      <c r="V1470" s="22" t="str">
        <f>IF(ISBLANK(Table26[[#This Row],[customerSKU]]),"",_xlfn.XLOOKUP(Table26[[#This Row],[customerSKU]],Table27[customer_SKU],Table27[case_size],"",0,1))</f>
        <v/>
      </c>
      <c r="W1470" s="117" t="str">
        <f t="shared" si="61"/>
        <v/>
      </c>
      <c r="X1470" s="22" t="str">
        <f t="shared" si="62"/>
        <v/>
      </c>
      <c r="Y1470" s="25" t="str">
        <f>IF(Table26[[#This Row],[customerSKU]]="","",_xlfn.XLOOKUP(Table26[[#This Row],[customerSKU]],Table27[customer_SKU],Table27[product_GTIN],"",0,1))</f>
        <v/>
      </c>
      <c r="Z1470" s="25" t="s">
        <v>3433</v>
      </c>
      <c r="AA1470" s="18" t="str" cm="1">
        <f t="array" ref="AA1470">IF(P1470="", "", _xlfn.XLOOKUP(P1470,#REF!,#REF!,NA,0,-1))</f>
        <v/>
      </c>
      <c r="AB1470" s="22"/>
      <c r="AC1470" s="55" t="s">
        <v>3470</v>
      </c>
      <c r="AD1470" s="55" t="str">
        <f>IF($AC1470="","",_xlfn.XLOOKUP($AC1470,'[2]Client Info'!$C$2:$C$2535,'[2]Client Info'!$D$2:$D$2535,"",0,1))</f>
        <v>103-1520 Barrow Street</v>
      </c>
      <c r="AE1470" s="55" t="str">
        <f>IF($AC1470="","",_xlfn.XLOOKUP($AC1470,'[2]Client Info'!$C$2:$C$2715,'[2]Client Info'!$E$2:$E$2715,"",))</f>
        <v>North Vancouver</v>
      </c>
      <c r="AF1470" s="55" t="str">
        <f>IF($AC1470="","",_xlfn.XLOOKUP($AC1470,'[2]Client Info'!$C$2:$C$2715,'[2]Client Info'!$F$2:$F$2715,"",0,1))</f>
        <v xml:space="preserve">BC </v>
      </c>
      <c r="AG1470" s="55" t="s">
        <v>3470</v>
      </c>
      <c r="AH1470" s="26" t="str">
        <f>_xlfn.XLOOKUP(Table26[[#This Row],[customerSKU]],customerSKU!G:G,customerSKU!K:K,"NA",0,1)</f>
        <v>NA</v>
      </c>
      <c r="AI1470" s="43" t="str">
        <f>_xlfn.XLOOKUP(Table26[[#This Row],[customerSKU]],customerSKU!G:G,customerSKU!O:O,"not found",0,1)</f>
        <v>not found</v>
      </c>
      <c r="AJ1470" s="22" t="e">
        <f>Table26[[#This Row],[unitprice]]*Table26[[#This Row],[quantity_unit]]</f>
        <v>#VALUE!</v>
      </c>
      <c r="AK1470" s="227" t="e" cm="1">
        <f t="array" ref="AK14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71" spans="1:37" ht="18" customHeight="1">
      <c r="A1471" s="42">
        <v>785</v>
      </c>
      <c r="B1471" s="42" t="s">
        <v>3357</v>
      </c>
      <c r="C1471" s="53" t="s">
        <v>203</v>
      </c>
      <c r="E1471" s="20"/>
      <c r="F14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1" s="93"/>
      <c r="I1471" s="19">
        <v>45757</v>
      </c>
      <c r="J1471" s="90" t="str">
        <f>IF(Table26[[#This Row],[customerSKU]]="","",_xlfn.XLOOKUP(Table26[[#This Row],[customerSKU]],customerSKU!G:G,customerSKU!A:A,"",0,1))</f>
        <v/>
      </c>
      <c r="K1471" s="232">
        <v>45761</v>
      </c>
      <c r="L1471" s="49" t="str">
        <f>IF(Table26[[#This Row],[customerSKU]]="","",_xlfn.XLOOKUP(Table26[[#This Row],[customerSKU]],customerSKU!G:G,customerSKU!B:B,"",0,1))</f>
        <v/>
      </c>
      <c r="M1471" s="90"/>
      <c r="N1471" s="55" t="str">
        <f>Table26[[#This Row],[po_number]]&amp;"-"&amp;Table26[[#This Row],[po_line]]</f>
        <v>-13</v>
      </c>
      <c r="O1471" s="55">
        <v>13</v>
      </c>
      <c r="P1471" s="50"/>
      <c r="Q1471" s="22" t="s">
        <v>559</v>
      </c>
      <c r="R1471" s="22" t="s">
        <v>569</v>
      </c>
      <c r="S1471" s="90" t="str">
        <f>IF(Table26[[#This Row],[customerSKU]]="","",_xlfn.XLOOKUP(Table26[[#This Row],[customerSKU]],customerSKU!G:G,customerSKU!N:N,"NOT FOUND",0,1))</f>
        <v>NOT FOUND</v>
      </c>
      <c r="T1471" s="20">
        <v>45740</v>
      </c>
      <c r="U1471" s="94">
        <v>36</v>
      </c>
      <c r="V1471" s="22" t="str">
        <f>IF(ISBLANK(Table26[[#This Row],[customerSKU]]),"",_xlfn.XLOOKUP(Table26[[#This Row],[customerSKU]],Table27[customer_SKU],Table27[case_size],"",0,1))</f>
        <v/>
      </c>
      <c r="W1471" s="117" t="str">
        <f t="shared" si="61"/>
        <v/>
      </c>
      <c r="X1471" s="22" t="str">
        <f t="shared" si="62"/>
        <v/>
      </c>
      <c r="Y1471" s="25" t="str">
        <f>IF(Table26[[#This Row],[customerSKU]]="","",_xlfn.XLOOKUP(Table26[[#This Row],[customerSKU]],Table27[customer_SKU],Table27[product_GTIN],"",0,1))</f>
        <v/>
      </c>
      <c r="Z1471" s="25" t="s">
        <v>3450</v>
      </c>
      <c r="AA1471" s="18" t="str" cm="1">
        <f t="array" ref="AA1471">IF(P1471="", "", _xlfn.XLOOKUP(P1471,#REF!,#REF!,NA,0,-1))</f>
        <v/>
      </c>
      <c r="AB1471" s="22"/>
      <c r="AC1471" s="55" t="s">
        <v>3470</v>
      </c>
      <c r="AD1471" s="55" t="str">
        <f>IF($AC1471="","",_xlfn.XLOOKUP($AC1471,'[2]Client Info'!$C$2:$C$2535,'[2]Client Info'!$D$2:$D$2535,"",0,1))</f>
        <v>103-1520 Barrow Street</v>
      </c>
      <c r="AE1471" s="55" t="str">
        <f>IF($AC1471="","",_xlfn.XLOOKUP($AC1471,'[2]Client Info'!$C$2:$C$2715,'[2]Client Info'!$E$2:$E$2715,"",))</f>
        <v>North Vancouver</v>
      </c>
      <c r="AF1471" s="55" t="str">
        <f>IF($AC1471="","",_xlfn.XLOOKUP($AC1471,'[2]Client Info'!$C$2:$C$2715,'[2]Client Info'!$F$2:$F$2715,"",0,1))</f>
        <v xml:space="preserve">BC </v>
      </c>
      <c r="AG1471" s="55" t="s">
        <v>3470</v>
      </c>
      <c r="AH1471" s="26" t="str">
        <f>_xlfn.XLOOKUP(Table26[[#This Row],[customerSKU]],customerSKU!G:G,customerSKU!K:K,"NA",0,1)</f>
        <v>NA</v>
      </c>
      <c r="AI1471" s="43" t="str">
        <f>_xlfn.XLOOKUP(Table26[[#This Row],[customerSKU]],customerSKU!G:G,customerSKU!O:O,"not found",0,1)</f>
        <v>not found</v>
      </c>
      <c r="AJ1471" s="22" t="e">
        <f>Table26[[#This Row],[unitprice]]*Table26[[#This Row],[quantity_unit]]</f>
        <v>#VALUE!</v>
      </c>
      <c r="AK1471" s="227" t="e" cm="1">
        <f t="array" ref="AK14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72" spans="1:37" ht="18" customHeight="1">
      <c r="A1472" s="42">
        <v>786</v>
      </c>
      <c r="B1472" s="42" t="s">
        <v>3357</v>
      </c>
      <c r="C1472" s="53" t="s">
        <v>203</v>
      </c>
      <c r="E1472" s="20"/>
      <c r="F14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2" s="93"/>
      <c r="I1472" s="19">
        <v>45761</v>
      </c>
      <c r="J1472" s="90" t="str">
        <f>IF(Table26[[#This Row],[customerSKU]]="","",_xlfn.XLOOKUP(Table26[[#This Row],[customerSKU]],customerSKU!G:G,customerSKU!A:A,"",0,1))</f>
        <v/>
      </c>
      <c r="K1472" s="232">
        <v>45761</v>
      </c>
      <c r="L1472" s="49" t="str">
        <f>IF(Table26[[#This Row],[customerSKU]]="","",_xlfn.XLOOKUP(Table26[[#This Row],[customerSKU]],customerSKU!G:G,customerSKU!B:B,"",0,1))</f>
        <v/>
      </c>
      <c r="M1472" s="22"/>
      <c r="N1472" s="15" t="str">
        <f>Table26[[#This Row],[po_number]]&amp;"-"&amp;Table26[[#This Row],[po_line]]</f>
        <v>-1</v>
      </c>
      <c r="O1472" s="15">
        <v>1</v>
      </c>
      <c r="P1472" s="50"/>
      <c r="Q1472" s="22" t="s">
        <v>582</v>
      </c>
      <c r="R1472" s="22" t="s">
        <v>569</v>
      </c>
      <c r="S1472" s="90" t="str">
        <f>IF(Table26[[#This Row],[customerSKU]]="","",_xlfn.XLOOKUP(Table26[[#This Row],[customerSKU]],customerSKU!G:G,customerSKU!N:N,"NOT FOUND",0,1))</f>
        <v>NOT FOUND</v>
      </c>
      <c r="T1472" s="20">
        <v>45756</v>
      </c>
      <c r="U1472" s="94">
        <v>12</v>
      </c>
      <c r="V1472" s="22" t="str">
        <f>IF(ISBLANK(Table26[[#This Row],[customerSKU]]),"",_xlfn.XLOOKUP(Table26[[#This Row],[customerSKU]],Table27[customer_SKU],Table27[case_size],"",0,1))</f>
        <v/>
      </c>
      <c r="W1472" s="117" t="str">
        <f t="shared" si="61"/>
        <v/>
      </c>
      <c r="X1472" s="22" t="str">
        <f t="shared" si="62"/>
        <v/>
      </c>
      <c r="Y1472" s="25" t="str">
        <f>IF(Table26[[#This Row],[customerSKU]]="","",_xlfn.XLOOKUP(Table26[[#This Row],[customerSKU]],Table27[customer_SKU],Table27[product_GTIN],"",0,1))</f>
        <v/>
      </c>
      <c r="Z1472" s="25" t="s">
        <v>3445</v>
      </c>
      <c r="AA1472" s="18" t="str" cm="1">
        <f t="array" ref="AA1472">IF(P1472="", "", _xlfn.XLOOKUP(P1472,#REF!,#REF!,NA,0,-1))</f>
        <v/>
      </c>
      <c r="AB1472" s="22"/>
      <c r="AC1472" s="55" t="s">
        <v>3365</v>
      </c>
      <c r="AD1472" s="55" t="str">
        <f>IF($AC1472="","",_xlfn.XLOOKUP($AC1472,'Client Info'!$C$2:$C$2497,'Client Info'!$D$2:$D$2497,"",0,1))</f>
        <v/>
      </c>
      <c r="AE1472" s="55" t="str">
        <f>IF($AC1472="","",_xlfn.XLOOKUP($AC1472,'Client Info'!$C$2:$C$2677,'Client Info'!$E$2:$E$2677,"",))</f>
        <v/>
      </c>
      <c r="AF1472" s="55" t="str">
        <f>IF($AC1472="","",_xlfn.XLOOKUP($AC1472,'Client Info'!$C$2:$C$2677,'Client Info'!$F$2:$F$2677,"",0,1))</f>
        <v/>
      </c>
      <c r="AG1472" s="55" t="s">
        <v>3365</v>
      </c>
      <c r="AH1472" s="26" t="str">
        <f>_xlfn.XLOOKUP(Table26[[#This Row],[customerSKU]],customerSKU!G:G,customerSKU!K:K,"NA",0,1)</f>
        <v>NA</v>
      </c>
      <c r="AI1472" s="43" t="str">
        <f>_xlfn.XLOOKUP(Table26[[#This Row],[customerSKU]],customerSKU!G:G,customerSKU!O:O,"not found",0,1)</f>
        <v>not found</v>
      </c>
      <c r="AJ1472" s="22" t="e">
        <f>Table26[[#This Row],[unitprice]]*Table26[[#This Row],[quantity_unit]]</f>
        <v>#VALUE!</v>
      </c>
      <c r="AK1472" s="227" t="e" cm="1">
        <f t="array" ref="AK14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3" spans="1:37" ht="18" customHeight="1">
      <c r="A1473" s="42">
        <v>787</v>
      </c>
      <c r="B1473" s="42" t="s">
        <v>3357</v>
      </c>
      <c r="C1473" s="53" t="s">
        <v>203</v>
      </c>
      <c r="E1473" s="20"/>
      <c r="F14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3" s="93"/>
      <c r="I1473" s="19">
        <v>45761</v>
      </c>
      <c r="J1473" s="90" t="str">
        <f>IF(Table26[[#This Row],[customerSKU]]="","",_xlfn.XLOOKUP(Table26[[#This Row],[customerSKU]],customerSKU!G:G,customerSKU!A:A,"",0,1))</f>
        <v/>
      </c>
      <c r="K1473" s="232">
        <v>45761</v>
      </c>
      <c r="L1473" s="49" t="str">
        <f>IF(Table26[[#This Row],[customerSKU]]="","",_xlfn.XLOOKUP(Table26[[#This Row],[customerSKU]],customerSKU!G:G,customerSKU!B:B,"",0,1))</f>
        <v/>
      </c>
      <c r="M1473" s="22"/>
      <c r="N1473" s="15" t="str">
        <f>Table26[[#This Row],[po_number]]&amp;"-"&amp;Table26[[#This Row],[po_line]]</f>
        <v>-2</v>
      </c>
      <c r="O1473" s="15">
        <v>2</v>
      </c>
      <c r="P1473" s="50"/>
      <c r="Q1473" s="22" t="s">
        <v>574</v>
      </c>
      <c r="R1473" s="22" t="s">
        <v>569</v>
      </c>
      <c r="S1473" s="90" t="str">
        <f>IF(Table26[[#This Row],[customerSKU]]="","",_xlfn.XLOOKUP(Table26[[#This Row],[customerSKU]],customerSKU!G:G,customerSKU!N:N,"NOT FOUND",0,1))</f>
        <v>NOT FOUND</v>
      </c>
      <c r="T1473" s="20">
        <v>45749</v>
      </c>
      <c r="U1473" s="94">
        <v>36</v>
      </c>
      <c r="V1473" s="22" t="str">
        <f>IF(ISBLANK(Table26[[#This Row],[customerSKU]]),"",_xlfn.XLOOKUP(Table26[[#This Row],[customerSKU]],Table27[customer_SKU],Table27[case_size],"",0,1))</f>
        <v/>
      </c>
      <c r="W1473" s="117" t="str">
        <f t="shared" si="61"/>
        <v/>
      </c>
      <c r="X1473" s="22" t="str">
        <f t="shared" si="62"/>
        <v/>
      </c>
      <c r="Y1473" s="25" t="str">
        <f>IF(Table26[[#This Row],[customerSKU]]="","",_xlfn.XLOOKUP(Table26[[#This Row],[customerSKU]],Table27[customer_SKU],Table27[product_GTIN],"",0,1))</f>
        <v/>
      </c>
      <c r="Z1473" s="25" t="s">
        <v>3366</v>
      </c>
      <c r="AA1473" s="18" t="str" cm="1">
        <f t="array" ref="AA1473">IF(P1473="", "", _xlfn.XLOOKUP(P1473,#REF!,#REF!,NA,0,-1))</f>
        <v/>
      </c>
      <c r="AB1473" s="22"/>
      <c r="AC1473" s="55" t="s">
        <v>3365</v>
      </c>
      <c r="AD1473" s="55" t="str">
        <f>IF($AC1473="","",_xlfn.XLOOKUP($AC1473,'Client Info'!$C$2:$C$2497,'Client Info'!$D$2:$D$2497,"",0,1))</f>
        <v/>
      </c>
      <c r="AE1473" s="55" t="str">
        <f>IF($AC1473="","",_xlfn.XLOOKUP($AC1473,'Client Info'!$C$2:$C$2677,'Client Info'!$E$2:$E$2677,"",))</f>
        <v/>
      </c>
      <c r="AF1473" s="55" t="str">
        <f>IF($AC1473="","",_xlfn.XLOOKUP($AC1473,'Client Info'!$C$2:$C$2677,'Client Info'!$F$2:$F$2677,"",0,1))</f>
        <v/>
      </c>
      <c r="AG1473" s="55" t="s">
        <v>3365</v>
      </c>
      <c r="AH1473" s="26" t="str">
        <f>_xlfn.XLOOKUP(Table26[[#This Row],[customerSKU]],customerSKU!G:G,customerSKU!K:K,"NA",0,1)</f>
        <v>NA</v>
      </c>
      <c r="AI1473" s="43" t="str">
        <f>_xlfn.XLOOKUP(Table26[[#This Row],[customerSKU]],customerSKU!G:G,customerSKU!O:O,"not found",0,1)</f>
        <v>not found</v>
      </c>
      <c r="AJ1473" s="22" t="e">
        <f>Table26[[#This Row],[unitprice]]*Table26[[#This Row],[quantity_unit]]</f>
        <v>#VALUE!</v>
      </c>
      <c r="AK1473" s="227" t="e" cm="1">
        <f t="array" ref="AK14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4" spans="1:37" ht="18" customHeight="1">
      <c r="A1474" s="42">
        <v>788</v>
      </c>
      <c r="B1474" s="42" t="s">
        <v>3357</v>
      </c>
      <c r="C1474" s="53" t="s">
        <v>203</v>
      </c>
      <c r="E1474" s="20"/>
      <c r="F14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4" s="93"/>
      <c r="I1474" s="19">
        <v>45761</v>
      </c>
      <c r="J1474" s="90" t="str">
        <f>IF(Table26[[#This Row],[customerSKU]]="","",_xlfn.XLOOKUP(Table26[[#This Row],[customerSKU]],customerSKU!G:G,customerSKU!A:A,"",0,1))</f>
        <v/>
      </c>
      <c r="K1474" s="232">
        <v>45761</v>
      </c>
      <c r="L1474" s="49" t="str">
        <f>IF(Table26[[#This Row],[customerSKU]]="","",_xlfn.XLOOKUP(Table26[[#This Row],[customerSKU]],customerSKU!G:G,customerSKU!B:B,"",0,1))</f>
        <v/>
      </c>
      <c r="M1474" s="22"/>
      <c r="N1474" s="15" t="str">
        <f>Table26[[#This Row],[po_number]]&amp;"-"&amp;Table26[[#This Row],[po_line]]</f>
        <v>-3</v>
      </c>
      <c r="O1474" s="15">
        <v>3</v>
      </c>
      <c r="P1474" s="50"/>
      <c r="Q1474" s="22" t="s">
        <v>559</v>
      </c>
      <c r="R1474" s="22" t="s">
        <v>569</v>
      </c>
      <c r="S1474" s="90" t="str">
        <f>IF(Table26[[#This Row],[customerSKU]]="","",_xlfn.XLOOKUP(Table26[[#This Row],[customerSKU]],customerSKU!G:G,customerSKU!N:N,"NOT FOUND",0,1))</f>
        <v>NOT FOUND</v>
      </c>
      <c r="T1474" s="20">
        <v>45740</v>
      </c>
      <c r="U1474" s="94">
        <v>12</v>
      </c>
      <c r="V1474" s="22" t="str">
        <f>IF(ISBLANK(Table26[[#This Row],[customerSKU]]),"",_xlfn.XLOOKUP(Table26[[#This Row],[customerSKU]],Table27[customer_SKU],Table27[case_size],"",0,1))</f>
        <v/>
      </c>
      <c r="W1474" s="117" t="str">
        <f t="shared" si="61"/>
        <v/>
      </c>
      <c r="X1474" s="22" t="str">
        <f t="shared" si="62"/>
        <v/>
      </c>
      <c r="Y1474" s="25" t="str">
        <f>IF(Table26[[#This Row],[customerSKU]]="","",_xlfn.XLOOKUP(Table26[[#This Row],[customerSKU]],Table27[customer_SKU],Table27[product_GTIN],"",0,1))</f>
        <v/>
      </c>
      <c r="Z1474" s="25" t="s">
        <v>3450</v>
      </c>
      <c r="AA1474" s="18" t="str" cm="1">
        <f t="array" ref="AA1474">IF(P1474="", "", _xlfn.XLOOKUP(P1474,#REF!,#REF!,NA,0,-1))</f>
        <v/>
      </c>
      <c r="AB1474" s="22"/>
      <c r="AC1474" s="55" t="s">
        <v>3365</v>
      </c>
      <c r="AD1474" s="55" t="str">
        <f>IF($AC1474="","",_xlfn.XLOOKUP($AC1474,'Client Info'!$C$2:$C$2497,'Client Info'!$D$2:$D$2497,"",0,1))</f>
        <v/>
      </c>
      <c r="AE1474" s="55" t="str">
        <f>IF($AC1474="","",_xlfn.XLOOKUP($AC1474,'Client Info'!$C$2:$C$2677,'Client Info'!$E$2:$E$2677,"",))</f>
        <v/>
      </c>
      <c r="AF1474" s="55" t="str">
        <f>IF($AC1474="","",_xlfn.XLOOKUP($AC1474,'Client Info'!$C$2:$C$2677,'Client Info'!$F$2:$F$2677,"",0,1))</f>
        <v/>
      </c>
      <c r="AG1474" s="55" t="s">
        <v>3365</v>
      </c>
      <c r="AH1474" s="26" t="str">
        <f>_xlfn.XLOOKUP(Table26[[#This Row],[customerSKU]],customerSKU!G:G,customerSKU!K:K,"NA",0,1)</f>
        <v>NA</v>
      </c>
      <c r="AI1474" s="43" t="str">
        <f>_xlfn.XLOOKUP(Table26[[#This Row],[customerSKU]],customerSKU!G:G,customerSKU!O:O,"not found",0,1)</f>
        <v>not found</v>
      </c>
      <c r="AJ1474" s="22" t="e">
        <f>Table26[[#This Row],[unitprice]]*Table26[[#This Row],[quantity_unit]]</f>
        <v>#VALUE!</v>
      </c>
      <c r="AK1474" s="227" t="e" cm="1">
        <f t="array" ref="AK14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5" spans="1:37" ht="18" customHeight="1">
      <c r="A1475" s="42">
        <v>789</v>
      </c>
      <c r="B1475" s="42" t="s">
        <v>3357</v>
      </c>
      <c r="C1475" s="53" t="s">
        <v>203</v>
      </c>
      <c r="E1475" s="20"/>
      <c r="F14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5" s="93"/>
      <c r="I1475" s="19">
        <v>45761</v>
      </c>
      <c r="J1475" s="90" t="str">
        <f>IF(Table26[[#This Row],[customerSKU]]="","",_xlfn.XLOOKUP(Table26[[#This Row],[customerSKU]],customerSKU!G:G,customerSKU!A:A,"",0,1))</f>
        <v/>
      </c>
      <c r="K1475" s="232">
        <v>45761</v>
      </c>
      <c r="L1475" s="49" t="str">
        <f>IF(Table26[[#This Row],[customerSKU]]="","",_xlfn.XLOOKUP(Table26[[#This Row],[customerSKU]],customerSKU!G:G,customerSKU!B:B,"",0,1))</f>
        <v/>
      </c>
      <c r="M1475" s="22"/>
      <c r="N1475" s="15" t="str">
        <f>Table26[[#This Row],[po_number]]&amp;"-"&amp;Table26[[#This Row],[po_line]]</f>
        <v>-1</v>
      </c>
      <c r="O1475" s="15">
        <v>1</v>
      </c>
      <c r="P1475" s="50"/>
      <c r="Q1475" s="22" t="s">
        <v>659</v>
      </c>
      <c r="R1475" s="22" t="s">
        <v>569</v>
      </c>
      <c r="S1475" s="90" t="str">
        <f>IF(Table26[[#This Row],[customerSKU]]="","",_xlfn.XLOOKUP(Table26[[#This Row],[customerSKU]],customerSKU!G:G,customerSKU!N:N,"NOT FOUND",0,1))</f>
        <v>NOT FOUND</v>
      </c>
      <c r="T1475" s="20">
        <v>45638</v>
      </c>
      <c r="U1475" s="94">
        <v>12</v>
      </c>
      <c r="V1475" s="22" t="str">
        <f>IF(ISBLANK(Table26[[#This Row],[customerSKU]]),"",_xlfn.XLOOKUP(Table26[[#This Row],[customerSKU]],Table27[customer_SKU],Table27[case_size],"",0,1))</f>
        <v/>
      </c>
      <c r="W1475" s="117" t="str">
        <f t="shared" si="61"/>
        <v/>
      </c>
      <c r="X1475" s="22" t="str">
        <f t="shared" si="62"/>
        <v/>
      </c>
      <c r="Y1475" s="25" t="str">
        <f>IF(Table26[[#This Row],[customerSKU]]="","",_xlfn.XLOOKUP(Table26[[#This Row],[customerSKU]],Table27[customer_SKU],Table27[product_GTIN],"",0,1))</f>
        <v/>
      </c>
      <c r="Z1475" s="25" t="s">
        <v>3391</v>
      </c>
      <c r="AA1475" s="18" t="str" cm="1">
        <f t="array" ref="AA1475">IF(P1475="", "", _xlfn.XLOOKUP(P1475,#REF!,#REF!,NA,0,-1))</f>
        <v/>
      </c>
      <c r="AB1475" s="22"/>
      <c r="AC1475" s="55" t="s">
        <v>3490</v>
      </c>
      <c r="AD1475" s="55" t="str">
        <f>IF($AC1475="","",_xlfn.XLOOKUP($AC1475,'Client Info'!$C$2:$C$2497,'Client Info'!$D$2:$D$2497,"",0,1))</f>
        <v/>
      </c>
      <c r="AE1475" s="55" t="str">
        <f>IF($AC1475="","",_xlfn.XLOOKUP($AC1475,'Client Info'!$C$2:$C$2677,'Client Info'!$E$2:$E$2677,"",))</f>
        <v/>
      </c>
      <c r="AF1475" s="55" t="str">
        <f>IF($AC1475="","",_xlfn.XLOOKUP($AC1475,'Client Info'!$C$2:$C$2677,'Client Info'!$F$2:$F$2677,"",0,1))</f>
        <v/>
      </c>
      <c r="AG1475" s="55" t="s">
        <v>3490</v>
      </c>
      <c r="AH1475" s="26" t="str">
        <f>_xlfn.XLOOKUP(Table26[[#This Row],[customerSKU]],customerSKU!G:G,customerSKU!K:K,"NA",0,1)</f>
        <v>NA</v>
      </c>
      <c r="AI1475" s="43" t="str">
        <f>_xlfn.XLOOKUP(Table26[[#This Row],[customerSKU]],customerSKU!G:G,customerSKU!O:O,"not found",0,1)</f>
        <v>not found</v>
      </c>
      <c r="AJ1475" s="22" t="e">
        <f>Table26[[#This Row],[unitprice]]*Table26[[#This Row],[quantity_unit]]</f>
        <v>#VALUE!</v>
      </c>
      <c r="AK1475" s="227" t="e" cm="1">
        <f t="array" ref="AK14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6" spans="1:37" ht="18" customHeight="1">
      <c r="A1476" s="42">
        <v>790</v>
      </c>
      <c r="B1476" s="42" t="s">
        <v>3357</v>
      </c>
      <c r="C1476" s="53" t="s">
        <v>203</v>
      </c>
      <c r="E1476" s="20"/>
      <c r="F14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6" s="93"/>
      <c r="I1476" s="19">
        <v>45761</v>
      </c>
      <c r="J1476" s="90" t="str">
        <f>IF(Table26[[#This Row],[customerSKU]]="","",_xlfn.XLOOKUP(Table26[[#This Row],[customerSKU]],customerSKU!G:G,customerSKU!A:A,"",0,1))</f>
        <v/>
      </c>
      <c r="K1476" s="232">
        <v>45761</v>
      </c>
      <c r="L1476" s="49" t="str">
        <f>IF(Table26[[#This Row],[customerSKU]]="","",_xlfn.XLOOKUP(Table26[[#This Row],[customerSKU]],customerSKU!G:G,customerSKU!B:B,"",0,1))</f>
        <v/>
      </c>
      <c r="M1476" s="22"/>
      <c r="N1476" s="15" t="str">
        <f>Table26[[#This Row],[po_number]]&amp;"-"&amp;Table26[[#This Row],[po_line]]</f>
        <v>-2</v>
      </c>
      <c r="O1476" s="15">
        <v>2</v>
      </c>
      <c r="P1476" s="50"/>
      <c r="Q1476" s="22" t="s">
        <v>625</v>
      </c>
      <c r="R1476" s="22" t="s">
        <v>569</v>
      </c>
      <c r="S1476" s="90" t="str">
        <f>IF(Table26[[#This Row],[customerSKU]]="","",_xlfn.XLOOKUP(Table26[[#This Row],[customerSKU]],customerSKU!G:G,customerSKU!N:N,"NOT FOUND",0,1))</f>
        <v>NOT FOUND</v>
      </c>
      <c r="T1476" s="20">
        <v>45707</v>
      </c>
      <c r="U1476" s="94">
        <v>12</v>
      </c>
      <c r="V1476" s="22" t="str">
        <f>IF(ISBLANK(Table26[[#This Row],[customerSKU]]),"",_xlfn.XLOOKUP(Table26[[#This Row],[customerSKU]],Table27[customer_SKU],Table27[case_size],"",0,1))</f>
        <v/>
      </c>
      <c r="W1476" s="117" t="str">
        <f t="shared" si="61"/>
        <v/>
      </c>
      <c r="X1476" s="22" t="str">
        <f t="shared" si="62"/>
        <v/>
      </c>
      <c r="Y1476" s="25" t="str">
        <f>IF(Table26[[#This Row],[customerSKU]]="","",_xlfn.XLOOKUP(Table26[[#This Row],[customerSKU]],Table27[customer_SKU],Table27[product_GTIN],"",0,1))</f>
        <v/>
      </c>
      <c r="Z1476" s="25" t="s">
        <v>3407</v>
      </c>
      <c r="AA1476" s="18" t="str" cm="1">
        <f t="array" ref="AA1476">IF(P1476="", "", _xlfn.XLOOKUP(P1476,#REF!,#REF!,NA,0,-1))</f>
        <v/>
      </c>
      <c r="AB1476" s="22"/>
      <c r="AC1476" s="55" t="s">
        <v>3490</v>
      </c>
      <c r="AD1476" s="55" t="str">
        <f>IF($AC1476="","",_xlfn.XLOOKUP($AC1476,'Client Info'!$C$2:$C$2497,'Client Info'!$D$2:$D$2497,"",0,1))</f>
        <v/>
      </c>
      <c r="AE1476" s="55" t="str">
        <f>IF($AC1476="","",_xlfn.XLOOKUP($AC1476,'Client Info'!$C$2:$C$2677,'Client Info'!$E$2:$E$2677,"",))</f>
        <v/>
      </c>
      <c r="AF1476" s="55" t="str">
        <f>IF($AC1476="","",_xlfn.XLOOKUP($AC1476,'Client Info'!$C$2:$C$2677,'Client Info'!$F$2:$F$2677,"",0,1))</f>
        <v/>
      </c>
      <c r="AG1476" s="55" t="s">
        <v>3490</v>
      </c>
      <c r="AH1476" s="26" t="str">
        <f>_xlfn.XLOOKUP(Table26[[#This Row],[customerSKU]],customerSKU!G:G,customerSKU!K:K,"NA",0,1)</f>
        <v>NA</v>
      </c>
      <c r="AI1476" s="43" t="str">
        <f>_xlfn.XLOOKUP(Table26[[#This Row],[customerSKU]],customerSKU!G:G,customerSKU!O:O,"not found",0,1)</f>
        <v>not found</v>
      </c>
      <c r="AJ1476" s="22" t="e">
        <f>Table26[[#This Row],[unitprice]]*Table26[[#This Row],[quantity_unit]]</f>
        <v>#VALUE!</v>
      </c>
      <c r="AK1476" s="227" t="e" cm="1">
        <f t="array" ref="AK14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7" spans="1:37" ht="24.6" customHeight="1">
      <c r="A1477" s="42">
        <v>791</v>
      </c>
      <c r="B1477" s="42" t="s">
        <v>3357</v>
      </c>
      <c r="C1477" s="53" t="s">
        <v>203</v>
      </c>
      <c r="E1477" s="20"/>
      <c r="F14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7" s="93"/>
      <c r="I1477" s="19">
        <v>45761</v>
      </c>
      <c r="J1477" s="90" t="str">
        <f>IF(Table26[[#This Row],[customerSKU]]="","",_xlfn.XLOOKUP(Table26[[#This Row],[customerSKU]],customerSKU!G:G,customerSKU!A:A,"",0,1))</f>
        <v/>
      </c>
      <c r="K1477" s="232">
        <v>45761</v>
      </c>
      <c r="L1477" s="49" t="str">
        <f>IF(Table26[[#This Row],[customerSKU]]="","",_xlfn.XLOOKUP(Table26[[#This Row],[customerSKU]],customerSKU!G:G,customerSKU!B:B,"",0,1))</f>
        <v/>
      </c>
      <c r="M1477" s="22"/>
      <c r="N1477" s="15" t="str">
        <f>Table26[[#This Row],[po_number]]&amp;"-"&amp;Table26[[#This Row],[po_line]]</f>
        <v>-3</v>
      </c>
      <c r="O1477" s="15">
        <v>3</v>
      </c>
      <c r="P1477" s="50"/>
      <c r="Q1477" s="22" t="s">
        <v>559</v>
      </c>
      <c r="R1477" s="22" t="s">
        <v>569</v>
      </c>
      <c r="S1477" s="90" t="str">
        <f>IF(Table26[[#This Row],[customerSKU]]="","",_xlfn.XLOOKUP(Table26[[#This Row],[customerSKU]],customerSKU!G:G,customerSKU!N:N,"NOT FOUND",0,1))</f>
        <v>NOT FOUND</v>
      </c>
      <c r="T1477" s="20">
        <v>45740</v>
      </c>
      <c r="U1477" s="94">
        <v>12</v>
      </c>
      <c r="V1477" s="22" t="str">
        <f>IF(ISBLANK(Table26[[#This Row],[customerSKU]]),"",_xlfn.XLOOKUP(Table26[[#This Row],[customerSKU]],Table27[customer_SKU],Table27[case_size],"",0,1))</f>
        <v/>
      </c>
      <c r="W1477" s="117" t="str">
        <f t="shared" ref="W1477:W1540" si="63">IFERROR(U1477/V1477, "")</f>
        <v/>
      </c>
      <c r="X1477" s="22" t="str">
        <f t="shared" si="62"/>
        <v/>
      </c>
      <c r="Y1477" s="25" t="str">
        <f>IF(Table26[[#This Row],[customerSKU]]="","",_xlfn.XLOOKUP(Table26[[#This Row],[customerSKU]],Table27[customer_SKU],Table27[product_GTIN],"",0,1))</f>
        <v/>
      </c>
      <c r="Z1477" s="25" t="s">
        <v>3450</v>
      </c>
      <c r="AA1477" s="18" t="str" cm="1">
        <f t="array" ref="AA1477">IF(P1477="", "", _xlfn.XLOOKUP(P1477,#REF!,#REF!,NA,0,-1))</f>
        <v/>
      </c>
      <c r="AB1477" s="22"/>
      <c r="AC1477" s="55" t="s">
        <v>3490</v>
      </c>
      <c r="AD1477" s="55" t="str">
        <f>IF($AC1477="","",_xlfn.XLOOKUP($AC1477,'Client Info'!$C$2:$C$2497,'Client Info'!$D$2:$D$2497,"",0,1))</f>
        <v/>
      </c>
      <c r="AE1477" s="55" t="str">
        <f>IF($AC1477="","",_xlfn.XLOOKUP($AC1477,'Client Info'!$C$2:$C$2677,'Client Info'!$E$2:$E$2677,"",))</f>
        <v/>
      </c>
      <c r="AF1477" s="55" t="str">
        <f>IF($AC1477="","",_xlfn.XLOOKUP($AC1477,'Client Info'!$C$2:$C$2677,'Client Info'!$F$2:$F$2677,"",0,1))</f>
        <v/>
      </c>
      <c r="AG1477" s="55" t="s">
        <v>3490</v>
      </c>
      <c r="AH1477" s="26" t="str">
        <f>_xlfn.XLOOKUP(Table26[[#This Row],[customerSKU]],customerSKU!G:G,customerSKU!K:K,"NA",0,1)</f>
        <v>NA</v>
      </c>
      <c r="AI1477" s="43" t="str">
        <f>_xlfn.XLOOKUP(Table26[[#This Row],[customerSKU]],customerSKU!G:G,customerSKU!O:O,"not found",0,1)</f>
        <v>not found</v>
      </c>
      <c r="AJ1477" s="22" t="e">
        <f>Table26[[#This Row],[unitprice]]*Table26[[#This Row],[quantity_unit]]</f>
        <v>#VALUE!</v>
      </c>
      <c r="AK1477" s="227" t="e" cm="1">
        <f t="array" ref="AK14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8" spans="1:37" ht="18" customHeight="1">
      <c r="A1478" s="42">
        <v>792</v>
      </c>
      <c r="B1478" s="42" t="s">
        <v>3357</v>
      </c>
      <c r="C1478" s="53" t="s">
        <v>203</v>
      </c>
      <c r="E1478" s="20"/>
      <c r="F14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8" s="93"/>
      <c r="I1478" s="19">
        <v>45761</v>
      </c>
      <c r="J1478" s="90" t="str">
        <f>IF(Table26[[#This Row],[customerSKU]]="","",_xlfn.XLOOKUP(Table26[[#This Row],[customerSKU]],customerSKU!G:G,customerSKU!A:A,"",0,1))</f>
        <v/>
      </c>
      <c r="K1478" s="232">
        <v>45761</v>
      </c>
      <c r="L1478" s="49" t="str">
        <f>IF(Table26[[#This Row],[customerSKU]]="","",_xlfn.XLOOKUP(Table26[[#This Row],[customerSKU]],customerSKU!G:G,customerSKU!B:B,"",0,1))</f>
        <v/>
      </c>
      <c r="M1478" s="22"/>
      <c r="N1478" s="15" t="str">
        <f>Table26[[#This Row],[po_number]]&amp;"-"&amp;Table26[[#This Row],[po_line]]</f>
        <v>-1</v>
      </c>
      <c r="O1478" s="15">
        <v>1</v>
      </c>
      <c r="P1478" s="50"/>
      <c r="Q1478" s="22" t="s">
        <v>578</v>
      </c>
      <c r="R1478" s="22" t="s">
        <v>569</v>
      </c>
      <c r="S1478" s="90" t="str">
        <f>IF(Table26[[#This Row],[customerSKU]]="","",_xlfn.XLOOKUP(Table26[[#This Row],[customerSKU]],customerSKU!G:G,customerSKU!N:N,"NOT FOUND",0,1))</f>
        <v>NOT FOUND</v>
      </c>
      <c r="T1478" s="20">
        <v>45700</v>
      </c>
      <c r="U1478" s="94">
        <v>24</v>
      </c>
      <c r="V1478" s="22" t="str">
        <f>IF(ISBLANK(Table26[[#This Row],[customerSKU]]),"",_xlfn.XLOOKUP(Table26[[#This Row],[customerSKU]],Table27[customer_SKU],Table27[case_size],"",0,1))</f>
        <v/>
      </c>
      <c r="W1478" s="117" t="str">
        <f t="shared" si="63"/>
        <v/>
      </c>
      <c r="X1478" s="22" t="str">
        <f t="shared" ref="X1478:X1541" si="64">IFERROR($AA1478*$U1478, "")</f>
        <v/>
      </c>
      <c r="Y1478" s="25" t="str">
        <f>IF(Table26[[#This Row],[customerSKU]]="","",_xlfn.XLOOKUP(Table26[[#This Row],[customerSKU]],Table27[customer_SKU],Table27[product_GTIN],"",0,1))</f>
        <v/>
      </c>
      <c r="Z1478" s="25" t="s">
        <v>3448</v>
      </c>
      <c r="AA1478" s="18" t="str" cm="1">
        <f t="array" ref="AA1478">IF(P1478="", "", _xlfn.XLOOKUP(P1478,#REF!,#REF!,NA,0,-1))</f>
        <v/>
      </c>
      <c r="AB1478" s="22"/>
      <c r="AC1478" s="55" t="s">
        <v>175</v>
      </c>
      <c r="AD1478" s="55" t="str">
        <f>IF($AC1478="","",_xlfn.XLOOKUP($AC1478,'Client Info'!$C$2:$C$2497,'Client Info'!$D$2:$D$2497,"",0,1))</f>
        <v/>
      </c>
      <c r="AE1478" s="55" t="str">
        <f>IF($AC1478="","",_xlfn.XLOOKUP($AC1478,'Client Info'!$C$2:$C$2677,'Client Info'!$E$2:$E$2677,"",))</f>
        <v/>
      </c>
      <c r="AF1478" s="55" t="str">
        <f>IF($AC1478="","",_xlfn.XLOOKUP($AC1478,'Client Info'!$C$2:$C$2677,'Client Info'!$F$2:$F$2677,"",0,1))</f>
        <v/>
      </c>
      <c r="AG1478" s="55" t="s">
        <v>175</v>
      </c>
      <c r="AH1478" s="26" t="str">
        <f>_xlfn.XLOOKUP(Table26[[#This Row],[customerSKU]],customerSKU!G:G,customerSKU!K:K,"NA",0,1)</f>
        <v>NA</v>
      </c>
      <c r="AI1478" s="43" t="str">
        <f>_xlfn.XLOOKUP(Table26[[#This Row],[customerSKU]],customerSKU!G:G,customerSKU!O:O,"not found",0,1)</f>
        <v>not found</v>
      </c>
      <c r="AJ1478" s="22" t="e">
        <f>Table26[[#This Row],[unitprice]]*Table26[[#This Row],[quantity_unit]]</f>
        <v>#VALUE!</v>
      </c>
      <c r="AK1478" s="227" t="e" cm="1">
        <f t="array" ref="AK14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79" spans="1:37" ht="18" customHeight="1">
      <c r="A1479" s="42">
        <v>793</v>
      </c>
      <c r="B1479" s="42" t="s">
        <v>3357</v>
      </c>
      <c r="C1479" s="53" t="s">
        <v>203</v>
      </c>
      <c r="E1479" s="20"/>
      <c r="F14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79" s="93"/>
      <c r="I1479" s="19">
        <v>45761</v>
      </c>
      <c r="J1479" s="90" t="str">
        <f>IF(Table26[[#This Row],[customerSKU]]="","",_xlfn.XLOOKUP(Table26[[#This Row],[customerSKU]],customerSKU!G:G,customerSKU!A:A,"",0,1))</f>
        <v/>
      </c>
      <c r="K1479" s="232">
        <v>45761</v>
      </c>
      <c r="L1479" s="49" t="str">
        <f>IF(Table26[[#This Row],[customerSKU]]="","",_xlfn.XLOOKUP(Table26[[#This Row],[customerSKU]],customerSKU!G:G,customerSKU!B:B,"",0,1))</f>
        <v/>
      </c>
      <c r="M1479" s="22"/>
      <c r="N1479" s="15" t="str">
        <f>Table26[[#This Row],[po_number]]&amp;"-"&amp;Table26[[#This Row],[po_line]]</f>
        <v>-2</v>
      </c>
      <c r="O1479" s="15">
        <v>2</v>
      </c>
      <c r="P1479" s="50"/>
      <c r="Q1479" s="22" t="s">
        <v>559</v>
      </c>
      <c r="R1479" s="22" t="s">
        <v>569</v>
      </c>
      <c r="S1479" s="90" t="str">
        <f>IF(Table26[[#This Row],[customerSKU]]="","",_xlfn.XLOOKUP(Table26[[#This Row],[customerSKU]],customerSKU!G:G,customerSKU!N:N,"NOT FOUND",0,1))</f>
        <v>NOT FOUND</v>
      </c>
      <c r="T1479" s="20">
        <v>45740</v>
      </c>
      <c r="U1479" s="94">
        <v>24</v>
      </c>
      <c r="V1479" s="22" t="str">
        <f>IF(ISBLANK(Table26[[#This Row],[customerSKU]]),"",_xlfn.XLOOKUP(Table26[[#This Row],[customerSKU]],Table27[customer_SKU],Table27[case_size],"",0,1))</f>
        <v/>
      </c>
      <c r="W1479" s="117" t="str">
        <f t="shared" si="63"/>
        <v/>
      </c>
      <c r="X1479" s="22" t="str">
        <f t="shared" si="64"/>
        <v/>
      </c>
      <c r="Y1479" s="25" t="str">
        <f>IF(Table26[[#This Row],[customerSKU]]="","",_xlfn.XLOOKUP(Table26[[#This Row],[customerSKU]],Table27[customer_SKU],Table27[product_GTIN],"",0,1))</f>
        <v/>
      </c>
      <c r="Z1479" s="25" t="s">
        <v>3450</v>
      </c>
      <c r="AA1479" s="18" t="str" cm="1">
        <f t="array" ref="AA1479">IF(P1479="", "", _xlfn.XLOOKUP(P1479,#REF!,#REF!,NA,0,-1))</f>
        <v/>
      </c>
      <c r="AB1479" s="22"/>
      <c r="AC1479" s="55" t="s">
        <v>175</v>
      </c>
      <c r="AD1479" s="55" t="str">
        <f>IF($AC1479="","",_xlfn.XLOOKUP($AC1479,'Client Info'!$C$2:$C$2497,'Client Info'!$D$2:$D$2497,"",0,1))</f>
        <v/>
      </c>
      <c r="AE1479" s="55" t="str">
        <f>IF($AC1479="","",_xlfn.XLOOKUP($AC1479,'Client Info'!$C$2:$C$2677,'Client Info'!$E$2:$E$2677,"",))</f>
        <v/>
      </c>
      <c r="AF1479" s="55" t="str">
        <f>IF($AC1479="","",_xlfn.XLOOKUP($AC1479,'Client Info'!$C$2:$C$2677,'Client Info'!$F$2:$F$2677,"",0,1))</f>
        <v/>
      </c>
      <c r="AG1479" s="55" t="s">
        <v>175</v>
      </c>
      <c r="AH1479" s="26" t="str">
        <f>_xlfn.XLOOKUP(Table26[[#This Row],[customerSKU]],customerSKU!G:G,customerSKU!K:K,"NA",0,1)</f>
        <v>NA</v>
      </c>
      <c r="AI1479" s="43" t="str">
        <f>_xlfn.XLOOKUP(Table26[[#This Row],[customerSKU]],customerSKU!G:G,customerSKU!O:O,"not found",0,1)</f>
        <v>not found</v>
      </c>
      <c r="AJ1479" s="22" t="e">
        <f>Table26[[#This Row],[unitprice]]*Table26[[#This Row],[quantity_unit]]</f>
        <v>#VALUE!</v>
      </c>
      <c r="AK1479" s="227" t="e" cm="1">
        <f t="array" ref="AK14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0" spans="1:37" ht="24.6" customHeight="1">
      <c r="A1480" s="42">
        <v>794</v>
      </c>
      <c r="B1480" s="42" t="s">
        <v>3357</v>
      </c>
      <c r="C1480" s="53" t="s">
        <v>203</v>
      </c>
      <c r="E1480" s="20"/>
      <c r="F14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0" s="93"/>
      <c r="I1480" s="19">
        <v>45761</v>
      </c>
      <c r="J1480" s="90" t="str">
        <f>IF(Table26[[#This Row],[customerSKU]]="","",_xlfn.XLOOKUP(Table26[[#This Row],[customerSKU]],customerSKU!G:G,customerSKU!A:A,"",0,1))</f>
        <v/>
      </c>
      <c r="K1480" s="232">
        <v>45761</v>
      </c>
      <c r="L1480" s="49" t="str">
        <f>IF(Table26[[#This Row],[customerSKU]]="","",_xlfn.XLOOKUP(Table26[[#This Row],[customerSKU]],customerSKU!G:G,customerSKU!B:B,"",0,1))</f>
        <v/>
      </c>
      <c r="M1480" s="22"/>
      <c r="N1480" s="15" t="str">
        <f>Table26[[#This Row],[po_number]]&amp;"-"&amp;Table26[[#This Row],[po_line]]</f>
        <v>-1</v>
      </c>
      <c r="O1480" s="15">
        <v>1</v>
      </c>
      <c r="P1480" s="50"/>
      <c r="Q1480" s="22" t="s">
        <v>585</v>
      </c>
      <c r="R1480" s="22" t="s">
        <v>569</v>
      </c>
      <c r="S1480" s="90" t="str">
        <f>IF(Table26[[#This Row],[customerSKU]]="","",_xlfn.XLOOKUP(Table26[[#This Row],[customerSKU]],customerSKU!G:G,customerSKU!N:N,"NOT FOUND",0,1))</f>
        <v>NOT FOUND</v>
      </c>
      <c r="T1480" s="20">
        <v>45755</v>
      </c>
      <c r="U1480" s="94">
        <v>12</v>
      </c>
      <c r="V1480" s="22" t="str">
        <f>IF(ISBLANK(Table26[[#This Row],[customerSKU]]),"",_xlfn.XLOOKUP(Table26[[#This Row],[customerSKU]],Table27[customer_SKU],Table27[case_size],"",0,1))</f>
        <v/>
      </c>
      <c r="W1480" s="117" t="str">
        <f t="shared" si="63"/>
        <v/>
      </c>
      <c r="X1480" s="22" t="str">
        <f t="shared" si="64"/>
        <v/>
      </c>
      <c r="Y1480" s="25" t="str">
        <f>IF(Table26[[#This Row],[customerSKU]]="","",_xlfn.XLOOKUP(Table26[[#This Row],[customerSKU]],Table27[customer_SKU],Table27[product_GTIN],"",0,1))</f>
        <v/>
      </c>
      <c r="Z1480" s="25" t="s">
        <v>3466</v>
      </c>
      <c r="AA1480" s="18" t="str" cm="1">
        <f t="array" ref="AA1480">IF(P1480="", "", _xlfn.XLOOKUP(P1480,#REF!,#REF!,NA,0,-1))</f>
        <v/>
      </c>
      <c r="AB1480" s="22"/>
      <c r="AC1480" s="55" t="s">
        <v>90</v>
      </c>
      <c r="AD1480" s="55" t="str">
        <f>IF($AC1480="","",_xlfn.XLOOKUP($AC1480,'Client Info'!$C$2:$C$2497,'Client Info'!$D$2:$D$2497,"",0,1))</f>
        <v/>
      </c>
      <c r="AE1480" s="55" t="str">
        <f>IF($AC1480="","",_xlfn.XLOOKUP($AC1480,'Client Info'!$C$2:$C$2677,'Client Info'!$E$2:$E$2677,"",))</f>
        <v/>
      </c>
      <c r="AF1480" s="55" t="str">
        <f>IF($AC1480="","",_xlfn.XLOOKUP($AC1480,'Client Info'!$C$2:$C$2677,'Client Info'!$F$2:$F$2677,"",0,1))</f>
        <v/>
      </c>
      <c r="AG1480" s="55" t="s">
        <v>90</v>
      </c>
      <c r="AH1480" s="26" t="str">
        <f>_xlfn.XLOOKUP(Table26[[#This Row],[customerSKU]],customerSKU!G:G,customerSKU!K:K,"NA",0,1)</f>
        <v>NA</v>
      </c>
      <c r="AI1480" s="43" t="str">
        <f>_xlfn.XLOOKUP(Table26[[#This Row],[customerSKU]],customerSKU!G:G,customerSKU!O:O,"not found",0,1)</f>
        <v>not found</v>
      </c>
      <c r="AJ1480" s="22" t="e">
        <f>Table26[[#This Row],[unitprice]]*Table26[[#This Row],[quantity_unit]]</f>
        <v>#VALUE!</v>
      </c>
      <c r="AK1480" s="227" t="e" cm="1">
        <f t="array" ref="AK14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1" spans="1:37" ht="18" customHeight="1">
      <c r="A1481" s="42">
        <v>795</v>
      </c>
      <c r="B1481" s="42" t="s">
        <v>3357</v>
      </c>
      <c r="C1481" s="53" t="s">
        <v>203</v>
      </c>
      <c r="E1481" s="20"/>
      <c r="F14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1" s="93"/>
      <c r="I1481" s="19">
        <v>45761</v>
      </c>
      <c r="J1481" s="90" t="str">
        <f>IF(Table26[[#This Row],[customerSKU]]="","",_xlfn.XLOOKUP(Table26[[#This Row],[customerSKU]],customerSKU!G:G,customerSKU!A:A,"",0,1))</f>
        <v/>
      </c>
      <c r="K1481" s="232">
        <v>45761</v>
      </c>
      <c r="L1481" s="49" t="str">
        <f>IF(Table26[[#This Row],[customerSKU]]="","",_xlfn.XLOOKUP(Table26[[#This Row],[customerSKU]],customerSKU!G:G,customerSKU!B:B,"",0,1))</f>
        <v/>
      </c>
      <c r="M1481" s="22"/>
      <c r="N1481" s="15" t="str">
        <f>Table26[[#This Row],[po_number]]&amp;"-"&amp;Table26[[#This Row],[po_line]]</f>
        <v>-2</v>
      </c>
      <c r="O1481" s="15">
        <v>2</v>
      </c>
      <c r="P1481" s="50"/>
      <c r="Q1481" s="22" t="s">
        <v>582</v>
      </c>
      <c r="R1481" s="22" t="s">
        <v>569</v>
      </c>
      <c r="S1481" s="90" t="str">
        <f>IF(Table26[[#This Row],[customerSKU]]="","",_xlfn.XLOOKUP(Table26[[#This Row],[customerSKU]],customerSKU!G:G,customerSKU!N:N,"NOT FOUND",0,1))</f>
        <v>NOT FOUND</v>
      </c>
      <c r="T1481" s="20">
        <v>45756</v>
      </c>
      <c r="U1481" s="94">
        <v>24</v>
      </c>
      <c r="V1481" s="22" t="str">
        <f>IF(ISBLANK(Table26[[#This Row],[customerSKU]]),"",_xlfn.XLOOKUP(Table26[[#This Row],[customerSKU]],Table27[customer_SKU],Table27[case_size],"",0,1))</f>
        <v/>
      </c>
      <c r="W1481" s="117" t="str">
        <f t="shared" si="63"/>
        <v/>
      </c>
      <c r="X1481" s="22" t="str">
        <f t="shared" si="64"/>
        <v/>
      </c>
      <c r="Y1481" s="25" t="str">
        <f>IF(Table26[[#This Row],[customerSKU]]="","",_xlfn.XLOOKUP(Table26[[#This Row],[customerSKU]],Table27[customer_SKU],Table27[product_GTIN],"",0,1))</f>
        <v/>
      </c>
      <c r="Z1481" s="25" t="s">
        <v>3445</v>
      </c>
      <c r="AA1481" s="18" t="str" cm="1">
        <f t="array" ref="AA1481">IF(P1481="", "", _xlfn.XLOOKUP(P1481,#REF!,#REF!,NA,0,-1))</f>
        <v/>
      </c>
      <c r="AB1481" s="22"/>
      <c r="AC1481" s="55" t="s">
        <v>90</v>
      </c>
      <c r="AD1481" s="55" t="str">
        <f>IF($AC1481="","",_xlfn.XLOOKUP($AC1481,'Client Info'!$C$2:$C$2497,'Client Info'!$D$2:$D$2497,"",0,1))</f>
        <v/>
      </c>
      <c r="AE1481" s="55" t="str">
        <f>IF($AC1481="","",_xlfn.XLOOKUP($AC1481,'Client Info'!$C$2:$C$2677,'Client Info'!$E$2:$E$2677,"",))</f>
        <v/>
      </c>
      <c r="AF1481" s="55" t="str">
        <f>IF($AC1481="","",_xlfn.XLOOKUP($AC1481,'Client Info'!$C$2:$C$2677,'Client Info'!$F$2:$F$2677,"",0,1))</f>
        <v/>
      </c>
      <c r="AG1481" s="55" t="s">
        <v>90</v>
      </c>
      <c r="AH1481" s="26" t="str">
        <f>_xlfn.XLOOKUP(Table26[[#This Row],[customerSKU]],customerSKU!G:G,customerSKU!K:K,"NA",0,1)</f>
        <v>NA</v>
      </c>
      <c r="AI1481" s="43" t="str">
        <f>_xlfn.XLOOKUP(Table26[[#This Row],[customerSKU]],customerSKU!G:G,customerSKU!O:O,"not found",0,1)</f>
        <v>not found</v>
      </c>
      <c r="AJ1481" s="22" t="e">
        <f>Table26[[#This Row],[unitprice]]*Table26[[#This Row],[quantity_unit]]</f>
        <v>#VALUE!</v>
      </c>
      <c r="AK1481" s="227" t="e" cm="1">
        <f t="array" ref="AK14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2" spans="1:37" ht="24.6" customHeight="1">
      <c r="A1482" s="42">
        <v>796</v>
      </c>
      <c r="B1482" s="42" t="s">
        <v>3357</v>
      </c>
      <c r="C1482" s="53" t="s">
        <v>203</v>
      </c>
      <c r="E1482" s="20"/>
      <c r="F14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2" s="93"/>
      <c r="I1482" s="19">
        <v>45761</v>
      </c>
      <c r="J1482" s="90" t="str">
        <f>IF(Table26[[#This Row],[customerSKU]]="","",_xlfn.XLOOKUP(Table26[[#This Row],[customerSKU]],customerSKU!G:G,customerSKU!A:A,"",0,1))</f>
        <v/>
      </c>
      <c r="K1482" s="232">
        <v>45761</v>
      </c>
      <c r="L1482" s="49" t="str">
        <f>IF(Table26[[#This Row],[customerSKU]]="","",_xlfn.XLOOKUP(Table26[[#This Row],[customerSKU]],customerSKU!G:G,customerSKU!B:B,"",0,1))</f>
        <v/>
      </c>
      <c r="M1482" s="22"/>
      <c r="N1482" s="15" t="str">
        <f>Table26[[#This Row],[po_number]]&amp;"-"&amp;Table26[[#This Row],[po_line]]</f>
        <v>-3</v>
      </c>
      <c r="O1482" s="15">
        <v>3</v>
      </c>
      <c r="P1482" s="50"/>
      <c r="Q1482" s="22" t="s">
        <v>612</v>
      </c>
      <c r="R1482" s="22" t="s">
        <v>569</v>
      </c>
      <c r="S1482" s="90" t="str">
        <f>IF(Table26[[#This Row],[customerSKU]]="","",_xlfn.XLOOKUP(Table26[[#This Row],[customerSKU]],customerSKU!G:G,customerSKU!N:N,"NOT FOUND",0,1))</f>
        <v>NOT FOUND</v>
      </c>
      <c r="T1482" s="20">
        <v>45756</v>
      </c>
      <c r="U1482" s="94">
        <v>12</v>
      </c>
      <c r="V1482" s="22" t="str">
        <f>IF(ISBLANK(Table26[[#This Row],[customerSKU]]),"",_xlfn.XLOOKUP(Table26[[#This Row],[customerSKU]],Table27[customer_SKU],Table27[case_size],"",0,1))</f>
        <v/>
      </c>
      <c r="W1482" s="117" t="str">
        <f t="shared" si="63"/>
        <v/>
      </c>
      <c r="X1482" s="22" t="str">
        <f t="shared" si="64"/>
        <v/>
      </c>
      <c r="Y1482" s="25" t="str">
        <f>IF(Table26[[#This Row],[customerSKU]]="","",_xlfn.XLOOKUP(Table26[[#This Row],[customerSKU]],Table27[customer_SKU],Table27[product_GTIN],"",0,1))</f>
        <v/>
      </c>
      <c r="Z1482" s="25" t="s">
        <v>3491</v>
      </c>
      <c r="AA1482" s="18" t="str" cm="1">
        <f t="array" ref="AA1482">IF(P1482="", "", _xlfn.XLOOKUP(P1482,#REF!,#REF!,NA,0,-1))</f>
        <v/>
      </c>
      <c r="AB1482" s="22"/>
      <c r="AC1482" s="55" t="s">
        <v>90</v>
      </c>
      <c r="AD1482" s="55" t="str">
        <f>IF($AC1482="","",_xlfn.XLOOKUP($AC1482,'Client Info'!$C$2:$C$2497,'Client Info'!$D$2:$D$2497,"",0,1))</f>
        <v/>
      </c>
      <c r="AE1482" s="55" t="str">
        <f>IF($AC1482="","",_xlfn.XLOOKUP($AC1482,'Client Info'!$C$2:$C$2677,'Client Info'!$E$2:$E$2677,"",))</f>
        <v/>
      </c>
      <c r="AF1482" s="55" t="str">
        <f>IF($AC1482="","",_xlfn.XLOOKUP($AC1482,'Client Info'!$C$2:$C$2677,'Client Info'!$F$2:$F$2677,"",0,1))</f>
        <v/>
      </c>
      <c r="AG1482" s="55" t="s">
        <v>90</v>
      </c>
      <c r="AH1482" s="26" t="str">
        <f>_xlfn.XLOOKUP(Table26[[#This Row],[customerSKU]],customerSKU!G:G,customerSKU!K:K,"NA",0,1)</f>
        <v>NA</v>
      </c>
      <c r="AI1482" s="43" t="str">
        <f>_xlfn.XLOOKUP(Table26[[#This Row],[customerSKU]],customerSKU!G:G,customerSKU!O:O,"not found",0,1)</f>
        <v>not found</v>
      </c>
      <c r="AJ1482" s="22" t="e">
        <f>Table26[[#This Row],[unitprice]]*Table26[[#This Row],[quantity_unit]]</f>
        <v>#VALUE!</v>
      </c>
      <c r="AK1482" s="227" t="e" cm="1">
        <f t="array" ref="AK14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3" spans="1:37" ht="18" customHeight="1">
      <c r="A1483" s="42">
        <v>797</v>
      </c>
      <c r="B1483" s="42" t="s">
        <v>3357</v>
      </c>
      <c r="C1483" s="53" t="s">
        <v>203</v>
      </c>
      <c r="E1483" s="20"/>
      <c r="F14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3" s="93"/>
      <c r="I1483" s="19">
        <v>45761</v>
      </c>
      <c r="J1483" s="90" t="str">
        <f>IF(Table26[[#This Row],[customerSKU]]="","",_xlfn.XLOOKUP(Table26[[#This Row],[customerSKU]],customerSKU!G:G,customerSKU!A:A,"",0,1))</f>
        <v/>
      </c>
      <c r="K1483" s="232">
        <v>45761</v>
      </c>
      <c r="L1483" s="49" t="str">
        <f>IF(Table26[[#This Row],[customerSKU]]="","",_xlfn.XLOOKUP(Table26[[#This Row],[customerSKU]],customerSKU!G:G,customerSKU!B:B,"",0,1))</f>
        <v/>
      </c>
      <c r="M1483" s="22"/>
      <c r="N1483" s="15" t="str">
        <f>Table26[[#This Row],[po_number]]&amp;"-"&amp;Table26[[#This Row],[po_line]]</f>
        <v>-4</v>
      </c>
      <c r="O1483" s="15">
        <v>4</v>
      </c>
      <c r="P1483" s="50"/>
      <c r="Q1483" s="22" t="s">
        <v>1712</v>
      </c>
      <c r="R1483" s="22" t="s">
        <v>569</v>
      </c>
      <c r="S1483" s="90" t="str">
        <f>IF(Table26[[#This Row],[customerSKU]]="","",_xlfn.XLOOKUP(Table26[[#This Row],[customerSKU]],customerSKU!G:G,customerSKU!N:N,"NOT FOUND",0,1))</f>
        <v>NOT FOUND</v>
      </c>
      <c r="T1483" s="20">
        <v>45761</v>
      </c>
      <c r="U1483" s="94">
        <v>24</v>
      </c>
      <c r="V1483" s="22" t="str">
        <f>IF(ISBLANK(Table26[[#This Row],[customerSKU]]),"",_xlfn.XLOOKUP(Table26[[#This Row],[customerSKU]],Table27[customer_SKU],Table27[case_size],"",0,1))</f>
        <v/>
      </c>
      <c r="W1483" s="117" t="str">
        <f t="shared" si="63"/>
        <v/>
      </c>
      <c r="X1483" s="22" t="str">
        <f t="shared" si="64"/>
        <v/>
      </c>
      <c r="Y1483" s="25" t="str">
        <f>IF(Table26[[#This Row],[customerSKU]]="","",_xlfn.XLOOKUP(Table26[[#This Row],[customerSKU]],Table27[customer_SKU],Table27[product_GTIN],"",0,1))</f>
        <v/>
      </c>
      <c r="Z1483" s="25" t="s">
        <v>3492</v>
      </c>
      <c r="AA1483" s="18" t="str" cm="1">
        <f t="array" ref="AA1483">IF(P1483="", "", _xlfn.XLOOKUP(P1483,#REF!,#REF!,NA,0,-1))</f>
        <v/>
      </c>
      <c r="AB1483" s="22"/>
      <c r="AC1483" s="55" t="s">
        <v>90</v>
      </c>
      <c r="AD1483" s="55" t="str">
        <f>IF($AC1483="","",_xlfn.XLOOKUP($AC1483,'Client Info'!$C$2:$C$2497,'Client Info'!$D$2:$D$2497,"",0,1))</f>
        <v/>
      </c>
      <c r="AE1483" s="55" t="str">
        <f>IF($AC1483="","",_xlfn.XLOOKUP($AC1483,'Client Info'!$C$2:$C$2677,'Client Info'!$E$2:$E$2677,"",))</f>
        <v/>
      </c>
      <c r="AF1483" s="55" t="str">
        <f>IF($AC1483="","",_xlfn.XLOOKUP($AC1483,'Client Info'!$C$2:$C$2677,'Client Info'!$F$2:$F$2677,"",0,1))</f>
        <v/>
      </c>
      <c r="AG1483" s="55" t="s">
        <v>90</v>
      </c>
      <c r="AH1483" s="26" t="str">
        <f>_xlfn.XLOOKUP(Table26[[#This Row],[customerSKU]],customerSKU!G:G,customerSKU!K:K,"NA",0,1)</f>
        <v>NA</v>
      </c>
      <c r="AI1483" s="43" t="str">
        <f>_xlfn.XLOOKUP(Table26[[#This Row],[customerSKU]],customerSKU!G:G,customerSKU!O:O,"not found",0,1)</f>
        <v>not found</v>
      </c>
      <c r="AJ1483" s="22" t="e">
        <f>Table26[[#This Row],[unitprice]]*Table26[[#This Row],[quantity_unit]]</f>
        <v>#VALUE!</v>
      </c>
      <c r="AK1483" s="227" t="e" cm="1">
        <f t="array" ref="AK14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4" spans="1:37" ht="24.6" customHeight="1">
      <c r="A1484" s="42">
        <v>798</v>
      </c>
      <c r="B1484" s="42" t="s">
        <v>3357</v>
      </c>
      <c r="C1484" s="53" t="s">
        <v>203</v>
      </c>
      <c r="E1484" s="20"/>
      <c r="F14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4" s="93"/>
      <c r="I1484" s="19">
        <v>45761</v>
      </c>
      <c r="J1484" s="90" t="str">
        <f>IF(Table26[[#This Row],[customerSKU]]="","",_xlfn.XLOOKUP(Table26[[#This Row],[customerSKU]],customerSKU!G:G,customerSKU!A:A,"",0,1))</f>
        <v/>
      </c>
      <c r="K1484" s="232">
        <v>45761</v>
      </c>
      <c r="L1484" s="49" t="str">
        <f>IF(Table26[[#This Row],[customerSKU]]="","",_xlfn.XLOOKUP(Table26[[#This Row],[customerSKU]],customerSKU!G:G,customerSKU!B:B,"",0,1))</f>
        <v/>
      </c>
      <c r="M1484" s="22"/>
      <c r="N1484" s="15" t="str">
        <f>Table26[[#This Row],[po_number]]&amp;"-"&amp;Table26[[#This Row],[po_line]]</f>
        <v>-5</v>
      </c>
      <c r="O1484" s="15">
        <v>5</v>
      </c>
      <c r="P1484" s="50"/>
      <c r="Q1484" s="22" t="s">
        <v>535</v>
      </c>
      <c r="R1484" s="22" t="s">
        <v>569</v>
      </c>
      <c r="S1484" s="90" t="str">
        <f>IF(Table26[[#This Row],[customerSKU]]="","",_xlfn.XLOOKUP(Table26[[#This Row],[customerSKU]],customerSKU!G:G,customerSKU!N:N,"NOT FOUND",0,1))</f>
        <v>NOT FOUND</v>
      </c>
      <c r="T1484" s="20">
        <v>45630</v>
      </c>
      <c r="U1484" s="94">
        <v>12</v>
      </c>
      <c r="V1484" s="22" t="str">
        <f>IF(ISBLANK(Table26[[#This Row],[customerSKU]]),"",_xlfn.XLOOKUP(Table26[[#This Row],[customerSKU]],Table27[customer_SKU],Table27[case_size],"",0,1))</f>
        <v/>
      </c>
      <c r="W1484" s="117" t="str">
        <f t="shared" si="63"/>
        <v/>
      </c>
      <c r="X1484" s="22" t="str">
        <f t="shared" si="64"/>
        <v/>
      </c>
      <c r="Y1484" s="25" t="str">
        <f>IF(Table26[[#This Row],[customerSKU]]="","",_xlfn.XLOOKUP(Table26[[#This Row],[customerSKU]],Table27[customer_SKU],Table27[product_GTIN],"",0,1))</f>
        <v/>
      </c>
      <c r="Z1484" s="25" t="s">
        <v>3493</v>
      </c>
      <c r="AA1484" s="18" t="str" cm="1">
        <f t="array" ref="AA1484">IF(P1484="", "", _xlfn.XLOOKUP(P1484,#REF!,#REF!,NA,0,-1))</f>
        <v/>
      </c>
      <c r="AB1484" s="22"/>
      <c r="AC1484" s="55" t="s">
        <v>90</v>
      </c>
      <c r="AD1484" s="55" t="str">
        <f>IF($AC1484="","",_xlfn.XLOOKUP($AC1484,'Client Info'!$C$2:$C$2497,'Client Info'!$D$2:$D$2497,"",0,1))</f>
        <v/>
      </c>
      <c r="AE1484" s="55" t="str">
        <f>IF($AC1484="","",_xlfn.XLOOKUP($AC1484,'Client Info'!$C$2:$C$2677,'Client Info'!$E$2:$E$2677,"",))</f>
        <v/>
      </c>
      <c r="AF1484" s="55" t="str">
        <f>IF($AC1484="","",_xlfn.XLOOKUP($AC1484,'Client Info'!$C$2:$C$2677,'Client Info'!$F$2:$F$2677,"",0,1))</f>
        <v/>
      </c>
      <c r="AG1484" s="55" t="s">
        <v>90</v>
      </c>
      <c r="AH1484" s="26" t="str">
        <f>_xlfn.XLOOKUP(Table26[[#This Row],[customerSKU]],customerSKU!G:G,customerSKU!K:K,"NA",0,1)</f>
        <v>NA</v>
      </c>
      <c r="AI1484" s="43" t="str">
        <f>_xlfn.XLOOKUP(Table26[[#This Row],[customerSKU]],customerSKU!G:G,customerSKU!O:O,"not found",0,1)</f>
        <v>not found</v>
      </c>
      <c r="AJ1484" s="22" t="e">
        <f>Table26[[#This Row],[unitprice]]*Table26[[#This Row],[quantity_unit]]</f>
        <v>#VALUE!</v>
      </c>
      <c r="AK1484" s="227" t="e" cm="1">
        <f t="array" ref="AK14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5" spans="1:37" ht="18" customHeight="1">
      <c r="A1485" s="42">
        <v>799</v>
      </c>
      <c r="B1485" s="42" t="s">
        <v>3357</v>
      </c>
      <c r="C1485" s="53" t="s">
        <v>203</v>
      </c>
      <c r="E1485" s="20"/>
      <c r="F14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5" s="93"/>
      <c r="I1485" s="19">
        <v>45761</v>
      </c>
      <c r="J1485" s="90" t="str">
        <f>IF(Table26[[#This Row],[customerSKU]]="","",_xlfn.XLOOKUP(Table26[[#This Row],[customerSKU]],customerSKU!G:G,customerSKU!A:A,"",0,1))</f>
        <v/>
      </c>
      <c r="K1485" s="232">
        <v>45761</v>
      </c>
      <c r="L1485" s="49" t="str">
        <f>IF(Table26[[#This Row],[customerSKU]]="","",_xlfn.XLOOKUP(Table26[[#This Row],[customerSKU]],customerSKU!G:G,customerSKU!B:B,"",0,1))</f>
        <v/>
      </c>
      <c r="M1485" s="22"/>
      <c r="N1485" s="15" t="str">
        <f>Table26[[#This Row],[po_number]]&amp;"-"&amp;Table26[[#This Row],[po_line]]</f>
        <v>-6</v>
      </c>
      <c r="O1485" s="15">
        <v>6</v>
      </c>
      <c r="P1485" s="50"/>
      <c r="Q1485" s="22" t="s">
        <v>559</v>
      </c>
      <c r="R1485" s="22" t="s">
        <v>569</v>
      </c>
      <c r="S1485" s="90" t="str">
        <f>IF(Table26[[#This Row],[customerSKU]]="","",_xlfn.XLOOKUP(Table26[[#This Row],[customerSKU]],customerSKU!G:G,customerSKU!N:N,"NOT FOUND",0,1))</f>
        <v>NOT FOUND</v>
      </c>
      <c r="T1485" s="20">
        <v>45740</v>
      </c>
      <c r="U1485" s="94">
        <v>12</v>
      </c>
      <c r="V1485" s="22" t="str">
        <f>IF(ISBLANK(Table26[[#This Row],[customerSKU]]),"",_xlfn.XLOOKUP(Table26[[#This Row],[customerSKU]],Table27[customer_SKU],Table27[case_size],"",0,1))</f>
        <v/>
      </c>
      <c r="W1485" s="117" t="str">
        <f t="shared" si="63"/>
        <v/>
      </c>
      <c r="X1485" s="22" t="str">
        <f t="shared" si="64"/>
        <v/>
      </c>
      <c r="Y1485" s="25" t="str">
        <f>IF(Table26[[#This Row],[customerSKU]]="","",_xlfn.XLOOKUP(Table26[[#This Row],[customerSKU]],Table27[customer_SKU],Table27[product_GTIN],"",0,1))</f>
        <v/>
      </c>
      <c r="Z1485" s="25" t="s">
        <v>3450</v>
      </c>
      <c r="AA1485" s="18" t="str" cm="1">
        <f t="array" ref="AA1485">IF(P1485="", "", _xlfn.XLOOKUP(P1485,#REF!,#REF!,NA,0,-1))</f>
        <v/>
      </c>
      <c r="AB1485" s="22"/>
      <c r="AC1485" s="55" t="s">
        <v>90</v>
      </c>
      <c r="AD1485" s="55" t="str">
        <f>IF($AC1485="","",_xlfn.XLOOKUP($AC1485,'Client Info'!$C$2:$C$2497,'Client Info'!$D$2:$D$2497,"",0,1))</f>
        <v/>
      </c>
      <c r="AE1485" s="55" t="str">
        <f>IF($AC1485="","",_xlfn.XLOOKUP($AC1485,'Client Info'!$C$2:$C$2677,'Client Info'!$E$2:$E$2677,"",))</f>
        <v/>
      </c>
      <c r="AF1485" s="55" t="str">
        <f>IF($AC1485="","",_xlfn.XLOOKUP($AC1485,'Client Info'!$C$2:$C$2677,'Client Info'!$F$2:$F$2677,"",0,1))</f>
        <v/>
      </c>
      <c r="AG1485" s="55" t="s">
        <v>90</v>
      </c>
      <c r="AH1485" s="26" t="str">
        <f>_xlfn.XLOOKUP(Table26[[#This Row],[customerSKU]],customerSKU!G:G,customerSKU!K:K,"NA",0,1)</f>
        <v>NA</v>
      </c>
      <c r="AI1485" s="43" t="str">
        <f>_xlfn.XLOOKUP(Table26[[#This Row],[customerSKU]],customerSKU!G:G,customerSKU!O:O,"not found",0,1)</f>
        <v>not found</v>
      </c>
      <c r="AJ1485" s="22" t="e">
        <f>Table26[[#This Row],[unitprice]]*Table26[[#This Row],[quantity_unit]]</f>
        <v>#VALUE!</v>
      </c>
      <c r="AK1485" s="227" t="e" cm="1">
        <f t="array" ref="AK14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6" spans="1:37" ht="18" customHeight="1">
      <c r="A1486" s="42">
        <v>762</v>
      </c>
      <c r="B1486" s="42" t="s">
        <v>3357</v>
      </c>
      <c r="C1486" s="53" t="s">
        <v>203</v>
      </c>
      <c r="E1486" s="20"/>
      <c r="F14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6" s="93"/>
      <c r="I1486" s="19">
        <v>45757</v>
      </c>
      <c r="J1486" s="90" t="str">
        <f>IF(Table26[[#This Row],[customerSKU]]="","",_xlfn.XLOOKUP(Table26[[#This Row],[customerSKU]],customerSKU!G:G,customerSKU!A:A,"",0,1))</f>
        <v/>
      </c>
      <c r="K1486" s="232">
        <v>45762</v>
      </c>
      <c r="L1486" s="49" t="str">
        <f>IF(Table26[[#This Row],[customerSKU]]="","",_xlfn.XLOOKUP(Table26[[#This Row],[customerSKU]],customerSKU!G:G,customerSKU!B:B,"",0,1))</f>
        <v/>
      </c>
      <c r="M1486" s="22"/>
      <c r="N1486" s="15" t="str">
        <f>Table26[[#This Row],[po_number]]&amp;"-"&amp;Table26[[#This Row],[po_line]]</f>
        <v>-1</v>
      </c>
      <c r="O1486" s="15">
        <v>1</v>
      </c>
      <c r="P1486" s="50"/>
      <c r="Q1486" s="22" t="s">
        <v>3473</v>
      </c>
      <c r="R1486" s="22" t="s">
        <v>569</v>
      </c>
      <c r="S1486" s="90" t="str">
        <f>IF(Table26[[#This Row],[customerSKU]]="","",_xlfn.XLOOKUP(Table26[[#This Row],[customerSKU]],customerSKU!G:G,customerSKU!N:N,"NOT FOUND",0,1))</f>
        <v>NOT FOUND</v>
      </c>
      <c r="T1486" s="20">
        <v>45758</v>
      </c>
      <c r="U1486" s="94">
        <v>240</v>
      </c>
      <c r="V1486" s="22" t="str">
        <f>IF(ISBLANK(Table26[[#This Row],[customerSKU]]),"",_xlfn.XLOOKUP(Table26[[#This Row],[customerSKU]],Table27[customer_SKU],Table27[case_size],"",0,1))</f>
        <v/>
      </c>
      <c r="W1486" s="117" t="str">
        <f t="shared" si="63"/>
        <v/>
      </c>
      <c r="X1486" s="22" t="str">
        <f t="shared" si="64"/>
        <v/>
      </c>
      <c r="Y1486" s="25" t="str">
        <f>IF(Table26[[#This Row],[customerSKU]]="","",_xlfn.XLOOKUP(Table26[[#This Row],[customerSKU]],Table27[customer_SKU],Table27[product_GTIN],"",0,1))</f>
        <v/>
      </c>
      <c r="Z1486" s="25" t="s">
        <v>3474</v>
      </c>
      <c r="AA1486" s="18" t="str" cm="1">
        <f t="array" ref="AA1486">IF(P1486="", "", _xlfn.XLOOKUP(P1486,#REF!,#REF!,NA,0,-1))</f>
        <v/>
      </c>
      <c r="AB1486" s="22"/>
      <c r="AC1486" s="55" t="str">
        <f>IF(Table26[[#This Row],[customerSKU]]="","",_xlfn.XLOOKUP(Table26[[#This Row],[customerSKU]],customerSKU!G:G,customerSKU!C:C,"",0,1))</f>
        <v/>
      </c>
      <c r="AD1486" s="55" t="str">
        <f>IF($AC1486="","",_xlfn.XLOOKUP($AC1486,'Client Info'!$C$2:$C$2497,'Client Info'!$D$2:$D$2497,"",0,1))</f>
        <v/>
      </c>
      <c r="AE1486" s="55" t="str">
        <f>IF($AC1486="","",_xlfn.XLOOKUP($AC1486,'Client Info'!$C$2:$C$2677,'Client Info'!$E$2:$E$2677,"",))</f>
        <v/>
      </c>
      <c r="AF1486" s="55" t="str">
        <f>IF($AC1486="","",_xlfn.XLOOKUP($AC1486,'Client Info'!$C$2:$C$2677,'Client Info'!$F$2:$F$2677,"",0,1))</f>
        <v/>
      </c>
      <c r="AG1486" s="55" t="str">
        <f>IF(ISBLANK(Table26[[#This Row],[customerSKU]]),"",_xlfn.XLOOKUP(Table26[[#This Row],[customerSKU]],Table27[customer_SKU],Table27[billto],"",0,1))</f>
        <v/>
      </c>
      <c r="AH1486" s="26" t="str">
        <f>_xlfn.XLOOKUP(Table26[[#This Row],[customerSKU]],customerSKU!G:G,customerSKU!K:K,"NA",0,1)</f>
        <v>NA</v>
      </c>
      <c r="AI1486" s="43" t="str">
        <f>_xlfn.XLOOKUP(Table26[[#This Row],[customerSKU]],customerSKU!G:G,customerSKU!O:O,"not found",0,1)</f>
        <v>not found</v>
      </c>
      <c r="AJ1486" s="22" t="e">
        <f>Table26[[#This Row],[unitprice]]*Table26[[#This Row],[quantity_unit]]</f>
        <v>#VALUE!</v>
      </c>
      <c r="AK1486" s="227" t="e" cm="1">
        <f t="array" ref="AK14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87" spans="1:37" ht="18" customHeight="1">
      <c r="A1487" s="42">
        <v>763</v>
      </c>
      <c r="B1487" s="42" t="s">
        <v>3357</v>
      </c>
      <c r="C1487" s="53" t="s">
        <v>203</v>
      </c>
      <c r="E1487" s="20"/>
      <c r="F14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7" s="93"/>
      <c r="I1487" s="19">
        <v>45757</v>
      </c>
      <c r="J1487" s="90" t="str">
        <f>IF(Table26[[#This Row],[customerSKU]]="","",_xlfn.XLOOKUP(Table26[[#This Row],[customerSKU]],customerSKU!G:G,customerSKU!A:A,"",0,1))</f>
        <v/>
      </c>
      <c r="K1487" s="232">
        <v>45762</v>
      </c>
      <c r="L1487" s="49" t="str">
        <f>IF(Table26[[#This Row],[customerSKU]]="","",_xlfn.XLOOKUP(Table26[[#This Row],[customerSKU]],customerSKU!G:G,customerSKU!B:B,"",0,1))</f>
        <v/>
      </c>
      <c r="M1487" s="22"/>
      <c r="N1487" s="15" t="str">
        <f>Table26[[#This Row],[po_number]]&amp;"-"&amp;Table26[[#This Row],[po_line]]</f>
        <v>-2</v>
      </c>
      <c r="O1487" s="15">
        <v>2</v>
      </c>
      <c r="P1487" s="50"/>
      <c r="Q1487" s="22" t="s">
        <v>3475</v>
      </c>
      <c r="R1487" s="22" t="s">
        <v>569</v>
      </c>
      <c r="S1487" s="90" t="str">
        <f>IF(Table26[[#This Row],[customerSKU]]="","",_xlfn.XLOOKUP(Table26[[#This Row],[customerSKU]],customerSKU!G:G,customerSKU!N:N,"NOT FOUND",0,1))</f>
        <v>NOT FOUND</v>
      </c>
      <c r="T1487" s="20">
        <v>45758</v>
      </c>
      <c r="U1487" s="94">
        <f>12*33</f>
        <v>396</v>
      </c>
      <c r="V1487" s="22" t="str">
        <f>IF(ISBLANK(Table26[[#This Row],[customerSKU]]),"",_xlfn.XLOOKUP(Table26[[#This Row],[customerSKU]],Table27[customer_SKU],Table27[case_size],"",0,1))</f>
        <v/>
      </c>
      <c r="W1487" s="117" t="str">
        <f t="shared" si="63"/>
        <v/>
      </c>
      <c r="X1487" s="22" t="str">
        <f t="shared" si="64"/>
        <v/>
      </c>
      <c r="Y1487" s="25" t="str">
        <f>IF(Table26[[#This Row],[customerSKU]]="","",_xlfn.XLOOKUP(Table26[[#This Row],[customerSKU]],Table27[customer_SKU],Table27[product_GTIN],"",0,1))</f>
        <v/>
      </c>
      <c r="Z1487" s="25" t="s">
        <v>3476</v>
      </c>
      <c r="AA1487" s="18" t="str" cm="1">
        <f t="array" ref="AA1487">IF(P1487="", "", _xlfn.XLOOKUP(P1487,#REF!,#REF!,NA,0,-1))</f>
        <v/>
      </c>
      <c r="AB1487" s="22"/>
      <c r="AC1487" s="55" t="str">
        <f>IF(Table26[[#This Row],[customerSKU]]="","",_xlfn.XLOOKUP(Table26[[#This Row],[customerSKU]],customerSKU!G:G,customerSKU!C:C,"",0,1))</f>
        <v/>
      </c>
      <c r="AD1487" s="55" t="str">
        <f>IF($AC1487="","",_xlfn.XLOOKUP($AC1487,'Client Info'!$C$2:$C$2497,'Client Info'!$D$2:$D$2497,"",0,1))</f>
        <v/>
      </c>
      <c r="AE1487" s="55" t="str">
        <f>IF($AC1487="","",_xlfn.XLOOKUP($AC1487,'Client Info'!$C$2:$C$2677,'Client Info'!$E$2:$E$2677,"",))</f>
        <v/>
      </c>
      <c r="AF1487" s="55" t="str">
        <f>IF($AC1487="","",_xlfn.XLOOKUP($AC1487,'Client Info'!$C$2:$C$2677,'Client Info'!$F$2:$F$2677,"",0,1))</f>
        <v/>
      </c>
      <c r="AG1487" s="55" t="str">
        <f>IF(ISBLANK(Table26[[#This Row],[customerSKU]]),"",_xlfn.XLOOKUP(Table26[[#This Row],[customerSKU]],Table27[customer_SKU],Table27[billto],"",0,1))</f>
        <v/>
      </c>
      <c r="AH1487" s="26" t="str">
        <f>_xlfn.XLOOKUP(Table26[[#This Row],[customerSKU]],customerSKU!G:G,customerSKU!K:K,"NA",0,1)</f>
        <v>NA</v>
      </c>
      <c r="AI1487" s="43" t="str">
        <f>_xlfn.XLOOKUP(Table26[[#This Row],[customerSKU]],customerSKU!G:G,customerSKU!O:O,"not found",0,1)</f>
        <v>not found</v>
      </c>
      <c r="AJ1487" s="22" t="e">
        <f>Table26[[#This Row],[unitprice]]*Table26[[#This Row],[quantity_unit]]</f>
        <v>#VALUE!</v>
      </c>
      <c r="AK1487" s="227" t="e" cm="1">
        <f t="array" ref="AK14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88" spans="1:37" ht="18" customHeight="1">
      <c r="A1488" s="42">
        <v>764</v>
      </c>
      <c r="B1488" s="42" t="s">
        <v>3357</v>
      </c>
      <c r="C1488" s="53" t="s">
        <v>3494</v>
      </c>
      <c r="E1488" s="20"/>
      <c r="F14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8" s="93"/>
      <c r="I1488" s="19">
        <v>45761</v>
      </c>
      <c r="J1488" s="90" t="str">
        <f>IF(Table26[[#This Row],[customerSKU]]="","",_xlfn.XLOOKUP(Table26[[#This Row],[customerSKU]],customerSKU!G:G,customerSKU!A:A,"",0,1))</f>
        <v/>
      </c>
      <c r="K1488" s="232">
        <v>45762</v>
      </c>
      <c r="L1488" s="49" t="str">
        <f>IF(Table26[[#This Row],[customerSKU]]="","",_xlfn.XLOOKUP(Table26[[#This Row],[customerSKU]],customerSKU!G:G,customerSKU!B:B,"",0,1))</f>
        <v/>
      </c>
      <c r="M1488" s="22"/>
      <c r="N1488" s="15" t="str">
        <f>Table26[[#This Row],[po_number]]&amp;"-"&amp;Table26[[#This Row],[po_line]]</f>
        <v>-1</v>
      </c>
      <c r="O1488" s="15">
        <v>1</v>
      </c>
      <c r="P1488" s="50"/>
      <c r="R1488" s="22" t="s">
        <v>569</v>
      </c>
      <c r="S1488" s="90" t="str">
        <f>IF(Table26[[#This Row],[customerSKU]]="","",_xlfn.XLOOKUP(Table26[[#This Row],[customerSKU]],customerSKU!G:G,customerSKU!N:N,"NOT FOUND",0,1))</f>
        <v>NOT FOUND</v>
      </c>
      <c r="T1488" s="20"/>
      <c r="U1488" s="94">
        <v>24</v>
      </c>
      <c r="V1488" s="22" t="str">
        <f>IF(ISBLANK(Table26[[#This Row],[customerSKU]]),"",_xlfn.XLOOKUP(Table26[[#This Row],[customerSKU]],Table27[customer_SKU],Table27[case_size],"",0,1))</f>
        <v/>
      </c>
      <c r="W1488" s="117" t="str">
        <f t="shared" si="63"/>
        <v/>
      </c>
      <c r="X1488" s="22" t="str">
        <f t="shared" si="64"/>
        <v/>
      </c>
      <c r="Y1488" s="25" t="str">
        <f>IF(Table26[[#This Row],[customerSKU]]="","",_xlfn.XLOOKUP(Table26[[#This Row],[customerSKU]],Table27[customer_SKU],Table27[product_GTIN],"",0,1))</f>
        <v/>
      </c>
      <c r="Z1488" s="25" t="s">
        <v>3495</v>
      </c>
      <c r="AA1488" s="18" t="str" cm="1">
        <f t="array" ref="AA1488">IF(P1488="", "", _xlfn.XLOOKUP(P1488,#REF!,#REF!,NA,0,-1))</f>
        <v/>
      </c>
      <c r="AB1488" s="22"/>
      <c r="AC1488" s="55" t="str">
        <f>IF(Table26[[#This Row],[customerSKU]]="","",_xlfn.XLOOKUP(Table26[[#This Row],[customerSKU]],customerSKU!G:G,customerSKU!C:C,"",0,1))</f>
        <v/>
      </c>
      <c r="AD1488" s="55" t="str">
        <f>IF($AC1488="","",_xlfn.XLOOKUP($AC1488,'Client Info'!$C$2:$C$2497,'Client Info'!$D$2:$D$2497,"",0,1))</f>
        <v/>
      </c>
      <c r="AE1488" s="55" t="str">
        <f>IF($AC1488="","",_xlfn.XLOOKUP($AC1488,'Client Info'!$C$2:$C$2677,'Client Info'!$E$2:$E$2677,"",))</f>
        <v/>
      </c>
      <c r="AF1488" s="55" t="str">
        <f>IF($AC1488="","",_xlfn.XLOOKUP($AC1488,'Client Info'!$C$2:$C$2677,'Client Info'!$F$2:$F$2677,"",0,1))</f>
        <v/>
      </c>
      <c r="AG1488" s="55" t="str">
        <f>IF(ISBLANK(Table26[[#This Row],[customerSKU]]),"",_xlfn.XLOOKUP(Table26[[#This Row],[customerSKU]],Table27[customer_SKU],Table27[billto],"",0,1))</f>
        <v/>
      </c>
      <c r="AH1488" s="26" t="str">
        <f>_xlfn.XLOOKUP(Table26[[#This Row],[customerSKU]],customerSKU!G:G,customerSKU!K:K,"NA",0,1)</f>
        <v>NA</v>
      </c>
      <c r="AI1488" s="43" t="str">
        <f>_xlfn.XLOOKUP(Table26[[#This Row],[customerSKU]],customerSKU!G:G,customerSKU!O:O,"not found",0,1)</f>
        <v>not found</v>
      </c>
      <c r="AJ1488" s="22" t="e">
        <f>Table26[[#This Row],[unitprice]]*Table26[[#This Row],[quantity_unit]]</f>
        <v>#VALUE!</v>
      </c>
      <c r="AK1488" s="227" t="e" cm="1">
        <f t="array" ref="AK14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89" spans="1:37" ht="18" customHeight="1">
      <c r="A1489" s="42">
        <v>765</v>
      </c>
      <c r="B1489" s="42" t="s">
        <v>3357</v>
      </c>
      <c r="C1489" s="53" t="s">
        <v>3486</v>
      </c>
      <c r="E1489" s="20"/>
      <c r="F14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89" s="93"/>
      <c r="I1489" s="19">
        <v>45762</v>
      </c>
      <c r="J1489" s="90" t="str">
        <f>IF(Table26[[#This Row],[customerSKU]]="","",_xlfn.XLOOKUP(Table26[[#This Row],[customerSKU]],customerSKU!G:G,customerSKU!A:A,"",0,1))</f>
        <v/>
      </c>
      <c r="K1489" s="232">
        <v>45762</v>
      </c>
      <c r="L1489" s="49" t="str">
        <f>IF(Table26[[#This Row],[customerSKU]]="","",_xlfn.XLOOKUP(Table26[[#This Row],[customerSKU]],customerSKU!G:G,customerSKU!B:B,"",0,1))</f>
        <v/>
      </c>
      <c r="M1489" s="22"/>
      <c r="N1489" s="15" t="str">
        <f>Table26[[#This Row],[po_number]]&amp;"-"&amp;Table26[[#This Row],[po_line]]</f>
        <v>-1</v>
      </c>
      <c r="O1489" s="15">
        <v>1</v>
      </c>
      <c r="P1489" s="50"/>
      <c r="Q1489" s="22" t="s">
        <v>682</v>
      </c>
      <c r="R1489" s="22" t="s">
        <v>569</v>
      </c>
      <c r="S1489" s="90" t="str">
        <f>IF(Table26[[#This Row],[customerSKU]]="","",_xlfn.XLOOKUP(Table26[[#This Row],[customerSKU]],customerSKU!G:G,customerSKU!N:N,"NOT FOUND",0,1))</f>
        <v>NOT FOUND</v>
      </c>
      <c r="T1489" s="20">
        <v>45588</v>
      </c>
      <c r="U1489" s="94">
        <v>12</v>
      </c>
      <c r="V1489" s="22" t="str">
        <f>IF(ISBLANK(Table26[[#This Row],[customerSKU]]),"",_xlfn.XLOOKUP(Table26[[#This Row],[customerSKU]],Table27[customer_SKU],Table27[case_size],"",0,1))</f>
        <v/>
      </c>
      <c r="W1489" s="117" t="str">
        <f t="shared" si="63"/>
        <v/>
      </c>
      <c r="X1489" s="22" t="str">
        <f t="shared" si="64"/>
        <v/>
      </c>
      <c r="Y1489" s="25" t="str">
        <f>IF(Table26[[#This Row],[customerSKU]]="","",_xlfn.XLOOKUP(Table26[[#This Row],[customerSKU]],Table27[customer_SKU],Table27[product_GTIN],"",0,1))</f>
        <v/>
      </c>
      <c r="Z1489" s="25" t="s">
        <v>3497</v>
      </c>
      <c r="AA1489" s="18" t="str" cm="1">
        <f t="array" ref="AA1489">IF(P1489="", "", _xlfn.XLOOKUP(P1489,#REF!,#REF!,NA,0,-1))</f>
        <v/>
      </c>
      <c r="AB1489" s="22"/>
      <c r="AC1489" s="55" t="s">
        <v>3498</v>
      </c>
      <c r="AD1489" s="55" t="str">
        <f>IF($AC1489="","",_xlfn.XLOOKUP($AC1489,'[2]Client Info'!$C$2:$C$2535,'[2]Client Info'!$D$2:$D$2535,"",0,1))</f>
        <v>526 Main ST</v>
      </c>
      <c r="AE1489" s="55" t="str">
        <f>IF($AC1489="","",_xlfn.XLOOKUP($AC1489,'[2]Client Info'!$C$2:$C$2715,'[2]Client Info'!$E$2:$E$2715,"",))</f>
        <v xml:space="preserve">SWAN RIVER </v>
      </c>
      <c r="AF1489" s="55" t="str">
        <f>IF($AC1489="","",_xlfn.XLOOKUP($AC1489,'[2]Client Info'!$C$2:$C$2715,'[2]Client Info'!$F$2:$F$2715,"",0,1))</f>
        <v>MB</v>
      </c>
      <c r="AG1489" s="55" t="str">
        <f>IF(ISBLANK(Table26[[#This Row],[customerSKU]]),"",_xlfn.XLOOKUP(Table26[[#This Row],[customerSKU]],Table27[customer_SKU],Table27[billto],"",0,1))</f>
        <v/>
      </c>
      <c r="AH1489" s="26" t="str">
        <f>_xlfn.XLOOKUP(Table26[[#This Row],[customerSKU]],customerSKU!G:G,customerSKU!K:K,"NA",0,1)</f>
        <v>NA</v>
      </c>
      <c r="AI1489" s="43" t="str">
        <f>_xlfn.XLOOKUP(Table26[[#This Row],[customerSKU]],customerSKU!G:G,customerSKU!O:O,"not found",0,1)</f>
        <v>not found</v>
      </c>
      <c r="AJ1489" s="22" t="e">
        <f>Table26[[#This Row],[unitprice]]*Table26[[#This Row],[quantity_unit]]</f>
        <v>#VALUE!</v>
      </c>
      <c r="AK1489" s="227" t="e" cm="1">
        <f t="array" ref="AK14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0" spans="1:37" ht="18" customHeight="1">
      <c r="A1490" s="42">
        <v>752</v>
      </c>
      <c r="B1490" s="42" t="s">
        <v>3357</v>
      </c>
      <c r="C1490" s="90" t="s">
        <v>203</v>
      </c>
      <c r="E1490" s="20"/>
      <c r="F14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0" s="93"/>
      <c r="I1490" s="19">
        <v>45756</v>
      </c>
      <c r="J1490" s="90" t="str">
        <f>IF(Table26[[#This Row],[customerSKU]]="","",_xlfn.XLOOKUP(Table26[[#This Row],[customerSKU]],customerSKU!G:G,customerSKU!A:A,"",0,1))</f>
        <v/>
      </c>
      <c r="K1490" s="232">
        <v>45763</v>
      </c>
      <c r="L1490" s="49" t="str">
        <f>IF(Table26[[#This Row],[customerSKU]]="","",_xlfn.XLOOKUP(Table26[[#This Row],[customerSKU]],customerSKU!G:G,customerSKU!B:B,"",0,1))</f>
        <v/>
      </c>
      <c r="M1490" s="22"/>
      <c r="N1490" s="15" t="str">
        <f>Table26[[#This Row],[po_number]]&amp;"-"&amp;Table26[[#This Row],[po_line]]</f>
        <v>-1</v>
      </c>
      <c r="O1490" s="15">
        <v>1</v>
      </c>
      <c r="P1490" s="50"/>
      <c r="Q1490" s="22" t="s">
        <v>682</v>
      </c>
      <c r="R1490" s="90" t="s">
        <v>569</v>
      </c>
      <c r="S1490" s="90" t="s">
        <v>114</v>
      </c>
      <c r="T1490" s="20">
        <v>45588</v>
      </c>
      <c r="U1490" s="94">
        <v>12</v>
      </c>
      <c r="V1490" s="22" t="str">
        <f>IF(ISBLANK(Table26[[#This Row],[customerSKU]]),"",_xlfn.XLOOKUP(Table26[[#This Row],[customerSKU]],Table27[customer_SKU],Table27[case_size],"",0,1))</f>
        <v/>
      </c>
      <c r="W1490" s="117" t="str">
        <f t="shared" si="63"/>
        <v/>
      </c>
      <c r="X1490" s="22" t="str">
        <f t="shared" si="64"/>
        <v/>
      </c>
      <c r="Y1490" s="25" t="str">
        <f>IF(Table26[[#This Row],[customerSKU]]="","",_xlfn.XLOOKUP(Table26[[#This Row],[customerSKU]],Table27[customer_SKU],Table27[product_GTIN],"",0,1))</f>
        <v/>
      </c>
      <c r="Z1490" s="25" t="s">
        <v>3392</v>
      </c>
      <c r="AA1490" s="18" t="str" cm="1">
        <f t="array" ref="AA1490">IF(P1490="", "", _xlfn.XLOOKUP(P1490,#REF!,#REF!,NA,0,-1))</f>
        <v/>
      </c>
      <c r="AB1490" s="22"/>
      <c r="AC1490" s="55" t="s">
        <v>174</v>
      </c>
      <c r="AD1490" s="55" t="str">
        <f>IF($AC1490="","",_xlfn.XLOOKUP($AC1490,'[2]Client Info'!$C$2:$C$2535,'[2]Client Info'!$D$2:$D$2535,"",0,1))</f>
        <v>700 West Broadway</v>
      </c>
      <c r="AE1490" s="55" t="str">
        <f>IF($AC1490="","",_xlfn.XLOOKUP($AC1490,'[2]Client Info'!$C$2:$C$2715,'[2]Client Info'!$E$2:$E$2715,"",))</f>
        <v>Vancouver</v>
      </c>
      <c r="AF1490" s="55" t="str">
        <f>IF($AC1490="","",_xlfn.XLOOKUP($AC1490,'[2]Client Info'!$C$2:$C$2715,'[2]Client Info'!$F$2:$F$2715,"",0,1))</f>
        <v>BC</v>
      </c>
      <c r="AG1490" s="55" t="s">
        <v>174</v>
      </c>
      <c r="AH1490" s="26" t="str">
        <f>_xlfn.XLOOKUP(Table26[[#This Row],[customerSKU]],customerSKU!G:G,customerSKU!K:K,"NA",0,1)</f>
        <v>NA</v>
      </c>
      <c r="AI1490" s="43" t="str">
        <f>_xlfn.XLOOKUP(Table26[[#This Row],[customerSKU]],customerSKU!G:G,customerSKU!O:O,"not found",0,1)</f>
        <v>not found</v>
      </c>
      <c r="AJ1490" s="22" t="e">
        <f>Table26[[#This Row],[unitprice]]*Table26[[#This Row],[quantity_unit]]</f>
        <v>#VALUE!</v>
      </c>
      <c r="AK1490" s="227" t="e" cm="1">
        <f t="array" ref="AK14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491" spans="1:37" ht="18" customHeight="1">
      <c r="A1491" s="42">
        <v>753</v>
      </c>
      <c r="B1491" s="42" t="s">
        <v>3357</v>
      </c>
      <c r="C1491" s="53" t="s">
        <v>203</v>
      </c>
      <c r="E1491" s="20"/>
      <c r="F14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1" s="93"/>
      <c r="I1491" s="19">
        <v>45758</v>
      </c>
      <c r="J1491" s="90" t="str">
        <f>IF(Table26[[#This Row],[customerSKU]]="","",_xlfn.XLOOKUP(Table26[[#This Row],[customerSKU]],customerSKU!G:G,customerSKU!A:A,"",0,1))</f>
        <v/>
      </c>
      <c r="K1491" s="232">
        <v>45763</v>
      </c>
      <c r="L1491" s="49" t="str">
        <f>IF(Table26[[#This Row],[customerSKU]]="","",_xlfn.XLOOKUP(Table26[[#This Row],[customerSKU]],customerSKU!G:G,customerSKU!B:B,"",0,1))</f>
        <v/>
      </c>
      <c r="M1491" s="22"/>
      <c r="N1491" s="15" t="str">
        <f>Table26[[#This Row],[po_number]]&amp;"-"&amp;Table26[[#This Row],[po_line]]</f>
        <v>-1</v>
      </c>
      <c r="O1491" s="15">
        <v>1</v>
      </c>
      <c r="P1491" s="50"/>
      <c r="Q1491" s="22" t="s">
        <v>1682</v>
      </c>
      <c r="R1491" s="22" t="s">
        <v>569</v>
      </c>
      <c r="S1491" s="90" t="str">
        <f>IF(Table26[[#This Row],[customerSKU]]="","",_xlfn.XLOOKUP(Table26[[#This Row],[customerSKU]],customerSKU!G:G,customerSKU!N:N,"NOT FOUND",0,1))</f>
        <v>NOT FOUND</v>
      </c>
      <c r="T1491" s="20">
        <v>45763</v>
      </c>
      <c r="U1491" s="94">
        <v>12</v>
      </c>
      <c r="V1491" s="22" t="str">
        <f>IF(ISBLANK(Table26[[#This Row],[customerSKU]]),"",_xlfn.XLOOKUP(Table26[[#This Row],[customerSKU]],Table27[customer_SKU],Table27[case_size],"",0,1))</f>
        <v/>
      </c>
      <c r="W1491" s="117" t="str">
        <f t="shared" si="63"/>
        <v/>
      </c>
      <c r="X1491" s="22" t="str">
        <f t="shared" si="64"/>
        <v/>
      </c>
      <c r="Y1491" s="25" t="str">
        <f>IF(Table26[[#This Row],[customerSKU]]="","",_xlfn.XLOOKUP(Table26[[#This Row],[customerSKU]],Table27[customer_SKU],Table27[product_GTIN],"",0,1))</f>
        <v/>
      </c>
      <c r="Z1491" s="25" t="s">
        <v>3477</v>
      </c>
      <c r="AA1491" s="18" t="str" cm="1">
        <f t="array" ref="AA1491">IF(P1491="", "", _xlfn.XLOOKUP(P1491,#REF!,#REF!,NA,0,-1))</f>
        <v/>
      </c>
      <c r="AB1491" s="22"/>
      <c r="AC1491" s="55" t="str">
        <f>IF(Table26[[#This Row],[customerSKU]]="","",_xlfn.XLOOKUP(Table26[[#This Row],[customerSKU]],customerSKU!G:G,customerSKU!C:C,"",0,1))</f>
        <v/>
      </c>
      <c r="AD1491" s="55" t="str">
        <f>IF($AC1491="","",_xlfn.XLOOKUP($AC1491,'[2]Client Info'!$C$2:$C$2535,'[2]Client Info'!$D$2:$D$2535,"",0,1))</f>
        <v/>
      </c>
      <c r="AE1491" s="55" t="str">
        <f>IF($AC1491="","",_xlfn.XLOOKUP($AC1491,'[2]Client Info'!$C$2:$C$2715,'[2]Client Info'!$E$2:$E$2715,"",))</f>
        <v/>
      </c>
      <c r="AF1491" s="55" t="str">
        <f>IF($AC1491="","",_xlfn.XLOOKUP($AC1491,'[2]Client Info'!$C$2:$C$2715,'[2]Client Info'!$F$2:$F$2715,"",0,1))</f>
        <v/>
      </c>
      <c r="AG1491" s="55" t="str">
        <f>IF(ISBLANK(Table26[[#This Row],[customerSKU]]),"",_xlfn.XLOOKUP(Table26[[#This Row],[customerSKU]],Table27[customer_SKU],Table27[billto],"",0,1))</f>
        <v/>
      </c>
      <c r="AH1491" s="26" t="str">
        <f>_xlfn.XLOOKUP(Table26[[#This Row],[customerSKU]],customerSKU!G:G,customerSKU!K:K,"NA",0,1)</f>
        <v>NA</v>
      </c>
      <c r="AI1491" s="43" t="str">
        <f>_xlfn.XLOOKUP(Table26[[#This Row],[customerSKU]],customerSKU!G:G,customerSKU!O:O,"not found",0,1)</f>
        <v>not found</v>
      </c>
      <c r="AJ1491" s="22" t="e">
        <f>Table26[[#This Row],[unitprice]]*Table26[[#This Row],[quantity_unit]]</f>
        <v>#VALUE!</v>
      </c>
      <c r="AK1491" s="227" t="e" cm="1">
        <f t="array" ref="AK14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2" spans="1:37" ht="18" customHeight="1">
      <c r="A1492" s="42">
        <v>754</v>
      </c>
      <c r="B1492" s="42" t="s">
        <v>3357</v>
      </c>
      <c r="C1492" s="53" t="s">
        <v>203</v>
      </c>
      <c r="E1492" s="20"/>
      <c r="F14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2" s="93"/>
      <c r="I1492" s="19">
        <v>45758</v>
      </c>
      <c r="J1492" s="90" t="str">
        <f>IF(Table26[[#This Row],[customerSKU]]="","",_xlfn.XLOOKUP(Table26[[#This Row],[customerSKU]],customerSKU!G:G,customerSKU!A:A,"",0,1))</f>
        <v/>
      </c>
      <c r="K1492" s="232">
        <v>45763</v>
      </c>
      <c r="L1492" s="49" t="str">
        <f>IF(Table26[[#This Row],[customerSKU]]="","",_xlfn.XLOOKUP(Table26[[#This Row],[customerSKU]],customerSKU!G:G,customerSKU!B:B,"",0,1))</f>
        <v/>
      </c>
      <c r="M1492" s="22"/>
      <c r="N1492" s="15" t="str">
        <f>Table26[[#This Row],[po_number]]&amp;"-"&amp;Table26[[#This Row],[po_line]]</f>
        <v>-2</v>
      </c>
      <c r="O1492" s="15">
        <v>2</v>
      </c>
      <c r="P1492" s="50"/>
      <c r="Q1492" s="22" t="s">
        <v>981</v>
      </c>
      <c r="R1492" s="22" t="s">
        <v>569</v>
      </c>
      <c r="S1492" s="90" t="str">
        <f>IF(Table26[[#This Row],[customerSKU]]="","",_xlfn.XLOOKUP(Table26[[#This Row],[customerSKU]],customerSKU!G:G,customerSKU!N:N,"NOT FOUND",0,1))</f>
        <v>NOT FOUND</v>
      </c>
      <c r="T1492" s="20">
        <v>45531</v>
      </c>
      <c r="U1492" s="94">
        <v>24</v>
      </c>
      <c r="V1492" s="22" t="str">
        <f>IF(ISBLANK(Table26[[#This Row],[customerSKU]]),"",_xlfn.XLOOKUP(Table26[[#This Row],[customerSKU]],Table27[customer_SKU],Table27[case_size],"",0,1))</f>
        <v/>
      </c>
      <c r="W1492" s="117" t="str">
        <f t="shared" si="63"/>
        <v/>
      </c>
      <c r="X1492" s="22" t="str">
        <f t="shared" si="64"/>
        <v/>
      </c>
      <c r="Y1492" s="25" t="str">
        <f>IF(Table26[[#This Row],[customerSKU]]="","",_xlfn.XLOOKUP(Table26[[#This Row],[customerSKU]],Table27[customer_SKU],Table27[product_GTIN],"",0,1))</f>
        <v/>
      </c>
      <c r="Z1492" s="28" t="s">
        <v>3478</v>
      </c>
      <c r="AA1492" s="18" t="str" cm="1">
        <f t="array" ref="AA1492">IF(P1492="", "", _xlfn.XLOOKUP(P1492,#REF!,#REF!,NA,0,-1))</f>
        <v/>
      </c>
      <c r="AB1492" s="22"/>
      <c r="AC1492" s="55" t="str">
        <f>IF(Table26[[#This Row],[customerSKU]]="","",_xlfn.XLOOKUP(Table26[[#This Row],[customerSKU]],customerSKU!G:G,customerSKU!C:C,"",0,1))</f>
        <v/>
      </c>
      <c r="AD1492" s="55" t="str">
        <f>IF($AC1492="","",_xlfn.XLOOKUP($AC1492,'[2]Client Info'!$C$2:$C$2535,'[2]Client Info'!$D$2:$D$2535,"",0,1))</f>
        <v/>
      </c>
      <c r="AE1492" s="55" t="str">
        <f>IF($AC1492="","",_xlfn.XLOOKUP($AC1492,'[2]Client Info'!$C$2:$C$2715,'[2]Client Info'!$E$2:$E$2715,"",))</f>
        <v/>
      </c>
      <c r="AF1492" s="55" t="str">
        <f>IF($AC1492="","",_xlfn.XLOOKUP($AC1492,'[2]Client Info'!$C$2:$C$2715,'[2]Client Info'!$F$2:$F$2715,"",0,1))</f>
        <v/>
      </c>
      <c r="AG1492" s="55" t="str">
        <f>IF(ISBLANK(Table26[[#This Row],[customerSKU]]),"",_xlfn.XLOOKUP(Table26[[#This Row],[customerSKU]],Table27[customer_SKU],Table27[billto],"",0,1))</f>
        <v/>
      </c>
      <c r="AH1492" s="26" t="str">
        <f>_xlfn.XLOOKUP(Table26[[#This Row],[customerSKU]],customerSKU!G:G,customerSKU!K:K,"NA",0,1)</f>
        <v>NA</v>
      </c>
      <c r="AI1492" s="43" t="str">
        <f>_xlfn.XLOOKUP(Table26[[#This Row],[customerSKU]],customerSKU!G:G,customerSKU!O:O,"not found",0,1)</f>
        <v>not found</v>
      </c>
      <c r="AJ1492" s="22" t="e">
        <f>Table26[[#This Row],[unitprice]]*Table26[[#This Row],[quantity_unit]]</f>
        <v>#VALUE!</v>
      </c>
      <c r="AK1492" s="227" t="e" cm="1">
        <f t="array" ref="AK14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3" spans="1:37" ht="24.6" customHeight="1">
      <c r="A1493" s="42">
        <v>755</v>
      </c>
      <c r="B1493" s="42" t="s">
        <v>3357</v>
      </c>
      <c r="C1493" s="53" t="s">
        <v>203</v>
      </c>
      <c r="E1493" s="20"/>
      <c r="F14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3" s="93"/>
      <c r="I1493" s="19">
        <v>45758</v>
      </c>
      <c r="J1493" s="90" t="str">
        <f>IF(Table26[[#This Row],[customerSKU]]="","",_xlfn.XLOOKUP(Table26[[#This Row],[customerSKU]],customerSKU!G:G,customerSKU!A:A,"",0,1))</f>
        <v/>
      </c>
      <c r="K1493" s="232">
        <v>45763</v>
      </c>
      <c r="L1493" s="49" t="str">
        <f>IF(Table26[[#This Row],[customerSKU]]="","",_xlfn.XLOOKUP(Table26[[#This Row],[customerSKU]],customerSKU!G:G,customerSKU!B:B,"",0,1))</f>
        <v/>
      </c>
      <c r="M1493" s="22"/>
      <c r="N1493" s="15" t="str">
        <f>Table26[[#This Row],[po_number]]&amp;"-"&amp;Table26[[#This Row],[po_line]]</f>
        <v>-3</v>
      </c>
      <c r="O1493" s="15">
        <v>3</v>
      </c>
      <c r="P1493" s="50"/>
      <c r="Q1493" s="22" t="s">
        <v>1691</v>
      </c>
      <c r="R1493" s="22" t="s">
        <v>569</v>
      </c>
      <c r="S1493" s="90" t="str">
        <f>IF(Table26[[#This Row],[customerSKU]]="","",_xlfn.XLOOKUP(Table26[[#This Row],[customerSKU]],customerSKU!G:G,customerSKU!N:N,"NOT FOUND",0,1))</f>
        <v>NOT FOUND</v>
      </c>
      <c r="T1493" s="20">
        <v>45735</v>
      </c>
      <c r="U1493" s="94">
        <v>24</v>
      </c>
      <c r="V1493" s="22" t="str">
        <f>IF(ISBLANK(Table26[[#This Row],[customerSKU]]),"",_xlfn.XLOOKUP(Table26[[#This Row],[customerSKU]],Table27[customer_SKU],Table27[case_size],"",0,1))</f>
        <v/>
      </c>
      <c r="W1493" s="117" t="str">
        <f t="shared" si="63"/>
        <v/>
      </c>
      <c r="X1493" s="22" t="str">
        <f t="shared" si="64"/>
        <v/>
      </c>
      <c r="Y1493" s="25" t="str">
        <f>IF(Table26[[#This Row],[customerSKU]]="","",_xlfn.XLOOKUP(Table26[[#This Row],[customerSKU]],Table27[customer_SKU],Table27[product_GTIN],"",0,1))</f>
        <v/>
      </c>
      <c r="Z1493" s="25" t="s">
        <v>3479</v>
      </c>
      <c r="AA1493" s="18" t="str" cm="1">
        <f t="array" ref="AA1493">IF(P1493="", "", _xlfn.XLOOKUP(P1493,#REF!,#REF!,NA,0,-1))</f>
        <v/>
      </c>
      <c r="AB1493" s="22"/>
      <c r="AC1493" s="55" t="str">
        <f>IF(Table26[[#This Row],[customerSKU]]="","",_xlfn.XLOOKUP(Table26[[#This Row],[customerSKU]],customerSKU!G:G,customerSKU!C:C,"",0,1))</f>
        <v/>
      </c>
      <c r="AD1493" s="55" t="str">
        <f>IF($AC1493="","",_xlfn.XLOOKUP($AC1493,'[2]Client Info'!$C$2:$C$2535,'[2]Client Info'!$D$2:$D$2535,"",0,1))</f>
        <v/>
      </c>
      <c r="AE1493" s="55" t="str">
        <f>IF($AC1493="","",_xlfn.XLOOKUP($AC1493,'[2]Client Info'!$C$2:$C$2715,'[2]Client Info'!$E$2:$E$2715,"",))</f>
        <v/>
      </c>
      <c r="AF1493" s="55" t="str">
        <f>IF($AC1493="","",_xlfn.XLOOKUP($AC1493,'[2]Client Info'!$C$2:$C$2715,'[2]Client Info'!$F$2:$F$2715,"",0,1))</f>
        <v/>
      </c>
      <c r="AG1493" s="55" t="str">
        <f>IF(ISBLANK(Table26[[#This Row],[customerSKU]]),"",_xlfn.XLOOKUP(Table26[[#This Row],[customerSKU]],Table27[customer_SKU],Table27[billto],"",0,1))</f>
        <v/>
      </c>
      <c r="AH1493" s="26" t="str">
        <f>_xlfn.XLOOKUP(Table26[[#This Row],[customerSKU]],customerSKU!G:G,customerSKU!K:K,"NA",0,1)</f>
        <v>NA</v>
      </c>
      <c r="AI1493" s="43" t="str">
        <f>_xlfn.XLOOKUP(Table26[[#This Row],[customerSKU]],customerSKU!G:G,customerSKU!O:O,"not found",0,1)</f>
        <v>not found</v>
      </c>
      <c r="AJ1493" s="22" t="e">
        <f>Table26[[#This Row],[unitprice]]*Table26[[#This Row],[quantity_unit]]</f>
        <v>#VALUE!</v>
      </c>
      <c r="AK1493" s="227" t="e" cm="1">
        <f t="array" ref="AK14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4" spans="1:37" ht="24.6" customHeight="1">
      <c r="A1494" s="42">
        <v>756</v>
      </c>
      <c r="B1494" s="42" t="s">
        <v>3357</v>
      </c>
      <c r="C1494" s="53" t="s">
        <v>203</v>
      </c>
      <c r="E1494" s="20"/>
      <c r="F14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4" s="93"/>
      <c r="I1494" s="19">
        <v>45758</v>
      </c>
      <c r="J1494" s="90" t="str">
        <f>IF(Table26[[#This Row],[customerSKU]]="","",_xlfn.XLOOKUP(Table26[[#This Row],[customerSKU]],customerSKU!G:G,customerSKU!A:A,"",0,1))</f>
        <v/>
      </c>
      <c r="K1494" s="232">
        <v>45763</v>
      </c>
      <c r="L1494" s="49" t="str">
        <f>IF(Table26[[#This Row],[customerSKU]]="","",_xlfn.XLOOKUP(Table26[[#This Row],[customerSKU]],customerSKU!G:G,customerSKU!B:B,"",0,1))</f>
        <v/>
      </c>
      <c r="M1494" s="22"/>
      <c r="N1494" s="15" t="str">
        <f>Table26[[#This Row],[po_number]]&amp;"-"&amp;Table26[[#This Row],[po_line]]</f>
        <v>-4</v>
      </c>
      <c r="O1494" s="15">
        <v>4</v>
      </c>
      <c r="P1494" s="50"/>
      <c r="Q1494" s="22" t="s">
        <v>1660</v>
      </c>
      <c r="R1494" s="22" t="s">
        <v>569</v>
      </c>
      <c r="S1494" s="90" t="str">
        <f>IF(Table26[[#This Row],[customerSKU]]="","",_xlfn.XLOOKUP(Table26[[#This Row],[customerSKU]],customerSKU!G:G,customerSKU!N:N,"NOT FOUND",0,1))</f>
        <v>NOT FOUND</v>
      </c>
      <c r="T1494" s="20">
        <v>45763</v>
      </c>
      <c r="U1494" s="94">
        <v>12</v>
      </c>
      <c r="V1494" s="22" t="str">
        <f>IF(ISBLANK(Table26[[#This Row],[customerSKU]]),"",_xlfn.XLOOKUP(Table26[[#This Row],[customerSKU]],Table27[customer_SKU],Table27[case_size],"",0,1))</f>
        <v/>
      </c>
      <c r="W1494" s="117" t="str">
        <f t="shared" si="63"/>
        <v/>
      </c>
      <c r="X1494" s="22" t="str">
        <f t="shared" si="64"/>
        <v/>
      </c>
      <c r="Y1494" s="25" t="str">
        <f>IF(Table26[[#This Row],[customerSKU]]="","",_xlfn.XLOOKUP(Table26[[#This Row],[customerSKU]],Table27[customer_SKU],Table27[product_GTIN],"",0,1))</f>
        <v/>
      </c>
      <c r="Z1494" s="25" t="s">
        <v>3480</v>
      </c>
      <c r="AA1494" s="18" t="str" cm="1">
        <f t="array" ref="AA1494">IF(P1494="", "", _xlfn.XLOOKUP(P1494,#REF!,#REF!,NA,0,-1))</f>
        <v/>
      </c>
      <c r="AB1494" s="22"/>
      <c r="AC1494" s="55" t="str">
        <f>IF(Table26[[#This Row],[customerSKU]]="","",_xlfn.XLOOKUP(Table26[[#This Row],[customerSKU]],customerSKU!G:G,customerSKU!C:C,"",0,1))</f>
        <v/>
      </c>
      <c r="AD1494" s="55" t="str">
        <f>IF($AC1494="","",_xlfn.XLOOKUP($AC1494,'[2]Client Info'!$C$2:$C$2535,'[2]Client Info'!$D$2:$D$2535,"",0,1))</f>
        <v/>
      </c>
      <c r="AE1494" s="55" t="str">
        <f>IF($AC1494="","",_xlfn.XLOOKUP($AC1494,'[2]Client Info'!$C$2:$C$2715,'[2]Client Info'!$E$2:$E$2715,"",))</f>
        <v/>
      </c>
      <c r="AF1494" s="55" t="str">
        <f>IF($AC1494="","",_xlfn.XLOOKUP($AC1494,'[2]Client Info'!$C$2:$C$2715,'[2]Client Info'!$F$2:$F$2715,"",0,1))</f>
        <v/>
      </c>
      <c r="AG1494" s="55" t="str">
        <f>IF(ISBLANK(Table26[[#This Row],[customerSKU]]),"",_xlfn.XLOOKUP(Table26[[#This Row],[customerSKU]],Table27[customer_SKU],Table27[billto],"",0,1))</f>
        <v/>
      </c>
      <c r="AH1494" s="26" t="str">
        <f>_xlfn.XLOOKUP(Table26[[#This Row],[customerSKU]],customerSKU!G:G,customerSKU!K:K,"NA",0,1)</f>
        <v>NA</v>
      </c>
      <c r="AI1494" s="43" t="str">
        <f>_xlfn.XLOOKUP(Table26[[#This Row],[customerSKU]],customerSKU!G:G,customerSKU!O:O,"not found",0,1)</f>
        <v>not found</v>
      </c>
      <c r="AJ1494" s="22" t="e">
        <f>Table26[[#This Row],[unitprice]]*Table26[[#This Row],[quantity_unit]]</f>
        <v>#VALUE!</v>
      </c>
      <c r="AK1494" s="227" t="e" cm="1">
        <f t="array" ref="AK14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5" spans="1:37" ht="24.6" customHeight="1">
      <c r="A1495" s="42">
        <v>757</v>
      </c>
      <c r="B1495" s="42" t="s">
        <v>3357</v>
      </c>
      <c r="C1495" s="53" t="s">
        <v>203</v>
      </c>
      <c r="E1495" s="20"/>
      <c r="F14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5" s="93"/>
      <c r="I1495" s="19">
        <v>45758</v>
      </c>
      <c r="J1495" s="90" t="str">
        <f>IF(Table26[[#This Row],[customerSKU]]="","",_xlfn.XLOOKUP(Table26[[#This Row],[customerSKU]],customerSKU!G:G,customerSKU!A:A,"",0,1))</f>
        <v/>
      </c>
      <c r="K1495" s="232">
        <v>45763</v>
      </c>
      <c r="L1495" s="49" t="str">
        <f>IF(Table26[[#This Row],[customerSKU]]="","",_xlfn.XLOOKUP(Table26[[#This Row],[customerSKU]],customerSKU!G:G,customerSKU!B:B,"",0,1))</f>
        <v/>
      </c>
      <c r="M1495" s="22"/>
      <c r="N1495" s="15" t="str">
        <f>Table26[[#This Row],[po_number]]&amp;"-"&amp;Table26[[#This Row],[po_line]]</f>
        <v>-5</v>
      </c>
      <c r="O1495" s="15">
        <v>5</v>
      </c>
      <c r="P1495" s="50"/>
      <c r="Q1495" s="22" t="s">
        <v>1829</v>
      </c>
      <c r="R1495" s="22" t="s">
        <v>569</v>
      </c>
      <c r="S1495" s="90" t="str">
        <f>IF(Table26[[#This Row],[customerSKU]]="","",_xlfn.XLOOKUP(Table26[[#This Row],[customerSKU]],customerSKU!G:G,customerSKU!N:N,"NOT FOUND",0,1))</f>
        <v>NOT FOUND</v>
      </c>
      <c r="T1495" s="20">
        <v>45721</v>
      </c>
      <c r="U1495" s="94">
        <v>12</v>
      </c>
      <c r="V1495" s="22" t="str">
        <f>IF(ISBLANK(Table26[[#This Row],[customerSKU]]),"",_xlfn.XLOOKUP(Table26[[#This Row],[customerSKU]],Table27[customer_SKU],Table27[case_size],"",0,1))</f>
        <v/>
      </c>
      <c r="W1495" s="117" t="str">
        <f t="shared" si="63"/>
        <v/>
      </c>
      <c r="X1495" s="22" t="str">
        <f t="shared" si="64"/>
        <v/>
      </c>
      <c r="Y1495" s="25" t="str">
        <f>IF(Table26[[#This Row],[customerSKU]]="","",_xlfn.XLOOKUP(Table26[[#This Row],[customerSKU]],Table27[customer_SKU],Table27[product_GTIN],"",0,1))</f>
        <v/>
      </c>
      <c r="Z1495" s="25" t="s">
        <v>3481</v>
      </c>
      <c r="AA1495" s="18" t="str" cm="1">
        <f t="array" ref="AA1495">IF(P1495="", "", _xlfn.XLOOKUP(P1495,#REF!,#REF!,NA,0,-1))</f>
        <v/>
      </c>
      <c r="AB1495" s="22"/>
      <c r="AC1495" s="55" t="str">
        <f>IF(Table26[[#This Row],[customerSKU]]="","",_xlfn.XLOOKUP(Table26[[#This Row],[customerSKU]],customerSKU!G:G,customerSKU!C:C,"",0,1))</f>
        <v/>
      </c>
      <c r="AD1495" s="55" t="str">
        <f>IF($AC1495="","",_xlfn.XLOOKUP($AC1495,'[2]Client Info'!$C$2:$C$2535,'[2]Client Info'!$D$2:$D$2535,"",0,1))</f>
        <v/>
      </c>
      <c r="AE1495" s="55" t="str">
        <f>IF($AC1495="","",_xlfn.XLOOKUP($AC1495,'[2]Client Info'!$C$2:$C$2715,'[2]Client Info'!$E$2:$E$2715,"",))</f>
        <v/>
      </c>
      <c r="AF1495" s="55" t="str">
        <f>IF($AC1495="","",_xlfn.XLOOKUP($AC1495,'[2]Client Info'!$C$2:$C$2715,'[2]Client Info'!$F$2:$F$2715,"",0,1))</f>
        <v/>
      </c>
      <c r="AG1495" s="55" t="str">
        <f>IF(ISBLANK(Table26[[#This Row],[customerSKU]]),"",_xlfn.XLOOKUP(Table26[[#This Row],[customerSKU]],Table27[customer_SKU],Table27[billto],"",0,1))</f>
        <v/>
      </c>
      <c r="AH1495" s="26" t="str">
        <f>_xlfn.XLOOKUP(Table26[[#This Row],[customerSKU]],customerSKU!G:G,customerSKU!K:K,"NA",0,1)</f>
        <v>NA</v>
      </c>
      <c r="AI1495" s="43" t="str">
        <f>_xlfn.XLOOKUP(Table26[[#This Row],[customerSKU]],customerSKU!G:G,customerSKU!O:O,"not found",0,1)</f>
        <v>not found</v>
      </c>
      <c r="AJ1495" s="22" t="e">
        <f>Table26[[#This Row],[unitprice]]*Table26[[#This Row],[quantity_unit]]</f>
        <v>#VALUE!</v>
      </c>
      <c r="AK1495" s="227" t="e" cm="1">
        <f t="array" ref="AK14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6" spans="1:37" ht="18" customHeight="1">
      <c r="A1496" s="42">
        <v>758</v>
      </c>
      <c r="B1496" s="42" t="s">
        <v>3357</v>
      </c>
      <c r="C1496" s="53" t="s">
        <v>203</v>
      </c>
      <c r="E1496" s="20"/>
      <c r="F14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6" s="93"/>
      <c r="I1496" s="19">
        <v>45758</v>
      </c>
      <c r="J1496" s="90" t="str">
        <f>IF(Table26[[#This Row],[customerSKU]]="","",_xlfn.XLOOKUP(Table26[[#This Row],[customerSKU]],customerSKU!G:G,customerSKU!A:A,"",0,1))</f>
        <v/>
      </c>
      <c r="K1496" s="232">
        <v>45763</v>
      </c>
      <c r="L1496" s="49" t="str">
        <f>IF(Table26[[#This Row],[customerSKU]]="","",_xlfn.XLOOKUP(Table26[[#This Row],[customerSKU]],customerSKU!G:G,customerSKU!B:B,"",0,1))</f>
        <v/>
      </c>
      <c r="M1496" s="22"/>
      <c r="N1496" s="15" t="str">
        <f>Table26[[#This Row],[po_number]]&amp;"-"&amp;Table26[[#This Row],[po_line]]</f>
        <v>-6</v>
      </c>
      <c r="O1496" s="15">
        <v>6</v>
      </c>
      <c r="P1496" s="50"/>
      <c r="Q1496" s="22" t="s">
        <v>612</v>
      </c>
      <c r="R1496" s="22" t="s">
        <v>569</v>
      </c>
      <c r="S1496" s="90" t="str">
        <f>IF(Table26[[#This Row],[customerSKU]]="","",_xlfn.XLOOKUP(Table26[[#This Row],[customerSKU]],customerSKU!G:G,customerSKU!N:N,"NOT FOUND",0,1))</f>
        <v>NOT FOUND</v>
      </c>
      <c r="T1496" s="20">
        <v>45756</v>
      </c>
      <c r="U1496" s="94">
        <v>36</v>
      </c>
      <c r="V1496" s="22" t="str">
        <f>IF(ISBLANK(Table26[[#This Row],[customerSKU]]),"",_xlfn.XLOOKUP(Table26[[#This Row],[customerSKU]],Table27[customer_SKU],Table27[case_size],"",0,1))</f>
        <v/>
      </c>
      <c r="W1496" s="117" t="str">
        <f t="shared" si="63"/>
        <v/>
      </c>
      <c r="X1496" s="22" t="str">
        <f t="shared" si="64"/>
        <v/>
      </c>
      <c r="Y1496" s="25" t="str">
        <f>IF(Table26[[#This Row],[customerSKU]]="","",_xlfn.XLOOKUP(Table26[[#This Row],[customerSKU]],Table27[customer_SKU],Table27[product_GTIN],"",0,1))</f>
        <v/>
      </c>
      <c r="Z1496" s="25" t="s">
        <v>3482</v>
      </c>
      <c r="AA1496" s="18" t="str" cm="1">
        <f t="array" ref="AA1496">IF(P1496="", "", _xlfn.XLOOKUP(P1496,#REF!,#REF!,NA,0,-1))</f>
        <v/>
      </c>
      <c r="AB1496" s="22"/>
      <c r="AC1496" s="55" t="str">
        <f>IF(Table26[[#This Row],[customerSKU]]="","",_xlfn.XLOOKUP(Table26[[#This Row],[customerSKU]],customerSKU!G:G,customerSKU!C:C,"",0,1))</f>
        <v/>
      </c>
      <c r="AD1496" s="55" t="str">
        <f>IF($AC1496="","",_xlfn.XLOOKUP($AC1496,'[2]Client Info'!$C$2:$C$2535,'[2]Client Info'!$D$2:$D$2535,"",0,1))</f>
        <v/>
      </c>
      <c r="AE1496" s="55" t="str">
        <f>IF($AC1496="","",_xlfn.XLOOKUP($AC1496,'[2]Client Info'!$C$2:$C$2715,'[2]Client Info'!$E$2:$E$2715,"",))</f>
        <v/>
      </c>
      <c r="AF1496" s="55" t="str">
        <f>IF($AC1496="","",_xlfn.XLOOKUP($AC1496,'[2]Client Info'!$C$2:$C$2715,'[2]Client Info'!$F$2:$F$2715,"",0,1))</f>
        <v/>
      </c>
      <c r="AG1496" s="55" t="str">
        <f>IF(ISBLANK(Table26[[#This Row],[customerSKU]]),"",_xlfn.XLOOKUP(Table26[[#This Row],[customerSKU]],Table27[customer_SKU],Table27[billto],"",0,1))</f>
        <v/>
      </c>
      <c r="AH1496" s="26" t="str">
        <f>_xlfn.XLOOKUP(Table26[[#This Row],[customerSKU]],customerSKU!G:G,customerSKU!K:K,"NA",0,1)</f>
        <v>NA</v>
      </c>
      <c r="AI1496" s="43" t="str">
        <f>_xlfn.XLOOKUP(Table26[[#This Row],[customerSKU]],customerSKU!G:G,customerSKU!O:O,"not found",0,1)</f>
        <v>not found</v>
      </c>
      <c r="AJ1496" s="22" t="e">
        <f>Table26[[#This Row],[unitprice]]*Table26[[#This Row],[quantity_unit]]</f>
        <v>#VALUE!</v>
      </c>
      <c r="AK1496" s="227" t="e" cm="1">
        <f t="array" ref="AK14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7" spans="1:37" ht="18" customHeight="1">
      <c r="A1497" s="42">
        <v>759</v>
      </c>
      <c r="B1497" s="42" t="s">
        <v>3357</v>
      </c>
      <c r="C1497" s="53" t="s">
        <v>203</v>
      </c>
      <c r="E1497" s="20"/>
      <c r="F14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7" s="93"/>
      <c r="I1497" s="19">
        <v>45758</v>
      </c>
      <c r="J1497" s="90" t="str">
        <f>IF(Table26[[#This Row],[customerSKU]]="","",_xlfn.XLOOKUP(Table26[[#This Row],[customerSKU]],customerSKU!G:G,customerSKU!A:A,"",0,1))</f>
        <v/>
      </c>
      <c r="K1497" s="232">
        <v>45763</v>
      </c>
      <c r="L1497" s="49" t="str">
        <f>IF(Table26[[#This Row],[customerSKU]]="","",_xlfn.XLOOKUP(Table26[[#This Row],[customerSKU]],customerSKU!G:G,customerSKU!B:B,"",0,1))</f>
        <v/>
      </c>
      <c r="M1497" s="22"/>
      <c r="N1497" s="15" t="str">
        <f>Table26[[#This Row],[po_number]]&amp;"-"&amp;Table26[[#This Row],[po_line]]</f>
        <v>-7</v>
      </c>
      <c r="O1497" s="15">
        <v>7</v>
      </c>
      <c r="P1497" s="50"/>
      <c r="Q1497" s="22" t="s">
        <v>630</v>
      </c>
      <c r="R1497" s="22" t="s">
        <v>569</v>
      </c>
      <c r="S1497" s="90" t="str">
        <f>IF(Table26[[#This Row],[customerSKU]]="","",_xlfn.XLOOKUP(Table26[[#This Row],[customerSKU]],customerSKU!G:G,customerSKU!N:N,"NOT FOUND",0,1))</f>
        <v>NOT FOUND</v>
      </c>
      <c r="T1497" s="20">
        <v>45707</v>
      </c>
      <c r="U1497" s="94">
        <v>36</v>
      </c>
      <c r="V1497" s="22" t="str">
        <f>IF(ISBLANK(Table26[[#This Row],[customerSKU]]),"",_xlfn.XLOOKUP(Table26[[#This Row],[customerSKU]],Table27[customer_SKU],Table27[case_size],"",0,1))</f>
        <v/>
      </c>
      <c r="W1497" s="117" t="str">
        <f t="shared" si="63"/>
        <v/>
      </c>
      <c r="X1497" s="22" t="str">
        <f t="shared" si="64"/>
        <v/>
      </c>
      <c r="Y1497" s="25" t="str">
        <f>IF(Table26[[#This Row],[customerSKU]]="","",_xlfn.XLOOKUP(Table26[[#This Row],[customerSKU]],Table27[customer_SKU],Table27[product_GTIN],"",0,1))</f>
        <v/>
      </c>
      <c r="Z1497" s="25" t="s">
        <v>3483</v>
      </c>
      <c r="AA1497" s="18" t="str" cm="1">
        <f t="array" ref="AA1497">IF(P1497="", "", _xlfn.XLOOKUP(P1497,#REF!,#REF!,NA,0,-1))</f>
        <v/>
      </c>
      <c r="AB1497" s="22"/>
      <c r="AC1497" s="55" t="str">
        <f>IF(Table26[[#This Row],[customerSKU]]="","",_xlfn.XLOOKUP(Table26[[#This Row],[customerSKU]],customerSKU!G:G,customerSKU!C:C,"",0,1))</f>
        <v/>
      </c>
      <c r="AD1497" s="55" t="str">
        <f>IF($AC1497="","",_xlfn.XLOOKUP($AC1497,'[2]Client Info'!$C$2:$C$2535,'[2]Client Info'!$D$2:$D$2535,"",0,1))</f>
        <v/>
      </c>
      <c r="AE1497" s="55" t="str">
        <f>IF($AC1497="","",_xlfn.XLOOKUP($AC1497,'[2]Client Info'!$C$2:$C$2715,'[2]Client Info'!$E$2:$E$2715,"",))</f>
        <v/>
      </c>
      <c r="AF1497" s="55" t="str">
        <f>IF($AC1497="","",_xlfn.XLOOKUP($AC1497,'[2]Client Info'!$C$2:$C$2715,'[2]Client Info'!$F$2:$F$2715,"",0,1))</f>
        <v/>
      </c>
      <c r="AG1497" s="55" t="str">
        <f>IF(ISBLANK(Table26[[#This Row],[customerSKU]]),"",_xlfn.XLOOKUP(Table26[[#This Row],[customerSKU]],Table27[customer_SKU],Table27[billto],"",0,1))</f>
        <v/>
      </c>
      <c r="AH1497" s="26" t="str">
        <f>_xlfn.XLOOKUP(Table26[[#This Row],[customerSKU]],customerSKU!G:G,customerSKU!K:K,"NA",0,1)</f>
        <v>NA</v>
      </c>
      <c r="AI1497" s="43" t="str">
        <f>_xlfn.XLOOKUP(Table26[[#This Row],[customerSKU]],customerSKU!G:G,customerSKU!O:O,"not found",0,1)</f>
        <v>not found</v>
      </c>
      <c r="AJ1497" s="22" t="e">
        <f>Table26[[#This Row],[unitprice]]*Table26[[#This Row],[quantity_unit]]</f>
        <v>#VALUE!</v>
      </c>
      <c r="AK1497" s="227" t="e" cm="1">
        <f t="array" ref="AK14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8" spans="1:37" ht="18" customHeight="1">
      <c r="A1498" s="42">
        <v>760</v>
      </c>
      <c r="B1498" s="42" t="s">
        <v>3357</v>
      </c>
      <c r="C1498" s="53" t="s">
        <v>203</v>
      </c>
      <c r="E1498" s="20"/>
      <c r="F14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8" s="93"/>
      <c r="I1498" s="19">
        <v>45758</v>
      </c>
      <c r="J1498" s="90" t="str">
        <f>IF(Table26[[#This Row],[customerSKU]]="","",_xlfn.XLOOKUP(Table26[[#This Row],[customerSKU]],customerSKU!G:G,customerSKU!A:A,"",0,1))</f>
        <v/>
      </c>
      <c r="K1498" s="232">
        <v>45763</v>
      </c>
      <c r="L1498" s="49" t="str">
        <f>IF(Table26[[#This Row],[customerSKU]]="","",_xlfn.XLOOKUP(Table26[[#This Row],[customerSKU]],customerSKU!G:G,customerSKU!B:B,"",0,1))</f>
        <v/>
      </c>
      <c r="M1498" s="22"/>
      <c r="N1498" s="15" t="str">
        <f>Table26[[#This Row],[po_number]]&amp;"-"&amp;Table26[[#This Row],[po_line]]</f>
        <v>-8</v>
      </c>
      <c r="O1498" s="15">
        <v>8</v>
      </c>
      <c r="P1498" s="50"/>
      <c r="Q1498" s="22" t="s">
        <v>1312</v>
      </c>
      <c r="R1498" s="22" t="s">
        <v>569</v>
      </c>
      <c r="S1498" s="90" t="str">
        <f>IF(Table26[[#This Row],[customerSKU]]="","",_xlfn.XLOOKUP(Table26[[#This Row],[customerSKU]],customerSKU!G:G,customerSKU!N:N,"NOT FOUND",0,1))</f>
        <v>NOT FOUND</v>
      </c>
      <c r="T1498" s="20">
        <v>45660</v>
      </c>
      <c r="U1498" s="94">
        <v>36</v>
      </c>
      <c r="V1498" s="22" t="str">
        <f>IF(ISBLANK(Table26[[#This Row],[customerSKU]]),"",_xlfn.XLOOKUP(Table26[[#This Row],[customerSKU]],Table27[customer_SKU],Table27[case_size],"",0,1))</f>
        <v/>
      </c>
      <c r="W1498" s="117" t="str">
        <f t="shared" si="63"/>
        <v/>
      </c>
      <c r="X1498" s="22" t="str">
        <f t="shared" si="64"/>
        <v/>
      </c>
      <c r="Y1498" s="25" t="str">
        <f>IF(Table26[[#This Row],[customerSKU]]="","",_xlfn.XLOOKUP(Table26[[#This Row],[customerSKU]],Table27[customer_SKU],Table27[product_GTIN],"",0,1))</f>
        <v/>
      </c>
      <c r="Z1498" s="25" t="s">
        <v>3484</v>
      </c>
      <c r="AA1498" s="18" t="str" cm="1">
        <f t="array" ref="AA1498">IF(P1498="", "", _xlfn.XLOOKUP(P1498,#REF!,#REF!,NA,0,-1))</f>
        <v/>
      </c>
      <c r="AB1498" s="22"/>
      <c r="AC1498" s="55" t="str">
        <f>IF(Table26[[#This Row],[customerSKU]]="","",_xlfn.XLOOKUP(Table26[[#This Row],[customerSKU]],customerSKU!G:G,customerSKU!C:C,"",0,1))</f>
        <v/>
      </c>
      <c r="AD1498" s="55" t="str">
        <f>IF($AC1498="","",_xlfn.XLOOKUP($AC1498,'[2]Client Info'!$C$2:$C$2535,'[2]Client Info'!$D$2:$D$2535,"",0,1))</f>
        <v/>
      </c>
      <c r="AE1498" s="55" t="str">
        <f>IF($AC1498="","",_xlfn.XLOOKUP($AC1498,'[2]Client Info'!$C$2:$C$2715,'[2]Client Info'!$E$2:$E$2715,"",))</f>
        <v/>
      </c>
      <c r="AF1498" s="55" t="str">
        <f>IF($AC1498="","",_xlfn.XLOOKUP($AC1498,'[2]Client Info'!$C$2:$C$2715,'[2]Client Info'!$F$2:$F$2715,"",0,1))</f>
        <v/>
      </c>
      <c r="AG1498" s="55" t="str">
        <f>IF(ISBLANK(Table26[[#This Row],[customerSKU]]),"",_xlfn.XLOOKUP(Table26[[#This Row],[customerSKU]],Table27[customer_SKU],Table27[billto],"",0,1))</f>
        <v/>
      </c>
      <c r="AH1498" s="26" t="str">
        <f>_xlfn.XLOOKUP(Table26[[#This Row],[customerSKU]],customerSKU!G:G,customerSKU!K:K,"NA",0,1)</f>
        <v>NA</v>
      </c>
      <c r="AI1498" s="43" t="str">
        <f>_xlfn.XLOOKUP(Table26[[#This Row],[customerSKU]],customerSKU!G:G,customerSKU!O:O,"not found",0,1)</f>
        <v>not found</v>
      </c>
      <c r="AJ1498" s="22" t="e">
        <f>Table26[[#This Row],[unitprice]]*Table26[[#This Row],[quantity_unit]]</f>
        <v>#VALUE!</v>
      </c>
      <c r="AK1498" s="227" t="e" cm="1">
        <f t="array" ref="AK14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499" spans="1:37" ht="18" customHeight="1">
      <c r="A1499" s="42">
        <v>761</v>
      </c>
      <c r="B1499" s="42" t="s">
        <v>3357</v>
      </c>
      <c r="C1499" s="53" t="s">
        <v>203</v>
      </c>
      <c r="E1499" s="20"/>
      <c r="F14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499" s="93"/>
      <c r="I1499" s="19">
        <v>45758</v>
      </c>
      <c r="J1499" s="90" t="str">
        <f>IF(Table26[[#This Row],[customerSKU]]="","",_xlfn.XLOOKUP(Table26[[#This Row],[customerSKU]],customerSKU!G:G,customerSKU!A:A,"",0,1))</f>
        <v/>
      </c>
      <c r="K1499" s="232">
        <v>45763</v>
      </c>
      <c r="L1499" s="49" t="str">
        <f>IF(Table26[[#This Row],[customerSKU]]="","",_xlfn.XLOOKUP(Table26[[#This Row],[customerSKU]],customerSKU!G:G,customerSKU!B:B,"",0,1))</f>
        <v/>
      </c>
      <c r="M1499" s="22"/>
      <c r="N1499" s="15" t="str">
        <f>Table26[[#This Row],[po_number]]&amp;"-"&amp;Table26[[#This Row],[po_line]]</f>
        <v>-9</v>
      </c>
      <c r="O1499" s="15">
        <v>9</v>
      </c>
      <c r="P1499" s="50"/>
      <c r="Q1499" s="22" t="s">
        <v>1712</v>
      </c>
      <c r="R1499" s="22" t="s">
        <v>569</v>
      </c>
      <c r="S1499" s="90" t="str">
        <f>IF(Table26[[#This Row],[customerSKU]]="","",_xlfn.XLOOKUP(Table26[[#This Row],[customerSKU]],customerSKU!G:G,customerSKU!N:N,"NOT FOUND",0,1))</f>
        <v>NOT FOUND</v>
      </c>
      <c r="T1499" s="20">
        <v>45761</v>
      </c>
      <c r="U1499" s="94">
        <v>24</v>
      </c>
      <c r="V1499" s="22" t="str">
        <f>IF(ISBLANK(Table26[[#This Row],[customerSKU]]),"",_xlfn.XLOOKUP(Table26[[#This Row],[customerSKU]],Table27[customer_SKU],Table27[case_size],"",0,1))</f>
        <v/>
      </c>
      <c r="W1499" s="117" t="str">
        <f t="shared" si="63"/>
        <v/>
      </c>
      <c r="X1499" s="22" t="str">
        <f t="shared" si="64"/>
        <v/>
      </c>
      <c r="Y1499" s="25" t="str">
        <f>IF(Table26[[#This Row],[customerSKU]]="","",_xlfn.XLOOKUP(Table26[[#This Row],[customerSKU]],Table27[customer_SKU],Table27[product_GTIN],"",0,1))</f>
        <v/>
      </c>
      <c r="Z1499" s="25" t="s">
        <v>3485</v>
      </c>
      <c r="AA1499" s="18" t="str" cm="1">
        <f t="array" ref="AA1499">IF(P1499="", "", _xlfn.XLOOKUP(P1499,#REF!,#REF!,NA,0,-1))</f>
        <v/>
      </c>
      <c r="AB1499" s="22"/>
      <c r="AC1499" s="55" t="str">
        <f>IF(Table26[[#This Row],[customerSKU]]="","",_xlfn.XLOOKUP(Table26[[#This Row],[customerSKU]],customerSKU!G:G,customerSKU!C:C,"",0,1))</f>
        <v/>
      </c>
      <c r="AD1499" s="55" t="str">
        <f>IF($AC1499="","",_xlfn.XLOOKUP($AC1499,'[2]Client Info'!$C$2:$C$2535,'[2]Client Info'!$D$2:$D$2535,"",0,1))</f>
        <v/>
      </c>
      <c r="AE1499" s="55" t="str">
        <f>IF($AC1499="","",_xlfn.XLOOKUP($AC1499,'[2]Client Info'!$C$2:$C$2715,'[2]Client Info'!$E$2:$E$2715,"",))</f>
        <v/>
      </c>
      <c r="AF1499" s="55" t="str">
        <f>IF($AC1499="","",_xlfn.XLOOKUP($AC1499,'[2]Client Info'!$C$2:$C$2715,'[2]Client Info'!$F$2:$F$2715,"",0,1))</f>
        <v/>
      </c>
      <c r="AG1499" s="55" t="str">
        <f>IF(ISBLANK(Table26[[#This Row],[customerSKU]]),"",_xlfn.XLOOKUP(Table26[[#This Row],[customerSKU]],Table27[customer_SKU],Table27[billto],"",0,1))</f>
        <v/>
      </c>
      <c r="AH1499" s="26" t="str">
        <f>_xlfn.XLOOKUP(Table26[[#This Row],[customerSKU]],customerSKU!G:G,customerSKU!K:K,"NA",0,1)</f>
        <v>NA</v>
      </c>
      <c r="AI1499" s="43" t="str">
        <f>_xlfn.XLOOKUP(Table26[[#This Row],[customerSKU]],customerSKU!G:G,customerSKU!O:O,"not found",0,1)</f>
        <v>not found</v>
      </c>
      <c r="AJ1499" s="22" t="e">
        <f>Table26[[#This Row],[unitprice]]*Table26[[#This Row],[quantity_unit]]</f>
        <v>#VALUE!</v>
      </c>
      <c r="AK1499" s="227" t="e" cm="1">
        <f t="array" ref="AK14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0" spans="1:37" ht="18" customHeight="1">
      <c r="A1500" s="42">
        <v>739</v>
      </c>
      <c r="B1500" s="42" t="s">
        <v>3357</v>
      </c>
      <c r="C1500" s="53" t="s">
        <v>3486</v>
      </c>
      <c r="D1500" s="20">
        <v>45764</v>
      </c>
      <c r="E1500" s="20"/>
      <c r="F15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0" s="93"/>
      <c r="I1500" s="19">
        <v>45761</v>
      </c>
      <c r="J1500" s="90" t="str">
        <f>IF(Table26[[#This Row],[customerSKU]]="","",_xlfn.XLOOKUP(Table26[[#This Row],[customerSKU]],customerSKU!G:G,customerSKU!A:A,"",0,1))</f>
        <v/>
      </c>
      <c r="K1500" s="232">
        <v>45764</v>
      </c>
      <c r="L1500" s="49" t="str">
        <f>IF(Table26[[#This Row],[customerSKU]]="","",_xlfn.XLOOKUP(Table26[[#This Row],[customerSKU]],customerSKU!G:G,customerSKU!B:B,"",0,1))</f>
        <v/>
      </c>
      <c r="M1500" s="22"/>
      <c r="N1500" s="15" t="str">
        <f>Table26[[#This Row],[po_number]]&amp;"-"&amp;Table26[[#This Row],[po_line]]</f>
        <v>-1</v>
      </c>
      <c r="O1500" s="15">
        <v>1</v>
      </c>
      <c r="P1500" s="50"/>
      <c r="Q1500" s="22" t="s">
        <v>612</v>
      </c>
      <c r="R1500" s="22" t="s">
        <v>569</v>
      </c>
      <c r="S1500" s="90" t="str">
        <f>IF(Table26[[#This Row],[customerSKU]]="","",_xlfn.XLOOKUP(Table26[[#This Row],[customerSKU]],customerSKU!G:G,customerSKU!N:N,"NOT FOUND",0,1))</f>
        <v>NOT FOUND</v>
      </c>
      <c r="T1500" s="20">
        <v>45756</v>
      </c>
      <c r="U1500" s="94">
        <v>24</v>
      </c>
      <c r="V1500" s="22" t="str">
        <f>IF(ISBLANK(Table26[[#This Row],[customerSKU]]),"",_xlfn.XLOOKUP(Table26[[#This Row],[customerSKU]],Table27[customer_SKU],Table27[case_size],"",0,1))</f>
        <v/>
      </c>
      <c r="W1500" s="117" t="str">
        <f t="shared" si="63"/>
        <v/>
      </c>
      <c r="X1500" s="22" t="str">
        <f t="shared" si="64"/>
        <v/>
      </c>
      <c r="Y1500" s="25" t="str">
        <f>IF(Table26[[#This Row],[customerSKU]]="","",_xlfn.XLOOKUP(Table26[[#This Row],[customerSKU]],Table27[customer_SKU],Table27[product_GTIN],"",0,1))</f>
        <v/>
      </c>
      <c r="Z1500" s="25" t="s">
        <v>3421</v>
      </c>
      <c r="AA1500" s="18" t="str" cm="1">
        <f t="array" ref="AA1500">IF(P1500="", "", _xlfn.XLOOKUP(P1500,#REF!,#REF!,NA,0,-1))</f>
        <v/>
      </c>
      <c r="AB1500" s="22"/>
      <c r="AC1500" s="55" t="str">
        <f>IF(Table26[[#This Row],[customerSKU]]="","",_xlfn.XLOOKUP(Table26[[#This Row],[customerSKU]],customerSKU!G:G,customerSKU!C:C,"",0,1))</f>
        <v/>
      </c>
      <c r="AD1500" s="55" t="str">
        <f>IF($AC1500="","",_xlfn.XLOOKUP($AC1500,'Client Info'!$C$2:$C$2497,'Client Info'!$D$2:$D$2497,"",0,1))</f>
        <v/>
      </c>
      <c r="AE1500" s="55" t="str">
        <f>IF($AC1500="","",_xlfn.XLOOKUP($AC1500,'Client Info'!$C$2:$C$2677,'Client Info'!$E$2:$E$2677,"",))</f>
        <v/>
      </c>
      <c r="AF1500" s="55" t="str">
        <f>IF($AC1500="","",_xlfn.XLOOKUP($AC1500,'Client Info'!$C$2:$C$2677,'Client Info'!$F$2:$F$2677,"",0,1))</f>
        <v/>
      </c>
      <c r="AG1500" s="55" t="str">
        <f>IF(ISBLANK(Table26[[#This Row],[customerSKU]]),"",_xlfn.XLOOKUP(Table26[[#This Row],[customerSKU]],Table27[customer_SKU],Table27[billto],"",0,1))</f>
        <v/>
      </c>
      <c r="AH1500" s="26" t="str">
        <f>_xlfn.XLOOKUP(Table26[[#This Row],[customerSKU]],customerSKU!G:G,customerSKU!K:K,"NA",0,1)</f>
        <v>NA</v>
      </c>
      <c r="AI1500" s="43" t="str">
        <f>_xlfn.XLOOKUP(Table26[[#This Row],[customerSKU]],customerSKU!G:G,customerSKU!O:O,"not found",0,1)</f>
        <v>not found</v>
      </c>
      <c r="AJ1500" s="22" t="e">
        <f>Table26[[#This Row],[unitprice]]*Table26[[#This Row],[quantity_unit]]</f>
        <v>#VALUE!</v>
      </c>
      <c r="AK1500" s="227" t="e" cm="1">
        <f t="array" ref="AK15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1" spans="1:37" ht="18" customHeight="1">
      <c r="A1501" s="42">
        <v>740</v>
      </c>
      <c r="B1501" s="42" t="s">
        <v>3357</v>
      </c>
      <c r="C1501" s="53" t="s">
        <v>3486</v>
      </c>
      <c r="D1501" s="20">
        <v>45764</v>
      </c>
      <c r="E1501" s="20"/>
      <c r="F15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1" s="93"/>
      <c r="I1501" s="19">
        <v>45761</v>
      </c>
      <c r="J1501" s="90" t="str">
        <f>IF(Table26[[#This Row],[customerSKU]]="","",_xlfn.XLOOKUP(Table26[[#This Row],[customerSKU]],customerSKU!G:G,customerSKU!A:A,"",0,1))</f>
        <v/>
      </c>
      <c r="K1501" s="232">
        <v>45764</v>
      </c>
      <c r="L1501" s="49" t="str">
        <f>IF(Table26[[#This Row],[customerSKU]]="","",_xlfn.XLOOKUP(Table26[[#This Row],[customerSKU]],customerSKU!G:G,customerSKU!B:B,"",0,1))</f>
        <v/>
      </c>
      <c r="M1501" s="22"/>
      <c r="N1501" s="15" t="str">
        <f>Table26[[#This Row],[po_number]]&amp;"-"&amp;Table26[[#This Row],[po_line]]</f>
        <v>-2</v>
      </c>
      <c r="O1501" s="15">
        <v>2</v>
      </c>
      <c r="P1501" s="50"/>
      <c r="Q1501" s="22" t="s">
        <v>614</v>
      </c>
      <c r="R1501" s="22" t="s">
        <v>569</v>
      </c>
      <c r="S1501" s="90" t="str">
        <f>IF(Table26[[#This Row],[customerSKU]]="","",_xlfn.XLOOKUP(Table26[[#This Row],[customerSKU]],customerSKU!G:G,customerSKU!N:N,"NOT FOUND",0,1))</f>
        <v>NOT FOUND</v>
      </c>
      <c r="T1501" s="20">
        <v>45749</v>
      </c>
      <c r="U1501" s="94">
        <v>12</v>
      </c>
      <c r="V1501" s="22" t="str">
        <f>IF(ISBLANK(Table26[[#This Row],[customerSKU]]),"",_xlfn.XLOOKUP(Table26[[#This Row],[customerSKU]],Table27[customer_SKU],Table27[case_size],"",0,1))</f>
        <v/>
      </c>
      <c r="W1501" s="117" t="str">
        <f t="shared" si="63"/>
        <v/>
      </c>
      <c r="X1501" s="22" t="str">
        <f t="shared" si="64"/>
        <v/>
      </c>
      <c r="Y1501" s="25" t="str">
        <f>IF(Table26[[#This Row],[customerSKU]]="","",_xlfn.XLOOKUP(Table26[[#This Row],[customerSKU]],Table27[customer_SKU],Table27[product_GTIN],"",0,1))</f>
        <v/>
      </c>
      <c r="Z1501" s="25" t="s">
        <v>3422</v>
      </c>
      <c r="AA1501" s="18" t="str" cm="1">
        <f t="array" ref="AA1501">IF(P1501="", "", _xlfn.XLOOKUP(P1501,#REF!,#REF!,NA,0,-1))</f>
        <v/>
      </c>
      <c r="AB1501" s="22"/>
      <c r="AC1501" s="55" t="str">
        <f>IF(Table26[[#This Row],[customerSKU]]="","",_xlfn.XLOOKUP(Table26[[#This Row],[customerSKU]],customerSKU!G:G,customerSKU!C:C,"",0,1))</f>
        <v/>
      </c>
      <c r="AD1501" s="55" t="str">
        <f>IF($AC1501="","",_xlfn.XLOOKUP($AC1501,'Client Info'!$C$2:$C$2497,'Client Info'!$D$2:$D$2497,"",0,1))</f>
        <v/>
      </c>
      <c r="AE1501" s="55" t="str">
        <f>IF($AC1501="","",_xlfn.XLOOKUP($AC1501,'Client Info'!$C$2:$C$2677,'Client Info'!$E$2:$E$2677,"",))</f>
        <v/>
      </c>
      <c r="AF1501" s="55" t="str">
        <f>IF($AC1501="","",_xlfn.XLOOKUP($AC1501,'Client Info'!$C$2:$C$2677,'Client Info'!$F$2:$F$2677,"",0,1))</f>
        <v/>
      </c>
      <c r="AG1501" s="55" t="str">
        <f>IF(ISBLANK(Table26[[#This Row],[customerSKU]]),"",_xlfn.XLOOKUP(Table26[[#This Row],[customerSKU]],Table27[customer_SKU],Table27[billto],"",0,1))</f>
        <v/>
      </c>
      <c r="AH1501" s="26" t="str">
        <f>_xlfn.XLOOKUP(Table26[[#This Row],[customerSKU]],customerSKU!G:G,customerSKU!K:K,"NA",0,1)</f>
        <v>NA</v>
      </c>
      <c r="AI1501" s="43" t="str">
        <f>_xlfn.XLOOKUP(Table26[[#This Row],[customerSKU]],customerSKU!G:G,customerSKU!O:O,"not found",0,1)</f>
        <v>not found</v>
      </c>
      <c r="AJ1501" s="22" t="e">
        <f>Table26[[#This Row],[unitprice]]*Table26[[#This Row],[quantity_unit]]</f>
        <v>#VALUE!</v>
      </c>
      <c r="AK1501" s="227" t="e" cm="1">
        <f t="array" ref="AK15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2" spans="1:37" ht="18" customHeight="1">
      <c r="A1502" s="42">
        <v>741</v>
      </c>
      <c r="B1502" s="42" t="s">
        <v>3357</v>
      </c>
      <c r="C1502" s="53" t="s">
        <v>3486</v>
      </c>
      <c r="D1502" s="20">
        <v>45764</v>
      </c>
      <c r="E1502" s="20"/>
      <c r="F15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2" s="93"/>
      <c r="I1502" s="19">
        <v>45761</v>
      </c>
      <c r="J1502" s="90" t="str">
        <f>IF(Table26[[#This Row],[customerSKU]]="","",_xlfn.XLOOKUP(Table26[[#This Row],[customerSKU]],customerSKU!G:G,customerSKU!A:A,"",0,1))</f>
        <v/>
      </c>
      <c r="K1502" s="232">
        <v>45764</v>
      </c>
      <c r="L1502" s="49" t="str">
        <f>IF(Table26[[#This Row],[customerSKU]]="","",_xlfn.XLOOKUP(Table26[[#This Row],[customerSKU]],customerSKU!G:G,customerSKU!B:B,"",0,1))</f>
        <v/>
      </c>
      <c r="M1502" s="22"/>
      <c r="N1502" s="15" t="str">
        <f>Table26[[#This Row],[po_number]]&amp;"-"&amp;Table26[[#This Row],[po_line]]</f>
        <v>-3</v>
      </c>
      <c r="O1502" s="15">
        <v>3</v>
      </c>
      <c r="P1502" s="50"/>
      <c r="Q1502" s="22" t="s">
        <v>610</v>
      </c>
      <c r="R1502" s="22" t="s">
        <v>569</v>
      </c>
      <c r="S1502" s="90" t="str">
        <f>IF(Table26[[#This Row],[customerSKU]]="","",_xlfn.XLOOKUP(Table26[[#This Row],[customerSKU]],customerSKU!G:G,customerSKU!N:N,"NOT FOUND",0,1))</f>
        <v>NOT FOUND</v>
      </c>
      <c r="T1502" s="20">
        <v>45700</v>
      </c>
      <c r="U1502" s="94">
        <v>60</v>
      </c>
      <c r="V1502" s="22" t="str">
        <f>IF(ISBLANK(Table26[[#This Row],[customerSKU]]),"",_xlfn.XLOOKUP(Table26[[#This Row],[customerSKU]],Table27[customer_SKU],Table27[case_size],"",0,1))</f>
        <v/>
      </c>
      <c r="W1502" s="117" t="str">
        <f t="shared" si="63"/>
        <v/>
      </c>
      <c r="X1502" s="22" t="str">
        <f t="shared" si="64"/>
        <v/>
      </c>
      <c r="Y1502" s="25" t="str">
        <f>IF(Table26[[#This Row],[customerSKU]]="","",_xlfn.XLOOKUP(Table26[[#This Row],[customerSKU]],Table27[customer_SKU],Table27[product_GTIN],"",0,1))</f>
        <v/>
      </c>
      <c r="Z1502" s="25" t="s">
        <v>3363</v>
      </c>
      <c r="AA1502" s="18" t="str" cm="1">
        <f t="array" ref="AA1502">IF(P1502="", "", _xlfn.XLOOKUP(P1502,#REF!,#REF!,NA,0,-1))</f>
        <v/>
      </c>
      <c r="AB1502" s="22"/>
      <c r="AC1502" s="55" t="str">
        <f>IF(Table26[[#This Row],[customerSKU]]="","",_xlfn.XLOOKUP(Table26[[#This Row],[customerSKU]],customerSKU!G:G,customerSKU!C:C,"",0,1))</f>
        <v/>
      </c>
      <c r="AD1502" s="55" t="str">
        <f>IF($AC1502="","",_xlfn.XLOOKUP($AC1502,'Client Info'!$C$2:$C$2497,'Client Info'!$D$2:$D$2497,"",0,1))</f>
        <v/>
      </c>
      <c r="AE1502" s="55" t="str">
        <f>IF($AC1502="","",_xlfn.XLOOKUP($AC1502,'Client Info'!$C$2:$C$2677,'Client Info'!$E$2:$E$2677,"",))</f>
        <v/>
      </c>
      <c r="AF1502" s="55" t="str">
        <f>IF($AC1502="","",_xlfn.XLOOKUP($AC1502,'Client Info'!$C$2:$C$2677,'Client Info'!$F$2:$F$2677,"",0,1))</f>
        <v/>
      </c>
      <c r="AG1502" s="55" t="str">
        <f>IF(ISBLANK(Table26[[#This Row],[customerSKU]]),"",_xlfn.XLOOKUP(Table26[[#This Row],[customerSKU]],Table27[customer_SKU],Table27[billto],"",0,1))</f>
        <v/>
      </c>
      <c r="AH1502" s="26" t="str">
        <f>_xlfn.XLOOKUP(Table26[[#This Row],[customerSKU]],customerSKU!G:G,customerSKU!K:K,"NA",0,1)</f>
        <v>NA</v>
      </c>
      <c r="AI1502" s="43" t="str">
        <f>_xlfn.XLOOKUP(Table26[[#This Row],[customerSKU]],customerSKU!G:G,customerSKU!O:O,"not found",0,1)</f>
        <v>not found</v>
      </c>
      <c r="AJ1502" s="22" t="e">
        <f>Table26[[#This Row],[unitprice]]*Table26[[#This Row],[quantity_unit]]</f>
        <v>#VALUE!</v>
      </c>
      <c r="AK1502" s="227" t="e" cm="1">
        <f t="array" ref="AK15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3" spans="1:37" ht="18" customHeight="1">
      <c r="A1503" s="42">
        <v>742</v>
      </c>
      <c r="B1503" s="42" t="s">
        <v>3357</v>
      </c>
      <c r="C1503" s="53" t="s">
        <v>3486</v>
      </c>
      <c r="E1503" s="20"/>
      <c r="F15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3" s="93"/>
      <c r="I1503" s="19">
        <v>45762</v>
      </c>
      <c r="J1503" s="90" t="str">
        <f>IF(Table26[[#This Row],[customerSKU]]="","",_xlfn.XLOOKUP(Table26[[#This Row],[customerSKU]],customerSKU!G:G,customerSKU!A:A,"",0,1))</f>
        <v/>
      </c>
      <c r="K1503" s="232">
        <v>45764</v>
      </c>
      <c r="L1503" s="49" t="str">
        <f>IF(Table26[[#This Row],[customerSKU]]="","",_xlfn.XLOOKUP(Table26[[#This Row],[customerSKU]],customerSKU!G:G,customerSKU!B:B,"",0,1))</f>
        <v/>
      </c>
      <c r="M1503" s="22"/>
      <c r="N1503" s="15" t="str">
        <f>Table26[[#This Row],[po_number]]&amp;"-"&amp;Table26[[#This Row],[po_line]]</f>
        <v>-1</v>
      </c>
      <c r="O1503" s="15">
        <v>1</v>
      </c>
      <c r="P1503" s="50"/>
      <c r="Q1503" s="22" t="s">
        <v>585</v>
      </c>
      <c r="R1503" s="22" t="s">
        <v>569</v>
      </c>
      <c r="S1503" s="90" t="str">
        <f>IF(Table26[[#This Row],[customerSKU]]="","",_xlfn.XLOOKUP(Table26[[#This Row],[customerSKU]],customerSKU!G:G,customerSKU!N:N,"NOT FOUND",0,1))</f>
        <v>NOT FOUND</v>
      </c>
      <c r="T1503" s="20">
        <v>45755</v>
      </c>
      <c r="U1503" s="94">
        <v>12</v>
      </c>
      <c r="V1503" s="22" t="str">
        <f>IF(ISBLANK(Table26[[#This Row],[customerSKU]]),"",_xlfn.XLOOKUP(Table26[[#This Row],[customerSKU]],Table27[customer_SKU],Table27[case_size],"",0,1))</f>
        <v/>
      </c>
      <c r="W1503" s="117" t="str">
        <f t="shared" si="63"/>
        <v/>
      </c>
      <c r="X1503" s="22" t="str">
        <f t="shared" si="64"/>
        <v/>
      </c>
      <c r="Y1503" s="25" t="str">
        <f>IF(Table26[[#This Row],[customerSKU]]="","",_xlfn.XLOOKUP(Table26[[#This Row],[customerSKU]],Table27[customer_SKU],Table27[product_GTIN],"",0,1))</f>
        <v/>
      </c>
      <c r="Z1503" s="25" t="s">
        <v>3466</v>
      </c>
      <c r="AA1503" s="18" t="str" cm="1">
        <f t="array" ref="AA1503">IF(P1503="", "", _xlfn.XLOOKUP(P1503,#REF!,#REF!,NA,0,-1))</f>
        <v/>
      </c>
      <c r="AB1503" s="22"/>
      <c r="AC1503" s="55" t="s">
        <v>3496</v>
      </c>
      <c r="AD1503" s="55" t="str">
        <f>IF($AC1503="","",_xlfn.XLOOKUP($AC1503,'[2]Client Info'!$C$2:$C$2535,'[2]Client Info'!$D$2:$D$2535))</f>
        <v>11939 240th Street</v>
      </c>
      <c r="AE1503" s="55" t="str">
        <f>IF($AC1503="","",_xlfn.XLOOKUP($AC1503,'[2]Client Info'!$C$2:$C$2715,'[2]Client Info'!$E$2:$E$2715))</f>
        <v>Maple Ridge</v>
      </c>
      <c r="AF1503" s="55" t="str">
        <f>IF($AC1503="","",_xlfn.XLOOKUP($AC1503,'[2]Client Info'!$C$2:$C$2715,'[2]Client Info'!$F$2:$F$2715))</f>
        <v xml:space="preserve">BC </v>
      </c>
      <c r="AG1503" s="55" t="s">
        <v>3496</v>
      </c>
      <c r="AH1503" s="26" t="str">
        <f>_xlfn.XLOOKUP(Table26[[#This Row],[customerSKU]],customerSKU!G:G,customerSKU!K:K,"NA",0,1)</f>
        <v>NA</v>
      </c>
      <c r="AI1503" s="43" t="str">
        <f>_xlfn.XLOOKUP(Table26[[#This Row],[customerSKU]],customerSKU!G:G,customerSKU!O:O,"not found",0,1)</f>
        <v>not found</v>
      </c>
      <c r="AJ1503" s="22" t="e">
        <f>Table26[[#This Row],[unitprice]]*Table26[[#This Row],[quantity_unit]]</f>
        <v>#VALUE!</v>
      </c>
      <c r="AK1503" s="227" t="e" cm="1">
        <f t="array" ref="AK15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4" spans="1:37" ht="18" customHeight="1">
      <c r="A1504" s="42">
        <v>743</v>
      </c>
      <c r="B1504" s="42" t="s">
        <v>3357</v>
      </c>
      <c r="C1504" s="53" t="s">
        <v>3486</v>
      </c>
      <c r="E1504" s="20"/>
      <c r="F15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4" s="93"/>
      <c r="I1504" s="19">
        <v>45762</v>
      </c>
      <c r="J1504" s="90" t="str">
        <f>IF(Table26[[#This Row],[customerSKU]]="","",_xlfn.XLOOKUP(Table26[[#This Row],[customerSKU]],customerSKU!G:G,customerSKU!A:A,"",0,1))</f>
        <v/>
      </c>
      <c r="K1504" s="232">
        <v>45764</v>
      </c>
      <c r="L1504" s="49" t="str">
        <f>IF(Table26[[#This Row],[customerSKU]]="","",_xlfn.XLOOKUP(Table26[[#This Row],[customerSKU]],customerSKU!G:G,customerSKU!B:B,"",0,1))</f>
        <v/>
      </c>
      <c r="M1504" s="22"/>
      <c r="N1504" s="15" t="str">
        <f>Table26[[#This Row],[po_number]]&amp;"-"&amp;Table26[[#This Row],[po_line]]</f>
        <v>-2</v>
      </c>
      <c r="O1504" s="15">
        <v>2</v>
      </c>
      <c r="P1504" s="50"/>
      <c r="Q1504" s="22" t="s">
        <v>582</v>
      </c>
      <c r="R1504" s="22" t="s">
        <v>569</v>
      </c>
      <c r="S1504" s="90" t="str">
        <f>IF(Table26[[#This Row],[customerSKU]]="","",_xlfn.XLOOKUP(Table26[[#This Row],[customerSKU]],customerSKU!G:G,customerSKU!N:N,"NOT FOUND",0,1))</f>
        <v>NOT FOUND</v>
      </c>
      <c r="T1504" s="20">
        <v>45756</v>
      </c>
      <c r="U1504" s="94">
        <v>12</v>
      </c>
      <c r="V1504" s="22" t="str">
        <f>IF(ISBLANK(Table26[[#This Row],[customerSKU]]),"",_xlfn.XLOOKUP(Table26[[#This Row],[customerSKU]],Table27[customer_SKU],Table27[case_size],"",0,1))</f>
        <v/>
      </c>
      <c r="W1504" s="117" t="str">
        <f t="shared" si="63"/>
        <v/>
      </c>
      <c r="X1504" s="22" t="str">
        <f t="shared" si="64"/>
        <v/>
      </c>
      <c r="Y1504" s="25" t="str">
        <f>IF(Table26[[#This Row],[customerSKU]]="","",_xlfn.XLOOKUP(Table26[[#This Row],[customerSKU]],Table27[customer_SKU],Table27[product_GTIN],"",0,1))</f>
        <v/>
      </c>
      <c r="Z1504" s="25" t="s">
        <v>3445</v>
      </c>
      <c r="AA1504" s="18" t="str" cm="1">
        <f t="array" ref="AA1504">IF(P1504="", "", _xlfn.XLOOKUP(P1504,#REF!,#REF!,NA,0,-1))</f>
        <v/>
      </c>
      <c r="AB1504" s="22"/>
      <c r="AC1504" s="55" t="s">
        <v>3496</v>
      </c>
      <c r="AD1504" s="55" t="str">
        <f>IF($AC1504="","",_xlfn.XLOOKUP($AC1504,'[2]Client Info'!$C$2:$C$2535,'[2]Client Info'!$D$2:$D$2535))</f>
        <v>11939 240th Street</v>
      </c>
      <c r="AE1504" s="55" t="str">
        <f>IF($AC1504="","",_xlfn.XLOOKUP($AC1504,'[2]Client Info'!$C$2:$C$2715,'[2]Client Info'!$E$2:$E$2715))</f>
        <v>Maple Ridge</v>
      </c>
      <c r="AF1504" s="55" t="str">
        <f>IF($AC1504="","",_xlfn.XLOOKUP($AC1504,'[2]Client Info'!$C$2:$C$2715,'[2]Client Info'!$F$2:$F$2715))</f>
        <v xml:space="preserve">BC </v>
      </c>
      <c r="AG1504" s="55" t="s">
        <v>3496</v>
      </c>
      <c r="AH1504" s="26" t="str">
        <f>_xlfn.XLOOKUP(Table26[[#This Row],[customerSKU]],customerSKU!G:G,customerSKU!K:K,"NA",0,1)</f>
        <v>NA</v>
      </c>
      <c r="AI1504" s="43" t="str">
        <f>_xlfn.XLOOKUP(Table26[[#This Row],[customerSKU]],customerSKU!G:G,customerSKU!O:O,"not found",0,1)</f>
        <v>not found</v>
      </c>
      <c r="AJ1504" s="22" t="e">
        <f>Table26[[#This Row],[unitprice]]*Table26[[#This Row],[quantity_unit]]</f>
        <v>#VALUE!</v>
      </c>
      <c r="AK1504" s="227" t="e" cm="1">
        <f t="array" ref="AK15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5" spans="1:37" ht="18" customHeight="1">
      <c r="A1505" s="42">
        <v>744</v>
      </c>
      <c r="B1505" s="42" t="s">
        <v>3357</v>
      </c>
      <c r="C1505" s="53" t="s">
        <v>3486</v>
      </c>
      <c r="E1505" s="20"/>
      <c r="F15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5" s="93"/>
      <c r="I1505" s="19">
        <v>45762</v>
      </c>
      <c r="J1505" s="90" t="str">
        <f>IF(Table26[[#This Row],[customerSKU]]="","",_xlfn.XLOOKUP(Table26[[#This Row],[customerSKU]],customerSKU!G:G,customerSKU!A:A,"",0,1))</f>
        <v/>
      </c>
      <c r="K1505" s="232">
        <v>45764</v>
      </c>
      <c r="L1505" s="49" t="str">
        <f>IF(Table26[[#This Row],[customerSKU]]="","",_xlfn.XLOOKUP(Table26[[#This Row],[customerSKU]],customerSKU!G:G,customerSKU!B:B,"",0,1))</f>
        <v/>
      </c>
      <c r="M1505" s="22"/>
      <c r="N1505" s="15" t="str">
        <f>Table26[[#This Row],[po_number]]&amp;"-"&amp;Table26[[#This Row],[po_line]]</f>
        <v>-3</v>
      </c>
      <c r="O1505" s="15">
        <v>3</v>
      </c>
      <c r="P1505" s="50"/>
      <c r="Q1505" s="22" t="s">
        <v>587</v>
      </c>
      <c r="R1505" s="22" t="s">
        <v>569</v>
      </c>
      <c r="S1505" s="90" t="str">
        <f>IF(Table26[[#This Row],[customerSKU]]="","",_xlfn.XLOOKUP(Table26[[#This Row],[customerSKU]],customerSKU!G:G,customerSKU!N:N,"NOT FOUND",0,1))</f>
        <v>NOT FOUND</v>
      </c>
      <c r="T1505" s="20">
        <v>45742</v>
      </c>
      <c r="U1505" s="94">
        <v>12</v>
      </c>
      <c r="V1505" s="22" t="str">
        <f>IF(ISBLANK(Table26[[#This Row],[customerSKU]]),"",_xlfn.XLOOKUP(Table26[[#This Row],[customerSKU]],Table27[customer_SKU],Table27[case_size],"",0,1))</f>
        <v/>
      </c>
      <c r="W1505" s="117" t="str">
        <f t="shared" si="63"/>
        <v/>
      </c>
      <c r="X1505" s="22" t="str">
        <f t="shared" si="64"/>
        <v/>
      </c>
      <c r="Y1505" s="25" t="str">
        <f>IF(Table26[[#This Row],[customerSKU]]="","",_xlfn.XLOOKUP(Table26[[#This Row],[customerSKU]],Table27[customer_SKU],Table27[product_GTIN],"",0,1))</f>
        <v/>
      </c>
      <c r="Z1505" s="25" t="s">
        <v>3469</v>
      </c>
      <c r="AA1505" s="18" t="str" cm="1">
        <f t="array" ref="AA1505">IF(P1505="", "", _xlfn.XLOOKUP(P1505,#REF!,#REF!,NA,0,-1))</f>
        <v/>
      </c>
      <c r="AB1505" s="22"/>
      <c r="AC1505" s="55" t="s">
        <v>3496</v>
      </c>
      <c r="AD1505" s="55" t="str">
        <f>IF($AC1505="","",_xlfn.XLOOKUP($AC1505,'[2]Client Info'!$C$2:$C$2535,'[2]Client Info'!$D$2:$D$2535))</f>
        <v>11939 240th Street</v>
      </c>
      <c r="AE1505" s="55" t="str">
        <f>IF($AC1505="","",_xlfn.XLOOKUP($AC1505,'[2]Client Info'!$C$2:$C$2715,'[2]Client Info'!$E$2:$E$2715))</f>
        <v>Maple Ridge</v>
      </c>
      <c r="AF1505" s="55" t="str">
        <f>IF($AC1505="","",_xlfn.XLOOKUP($AC1505,'[2]Client Info'!$C$2:$C$2715,'[2]Client Info'!$F$2:$F$2715))</f>
        <v xml:space="preserve">BC </v>
      </c>
      <c r="AG1505" s="55" t="s">
        <v>3496</v>
      </c>
      <c r="AH1505" s="26" t="str">
        <f>_xlfn.XLOOKUP(Table26[[#This Row],[customerSKU]],customerSKU!G:G,customerSKU!K:K,"NA",0,1)</f>
        <v>NA</v>
      </c>
      <c r="AI1505" s="43" t="str">
        <f>_xlfn.XLOOKUP(Table26[[#This Row],[customerSKU]],customerSKU!G:G,customerSKU!O:O,"not found",0,1)</f>
        <v>not found</v>
      </c>
      <c r="AJ1505" s="22" t="e">
        <f>Table26[[#This Row],[unitprice]]*Table26[[#This Row],[quantity_unit]]</f>
        <v>#VALUE!</v>
      </c>
      <c r="AK1505" s="227" t="e" cm="1">
        <f t="array" ref="AK15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6" spans="1:37" ht="18" customHeight="1">
      <c r="A1506" s="42">
        <v>745</v>
      </c>
      <c r="B1506" s="42" t="s">
        <v>3357</v>
      </c>
      <c r="C1506" s="53" t="s">
        <v>3486</v>
      </c>
      <c r="E1506" s="20"/>
      <c r="F15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6" s="93"/>
      <c r="I1506" s="19">
        <v>45762</v>
      </c>
      <c r="J1506" s="90" t="str">
        <f>IF(Table26[[#This Row],[customerSKU]]="","",_xlfn.XLOOKUP(Table26[[#This Row],[customerSKU]],customerSKU!G:G,customerSKU!A:A,"",0,1))</f>
        <v/>
      </c>
      <c r="K1506" s="232">
        <v>45764</v>
      </c>
      <c r="L1506" s="49" t="str">
        <f>IF(Table26[[#This Row],[customerSKU]]="","",_xlfn.XLOOKUP(Table26[[#This Row],[customerSKU]],customerSKU!G:G,customerSKU!B:B,"",0,1))</f>
        <v/>
      </c>
      <c r="M1506" s="22"/>
      <c r="N1506" s="15" t="str">
        <f>Table26[[#This Row],[po_number]]&amp;"-"&amp;Table26[[#This Row],[po_line]]</f>
        <v>-4</v>
      </c>
      <c r="O1506" s="15">
        <v>4</v>
      </c>
      <c r="P1506" s="50"/>
      <c r="Q1506" s="22" t="s">
        <v>578</v>
      </c>
      <c r="R1506" s="22" t="s">
        <v>569</v>
      </c>
      <c r="S1506" s="90" t="str">
        <f>IF(Table26[[#This Row],[customerSKU]]="","",_xlfn.XLOOKUP(Table26[[#This Row],[customerSKU]],customerSKU!G:G,customerSKU!N:N,"NOT FOUND",0,1))</f>
        <v>NOT FOUND</v>
      </c>
      <c r="T1506" s="20">
        <v>45700</v>
      </c>
      <c r="U1506" s="94">
        <v>24</v>
      </c>
      <c r="V1506" s="22" t="str">
        <f>IF(ISBLANK(Table26[[#This Row],[customerSKU]]),"",_xlfn.XLOOKUP(Table26[[#This Row],[customerSKU]],Table27[customer_SKU],Table27[case_size],"",0,1))</f>
        <v/>
      </c>
      <c r="W1506" s="117" t="str">
        <f t="shared" si="63"/>
        <v/>
      </c>
      <c r="X1506" s="22" t="str">
        <f t="shared" si="64"/>
        <v/>
      </c>
      <c r="Y1506" s="25" t="str">
        <f>IF(Table26[[#This Row],[customerSKU]]="","",_xlfn.XLOOKUP(Table26[[#This Row],[customerSKU]],Table27[customer_SKU],Table27[product_GTIN],"",0,1))</f>
        <v/>
      </c>
      <c r="Z1506" s="25" t="s">
        <v>3448</v>
      </c>
      <c r="AA1506" s="18" t="str" cm="1">
        <f t="array" ref="AA1506">IF(P1506="", "", _xlfn.XLOOKUP(P1506,#REF!,#REF!,NA,0,-1))</f>
        <v/>
      </c>
      <c r="AB1506" s="22"/>
      <c r="AC1506" s="55" t="s">
        <v>3496</v>
      </c>
      <c r="AD1506" s="55" t="str">
        <f>IF($AC1506="","",_xlfn.XLOOKUP($AC1506,'[2]Client Info'!$C$2:$C$2535,'[2]Client Info'!$D$2:$D$2535))</f>
        <v>11939 240th Street</v>
      </c>
      <c r="AE1506" s="55" t="str">
        <f>IF($AC1506="","",_xlfn.XLOOKUP($AC1506,'[2]Client Info'!$C$2:$C$2715,'[2]Client Info'!$E$2:$E$2715))</f>
        <v>Maple Ridge</v>
      </c>
      <c r="AF1506" s="55" t="str">
        <f>IF($AC1506="","",_xlfn.XLOOKUP($AC1506,'[2]Client Info'!$C$2:$C$2715,'[2]Client Info'!$F$2:$F$2715))</f>
        <v xml:space="preserve">BC </v>
      </c>
      <c r="AG1506" s="55" t="s">
        <v>3496</v>
      </c>
      <c r="AH1506" s="26" t="str">
        <f>_xlfn.XLOOKUP(Table26[[#This Row],[customerSKU]],customerSKU!G:G,customerSKU!K:K,"NA",0,1)</f>
        <v>NA</v>
      </c>
      <c r="AI1506" s="43" t="str">
        <f>_xlfn.XLOOKUP(Table26[[#This Row],[customerSKU]],customerSKU!G:G,customerSKU!O:O,"not found",0,1)</f>
        <v>not found</v>
      </c>
      <c r="AJ1506" s="22" t="e">
        <f>Table26[[#This Row],[unitprice]]*Table26[[#This Row],[quantity_unit]]</f>
        <v>#VALUE!</v>
      </c>
      <c r="AK1506" s="227" t="e" cm="1">
        <f t="array" ref="AK15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7" spans="1:37" ht="18" customHeight="1">
      <c r="A1507" s="42">
        <v>746</v>
      </c>
      <c r="B1507" s="42" t="s">
        <v>3357</v>
      </c>
      <c r="C1507" s="53" t="s">
        <v>3486</v>
      </c>
      <c r="E1507" s="20"/>
      <c r="F15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7" s="93"/>
      <c r="I1507" s="19">
        <v>45762</v>
      </c>
      <c r="J1507" s="90" t="str">
        <f>IF(Table26[[#This Row],[customerSKU]]="","",_xlfn.XLOOKUP(Table26[[#This Row],[customerSKU]],customerSKU!G:G,customerSKU!A:A,"",0,1))</f>
        <v/>
      </c>
      <c r="K1507" s="232">
        <v>45764</v>
      </c>
      <c r="L1507" s="49" t="str">
        <f>IF(Table26[[#This Row],[customerSKU]]="","",_xlfn.XLOOKUP(Table26[[#This Row],[customerSKU]],customerSKU!G:G,customerSKU!B:B,"",0,1))</f>
        <v/>
      </c>
      <c r="M1507" s="22"/>
      <c r="N1507" s="15" t="str">
        <f>Table26[[#This Row],[po_number]]&amp;"-"&amp;Table26[[#This Row],[po_line]]</f>
        <v>-5</v>
      </c>
      <c r="O1507" s="15">
        <v>5</v>
      </c>
      <c r="P1507" s="50"/>
      <c r="Q1507" s="22" t="s">
        <v>559</v>
      </c>
      <c r="R1507" s="22" t="s">
        <v>569</v>
      </c>
      <c r="S1507" s="90" t="str">
        <f>IF(Table26[[#This Row],[customerSKU]]="","",_xlfn.XLOOKUP(Table26[[#This Row],[customerSKU]],customerSKU!G:G,customerSKU!N:N,"NOT FOUND",0,1))</f>
        <v>NOT FOUND</v>
      </c>
      <c r="T1507" s="20">
        <v>45740</v>
      </c>
      <c r="U1507" s="94">
        <v>12</v>
      </c>
      <c r="V1507" s="22" t="str">
        <f>IF(ISBLANK(Table26[[#This Row],[customerSKU]]),"",_xlfn.XLOOKUP(Table26[[#This Row],[customerSKU]],Table27[customer_SKU],Table27[case_size],"",0,1))</f>
        <v/>
      </c>
      <c r="W1507" s="117" t="str">
        <f t="shared" si="63"/>
        <v/>
      </c>
      <c r="X1507" s="22" t="str">
        <f t="shared" si="64"/>
        <v/>
      </c>
      <c r="Y1507" s="25" t="str">
        <f>IF(Table26[[#This Row],[customerSKU]]="","",_xlfn.XLOOKUP(Table26[[#This Row],[customerSKU]],Table27[customer_SKU],Table27[product_GTIN],"",0,1))</f>
        <v/>
      </c>
      <c r="Z1507" s="25" t="s">
        <v>3450</v>
      </c>
      <c r="AA1507" s="18" t="str" cm="1">
        <f t="array" ref="AA1507">IF(P1507="", "", _xlfn.XLOOKUP(P1507,#REF!,#REF!,NA,0,-1))</f>
        <v/>
      </c>
      <c r="AB1507" s="22"/>
      <c r="AC1507" s="55" t="s">
        <v>3496</v>
      </c>
      <c r="AD1507" s="55" t="str">
        <f>IF($AC1507="","",_xlfn.XLOOKUP($AC1507,'[2]Client Info'!$C$2:$C$2535,'[2]Client Info'!$D$2:$D$2535))</f>
        <v>11939 240th Street</v>
      </c>
      <c r="AE1507" s="55" t="str">
        <f>IF($AC1507="","",_xlfn.XLOOKUP($AC1507,'[2]Client Info'!$C$2:$C$2715,'[2]Client Info'!$E$2:$E$2715))</f>
        <v>Maple Ridge</v>
      </c>
      <c r="AF1507" s="55" t="str">
        <f>IF($AC1507="","",_xlfn.XLOOKUP($AC1507,'[2]Client Info'!$C$2:$C$2715,'[2]Client Info'!$F$2:$F$2715))</f>
        <v xml:space="preserve">BC </v>
      </c>
      <c r="AG1507" s="55" t="s">
        <v>3496</v>
      </c>
      <c r="AH1507" s="26" t="str">
        <f>_xlfn.XLOOKUP(Table26[[#This Row],[customerSKU]],customerSKU!G:G,customerSKU!K:K,"NA",0,1)</f>
        <v>NA</v>
      </c>
      <c r="AI1507" s="43" t="str">
        <f>_xlfn.XLOOKUP(Table26[[#This Row],[customerSKU]],customerSKU!G:G,customerSKU!O:O,"not found",0,1)</f>
        <v>not found</v>
      </c>
      <c r="AJ1507" s="22" t="e">
        <f>Table26[[#This Row],[unitprice]]*Table26[[#This Row],[quantity_unit]]</f>
        <v>#VALUE!</v>
      </c>
      <c r="AK1507" s="227" t="e" cm="1">
        <f t="array" ref="AK15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8" spans="1:37" ht="18" customHeight="1">
      <c r="A1508" s="42">
        <v>747</v>
      </c>
      <c r="B1508" s="42" t="s">
        <v>3357</v>
      </c>
      <c r="C1508" s="53" t="s">
        <v>3486</v>
      </c>
      <c r="E1508" s="20"/>
      <c r="F15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8" s="93"/>
      <c r="I1508" s="19">
        <v>45763</v>
      </c>
      <c r="J1508" s="90" t="str">
        <f>IF(Table26[[#This Row],[customerSKU]]="","",_xlfn.XLOOKUP(Table26[[#This Row],[customerSKU]],customerSKU!G:G,customerSKU!A:A,"",0,1))</f>
        <v/>
      </c>
      <c r="K1508" s="232">
        <v>45764</v>
      </c>
      <c r="L1508" s="49" t="str">
        <f>IF(Table26[[#This Row],[customerSKU]]="","",_xlfn.XLOOKUP(Table26[[#This Row],[customerSKU]],customerSKU!G:G,customerSKU!B:B,"",0,1))</f>
        <v/>
      </c>
      <c r="M1508" s="22"/>
      <c r="N1508" s="15" t="str">
        <f>Table26[[#This Row],[po_number]]&amp;"-"&amp;Table26[[#This Row],[po_line]]</f>
        <v>-1</v>
      </c>
      <c r="O1508" s="15">
        <v>1</v>
      </c>
      <c r="P1508" s="50"/>
      <c r="Q1508" s="22" t="s">
        <v>1306</v>
      </c>
      <c r="R1508" s="22" t="s">
        <v>569</v>
      </c>
      <c r="S1508" s="90" t="str">
        <f>IF(Table26[[#This Row],[customerSKU]]="","",_xlfn.XLOOKUP(Table26[[#This Row],[customerSKU]],customerSKU!G:G,customerSKU!N:N,"NOT FOUND",0,1))</f>
        <v>NOT FOUND</v>
      </c>
      <c r="T1508" s="20">
        <v>45576</v>
      </c>
      <c r="U1508" s="94">
        <v>12</v>
      </c>
      <c r="V1508" s="22" t="str">
        <f>IF(ISBLANK(Table26[[#This Row],[customerSKU]]),"",_xlfn.XLOOKUP(Table26[[#This Row],[customerSKU]],Table27[customer_SKU],Table27[case_size],"",0,1))</f>
        <v/>
      </c>
      <c r="W1508" s="117" t="str">
        <f t="shared" si="63"/>
        <v/>
      </c>
      <c r="X1508" s="22" t="str">
        <f t="shared" si="64"/>
        <v/>
      </c>
      <c r="Y1508" s="25" t="str">
        <f>IF(Table26[[#This Row],[customerSKU]]="","",_xlfn.XLOOKUP(Table26[[#This Row],[customerSKU]],Table27[customer_SKU],Table27[product_GTIN],"",0,1))</f>
        <v/>
      </c>
      <c r="Z1508" s="25" t="s">
        <v>3374</v>
      </c>
      <c r="AA1508" s="18" t="str" cm="1">
        <f t="array" ref="AA1508">IF(P1508="", "", _xlfn.XLOOKUP(P1508,#REF!,#REF!,NA,0,-1))</f>
        <v/>
      </c>
      <c r="AB1508" s="22"/>
      <c r="AC1508" s="55" t="s">
        <v>176</v>
      </c>
      <c r="AD1508" s="55" t="str">
        <f>IF($AC1508="","",_xlfn.XLOOKUP($AC1508,'Client Info'!$C$2:$C$2497,'Client Info'!$D$2:$D$2497,"",0,1))</f>
        <v/>
      </c>
      <c r="AE1508" s="55" t="str">
        <f>IF($AC1508="","",_xlfn.XLOOKUP($AC1508,'Client Info'!$C$2:$C$2677,'Client Info'!$E$2:$E$2677,"",))</f>
        <v/>
      </c>
      <c r="AF1508" s="55" t="str">
        <f>IF($AC1508="","",_xlfn.XLOOKUP($AC1508,'Client Info'!$C$2:$C$2677,'Client Info'!$F$2:$F$2677,"",0,1))</f>
        <v/>
      </c>
      <c r="AG1508" s="55" t="s">
        <v>176</v>
      </c>
      <c r="AH1508" s="26" t="str">
        <f>_xlfn.XLOOKUP(Table26[[#This Row],[customerSKU]],customerSKU!G:G,customerSKU!K:K,"NA",0,1)</f>
        <v>NA</v>
      </c>
      <c r="AI1508" s="43" t="str">
        <f>_xlfn.XLOOKUP(Table26[[#This Row],[customerSKU]],customerSKU!G:G,customerSKU!O:O,"not found",0,1)</f>
        <v>not found</v>
      </c>
      <c r="AJ1508" s="22" t="e">
        <f>Table26[[#This Row],[unitprice]]*Table26[[#This Row],[quantity_unit]]</f>
        <v>#VALUE!</v>
      </c>
      <c r="AK1508" s="227" t="e" cm="1">
        <f t="array" ref="AK15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09" spans="1:37" ht="18" customHeight="1">
      <c r="A1509" s="42">
        <v>748</v>
      </c>
      <c r="B1509" s="42" t="s">
        <v>3357</v>
      </c>
      <c r="C1509" s="53" t="s">
        <v>3486</v>
      </c>
      <c r="E1509" s="20"/>
      <c r="F15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09" s="93"/>
      <c r="I1509" s="19">
        <v>45763</v>
      </c>
      <c r="J1509" s="90" t="str">
        <f>IF(Table26[[#This Row],[customerSKU]]="","",_xlfn.XLOOKUP(Table26[[#This Row],[customerSKU]],customerSKU!G:G,customerSKU!A:A,"",0,1))</f>
        <v/>
      </c>
      <c r="K1509" s="232">
        <v>45764</v>
      </c>
      <c r="L1509" s="49" t="str">
        <f>IF(Table26[[#This Row],[customerSKU]]="","",_xlfn.XLOOKUP(Table26[[#This Row],[customerSKU]],customerSKU!G:G,customerSKU!B:B,"",0,1))</f>
        <v/>
      </c>
      <c r="M1509" s="22"/>
      <c r="N1509" s="15" t="str">
        <f>Table26[[#This Row],[po_number]]&amp;"-"&amp;Table26[[#This Row],[po_line]]</f>
        <v>-2</v>
      </c>
      <c r="O1509" s="15">
        <v>2</v>
      </c>
      <c r="P1509" s="50"/>
      <c r="Q1509" s="22" t="s">
        <v>578</v>
      </c>
      <c r="R1509" s="22" t="s">
        <v>569</v>
      </c>
      <c r="S1509" s="90" t="str">
        <f>IF(Table26[[#This Row],[customerSKU]]="","",_xlfn.XLOOKUP(Table26[[#This Row],[customerSKU]],customerSKU!G:G,customerSKU!N:N,"NOT FOUND",0,1))</f>
        <v>NOT FOUND</v>
      </c>
      <c r="T1509" s="20">
        <v>45700</v>
      </c>
      <c r="U1509" s="94">
        <v>12</v>
      </c>
      <c r="V1509" s="22" t="str">
        <f>IF(ISBLANK(Table26[[#This Row],[customerSKU]]),"",_xlfn.XLOOKUP(Table26[[#This Row],[customerSKU]],Table27[customer_SKU],Table27[case_size],"",0,1))</f>
        <v/>
      </c>
      <c r="W1509" s="117" t="str">
        <f t="shared" si="63"/>
        <v/>
      </c>
      <c r="X1509" s="22" t="str">
        <f t="shared" si="64"/>
        <v/>
      </c>
      <c r="Y1509" s="25" t="str">
        <f>IF(Table26[[#This Row],[customerSKU]]="","",_xlfn.XLOOKUP(Table26[[#This Row],[customerSKU]],Table27[customer_SKU],Table27[product_GTIN],"",0,1))</f>
        <v/>
      </c>
      <c r="Z1509" s="25" t="s">
        <v>3448</v>
      </c>
      <c r="AA1509" s="18" t="str" cm="1">
        <f t="array" ref="AA1509">IF(P1509="", "", _xlfn.XLOOKUP(P1509,#REF!,#REF!,NA,0,-1))</f>
        <v/>
      </c>
      <c r="AB1509" s="22"/>
      <c r="AC1509" s="55" t="s">
        <v>176</v>
      </c>
      <c r="AD1509" s="55" t="str">
        <f>IF($AC1509="","",_xlfn.XLOOKUP($AC1509,'Client Info'!$C$2:$C$2497,'Client Info'!$D$2:$D$2497,"",0,1))</f>
        <v/>
      </c>
      <c r="AE1509" s="55" t="str">
        <f>IF($AC1509="","",_xlfn.XLOOKUP($AC1509,'Client Info'!$C$2:$C$2677,'Client Info'!$E$2:$E$2677,"",))</f>
        <v/>
      </c>
      <c r="AF1509" s="55" t="str">
        <f>IF($AC1509="","",_xlfn.XLOOKUP($AC1509,'Client Info'!$C$2:$C$2677,'Client Info'!$F$2:$F$2677,"",0,1))</f>
        <v/>
      </c>
      <c r="AG1509" s="55" t="s">
        <v>176</v>
      </c>
      <c r="AH1509" s="26" t="str">
        <f>_xlfn.XLOOKUP(Table26[[#This Row],[customerSKU]],customerSKU!G:G,customerSKU!K:K,"NA",0,1)</f>
        <v>NA</v>
      </c>
      <c r="AI1509" s="43" t="str">
        <f>_xlfn.XLOOKUP(Table26[[#This Row],[customerSKU]],customerSKU!G:G,customerSKU!O:O,"not found",0,1)</f>
        <v>not found</v>
      </c>
      <c r="AJ1509" s="22" t="e">
        <f>Table26[[#This Row],[unitprice]]*Table26[[#This Row],[quantity_unit]]</f>
        <v>#VALUE!</v>
      </c>
      <c r="AK1509" s="227" t="e" cm="1">
        <f t="array" ref="AK15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0" spans="1:37" ht="18" customHeight="1">
      <c r="A1510" s="42">
        <v>749</v>
      </c>
      <c r="B1510" s="42" t="s">
        <v>3357</v>
      </c>
      <c r="C1510" s="53" t="s">
        <v>3360</v>
      </c>
      <c r="E1510" s="20"/>
      <c r="F15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0" s="93"/>
      <c r="I1510" s="203">
        <v>45764</v>
      </c>
      <c r="J1510" s="90" t="str">
        <f>IF(Table26[[#This Row],[customerSKU]]="","",_xlfn.XLOOKUP(Table26[[#This Row],[customerSKU]],customerSKU!G:G,customerSKU!A:A,"",0,1))</f>
        <v/>
      </c>
      <c r="K1510" s="232">
        <v>45764</v>
      </c>
      <c r="L1510" s="49" t="str">
        <f>IF(Table26[[#This Row],[customerSKU]]="","",_xlfn.XLOOKUP(Table26[[#This Row],[customerSKU]],customerSKU!G:G,customerSKU!B:B,"",0,1))</f>
        <v/>
      </c>
      <c r="M1510" s="22"/>
      <c r="N1510" s="15" t="str">
        <f>Table26[[#This Row],[po_number]]&amp;"-"&amp;Table26[[#This Row],[po_line]]</f>
        <v>-1</v>
      </c>
      <c r="O1510" s="15">
        <v>1</v>
      </c>
      <c r="P1510" s="50"/>
      <c r="Q1510" s="22" t="s">
        <v>535</v>
      </c>
      <c r="R1510" s="22" t="s">
        <v>569</v>
      </c>
      <c r="S1510" s="90" t="str">
        <f>IF(Table26[[#This Row],[customerSKU]]="","",_xlfn.XLOOKUP(Table26[[#This Row],[customerSKU]],customerSKU!G:G,customerSKU!N:N,"NOT FOUND",0,1))</f>
        <v>NOT FOUND</v>
      </c>
      <c r="T1510" s="20">
        <v>45630</v>
      </c>
      <c r="U1510" s="94">
        <v>12</v>
      </c>
      <c r="V1510" s="22" t="str">
        <f>IF(ISBLANK(Table26[[#This Row],[customerSKU]]),"",_xlfn.XLOOKUP(Table26[[#This Row],[customerSKU]],Table27[customer_SKU],Table27[case_size],"",0,1))</f>
        <v/>
      </c>
      <c r="W1510" s="117" t="str">
        <f t="shared" si="63"/>
        <v/>
      </c>
      <c r="X1510" s="22" t="str">
        <f t="shared" si="64"/>
        <v/>
      </c>
      <c r="Y1510" s="25" t="str">
        <f>IF(Table26[[#This Row],[customerSKU]]="","",_xlfn.XLOOKUP(Table26[[#This Row],[customerSKU]],Table27[customer_SKU],Table27[product_GTIN],"",0,1))</f>
        <v/>
      </c>
      <c r="Z1510" s="25" t="s">
        <v>3381</v>
      </c>
      <c r="AA1510" s="18" t="str" cm="1">
        <f t="array" ref="AA1510">IF(P1510="", "", _xlfn.XLOOKUP(P1510,#REF!,#REF!,NA,0,-1))</f>
        <v/>
      </c>
      <c r="AB1510" s="22"/>
      <c r="AC1510" s="55" t="s">
        <v>3504</v>
      </c>
      <c r="AD1510" s="55" t="str">
        <f>IF($AC1510="","",_xlfn.XLOOKUP($AC1510,'Client Info'!$C$2:$C$2497,'Client Info'!$D$2:$D$2497,"",0,1))</f>
        <v/>
      </c>
      <c r="AE1510" s="55" t="str">
        <f>IF($AC1510="","",_xlfn.XLOOKUP($AC1510,'Client Info'!$C$2:$C$2677,'Client Info'!$E$2:$E$2677,"",))</f>
        <v/>
      </c>
      <c r="AF1510" s="55" t="str">
        <f>IF($AC1510="","",_xlfn.XLOOKUP($AC1510,'Client Info'!$C$2:$C$2677,'Client Info'!$F$2:$F$2677,"",0,1))</f>
        <v/>
      </c>
      <c r="AG1510" s="55" t="str">
        <f>IF(ISBLANK(Table26[[#This Row],[customerSKU]]),"",_xlfn.XLOOKUP(Table26[[#This Row],[customerSKU]],Table27[customer_SKU],Table27[billto],"",0,1))</f>
        <v/>
      </c>
      <c r="AH1510" s="26" t="str">
        <f>_xlfn.XLOOKUP(Table26[[#This Row],[customerSKU]],customerSKU!G:G,customerSKU!K:K,"NA",0,1)</f>
        <v>NA</v>
      </c>
      <c r="AI1510" s="43" t="str">
        <f>_xlfn.XLOOKUP(Table26[[#This Row],[customerSKU]],customerSKU!G:G,customerSKU!O:O,"not found",0,1)</f>
        <v>not found</v>
      </c>
      <c r="AJ1510" s="22" t="e">
        <f>Table26[[#This Row],[unitprice]]*Table26[[#This Row],[quantity_unit]]</f>
        <v>#VALUE!</v>
      </c>
      <c r="AK1510" s="227" t="e" cm="1">
        <f t="array" ref="AK15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1" spans="1:37" ht="18" customHeight="1">
      <c r="A1511" s="42">
        <v>750</v>
      </c>
      <c r="B1511" s="42" t="s">
        <v>3357</v>
      </c>
      <c r="C1511" s="53" t="s">
        <v>3486</v>
      </c>
      <c r="E1511" s="20"/>
      <c r="F15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1" s="93"/>
      <c r="I1511" s="19">
        <v>45764</v>
      </c>
      <c r="J1511" s="90" t="str">
        <f>IF(Table26[[#This Row],[customerSKU]]="","",_xlfn.XLOOKUP(Table26[[#This Row],[customerSKU]],customerSKU!G:G,customerSKU!A:A,"",0,1))</f>
        <v/>
      </c>
      <c r="K1511" s="232">
        <v>45764</v>
      </c>
      <c r="L1511" s="49" t="str">
        <f>IF(Table26[[#This Row],[customerSKU]]="","",_xlfn.XLOOKUP(Table26[[#This Row],[customerSKU]],customerSKU!G:G,customerSKU!B:B,"",0,1))</f>
        <v/>
      </c>
      <c r="M1511" s="22"/>
      <c r="N1511" s="15" t="str">
        <f>Table26[[#This Row],[po_number]]&amp;"-"&amp;Table26[[#This Row],[po_line]]</f>
        <v>-1</v>
      </c>
      <c r="O1511" s="15">
        <v>1</v>
      </c>
      <c r="P1511" s="50"/>
      <c r="Q1511" s="22" t="s">
        <v>2868</v>
      </c>
      <c r="R1511" s="22" t="s">
        <v>569</v>
      </c>
      <c r="S1511" s="90" t="str">
        <f>IF(Table26[[#This Row],[customerSKU]]="","",_xlfn.XLOOKUP(Table26[[#This Row],[customerSKU]],customerSKU!G:G,customerSKU!N:N,"NOT FOUND",0,1))</f>
        <v>NOT FOUND</v>
      </c>
      <c r="T1511" s="20">
        <v>45765</v>
      </c>
      <c r="U1511" s="94">
        <f>40*12</f>
        <v>480</v>
      </c>
      <c r="V1511" s="22" t="str">
        <f>IF(ISBLANK(Table26[[#This Row],[customerSKU]]),"",_xlfn.XLOOKUP(Table26[[#This Row],[customerSKU]],Table27[customer_SKU],Table27[case_size],"",0,1))</f>
        <v/>
      </c>
      <c r="W1511" s="117" t="str">
        <f t="shared" si="63"/>
        <v/>
      </c>
      <c r="X1511" s="22" t="str">
        <f t="shared" si="64"/>
        <v/>
      </c>
      <c r="Y1511" s="25" t="str">
        <f>IF(Table26[[#This Row],[customerSKU]]="","",_xlfn.XLOOKUP(Table26[[#This Row],[customerSKU]],Table27[customer_SKU],Table27[product_GTIN],"",0,1))</f>
        <v/>
      </c>
      <c r="Z1511" s="25" t="s">
        <v>3505</v>
      </c>
      <c r="AA1511" s="18" t="str" cm="1">
        <f t="array" ref="AA1511">IF(P1511="", "", _xlfn.XLOOKUP(P1511,#REF!,#REF!,NA,0,-1))</f>
        <v/>
      </c>
      <c r="AB1511" s="22"/>
      <c r="AC1511" s="55" t="str">
        <f>IF(Table26[[#This Row],[customerSKU]]="","",_xlfn.XLOOKUP(Table26[[#This Row],[customerSKU]],customerSKU!G:G,customerSKU!C:C,"",0,1))</f>
        <v/>
      </c>
      <c r="AD1511" s="55" t="str">
        <f>IF($AC1511="","",_xlfn.XLOOKUP($AC1511,'Client Info'!$C$2:$C$2497,'Client Info'!$D$2:$D$2497,"",0,1))</f>
        <v/>
      </c>
      <c r="AE1511" s="55" t="str">
        <f>IF($AC1511="","",_xlfn.XLOOKUP($AC1511,'Client Info'!$C$2:$C$2677,'Client Info'!$E$2:$E$2677,"",))</f>
        <v/>
      </c>
      <c r="AF1511" s="55" t="str">
        <f>IF($AC1511="","",_xlfn.XLOOKUP($AC1511,'Client Info'!$C$2:$C$2677,'Client Info'!$F$2:$F$2677,"",0,1))</f>
        <v/>
      </c>
      <c r="AG1511" s="55" t="str">
        <f>IF(ISBLANK(Table26[[#This Row],[customerSKU]]),"",_xlfn.XLOOKUP(Table26[[#This Row],[customerSKU]],Table27[customer_SKU],Table27[billto],"",0,1))</f>
        <v/>
      </c>
      <c r="AH1511" s="26" t="str">
        <f>_xlfn.XLOOKUP(Table26[[#This Row],[customerSKU]],customerSKU!G:G,customerSKU!K:K,"NA",0,1)</f>
        <v>NA</v>
      </c>
      <c r="AI1511" s="43" t="str">
        <f>_xlfn.XLOOKUP(Table26[[#This Row],[customerSKU]],customerSKU!G:G,customerSKU!O:O,"not found",0,1)</f>
        <v>not found</v>
      </c>
      <c r="AJ1511" s="22" t="e">
        <f>Table26[[#This Row],[unitprice]]*Table26[[#This Row],[quantity_unit]]</f>
        <v>#VALUE!</v>
      </c>
      <c r="AK1511" s="227" t="e" cm="1">
        <f t="array" ref="AK15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2" spans="1:37" ht="18" customHeight="1">
      <c r="A1512" s="42">
        <v>751</v>
      </c>
      <c r="B1512" s="42" t="s">
        <v>3357</v>
      </c>
      <c r="C1512" s="53" t="s">
        <v>3486</v>
      </c>
      <c r="E1512" s="20"/>
      <c r="F15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2" s="93"/>
      <c r="I1512" s="19">
        <v>45764</v>
      </c>
      <c r="J1512" s="90" t="str">
        <f>IF(Table26[[#This Row],[customerSKU]]="","",_xlfn.XLOOKUP(Table26[[#This Row],[customerSKU]],customerSKU!G:G,customerSKU!A:A,"",0,1))</f>
        <v/>
      </c>
      <c r="K1512" s="232">
        <v>45764</v>
      </c>
      <c r="L1512" s="49" t="str">
        <f>IF(Table26[[#This Row],[customerSKU]]="","",_xlfn.XLOOKUP(Table26[[#This Row],[customerSKU]],customerSKU!G:G,customerSKU!B:B,"",0,1))</f>
        <v/>
      </c>
      <c r="M1512" s="22"/>
      <c r="N1512" s="15" t="str">
        <f>Table26[[#This Row],[po_number]]&amp;"-"&amp;Table26[[#This Row],[po_line]]</f>
        <v>-2</v>
      </c>
      <c r="O1512" s="15">
        <v>2</v>
      </c>
      <c r="P1512" s="50"/>
      <c r="Q1512" s="22" t="s">
        <v>2935</v>
      </c>
      <c r="R1512" s="22" t="s">
        <v>569</v>
      </c>
      <c r="S1512" s="90" t="str">
        <f>IF(Table26[[#This Row],[customerSKU]]="","",_xlfn.XLOOKUP(Table26[[#This Row],[customerSKU]],customerSKU!G:G,customerSKU!N:N,"NOT FOUND",0,1))</f>
        <v>NOT FOUND</v>
      </c>
      <c r="T1512" s="20">
        <v>45765</v>
      </c>
      <c r="U1512" s="94">
        <f>33*12</f>
        <v>396</v>
      </c>
      <c r="V1512" s="22" t="str">
        <f>IF(ISBLANK(Table26[[#This Row],[customerSKU]]),"",_xlfn.XLOOKUP(Table26[[#This Row],[customerSKU]],Table27[customer_SKU],Table27[case_size],"",0,1))</f>
        <v/>
      </c>
      <c r="W1512" s="117" t="str">
        <f t="shared" si="63"/>
        <v/>
      </c>
      <c r="X1512" s="22" t="str">
        <f t="shared" si="64"/>
        <v/>
      </c>
      <c r="Y1512" s="25" t="str">
        <f>IF(Table26[[#This Row],[customerSKU]]="","",_xlfn.XLOOKUP(Table26[[#This Row],[customerSKU]],Table27[customer_SKU],Table27[product_GTIN],"",0,1))</f>
        <v/>
      </c>
      <c r="Z1512" s="25" t="s">
        <v>3506</v>
      </c>
      <c r="AA1512" s="18" t="str" cm="1">
        <f t="array" ref="AA1512">IF(P1512="", "", _xlfn.XLOOKUP(P1512,#REF!,#REF!,NA,0,-1))</f>
        <v/>
      </c>
      <c r="AB1512" s="22"/>
      <c r="AC1512" s="55" t="str">
        <f>IF(Table26[[#This Row],[customerSKU]]="","",_xlfn.XLOOKUP(Table26[[#This Row],[customerSKU]],customerSKU!G:G,customerSKU!C:C,"",0,1))</f>
        <v/>
      </c>
      <c r="AD1512" s="55" t="str">
        <f>IF($AC1512="","",_xlfn.XLOOKUP($AC1512,'Client Info'!$C$2:$C$2497,'Client Info'!$D$2:$D$2497,"",0,1))</f>
        <v/>
      </c>
      <c r="AE1512" s="55" t="str">
        <f>IF($AC1512="","",_xlfn.XLOOKUP($AC1512,'Client Info'!$C$2:$C$2677,'Client Info'!$E$2:$E$2677,"",))</f>
        <v/>
      </c>
      <c r="AF1512" s="55" t="str">
        <f>IF($AC1512="","",_xlfn.XLOOKUP($AC1512,'Client Info'!$C$2:$C$2677,'Client Info'!$F$2:$F$2677,"",0,1))</f>
        <v/>
      </c>
      <c r="AG1512" s="55" t="str">
        <f>IF(ISBLANK(Table26[[#This Row],[customerSKU]]),"",_xlfn.XLOOKUP(Table26[[#This Row],[customerSKU]],Table27[customer_SKU],Table27[billto],"",0,1))</f>
        <v/>
      </c>
      <c r="AH1512" s="26" t="str">
        <f>_xlfn.XLOOKUP(Table26[[#This Row],[customerSKU]],customerSKU!G:G,customerSKU!K:K,"NA",0,1)</f>
        <v>NA</v>
      </c>
      <c r="AI1512" s="43" t="str">
        <f>_xlfn.XLOOKUP(Table26[[#This Row],[customerSKU]],customerSKU!G:G,customerSKU!O:O,"not found",0,1)</f>
        <v>not found</v>
      </c>
      <c r="AJ1512" s="22" t="e">
        <f>Table26[[#This Row],[unitprice]]*Table26[[#This Row],[quantity_unit]]</f>
        <v>#VALUE!</v>
      </c>
      <c r="AK1512" s="227" t="e" cm="1">
        <f t="array" ref="AK15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3" spans="1:37" ht="18" customHeight="1">
      <c r="A1513" s="42">
        <v>737</v>
      </c>
      <c r="B1513" s="42" t="s">
        <v>3357</v>
      </c>
      <c r="C1513" s="53" t="s">
        <v>3486</v>
      </c>
      <c r="E1513" s="20"/>
      <c r="F15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3" s="93"/>
      <c r="I1513" s="19">
        <v>45764</v>
      </c>
      <c r="J1513" s="90" t="str">
        <f>IF(Table26[[#This Row],[customerSKU]]="","",_xlfn.XLOOKUP(Table26[[#This Row],[customerSKU]],customerSKU!G:G,customerSKU!A:A,"",0,1))</f>
        <v/>
      </c>
      <c r="K1513" s="232">
        <v>45768</v>
      </c>
      <c r="L1513" s="49" t="str">
        <f>IF(Table26[[#This Row],[customerSKU]]="","",_xlfn.XLOOKUP(Table26[[#This Row],[customerSKU]],customerSKU!G:G,customerSKU!B:B,"",0,1))</f>
        <v/>
      </c>
      <c r="M1513" s="22"/>
      <c r="N1513" s="15" t="str">
        <f>Table26[[#This Row],[po_number]]&amp;"-"&amp;Table26[[#This Row],[po_line]]</f>
        <v>-1</v>
      </c>
      <c r="O1513" s="15">
        <v>1</v>
      </c>
      <c r="P1513" s="50"/>
      <c r="Q1513" s="22" t="s">
        <v>574</v>
      </c>
      <c r="R1513" s="22" t="s">
        <v>569</v>
      </c>
      <c r="S1513" s="90" t="str">
        <f>IF(Table26[[#This Row],[customerSKU]]="","",_xlfn.XLOOKUP(Table26[[#This Row],[customerSKU]],customerSKU!G:G,customerSKU!N:N,"NOT FOUND",0,1))</f>
        <v>NOT FOUND</v>
      </c>
      <c r="T1513" s="20">
        <v>45749</v>
      </c>
      <c r="U1513" s="94">
        <v>12</v>
      </c>
      <c r="V1513" s="22" t="str">
        <f>IF(ISBLANK(Table26[[#This Row],[customerSKU]]),"",_xlfn.XLOOKUP(Table26[[#This Row],[customerSKU]],Table27[customer_SKU],Table27[case_size],"",0,1))</f>
        <v/>
      </c>
      <c r="W1513" s="117" t="str">
        <f t="shared" si="63"/>
        <v/>
      </c>
      <c r="X1513" s="22" t="str">
        <f t="shared" si="64"/>
        <v/>
      </c>
      <c r="Y1513" s="25" t="str">
        <f>IF(Table26[[#This Row],[customerSKU]]="","",_xlfn.XLOOKUP(Table26[[#This Row],[customerSKU]],Table27[customer_SKU],Table27[product_GTIN],"",0,1))</f>
        <v/>
      </c>
      <c r="Z1513" s="25" t="s">
        <v>3366</v>
      </c>
      <c r="AA1513" s="18" t="str" cm="1">
        <f t="array" ref="AA1513">IF(P1513="", "", _xlfn.XLOOKUP(P1513,#REF!,#REF!,NA,0,-1))</f>
        <v/>
      </c>
      <c r="AB1513" s="22"/>
      <c r="AC1513" s="55" t="s">
        <v>3503</v>
      </c>
      <c r="AD1513" s="55" t="str">
        <f>IF($AC1513="","",_xlfn.XLOOKUP($AC1513,'Client Info'!$C$2:$C$2497,'Client Info'!$D$2:$D$2497,"",0,1))</f>
        <v/>
      </c>
      <c r="AE1513" s="55" t="str">
        <f>IF($AC1513="","",_xlfn.XLOOKUP($AC1513,'Client Info'!$C$2:$C$2677,'Client Info'!$E$2:$E$2677,"",))</f>
        <v/>
      </c>
      <c r="AF1513" s="55" t="str">
        <f>IF($AC1513="","",_xlfn.XLOOKUP($AC1513,'Client Info'!$C$2:$C$2677,'Client Info'!$F$2:$F$2677,"",0,1))</f>
        <v/>
      </c>
      <c r="AG1513" s="55" t="s">
        <v>3503</v>
      </c>
      <c r="AH1513" s="26" t="str">
        <f>_xlfn.XLOOKUP(Table26[[#This Row],[customerSKU]],customerSKU!G:G,customerSKU!K:K,"NA",0,1)</f>
        <v>NA</v>
      </c>
      <c r="AI1513" s="43" t="str">
        <f>_xlfn.XLOOKUP(Table26[[#This Row],[customerSKU]],customerSKU!G:G,customerSKU!O:O,"not found",0,1)</f>
        <v>not found</v>
      </c>
      <c r="AJ1513" s="22" t="e">
        <f>Table26[[#This Row],[unitprice]]*Table26[[#This Row],[quantity_unit]]</f>
        <v>#VALUE!</v>
      </c>
      <c r="AK1513" s="227" t="e" cm="1">
        <f t="array" ref="AK15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4" spans="1:37" ht="18" customHeight="1">
      <c r="A1514" s="42">
        <v>738</v>
      </c>
      <c r="B1514" s="42" t="s">
        <v>3357</v>
      </c>
      <c r="C1514" s="53" t="s">
        <v>3486</v>
      </c>
      <c r="E1514" s="20"/>
      <c r="F15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4" s="93"/>
      <c r="I1514" s="19">
        <v>45764</v>
      </c>
      <c r="J1514" s="90" t="str">
        <f>IF(Table26[[#This Row],[customerSKU]]="","",_xlfn.XLOOKUP(Table26[[#This Row],[customerSKU]],customerSKU!G:G,customerSKU!A:A,"",0,1))</f>
        <v/>
      </c>
      <c r="K1514" s="232">
        <v>45768</v>
      </c>
      <c r="L1514" s="49" t="str">
        <f>IF(Table26[[#This Row],[customerSKU]]="","",_xlfn.XLOOKUP(Table26[[#This Row],[customerSKU]],customerSKU!G:G,customerSKU!B:B,"",0,1))</f>
        <v/>
      </c>
      <c r="M1514" s="22"/>
      <c r="N1514" s="15" t="str">
        <f>Table26[[#This Row],[po_number]]&amp;"-"&amp;Table26[[#This Row],[po_line]]</f>
        <v>-2</v>
      </c>
      <c r="O1514" s="15">
        <v>2</v>
      </c>
      <c r="P1514" s="50"/>
      <c r="Q1514" s="22" t="s">
        <v>559</v>
      </c>
      <c r="R1514" s="22" t="s">
        <v>569</v>
      </c>
      <c r="S1514" s="90" t="str">
        <f>IF(Table26[[#This Row],[customerSKU]]="","",_xlfn.XLOOKUP(Table26[[#This Row],[customerSKU]],customerSKU!G:G,customerSKU!N:N,"NOT FOUND",0,1))</f>
        <v>NOT FOUND</v>
      </c>
      <c r="T1514" s="20">
        <v>45740</v>
      </c>
      <c r="U1514" s="94">
        <v>12</v>
      </c>
      <c r="V1514" s="22" t="str">
        <f>IF(ISBLANK(Table26[[#This Row],[customerSKU]]),"",_xlfn.XLOOKUP(Table26[[#This Row],[customerSKU]],Table27[customer_SKU],Table27[case_size],"",0,1))</f>
        <v/>
      </c>
      <c r="W1514" s="117" t="str">
        <f t="shared" si="63"/>
        <v/>
      </c>
      <c r="X1514" s="22" t="str">
        <f t="shared" si="64"/>
        <v/>
      </c>
      <c r="Y1514" s="25" t="str">
        <f>IF(Table26[[#This Row],[customerSKU]]="","",_xlfn.XLOOKUP(Table26[[#This Row],[customerSKU]],Table27[customer_SKU],Table27[product_GTIN],"",0,1))</f>
        <v/>
      </c>
      <c r="Z1514" s="25" t="s">
        <v>3450</v>
      </c>
      <c r="AA1514" s="18" t="str" cm="1">
        <f t="array" ref="AA1514">IF(P1514="", "", _xlfn.XLOOKUP(P1514,#REF!,#REF!,NA,0,-1))</f>
        <v/>
      </c>
      <c r="AB1514" s="22"/>
      <c r="AC1514" s="55" t="s">
        <v>3503</v>
      </c>
      <c r="AD1514" s="55" t="str">
        <f>IF($AC1514="","",_xlfn.XLOOKUP($AC1514,'Client Info'!$C$2:$C$2497,'Client Info'!$D$2:$D$2497,"",0,1))</f>
        <v/>
      </c>
      <c r="AE1514" s="55" t="str">
        <f>IF($AC1514="","",_xlfn.XLOOKUP($AC1514,'Client Info'!$C$2:$C$2677,'Client Info'!$E$2:$E$2677,"",))</f>
        <v/>
      </c>
      <c r="AF1514" s="55" t="str">
        <f>IF($AC1514="","",_xlfn.XLOOKUP($AC1514,'Client Info'!$C$2:$C$2677,'Client Info'!$F$2:$F$2677,"",0,1))</f>
        <v/>
      </c>
      <c r="AG1514" s="55" t="s">
        <v>3503</v>
      </c>
      <c r="AH1514" s="26" t="str">
        <f>_xlfn.XLOOKUP(Table26[[#This Row],[customerSKU]],customerSKU!G:G,customerSKU!K:K,"NA",0,1)</f>
        <v>NA</v>
      </c>
      <c r="AI1514" s="43" t="str">
        <f>_xlfn.XLOOKUP(Table26[[#This Row],[customerSKU]],customerSKU!G:G,customerSKU!O:O,"not found",0,1)</f>
        <v>not found</v>
      </c>
      <c r="AJ1514" s="22" t="e">
        <f>Table26[[#This Row],[unitprice]]*Table26[[#This Row],[quantity_unit]]</f>
        <v>#VALUE!</v>
      </c>
      <c r="AK1514" s="227" t="e" cm="1">
        <f t="array" ref="AK15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5" spans="1:37" ht="18" customHeight="1">
      <c r="A1515" s="42">
        <v>726</v>
      </c>
      <c r="B1515" s="42" t="s">
        <v>3357</v>
      </c>
      <c r="C1515" s="53" t="s">
        <v>3486</v>
      </c>
      <c r="D1515" s="20">
        <v>45779</v>
      </c>
      <c r="E1515" s="20"/>
      <c r="F15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5" s="93"/>
      <c r="I1515" s="19">
        <v>45758</v>
      </c>
      <c r="J1515" s="90" t="str">
        <f>IF(Table26[[#This Row],[customerSKU]]="","",_xlfn.XLOOKUP(Table26[[#This Row],[customerSKU]],customerSKU!G:G,customerSKU!A:A,"",0,1))</f>
        <v/>
      </c>
      <c r="K1515" s="232">
        <v>45769</v>
      </c>
      <c r="L1515" s="49" t="str">
        <f>IF(Table26[[#This Row],[customerSKU]]="","",_xlfn.XLOOKUP(Table26[[#This Row],[customerSKU]],customerSKU!G:G,customerSKU!B:B,"",0,1))</f>
        <v/>
      </c>
      <c r="M1515" s="22"/>
      <c r="N1515" s="15" t="str">
        <f>Table26[[#This Row],[po_number]]&amp;"-"&amp;Table26[[#This Row],[po_line]]</f>
        <v>-1</v>
      </c>
      <c r="O1515" s="15">
        <v>1</v>
      </c>
      <c r="P1515" s="50"/>
      <c r="Q1515" s="22" t="s">
        <v>3454</v>
      </c>
      <c r="R1515" s="22" t="s">
        <v>3428</v>
      </c>
      <c r="S1515" s="90" t="str">
        <f>IF(Table26[[#This Row],[customerSKU]]="","",_xlfn.XLOOKUP(Table26[[#This Row],[customerSKU]],customerSKU!G:G,customerSKU!N:N,"NOT FOUND",0,1))</f>
        <v>NOT FOUND</v>
      </c>
      <c r="T1515" s="20">
        <v>45714</v>
      </c>
      <c r="U1515" s="94">
        <v>600</v>
      </c>
      <c r="V1515" s="22" t="str">
        <f>IF(ISBLANK(Table26[[#This Row],[customerSKU]]),"",_xlfn.XLOOKUP(Table26[[#This Row],[customerSKU]],Table27[customer_SKU],Table27[case_size],"",0,1))</f>
        <v/>
      </c>
      <c r="W1515" s="117" t="str">
        <f t="shared" si="63"/>
        <v/>
      </c>
      <c r="X1515" s="22" t="str">
        <f t="shared" si="64"/>
        <v/>
      </c>
      <c r="Y1515" s="25" t="str">
        <f>IF(Table26[[#This Row],[customerSKU]]="","",_xlfn.XLOOKUP(Table26[[#This Row],[customerSKU]],Table27[customer_SKU],Table27[product_GTIN],"",0,1))</f>
        <v/>
      </c>
      <c r="Z1515" s="25" t="s">
        <v>3487</v>
      </c>
      <c r="AA1515" s="18" t="str" cm="1">
        <f t="array" ref="AA1515">IF(P1515="", "", _xlfn.XLOOKUP(P1515,#REF!,#REF!,NA,0,-1))</f>
        <v/>
      </c>
      <c r="AB1515" s="22"/>
      <c r="AC1515" s="55" t="str">
        <f>IF(Table26[[#This Row],[customerSKU]]="","",_xlfn.XLOOKUP(Table26[[#This Row],[customerSKU]],customerSKU!G:G,customerSKU!C:C,"",0,1))</f>
        <v/>
      </c>
      <c r="AD1515" s="55" t="str">
        <f>IF($AC1515="","",_xlfn.XLOOKUP($AC1515,'Client Info'!$C$2:$C$2497,'Client Info'!$D$2:$D$2497,"",0,1))</f>
        <v/>
      </c>
      <c r="AE1515" s="55" t="str">
        <f>IF($AC1515="","",_xlfn.XLOOKUP($AC1515,'Client Info'!$C$2:$C$2677,'Client Info'!$E$2:$E$2677,"",))</f>
        <v/>
      </c>
      <c r="AF1515" s="55" t="str">
        <f>IF($AC1515="","",_xlfn.XLOOKUP($AC1515,'Client Info'!$C$2:$C$2677,'Client Info'!$F$2:$F$2677,"",0,1))</f>
        <v/>
      </c>
      <c r="AG1515" s="55" t="str">
        <f>IF(ISBLANK(Table26[[#This Row],[customerSKU]]),"",_xlfn.XLOOKUP(Table26[[#This Row],[customerSKU]],Table27[customer_SKU],Table27[billto],"",0,1))</f>
        <v/>
      </c>
      <c r="AH1515" s="26" t="str">
        <f>_xlfn.XLOOKUP(Table26[[#This Row],[customerSKU]],customerSKU!G:G,customerSKU!K:K,"NA",0,1)</f>
        <v>NA</v>
      </c>
      <c r="AI1515" s="43" t="str">
        <f>_xlfn.XLOOKUP(Table26[[#This Row],[customerSKU]],customerSKU!G:G,customerSKU!O:O,"not found",0,1)</f>
        <v>not found</v>
      </c>
      <c r="AJ1515" s="22" t="e">
        <f>Table26[[#This Row],[unitprice]]*Table26[[#This Row],[quantity_unit]]</f>
        <v>#VALUE!</v>
      </c>
      <c r="AK1515" s="227" t="e" cm="1">
        <f t="array" ref="AK15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Price]]*1,Table26[[#This Row],[sales_stream]]="BCLDB",Table26[[#This Row],[Product Price]]*1)</f>
        <v>#N/A</v>
      </c>
    </row>
    <row r="1516" spans="1:37" ht="18" customHeight="1">
      <c r="A1516" s="42">
        <v>727</v>
      </c>
      <c r="B1516" s="42" t="s">
        <v>3357</v>
      </c>
      <c r="C1516" s="53" t="s">
        <v>3486</v>
      </c>
      <c r="E1516" s="20"/>
      <c r="F1516" s="22"/>
      <c r="G1516" s="93"/>
      <c r="I1516" s="19">
        <v>45763</v>
      </c>
      <c r="J1516" s="90" t="str">
        <f>IF(Table26[[#This Row],[customerSKU]]="","",_xlfn.XLOOKUP(Table26[[#This Row],[customerSKU]],customerSKU!G:G,customerSKU!A:A,"",0,1))</f>
        <v/>
      </c>
      <c r="K1516" s="232">
        <v>45769</v>
      </c>
      <c r="L1516" s="49" t="str">
        <f>IF(Table26[[#This Row],[customerSKU]]="","",_xlfn.XLOOKUP(Table26[[#This Row],[customerSKU]],customerSKU!G:G,customerSKU!B:B,"",0,1))</f>
        <v/>
      </c>
      <c r="M1516" s="22"/>
      <c r="N1516" s="15" t="str">
        <f>Table26[[#This Row],[po_number]]&amp;"-"&amp;Table26[[#This Row],[po_line]]</f>
        <v>-1</v>
      </c>
      <c r="O1516" s="15">
        <v>1</v>
      </c>
      <c r="P1516" s="50"/>
      <c r="Q1516" s="22" t="s">
        <v>589</v>
      </c>
      <c r="R1516" s="22" t="s">
        <v>569</v>
      </c>
      <c r="S1516" s="90" t="str">
        <f>IF(Table26[[#This Row],[customerSKU]]="","",_xlfn.XLOOKUP(Table26[[#This Row],[customerSKU]],customerSKU!G:G,customerSKU!N:N,"NOT FOUND",0,1))</f>
        <v>NOT FOUND</v>
      </c>
      <c r="T1516" s="20">
        <v>45581</v>
      </c>
      <c r="U1516" s="94">
        <v>1</v>
      </c>
      <c r="V1516" s="22" t="str">
        <f>IF(ISBLANK(Table26[[#This Row],[customerSKU]]),"",_xlfn.XLOOKUP(Table26[[#This Row],[customerSKU]],Table27[customer_SKU],Table27[case_size],"",0,1))</f>
        <v/>
      </c>
      <c r="W1516" s="117" t="str">
        <f t="shared" si="63"/>
        <v/>
      </c>
      <c r="X1516" s="22" t="str">
        <f t="shared" si="64"/>
        <v/>
      </c>
      <c r="Y1516" s="25" t="str">
        <f>IF(Table26[[#This Row],[customerSKU]]="","",_xlfn.XLOOKUP(Table26[[#This Row],[customerSKU]],Table27[customer_SKU],Table27[product_GTIN],"",0,1))</f>
        <v/>
      </c>
      <c r="Z1516" s="25" t="s">
        <v>3491</v>
      </c>
      <c r="AA1516" s="18" t="str" cm="1">
        <f t="array" ref="AA1516">IF(P1516="", "", _xlfn.XLOOKUP(P1516,#REF!,#REF!,NA,0,-1))</f>
        <v/>
      </c>
      <c r="AB1516" s="22"/>
      <c r="AC1516" s="55" t="s">
        <v>3499</v>
      </c>
      <c r="AD1516" s="55" t="str">
        <f>IF($AC1516="","",_xlfn.XLOOKUP($AC1516,'Client Info'!$C$2:$C$2497,'Client Info'!$D$2:$D$2497,"",0,1))</f>
        <v/>
      </c>
      <c r="AE1516" s="55" t="str">
        <f>IF($AC1516="","",_xlfn.XLOOKUP($AC1516,'Client Info'!$C$2:$C$2677,'Client Info'!$E$2:$E$2677,"",))</f>
        <v/>
      </c>
      <c r="AF1516" s="55" t="str">
        <f>IF($AC1516="","",_xlfn.XLOOKUP($AC1516,'Client Info'!$C$2:$C$2677,'Client Info'!$F$2:$F$2677,"",0,1))</f>
        <v/>
      </c>
      <c r="AG1516" s="55" t="s">
        <v>3499</v>
      </c>
      <c r="AH1516" s="26" t="str">
        <f>_xlfn.XLOOKUP(Table26[[#This Row],[customerSKU]],customerSKU!G:G,customerSKU!K:K,"NA",0,1)</f>
        <v>NA</v>
      </c>
      <c r="AI1516" s="43" t="str">
        <f>_xlfn.XLOOKUP(Table26[[#This Row],[customerSKU]],customerSKU!G:G,customerSKU!O:O,"not found",0,1)</f>
        <v>not found</v>
      </c>
      <c r="AJ1516" s="22" t="e">
        <f>Table26[[#This Row],[unitprice]]*Table26[[#This Row],[quantity_unit]]</f>
        <v>#VALUE!</v>
      </c>
      <c r="AK1516" s="227" t="e" cm="1">
        <f t="array" ref="AK15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7" spans="1:37" ht="18" customHeight="1">
      <c r="A1517" s="42">
        <v>728</v>
      </c>
      <c r="B1517" s="42" t="s">
        <v>3357</v>
      </c>
      <c r="C1517" s="53" t="s">
        <v>3486</v>
      </c>
      <c r="E1517" s="20"/>
      <c r="F15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7" s="93"/>
      <c r="I1517" s="19">
        <v>45763</v>
      </c>
      <c r="J1517" s="90" t="str">
        <f>IF(Table26[[#This Row],[customerSKU]]="","",_xlfn.XLOOKUP(Table26[[#This Row],[customerSKU]],customerSKU!G:G,customerSKU!A:A,"",0,1))</f>
        <v/>
      </c>
      <c r="K1517" s="232">
        <v>45769</v>
      </c>
      <c r="L1517" s="49" t="str">
        <f>IF(Table26[[#This Row],[customerSKU]]="","",_xlfn.XLOOKUP(Table26[[#This Row],[customerSKU]],customerSKU!G:G,customerSKU!B:B,"",0,1))</f>
        <v/>
      </c>
      <c r="M1517" s="22"/>
      <c r="N1517" s="15" t="str">
        <f>Table26[[#This Row],[po_number]]&amp;"-"&amp;Table26[[#This Row],[po_line]]</f>
        <v>-2</v>
      </c>
      <c r="O1517" s="15">
        <v>2</v>
      </c>
      <c r="P1517" s="50"/>
      <c r="Q1517" s="22" t="s">
        <v>3500</v>
      </c>
      <c r="R1517" s="22" t="s">
        <v>569</v>
      </c>
      <c r="S1517" s="90" t="str">
        <f>IF(Table26[[#This Row],[customerSKU]]="","",_xlfn.XLOOKUP(Table26[[#This Row],[customerSKU]],customerSKU!G:G,customerSKU!N:N,"NOT FOUND",0,1))</f>
        <v>NOT FOUND</v>
      </c>
      <c r="T1517" s="20">
        <v>45770</v>
      </c>
      <c r="U1517" s="94">
        <v>35</v>
      </c>
      <c r="V1517" s="22" t="str">
        <f>IF(ISBLANK(Table26[[#This Row],[customerSKU]]),"",_xlfn.XLOOKUP(Table26[[#This Row],[customerSKU]],Table27[customer_SKU],Table27[case_size],"",0,1))</f>
        <v/>
      </c>
      <c r="W1517" s="117" t="str">
        <f t="shared" si="63"/>
        <v/>
      </c>
      <c r="X1517" s="22" t="str">
        <f t="shared" si="64"/>
        <v/>
      </c>
      <c r="Y1517" s="25" t="str">
        <f>IF(Table26[[#This Row],[customerSKU]]="","",_xlfn.XLOOKUP(Table26[[#This Row],[customerSKU]],Table27[customer_SKU],Table27[product_GTIN],"",0,1))</f>
        <v/>
      </c>
      <c r="Z1517" s="25" t="s">
        <v>3491</v>
      </c>
      <c r="AA1517" s="18" t="str" cm="1">
        <f t="array" ref="AA1517">IF(P1517="", "", _xlfn.XLOOKUP(P1517,#REF!,#REF!,NA,0,-1))</f>
        <v/>
      </c>
      <c r="AB1517" s="22"/>
      <c r="AC1517" s="55" t="s">
        <v>3499</v>
      </c>
      <c r="AD1517" s="55" t="str">
        <f>IF($AC1517="","",_xlfn.XLOOKUP($AC1517,'Client Info'!$C$2:$C$2497,'Client Info'!$D$2:$D$2497,"",0,1))</f>
        <v/>
      </c>
      <c r="AE1517" s="55" t="str">
        <f>IF($AC1517="","",_xlfn.XLOOKUP($AC1517,'Client Info'!$C$2:$C$2677,'Client Info'!$E$2:$E$2677,"",))</f>
        <v/>
      </c>
      <c r="AF1517" s="55" t="str">
        <f>IF($AC1517="","",_xlfn.XLOOKUP($AC1517,'Client Info'!$C$2:$C$2677,'Client Info'!$F$2:$F$2677,"",0,1))</f>
        <v/>
      </c>
      <c r="AG1517" s="55" t="s">
        <v>3499</v>
      </c>
      <c r="AH1517" s="26" t="str">
        <f>_xlfn.XLOOKUP(Table26[[#This Row],[customerSKU]],customerSKU!G:G,customerSKU!K:K,"NA",0,1)</f>
        <v>NA</v>
      </c>
      <c r="AI1517" s="43" t="str">
        <f>_xlfn.XLOOKUP(Table26[[#This Row],[customerSKU]],customerSKU!G:G,customerSKU!O:O,"not found",0,1)</f>
        <v>not found</v>
      </c>
      <c r="AJ1517" s="22" t="e">
        <f>Table26[[#This Row],[unitprice]]*Table26[[#This Row],[quantity_unit]]</f>
        <v>#VALUE!</v>
      </c>
      <c r="AK1517" s="227" t="e" cm="1">
        <f t="array" ref="AK15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8" spans="1:37" ht="18" customHeight="1">
      <c r="A1518" s="42">
        <v>729</v>
      </c>
      <c r="B1518" s="42" t="s">
        <v>3357</v>
      </c>
      <c r="C1518" s="53" t="s">
        <v>3486</v>
      </c>
      <c r="E1518" s="20"/>
      <c r="F15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8" s="93"/>
      <c r="I1518" s="19">
        <v>45763</v>
      </c>
      <c r="J1518" s="90" t="str">
        <f>IF(Table26[[#This Row],[customerSKU]]="","",_xlfn.XLOOKUP(Table26[[#This Row],[customerSKU]],customerSKU!G:G,customerSKU!A:A,"",0,1))</f>
        <v/>
      </c>
      <c r="K1518" s="232">
        <v>45769</v>
      </c>
      <c r="L1518" s="49" t="str">
        <f>IF(Table26[[#This Row],[customerSKU]]="","",_xlfn.XLOOKUP(Table26[[#This Row],[customerSKU]],customerSKU!G:G,customerSKU!B:B,"",0,1))</f>
        <v/>
      </c>
      <c r="M1518" s="22"/>
      <c r="N1518" s="15" t="str">
        <f>Table26[[#This Row],[po_number]]&amp;"-"&amp;Table26[[#This Row],[po_line]]</f>
        <v>-3</v>
      </c>
      <c r="O1518" s="15">
        <v>3</v>
      </c>
      <c r="P1518" s="50"/>
      <c r="Q1518" s="22" t="s">
        <v>630</v>
      </c>
      <c r="R1518" s="22" t="s">
        <v>569</v>
      </c>
      <c r="S1518" s="90" t="str">
        <f>IF(Table26[[#This Row],[customerSKU]]="","",_xlfn.XLOOKUP(Table26[[#This Row],[customerSKU]],customerSKU!G:G,customerSKU!N:N,"NOT FOUND",0,1))</f>
        <v>NOT FOUND</v>
      </c>
      <c r="T1518" s="20">
        <v>45707</v>
      </c>
      <c r="U1518" s="94">
        <v>17</v>
      </c>
      <c r="V1518" s="22" t="str">
        <f>IF(ISBLANK(Table26[[#This Row],[customerSKU]]),"",_xlfn.XLOOKUP(Table26[[#This Row],[customerSKU]],Table27[customer_SKU],Table27[case_size],"",0,1))</f>
        <v/>
      </c>
      <c r="W1518" s="117" t="str">
        <f t="shared" si="63"/>
        <v/>
      </c>
      <c r="X1518" s="22" t="str">
        <f t="shared" si="64"/>
        <v/>
      </c>
      <c r="Y1518" s="25" t="str">
        <f>IF(Table26[[#This Row],[customerSKU]]="","",_xlfn.XLOOKUP(Table26[[#This Row],[customerSKU]],Table27[customer_SKU],Table27[product_GTIN],"",0,1))</f>
        <v/>
      </c>
      <c r="Z1518" s="25" t="s">
        <v>3501</v>
      </c>
      <c r="AA1518" s="18" t="str" cm="1">
        <f t="array" ref="AA1518">IF(P1518="", "", _xlfn.XLOOKUP(P1518,#REF!,#REF!,NA,0,-1))</f>
        <v/>
      </c>
      <c r="AB1518" s="22"/>
      <c r="AC1518" s="55" t="s">
        <v>3499</v>
      </c>
      <c r="AD1518" s="55" t="str">
        <f>IF($AC1518="","",_xlfn.XLOOKUP($AC1518,'Client Info'!$C$2:$C$2497,'Client Info'!$D$2:$D$2497,"",0,1))</f>
        <v/>
      </c>
      <c r="AE1518" s="55" t="str">
        <f>IF($AC1518="","",_xlfn.XLOOKUP($AC1518,'Client Info'!$C$2:$C$2677,'Client Info'!$E$2:$E$2677,"",))</f>
        <v/>
      </c>
      <c r="AF1518" s="55" t="str">
        <f>IF($AC1518="","",_xlfn.XLOOKUP($AC1518,'Client Info'!$C$2:$C$2677,'Client Info'!$F$2:$F$2677,"",0,1))</f>
        <v/>
      </c>
      <c r="AG1518" s="55" t="s">
        <v>3499</v>
      </c>
      <c r="AH1518" s="26" t="str">
        <f>_xlfn.XLOOKUP(Table26[[#This Row],[customerSKU]],customerSKU!G:G,customerSKU!K:K,"NA",0,1)</f>
        <v>NA</v>
      </c>
      <c r="AI1518" s="43" t="str">
        <f>_xlfn.XLOOKUP(Table26[[#This Row],[customerSKU]],customerSKU!G:G,customerSKU!O:O,"not found",0,1)</f>
        <v>not found</v>
      </c>
      <c r="AJ1518" s="22" t="e">
        <f>Table26[[#This Row],[unitprice]]*Table26[[#This Row],[quantity_unit]]</f>
        <v>#VALUE!</v>
      </c>
      <c r="AK1518" s="227" t="e" cm="1">
        <f t="array" ref="AK15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19" spans="1:37" ht="18" customHeight="1">
      <c r="A1519" s="42">
        <v>730</v>
      </c>
      <c r="B1519" s="42" t="s">
        <v>3357</v>
      </c>
      <c r="C1519" s="53" t="s">
        <v>3486</v>
      </c>
      <c r="E1519" s="20"/>
      <c r="F15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19" s="93"/>
      <c r="I1519" s="19">
        <v>45763</v>
      </c>
      <c r="J1519" s="90" t="str">
        <f>IF(Table26[[#This Row],[customerSKU]]="","",_xlfn.XLOOKUP(Table26[[#This Row],[customerSKU]],customerSKU!G:G,customerSKU!A:A,"",0,1))</f>
        <v/>
      </c>
      <c r="K1519" s="232">
        <v>45769</v>
      </c>
      <c r="L1519" s="49" t="str">
        <f>IF(Table26[[#This Row],[customerSKU]]="","",_xlfn.XLOOKUP(Table26[[#This Row],[customerSKU]],customerSKU!G:G,customerSKU!B:B,"",0,1))</f>
        <v/>
      </c>
      <c r="M1519" s="22"/>
      <c r="N1519" s="15" t="str">
        <f>Table26[[#This Row],[po_number]]&amp;"-"&amp;Table26[[#This Row],[po_line]]</f>
        <v>-4</v>
      </c>
      <c r="O1519" s="15">
        <v>4</v>
      </c>
      <c r="P1519" s="50"/>
      <c r="Q1519" s="22" t="s">
        <v>3502</v>
      </c>
      <c r="R1519" s="22" t="s">
        <v>569</v>
      </c>
      <c r="S1519" s="90" t="str">
        <f>IF(Table26[[#This Row],[customerSKU]]="","",_xlfn.XLOOKUP(Table26[[#This Row],[customerSKU]],customerSKU!G:G,customerSKU!N:N,"NOT FOUND",0,1))</f>
        <v>NOT FOUND</v>
      </c>
      <c r="T1519" s="20">
        <v>45770</v>
      </c>
      <c r="U1519" s="94">
        <f>36-17</f>
        <v>19</v>
      </c>
      <c r="V1519" s="22" t="str">
        <f>IF(ISBLANK(Table26[[#This Row],[customerSKU]]),"",_xlfn.XLOOKUP(Table26[[#This Row],[customerSKU]],Table27[customer_SKU],Table27[case_size],"",0,1))</f>
        <v/>
      </c>
      <c r="W1519" s="117" t="str">
        <f t="shared" si="63"/>
        <v/>
      </c>
      <c r="X1519" s="22" t="str">
        <f t="shared" si="64"/>
        <v/>
      </c>
      <c r="Y1519" s="25" t="str">
        <f>IF(Table26[[#This Row],[customerSKU]]="","",_xlfn.XLOOKUP(Table26[[#This Row],[customerSKU]],Table27[customer_SKU],Table27[product_GTIN],"",0,1))</f>
        <v/>
      </c>
      <c r="Z1519" s="25" t="s">
        <v>3501</v>
      </c>
      <c r="AA1519" s="18" t="str" cm="1">
        <f t="array" ref="AA1519">IF(P1519="", "", _xlfn.XLOOKUP(P1519,#REF!,#REF!,NA,0,-1))</f>
        <v/>
      </c>
      <c r="AB1519" s="22"/>
      <c r="AC1519" s="55" t="s">
        <v>3499</v>
      </c>
      <c r="AD1519" s="55" t="str">
        <f>IF($AC1519="","",_xlfn.XLOOKUP($AC1519,'Client Info'!$C$2:$C$2497,'Client Info'!$D$2:$D$2497,"",0,1))</f>
        <v/>
      </c>
      <c r="AE1519" s="55" t="str">
        <f>IF($AC1519="","",_xlfn.XLOOKUP($AC1519,'Client Info'!$C$2:$C$2677,'Client Info'!$E$2:$E$2677,"",))</f>
        <v/>
      </c>
      <c r="AF1519" s="55" t="str">
        <f>IF($AC1519="","",_xlfn.XLOOKUP($AC1519,'Client Info'!$C$2:$C$2677,'Client Info'!$F$2:$F$2677,"",0,1))</f>
        <v/>
      </c>
      <c r="AG1519" s="55" t="s">
        <v>3499</v>
      </c>
      <c r="AH1519" s="26" t="str">
        <f>_xlfn.XLOOKUP(Table26[[#This Row],[customerSKU]],customerSKU!G:G,customerSKU!K:K,"NA",0,1)</f>
        <v>NA</v>
      </c>
      <c r="AI1519" s="43" t="str">
        <f>_xlfn.XLOOKUP(Table26[[#This Row],[customerSKU]],customerSKU!G:G,customerSKU!O:O,"not found",0,1)</f>
        <v>not found</v>
      </c>
      <c r="AJ1519" s="22" t="e">
        <f>Table26[[#This Row],[unitprice]]*Table26[[#This Row],[quantity_unit]]</f>
        <v>#VALUE!</v>
      </c>
      <c r="AK1519" s="227" t="e" cm="1">
        <f t="array" ref="AK15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0" spans="1:37" ht="18" customHeight="1">
      <c r="A1520" s="42">
        <v>731</v>
      </c>
      <c r="B1520" s="42" t="s">
        <v>3357</v>
      </c>
      <c r="C1520" s="53" t="s">
        <v>3486</v>
      </c>
      <c r="E1520" s="20"/>
      <c r="F15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0" s="93"/>
      <c r="I1520" s="19">
        <v>45763</v>
      </c>
      <c r="J1520" s="90" t="str">
        <f>IF(Table26[[#This Row],[customerSKU]]="","",_xlfn.XLOOKUP(Table26[[#This Row],[customerSKU]],customerSKU!G:G,customerSKU!A:A,"",0,1))</f>
        <v/>
      </c>
      <c r="K1520" s="232">
        <v>45769</v>
      </c>
      <c r="L1520" s="49" t="str">
        <f>IF(Table26[[#This Row],[customerSKU]]="","",_xlfn.XLOOKUP(Table26[[#This Row],[customerSKU]],customerSKU!G:G,customerSKU!B:B,"",0,1))</f>
        <v/>
      </c>
      <c r="M1520" s="22"/>
      <c r="N1520" s="15" t="str">
        <f>Table26[[#This Row],[po_number]]&amp;"-"&amp;Table26[[#This Row],[po_line]]</f>
        <v>-5</v>
      </c>
      <c r="O1520" s="15">
        <v>5</v>
      </c>
      <c r="P1520" s="50"/>
      <c r="Q1520" s="22" t="s">
        <v>625</v>
      </c>
      <c r="R1520" s="22" t="s">
        <v>569</v>
      </c>
      <c r="S1520" s="90" t="str">
        <f>IF(Table26[[#This Row],[customerSKU]]="","",_xlfn.XLOOKUP(Table26[[#This Row],[customerSKU]],customerSKU!G:G,customerSKU!N:N,"NOT FOUND",0,1))</f>
        <v>NOT FOUND</v>
      </c>
      <c r="T1520" s="20">
        <v>45707</v>
      </c>
      <c r="U1520" s="94">
        <v>24</v>
      </c>
      <c r="V1520" s="22" t="str">
        <f>IF(ISBLANK(Table26[[#This Row],[customerSKU]]),"",_xlfn.XLOOKUP(Table26[[#This Row],[customerSKU]],Table27[customer_SKU],Table27[case_size],"",0,1))</f>
        <v/>
      </c>
      <c r="W1520" s="117" t="str">
        <f t="shared" si="63"/>
        <v/>
      </c>
      <c r="X1520" s="22" t="str">
        <f t="shared" si="64"/>
        <v/>
      </c>
      <c r="Y1520" s="25" t="str">
        <f>IF(Table26[[#This Row],[customerSKU]]="","",_xlfn.XLOOKUP(Table26[[#This Row],[customerSKU]],Table27[customer_SKU],Table27[product_GTIN],"",0,1))</f>
        <v/>
      </c>
      <c r="Z1520" s="25" t="s">
        <v>3407</v>
      </c>
      <c r="AA1520" s="18" t="str" cm="1">
        <f t="array" ref="AA1520">IF(P1520="", "", _xlfn.XLOOKUP(P1520,#REF!,#REF!,NA,0,-1))</f>
        <v/>
      </c>
      <c r="AB1520" s="22"/>
      <c r="AC1520" s="55" t="s">
        <v>3499</v>
      </c>
      <c r="AD1520" s="55" t="str">
        <f>IF($AC1520="","",_xlfn.XLOOKUP($AC1520,'Client Info'!$C$2:$C$2497,'Client Info'!$D$2:$D$2497,"",0,1))</f>
        <v/>
      </c>
      <c r="AE1520" s="55" t="str">
        <f>IF($AC1520="","",_xlfn.XLOOKUP($AC1520,'Client Info'!$C$2:$C$2677,'Client Info'!$E$2:$E$2677,"",))</f>
        <v/>
      </c>
      <c r="AF1520" s="55" t="str">
        <f>IF($AC1520="","",_xlfn.XLOOKUP($AC1520,'Client Info'!$C$2:$C$2677,'Client Info'!$F$2:$F$2677,"",0,1))</f>
        <v/>
      </c>
      <c r="AG1520" s="55" t="s">
        <v>3499</v>
      </c>
      <c r="AH1520" s="26" t="str">
        <f>_xlfn.XLOOKUP(Table26[[#This Row],[customerSKU]],customerSKU!G:G,customerSKU!K:K,"NA",0,1)</f>
        <v>NA</v>
      </c>
      <c r="AI1520" s="43" t="str">
        <f>_xlfn.XLOOKUP(Table26[[#This Row],[customerSKU]],customerSKU!G:G,customerSKU!O:O,"not found",0,1)</f>
        <v>not found</v>
      </c>
      <c r="AJ1520" s="22" t="e">
        <f>Table26[[#This Row],[unitprice]]*Table26[[#This Row],[quantity_unit]]</f>
        <v>#VALUE!</v>
      </c>
      <c r="AK1520" s="227" t="e" cm="1">
        <f t="array" ref="AK15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1" spans="1:37" ht="18" customHeight="1">
      <c r="A1521" s="42">
        <v>732</v>
      </c>
      <c r="B1521" s="42" t="s">
        <v>3357</v>
      </c>
      <c r="C1521" s="53" t="s">
        <v>3486</v>
      </c>
      <c r="E1521" s="20"/>
      <c r="F15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1" s="93"/>
      <c r="I1521" s="19">
        <v>45763</v>
      </c>
      <c r="J1521" s="90" t="str">
        <f>IF(Table26[[#This Row],[customerSKU]]="","",_xlfn.XLOOKUP(Table26[[#This Row],[customerSKU]],customerSKU!G:G,customerSKU!A:A,"",0,1))</f>
        <v/>
      </c>
      <c r="K1521" s="232">
        <v>45769</v>
      </c>
      <c r="L1521" s="49" t="str">
        <f>IF(Table26[[#This Row],[customerSKU]]="","",_xlfn.XLOOKUP(Table26[[#This Row],[customerSKU]],customerSKU!G:G,customerSKU!B:B,"",0,1))</f>
        <v/>
      </c>
      <c r="M1521" s="22"/>
      <c r="N1521" s="15" t="str">
        <f>Table26[[#This Row],[po_number]]&amp;"-"&amp;Table26[[#This Row],[po_line]]</f>
        <v>-6</v>
      </c>
      <c r="O1521" s="15">
        <v>6</v>
      </c>
      <c r="P1521" s="50"/>
      <c r="Q1521" s="22" t="s">
        <v>622</v>
      </c>
      <c r="R1521" s="22" t="s">
        <v>569</v>
      </c>
      <c r="S1521" s="90" t="str">
        <f>IF(Table26[[#This Row],[customerSKU]]="","",_xlfn.XLOOKUP(Table26[[#This Row],[customerSKU]],customerSKU!G:G,customerSKU!N:N,"NOT FOUND",0,1))</f>
        <v>NOT FOUND</v>
      </c>
      <c r="T1521" s="20">
        <v>45603</v>
      </c>
      <c r="U1521" s="94">
        <v>24</v>
      </c>
      <c r="V1521" s="22" t="str">
        <f>IF(ISBLANK(Table26[[#This Row],[customerSKU]]),"",_xlfn.XLOOKUP(Table26[[#This Row],[customerSKU]],Table27[customer_SKU],Table27[case_size],"",0,1))</f>
        <v/>
      </c>
      <c r="W1521" s="117" t="str">
        <f t="shared" si="63"/>
        <v/>
      </c>
      <c r="X1521" s="22" t="str">
        <f t="shared" si="64"/>
        <v/>
      </c>
      <c r="Y1521" s="25" t="str">
        <f>IF(Table26[[#This Row],[customerSKU]]="","",_xlfn.XLOOKUP(Table26[[#This Row],[customerSKU]],Table27[customer_SKU],Table27[product_GTIN],"",0,1))</f>
        <v/>
      </c>
      <c r="Z1521" s="25" t="s">
        <v>3434</v>
      </c>
      <c r="AA1521" s="18" t="str" cm="1">
        <f t="array" ref="AA1521">IF(P1521="", "", _xlfn.XLOOKUP(P1521,#REF!,#REF!,NA,0,-1))</f>
        <v/>
      </c>
      <c r="AB1521" s="22"/>
      <c r="AC1521" s="55" t="s">
        <v>3499</v>
      </c>
      <c r="AD1521" s="55" t="str">
        <f>IF($AC1521="","",_xlfn.XLOOKUP($AC1521,'Client Info'!$C$2:$C$2497,'Client Info'!$D$2:$D$2497,"",0,1))</f>
        <v/>
      </c>
      <c r="AE1521" s="55" t="str">
        <f>IF($AC1521="","",_xlfn.XLOOKUP($AC1521,'Client Info'!$C$2:$C$2677,'Client Info'!$E$2:$E$2677,"",))</f>
        <v/>
      </c>
      <c r="AF1521" s="55" t="str">
        <f>IF($AC1521="","",_xlfn.XLOOKUP($AC1521,'Client Info'!$C$2:$C$2677,'Client Info'!$F$2:$F$2677,"",0,1))</f>
        <v/>
      </c>
      <c r="AG1521" s="55" t="s">
        <v>3499</v>
      </c>
      <c r="AH1521" s="26" t="str">
        <f>_xlfn.XLOOKUP(Table26[[#This Row],[customerSKU]],customerSKU!G:G,customerSKU!K:K,"NA",0,1)</f>
        <v>NA</v>
      </c>
      <c r="AI1521" s="43" t="str">
        <f>_xlfn.XLOOKUP(Table26[[#This Row],[customerSKU]],customerSKU!G:G,customerSKU!O:O,"not found",0,1)</f>
        <v>not found</v>
      </c>
      <c r="AJ1521" s="22" t="e">
        <f>Table26[[#This Row],[unitprice]]*Table26[[#This Row],[quantity_unit]]</f>
        <v>#VALUE!</v>
      </c>
      <c r="AK1521" s="227" t="e" cm="1">
        <f t="array" ref="AK15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2" spans="1:37" ht="18" customHeight="1">
      <c r="A1522" s="42">
        <v>733</v>
      </c>
      <c r="B1522" s="42" t="s">
        <v>3357</v>
      </c>
      <c r="C1522" s="53" t="s">
        <v>3360</v>
      </c>
      <c r="E1522" s="20"/>
      <c r="F15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2" s="93"/>
      <c r="I1522" s="203">
        <v>45768</v>
      </c>
      <c r="J1522" s="90" t="str">
        <f>IF(Table26[[#This Row],[customerSKU]]="","",_xlfn.XLOOKUP(Table26[[#This Row],[customerSKU]],customerSKU!G:G,customerSKU!A:A,"",0,1))</f>
        <v/>
      </c>
      <c r="K1522" s="232">
        <v>45769</v>
      </c>
      <c r="L1522" s="49" t="str">
        <f>IF(Table26[[#This Row],[customerSKU]]="","",_xlfn.XLOOKUP(Table26[[#This Row],[customerSKU]],customerSKU!G:G,customerSKU!B:B,"",0,1))</f>
        <v/>
      </c>
      <c r="M1522" s="22"/>
      <c r="N1522" s="15" t="str">
        <f>Table26[[#This Row],[po_number]]&amp;"-"&amp;Table26[[#This Row],[po_line]]</f>
        <v>-1</v>
      </c>
      <c r="O1522" s="15">
        <v>1</v>
      </c>
      <c r="P1522" s="50"/>
      <c r="Q1522" s="22" t="s">
        <v>582</v>
      </c>
      <c r="R1522" s="22" t="s">
        <v>3428</v>
      </c>
      <c r="S1522" s="90" t="str">
        <f>IF(Table26[[#This Row],[customerSKU]]="","",_xlfn.XLOOKUP(Table26[[#This Row],[customerSKU]],customerSKU!G:G,customerSKU!N:N,"NOT FOUND",0,1))</f>
        <v>NOT FOUND</v>
      </c>
      <c r="T1522" s="20"/>
      <c r="U1522" s="94">
        <v>12</v>
      </c>
      <c r="V1522" s="22" t="str">
        <f>IF(ISBLANK(Table26[[#This Row],[customerSKU]]),"",_xlfn.XLOOKUP(Table26[[#This Row],[customerSKU]],Table27[customer_SKU],Table27[case_size],"",0,1))</f>
        <v/>
      </c>
      <c r="W1522" s="117" t="str">
        <f t="shared" si="63"/>
        <v/>
      </c>
      <c r="X1522" s="22" t="str">
        <f t="shared" si="64"/>
        <v/>
      </c>
      <c r="Y1522" s="25" t="str">
        <f>IF(Table26[[#This Row],[customerSKU]]="","",_xlfn.XLOOKUP(Table26[[#This Row],[customerSKU]],Table27[customer_SKU],Table27[product_GTIN],"",0,1))</f>
        <v/>
      </c>
      <c r="Z1522" s="25" t="s">
        <v>3519</v>
      </c>
      <c r="AA1522" s="18" t="str" cm="1">
        <f t="array" ref="AA1522">IF(P1522="", "", _xlfn.XLOOKUP(P1522,#REF!,#REF!,NA,0,-1))</f>
        <v/>
      </c>
      <c r="AB1522" s="22"/>
      <c r="AC1522" s="55" t="s">
        <v>3424</v>
      </c>
      <c r="AD1522" s="55" t="str">
        <f>IF($AC1522="","",_xlfn.XLOOKUP($AC1522,'Client Info'!$C$2:$C$2497,'Client Info'!$D$2:$D$2497,"",0,1))</f>
        <v/>
      </c>
      <c r="AE1522" s="55" t="str">
        <f>IF($AC1522="","",_xlfn.XLOOKUP($AC1522,'Client Info'!$C$2:$C$2677,'Client Info'!$E$2:$E$2677,"",))</f>
        <v/>
      </c>
      <c r="AF1522" s="55" t="str">
        <f>IF($AC1522="","",_xlfn.XLOOKUP($AC1522,'Client Info'!$C$2:$C$2677,'Client Info'!$F$2:$F$2677,"",0,1))</f>
        <v/>
      </c>
      <c r="AG1522" s="55" t="str">
        <f>IF(ISBLANK(Table26[[#This Row],[customerSKU]]),"",_xlfn.XLOOKUP(Table26[[#This Row],[customerSKU]],Table27[customer_SKU],Table27[billto],"",0,1))</f>
        <v/>
      </c>
      <c r="AH1522" s="26" t="str">
        <f>_xlfn.XLOOKUP(Table26[[#This Row],[customerSKU]],customerSKU!G:G,customerSKU!K:K,"NA",0,1)</f>
        <v>NA</v>
      </c>
      <c r="AI1522" s="43" t="str">
        <f>_xlfn.XLOOKUP(Table26[[#This Row],[customerSKU]],customerSKU!G:G,customerSKU!O:O,"not found",0,1)</f>
        <v>not found</v>
      </c>
      <c r="AJ1522" s="22" t="e">
        <f>Table26[[#This Row],[unitprice]]*Table26[[#This Row],[quantity_unit]]</f>
        <v>#VALUE!</v>
      </c>
      <c r="AK1522" s="227" t="e" cm="1">
        <f t="array" ref="AK15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3" spans="1:37" ht="18" customHeight="1">
      <c r="A1523" s="42">
        <v>734</v>
      </c>
      <c r="B1523" s="42" t="s">
        <v>3520</v>
      </c>
      <c r="C1523" s="53" t="s">
        <v>3360</v>
      </c>
      <c r="E1523" s="20"/>
      <c r="F1523" s="22" t="s">
        <v>210</v>
      </c>
      <c r="G1523" s="93"/>
      <c r="I1523" s="203">
        <v>45768</v>
      </c>
      <c r="J1523" s="90" t="str">
        <f>IF(Table26[[#This Row],[customerSKU]]="","",_xlfn.XLOOKUP(Table26[[#This Row],[customerSKU]],customerSKU!G:G,customerSKU!A:A,"",0,1))</f>
        <v/>
      </c>
      <c r="K1523" s="232">
        <v>45769</v>
      </c>
      <c r="L1523" s="49" t="str">
        <f>IF(Table26[[#This Row],[customerSKU]]="","",_xlfn.XLOOKUP(Table26[[#This Row],[customerSKU]],customerSKU!G:G,customerSKU!B:B,"",0,1))</f>
        <v/>
      </c>
      <c r="M1523" s="22"/>
      <c r="N1523" s="15" t="str">
        <f>Table26[[#This Row],[po_number]]&amp;"-"&amp;Table26[[#This Row],[po_line]]</f>
        <v>-2</v>
      </c>
      <c r="O1523" s="15">
        <v>2</v>
      </c>
      <c r="P1523" s="50"/>
      <c r="Q1523" s="22" t="s">
        <v>3521</v>
      </c>
      <c r="R1523" s="22" t="s">
        <v>3428</v>
      </c>
      <c r="S1523" s="90" t="str">
        <f>IF(Table26[[#This Row],[customerSKU]]="","",_xlfn.XLOOKUP(Table26[[#This Row],[customerSKU]],customerSKU!G:G,customerSKU!N:N,"NOT FOUND",0,1))</f>
        <v>NOT FOUND</v>
      </c>
      <c r="T1523" s="20"/>
      <c r="U1523" s="94">
        <v>12</v>
      </c>
      <c r="V1523" s="22" t="str">
        <f>IF(ISBLANK(Table26[[#This Row],[customerSKU]]),"",_xlfn.XLOOKUP(Table26[[#This Row],[customerSKU]],Table27[customer_SKU],Table27[case_size],"",0,1))</f>
        <v/>
      </c>
      <c r="W1523" s="117" t="str">
        <f t="shared" si="63"/>
        <v/>
      </c>
      <c r="X1523" s="22" t="str">
        <f t="shared" si="64"/>
        <v/>
      </c>
      <c r="Y1523" s="25" t="str">
        <f>IF(Table26[[#This Row],[customerSKU]]="","",_xlfn.XLOOKUP(Table26[[#This Row],[customerSKU]],Table27[customer_SKU],Table27[product_GTIN],"",0,1))</f>
        <v/>
      </c>
      <c r="Z1523" s="25" t="s">
        <v>3522</v>
      </c>
      <c r="AA1523" s="18" t="str" cm="1">
        <f t="array" ref="AA1523">IF(P1523="", "", _xlfn.XLOOKUP(P1523,#REF!,#REF!,NA,0,-1))</f>
        <v/>
      </c>
      <c r="AB1523" s="22"/>
      <c r="AC1523" s="55" t="s">
        <v>3424</v>
      </c>
      <c r="AD1523" s="55" t="str">
        <f>IF($AC1523="","",_xlfn.XLOOKUP($AC1523,'Client Info'!$C$2:$C$2497,'Client Info'!$D$2:$D$2497,"",0,1))</f>
        <v/>
      </c>
      <c r="AE1523" s="55" t="str">
        <f>IF($AC1523="","",_xlfn.XLOOKUP($AC1523,'Client Info'!$C$2:$C$2677,'Client Info'!$E$2:$E$2677,"",))</f>
        <v/>
      </c>
      <c r="AF1523" s="55" t="str">
        <f>IF($AC1523="","",_xlfn.XLOOKUP($AC1523,'Client Info'!$C$2:$C$2677,'Client Info'!$F$2:$F$2677,"",0,1))</f>
        <v/>
      </c>
      <c r="AG1523" s="55" t="str">
        <f>IF(ISBLANK(Table26[[#This Row],[customerSKU]]),"",_xlfn.XLOOKUP(Table26[[#This Row],[customerSKU]],Table27[customer_SKU],Table27[billto],"",0,1))</f>
        <v/>
      </c>
      <c r="AH1523" s="26" t="str">
        <f>_xlfn.XLOOKUP(Table26[[#This Row],[customerSKU]],customerSKU!G:G,customerSKU!K:K,"NA",0,1)</f>
        <v>NA</v>
      </c>
      <c r="AI1523" s="43" t="str">
        <f>_xlfn.XLOOKUP(Table26[[#This Row],[customerSKU]],customerSKU!G:G,customerSKU!O:O,"not found",0,1)</f>
        <v>not found</v>
      </c>
      <c r="AJ1523" s="22" t="e">
        <f>Table26[[#This Row],[unitprice]]*Table26[[#This Row],[quantity_unit]]</f>
        <v>#VALUE!</v>
      </c>
      <c r="AK1523" s="227" t="e" cm="1">
        <f t="array" ref="AK15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4" spans="1:37" ht="18" customHeight="1">
      <c r="A1524" s="42">
        <v>735</v>
      </c>
      <c r="B1524" s="42" t="s">
        <v>3357</v>
      </c>
      <c r="C1524" s="53" t="s">
        <v>3360</v>
      </c>
      <c r="E1524" s="20"/>
      <c r="F15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4" s="93"/>
      <c r="I1524" s="203">
        <v>45769</v>
      </c>
      <c r="J1524" s="90" t="str">
        <f>IF(Table26[[#This Row],[customerSKU]]="","",_xlfn.XLOOKUP(Table26[[#This Row],[customerSKU]],customerSKU!G:G,customerSKU!A:A,"",0,1))</f>
        <v/>
      </c>
      <c r="K1524" s="232">
        <v>45769</v>
      </c>
      <c r="L1524" s="49" t="str">
        <f>IF(Table26[[#This Row],[customerSKU]]="","",_xlfn.XLOOKUP(Table26[[#This Row],[customerSKU]],customerSKU!G:G,customerSKU!B:B,"",0,1))</f>
        <v/>
      </c>
      <c r="M1524" s="22"/>
      <c r="N1524" s="15" t="str">
        <f>Table26[[#This Row],[po_number]]&amp;"-"&amp;Table26[[#This Row],[po_line]]</f>
        <v>-1</v>
      </c>
      <c r="O1524" s="15">
        <v>1</v>
      </c>
      <c r="P1524" s="50"/>
      <c r="S1524" s="90" t="str">
        <f>IF(Table26[[#This Row],[customerSKU]]="","",_xlfn.XLOOKUP(Table26[[#This Row],[customerSKU]],customerSKU!G:G,customerSKU!N:N,"NOT FOUND",0,1))</f>
        <v>NOT FOUND</v>
      </c>
      <c r="T1524" s="20"/>
      <c r="U1524" s="94">
        <v>12</v>
      </c>
      <c r="V1524" s="22" t="str">
        <f>IF(ISBLANK(Table26[[#This Row],[customerSKU]]),"",_xlfn.XLOOKUP(Table26[[#This Row],[customerSKU]],Table27[customer_SKU],Table27[case_size],"",0,1))</f>
        <v/>
      </c>
      <c r="W1524" s="117" t="str">
        <f t="shared" si="63"/>
        <v/>
      </c>
      <c r="X1524" s="22" t="str">
        <f t="shared" si="64"/>
        <v/>
      </c>
      <c r="Y1524" s="25" t="str">
        <f>IF(Table26[[#This Row],[customerSKU]]="","",_xlfn.XLOOKUP(Table26[[#This Row],[customerSKU]],Table27[customer_SKU],Table27[product_GTIN],"",0,1))</f>
        <v/>
      </c>
      <c r="Z1524" s="25" t="s">
        <v>3528</v>
      </c>
      <c r="AA1524" s="18" t="str" cm="1">
        <f t="array" ref="AA1524">IF(P1524="", "", _xlfn.XLOOKUP(P1524,#REF!,#REF!,NA,0,-1))</f>
        <v/>
      </c>
      <c r="AB1524" s="22"/>
      <c r="AC1524" s="55" t="str">
        <f>IF(Table26[[#This Row],[customerSKU]]="","",_xlfn.XLOOKUP(Table26[[#This Row],[customerSKU]],customerSKU!G:G,customerSKU!C:C,"",0,1))</f>
        <v/>
      </c>
      <c r="AD1524" s="55" t="str">
        <f>IF($AC1524="","",_xlfn.XLOOKUP($AC1524,'Client Info'!$C$2:$C$2497,'Client Info'!$D$2:$D$2497,"",0,1))</f>
        <v/>
      </c>
      <c r="AE1524" s="55" t="str">
        <f>IF($AC1524="","",_xlfn.XLOOKUP($AC1524,'Client Info'!$C$2:$C$2677,'Client Info'!$E$2:$E$2677,"",))</f>
        <v/>
      </c>
      <c r="AF1524" s="55" t="str">
        <f>IF($AC1524="","",_xlfn.XLOOKUP($AC1524,'Client Info'!$C$2:$C$2677,'Client Info'!$F$2:$F$2677,"",0,1))</f>
        <v/>
      </c>
      <c r="AG1524" s="55" t="str">
        <f>IF(ISBLANK(Table26[[#This Row],[customerSKU]]),"",_xlfn.XLOOKUP(Table26[[#This Row],[customerSKU]],Table27[customer_SKU],Table27[billto],"",0,1))</f>
        <v/>
      </c>
      <c r="AH1524" s="26" t="str">
        <f>_xlfn.XLOOKUP(Table26[[#This Row],[customerSKU]],customerSKU!G:G,customerSKU!K:K,"NA",0,1)</f>
        <v>NA</v>
      </c>
      <c r="AI1524" s="43" t="str">
        <f>_xlfn.XLOOKUP(Table26[[#This Row],[customerSKU]],customerSKU!G:G,customerSKU!O:O,"not found",0,1)</f>
        <v>not found</v>
      </c>
      <c r="AJ1524" s="22" t="e">
        <f>Table26[[#This Row],[unitprice]]*Table26[[#This Row],[quantity_unit]]</f>
        <v>#VALUE!</v>
      </c>
      <c r="AK1524" s="227" t="e" cm="1">
        <f t="array" ref="AK15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5" spans="1:37" ht="24.6" customHeight="1">
      <c r="A1525" s="42">
        <v>736</v>
      </c>
      <c r="B1525" s="42" t="s">
        <v>3520</v>
      </c>
      <c r="C1525" s="53" t="s">
        <v>3360</v>
      </c>
      <c r="E1525" s="20"/>
      <c r="F1525" s="22" t="s">
        <v>210</v>
      </c>
      <c r="G1525" s="93"/>
      <c r="I1525" s="203">
        <v>45769</v>
      </c>
      <c r="J1525" s="90" t="str">
        <f>IF(Table26[[#This Row],[customerSKU]]="","",_xlfn.XLOOKUP(Table26[[#This Row],[customerSKU]],customerSKU!G:G,customerSKU!A:A,"",0,1))</f>
        <v/>
      </c>
      <c r="K1525" s="232">
        <v>45769</v>
      </c>
      <c r="L1525" s="49" t="str">
        <f>IF(Table26[[#This Row],[customerSKU]]="","",_xlfn.XLOOKUP(Table26[[#This Row],[customerSKU]],customerSKU!G:G,customerSKU!B:B,"",0,1))</f>
        <v/>
      </c>
      <c r="M1525" s="22"/>
      <c r="N1525" s="15" t="str">
        <f>Table26[[#This Row],[po_number]]&amp;"-"&amp;Table26[[#This Row],[po_line]]</f>
        <v>-1</v>
      </c>
      <c r="O1525" s="15">
        <v>1</v>
      </c>
      <c r="P1525" s="50"/>
      <c r="R1525" s="22" t="s">
        <v>3428</v>
      </c>
      <c r="S1525" s="90" t="str">
        <f>IF(Table26[[#This Row],[customerSKU]]="","",_xlfn.XLOOKUP(Table26[[#This Row],[customerSKU]],customerSKU!G:G,customerSKU!N:N,"NOT FOUND",0,1))</f>
        <v>NOT FOUND</v>
      </c>
      <c r="T1525" s="20"/>
      <c r="U1525" s="94">
        <v>12</v>
      </c>
      <c r="V1525" s="22" t="str">
        <f>IF(ISBLANK(Table26[[#This Row],[customerSKU]]),"",_xlfn.XLOOKUP(Table26[[#This Row],[customerSKU]],Table27[customer_SKU],Table27[case_size],"",0,1))</f>
        <v/>
      </c>
      <c r="W1525" s="117" t="str">
        <f t="shared" si="63"/>
        <v/>
      </c>
      <c r="X1525" s="22" t="str">
        <f t="shared" si="64"/>
        <v/>
      </c>
      <c r="Y1525" s="25" t="str">
        <f>IF(Table26[[#This Row],[customerSKU]]="","",_xlfn.XLOOKUP(Table26[[#This Row],[customerSKU]],Table27[customer_SKU],Table27[product_GTIN],"",0,1))</f>
        <v/>
      </c>
      <c r="Z1525" s="25" t="s">
        <v>3451</v>
      </c>
      <c r="AA1525" s="18" t="str" cm="1">
        <f t="array" ref="AA1525">IF(P1525="", "", _xlfn.XLOOKUP(P1525,#REF!,#REF!,NA,0,-1))</f>
        <v/>
      </c>
      <c r="AB1525" s="22"/>
      <c r="AC1525" s="55" t="str">
        <f>IF(Table26[[#This Row],[customerSKU]]="","",_xlfn.XLOOKUP(Table26[[#This Row],[customerSKU]],customerSKU!G:G,customerSKU!C:C,"",0,1))</f>
        <v/>
      </c>
      <c r="AD1525" s="55" t="str">
        <f>IF($AC1525="","",_xlfn.XLOOKUP($AC1525,'Client Info'!$C$2:$C$2497,'Client Info'!$D$2:$D$2497,"",0,1))</f>
        <v/>
      </c>
      <c r="AE1525" s="55" t="str">
        <f>IF($AC1525="","",_xlfn.XLOOKUP($AC1525,'Client Info'!$C$2:$C$2677,'Client Info'!$E$2:$E$2677,"",))</f>
        <v/>
      </c>
      <c r="AF1525" s="55" t="str">
        <f>IF($AC1525="","",_xlfn.XLOOKUP($AC1525,'Client Info'!$C$2:$C$2677,'Client Info'!$F$2:$F$2677,"",0,1))</f>
        <v/>
      </c>
      <c r="AG1525" s="55" t="str">
        <f>IF(ISBLANK(Table26[[#This Row],[customerSKU]]),"",_xlfn.XLOOKUP(Table26[[#This Row],[customerSKU]],Table27[customer_SKU],Table27[billto],"",0,1))</f>
        <v/>
      </c>
      <c r="AH1525" s="26" t="str">
        <f>_xlfn.XLOOKUP(Table26[[#This Row],[customerSKU]],customerSKU!G:G,customerSKU!K:K,"NA",0,1)</f>
        <v>NA</v>
      </c>
      <c r="AI1525" s="43" t="str">
        <f>_xlfn.XLOOKUP(Table26[[#This Row],[customerSKU]],customerSKU!G:G,customerSKU!O:O,"not found",0,1)</f>
        <v>not found</v>
      </c>
      <c r="AJ1525" s="22" t="e">
        <f>Table26[[#This Row],[unitprice]]*Table26[[#This Row],[quantity_unit]]</f>
        <v>#VALUE!</v>
      </c>
      <c r="AK1525" s="227" t="e" cm="1">
        <f t="array" ref="AK15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26" spans="1:37" ht="24.6" customHeight="1">
      <c r="A1526" s="42">
        <v>724</v>
      </c>
      <c r="B1526" s="42" t="s">
        <v>3357</v>
      </c>
      <c r="C1526" s="53" t="s">
        <v>203</v>
      </c>
      <c r="D1526" s="20">
        <v>45778</v>
      </c>
      <c r="E1526" s="20"/>
      <c r="F15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6" s="93"/>
      <c r="I1526" s="19">
        <v>45757</v>
      </c>
      <c r="J1526" s="90" t="str">
        <f>IF(Table26[[#This Row],[customerSKU]]="","",_xlfn.XLOOKUP(Table26[[#This Row],[customerSKU]],customerSKU!G:G,customerSKU!A:A,"",0,1))</f>
        <v/>
      </c>
      <c r="K1526" s="232">
        <v>45770</v>
      </c>
      <c r="L1526" s="49" t="str">
        <f>IF(Table26[[#This Row],[customerSKU]]="","",_xlfn.XLOOKUP(Table26[[#This Row],[customerSKU]],customerSKU!G:G,customerSKU!B:B,"",0,1))</f>
        <v/>
      </c>
      <c r="M1526" s="22"/>
      <c r="N1526" s="15" t="str">
        <f>Table26[[#This Row],[po_number]]&amp;"-"&amp;Table26[[#This Row],[po_line]]</f>
        <v>-1</v>
      </c>
      <c r="O1526" s="15">
        <v>1</v>
      </c>
      <c r="P1526" s="50"/>
      <c r="Q1526" s="22" t="s">
        <v>659</v>
      </c>
      <c r="R1526" s="22" t="s">
        <v>3428</v>
      </c>
      <c r="S1526" s="90" t="str">
        <f>IF(Table26[[#This Row],[customerSKU]]="","",_xlfn.XLOOKUP(Table26[[#This Row],[customerSKU]],customerSKU!G:G,customerSKU!N:N,"NOT FOUND",0,1))</f>
        <v>NOT FOUND</v>
      </c>
      <c r="T1526" s="20">
        <v>45638</v>
      </c>
      <c r="U1526" s="94">
        <v>12</v>
      </c>
      <c r="V1526" s="22" t="str">
        <f>IF(ISBLANK(Table26[[#This Row],[customerSKU]]),"",_xlfn.XLOOKUP(Table26[[#This Row],[customerSKU]],Table27[customer_SKU],Table27[case_size],"",0,1))</f>
        <v/>
      </c>
      <c r="W1526" s="117" t="str">
        <f t="shared" si="63"/>
        <v/>
      </c>
      <c r="X1526" s="22" t="str">
        <f t="shared" si="64"/>
        <v/>
      </c>
      <c r="Y1526" s="25" t="str">
        <f>IF(Table26[[#This Row],[customerSKU]]="","",_xlfn.XLOOKUP(Table26[[#This Row],[customerSKU]],Table27[customer_SKU],Table27[product_GTIN],"",0,1))</f>
        <v/>
      </c>
      <c r="Z1526" s="25" t="s">
        <v>3468</v>
      </c>
      <c r="AA1526" s="18" t="str" cm="1">
        <f t="array" ref="AA1526">IF(P1526="", "", _xlfn.XLOOKUP(P1526,#REF!,#REF!,NA,0,-1))</f>
        <v/>
      </c>
      <c r="AB1526" s="22"/>
      <c r="AC1526" s="55" t="s">
        <v>137</v>
      </c>
      <c r="AD1526" s="55" t="str">
        <f>IF($AC1526="","",_xlfn.XLOOKUP($AC1526,'[2]Client Info'!$C$2:$C$2535,'[2]Client Info'!$D$2:$D$2535,"",0,1))</f>
        <v>20 GRANITE RIDGE RD</v>
      </c>
      <c r="AE1526" s="55" t="str">
        <f>IF($AC1526="","",_xlfn.XLOOKUP($AC1526,'[2]Client Info'!$C$2:$C$2715,'[2]Client Info'!$E$2:$E$2715,"",))</f>
        <v>CONCORD</v>
      </c>
      <c r="AF1526" s="55" t="str">
        <f>IF($AC1526="","",_xlfn.XLOOKUP($AC1526,'[2]Client Info'!$C$2:$C$2715,'[2]Client Info'!$F$2:$F$2715,"",0,1))</f>
        <v>ON</v>
      </c>
      <c r="AG1526" s="55" t="str">
        <f>IF(ISBLANK(Table26[[#This Row],[customerSKU]]),"",_xlfn.XLOOKUP(Table26[[#This Row],[customerSKU]],Table27[customer_SKU],Table27[billto],"",0,1))</f>
        <v/>
      </c>
      <c r="AH1526" s="26" t="str">
        <f>_xlfn.XLOOKUP(Table26[[#This Row],[customerSKU]],customerSKU!G:G,customerSKU!K:K,"NA",0,1)</f>
        <v>NA</v>
      </c>
      <c r="AI1526" s="43" t="str">
        <f>_xlfn.XLOOKUP(Table26[[#This Row],[customerSKU]],customerSKU!G:G,customerSKU!O:O,"not found",0,1)</f>
        <v>not found</v>
      </c>
      <c r="AJ1526" s="22" t="e">
        <f>Table26[[#This Row],[unitprice]]*Table26[[#This Row],[quantity_unit]]</f>
        <v>#VALUE!</v>
      </c>
      <c r="AK1526" s="227" t="e" cm="1">
        <f t="array" ref="AK15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27" spans="1:37" ht="24.6" customHeight="1">
      <c r="A1527" s="42">
        <v>725</v>
      </c>
      <c r="B1527" s="42" t="s">
        <v>3357</v>
      </c>
      <c r="C1527" s="53" t="s">
        <v>203</v>
      </c>
      <c r="D1527" s="20">
        <v>45778</v>
      </c>
      <c r="E1527" s="20"/>
      <c r="F15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27" s="93"/>
      <c r="I1527" s="19">
        <v>45757</v>
      </c>
      <c r="J1527" s="90" t="str">
        <f>IF(Table26[[#This Row],[customerSKU]]="","",_xlfn.XLOOKUP(Table26[[#This Row],[customerSKU]],customerSKU!G:G,customerSKU!A:A,"",0,1))</f>
        <v/>
      </c>
      <c r="K1527" s="232">
        <v>45770</v>
      </c>
      <c r="L1527" s="49" t="str">
        <f>IF(Table26[[#This Row],[customerSKU]]="","",_xlfn.XLOOKUP(Table26[[#This Row],[customerSKU]],customerSKU!G:G,customerSKU!B:B,"",0,1))</f>
        <v/>
      </c>
      <c r="M1527" s="22"/>
      <c r="N1527" s="15" t="str">
        <f>Table26[[#This Row],[po_number]]&amp;"-"&amp;Table26[[#This Row],[po_line]]</f>
        <v>-1</v>
      </c>
      <c r="O1527" s="15">
        <v>1</v>
      </c>
      <c r="P1527" s="50"/>
      <c r="Q1527" s="22" t="s">
        <v>3454</v>
      </c>
      <c r="R1527" s="22" t="s">
        <v>3428</v>
      </c>
      <c r="S1527" s="90" t="str">
        <f>IF(Table26[[#This Row],[customerSKU]]="","",_xlfn.XLOOKUP(Table26[[#This Row],[customerSKU]],customerSKU!G:G,customerSKU!N:N,"NOT FOUND",0,1))</f>
        <v>NOT FOUND</v>
      </c>
      <c r="T1527" s="20">
        <v>45714</v>
      </c>
      <c r="U1527" s="94">
        <v>108</v>
      </c>
      <c r="V1527" s="22" t="str">
        <f>IF(ISBLANK(Table26[[#This Row],[customerSKU]]),"",_xlfn.XLOOKUP(Table26[[#This Row],[customerSKU]],Table27[customer_SKU],Table27[case_size],"",0,1))</f>
        <v/>
      </c>
      <c r="W1527" s="117" t="str">
        <f t="shared" si="63"/>
        <v/>
      </c>
      <c r="X1527" s="22" t="str">
        <f t="shared" si="64"/>
        <v/>
      </c>
      <c r="Y1527" s="25" t="str">
        <f>IF(Table26[[#This Row],[customerSKU]]="","",_xlfn.XLOOKUP(Table26[[#This Row],[customerSKU]],Table27[customer_SKU],Table27[product_GTIN],"",0,1))</f>
        <v/>
      </c>
      <c r="Z1527" s="25" t="s">
        <v>3409</v>
      </c>
      <c r="AA1527" s="18" t="str" cm="1">
        <f t="array" ref="AA1527">IF(P1527="", "", _xlfn.XLOOKUP(P1527,#REF!,#REF!,NA,0,-1))</f>
        <v/>
      </c>
      <c r="AB1527" s="22"/>
      <c r="AC1527" s="55" t="s">
        <v>137</v>
      </c>
      <c r="AD1527" s="55" t="str">
        <f>IF($AC1527="","",_xlfn.XLOOKUP($AC1527,'[2]Client Info'!$C$2:$C$2535,'[2]Client Info'!$D$2:$D$2535,"",0,1))</f>
        <v>20 GRANITE RIDGE RD</v>
      </c>
      <c r="AE1527" s="55" t="str">
        <f>IF($AC1527="","",_xlfn.XLOOKUP($AC1527,'[2]Client Info'!$C$2:$C$2715,'[2]Client Info'!$E$2:$E$2715,"",))</f>
        <v>CONCORD</v>
      </c>
      <c r="AF1527" s="55" t="str">
        <f>IF($AC1527="","",_xlfn.XLOOKUP($AC1527,'[2]Client Info'!$C$2:$C$2715,'[2]Client Info'!$F$2:$F$2715,"",0,1))</f>
        <v>ON</v>
      </c>
      <c r="AG1527" s="55" t="str">
        <f>IF(ISBLANK(Table26[[#This Row],[customerSKU]]),"",_xlfn.XLOOKUP(Table26[[#This Row],[customerSKU]],Table27[customer_SKU],Table27[billto],"",0,1))</f>
        <v/>
      </c>
      <c r="AH1527" s="26" t="str">
        <f>_xlfn.XLOOKUP(Table26[[#This Row],[customerSKU]],customerSKU!G:G,customerSKU!K:K,"NA",0,1)</f>
        <v>NA</v>
      </c>
      <c r="AI1527" s="43" t="str">
        <f>_xlfn.XLOOKUP(Table26[[#This Row],[customerSKU]],customerSKU!G:G,customerSKU!O:O,"not found",0,1)</f>
        <v>not found</v>
      </c>
      <c r="AJ1527" s="22" t="e">
        <f>Table26[[#This Row],[unitprice]]*Table26[[#This Row],[quantity_unit]]</f>
        <v>#VALUE!</v>
      </c>
      <c r="AK1527" s="227" t="e" cm="1">
        <f t="array" ref="AK15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28" spans="1:37" ht="24.6" customHeight="1">
      <c r="A1528" s="42">
        <v>707</v>
      </c>
      <c r="B1528" s="42" t="s">
        <v>3357</v>
      </c>
      <c r="C1528" s="53" t="s">
        <v>3427</v>
      </c>
      <c r="D1528" s="20">
        <v>45792</v>
      </c>
      <c r="E1528" s="20"/>
      <c r="F1528" s="25"/>
      <c r="G1528" s="93"/>
      <c r="I1528" s="19">
        <v>45749</v>
      </c>
      <c r="J1528" s="90" t="str">
        <f>IF(Table26[[#This Row],[customerSKU]]="","",_xlfn.XLOOKUP(Table26[[#This Row],[customerSKU]],customerSKU!G:G,customerSKU!A:A,"",0,1))</f>
        <v/>
      </c>
      <c r="K1528" s="232">
        <v>45771</v>
      </c>
      <c r="L1528" s="49" t="str">
        <f>IF(Table26[[#This Row],[customerSKU]]="","",_xlfn.XLOOKUP(Table26[[#This Row],[customerSKU]],customerSKU!G:G,customerSKU!B:B,"",0,1))</f>
        <v/>
      </c>
      <c r="M1528" s="22"/>
      <c r="N1528" s="15" t="str">
        <f>Table26[[#This Row],[po_number]]&amp;"-"&amp;Table26[[#This Row],[po_line]]</f>
        <v>-1</v>
      </c>
      <c r="O1528" s="15">
        <v>1</v>
      </c>
      <c r="P1528" s="50"/>
      <c r="Q1528" s="22" t="s">
        <v>3284</v>
      </c>
      <c r="R1528" s="47" t="s">
        <v>3428</v>
      </c>
      <c r="S1528" s="72" t="s">
        <v>18</v>
      </c>
      <c r="T1528" s="20">
        <v>45763</v>
      </c>
      <c r="U1528" s="94">
        <v>6</v>
      </c>
      <c r="V1528" s="22" t="str">
        <f>IF(ISBLANK(Table26[[#This Row],[customerSKU]]),"",_xlfn.XLOOKUP(Table26[[#This Row],[customerSKU]],Table27[customer_SKU],Table27[case_size],"",0,1))</f>
        <v/>
      </c>
      <c r="W1528" s="117" t="str">
        <f t="shared" si="63"/>
        <v/>
      </c>
      <c r="X1528" s="22" t="str">
        <f t="shared" si="64"/>
        <v/>
      </c>
      <c r="Y1528" s="25" t="str">
        <f>IF(Table26[[#This Row],[customerSKU]]="","",_xlfn.XLOOKUP(Table26[[#This Row],[customerSKU]],Table27[customer_SKU],Table27[product_GTIN],"",0,1))</f>
        <v/>
      </c>
      <c r="Z1528" s="90" t="s">
        <v>3285</v>
      </c>
      <c r="AA1528" s="18" t="str" cm="1">
        <f t="array" ref="AA1528">IF(P1528="", "", _xlfn.XLOOKUP(P1528,#REF!,#REF!,NA,0,-1))</f>
        <v/>
      </c>
      <c r="AB1528" s="22"/>
      <c r="AC1528" s="55" t="str">
        <f>IF(Table26[[#This Row],[customerSKU]]="","",_xlfn.XLOOKUP(Table26[[#This Row],[customerSKU]],customerSKU!G:G,customerSKU!C:C,"",0,1))</f>
        <v/>
      </c>
      <c r="AD1528" s="55" t="str">
        <f>IF($AC1528="","",_xlfn.XLOOKUP($AC1528,'Client Info'!$C$2:$C$2497,'Client Info'!$D$2:$D$2497,"",0,1))</f>
        <v/>
      </c>
      <c r="AE1528" s="55" t="str">
        <f>IF($AC1528="","",_xlfn.XLOOKUP($AC1528,'Client Info'!$C$2:$C$2677,'Client Info'!$E$2:$E$2677,"",))</f>
        <v/>
      </c>
      <c r="AF1528" s="55" t="str">
        <f>IF($AC1528="","",_xlfn.XLOOKUP($AC1528,'Client Info'!$C$2:$C$2677,'Client Info'!$F$2:$F$2677,"",0,1))</f>
        <v/>
      </c>
      <c r="AG1528" s="55" t="str">
        <f>IF(ISBLANK(Table26[[#This Row],[customerSKU]]),"",_xlfn.XLOOKUP(Table26[[#This Row],[customerSKU]],Table27[customer_SKU],Table27[billto],"",0,1))</f>
        <v/>
      </c>
      <c r="AH1528" s="26" t="str">
        <f>_xlfn.XLOOKUP(Table26[[#This Row],[customerSKU]],customerSKU!G:G,customerSKU!K:K,"NA",0,1)</f>
        <v>NA</v>
      </c>
      <c r="AI1528" s="43" t="str">
        <f>_xlfn.XLOOKUP(Table26[[#This Row],[customerSKU]],customerSKU!G:G,customerSKU!O:O,"not found",0,1)</f>
        <v>not found</v>
      </c>
      <c r="AJ1528" s="22" t="e">
        <f>Table26[[#This Row],[unitprice]]*Table26[[#This Row],[quantity_unit]]</f>
        <v>#VALUE!</v>
      </c>
      <c r="AK1528" s="227" t="e" cm="1">
        <f t="array" ref="AK15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29" spans="1:37" ht="18" customHeight="1">
      <c r="A1529" s="42">
        <v>708</v>
      </c>
      <c r="B1529" s="42" t="s">
        <v>3357</v>
      </c>
      <c r="C1529" s="53" t="s">
        <v>3427</v>
      </c>
      <c r="D1529" s="20">
        <v>45792</v>
      </c>
      <c r="E1529" s="20"/>
      <c r="F1529" s="25"/>
      <c r="G1529" s="93"/>
      <c r="I1529" s="19">
        <v>45749</v>
      </c>
      <c r="J1529" s="90" t="str">
        <f>IF(Table26[[#This Row],[customerSKU]]="","",_xlfn.XLOOKUP(Table26[[#This Row],[customerSKU]],customerSKU!G:G,customerSKU!A:A,"",0,1))</f>
        <v/>
      </c>
      <c r="K1529" s="232">
        <v>45771</v>
      </c>
      <c r="L1529" s="49" t="str">
        <f>IF(Table26[[#This Row],[customerSKU]]="","",_xlfn.XLOOKUP(Table26[[#This Row],[customerSKU]],customerSKU!G:G,customerSKU!B:B,"",0,1))</f>
        <v/>
      </c>
      <c r="M1529" s="22"/>
      <c r="N1529" s="15" t="str">
        <f>Table26[[#This Row],[po_number]]&amp;"-"&amp;Table26[[#This Row],[po_line]]</f>
        <v>-2</v>
      </c>
      <c r="O1529" s="15">
        <v>2</v>
      </c>
      <c r="P1529" s="50"/>
      <c r="Q1529" s="22" t="s">
        <v>3284</v>
      </c>
      <c r="R1529" s="47" t="s">
        <v>3428</v>
      </c>
      <c r="S1529" s="72" t="s">
        <v>18</v>
      </c>
      <c r="T1529" s="20">
        <v>45756</v>
      </c>
      <c r="U1529" s="94">
        <f>49*6</f>
        <v>294</v>
      </c>
      <c r="V1529" s="22" t="str">
        <f>IF(ISBLANK(Table26[[#This Row],[customerSKU]]),"",_xlfn.XLOOKUP(Table26[[#This Row],[customerSKU]],Table27[customer_SKU],Table27[case_size],"",0,1))</f>
        <v/>
      </c>
      <c r="W1529" s="117" t="str">
        <f t="shared" si="63"/>
        <v/>
      </c>
      <c r="X1529" s="22" t="str">
        <f t="shared" si="64"/>
        <v/>
      </c>
      <c r="Y1529" s="25" t="str">
        <f>IF(Table26[[#This Row],[customerSKU]]="","",_xlfn.XLOOKUP(Table26[[#This Row],[customerSKU]],Table27[customer_SKU],Table27[product_GTIN],"",0,1))</f>
        <v/>
      </c>
      <c r="Z1529" s="90" t="s">
        <v>3382</v>
      </c>
      <c r="AA1529" s="18" t="str" cm="1">
        <f t="array" ref="AA1529">IF(P1529="", "", _xlfn.XLOOKUP(P1529,#REF!,#REF!,NA,0,-1))</f>
        <v/>
      </c>
      <c r="AB1529" s="22"/>
      <c r="AC1529" s="55" t="str">
        <f>IF(Table26[[#This Row],[customerSKU]]="","",_xlfn.XLOOKUP(Table26[[#This Row],[customerSKU]],customerSKU!G:G,customerSKU!C:C,"",0,1))</f>
        <v/>
      </c>
      <c r="AD1529" s="55" t="str">
        <f>IF($AC1529="","",_xlfn.XLOOKUP($AC1529,'Client Info'!$C$2:$C$2497,'Client Info'!$D$2:$D$2497,"",0,1))</f>
        <v/>
      </c>
      <c r="AE1529" s="55" t="str">
        <f>IF($AC1529="","",_xlfn.XLOOKUP($AC1529,'Client Info'!$C$2:$C$2677,'Client Info'!$E$2:$E$2677,"",))</f>
        <v/>
      </c>
      <c r="AF1529" s="55" t="str">
        <f>IF($AC1529="","",_xlfn.XLOOKUP($AC1529,'Client Info'!$C$2:$C$2677,'Client Info'!$F$2:$F$2677,"",0,1))</f>
        <v/>
      </c>
      <c r="AG1529" s="55" t="str">
        <f>IF(ISBLANK(Table26[[#This Row],[customerSKU]]),"",_xlfn.XLOOKUP(Table26[[#This Row],[customerSKU]],Table27[customer_SKU],Table27[billto],"",0,1))</f>
        <v/>
      </c>
      <c r="AH1529" s="26" t="str">
        <f>_xlfn.XLOOKUP(Table26[[#This Row],[customerSKU]],customerSKU!G:G,customerSKU!K:K,"NA",0,1)</f>
        <v>NA</v>
      </c>
      <c r="AI1529" s="43" t="str">
        <f>_xlfn.XLOOKUP(Table26[[#This Row],[customerSKU]],customerSKU!G:G,customerSKU!O:O,"not found",0,1)</f>
        <v>not found</v>
      </c>
      <c r="AJ1529" s="22" t="e">
        <f>Table26[[#This Row],[unitprice]]*Table26[[#This Row],[quantity_unit]]</f>
        <v>#VALUE!</v>
      </c>
      <c r="AK1529" s="227" t="e" cm="1">
        <f t="array" ref="AK15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30" spans="1:37" ht="24.6" customHeight="1">
      <c r="A1530" s="42">
        <v>709</v>
      </c>
      <c r="B1530" s="42" t="s">
        <v>3357</v>
      </c>
      <c r="C1530" s="53" t="s">
        <v>3427</v>
      </c>
      <c r="D1530" s="20">
        <v>45792</v>
      </c>
      <c r="E1530" s="20"/>
      <c r="F1530" s="25"/>
      <c r="G1530" s="93"/>
      <c r="I1530" s="19">
        <v>45749</v>
      </c>
      <c r="J1530" s="90" t="str">
        <f>IF(Table26[[#This Row],[customerSKU]]="","",_xlfn.XLOOKUP(Table26[[#This Row],[customerSKU]],customerSKU!G:G,customerSKU!A:A,"",0,1))</f>
        <v/>
      </c>
      <c r="K1530" s="232">
        <v>45771</v>
      </c>
      <c r="L1530" s="49" t="str">
        <f>IF(Table26[[#This Row],[customerSKU]]="","",_xlfn.XLOOKUP(Table26[[#This Row],[customerSKU]],customerSKU!G:G,customerSKU!B:B,"",0,1))</f>
        <v/>
      </c>
      <c r="M1530" s="22"/>
      <c r="N1530" s="15" t="str">
        <f>Table26[[#This Row],[po_number]]&amp;"-"&amp;Table26[[#This Row],[po_line]]</f>
        <v>-3</v>
      </c>
      <c r="O1530" s="15">
        <v>3</v>
      </c>
      <c r="P1530" s="50"/>
      <c r="Q1530" s="22" t="s">
        <v>568</v>
      </c>
      <c r="R1530" s="47" t="s">
        <v>3428</v>
      </c>
      <c r="S1530" s="72" t="s">
        <v>18</v>
      </c>
      <c r="T1530" s="20">
        <v>45770</v>
      </c>
      <c r="U1530" s="94">
        <v>210</v>
      </c>
      <c r="V1530" s="22" t="str">
        <f>IF(ISBLANK(Table26[[#This Row],[customerSKU]]),"",_xlfn.XLOOKUP(Table26[[#This Row],[customerSKU]],Table27[customer_SKU],Table27[case_size],"",0,1))</f>
        <v/>
      </c>
      <c r="W1530" s="117" t="str">
        <f t="shared" si="63"/>
        <v/>
      </c>
      <c r="X1530" s="22" t="str">
        <f t="shared" si="64"/>
        <v/>
      </c>
      <c r="Y1530" s="25" t="str">
        <f>IF(Table26[[#This Row],[customerSKU]]="","",_xlfn.XLOOKUP(Table26[[#This Row],[customerSKU]],Table27[customer_SKU],Table27[product_GTIN],"",0,1))</f>
        <v/>
      </c>
      <c r="Z1530" s="90" t="s">
        <v>3283</v>
      </c>
      <c r="AA1530" s="18" t="str" cm="1">
        <f t="array" ref="AA1530">IF(P1530="", "", _xlfn.XLOOKUP(P1530,#REF!,#REF!,NA,0,-1))</f>
        <v/>
      </c>
      <c r="AB1530" s="22"/>
      <c r="AC1530" s="55" t="str">
        <f>IF(Table26[[#This Row],[customerSKU]]="","",_xlfn.XLOOKUP(Table26[[#This Row],[customerSKU]],customerSKU!G:G,customerSKU!C:C,"",0,1))</f>
        <v/>
      </c>
      <c r="AD1530" s="55" t="str">
        <f>IF($AC1530="","",_xlfn.XLOOKUP($AC1530,'Client Info'!$C$2:$C$2497,'Client Info'!$D$2:$D$2497,"",0,1))</f>
        <v/>
      </c>
      <c r="AE1530" s="55" t="str">
        <f>IF($AC1530="","",_xlfn.XLOOKUP($AC1530,'Client Info'!$C$2:$C$2677,'Client Info'!$E$2:$E$2677,"",))</f>
        <v/>
      </c>
      <c r="AF1530" s="55" t="str">
        <f>IF($AC1530="","",_xlfn.XLOOKUP($AC1530,'Client Info'!$C$2:$C$2677,'Client Info'!$F$2:$F$2677,"",0,1))</f>
        <v/>
      </c>
      <c r="AG1530" s="55" t="str">
        <f>IF(ISBLANK(Table26[[#This Row],[customerSKU]]),"",_xlfn.XLOOKUP(Table26[[#This Row],[customerSKU]],Table27[customer_SKU],Table27[billto],"",0,1))</f>
        <v/>
      </c>
      <c r="AH1530" s="26" t="str">
        <f>_xlfn.XLOOKUP(Table26[[#This Row],[customerSKU]],customerSKU!G:G,customerSKU!K:K,"NA",0,1)</f>
        <v>NA</v>
      </c>
      <c r="AI1530" s="43" t="str">
        <f>_xlfn.XLOOKUP(Table26[[#This Row],[customerSKU]],customerSKU!G:G,customerSKU!O:O,"not found",0,1)</f>
        <v>not found</v>
      </c>
      <c r="AJ1530" s="22" t="e">
        <f>Table26[[#This Row],[unitprice]]*Table26[[#This Row],[quantity_unit]]</f>
        <v>#VALUE!</v>
      </c>
      <c r="AK1530" s="227" t="e" cm="1">
        <f t="array" ref="AK15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31" spans="1:37" ht="24.6" customHeight="1">
      <c r="A1531" s="42">
        <v>710</v>
      </c>
      <c r="B1531" s="42" t="s">
        <v>3357</v>
      </c>
      <c r="C1531" s="53" t="s">
        <v>3427</v>
      </c>
      <c r="D1531" s="20">
        <v>45792</v>
      </c>
      <c r="E1531" s="20"/>
      <c r="F1531" s="25"/>
      <c r="G1531" s="93"/>
      <c r="I1531" s="19">
        <v>45749</v>
      </c>
      <c r="J1531" s="90" t="str">
        <f>IF(Table26[[#This Row],[customerSKU]]="","",_xlfn.XLOOKUP(Table26[[#This Row],[customerSKU]],customerSKU!G:G,customerSKU!A:A,"",0,1))</f>
        <v/>
      </c>
      <c r="K1531" s="232">
        <v>45771</v>
      </c>
      <c r="L1531" s="49" t="str">
        <f>IF(Table26[[#This Row],[customerSKU]]="","",_xlfn.XLOOKUP(Table26[[#This Row],[customerSKU]],customerSKU!G:G,customerSKU!B:B,"",0,1))</f>
        <v/>
      </c>
      <c r="M1531" s="22"/>
      <c r="N1531" s="15" t="str">
        <f>Table26[[#This Row],[po_number]]&amp;"-"&amp;Table26[[#This Row],[po_line]]</f>
        <v>-4</v>
      </c>
      <c r="O1531" s="15">
        <v>4</v>
      </c>
      <c r="P1531" s="50"/>
      <c r="Q1531" s="22" t="s">
        <v>545</v>
      </c>
      <c r="R1531" s="47" t="s">
        <v>3428</v>
      </c>
      <c r="S1531" s="72" t="s">
        <v>18</v>
      </c>
      <c r="T1531" s="20">
        <v>45670</v>
      </c>
      <c r="U1531" s="94">
        <v>180</v>
      </c>
      <c r="V1531" s="22" t="str">
        <f>IF(ISBLANK(Table26[[#This Row],[customerSKU]]),"",_xlfn.XLOOKUP(Table26[[#This Row],[customerSKU]],Table27[customer_SKU],Table27[case_size],"",0,1))</f>
        <v/>
      </c>
      <c r="W1531" s="117" t="str">
        <f t="shared" si="63"/>
        <v/>
      </c>
      <c r="X1531" s="22" t="str">
        <f t="shared" si="64"/>
        <v/>
      </c>
      <c r="Y1531" s="25" t="str">
        <f>IF(Table26[[#This Row],[customerSKU]]="","",_xlfn.XLOOKUP(Table26[[#This Row],[customerSKU]],Table27[customer_SKU],Table27[product_GTIN],"",0,1))</f>
        <v/>
      </c>
      <c r="Z1531" s="90" t="s">
        <v>3429</v>
      </c>
      <c r="AA1531" s="18" t="str" cm="1">
        <f t="array" ref="AA1531">IF(P1531="", "", _xlfn.XLOOKUP(P1531,#REF!,#REF!,NA,0,-1))</f>
        <v/>
      </c>
      <c r="AB1531" s="22"/>
      <c r="AC1531" s="55" t="str">
        <f>IF(Table26[[#This Row],[customerSKU]]="","",_xlfn.XLOOKUP(Table26[[#This Row],[customerSKU]],customerSKU!G:G,customerSKU!C:C,"",0,1))</f>
        <v/>
      </c>
      <c r="AD1531" s="55" t="str">
        <f>IF($AC1531="","",_xlfn.XLOOKUP($AC1531,'Client Info'!$C$2:$C$2497,'Client Info'!$D$2:$D$2497,"",0,1))</f>
        <v/>
      </c>
      <c r="AE1531" s="55" t="str">
        <f>IF($AC1531="","",_xlfn.XLOOKUP($AC1531,'Client Info'!$C$2:$C$2677,'Client Info'!$E$2:$E$2677,"",))</f>
        <v/>
      </c>
      <c r="AF1531" s="55" t="str">
        <f>IF($AC1531="","",_xlfn.XLOOKUP($AC1531,'Client Info'!$C$2:$C$2677,'Client Info'!$F$2:$F$2677,"",0,1))</f>
        <v/>
      </c>
      <c r="AG1531" s="55" t="str">
        <f>IF(ISBLANK(Table26[[#This Row],[customerSKU]]),"",_xlfn.XLOOKUP(Table26[[#This Row],[customerSKU]],Table27[customer_SKU],Table27[billto],"",0,1))</f>
        <v/>
      </c>
      <c r="AH1531" s="26" t="str">
        <f>_xlfn.XLOOKUP(Table26[[#This Row],[customerSKU]],customerSKU!G:G,customerSKU!K:K,"NA",0,1)</f>
        <v>NA</v>
      </c>
      <c r="AI1531" s="43" t="str">
        <f>_xlfn.XLOOKUP(Table26[[#This Row],[customerSKU]],customerSKU!G:G,customerSKU!O:O,"not found",0,1)</f>
        <v>not found</v>
      </c>
      <c r="AJ1531" s="22" t="e">
        <f>Table26[[#This Row],[unitprice]]*Table26[[#This Row],[quantity_unit]]</f>
        <v>#VALUE!</v>
      </c>
      <c r="AK1531" s="227" t="e" cm="1">
        <f t="array" ref="AK15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32" spans="1:37" ht="24.6" customHeight="1">
      <c r="A1532" s="42">
        <v>711</v>
      </c>
      <c r="B1532" s="42" t="s">
        <v>3357</v>
      </c>
      <c r="C1532" s="53" t="s">
        <v>3427</v>
      </c>
      <c r="D1532" s="20">
        <v>45792</v>
      </c>
      <c r="E1532" s="20"/>
      <c r="F1532" s="25"/>
      <c r="G1532" s="93"/>
      <c r="I1532" s="19">
        <v>45749</v>
      </c>
      <c r="J1532" s="90" t="str">
        <f>IF(Table26[[#This Row],[customerSKU]]="","",_xlfn.XLOOKUP(Table26[[#This Row],[customerSKU]],customerSKU!G:G,customerSKU!A:A,"",0,1))</f>
        <v/>
      </c>
      <c r="K1532" s="232">
        <v>45771</v>
      </c>
      <c r="L1532" s="49" t="str">
        <f>IF(Table26[[#This Row],[customerSKU]]="","",_xlfn.XLOOKUP(Table26[[#This Row],[customerSKU]],customerSKU!G:G,customerSKU!B:B,"",0,1))</f>
        <v/>
      </c>
      <c r="M1532" s="22"/>
      <c r="N1532" s="15" t="str">
        <f>Table26[[#This Row],[po_number]]&amp;"-"&amp;Table26[[#This Row],[po_line]]</f>
        <v>-5</v>
      </c>
      <c r="O1532" s="15">
        <v>5</v>
      </c>
      <c r="P1532" s="50"/>
      <c r="Q1532" s="22" t="s">
        <v>535</v>
      </c>
      <c r="R1532" s="47" t="s">
        <v>3428</v>
      </c>
      <c r="S1532" s="72" t="s">
        <v>18</v>
      </c>
      <c r="T1532" s="20">
        <v>45756</v>
      </c>
      <c r="U1532" s="94">
        <v>300</v>
      </c>
      <c r="V1532" s="22" t="str">
        <f>IF(ISBLANK(Table26[[#This Row],[customerSKU]]),"",_xlfn.XLOOKUP(Table26[[#This Row],[customerSKU]],Table27[customer_SKU],Table27[case_size],"",0,1))</f>
        <v/>
      </c>
      <c r="W1532" s="117" t="str">
        <f t="shared" si="63"/>
        <v/>
      </c>
      <c r="X1532" s="22" t="str">
        <f t="shared" si="64"/>
        <v/>
      </c>
      <c r="Y1532" s="25" t="str">
        <f>IF(Table26[[#This Row],[customerSKU]]="","",_xlfn.XLOOKUP(Table26[[#This Row],[customerSKU]],Table27[customer_SKU],Table27[product_GTIN],"",0,1))</f>
        <v/>
      </c>
      <c r="Z1532" s="90" t="s">
        <v>3430</v>
      </c>
      <c r="AA1532" s="18" t="str" cm="1">
        <f t="array" ref="AA1532">IF(P1532="", "", _xlfn.XLOOKUP(P1532,#REF!,#REF!,NA,0,-1))</f>
        <v/>
      </c>
      <c r="AB1532" s="22"/>
      <c r="AC1532" s="55" t="str">
        <f>IF(Table26[[#This Row],[customerSKU]]="","",_xlfn.XLOOKUP(Table26[[#This Row],[customerSKU]],customerSKU!G:G,customerSKU!C:C,"",0,1))</f>
        <v/>
      </c>
      <c r="AD1532" s="55" t="str">
        <f>IF($AC1532="","",_xlfn.XLOOKUP($AC1532,'Client Info'!$C$2:$C$2497,'Client Info'!$D$2:$D$2497,"",0,1))</f>
        <v/>
      </c>
      <c r="AE1532" s="55" t="str">
        <f>IF($AC1532="","",_xlfn.XLOOKUP($AC1532,'Client Info'!$C$2:$C$2677,'Client Info'!$E$2:$E$2677,"",))</f>
        <v/>
      </c>
      <c r="AF1532" s="55" t="str">
        <f>IF($AC1532="","",_xlfn.XLOOKUP($AC1532,'Client Info'!$C$2:$C$2677,'Client Info'!$F$2:$F$2677,"",0,1))</f>
        <v/>
      </c>
      <c r="AG1532" s="55" t="str">
        <f>IF(ISBLANK(Table26[[#This Row],[customerSKU]]),"",_xlfn.XLOOKUP(Table26[[#This Row],[customerSKU]],Table27[customer_SKU],Table27[billto],"",0,1))</f>
        <v/>
      </c>
      <c r="AH1532" s="26" t="str">
        <f>_xlfn.XLOOKUP(Table26[[#This Row],[customerSKU]],customerSKU!G:G,customerSKU!K:K,"NA",0,1)</f>
        <v>NA</v>
      </c>
      <c r="AI1532" s="43" t="str">
        <f>_xlfn.XLOOKUP(Table26[[#This Row],[customerSKU]],customerSKU!G:G,customerSKU!O:O,"not found",0,1)</f>
        <v>not found</v>
      </c>
      <c r="AJ1532" s="22" t="e">
        <f>Table26[[#This Row],[unitprice]]*Table26[[#This Row],[quantity_unit]]</f>
        <v>#VALUE!</v>
      </c>
      <c r="AK1532" s="227" t="e" cm="1">
        <f t="array" ref="AK15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33" spans="1:37" ht="24.6" customHeight="1">
      <c r="A1533" s="42">
        <v>712</v>
      </c>
      <c r="B1533" s="42" t="s">
        <v>3357</v>
      </c>
      <c r="C1533" s="53" t="s">
        <v>3427</v>
      </c>
      <c r="D1533" s="20">
        <v>45792</v>
      </c>
      <c r="E1533" s="20"/>
      <c r="F1533" s="25"/>
      <c r="G1533" s="93"/>
      <c r="I1533" s="19">
        <v>45749</v>
      </c>
      <c r="J1533" s="90" t="str">
        <f>IF(Table26[[#This Row],[customerSKU]]="","",_xlfn.XLOOKUP(Table26[[#This Row],[customerSKU]],customerSKU!G:G,customerSKU!A:A,"",0,1))</f>
        <v/>
      </c>
      <c r="K1533" s="232">
        <v>45771</v>
      </c>
      <c r="L1533" s="49" t="str">
        <f>IF(Table26[[#This Row],[customerSKU]]="","",_xlfn.XLOOKUP(Table26[[#This Row],[customerSKU]],customerSKU!G:G,customerSKU!B:B,"",0,1))</f>
        <v/>
      </c>
      <c r="M1533" s="22"/>
      <c r="N1533" s="15" t="str">
        <f>Table26[[#This Row],[po_number]]&amp;"-"&amp;Table26[[#This Row],[po_line]]</f>
        <v>-6</v>
      </c>
      <c r="O1533" s="15">
        <v>6</v>
      </c>
      <c r="P1533" s="50"/>
      <c r="Q1533" s="22" t="s">
        <v>525</v>
      </c>
      <c r="R1533" s="47" t="s">
        <v>3428</v>
      </c>
      <c r="S1533" s="72" t="s">
        <v>18</v>
      </c>
      <c r="T1533" s="20">
        <v>45588</v>
      </c>
      <c r="U1533" s="94">
        <f>9*12</f>
        <v>108</v>
      </c>
      <c r="V1533" s="22" t="str">
        <f>IF(ISBLANK(Table26[[#This Row],[customerSKU]]),"",_xlfn.XLOOKUP(Table26[[#This Row],[customerSKU]],Table27[customer_SKU],Table27[case_size],"",0,1))</f>
        <v/>
      </c>
      <c r="W1533" s="117" t="str">
        <f t="shared" si="63"/>
        <v/>
      </c>
      <c r="X1533" s="22" t="str">
        <f t="shared" si="64"/>
        <v/>
      </c>
      <c r="Y1533" s="25" t="str">
        <f>IF(Table26[[#This Row],[customerSKU]]="","",_xlfn.XLOOKUP(Table26[[#This Row],[customerSKU]],Table27[customer_SKU],Table27[product_GTIN],"",0,1))</f>
        <v/>
      </c>
      <c r="Z1533" s="90" t="s">
        <v>3431</v>
      </c>
      <c r="AA1533" s="18" t="str" cm="1">
        <f t="array" ref="AA1533">IF(P1533="", "", _xlfn.XLOOKUP(P1533,#REF!,#REF!,NA,0,-1))</f>
        <v/>
      </c>
      <c r="AB1533" s="22"/>
      <c r="AC1533" s="55" t="str">
        <f>IF(Table26[[#This Row],[customerSKU]]="","",_xlfn.XLOOKUP(Table26[[#This Row],[customerSKU]],customerSKU!G:G,customerSKU!C:C,"",0,1))</f>
        <v/>
      </c>
      <c r="AD1533" s="55" t="str">
        <f>IF($AC1533="","",_xlfn.XLOOKUP($AC1533,'Client Info'!$C$2:$C$2497,'Client Info'!$D$2:$D$2497,"",0,1))</f>
        <v/>
      </c>
      <c r="AE1533" s="55" t="str">
        <f>IF($AC1533="","",_xlfn.XLOOKUP($AC1533,'Client Info'!$C$2:$C$2677,'Client Info'!$E$2:$E$2677,"",))</f>
        <v/>
      </c>
      <c r="AF1533" s="55" t="str">
        <f>IF($AC1533="","",_xlfn.XLOOKUP($AC1533,'Client Info'!$C$2:$C$2677,'Client Info'!$F$2:$F$2677,"",0,1))</f>
        <v/>
      </c>
      <c r="AG1533" s="55" t="str">
        <f>IF(ISBLANK(Table26[[#This Row],[customerSKU]]),"",_xlfn.XLOOKUP(Table26[[#This Row],[customerSKU]],Table27[customer_SKU],Table27[billto],"",0,1))</f>
        <v/>
      </c>
      <c r="AH1533" s="26" t="str">
        <f>_xlfn.XLOOKUP(Table26[[#This Row],[customerSKU]],customerSKU!G:G,customerSKU!K:K,"NA",0,1)</f>
        <v>NA</v>
      </c>
      <c r="AI1533" s="43" t="str">
        <f>_xlfn.XLOOKUP(Table26[[#This Row],[customerSKU]],customerSKU!G:G,customerSKU!O:O,"not found",0,1)</f>
        <v>not found</v>
      </c>
      <c r="AJ1533" s="22" t="e">
        <f>Table26[[#This Row],[unitprice]]*Table26[[#This Row],[quantity_unit]]</f>
        <v>#VALUE!</v>
      </c>
      <c r="AK1533" s="227" t="e" cm="1">
        <f t="array" ref="AK15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Price]])</f>
        <v>#N/A</v>
      </c>
    </row>
    <row r="1534" spans="1:37" ht="24.6" customHeight="1">
      <c r="A1534" s="42">
        <v>713</v>
      </c>
      <c r="B1534" s="42" t="s">
        <v>3357</v>
      </c>
      <c r="C1534" s="53" t="s">
        <v>3427</v>
      </c>
      <c r="D1534" s="20">
        <v>45803</v>
      </c>
      <c r="E1534" s="20"/>
      <c r="F1534" s="25"/>
      <c r="G1534" s="93"/>
      <c r="I1534" s="19">
        <v>45757</v>
      </c>
      <c r="J1534" s="90" t="str">
        <f>IF(Table26[[#This Row],[customerSKU]]="","",_xlfn.XLOOKUP(Table26[[#This Row],[customerSKU]],customerSKU!G:G,customerSKU!A:A,"",0,1))</f>
        <v/>
      </c>
      <c r="K1534" s="232">
        <v>45771</v>
      </c>
      <c r="L1534" s="49" t="str">
        <f>IF(Table26[[#This Row],[customerSKU]]="","",_xlfn.XLOOKUP(Table26[[#This Row],[customerSKU]],customerSKU!G:G,customerSKU!B:B,"",0,1))</f>
        <v/>
      </c>
      <c r="M1534" s="22"/>
      <c r="N1534" s="15" t="str">
        <f>Table26[[#This Row],[po_number]]&amp;"-"&amp;Table26[[#This Row],[po_line]]</f>
        <v>-1</v>
      </c>
      <c r="O1534" s="15">
        <v>1</v>
      </c>
      <c r="P1534" s="50"/>
      <c r="Q1534" s="22" t="s">
        <v>568</v>
      </c>
      <c r="R1534" s="47" t="s">
        <v>3428</v>
      </c>
      <c r="S1534" s="90" t="str">
        <f>IF(Table26[[#This Row],[customerSKU]]="","",_xlfn.XLOOKUP(Table26[[#This Row],[customerSKU]],customerSKU!G:G,customerSKU!N:N,"NOT FOUND",0,1))</f>
        <v>NOT FOUND</v>
      </c>
      <c r="T1534" s="20">
        <v>45763</v>
      </c>
      <c r="U1534" s="94">
        <f>67*6</f>
        <v>402</v>
      </c>
      <c r="V1534" s="22" t="str">
        <f>IF(ISBLANK(Table26[[#This Row],[customerSKU]]),"",_xlfn.XLOOKUP(Table26[[#This Row],[customerSKU]],Table27[customer_SKU],Table27[case_size],"",0,1))</f>
        <v/>
      </c>
      <c r="W1534" s="117" t="str">
        <f t="shared" si="63"/>
        <v/>
      </c>
      <c r="X1534" s="22" t="str">
        <f t="shared" si="64"/>
        <v/>
      </c>
      <c r="Y1534" s="25" t="str">
        <f>IF(Table26[[#This Row],[customerSKU]]="","",_xlfn.XLOOKUP(Table26[[#This Row],[customerSKU]],Table27[customer_SKU],Table27[product_GTIN],"",0,1))</f>
        <v/>
      </c>
      <c r="Z1534" s="25" t="s">
        <v>3283</v>
      </c>
      <c r="AA1534" s="18" t="str" cm="1">
        <f t="array" ref="AA1534">IF(P1534="", "", _xlfn.XLOOKUP(P1534,#REF!,#REF!,NA,0,-1))</f>
        <v/>
      </c>
      <c r="AB1534" s="22"/>
      <c r="AC1534" s="55" t="str">
        <f>IF(Table26[[#This Row],[customerSKU]]="","",_xlfn.XLOOKUP(Table26[[#This Row],[customerSKU]],customerSKU!G:G,customerSKU!C:C,"",0,1))</f>
        <v/>
      </c>
      <c r="AD1534" s="55" t="str">
        <f>IF($AC1534="","",_xlfn.XLOOKUP($AC1534,'Client Info'!$C$2:$C$2497,'Client Info'!$D$2:$D$2497,"",0,1))</f>
        <v/>
      </c>
      <c r="AE1534" s="55" t="str">
        <f>IF($AC1534="","",_xlfn.XLOOKUP($AC1534,'Client Info'!$C$2:$C$2677,'Client Info'!$E$2:$E$2677,"",))</f>
        <v/>
      </c>
      <c r="AF1534" s="55" t="str">
        <f>IF($AC1534="","",_xlfn.XLOOKUP($AC1534,'Client Info'!$C$2:$C$2677,'Client Info'!$F$2:$F$2677,"",0,1))</f>
        <v/>
      </c>
      <c r="AG1534" s="55" t="str">
        <f>IF(ISBLANK(Table26[[#This Row],[customerSKU]]),"",_xlfn.XLOOKUP(Table26[[#This Row],[customerSKU]],Table27[customer_SKU],Table27[billto],"",0,1))</f>
        <v/>
      </c>
      <c r="AH1534" s="26" t="str">
        <f>_xlfn.XLOOKUP(Table26[[#This Row],[customerSKU]],customerSKU!G:G,customerSKU!K:K,"NA",0,1)</f>
        <v>NA</v>
      </c>
      <c r="AI1534" s="43" t="str">
        <f>_xlfn.XLOOKUP(Table26[[#This Row],[customerSKU]],customerSKU!G:G,customerSKU!O:O,"not found",0,1)</f>
        <v>not found</v>
      </c>
      <c r="AJ1534" s="22" t="e">
        <f>Table26[[#This Row],[unitprice]]*Table26[[#This Row],[quantity_unit]]</f>
        <v>#VALUE!</v>
      </c>
      <c r="AK1534" s="227" t="e" cm="1">
        <f t="array" ref="AK15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35" spans="1:37" ht="24.6" customHeight="1">
      <c r="A1535" s="42">
        <v>714</v>
      </c>
      <c r="B1535" s="42" t="s">
        <v>3357</v>
      </c>
      <c r="C1535" s="53" t="s">
        <v>3427</v>
      </c>
      <c r="D1535" s="20">
        <v>45803</v>
      </c>
      <c r="E1535" s="20"/>
      <c r="F1535" s="25"/>
      <c r="G1535" s="93"/>
      <c r="I1535" s="19">
        <v>45757</v>
      </c>
      <c r="J1535" s="90" t="str">
        <f>IF(Table26[[#This Row],[customerSKU]]="","",_xlfn.XLOOKUP(Table26[[#This Row],[customerSKU]],customerSKU!G:G,customerSKU!A:A,"",0,1))</f>
        <v/>
      </c>
      <c r="K1535" s="232">
        <v>45771</v>
      </c>
      <c r="L1535" s="49" t="str">
        <f>IF(Table26[[#This Row],[customerSKU]]="","",_xlfn.XLOOKUP(Table26[[#This Row],[customerSKU]],customerSKU!G:G,customerSKU!B:B,"",0,1))</f>
        <v/>
      </c>
      <c r="M1535" s="22"/>
      <c r="N1535" s="15" t="str">
        <f>Table26[[#This Row],[po_number]]&amp;"-"&amp;Table26[[#This Row],[po_line]]</f>
        <v>-2</v>
      </c>
      <c r="O1535" s="15">
        <v>2</v>
      </c>
      <c r="P1535" s="50"/>
      <c r="Q1535" s="22" t="s">
        <v>568</v>
      </c>
      <c r="R1535" s="47" t="s">
        <v>3428</v>
      </c>
      <c r="S1535" s="90" t="str">
        <f>IF(Table26[[#This Row],[customerSKU]]="","",_xlfn.XLOOKUP(Table26[[#This Row],[customerSKU]],customerSKU!G:G,customerSKU!N:N,"NOT FOUND",0,1))</f>
        <v>NOT FOUND</v>
      </c>
      <c r="T1535" s="20">
        <v>45756</v>
      </c>
      <c r="U1535" s="94">
        <f>23*6</f>
        <v>138</v>
      </c>
      <c r="V1535" s="22" t="str">
        <f>IF(ISBLANK(Table26[[#This Row],[customerSKU]]),"",_xlfn.XLOOKUP(Table26[[#This Row],[customerSKU]],Table27[customer_SKU],Table27[case_size],"",0,1))</f>
        <v/>
      </c>
      <c r="W1535" s="117" t="str">
        <f t="shared" si="63"/>
        <v/>
      </c>
      <c r="X1535" s="22" t="str">
        <f t="shared" si="64"/>
        <v/>
      </c>
      <c r="Y1535" s="25" t="str">
        <f>IF(Table26[[#This Row],[customerSKU]]="","",_xlfn.XLOOKUP(Table26[[#This Row],[customerSKU]],Table27[customer_SKU],Table27[product_GTIN],"",0,1))</f>
        <v/>
      </c>
      <c r="Z1535" s="25" t="s">
        <v>3283</v>
      </c>
      <c r="AA1535" s="18" t="str" cm="1">
        <f t="array" ref="AA1535">IF(P1535="", "", _xlfn.XLOOKUP(P1535,#REF!,#REF!,NA,0,-1))</f>
        <v/>
      </c>
      <c r="AB1535" s="22"/>
      <c r="AC1535" s="55" t="str">
        <f>IF(Table26[[#This Row],[customerSKU]]="","",_xlfn.XLOOKUP(Table26[[#This Row],[customerSKU]],customerSKU!G:G,customerSKU!C:C,"",0,1))</f>
        <v/>
      </c>
      <c r="AD1535" s="55" t="str">
        <f>IF($AC1535="","",_xlfn.XLOOKUP($AC1535,'Client Info'!$C$2:$C$2497,'Client Info'!$D$2:$D$2497,"",0,1))</f>
        <v/>
      </c>
      <c r="AE1535" s="55" t="str">
        <f>IF($AC1535="","",_xlfn.XLOOKUP($AC1535,'Client Info'!$C$2:$C$2677,'Client Info'!$E$2:$E$2677,"",))</f>
        <v/>
      </c>
      <c r="AF1535" s="55" t="str">
        <f>IF($AC1535="","",_xlfn.XLOOKUP($AC1535,'Client Info'!$C$2:$C$2677,'Client Info'!$F$2:$F$2677,"",0,1))</f>
        <v/>
      </c>
      <c r="AG1535" s="55" t="str">
        <f>IF(ISBLANK(Table26[[#This Row],[customerSKU]]),"",_xlfn.XLOOKUP(Table26[[#This Row],[customerSKU]],Table27[customer_SKU],Table27[billto],"",0,1))</f>
        <v/>
      </c>
      <c r="AH1535" s="26" t="str">
        <f>_xlfn.XLOOKUP(Table26[[#This Row],[customerSKU]],customerSKU!G:G,customerSKU!K:K,"NA",0,1)</f>
        <v>NA</v>
      </c>
      <c r="AI1535" s="43" t="str">
        <f>_xlfn.XLOOKUP(Table26[[#This Row],[customerSKU]],customerSKU!G:G,customerSKU!O:O,"not found",0,1)</f>
        <v>not found</v>
      </c>
      <c r="AJ1535" s="22" t="e">
        <f>Table26[[#This Row],[unitprice]]*Table26[[#This Row],[quantity_unit]]</f>
        <v>#VALUE!</v>
      </c>
      <c r="AK1535" s="227" t="e" cm="1">
        <f t="array" ref="AK15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36" spans="1:37" ht="24.6" customHeight="1">
      <c r="A1536" s="42">
        <v>715</v>
      </c>
      <c r="B1536" s="42" t="s">
        <v>3357</v>
      </c>
      <c r="C1536" s="53" t="s">
        <v>3427</v>
      </c>
      <c r="D1536" s="20">
        <v>45803</v>
      </c>
      <c r="E1536" s="20"/>
      <c r="F1536" s="25"/>
      <c r="G1536" s="93"/>
      <c r="I1536" s="19">
        <v>45757</v>
      </c>
      <c r="J1536" s="90" t="str">
        <f>IF(Table26[[#This Row],[customerSKU]]="","",_xlfn.XLOOKUP(Table26[[#This Row],[customerSKU]],customerSKU!G:G,customerSKU!A:A,"",0,1))</f>
        <v/>
      </c>
      <c r="K1536" s="232">
        <v>45771</v>
      </c>
      <c r="L1536" s="49" t="str">
        <f>IF(Table26[[#This Row],[customerSKU]]="","",_xlfn.XLOOKUP(Table26[[#This Row],[customerSKU]],customerSKU!G:G,customerSKU!B:B,"",0,1))</f>
        <v/>
      </c>
      <c r="M1536" s="22"/>
      <c r="N1536" s="15" t="str">
        <f>Table26[[#This Row],[po_number]]&amp;"-"&amp;Table26[[#This Row],[po_line]]</f>
        <v>-3</v>
      </c>
      <c r="O1536" s="15">
        <v>3</v>
      </c>
      <c r="P1536" s="50"/>
      <c r="Q1536" s="22" t="s">
        <v>568</v>
      </c>
      <c r="R1536" s="47" t="s">
        <v>3428</v>
      </c>
      <c r="S1536" s="90" t="str">
        <f>IF(Table26[[#This Row],[customerSKU]]="","",_xlfn.XLOOKUP(Table26[[#This Row],[customerSKU]],customerSKU!G:G,customerSKU!N:N,"NOT FOUND",0,1))</f>
        <v>NOT FOUND</v>
      </c>
      <c r="T1536" s="20">
        <v>45770</v>
      </c>
      <c r="U1536" s="94">
        <v>60</v>
      </c>
      <c r="V1536" s="22" t="str">
        <f>IF(ISBLANK(Table26[[#This Row],[customerSKU]]),"",_xlfn.XLOOKUP(Table26[[#This Row],[customerSKU]],Table27[customer_SKU],Table27[case_size],"",0,1))</f>
        <v/>
      </c>
      <c r="W1536" s="117" t="str">
        <f t="shared" si="63"/>
        <v/>
      </c>
      <c r="X1536" s="22" t="str">
        <f t="shared" si="64"/>
        <v/>
      </c>
      <c r="Y1536" s="25" t="str">
        <f>IF(Table26[[#This Row],[customerSKU]]="","",_xlfn.XLOOKUP(Table26[[#This Row],[customerSKU]],Table27[customer_SKU],Table27[product_GTIN],"",0,1))</f>
        <v/>
      </c>
      <c r="Z1536" s="25" t="s">
        <v>3472</v>
      </c>
      <c r="AA1536" s="18" t="str" cm="1">
        <f t="array" ref="AA1536">IF(P1536="", "", _xlfn.XLOOKUP(P1536,#REF!,#REF!,NA,0,-1))</f>
        <v/>
      </c>
      <c r="AB1536" s="22"/>
      <c r="AC1536" s="55" t="str">
        <f>IF(Table26[[#This Row],[customerSKU]]="","",_xlfn.XLOOKUP(Table26[[#This Row],[customerSKU]],customerSKU!G:G,customerSKU!C:C,"",0,1))</f>
        <v/>
      </c>
      <c r="AD1536" s="55" t="str">
        <f>IF($AC1536="","",_xlfn.XLOOKUP($AC1536,'Client Info'!$C$2:$C$2497,'Client Info'!$D$2:$D$2497,"",0,1))</f>
        <v/>
      </c>
      <c r="AE1536" s="55" t="str">
        <f>IF($AC1536="","",_xlfn.XLOOKUP($AC1536,'Client Info'!$C$2:$C$2677,'Client Info'!$E$2:$E$2677,"",))</f>
        <v/>
      </c>
      <c r="AF1536" s="55" t="str">
        <f>IF($AC1536="","",_xlfn.XLOOKUP($AC1536,'Client Info'!$C$2:$C$2677,'Client Info'!$F$2:$F$2677,"",0,1))</f>
        <v/>
      </c>
      <c r="AG1536" s="55" t="str">
        <f>IF(ISBLANK(Table26[[#This Row],[customerSKU]]),"",_xlfn.XLOOKUP(Table26[[#This Row],[customerSKU]],Table27[customer_SKU],Table27[billto],"",0,1))</f>
        <v/>
      </c>
      <c r="AH1536" s="26" t="str">
        <f>_xlfn.XLOOKUP(Table26[[#This Row],[customerSKU]],customerSKU!G:G,customerSKU!K:K,"NA",0,1)</f>
        <v>NA</v>
      </c>
      <c r="AI1536" s="43" t="str">
        <f>_xlfn.XLOOKUP(Table26[[#This Row],[customerSKU]],customerSKU!G:G,customerSKU!O:O,"not found",0,1)</f>
        <v>not found</v>
      </c>
      <c r="AJ1536" s="22" t="e">
        <f>Table26[[#This Row],[unitprice]]*Table26[[#This Row],[quantity_unit]]</f>
        <v>#VALUE!</v>
      </c>
      <c r="AK1536" s="227" t="e" cm="1">
        <f t="array" ref="AK15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37" spans="1:37" ht="24.6" customHeight="1">
      <c r="A1537" s="42">
        <v>716</v>
      </c>
      <c r="B1537" s="42" t="s">
        <v>3520</v>
      </c>
      <c r="C1537" s="53" t="s">
        <v>3486</v>
      </c>
      <c r="E1537" s="20"/>
      <c r="F15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37" s="93"/>
      <c r="I1537" s="203">
        <v>45770</v>
      </c>
      <c r="J1537" s="90" t="str">
        <f>IF(Table26[[#This Row],[customerSKU]]="","",_xlfn.XLOOKUP(Table26[[#This Row],[customerSKU]],customerSKU!G:G,customerSKU!A:A,"",0,1))</f>
        <v/>
      </c>
      <c r="K1537" s="232">
        <v>45771</v>
      </c>
      <c r="L1537" s="49" t="s">
        <v>504</v>
      </c>
      <c r="M1537" s="22"/>
      <c r="N1537" s="15" t="str">
        <f>Table26[[#This Row],[po_number]]&amp;"-"&amp;Table26[[#This Row],[po_line]]</f>
        <v>-1</v>
      </c>
      <c r="O1537" s="15">
        <v>1</v>
      </c>
      <c r="P1537" s="50"/>
      <c r="Q1537" s="22" t="s">
        <v>574</v>
      </c>
      <c r="R1537" s="22" t="s">
        <v>3428</v>
      </c>
      <c r="S1537" s="90" t="str">
        <f>IF(Table26[[#This Row],[customerSKU]]="","",_xlfn.XLOOKUP(Table26[[#This Row],[customerSKU]],customerSKU!G:G,customerSKU!N:N,"NOT FOUND",0,1))</f>
        <v>NOT FOUND</v>
      </c>
      <c r="T1537" s="20">
        <v>45770</v>
      </c>
      <c r="U1537" s="94">
        <v>120</v>
      </c>
      <c r="V1537" s="22" t="str">
        <f>IF(ISBLANK(Table26[[#This Row],[customerSKU]]),"",_xlfn.XLOOKUP(Table26[[#This Row],[customerSKU]],Table27[customer_SKU],Table27[case_size],"",0,1))</f>
        <v/>
      </c>
      <c r="W1537" s="117" t="str">
        <f t="shared" si="63"/>
        <v/>
      </c>
      <c r="X1537" s="22" t="str">
        <f t="shared" si="64"/>
        <v/>
      </c>
      <c r="Y1537" s="25" t="str">
        <f>IF(Table26[[#This Row],[customerSKU]]="","",_xlfn.XLOOKUP(Table26[[#This Row],[customerSKU]],Table27[customer_SKU],Table27[product_GTIN],"",0,1))</f>
        <v/>
      </c>
      <c r="Z1537" s="25" t="s">
        <v>3530</v>
      </c>
      <c r="AA1537" s="18" t="str" cm="1">
        <f t="array" ref="AA1537">IF(P1537="", "", _xlfn.XLOOKUP(P1537,#REF!,#REF!,NA,0,-1))</f>
        <v/>
      </c>
      <c r="AB1537" s="22"/>
      <c r="AC1537" s="55" t="s">
        <v>3531</v>
      </c>
      <c r="AD1537" s="55" t="str">
        <f>IF($AC1537="","",_xlfn.XLOOKUP($AC1537,'Client Info'!$C$2:$C$2497,'Client Info'!$D$2:$D$2497,"",0,1))</f>
        <v/>
      </c>
      <c r="AE1537" s="55" t="str">
        <f>IF($AC1537="","",_xlfn.XLOOKUP($AC1537,'Client Info'!$C$2:$C$2677,'Client Info'!$E$2:$E$2677,"",))</f>
        <v/>
      </c>
      <c r="AF1537" s="55" t="str">
        <f>IF($AC1537="","",_xlfn.XLOOKUP($AC1537,'Client Info'!$C$2:$C$2677,'Client Info'!$F$2:$F$2677,"",0,1))</f>
        <v/>
      </c>
      <c r="AG1537" s="55" t="str">
        <f>IF(ISBLANK(Table26[[#This Row],[customerSKU]]),"",_xlfn.XLOOKUP(Table26[[#This Row],[customerSKU]],Table27[customer_SKU],Table27[billto],"",0,1))</f>
        <v/>
      </c>
      <c r="AH1537" s="26" t="str">
        <f>_xlfn.XLOOKUP(Table26[[#This Row],[customerSKU]],customerSKU!G:G,customerSKU!K:K,"NA",0,1)</f>
        <v>NA</v>
      </c>
      <c r="AI1537" s="43" t="str">
        <f>_xlfn.XLOOKUP(Table26[[#This Row],[customerSKU]],customerSKU!G:G,customerSKU!O:O,"not found",0,1)</f>
        <v>not found</v>
      </c>
      <c r="AJ1537" s="22" t="e">
        <f>Table26[[#This Row],[unitprice]]*Table26[[#This Row],[quantity_unit]]</f>
        <v>#VALUE!</v>
      </c>
      <c r="AK1537" s="227" t="e" cm="1">
        <f t="array" ref="AK15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38" spans="1:37" ht="24.6" customHeight="1">
      <c r="A1538" s="42">
        <v>717</v>
      </c>
      <c r="B1538" s="42" t="s">
        <v>3520</v>
      </c>
      <c r="C1538" s="53" t="s">
        <v>3486</v>
      </c>
      <c r="E1538" s="20"/>
      <c r="F15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38" s="93"/>
      <c r="I1538" s="203">
        <v>45770</v>
      </c>
      <c r="J1538" s="90" t="str">
        <f>IF(Table26[[#This Row],[customerSKU]]="","",_xlfn.XLOOKUP(Table26[[#This Row],[customerSKU]],customerSKU!G:G,customerSKU!A:A,"",0,1))</f>
        <v/>
      </c>
      <c r="K1538" s="232">
        <v>45771</v>
      </c>
      <c r="L1538" s="49" t="str">
        <f>IF(Table26[[#This Row],[customerSKU]]="","",_xlfn.XLOOKUP(Table26[[#This Row],[customerSKU]],customerSKU!G:G,customerSKU!B:B,"",0,1))</f>
        <v/>
      </c>
      <c r="M1538" s="22"/>
      <c r="N1538" s="15" t="str">
        <f>Table26[[#This Row],[po_number]]&amp;"-"&amp;Table26[[#This Row],[po_line]]</f>
        <v>-1</v>
      </c>
      <c r="O1538" s="15">
        <v>1</v>
      </c>
      <c r="P1538" s="50"/>
      <c r="Q1538" s="22" t="s">
        <v>591</v>
      </c>
      <c r="R1538" s="22" t="s">
        <v>3428</v>
      </c>
      <c r="S1538" s="90" t="str">
        <f>IF(Table26[[#This Row],[customerSKU]]="","",_xlfn.XLOOKUP(Table26[[#This Row],[customerSKU]],customerSKU!G:G,customerSKU!N:N,"NOT FOUND",0,1))</f>
        <v>NOT FOUND</v>
      </c>
      <c r="T1538" s="20"/>
      <c r="U1538" s="94">
        <v>12</v>
      </c>
      <c r="V1538" s="22" t="str">
        <f>IF(ISBLANK(Table26[[#This Row],[customerSKU]]),"",_xlfn.XLOOKUP(Table26[[#This Row],[customerSKU]],Table27[customer_SKU],Table27[case_size],"",0,1))</f>
        <v/>
      </c>
      <c r="W1538" s="117" t="str">
        <f t="shared" si="63"/>
        <v/>
      </c>
      <c r="X1538" s="22" t="str">
        <f t="shared" si="64"/>
        <v/>
      </c>
      <c r="Y1538" s="25" t="str">
        <f>IF(Table26[[#This Row],[customerSKU]]="","",_xlfn.XLOOKUP(Table26[[#This Row],[customerSKU]],Table27[customer_SKU],Table27[product_GTIN],"",0,1))</f>
        <v/>
      </c>
      <c r="Z1538" s="25" t="s">
        <v>3525</v>
      </c>
      <c r="AA1538" s="18" t="str" cm="1">
        <f t="array" ref="AA1538">IF(P1538="", "", _xlfn.XLOOKUP(P1538,#REF!,#REF!,NA,0,-1))</f>
        <v/>
      </c>
      <c r="AB1538" s="22"/>
      <c r="AC1538" s="55" t="s">
        <v>3532</v>
      </c>
      <c r="AD1538" s="55" t="str">
        <f>IF($AC1538="","",_xlfn.XLOOKUP($AC1538,'Client Info'!$C$2:$C$2497,'Client Info'!$D$2:$D$2497,"",0,1))</f>
        <v/>
      </c>
      <c r="AE1538" s="55" t="str">
        <f>IF($AC1538="","",_xlfn.XLOOKUP($AC1538,'Client Info'!$C$2:$C$2677,'Client Info'!$E$2:$E$2677,"",))</f>
        <v/>
      </c>
      <c r="AF1538" s="55" t="str">
        <f>IF($AC1538="","",_xlfn.XLOOKUP($AC1538,'Client Info'!$C$2:$C$2677,'Client Info'!$F$2:$F$2677,"",0,1))</f>
        <v/>
      </c>
      <c r="AG1538" s="55" t="str">
        <f>IF(ISBLANK(Table26[[#This Row],[customerSKU]]),"",_xlfn.XLOOKUP(Table26[[#This Row],[customerSKU]],Table27[customer_SKU],Table27[billto],"",0,1))</f>
        <v/>
      </c>
      <c r="AH1538" s="26" t="str">
        <f>_xlfn.XLOOKUP(Table26[[#This Row],[customerSKU]],customerSKU!G:G,customerSKU!K:K,"NA",0,1)</f>
        <v>NA</v>
      </c>
      <c r="AI1538" s="43" t="str">
        <f>_xlfn.XLOOKUP(Table26[[#This Row],[customerSKU]],customerSKU!G:G,customerSKU!O:O,"not found",0,1)</f>
        <v>not found</v>
      </c>
      <c r="AJ1538" s="22" t="e">
        <f>Table26[[#This Row],[unitprice]]*Table26[[#This Row],[quantity_unit]]</f>
        <v>#VALUE!</v>
      </c>
      <c r="AK1538" s="227" t="e" cm="1">
        <f t="array" ref="AK15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39" spans="1:37" ht="24.6" customHeight="1">
      <c r="A1539" s="42">
        <v>718</v>
      </c>
      <c r="B1539" s="42" t="s">
        <v>3520</v>
      </c>
      <c r="C1539" s="53" t="s">
        <v>3486</v>
      </c>
      <c r="E1539" s="20"/>
      <c r="F15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39" s="93"/>
      <c r="I1539" s="203">
        <v>45770</v>
      </c>
      <c r="J1539" s="90" t="str">
        <f>IF(Table26[[#This Row],[customerSKU]]="","",_xlfn.XLOOKUP(Table26[[#This Row],[customerSKU]],customerSKU!G:G,customerSKU!A:A,"",0,1))</f>
        <v/>
      </c>
      <c r="K1539" s="232">
        <v>45771</v>
      </c>
      <c r="L1539" s="49" t="str">
        <f>IF(Table26[[#This Row],[customerSKU]]="","",_xlfn.XLOOKUP(Table26[[#This Row],[customerSKU]],customerSKU!G:G,customerSKU!B:B,"",0,1))</f>
        <v/>
      </c>
      <c r="M1539" s="22"/>
      <c r="N1539" s="15" t="str">
        <f>Table26[[#This Row],[po_number]]&amp;"-"&amp;Table26[[#This Row],[po_line]]</f>
        <v>-2</v>
      </c>
      <c r="O1539" s="15">
        <v>2</v>
      </c>
      <c r="P1539" s="50"/>
      <c r="Q1539" s="22" t="s">
        <v>3284</v>
      </c>
      <c r="R1539" s="22" t="s">
        <v>3428</v>
      </c>
      <c r="S1539" s="90" t="str">
        <f>IF(Table26[[#This Row],[customerSKU]]="","",_xlfn.XLOOKUP(Table26[[#This Row],[customerSKU]],customerSKU!G:G,customerSKU!N:N,"NOT FOUND",0,1))</f>
        <v>NOT FOUND</v>
      </c>
      <c r="T1539" s="20"/>
      <c r="U1539" s="94">
        <v>12</v>
      </c>
      <c r="V1539" s="22" t="str">
        <f>IF(ISBLANK(Table26[[#This Row],[customerSKU]]),"",_xlfn.XLOOKUP(Table26[[#This Row],[customerSKU]],Table27[customer_SKU],Table27[case_size],"",0,1))</f>
        <v/>
      </c>
      <c r="W1539" s="117" t="str">
        <f t="shared" si="63"/>
        <v/>
      </c>
      <c r="X1539" s="22" t="str">
        <f t="shared" si="64"/>
        <v/>
      </c>
      <c r="Y1539" s="25" t="str">
        <f>IF(Table26[[#This Row],[customerSKU]]="","",_xlfn.XLOOKUP(Table26[[#This Row],[customerSKU]],Table27[customer_SKU],Table27[product_GTIN],"",0,1))</f>
        <v/>
      </c>
      <c r="Z1539" s="25" t="s">
        <v>3522</v>
      </c>
      <c r="AA1539" s="18" t="str" cm="1">
        <f t="array" ref="AA1539">IF(P1539="", "", _xlfn.XLOOKUP(P1539,#REF!,#REF!,NA,0,-1))</f>
        <v/>
      </c>
      <c r="AB1539" s="22"/>
      <c r="AC1539" s="55" t="s">
        <v>3532</v>
      </c>
      <c r="AD1539" s="55" t="str">
        <f>IF($AC1539="","",_xlfn.XLOOKUP($AC1539,'Client Info'!$C$2:$C$2497,'Client Info'!$D$2:$D$2497,"",0,1))</f>
        <v/>
      </c>
      <c r="AE1539" s="55" t="str">
        <f>IF($AC1539="","",_xlfn.XLOOKUP($AC1539,'Client Info'!$C$2:$C$2677,'Client Info'!$E$2:$E$2677,"",))</f>
        <v/>
      </c>
      <c r="AF1539" s="55" t="str">
        <f>IF($AC1539="","",_xlfn.XLOOKUP($AC1539,'Client Info'!$C$2:$C$2677,'Client Info'!$F$2:$F$2677,"",0,1))</f>
        <v/>
      </c>
      <c r="AG1539" s="55" t="str">
        <f>IF(ISBLANK(Table26[[#This Row],[customerSKU]]),"",_xlfn.XLOOKUP(Table26[[#This Row],[customerSKU]],Table27[customer_SKU],Table27[billto],"",0,1))</f>
        <v/>
      </c>
      <c r="AH1539" s="26" t="str">
        <f>_xlfn.XLOOKUP(Table26[[#This Row],[customerSKU]],customerSKU!G:G,customerSKU!K:K,"NA",0,1)</f>
        <v>NA</v>
      </c>
      <c r="AI1539" s="43" t="str">
        <f>_xlfn.XLOOKUP(Table26[[#This Row],[customerSKU]],customerSKU!G:G,customerSKU!O:O,"not found",0,1)</f>
        <v>not found</v>
      </c>
      <c r="AJ1539" s="22" t="e">
        <f>Table26[[#This Row],[unitprice]]*Table26[[#This Row],[quantity_unit]]</f>
        <v>#VALUE!</v>
      </c>
      <c r="AK1539" s="227" t="e" cm="1">
        <f t="array" ref="AK15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0" spans="1:37" ht="24.6" customHeight="1">
      <c r="A1540" s="42">
        <v>719</v>
      </c>
      <c r="B1540" s="42" t="s">
        <v>3520</v>
      </c>
      <c r="C1540" s="53" t="s">
        <v>3486</v>
      </c>
      <c r="E1540" s="20"/>
      <c r="F15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0" s="93"/>
      <c r="I1540" s="203">
        <v>45770</v>
      </c>
      <c r="J1540" s="90" t="str">
        <f>IF(Table26[[#This Row],[customerSKU]]="","",_xlfn.XLOOKUP(Table26[[#This Row],[customerSKU]],customerSKU!G:G,customerSKU!A:A,"",0,1))</f>
        <v/>
      </c>
      <c r="K1540" s="232">
        <v>45771</v>
      </c>
      <c r="L1540" s="49" t="str">
        <f>IF(Table26[[#This Row],[customerSKU]]="","",_xlfn.XLOOKUP(Table26[[#This Row],[customerSKU]],customerSKU!G:G,customerSKU!B:B,"",0,1))</f>
        <v/>
      </c>
      <c r="M1540" s="22"/>
      <c r="N1540" s="15" t="str">
        <f>Table26[[#This Row],[po_number]]&amp;"-"&amp;Table26[[#This Row],[po_line]]</f>
        <v>-3</v>
      </c>
      <c r="O1540" s="15">
        <v>3</v>
      </c>
      <c r="P1540" s="50"/>
      <c r="Q1540" s="22" t="s">
        <v>3533</v>
      </c>
      <c r="R1540" s="22" t="s">
        <v>3428</v>
      </c>
      <c r="S1540" s="90" t="str">
        <f>IF(Table26[[#This Row],[customerSKU]]="","",_xlfn.XLOOKUP(Table26[[#This Row],[customerSKU]],customerSKU!G:G,customerSKU!N:N,"NOT FOUND",0,1))</f>
        <v>NOT FOUND</v>
      </c>
      <c r="T1540" s="20"/>
      <c r="U1540" s="94">
        <v>12</v>
      </c>
      <c r="V1540" s="22" t="str">
        <f>IF(ISBLANK(Table26[[#This Row],[customerSKU]]),"",_xlfn.XLOOKUP(Table26[[#This Row],[customerSKU]],Table27[customer_SKU],Table27[case_size],"",0,1))</f>
        <v/>
      </c>
      <c r="W1540" s="117" t="str">
        <f t="shared" si="63"/>
        <v/>
      </c>
      <c r="X1540" s="22" t="str">
        <f t="shared" si="64"/>
        <v/>
      </c>
      <c r="Y1540" s="25" t="str">
        <f>IF(Table26[[#This Row],[customerSKU]]="","",_xlfn.XLOOKUP(Table26[[#This Row],[customerSKU]],Table27[customer_SKU],Table27[product_GTIN],"",0,1))</f>
        <v/>
      </c>
      <c r="Z1540" s="25" t="s">
        <v>3534</v>
      </c>
      <c r="AA1540" s="18" t="str" cm="1">
        <f t="array" ref="AA1540">IF(P1540="", "", _xlfn.XLOOKUP(P1540,#REF!,#REF!,NA,0,-1))</f>
        <v/>
      </c>
      <c r="AB1540" s="22"/>
      <c r="AC1540" s="55" t="s">
        <v>3532</v>
      </c>
      <c r="AD1540" s="55" t="str">
        <f>IF($AC1540="","",_xlfn.XLOOKUP($AC1540,'Client Info'!$C$2:$C$2497,'Client Info'!$D$2:$D$2497,"",0,1))</f>
        <v/>
      </c>
      <c r="AE1540" s="55" t="str">
        <f>IF($AC1540="","",_xlfn.XLOOKUP($AC1540,'Client Info'!$C$2:$C$2677,'Client Info'!$E$2:$E$2677,"",))</f>
        <v/>
      </c>
      <c r="AF1540" s="55" t="str">
        <f>IF($AC1540="","",_xlfn.XLOOKUP($AC1540,'Client Info'!$C$2:$C$2677,'Client Info'!$F$2:$F$2677,"",0,1))</f>
        <v/>
      </c>
      <c r="AG1540" s="55" t="str">
        <f>IF(ISBLANK(Table26[[#This Row],[customerSKU]]),"",_xlfn.XLOOKUP(Table26[[#This Row],[customerSKU]],Table27[customer_SKU],Table27[billto],"",0,1))</f>
        <v/>
      </c>
      <c r="AH1540" s="26" t="str">
        <f>_xlfn.XLOOKUP(Table26[[#This Row],[customerSKU]],customerSKU!G:G,customerSKU!K:K,"NA",0,1)</f>
        <v>NA</v>
      </c>
      <c r="AI1540" s="43" t="str">
        <f>_xlfn.XLOOKUP(Table26[[#This Row],[customerSKU]],customerSKU!G:G,customerSKU!O:O,"not found",0,1)</f>
        <v>not found</v>
      </c>
      <c r="AJ1540" s="22" t="e">
        <f>Table26[[#This Row],[unitprice]]*Table26[[#This Row],[quantity_unit]]</f>
        <v>#VALUE!</v>
      </c>
      <c r="AK1540" s="227" t="e" cm="1">
        <f t="array" ref="AK15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1" spans="1:37" ht="24.6" customHeight="1">
      <c r="A1541" s="42">
        <v>720</v>
      </c>
      <c r="B1541" s="42" t="s">
        <v>3520</v>
      </c>
      <c r="C1541" s="53" t="s">
        <v>3486</v>
      </c>
      <c r="E1541" s="20"/>
      <c r="F15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1" s="93"/>
      <c r="I1541" s="203">
        <v>45770</v>
      </c>
      <c r="J1541" s="90" t="str">
        <f>IF(Table26[[#This Row],[customerSKU]]="","",_xlfn.XLOOKUP(Table26[[#This Row],[customerSKU]],customerSKU!G:G,customerSKU!A:A,"",0,1))</f>
        <v/>
      </c>
      <c r="K1541" s="232">
        <v>45771</v>
      </c>
      <c r="L1541" s="49" t="str">
        <f>IF(Table26[[#This Row],[customerSKU]]="","",_xlfn.XLOOKUP(Table26[[#This Row],[customerSKU]],customerSKU!G:G,customerSKU!B:B,"",0,1))</f>
        <v/>
      </c>
      <c r="M1541" s="22"/>
      <c r="N1541" s="15" t="str">
        <f>Table26[[#This Row],[po_number]]&amp;"-"&amp;Table26[[#This Row],[po_line]]</f>
        <v>-4</v>
      </c>
      <c r="O1541" s="15">
        <v>4</v>
      </c>
      <c r="P1541" s="50"/>
      <c r="Q1541" s="22" t="s">
        <v>1670</v>
      </c>
      <c r="R1541" s="22" t="s">
        <v>3428</v>
      </c>
      <c r="S1541" s="90" t="str">
        <f>IF(Table26[[#This Row],[customerSKU]]="","",_xlfn.XLOOKUP(Table26[[#This Row],[customerSKU]],customerSKU!G:G,customerSKU!N:N,"NOT FOUND",0,1))</f>
        <v>NOT FOUND</v>
      </c>
      <c r="T1541" s="20"/>
      <c r="U1541" s="94">
        <v>12</v>
      </c>
      <c r="V1541" s="22" t="str">
        <f>IF(ISBLANK(Table26[[#This Row],[customerSKU]]),"",_xlfn.XLOOKUP(Table26[[#This Row],[customerSKU]],Table27[customer_SKU],Table27[case_size],"",0,1))</f>
        <v/>
      </c>
      <c r="W1541" s="117" t="str">
        <f t="shared" ref="W1541:W1604" si="65">IFERROR(U1541/V1541, "")</f>
        <v/>
      </c>
      <c r="X1541" s="22" t="str">
        <f t="shared" si="64"/>
        <v/>
      </c>
      <c r="Y1541" s="25" t="str">
        <f>IF(Table26[[#This Row],[customerSKU]]="","",_xlfn.XLOOKUP(Table26[[#This Row],[customerSKU]],Table27[customer_SKU],Table27[product_GTIN],"",0,1))</f>
        <v/>
      </c>
      <c r="Z1541" s="25" t="s">
        <v>3535</v>
      </c>
      <c r="AA1541" s="18" t="str" cm="1">
        <f t="array" ref="AA1541">IF(P1541="", "", _xlfn.XLOOKUP(P1541,#REF!,#REF!,NA,0,-1))</f>
        <v/>
      </c>
      <c r="AB1541" s="22"/>
      <c r="AC1541" s="55" t="s">
        <v>3532</v>
      </c>
      <c r="AD1541" s="55" t="str">
        <f>IF($AC1541="","",_xlfn.XLOOKUP($AC1541,'Client Info'!$C$2:$C$2497,'Client Info'!$D$2:$D$2497,"",0,1))</f>
        <v/>
      </c>
      <c r="AE1541" s="55" t="str">
        <f>IF($AC1541="","",_xlfn.XLOOKUP($AC1541,'Client Info'!$C$2:$C$2677,'Client Info'!$E$2:$E$2677,"",))</f>
        <v/>
      </c>
      <c r="AF1541" s="55" t="str">
        <f>IF($AC1541="","",_xlfn.XLOOKUP($AC1541,'Client Info'!$C$2:$C$2677,'Client Info'!$F$2:$F$2677,"",0,1))</f>
        <v/>
      </c>
      <c r="AG1541" s="55" t="str">
        <f>IF(ISBLANK(Table26[[#This Row],[customerSKU]]),"",_xlfn.XLOOKUP(Table26[[#This Row],[customerSKU]],Table27[customer_SKU],Table27[billto],"",0,1))</f>
        <v/>
      </c>
      <c r="AH1541" s="26" t="str">
        <f>_xlfn.XLOOKUP(Table26[[#This Row],[customerSKU]],customerSKU!G:G,customerSKU!K:K,"NA",0,1)</f>
        <v>NA</v>
      </c>
      <c r="AI1541" s="43" t="str">
        <f>_xlfn.XLOOKUP(Table26[[#This Row],[customerSKU]],customerSKU!G:G,customerSKU!O:O,"not found",0,1)</f>
        <v>not found</v>
      </c>
      <c r="AJ1541" s="22" t="e">
        <f>Table26[[#This Row],[unitprice]]*Table26[[#This Row],[quantity_unit]]</f>
        <v>#VALUE!</v>
      </c>
      <c r="AK1541" s="227" t="e" cm="1">
        <f t="array" ref="AK15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2" spans="1:37" ht="24.6" customHeight="1">
      <c r="A1542" s="42">
        <v>721</v>
      </c>
      <c r="B1542" s="42" t="s">
        <v>3520</v>
      </c>
      <c r="C1542" s="53" t="s">
        <v>3486</v>
      </c>
      <c r="E1542" s="20"/>
      <c r="F15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2" s="93"/>
      <c r="I1542" s="203">
        <v>45770</v>
      </c>
      <c r="J1542" s="90" t="str">
        <f>IF(Table26[[#This Row],[customerSKU]]="","",_xlfn.XLOOKUP(Table26[[#This Row],[customerSKU]],customerSKU!G:G,customerSKU!A:A,"",0,1))</f>
        <v/>
      </c>
      <c r="K1542" s="232">
        <v>45771</v>
      </c>
      <c r="L1542" s="49" t="str">
        <f>IF(Table26[[#This Row],[customerSKU]]="","",_xlfn.XLOOKUP(Table26[[#This Row],[customerSKU]],customerSKU!G:G,customerSKU!B:B,"",0,1))</f>
        <v/>
      </c>
      <c r="M1542" s="22"/>
      <c r="N1542" s="15" t="str">
        <f>Table26[[#This Row],[po_number]]&amp;"-"&amp;Table26[[#This Row],[po_line]]</f>
        <v>-5</v>
      </c>
      <c r="O1542" s="15">
        <v>5</v>
      </c>
      <c r="P1542" s="50"/>
      <c r="Q1542" s="22" t="s">
        <v>656</v>
      </c>
      <c r="R1542" s="22" t="s">
        <v>3428</v>
      </c>
      <c r="S1542" s="90" t="str">
        <f>IF(Table26[[#This Row],[customerSKU]]="","",_xlfn.XLOOKUP(Table26[[#This Row],[customerSKU]],customerSKU!G:G,customerSKU!N:N,"NOT FOUND",0,1))</f>
        <v>NOT FOUND</v>
      </c>
      <c r="T1542" s="20"/>
      <c r="U1542" s="94">
        <v>12</v>
      </c>
      <c r="V1542" s="22" t="str">
        <f>IF(ISBLANK(Table26[[#This Row],[customerSKU]]),"",_xlfn.XLOOKUP(Table26[[#This Row],[customerSKU]],Table27[customer_SKU],Table27[case_size],"",0,1))</f>
        <v/>
      </c>
      <c r="W1542" s="117" t="str">
        <f t="shared" si="65"/>
        <v/>
      </c>
      <c r="X1542" s="22" t="str">
        <f t="shared" ref="X1542:X1605" si="66">IFERROR($AA1542*$U1542, "")</f>
        <v/>
      </c>
      <c r="Y1542" s="25" t="str">
        <f>IF(Table26[[#This Row],[customerSKU]]="","",_xlfn.XLOOKUP(Table26[[#This Row],[customerSKU]],Table27[customer_SKU],Table27[product_GTIN],"",0,1))</f>
        <v/>
      </c>
      <c r="Z1542" s="25" t="s">
        <v>3526</v>
      </c>
      <c r="AA1542" s="18" t="str" cm="1">
        <f t="array" ref="AA1542">IF(P1542="", "", _xlfn.XLOOKUP(P1542,#REF!,#REF!,NA,0,-1))</f>
        <v/>
      </c>
      <c r="AB1542" s="22"/>
      <c r="AC1542" s="55" t="s">
        <v>3532</v>
      </c>
      <c r="AD1542" s="55" t="str">
        <f>IF($AC1542="","",_xlfn.XLOOKUP($AC1542,'Client Info'!$C$2:$C$2497,'Client Info'!$D$2:$D$2497,"",0,1))</f>
        <v/>
      </c>
      <c r="AE1542" s="55" t="str">
        <f>IF($AC1542="","",_xlfn.XLOOKUP($AC1542,'Client Info'!$C$2:$C$2677,'Client Info'!$E$2:$E$2677,"",))</f>
        <v/>
      </c>
      <c r="AF1542" s="55" t="str">
        <f>IF($AC1542="","",_xlfn.XLOOKUP($AC1542,'Client Info'!$C$2:$C$2677,'Client Info'!$F$2:$F$2677,"",0,1))</f>
        <v/>
      </c>
      <c r="AG1542" s="55" t="str">
        <f>IF(ISBLANK(Table26[[#This Row],[customerSKU]]),"",_xlfn.XLOOKUP(Table26[[#This Row],[customerSKU]],Table27[customer_SKU],Table27[billto],"",0,1))</f>
        <v/>
      </c>
      <c r="AH1542" s="26" t="str">
        <f>_xlfn.XLOOKUP(Table26[[#This Row],[customerSKU]],customerSKU!G:G,customerSKU!K:K,"NA",0,1)</f>
        <v>NA</v>
      </c>
      <c r="AI1542" s="43" t="str">
        <f>_xlfn.XLOOKUP(Table26[[#This Row],[customerSKU]],customerSKU!G:G,customerSKU!O:O,"not found",0,1)</f>
        <v>not found</v>
      </c>
      <c r="AJ1542" s="22" t="e">
        <f>Table26[[#This Row],[unitprice]]*Table26[[#This Row],[quantity_unit]]</f>
        <v>#VALUE!</v>
      </c>
      <c r="AK1542" s="227" t="e" cm="1">
        <f t="array" ref="AK15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3" spans="1:37" ht="24.6" customHeight="1">
      <c r="A1543" s="42">
        <v>722</v>
      </c>
      <c r="B1543" s="42" t="s">
        <v>3520</v>
      </c>
      <c r="C1543" s="53" t="s">
        <v>3486</v>
      </c>
      <c r="E1543" s="20"/>
      <c r="F15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3" s="93"/>
      <c r="I1543" s="203">
        <v>45770</v>
      </c>
      <c r="J1543" s="90" t="str">
        <f>IF(Table26[[#This Row],[customerSKU]]="","",_xlfn.XLOOKUP(Table26[[#This Row],[customerSKU]],customerSKU!G:G,customerSKU!A:A,"",0,1))</f>
        <v/>
      </c>
      <c r="K1543" s="232">
        <v>45771</v>
      </c>
      <c r="L1543" s="49" t="str">
        <f>IF(Table26[[#This Row],[customerSKU]]="","",_xlfn.XLOOKUP(Table26[[#This Row],[customerSKU]],customerSKU!G:G,customerSKU!B:B,"",0,1))</f>
        <v/>
      </c>
      <c r="M1543" s="22"/>
      <c r="N1543" s="15" t="str">
        <f>Table26[[#This Row],[po_number]]&amp;"-"&amp;Table26[[#This Row],[po_line]]</f>
        <v>-6</v>
      </c>
      <c r="O1543" s="15">
        <v>6</v>
      </c>
      <c r="P1543" s="50"/>
      <c r="Q1543" s="22" t="s">
        <v>1309</v>
      </c>
      <c r="R1543" s="22" t="s">
        <v>3428</v>
      </c>
      <c r="S1543" s="90" t="str">
        <f>IF(Table26[[#This Row],[customerSKU]]="","",_xlfn.XLOOKUP(Table26[[#This Row],[customerSKU]],customerSKU!G:G,customerSKU!N:N,"NOT FOUND",0,1))</f>
        <v>NOT FOUND</v>
      </c>
      <c r="T1543" s="20"/>
      <c r="U1543" s="94">
        <v>12</v>
      </c>
      <c r="V1543" s="22" t="str">
        <f>IF(ISBLANK(Table26[[#This Row],[customerSKU]]),"",_xlfn.XLOOKUP(Table26[[#This Row],[customerSKU]],Table27[customer_SKU],Table27[case_size],"",0,1))</f>
        <v/>
      </c>
      <c r="W1543" s="117" t="str">
        <f t="shared" si="65"/>
        <v/>
      </c>
      <c r="X1543" s="22" t="str">
        <f t="shared" si="66"/>
        <v/>
      </c>
      <c r="Y1543" s="25" t="str">
        <f>IF(Table26[[#This Row],[customerSKU]]="","",_xlfn.XLOOKUP(Table26[[#This Row],[customerSKU]],Table27[customer_SKU],Table27[product_GTIN],"",0,1))</f>
        <v/>
      </c>
      <c r="Z1543" s="25" t="s">
        <v>3536</v>
      </c>
      <c r="AA1543" s="18" t="str" cm="1">
        <f t="array" ref="AA1543">IF(P1543="", "", _xlfn.XLOOKUP(P1543,#REF!,#REF!,NA,0,-1))</f>
        <v/>
      </c>
      <c r="AB1543" s="22"/>
      <c r="AC1543" s="55" t="s">
        <v>3532</v>
      </c>
      <c r="AD1543" s="55" t="str">
        <f>IF($AC1543="","",_xlfn.XLOOKUP($AC1543,'Client Info'!$C$2:$C$2497,'Client Info'!$D$2:$D$2497,"",0,1))</f>
        <v/>
      </c>
      <c r="AE1543" s="55" t="str">
        <f>IF($AC1543="","",_xlfn.XLOOKUP($AC1543,'Client Info'!$C$2:$C$2677,'Client Info'!$E$2:$E$2677,"",))</f>
        <v/>
      </c>
      <c r="AF1543" s="55" t="str">
        <f>IF($AC1543="","",_xlfn.XLOOKUP($AC1543,'Client Info'!$C$2:$C$2677,'Client Info'!$F$2:$F$2677,"",0,1))</f>
        <v/>
      </c>
      <c r="AG1543" s="55" t="str">
        <f>IF(ISBLANK(Table26[[#This Row],[customerSKU]]),"",_xlfn.XLOOKUP(Table26[[#This Row],[customerSKU]],Table27[customer_SKU],Table27[billto],"",0,1))</f>
        <v/>
      </c>
      <c r="AH1543" s="26" t="str">
        <f>_xlfn.XLOOKUP(Table26[[#This Row],[customerSKU]],customerSKU!G:G,customerSKU!K:K,"NA",0,1)</f>
        <v>NA</v>
      </c>
      <c r="AI1543" s="43" t="str">
        <f>_xlfn.XLOOKUP(Table26[[#This Row],[customerSKU]],customerSKU!G:G,customerSKU!O:O,"not found",0,1)</f>
        <v>not found</v>
      </c>
      <c r="AJ1543" s="22" t="e">
        <f>Table26[[#This Row],[unitprice]]*Table26[[#This Row],[quantity_unit]]</f>
        <v>#VALUE!</v>
      </c>
      <c r="AK1543" s="227" t="e" cm="1">
        <f t="array" ref="AK15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4" spans="1:37" ht="18" customHeight="1">
      <c r="A1544" s="42">
        <v>723</v>
      </c>
      <c r="B1544" s="42" t="s">
        <v>3520</v>
      </c>
      <c r="C1544" s="53" t="s">
        <v>3486</v>
      </c>
      <c r="E1544" s="20"/>
      <c r="F15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4" s="93"/>
      <c r="I1544" s="203">
        <v>45770</v>
      </c>
      <c r="J1544" s="90" t="str">
        <f>IF(Table26[[#This Row],[customerSKU]]="","",_xlfn.XLOOKUP(Table26[[#This Row],[customerSKU]],customerSKU!G:G,customerSKU!A:A,"",0,1))</f>
        <v/>
      </c>
      <c r="K1544" s="232">
        <v>45771</v>
      </c>
      <c r="L1544" s="49" t="str">
        <f>IF(Table26[[#This Row],[customerSKU]]="","",_xlfn.XLOOKUP(Table26[[#This Row],[customerSKU]],customerSKU!G:G,customerSKU!B:B,"",0,1))</f>
        <v/>
      </c>
      <c r="M1544" s="22"/>
      <c r="N1544" s="15" t="str">
        <f>Table26[[#This Row],[po_number]]&amp;"-"&amp;Table26[[#This Row],[po_line]]</f>
        <v>-7</v>
      </c>
      <c r="O1544" s="15">
        <v>7</v>
      </c>
      <c r="P1544" s="50"/>
      <c r="Q1544" s="22" t="s">
        <v>3537</v>
      </c>
      <c r="R1544" s="22" t="s">
        <v>3428</v>
      </c>
      <c r="S1544" s="90" t="str">
        <f>IF(Table26[[#This Row],[customerSKU]]="","",_xlfn.XLOOKUP(Table26[[#This Row],[customerSKU]],customerSKU!G:G,customerSKU!N:N,"NOT FOUND",0,1))</f>
        <v>NOT FOUND</v>
      </c>
      <c r="T1544" s="20"/>
      <c r="U1544" s="94">
        <v>12</v>
      </c>
      <c r="V1544" s="22" t="str">
        <f>IF(ISBLANK(Table26[[#This Row],[customerSKU]]),"",_xlfn.XLOOKUP(Table26[[#This Row],[customerSKU]],Table27[customer_SKU],Table27[case_size],"",0,1))</f>
        <v/>
      </c>
      <c r="W1544" s="117" t="str">
        <f t="shared" si="65"/>
        <v/>
      </c>
      <c r="X1544" s="22" t="str">
        <f t="shared" si="66"/>
        <v/>
      </c>
      <c r="Y1544" s="25" t="str">
        <f>IF(Table26[[#This Row],[customerSKU]]="","",_xlfn.XLOOKUP(Table26[[#This Row],[customerSKU]],Table27[customer_SKU],Table27[product_GTIN],"",0,1))</f>
        <v/>
      </c>
      <c r="Z1544" s="25" t="s">
        <v>3527</v>
      </c>
      <c r="AA1544" s="18" t="str" cm="1">
        <f t="array" ref="AA1544">IF(P1544="", "", _xlfn.XLOOKUP(P1544,#REF!,#REF!,NA,0,-1))</f>
        <v/>
      </c>
      <c r="AB1544" s="22"/>
      <c r="AC1544" s="55" t="s">
        <v>3532</v>
      </c>
      <c r="AD1544" s="55" t="str">
        <f>IF($AC1544="","",_xlfn.XLOOKUP($AC1544,'Client Info'!$C$2:$C$2497,'Client Info'!$D$2:$D$2497,"",0,1))</f>
        <v/>
      </c>
      <c r="AE1544" s="55" t="str">
        <f>IF($AC1544="","",_xlfn.XLOOKUP($AC1544,'Client Info'!$C$2:$C$2677,'Client Info'!$E$2:$E$2677,"",))</f>
        <v/>
      </c>
      <c r="AF1544" s="55" t="str">
        <f>IF($AC1544="","",_xlfn.XLOOKUP($AC1544,'Client Info'!$C$2:$C$2677,'Client Info'!$F$2:$F$2677,"",0,1))</f>
        <v/>
      </c>
      <c r="AG1544" s="55" t="str">
        <f>IF(ISBLANK(Table26[[#This Row],[customerSKU]]),"",_xlfn.XLOOKUP(Table26[[#This Row],[customerSKU]],Table27[customer_SKU],Table27[billto],"",0,1))</f>
        <v/>
      </c>
      <c r="AH1544" s="26" t="str">
        <f>_xlfn.XLOOKUP(Table26[[#This Row],[customerSKU]],customerSKU!G:G,customerSKU!K:K,"NA",0,1)</f>
        <v>NA</v>
      </c>
      <c r="AI1544" s="43" t="str">
        <f>_xlfn.XLOOKUP(Table26[[#This Row],[customerSKU]],customerSKU!G:G,customerSKU!O:O,"not found",0,1)</f>
        <v>not found</v>
      </c>
      <c r="AJ1544" s="22" t="e">
        <f>Table26[[#This Row],[unitprice]]*Table26[[#This Row],[quantity_unit]]</f>
        <v>#VALUE!</v>
      </c>
      <c r="AK1544" s="227" t="e" cm="1">
        <f t="array" ref="AK15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45" spans="1:37" ht="18" customHeight="1">
      <c r="A1545" s="42">
        <v>695</v>
      </c>
      <c r="B1545" s="42" t="s">
        <v>3357</v>
      </c>
      <c r="C1545" s="53" t="s">
        <v>203</v>
      </c>
      <c r="D1545" s="20">
        <v>45776</v>
      </c>
      <c r="E1545" s="20"/>
      <c r="F15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5" s="93"/>
      <c r="H1545" s="19"/>
      <c r="I1545" s="19">
        <v>45754</v>
      </c>
      <c r="J1545" s="90" t="str">
        <f>IF(Table26[[#This Row],[customerSKU]]="","",_xlfn.XLOOKUP(Table26[[#This Row],[customerSKU]],customerSKU!G:G,customerSKU!A:A,"",0,1))</f>
        <v/>
      </c>
      <c r="K1545" s="232">
        <v>45772</v>
      </c>
      <c r="L1545" s="49" t="str">
        <f>IF(Table26[[#This Row],[customerSKU]]="","",_xlfn.XLOOKUP(Table26[[#This Row],[customerSKU]],customerSKU!G:G,customerSKU!B:B,"",0,1))</f>
        <v/>
      </c>
      <c r="M1545" s="22"/>
      <c r="N1545" s="15" t="str">
        <f>Table26[[#This Row],[po_number]]&amp;"-"&amp;Table26[[#This Row],[po_line]]</f>
        <v>-1</v>
      </c>
      <c r="O1545" s="15">
        <v>1</v>
      </c>
      <c r="P1545" s="50"/>
      <c r="Q1545" s="22" t="s">
        <v>565</v>
      </c>
      <c r="R1545" s="22" t="s">
        <v>569</v>
      </c>
      <c r="S1545" s="90" t="str">
        <f>IF(Table26[[#This Row],[customerSKU]]="","",_xlfn.XLOOKUP(Table26[[#This Row],[customerSKU]],customerSKU!G:G,customerSKU!N:N,"NOT FOUND",0,1))</f>
        <v>NOT FOUND</v>
      </c>
      <c r="T1545" s="20">
        <v>45763</v>
      </c>
      <c r="U1545" s="94">
        <f>15*12</f>
        <v>180</v>
      </c>
      <c r="V1545" s="22" t="str">
        <f>IF(ISBLANK(Table26[[#This Row],[customerSKU]]),"",_xlfn.XLOOKUP(Table26[[#This Row],[customerSKU]],Table27[customer_SKU],Table27[case_size],"",0,1))</f>
        <v/>
      </c>
      <c r="W1545" s="117" t="str">
        <f t="shared" si="65"/>
        <v/>
      </c>
      <c r="X1545" s="22" t="str">
        <f t="shared" si="66"/>
        <v/>
      </c>
      <c r="Y1545" s="25" t="str">
        <f>IF(Table26[[#This Row],[customerSKU]]="","",_xlfn.XLOOKUP(Table26[[#This Row],[customerSKU]],Table27[customer_SKU],Table27[product_GTIN],"",0,1))</f>
        <v/>
      </c>
      <c r="Z1545" s="25" t="s">
        <v>3442</v>
      </c>
      <c r="AA1545" s="18" t="str" cm="1">
        <f t="array" ref="AA1545">IF(P1545="", "", _xlfn.XLOOKUP(P1545,#REF!,#REF!,NA,0,-1))</f>
        <v/>
      </c>
      <c r="AB1545" s="22"/>
      <c r="AC1545" s="55" t="str">
        <f>IF(Table26[[#This Row],[customerSKU]]="","",_xlfn.XLOOKUP(Table26[[#This Row],[customerSKU]],customerSKU!G:G,customerSKU!C:C,"",0,1))</f>
        <v/>
      </c>
      <c r="AD1545" s="55" t="str">
        <f>IF($AC1545="","",_xlfn.XLOOKUP($AC1545,'Client Info'!$C$2:$C$2497,'Client Info'!$D$2:$D$2497,"",0,1))</f>
        <v/>
      </c>
      <c r="AE1545" s="55" t="str">
        <f>IF($AC1545="","",_xlfn.XLOOKUP($AC1545,'Client Info'!$C$2:$C$2677,'Client Info'!$E$2:$E$2677,"",))</f>
        <v/>
      </c>
      <c r="AF1545" s="55" t="str">
        <f>IF($AC1545="","",_xlfn.XLOOKUP($AC1545,'Client Info'!$C$2:$C$2677,'Client Info'!$F$2:$F$2677,"",0,1))</f>
        <v/>
      </c>
      <c r="AG1545" s="55" t="str">
        <f>IF(ISBLANK(Table26[[#This Row],[customerSKU]]),"",_xlfn.XLOOKUP(Table26[[#This Row],[customerSKU]],Table27[customer_SKU],Table27[billto],"",0,1))</f>
        <v/>
      </c>
      <c r="AH1545" s="26" t="str">
        <f>_xlfn.XLOOKUP(Table26[[#This Row],[customerSKU]],customerSKU!G:G,customerSKU!K:K,"NA",0,1)</f>
        <v>NA</v>
      </c>
      <c r="AI1545" s="43" t="str">
        <f>_xlfn.XLOOKUP(Table26[[#This Row],[customerSKU]],customerSKU!G:G,customerSKU!O:O,"not found",0,1)</f>
        <v>not found</v>
      </c>
      <c r="AJ1545" s="22" t="e">
        <f>Table26[[#This Row],[unitprice]]*Table26[[#This Row],[quantity_unit]]</f>
        <v>#VALUE!</v>
      </c>
      <c r="AK1545" s="227" t="e" cm="1">
        <f t="array" ref="AK15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546" spans="1:37" ht="18" customHeight="1">
      <c r="A1546" s="42">
        <v>696</v>
      </c>
      <c r="B1546" s="42" t="s">
        <v>3357</v>
      </c>
      <c r="C1546" s="53" t="s">
        <v>203</v>
      </c>
      <c r="D1546" s="20">
        <v>45776</v>
      </c>
      <c r="E1546" s="20"/>
      <c r="F15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6" s="93"/>
      <c r="H1546" s="19"/>
      <c r="I1546" s="19">
        <v>45754</v>
      </c>
      <c r="J1546" s="90" t="str">
        <f>IF(Table26[[#This Row],[customerSKU]]="","",_xlfn.XLOOKUP(Table26[[#This Row],[customerSKU]],customerSKU!G:G,customerSKU!A:A,"",0,1))</f>
        <v/>
      </c>
      <c r="K1546" s="232">
        <v>45772</v>
      </c>
      <c r="L1546" s="49" t="str">
        <f>IF(Table26[[#This Row],[customerSKU]]="","",_xlfn.XLOOKUP(Table26[[#This Row],[customerSKU]],customerSKU!G:G,customerSKU!B:B,"",0,1))</f>
        <v/>
      </c>
      <c r="M1546" s="22"/>
      <c r="N1546" s="15" t="str">
        <f>Table26[[#This Row],[po_number]]&amp;"-"&amp;Table26[[#This Row],[po_line]]</f>
        <v>-2</v>
      </c>
      <c r="O1546" s="15">
        <v>2</v>
      </c>
      <c r="P1546" s="50"/>
      <c r="Q1546" s="22" t="s">
        <v>3284</v>
      </c>
      <c r="R1546" s="22" t="s">
        <v>569</v>
      </c>
      <c r="S1546" s="90" t="str">
        <f>IF(Table26[[#This Row],[customerSKU]]="","",_xlfn.XLOOKUP(Table26[[#This Row],[customerSKU]],customerSKU!G:G,customerSKU!N:N,"NOT FOUND",0,1))</f>
        <v>NOT FOUND</v>
      </c>
      <c r="T1546" s="20">
        <v>45763</v>
      </c>
      <c r="U1546" s="94">
        <v>360</v>
      </c>
      <c r="V1546" s="22" t="str">
        <f>IF(ISBLANK(Table26[[#This Row],[customerSKU]]),"",_xlfn.XLOOKUP(Table26[[#This Row],[customerSKU]],Table27[customer_SKU],Table27[case_size],"",0,1))</f>
        <v/>
      </c>
      <c r="W1546" s="117" t="str">
        <f t="shared" si="65"/>
        <v/>
      </c>
      <c r="X1546" s="22" t="str">
        <f t="shared" si="66"/>
        <v/>
      </c>
      <c r="Y1546" s="25" t="str">
        <f>IF(Table26[[#This Row],[customerSKU]]="","",_xlfn.XLOOKUP(Table26[[#This Row],[customerSKU]],Table27[customer_SKU],Table27[product_GTIN],"",0,1))</f>
        <v/>
      </c>
      <c r="Z1546" s="25" t="s">
        <v>3443</v>
      </c>
      <c r="AA1546" s="18" t="str" cm="1">
        <f t="array" ref="AA1546">IF(P1546="", "", _xlfn.XLOOKUP(P1546,#REF!,#REF!,NA,0,-1))</f>
        <v/>
      </c>
      <c r="AB1546" s="22"/>
      <c r="AC1546" s="55" t="str">
        <f>IF(Table26[[#This Row],[customerSKU]]="","",_xlfn.XLOOKUP(Table26[[#This Row],[customerSKU]],customerSKU!G:G,customerSKU!C:C,"",0,1))</f>
        <v/>
      </c>
      <c r="AD1546" s="55" t="str">
        <f>IF($AC1546="","",_xlfn.XLOOKUP($AC1546,'Client Info'!$C$2:$C$2497,'Client Info'!$D$2:$D$2497,"",0,1))</f>
        <v/>
      </c>
      <c r="AE1546" s="55" t="str">
        <f>IF($AC1546="","",_xlfn.XLOOKUP($AC1546,'Client Info'!$C$2:$C$2677,'Client Info'!$E$2:$E$2677,"",))</f>
        <v/>
      </c>
      <c r="AF1546" s="55" t="str">
        <f>IF($AC1546="","",_xlfn.XLOOKUP($AC1546,'Client Info'!$C$2:$C$2677,'Client Info'!$F$2:$F$2677,"",0,1))</f>
        <v/>
      </c>
      <c r="AG1546" s="55" t="str">
        <f>IF(ISBLANK(Table26[[#This Row],[customerSKU]]),"",_xlfn.XLOOKUP(Table26[[#This Row],[customerSKU]],Table27[customer_SKU],Table27[billto],"",0,1))</f>
        <v/>
      </c>
      <c r="AH1546" s="26" t="str">
        <f>_xlfn.XLOOKUP(Table26[[#This Row],[customerSKU]],customerSKU!G:G,customerSKU!K:K,"NA",0,1)</f>
        <v>NA</v>
      </c>
      <c r="AI1546" s="43" t="str">
        <f>_xlfn.XLOOKUP(Table26[[#This Row],[customerSKU]],customerSKU!G:G,customerSKU!O:O,"not found",0,1)</f>
        <v>not found</v>
      </c>
      <c r="AJ1546" s="22" t="e">
        <f>Table26[[#This Row],[unitprice]]*Table26[[#This Row],[quantity_unit]]</f>
        <v>#VALUE!</v>
      </c>
      <c r="AK1546" s="227" t="e" cm="1">
        <f t="array" ref="AK15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#N/A</v>
      </c>
    </row>
    <row r="1547" spans="1:37" ht="18" customHeight="1">
      <c r="A1547" s="42">
        <v>697</v>
      </c>
      <c r="B1547" s="42" t="s">
        <v>3357</v>
      </c>
      <c r="C1547" s="53" t="s">
        <v>203</v>
      </c>
      <c r="D1547" s="20">
        <v>45768</v>
      </c>
      <c r="E1547" s="20"/>
      <c r="F15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7" s="93"/>
      <c r="H1547" s="19"/>
      <c r="I1547" s="19">
        <v>45754</v>
      </c>
      <c r="J1547" s="90" t="str">
        <f>IF(Table26[[#This Row],[customerSKU]]="","",_xlfn.XLOOKUP(Table26[[#This Row],[customerSKU]],customerSKU!G:G,customerSKU!A:A,"",0,1))</f>
        <v/>
      </c>
      <c r="K1547" s="232">
        <v>45772</v>
      </c>
      <c r="L1547" s="49" t="str">
        <f>IF(Table26[[#This Row],[customerSKU]]="","",_xlfn.XLOOKUP(Table26[[#This Row],[customerSKU]],customerSKU!G:G,customerSKU!B:B,"",0,1))</f>
        <v/>
      </c>
      <c r="M1547" s="22"/>
      <c r="N1547" s="15" t="str">
        <f>Table26[[#This Row],[po_number]]&amp;"-"&amp;Table26[[#This Row],[po_line]]</f>
        <v>-1</v>
      </c>
      <c r="O1547" s="15">
        <v>1</v>
      </c>
      <c r="P1547" s="50"/>
      <c r="Q1547" s="22" t="s">
        <v>3456</v>
      </c>
      <c r="R1547" s="22" t="s">
        <v>3428</v>
      </c>
      <c r="S1547" s="90" t="str">
        <f>IF(Table26[[#This Row],[customerSKU]]="","",_xlfn.XLOOKUP(Table26[[#This Row],[customerSKU]],customerSKU!G:G,customerSKU!N:N,"NOT FOUND",0,1))</f>
        <v>NOT FOUND</v>
      </c>
      <c r="T1547" s="20">
        <v>45767</v>
      </c>
      <c r="U1547" s="94">
        <v>420</v>
      </c>
      <c r="V1547" s="22" t="str">
        <f>IF(ISBLANK(Table26[[#This Row],[customerSKU]]),"",_xlfn.XLOOKUP(Table26[[#This Row],[customerSKU]],Table27[customer_SKU],Table27[case_size],"",0,1))</f>
        <v/>
      </c>
      <c r="W1547" s="117" t="str">
        <f t="shared" si="65"/>
        <v/>
      </c>
      <c r="X1547" s="22" t="str">
        <f t="shared" si="66"/>
        <v/>
      </c>
      <c r="Y1547" s="25" t="str">
        <f>IF(Table26[[#This Row],[customerSKU]]="","",_xlfn.XLOOKUP(Table26[[#This Row],[customerSKU]],Table27[customer_SKU],Table27[product_GTIN],"",0,1))</f>
        <v/>
      </c>
      <c r="Z1547" s="274" t="s">
        <v>3457</v>
      </c>
      <c r="AA1547" s="18" t="str" cm="1">
        <f t="array" ref="AA1547">IF(P1547="", "", _xlfn.XLOOKUP(P1547,#REF!,#REF!,NA,0,-1))</f>
        <v/>
      </c>
      <c r="AB1547" s="22"/>
      <c r="AC1547" s="55" t="str">
        <f>IF(Table26[[#This Row],[customerSKU]]="","",_xlfn.XLOOKUP(Table26[[#This Row],[customerSKU]],customerSKU!G:G,customerSKU!C:C,"",0,1))</f>
        <v/>
      </c>
      <c r="AD1547" s="55" t="str">
        <f>IF($AC1547="","",_xlfn.XLOOKUP($AC1547,'Client Info'!$C$2:$C$2497,'Client Info'!$D$2:$D$2497,"",0,1))</f>
        <v/>
      </c>
      <c r="AE1547" s="55" t="str">
        <f>IF($AC1547="","",_xlfn.XLOOKUP($AC1547,'Client Info'!$C$2:$C$2677,'Client Info'!$E$2:$E$2677,"",))</f>
        <v/>
      </c>
      <c r="AF1547" s="55" t="str">
        <f>IF($AC1547="","",_xlfn.XLOOKUP($AC1547,'Client Info'!$C$2:$C$2677,'Client Info'!$F$2:$F$2677,"",0,1))</f>
        <v/>
      </c>
      <c r="AG1547" s="55" t="str">
        <f>IF(ISBLANK(Table26[[#This Row],[customerSKU]]),"",_xlfn.XLOOKUP(Table26[[#This Row],[customerSKU]],Table27[customer_SKU],Table27[billto],"",0,1))</f>
        <v/>
      </c>
      <c r="AH1547" s="26" t="str">
        <f>_xlfn.XLOOKUP(Table26[[#This Row],[customerSKU]],customerSKU!G:G,customerSKU!K:K,"NA",0,1)</f>
        <v>NA</v>
      </c>
      <c r="AI1547" s="43" t="str">
        <f>_xlfn.XLOOKUP(Table26[[#This Row],[customerSKU]],customerSKU!G:G,customerSKU!O:O,"not found",0,1)</f>
        <v>not found</v>
      </c>
      <c r="AJ1547" s="22" t="e">
        <f>Table26[[#This Row],[unitprice]]*Table26[[#This Row],[quantity_unit]]</f>
        <v>#VALUE!</v>
      </c>
      <c r="AK1547" s="227" t="e" cm="1">
        <f t="array" ref="AK15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Price]])</f>
        <v>#N/A</v>
      </c>
    </row>
    <row r="1548" spans="1:37" ht="18" customHeight="1">
      <c r="A1548" s="42">
        <v>698</v>
      </c>
      <c r="B1548" s="42" t="s">
        <v>3357</v>
      </c>
      <c r="C1548" s="53" t="s">
        <v>203</v>
      </c>
      <c r="D1548" s="20">
        <v>45792</v>
      </c>
      <c r="E1548" s="20"/>
      <c r="F15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8" s="93"/>
      <c r="I1548" s="19">
        <v>45757</v>
      </c>
      <c r="J1548" s="90" t="str">
        <f>IF(Table26[[#This Row],[customerSKU]]="","",_xlfn.XLOOKUP(Table26[[#This Row],[customerSKU]],customerSKU!G:G,customerSKU!A:A,"",0,1))</f>
        <v/>
      </c>
      <c r="K1548" s="232">
        <v>45772</v>
      </c>
      <c r="L1548" s="49" t="str">
        <f>IF(Table26[[#This Row],[customerSKU]]="","",_xlfn.XLOOKUP(Table26[[#This Row],[customerSKU]],customerSKU!G:G,customerSKU!B:B,"",0,1))</f>
        <v/>
      </c>
      <c r="M1548" s="22"/>
      <c r="N1548" s="15" t="str">
        <f>Table26[[#This Row],[po_number]]&amp;"-"&amp;Table26[[#This Row],[po_line]]</f>
        <v>-1</v>
      </c>
      <c r="O1548" s="15">
        <v>1</v>
      </c>
      <c r="P1548" s="50"/>
      <c r="Q1548" s="22" t="s">
        <v>559</v>
      </c>
      <c r="R1548" s="22" t="s">
        <v>3428</v>
      </c>
      <c r="S1548" s="90" t="str">
        <f>IF(Table26[[#This Row],[customerSKU]]="","",_xlfn.XLOOKUP(Table26[[#This Row],[customerSKU]],customerSKU!G:G,customerSKU!N:N,"NOT FOUND",0,1))</f>
        <v>NOT FOUND</v>
      </c>
      <c r="T1548" s="20">
        <v>45772</v>
      </c>
      <c r="U1548" s="94">
        <f>150*12</f>
        <v>1800</v>
      </c>
      <c r="V1548" s="22" t="str">
        <f>IF(ISBLANK(Table26[[#This Row],[customerSKU]]),"",_xlfn.XLOOKUP(Table26[[#This Row],[customerSKU]],Table27[customer_SKU],Table27[case_size],"",0,1))</f>
        <v/>
      </c>
      <c r="W1548" s="117" t="str">
        <f t="shared" si="65"/>
        <v/>
      </c>
      <c r="X1548" s="22" t="str">
        <f t="shared" si="66"/>
        <v/>
      </c>
      <c r="Y1548" s="25" t="str">
        <f>IF(Table26[[#This Row],[customerSKU]]="","",_xlfn.XLOOKUP(Table26[[#This Row],[customerSKU]],Table27[customer_SKU],Table27[product_GTIN],"",0,1))</f>
        <v/>
      </c>
      <c r="Z1548" s="25" t="s">
        <v>3471</v>
      </c>
      <c r="AA1548" s="18" t="str" cm="1">
        <f t="array" ref="AA1548">IF(P1548="", "", _xlfn.XLOOKUP(P1548,#REF!,#REF!,NA,0,-1))</f>
        <v/>
      </c>
      <c r="AB1548" s="22"/>
      <c r="AC1548" s="55" t="str">
        <f>IF(Table26[[#This Row],[customerSKU]]="","",_xlfn.XLOOKUP(Table26[[#This Row],[customerSKU]],customerSKU!G:G,customerSKU!C:C,"",0,1))</f>
        <v/>
      </c>
      <c r="AD1548" s="55" t="str">
        <f>IF($AC1548="","",_xlfn.XLOOKUP($AC1548,'Client Info'!$C$2:$C$2497,'Client Info'!$D$2:$D$2497,"",0,1))</f>
        <v/>
      </c>
      <c r="AE1548" s="55" t="str">
        <f>IF($AC1548="","",_xlfn.XLOOKUP($AC1548,'Client Info'!$C$2:$C$2677,'Client Info'!$E$2:$E$2677,"",))</f>
        <v/>
      </c>
      <c r="AF1548" s="55" t="str">
        <f>IF($AC1548="","",_xlfn.XLOOKUP($AC1548,'Client Info'!$C$2:$C$2677,'Client Info'!$F$2:$F$2677,"",0,1))</f>
        <v/>
      </c>
      <c r="AG1548" s="55" t="str">
        <f>IF(ISBLANK(Table26[[#This Row],[customerSKU]]),"",_xlfn.XLOOKUP(Table26[[#This Row],[customerSKU]],Table27[customer_SKU],Table27[billto],"",0,1))</f>
        <v/>
      </c>
      <c r="AH1548" s="26" t="str">
        <f>_xlfn.XLOOKUP(Table26[[#This Row],[customerSKU]],customerSKU!G:G,customerSKU!K:K,"NA",0,1)</f>
        <v>NA</v>
      </c>
      <c r="AI1548" s="43" t="str">
        <f>_xlfn.XLOOKUP(Table26[[#This Row],[customerSKU]],customerSKU!G:G,customerSKU!O:O,"not found",0,1)</f>
        <v>not found</v>
      </c>
      <c r="AJ1548" s="22" t="e">
        <f>Table26[[#This Row],[unitprice]]*Table26[[#This Row],[quantity_unit]]</f>
        <v>#VALUE!</v>
      </c>
      <c r="AK1548" s="227" t="e" cm="1">
        <f t="array" ref="AK15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Price]]*1.05)</f>
        <v>#N/A</v>
      </c>
    </row>
    <row r="1549" spans="1:37" ht="18" customHeight="1">
      <c r="A1549" s="42">
        <v>699</v>
      </c>
      <c r="B1549" s="42" t="s">
        <v>3520</v>
      </c>
      <c r="C1549" s="53" t="s">
        <v>3486</v>
      </c>
      <c r="E1549" s="20"/>
      <c r="F15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49" s="93"/>
      <c r="I1549" s="203">
        <v>45769</v>
      </c>
      <c r="J1549" s="90" t="str">
        <f>IF(Table26[[#This Row],[customerSKU]]="","",_xlfn.XLOOKUP(Table26[[#This Row],[customerSKU]],customerSKU!G:G,customerSKU!A:A,"",0,1))</f>
        <v/>
      </c>
      <c r="K1549" s="232">
        <v>45772</v>
      </c>
      <c r="L1549" s="49" t="str">
        <f>IF(Table26[[#This Row],[customerSKU]]="","",_xlfn.XLOOKUP(Table26[[#This Row],[customerSKU]],customerSKU!G:G,customerSKU!B:B,"",0,1))</f>
        <v/>
      </c>
      <c r="M1549" s="22"/>
      <c r="N1549" s="15" t="str">
        <f>Table26[[#This Row],[po_number]]&amp;"-"&amp;Table26[[#This Row],[po_line]]</f>
        <v>-1</v>
      </c>
      <c r="O1549" s="15">
        <v>1</v>
      </c>
      <c r="P1549" s="50"/>
      <c r="Q1549" s="22" t="s">
        <v>682</v>
      </c>
      <c r="R1549" s="22" t="s">
        <v>3428</v>
      </c>
      <c r="S1549" s="90" t="str">
        <f>IF(Table26[[#This Row],[customerSKU]]="","",_xlfn.XLOOKUP(Table26[[#This Row],[customerSKU]],customerSKU!G:G,customerSKU!N:N,"NOT FOUND",0,1))</f>
        <v>NOT FOUND</v>
      </c>
      <c r="T1549" s="20">
        <v>45588</v>
      </c>
      <c r="U1549" s="94">
        <v>12</v>
      </c>
      <c r="V1549" s="22" t="str">
        <f>IF(ISBLANK(Table26[[#This Row],[customerSKU]]),"",_xlfn.XLOOKUP(Table26[[#This Row],[customerSKU]],Table27[customer_SKU],Table27[case_size],"",0,1))</f>
        <v/>
      </c>
      <c r="W1549" s="117" t="str">
        <f t="shared" si="65"/>
        <v/>
      </c>
      <c r="X1549" s="22" t="str">
        <f t="shared" si="66"/>
        <v/>
      </c>
      <c r="Y1549" s="25" t="str">
        <f>IF(Table26[[#This Row],[customerSKU]]="","",_xlfn.XLOOKUP(Table26[[#This Row],[customerSKU]],Table27[customer_SKU],Table27[product_GTIN],"",0,1))</f>
        <v/>
      </c>
      <c r="Z1549" s="25" t="s">
        <v>3523</v>
      </c>
      <c r="AA1549" s="18" t="str" cm="1">
        <f t="array" ref="AA1549">IF(P1549="", "", _xlfn.XLOOKUP(P1549,#REF!,#REF!,NA,0,-1))</f>
        <v/>
      </c>
      <c r="AB1549" s="22"/>
      <c r="AC1549" s="55" t="s">
        <v>3524</v>
      </c>
      <c r="AD1549" s="55" t="str">
        <f>IF($AC1549="","",_xlfn.XLOOKUP($AC1549,'Client Info'!$C$2:$C$2497,'Client Info'!$D$2:$D$2497,"",0,1))</f>
        <v/>
      </c>
      <c r="AE1549" s="55" t="str">
        <f>IF($AC1549="","",_xlfn.XLOOKUP($AC1549,'Client Info'!$C$2:$C$2677,'Client Info'!$E$2:$E$2677,"",))</f>
        <v/>
      </c>
      <c r="AF1549" s="55" t="str">
        <f>IF($AC1549="","",_xlfn.XLOOKUP($AC1549,'Client Info'!$C$2:$C$2677,'Client Info'!$F$2:$F$2677,"",0,1))</f>
        <v/>
      </c>
      <c r="AG1549" s="55" t="str">
        <f>IF(ISBLANK(Table26[[#This Row],[customerSKU]]),"",_xlfn.XLOOKUP(Table26[[#This Row],[customerSKU]],Table27[customer_SKU],Table27[billto],"",0,1))</f>
        <v/>
      </c>
      <c r="AH1549" s="26" t="str">
        <f>_xlfn.XLOOKUP(Table26[[#This Row],[customerSKU]],customerSKU!G:G,customerSKU!K:K,"NA",0,1)</f>
        <v>NA</v>
      </c>
      <c r="AI1549" s="43" t="str">
        <f>_xlfn.XLOOKUP(Table26[[#This Row],[customerSKU]],customerSKU!G:G,customerSKU!O:O,"not found",0,1)</f>
        <v>not found</v>
      </c>
      <c r="AJ1549" s="22" t="e">
        <f>Table26[[#This Row],[unitprice]]*Table26[[#This Row],[quantity_unit]]</f>
        <v>#VALUE!</v>
      </c>
      <c r="AK1549" s="227" t="e" cm="1">
        <f t="array" ref="AK15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0" spans="1:37" ht="18" customHeight="1">
      <c r="A1550" s="42">
        <v>700</v>
      </c>
      <c r="B1550" s="42" t="s">
        <v>3520</v>
      </c>
      <c r="C1550" s="53" t="s">
        <v>3486</v>
      </c>
      <c r="E1550" s="20"/>
      <c r="F15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0" s="93"/>
      <c r="I1550" s="203">
        <v>45769</v>
      </c>
      <c r="J1550" s="90" t="str">
        <f>IF(Table26[[#This Row],[customerSKU]]="","",_xlfn.XLOOKUP(Table26[[#This Row],[customerSKU]],customerSKU!G:G,customerSKU!A:A,"",0,1))</f>
        <v/>
      </c>
      <c r="K1550" s="232">
        <v>45772</v>
      </c>
      <c r="L1550" s="49" t="str">
        <f>IF(Table26[[#This Row],[customerSKU]]="","",_xlfn.XLOOKUP(Table26[[#This Row],[customerSKU]],customerSKU!G:G,customerSKU!B:B,"",0,1))</f>
        <v/>
      </c>
      <c r="M1550" s="22"/>
      <c r="N1550" s="15" t="str">
        <f>Table26[[#This Row],[po_number]]&amp;"-"&amp;Table26[[#This Row],[po_line]]</f>
        <v>-2</v>
      </c>
      <c r="O1550" s="15">
        <v>2</v>
      </c>
      <c r="P1550" s="50"/>
      <c r="Q1550" s="22" t="s">
        <v>582</v>
      </c>
      <c r="R1550" s="22" t="s">
        <v>3428</v>
      </c>
      <c r="S1550" s="90" t="str">
        <f>IF(Table26[[#This Row],[customerSKU]]="","",_xlfn.XLOOKUP(Table26[[#This Row],[customerSKU]],customerSKU!G:G,customerSKU!N:N,"NOT FOUND",0,1))</f>
        <v>NOT FOUND</v>
      </c>
      <c r="T1550" s="20">
        <v>45756</v>
      </c>
      <c r="U1550" s="94">
        <v>12</v>
      </c>
      <c r="V1550" s="22" t="str">
        <f>IF(ISBLANK(Table26[[#This Row],[customerSKU]]),"",_xlfn.XLOOKUP(Table26[[#This Row],[customerSKU]],Table27[customer_SKU],Table27[case_size],"",0,1))</f>
        <v/>
      </c>
      <c r="W1550" s="117" t="str">
        <f t="shared" si="65"/>
        <v/>
      </c>
      <c r="X1550" s="22" t="str">
        <f t="shared" si="66"/>
        <v/>
      </c>
      <c r="Y1550" s="25" t="str">
        <f>IF(Table26[[#This Row],[customerSKU]]="","",_xlfn.XLOOKUP(Table26[[#This Row],[customerSKU]],Table27[customer_SKU],Table27[product_GTIN],"",0,1))</f>
        <v/>
      </c>
      <c r="Z1550" s="25" t="s">
        <v>3519</v>
      </c>
      <c r="AA1550" s="18" t="str" cm="1">
        <f t="array" ref="AA1550">IF(P1550="", "", _xlfn.XLOOKUP(P1550,#REF!,#REF!,NA,0,-1))</f>
        <v/>
      </c>
      <c r="AB1550" s="22"/>
      <c r="AC1550" s="55" t="s">
        <v>3524</v>
      </c>
      <c r="AD1550" s="55" t="str">
        <f>IF($AC1550="","",_xlfn.XLOOKUP($AC1550,'Client Info'!$C$2:$C$2497,'Client Info'!$D$2:$D$2497,"",0,1))</f>
        <v/>
      </c>
      <c r="AE1550" s="55" t="str">
        <f>IF($AC1550="","",_xlfn.XLOOKUP($AC1550,'Client Info'!$C$2:$C$2677,'Client Info'!$E$2:$E$2677,"",))</f>
        <v/>
      </c>
      <c r="AF1550" s="55" t="str">
        <f>IF($AC1550="","",_xlfn.XLOOKUP($AC1550,'Client Info'!$C$2:$C$2677,'Client Info'!$F$2:$F$2677,"",0,1))</f>
        <v/>
      </c>
      <c r="AG1550" s="55" t="str">
        <f>IF(ISBLANK(Table26[[#This Row],[customerSKU]]),"",_xlfn.XLOOKUP(Table26[[#This Row],[customerSKU]],Table27[customer_SKU],Table27[billto],"",0,1))</f>
        <v/>
      </c>
      <c r="AH1550" s="26" t="str">
        <f>_xlfn.XLOOKUP(Table26[[#This Row],[customerSKU]],customerSKU!G:G,customerSKU!K:K,"NA",0,1)</f>
        <v>NA</v>
      </c>
      <c r="AI1550" s="43" t="str">
        <f>_xlfn.XLOOKUP(Table26[[#This Row],[customerSKU]],customerSKU!G:G,customerSKU!O:O,"not found",0,1)</f>
        <v>not found</v>
      </c>
      <c r="AJ1550" s="22" t="e">
        <f>Table26[[#This Row],[unitprice]]*Table26[[#This Row],[quantity_unit]]</f>
        <v>#VALUE!</v>
      </c>
      <c r="AK1550" s="227" t="e" cm="1">
        <f t="array" ref="AK15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1" spans="1:37" ht="18" customHeight="1">
      <c r="A1551" s="42">
        <v>701</v>
      </c>
      <c r="B1551" s="42" t="s">
        <v>3520</v>
      </c>
      <c r="C1551" s="53" t="s">
        <v>3486</v>
      </c>
      <c r="E1551" s="20"/>
      <c r="F15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1" s="93"/>
      <c r="I1551" s="203">
        <v>45769</v>
      </c>
      <c r="J1551" s="90" t="str">
        <f>IF(Table26[[#This Row],[customerSKU]]="","",_xlfn.XLOOKUP(Table26[[#This Row],[customerSKU]],customerSKU!G:G,customerSKU!A:A,"",0,1))</f>
        <v/>
      </c>
      <c r="K1551" s="232">
        <v>45772</v>
      </c>
      <c r="L1551" s="49" t="str">
        <f>IF(Table26[[#This Row],[customerSKU]]="","",_xlfn.XLOOKUP(Table26[[#This Row],[customerSKU]],customerSKU!G:G,customerSKU!B:B,"",0,1))</f>
        <v/>
      </c>
      <c r="M1551" s="22"/>
      <c r="N1551" s="15" t="str">
        <f>Table26[[#This Row],[po_number]]&amp;"-"&amp;Table26[[#This Row],[po_line]]</f>
        <v>-3</v>
      </c>
      <c r="O1551" s="15">
        <v>3</v>
      </c>
      <c r="P1551" s="50"/>
      <c r="Q1551" s="4" t="s">
        <v>591</v>
      </c>
      <c r="R1551" s="22" t="s">
        <v>3428</v>
      </c>
      <c r="S1551" s="90" t="str">
        <f>IF(Table26[[#This Row],[customerSKU]]="","",_xlfn.XLOOKUP(Table26[[#This Row],[customerSKU]],customerSKU!G:G,customerSKU!N:N,"NOT FOUND",0,1))</f>
        <v>NOT FOUND</v>
      </c>
      <c r="T1551" s="20">
        <v>45772</v>
      </c>
      <c r="U1551" s="94">
        <v>12</v>
      </c>
      <c r="V1551" s="22" t="str">
        <f>IF(ISBLANK(Table26[[#This Row],[customerSKU]]),"",_xlfn.XLOOKUP(Table26[[#This Row],[customerSKU]],Table27[customer_SKU],Table27[case_size],"",0,1))</f>
        <v/>
      </c>
      <c r="W1551" s="117" t="str">
        <f t="shared" si="65"/>
        <v/>
      </c>
      <c r="X1551" s="22" t="str">
        <f t="shared" si="66"/>
        <v/>
      </c>
      <c r="Y1551" s="25" t="str">
        <f>IF(Table26[[#This Row],[customerSKU]]="","",_xlfn.XLOOKUP(Table26[[#This Row],[customerSKU]],Table27[customer_SKU],Table27[product_GTIN],"",0,1))</f>
        <v/>
      </c>
      <c r="Z1551" s="25" t="s">
        <v>3525</v>
      </c>
      <c r="AA1551" s="18" t="str" cm="1">
        <f t="array" ref="AA1551">IF(P1551="", "", _xlfn.XLOOKUP(P1551,#REF!,#REF!,NA,0,-1))</f>
        <v/>
      </c>
      <c r="AB1551" s="22"/>
      <c r="AC1551" s="55" t="s">
        <v>3524</v>
      </c>
      <c r="AD1551" s="55" t="str">
        <f>IF($AC1551="","",_xlfn.XLOOKUP($AC1551,'Client Info'!$C$2:$C$2497,'Client Info'!$D$2:$D$2497,"",0,1))</f>
        <v/>
      </c>
      <c r="AE1551" s="55" t="str">
        <f>IF($AC1551="","",_xlfn.XLOOKUP($AC1551,'Client Info'!$C$2:$C$2677,'Client Info'!$E$2:$E$2677,"",))</f>
        <v/>
      </c>
      <c r="AF1551" s="55" t="str">
        <f>IF($AC1551="","",_xlfn.XLOOKUP($AC1551,'Client Info'!$C$2:$C$2677,'Client Info'!$F$2:$F$2677,"",0,1))</f>
        <v/>
      </c>
      <c r="AG1551" s="55" t="str">
        <f>IF(ISBLANK(Table26[[#This Row],[customerSKU]]),"",_xlfn.XLOOKUP(Table26[[#This Row],[customerSKU]],Table27[customer_SKU],Table27[billto],"",0,1))</f>
        <v/>
      </c>
      <c r="AH1551" s="26" t="str">
        <f>_xlfn.XLOOKUP(Table26[[#This Row],[customerSKU]],customerSKU!G:G,customerSKU!K:K,"NA",0,1)</f>
        <v>NA</v>
      </c>
      <c r="AI1551" s="43" t="str">
        <f>_xlfn.XLOOKUP(Table26[[#This Row],[customerSKU]],customerSKU!G:G,customerSKU!O:O,"not found",0,1)</f>
        <v>not found</v>
      </c>
      <c r="AJ1551" s="22" t="e">
        <f>Table26[[#This Row],[unitprice]]*Table26[[#This Row],[quantity_unit]]</f>
        <v>#VALUE!</v>
      </c>
      <c r="AK1551" s="227" t="e" cm="1">
        <f t="array" ref="AK15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2" spans="1:37" ht="18" customHeight="1">
      <c r="A1552" s="42">
        <v>702</v>
      </c>
      <c r="B1552" s="42" t="s">
        <v>3520</v>
      </c>
      <c r="C1552" s="53" t="s">
        <v>3486</v>
      </c>
      <c r="E1552" s="20"/>
      <c r="F15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2" s="93"/>
      <c r="I1552" s="203">
        <v>45769</v>
      </c>
      <c r="J1552" s="90" t="str">
        <f>IF(Table26[[#This Row],[customerSKU]]="","",_xlfn.XLOOKUP(Table26[[#This Row],[customerSKU]],customerSKU!G:G,customerSKU!A:A,"",0,1))</f>
        <v/>
      </c>
      <c r="K1552" s="232">
        <v>45772</v>
      </c>
      <c r="L1552" s="49" t="str">
        <f>IF(Table26[[#This Row],[customerSKU]]="","",_xlfn.XLOOKUP(Table26[[#This Row],[customerSKU]],customerSKU!G:G,customerSKU!B:B,"",0,1))</f>
        <v/>
      </c>
      <c r="M1552" s="22"/>
      <c r="N1552" s="15" t="str">
        <f>Table26[[#This Row],[po_number]]&amp;"-"&amp;Table26[[#This Row],[po_line]]</f>
        <v>-4</v>
      </c>
      <c r="O1552" s="15">
        <v>4</v>
      </c>
      <c r="P1552" s="50"/>
      <c r="Q1552" s="22" t="s">
        <v>656</v>
      </c>
      <c r="R1552" s="22" t="s">
        <v>3428</v>
      </c>
      <c r="S1552" s="90" t="str">
        <f>IF(Table26[[#This Row],[customerSKU]]="","",_xlfn.XLOOKUP(Table26[[#This Row],[customerSKU]],customerSKU!G:G,customerSKU!N:N,"NOT FOUND",0,1))</f>
        <v>NOT FOUND</v>
      </c>
      <c r="T1552" s="20">
        <v>45763</v>
      </c>
      <c r="U1552" s="94">
        <v>12</v>
      </c>
      <c r="V1552" s="22" t="str">
        <f>IF(ISBLANK(Table26[[#This Row],[customerSKU]]),"",_xlfn.XLOOKUP(Table26[[#This Row],[customerSKU]],Table27[customer_SKU],Table27[case_size],"",0,1))</f>
        <v/>
      </c>
      <c r="W1552" s="117" t="str">
        <f t="shared" si="65"/>
        <v/>
      </c>
      <c r="X1552" s="22" t="str">
        <f t="shared" si="66"/>
        <v/>
      </c>
      <c r="Y1552" s="25" t="str">
        <f>IF(Table26[[#This Row],[customerSKU]]="","",_xlfn.XLOOKUP(Table26[[#This Row],[customerSKU]],Table27[customer_SKU],Table27[product_GTIN],"",0,1))</f>
        <v/>
      </c>
      <c r="Z1552" s="25" t="s">
        <v>3526</v>
      </c>
      <c r="AA1552" s="18" t="str" cm="1">
        <f t="array" ref="AA1552">IF(P1552="", "", _xlfn.XLOOKUP(P1552,#REF!,#REF!,NA,0,-1))</f>
        <v/>
      </c>
      <c r="AB1552" s="22"/>
      <c r="AC1552" s="55" t="s">
        <v>3524</v>
      </c>
      <c r="AD1552" s="55" t="str">
        <f>IF($AC1552="","",_xlfn.XLOOKUP($AC1552,'Client Info'!$C$2:$C$2497,'Client Info'!$D$2:$D$2497,"",0,1))</f>
        <v/>
      </c>
      <c r="AE1552" s="55" t="str">
        <f>IF($AC1552="","",_xlfn.XLOOKUP($AC1552,'Client Info'!$C$2:$C$2677,'Client Info'!$E$2:$E$2677,"",))</f>
        <v/>
      </c>
      <c r="AF1552" s="55" t="str">
        <f>IF($AC1552="","",_xlfn.XLOOKUP($AC1552,'Client Info'!$C$2:$C$2677,'Client Info'!$F$2:$F$2677,"",0,1))</f>
        <v/>
      </c>
      <c r="AG1552" s="55" t="str">
        <f>IF(ISBLANK(Table26[[#This Row],[customerSKU]]),"",_xlfn.XLOOKUP(Table26[[#This Row],[customerSKU]],Table27[customer_SKU],Table27[billto],"",0,1))</f>
        <v/>
      </c>
      <c r="AH1552" s="26" t="str">
        <f>_xlfn.XLOOKUP(Table26[[#This Row],[customerSKU]],customerSKU!G:G,customerSKU!K:K,"NA",0,1)</f>
        <v>NA</v>
      </c>
      <c r="AI1552" s="43" t="str">
        <f>_xlfn.XLOOKUP(Table26[[#This Row],[customerSKU]],customerSKU!G:G,customerSKU!O:O,"not found",0,1)</f>
        <v>not found</v>
      </c>
      <c r="AJ1552" s="22" t="e">
        <f>Table26[[#This Row],[unitprice]]*Table26[[#This Row],[quantity_unit]]</f>
        <v>#VALUE!</v>
      </c>
      <c r="AK1552" s="227" t="e" cm="1">
        <f t="array" ref="AK15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3" spans="1:37" ht="18" customHeight="1">
      <c r="A1553" s="42">
        <v>703</v>
      </c>
      <c r="B1553" s="42" t="s">
        <v>3520</v>
      </c>
      <c r="C1553" s="53" t="s">
        <v>3486</v>
      </c>
      <c r="E1553" s="20"/>
      <c r="F15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3" s="93"/>
      <c r="I1553" s="203">
        <v>45769</v>
      </c>
      <c r="J1553" s="90" t="str">
        <f>IF(Table26[[#This Row],[customerSKU]]="","",_xlfn.XLOOKUP(Table26[[#This Row],[customerSKU]],customerSKU!G:G,customerSKU!A:A,"",0,1))</f>
        <v/>
      </c>
      <c r="K1553" s="232">
        <v>45772</v>
      </c>
      <c r="L1553" s="49" t="str">
        <f>IF(Table26[[#This Row],[customerSKU]]="","",_xlfn.XLOOKUP(Table26[[#This Row],[customerSKU]],customerSKU!G:G,customerSKU!B:B,"",0,1))</f>
        <v/>
      </c>
      <c r="M1553" s="22"/>
      <c r="N1553" s="15" t="str">
        <f>Table26[[#This Row],[po_number]]&amp;"-"&amp;Table26[[#This Row],[po_line]]</f>
        <v>-5</v>
      </c>
      <c r="O1553" s="15">
        <v>5</v>
      </c>
      <c r="P1553" s="50"/>
      <c r="Q1553" s="22" t="s">
        <v>559</v>
      </c>
      <c r="R1553" s="22" t="s">
        <v>3428</v>
      </c>
      <c r="S1553" s="90" t="str">
        <f>IF(Table26[[#This Row],[customerSKU]]="","",_xlfn.XLOOKUP(Table26[[#This Row],[customerSKU]],customerSKU!G:G,customerSKU!N:N,"NOT FOUND",0,1))</f>
        <v>NOT FOUND</v>
      </c>
      <c r="T1553" s="20">
        <v>45772</v>
      </c>
      <c r="U1553" s="94">
        <v>24</v>
      </c>
      <c r="V1553" s="22" t="str">
        <f>IF(ISBLANK(Table26[[#This Row],[customerSKU]]),"",_xlfn.XLOOKUP(Table26[[#This Row],[customerSKU]],Table27[customer_SKU],Table27[case_size],"",0,1))</f>
        <v/>
      </c>
      <c r="W1553" s="117" t="str">
        <f t="shared" si="65"/>
        <v/>
      </c>
      <c r="X1553" s="22" t="str">
        <f t="shared" si="66"/>
        <v/>
      </c>
      <c r="Y1553" s="25" t="str">
        <f>IF(Table26[[#This Row],[customerSKU]]="","",_xlfn.XLOOKUP(Table26[[#This Row],[customerSKU]],Table27[customer_SKU],Table27[product_GTIN],"",0,1))</f>
        <v/>
      </c>
      <c r="Z1553" s="25" t="s">
        <v>3527</v>
      </c>
      <c r="AA1553" s="18" t="str" cm="1">
        <f t="array" ref="AA1553">IF(P1553="", "", _xlfn.XLOOKUP(P1553,#REF!,#REF!,NA,0,-1))</f>
        <v/>
      </c>
      <c r="AB1553" s="22"/>
      <c r="AC1553" s="55" t="s">
        <v>3524</v>
      </c>
      <c r="AD1553" s="55" t="str">
        <f>IF($AC1553="","",_xlfn.XLOOKUP($AC1553,'Client Info'!$C$2:$C$2497,'Client Info'!$D$2:$D$2497,"",0,1))</f>
        <v/>
      </c>
      <c r="AE1553" s="55" t="str">
        <f>IF($AC1553="","",_xlfn.XLOOKUP($AC1553,'Client Info'!$C$2:$C$2677,'Client Info'!$E$2:$E$2677,"",))</f>
        <v/>
      </c>
      <c r="AF1553" s="55" t="str">
        <f>IF($AC1553="","",_xlfn.XLOOKUP($AC1553,'Client Info'!$C$2:$C$2677,'Client Info'!$F$2:$F$2677,"",0,1))</f>
        <v/>
      </c>
      <c r="AG1553" s="55" t="str">
        <f>IF(ISBLANK(Table26[[#This Row],[customerSKU]]),"",_xlfn.XLOOKUP(Table26[[#This Row],[customerSKU]],Table27[customer_SKU],Table27[billto],"",0,1))</f>
        <v/>
      </c>
      <c r="AH1553" s="26" t="str">
        <f>_xlfn.XLOOKUP(Table26[[#This Row],[customerSKU]],customerSKU!G:G,customerSKU!K:K,"NA",0,1)</f>
        <v>NA</v>
      </c>
      <c r="AI1553" s="43" t="str">
        <f>_xlfn.XLOOKUP(Table26[[#This Row],[customerSKU]],customerSKU!G:G,customerSKU!O:O,"not found",0,1)</f>
        <v>not found</v>
      </c>
      <c r="AJ1553" s="22" t="e">
        <f>Table26[[#This Row],[unitprice]]*Table26[[#This Row],[quantity_unit]]</f>
        <v>#VALUE!</v>
      </c>
      <c r="AK1553" s="227" t="e" cm="1">
        <f t="array" ref="AK15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4" spans="1:37" ht="18" customHeight="1">
      <c r="A1554" s="42">
        <v>704</v>
      </c>
      <c r="B1554" s="42" t="s">
        <v>3520</v>
      </c>
      <c r="C1554" s="53" t="s">
        <v>3360</v>
      </c>
      <c r="E1554" s="20"/>
      <c r="F15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4" s="93"/>
      <c r="I1554" s="203">
        <v>45771</v>
      </c>
      <c r="J1554" s="90" t="str">
        <f>IF(Table26[[#This Row],[customerSKU]]="","",_xlfn.XLOOKUP(Table26[[#This Row],[customerSKU]],customerSKU!G:G,customerSKU!A:A,"",0,1))</f>
        <v/>
      </c>
      <c r="K1554" s="232">
        <v>45772</v>
      </c>
      <c r="L1554" s="49" t="str">
        <f>IF(Table26[[#This Row],[customerSKU]]="","",_xlfn.XLOOKUP(Table26[[#This Row],[customerSKU]],customerSKU!G:G,customerSKU!B:B,"",0,1))</f>
        <v/>
      </c>
      <c r="M1554" s="22"/>
      <c r="N1554" s="15" t="str">
        <f>Table26[[#This Row],[po_number]]&amp;"-"&amp;Table26[[#This Row],[po_line]]</f>
        <v>-1</v>
      </c>
      <c r="O1554" s="15">
        <v>1</v>
      </c>
      <c r="P1554" s="50"/>
      <c r="S1554" s="90" t="str">
        <f>IF(Table26[[#This Row],[customerSKU]]="","",_xlfn.XLOOKUP(Table26[[#This Row],[customerSKU]],customerSKU!G:G,customerSKU!N:N,"NOT FOUND",0,1))</f>
        <v>NOT FOUND</v>
      </c>
      <c r="T1554" s="20"/>
      <c r="U1554" s="94">
        <v>12</v>
      </c>
      <c r="V1554" s="22" t="str">
        <f>IF(ISBLANK(Table26[[#This Row],[customerSKU]]),"",_xlfn.XLOOKUP(Table26[[#This Row],[customerSKU]],Table27[customer_SKU],Table27[case_size],"",0,1))</f>
        <v/>
      </c>
      <c r="W1554" s="117" t="str">
        <f t="shared" si="65"/>
        <v/>
      </c>
      <c r="X1554" s="22" t="str">
        <f t="shared" si="66"/>
        <v/>
      </c>
      <c r="Y1554" s="25" t="str">
        <f>IF(Table26[[#This Row],[customerSKU]]="","",_xlfn.XLOOKUP(Table26[[#This Row],[customerSKU]],Table27[customer_SKU],Table27[product_GTIN],"",0,1))</f>
        <v/>
      </c>
      <c r="Z1554" s="25" t="s">
        <v>3543</v>
      </c>
      <c r="AA1554" s="18" t="str" cm="1">
        <f t="array" ref="AA1554">IF(P1554="", "", _xlfn.XLOOKUP(P1554,#REF!,#REF!,NA,0,-1))</f>
        <v/>
      </c>
      <c r="AB1554" s="22"/>
      <c r="AC1554" s="55" t="str">
        <f>IF(Table26[[#This Row],[customerSKU]]="","",_xlfn.XLOOKUP(Table26[[#This Row],[customerSKU]],customerSKU!G:G,customerSKU!C:C,"",0,1))</f>
        <v/>
      </c>
      <c r="AD1554" s="55" t="str">
        <f>IF($AC1554="","",_xlfn.XLOOKUP($AC1554,'Client Info'!$C$2:$C$2497,'Client Info'!$D$2:$D$2497,"",0,1))</f>
        <v/>
      </c>
      <c r="AE1554" s="55" t="str">
        <f>IF($AC1554="","",_xlfn.XLOOKUP($AC1554,'Client Info'!$C$2:$C$2677,'Client Info'!$E$2:$E$2677,"",))</f>
        <v/>
      </c>
      <c r="AF1554" s="55" t="str">
        <f>IF($AC1554="","",_xlfn.XLOOKUP($AC1554,'Client Info'!$C$2:$C$2677,'Client Info'!$F$2:$F$2677,"",0,1))</f>
        <v/>
      </c>
      <c r="AG1554" s="55" t="str">
        <f>IF(ISBLANK(Table26[[#This Row],[customerSKU]]),"",_xlfn.XLOOKUP(Table26[[#This Row],[customerSKU]],Table27[customer_SKU],Table27[billto],"",0,1))</f>
        <v/>
      </c>
      <c r="AH1554" s="26" t="str">
        <f>_xlfn.XLOOKUP(Table26[[#This Row],[customerSKU]],customerSKU!G:G,customerSKU!K:K,"NA",0,1)</f>
        <v>NA</v>
      </c>
      <c r="AI1554" s="43" t="str">
        <f>_xlfn.XLOOKUP(Table26[[#This Row],[customerSKU]],customerSKU!G:G,customerSKU!O:O,"not found",0,1)</f>
        <v>not found</v>
      </c>
      <c r="AJ1554" s="22" t="e">
        <f>Table26[[#This Row],[unitprice]]*Table26[[#This Row],[quantity_unit]]</f>
        <v>#VALUE!</v>
      </c>
      <c r="AK1554" s="227" t="e" cm="1">
        <f t="array" ref="AK15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5" spans="1:37" ht="18" customHeight="1">
      <c r="A1555" s="42">
        <v>705</v>
      </c>
      <c r="B1555" s="42" t="s">
        <v>3520</v>
      </c>
      <c r="C1555" s="53" t="s">
        <v>3360</v>
      </c>
      <c r="E1555" s="20"/>
      <c r="F15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5" s="93"/>
      <c r="I1555" s="203">
        <v>45772</v>
      </c>
      <c r="J1555" s="90" t="str">
        <f>IF(Table26[[#This Row],[customerSKU]]="","",_xlfn.XLOOKUP(Table26[[#This Row],[customerSKU]],customerSKU!G:G,customerSKU!A:A,"",0,1))</f>
        <v/>
      </c>
      <c r="K1555" s="232">
        <v>45772</v>
      </c>
      <c r="L1555" s="49" t="str">
        <f>IF(Table26[[#This Row],[customerSKU]]="","",_xlfn.XLOOKUP(Table26[[#This Row],[customerSKU]],customerSKU!G:G,customerSKU!B:B,"",0,1))</f>
        <v/>
      </c>
      <c r="M1555" s="22"/>
      <c r="N1555" s="15" t="str">
        <f>Table26[[#This Row],[po_number]]&amp;"-"&amp;Table26[[#This Row],[po_line]]</f>
        <v>-1</v>
      </c>
      <c r="O1555" s="15">
        <v>1</v>
      </c>
      <c r="P1555" s="50"/>
      <c r="S1555" s="90" t="str">
        <f>IF(Table26[[#This Row],[customerSKU]]="","",_xlfn.XLOOKUP(Table26[[#This Row],[customerSKU]],customerSKU!G:G,customerSKU!N:N,"NOT FOUND",0,1))</f>
        <v>NOT FOUND</v>
      </c>
      <c r="T1555" s="20"/>
      <c r="U1555" s="94">
        <v>12</v>
      </c>
      <c r="V1555" s="22" t="str">
        <f>IF(ISBLANK(Table26[[#This Row],[customerSKU]]),"",_xlfn.XLOOKUP(Table26[[#This Row],[customerSKU]],Table27[customer_SKU],Table27[case_size],"",0,1))</f>
        <v/>
      </c>
      <c r="W1555" s="117" t="str">
        <f t="shared" si="65"/>
        <v/>
      </c>
      <c r="X1555" s="22" t="str">
        <f t="shared" si="66"/>
        <v/>
      </c>
      <c r="Y1555" s="25" t="str">
        <f>IF(Table26[[#This Row],[customerSKU]]="","",_xlfn.XLOOKUP(Table26[[#This Row],[customerSKU]],Table27[customer_SKU],Table27[product_GTIN],"",0,1))</f>
        <v/>
      </c>
      <c r="Z1555" s="25" t="s">
        <v>3546</v>
      </c>
      <c r="AA1555" s="18" t="str" cm="1">
        <f t="array" ref="AA1555">IF(P1555="", "", _xlfn.XLOOKUP(P1555,#REF!,#REF!,NA,0,-1))</f>
        <v/>
      </c>
      <c r="AB1555" s="22"/>
      <c r="AC1555" s="55" t="str">
        <f>IF(Table26[[#This Row],[customerSKU]]="","",_xlfn.XLOOKUP(Table26[[#This Row],[customerSKU]],customerSKU!G:G,customerSKU!C:C,"",0,1))</f>
        <v/>
      </c>
      <c r="AD1555" s="55" t="str">
        <f>IF($AC1555="","",_xlfn.XLOOKUP($AC1555,'Client Info'!$C$2:$C$2497,'Client Info'!$D$2:$D$2497,"",0,1))</f>
        <v/>
      </c>
      <c r="AE1555" s="55" t="str">
        <f>IF($AC1555="","",_xlfn.XLOOKUP($AC1555,'Client Info'!$C$2:$C$2677,'Client Info'!$E$2:$E$2677,"",))</f>
        <v/>
      </c>
      <c r="AF1555" s="55" t="str">
        <f>IF($AC1555="","",_xlfn.XLOOKUP($AC1555,'Client Info'!$C$2:$C$2677,'Client Info'!$F$2:$F$2677,"",0,1))</f>
        <v/>
      </c>
      <c r="AG1555" s="55" t="str">
        <f>IF(ISBLANK(Table26[[#This Row],[customerSKU]]),"",_xlfn.XLOOKUP(Table26[[#This Row],[customerSKU]],Table27[customer_SKU],Table27[billto],"",0,1))</f>
        <v/>
      </c>
      <c r="AH1555" s="26" t="str">
        <f>_xlfn.XLOOKUP(Table26[[#This Row],[customerSKU]],customerSKU!G:G,customerSKU!K:K,"NA",0,1)</f>
        <v>NA</v>
      </c>
      <c r="AI1555" s="43" t="str">
        <f>_xlfn.XLOOKUP(Table26[[#This Row],[customerSKU]],customerSKU!G:G,customerSKU!O:O,"not found",0,1)</f>
        <v>not found</v>
      </c>
      <c r="AJ1555" s="22" t="e">
        <f>Table26[[#This Row],[unitprice]]*Table26[[#This Row],[quantity_unit]]</f>
        <v>#VALUE!</v>
      </c>
      <c r="AK1555" s="227" t="e" cm="1">
        <f t="array" ref="AK15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6" spans="1:37" ht="18" customHeight="1">
      <c r="A1556" s="42">
        <v>706</v>
      </c>
      <c r="B1556" s="42" t="s">
        <v>3520</v>
      </c>
      <c r="C1556" s="53" t="s">
        <v>3360</v>
      </c>
      <c r="E1556" s="20"/>
      <c r="F15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6" s="93"/>
      <c r="I1556" s="203">
        <v>45772</v>
      </c>
      <c r="J1556" s="90" t="str">
        <f>IF(Table26[[#This Row],[customerSKU]]="","",_xlfn.XLOOKUP(Table26[[#This Row],[customerSKU]],customerSKU!G:G,customerSKU!A:A,"",0,1))</f>
        <v/>
      </c>
      <c r="K1556" s="232">
        <v>45772</v>
      </c>
      <c r="L1556" s="49" t="str">
        <f>IF(Table26[[#This Row],[customerSKU]]="","",_xlfn.XLOOKUP(Table26[[#This Row],[customerSKU]],customerSKU!G:G,customerSKU!B:B,"",0,1))</f>
        <v/>
      </c>
      <c r="M1556" s="22"/>
      <c r="N1556" s="15" t="str">
        <f>Table26[[#This Row],[po_number]]&amp;"-"&amp;Table26[[#This Row],[po_line]]</f>
        <v>-1</v>
      </c>
      <c r="O1556" s="15">
        <v>1</v>
      </c>
      <c r="P1556" s="50"/>
      <c r="S1556" s="90" t="str">
        <f>IF(Table26[[#This Row],[customerSKU]]="","",_xlfn.XLOOKUP(Table26[[#This Row],[customerSKU]],customerSKU!G:G,customerSKU!N:N,"NOT FOUND",0,1))</f>
        <v>NOT FOUND</v>
      </c>
      <c r="T1556" s="20"/>
      <c r="U1556" s="94">
        <v>12</v>
      </c>
      <c r="V1556" s="22" t="str">
        <f>IF(ISBLANK(Table26[[#This Row],[customerSKU]]),"",_xlfn.XLOOKUP(Table26[[#This Row],[customerSKU]],Table27[customer_SKU],Table27[case_size],"",0,1))</f>
        <v/>
      </c>
      <c r="W1556" s="117" t="str">
        <f t="shared" si="65"/>
        <v/>
      </c>
      <c r="X1556" s="22" t="str">
        <f t="shared" si="66"/>
        <v/>
      </c>
      <c r="Y1556" s="25" t="str">
        <f>IF(Table26[[#This Row],[customerSKU]]="","",_xlfn.XLOOKUP(Table26[[#This Row],[customerSKU]],Table27[customer_SKU],Table27[product_GTIN],"",0,1))</f>
        <v/>
      </c>
      <c r="Z1556" s="25" t="s">
        <v>3543</v>
      </c>
      <c r="AA1556" s="18" t="str" cm="1">
        <f t="array" ref="AA1556">IF(P1556="", "", _xlfn.XLOOKUP(P1556,#REF!,#REF!,NA,0,-1))</f>
        <v/>
      </c>
      <c r="AB1556" s="22"/>
      <c r="AC1556" s="55" t="str">
        <f>IF(Table26[[#This Row],[customerSKU]]="","",_xlfn.XLOOKUP(Table26[[#This Row],[customerSKU]],customerSKU!G:G,customerSKU!C:C,"",0,1))</f>
        <v/>
      </c>
      <c r="AD1556" s="55" t="str">
        <f>IF($AC1556="","",_xlfn.XLOOKUP($AC1556,'Client Info'!$C$2:$C$2497,'Client Info'!$D$2:$D$2497,"",0,1))</f>
        <v/>
      </c>
      <c r="AE1556" s="55" t="str">
        <f>IF($AC1556="","",_xlfn.XLOOKUP($AC1556,'Client Info'!$C$2:$C$2677,'Client Info'!$E$2:$E$2677,"",))</f>
        <v/>
      </c>
      <c r="AF1556" s="55" t="str">
        <f>IF($AC1556="","",_xlfn.XLOOKUP($AC1556,'Client Info'!$C$2:$C$2677,'Client Info'!$F$2:$F$2677,"",0,1))</f>
        <v/>
      </c>
      <c r="AG1556" s="55" t="str">
        <f>IF(ISBLANK(Table26[[#This Row],[customerSKU]]),"",_xlfn.XLOOKUP(Table26[[#This Row],[customerSKU]],Table27[customer_SKU],Table27[billto],"",0,1))</f>
        <v/>
      </c>
      <c r="AH1556" s="26" t="str">
        <f>_xlfn.XLOOKUP(Table26[[#This Row],[customerSKU]],customerSKU!G:G,customerSKU!K:K,"NA",0,1)</f>
        <v>NA</v>
      </c>
      <c r="AI1556" s="43" t="str">
        <f>_xlfn.XLOOKUP(Table26[[#This Row],[customerSKU]],customerSKU!G:G,customerSKU!O:O,"not found",0,1)</f>
        <v>not found</v>
      </c>
      <c r="AJ1556" s="22" t="e">
        <f>Table26[[#This Row],[unitprice]]*Table26[[#This Row],[quantity_unit]]</f>
        <v>#VALUE!</v>
      </c>
      <c r="AK1556" s="227" t="e" cm="1">
        <f t="array" ref="AK15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7" spans="1:37" ht="18" customHeight="1">
      <c r="A1557" s="42">
        <v>692</v>
      </c>
      <c r="B1557" s="42" t="s">
        <v>3357</v>
      </c>
      <c r="C1557" s="53" t="s">
        <v>3360</v>
      </c>
      <c r="E1557" s="20"/>
      <c r="F15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7" s="93"/>
      <c r="I1557" s="203">
        <v>45769</v>
      </c>
      <c r="J1557" s="90" t="str">
        <f>IF(Table26[[#This Row],[customerSKU]]="","",_xlfn.XLOOKUP(Table26[[#This Row],[customerSKU]],customerSKU!G:G,customerSKU!A:A,"",0,1))</f>
        <v/>
      </c>
      <c r="K1557" s="232">
        <v>45776</v>
      </c>
      <c r="L1557" s="49" t="str">
        <f>IF(Table26[[#This Row],[customerSKU]]="","",_xlfn.XLOOKUP(Table26[[#This Row],[customerSKU]],customerSKU!G:G,customerSKU!B:B,"",0,1))</f>
        <v/>
      </c>
      <c r="M1557" s="22"/>
      <c r="N1557" s="15" t="str">
        <f>Table26[[#This Row],[po_number]]&amp;"-"&amp;Table26[[#This Row],[po_line]]</f>
        <v>-1</v>
      </c>
      <c r="O1557" s="15">
        <v>1</v>
      </c>
      <c r="P1557" s="50"/>
      <c r="S1557" s="90" t="str">
        <f>IF(Table26[[#This Row],[customerSKU]]="","",_xlfn.XLOOKUP(Table26[[#This Row],[customerSKU]],customerSKU!G:G,customerSKU!N:N,"NOT FOUND",0,1))</f>
        <v>NOT FOUND</v>
      </c>
      <c r="T1557" s="20"/>
      <c r="U1557" s="94">
        <v>12</v>
      </c>
      <c r="V1557" s="22" t="str">
        <f>IF(ISBLANK(Table26[[#This Row],[customerSKU]]),"",_xlfn.XLOOKUP(Table26[[#This Row],[customerSKU]],Table27[customer_SKU],Table27[case_size],"",0,1))</f>
        <v/>
      </c>
      <c r="W1557" s="117" t="str">
        <f t="shared" si="65"/>
        <v/>
      </c>
      <c r="X1557" s="22" t="str">
        <f t="shared" si="66"/>
        <v/>
      </c>
      <c r="Y1557" s="25" t="str">
        <f>IF(Table26[[#This Row],[customerSKU]]="","",_xlfn.XLOOKUP(Table26[[#This Row],[customerSKU]],Table27[customer_SKU],Table27[product_GTIN],"",0,1))</f>
        <v/>
      </c>
      <c r="Z1557" s="22">
        <v>61619</v>
      </c>
      <c r="AA1557" s="18" t="str" cm="1">
        <f t="array" ref="AA1557">IF(P1557="", "", _xlfn.XLOOKUP(P1557,#REF!,#REF!,NA,0,-1))</f>
        <v/>
      </c>
      <c r="AB1557" s="22"/>
      <c r="AC1557" s="55" t="str">
        <f>IF(Table26[[#This Row],[customerSKU]]="","",_xlfn.XLOOKUP(Table26[[#This Row],[customerSKU]],customerSKU!G:G,customerSKU!C:C,"",0,1))</f>
        <v/>
      </c>
      <c r="AD1557" s="55" t="str">
        <f>IF($AC1557="","",_xlfn.XLOOKUP($AC1557,'Client Info'!$C$2:$C$2497,'Client Info'!$D$2:$D$2497,"",0,1))</f>
        <v/>
      </c>
      <c r="AE1557" s="55" t="str">
        <f>IF($AC1557="","",_xlfn.XLOOKUP($AC1557,'Client Info'!$C$2:$C$2677,'Client Info'!$E$2:$E$2677,"",))</f>
        <v/>
      </c>
      <c r="AF1557" s="55" t="str">
        <f>IF($AC1557="","",_xlfn.XLOOKUP($AC1557,'Client Info'!$C$2:$C$2677,'Client Info'!$F$2:$F$2677,"",0,1))</f>
        <v/>
      </c>
      <c r="AG1557" s="55" t="str">
        <f>IF(ISBLANK(Table26[[#This Row],[customerSKU]]),"",_xlfn.XLOOKUP(Table26[[#This Row],[customerSKU]],Table27[customer_SKU],Table27[billto],"",0,1))</f>
        <v/>
      </c>
      <c r="AH1557" s="26" t="str">
        <f>_xlfn.XLOOKUP(Table26[[#This Row],[customerSKU]],customerSKU!G:G,customerSKU!K:K,"NA",0,1)</f>
        <v>NA</v>
      </c>
      <c r="AI1557" s="43" t="str">
        <f>_xlfn.XLOOKUP(Table26[[#This Row],[customerSKU]],customerSKU!G:G,customerSKU!O:O,"not found",0,1)</f>
        <v>not found</v>
      </c>
      <c r="AJ1557" s="22" t="e">
        <f>Table26[[#This Row],[unitprice]]*Table26[[#This Row],[quantity_unit]]</f>
        <v>#VALUE!</v>
      </c>
      <c r="AK1557" s="227" t="e" cm="1">
        <f t="array" ref="AK15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8" spans="1:37" ht="18" customHeight="1">
      <c r="A1558" s="42">
        <v>693</v>
      </c>
      <c r="B1558" s="42" t="s">
        <v>3357</v>
      </c>
      <c r="C1558" s="53" t="s">
        <v>3360</v>
      </c>
      <c r="E1558" s="20"/>
      <c r="F15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58" s="93"/>
      <c r="I1558" s="203">
        <v>45769</v>
      </c>
      <c r="J1558" s="90" t="str">
        <f>IF(Table26[[#This Row],[customerSKU]]="","",_xlfn.XLOOKUP(Table26[[#This Row],[customerSKU]],customerSKU!G:G,customerSKU!A:A,"",0,1))</f>
        <v/>
      </c>
      <c r="K1558" s="232">
        <v>45776</v>
      </c>
      <c r="L1558" s="49" t="str">
        <f>IF(Table26[[#This Row],[customerSKU]]="","",_xlfn.XLOOKUP(Table26[[#This Row],[customerSKU]],customerSKU!G:G,customerSKU!B:B,"",0,1))</f>
        <v/>
      </c>
      <c r="M1558" s="22"/>
      <c r="N1558" s="15" t="str">
        <f>Table26[[#This Row],[po_number]]&amp;"-"&amp;Table26[[#This Row],[po_line]]</f>
        <v>-2</v>
      </c>
      <c r="O1558" s="15">
        <v>2</v>
      </c>
      <c r="P1558" s="50"/>
      <c r="Q1558" s="22" t="s">
        <v>3454</v>
      </c>
      <c r="R1558" s="22" t="s">
        <v>3428</v>
      </c>
      <c r="S1558" s="90" t="str">
        <f>IF(Table26[[#This Row],[customerSKU]]="","",_xlfn.XLOOKUP(Table26[[#This Row],[customerSKU]],customerSKU!G:G,customerSKU!N:N,"NOT FOUND",0,1))</f>
        <v>NOT FOUND</v>
      </c>
      <c r="T1558" s="20">
        <v>45714</v>
      </c>
      <c r="U1558" s="94">
        <v>12</v>
      </c>
      <c r="V1558" s="22" t="str">
        <f>IF(ISBLANK(Table26[[#This Row],[customerSKU]]),"",_xlfn.XLOOKUP(Table26[[#This Row],[customerSKU]],Table27[customer_SKU],Table27[case_size],"",0,1))</f>
        <v/>
      </c>
      <c r="W1558" s="117" t="str">
        <f t="shared" si="65"/>
        <v/>
      </c>
      <c r="X1558" s="22" t="str">
        <f t="shared" si="66"/>
        <v/>
      </c>
      <c r="Y1558" s="25" t="str">
        <f>IF(Table26[[#This Row],[customerSKU]]="","",_xlfn.XLOOKUP(Table26[[#This Row],[customerSKU]],Table27[customer_SKU],Table27[product_GTIN],"",0,1))</f>
        <v/>
      </c>
      <c r="Z1558" s="25" t="s">
        <v>3529</v>
      </c>
      <c r="AA1558" s="18" t="str" cm="1">
        <f t="array" ref="AA1558">IF(P1558="", "", _xlfn.XLOOKUP(P1558,#REF!,#REF!,NA,0,-1))</f>
        <v/>
      </c>
      <c r="AB1558" s="22"/>
      <c r="AC1558" s="55" t="str">
        <f>IF(Table26[[#This Row],[customerSKU]]="","",_xlfn.XLOOKUP(Table26[[#This Row],[customerSKU]],customerSKU!G:G,customerSKU!C:C,"",0,1))</f>
        <v/>
      </c>
      <c r="AD1558" s="55" t="str">
        <f>IF($AC1558="","",_xlfn.XLOOKUP($AC1558,'Client Info'!$C$2:$C$2497,'Client Info'!$D$2:$D$2497,"",0,1))</f>
        <v/>
      </c>
      <c r="AE1558" s="55" t="str">
        <f>IF($AC1558="","",_xlfn.XLOOKUP($AC1558,'Client Info'!$C$2:$C$2677,'Client Info'!$E$2:$E$2677,"",))</f>
        <v/>
      </c>
      <c r="AF1558" s="55" t="str">
        <f>IF($AC1558="","",_xlfn.XLOOKUP($AC1558,'Client Info'!$C$2:$C$2677,'Client Info'!$F$2:$F$2677,"",0,1))</f>
        <v/>
      </c>
      <c r="AG1558" s="55" t="str">
        <f>IF(ISBLANK(Table26[[#This Row],[customerSKU]]),"",_xlfn.XLOOKUP(Table26[[#This Row],[customerSKU]],Table27[customer_SKU],Table27[billto],"",0,1))</f>
        <v/>
      </c>
      <c r="AH1558" s="26" t="str">
        <f>_xlfn.XLOOKUP(Table26[[#This Row],[customerSKU]],customerSKU!G:G,customerSKU!K:K,"NA",0,1)</f>
        <v>NA</v>
      </c>
      <c r="AI1558" s="43" t="str">
        <f>_xlfn.XLOOKUP(Table26[[#This Row],[customerSKU]],customerSKU!G:G,customerSKU!O:O,"not found",0,1)</f>
        <v>not found</v>
      </c>
      <c r="AJ1558" s="22" t="e">
        <f>Table26[[#This Row],[unitprice]]*Table26[[#This Row],[quantity_unit]]</f>
        <v>#VALUE!</v>
      </c>
      <c r="AK1558" s="227" t="e" cm="1">
        <f t="array" ref="AK15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59" spans="1:37" ht="18" customHeight="1">
      <c r="A1559" s="42">
        <v>694</v>
      </c>
      <c r="B1559" s="42" t="s">
        <v>3520</v>
      </c>
      <c r="C1559" s="53" t="s">
        <v>3360</v>
      </c>
      <c r="E1559" s="20"/>
      <c r="F1559" s="22" t="s">
        <v>210</v>
      </c>
      <c r="G1559" s="93"/>
      <c r="I1559" s="203">
        <v>45769</v>
      </c>
      <c r="J1559" s="90" t="str">
        <f>IF(Table26[[#This Row],[customerSKU]]="","",_xlfn.XLOOKUP(Table26[[#This Row],[customerSKU]],customerSKU!G:G,customerSKU!A:A,"",0,1))</f>
        <v/>
      </c>
      <c r="K1559" s="232">
        <v>45776</v>
      </c>
      <c r="L1559" s="49" t="str">
        <f>IF(Table26[[#This Row],[customerSKU]]="","",_xlfn.XLOOKUP(Table26[[#This Row],[customerSKU]],customerSKU!G:G,customerSKU!B:B,"",0,1))</f>
        <v/>
      </c>
      <c r="M1559" s="22"/>
      <c r="N1559" s="15" t="str">
        <f>Table26[[#This Row],[po_number]]&amp;"-"&amp;Table26[[#This Row],[po_line]]</f>
        <v>-1</v>
      </c>
      <c r="O1559" s="15">
        <v>1</v>
      </c>
      <c r="P1559" s="50"/>
      <c r="Q1559" s="22" t="s">
        <v>3454</v>
      </c>
      <c r="R1559" s="22" t="s">
        <v>3428</v>
      </c>
      <c r="S1559" s="90" t="str">
        <f>IF(Table26[[#This Row],[customerSKU]]="","",_xlfn.XLOOKUP(Table26[[#This Row],[customerSKU]],customerSKU!G:G,customerSKU!N:N,"NOT FOUND",0,1))</f>
        <v>NOT FOUND</v>
      </c>
      <c r="T1559" s="20">
        <v>45714</v>
      </c>
      <c r="U1559" s="94">
        <v>24</v>
      </c>
      <c r="V1559" s="22" t="str">
        <f>IF(ISBLANK(Table26[[#This Row],[customerSKU]]),"",_xlfn.XLOOKUP(Table26[[#This Row],[customerSKU]],Table27[customer_SKU],Table27[case_size],"",0,1))</f>
        <v/>
      </c>
      <c r="W1559" s="117" t="str">
        <f t="shared" si="65"/>
        <v/>
      </c>
      <c r="X1559" s="22" t="str">
        <f t="shared" si="66"/>
        <v/>
      </c>
      <c r="Y1559" s="25" t="str">
        <f>IF(Table26[[#This Row],[customerSKU]]="","",_xlfn.XLOOKUP(Table26[[#This Row],[customerSKU]],Table27[customer_SKU],Table27[product_GTIN],"",0,1))</f>
        <v/>
      </c>
      <c r="Z1559" s="25" t="s">
        <v>3529</v>
      </c>
      <c r="AA1559" s="18" t="str" cm="1">
        <f t="array" ref="AA1559">IF(P1559="", "", _xlfn.XLOOKUP(P1559,#REF!,#REF!,NA,0,-1))</f>
        <v/>
      </c>
      <c r="AB1559" s="22"/>
      <c r="AC1559" s="55" t="str">
        <f>IF(Table26[[#This Row],[customerSKU]]="","",_xlfn.XLOOKUP(Table26[[#This Row],[customerSKU]],customerSKU!G:G,customerSKU!C:C,"",0,1))</f>
        <v/>
      </c>
      <c r="AD1559" s="55" t="str">
        <f>IF($AC1559="","",_xlfn.XLOOKUP($AC1559,'Client Info'!$C$2:$C$2497,'Client Info'!$D$2:$D$2497,"",0,1))</f>
        <v/>
      </c>
      <c r="AE1559" s="55" t="str">
        <f>IF($AC1559="","",_xlfn.XLOOKUP($AC1559,'Client Info'!$C$2:$C$2677,'Client Info'!$E$2:$E$2677,"",))</f>
        <v/>
      </c>
      <c r="AF1559" s="55" t="str">
        <f>IF($AC1559="","",_xlfn.XLOOKUP($AC1559,'Client Info'!$C$2:$C$2677,'Client Info'!$F$2:$F$2677,"",0,1))</f>
        <v/>
      </c>
      <c r="AG1559" s="55" t="str">
        <f>IF(ISBLANK(Table26[[#This Row],[customerSKU]]),"",_xlfn.XLOOKUP(Table26[[#This Row],[customerSKU]],Table27[customer_SKU],Table27[billto],"",0,1))</f>
        <v/>
      </c>
      <c r="AH1559" s="26" t="str">
        <f>_xlfn.XLOOKUP(Table26[[#This Row],[customerSKU]],customerSKU!G:G,customerSKU!K:K,"NA",0,1)</f>
        <v>NA</v>
      </c>
      <c r="AI1559" s="43" t="str">
        <f>_xlfn.XLOOKUP(Table26[[#This Row],[customerSKU]],customerSKU!G:G,customerSKU!O:O,"not found",0,1)</f>
        <v>not found</v>
      </c>
      <c r="AJ1559" s="22" t="e">
        <f>Table26[[#This Row],[unitprice]]*Table26[[#This Row],[quantity_unit]]</f>
        <v>#VALUE!</v>
      </c>
      <c r="AK1559" s="227" t="e" cm="1">
        <f t="array" ref="AK15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0" spans="1:37" ht="18" customHeight="1">
      <c r="A1560" s="42">
        <v>683</v>
      </c>
      <c r="B1560" s="42" t="s">
        <v>3520</v>
      </c>
      <c r="C1560" s="53" t="s">
        <v>203</v>
      </c>
      <c r="E1560" s="20"/>
      <c r="F15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0" s="93"/>
      <c r="I1560" s="203">
        <v>45776</v>
      </c>
      <c r="J1560" s="90" t="str">
        <f>IF(Table26[[#This Row],[customerSKU]]="","",_xlfn.XLOOKUP(Table26[[#This Row],[customerSKU]],customerSKU!G:G,customerSKU!A:A,"",0,1))</f>
        <v/>
      </c>
      <c r="K1560" s="232">
        <v>45777</v>
      </c>
      <c r="L1560" s="49" t="str">
        <f>IF(Table26[[#This Row],[customerSKU]]="","",_xlfn.XLOOKUP(Table26[[#This Row],[customerSKU]],customerSKU!G:G,customerSKU!B:B,"",0,1))</f>
        <v/>
      </c>
      <c r="M1560" s="22"/>
      <c r="N1560" s="15" t="str">
        <f>Table26[[#This Row],[po_number]]&amp;"-"&amp;Table26[[#This Row],[po_line]]</f>
        <v>-1</v>
      </c>
      <c r="O1560" s="15">
        <v>1</v>
      </c>
      <c r="P1560" s="50"/>
      <c r="Q1560" s="22" t="s">
        <v>587</v>
      </c>
      <c r="R1560" s="22" t="s">
        <v>221</v>
      </c>
      <c r="S1560" s="90" t="str">
        <f>IF(Table26[[#This Row],[customerSKU]]="","",_xlfn.XLOOKUP(Table26[[#This Row],[customerSKU]],customerSKU!G:G,customerSKU!N:N,"NOT FOUND",0,1))</f>
        <v>NOT FOUND</v>
      </c>
      <c r="T1560" s="20">
        <v>45773</v>
      </c>
      <c r="U1560" s="94">
        <v>12</v>
      </c>
      <c r="V1560" s="22" t="str">
        <f>IF(ISBLANK(Table26[[#This Row],[customerSKU]]),"",_xlfn.XLOOKUP(Table26[[#This Row],[customerSKU]],Table27[customer_SKU],Table27[case_size],"",0,1))</f>
        <v/>
      </c>
      <c r="W1560" s="117" t="str">
        <f t="shared" si="65"/>
        <v/>
      </c>
      <c r="X1560" s="22" t="str">
        <f t="shared" si="66"/>
        <v/>
      </c>
      <c r="Y1560" s="25" t="str">
        <f>IF(Table26[[#This Row],[customerSKU]]="","",_xlfn.XLOOKUP(Table26[[#This Row],[customerSKU]],Table27[customer_SKU],Table27[product_GTIN],"",0,1))</f>
        <v/>
      </c>
      <c r="Z1560" s="25" t="s">
        <v>3550</v>
      </c>
      <c r="AA1560" s="18" t="str" cm="1">
        <f t="array" ref="AA1560">IF(P1560="", "", _xlfn.XLOOKUP(P1560,#REF!,#REF!,NA,0,-1))</f>
        <v/>
      </c>
      <c r="AB1560" s="22"/>
      <c r="AC1560" s="55" t="s">
        <v>95</v>
      </c>
      <c r="AD1560" s="55" t="str">
        <f>IF($AC1560="","",_xlfn.XLOOKUP($AC1560,'Client Info'!$C$2:$C$2497,'Client Info'!$D$2:$D$2497,"",0,1))</f>
        <v/>
      </c>
      <c r="AE1560" s="55" t="str">
        <f>IF($AC1560="","",_xlfn.XLOOKUP($AC1560,'Client Info'!$C$2:$C$2677,'Client Info'!$E$2:$E$2677,"",))</f>
        <v/>
      </c>
      <c r="AF1560" s="55" t="str">
        <f>IF($AC1560="","",_xlfn.XLOOKUP($AC1560,'Client Info'!$C$2:$C$2677,'Client Info'!$F$2:$F$2677,"",0,1))</f>
        <v/>
      </c>
      <c r="AG1560" s="55" t="s">
        <v>95</v>
      </c>
      <c r="AH1560" s="26" t="str">
        <f>_xlfn.XLOOKUP(Table26[[#This Row],[customerSKU]],customerSKU!G:G,customerSKU!K:K,"NA",0,1)</f>
        <v>NA</v>
      </c>
      <c r="AI1560" s="43" t="str">
        <f>_xlfn.XLOOKUP(Table26[[#This Row],[customerSKU]],customerSKU!G:G,customerSKU!O:O,"not found",0,1)</f>
        <v>not found</v>
      </c>
      <c r="AJ1560" s="22" t="e">
        <f>Table26[[#This Row],[unitprice]]*Table26[[#This Row],[quantity_unit]]</f>
        <v>#VALUE!</v>
      </c>
      <c r="AK1560" s="227" t="e" cm="1">
        <f t="array" ref="AK15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1" spans="1:37" ht="18" customHeight="1">
      <c r="A1561" s="42">
        <v>684</v>
      </c>
      <c r="B1561" s="42" t="s">
        <v>3520</v>
      </c>
      <c r="C1561" s="53" t="s">
        <v>203</v>
      </c>
      <c r="E1561" s="20"/>
      <c r="F15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1" s="93"/>
      <c r="I1561" s="203">
        <v>45776</v>
      </c>
      <c r="J1561" s="90" t="str">
        <f>IF(Table26[[#This Row],[customerSKU]]="","",_xlfn.XLOOKUP(Table26[[#This Row],[customerSKU]],customerSKU!G:G,customerSKU!A:A,"",0,1))</f>
        <v/>
      </c>
      <c r="K1561" s="232">
        <v>45777</v>
      </c>
      <c r="L1561" s="49" t="str">
        <f>IF(Table26[[#This Row],[customerSKU]]="","",_xlfn.XLOOKUP(Table26[[#This Row],[customerSKU]],customerSKU!G:G,customerSKU!B:B,"",0,1))</f>
        <v/>
      </c>
      <c r="M1561" s="22"/>
      <c r="N1561" s="15" t="str">
        <f>Table26[[#This Row],[po_number]]&amp;"-"&amp;Table26[[#This Row],[po_line]]</f>
        <v>-2</v>
      </c>
      <c r="O1561" s="15">
        <v>2</v>
      </c>
      <c r="P1561" s="50"/>
      <c r="Q1561" s="22" t="s">
        <v>591</v>
      </c>
      <c r="R1561" s="22" t="s">
        <v>221</v>
      </c>
      <c r="S1561" s="90" t="str">
        <f>IF(Table26[[#This Row],[customerSKU]]="","",_xlfn.XLOOKUP(Table26[[#This Row],[customerSKU]],customerSKU!G:G,customerSKU!N:N,"NOT FOUND",0,1))</f>
        <v>NOT FOUND</v>
      </c>
      <c r="T1561" s="20">
        <v>45772</v>
      </c>
      <c r="U1561" s="94">
        <v>12</v>
      </c>
      <c r="V1561" s="22" t="str">
        <f>IF(ISBLANK(Table26[[#This Row],[customerSKU]]),"",_xlfn.XLOOKUP(Table26[[#This Row],[customerSKU]],Table27[customer_SKU],Table27[case_size],"",0,1))</f>
        <v/>
      </c>
      <c r="W1561" s="117" t="str">
        <f t="shared" si="65"/>
        <v/>
      </c>
      <c r="X1561" s="22" t="str">
        <f t="shared" si="66"/>
        <v/>
      </c>
      <c r="Y1561" s="25" t="str">
        <f>IF(Table26[[#This Row],[customerSKU]]="","",_xlfn.XLOOKUP(Table26[[#This Row],[customerSKU]],Table27[customer_SKU],Table27[product_GTIN],"",0,1))</f>
        <v/>
      </c>
      <c r="Z1561" s="25" t="s">
        <v>3525</v>
      </c>
      <c r="AA1561" s="18" t="str" cm="1">
        <f t="array" ref="AA1561">IF(P1561="", "", _xlfn.XLOOKUP(P1561,#REF!,#REF!,NA,0,-1))</f>
        <v/>
      </c>
      <c r="AB1561" s="22"/>
      <c r="AC1561" s="55" t="s">
        <v>95</v>
      </c>
      <c r="AD1561" s="55" t="str">
        <f>IF($AC1561="","",_xlfn.XLOOKUP($AC1561,'Client Info'!$C$2:$C$2497,'Client Info'!$D$2:$D$2497,"",0,1))</f>
        <v/>
      </c>
      <c r="AE1561" s="55" t="str">
        <f>IF($AC1561="","",_xlfn.XLOOKUP($AC1561,'Client Info'!$C$2:$C$2677,'Client Info'!$E$2:$E$2677,"",))</f>
        <v/>
      </c>
      <c r="AF1561" s="55" t="str">
        <f>IF($AC1561="","",_xlfn.XLOOKUP($AC1561,'Client Info'!$C$2:$C$2677,'Client Info'!$F$2:$F$2677,"",0,1))</f>
        <v/>
      </c>
      <c r="AG1561" s="55" t="s">
        <v>95</v>
      </c>
      <c r="AH1561" s="26" t="str">
        <f>_xlfn.XLOOKUP(Table26[[#This Row],[customerSKU]],customerSKU!G:G,customerSKU!K:K,"NA",0,1)</f>
        <v>NA</v>
      </c>
      <c r="AI1561" s="43" t="str">
        <f>_xlfn.XLOOKUP(Table26[[#This Row],[customerSKU]],customerSKU!G:G,customerSKU!O:O,"not found",0,1)</f>
        <v>not found</v>
      </c>
      <c r="AJ1561" s="22" t="e">
        <f>Table26[[#This Row],[unitprice]]*Table26[[#This Row],[quantity_unit]]</f>
        <v>#VALUE!</v>
      </c>
      <c r="AK1561" s="227" t="e" cm="1">
        <f t="array" ref="AK15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2" spans="1:37" ht="18" customHeight="1">
      <c r="A1562" s="42">
        <v>685</v>
      </c>
      <c r="B1562" s="42" t="s">
        <v>3520</v>
      </c>
      <c r="C1562" s="53" t="s">
        <v>203</v>
      </c>
      <c r="E1562" s="20"/>
      <c r="F15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2" s="93"/>
      <c r="I1562" s="203">
        <v>45776</v>
      </c>
      <c r="J1562" s="90" t="str">
        <f>IF(Table26[[#This Row],[customerSKU]]="","",_xlfn.XLOOKUP(Table26[[#This Row],[customerSKU]],customerSKU!G:G,customerSKU!A:A,"",0,1))</f>
        <v/>
      </c>
      <c r="K1562" s="232">
        <v>45777</v>
      </c>
      <c r="L1562" s="49" t="str">
        <f>IF(Table26[[#This Row],[customerSKU]]="","",_xlfn.XLOOKUP(Table26[[#This Row],[customerSKU]],customerSKU!G:G,customerSKU!B:B,"",0,1))</f>
        <v/>
      </c>
      <c r="M1562" s="22"/>
      <c r="N1562" s="15" t="str">
        <f>Table26[[#This Row],[po_number]]&amp;"-"&amp;Table26[[#This Row],[po_line]]</f>
        <v>-3</v>
      </c>
      <c r="O1562" s="15">
        <v>3</v>
      </c>
      <c r="P1562" s="50"/>
      <c r="Q1562" s="22" t="s">
        <v>3284</v>
      </c>
      <c r="R1562" s="22" t="s">
        <v>221</v>
      </c>
      <c r="S1562" s="90" t="str">
        <f>IF(Table26[[#This Row],[customerSKU]]="","",_xlfn.XLOOKUP(Table26[[#This Row],[customerSKU]],customerSKU!G:G,customerSKU!N:N,"NOT FOUND",0,1))</f>
        <v>NOT FOUND</v>
      </c>
      <c r="T1562" s="20">
        <v>45763</v>
      </c>
      <c r="U1562" s="94">
        <v>12</v>
      </c>
      <c r="V1562" s="22" t="str">
        <f>IF(ISBLANK(Table26[[#This Row],[customerSKU]]),"",_xlfn.XLOOKUP(Table26[[#This Row],[customerSKU]],Table27[customer_SKU],Table27[case_size],"",0,1))</f>
        <v/>
      </c>
      <c r="W1562" s="117" t="str">
        <f t="shared" si="65"/>
        <v/>
      </c>
      <c r="X1562" s="22" t="str">
        <f t="shared" si="66"/>
        <v/>
      </c>
      <c r="Y1562" s="25" t="str">
        <f>IF(Table26[[#This Row],[customerSKU]]="","",_xlfn.XLOOKUP(Table26[[#This Row],[customerSKU]],Table27[customer_SKU],Table27[product_GTIN],"",0,1))</f>
        <v/>
      </c>
      <c r="Z1562" s="25" t="s">
        <v>3522</v>
      </c>
      <c r="AA1562" s="18" t="str" cm="1">
        <f t="array" ref="AA1562">IF(P1562="", "", _xlfn.XLOOKUP(P1562,#REF!,#REF!,NA,0,-1))</f>
        <v/>
      </c>
      <c r="AB1562" s="22"/>
      <c r="AC1562" s="55" t="s">
        <v>95</v>
      </c>
      <c r="AD1562" s="55" t="str">
        <f>IF($AC1562="","",_xlfn.XLOOKUP($AC1562,'Client Info'!$C$2:$C$2497,'Client Info'!$D$2:$D$2497,"",0,1))</f>
        <v/>
      </c>
      <c r="AE1562" s="55" t="str">
        <f>IF($AC1562="","",_xlfn.XLOOKUP($AC1562,'Client Info'!$C$2:$C$2677,'Client Info'!$E$2:$E$2677,"",))</f>
        <v/>
      </c>
      <c r="AF1562" s="55" t="str">
        <f>IF($AC1562="","",_xlfn.XLOOKUP($AC1562,'Client Info'!$C$2:$C$2677,'Client Info'!$F$2:$F$2677,"",0,1))</f>
        <v/>
      </c>
      <c r="AG1562" s="55" t="s">
        <v>95</v>
      </c>
      <c r="AH1562" s="26" t="str">
        <f>_xlfn.XLOOKUP(Table26[[#This Row],[customerSKU]],customerSKU!G:G,customerSKU!K:K,"NA",0,1)</f>
        <v>NA</v>
      </c>
      <c r="AI1562" s="43" t="str">
        <f>_xlfn.XLOOKUP(Table26[[#This Row],[customerSKU]],customerSKU!G:G,customerSKU!O:O,"not found",0,1)</f>
        <v>not found</v>
      </c>
      <c r="AJ1562" s="22" t="e">
        <f>Table26[[#This Row],[unitprice]]*Table26[[#This Row],[quantity_unit]]</f>
        <v>#VALUE!</v>
      </c>
      <c r="AK1562" s="227" t="e" cm="1">
        <f t="array" ref="AK15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3" spans="1:37" ht="18" customHeight="1">
      <c r="A1563" s="42">
        <v>686</v>
      </c>
      <c r="B1563" s="42" t="s">
        <v>3520</v>
      </c>
      <c r="C1563" s="53" t="s">
        <v>203</v>
      </c>
      <c r="E1563" s="20"/>
      <c r="F15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3" s="93"/>
      <c r="I1563" s="203">
        <v>45776</v>
      </c>
      <c r="J1563" s="90" t="str">
        <f>IF(Table26[[#This Row],[customerSKU]]="","",_xlfn.XLOOKUP(Table26[[#This Row],[customerSKU]],customerSKU!G:G,customerSKU!A:A,"",0,1))</f>
        <v/>
      </c>
      <c r="K1563" s="232">
        <v>45777</v>
      </c>
      <c r="L1563" s="49" t="str">
        <f>IF(Table26[[#This Row],[customerSKU]]="","",_xlfn.XLOOKUP(Table26[[#This Row],[customerSKU]],customerSKU!G:G,customerSKU!B:B,"",0,1))</f>
        <v/>
      </c>
      <c r="M1563" s="22"/>
      <c r="N1563" s="15" t="str">
        <f>Table26[[#This Row],[po_number]]&amp;"-"&amp;Table26[[#This Row],[po_line]]</f>
        <v>-4</v>
      </c>
      <c r="O1563" s="15">
        <v>4</v>
      </c>
      <c r="P1563" s="50"/>
      <c r="Q1563" s="22" t="s">
        <v>3533</v>
      </c>
      <c r="R1563" s="22" t="s">
        <v>221</v>
      </c>
      <c r="S1563" s="90" t="str">
        <f>IF(Table26[[#This Row],[customerSKU]]="","",_xlfn.XLOOKUP(Table26[[#This Row],[customerSKU]],customerSKU!G:G,customerSKU!N:N,"NOT FOUND",0,1))</f>
        <v>NOT FOUND</v>
      </c>
      <c r="T1563" s="20">
        <v>45761</v>
      </c>
      <c r="U1563" s="94">
        <v>12</v>
      </c>
      <c r="V1563" s="22" t="str">
        <f>IF(ISBLANK(Table26[[#This Row],[customerSKU]]),"",_xlfn.XLOOKUP(Table26[[#This Row],[customerSKU]],Table27[customer_SKU],Table27[case_size],"",0,1))</f>
        <v/>
      </c>
      <c r="W1563" s="117" t="str">
        <f t="shared" si="65"/>
        <v/>
      </c>
      <c r="X1563" s="22" t="str">
        <f t="shared" si="66"/>
        <v/>
      </c>
      <c r="Y1563" s="25" t="str">
        <f>IF(Table26[[#This Row],[customerSKU]]="","",_xlfn.XLOOKUP(Table26[[#This Row],[customerSKU]],Table27[customer_SKU],Table27[product_GTIN],"",0,1))</f>
        <v/>
      </c>
      <c r="Z1563" s="25" t="s">
        <v>3534</v>
      </c>
      <c r="AA1563" s="18" t="str" cm="1">
        <f t="array" ref="AA1563">IF(P1563="", "", _xlfn.XLOOKUP(P1563,#REF!,#REF!,NA,0,-1))</f>
        <v/>
      </c>
      <c r="AB1563" s="22"/>
      <c r="AC1563" s="55" t="s">
        <v>95</v>
      </c>
      <c r="AD1563" s="55" t="str">
        <f>IF($AC1563="","",_xlfn.XLOOKUP($AC1563,'Client Info'!$C$2:$C$2497,'Client Info'!$D$2:$D$2497,"",0,1))</f>
        <v/>
      </c>
      <c r="AE1563" s="55" t="str">
        <f>IF($AC1563="","",_xlfn.XLOOKUP($AC1563,'Client Info'!$C$2:$C$2677,'Client Info'!$E$2:$E$2677,"",))</f>
        <v/>
      </c>
      <c r="AF1563" s="55" t="str">
        <f>IF($AC1563="","",_xlfn.XLOOKUP($AC1563,'Client Info'!$C$2:$C$2677,'Client Info'!$F$2:$F$2677,"",0,1))</f>
        <v/>
      </c>
      <c r="AG1563" s="55" t="s">
        <v>95</v>
      </c>
      <c r="AH1563" s="26" t="str">
        <f>_xlfn.XLOOKUP(Table26[[#This Row],[customerSKU]],customerSKU!G:G,customerSKU!K:K,"NA",0,1)</f>
        <v>NA</v>
      </c>
      <c r="AI1563" s="43" t="str">
        <f>_xlfn.XLOOKUP(Table26[[#This Row],[customerSKU]],customerSKU!G:G,customerSKU!O:O,"not found",0,1)</f>
        <v>not found</v>
      </c>
      <c r="AJ1563" s="22" t="e">
        <f>Table26[[#This Row],[unitprice]]*Table26[[#This Row],[quantity_unit]]</f>
        <v>#VALUE!</v>
      </c>
      <c r="AK1563" s="227" t="e" cm="1">
        <f t="array" ref="AK15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4" spans="1:37" ht="24.6" customHeight="1">
      <c r="A1564" s="42">
        <v>687</v>
      </c>
      <c r="B1564" s="42" t="s">
        <v>3520</v>
      </c>
      <c r="C1564" s="53" t="s">
        <v>203</v>
      </c>
      <c r="E1564" s="20"/>
      <c r="F15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4" s="93"/>
      <c r="I1564" s="203">
        <v>45776</v>
      </c>
      <c r="J1564" s="90" t="str">
        <f>IF(Table26[[#This Row],[customerSKU]]="","",_xlfn.XLOOKUP(Table26[[#This Row],[customerSKU]],customerSKU!G:G,customerSKU!A:A,"",0,1))</f>
        <v/>
      </c>
      <c r="K1564" s="232">
        <v>45777</v>
      </c>
      <c r="L1564" s="49" t="str">
        <f>IF(Table26[[#This Row],[customerSKU]]="","",_xlfn.XLOOKUP(Table26[[#This Row],[customerSKU]],customerSKU!G:G,customerSKU!B:B,"",0,1))</f>
        <v/>
      </c>
      <c r="M1564" s="22"/>
      <c r="N1564" s="15" t="str">
        <f>Table26[[#This Row],[po_number]]&amp;"-"&amp;Table26[[#This Row],[po_line]]</f>
        <v>-5</v>
      </c>
      <c r="O1564" s="15">
        <v>5</v>
      </c>
      <c r="P1564" s="50"/>
      <c r="Q1564" s="22" t="s">
        <v>3551</v>
      </c>
      <c r="R1564" s="203" t="s">
        <v>532</v>
      </c>
      <c r="S1564" s="90" t="str">
        <f>IF(Table26[[#This Row],[customerSKU]]="","",_xlfn.XLOOKUP(Table26[[#This Row],[customerSKU]],customerSKU!G:G,customerSKU!N:N,"NOT FOUND",0,1))</f>
        <v>NOT FOUND</v>
      </c>
      <c r="T1564" s="20">
        <v>45755</v>
      </c>
      <c r="U1564" s="94">
        <v>12</v>
      </c>
      <c r="V1564" s="22" t="str">
        <f>IF(ISBLANK(Table26[[#This Row],[customerSKU]]),"",_xlfn.XLOOKUP(Table26[[#This Row],[customerSKU]],Table27[customer_SKU],Table27[case_size],"",0,1))</f>
        <v/>
      </c>
      <c r="W1564" s="117" t="str">
        <f t="shared" si="65"/>
        <v/>
      </c>
      <c r="X1564" s="22" t="str">
        <f t="shared" si="66"/>
        <v/>
      </c>
      <c r="Y1564" s="25" t="str">
        <f>IF(Table26[[#This Row],[customerSKU]]="","",_xlfn.XLOOKUP(Table26[[#This Row],[customerSKU]],Table27[customer_SKU],Table27[product_GTIN],"",0,1))</f>
        <v/>
      </c>
      <c r="Z1564" s="25" t="s">
        <v>3535</v>
      </c>
      <c r="AA1564" s="18" t="str" cm="1">
        <f t="array" ref="AA1564">IF(P1564="", "", _xlfn.XLOOKUP(P1564,#REF!,#REF!,NA,0,-1))</f>
        <v/>
      </c>
      <c r="AB1564" s="22"/>
      <c r="AC1564" s="55" t="s">
        <v>95</v>
      </c>
      <c r="AD1564" s="55" t="str">
        <f>IF($AC1564="","",_xlfn.XLOOKUP($AC1564,'Client Info'!$C$2:$C$2497,'Client Info'!$D$2:$D$2497,"",0,1))</f>
        <v/>
      </c>
      <c r="AE1564" s="55" t="str">
        <f>IF($AC1564="","",_xlfn.XLOOKUP($AC1564,'Client Info'!$C$2:$C$2677,'Client Info'!$E$2:$E$2677,"",))</f>
        <v/>
      </c>
      <c r="AF1564" s="55" t="str">
        <f>IF($AC1564="","",_xlfn.XLOOKUP($AC1564,'Client Info'!$C$2:$C$2677,'Client Info'!$F$2:$F$2677,"",0,1))</f>
        <v/>
      </c>
      <c r="AG1564" s="55" t="s">
        <v>95</v>
      </c>
      <c r="AH1564" s="26" t="str">
        <f>_xlfn.XLOOKUP(Table26[[#This Row],[customerSKU]],customerSKU!G:G,customerSKU!K:K,"NA",0,1)</f>
        <v>NA</v>
      </c>
      <c r="AI1564" s="43" t="str">
        <f>_xlfn.XLOOKUP(Table26[[#This Row],[customerSKU]],customerSKU!G:G,customerSKU!O:O,"not found",0,1)</f>
        <v>not found</v>
      </c>
      <c r="AJ1564" s="22" t="e">
        <f>Table26[[#This Row],[unitprice]]*Table26[[#This Row],[quantity_unit]]</f>
        <v>#VALUE!</v>
      </c>
      <c r="AK1564" s="227" t="e" cm="1">
        <f t="array" ref="AK15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5" spans="1:37" ht="18" customHeight="1">
      <c r="A1565" s="42">
        <v>688</v>
      </c>
      <c r="B1565" s="42" t="s">
        <v>3520</v>
      </c>
      <c r="C1565" s="53" t="s">
        <v>203</v>
      </c>
      <c r="E1565" s="20"/>
      <c r="F15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5" s="93"/>
      <c r="I1565" s="203">
        <v>45776</v>
      </c>
      <c r="J1565" s="90" t="str">
        <f>IF(Table26[[#This Row],[customerSKU]]="","",_xlfn.XLOOKUP(Table26[[#This Row],[customerSKU]],customerSKU!G:G,customerSKU!A:A,"",0,1))</f>
        <v/>
      </c>
      <c r="K1565" s="232">
        <v>45777</v>
      </c>
      <c r="L1565" s="49" t="str">
        <f>IF(Table26[[#This Row],[customerSKU]]="","",_xlfn.XLOOKUP(Table26[[#This Row],[customerSKU]],customerSKU!G:G,customerSKU!B:B,"",0,1))</f>
        <v/>
      </c>
      <c r="M1565" s="22"/>
      <c r="N1565" s="15" t="str">
        <f>Table26[[#This Row],[po_number]]&amp;"-"&amp;Table26[[#This Row],[po_line]]</f>
        <v>-6</v>
      </c>
      <c r="O1565" s="15">
        <v>6</v>
      </c>
      <c r="P1565" s="50"/>
      <c r="Q1565" s="22" t="s">
        <v>656</v>
      </c>
      <c r="R1565" s="203" t="s">
        <v>221</v>
      </c>
      <c r="S1565" s="90" t="str">
        <f>IF(Table26[[#This Row],[customerSKU]]="","",_xlfn.XLOOKUP(Table26[[#This Row],[customerSKU]],customerSKU!G:G,customerSKU!N:N,"NOT FOUND",0,1))</f>
        <v>NOT FOUND</v>
      </c>
      <c r="T1565" s="20">
        <v>45763</v>
      </c>
      <c r="U1565" s="94">
        <v>12</v>
      </c>
      <c r="V1565" s="22" t="str">
        <f>IF(ISBLANK(Table26[[#This Row],[customerSKU]]),"",_xlfn.XLOOKUP(Table26[[#This Row],[customerSKU]],Table27[customer_SKU],Table27[case_size],"",0,1))</f>
        <v/>
      </c>
      <c r="W1565" s="117" t="str">
        <f t="shared" si="65"/>
        <v/>
      </c>
      <c r="X1565" s="22" t="str">
        <f t="shared" si="66"/>
        <v/>
      </c>
      <c r="Y1565" s="25" t="str">
        <f>IF(Table26[[#This Row],[customerSKU]]="","",_xlfn.XLOOKUP(Table26[[#This Row],[customerSKU]],Table27[customer_SKU],Table27[product_GTIN],"",0,1))</f>
        <v/>
      </c>
      <c r="Z1565" s="25" t="s">
        <v>3526</v>
      </c>
      <c r="AA1565" s="18" t="str" cm="1">
        <f t="array" ref="AA1565">IF(P1565="", "", _xlfn.XLOOKUP(P1565,#REF!,#REF!,NA,0,-1))</f>
        <v/>
      </c>
      <c r="AB1565" s="22"/>
      <c r="AC1565" s="55" t="s">
        <v>95</v>
      </c>
      <c r="AD1565" s="55" t="str">
        <f>IF($AC1565="","",_xlfn.XLOOKUP($AC1565,'Client Info'!$C$2:$C$2497,'Client Info'!$D$2:$D$2497,"",0,1))</f>
        <v/>
      </c>
      <c r="AE1565" s="55" t="str">
        <f>IF($AC1565="","",_xlfn.XLOOKUP($AC1565,'Client Info'!$C$2:$C$2677,'Client Info'!$E$2:$E$2677,"",))</f>
        <v/>
      </c>
      <c r="AF1565" s="55" t="str">
        <f>IF($AC1565="","",_xlfn.XLOOKUP($AC1565,'Client Info'!$C$2:$C$2677,'Client Info'!$F$2:$F$2677,"",0,1))</f>
        <v/>
      </c>
      <c r="AG1565" s="55" t="s">
        <v>95</v>
      </c>
      <c r="AH1565" s="26" t="str">
        <f>_xlfn.XLOOKUP(Table26[[#This Row],[customerSKU]],customerSKU!G:G,customerSKU!K:K,"NA",0,1)</f>
        <v>NA</v>
      </c>
      <c r="AI1565" s="43" t="str">
        <f>_xlfn.XLOOKUP(Table26[[#This Row],[customerSKU]],customerSKU!G:G,customerSKU!O:O,"not found",0,1)</f>
        <v>not found</v>
      </c>
      <c r="AJ1565" s="22" t="e">
        <f>Table26[[#This Row],[unitprice]]*Table26[[#This Row],[quantity_unit]]</f>
        <v>#VALUE!</v>
      </c>
      <c r="AK1565" s="227" t="e" cm="1">
        <f t="array" ref="AK15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6" spans="1:37" ht="18" customHeight="1">
      <c r="A1566" s="42">
        <v>689</v>
      </c>
      <c r="B1566" s="42" t="s">
        <v>3520</v>
      </c>
      <c r="C1566" s="53" t="s">
        <v>203</v>
      </c>
      <c r="E1566" s="20"/>
      <c r="F15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6" s="93"/>
      <c r="I1566" s="203">
        <v>45776</v>
      </c>
      <c r="J1566" s="90" t="str">
        <f>IF(Table26[[#This Row],[customerSKU]]="","",_xlfn.XLOOKUP(Table26[[#This Row],[customerSKU]],customerSKU!G:G,customerSKU!A:A,"",0,1))</f>
        <v/>
      </c>
      <c r="K1566" s="232">
        <v>45777</v>
      </c>
      <c r="L1566" s="49" t="str">
        <f>IF(Table26[[#This Row],[customerSKU]]="","",_xlfn.XLOOKUP(Table26[[#This Row],[customerSKU]],customerSKU!G:G,customerSKU!B:B,"",0,1))</f>
        <v/>
      </c>
      <c r="M1566" s="22"/>
      <c r="N1566" s="15" t="str">
        <f>Table26[[#This Row],[po_number]]&amp;"-"&amp;Table26[[#This Row],[po_line]]</f>
        <v>-1</v>
      </c>
      <c r="O1566" s="15">
        <v>1</v>
      </c>
      <c r="P1566" s="50"/>
      <c r="Q1566" s="22" t="s">
        <v>3548</v>
      </c>
      <c r="R1566" s="22" t="s">
        <v>3552</v>
      </c>
      <c r="S1566" s="90" t="str">
        <f>IF(Table26[[#This Row],[customerSKU]]="","",_xlfn.XLOOKUP(Table26[[#This Row],[customerSKU]],customerSKU!G:G,customerSKU!N:N,"NOT FOUND",0,1))</f>
        <v>NOT FOUND</v>
      </c>
      <c r="T1566" s="20">
        <v>45777</v>
      </c>
      <c r="U1566" s="94">
        <v>24</v>
      </c>
      <c r="V1566" s="22" t="str">
        <f>IF(ISBLANK(Table26[[#This Row],[customerSKU]]),"",_xlfn.XLOOKUP(Table26[[#This Row],[customerSKU]],Table27[customer_SKU],Table27[case_size],"",0,1))</f>
        <v/>
      </c>
      <c r="W1566" s="117" t="str">
        <f t="shared" si="65"/>
        <v/>
      </c>
      <c r="X1566" s="22" t="str">
        <f t="shared" si="66"/>
        <v/>
      </c>
      <c r="Y1566" s="25" t="str">
        <f>IF(Table26[[#This Row],[customerSKU]]="","",_xlfn.XLOOKUP(Table26[[#This Row],[customerSKU]],Table27[customer_SKU],Table27[product_GTIN],"",0,1))</f>
        <v/>
      </c>
      <c r="Z1566" s="25" t="s">
        <v>3549</v>
      </c>
      <c r="AA1566" s="18" t="str" cm="1">
        <f t="array" ref="AA1566">IF(P1566="", "", _xlfn.XLOOKUP(P1566,#REF!,#REF!,NA,0,-1))</f>
        <v/>
      </c>
      <c r="AB1566" s="22"/>
      <c r="AC1566" s="55" t="s">
        <v>97</v>
      </c>
      <c r="AD1566" s="55" t="str">
        <f>IF($AC1566="","",_xlfn.XLOOKUP($AC1566,'Client Info'!$C$2:$C$2497,'Client Info'!$D$2:$D$2497,"",0,1))</f>
        <v/>
      </c>
      <c r="AE1566" s="55" t="str">
        <f>IF($AC1566="","",_xlfn.XLOOKUP($AC1566,'Client Info'!$C$2:$C$2677,'Client Info'!$E$2:$E$2677,"",))</f>
        <v/>
      </c>
      <c r="AF1566" s="55" t="str">
        <f>IF($AC1566="","",_xlfn.XLOOKUP($AC1566,'Client Info'!$C$2:$C$2677,'Client Info'!$F$2:$F$2677,"",0,1))</f>
        <v/>
      </c>
      <c r="AG1566" s="55" t="s">
        <v>97</v>
      </c>
      <c r="AH1566" s="26" t="str">
        <f>_xlfn.XLOOKUP(Table26[[#This Row],[customerSKU]],customerSKU!G:G,customerSKU!K:K,"NA",0,1)</f>
        <v>NA</v>
      </c>
      <c r="AI1566" s="43" t="str">
        <f>_xlfn.XLOOKUP(Table26[[#This Row],[customerSKU]],customerSKU!G:G,customerSKU!O:O,"not found",0,1)</f>
        <v>not found</v>
      </c>
      <c r="AJ1566" s="22" t="e">
        <f>Table26[[#This Row],[unitprice]]*Table26[[#This Row],[quantity_unit]]</f>
        <v>#VALUE!</v>
      </c>
      <c r="AK1566" s="227" t="e" cm="1">
        <f t="array" ref="AK15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7" spans="1:37" ht="18" customHeight="1">
      <c r="A1567" s="42">
        <v>690</v>
      </c>
      <c r="B1567" s="42" t="s">
        <v>3520</v>
      </c>
      <c r="C1567" s="53" t="s">
        <v>203</v>
      </c>
      <c r="E1567" s="20"/>
      <c r="F15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7" s="93"/>
      <c r="I1567" s="203">
        <v>45776</v>
      </c>
      <c r="J1567" s="90" t="str">
        <f>IF(Table26[[#This Row],[customerSKU]]="","",_xlfn.XLOOKUP(Table26[[#This Row],[customerSKU]],customerSKU!G:G,customerSKU!A:A,"",0,1))</f>
        <v/>
      </c>
      <c r="K1567" s="232">
        <v>45777</v>
      </c>
      <c r="L1567" s="49" t="str">
        <f>IF(Table26[[#This Row],[customerSKU]]="","",_xlfn.XLOOKUP(Table26[[#This Row],[customerSKU]],customerSKU!G:G,customerSKU!B:B,"",0,1))</f>
        <v/>
      </c>
      <c r="M1567" s="22"/>
      <c r="N1567" s="15" t="str">
        <f>Table26[[#This Row],[po_number]]&amp;"-"&amp;Table26[[#This Row],[po_line]]</f>
        <v>-2</v>
      </c>
      <c r="O1567" s="15">
        <v>2</v>
      </c>
      <c r="P1567" s="50"/>
      <c r="Q1567" s="22" t="s">
        <v>559</v>
      </c>
      <c r="R1567" s="22" t="s">
        <v>221</v>
      </c>
      <c r="S1567" s="90" t="str">
        <f>IF(Table26[[#This Row],[customerSKU]]="","",_xlfn.XLOOKUP(Table26[[#This Row],[customerSKU]],customerSKU!G:G,customerSKU!N:N,"NOT FOUND",0,1))</f>
        <v>NOT FOUND</v>
      </c>
      <c r="T1567" s="20">
        <v>45740</v>
      </c>
      <c r="U1567" s="94">
        <v>12</v>
      </c>
      <c r="V1567" s="22" t="str">
        <f>IF(ISBLANK(Table26[[#This Row],[customerSKU]]),"",_xlfn.XLOOKUP(Table26[[#This Row],[customerSKU]],Table27[customer_SKU],Table27[case_size],"",0,1))</f>
        <v/>
      </c>
      <c r="W1567" s="117" t="str">
        <f t="shared" si="65"/>
        <v/>
      </c>
      <c r="X1567" s="22" t="str">
        <f t="shared" si="66"/>
        <v/>
      </c>
      <c r="Y1567" s="25" t="str">
        <f>IF(Table26[[#This Row],[customerSKU]]="","",_xlfn.XLOOKUP(Table26[[#This Row],[customerSKU]],Table27[customer_SKU],Table27[product_GTIN],"",0,1))</f>
        <v/>
      </c>
      <c r="Z1567" s="25" t="s">
        <v>3527</v>
      </c>
      <c r="AA1567" s="18" t="str" cm="1">
        <f t="array" ref="AA1567">IF(P1567="", "", _xlfn.XLOOKUP(P1567,#REF!,#REF!,NA,0,-1))</f>
        <v/>
      </c>
      <c r="AB1567" s="22"/>
      <c r="AC1567" s="55" t="s">
        <v>97</v>
      </c>
      <c r="AD1567" s="55" t="str">
        <f>IF($AC1567="","",_xlfn.XLOOKUP($AC1567,'Client Info'!$C$2:$C$2497,'Client Info'!$D$2:$D$2497,"",0,1))</f>
        <v/>
      </c>
      <c r="AE1567" s="55" t="str">
        <f>IF($AC1567="","",_xlfn.XLOOKUP($AC1567,'Client Info'!$C$2:$C$2677,'Client Info'!$E$2:$E$2677,"",))</f>
        <v/>
      </c>
      <c r="AF1567" s="55" t="str">
        <f>IF($AC1567="","",_xlfn.XLOOKUP($AC1567,'Client Info'!$C$2:$C$2677,'Client Info'!$F$2:$F$2677,"",0,1))</f>
        <v/>
      </c>
      <c r="AG1567" s="55" t="s">
        <v>97</v>
      </c>
      <c r="AH1567" s="26" t="str">
        <f>_xlfn.XLOOKUP(Table26[[#This Row],[customerSKU]],customerSKU!G:G,customerSKU!K:K,"NA",0,1)</f>
        <v>NA</v>
      </c>
      <c r="AI1567" s="43" t="str">
        <f>_xlfn.XLOOKUP(Table26[[#This Row],[customerSKU]],customerSKU!G:G,customerSKU!O:O,"not found",0,1)</f>
        <v>not found</v>
      </c>
      <c r="AJ1567" s="22" t="e">
        <f>Table26[[#This Row],[unitprice]]*Table26[[#This Row],[quantity_unit]]</f>
        <v>#VALUE!</v>
      </c>
      <c r="AK1567" s="227" t="e" cm="1">
        <f t="array" ref="AK15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8" spans="1:37" ht="18" customHeight="1">
      <c r="A1568" s="42">
        <v>691</v>
      </c>
      <c r="B1568" s="42" t="s">
        <v>3520</v>
      </c>
      <c r="C1568" s="53" t="s">
        <v>3360</v>
      </c>
      <c r="E1568" s="20"/>
      <c r="F15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8" s="93"/>
      <c r="I1568" s="203">
        <v>45777</v>
      </c>
      <c r="J1568" s="90" t="str">
        <f>IF(Table26[[#This Row],[customerSKU]]="","",_xlfn.XLOOKUP(Table26[[#This Row],[customerSKU]],customerSKU!G:G,customerSKU!A:A,"",0,1))</f>
        <v/>
      </c>
      <c r="K1568" s="232">
        <v>45777</v>
      </c>
      <c r="L1568" s="49" t="str">
        <f>IF(Table26[[#This Row],[customerSKU]]="","",_xlfn.XLOOKUP(Table26[[#This Row],[customerSKU]],customerSKU!G:G,customerSKU!B:B,"",0,1))</f>
        <v/>
      </c>
      <c r="M1568" s="22"/>
      <c r="N1568" s="15" t="str">
        <f>Table26[[#This Row],[po_number]]&amp;"-"&amp;Table26[[#This Row],[po_line]]</f>
        <v>-1</v>
      </c>
      <c r="O1568" s="15">
        <v>1</v>
      </c>
      <c r="P1568" s="50"/>
      <c r="S1568" s="90" t="str">
        <f>IF(Table26[[#This Row],[customerSKU]]="","",_xlfn.XLOOKUP(Table26[[#This Row],[customerSKU]],customerSKU!G:G,customerSKU!N:N,"NOT FOUND",0,1))</f>
        <v>NOT FOUND</v>
      </c>
      <c r="T1568" s="20"/>
      <c r="U1568" s="94">
        <v>24</v>
      </c>
      <c r="V1568" s="22" t="str">
        <f>IF(ISBLANK(Table26[[#This Row],[customerSKU]]),"",_xlfn.XLOOKUP(Table26[[#This Row],[customerSKU]],Table27[customer_SKU],Table27[case_size],"",0,1))</f>
        <v/>
      </c>
      <c r="W1568" s="117" t="str">
        <f t="shared" si="65"/>
        <v/>
      </c>
      <c r="X1568" s="22" t="str">
        <f t="shared" si="66"/>
        <v/>
      </c>
      <c r="Y1568" s="25" t="str">
        <f>IF(Table26[[#This Row],[customerSKU]]="","",_xlfn.XLOOKUP(Table26[[#This Row],[customerSKU]],Table27[customer_SKU],Table27[product_GTIN],"",0,1))</f>
        <v/>
      </c>
      <c r="Z1568" s="25" t="s">
        <v>3380</v>
      </c>
      <c r="AA1568" s="18" t="str" cm="1">
        <f t="array" ref="AA1568">IF(P1568="", "", _xlfn.XLOOKUP(P1568,#REF!,#REF!,NA,0,-1))</f>
        <v/>
      </c>
      <c r="AB1568" s="22"/>
      <c r="AC1568" s="55" t="str">
        <f>IF(Table26[[#This Row],[customerSKU]]="","",_xlfn.XLOOKUP(Table26[[#This Row],[customerSKU]],customerSKU!G:G,customerSKU!C:C,"",0,1))</f>
        <v/>
      </c>
      <c r="AD1568" s="55" t="str">
        <f>IF($AC1568="","",_xlfn.XLOOKUP($AC1568,'Client Info'!$C$2:$C$2497,'Client Info'!$D$2:$D$2497,"",0,1))</f>
        <v/>
      </c>
      <c r="AE1568" s="55" t="str">
        <f>IF($AC1568="","",_xlfn.XLOOKUP($AC1568,'Client Info'!$C$2:$C$2677,'Client Info'!$E$2:$E$2677,"",))</f>
        <v/>
      </c>
      <c r="AF1568" s="55" t="str">
        <f>IF($AC1568="","",_xlfn.XLOOKUP($AC1568,'Client Info'!$C$2:$C$2677,'Client Info'!$F$2:$F$2677,"",0,1))</f>
        <v/>
      </c>
      <c r="AG1568" s="55" t="str">
        <f>IF(ISBLANK(Table26[[#This Row],[customerSKU]]),"",_xlfn.XLOOKUP(Table26[[#This Row],[customerSKU]],Table27[customer_SKU],Table27[billto],"",0,1))</f>
        <v/>
      </c>
      <c r="AH1568" s="26" t="str">
        <f>_xlfn.XLOOKUP(Table26[[#This Row],[customerSKU]],customerSKU!G:G,customerSKU!K:K,"NA",0,1)</f>
        <v>NA</v>
      </c>
      <c r="AI1568" s="43" t="str">
        <f>_xlfn.XLOOKUP(Table26[[#This Row],[customerSKU]],customerSKU!G:G,customerSKU!O:O,"not found",0,1)</f>
        <v>not found</v>
      </c>
      <c r="AJ1568" s="22" t="e">
        <f>Table26[[#This Row],[unitprice]]*Table26[[#This Row],[quantity_unit]]</f>
        <v>#VALUE!</v>
      </c>
      <c r="AK1568" s="227" t="e" cm="1">
        <f t="array" ref="AK15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69" spans="1:37" ht="18" customHeight="1">
      <c r="A1569" s="42">
        <v>667</v>
      </c>
      <c r="B1569" s="42" t="s">
        <v>3520</v>
      </c>
      <c r="C1569" s="53" t="s">
        <v>203</v>
      </c>
      <c r="E1569" s="20"/>
      <c r="F15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69" s="93"/>
      <c r="I1569" s="203">
        <v>45772</v>
      </c>
      <c r="J1569" s="90" t="str">
        <f>IF(Table26[[#This Row],[customerSKU]]="","",_xlfn.XLOOKUP(Table26[[#This Row],[customerSKU]],customerSKU!G:G,customerSKU!A:A,"",0,1))</f>
        <v/>
      </c>
      <c r="K1569" s="232">
        <v>45778</v>
      </c>
      <c r="L1569" s="49" t="str">
        <f>IF(Table26[[#This Row],[customerSKU]]="","",_xlfn.XLOOKUP(Table26[[#This Row],[customerSKU]],customerSKU!G:G,customerSKU!B:B,"",0,1))</f>
        <v/>
      </c>
      <c r="M1569" s="22"/>
      <c r="N1569" s="15" t="str">
        <f>Table26[[#This Row],[po_number]]&amp;"-"&amp;Table26[[#This Row],[po_line]]</f>
        <v>-1</v>
      </c>
      <c r="O1569" s="15">
        <v>1</v>
      </c>
      <c r="P1569" s="50"/>
      <c r="Q1569" s="22" t="s">
        <v>1591</v>
      </c>
      <c r="R1569" s="22" t="s">
        <v>569</v>
      </c>
      <c r="S1569" s="90" t="str">
        <f>IF(Table26[[#This Row],[customerSKU]]="","",_xlfn.XLOOKUP(Table26[[#This Row],[customerSKU]],customerSKU!G:G,customerSKU!N:N,"NOT FOUND",0,1))</f>
        <v>NOT FOUND</v>
      </c>
      <c r="T1569" s="20">
        <v>45763</v>
      </c>
      <c r="U1569" s="94">
        <v>48</v>
      </c>
      <c r="V1569" s="22" t="str">
        <f>IF(ISBLANK(Table26[[#This Row],[customerSKU]]),"",_xlfn.XLOOKUP(Table26[[#This Row],[customerSKU]],Table27[customer_SKU],Table27[case_size],"",0,1))</f>
        <v/>
      </c>
      <c r="W1569" s="117" t="str">
        <f t="shared" si="65"/>
        <v/>
      </c>
      <c r="X1569" s="22" t="str">
        <f t="shared" si="66"/>
        <v/>
      </c>
      <c r="Y1569" s="25" t="str">
        <f>IF(Table26[[#This Row],[customerSKU]]="","",_xlfn.XLOOKUP(Table26[[#This Row],[customerSKU]],Table27[customer_SKU],Table27[product_GTIN],"",0,1))</f>
        <v/>
      </c>
      <c r="Z1569" s="25">
        <v>7900041</v>
      </c>
      <c r="AA1569" s="18" t="str" cm="1">
        <f t="array" ref="AA1569">IF(P1569="", "", _xlfn.XLOOKUP(P1569,#REF!,#REF!,NA,0,-1))</f>
        <v/>
      </c>
      <c r="AB1569" s="22"/>
      <c r="AC1569" s="55" t="str">
        <f>IF(Table26[[#This Row],[customerSKU]]="","",_xlfn.XLOOKUP(Table26[[#This Row],[customerSKU]],customerSKU!G:G,customerSKU!C:C,"",0,1))</f>
        <v/>
      </c>
      <c r="AD1569" s="55" t="str">
        <f>IF($AC1569="","",_xlfn.XLOOKUP($AC1569,'Client Info'!$C$2:$C$2497,'Client Info'!$D$2:$D$2497,"",0,1))</f>
        <v/>
      </c>
      <c r="AE1569" s="55" t="str">
        <f>IF($AC1569="","",_xlfn.XLOOKUP($AC1569,'Client Info'!$C$2:$C$2677,'Client Info'!$E$2:$E$2677,"",))</f>
        <v/>
      </c>
      <c r="AF1569" s="55" t="str">
        <f>IF($AC1569="","",_xlfn.XLOOKUP($AC1569,'Client Info'!$C$2:$C$2677,'Client Info'!$F$2:$F$2677,"",0,1))</f>
        <v/>
      </c>
      <c r="AG1569" s="55" t="str">
        <f>IF(ISBLANK(Table26[[#This Row],[customerSKU]]),"",_xlfn.XLOOKUP(Table26[[#This Row],[customerSKU]],Table27[customer_SKU],Table27[billto],"",0,1))</f>
        <v/>
      </c>
      <c r="AH1569" s="26" t="str">
        <f>_xlfn.XLOOKUP(Table26[[#This Row],[customerSKU]],customerSKU!G:G,customerSKU!K:K,"NA",0,1)</f>
        <v>NA</v>
      </c>
      <c r="AI1569" s="43" t="str">
        <f>_xlfn.XLOOKUP(Table26[[#This Row],[customerSKU]],customerSKU!G:G,customerSKU!O:O,"not found",0,1)</f>
        <v>not found</v>
      </c>
      <c r="AJ1569" s="22" t="e">
        <f>Table26[[#This Row],[unitprice]]*Table26[[#This Row],[quantity_unit]]</f>
        <v>#VALUE!</v>
      </c>
      <c r="AK1569" s="227" t="e" cm="1">
        <f t="array" ref="AK15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0" spans="1:37" ht="18" customHeight="1">
      <c r="A1570" s="42">
        <v>668</v>
      </c>
      <c r="B1570" s="42" t="s">
        <v>3520</v>
      </c>
      <c r="C1570" s="53" t="s">
        <v>203</v>
      </c>
      <c r="E1570" s="20"/>
      <c r="F15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0" s="93"/>
      <c r="I1570" s="203">
        <v>45772</v>
      </c>
      <c r="J1570" s="90" t="str">
        <f>IF(Table26[[#This Row],[customerSKU]]="","",_xlfn.XLOOKUP(Table26[[#This Row],[customerSKU]],customerSKU!G:G,customerSKU!A:A,"",0,1))</f>
        <v/>
      </c>
      <c r="K1570" s="232">
        <v>45778</v>
      </c>
      <c r="L1570" s="49" t="str">
        <f>IF(Table26[[#This Row],[customerSKU]]="","",_xlfn.XLOOKUP(Table26[[#This Row],[customerSKU]],customerSKU!G:G,customerSKU!B:B,"",0,1))</f>
        <v/>
      </c>
      <c r="M1570" s="22"/>
      <c r="N1570" s="15" t="str">
        <f>Table26[[#This Row],[po_number]]&amp;"-"&amp;Table26[[#This Row],[po_line]]</f>
        <v>-2</v>
      </c>
      <c r="O1570" s="15">
        <v>2</v>
      </c>
      <c r="P1570" s="50"/>
      <c r="Q1570" s="22" t="s">
        <v>3545</v>
      </c>
      <c r="R1570" s="22" t="s">
        <v>3419</v>
      </c>
      <c r="S1570" s="90" t="str">
        <f>IF(Table26[[#This Row],[customerSKU]]="","",_xlfn.XLOOKUP(Table26[[#This Row],[customerSKU]],customerSKU!G:G,customerSKU!N:N,"NOT FOUND",0,1))</f>
        <v>NOT FOUND</v>
      </c>
      <c r="T1570" s="20">
        <v>45596</v>
      </c>
      <c r="U1570" s="94">
        <v>60</v>
      </c>
      <c r="V1570" s="22" t="str">
        <f>IF(ISBLANK(Table26[[#This Row],[customerSKU]]),"",_xlfn.XLOOKUP(Table26[[#This Row],[customerSKU]],Table27[customer_SKU],Table27[case_size],"",0,1))</f>
        <v/>
      </c>
      <c r="W1570" s="117" t="str">
        <f t="shared" si="65"/>
        <v/>
      </c>
      <c r="X1570" s="22" t="str">
        <f t="shared" si="66"/>
        <v/>
      </c>
      <c r="Y1570" s="25" t="str">
        <f>IF(Table26[[#This Row],[customerSKU]]="","",_xlfn.XLOOKUP(Table26[[#This Row],[customerSKU]],Table27[customer_SKU],Table27[product_GTIN],"",0,1))</f>
        <v/>
      </c>
      <c r="Z1570" s="25">
        <v>7900354</v>
      </c>
      <c r="AA1570" s="18" t="str" cm="1">
        <f t="array" ref="AA1570">IF(P1570="", "", _xlfn.XLOOKUP(P1570,#REF!,#REF!,NA,0,-1))</f>
        <v/>
      </c>
      <c r="AB1570" s="22"/>
      <c r="AC1570" s="55" t="str">
        <f>IF(Table26[[#This Row],[customerSKU]]="","",_xlfn.XLOOKUP(Table26[[#This Row],[customerSKU]],customerSKU!G:G,customerSKU!C:C,"",0,1))</f>
        <v/>
      </c>
      <c r="AD1570" s="55" t="str">
        <f>IF($AC1570="","",_xlfn.XLOOKUP($AC1570,'Client Info'!$C$2:$C$2497,'Client Info'!$D$2:$D$2497,"",0,1))</f>
        <v/>
      </c>
      <c r="AE1570" s="55" t="str">
        <f>IF($AC1570="","",_xlfn.XLOOKUP($AC1570,'Client Info'!$C$2:$C$2677,'Client Info'!$E$2:$E$2677,"",))</f>
        <v/>
      </c>
      <c r="AF1570" s="55" t="str">
        <f>IF($AC1570="","",_xlfn.XLOOKUP($AC1570,'Client Info'!$C$2:$C$2677,'Client Info'!$F$2:$F$2677,"",0,1))</f>
        <v/>
      </c>
      <c r="AG1570" s="55" t="str">
        <f>IF(ISBLANK(Table26[[#This Row],[customerSKU]]),"",_xlfn.XLOOKUP(Table26[[#This Row],[customerSKU]],Table27[customer_SKU],Table27[billto],"",0,1))</f>
        <v/>
      </c>
      <c r="AH1570" s="26" t="str">
        <f>_xlfn.XLOOKUP(Table26[[#This Row],[customerSKU]],customerSKU!G:G,customerSKU!K:K,"NA",0,1)</f>
        <v>NA</v>
      </c>
      <c r="AI1570" s="43" t="str">
        <f>_xlfn.XLOOKUP(Table26[[#This Row],[customerSKU]],customerSKU!G:G,customerSKU!O:O,"not found",0,1)</f>
        <v>not found</v>
      </c>
      <c r="AJ1570" s="22" t="e">
        <f>Table26[[#This Row],[unitprice]]*Table26[[#This Row],[quantity_unit]]</f>
        <v>#VALUE!</v>
      </c>
      <c r="AK1570" s="227" t="e" cm="1">
        <f t="array" ref="AK15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1" spans="1:37" ht="18" customHeight="1">
      <c r="A1571" s="42">
        <v>669</v>
      </c>
      <c r="B1571" s="42" t="s">
        <v>3520</v>
      </c>
      <c r="C1571" s="53" t="s">
        <v>203</v>
      </c>
      <c r="E1571" s="20"/>
      <c r="F15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1" s="93"/>
      <c r="I1571" s="203">
        <v>45772</v>
      </c>
      <c r="J1571" s="90" t="str">
        <f>IF(Table26[[#This Row],[customerSKU]]="","",_xlfn.XLOOKUP(Table26[[#This Row],[customerSKU]],customerSKU!G:G,customerSKU!A:A,"",0,1))</f>
        <v/>
      </c>
      <c r="K1571" s="232">
        <v>45778</v>
      </c>
      <c r="L1571" s="49" t="str">
        <f>IF(Table26[[#This Row],[customerSKU]]="","",_xlfn.XLOOKUP(Table26[[#This Row],[customerSKU]],customerSKU!G:G,customerSKU!B:B,"",0,1))</f>
        <v/>
      </c>
      <c r="M1571" s="22"/>
      <c r="N1571" s="15" t="str">
        <f>Table26[[#This Row],[po_number]]&amp;"-"&amp;Table26[[#This Row],[po_line]]</f>
        <v>-3</v>
      </c>
      <c r="O1571" s="15">
        <v>3</v>
      </c>
      <c r="P1571" s="50"/>
      <c r="Q1571" s="22" t="s">
        <v>3461</v>
      </c>
      <c r="R1571" s="22" t="s">
        <v>569</v>
      </c>
      <c r="S1571" s="90" t="str">
        <f>IF(Table26[[#This Row],[customerSKU]]="","",_xlfn.XLOOKUP(Table26[[#This Row],[customerSKU]],customerSKU!G:G,customerSKU!N:N,"NOT FOUND",0,1))</f>
        <v>NOT FOUND</v>
      </c>
      <c r="T1571" s="20">
        <v>45588</v>
      </c>
      <c r="U1571" s="94">
        <v>60</v>
      </c>
      <c r="V1571" s="22" t="str">
        <f>IF(ISBLANK(Table26[[#This Row],[customerSKU]]),"",_xlfn.XLOOKUP(Table26[[#This Row],[customerSKU]],Table27[customer_SKU],Table27[case_size],"",0,1))</f>
        <v/>
      </c>
      <c r="W1571" s="117" t="str">
        <f t="shared" si="65"/>
        <v/>
      </c>
      <c r="X1571" s="22" t="str">
        <f t="shared" si="66"/>
        <v/>
      </c>
      <c r="Y1571" s="25" t="str">
        <f>IF(Table26[[#This Row],[customerSKU]]="","",_xlfn.XLOOKUP(Table26[[#This Row],[customerSKU]],Table27[customer_SKU],Table27[product_GTIN],"",0,1))</f>
        <v/>
      </c>
      <c r="Z1571" s="25">
        <v>7900356</v>
      </c>
      <c r="AA1571" s="18" t="str" cm="1">
        <f t="array" ref="AA1571">IF(P1571="", "", _xlfn.XLOOKUP(P1571,#REF!,#REF!,NA,0,-1))</f>
        <v/>
      </c>
      <c r="AB1571" s="22"/>
      <c r="AC1571" s="55" t="str">
        <f>IF(Table26[[#This Row],[customerSKU]]="","",_xlfn.XLOOKUP(Table26[[#This Row],[customerSKU]],customerSKU!G:G,customerSKU!C:C,"",0,1))</f>
        <v/>
      </c>
      <c r="AD1571" s="55" t="str">
        <f>IF($AC1571="","",_xlfn.XLOOKUP($AC1571,'Client Info'!$C$2:$C$2497,'Client Info'!$D$2:$D$2497,"",0,1))</f>
        <v/>
      </c>
      <c r="AE1571" s="55" t="str">
        <f>IF($AC1571="","",_xlfn.XLOOKUP($AC1571,'Client Info'!$C$2:$C$2677,'Client Info'!$E$2:$E$2677,"",))</f>
        <v/>
      </c>
      <c r="AF1571" s="55" t="str">
        <f>IF($AC1571="","",_xlfn.XLOOKUP($AC1571,'Client Info'!$C$2:$C$2677,'Client Info'!$F$2:$F$2677,"",0,1))</f>
        <v/>
      </c>
      <c r="AG1571" s="55" t="str">
        <f>IF(ISBLANK(Table26[[#This Row],[customerSKU]]),"",_xlfn.XLOOKUP(Table26[[#This Row],[customerSKU]],Table27[customer_SKU],Table27[billto],"",0,1))</f>
        <v/>
      </c>
      <c r="AH1571" s="26" t="str">
        <f>_xlfn.XLOOKUP(Table26[[#This Row],[customerSKU]],customerSKU!G:G,customerSKU!K:K,"NA",0,1)</f>
        <v>NA</v>
      </c>
      <c r="AI1571" s="43" t="str">
        <f>_xlfn.XLOOKUP(Table26[[#This Row],[customerSKU]],customerSKU!G:G,customerSKU!O:O,"not found",0,1)</f>
        <v>not found</v>
      </c>
      <c r="AJ1571" s="22" t="e">
        <f>Table26[[#This Row],[unitprice]]*Table26[[#This Row],[quantity_unit]]</f>
        <v>#VALUE!</v>
      </c>
      <c r="AK1571" s="227" t="e" cm="1">
        <f t="array" ref="AK15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2" spans="1:37" ht="18" customHeight="1">
      <c r="A1572" s="42">
        <v>670</v>
      </c>
      <c r="B1572" s="42" t="s">
        <v>3520</v>
      </c>
      <c r="C1572" s="53" t="s">
        <v>203</v>
      </c>
      <c r="E1572" s="20"/>
      <c r="F15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2" s="93"/>
      <c r="I1572" s="203">
        <v>45772</v>
      </c>
      <c r="J1572" s="90" t="str">
        <f>IF(Table26[[#This Row],[customerSKU]]="","",_xlfn.XLOOKUP(Table26[[#This Row],[customerSKU]],customerSKU!G:G,customerSKU!A:A,"",0,1))</f>
        <v/>
      </c>
      <c r="K1572" s="232">
        <v>45778</v>
      </c>
      <c r="L1572" s="49" t="str">
        <f>IF(Table26[[#This Row],[customerSKU]]="","",_xlfn.XLOOKUP(Table26[[#This Row],[customerSKU]],customerSKU!G:G,customerSKU!B:B,"",0,1))</f>
        <v/>
      </c>
      <c r="M1572" s="22"/>
      <c r="N1572" s="15" t="str">
        <f>Table26[[#This Row],[po_number]]&amp;"-"&amp;Table26[[#This Row],[po_line]]</f>
        <v>-4</v>
      </c>
      <c r="O1572" s="15">
        <v>4</v>
      </c>
      <c r="P1572" s="50"/>
      <c r="Q1572" s="22" t="s">
        <v>1738</v>
      </c>
      <c r="R1572" s="22" t="s">
        <v>569</v>
      </c>
      <c r="S1572" s="90" t="str">
        <f>IF(Table26[[#This Row],[customerSKU]]="","",_xlfn.XLOOKUP(Table26[[#This Row],[customerSKU]],customerSKU!G:G,customerSKU!N:N,"NOT FOUND",0,1))</f>
        <v>NOT FOUND</v>
      </c>
      <c r="T1572" s="20">
        <v>45660</v>
      </c>
      <c r="U1572" s="94">
        <v>48</v>
      </c>
      <c r="V1572" s="22" t="str">
        <f>IF(ISBLANK(Table26[[#This Row],[customerSKU]]),"",_xlfn.XLOOKUP(Table26[[#This Row],[customerSKU]],Table27[customer_SKU],Table27[case_size],"",0,1))</f>
        <v/>
      </c>
      <c r="W1572" s="117" t="str">
        <f t="shared" si="65"/>
        <v/>
      </c>
      <c r="X1572" s="22" t="str">
        <f t="shared" si="66"/>
        <v/>
      </c>
      <c r="Y1572" s="25" t="str">
        <f>IF(Table26[[#This Row],[customerSKU]]="","",_xlfn.XLOOKUP(Table26[[#This Row],[customerSKU]],Table27[customer_SKU],Table27[product_GTIN],"",0,1))</f>
        <v/>
      </c>
      <c r="Z1572" s="25">
        <v>7900384</v>
      </c>
      <c r="AA1572" s="18" t="str" cm="1">
        <f t="array" ref="AA1572">IF(P1572="", "", _xlfn.XLOOKUP(P1572,#REF!,#REF!,NA,0,-1))</f>
        <v/>
      </c>
      <c r="AB1572" s="22"/>
      <c r="AC1572" s="55" t="str">
        <f>IF(Table26[[#This Row],[customerSKU]]="","",_xlfn.XLOOKUP(Table26[[#This Row],[customerSKU]],customerSKU!G:G,customerSKU!C:C,"",0,1))</f>
        <v/>
      </c>
      <c r="AD1572" s="55" t="str">
        <f>IF($AC1572="","",_xlfn.XLOOKUP($AC1572,'Client Info'!$C$2:$C$2497,'Client Info'!$D$2:$D$2497,"",0,1))</f>
        <v/>
      </c>
      <c r="AE1572" s="55" t="str">
        <f>IF($AC1572="","",_xlfn.XLOOKUP($AC1572,'Client Info'!$C$2:$C$2677,'Client Info'!$E$2:$E$2677,"",))</f>
        <v/>
      </c>
      <c r="AF1572" s="55" t="str">
        <f>IF($AC1572="","",_xlfn.XLOOKUP($AC1572,'Client Info'!$C$2:$C$2677,'Client Info'!$F$2:$F$2677,"",0,1))</f>
        <v/>
      </c>
      <c r="AG1572" s="55" t="str">
        <f>IF(ISBLANK(Table26[[#This Row],[customerSKU]]),"",_xlfn.XLOOKUP(Table26[[#This Row],[customerSKU]],Table27[customer_SKU],Table27[billto],"",0,1))</f>
        <v/>
      </c>
      <c r="AH1572" s="26" t="str">
        <f>_xlfn.XLOOKUP(Table26[[#This Row],[customerSKU]],customerSKU!G:G,customerSKU!K:K,"NA",0,1)</f>
        <v>NA</v>
      </c>
      <c r="AI1572" s="43" t="str">
        <f>_xlfn.XLOOKUP(Table26[[#This Row],[customerSKU]],customerSKU!G:G,customerSKU!O:O,"not found",0,1)</f>
        <v>not found</v>
      </c>
      <c r="AJ1572" s="22" t="e">
        <f>Table26[[#This Row],[unitprice]]*Table26[[#This Row],[quantity_unit]]</f>
        <v>#VALUE!</v>
      </c>
      <c r="AK1572" s="227" t="e" cm="1">
        <f t="array" ref="AK15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3" spans="1:37" ht="18" customHeight="1">
      <c r="A1573" s="42">
        <v>671</v>
      </c>
      <c r="B1573" s="42" t="s">
        <v>3520</v>
      </c>
      <c r="C1573" s="53" t="s">
        <v>203</v>
      </c>
      <c r="E1573" s="20"/>
      <c r="F15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3" s="93"/>
      <c r="I1573" s="203">
        <v>45772</v>
      </c>
      <c r="J1573" s="90" t="str">
        <f>IF(Table26[[#This Row],[customerSKU]]="","",_xlfn.XLOOKUP(Table26[[#This Row],[customerSKU]],customerSKU!G:G,customerSKU!A:A,"",0,1))</f>
        <v/>
      </c>
      <c r="K1573" s="232">
        <v>45778</v>
      </c>
      <c r="L1573" s="49" t="str">
        <f>IF(Table26[[#This Row],[customerSKU]]="","",_xlfn.XLOOKUP(Table26[[#This Row],[customerSKU]],customerSKU!G:G,customerSKU!B:B,"",0,1))</f>
        <v/>
      </c>
      <c r="M1573" s="22"/>
      <c r="N1573" s="15" t="str">
        <f>Table26[[#This Row],[po_number]]&amp;"-"&amp;Table26[[#This Row],[po_line]]</f>
        <v>-5</v>
      </c>
      <c r="O1573" s="15">
        <v>5</v>
      </c>
      <c r="P1573" s="50"/>
      <c r="Q1573" s="22" t="s">
        <v>1712</v>
      </c>
      <c r="R1573" s="22" t="s">
        <v>569</v>
      </c>
      <c r="S1573" s="90" t="str">
        <f>IF(Table26[[#This Row],[customerSKU]]="","",_xlfn.XLOOKUP(Table26[[#This Row],[customerSKU]],customerSKU!G:G,customerSKU!N:N,"NOT FOUND",0,1))</f>
        <v>NOT FOUND</v>
      </c>
      <c r="T1573" s="20">
        <v>45761</v>
      </c>
      <c r="U1573" s="94">
        <v>48</v>
      </c>
      <c r="V1573" s="22" t="str">
        <f>IF(ISBLANK(Table26[[#This Row],[customerSKU]]),"",_xlfn.XLOOKUP(Table26[[#This Row],[customerSKU]],Table27[customer_SKU],Table27[case_size],"",0,1))</f>
        <v/>
      </c>
      <c r="W1573" s="117" t="str">
        <f t="shared" si="65"/>
        <v/>
      </c>
      <c r="X1573" s="22" t="str">
        <f t="shared" si="66"/>
        <v/>
      </c>
      <c r="Y1573" s="25" t="str">
        <f>IF(Table26[[#This Row],[customerSKU]]="","",_xlfn.XLOOKUP(Table26[[#This Row],[customerSKU]],Table27[customer_SKU],Table27[product_GTIN],"",0,1))</f>
        <v/>
      </c>
      <c r="Z1573" s="25">
        <v>7900386</v>
      </c>
      <c r="AA1573" s="18" t="str" cm="1">
        <f t="array" ref="AA1573">IF(P1573="", "", _xlfn.XLOOKUP(P1573,#REF!,#REF!,NA,0,-1))</f>
        <v/>
      </c>
      <c r="AB1573" s="22"/>
      <c r="AC1573" s="55" t="str">
        <f>IF(Table26[[#This Row],[customerSKU]]="","",_xlfn.XLOOKUP(Table26[[#This Row],[customerSKU]],customerSKU!G:G,customerSKU!C:C,"",0,1))</f>
        <v/>
      </c>
      <c r="AD1573" s="55" t="str">
        <f>IF($AC1573="","",_xlfn.XLOOKUP($AC1573,'Client Info'!$C$2:$C$2497,'Client Info'!$D$2:$D$2497,"",0,1))</f>
        <v/>
      </c>
      <c r="AE1573" s="55" t="str">
        <f>IF($AC1573="","",_xlfn.XLOOKUP($AC1573,'Client Info'!$C$2:$C$2677,'Client Info'!$E$2:$E$2677,"",))</f>
        <v/>
      </c>
      <c r="AF1573" s="55" t="str">
        <f>IF($AC1573="","",_xlfn.XLOOKUP($AC1573,'Client Info'!$C$2:$C$2677,'Client Info'!$F$2:$F$2677,"",0,1))</f>
        <v/>
      </c>
      <c r="AG1573" s="55" t="str">
        <f>IF(ISBLANK(Table26[[#This Row],[customerSKU]]),"",_xlfn.XLOOKUP(Table26[[#This Row],[customerSKU]],Table27[customer_SKU],Table27[billto],"",0,1))</f>
        <v/>
      </c>
      <c r="AH1573" s="26" t="str">
        <f>_xlfn.XLOOKUP(Table26[[#This Row],[customerSKU]],customerSKU!G:G,customerSKU!K:K,"NA",0,1)</f>
        <v>NA</v>
      </c>
      <c r="AI1573" s="43" t="str">
        <f>_xlfn.XLOOKUP(Table26[[#This Row],[customerSKU]],customerSKU!G:G,customerSKU!O:O,"not found",0,1)</f>
        <v>not found</v>
      </c>
      <c r="AJ1573" s="22" t="e">
        <f>Table26[[#This Row],[unitprice]]*Table26[[#This Row],[quantity_unit]]</f>
        <v>#VALUE!</v>
      </c>
      <c r="AK1573" s="227" t="e" cm="1">
        <f t="array" ref="AK15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4" spans="1:37" ht="18" customHeight="1">
      <c r="A1574" s="42">
        <v>672</v>
      </c>
      <c r="B1574" s="42" t="s">
        <v>3520</v>
      </c>
      <c r="C1574" s="53" t="s">
        <v>203</v>
      </c>
      <c r="E1574" s="20"/>
      <c r="F15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4" s="93"/>
      <c r="I1574" s="203">
        <v>45772</v>
      </c>
      <c r="J1574" s="90" t="str">
        <f>IF(Table26[[#This Row],[customerSKU]]="","",_xlfn.XLOOKUP(Table26[[#This Row],[customerSKU]],customerSKU!G:G,customerSKU!A:A,"",0,1))</f>
        <v/>
      </c>
      <c r="K1574" s="232">
        <v>45778</v>
      </c>
      <c r="L1574" s="49" t="str">
        <f>IF(Table26[[#This Row],[customerSKU]]="","",_xlfn.XLOOKUP(Table26[[#This Row],[customerSKU]],customerSKU!G:G,customerSKU!B:B,"",0,1))</f>
        <v/>
      </c>
      <c r="M1574" s="22"/>
      <c r="N1574" s="15" t="str">
        <f>Table26[[#This Row],[po_number]]&amp;"-"&amp;Table26[[#This Row],[po_line]]</f>
        <v>-6</v>
      </c>
      <c r="O1574" s="15">
        <v>6</v>
      </c>
      <c r="P1574" s="50"/>
      <c r="Q1574" s="22" t="s">
        <v>614</v>
      </c>
      <c r="R1574" s="22" t="s">
        <v>569</v>
      </c>
      <c r="S1574" s="90" t="str">
        <f>IF(Table26[[#This Row],[customerSKU]]="","",_xlfn.XLOOKUP(Table26[[#This Row],[customerSKU]],customerSKU!G:G,customerSKU!N:N,"NOT FOUND",0,1))</f>
        <v>NOT FOUND</v>
      </c>
      <c r="T1574" s="20">
        <v>45763</v>
      </c>
      <c r="U1574" s="94">
        <v>48</v>
      </c>
      <c r="V1574" s="22" t="str">
        <f>IF(ISBLANK(Table26[[#This Row],[customerSKU]]),"",_xlfn.XLOOKUP(Table26[[#This Row],[customerSKU]],Table27[customer_SKU],Table27[case_size],"",0,1))</f>
        <v/>
      </c>
      <c r="W1574" s="117" t="str">
        <f t="shared" si="65"/>
        <v/>
      </c>
      <c r="X1574" s="22" t="str">
        <f t="shared" si="66"/>
        <v/>
      </c>
      <c r="Y1574" s="25" t="str">
        <f>IF(Table26[[#This Row],[customerSKU]]="","",_xlfn.XLOOKUP(Table26[[#This Row],[customerSKU]],Table27[customer_SKU],Table27[product_GTIN],"",0,1))</f>
        <v/>
      </c>
      <c r="Z1574" s="25">
        <v>7900405</v>
      </c>
      <c r="AA1574" s="18" t="str" cm="1">
        <f t="array" ref="AA1574">IF(P1574="", "", _xlfn.XLOOKUP(P1574,#REF!,#REF!,NA,0,-1))</f>
        <v/>
      </c>
      <c r="AB1574" s="22"/>
      <c r="AC1574" s="55" t="str">
        <f>IF(Table26[[#This Row],[customerSKU]]="","",_xlfn.XLOOKUP(Table26[[#This Row],[customerSKU]],customerSKU!G:G,customerSKU!C:C,"",0,1))</f>
        <v/>
      </c>
      <c r="AD1574" s="55" t="str">
        <f>IF($AC1574="","",_xlfn.XLOOKUP($AC1574,'Client Info'!$C$2:$C$2497,'Client Info'!$D$2:$D$2497,"",0,1))</f>
        <v/>
      </c>
      <c r="AE1574" s="55" t="str">
        <f>IF($AC1574="","",_xlfn.XLOOKUP($AC1574,'Client Info'!$C$2:$C$2677,'Client Info'!$E$2:$E$2677,"",))</f>
        <v/>
      </c>
      <c r="AF1574" s="55" t="str">
        <f>IF($AC1574="","",_xlfn.XLOOKUP($AC1574,'Client Info'!$C$2:$C$2677,'Client Info'!$F$2:$F$2677,"",0,1))</f>
        <v/>
      </c>
      <c r="AG1574" s="55" t="str">
        <f>IF(ISBLANK(Table26[[#This Row],[customerSKU]]),"",_xlfn.XLOOKUP(Table26[[#This Row],[customerSKU]],Table27[customer_SKU],Table27[billto],"",0,1))</f>
        <v/>
      </c>
      <c r="AH1574" s="26" t="str">
        <f>_xlfn.XLOOKUP(Table26[[#This Row],[customerSKU]],customerSKU!G:G,customerSKU!K:K,"NA",0,1)</f>
        <v>NA</v>
      </c>
      <c r="AI1574" s="43" t="str">
        <f>_xlfn.XLOOKUP(Table26[[#This Row],[customerSKU]],customerSKU!G:G,customerSKU!O:O,"not found",0,1)</f>
        <v>not found</v>
      </c>
      <c r="AJ1574" s="22" t="e">
        <f>Table26[[#This Row],[unitprice]]*Table26[[#This Row],[quantity_unit]]</f>
        <v>#VALUE!</v>
      </c>
      <c r="AK1574" s="227" t="e" cm="1">
        <f t="array" ref="AK15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5" spans="1:37" ht="18" customHeight="1">
      <c r="A1575" s="42">
        <v>673</v>
      </c>
      <c r="B1575" s="42" t="s">
        <v>3520</v>
      </c>
      <c r="C1575" s="53" t="s">
        <v>203</v>
      </c>
      <c r="E1575" s="20"/>
      <c r="F15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5" s="93"/>
      <c r="I1575" s="203">
        <v>45772</v>
      </c>
      <c r="J1575" s="90" t="str">
        <f>IF(Table26[[#This Row],[customerSKU]]="","",_xlfn.XLOOKUP(Table26[[#This Row],[customerSKU]],customerSKU!G:G,customerSKU!A:A,"",0,1))</f>
        <v/>
      </c>
      <c r="K1575" s="232">
        <v>45778</v>
      </c>
      <c r="L1575" s="49" t="str">
        <f>IF(Table26[[#This Row],[customerSKU]]="","",_xlfn.XLOOKUP(Table26[[#This Row],[customerSKU]],customerSKU!G:G,customerSKU!B:B,"",0,1))</f>
        <v/>
      </c>
      <c r="M1575" s="22"/>
      <c r="N1575" s="15" t="str">
        <f>Table26[[#This Row],[po_number]]&amp;"-"&amp;Table26[[#This Row],[po_line]]</f>
        <v>-7</v>
      </c>
      <c r="O1575" s="15">
        <v>7</v>
      </c>
      <c r="P1575" s="50"/>
      <c r="Q1575" s="22" t="s">
        <v>1735</v>
      </c>
      <c r="R1575" s="22" t="s">
        <v>569</v>
      </c>
      <c r="S1575" s="90" t="str">
        <f>IF(Table26[[#This Row],[customerSKU]]="","",_xlfn.XLOOKUP(Table26[[#This Row],[customerSKU]],customerSKU!G:G,customerSKU!N:N,"NOT FOUND",0,1))</f>
        <v>NOT FOUND</v>
      </c>
      <c r="T1575" s="20">
        <v>45707</v>
      </c>
      <c r="U1575" s="94">
        <v>48</v>
      </c>
      <c r="V1575" s="22" t="str">
        <f>IF(ISBLANK(Table26[[#This Row],[customerSKU]]),"",_xlfn.XLOOKUP(Table26[[#This Row],[customerSKU]],Table27[customer_SKU],Table27[case_size],"",0,1))</f>
        <v/>
      </c>
      <c r="W1575" s="117" t="str">
        <f t="shared" si="65"/>
        <v/>
      </c>
      <c r="X1575" s="22" t="str">
        <f t="shared" si="66"/>
        <v/>
      </c>
      <c r="Y1575" s="25" t="str">
        <f>IF(Table26[[#This Row],[customerSKU]]="","",_xlfn.XLOOKUP(Table26[[#This Row],[customerSKU]],Table27[customer_SKU],Table27[product_GTIN],"",0,1))</f>
        <v/>
      </c>
      <c r="Z1575" s="25">
        <v>7900412</v>
      </c>
      <c r="AA1575" s="18" t="str" cm="1">
        <f t="array" ref="AA1575">IF(P1575="", "", _xlfn.XLOOKUP(P1575,#REF!,#REF!,NA,0,-1))</f>
        <v/>
      </c>
      <c r="AB1575" s="22"/>
      <c r="AC1575" s="55" t="str">
        <f>IF(Table26[[#This Row],[customerSKU]]="","",_xlfn.XLOOKUP(Table26[[#This Row],[customerSKU]],customerSKU!G:G,customerSKU!C:C,"",0,1))</f>
        <v/>
      </c>
      <c r="AD1575" s="55" t="str">
        <f>IF($AC1575="","",_xlfn.XLOOKUP($AC1575,'Client Info'!$C$2:$C$2497,'Client Info'!$D$2:$D$2497,"",0,1))</f>
        <v/>
      </c>
      <c r="AE1575" s="55" t="str">
        <f>IF($AC1575="","",_xlfn.XLOOKUP($AC1575,'Client Info'!$C$2:$C$2677,'Client Info'!$E$2:$E$2677,"",))</f>
        <v/>
      </c>
      <c r="AF1575" s="55" t="str">
        <f>IF($AC1575="","",_xlfn.XLOOKUP($AC1575,'Client Info'!$C$2:$C$2677,'Client Info'!$F$2:$F$2677,"",0,1))</f>
        <v/>
      </c>
      <c r="AG1575" s="55" t="str">
        <f>IF(ISBLANK(Table26[[#This Row],[customerSKU]]),"",_xlfn.XLOOKUP(Table26[[#This Row],[customerSKU]],Table27[customer_SKU],Table27[billto],"",0,1))</f>
        <v/>
      </c>
      <c r="AH1575" s="26" t="str">
        <f>_xlfn.XLOOKUP(Table26[[#This Row],[customerSKU]],customerSKU!G:G,customerSKU!K:K,"NA",0,1)</f>
        <v>NA</v>
      </c>
      <c r="AI1575" s="43" t="str">
        <f>_xlfn.XLOOKUP(Table26[[#This Row],[customerSKU]],customerSKU!G:G,customerSKU!O:O,"not found",0,1)</f>
        <v>not found</v>
      </c>
      <c r="AJ1575" s="22" t="e">
        <f>Table26[[#This Row],[unitprice]]*Table26[[#This Row],[quantity_unit]]</f>
        <v>#VALUE!</v>
      </c>
      <c r="AK1575" s="227" t="e" cm="1">
        <f t="array" ref="AK15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6" spans="1:37" ht="18" customHeight="1">
      <c r="A1576" s="42">
        <v>674</v>
      </c>
      <c r="B1576" s="42" t="s">
        <v>3520</v>
      </c>
      <c r="C1576" s="53" t="s">
        <v>203</v>
      </c>
      <c r="E1576" s="20"/>
      <c r="F15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6" s="93"/>
      <c r="I1576" s="203">
        <v>45772</v>
      </c>
      <c r="J1576" s="90" t="str">
        <f>IF(Table26[[#This Row],[customerSKU]]="","",_xlfn.XLOOKUP(Table26[[#This Row],[customerSKU]],customerSKU!G:G,customerSKU!A:A,"",0,1))</f>
        <v/>
      </c>
      <c r="K1576" s="232">
        <v>45778</v>
      </c>
      <c r="L1576" s="49" t="str">
        <f>IF(Table26[[#This Row],[customerSKU]]="","",_xlfn.XLOOKUP(Table26[[#This Row],[customerSKU]],customerSKU!G:G,customerSKU!B:B,"",0,1))</f>
        <v/>
      </c>
      <c r="M1576" s="22"/>
      <c r="N1576" s="15" t="str">
        <f>Table26[[#This Row],[po_number]]&amp;"-"&amp;Table26[[#This Row],[po_line]]</f>
        <v>-8</v>
      </c>
      <c r="O1576" s="15">
        <v>8</v>
      </c>
      <c r="P1576" s="50"/>
      <c r="Q1576" s="22" t="s">
        <v>1706</v>
      </c>
      <c r="R1576" s="22" t="s">
        <v>569</v>
      </c>
      <c r="S1576" s="90" t="str">
        <f>IF(Table26[[#This Row],[customerSKU]]="","",_xlfn.XLOOKUP(Table26[[#This Row],[customerSKU]],customerSKU!G:G,customerSKU!N:N,"NOT FOUND",0,1))</f>
        <v>NOT FOUND</v>
      </c>
      <c r="T1576" s="20">
        <v>45770</v>
      </c>
      <c r="U1576" s="94">
        <v>48</v>
      </c>
      <c r="V1576" s="22" t="str">
        <f>IF(ISBLANK(Table26[[#This Row],[customerSKU]]),"",_xlfn.XLOOKUP(Table26[[#This Row],[customerSKU]],Table27[customer_SKU],Table27[case_size],"",0,1))</f>
        <v/>
      </c>
      <c r="W1576" s="117" t="str">
        <f t="shared" si="65"/>
        <v/>
      </c>
      <c r="X1576" s="22" t="str">
        <f t="shared" si="66"/>
        <v/>
      </c>
      <c r="Y1576" s="25" t="str">
        <f>IF(Table26[[#This Row],[customerSKU]]="","",_xlfn.XLOOKUP(Table26[[#This Row],[customerSKU]],Table27[customer_SKU],Table27[product_GTIN],"",0,1))</f>
        <v/>
      </c>
      <c r="Z1576" s="25">
        <v>7900417</v>
      </c>
      <c r="AA1576" s="18" t="str" cm="1">
        <f t="array" ref="AA1576">IF(P1576="", "", _xlfn.XLOOKUP(P1576,#REF!,#REF!,NA,0,-1))</f>
        <v/>
      </c>
      <c r="AB1576" s="22"/>
      <c r="AC1576" s="55" t="str">
        <f>IF(Table26[[#This Row],[customerSKU]]="","",_xlfn.XLOOKUP(Table26[[#This Row],[customerSKU]],customerSKU!G:G,customerSKU!C:C,"",0,1))</f>
        <v/>
      </c>
      <c r="AD1576" s="55" t="str">
        <f>IF($AC1576="","",_xlfn.XLOOKUP($AC1576,'Client Info'!$C$2:$C$2497,'Client Info'!$D$2:$D$2497,"",0,1))</f>
        <v/>
      </c>
      <c r="AE1576" s="55" t="str">
        <f>IF($AC1576="","",_xlfn.XLOOKUP($AC1576,'Client Info'!$C$2:$C$2677,'Client Info'!$E$2:$E$2677,"",))</f>
        <v/>
      </c>
      <c r="AF1576" s="55" t="str">
        <f>IF($AC1576="","",_xlfn.XLOOKUP($AC1576,'Client Info'!$C$2:$C$2677,'Client Info'!$F$2:$F$2677,"",0,1))</f>
        <v/>
      </c>
      <c r="AG1576" s="55" t="str">
        <f>IF(ISBLANK(Table26[[#This Row],[customerSKU]]),"",_xlfn.XLOOKUP(Table26[[#This Row],[customerSKU]],Table27[customer_SKU],Table27[billto],"",0,1))</f>
        <v/>
      </c>
      <c r="AH1576" s="26" t="str">
        <f>_xlfn.XLOOKUP(Table26[[#This Row],[customerSKU]],customerSKU!G:G,customerSKU!K:K,"NA",0,1)</f>
        <v>NA</v>
      </c>
      <c r="AI1576" s="43" t="str">
        <f>_xlfn.XLOOKUP(Table26[[#This Row],[customerSKU]],customerSKU!G:G,customerSKU!O:O,"not found",0,1)</f>
        <v>not found</v>
      </c>
      <c r="AJ1576" s="22" t="e">
        <f>Table26[[#This Row],[unitprice]]*Table26[[#This Row],[quantity_unit]]</f>
        <v>#VALUE!</v>
      </c>
      <c r="AK1576" s="227" t="e" cm="1">
        <f t="array" ref="AK15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7" spans="1:37" ht="18" customHeight="1">
      <c r="A1577" s="42">
        <v>675</v>
      </c>
      <c r="B1577" s="42" t="s">
        <v>3520</v>
      </c>
      <c r="C1577" s="53" t="s">
        <v>203</v>
      </c>
      <c r="E1577" s="20"/>
      <c r="F15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7" s="93"/>
      <c r="I1577" s="203">
        <v>45772</v>
      </c>
      <c r="J1577" s="90" t="str">
        <f>IF(Table26[[#This Row],[customerSKU]]="","",_xlfn.XLOOKUP(Table26[[#This Row],[customerSKU]],customerSKU!G:G,customerSKU!A:A,"",0,1))</f>
        <v/>
      </c>
      <c r="K1577" s="232">
        <v>45778</v>
      </c>
      <c r="L1577" s="49" t="str">
        <f>IF(Table26[[#This Row],[customerSKU]]="","",_xlfn.XLOOKUP(Table26[[#This Row],[customerSKU]],customerSKU!G:G,customerSKU!B:B,"",0,1))</f>
        <v/>
      </c>
      <c r="M1577" s="22"/>
      <c r="N1577" s="15" t="str">
        <f>Table26[[#This Row],[po_number]]&amp;"-"&amp;Table26[[#This Row],[po_line]]</f>
        <v>-9</v>
      </c>
      <c r="O1577" s="15">
        <v>9</v>
      </c>
      <c r="P1577" s="50"/>
      <c r="Q1577" s="22" t="s">
        <v>1709</v>
      </c>
      <c r="R1577" s="22" t="s">
        <v>569</v>
      </c>
      <c r="S1577" s="90" t="str">
        <f>IF(Table26[[#This Row],[customerSKU]]="","",_xlfn.XLOOKUP(Table26[[#This Row],[customerSKU]],customerSKU!G:G,customerSKU!N:N,"NOT FOUND",0,1))</f>
        <v>NOT FOUND</v>
      </c>
      <c r="T1577" s="20">
        <v>45772</v>
      </c>
      <c r="U1577" s="94">
        <v>48</v>
      </c>
      <c r="V1577" s="22" t="str">
        <f>IF(ISBLANK(Table26[[#This Row],[customerSKU]]),"",_xlfn.XLOOKUP(Table26[[#This Row],[customerSKU]],Table27[customer_SKU],Table27[case_size],"",0,1))</f>
        <v/>
      </c>
      <c r="W1577" s="117" t="str">
        <f t="shared" si="65"/>
        <v/>
      </c>
      <c r="X1577" s="22" t="str">
        <f t="shared" si="66"/>
        <v/>
      </c>
      <c r="Y1577" s="25" t="str">
        <f>IF(Table26[[#This Row],[customerSKU]]="","",_xlfn.XLOOKUP(Table26[[#This Row],[customerSKU]],Table27[customer_SKU],Table27[product_GTIN],"",0,1))</f>
        <v/>
      </c>
      <c r="Z1577" s="25">
        <v>7900446</v>
      </c>
      <c r="AA1577" s="18" t="str" cm="1">
        <f t="array" ref="AA1577">IF(P1577="", "", _xlfn.XLOOKUP(P1577,#REF!,#REF!,NA,0,-1))</f>
        <v/>
      </c>
      <c r="AB1577" s="22"/>
      <c r="AC1577" s="55" t="str">
        <f>IF(Table26[[#This Row],[customerSKU]]="","",_xlfn.XLOOKUP(Table26[[#This Row],[customerSKU]],customerSKU!G:G,customerSKU!C:C,"",0,1))</f>
        <v/>
      </c>
      <c r="AD1577" s="55" t="str">
        <f>IF($AC1577="","",_xlfn.XLOOKUP($AC1577,'Client Info'!$C$2:$C$2497,'Client Info'!$D$2:$D$2497,"",0,1))</f>
        <v/>
      </c>
      <c r="AE1577" s="55" t="str">
        <f>IF($AC1577="","",_xlfn.XLOOKUP($AC1577,'Client Info'!$C$2:$C$2677,'Client Info'!$E$2:$E$2677,"",))</f>
        <v/>
      </c>
      <c r="AF1577" s="55" t="str">
        <f>IF($AC1577="","",_xlfn.XLOOKUP($AC1577,'Client Info'!$C$2:$C$2677,'Client Info'!$F$2:$F$2677,"",0,1))</f>
        <v/>
      </c>
      <c r="AG1577" s="55" t="str">
        <f>IF(ISBLANK(Table26[[#This Row],[customerSKU]]),"",_xlfn.XLOOKUP(Table26[[#This Row],[customerSKU]],Table27[customer_SKU],Table27[billto],"",0,1))</f>
        <v/>
      </c>
      <c r="AH1577" s="26" t="str">
        <f>_xlfn.XLOOKUP(Table26[[#This Row],[customerSKU]],customerSKU!G:G,customerSKU!K:K,"NA",0,1)</f>
        <v>NA</v>
      </c>
      <c r="AI1577" s="43" t="str">
        <f>_xlfn.XLOOKUP(Table26[[#This Row],[customerSKU]],customerSKU!G:G,customerSKU!O:O,"not found",0,1)</f>
        <v>not found</v>
      </c>
      <c r="AJ1577" s="22" t="e">
        <f>Table26[[#This Row],[unitprice]]*Table26[[#This Row],[quantity_unit]]</f>
        <v>#VALUE!</v>
      </c>
      <c r="AK1577" s="227" t="e" cm="1">
        <f t="array" ref="AK15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8" spans="1:37" ht="18" customHeight="1">
      <c r="A1578" s="42">
        <v>676</v>
      </c>
      <c r="B1578" s="42" t="s">
        <v>3520</v>
      </c>
      <c r="C1578" s="53" t="s">
        <v>203</v>
      </c>
      <c r="E1578" s="20"/>
      <c r="F15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8" s="93"/>
      <c r="I1578" s="203">
        <v>45772</v>
      </c>
      <c r="J1578" s="90" t="str">
        <f>IF(Table26[[#This Row],[customerSKU]]="","",_xlfn.XLOOKUP(Table26[[#This Row],[customerSKU]],customerSKU!G:G,customerSKU!A:A,"",0,1))</f>
        <v/>
      </c>
      <c r="K1578" s="232">
        <v>45778</v>
      </c>
      <c r="L1578" s="49" t="str">
        <f>IF(Table26[[#This Row],[customerSKU]]="","",_xlfn.XLOOKUP(Table26[[#This Row],[customerSKU]],customerSKU!G:G,customerSKU!B:B,"",0,1))</f>
        <v/>
      </c>
      <c r="M1578" s="4"/>
      <c r="N1578" s="4" t="str">
        <f>Table26[[#This Row],[po_number]]&amp;"-"&amp;Table26[[#This Row],[po_line]]</f>
        <v>-10</v>
      </c>
      <c r="O1578" s="4">
        <v>10</v>
      </c>
      <c r="P1578" s="50"/>
      <c r="Q1578" s="22" t="s">
        <v>1632</v>
      </c>
      <c r="R1578" s="22" t="s">
        <v>569</v>
      </c>
      <c r="S1578" s="90" t="str">
        <f>IF(Table26[[#This Row],[customerSKU]]="","",_xlfn.XLOOKUP(Table26[[#This Row],[customerSKU]],customerSKU!G:G,customerSKU!N:N,"NOT FOUND",0,1))</f>
        <v>NOT FOUND</v>
      </c>
      <c r="T1578" s="20">
        <v>45756</v>
      </c>
      <c r="U1578" s="94">
        <v>48</v>
      </c>
      <c r="V1578" s="22" t="str">
        <f>IF(ISBLANK(Table26[[#This Row],[customerSKU]]),"",_xlfn.XLOOKUP(Table26[[#This Row],[customerSKU]],Table27[customer_SKU],Table27[case_size],"",0,1))</f>
        <v/>
      </c>
      <c r="W1578" s="117" t="str">
        <f t="shared" si="65"/>
        <v/>
      </c>
      <c r="X1578" s="22" t="str">
        <f t="shared" si="66"/>
        <v/>
      </c>
      <c r="Y1578" s="25" t="str">
        <f>IF(Table26[[#This Row],[customerSKU]]="","",_xlfn.XLOOKUP(Table26[[#This Row],[customerSKU]],Table27[customer_SKU],Table27[product_GTIN],"",0,1))</f>
        <v/>
      </c>
      <c r="Z1578" s="25">
        <v>7900477</v>
      </c>
      <c r="AA1578" s="18" t="str" cm="1">
        <f t="array" ref="AA1578">IF(P1578="", "", _xlfn.XLOOKUP(P1578,#REF!,#REF!,NA,0,-1))</f>
        <v/>
      </c>
      <c r="AB1578" s="22"/>
      <c r="AC1578" s="55" t="str">
        <f>IF(Table26[[#This Row],[customerSKU]]="","",_xlfn.XLOOKUP(Table26[[#This Row],[customerSKU]],customerSKU!G:G,customerSKU!C:C,"",0,1))</f>
        <v/>
      </c>
      <c r="AD1578" s="55" t="str">
        <f>IF($AC1578="","",_xlfn.XLOOKUP($AC1578,'Client Info'!$C$2:$C$2497,'Client Info'!$D$2:$D$2497,"",0,1))</f>
        <v/>
      </c>
      <c r="AE1578" s="55" t="str">
        <f>IF($AC1578="","",_xlfn.XLOOKUP($AC1578,'Client Info'!$C$2:$C$2677,'Client Info'!$E$2:$E$2677,"",))</f>
        <v/>
      </c>
      <c r="AF1578" s="55" t="str">
        <f>IF($AC1578="","",_xlfn.XLOOKUP($AC1578,'Client Info'!$C$2:$C$2677,'Client Info'!$F$2:$F$2677,"",0,1))</f>
        <v/>
      </c>
      <c r="AG1578" s="55" t="str">
        <f>IF(ISBLANK(Table26[[#This Row],[customerSKU]]),"",_xlfn.XLOOKUP(Table26[[#This Row],[customerSKU]],Table27[customer_SKU],Table27[billto],"",0,1))</f>
        <v/>
      </c>
      <c r="AH1578" s="26" t="str">
        <f>_xlfn.XLOOKUP(Table26[[#This Row],[customerSKU]],customerSKU!G:G,customerSKU!K:K,"NA",0,1)</f>
        <v>NA</v>
      </c>
      <c r="AI1578" s="43" t="str">
        <f>_xlfn.XLOOKUP(Table26[[#This Row],[customerSKU]],customerSKU!G:G,customerSKU!O:O,"not found",0,1)</f>
        <v>not found</v>
      </c>
      <c r="AJ1578" s="22" t="e">
        <f>Table26[[#This Row],[unitprice]]*Table26[[#This Row],[quantity_unit]]</f>
        <v>#VALUE!</v>
      </c>
      <c r="AK1578" s="227" t="e" cm="1">
        <f t="array" ref="AK15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79" spans="1:37" ht="18" customHeight="1">
      <c r="A1579" s="42">
        <v>677</v>
      </c>
      <c r="B1579" s="42" t="s">
        <v>3520</v>
      </c>
      <c r="C1579" s="53" t="s">
        <v>203</v>
      </c>
      <c r="E1579" s="20"/>
      <c r="F15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79" s="93"/>
      <c r="I1579" s="203">
        <v>45772</v>
      </c>
      <c r="J1579" s="90" t="str">
        <f>IF(Table26[[#This Row],[customerSKU]]="","",_xlfn.XLOOKUP(Table26[[#This Row],[customerSKU]],customerSKU!G:G,customerSKU!A:A,"",0,1))</f>
        <v/>
      </c>
      <c r="K1579" s="232">
        <v>45778</v>
      </c>
      <c r="L1579" s="49" t="str">
        <f>IF(Table26[[#This Row],[customerSKU]]="","",_xlfn.XLOOKUP(Table26[[#This Row],[customerSKU]],customerSKU!G:G,customerSKU!B:B,"",0,1))</f>
        <v/>
      </c>
      <c r="M1579" s="22"/>
      <c r="N1579" s="15" t="str">
        <f>Table26[[#This Row],[po_number]]&amp;"-"&amp;Table26[[#This Row],[po_line]]</f>
        <v>-11</v>
      </c>
      <c r="O1579" s="15">
        <v>11</v>
      </c>
      <c r="P1579" s="50"/>
      <c r="Q1579" s="22" t="s">
        <v>1667</v>
      </c>
      <c r="R1579" s="22" t="s">
        <v>569</v>
      </c>
      <c r="S1579" s="90" t="str">
        <f>IF(Table26[[#This Row],[customerSKU]]="","",_xlfn.XLOOKUP(Table26[[#This Row],[customerSKU]],customerSKU!G:G,customerSKU!N:N,"NOT FOUND",0,1))</f>
        <v>NOT FOUND</v>
      </c>
      <c r="T1579" s="20">
        <v>45777</v>
      </c>
      <c r="U1579" s="94">
        <v>48</v>
      </c>
      <c r="V1579" s="22" t="str">
        <f>IF(ISBLANK(Table26[[#This Row],[customerSKU]]),"",_xlfn.XLOOKUP(Table26[[#This Row],[customerSKU]],Table27[customer_SKU],Table27[case_size],"",0,1))</f>
        <v/>
      </c>
      <c r="W1579" s="117" t="str">
        <f t="shared" si="65"/>
        <v/>
      </c>
      <c r="X1579" s="22" t="str">
        <f t="shared" si="66"/>
        <v/>
      </c>
      <c r="Y1579" s="25" t="str">
        <f>IF(Table26[[#This Row],[customerSKU]]="","",_xlfn.XLOOKUP(Table26[[#This Row],[customerSKU]],Table27[customer_SKU],Table27[product_GTIN],"",0,1))</f>
        <v/>
      </c>
      <c r="Z1579" s="25">
        <v>7900478</v>
      </c>
      <c r="AA1579" s="18" t="str" cm="1">
        <f t="array" ref="AA1579">IF(P1579="", "", _xlfn.XLOOKUP(P1579,#REF!,#REF!,NA,0,-1))</f>
        <v/>
      </c>
      <c r="AB1579" s="22"/>
      <c r="AC1579" s="55" t="str">
        <f>IF(Table26[[#This Row],[customerSKU]]="","",_xlfn.XLOOKUP(Table26[[#This Row],[customerSKU]],customerSKU!G:G,customerSKU!C:C,"",0,1))</f>
        <v/>
      </c>
      <c r="AD1579" s="55" t="str">
        <f>IF($AC1579="","",_xlfn.XLOOKUP($AC1579,'Client Info'!$C$2:$C$2497,'Client Info'!$D$2:$D$2497,"",0,1))</f>
        <v/>
      </c>
      <c r="AE1579" s="55" t="str">
        <f>IF($AC1579="","",_xlfn.XLOOKUP($AC1579,'Client Info'!$C$2:$C$2677,'Client Info'!$E$2:$E$2677,"",))</f>
        <v/>
      </c>
      <c r="AF1579" s="55" t="str">
        <f>IF($AC1579="","",_xlfn.XLOOKUP($AC1579,'Client Info'!$C$2:$C$2677,'Client Info'!$F$2:$F$2677,"",0,1))</f>
        <v/>
      </c>
      <c r="AG1579" s="55" t="str">
        <f>IF(ISBLANK(Table26[[#This Row],[customerSKU]]),"",_xlfn.XLOOKUP(Table26[[#This Row],[customerSKU]],Table27[customer_SKU],Table27[billto],"",0,1))</f>
        <v/>
      </c>
      <c r="AH1579" s="26" t="str">
        <f>_xlfn.XLOOKUP(Table26[[#This Row],[customerSKU]],customerSKU!G:G,customerSKU!K:K,"NA",0,1)</f>
        <v>NA</v>
      </c>
      <c r="AI1579" s="43" t="str">
        <f>_xlfn.XLOOKUP(Table26[[#This Row],[customerSKU]],customerSKU!G:G,customerSKU!O:O,"not found",0,1)</f>
        <v>not found</v>
      </c>
      <c r="AJ1579" s="22" t="e">
        <f>Table26[[#This Row],[unitprice]]*Table26[[#This Row],[quantity_unit]]</f>
        <v>#VALUE!</v>
      </c>
      <c r="AK1579" s="227" t="e" cm="1">
        <f t="array" ref="AK15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0" spans="1:37" ht="18" customHeight="1">
      <c r="A1580" s="42">
        <v>678</v>
      </c>
      <c r="B1580" s="42" t="s">
        <v>3520</v>
      </c>
      <c r="C1580" s="53" t="s">
        <v>203</v>
      </c>
      <c r="E1580" s="20"/>
      <c r="F15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0" s="93"/>
      <c r="I1580" s="203">
        <v>45772</v>
      </c>
      <c r="J1580" s="90" t="str">
        <f>IF(Table26[[#This Row],[customerSKU]]="","",_xlfn.XLOOKUP(Table26[[#This Row],[customerSKU]],customerSKU!G:G,customerSKU!A:A,"",0,1))</f>
        <v/>
      </c>
      <c r="K1580" s="232">
        <v>45778</v>
      </c>
      <c r="L1580" s="49" t="str">
        <f>IF(Table26[[#This Row],[customerSKU]]="","",_xlfn.XLOOKUP(Table26[[#This Row],[customerSKU]],customerSKU!G:G,customerSKU!B:B,"",0,1))</f>
        <v/>
      </c>
      <c r="M1580" s="22"/>
      <c r="N1580" s="15" t="str">
        <f>Table26[[#This Row],[po_number]]&amp;"-"&amp;Table26[[#This Row],[po_line]]</f>
        <v>-12</v>
      </c>
      <c r="O1580" s="15">
        <v>12</v>
      </c>
      <c r="P1580" s="50"/>
      <c r="Q1580" s="22" t="s">
        <v>568</v>
      </c>
      <c r="R1580" s="22" t="s">
        <v>569</v>
      </c>
      <c r="S1580" s="90" t="str">
        <f>IF(Table26[[#This Row],[customerSKU]]="","",_xlfn.XLOOKUP(Table26[[#This Row],[customerSKU]],customerSKU!G:G,customerSKU!N:N,"NOT FOUND",0,1))</f>
        <v>NOT FOUND</v>
      </c>
      <c r="T1580" s="20">
        <v>45770</v>
      </c>
      <c r="U1580" s="94">
        <v>48</v>
      </c>
      <c r="V1580" s="22" t="str">
        <f>IF(ISBLANK(Table26[[#This Row],[customerSKU]]),"",_xlfn.XLOOKUP(Table26[[#This Row],[customerSKU]],Table27[customer_SKU],Table27[case_size],"",0,1))</f>
        <v/>
      </c>
      <c r="W1580" s="117" t="str">
        <f t="shared" si="65"/>
        <v/>
      </c>
      <c r="X1580" s="22" t="str">
        <f t="shared" si="66"/>
        <v/>
      </c>
      <c r="Y1580" s="25" t="str">
        <f>IF(Table26[[#This Row],[customerSKU]]="","",_xlfn.XLOOKUP(Table26[[#This Row],[customerSKU]],Table27[customer_SKU],Table27[product_GTIN],"",0,1))</f>
        <v/>
      </c>
      <c r="Z1580" s="25" t="s">
        <v>3414</v>
      </c>
      <c r="AA1580" s="18" t="str" cm="1">
        <f t="array" ref="AA1580">IF(P1580="", "", _xlfn.XLOOKUP(P1580,#REF!,#REF!,NA,0,-1))</f>
        <v/>
      </c>
      <c r="AB1580" s="22"/>
      <c r="AC1580" s="55" t="str">
        <f>IF(Table26[[#This Row],[customerSKU]]="","",_xlfn.XLOOKUP(Table26[[#This Row],[customerSKU]],customerSKU!G:G,customerSKU!C:C,"",0,1))</f>
        <v/>
      </c>
      <c r="AD1580" s="55" t="str">
        <f>IF($AC1580="","",_xlfn.XLOOKUP($AC1580,'Client Info'!$C$2:$C$2497,'Client Info'!$D$2:$D$2497,"",0,1))</f>
        <v/>
      </c>
      <c r="AE1580" s="55" t="str">
        <f>IF($AC1580="","",_xlfn.XLOOKUP($AC1580,'Client Info'!$C$2:$C$2677,'Client Info'!$E$2:$E$2677,"",))</f>
        <v/>
      </c>
      <c r="AF1580" s="55" t="str">
        <f>IF($AC1580="","",_xlfn.XLOOKUP($AC1580,'Client Info'!$C$2:$C$2677,'Client Info'!$F$2:$F$2677,"",0,1))</f>
        <v/>
      </c>
      <c r="AG1580" s="55" t="str">
        <f>IF(ISBLANK(Table26[[#This Row],[customerSKU]]),"",_xlfn.XLOOKUP(Table26[[#This Row],[customerSKU]],Table27[customer_SKU],Table27[billto],"",0,1))</f>
        <v/>
      </c>
      <c r="AH1580" s="26" t="str">
        <f>_xlfn.XLOOKUP(Table26[[#This Row],[customerSKU]],customerSKU!G:G,customerSKU!K:K,"NA",0,1)</f>
        <v>NA</v>
      </c>
      <c r="AI1580" s="43" t="str">
        <f>_xlfn.XLOOKUP(Table26[[#This Row],[customerSKU]],customerSKU!G:G,customerSKU!O:O,"not found",0,1)</f>
        <v>not found</v>
      </c>
      <c r="AJ1580" s="22" t="e">
        <f>Table26[[#This Row],[unitprice]]*Table26[[#This Row],[quantity_unit]]</f>
        <v>#VALUE!</v>
      </c>
      <c r="AK1580" s="227" t="e" cm="1">
        <f t="array" ref="AK15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1" spans="1:37" ht="18" customHeight="1">
      <c r="A1581" s="42">
        <v>679</v>
      </c>
      <c r="B1581" s="42" t="s">
        <v>3520</v>
      </c>
      <c r="C1581" s="53" t="s">
        <v>203</v>
      </c>
      <c r="E1581" s="20"/>
      <c r="F15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1" s="93"/>
      <c r="I1581" s="203">
        <v>45776</v>
      </c>
      <c r="J1581" s="90" t="str">
        <f>IF(Table26[[#This Row],[customerSKU]]="","",_xlfn.XLOOKUP(Table26[[#This Row],[customerSKU]],customerSKU!G:G,customerSKU!A:A,"",0,1))</f>
        <v/>
      </c>
      <c r="K1581" s="232">
        <v>45778</v>
      </c>
      <c r="L1581" s="49" t="str">
        <f>IF(Table26[[#This Row],[customerSKU]]="","",_xlfn.XLOOKUP(Table26[[#This Row],[customerSKU]],customerSKU!G:G,customerSKU!B:B,"",0,1))</f>
        <v/>
      </c>
      <c r="M1581" s="22"/>
      <c r="N1581" s="15" t="str">
        <f>Table26[[#This Row],[po_number]]&amp;"-"&amp;Table26[[#This Row],[po_line]]</f>
        <v>-1</v>
      </c>
      <c r="O1581" s="15">
        <v>1</v>
      </c>
      <c r="P1581" s="50"/>
      <c r="Q1581" s="22" t="s">
        <v>934</v>
      </c>
      <c r="R1581" s="22" t="s">
        <v>221</v>
      </c>
      <c r="S1581" s="90" t="str">
        <f>IF(Table26[[#This Row],[customerSKU]]="","",_xlfn.XLOOKUP(Table26[[#This Row],[customerSKU]],customerSKU!G:G,customerSKU!N:N,"NOT FOUND",0,1))</f>
        <v>NOT FOUND</v>
      </c>
      <c r="T1581" s="20">
        <v>45777</v>
      </c>
      <c r="U1581" s="94">
        <v>36</v>
      </c>
      <c r="V1581" s="22" t="str">
        <f>IF(ISBLANK(Table26[[#This Row],[customerSKU]]),"",_xlfn.XLOOKUP(Table26[[#This Row],[customerSKU]],Table27[customer_SKU],Table27[case_size],"",0,1))</f>
        <v/>
      </c>
      <c r="W1581" s="117" t="str">
        <f t="shared" si="65"/>
        <v/>
      </c>
      <c r="X1581" s="22" t="str">
        <f t="shared" si="66"/>
        <v/>
      </c>
      <c r="Y1581" s="25" t="str">
        <f>IF(Table26[[#This Row],[customerSKU]]="","",_xlfn.XLOOKUP(Table26[[#This Row],[customerSKU]],Table27[customer_SKU],Table27[product_GTIN],"",0,1))</f>
        <v/>
      </c>
      <c r="Z1581" s="25" t="s">
        <v>3547</v>
      </c>
      <c r="AA1581" s="18" t="str" cm="1">
        <f t="array" ref="AA1581">IF(P1581="", "", _xlfn.XLOOKUP(P1581,#REF!,#REF!,NA,0,-1))</f>
        <v/>
      </c>
      <c r="AB1581" s="22"/>
      <c r="AC1581" s="55" t="s">
        <v>143</v>
      </c>
      <c r="AD1581" s="55" t="str">
        <f>IF($AC1581="","",_xlfn.XLOOKUP($AC1581,'Client Info'!$C$2:$C$2497,'Client Info'!$D$2:$D$2497,"",0,1))</f>
        <v/>
      </c>
      <c r="AE1581" s="55" t="str">
        <f>IF($AC1581="","",_xlfn.XLOOKUP($AC1581,'Client Info'!$C$2:$C$2677,'Client Info'!$E$2:$E$2677,"",))</f>
        <v/>
      </c>
      <c r="AF1581" s="55" t="str">
        <f>IF($AC1581="","",_xlfn.XLOOKUP($AC1581,'Client Info'!$C$2:$C$2677,'Client Info'!$F$2:$F$2677,"",0,1))</f>
        <v/>
      </c>
      <c r="AG1581" s="55" t="s">
        <v>143</v>
      </c>
      <c r="AH1581" s="26" t="str">
        <f>_xlfn.XLOOKUP(Table26[[#This Row],[customerSKU]],customerSKU!G:G,customerSKU!K:K,"NA",0,1)</f>
        <v>NA</v>
      </c>
      <c r="AI1581" s="43" t="str">
        <f>_xlfn.XLOOKUP(Table26[[#This Row],[customerSKU]],customerSKU!G:G,customerSKU!O:O,"not found",0,1)</f>
        <v>not found</v>
      </c>
      <c r="AJ1581" s="22" t="e">
        <f>Table26[[#This Row],[unitprice]]*Table26[[#This Row],[quantity_unit]]</f>
        <v>#VALUE!</v>
      </c>
      <c r="AK1581" s="227" t="e" cm="1">
        <f t="array" ref="AK15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2" spans="1:37" ht="18" customHeight="1">
      <c r="A1582" s="42">
        <v>680</v>
      </c>
      <c r="B1582" s="42" t="s">
        <v>3520</v>
      </c>
      <c r="C1582" s="53" t="s">
        <v>203</v>
      </c>
      <c r="E1582" s="20"/>
      <c r="F15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2" s="93"/>
      <c r="I1582" s="203">
        <v>45776</v>
      </c>
      <c r="J1582" s="90" t="str">
        <f>IF(Table26[[#This Row],[customerSKU]]="","",_xlfn.XLOOKUP(Table26[[#This Row],[customerSKU]],customerSKU!G:G,customerSKU!A:A,"",0,1))</f>
        <v/>
      </c>
      <c r="K1582" s="232">
        <v>45778</v>
      </c>
      <c r="L1582" s="49" t="str">
        <f>IF(Table26[[#This Row],[customerSKU]]="","",_xlfn.XLOOKUP(Table26[[#This Row],[customerSKU]],customerSKU!G:G,customerSKU!B:B,"",0,1))</f>
        <v/>
      </c>
      <c r="M1582" s="22"/>
      <c r="N1582" s="15" t="str">
        <f>Table26[[#This Row],[po_number]]&amp;"-"&amp;Table26[[#This Row],[po_line]]</f>
        <v>-2</v>
      </c>
      <c r="O1582" s="15">
        <v>2</v>
      </c>
      <c r="P1582" s="50"/>
      <c r="Q1582" s="22" t="s">
        <v>3548</v>
      </c>
      <c r="R1582" s="22" t="s">
        <v>221</v>
      </c>
      <c r="S1582" s="90" t="str">
        <f>IF(Table26[[#This Row],[customerSKU]]="","",_xlfn.XLOOKUP(Table26[[#This Row],[customerSKU]],customerSKU!G:G,customerSKU!N:N,"NOT FOUND",0,1))</f>
        <v>NOT FOUND</v>
      </c>
      <c r="T1582" s="20">
        <v>45777</v>
      </c>
      <c r="U1582" s="94">
        <v>12</v>
      </c>
      <c r="V1582" s="22" t="str">
        <f>IF(ISBLANK(Table26[[#This Row],[customerSKU]]),"",_xlfn.XLOOKUP(Table26[[#This Row],[customerSKU]],Table27[customer_SKU],Table27[case_size],"",0,1))</f>
        <v/>
      </c>
      <c r="W1582" s="117" t="str">
        <f t="shared" si="65"/>
        <v/>
      </c>
      <c r="X1582" s="22" t="str">
        <f t="shared" si="66"/>
        <v/>
      </c>
      <c r="Y1582" s="25" t="str">
        <f>IF(Table26[[#This Row],[customerSKU]]="","",_xlfn.XLOOKUP(Table26[[#This Row],[customerSKU]],Table27[customer_SKU],Table27[product_GTIN],"",0,1))</f>
        <v/>
      </c>
      <c r="Z1582" s="25" t="s">
        <v>3549</v>
      </c>
      <c r="AA1582" s="18" t="str" cm="1">
        <f t="array" ref="AA1582">IF(P1582="", "", _xlfn.XLOOKUP(P1582,#REF!,#REF!,NA,0,-1))</f>
        <v/>
      </c>
      <c r="AB1582" s="22"/>
      <c r="AC1582" s="55" t="s">
        <v>143</v>
      </c>
      <c r="AD1582" s="55" t="str">
        <f>IF($AC1582="","",_xlfn.XLOOKUP($AC1582,'Client Info'!$C$2:$C$2497,'Client Info'!$D$2:$D$2497,"",0,1))</f>
        <v/>
      </c>
      <c r="AE1582" s="55" t="str">
        <f>IF($AC1582="","",_xlfn.XLOOKUP($AC1582,'Client Info'!$C$2:$C$2677,'Client Info'!$E$2:$E$2677,"",))</f>
        <v/>
      </c>
      <c r="AF1582" s="55" t="str">
        <f>IF($AC1582="","",_xlfn.XLOOKUP($AC1582,'Client Info'!$C$2:$C$2677,'Client Info'!$F$2:$F$2677,"",0,1))</f>
        <v/>
      </c>
      <c r="AG1582" s="55" t="s">
        <v>143</v>
      </c>
      <c r="AH1582" s="26" t="str">
        <f>_xlfn.XLOOKUP(Table26[[#This Row],[customerSKU]],customerSKU!G:G,customerSKU!K:K,"NA",0,1)</f>
        <v>NA</v>
      </c>
      <c r="AI1582" s="43" t="str">
        <f>_xlfn.XLOOKUP(Table26[[#This Row],[customerSKU]],customerSKU!G:G,customerSKU!O:O,"not found",0,1)</f>
        <v>not found</v>
      </c>
      <c r="AJ1582" s="22" t="e">
        <f>Table26[[#This Row],[unitprice]]*Table26[[#This Row],[quantity_unit]]</f>
        <v>#VALUE!</v>
      </c>
      <c r="AK1582" s="227" t="e" cm="1">
        <f t="array" ref="AK15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3" spans="1:37" ht="18" customHeight="1">
      <c r="A1583" s="42">
        <v>681</v>
      </c>
      <c r="B1583" s="42" t="s">
        <v>3520</v>
      </c>
      <c r="C1583" s="53" t="s">
        <v>203</v>
      </c>
      <c r="E1583" s="20"/>
      <c r="F15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3" s="93"/>
      <c r="I1583" s="203">
        <v>45776</v>
      </c>
      <c r="J1583" s="90" t="str">
        <f>IF(Table26[[#This Row],[customerSKU]]="","",_xlfn.XLOOKUP(Table26[[#This Row],[customerSKU]],customerSKU!G:G,customerSKU!A:A,"",0,1))</f>
        <v/>
      </c>
      <c r="K1583" s="232">
        <v>45778</v>
      </c>
      <c r="L1583" s="49" t="str">
        <f>IF(Table26[[#This Row],[customerSKU]]="","",_xlfn.XLOOKUP(Table26[[#This Row],[customerSKU]],customerSKU!G:G,customerSKU!B:B,"",0,1))</f>
        <v/>
      </c>
      <c r="M1583" s="22"/>
      <c r="N1583" s="15" t="str">
        <f>Table26[[#This Row],[po_number]]&amp;"-"&amp;Table26[[#This Row],[po_line]]</f>
        <v>-3</v>
      </c>
      <c r="O1583" s="15">
        <v>3</v>
      </c>
      <c r="P1583" s="50"/>
      <c r="Q1583" s="22" t="s">
        <v>656</v>
      </c>
      <c r="R1583" s="22" t="s">
        <v>3428</v>
      </c>
      <c r="S1583" s="90" t="str">
        <f>IF(Table26[[#This Row],[customerSKU]]="","",_xlfn.XLOOKUP(Table26[[#This Row],[customerSKU]],customerSKU!G:G,customerSKU!N:N,"NOT FOUND",0,1))</f>
        <v>NOT FOUND</v>
      </c>
      <c r="T1583" s="20">
        <v>45763</v>
      </c>
      <c r="U1583" s="94">
        <v>24</v>
      </c>
      <c r="V1583" s="22" t="str">
        <f>IF(ISBLANK(Table26[[#This Row],[customerSKU]]),"",_xlfn.XLOOKUP(Table26[[#This Row],[customerSKU]],Table27[customer_SKU],Table27[case_size],"",0,1))</f>
        <v/>
      </c>
      <c r="W1583" s="117" t="str">
        <f t="shared" si="65"/>
        <v/>
      </c>
      <c r="X1583" s="22" t="str">
        <f t="shared" si="66"/>
        <v/>
      </c>
      <c r="Y1583" s="25" t="str">
        <f>IF(Table26[[#This Row],[customerSKU]]="","",_xlfn.XLOOKUP(Table26[[#This Row],[customerSKU]],Table27[customer_SKU],Table27[product_GTIN],"",0,1))</f>
        <v/>
      </c>
      <c r="Z1583" s="25" t="s">
        <v>3526</v>
      </c>
      <c r="AA1583" s="18" t="str" cm="1">
        <f t="array" ref="AA1583">IF(P1583="", "", _xlfn.XLOOKUP(P1583,#REF!,#REF!,NA,0,-1))</f>
        <v/>
      </c>
      <c r="AB1583" s="22"/>
      <c r="AC1583" s="55" t="s">
        <v>143</v>
      </c>
      <c r="AD1583" s="55" t="str">
        <f>IF($AC1583="","",_xlfn.XLOOKUP($AC1583,'Client Info'!$C$2:$C$2497,'Client Info'!$D$2:$D$2497,"",0,1))</f>
        <v/>
      </c>
      <c r="AE1583" s="55" t="str">
        <f>IF($AC1583="","",_xlfn.XLOOKUP($AC1583,'Client Info'!$C$2:$C$2677,'Client Info'!$E$2:$E$2677,"",))</f>
        <v/>
      </c>
      <c r="AF1583" s="55" t="str">
        <f>IF($AC1583="","",_xlfn.XLOOKUP($AC1583,'Client Info'!$C$2:$C$2677,'Client Info'!$F$2:$F$2677,"",0,1))</f>
        <v/>
      </c>
      <c r="AG1583" s="55" t="s">
        <v>143</v>
      </c>
      <c r="AH1583" s="26" t="str">
        <f>_xlfn.XLOOKUP(Table26[[#This Row],[customerSKU]],customerSKU!G:G,customerSKU!K:K,"NA",0,1)</f>
        <v>NA</v>
      </c>
      <c r="AI1583" s="43" t="str">
        <f>_xlfn.XLOOKUP(Table26[[#This Row],[customerSKU]],customerSKU!G:G,customerSKU!O:O,"not found",0,1)</f>
        <v>not found</v>
      </c>
      <c r="AJ1583" s="22" t="e">
        <f>Table26[[#This Row],[unitprice]]*Table26[[#This Row],[quantity_unit]]</f>
        <v>#VALUE!</v>
      </c>
      <c r="AK1583" s="227" t="e" cm="1">
        <f t="array" ref="AK15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4" spans="1:37" ht="18" customHeight="1">
      <c r="A1584" s="42">
        <v>682</v>
      </c>
      <c r="B1584" s="42" t="s">
        <v>3520</v>
      </c>
      <c r="C1584" s="53" t="s">
        <v>203</v>
      </c>
      <c r="E1584" s="20"/>
      <c r="F15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4" s="93"/>
      <c r="I1584" s="203">
        <v>45776</v>
      </c>
      <c r="J1584" s="90" t="s">
        <v>3394</v>
      </c>
      <c r="K1584" s="232">
        <v>45778</v>
      </c>
      <c r="L1584" s="49" t="str">
        <f>IF(Table26[[#This Row],[customerSKU]]="","",_xlfn.XLOOKUP(Table26[[#This Row],[customerSKU]],customerSKU!G:G,customerSKU!B:B,"",0,1))</f>
        <v/>
      </c>
      <c r="M1584" s="22"/>
      <c r="N1584" s="15" t="str">
        <f>Table26[[#This Row],[po_number]]&amp;"-"&amp;Table26[[#This Row],[po_line]]</f>
        <v>-1</v>
      </c>
      <c r="O1584" s="15">
        <v>1</v>
      </c>
      <c r="P1584" s="50"/>
      <c r="Q1584" s="22" t="s">
        <v>535</v>
      </c>
      <c r="R1584" s="22" t="s">
        <v>569</v>
      </c>
      <c r="S1584" s="90" t="str">
        <f>IF(Table26[[#This Row],[customerSKU]]="","",_xlfn.XLOOKUP(Table26[[#This Row],[customerSKU]],customerSKU!G:G,customerSKU!N:N,"NOT FOUND",0,1))</f>
        <v>NOT FOUND</v>
      </c>
      <c r="T1584" s="20">
        <v>45588</v>
      </c>
      <c r="U1584" s="94">
        <v>12</v>
      </c>
      <c r="V1584" s="22" t="str">
        <f>IF(ISBLANK(Table26[[#This Row],[customerSKU]]),"",_xlfn.XLOOKUP(Table26[[#This Row],[customerSKU]],Table27[customer_SKU],Table27[case_size],"",0,1))</f>
        <v/>
      </c>
      <c r="W1584" s="117" t="str">
        <f t="shared" si="65"/>
        <v/>
      </c>
      <c r="X1584" s="22" t="str">
        <f t="shared" si="66"/>
        <v/>
      </c>
      <c r="Y1584" s="25" t="str">
        <f>IF(Table26[[#This Row],[customerSKU]]="","",_xlfn.XLOOKUP(Table26[[#This Row],[customerSKU]],Table27[customer_SKU],Table27[product_GTIN],"",0,1))</f>
        <v/>
      </c>
      <c r="Z1584" s="25" t="s">
        <v>3553</v>
      </c>
      <c r="AA1584" s="18" t="str" cm="1">
        <f t="array" ref="AA1584">IF(P1584="", "", _xlfn.XLOOKUP(P1584,#REF!,#REF!,NA,0,-1))</f>
        <v/>
      </c>
      <c r="AB1584" s="22"/>
      <c r="AC1584" s="55" t="s">
        <v>3504</v>
      </c>
      <c r="AD1584" s="55" t="str">
        <f>IF($AC1584="","",_xlfn.XLOOKUP($AC1584,'Client Info'!$C$2:$C$2497,'Client Info'!$D$2:$D$2497,"",0,1))</f>
        <v/>
      </c>
      <c r="AE1584" s="55" t="str">
        <f>IF($AC1584="","",_xlfn.XLOOKUP($AC1584,'Client Info'!$C$2:$C$2677,'Client Info'!$E$2:$E$2677,"",))</f>
        <v/>
      </c>
      <c r="AF1584" s="55" t="str">
        <f>IF($AC1584="","",_xlfn.XLOOKUP($AC1584,'Client Info'!$C$2:$C$2677,'Client Info'!$F$2:$F$2677,"",0,1))</f>
        <v/>
      </c>
      <c r="AG1584" s="55" t="str">
        <f>IF(ISBLANK(Table26[[#This Row],[customerSKU]]),"",_xlfn.XLOOKUP(Table26[[#This Row],[customerSKU]],Table27[customer_SKU],Table27[billto],"",0,1))</f>
        <v/>
      </c>
      <c r="AH1584" s="26" t="str">
        <f>_xlfn.XLOOKUP(Table26[[#This Row],[customerSKU]],customerSKU!G:G,customerSKU!K:K,"NA",0,1)</f>
        <v>NA</v>
      </c>
      <c r="AI1584" s="43" t="str">
        <f>_xlfn.XLOOKUP(Table26[[#This Row],[customerSKU]],customerSKU!G:G,customerSKU!O:O,"not found",0,1)</f>
        <v>not found</v>
      </c>
      <c r="AJ1584" s="22" t="e">
        <f>Table26[[#This Row],[unitprice]]*Table26[[#This Row],[quantity_unit]]</f>
        <v>#VALUE!</v>
      </c>
      <c r="AK1584" s="227" t="e" cm="1">
        <f t="array" ref="AK15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1585" spans="1:37" ht="18" customHeight="1">
      <c r="A1585" s="42">
        <v>661</v>
      </c>
      <c r="B1585" s="42" t="s">
        <v>3520</v>
      </c>
      <c r="C1585" s="53" t="s">
        <v>203</v>
      </c>
      <c r="E1585" s="20"/>
      <c r="F15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5" s="93"/>
      <c r="I1585" s="203">
        <v>45778</v>
      </c>
      <c r="J1585" s="90" t="str">
        <f>IF(Table26[[#This Row],[customerSKU]]="","",_xlfn.XLOOKUP(Table26[[#This Row],[customerSKU]],customerSKU!G:G,customerSKU!A:A,"",0,1))</f>
        <v/>
      </c>
      <c r="K1585" s="232">
        <v>45779</v>
      </c>
      <c r="L1585" s="49" t="str">
        <f>IF(Table26[[#This Row],[customerSKU]]="","",_xlfn.XLOOKUP(Table26[[#This Row],[customerSKU]],customerSKU!G:G,customerSKU!B:B,"",0,1))</f>
        <v/>
      </c>
      <c r="M1585" s="22"/>
      <c r="N1585" s="15" t="str">
        <f>Table26[[#This Row],[po_number]]&amp;"-"&amp;Table26[[#This Row],[po_line]]</f>
        <v>-1</v>
      </c>
      <c r="O1585" s="15">
        <v>1</v>
      </c>
      <c r="P1585" s="50"/>
      <c r="Q1585" s="22" t="s">
        <v>565</v>
      </c>
      <c r="R1585" s="22" t="s">
        <v>569</v>
      </c>
      <c r="S1585" s="90" t="str">
        <f>IF(Table26[[#This Row],[customerSKU]]="","",_xlfn.XLOOKUP(Table26[[#This Row],[customerSKU]],customerSKU!G:G,customerSKU!N:N,"NOT FOUND",0,1))</f>
        <v>NOT FOUND</v>
      </c>
      <c r="T1585" s="20">
        <v>45755</v>
      </c>
      <c r="U1585" s="94">
        <v>12</v>
      </c>
      <c r="V1585" s="22" t="str">
        <f>IF(ISBLANK(Table26[[#This Row],[customerSKU]]),"",_xlfn.XLOOKUP(Table26[[#This Row],[customerSKU]],Table27[customer_SKU],Table27[case_size],"",0,1))</f>
        <v/>
      </c>
      <c r="W1585" s="117" t="str">
        <f t="shared" si="65"/>
        <v/>
      </c>
      <c r="X1585" s="22" t="str">
        <f t="shared" si="66"/>
        <v/>
      </c>
      <c r="Y1585" s="25" t="str">
        <f>IF(Table26[[#This Row],[customerSKU]]="","",_xlfn.XLOOKUP(Table26[[#This Row],[customerSKU]],Table27[customer_SKU],Table27[product_GTIN],"",0,1))</f>
        <v/>
      </c>
      <c r="Z1585" s="25" t="s">
        <v>3373</v>
      </c>
      <c r="AA1585" s="18" t="str" cm="1">
        <f t="array" ref="AA1585">IF(P1585="", "", _xlfn.XLOOKUP(P1585,#REF!,#REF!,NA,0,-1))</f>
        <v/>
      </c>
      <c r="AB1585" s="22"/>
      <c r="AC1585" s="55" t="s">
        <v>100</v>
      </c>
      <c r="AD1585" s="55" t="str">
        <f>IF($AC1585="","",_xlfn.XLOOKUP($AC1585,'Client Info'!$C$2:$C$2497,'Client Info'!$D$2:$D$2497,"",0,1))</f>
        <v/>
      </c>
      <c r="AE1585" s="55" t="str">
        <f>IF($AC1585="","",_xlfn.XLOOKUP($AC1585,'Client Info'!$C$2:$C$2677,'Client Info'!$E$2:$E$2677,"",))</f>
        <v/>
      </c>
      <c r="AF1585" s="55" t="str">
        <f>IF($AC1585="","",_xlfn.XLOOKUP($AC1585,'Client Info'!$C$2:$C$2677,'Client Info'!$F$2:$F$2677,"",0,1))</f>
        <v/>
      </c>
      <c r="AG1585" s="55" t="s">
        <v>100</v>
      </c>
      <c r="AH1585" s="26" t="str">
        <f>_xlfn.XLOOKUP(Table26[[#This Row],[customerSKU]],customerSKU!G:G,customerSKU!K:K,"NA",0,1)</f>
        <v>NA</v>
      </c>
      <c r="AI1585" s="43" t="str">
        <f>_xlfn.XLOOKUP(Table26[[#This Row],[customerSKU]],customerSKU!G:G,customerSKU!O:O,"not found",0,1)</f>
        <v>not found</v>
      </c>
      <c r="AJ1585" s="22" t="e">
        <f>Table26[[#This Row],[unitprice]]*Table26[[#This Row],[quantity_unit]]</f>
        <v>#VALUE!</v>
      </c>
      <c r="AK1585" s="227" t="e" cm="1">
        <f t="array" ref="AK15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6" spans="1:37" ht="18" customHeight="1">
      <c r="A1586" s="42">
        <v>662</v>
      </c>
      <c r="B1586" s="42" t="s">
        <v>3520</v>
      </c>
      <c r="C1586" s="53" t="s">
        <v>203</v>
      </c>
      <c r="E1586" s="20"/>
      <c r="F15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6" s="93"/>
      <c r="I1586" s="203">
        <v>45778</v>
      </c>
      <c r="J1586" s="90" t="str">
        <f>IF(Table26[[#This Row],[customerSKU]]="","",_xlfn.XLOOKUP(Table26[[#This Row],[customerSKU]],customerSKU!G:G,customerSKU!A:A,"",0,1))</f>
        <v/>
      </c>
      <c r="K1586" s="232">
        <v>45779</v>
      </c>
      <c r="L1586" s="49" t="str">
        <f>IF(Table26[[#This Row],[customerSKU]]="","",_xlfn.XLOOKUP(Table26[[#This Row],[customerSKU]],customerSKU!G:G,customerSKU!B:B,"",0,1))</f>
        <v/>
      </c>
      <c r="M1586" s="22"/>
      <c r="N1586" s="15" t="str">
        <f>Table26[[#This Row],[po_number]]&amp;"-"&amp;Table26[[#This Row],[po_line]]</f>
        <v>-2</v>
      </c>
      <c r="O1586" s="15">
        <v>2</v>
      </c>
      <c r="P1586" s="50"/>
      <c r="Q1586" s="22" t="s">
        <v>1829</v>
      </c>
      <c r="R1586" s="22" t="s">
        <v>569</v>
      </c>
      <c r="S1586" s="90" t="str">
        <f>IF(Table26[[#This Row],[customerSKU]]="","",_xlfn.XLOOKUP(Table26[[#This Row],[customerSKU]],customerSKU!G:G,customerSKU!N:N,"NOT FOUND",0,1))</f>
        <v>NOT FOUND</v>
      </c>
      <c r="T1586" s="20">
        <v>45721</v>
      </c>
      <c r="U1586" s="94">
        <v>12</v>
      </c>
      <c r="V1586" s="22" t="str">
        <f>IF(ISBLANK(Table26[[#This Row],[customerSKU]]),"",_xlfn.XLOOKUP(Table26[[#This Row],[customerSKU]],Table27[customer_SKU],Table27[case_size],"",0,1))</f>
        <v/>
      </c>
      <c r="W1586" s="117" t="str">
        <f t="shared" si="65"/>
        <v/>
      </c>
      <c r="X1586" s="22" t="str">
        <f t="shared" si="66"/>
        <v/>
      </c>
      <c r="Y1586" s="25" t="str">
        <f>IF(Table26[[#This Row],[customerSKU]]="","",_xlfn.XLOOKUP(Table26[[#This Row],[customerSKU]],Table27[customer_SKU],Table27[product_GTIN],"",0,1))</f>
        <v/>
      </c>
      <c r="Z1586" s="25" t="s">
        <v>3372</v>
      </c>
      <c r="AA1586" s="18" t="str" cm="1">
        <f t="array" ref="AA1586">IF(P1586="", "", _xlfn.XLOOKUP(P1586,#REF!,#REF!,NA,0,-1))</f>
        <v/>
      </c>
      <c r="AB1586" s="22"/>
      <c r="AC1586" s="55" t="s">
        <v>100</v>
      </c>
      <c r="AD1586" s="55" t="str">
        <f>IF($AC1586="","",_xlfn.XLOOKUP($AC1586,'Client Info'!$C$2:$C$2497,'Client Info'!$D$2:$D$2497,"",0,1))</f>
        <v/>
      </c>
      <c r="AE1586" s="55" t="str">
        <f>IF($AC1586="","",_xlfn.XLOOKUP($AC1586,'Client Info'!$C$2:$C$2677,'Client Info'!$E$2:$E$2677,"",))</f>
        <v/>
      </c>
      <c r="AF1586" s="55" t="str">
        <f>IF($AC1586="","",_xlfn.XLOOKUP($AC1586,'Client Info'!$C$2:$C$2677,'Client Info'!$F$2:$F$2677,"",0,1))</f>
        <v/>
      </c>
      <c r="AG1586" s="55" t="s">
        <v>100</v>
      </c>
      <c r="AH1586" s="26" t="str">
        <f>_xlfn.XLOOKUP(Table26[[#This Row],[customerSKU]],customerSKU!G:G,customerSKU!K:K,"NA",0,1)</f>
        <v>NA</v>
      </c>
      <c r="AI1586" s="43" t="str">
        <f>_xlfn.XLOOKUP(Table26[[#This Row],[customerSKU]],customerSKU!G:G,customerSKU!O:O,"not found",0,1)</f>
        <v>not found</v>
      </c>
      <c r="AJ1586" s="22" t="e">
        <f>Table26[[#This Row],[unitprice]]*Table26[[#This Row],[quantity_unit]]</f>
        <v>#VALUE!</v>
      </c>
      <c r="AK1586" s="227" t="e" cm="1">
        <f t="array" ref="AK15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7" spans="1:37" ht="18" customHeight="1">
      <c r="A1587" s="42">
        <v>663</v>
      </c>
      <c r="B1587" s="42" t="s">
        <v>3520</v>
      </c>
      <c r="C1587" s="53" t="s">
        <v>203</v>
      </c>
      <c r="E1587" s="20"/>
      <c r="F15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7" s="93"/>
      <c r="I1587" s="203">
        <v>45778</v>
      </c>
      <c r="J1587" s="90" t="str">
        <f>IF(Table26[[#This Row],[customerSKU]]="","",_xlfn.XLOOKUP(Table26[[#This Row],[customerSKU]],customerSKU!G:G,customerSKU!A:A,"",0,1))</f>
        <v/>
      </c>
      <c r="K1587" s="232">
        <v>45779</v>
      </c>
      <c r="L1587" s="49" t="str">
        <f>IF(Table26[[#This Row],[customerSKU]]="","",_xlfn.XLOOKUP(Table26[[#This Row],[customerSKU]],customerSKU!G:G,customerSKU!B:B,"",0,1))</f>
        <v/>
      </c>
      <c r="M1587" s="22"/>
      <c r="N1587" s="15" t="str">
        <f>Table26[[#This Row],[po_number]]&amp;"-"&amp;Table26[[#This Row],[po_line]]</f>
        <v>-3</v>
      </c>
      <c r="O1587" s="15">
        <v>3</v>
      </c>
      <c r="P1587" s="50"/>
      <c r="Q1587" s="22" t="s">
        <v>559</v>
      </c>
      <c r="R1587" s="22" t="s">
        <v>569</v>
      </c>
      <c r="S1587" s="90" t="str">
        <f>IF(Table26[[#This Row],[customerSKU]]="","",_xlfn.XLOOKUP(Table26[[#This Row],[customerSKU]],customerSKU!G:G,customerSKU!N:N,"NOT FOUND",0,1))</f>
        <v>NOT FOUND</v>
      </c>
      <c r="T1587" s="20">
        <v>45740</v>
      </c>
      <c r="U1587" s="94">
        <v>12</v>
      </c>
      <c r="V1587" s="22" t="str">
        <f>IF(ISBLANK(Table26[[#This Row],[customerSKU]]),"",_xlfn.XLOOKUP(Table26[[#This Row],[customerSKU]],Table27[customer_SKU],Table27[case_size],"",0,1))</f>
        <v/>
      </c>
      <c r="W1587" s="117" t="str">
        <f t="shared" si="65"/>
        <v/>
      </c>
      <c r="X1587" s="22" t="str">
        <f t="shared" si="66"/>
        <v/>
      </c>
      <c r="Y1587" s="25" t="str">
        <f>IF(Table26[[#This Row],[customerSKU]]="","",_xlfn.XLOOKUP(Table26[[#This Row],[customerSKU]],Table27[customer_SKU],Table27[product_GTIN],"",0,1))</f>
        <v/>
      </c>
      <c r="Z1587" s="25" t="s">
        <v>3450</v>
      </c>
      <c r="AA1587" s="18" t="str" cm="1">
        <f t="array" ref="AA1587">IF(P1587="", "", _xlfn.XLOOKUP(P1587,#REF!,#REF!,NA,0,-1))</f>
        <v/>
      </c>
      <c r="AB1587" s="22"/>
      <c r="AC1587" s="55" t="s">
        <v>100</v>
      </c>
      <c r="AD1587" s="55" t="str">
        <f>IF($AC1587="","",_xlfn.XLOOKUP($AC1587,'Client Info'!$C$2:$C$2497,'Client Info'!$D$2:$D$2497,"",0,1))</f>
        <v/>
      </c>
      <c r="AE1587" s="55" t="str">
        <f>IF($AC1587="","",_xlfn.XLOOKUP($AC1587,'Client Info'!$C$2:$C$2677,'Client Info'!$E$2:$E$2677,"",))</f>
        <v/>
      </c>
      <c r="AF1587" s="55" t="str">
        <f>IF($AC1587="","",_xlfn.XLOOKUP($AC1587,'Client Info'!$C$2:$C$2677,'Client Info'!$F$2:$F$2677,"",0,1))</f>
        <v/>
      </c>
      <c r="AG1587" s="55" t="s">
        <v>100</v>
      </c>
      <c r="AH1587" s="26" t="str">
        <f>_xlfn.XLOOKUP(Table26[[#This Row],[customerSKU]],customerSKU!G:G,customerSKU!K:K,"NA",0,1)</f>
        <v>NA</v>
      </c>
      <c r="AI1587" s="43" t="str">
        <f>_xlfn.XLOOKUP(Table26[[#This Row],[customerSKU]],customerSKU!G:G,customerSKU!O:O,"not found",0,1)</f>
        <v>not found</v>
      </c>
      <c r="AJ1587" s="22" t="e">
        <f>Table26[[#This Row],[unitprice]]*Table26[[#This Row],[quantity_unit]]</f>
        <v>#VALUE!</v>
      </c>
      <c r="AK1587" s="227" t="e" cm="1">
        <f t="array" ref="AK15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8" spans="1:37" ht="18" customHeight="1">
      <c r="A1588" s="42">
        <v>664</v>
      </c>
      <c r="B1588" s="42" t="s">
        <v>3520</v>
      </c>
      <c r="C1588" s="53" t="s">
        <v>203</v>
      </c>
      <c r="E1588" s="20"/>
      <c r="F15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8" s="93"/>
      <c r="I1588" s="203">
        <v>45778</v>
      </c>
      <c r="J1588" s="90" t="str">
        <f>IF(Table26[[#This Row],[customerSKU]]="","",_xlfn.XLOOKUP(Table26[[#This Row],[customerSKU]],customerSKU!G:G,customerSKU!A:A,"",0,1))</f>
        <v/>
      </c>
      <c r="K1588" s="232">
        <v>45779</v>
      </c>
      <c r="L1588" s="49" t="str">
        <f>IF(Table26[[#This Row],[customerSKU]]="","",_xlfn.XLOOKUP(Table26[[#This Row],[customerSKU]],customerSKU!G:G,customerSKU!B:B,"",0,1))</f>
        <v/>
      </c>
      <c r="M1588" s="22"/>
      <c r="N1588" s="15" t="str">
        <f>Table26[[#This Row],[po_number]]&amp;"-"&amp;Table26[[#This Row],[po_line]]</f>
        <v>-1</v>
      </c>
      <c r="O1588" s="15">
        <v>1</v>
      </c>
      <c r="P1588" s="50"/>
      <c r="Q1588" s="22" t="s">
        <v>1709</v>
      </c>
      <c r="R1588" s="22" t="s">
        <v>569</v>
      </c>
      <c r="S1588" s="90" t="str">
        <f>IF(Table26[[#This Row],[customerSKU]]="","",_xlfn.XLOOKUP(Table26[[#This Row],[customerSKU]],customerSKU!G:G,customerSKU!N:N,"NOT FOUND",0,1))</f>
        <v>NOT FOUND</v>
      </c>
      <c r="T1588" s="20">
        <v>45772</v>
      </c>
      <c r="U1588" s="94">
        <v>48</v>
      </c>
      <c r="V1588" s="22" t="str">
        <f>IF(ISBLANK(Table26[[#This Row],[customerSKU]]),"",_xlfn.XLOOKUP(Table26[[#This Row],[customerSKU]],Table27[customer_SKU],Table27[case_size],"",0,1))</f>
        <v/>
      </c>
      <c r="W1588" s="117" t="str">
        <f t="shared" si="65"/>
        <v/>
      </c>
      <c r="X1588" s="22" t="str">
        <f t="shared" si="66"/>
        <v/>
      </c>
      <c r="Y1588" s="25" t="str">
        <f>IF(Table26[[#This Row],[customerSKU]]="","",_xlfn.XLOOKUP(Table26[[#This Row],[customerSKU]],Table27[customer_SKU],Table27[product_GTIN],"",0,1))</f>
        <v/>
      </c>
      <c r="Z1588" s="25" t="s">
        <v>3373</v>
      </c>
      <c r="AA1588" s="18" t="str" cm="1">
        <f t="array" ref="AA1588">IF(P1588="", "", _xlfn.XLOOKUP(P1588,#REF!,#REF!,NA,0,-1))</f>
        <v/>
      </c>
      <c r="AB1588" s="22"/>
      <c r="AC1588" s="55" t="s">
        <v>117</v>
      </c>
      <c r="AD1588" s="55" t="str">
        <f>IF($AC1588="","",_xlfn.XLOOKUP($AC1588,'Client Info'!$C$2:$C$2497,'Client Info'!$D$2:$D$2497,"",0,1))</f>
        <v/>
      </c>
      <c r="AE1588" s="55" t="str">
        <f>IF($AC1588="","",_xlfn.XLOOKUP($AC1588,'Client Info'!$C$2:$C$2677,'Client Info'!$E$2:$E$2677,"",))</f>
        <v/>
      </c>
      <c r="AF1588" s="55" t="str">
        <f>IF($AC1588="","",_xlfn.XLOOKUP($AC1588,'Client Info'!$C$2:$C$2677,'Client Info'!$F$2:$F$2677,"",0,1))</f>
        <v/>
      </c>
      <c r="AG1588" s="55" t="s">
        <v>117</v>
      </c>
      <c r="AH1588" s="26" t="str">
        <f>_xlfn.XLOOKUP(Table26[[#This Row],[customerSKU]],customerSKU!G:G,customerSKU!K:K,"NA",0,1)</f>
        <v>NA</v>
      </c>
      <c r="AI1588" s="43" t="str">
        <f>_xlfn.XLOOKUP(Table26[[#This Row],[customerSKU]],customerSKU!G:G,customerSKU!O:O,"not found",0,1)</f>
        <v>not found</v>
      </c>
      <c r="AJ1588" s="22" t="e">
        <f>Table26[[#This Row],[unitprice]]*Table26[[#This Row],[quantity_unit]]</f>
        <v>#VALUE!</v>
      </c>
      <c r="AK1588" s="227" t="e" cm="1">
        <f t="array" ref="AK15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89" spans="1:37" ht="18" customHeight="1">
      <c r="A1589" s="42">
        <v>665</v>
      </c>
      <c r="B1589" s="42" t="s">
        <v>3520</v>
      </c>
      <c r="C1589" s="53" t="s">
        <v>203</v>
      </c>
      <c r="E1589" s="20"/>
      <c r="F15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89" s="93"/>
      <c r="I1589" s="203">
        <v>45778</v>
      </c>
      <c r="J1589" s="90" t="str">
        <f>IF(Table26[[#This Row],[customerSKU]]="","",_xlfn.XLOOKUP(Table26[[#This Row],[customerSKU]],customerSKU!G:G,customerSKU!A:A,"",0,1))</f>
        <v/>
      </c>
      <c r="K1589" s="232">
        <v>45779</v>
      </c>
      <c r="L1589" s="49" t="str">
        <f>IF(Table26[[#This Row],[customerSKU]]="","",_xlfn.XLOOKUP(Table26[[#This Row],[customerSKU]],customerSKU!G:G,customerSKU!B:B,"",0,1))</f>
        <v/>
      </c>
      <c r="M1589" s="22"/>
      <c r="N1589" s="15" t="str">
        <f>Table26[[#This Row],[po_number]]&amp;"-"&amp;Table26[[#This Row],[po_line]]</f>
        <v>-2</v>
      </c>
      <c r="O1589" s="15">
        <v>2</v>
      </c>
      <c r="P1589" s="50"/>
      <c r="Q1589" s="22" t="s">
        <v>1829</v>
      </c>
      <c r="R1589" s="22" t="s">
        <v>569</v>
      </c>
      <c r="S1589" s="90" t="str">
        <f>IF(Table26[[#This Row],[customerSKU]]="","",_xlfn.XLOOKUP(Table26[[#This Row],[customerSKU]],customerSKU!G:G,customerSKU!N:N,"NOT FOUND",0,1))</f>
        <v>NOT FOUND</v>
      </c>
      <c r="T1589" s="20">
        <v>45721</v>
      </c>
      <c r="U1589" s="94">
        <v>36</v>
      </c>
      <c r="V1589" s="22" t="str">
        <f>IF(ISBLANK(Table26[[#This Row],[customerSKU]]),"",_xlfn.XLOOKUP(Table26[[#This Row],[customerSKU]],Table27[customer_SKU],Table27[case_size],"",0,1))</f>
        <v/>
      </c>
      <c r="W1589" s="117" t="str">
        <f t="shared" si="65"/>
        <v/>
      </c>
      <c r="X1589" s="22" t="str">
        <f t="shared" si="66"/>
        <v/>
      </c>
      <c r="Y1589" s="25" t="str">
        <f>IF(Table26[[#This Row],[customerSKU]]="","",_xlfn.XLOOKUP(Table26[[#This Row],[customerSKU]],Table27[customer_SKU],Table27[product_GTIN],"",0,1))</f>
        <v/>
      </c>
      <c r="Z1589" s="25" t="s">
        <v>3372</v>
      </c>
      <c r="AA1589" s="18" t="str" cm="1">
        <f t="array" ref="AA1589">IF(P1589="", "", _xlfn.XLOOKUP(P1589,#REF!,#REF!,NA,0,-1))</f>
        <v/>
      </c>
      <c r="AB1589" s="22"/>
      <c r="AC1589" s="55" t="s">
        <v>117</v>
      </c>
      <c r="AD1589" s="55" t="str">
        <f>IF($AC1589="","",_xlfn.XLOOKUP($AC1589,'Client Info'!$C$2:$C$2497,'Client Info'!$D$2:$D$2497,"",0,1))</f>
        <v/>
      </c>
      <c r="AE1589" s="55" t="str">
        <f>IF($AC1589="","",_xlfn.XLOOKUP($AC1589,'Client Info'!$C$2:$C$2677,'Client Info'!$E$2:$E$2677,"",))</f>
        <v/>
      </c>
      <c r="AF1589" s="55" t="str">
        <f>IF($AC1589="","",_xlfn.XLOOKUP($AC1589,'Client Info'!$C$2:$C$2677,'Client Info'!$F$2:$F$2677,"",0,1))</f>
        <v/>
      </c>
      <c r="AG1589" s="55" t="s">
        <v>117</v>
      </c>
      <c r="AH1589" s="26" t="str">
        <f>_xlfn.XLOOKUP(Table26[[#This Row],[customerSKU]],customerSKU!G:G,customerSKU!K:K,"NA",0,1)</f>
        <v>NA</v>
      </c>
      <c r="AI1589" s="43" t="str">
        <f>_xlfn.XLOOKUP(Table26[[#This Row],[customerSKU]],customerSKU!G:G,customerSKU!O:O,"not found",0,1)</f>
        <v>not found</v>
      </c>
      <c r="AJ1589" s="22" t="e">
        <f>Table26[[#This Row],[unitprice]]*Table26[[#This Row],[quantity_unit]]</f>
        <v>#VALUE!</v>
      </c>
      <c r="AK1589" s="227" t="e" cm="1">
        <f t="array" ref="AK15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0" spans="1:37" ht="18" customHeight="1">
      <c r="A1590" s="42">
        <v>666</v>
      </c>
      <c r="B1590" s="42" t="s">
        <v>3520</v>
      </c>
      <c r="C1590" s="53" t="s">
        <v>203</v>
      </c>
      <c r="E1590" s="20"/>
      <c r="F15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0" s="93"/>
      <c r="I1590" s="203">
        <v>45778</v>
      </c>
      <c r="J1590" s="90" t="str">
        <f>IF(Table26[[#This Row],[customerSKU]]="","",_xlfn.XLOOKUP(Table26[[#This Row],[customerSKU]],customerSKU!G:G,customerSKU!A:A,"",0,1))</f>
        <v/>
      </c>
      <c r="K1590" s="232">
        <v>45779</v>
      </c>
      <c r="L1590" s="49" t="str">
        <f>IF(Table26[[#This Row],[customerSKU]]="","",_xlfn.XLOOKUP(Table26[[#This Row],[customerSKU]],customerSKU!G:G,customerSKU!B:B,"",0,1))</f>
        <v/>
      </c>
      <c r="M1590" s="22"/>
      <c r="N1590" s="15" t="str">
        <f>Table26[[#This Row],[po_number]]&amp;"-"&amp;Table26[[#This Row],[po_line]]</f>
        <v>-3</v>
      </c>
      <c r="O1590" s="15">
        <v>3</v>
      </c>
      <c r="P1590" s="50"/>
      <c r="Q1590" s="22" t="s">
        <v>1637</v>
      </c>
      <c r="R1590" s="22" t="s">
        <v>569</v>
      </c>
      <c r="S1590" s="90" t="str">
        <f>IF(Table26[[#This Row],[customerSKU]]="","",_xlfn.XLOOKUP(Table26[[#This Row],[customerSKU]],customerSKU!G:G,customerSKU!N:N,"NOT FOUND",0,1))</f>
        <v>NOT FOUND</v>
      </c>
      <c r="T1590" s="20">
        <v>45772</v>
      </c>
      <c r="U1590" s="94">
        <v>36</v>
      </c>
      <c r="V1590" s="22" t="str">
        <f>IF(ISBLANK(Table26[[#This Row],[customerSKU]]),"",_xlfn.XLOOKUP(Table26[[#This Row],[customerSKU]],Table27[customer_SKU],Table27[case_size],"",0,1))</f>
        <v/>
      </c>
      <c r="W1590" s="117" t="str">
        <f t="shared" si="65"/>
        <v/>
      </c>
      <c r="X1590" s="22" t="str">
        <f t="shared" si="66"/>
        <v/>
      </c>
      <c r="Y1590" s="25" t="str">
        <f>IF(Table26[[#This Row],[customerSKU]]="","",_xlfn.XLOOKUP(Table26[[#This Row],[customerSKU]],Table27[customer_SKU],Table27[product_GTIN],"",0,1))</f>
        <v/>
      </c>
      <c r="Z1590" s="25" t="s">
        <v>3366</v>
      </c>
      <c r="AA1590" s="18" t="str" cm="1">
        <f t="array" ref="AA1590">IF(P1590="", "", _xlfn.XLOOKUP(P1590,#REF!,#REF!,NA,0,-1))</f>
        <v/>
      </c>
      <c r="AB1590" s="22"/>
      <c r="AC1590" s="55" t="s">
        <v>117</v>
      </c>
      <c r="AD1590" s="55" t="str">
        <f>IF($AC1590="","",_xlfn.XLOOKUP($AC1590,'Client Info'!$C$2:$C$2497,'Client Info'!$D$2:$D$2497,"",0,1))</f>
        <v/>
      </c>
      <c r="AE1590" s="55" t="str">
        <f>IF($AC1590="","",_xlfn.XLOOKUP($AC1590,'Client Info'!$C$2:$C$2677,'Client Info'!$E$2:$E$2677,"",))</f>
        <v/>
      </c>
      <c r="AF1590" s="55" t="str">
        <f>IF($AC1590="","",_xlfn.XLOOKUP($AC1590,'Client Info'!$C$2:$C$2677,'Client Info'!$F$2:$F$2677,"",0,1))</f>
        <v/>
      </c>
      <c r="AG1590" s="55" t="s">
        <v>117</v>
      </c>
      <c r="AH1590" s="26" t="str">
        <f>_xlfn.XLOOKUP(Table26[[#This Row],[customerSKU]],customerSKU!G:G,customerSKU!K:K,"NA",0,1)</f>
        <v>NA</v>
      </c>
      <c r="AI1590" s="43" t="str">
        <f>_xlfn.XLOOKUP(Table26[[#This Row],[customerSKU]],customerSKU!G:G,customerSKU!O:O,"not found",0,1)</f>
        <v>not found</v>
      </c>
      <c r="AJ1590" s="22" t="e">
        <f>Table26[[#This Row],[unitprice]]*Table26[[#This Row],[quantity_unit]]</f>
        <v>#VALUE!</v>
      </c>
      <c r="AK1590" s="227" t="e" cm="1">
        <f t="array" ref="AK15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1" spans="1:37" ht="18" customHeight="1">
      <c r="A1591" s="42">
        <v>638</v>
      </c>
      <c r="B1591" s="42" t="s">
        <v>3520</v>
      </c>
      <c r="C1591" s="53" t="s">
        <v>203</v>
      </c>
      <c r="E1591" s="20"/>
      <c r="F15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1" s="93"/>
      <c r="I1591" s="203">
        <v>45770</v>
      </c>
      <c r="J1591" s="90" t="str">
        <f>IF(Table26[[#This Row],[customerSKU]]="","",_xlfn.XLOOKUP(Table26[[#This Row],[customerSKU]],customerSKU!G:G,customerSKU!A:A,"",0,1))</f>
        <v/>
      </c>
      <c r="K1591" s="232">
        <v>45782</v>
      </c>
      <c r="L1591" s="49" t="str">
        <f>IF(Table26[[#This Row],[customerSKU]]="","",_xlfn.XLOOKUP(Table26[[#This Row],[customerSKU]],customerSKU!G:G,customerSKU!B:B,"",0,1))</f>
        <v/>
      </c>
      <c r="M1591" s="22"/>
      <c r="N1591" s="15" t="str">
        <f>Table26[[#This Row],[po_number]]&amp;"-"&amp;Table26[[#This Row],[po_line]]</f>
        <v>-1</v>
      </c>
      <c r="O1591" s="15">
        <v>1</v>
      </c>
      <c r="P1591" s="50"/>
      <c r="Q1591" s="22" t="s">
        <v>869</v>
      </c>
      <c r="R1591" s="22" t="s">
        <v>3428</v>
      </c>
      <c r="S1591" s="90" t="str">
        <f>IF(Table26[[#This Row],[customerSKU]]="","",_xlfn.XLOOKUP(Table26[[#This Row],[customerSKU]],customerSKU!G:G,customerSKU!N:N,"NOT FOUND",0,1))</f>
        <v>NOT FOUND</v>
      </c>
      <c r="T1591" s="20">
        <v>45742</v>
      </c>
      <c r="U1591" s="94">
        <v>12</v>
      </c>
      <c r="V1591" s="22" t="str">
        <f>IF(ISBLANK(Table26[[#This Row],[customerSKU]]),"",_xlfn.XLOOKUP(Table26[[#This Row],[customerSKU]],Table27[customer_SKU],Table27[case_size],"",0,1))</f>
        <v/>
      </c>
      <c r="W1591" s="117" t="str">
        <f t="shared" si="65"/>
        <v/>
      </c>
      <c r="X1591" s="22" t="str">
        <f t="shared" si="66"/>
        <v/>
      </c>
      <c r="Y1591" s="22" t="str">
        <f>IF(Table26[[#This Row],[customerSKU]]="","",_xlfn.XLOOKUP(Table26[[#This Row],[customerSKU]],Table27[customer_SKU],Table27[product_GTIN],"",0,1))</f>
        <v/>
      </c>
      <c r="Z1591" s="25" t="s">
        <v>3538</v>
      </c>
      <c r="AA1591" s="18" t="str" cm="1">
        <f t="array" ref="AA1591">IF(P1591="", "", _xlfn.XLOOKUP(P1591,#REF!,#REF!,NA,0,-1))</f>
        <v/>
      </c>
      <c r="AB1591" s="22"/>
      <c r="AC1591" s="55" t="s">
        <v>177</v>
      </c>
      <c r="AD1591" s="55" t="str">
        <f>IF($AC1591="","",_xlfn.XLOOKUP($AC1591,'Client Info'!$C$2:$C$2497,'Client Info'!$D$2:$D$2497,"",0,1))</f>
        <v/>
      </c>
      <c r="AE1591" s="55" t="str">
        <f>IF($AC1591="","",_xlfn.XLOOKUP($AC1591,'Client Info'!$C$2:$C$2677,'Client Info'!$E$2:$E$2677,"",))</f>
        <v/>
      </c>
      <c r="AF1591" s="55" t="str">
        <f>IF($AC1591="","",_xlfn.XLOOKUP($AC1591,'Client Info'!$C$2:$C$2677,'Client Info'!$F$2:$F$2677,"",0,1))</f>
        <v/>
      </c>
      <c r="AG1591" s="55" t="str">
        <f>IF(ISBLANK(Table26[[#This Row],[customerSKU]]),"",_xlfn.XLOOKUP(Table26[[#This Row],[customerSKU]],Table27[customer_SKU],Table27[billto],"",0,1))</f>
        <v/>
      </c>
      <c r="AH1591" s="26" t="str">
        <f>_xlfn.XLOOKUP(Table26[[#This Row],[customerSKU]],customerSKU!G:G,customerSKU!K:K,"NA",0,1)</f>
        <v>NA</v>
      </c>
      <c r="AI1591" s="43" t="str">
        <f>_xlfn.XLOOKUP(Table26[[#This Row],[customerSKU]],customerSKU!G:G,customerSKU!O:O,"not found",0,1)</f>
        <v>not found</v>
      </c>
      <c r="AJ1591" s="22" t="e">
        <f>Table26[[#This Row],[unitprice]]*Table26[[#This Row],[quantity_unit]]</f>
        <v>#VALUE!</v>
      </c>
      <c r="AK1591" s="227" t="e" cm="1">
        <f t="array" ref="AK15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2" spans="1:37" ht="18" customHeight="1">
      <c r="A1592" s="42">
        <v>639</v>
      </c>
      <c r="B1592" s="42" t="s">
        <v>3520</v>
      </c>
      <c r="C1592" s="53" t="s">
        <v>203</v>
      </c>
      <c r="E1592" s="20"/>
      <c r="F15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2" s="93"/>
      <c r="I1592" s="203">
        <v>45770</v>
      </c>
      <c r="J1592" s="90" t="str">
        <f>IF(Table26[[#This Row],[customerSKU]]="","",_xlfn.XLOOKUP(Table26[[#This Row],[customerSKU]],customerSKU!G:G,customerSKU!A:A,"",0,1))</f>
        <v/>
      </c>
      <c r="K1592" s="232">
        <v>45782</v>
      </c>
      <c r="L1592" s="49" t="str">
        <f>IF(Table26[[#This Row],[customerSKU]]="","",_xlfn.XLOOKUP(Table26[[#This Row],[customerSKU]],customerSKU!G:G,customerSKU!B:B,"",0,1))</f>
        <v/>
      </c>
      <c r="M1592" s="22"/>
      <c r="N1592" s="15" t="str">
        <f>Table26[[#This Row],[po_number]]&amp;"-"&amp;Table26[[#This Row],[po_line]]</f>
        <v>-2</v>
      </c>
      <c r="O1592" s="15">
        <v>2</v>
      </c>
      <c r="P1592" s="50"/>
      <c r="Q1592" s="22" t="s">
        <v>3454</v>
      </c>
      <c r="R1592" s="22" t="s">
        <v>3428</v>
      </c>
      <c r="S1592" s="90" t="str">
        <f>IF(Table26[[#This Row],[customerSKU]]="","",_xlfn.XLOOKUP(Table26[[#This Row],[customerSKU]],customerSKU!G:G,customerSKU!N:N,"NOT FOUND",0,1))</f>
        <v>NOT FOUND</v>
      </c>
      <c r="T1592" s="20">
        <v>45714</v>
      </c>
      <c r="U1592" s="94">
        <v>12</v>
      </c>
      <c r="V1592" s="22" t="str">
        <f>IF(ISBLANK(Table26[[#This Row],[customerSKU]]),"",_xlfn.XLOOKUP(Table26[[#This Row],[customerSKU]],Table27[customer_SKU],Table27[case_size],"",0,1))</f>
        <v/>
      </c>
      <c r="W1592" s="117" t="str">
        <f t="shared" si="65"/>
        <v/>
      </c>
      <c r="X1592" s="22" t="str">
        <f t="shared" si="66"/>
        <v/>
      </c>
      <c r="Y1592" s="25" t="str">
        <f>IF(Table26[[#This Row],[customerSKU]]="","",_xlfn.XLOOKUP(Table26[[#This Row],[customerSKU]],Table27[customer_SKU],Table27[product_GTIN],"",0,1))</f>
        <v/>
      </c>
      <c r="Z1592" s="25" t="s">
        <v>3529</v>
      </c>
      <c r="AA1592" s="18" t="str" cm="1">
        <f t="array" ref="AA1592">IF(P1592="", "", _xlfn.XLOOKUP(P1592,#REF!,#REF!,NA,0,-1))</f>
        <v/>
      </c>
      <c r="AB1592" s="22"/>
      <c r="AC1592" s="55" t="str">
        <f>IF(Table26[[#This Row],[customerSKU]]="","",_xlfn.XLOOKUP(Table26[[#This Row],[customerSKU]],customerSKU!G:G,customerSKU!C:C,"",0,1))</f>
        <v/>
      </c>
      <c r="AD1592" s="55" t="str">
        <f>IF($AC1592="","",_xlfn.XLOOKUP($AC1592,'Client Info'!$C$2:$C$2497,'Client Info'!$D$2:$D$2497,"",0,1))</f>
        <v/>
      </c>
      <c r="AE1592" s="55" t="str">
        <f>IF($AC1592="","",_xlfn.XLOOKUP($AC1592,'Client Info'!$C$2:$C$2677,'Client Info'!$E$2:$E$2677,"",))</f>
        <v/>
      </c>
      <c r="AF1592" s="55" t="str">
        <f>IF($AC1592="","",_xlfn.XLOOKUP($AC1592,'Client Info'!$C$2:$C$2677,'Client Info'!$F$2:$F$2677,"",0,1))</f>
        <v/>
      </c>
      <c r="AG1592" s="55" t="str">
        <f>IF(ISBLANK(Table26[[#This Row],[customerSKU]]),"",_xlfn.XLOOKUP(Table26[[#This Row],[customerSKU]],Table27[customer_SKU],Table27[billto],"",0,1))</f>
        <v/>
      </c>
      <c r="AH1592" s="26" t="str">
        <f>_xlfn.XLOOKUP(Table26[[#This Row],[customerSKU]],customerSKU!G:G,customerSKU!K:K,"NA",0,1)</f>
        <v>NA</v>
      </c>
      <c r="AI1592" s="43" t="str">
        <f>_xlfn.XLOOKUP(Table26[[#This Row],[customerSKU]],customerSKU!G:G,customerSKU!O:O,"not found",0,1)</f>
        <v>not found</v>
      </c>
      <c r="AJ1592" s="22" t="e">
        <f>Table26[[#This Row],[unitprice]]*Table26[[#This Row],[quantity_unit]]</f>
        <v>#VALUE!</v>
      </c>
      <c r="AK1592" s="227" t="e" cm="1">
        <f t="array" ref="AK15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3" spans="1:37" ht="18" customHeight="1">
      <c r="A1593" s="42">
        <v>640</v>
      </c>
      <c r="B1593" s="42" t="s">
        <v>3520</v>
      </c>
      <c r="C1593" s="53" t="s">
        <v>203</v>
      </c>
      <c r="E1593" s="20"/>
      <c r="F15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3" s="93"/>
      <c r="I1593" s="203">
        <v>45778</v>
      </c>
      <c r="J1593" s="90" t="str">
        <f>IF(Table26[[#This Row],[customerSKU]]="","",_xlfn.XLOOKUP(Table26[[#This Row],[customerSKU]],customerSKU!G:G,customerSKU!A:A,"",0,1))</f>
        <v/>
      </c>
      <c r="K1593" s="232">
        <v>45782</v>
      </c>
      <c r="L1593" s="49" t="str">
        <f>IF(Table26[[#This Row],[customerSKU]]="","",_xlfn.XLOOKUP(Table26[[#This Row],[customerSKU]],customerSKU!G:G,customerSKU!B:B,"",0,1))</f>
        <v/>
      </c>
      <c r="M1593" s="22"/>
      <c r="N1593" s="15" t="str">
        <f>Table26[[#This Row],[po_number]]&amp;"-"&amp;Table26[[#This Row],[po_line]]</f>
        <v>-1</v>
      </c>
      <c r="O1593" s="15">
        <v>1</v>
      </c>
      <c r="P1593" s="50"/>
      <c r="Q1593" s="22" t="s">
        <v>1667</v>
      </c>
      <c r="R1593" s="22" t="s">
        <v>569</v>
      </c>
      <c r="S1593" s="90" t="str">
        <f>IF(Table26[[#This Row],[customerSKU]]="","",_xlfn.XLOOKUP(Table26[[#This Row],[customerSKU]],customerSKU!G:G,customerSKU!N:N,"NOT FOUND",0,1))</f>
        <v>NOT FOUND</v>
      </c>
      <c r="T1593" s="20">
        <v>45777</v>
      </c>
      <c r="U1593" s="94">
        <v>24</v>
      </c>
      <c r="V1593" s="22" t="str">
        <f>IF(ISBLANK(Table26[[#This Row],[customerSKU]]),"",_xlfn.XLOOKUP(Table26[[#This Row],[customerSKU]],Table27[customer_SKU],Table27[case_size],"",0,1))</f>
        <v/>
      </c>
      <c r="W1593" s="117" t="str">
        <f t="shared" si="65"/>
        <v/>
      </c>
      <c r="X1593" s="22" t="str">
        <f t="shared" si="66"/>
        <v/>
      </c>
      <c r="Y1593" s="25" t="str">
        <f>IF(Table26[[#This Row],[customerSKU]]="","",_xlfn.XLOOKUP(Table26[[#This Row],[customerSKU]],Table27[customer_SKU],Table27[product_GTIN],"",0,1))</f>
        <v/>
      </c>
      <c r="Z1593" s="25" t="s">
        <v>3466</v>
      </c>
      <c r="AA1593" s="18" t="str" cm="1">
        <f t="array" ref="AA1593">IF(P1593="", "", _xlfn.XLOOKUP(P1593,#REF!,#REF!,NA,0,-1))</f>
        <v/>
      </c>
      <c r="AB1593" s="22"/>
      <c r="AC1593" s="55" t="s">
        <v>3375</v>
      </c>
      <c r="AD1593" s="55" t="str">
        <f>IF($AC1593="","",_xlfn.XLOOKUP($AC1593,'Client Info'!$C$2:$C$2497,'Client Info'!$D$2:$D$2497,"",0,1))</f>
        <v/>
      </c>
      <c r="AE1593" s="55" t="str">
        <f>IF($AC1593="","",_xlfn.XLOOKUP($AC1593,'Client Info'!$C$2:$C$2677,'Client Info'!$E$2:$E$2677,"",))</f>
        <v/>
      </c>
      <c r="AF1593" s="55" t="str">
        <f>IF($AC1593="","",_xlfn.XLOOKUP($AC1593,'Client Info'!$C$2:$C$2677,'Client Info'!$F$2:$F$2677,"",0,1))</f>
        <v/>
      </c>
      <c r="AG1593" s="55" t="s">
        <v>3375</v>
      </c>
      <c r="AH1593" s="26" t="str">
        <f>_xlfn.XLOOKUP(Table26[[#This Row],[customerSKU]],customerSKU!G:G,customerSKU!K:K,"NA",0,1)</f>
        <v>NA</v>
      </c>
      <c r="AI1593" s="43" t="str">
        <f>_xlfn.XLOOKUP(Table26[[#This Row],[customerSKU]],customerSKU!G:G,customerSKU!O:O,"not found",0,1)</f>
        <v>not found</v>
      </c>
      <c r="AJ1593" s="22" t="e">
        <f>Table26[[#This Row],[unitprice]]*Table26[[#This Row],[quantity_unit]]</f>
        <v>#VALUE!</v>
      </c>
      <c r="AK1593" s="227" t="e" cm="1">
        <f t="array" ref="AK15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4" spans="1:37" ht="18" customHeight="1">
      <c r="A1594" s="42">
        <v>641</v>
      </c>
      <c r="B1594" s="42" t="s">
        <v>3520</v>
      </c>
      <c r="C1594" s="53" t="s">
        <v>203</v>
      </c>
      <c r="E1594" s="20"/>
      <c r="F15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4" s="93"/>
      <c r="I1594" s="203">
        <v>45778</v>
      </c>
      <c r="J1594" s="90" t="str">
        <f>IF(Table26[[#This Row],[customerSKU]]="","",_xlfn.XLOOKUP(Table26[[#This Row],[customerSKU]],customerSKU!G:G,customerSKU!A:A,"",0,1))</f>
        <v/>
      </c>
      <c r="K1594" s="232">
        <v>45782</v>
      </c>
      <c r="L1594" s="49" t="str">
        <f>IF(Table26[[#This Row],[customerSKU]]="","",_xlfn.XLOOKUP(Table26[[#This Row],[customerSKU]],customerSKU!G:G,customerSKU!B:B,"",0,1))</f>
        <v/>
      </c>
      <c r="M1594" s="22"/>
      <c r="N1594" s="15" t="str">
        <f>Table26[[#This Row],[po_number]]&amp;"-"&amp;Table26[[#This Row],[po_line]]</f>
        <v>-2</v>
      </c>
      <c r="O1594" s="15">
        <v>2</v>
      </c>
      <c r="P1594" s="50"/>
      <c r="Q1594" s="22" t="s">
        <v>1647</v>
      </c>
      <c r="R1594" s="22" t="s">
        <v>569</v>
      </c>
      <c r="S1594" s="90" t="str">
        <f>IF(Table26[[#This Row],[customerSKU]]="","",_xlfn.XLOOKUP(Table26[[#This Row],[customerSKU]],customerSKU!G:G,customerSKU!N:N,"NOT FOUND",0,1))</f>
        <v>NOT FOUND</v>
      </c>
      <c r="T1594" s="20">
        <v>45742</v>
      </c>
      <c r="U1594" s="94">
        <v>24</v>
      </c>
      <c r="V1594" s="22" t="str">
        <f>IF(ISBLANK(Table26[[#This Row],[customerSKU]]),"",_xlfn.XLOOKUP(Table26[[#This Row],[customerSKU]],Table27[customer_SKU],Table27[case_size],"",0,1))</f>
        <v/>
      </c>
      <c r="W1594" s="117" t="str">
        <f t="shared" si="65"/>
        <v/>
      </c>
      <c r="X1594" s="22" t="str">
        <f t="shared" si="66"/>
        <v/>
      </c>
      <c r="Y1594" s="25" t="str">
        <f>IF(Table26[[#This Row],[customerSKU]]="","",_xlfn.XLOOKUP(Table26[[#This Row],[customerSKU]],Table27[customer_SKU],Table27[product_GTIN],"",0,1))</f>
        <v/>
      </c>
      <c r="Z1594" s="25" t="s">
        <v>3416</v>
      </c>
      <c r="AA1594" s="18" t="str" cm="1">
        <f t="array" ref="AA1594">IF(P1594="", "", _xlfn.XLOOKUP(P1594,#REF!,#REF!,NA,0,-1))</f>
        <v/>
      </c>
      <c r="AB1594" s="22"/>
      <c r="AC1594" s="55" t="s">
        <v>3375</v>
      </c>
      <c r="AD1594" s="55" t="str">
        <f>IF($AC1594="","",_xlfn.XLOOKUP($AC1594,'Client Info'!$C$2:$C$2497,'Client Info'!$D$2:$D$2497,"",0,1))</f>
        <v/>
      </c>
      <c r="AE1594" s="55" t="str">
        <f>IF($AC1594="","",_xlfn.XLOOKUP($AC1594,'Client Info'!$C$2:$C$2677,'Client Info'!$E$2:$E$2677,"",))</f>
        <v/>
      </c>
      <c r="AF1594" s="55" t="str">
        <f>IF($AC1594="","",_xlfn.XLOOKUP($AC1594,'Client Info'!$C$2:$C$2677,'Client Info'!$F$2:$F$2677,"",0,1))</f>
        <v/>
      </c>
      <c r="AG1594" s="55" t="s">
        <v>3375</v>
      </c>
      <c r="AH1594" s="26" t="str">
        <f>_xlfn.XLOOKUP(Table26[[#This Row],[customerSKU]],customerSKU!G:G,customerSKU!K:K,"NA",0,1)</f>
        <v>NA</v>
      </c>
      <c r="AI1594" s="43" t="str">
        <f>_xlfn.XLOOKUP(Table26[[#This Row],[customerSKU]],customerSKU!G:G,customerSKU!O:O,"not found",0,1)</f>
        <v>not found</v>
      </c>
      <c r="AJ1594" s="22" t="e">
        <f>Table26[[#This Row],[unitprice]]*Table26[[#This Row],[quantity_unit]]</f>
        <v>#VALUE!</v>
      </c>
      <c r="AK1594" s="227" t="e" cm="1">
        <f t="array" ref="AK15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5" spans="1:37" ht="18" customHeight="1">
      <c r="A1595" s="42">
        <v>642</v>
      </c>
      <c r="B1595" s="42" t="s">
        <v>3520</v>
      </c>
      <c r="C1595" s="53" t="s">
        <v>203</v>
      </c>
      <c r="E1595" s="20"/>
      <c r="F15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5" s="93"/>
      <c r="I1595" s="203">
        <v>45778</v>
      </c>
      <c r="J1595" s="90" t="str">
        <f>IF(Table26[[#This Row],[customerSKU]]="","",_xlfn.XLOOKUP(Table26[[#This Row],[customerSKU]],customerSKU!G:G,customerSKU!A:A,"",0,1))</f>
        <v/>
      </c>
      <c r="K1595" s="232">
        <v>45782</v>
      </c>
      <c r="L1595" s="49" t="str">
        <f>IF(Table26[[#This Row],[customerSKU]]="","",_xlfn.XLOOKUP(Table26[[#This Row],[customerSKU]],customerSKU!G:G,customerSKU!B:B,"",0,1))</f>
        <v/>
      </c>
      <c r="M1595" s="22"/>
      <c r="N1595" s="15" t="str">
        <f>Table26[[#This Row],[po_number]]&amp;"-"&amp;Table26[[#This Row],[po_line]]</f>
        <v>-3</v>
      </c>
      <c r="O1595" s="15">
        <v>3</v>
      </c>
      <c r="P1595" s="50"/>
      <c r="Q1595" s="22" t="s">
        <v>1691</v>
      </c>
      <c r="R1595" s="22" t="s">
        <v>569</v>
      </c>
      <c r="S1595" s="90" t="str">
        <f>IF(Table26[[#This Row],[customerSKU]]="","",_xlfn.XLOOKUP(Table26[[#This Row],[customerSKU]],customerSKU!G:G,customerSKU!N:N,"NOT FOUND",0,1))</f>
        <v>NOT FOUND</v>
      </c>
      <c r="T1595" s="20">
        <v>45735</v>
      </c>
      <c r="U1595" s="94">
        <v>12</v>
      </c>
      <c r="V1595" s="22" t="str">
        <f>IF(ISBLANK(Table26[[#This Row],[customerSKU]]),"",_xlfn.XLOOKUP(Table26[[#This Row],[customerSKU]],Table27[customer_SKU],Table27[case_size],"",0,1))</f>
        <v/>
      </c>
      <c r="W1595" s="117" t="str">
        <f t="shared" si="65"/>
        <v/>
      </c>
      <c r="X1595" s="22" t="str">
        <f t="shared" si="66"/>
        <v/>
      </c>
      <c r="Y1595" s="25" t="str">
        <f>IF(Table26[[#This Row],[customerSKU]]="","",_xlfn.XLOOKUP(Table26[[#This Row],[customerSKU]],Table27[customer_SKU],Table27[product_GTIN],"",0,1))</f>
        <v/>
      </c>
      <c r="Z1595" s="25" t="s">
        <v>3364</v>
      </c>
      <c r="AA1595" s="18" t="str" cm="1">
        <f t="array" ref="AA1595">IF(P1595="", "", _xlfn.XLOOKUP(P1595,#REF!,#REF!,NA,0,-1))</f>
        <v/>
      </c>
      <c r="AB1595" s="22"/>
      <c r="AC1595" s="55" t="s">
        <v>3375</v>
      </c>
      <c r="AD1595" s="55" t="str">
        <f>IF($AC1595="","",_xlfn.XLOOKUP($AC1595,'Client Info'!$C$2:$C$2497,'Client Info'!$D$2:$D$2497,"",0,1))</f>
        <v/>
      </c>
      <c r="AE1595" s="55" t="str">
        <f>IF($AC1595="","",_xlfn.XLOOKUP($AC1595,'Client Info'!$C$2:$C$2677,'Client Info'!$E$2:$E$2677,"",))</f>
        <v/>
      </c>
      <c r="AF1595" s="55" t="str">
        <f>IF($AC1595="","",_xlfn.XLOOKUP($AC1595,'Client Info'!$C$2:$C$2677,'Client Info'!$F$2:$F$2677,"",0,1))</f>
        <v/>
      </c>
      <c r="AG1595" s="55" t="s">
        <v>3375</v>
      </c>
      <c r="AH1595" s="26" t="str">
        <f>_xlfn.XLOOKUP(Table26[[#This Row],[customerSKU]],customerSKU!G:G,customerSKU!K:K,"NA",0,1)</f>
        <v>NA</v>
      </c>
      <c r="AI1595" s="43" t="str">
        <f>_xlfn.XLOOKUP(Table26[[#This Row],[customerSKU]],customerSKU!G:G,customerSKU!O:O,"not found",0,1)</f>
        <v>not found</v>
      </c>
      <c r="AJ1595" s="22" t="e">
        <f>Table26[[#This Row],[unitprice]]*Table26[[#This Row],[quantity_unit]]</f>
        <v>#VALUE!</v>
      </c>
      <c r="AK1595" s="227" t="e" cm="1">
        <f t="array" ref="AK15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6" spans="1:37" ht="18" customHeight="1">
      <c r="A1596" s="42">
        <v>643</v>
      </c>
      <c r="B1596" s="42" t="s">
        <v>3520</v>
      </c>
      <c r="C1596" s="53" t="s">
        <v>203</v>
      </c>
      <c r="E1596" s="20"/>
      <c r="F15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6" s="93"/>
      <c r="I1596" s="203">
        <v>45778</v>
      </c>
      <c r="J1596" s="90" t="str">
        <f>IF(Table26[[#This Row],[customerSKU]]="","",_xlfn.XLOOKUP(Table26[[#This Row],[customerSKU]],customerSKU!G:G,customerSKU!A:A,"",0,1))</f>
        <v/>
      </c>
      <c r="K1596" s="232">
        <v>45782</v>
      </c>
      <c r="L1596" s="49" t="str">
        <f>IF(Table26[[#This Row],[customerSKU]]="","",_xlfn.XLOOKUP(Table26[[#This Row],[customerSKU]],customerSKU!G:G,customerSKU!B:B,"",0,1))</f>
        <v/>
      </c>
      <c r="M1596" s="22"/>
      <c r="N1596" s="15" t="str">
        <f>Table26[[#This Row],[po_number]]&amp;"-"&amp;Table26[[#This Row],[po_line]]</f>
        <v>-4</v>
      </c>
      <c r="O1596" s="15">
        <v>4</v>
      </c>
      <c r="P1596" s="50"/>
      <c r="Q1596" s="22" t="s">
        <v>1680</v>
      </c>
      <c r="R1596" s="22" t="s">
        <v>569</v>
      </c>
      <c r="S1596" s="90" t="str">
        <f>IF(Table26[[#This Row],[customerSKU]]="","",_xlfn.XLOOKUP(Table26[[#This Row],[customerSKU]],customerSKU!G:G,customerSKU!N:N,"NOT FOUND",0,1))</f>
        <v>NOT FOUND</v>
      </c>
      <c r="T1596" s="20">
        <v>45779</v>
      </c>
      <c r="U1596" s="94">
        <v>36</v>
      </c>
      <c r="V1596" s="22" t="str">
        <f>IF(ISBLANK(Table26[[#This Row],[customerSKU]]),"",_xlfn.XLOOKUP(Table26[[#This Row],[customerSKU]],Table27[customer_SKU],Table27[case_size],"",0,1))</f>
        <v/>
      </c>
      <c r="W1596" s="117" t="str">
        <f t="shared" si="65"/>
        <v/>
      </c>
      <c r="X1596" s="22" t="str">
        <f t="shared" si="66"/>
        <v/>
      </c>
      <c r="Y1596" s="25" t="str">
        <f>IF(Table26[[#This Row],[customerSKU]]="","",_xlfn.XLOOKUP(Table26[[#This Row],[customerSKU]],Table27[customer_SKU],Table27[product_GTIN],"",0,1))</f>
        <v/>
      </c>
      <c r="Z1596" s="25" t="s">
        <v>3469</v>
      </c>
      <c r="AA1596" s="18" t="str" cm="1">
        <f t="array" ref="AA1596">IF(P1596="", "", _xlfn.XLOOKUP(P1596,#REF!,#REF!,NA,0,-1))</f>
        <v/>
      </c>
      <c r="AB1596" s="22"/>
      <c r="AC1596" s="55" t="s">
        <v>3375</v>
      </c>
      <c r="AD1596" s="55" t="str">
        <f>IF($AC1596="","",_xlfn.XLOOKUP($AC1596,'Client Info'!$C$2:$C$2497,'Client Info'!$D$2:$D$2497,"",0,1))</f>
        <v/>
      </c>
      <c r="AE1596" s="55" t="str">
        <f>IF($AC1596="","",_xlfn.XLOOKUP($AC1596,'Client Info'!$C$2:$C$2677,'Client Info'!$E$2:$E$2677,"",))</f>
        <v/>
      </c>
      <c r="AF1596" s="55" t="str">
        <f>IF($AC1596="","",_xlfn.XLOOKUP($AC1596,'Client Info'!$C$2:$C$2677,'Client Info'!$F$2:$F$2677,"",0,1))</f>
        <v/>
      </c>
      <c r="AG1596" s="55" t="s">
        <v>3375</v>
      </c>
      <c r="AH1596" s="26" t="str">
        <f>_xlfn.XLOOKUP(Table26[[#This Row],[customerSKU]],customerSKU!G:G,customerSKU!K:K,"NA",0,1)</f>
        <v>NA</v>
      </c>
      <c r="AI1596" s="43" t="str">
        <f>_xlfn.XLOOKUP(Table26[[#This Row],[customerSKU]],customerSKU!G:G,customerSKU!O:O,"not found",0,1)</f>
        <v>not found</v>
      </c>
      <c r="AJ1596" s="22" t="e">
        <f>Table26[[#This Row],[unitprice]]*Table26[[#This Row],[quantity_unit]]</f>
        <v>#VALUE!</v>
      </c>
      <c r="AK1596" s="227" t="e" cm="1">
        <f t="array" ref="AK15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7" spans="1:37" ht="18" customHeight="1">
      <c r="A1597" s="42">
        <v>644</v>
      </c>
      <c r="B1597" s="42" t="s">
        <v>3520</v>
      </c>
      <c r="C1597" s="53" t="s">
        <v>203</v>
      </c>
      <c r="E1597" s="20"/>
      <c r="F15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7" s="93"/>
      <c r="I1597" s="203">
        <v>45778</v>
      </c>
      <c r="J1597" s="90" t="str">
        <f>IF(Table26[[#This Row],[customerSKU]]="","",_xlfn.XLOOKUP(Table26[[#This Row],[customerSKU]],customerSKU!G:G,customerSKU!A:A,"",0,1))</f>
        <v/>
      </c>
      <c r="K1597" s="232">
        <v>45782</v>
      </c>
      <c r="L1597" s="49" t="str">
        <f>IF(Table26[[#This Row],[customerSKU]]="","",_xlfn.XLOOKUP(Table26[[#This Row],[customerSKU]],customerSKU!G:G,customerSKU!B:B,"",0,1))</f>
        <v/>
      </c>
      <c r="M1597" s="22"/>
      <c r="N1597" s="15" t="str">
        <f>Table26[[#This Row],[po_number]]&amp;"-"&amp;Table26[[#This Row],[po_line]]</f>
        <v>-5</v>
      </c>
      <c r="O1597" s="15">
        <v>5</v>
      </c>
      <c r="P1597" s="50"/>
      <c r="Q1597" s="22" t="s">
        <v>3554</v>
      </c>
      <c r="R1597" s="22" t="s">
        <v>569</v>
      </c>
      <c r="S1597" s="90" t="str">
        <f>IF(Table26[[#This Row],[customerSKU]]="","",_xlfn.XLOOKUP(Table26[[#This Row],[customerSKU]],customerSKU!G:G,customerSKU!N:N,"NOT FOUND",0,1))</f>
        <v>NOT FOUND</v>
      </c>
      <c r="T1597" s="20">
        <v>45742</v>
      </c>
      <c r="U1597" s="94">
        <v>36</v>
      </c>
      <c r="V1597" s="22" t="str">
        <f>IF(ISBLANK(Table26[[#This Row],[customerSKU]]),"",_xlfn.XLOOKUP(Table26[[#This Row],[customerSKU]],Table27[customer_SKU],Table27[case_size],"",0,1))</f>
        <v/>
      </c>
      <c r="W1597" s="117" t="str">
        <f t="shared" si="65"/>
        <v/>
      </c>
      <c r="X1597" s="22" t="str">
        <f t="shared" si="66"/>
        <v/>
      </c>
      <c r="Y1597" s="25" t="str">
        <f>IF(Table26[[#This Row],[customerSKU]]="","",_xlfn.XLOOKUP(Table26[[#This Row],[customerSKU]],Table27[customer_SKU],Table27[product_GTIN],"",0,1))</f>
        <v/>
      </c>
      <c r="Z1597" s="25" t="s">
        <v>3376</v>
      </c>
      <c r="AA1597" s="18" t="str" cm="1">
        <f t="array" ref="AA1597">IF(P1597="", "", _xlfn.XLOOKUP(P1597,#REF!,#REF!,NA,0,-1))</f>
        <v/>
      </c>
      <c r="AB1597" s="22"/>
      <c r="AC1597" s="55" t="s">
        <v>3375</v>
      </c>
      <c r="AD1597" s="55" t="str">
        <f>IF($AC1597="","",_xlfn.XLOOKUP($AC1597,'Client Info'!$C$2:$C$2497,'Client Info'!$D$2:$D$2497,"",0,1))</f>
        <v/>
      </c>
      <c r="AE1597" s="55" t="str">
        <f>IF($AC1597="","",_xlfn.XLOOKUP($AC1597,'Client Info'!$C$2:$C$2677,'Client Info'!$E$2:$E$2677,"",))</f>
        <v/>
      </c>
      <c r="AF1597" s="55" t="str">
        <f>IF($AC1597="","",_xlfn.XLOOKUP($AC1597,'Client Info'!$C$2:$C$2677,'Client Info'!$F$2:$F$2677,"",0,1))</f>
        <v/>
      </c>
      <c r="AG1597" s="55" t="s">
        <v>3375</v>
      </c>
      <c r="AH1597" s="26" t="str">
        <f>_xlfn.XLOOKUP(Table26[[#This Row],[customerSKU]],customerSKU!G:G,customerSKU!K:K,"NA",0,1)</f>
        <v>NA</v>
      </c>
      <c r="AI1597" s="43" t="str">
        <f>_xlfn.XLOOKUP(Table26[[#This Row],[customerSKU]],customerSKU!G:G,customerSKU!O:O,"not found",0,1)</f>
        <v>not found</v>
      </c>
      <c r="AJ1597" s="22" t="e">
        <f>Table26[[#This Row],[unitprice]]*Table26[[#This Row],[quantity_unit]]</f>
        <v>#VALUE!</v>
      </c>
      <c r="AK1597" s="227" t="e" cm="1">
        <f t="array" ref="AK15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8" spans="1:37" ht="18" customHeight="1">
      <c r="A1598" s="42">
        <v>645</v>
      </c>
      <c r="B1598" s="42" t="s">
        <v>3520</v>
      </c>
      <c r="C1598" s="53" t="s">
        <v>203</v>
      </c>
      <c r="E1598" s="20"/>
      <c r="F15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8" s="93"/>
      <c r="I1598" s="203">
        <v>45778</v>
      </c>
      <c r="J1598" s="90" t="str">
        <f>IF(Table26[[#This Row],[customerSKU]]="","",_xlfn.XLOOKUP(Table26[[#This Row],[customerSKU]],customerSKU!G:G,customerSKU!A:A,"",0,1))</f>
        <v/>
      </c>
      <c r="K1598" s="232">
        <v>45782</v>
      </c>
      <c r="L1598" s="49" t="str">
        <f>IF(Table26[[#This Row],[customerSKU]]="","",_xlfn.XLOOKUP(Table26[[#This Row],[customerSKU]],customerSKU!G:G,customerSKU!B:B,"",0,1))</f>
        <v/>
      </c>
      <c r="M1598" s="22"/>
      <c r="N1598" s="15" t="str">
        <f>Table26[[#This Row],[po_number]]&amp;"-"&amp;Table26[[#This Row],[po_line]]</f>
        <v>-6</v>
      </c>
      <c r="O1598" s="15">
        <v>6</v>
      </c>
      <c r="P1598" s="50"/>
      <c r="Q1598" s="22" t="s">
        <v>1829</v>
      </c>
      <c r="R1598" s="22" t="s">
        <v>569</v>
      </c>
      <c r="S1598" s="90" t="str">
        <f>IF(Table26[[#This Row],[customerSKU]]="","",_xlfn.XLOOKUP(Table26[[#This Row],[customerSKU]],customerSKU!G:G,customerSKU!N:N,"NOT FOUND",0,1))</f>
        <v>NOT FOUND</v>
      </c>
      <c r="T1598" s="20">
        <v>45721</v>
      </c>
      <c r="U1598" s="94">
        <v>24</v>
      </c>
      <c r="V1598" s="22" t="str">
        <f>IF(ISBLANK(Table26[[#This Row],[customerSKU]]),"",_xlfn.XLOOKUP(Table26[[#This Row],[customerSKU]],Table27[customer_SKU],Table27[case_size],"",0,1))</f>
        <v/>
      </c>
      <c r="W1598" s="117" t="str">
        <f t="shared" si="65"/>
        <v/>
      </c>
      <c r="X1598" s="22" t="str">
        <f t="shared" si="66"/>
        <v/>
      </c>
      <c r="Y1598" s="25" t="str">
        <f>IF(Table26[[#This Row],[customerSKU]]="","",_xlfn.XLOOKUP(Table26[[#This Row],[customerSKU]],Table27[customer_SKU],Table27[product_GTIN],"",0,1))</f>
        <v/>
      </c>
      <c r="Z1598" s="25" t="s">
        <v>3372</v>
      </c>
      <c r="AA1598" s="18" t="str" cm="1">
        <f t="array" ref="AA1598">IF(P1598="", "", _xlfn.XLOOKUP(P1598,#REF!,#REF!,NA,0,-1))</f>
        <v/>
      </c>
      <c r="AB1598" s="22"/>
      <c r="AC1598" s="55" t="s">
        <v>3375</v>
      </c>
      <c r="AD1598" s="55" t="str">
        <f>IF($AC1598="","",_xlfn.XLOOKUP($AC1598,'Client Info'!$C$2:$C$2497,'Client Info'!$D$2:$D$2497,"",0,1))</f>
        <v/>
      </c>
      <c r="AE1598" s="55" t="str">
        <f>IF($AC1598="","",_xlfn.XLOOKUP($AC1598,'Client Info'!$C$2:$C$2677,'Client Info'!$E$2:$E$2677,"",))</f>
        <v/>
      </c>
      <c r="AF1598" s="55" t="str">
        <f>IF($AC1598="","",_xlfn.XLOOKUP($AC1598,'Client Info'!$C$2:$C$2677,'Client Info'!$F$2:$F$2677,"",0,1))</f>
        <v/>
      </c>
      <c r="AG1598" s="55" t="s">
        <v>3375</v>
      </c>
      <c r="AH1598" s="26" t="str">
        <f>_xlfn.XLOOKUP(Table26[[#This Row],[customerSKU]],customerSKU!G:G,customerSKU!K:K,"NA",0,1)</f>
        <v>NA</v>
      </c>
      <c r="AI1598" s="43" t="str">
        <f>_xlfn.XLOOKUP(Table26[[#This Row],[customerSKU]],customerSKU!G:G,customerSKU!O:O,"not found",0,1)</f>
        <v>not found</v>
      </c>
      <c r="AJ1598" s="22" t="e">
        <f>Table26[[#This Row],[unitprice]]*Table26[[#This Row],[quantity_unit]]</f>
        <v>#VALUE!</v>
      </c>
      <c r="AK1598" s="227" t="e" cm="1">
        <f t="array" ref="AK15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599" spans="1:37" ht="24.6" customHeight="1">
      <c r="A1599" s="42">
        <v>646</v>
      </c>
      <c r="B1599" s="42" t="s">
        <v>3520</v>
      </c>
      <c r="C1599" s="53" t="s">
        <v>203</v>
      </c>
      <c r="E1599" s="20"/>
      <c r="F15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599" s="93"/>
      <c r="I1599" s="203">
        <v>45778</v>
      </c>
      <c r="J1599" s="90" t="str">
        <f>IF(Table26[[#This Row],[customerSKU]]="","",_xlfn.XLOOKUP(Table26[[#This Row],[customerSKU]],customerSKU!G:G,customerSKU!A:A,"",0,1))</f>
        <v/>
      </c>
      <c r="K1599" s="232">
        <v>45782</v>
      </c>
      <c r="L1599" s="49" t="str">
        <f>IF(Table26[[#This Row],[customerSKU]]="","",_xlfn.XLOOKUP(Table26[[#This Row],[customerSKU]],customerSKU!G:G,customerSKU!B:B,"",0,1))</f>
        <v/>
      </c>
      <c r="M1599" s="22"/>
      <c r="N1599" s="15" t="str">
        <f>Table26[[#This Row],[po_number]]&amp;"-"&amp;Table26[[#This Row],[po_line]]</f>
        <v>-7</v>
      </c>
      <c r="O1599" s="15">
        <v>7</v>
      </c>
      <c r="P1599" s="50"/>
      <c r="Q1599" s="22" t="s">
        <v>1591</v>
      </c>
      <c r="R1599" s="22" t="s">
        <v>569</v>
      </c>
      <c r="S1599" s="90" t="str">
        <f>IF(Table26[[#This Row],[customerSKU]]="","",_xlfn.XLOOKUP(Table26[[#This Row],[customerSKU]],customerSKU!G:G,customerSKU!N:N,"NOT FOUND",0,1))</f>
        <v>NOT FOUND</v>
      </c>
      <c r="T1599" s="20">
        <v>45763</v>
      </c>
      <c r="U1599" s="94">
        <v>12</v>
      </c>
      <c r="V1599" s="22" t="str">
        <f>IF(ISBLANK(Table26[[#This Row],[customerSKU]]),"",_xlfn.XLOOKUP(Table26[[#This Row],[customerSKU]],Table27[customer_SKU],Table27[case_size],"",0,1))</f>
        <v/>
      </c>
      <c r="W1599" s="117" t="str">
        <f t="shared" si="65"/>
        <v/>
      </c>
      <c r="X1599" s="22" t="str">
        <f t="shared" si="66"/>
        <v/>
      </c>
      <c r="Y1599" s="25" t="str">
        <f>IF(Table26[[#This Row],[customerSKU]]="","",_xlfn.XLOOKUP(Table26[[#This Row],[customerSKU]],Table27[customer_SKU],Table27[product_GTIN],"",0,1))</f>
        <v/>
      </c>
      <c r="Z1599" s="25" t="s">
        <v>3372</v>
      </c>
      <c r="AA1599" s="18" t="str" cm="1">
        <f t="array" ref="AA1599">IF(P1599="", "", _xlfn.XLOOKUP(P1599,#REF!,#REF!,NA,0,-1))</f>
        <v/>
      </c>
      <c r="AB1599" s="22"/>
      <c r="AC1599" s="55" t="s">
        <v>3375</v>
      </c>
      <c r="AD1599" s="55" t="str">
        <f>IF($AC1599="","",_xlfn.XLOOKUP($AC1599,'Client Info'!$C$2:$C$2497,'Client Info'!$D$2:$D$2497,"",0,1))</f>
        <v/>
      </c>
      <c r="AE1599" s="55" t="str">
        <f>IF($AC1599="","",_xlfn.XLOOKUP($AC1599,'Client Info'!$C$2:$C$2677,'Client Info'!$E$2:$E$2677,"",))</f>
        <v/>
      </c>
      <c r="AF1599" s="55" t="str">
        <f>IF($AC1599="","",_xlfn.XLOOKUP($AC1599,'Client Info'!$C$2:$C$2677,'Client Info'!$F$2:$F$2677,"",0,1))</f>
        <v/>
      </c>
      <c r="AG1599" s="55" t="s">
        <v>3375</v>
      </c>
      <c r="AH1599" s="26" t="str">
        <f>_xlfn.XLOOKUP(Table26[[#This Row],[customerSKU]],customerSKU!G:G,customerSKU!K:K,"NA",0,1)</f>
        <v>NA</v>
      </c>
      <c r="AI1599" s="43" t="str">
        <f>_xlfn.XLOOKUP(Table26[[#This Row],[customerSKU]],customerSKU!G:G,customerSKU!O:O,"not found",0,1)</f>
        <v>not found</v>
      </c>
      <c r="AJ1599" s="22" t="e">
        <f>Table26[[#This Row],[unitprice]]*Table26[[#This Row],[quantity_unit]]</f>
        <v>#VALUE!</v>
      </c>
      <c r="AK1599" s="227" t="e" cm="1">
        <f t="array" ref="AK15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0" spans="1:37" ht="24.6" customHeight="1">
      <c r="A1600" s="42">
        <v>647</v>
      </c>
      <c r="B1600" s="42" t="s">
        <v>3520</v>
      </c>
      <c r="C1600" s="53" t="s">
        <v>203</v>
      </c>
      <c r="E1600" s="20"/>
      <c r="F16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0" s="93"/>
      <c r="I1600" s="203">
        <v>45778</v>
      </c>
      <c r="J1600" s="90" t="str">
        <f>IF(Table26[[#This Row],[customerSKU]]="","",_xlfn.XLOOKUP(Table26[[#This Row],[customerSKU]],customerSKU!G:G,customerSKU!A:A,"",0,1))</f>
        <v/>
      </c>
      <c r="K1600" s="232">
        <v>45782</v>
      </c>
      <c r="L1600" s="49" t="str">
        <f>IF(Table26[[#This Row],[customerSKU]]="","",_xlfn.XLOOKUP(Table26[[#This Row],[customerSKU]],customerSKU!G:G,customerSKU!B:B,"",0,1))</f>
        <v/>
      </c>
      <c r="M1600" s="22"/>
      <c r="N1600" s="15" t="str">
        <f>Table26[[#This Row],[po_number]]&amp;"-"&amp;Table26[[#This Row],[po_line]]</f>
        <v>-8</v>
      </c>
      <c r="O1600" s="15">
        <v>8</v>
      </c>
      <c r="P1600" s="50"/>
      <c r="Q1600" s="22" t="s">
        <v>614</v>
      </c>
      <c r="R1600" s="22" t="s">
        <v>569</v>
      </c>
      <c r="S1600" s="90" t="str">
        <f>IF(Table26[[#This Row],[customerSKU]]="","",_xlfn.XLOOKUP(Table26[[#This Row],[customerSKU]],customerSKU!G:G,customerSKU!N:N,"NOT FOUND",0,1))</f>
        <v>NOT FOUND</v>
      </c>
      <c r="T1600" s="20">
        <v>45756</v>
      </c>
      <c r="U1600" s="94">
        <v>24</v>
      </c>
      <c r="V1600" s="22" t="str">
        <f>IF(ISBLANK(Table26[[#This Row],[customerSKU]]),"",_xlfn.XLOOKUP(Table26[[#This Row],[customerSKU]],Table27[customer_SKU],Table27[case_size],"",0,1))</f>
        <v/>
      </c>
      <c r="W1600" s="117" t="str">
        <f t="shared" si="65"/>
        <v/>
      </c>
      <c r="X1600" s="22" t="str">
        <f t="shared" si="66"/>
        <v/>
      </c>
      <c r="Y1600" s="25" t="str">
        <f>IF(Table26[[#This Row],[customerSKU]]="","",_xlfn.XLOOKUP(Table26[[#This Row],[customerSKU]],Table27[customer_SKU],Table27[product_GTIN],"",0,1))</f>
        <v/>
      </c>
      <c r="Z1600" s="25" t="s">
        <v>3367</v>
      </c>
      <c r="AA1600" s="18" t="str" cm="1">
        <f t="array" ref="AA1600">IF(P1600="", "", _xlfn.XLOOKUP(P1600,#REF!,#REF!,NA,0,-1))</f>
        <v/>
      </c>
      <c r="AB1600" s="22"/>
      <c r="AC1600" s="55" t="s">
        <v>3375</v>
      </c>
      <c r="AD1600" s="55" t="str">
        <f>IF($AC1600="","",_xlfn.XLOOKUP($AC1600,'Client Info'!$C$2:$C$2497,'Client Info'!$D$2:$D$2497,"",0,1))</f>
        <v/>
      </c>
      <c r="AE1600" s="55" t="str">
        <f>IF($AC1600="","",_xlfn.XLOOKUP($AC1600,'Client Info'!$C$2:$C$2677,'Client Info'!$E$2:$E$2677,"",))</f>
        <v/>
      </c>
      <c r="AF1600" s="55" t="str">
        <f>IF($AC1600="","",_xlfn.XLOOKUP($AC1600,'Client Info'!$C$2:$C$2677,'Client Info'!$F$2:$F$2677,"",0,1))</f>
        <v/>
      </c>
      <c r="AG1600" s="55" t="s">
        <v>3375</v>
      </c>
      <c r="AH1600" s="26" t="str">
        <f>_xlfn.XLOOKUP(Table26[[#This Row],[customerSKU]],customerSKU!G:G,customerSKU!K:K,"NA",0,1)</f>
        <v>NA</v>
      </c>
      <c r="AI1600" s="43" t="str">
        <f>_xlfn.XLOOKUP(Table26[[#This Row],[customerSKU]],customerSKU!G:G,customerSKU!O:O,"not found",0,1)</f>
        <v>not found</v>
      </c>
      <c r="AJ1600" s="22" t="e">
        <f>Table26[[#This Row],[unitprice]]*Table26[[#This Row],[quantity_unit]]</f>
        <v>#VALUE!</v>
      </c>
      <c r="AK1600" s="227" t="e" cm="1">
        <f t="array" ref="AK16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1" spans="1:37" ht="18" customHeight="1">
      <c r="A1601" s="42">
        <v>648</v>
      </c>
      <c r="B1601" s="42" t="s">
        <v>3520</v>
      </c>
      <c r="C1601" s="53" t="s">
        <v>203</v>
      </c>
      <c r="E1601" s="20"/>
      <c r="F16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1" s="93"/>
      <c r="I1601" s="203">
        <v>45778</v>
      </c>
      <c r="J1601" s="90" t="str">
        <f>IF(Table26[[#This Row],[customerSKU]]="","",_xlfn.XLOOKUP(Table26[[#This Row],[customerSKU]],customerSKU!G:G,customerSKU!A:A,"",0,1))</f>
        <v/>
      </c>
      <c r="K1601" s="232">
        <v>45782</v>
      </c>
      <c r="L1601" s="49" t="str">
        <f>IF(Table26[[#This Row],[customerSKU]]="","",_xlfn.XLOOKUP(Table26[[#This Row],[customerSKU]],customerSKU!G:G,customerSKU!B:B,"",0,1))</f>
        <v/>
      </c>
      <c r="M1601" s="22"/>
      <c r="N1601" s="15" t="str">
        <f>Table26[[#This Row],[po_number]]&amp;"-"&amp;Table26[[#This Row],[po_line]]</f>
        <v>-9</v>
      </c>
      <c r="O1601" s="15">
        <v>9</v>
      </c>
      <c r="P1601" s="50"/>
      <c r="Q1601" s="22" t="s">
        <v>559</v>
      </c>
      <c r="R1601" s="22" t="s">
        <v>569</v>
      </c>
      <c r="S1601" s="90" t="str">
        <f>IF(Table26[[#This Row],[customerSKU]]="","",_xlfn.XLOOKUP(Table26[[#This Row],[customerSKU]],customerSKU!G:G,customerSKU!N:N,"NOT FOUND",0,1))</f>
        <v>NOT FOUND</v>
      </c>
      <c r="T1601" s="20">
        <v>45740</v>
      </c>
      <c r="U1601" s="94">
        <v>12</v>
      </c>
      <c r="V1601" s="22" t="str">
        <f>IF(ISBLANK(Table26[[#This Row],[customerSKU]]),"",_xlfn.XLOOKUP(Table26[[#This Row],[customerSKU]],Table27[customer_SKU],Table27[case_size],"",0,1))</f>
        <v/>
      </c>
      <c r="W1601" s="117" t="str">
        <f t="shared" si="65"/>
        <v/>
      </c>
      <c r="X1601" s="22" t="str">
        <f t="shared" si="66"/>
        <v/>
      </c>
      <c r="Y1601" s="25" t="str">
        <f>IF(Table26[[#This Row],[customerSKU]]="","",_xlfn.XLOOKUP(Table26[[#This Row],[customerSKU]],Table27[customer_SKU],Table27[product_GTIN],"",0,1))</f>
        <v/>
      </c>
      <c r="Z1601" s="25" t="s">
        <v>3450</v>
      </c>
      <c r="AA1601" s="18" t="str" cm="1">
        <f t="array" ref="AA1601">IF(P1601="", "", _xlfn.XLOOKUP(P1601,#REF!,#REF!,NA,0,-1))</f>
        <v/>
      </c>
      <c r="AB1601" s="22"/>
      <c r="AC1601" s="55" t="s">
        <v>3375</v>
      </c>
      <c r="AD1601" s="55" t="str">
        <f>IF($AC1601="","",_xlfn.XLOOKUP($AC1601,'Client Info'!$C$2:$C$2497,'Client Info'!$D$2:$D$2497,"",0,1))</f>
        <v/>
      </c>
      <c r="AE1601" s="55" t="str">
        <f>IF($AC1601="","",_xlfn.XLOOKUP($AC1601,'Client Info'!$C$2:$C$2677,'Client Info'!$E$2:$E$2677,"",))</f>
        <v/>
      </c>
      <c r="AF1601" s="55" t="str">
        <f>IF($AC1601="","",_xlfn.XLOOKUP($AC1601,'Client Info'!$C$2:$C$2677,'Client Info'!$F$2:$F$2677,"",0,1))</f>
        <v/>
      </c>
      <c r="AG1601" s="55" t="s">
        <v>3375</v>
      </c>
      <c r="AH1601" s="26" t="str">
        <f>_xlfn.XLOOKUP(Table26[[#This Row],[customerSKU]],customerSKU!G:G,customerSKU!K:K,"NA",0,1)</f>
        <v>NA</v>
      </c>
      <c r="AI1601" s="43" t="str">
        <f>_xlfn.XLOOKUP(Table26[[#This Row],[customerSKU]],customerSKU!G:G,customerSKU!O:O,"not found",0,1)</f>
        <v>not found</v>
      </c>
      <c r="AJ1601" s="22" t="e">
        <f>Table26[[#This Row],[unitprice]]*Table26[[#This Row],[quantity_unit]]</f>
        <v>#VALUE!</v>
      </c>
      <c r="AK1601" s="227" t="e" cm="1">
        <f t="array" ref="AK16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2" spans="1:37" ht="18" customHeight="1">
      <c r="A1602" s="42">
        <v>649</v>
      </c>
      <c r="B1602" s="42" t="s">
        <v>3520</v>
      </c>
      <c r="C1602" s="53" t="s">
        <v>203</v>
      </c>
      <c r="E1602" s="20"/>
      <c r="F16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2" s="93"/>
      <c r="I1602" s="19">
        <v>45779</v>
      </c>
      <c r="J1602" s="90" t="str">
        <f>IF(Table26[[#This Row],[customerSKU]]="","",_xlfn.XLOOKUP(Table26[[#This Row],[customerSKU]],customerSKU!G:G,customerSKU!A:A,"",0,1))</f>
        <v/>
      </c>
      <c r="K1602" s="232">
        <v>45782</v>
      </c>
      <c r="L1602" s="49" t="str">
        <f>IF(Table26[[#This Row],[customerSKU]]="","",_xlfn.XLOOKUP(Table26[[#This Row],[customerSKU]],customerSKU!G:G,customerSKU!B:B,"",0,1))</f>
        <v/>
      </c>
      <c r="M1602" s="22"/>
      <c r="N1602" s="15" t="str">
        <f>Table26[[#This Row],[po_number]]&amp;"-"&amp;Table26[[#This Row],[po_line]]</f>
        <v>-1</v>
      </c>
      <c r="O1602" s="15">
        <v>1</v>
      </c>
      <c r="P1602" s="50"/>
      <c r="Q1602" s="22" t="s">
        <v>1632</v>
      </c>
      <c r="R1602" s="22" t="s">
        <v>569</v>
      </c>
      <c r="S1602" s="90" t="str">
        <f>IF(Table26[[#This Row],[customerSKU]]="","",_xlfn.XLOOKUP(Table26[[#This Row],[customerSKU]],customerSKU!G:G,customerSKU!N:N,"NOT FOUND",0,1))</f>
        <v>NOT FOUND</v>
      </c>
      <c r="T1602" s="20">
        <v>45756</v>
      </c>
      <c r="U1602" s="94">
        <v>12</v>
      </c>
      <c r="V1602" s="22" t="str">
        <f>IF(ISBLANK(Table26[[#This Row],[customerSKU]]),"",_xlfn.XLOOKUP(Table26[[#This Row],[customerSKU]],Table27[customer_SKU],Table27[case_size],"",0,1))</f>
        <v/>
      </c>
      <c r="W1602" s="117" t="str">
        <f t="shared" si="65"/>
        <v/>
      </c>
      <c r="X1602" s="22" t="str">
        <f t="shared" si="66"/>
        <v/>
      </c>
      <c r="Y1602" s="25" t="str">
        <f>IF(Table26[[#This Row],[customerSKU]]="","",_xlfn.XLOOKUP(Table26[[#This Row],[customerSKU]],Table27[customer_SKU],Table27[product_GTIN],"",0,1))</f>
        <v/>
      </c>
      <c r="Z1602" s="25" t="s">
        <v>3445</v>
      </c>
      <c r="AA1602" s="18" t="str" cm="1">
        <f t="array" ref="AA1602">IF(P1602="", "", _xlfn.XLOOKUP(P1602,#REF!,#REF!,NA,0,-1))</f>
        <v/>
      </c>
      <c r="AB1602" s="22"/>
      <c r="AC1602" s="55" t="s">
        <v>3365</v>
      </c>
      <c r="AD1602" s="55" t="str">
        <f>IF($AC1602="","",_xlfn.XLOOKUP($AC1602,'Client Info'!$C$2:$C$2497,'Client Info'!$D$2:$D$2497,"",0,1))</f>
        <v/>
      </c>
      <c r="AE1602" s="55" t="str">
        <f>IF($AC1602="","",_xlfn.XLOOKUP($AC1602,'Client Info'!$C$2:$C$2677,'Client Info'!$E$2:$E$2677,"",))</f>
        <v/>
      </c>
      <c r="AF1602" s="55" t="str">
        <f>IF($AC1602="","",_xlfn.XLOOKUP($AC1602,'Client Info'!$C$2:$C$2677,'Client Info'!$F$2:$F$2677,"",0,1))</f>
        <v/>
      </c>
      <c r="AG1602" s="55" t="s">
        <v>3365</v>
      </c>
      <c r="AH1602" s="26" t="str">
        <f>_xlfn.XLOOKUP(Table26[[#This Row],[customerSKU]],customerSKU!G:G,customerSKU!K:K,"NA",0,1)</f>
        <v>NA</v>
      </c>
      <c r="AI1602" s="43" t="str">
        <f>_xlfn.XLOOKUP(Table26[[#This Row],[customerSKU]],customerSKU!G:G,customerSKU!O:O,"not found",0,1)</f>
        <v>not found</v>
      </c>
      <c r="AJ1602" s="22" t="e">
        <f>Table26[[#This Row],[unitprice]]*Table26[[#This Row],[quantity_unit]]</f>
        <v>#VALUE!</v>
      </c>
      <c r="AK1602" s="227" t="e" cm="1">
        <f t="array" ref="AK16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3" spans="1:37" ht="18" customHeight="1">
      <c r="A1603" s="42">
        <v>650</v>
      </c>
      <c r="B1603" s="42" t="s">
        <v>3520</v>
      </c>
      <c r="C1603" s="53" t="s">
        <v>203</v>
      </c>
      <c r="E1603" s="20"/>
      <c r="F16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3" s="93"/>
      <c r="I1603" s="19">
        <v>45779</v>
      </c>
      <c r="J1603" s="90" t="str">
        <f>IF(Table26[[#This Row],[customerSKU]]="","",_xlfn.XLOOKUP(Table26[[#This Row],[customerSKU]],customerSKU!G:G,customerSKU!A:A,"",0,1))</f>
        <v/>
      </c>
      <c r="K1603" s="232">
        <v>45782</v>
      </c>
      <c r="L1603" s="49" t="str">
        <f>IF(Table26[[#This Row],[customerSKU]]="","",_xlfn.XLOOKUP(Table26[[#This Row],[customerSKU]],customerSKU!G:G,customerSKU!B:B,"",0,1))</f>
        <v/>
      </c>
      <c r="M1603" s="22"/>
      <c r="N1603" s="15" t="str">
        <f>Table26[[#This Row],[po_number]]&amp;"-"&amp;Table26[[#This Row],[po_line]]</f>
        <v>-2</v>
      </c>
      <c r="O1603" s="15">
        <v>2</v>
      </c>
      <c r="P1603" s="50"/>
      <c r="Q1603" s="22" t="s">
        <v>3284</v>
      </c>
      <c r="R1603" s="22" t="s">
        <v>569</v>
      </c>
      <c r="S1603" s="90" t="str">
        <f>IF(Table26[[#This Row],[customerSKU]]="","",_xlfn.XLOOKUP(Table26[[#This Row],[customerSKU]],customerSKU!G:G,customerSKU!N:N,"NOT FOUND",0,1))</f>
        <v>NOT FOUND</v>
      </c>
      <c r="T1603" s="20">
        <v>45742</v>
      </c>
      <c r="U1603" s="94">
        <v>7</v>
      </c>
      <c r="V1603" s="22" t="str">
        <f>IF(ISBLANK(Table26[[#This Row],[customerSKU]]),"",_xlfn.XLOOKUP(Table26[[#This Row],[customerSKU]],Table27[customer_SKU],Table27[case_size],"",0,1))</f>
        <v/>
      </c>
      <c r="W1603" s="117" t="str">
        <f t="shared" si="65"/>
        <v/>
      </c>
      <c r="X1603" s="22" t="str">
        <f t="shared" si="66"/>
        <v/>
      </c>
      <c r="Y1603" s="25" t="str">
        <f>IF(Table26[[#This Row],[customerSKU]]="","",_xlfn.XLOOKUP(Table26[[#This Row],[customerSKU]],Table27[customer_SKU],Table27[product_GTIN],"",0,1))</f>
        <v/>
      </c>
      <c r="Z1603" s="25" t="s">
        <v>3372</v>
      </c>
      <c r="AA1603" s="18" t="str" cm="1">
        <f t="array" ref="AA1603">IF(P1603="", "", _xlfn.XLOOKUP(P1603,#REF!,#REF!,NA,0,-1))</f>
        <v/>
      </c>
      <c r="AB1603" s="22"/>
      <c r="AC1603" s="55" t="s">
        <v>3365</v>
      </c>
      <c r="AD1603" s="55" t="str">
        <f>IF($AC1603="","",_xlfn.XLOOKUP($AC1603,'Client Info'!$C$2:$C$2497,'Client Info'!$D$2:$D$2497,"",0,1))</f>
        <v/>
      </c>
      <c r="AE1603" s="55" t="str">
        <f>IF($AC1603="","",_xlfn.XLOOKUP($AC1603,'Client Info'!$C$2:$C$2677,'Client Info'!$E$2:$E$2677,"",))</f>
        <v/>
      </c>
      <c r="AF1603" s="55" t="str">
        <f>IF($AC1603="","",_xlfn.XLOOKUP($AC1603,'Client Info'!$C$2:$C$2677,'Client Info'!$F$2:$F$2677,"",0,1))</f>
        <v/>
      </c>
      <c r="AG1603" s="55" t="s">
        <v>3365</v>
      </c>
      <c r="AH1603" s="26" t="str">
        <f>_xlfn.XLOOKUP(Table26[[#This Row],[customerSKU]],customerSKU!G:G,customerSKU!K:K,"NA",0,1)</f>
        <v>NA</v>
      </c>
      <c r="AI1603" s="43" t="str">
        <f>_xlfn.XLOOKUP(Table26[[#This Row],[customerSKU]],customerSKU!G:G,customerSKU!O:O,"not found",0,1)</f>
        <v>not found</v>
      </c>
      <c r="AJ1603" s="22" t="e">
        <f>Table26[[#This Row],[unitprice]]*Table26[[#This Row],[quantity_unit]]</f>
        <v>#VALUE!</v>
      </c>
      <c r="AK1603" s="227" t="e" cm="1">
        <f t="array" ref="AK16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4" spans="1:37" ht="18" customHeight="1">
      <c r="A1604" s="42">
        <v>651</v>
      </c>
      <c r="B1604" s="42" t="s">
        <v>3520</v>
      </c>
      <c r="C1604" s="53" t="s">
        <v>203</v>
      </c>
      <c r="E1604" s="20"/>
      <c r="F16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4" s="93"/>
      <c r="I1604" s="19">
        <v>45779</v>
      </c>
      <c r="J1604" s="90" t="str">
        <f>IF(Table26[[#This Row],[customerSKU]]="","",_xlfn.XLOOKUP(Table26[[#This Row],[customerSKU]],customerSKU!G:G,customerSKU!A:A,"",0,1))</f>
        <v/>
      </c>
      <c r="K1604" s="232">
        <v>45782</v>
      </c>
      <c r="L1604" s="49" t="str">
        <f>IF(Table26[[#This Row],[customerSKU]]="","",_xlfn.XLOOKUP(Table26[[#This Row],[customerSKU]],customerSKU!G:G,customerSKU!B:B,"",0,1))</f>
        <v/>
      </c>
      <c r="M1604" s="22"/>
      <c r="N1604" s="15" t="str">
        <f>Table26[[#This Row],[po_number]]&amp;"-"&amp;Table26[[#This Row],[po_line]]</f>
        <v>-3</v>
      </c>
      <c r="O1604" s="15">
        <v>3</v>
      </c>
      <c r="P1604" s="50"/>
      <c r="Q1604" s="22" t="s">
        <v>3284</v>
      </c>
      <c r="R1604" s="22" t="s">
        <v>569</v>
      </c>
      <c r="S1604" s="90" t="str">
        <f>IF(Table26[[#This Row],[customerSKU]]="","",_xlfn.XLOOKUP(Table26[[#This Row],[customerSKU]],customerSKU!G:G,customerSKU!N:N,"NOT FOUND",0,1))</f>
        <v>NOT FOUND</v>
      </c>
      <c r="T1604" s="20">
        <v>45756</v>
      </c>
      <c r="U1604" s="94">
        <v>5</v>
      </c>
      <c r="V1604" s="22" t="str">
        <f>IF(ISBLANK(Table26[[#This Row],[customerSKU]]),"",_xlfn.XLOOKUP(Table26[[#This Row],[customerSKU]],Table27[customer_SKU],Table27[case_size],"",0,1))</f>
        <v/>
      </c>
      <c r="W1604" s="117" t="str">
        <f t="shared" si="65"/>
        <v/>
      </c>
      <c r="X1604" s="22" t="str">
        <f t="shared" si="66"/>
        <v/>
      </c>
      <c r="Y1604" s="25" t="str">
        <f>IF(Table26[[#This Row],[customerSKU]]="","",_xlfn.XLOOKUP(Table26[[#This Row],[customerSKU]],Table27[customer_SKU],Table27[product_GTIN],"",0,1))</f>
        <v/>
      </c>
      <c r="Z1604" s="25" t="s">
        <v>3372</v>
      </c>
      <c r="AA1604" s="18" t="str" cm="1">
        <f t="array" ref="AA1604">IF(P1604="", "", _xlfn.XLOOKUP(P1604,#REF!,#REF!,NA,0,-1))</f>
        <v/>
      </c>
      <c r="AB1604" s="22"/>
      <c r="AC1604" s="55" t="s">
        <v>3365</v>
      </c>
      <c r="AD1604" s="55" t="str">
        <f>IF($AC1604="","",_xlfn.XLOOKUP($AC1604,'Client Info'!$C$2:$C$2497,'Client Info'!$D$2:$D$2497,"",0,1))</f>
        <v/>
      </c>
      <c r="AE1604" s="55" t="str">
        <f>IF($AC1604="","",_xlfn.XLOOKUP($AC1604,'Client Info'!$C$2:$C$2677,'Client Info'!$E$2:$E$2677,"",))</f>
        <v/>
      </c>
      <c r="AF1604" s="55" t="str">
        <f>IF($AC1604="","",_xlfn.XLOOKUP($AC1604,'Client Info'!$C$2:$C$2677,'Client Info'!$F$2:$F$2677,"",0,1))</f>
        <v/>
      </c>
      <c r="AG1604" s="55" t="s">
        <v>3365</v>
      </c>
      <c r="AH1604" s="26" t="str">
        <f>_xlfn.XLOOKUP(Table26[[#This Row],[customerSKU]],customerSKU!G:G,customerSKU!K:K,"NA",0,1)</f>
        <v>NA</v>
      </c>
      <c r="AI1604" s="43" t="str">
        <f>_xlfn.XLOOKUP(Table26[[#This Row],[customerSKU]],customerSKU!G:G,customerSKU!O:O,"not found",0,1)</f>
        <v>not found</v>
      </c>
      <c r="AJ1604" s="22" t="e">
        <f>Table26[[#This Row],[unitprice]]*Table26[[#This Row],[quantity_unit]]</f>
        <v>#VALUE!</v>
      </c>
      <c r="AK1604" s="227" t="e" cm="1">
        <f t="array" ref="AK16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5" spans="1:37" ht="18" customHeight="1">
      <c r="A1605" s="42">
        <v>652</v>
      </c>
      <c r="B1605" s="42" t="s">
        <v>3520</v>
      </c>
      <c r="C1605" s="53" t="s">
        <v>203</v>
      </c>
      <c r="E1605" s="20"/>
      <c r="F16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5" s="93"/>
      <c r="I1605" s="19">
        <v>45779</v>
      </c>
      <c r="J1605" s="90" t="str">
        <f>IF(Table26[[#This Row],[customerSKU]]="","",_xlfn.XLOOKUP(Table26[[#This Row],[customerSKU]],customerSKU!G:G,customerSKU!A:A,"",0,1))</f>
        <v/>
      </c>
      <c r="K1605" s="232">
        <v>45782</v>
      </c>
      <c r="L1605" s="49" t="str">
        <f>IF(Table26[[#This Row],[customerSKU]]="","",_xlfn.XLOOKUP(Table26[[#This Row],[customerSKU]],customerSKU!G:G,customerSKU!B:B,"",0,1))</f>
        <v/>
      </c>
      <c r="M1605" s="22"/>
      <c r="N1605" s="15" t="str">
        <f>Table26[[#This Row],[po_number]]&amp;"-"&amp;Table26[[#This Row],[po_line]]</f>
        <v>-4</v>
      </c>
      <c r="O1605" s="15">
        <v>4</v>
      </c>
      <c r="P1605" s="50"/>
      <c r="Q1605" s="22" t="s">
        <v>1637</v>
      </c>
      <c r="R1605" s="22" t="s">
        <v>569</v>
      </c>
      <c r="S1605" s="90" t="str">
        <f>IF(Table26[[#This Row],[customerSKU]]="","",_xlfn.XLOOKUP(Table26[[#This Row],[customerSKU]],customerSKU!G:G,customerSKU!N:N,"NOT FOUND",0,1))</f>
        <v>NOT FOUND</v>
      </c>
      <c r="T1605" s="20">
        <v>45772</v>
      </c>
      <c r="U1605" s="94">
        <v>48</v>
      </c>
      <c r="V1605" s="22" t="str">
        <f>IF(ISBLANK(Table26[[#This Row],[customerSKU]]),"",_xlfn.XLOOKUP(Table26[[#This Row],[customerSKU]],Table27[customer_SKU],Table27[case_size],"",0,1))</f>
        <v/>
      </c>
      <c r="W1605" s="117" t="str">
        <f t="shared" ref="W1605:W1668" si="67">IFERROR(U1605/V1605, "")</f>
        <v/>
      </c>
      <c r="X1605" s="22" t="str">
        <f t="shared" si="66"/>
        <v/>
      </c>
      <c r="Y1605" s="25" t="str">
        <f>IF(Table26[[#This Row],[customerSKU]]="","",_xlfn.XLOOKUP(Table26[[#This Row],[customerSKU]],Table27[customer_SKU],Table27[product_GTIN],"",0,1))</f>
        <v/>
      </c>
      <c r="Z1605" s="25" t="s">
        <v>3366</v>
      </c>
      <c r="AA1605" s="18" t="str" cm="1">
        <f t="array" ref="AA1605">IF(P1605="", "", _xlfn.XLOOKUP(P1605,#REF!,#REF!,NA,0,-1))</f>
        <v/>
      </c>
      <c r="AB1605" s="22"/>
      <c r="AC1605" s="55" t="s">
        <v>3365</v>
      </c>
      <c r="AD1605" s="55" t="str">
        <f>IF($AC1605="","",_xlfn.XLOOKUP($AC1605,'Client Info'!$C$2:$C$2497,'Client Info'!$D$2:$D$2497,"",0,1))</f>
        <v/>
      </c>
      <c r="AE1605" s="55" t="str">
        <f>IF($AC1605="","",_xlfn.XLOOKUP($AC1605,'Client Info'!$C$2:$C$2677,'Client Info'!$E$2:$E$2677,"",))</f>
        <v/>
      </c>
      <c r="AF1605" s="55" t="str">
        <f>IF($AC1605="","",_xlfn.XLOOKUP($AC1605,'Client Info'!$C$2:$C$2677,'Client Info'!$F$2:$F$2677,"",0,1))</f>
        <v/>
      </c>
      <c r="AG1605" s="55" t="s">
        <v>3365</v>
      </c>
      <c r="AH1605" s="26" t="str">
        <f>_xlfn.XLOOKUP(Table26[[#This Row],[customerSKU]],customerSKU!G:G,customerSKU!K:K,"NA",0,1)</f>
        <v>NA</v>
      </c>
      <c r="AI1605" s="43" t="str">
        <f>_xlfn.XLOOKUP(Table26[[#This Row],[customerSKU]],customerSKU!G:G,customerSKU!O:O,"not found",0,1)</f>
        <v>not found</v>
      </c>
      <c r="AJ1605" s="22" t="e">
        <f>Table26[[#This Row],[unitprice]]*Table26[[#This Row],[quantity_unit]]</f>
        <v>#VALUE!</v>
      </c>
      <c r="AK1605" s="227" t="e" cm="1">
        <f t="array" ref="AK16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6" spans="1:37" ht="18" customHeight="1">
      <c r="A1606" s="42">
        <v>653</v>
      </c>
      <c r="B1606" s="42" t="s">
        <v>3520</v>
      </c>
      <c r="C1606" s="53" t="s">
        <v>203</v>
      </c>
      <c r="E1606" s="20"/>
      <c r="F16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6" s="93"/>
      <c r="I1606" s="19">
        <v>45779</v>
      </c>
      <c r="J1606" s="90" t="str">
        <f>IF(Table26[[#This Row],[customerSKU]]="","",_xlfn.XLOOKUP(Table26[[#This Row],[customerSKU]],customerSKU!G:G,customerSKU!A:A,"",0,1))</f>
        <v/>
      </c>
      <c r="K1606" s="232">
        <v>45782</v>
      </c>
      <c r="L1606" s="49" t="str">
        <f>IF(Table26[[#This Row],[customerSKU]]="","",_xlfn.XLOOKUP(Table26[[#This Row],[customerSKU]],customerSKU!G:G,customerSKU!B:B,"",0,1))</f>
        <v/>
      </c>
      <c r="M1606" s="22"/>
      <c r="N1606" s="15" t="str">
        <f>Table26[[#This Row],[po_number]]&amp;"-"&amp;Table26[[#This Row],[po_line]]</f>
        <v>-5</v>
      </c>
      <c r="O1606" s="15">
        <v>5</v>
      </c>
      <c r="P1606" s="50"/>
      <c r="Q1606" s="22" t="s">
        <v>3551</v>
      </c>
      <c r="R1606" s="22" t="s">
        <v>569</v>
      </c>
      <c r="S1606" s="90" t="str">
        <f>IF(Table26[[#This Row],[customerSKU]]="","",_xlfn.XLOOKUP(Table26[[#This Row],[customerSKU]],customerSKU!G:G,customerSKU!N:N,"NOT FOUND",0,1))</f>
        <v>NOT FOUND</v>
      </c>
      <c r="T1606" s="20">
        <v>45755</v>
      </c>
      <c r="U1606" s="94">
        <v>12</v>
      </c>
      <c r="V1606" s="22" t="str">
        <f>IF(ISBLANK(Table26[[#This Row],[customerSKU]]),"",_xlfn.XLOOKUP(Table26[[#This Row],[customerSKU]],Table27[customer_SKU],Table27[case_size],"",0,1))</f>
        <v/>
      </c>
      <c r="W1606" s="117" t="str">
        <f t="shared" si="67"/>
        <v/>
      </c>
      <c r="X1606" s="22" t="str">
        <f t="shared" ref="X1606:X1669" si="68">IFERROR($AA1606*$U1606, "")</f>
        <v/>
      </c>
      <c r="Y1606" s="25" t="str">
        <f>IF(Table26[[#This Row],[customerSKU]]="","",_xlfn.XLOOKUP(Table26[[#This Row],[customerSKU]],Table27[customer_SKU],Table27[product_GTIN],"",0,1))</f>
        <v/>
      </c>
      <c r="Z1606" s="25" t="s">
        <v>3406</v>
      </c>
      <c r="AA1606" s="18" t="str" cm="1">
        <f t="array" ref="AA1606">IF(P1606="", "", _xlfn.XLOOKUP(P1606,#REF!,#REF!,NA,0,-1))</f>
        <v/>
      </c>
      <c r="AB1606" s="22"/>
      <c r="AC1606" s="55" t="s">
        <v>3365</v>
      </c>
      <c r="AD1606" s="55" t="str">
        <f>IF($AC1606="","",_xlfn.XLOOKUP($AC1606,'Client Info'!$C$2:$C$2497,'Client Info'!$D$2:$D$2497,"",0,1))</f>
        <v/>
      </c>
      <c r="AE1606" s="55" t="str">
        <f>IF($AC1606="","",_xlfn.XLOOKUP($AC1606,'Client Info'!$C$2:$C$2677,'Client Info'!$E$2:$E$2677,"",))</f>
        <v/>
      </c>
      <c r="AF1606" s="55" t="str">
        <f>IF($AC1606="","",_xlfn.XLOOKUP($AC1606,'Client Info'!$C$2:$C$2677,'Client Info'!$F$2:$F$2677,"",0,1))</f>
        <v/>
      </c>
      <c r="AG1606" s="55" t="s">
        <v>3365</v>
      </c>
      <c r="AH1606" s="26" t="str">
        <f>_xlfn.XLOOKUP(Table26[[#This Row],[customerSKU]],customerSKU!G:G,customerSKU!K:K,"NA",0,1)</f>
        <v>NA</v>
      </c>
      <c r="AI1606" s="43" t="str">
        <f>_xlfn.XLOOKUP(Table26[[#This Row],[customerSKU]],customerSKU!G:G,customerSKU!O:O,"not found",0,1)</f>
        <v>not found</v>
      </c>
      <c r="AJ1606" s="22" t="e">
        <f>Table26[[#This Row],[unitprice]]*Table26[[#This Row],[quantity_unit]]</f>
        <v>#VALUE!</v>
      </c>
      <c r="AK1606" s="227" t="e" cm="1">
        <f t="array" ref="AK16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7" spans="1:37" ht="18" customHeight="1">
      <c r="A1607" s="42">
        <v>654</v>
      </c>
      <c r="B1607" s="42" t="s">
        <v>3520</v>
      </c>
      <c r="C1607" s="53" t="s">
        <v>203</v>
      </c>
      <c r="E1607" s="20"/>
      <c r="F16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7" s="93"/>
      <c r="I1607" s="19">
        <v>45779</v>
      </c>
      <c r="J1607" s="90" t="str">
        <f>IF(Table26[[#This Row],[customerSKU]]="","",_xlfn.XLOOKUP(Table26[[#This Row],[customerSKU]],customerSKU!G:G,customerSKU!A:A,"",0,1))</f>
        <v/>
      </c>
      <c r="K1607" s="232">
        <v>45782</v>
      </c>
      <c r="L1607" s="49" t="str">
        <f>IF(Table26[[#This Row],[customerSKU]]="","",_xlfn.XLOOKUP(Table26[[#This Row],[customerSKU]],customerSKU!G:G,customerSKU!B:B,"",0,1))</f>
        <v/>
      </c>
      <c r="M1607" s="22"/>
      <c r="N1607" s="15" t="str">
        <f>Table26[[#This Row],[po_number]]&amp;"-"&amp;Table26[[#This Row],[po_line]]</f>
        <v>-6</v>
      </c>
      <c r="O1607" s="15">
        <v>6</v>
      </c>
      <c r="P1607" s="50"/>
      <c r="Q1607" s="22" t="s">
        <v>622</v>
      </c>
      <c r="R1607" s="22" t="s">
        <v>569</v>
      </c>
      <c r="S1607" s="90" t="str">
        <f>IF(Table26[[#This Row],[customerSKU]]="","",_xlfn.XLOOKUP(Table26[[#This Row],[customerSKU]],customerSKU!G:G,customerSKU!N:N,"NOT FOUND",0,1))</f>
        <v>NOT FOUND</v>
      </c>
      <c r="T1607" s="20">
        <v>45603</v>
      </c>
      <c r="U1607" s="94">
        <v>12</v>
      </c>
      <c r="V1607" s="22" t="str">
        <f>IF(ISBLANK(Table26[[#This Row],[customerSKU]]),"",_xlfn.XLOOKUP(Table26[[#This Row],[customerSKU]],Table27[customer_SKU],Table27[case_size],"",0,1))</f>
        <v/>
      </c>
      <c r="W1607" s="117" t="str">
        <f t="shared" si="67"/>
        <v/>
      </c>
      <c r="X1607" s="22" t="str">
        <f t="shared" si="68"/>
        <v/>
      </c>
      <c r="Y1607" s="25" t="str">
        <f>IF(Table26[[#This Row],[customerSKU]]="","",_xlfn.XLOOKUP(Table26[[#This Row],[customerSKU]],Table27[customer_SKU],Table27[product_GTIN],"",0,1))</f>
        <v/>
      </c>
      <c r="Z1607" s="25" t="s">
        <v>3434</v>
      </c>
      <c r="AA1607" s="18" t="str" cm="1">
        <f t="array" ref="AA1607">IF(P1607="", "", _xlfn.XLOOKUP(P1607,#REF!,#REF!,NA,0,-1))</f>
        <v/>
      </c>
      <c r="AB1607" s="22"/>
      <c r="AC1607" s="55" t="s">
        <v>3365</v>
      </c>
      <c r="AD1607" s="55" t="str">
        <f>IF($AC1607="","",_xlfn.XLOOKUP($AC1607,'Client Info'!$C$2:$C$2497,'Client Info'!$D$2:$D$2497,"",0,1))</f>
        <v/>
      </c>
      <c r="AE1607" s="55" t="str">
        <f>IF($AC1607="","",_xlfn.XLOOKUP($AC1607,'Client Info'!$C$2:$C$2677,'Client Info'!$E$2:$E$2677,"",))</f>
        <v/>
      </c>
      <c r="AF1607" s="55" t="str">
        <f>IF($AC1607="","",_xlfn.XLOOKUP($AC1607,'Client Info'!$C$2:$C$2677,'Client Info'!$F$2:$F$2677,"",0,1))</f>
        <v/>
      </c>
      <c r="AG1607" s="55" t="s">
        <v>3365</v>
      </c>
      <c r="AH1607" s="26" t="str">
        <f>_xlfn.XLOOKUP(Table26[[#This Row],[customerSKU]],customerSKU!G:G,customerSKU!K:K,"NA",0,1)</f>
        <v>NA</v>
      </c>
      <c r="AI1607" s="43" t="str">
        <f>_xlfn.XLOOKUP(Table26[[#This Row],[customerSKU]],customerSKU!G:G,customerSKU!O:O,"not found",0,1)</f>
        <v>not found</v>
      </c>
      <c r="AJ1607" s="22" t="e">
        <f>Table26[[#This Row],[unitprice]]*Table26[[#This Row],[quantity_unit]]</f>
        <v>#VALUE!</v>
      </c>
      <c r="AK1607" s="227" t="e" cm="1">
        <f t="array" ref="AK16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8" spans="1:37" ht="18" customHeight="1">
      <c r="A1608" s="42">
        <v>655</v>
      </c>
      <c r="B1608" s="42" t="s">
        <v>3520</v>
      </c>
      <c r="C1608" s="53" t="s">
        <v>203</v>
      </c>
      <c r="E1608" s="20"/>
      <c r="F16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8" s="93"/>
      <c r="I1608" s="203">
        <v>45782</v>
      </c>
      <c r="J1608" s="90" t="str">
        <f>IF(Table26[[#This Row],[customerSKU]]="","",_xlfn.XLOOKUP(Table26[[#This Row],[customerSKU]],customerSKU!G:G,customerSKU!A:A,"",0,1))</f>
        <v/>
      </c>
      <c r="K1608" s="232">
        <v>45782</v>
      </c>
      <c r="L1608" s="49" t="str">
        <f>IF(Table26[[#This Row],[customerSKU]]="","",_xlfn.XLOOKUP(Table26[[#This Row],[customerSKU]],customerSKU!G:G,customerSKU!B:B,"",0,1))</f>
        <v/>
      </c>
      <c r="M1608" s="22"/>
      <c r="N1608" s="15" t="str">
        <f>Table26[[#This Row],[po_number]]&amp;"-"&amp;Table26[[#This Row],[po_line]]</f>
        <v>-1</v>
      </c>
      <c r="O1608" s="15">
        <v>1</v>
      </c>
      <c r="P1608" s="50"/>
      <c r="Q1608" s="22" t="s">
        <v>3388</v>
      </c>
      <c r="R1608" s="22" t="s">
        <v>3419</v>
      </c>
      <c r="S1608" s="90" t="str">
        <f>IF(Table26[[#This Row],[customerSKU]]="","",_xlfn.XLOOKUP(Table26[[#This Row],[customerSKU]],customerSKU!G:G,customerSKU!N:N,"NOT FOUND",0,1))</f>
        <v>NOT FOUND</v>
      </c>
      <c r="T1608" s="20">
        <v>45692</v>
      </c>
      <c r="U1608" s="94">
        <v>3</v>
      </c>
      <c r="V1608" s="22" t="str">
        <f>IF(ISBLANK(Table26[[#This Row],[customerSKU]]),"",_xlfn.XLOOKUP(Table26[[#This Row],[customerSKU]],Table27[customer_SKU],Table27[case_size],"",0,1))</f>
        <v/>
      </c>
      <c r="W1608" s="117" t="str">
        <f t="shared" si="67"/>
        <v/>
      </c>
      <c r="X1608" s="22" t="str">
        <f t="shared" si="68"/>
        <v/>
      </c>
      <c r="Y1608" s="25" t="str">
        <f>IF(Table26[[#This Row],[customerSKU]]="","",_xlfn.XLOOKUP(Table26[[#This Row],[customerSKU]],Table27[customer_SKU],Table27[product_GTIN],"",0,1))</f>
        <v/>
      </c>
      <c r="Z1608" s="25" t="s">
        <v>3555</v>
      </c>
      <c r="AA1608" s="18" t="str" cm="1">
        <f t="array" ref="AA1608">IF(P1608="", "", _xlfn.XLOOKUP(P1608,#REF!,#REF!,NA,0,-1))</f>
        <v/>
      </c>
      <c r="AB1608" s="22"/>
      <c r="AC1608" s="55" t="s">
        <v>3556</v>
      </c>
      <c r="AD1608" s="55" t="str">
        <f>IF($AC1608="","",_xlfn.XLOOKUP($AC1608,'Client Info'!$C$2:$C$2497,'Client Info'!$D$2:$D$2497,"",0,1))</f>
        <v/>
      </c>
      <c r="AE1608" s="55" t="str">
        <f>IF($AC1608="","",_xlfn.XLOOKUP($AC1608,'Client Info'!$C$2:$C$2677,'Client Info'!$E$2:$E$2677,"",))</f>
        <v/>
      </c>
      <c r="AF1608" s="55" t="str">
        <f>IF($AC1608="","",_xlfn.XLOOKUP($AC1608,'Client Info'!$C$2:$C$2677,'Client Info'!$F$2:$F$2677,"",0,1))</f>
        <v/>
      </c>
      <c r="AG1608" s="55" t="str">
        <f>IF(ISBLANK(Table26[[#This Row],[customerSKU]]),"",_xlfn.XLOOKUP(Table26[[#This Row],[customerSKU]],Table27[customer_SKU],Table27[billto],"",0,1))</f>
        <v/>
      </c>
      <c r="AH1608" s="26" t="str">
        <f>_xlfn.XLOOKUP(Table26[[#This Row],[customerSKU]],customerSKU!G:G,customerSKU!K:K,"NA",0,1)</f>
        <v>NA</v>
      </c>
      <c r="AI1608" s="43" t="str">
        <f>_xlfn.XLOOKUP(Table26[[#This Row],[customerSKU]],customerSKU!G:G,customerSKU!O:O,"not found",0,1)</f>
        <v>not found</v>
      </c>
      <c r="AJ1608" s="22" t="e">
        <f>Table26[[#This Row],[unitprice]]*Table26[[#This Row],[quantity_unit]]</f>
        <v>#VALUE!</v>
      </c>
      <c r="AK1608" s="227" t="e" cm="1">
        <f t="array" ref="AK16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09" spans="1:37" ht="18" customHeight="1">
      <c r="A1609" s="42">
        <v>656</v>
      </c>
      <c r="B1609" s="42" t="s">
        <v>3520</v>
      </c>
      <c r="C1609" s="53" t="s">
        <v>203</v>
      </c>
      <c r="E1609" s="20"/>
      <c r="F16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09" s="93"/>
      <c r="I1609" s="19">
        <v>45782</v>
      </c>
      <c r="J1609" s="90" t="str">
        <f>IF(Table26[[#This Row],[customerSKU]]="","",_xlfn.XLOOKUP(Table26[[#This Row],[customerSKU]],customerSKU!G:G,customerSKU!A:A,"",0,1))</f>
        <v/>
      </c>
      <c r="K1609" s="232">
        <v>45782</v>
      </c>
      <c r="L1609" s="49" t="str">
        <f>IF(Table26[[#This Row],[customerSKU]]="","",_xlfn.XLOOKUP(Table26[[#This Row],[customerSKU]],customerSKU!G:G,customerSKU!B:B,"",0,1))</f>
        <v/>
      </c>
      <c r="M1609" s="22"/>
      <c r="N1609" s="15" t="str">
        <f>Table26[[#This Row],[po_number]]&amp;"-"&amp;Table26[[#This Row],[po_line]]</f>
        <v>-1</v>
      </c>
      <c r="O1609" s="15">
        <v>1</v>
      </c>
      <c r="P1609" s="50"/>
      <c r="Q1609" s="22" t="s">
        <v>582</v>
      </c>
      <c r="R1609" s="22" t="s">
        <v>569</v>
      </c>
      <c r="S1609" s="90" t="str">
        <f>IF(Table26[[#This Row],[customerSKU]]="","",_xlfn.XLOOKUP(Table26[[#This Row],[customerSKU]],customerSKU!G:G,customerSKU!N:N,"NOT FOUND",0,1))</f>
        <v>NOT FOUND</v>
      </c>
      <c r="T1609" s="20">
        <v>45756</v>
      </c>
      <c r="U1609" s="94">
        <v>24</v>
      </c>
      <c r="V1609" s="22" t="str">
        <f>IF(ISBLANK(Table26[[#This Row],[customerSKU]]),"",_xlfn.XLOOKUP(Table26[[#This Row],[customerSKU]],Table27[customer_SKU],Table27[case_size],"",0,1))</f>
        <v/>
      </c>
      <c r="W1609" s="117" t="str">
        <f t="shared" si="67"/>
        <v/>
      </c>
      <c r="X1609" s="22" t="str">
        <f t="shared" si="68"/>
        <v/>
      </c>
      <c r="Y1609" s="25" t="str">
        <f>IF(Table26[[#This Row],[customerSKU]]="","",_xlfn.XLOOKUP(Table26[[#This Row],[customerSKU]],Table27[customer_SKU],Table27[product_GTIN],"",0,1))</f>
        <v/>
      </c>
      <c r="Z1609" s="25" t="s">
        <v>3445</v>
      </c>
      <c r="AA1609" s="18" t="str" cm="1">
        <f t="array" ref="AA1609">IF(P1609="", "", _xlfn.XLOOKUP(P1609,#REF!,#REF!,NA,0,-1))</f>
        <v/>
      </c>
      <c r="AB1609" s="22"/>
      <c r="AC1609" s="55" t="s">
        <v>3424</v>
      </c>
      <c r="AD1609" s="55" t="str">
        <f>IF($AC1609="","",_xlfn.XLOOKUP($AC1609,'Client Info'!$C$2:$C$2497,'Client Info'!$D$2:$D$2497,"",0,1))</f>
        <v/>
      </c>
      <c r="AE1609" s="55" t="str">
        <f>IF($AC1609="","",_xlfn.XLOOKUP($AC1609,'Client Info'!$C$2:$C$2677,'Client Info'!$E$2:$E$2677,"",))</f>
        <v/>
      </c>
      <c r="AF1609" s="55" t="str">
        <f>IF($AC1609="","",_xlfn.XLOOKUP($AC1609,'Client Info'!$C$2:$C$2677,'Client Info'!$F$2:$F$2677,"",0,1))</f>
        <v/>
      </c>
      <c r="AG1609" s="55" t="s">
        <v>3424</v>
      </c>
      <c r="AH1609" s="26" t="str">
        <f>_xlfn.XLOOKUP(Table26[[#This Row],[customerSKU]],customerSKU!G:G,customerSKU!K:K,"NA",0,1)</f>
        <v>NA</v>
      </c>
      <c r="AI1609" s="43" t="str">
        <f>_xlfn.XLOOKUP(Table26[[#This Row],[customerSKU]],customerSKU!G:G,customerSKU!O:O,"not found",0,1)</f>
        <v>not found</v>
      </c>
      <c r="AJ1609" s="22" t="e">
        <f>Table26[[#This Row],[unitprice]]*Table26[[#This Row],[quantity_unit]]</f>
        <v>#VALUE!</v>
      </c>
      <c r="AK1609" s="227" t="e" cm="1">
        <f t="array" ref="AK16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0" spans="1:37" ht="24.6" customHeight="1">
      <c r="A1610" s="42">
        <v>657</v>
      </c>
      <c r="B1610" s="42" t="s">
        <v>3520</v>
      </c>
      <c r="C1610" s="53" t="s">
        <v>203</v>
      </c>
      <c r="E1610" s="20"/>
      <c r="F16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0" s="93"/>
      <c r="I1610" s="19">
        <v>45782</v>
      </c>
      <c r="J1610" s="90" t="str">
        <f>IF(Table26[[#This Row],[customerSKU]]="","",_xlfn.XLOOKUP(Table26[[#This Row],[customerSKU]],customerSKU!G:G,customerSKU!A:A,"",0,1))</f>
        <v/>
      </c>
      <c r="K1610" s="232">
        <v>45782</v>
      </c>
      <c r="L1610" s="49" t="str">
        <f>IF(Table26[[#This Row],[customerSKU]]="","",_xlfn.XLOOKUP(Table26[[#This Row],[customerSKU]],customerSKU!G:G,customerSKU!B:B,"",0,1))</f>
        <v/>
      </c>
      <c r="M1610" s="22"/>
      <c r="N1610" s="15" t="str">
        <f>Table26[[#This Row],[po_number]]&amp;"-"&amp;Table26[[#This Row],[po_line]]</f>
        <v>-2</v>
      </c>
      <c r="O1610" s="15">
        <v>2</v>
      </c>
      <c r="P1610" s="50"/>
      <c r="Q1610" s="22" t="s">
        <v>565</v>
      </c>
      <c r="R1610" s="22" t="s">
        <v>569</v>
      </c>
      <c r="S1610" s="90" t="str">
        <f>IF(Table26[[#This Row],[customerSKU]]="","",_xlfn.XLOOKUP(Table26[[#This Row],[customerSKU]],customerSKU!G:G,customerSKU!N:N,"NOT FOUND",0,1))</f>
        <v>NOT FOUND</v>
      </c>
      <c r="T1610" s="20">
        <v>45763</v>
      </c>
      <c r="U1610" s="94">
        <v>7</v>
      </c>
      <c r="V1610" s="22" t="str">
        <f>IF(ISBLANK(Table26[[#This Row],[customerSKU]]),"",_xlfn.XLOOKUP(Table26[[#This Row],[customerSKU]],Table27[customer_SKU],Table27[case_size],"",0,1))</f>
        <v/>
      </c>
      <c r="W1610" s="117" t="str">
        <f t="shared" si="67"/>
        <v/>
      </c>
      <c r="X1610" s="22" t="str">
        <f t="shared" si="68"/>
        <v/>
      </c>
      <c r="Y1610" s="25" t="str">
        <f>IF(Table26[[#This Row],[customerSKU]]="","",_xlfn.XLOOKUP(Table26[[#This Row],[customerSKU]],Table27[customer_SKU],Table27[product_GTIN],"",0,1))</f>
        <v/>
      </c>
      <c r="Z1610" s="25" t="s">
        <v>3373</v>
      </c>
      <c r="AA1610" s="18" t="str" cm="1">
        <f t="array" ref="AA1610">IF(P1610="", "", _xlfn.XLOOKUP(P1610,#REF!,#REF!,NA,0,-1))</f>
        <v/>
      </c>
      <c r="AB1610" s="22"/>
      <c r="AC1610" s="55" t="s">
        <v>3424</v>
      </c>
      <c r="AD1610" s="55" t="str">
        <f>IF($AC1610="","",_xlfn.XLOOKUP($AC1610,'Client Info'!$C$2:$C$2497,'Client Info'!$D$2:$D$2497,"",0,1))</f>
        <v/>
      </c>
      <c r="AE1610" s="55" t="str">
        <f>IF($AC1610="","",_xlfn.XLOOKUP($AC1610,'Client Info'!$C$2:$C$2677,'Client Info'!$E$2:$E$2677,"",))</f>
        <v/>
      </c>
      <c r="AF1610" s="55" t="str">
        <f>IF($AC1610="","",_xlfn.XLOOKUP($AC1610,'Client Info'!$C$2:$C$2677,'Client Info'!$F$2:$F$2677,"",0,1))</f>
        <v/>
      </c>
      <c r="AG1610" s="55" t="s">
        <v>3424</v>
      </c>
      <c r="AH1610" s="26" t="str">
        <f>_xlfn.XLOOKUP(Table26[[#This Row],[customerSKU]],customerSKU!G:G,customerSKU!K:K,"NA",0,1)</f>
        <v>NA</v>
      </c>
      <c r="AI1610" s="43" t="str">
        <f>_xlfn.XLOOKUP(Table26[[#This Row],[customerSKU]],customerSKU!G:G,customerSKU!O:O,"not found",0,1)</f>
        <v>not found</v>
      </c>
      <c r="AJ1610" s="22" t="e">
        <f>Table26[[#This Row],[unitprice]]*Table26[[#This Row],[quantity_unit]]</f>
        <v>#VALUE!</v>
      </c>
      <c r="AK1610" s="227" t="e" cm="1">
        <f t="array" ref="AK16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1" spans="1:37" ht="24.6" customHeight="1">
      <c r="A1611" s="42">
        <v>658</v>
      </c>
      <c r="B1611" s="42" t="s">
        <v>3520</v>
      </c>
      <c r="C1611" s="53" t="s">
        <v>203</v>
      </c>
      <c r="E1611" s="20"/>
      <c r="F16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1" s="93"/>
      <c r="I1611" s="19">
        <v>45782</v>
      </c>
      <c r="J1611" s="90" t="str">
        <f>IF(Table26[[#This Row],[customerSKU]]="","",_xlfn.XLOOKUP(Table26[[#This Row],[customerSKU]],customerSKU!G:G,customerSKU!A:A,"",0,1))</f>
        <v/>
      </c>
      <c r="K1611" s="232">
        <v>45782</v>
      </c>
      <c r="L1611" s="49" t="str">
        <f>IF(Table26[[#This Row],[customerSKU]]="","",_xlfn.XLOOKUP(Table26[[#This Row],[customerSKU]],customerSKU!G:G,customerSKU!B:B,"",0,1))</f>
        <v/>
      </c>
      <c r="M1611" s="22"/>
      <c r="N1611" s="15" t="str">
        <f>Table26[[#This Row],[po_number]]&amp;"-"&amp;Table26[[#This Row],[po_line]]</f>
        <v>-3</v>
      </c>
      <c r="O1611" s="15">
        <v>3</v>
      </c>
      <c r="P1611" s="50"/>
      <c r="Q1611" s="22" t="s">
        <v>591</v>
      </c>
      <c r="R1611" s="22" t="s">
        <v>569</v>
      </c>
      <c r="S1611" s="90" t="str">
        <f>IF(Table26[[#This Row],[customerSKU]]="","",_xlfn.XLOOKUP(Table26[[#This Row],[customerSKU]],customerSKU!G:G,customerSKU!N:N,"NOT FOUND",0,1))</f>
        <v>NOT FOUND</v>
      </c>
      <c r="T1611" s="20">
        <v>45772</v>
      </c>
      <c r="U1611" s="94">
        <v>5</v>
      </c>
      <c r="V1611" s="22" t="str">
        <f>IF(ISBLANK(Table26[[#This Row],[customerSKU]]),"",_xlfn.XLOOKUP(Table26[[#This Row],[customerSKU]],Table27[customer_SKU],Table27[case_size],"",0,1))</f>
        <v/>
      </c>
      <c r="W1611" s="117" t="str">
        <f t="shared" si="67"/>
        <v/>
      </c>
      <c r="X1611" s="22" t="str">
        <f t="shared" si="68"/>
        <v/>
      </c>
      <c r="Y1611" s="25" t="str">
        <f>IF(Table26[[#This Row],[customerSKU]]="","",_xlfn.XLOOKUP(Table26[[#This Row],[customerSKU]],Table27[customer_SKU],Table27[product_GTIN],"",0,1))</f>
        <v/>
      </c>
      <c r="Z1611" s="25" t="s">
        <v>3373</v>
      </c>
      <c r="AA1611" s="18" t="str" cm="1">
        <f t="array" ref="AA1611">IF(P1611="", "", _xlfn.XLOOKUP(P1611,#REF!,#REF!,NA,0,-1))</f>
        <v/>
      </c>
      <c r="AB1611" s="22"/>
      <c r="AC1611" s="55" t="s">
        <v>3424</v>
      </c>
      <c r="AD1611" s="55" t="str">
        <f>IF($AC1611="","",_xlfn.XLOOKUP($AC1611,'Client Info'!$C$2:$C$2497,'Client Info'!$D$2:$D$2497,"",0,1))</f>
        <v/>
      </c>
      <c r="AE1611" s="55" t="str">
        <f>IF($AC1611="","",_xlfn.XLOOKUP($AC1611,'Client Info'!$C$2:$C$2677,'Client Info'!$E$2:$E$2677,"",))</f>
        <v/>
      </c>
      <c r="AF1611" s="55" t="str">
        <f>IF($AC1611="","",_xlfn.XLOOKUP($AC1611,'Client Info'!$C$2:$C$2677,'Client Info'!$F$2:$F$2677,"",0,1))</f>
        <v/>
      </c>
      <c r="AG1611" s="55" t="s">
        <v>3424</v>
      </c>
      <c r="AH1611" s="26" t="str">
        <f>_xlfn.XLOOKUP(Table26[[#This Row],[customerSKU]],customerSKU!G:G,customerSKU!K:K,"NA",0,1)</f>
        <v>NA</v>
      </c>
      <c r="AI1611" s="43" t="str">
        <f>_xlfn.XLOOKUP(Table26[[#This Row],[customerSKU]],customerSKU!G:G,customerSKU!O:O,"not found",0,1)</f>
        <v>not found</v>
      </c>
      <c r="AJ1611" s="22" t="e">
        <f>Table26[[#This Row],[unitprice]]*Table26[[#This Row],[quantity_unit]]</f>
        <v>#VALUE!</v>
      </c>
      <c r="AK1611" s="227" t="e" cm="1">
        <f t="array" ref="AK16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2" spans="1:37" ht="18" customHeight="1">
      <c r="A1612" s="42">
        <v>659</v>
      </c>
      <c r="B1612" s="42" t="s">
        <v>3520</v>
      </c>
      <c r="C1612" s="53" t="s">
        <v>203</v>
      </c>
      <c r="E1612" s="20"/>
      <c r="F16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2" s="93"/>
      <c r="I1612" s="19">
        <v>45782</v>
      </c>
      <c r="J1612" s="90" t="str">
        <f>IF(Table26[[#This Row],[customerSKU]]="","",_xlfn.XLOOKUP(Table26[[#This Row],[customerSKU]],customerSKU!G:G,customerSKU!A:A,"",0,1))</f>
        <v/>
      </c>
      <c r="K1612" s="232">
        <v>45782</v>
      </c>
      <c r="L1612" s="49" t="str">
        <f>IF(Table26[[#This Row],[customerSKU]]="","",_xlfn.XLOOKUP(Table26[[#This Row],[customerSKU]],customerSKU!G:G,customerSKU!B:B,"",0,1))</f>
        <v/>
      </c>
      <c r="M1612" s="22"/>
      <c r="N1612" s="15" t="str">
        <f>Table26[[#This Row],[po_number]]&amp;"-"&amp;Table26[[#This Row],[po_line]]</f>
        <v>-4</v>
      </c>
      <c r="O1612" s="15">
        <v>4</v>
      </c>
      <c r="P1612" s="50"/>
      <c r="Q1612" s="22" t="s">
        <v>2754</v>
      </c>
      <c r="R1612" s="22" t="s">
        <v>569</v>
      </c>
      <c r="S1612" s="90" t="str">
        <f>IF(Table26[[#This Row],[customerSKU]]="","",_xlfn.XLOOKUP(Table26[[#This Row],[customerSKU]],customerSKU!G:G,customerSKU!N:N,"NOT FOUND",0,1))</f>
        <v>NOT FOUND</v>
      </c>
      <c r="T1612" s="20">
        <v>45721</v>
      </c>
      <c r="U1612" s="94">
        <v>12</v>
      </c>
      <c r="V1612" s="22" t="str">
        <f>IF(ISBLANK(Table26[[#This Row],[customerSKU]]),"",_xlfn.XLOOKUP(Table26[[#This Row],[customerSKU]],Table27[customer_SKU],Table27[case_size],"",0,1))</f>
        <v/>
      </c>
      <c r="W1612" s="117" t="str">
        <f t="shared" si="67"/>
        <v/>
      </c>
      <c r="X1612" s="22" t="str">
        <f t="shared" si="68"/>
        <v/>
      </c>
      <c r="Y1612" s="25" t="str">
        <f>IF(Table26[[#This Row],[customerSKU]]="","",_xlfn.XLOOKUP(Table26[[#This Row],[customerSKU]],Table27[customer_SKU],Table27[product_GTIN],"",0,1))</f>
        <v/>
      </c>
      <c r="Z1612" s="25" t="s">
        <v>3372</v>
      </c>
      <c r="AA1612" s="18" t="str" cm="1">
        <f t="array" ref="AA1612">IF(P1612="", "", _xlfn.XLOOKUP(P1612,#REF!,#REF!,NA,0,-1))</f>
        <v/>
      </c>
      <c r="AB1612" s="22"/>
      <c r="AC1612" s="55" t="s">
        <v>3424</v>
      </c>
      <c r="AD1612" s="55" t="str">
        <f>IF($AC1612="","",_xlfn.XLOOKUP($AC1612,'Client Info'!$C$2:$C$2497,'Client Info'!$D$2:$D$2497,"",0,1))</f>
        <v/>
      </c>
      <c r="AE1612" s="55" t="str">
        <f>IF($AC1612="","",_xlfn.XLOOKUP($AC1612,'Client Info'!$C$2:$C$2677,'Client Info'!$E$2:$E$2677,"",))</f>
        <v/>
      </c>
      <c r="AF1612" s="55" t="str">
        <f>IF($AC1612="","",_xlfn.XLOOKUP($AC1612,'Client Info'!$C$2:$C$2677,'Client Info'!$F$2:$F$2677,"",0,1))</f>
        <v/>
      </c>
      <c r="AG1612" s="55" t="s">
        <v>3424</v>
      </c>
      <c r="AH1612" s="26" t="str">
        <f>_xlfn.XLOOKUP(Table26[[#This Row],[customerSKU]],customerSKU!G:G,customerSKU!K:K,"NA",0,1)</f>
        <v>NA</v>
      </c>
      <c r="AI1612" s="43" t="str">
        <f>_xlfn.XLOOKUP(Table26[[#This Row],[customerSKU]],customerSKU!G:G,customerSKU!O:O,"not found",0,1)</f>
        <v>not found</v>
      </c>
      <c r="AJ1612" s="22" t="e">
        <f>Table26[[#This Row],[unitprice]]*Table26[[#This Row],[quantity_unit]]</f>
        <v>#VALUE!</v>
      </c>
      <c r="AK1612" s="227" t="e" cm="1">
        <f t="array" ref="AK16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3" spans="1:37" ht="24.6" customHeight="1">
      <c r="A1613" s="42">
        <v>660</v>
      </c>
      <c r="B1613" s="42" t="s">
        <v>3357</v>
      </c>
      <c r="C1613" s="53" t="s">
        <v>3360</v>
      </c>
      <c r="E1613" s="20"/>
      <c r="F16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3" s="93"/>
      <c r="I1613" s="203">
        <v>45782</v>
      </c>
      <c r="J1613" s="90" t="str">
        <f>IF(Table26[[#This Row],[customerSKU]]="","",_xlfn.XLOOKUP(Table26[[#This Row],[customerSKU]],customerSKU!G:G,customerSKU!A:A,"",0,1))</f>
        <v/>
      </c>
      <c r="K1613" s="232">
        <v>45782</v>
      </c>
      <c r="L1613" s="49" t="str">
        <f>IF(Table26[[#This Row],[customerSKU]]="","",_xlfn.XLOOKUP(Table26[[#This Row],[customerSKU]],customerSKU!G:G,customerSKU!B:B,"",0,1))</f>
        <v/>
      </c>
      <c r="M1613" s="22"/>
      <c r="N1613" s="15" t="str">
        <f>Table26[[#This Row],[po_number]]&amp;"-"&amp;Table26[[#This Row],[po_line]]</f>
        <v>-1</v>
      </c>
      <c r="O1613" s="15">
        <v>1</v>
      </c>
      <c r="P1613" s="50"/>
      <c r="S1613" s="90" t="str">
        <f>IF(Table26[[#This Row],[customerSKU]]="","",_xlfn.XLOOKUP(Table26[[#This Row],[customerSKU]],customerSKU!G:G,customerSKU!N:N,"NOT FOUND",0,1))</f>
        <v>NOT FOUND</v>
      </c>
      <c r="T1613" s="20"/>
      <c r="U1613" s="94">
        <v>12</v>
      </c>
      <c r="V1613" s="22" t="str">
        <f>IF(ISBLANK(Table26[[#This Row],[customerSKU]]),"",_xlfn.XLOOKUP(Table26[[#This Row],[customerSKU]],Table27[customer_SKU],Table27[case_size],"",0,1))</f>
        <v/>
      </c>
      <c r="W1613" s="117" t="str">
        <f t="shared" si="67"/>
        <v/>
      </c>
      <c r="X1613" s="22" t="str">
        <f t="shared" si="68"/>
        <v/>
      </c>
      <c r="Y1613" s="25" t="str">
        <f>IF(Table26[[#This Row],[customerSKU]]="","",_xlfn.XLOOKUP(Table26[[#This Row],[customerSKU]],Table27[customer_SKU],Table27[product_GTIN],"",0,1))</f>
        <v/>
      </c>
      <c r="Z1613" s="25" t="s">
        <v>3538</v>
      </c>
      <c r="AA1613" s="18" t="str" cm="1">
        <f t="array" ref="AA1613">IF(P1613="", "", _xlfn.XLOOKUP(P1613,#REF!,#REF!,NA,0,-1))</f>
        <v/>
      </c>
      <c r="AB1613" s="22"/>
      <c r="AC1613" s="55" t="str">
        <f>IF(Table26[[#This Row],[customerSKU]]="","",_xlfn.XLOOKUP(Table26[[#This Row],[customerSKU]],customerSKU!G:G,customerSKU!C:C,"",0,1))</f>
        <v/>
      </c>
      <c r="AD1613" s="55" t="str">
        <f>IF($AC1613="","",_xlfn.XLOOKUP($AC1613,'Client Info'!$C$2:$C$2497,'Client Info'!$D$2:$D$2497,"",0,1))</f>
        <v/>
      </c>
      <c r="AE1613" s="55" t="str">
        <f>IF($AC1613="","",_xlfn.XLOOKUP($AC1613,'Client Info'!$C$2:$C$2677,'Client Info'!$E$2:$E$2677,"",))</f>
        <v/>
      </c>
      <c r="AF1613" s="55" t="str">
        <f>IF($AC1613="","",_xlfn.XLOOKUP($AC1613,'Client Info'!$C$2:$C$2677,'Client Info'!$F$2:$F$2677,"",0,1))</f>
        <v/>
      </c>
      <c r="AG1613" s="55" t="str">
        <f>IF(ISBLANK(Table26[[#This Row],[customerSKU]]),"",_xlfn.XLOOKUP(Table26[[#This Row],[customerSKU]],Table27[customer_SKU],Table27[billto],"",0,1))</f>
        <v/>
      </c>
      <c r="AH1613" s="26" t="str">
        <f>_xlfn.XLOOKUP(Table26[[#This Row],[customerSKU]],customerSKU!G:G,customerSKU!K:K,"NA",0,1)</f>
        <v>NA</v>
      </c>
      <c r="AI1613" s="43" t="str">
        <f>_xlfn.XLOOKUP(Table26[[#This Row],[customerSKU]],customerSKU!G:G,customerSKU!O:O,"not found",0,1)</f>
        <v>not found</v>
      </c>
      <c r="AJ1613" s="22" t="e">
        <f>Table26[[#This Row],[unitprice]]*Table26[[#This Row],[quantity_unit]]</f>
        <v>#VALUE!</v>
      </c>
      <c r="AK1613" s="227" t="e" cm="1">
        <f t="array" ref="AK16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4" spans="1:37" ht="18" customHeight="1">
      <c r="A1614" s="42">
        <v>636</v>
      </c>
      <c r="B1614" s="42" t="s">
        <v>3520</v>
      </c>
      <c r="C1614" s="53" t="s">
        <v>203</v>
      </c>
      <c r="E1614" s="20"/>
      <c r="F16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4" s="93"/>
      <c r="I1614" s="203">
        <v>45778</v>
      </c>
      <c r="J1614" s="90" t="str">
        <f>IF(Table26[[#This Row],[customerSKU]]="","",_xlfn.XLOOKUP(Table26[[#This Row],[customerSKU]],customerSKU!G:G,customerSKU!A:A,"",0,1))</f>
        <v/>
      </c>
      <c r="K1614" s="232">
        <v>45783</v>
      </c>
      <c r="L1614" s="49" t="str">
        <f>IF(Table26[[#This Row],[customerSKU]]="","",_xlfn.XLOOKUP(Table26[[#This Row],[customerSKU]],customerSKU!G:G,customerSKU!B:B,"",0,1))</f>
        <v/>
      </c>
      <c r="M1614" s="22"/>
      <c r="N1614" s="15" t="str">
        <f>Table26[[#This Row],[po_number]]&amp;"-"&amp;Table26[[#This Row],[po_line]]</f>
        <v>-1</v>
      </c>
      <c r="O1614" s="15">
        <v>1</v>
      </c>
      <c r="P1614" s="50"/>
      <c r="Q1614" s="22" t="s">
        <v>3454</v>
      </c>
      <c r="R1614" s="22" t="s">
        <v>569</v>
      </c>
      <c r="S1614" s="90" t="str">
        <f>IF(Table26[[#This Row],[customerSKU]]="","",_xlfn.XLOOKUP(Table26[[#This Row],[customerSKU]],customerSKU!G:G,customerSKU!N:N,"NOT FOUND",0,1))</f>
        <v>NOT FOUND</v>
      </c>
      <c r="T1614" s="20">
        <v>45714</v>
      </c>
      <c r="U1614" s="94">
        <v>12</v>
      </c>
      <c r="V1614" s="22" t="str">
        <f>IF(ISBLANK(Table26[[#This Row],[customerSKU]]),"",_xlfn.XLOOKUP(Table26[[#This Row],[customerSKU]],Table27[customer_SKU],Table27[case_size],"",0,1))</f>
        <v/>
      </c>
      <c r="W1614" s="117" t="str">
        <f t="shared" si="67"/>
        <v/>
      </c>
      <c r="X1614" s="22" t="str">
        <f t="shared" si="68"/>
        <v/>
      </c>
      <c r="Y1614" s="25" t="str">
        <f>IF(Table26[[#This Row],[customerSKU]]="","",_xlfn.XLOOKUP(Table26[[#This Row],[customerSKU]],Table27[customer_SKU],Table27[product_GTIN],"",0,1))</f>
        <v/>
      </c>
      <c r="Z1614" s="25" t="s">
        <v>3455</v>
      </c>
      <c r="AA1614" s="18" t="str" cm="1">
        <f t="array" ref="AA1614">IF(P1614="", "", _xlfn.XLOOKUP(P1614,#REF!,#REF!,NA,0,-1))</f>
        <v/>
      </c>
      <c r="AB1614" s="22"/>
      <c r="AC1614" s="55" t="s">
        <v>178</v>
      </c>
      <c r="AD1614" s="55" t="str">
        <f>IF($AC1614="","",_xlfn.XLOOKUP($AC1614,'Client Info'!$C$2:$C$2497,'Client Info'!$D$2:$D$2497,"",0,1))</f>
        <v/>
      </c>
      <c r="AE1614" s="55" t="str">
        <f>IF($AC1614="","",_xlfn.XLOOKUP($AC1614,'Client Info'!$C$2:$C$2677,'Client Info'!$E$2:$E$2677,"",))</f>
        <v/>
      </c>
      <c r="AF1614" s="55" t="str">
        <f>IF($AC1614="","",_xlfn.XLOOKUP($AC1614,'Client Info'!$C$2:$C$2677,'Client Info'!$F$2:$F$2677,"",0,1))</f>
        <v/>
      </c>
      <c r="AG1614" s="55" t="str">
        <f>IF(ISBLANK(Table26[[#This Row],[customerSKU]]),"",_xlfn.XLOOKUP(Table26[[#This Row],[customerSKU]],Table27[customer_SKU],Table27[billto],"",0,1))</f>
        <v/>
      </c>
      <c r="AH1614" s="26" t="str">
        <f>_xlfn.XLOOKUP(Table26[[#This Row],[customerSKU]],customerSKU!G:G,customerSKU!K:K,"NA",0,1)</f>
        <v>NA</v>
      </c>
      <c r="AI1614" s="43" t="str">
        <f>_xlfn.XLOOKUP(Table26[[#This Row],[customerSKU]],customerSKU!G:G,customerSKU!O:O,"not found",0,1)</f>
        <v>not found</v>
      </c>
      <c r="AJ1614" s="22" t="e">
        <f>Table26[[#This Row],[unitprice]]*Table26[[#This Row],[quantity_unit]]</f>
        <v>#VALUE!</v>
      </c>
      <c r="AK1614" s="227" t="e" cm="1">
        <f t="array" ref="AK16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5" spans="1:37" ht="18" customHeight="1">
      <c r="A1615" s="42">
        <v>637</v>
      </c>
      <c r="B1615" s="42" t="s">
        <v>3520</v>
      </c>
      <c r="C1615" s="53" t="s">
        <v>203</v>
      </c>
      <c r="E1615" s="20"/>
      <c r="F16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5" s="93"/>
      <c r="I1615" s="203">
        <v>45783</v>
      </c>
      <c r="J1615" s="90" t="str">
        <f>IF(Table26[[#This Row],[customerSKU]]="","",_xlfn.XLOOKUP(Table26[[#This Row],[customerSKU]],customerSKU!G:G,customerSKU!A:A,"",0,1))</f>
        <v/>
      </c>
      <c r="K1615" s="232">
        <v>45783</v>
      </c>
      <c r="L1615" s="49" t="str">
        <f>IF(Table26[[#This Row],[customerSKU]]="","",_xlfn.XLOOKUP(Table26[[#This Row],[customerSKU]],customerSKU!G:G,customerSKU!B:B,"",0,1))</f>
        <v/>
      </c>
      <c r="M1615" s="22"/>
      <c r="N1615" s="15" t="str">
        <f>Table26[[#This Row],[po_number]]&amp;"-"&amp;Table26[[#This Row],[po_line]]</f>
        <v>-1</v>
      </c>
      <c r="O1615" s="15">
        <v>1</v>
      </c>
      <c r="P1615" s="50"/>
      <c r="Q1615" s="22" t="s">
        <v>3454</v>
      </c>
      <c r="R1615" s="22" t="s">
        <v>569</v>
      </c>
      <c r="S1615" s="90" t="str">
        <f>IF(Table26[[#This Row],[customerSKU]]="","",_xlfn.XLOOKUP(Table26[[#This Row],[customerSKU]],customerSKU!G:G,customerSKU!N:N,"NOT FOUND",0,1))</f>
        <v>NOT FOUND</v>
      </c>
      <c r="T1615" s="20">
        <v>45714</v>
      </c>
      <c r="U1615" s="94">
        <v>12</v>
      </c>
      <c r="V1615" s="22" t="str">
        <f>IF(ISBLANK(Table26[[#This Row],[customerSKU]]),"",_xlfn.XLOOKUP(Table26[[#This Row],[customerSKU]],Table27[customer_SKU],Table27[case_size],"",0,1))</f>
        <v/>
      </c>
      <c r="W1615" s="117" t="str">
        <f t="shared" si="67"/>
        <v/>
      </c>
      <c r="X1615" s="22" t="str">
        <f t="shared" si="68"/>
        <v/>
      </c>
      <c r="Y1615" s="25" t="str">
        <f>IF(Table26[[#This Row],[customerSKU]]="","",_xlfn.XLOOKUP(Table26[[#This Row],[customerSKU]],Table27[customer_SKU],Table27[product_GTIN],"",0,1))</f>
        <v/>
      </c>
      <c r="Z1615" s="25" t="s">
        <v>3455</v>
      </c>
      <c r="AA1615" s="18" t="str" cm="1">
        <f t="array" ref="AA1615">IF(P1615="", "", _xlfn.XLOOKUP(P1615,#REF!,#REF!,NA,0,-1))</f>
        <v/>
      </c>
      <c r="AB1615" s="22"/>
      <c r="AC1615" s="55" t="s">
        <v>179</v>
      </c>
      <c r="AD1615" s="55" t="str">
        <f>IF($AC1615="","",_xlfn.XLOOKUP($AC1615,'Client Info'!$C$2:$C$2497,'Client Info'!$D$2:$D$2497,"",0,1))</f>
        <v/>
      </c>
      <c r="AE1615" s="55" t="str">
        <f>IF($AC1615="","",_xlfn.XLOOKUP($AC1615,'Client Info'!$C$2:$C$2677,'Client Info'!$E$2:$E$2677,"",))</f>
        <v/>
      </c>
      <c r="AF1615" s="55" t="str">
        <f>IF($AC1615="","",_xlfn.XLOOKUP($AC1615,'Client Info'!$C$2:$C$2677,'Client Info'!$F$2:$F$2677,"",0,1))</f>
        <v/>
      </c>
      <c r="AG1615" s="55" t="str">
        <f>IF(ISBLANK(Table26[[#This Row],[customerSKU]]),"",_xlfn.XLOOKUP(Table26[[#This Row],[customerSKU]],Table27[customer_SKU],Table27[billto],"",0,1))</f>
        <v/>
      </c>
      <c r="AH1615" s="26" t="str">
        <f>_xlfn.XLOOKUP(Table26[[#This Row],[customerSKU]],customerSKU!G:G,customerSKU!K:K,"NA",0,1)</f>
        <v>NA</v>
      </c>
      <c r="AI1615" s="43" t="str">
        <f>_xlfn.XLOOKUP(Table26[[#This Row],[customerSKU]],customerSKU!G:G,customerSKU!O:O,"not found",0,1)</f>
        <v>not found</v>
      </c>
      <c r="AJ1615" s="22" t="e">
        <f>Table26[[#This Row],[unitprice]]*Table26[[#This Row],[quantity_unit]]</f>
        <v>#VALUE!</v>
      </c>
      <c r="AK1615" s="227" t="e" cm="1">
        <f t="array" ref="AK16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6" spans="1:37" ht="18" customHeight="1">
      <c r="A1616" s="42">
        <v>626</v>
      </c>
      <c r="B1616" s="42" t="s">
        <v>3357</v>
      </c>
      <c r="C1616" s="53" t="s">
        <v>203</v>
      </c>
      <c r="E1616" s="20"/>
      <c r="F16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6" s="93"/>
      <c r="I1616" s="203">
        <v>45764</v>
      </c>
      <c r="J1616" s="90" t="s">
        <v>3507</v>
      </c>
      <c r="K1616" s="232">
        <v>45786</v>
      </c>
      <c r="L1616" s="49" t="s">
        <v>504</v>
      </c>
      <c r="M1616" s="22"/>
      <c r="N1616" s="15" t="str">
        <f>Table26[[#This Row],[po_number]]&amp;"-"&amp;Table26[[#This Row],[po_line]]</f>
        <v>-1</v>
      </c>
      <c r="O1616" s="15">
        <v>1</v>
      </c>
      <c r="P1616" s="50"/>
      <c r="Q1616" s="22" t="s">
        <v>554</v>
      </c>
      <c r="R1616" s="22" t="s">
        <v>569</v>
      </c>
      <c r="S1616" s="90" t="s">
        <v>134</v>
      </c>
      <c r="T1616" s="20">
        <v>45543</v>
      </c>
      <c r="U1616" s="94">
        <v>30</v>
      </c>
      <c r="V1616" s="22" t="str">
        <f>IF(ISBLANK(Table26[[#This Row],[customerSKU]]),"",_xlfn.XLOOKUP(Table26[[#This Row],[customerSKU]],Table27[customer_SKU],Table27[case_size],"",0,1))</f>
        <v/>
      </c>
      <c r="W1616" s="117" t="str">
        <f t="shared" si="67"/>
        <v/>
      </c>
      <c r="X1616" s="22" t="str">
        <f t="shared" si="68"/>
        <v/>
      </c>
      <c r="Y1616" s="25" t="str">
        <f>IF(Table26[[#This Row],[customerSKU]]="","",_xlfn.XLOOKUP(Table26[[#This Row],[customerSKU]],Table27[customer_SKU],Table27[product_GTIN],"",0,1))</f>
        <v/>
      </c>
      <c r="Z1616" s="25" t="s">
        <v>3508</v>
      </c>
      <c r="AA1616" s="18" t="str" cm="1">
        <f t="array" ref="AA1616">IF(P1616="", "", _xlfn.XLOOKUP(P1616,#REF!,#REF!,NA,0,-1))</f>
        <v/>
      </c>
      <c r="AB1616" s="22"/>
      <c r="AC1616" s="55" t="s">
        <v>3509</v>
      </c>
      <c r="AD1616" s="55" t="str">
        <f>IF($AC1616="","",_xlfn.XLOOKUP($AC1616,'Client Info'!$C$2:$C$2497,'Client Info'!$D$2:$D$2497,"",0,1))</f>
        <v/>
      </c>
      <c r="AE1616" s="55" t="str">
        <f>IF($AC1616="","",_xlfn.XLOOKUP($AC1616,'Client Info'!$C$2:$C$2677,'Client Info'!$E$2:$E$2677,"",))</f>
        <v/>
      </c>
      <c r="AF1616" s="55" t="str">
        <f>IF($AC1616="","",_xlfn.XLOOKUP($AC1616,'Client Info'!$C$2:$C$2677,'Client Info'!$F$2:$F$2677,"",0,1))</f>
        <v/>
      </c>
      <c r="AG1616" s="55" t="s">
        <v>3510</v>
      </c>
      <c r="AH1616" s="26" t="str">
        <f>_xlfn.XLOOKUP(Table26[[#This Row],[customerSKU]],customerSKU!G:G,customerSKU!K:K,"NA",0,1)</f>
        <v>NA</v>
      </c>
      <c r="AI1616" s="43" t="str">
        <f>_xlfn.XLOOKUP(Table26[[#This Row],[customerSKU]],customerSKU!G:G,customerSKU!O:O,"not found",0,1)</f>
        <v>not found</v>
      </c>
      <c r="AJ1616" s="22" t="e">
        <f>Table26[[#This Row],[unitprice]]*Table26[[#This Row],[quantity_unit]]</f>
        <v>#VALUE!</v>
      </c>
      <c r="AK1616" s="227" t="e" cm="1">
        <f t="array" ref="AK16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7" spans="1:37" ht="24.6" customHeight="1">
      <c r="A1617" s="42">
        <v>627</v>
      </c>
      <c r="B1617" s="42" t="s">
        <v>3357</v>
      </c>
      <c r="C1617" s="53" t="s">
        <v>203</v>
      </c>
      <c r="E1617" s="20"/>
      <c r="F16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7" s="93"/>
      <c r="I1617" s="203">
        <v>45764</v>
      </c>
      <c r="J1617" s="90" t="s">
        <v>3507</v>
      </c>
      <c r="K1617" s="232">
        <v>45786</v>
      </c>
      <c r="L1617" s="49" t="s">
        <v>504</v>
      </c>
      <c r="M1617" s="22"/>
      <c r="N1617" s="15" t="str">
        <f>Table26[[#This Row],[po_number]]&amp;"-"&amp;Table26[[#This Row],[po_line]]</f>
        <v>-2</v>
      </c>
      <c r="O1617" s="15">
        <v>2</v>
      </c>
      <c r="P1617" s="50"/>
      <c r="Q1617" s="22" t="s">
        <v>3511</v>
      </c>
      <c r="R1617" s="22" t="s">
        <v>569</v>
      </c>
      <c r="S1617" s="90" t="s">
        <v>134</v>
      </c>
      <c r="T1617" s="20">
        <v>44510</v>
      </c>
      <c r="U1617" s="94">
        <v>30</v>
      </c>
      <c r="V1617" s="22" t="str">
        <f>IF(ISBLANK(Table26[[#This Row],[customerSKU]]),"",_xlfn.XLOOKUP(Table26[[#This Row],[customerSKU]],Table27[customer_SKU],Table27[case_size],"",0,1))</f>
        <v/>
      </c>
      <c r="W1617" s="117" t="str">
        <f t="shared" si="67"/>
        <v/>
      </c>
      <c r="X1617" s="22" t="str">
        <f t="shared" si="68"/>
        <v/>
      </c>
      <c r="Y1617" s="25" t="str">
        <f>IF(Table26[[#This Row],[customerSKU]]="","",_xlfn.XLOOKUP(Table26[[#This Row],[customerSKU]],Table27[customer_SKU],Table27[product_GTIN],"",0,1))</f>
        <v/>
      </c>
      <c r="Z1617" s="25" t="s">
        <v>3512</v>
      </c>
      <c r="AA1617" s="18" t="str" cm="1">
        <f t="array" ref="AA1617">IF(P1617="", "", _xlfn.XLOOKUP(P1617,#REF!,#REF!,NA,0,-1))</f>
        <v/>
      </c>
      <c r="AB1617" s="22"/>
      <c r="AC1617" s="55" t="s">
        <v>3509</v>
      </c>
      <c r="AD1617" s="55" t="str">
        <f>IF($AC1617="","",_xlfn.XLOOKUP($AC1617,'Client Info'!$C$2:$C$2497,'Client Info'!$D$2:$D$2497,"",0,1))</f>
        <v/>
      </c>
      <c r="AE1617" s="55" t="str">
        <f>IF($AC1617="","",_xlfn.XLOOKUP($AC1617,'Client Info'!$C$2:$C$2677,'Client Info'!$E$2:$E$2677,"",))</f>
        <v/>
      </c>
      <c r="AF1617" s="55" t="str">
        <f>IF($AC1617="","",_xlfn.XLOOKUP($AC1617,'Client Info'!$C$2:$C$2677,'Client Info'!$F$2:$F$2677,"",0,1))</f>
        <v/>
      </c>
      <c r="AG1617" s="55" t="s">
        <v>3510</v>
      </c>
      <c r="AH1617" s="26" t="str">
        <f>_xlfn.XLOOKUP(Table26[[#This Row],[customerSKU]],customerSKU!G:G,customerSKU!K:K,"NA",0,1)</f>
        <v>NA</v>
      </c>
      <c r="AI1617" s="43" t="str">
        <f>_xlfn.XLOOKUP(Table26[[#This Row],[customerSKU]],customerSKU!G:G,customerSKU!O:O,"not found",0,1)</f>
        <v>not found</v>
      </c>
      <c r="AJ1617" s="22" t="e">
        <f>Table26[[#This Row],[unitprice]]*Table26[[#This Row],[quantity_unit]]</f>
        <v>#VALUE!</v>
      </c>
      <c r="AK1617" s="227" t="e" cm="1">
        <f t="array" ref="AK16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8" spans="1:37" ht="24.6" customHeight="1">
      <c r="A1618" s="42">
        <v>628</v>
      </c>
      <c r="B1618" s="42" t="s">
        <v>3357</v>
      </c>
      <c r="C1618" s="53" t="s">
        <v>203</v>
      </c>
      <c r="E1618" s="20"/>
      <c r="F16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8" s="93"/>
      <c r="I1618" s="203">
        <v>45764</v>
      </c>
      <c r="J1618" s="90" t="s">
        <v>3507</v>
      </c>
      <c r="K1618" s="232">
        <v>45786</v>
      </c>
      <c r="L1618" s="49" t="s">
        <v>504</v>
      </c>
      <c r="M1618" s="22"/>
      <c r="N1618" s="15" t="str">
        <f>Table26[[#This Row],[po_number]]&amp;"-"&amp;Table26[[#This Row],[po_line]]</f>
        <v>-3</v>
      </c>
      <c r="O1618" s="15">
        <v>3</v>
      </c>
      <c r="P1618" s="50"/>
      <c r="Q1618" s="22" t="s">
        <v>538</v>
      </c>
      <c r="R1618" s="22" t="s">
        <v>569</v>
      </c>
      <c r="S1618" s="90" t="s">
        <v>134</v>
      </c>
      <c r="T1618" s="20">
        <v>44601</v>
      </c>
      <c r="U1618" s="94">
        <v>30</v>
      </c>
      <c r="V1618" s="22" t="str">
        <f>IF(ISBLANK(Table26[[#This Row],[customerSKU]]),"",_xlfn.XLOOKUP(Table26[[#This Row],[customerSKU]],Table27[customer_SKU],Table27[case_size],"",0,1))</f>
        <v/>
      </c>
      <c r="W1618" s="117" t="str">
        <f t="shared" si="67"/>
        <v/>
      </c>
      <c r="X1618" s="22" t="str">
        <f t="shared" si="68"/>
        <v/>
      </c>
      <c r="Y1618" s="25" t="str">
        <f>IF(Table26[[#This Row],[customerSKU]]="","",_xlfn.XLOOKUP(Table26[[#This Row],[customerSKU]],Table27[customer_SKU],Table27[product_GTIN],"",0,1))</f>
        <v/>
      </c>
      <c r="Z1618" s="25" t="s">
        <v>3513</v>
      </c>
      <c r="AA1618" s="18" t="str" cm="1">
        <f t="array" ref="AA1618">IF(P1618="", "", _xlfn.XLOOKUP(P1618,#REF!,#REF!,NA,0,-1))</f>
        <v/>
      </c>
      <c r="AB1618" s="22"/>
      <c r="AC1618" s="55" t="s">
        <v>3509</v>
      </c>
      <c r="AD1618" s="55" t="str">
        <f>IF($AC1618="","",_xlfn.XLOOKUP($AC1618,'Client Info'!$C$2:$C$2497,'Client Info'!$D$2:$D$2497,"",0,1))</f>
        <v/>
      </c>
      <c r="AE1618" s="55" t="str">
        <f>IF($AC1618="","",_xlfn.XLOOKUP($AC1618,'Client Info'!$C$2:$C$2677,'Client Info'!$E$2:$E$2677,"",))</f>
        <v/>
      </c>
      <c r="AF1618" s="55" t="str">
        <f>IF($AC1618="","",_xlfn.XLOOKUP($AC1618,'Client Info'!$C$2:$C$2677,'Client Info'!$F$2:$F$2677,"",0,1))</f>
        <v/>
      </c>
      <c r="AG1618" s="55" t="s">
        <v>3510</v>
      </c>
      <c r="AH1618" s="26" t="str">
        <f>_xlfn.XLOOKUP(Table26[[#This Row],[customerSKU]],customerSKU!G:G,customerSKU!K:K,"NA",0,1)</f>
        <v>NA</v>
      </c>
      <c r="AI1618" s="43" t="str">
        <f>_xlfn.XLOOKUP(Table26[[#This Row],[customerSKU]],customerSKU!G:G,customerSKU!O:O,"not found",0,1)</f>
        <v>not found</v>
      </c>
      <c r="AJ1618" s="22" t="e">
        <f>Table26[[#This Row],[unitprice]]*Table26[[#This Row],[quantity_unit]]</f>
        <v>#VALUE!</v>
      </c>
      <c r="AK1618" s="227" t="e" cm="1">
        <f t="array" ref="AK16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19" spans="1:37" ht="24.6" customHeight="1">
      <c r="A1619" s="42">
        <v>629</v>
      </c>
      <c r="B1619" s="42" t="s">
        <v>3357</v>
      </c>
      <c r="C1619" s="53" t="s">
        <v>203</v>
      </c>
      <c r="E1619" s="20"/>
      <c r="F16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19" s="93"/>
      <c r="I1619" s="203">
        <v>45764</v>
      </c>
      <c r="J1619" s="90" t="s">
        <v>3507</v>
      </c>
      <c r="K1619" s="232">
        <v>45786</v>
      </c>
      <c r="L1619" s="49" t="s">
        <v>504</v>
      </c>
      <c r="M1619" s="22"/>
      <c r="N1619" s="15" t="str">
        <f>Table26[[#This Row],[po_number]]&amp;"-"&amp;Table26[[#This Row],[po_line]]</f>
        <v>-4</v>
      </c>
      <c r="O1619" s="15">
        <v>4</v>
      </c>
      <c r="P1619" s="50"/>
      <c r="Q1619" s="22" t="s">
        <v>571</v>
      </c>
      <c r="R1619" s="22" t="s">
        <v>569</v>
      </c>
      <c r="S1619" s="90" t="s">
        <v>134</v>
      </c>
      <c r="T1619" s="20">
        <v>45633</v>
      </c>
      <c r="U1619" s="94">
        <v>18</v>
      </c>
      <c r="V1619" s="22" t="str">
        <f>IF(ISBLANK(Table26[[#This Row],[customerSKU]]),"",_xlfn.XLOOKUP(Table26[[#This Row],[customerSKU]],Table27[customer_SKU],Table27[case_size],"",0,1))</f>
        <v/>
      </c>
      <c r="W1619" s="117" t="str">
        <f t="shared" si="67"/>
        <v/>
      </c>
      <c r="X1619" s="22" t="str">
        <f t="shared" si="68"/>
        <v/>
      </c>
      <c r="Y1619" s="25" t="str">
        <f>IF(Table26[[#This Row],[customerSKU]]="","",_xlfn.XLOOKUP(Table26[[#This Row],[customerSKU]],Table27[customer_SKU],Table27[product_GTIN],"",0,1))</f>
        <v/>
      </c>
      <c r="Z1619" s="25" t="s">
        <v>3514</v>
      </c>
      <c r="AA1619" s="18" t="str" cm="1">
        <f t="array" ref="AA1619">IF(P1619="", "", _xlfn.XLOOKUP(P1619,#REF!,#REF!,NA,0,-1))</f>
        <v/>
      </c>
      <c r="AB1619" s="22"/>
      <c r="AC1619" s="55" t="s">
        <v>3509</v>
      </c>
      <c r="AD1619" s="55" t="str">
        <f>IF($AC1619="","",_xlfn.XLOOKUP($AC1619,'Client Info'!$C$2:$C$2497,'Client Info'!$D$2:$D$2497,"",0,1))</f>
        <v/>
      </c>
      <c r="AE1619" s="55" t="str">
        <f>IF($AC1619="","",_xlfn.XLOOKUP($AC1619,'Client Info'!$C$2:$C$2677,'Client Info'!$E$2:$E$2677,"",))</f>
        <v/>
      </c>
      <c r="AF1619" s="55" t="str">
        <f>IF($AC1619="","",_xlfn.XLOOKUP($AC1619,'Client Info'!$C$2:$C$2677,'Client Info'!$F$2:$F$2677,"",0,1))</f>
        <v/>
      </c>
      <c r="AG1619" s="55" t="s">
        <v>3510</v>
      </c>
      <c r="AH1619" s="26" t="str">
        <f>_xlfn.XLOOKUP(Table26[[#This Row],[customerSKU]],customerSKU!G:G,customerSKU!K:K,"NA",0,1)</f>
        <v>NA</v>
      </c>
      <c r="AI1619" s="43" t="str">
        <f>_xlfn.XLOOKUP(Table26[[#This Row],[customerSKU]],customerSKU!G:G,customerSKU!O:O,"not found",0,1)</f>
        <v>not found</v>
      </c>
      <c r="AJ1619" s="22" t="e">
        <f>Table26[[#This Row],[unitprice]]*Table26[[#This Row],[quantity_unit]]</f>
        <v>#VALUE!</v>
      </c>
      <c r="AK1619" s="227" t="e" cm="1">
        <f t="array" ref="AK16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0" spans="1:37" ht="24.6" customHeight="1">
      <c r="A1620" s="42">
        <v>630</v>
      </c>
      <c r="B1620" s="42" t="s">
        <v>3357</v>
      </c>
      <c r="C1620" s="53" t="s">
        <v>203</v>
      </c>
      <c r="E1620" s="20"/>
      <c r="F16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0" s="93"/>
      <c r="I1620" s="203">
        <v>45764</v>
      </c>
      <c r="J1620" s="90" t="s">
        <v>3507</v>
      </c>
      <c r="K1620" s="232">
        <v>45786</v>
      </c>
      <c r="L1620" s="49" t="s">
        <v>504</v>
      </c>
      <c r="M1620" s="22"/>
      <c r="N1620" s="15" t="str">
        <f>Table26[[#This Row],[po_number]]&amp;"-"&amp;Table26[[#This Row],[po_line]]</f>
        <v>-5</v>
      </c>
      <c r="O1620" s="15">
        <v>5</v>
      </c>
      <c r="P1620" s="50"/>
      <c r="Q1620" s="22" t="s">
        <v>3515</v>
      </c>
      <c r="R1620" s="22" t="s">
        <v>569</v>
      </c>
      <c r="S1620" s="90" t="s">
        <v>134</v>
      </c>
      <c r="T1620" s="20">
        <v>45689</v>
      </c>
      <c r="U1620" s="94">
        <v>18</v>
      </c>
      <c r="V1620" s="22" t="str">
        <f>IF(ISBLANK(Table26[[#This Row],[customerSKU]]),"",_xlfn.XLOOKUP(Table26[[#This Row],[customerSKU]],Table27[customer_SKU],Table27[case_size],"",0,1))</f>
        <v/>
      </c>
      <c r="W1620" s="117" t="str">
        <f t="shared" si="67"/>
        <v/>
      </c>
      <c r="X1620" s="22" t="str">
        <f t="shared" si="68"/>
        <v/>
      </c>
      <c r="Y1620" s="25" t="str">
        <f>IF(Table26[[#This Row],[customerSKU]]="","",_xlfn.XLOOKUP(Table26[[#This Row],[customerSKU]],Table27[customer_SKU],Table27[product_GTIN],"",0,1))</f>
        <v/>
      </c>
      <c r="Z1620" s="25" t="s">
        <v>3516</v>
      </c>
      <c r="AA1620" s="18" t="str" cm="1">
        <f t="array" ref="AA1620">IF(P1620="", "", _xlfn.XLOOKUP(P1620,#REF!,#REF!,NA,0,-1))</f>
        <v/>
      </c>
      <c r="AB1620" s="22"/>
      <c r="AC1620" s="55" t="s">
        <v>3509</v>
      </c>
      <c r="AD1620" s="55" t="str">
        <f>IF($AC1620="","",_xlfn.XLOOKUP($AC1620,'Client Info'!$C$2:$C$2497,'Client Info'!$D$2:$D$2497,"",0,1))</f>
        <v/>
      </c>
      <c r="AE1620" s="55" t="str">
        <f>IF($AC1620="","",_xlfn.XLOOKUP($AC1620,'Client Info'!$C$2:$C$2677,'Client Info'!$E$2:$E$2677,"",))</f>
        <v/>
      </c>
      <c r="AF1620" s="55" t="str">
        <f>IF($AC1620="","",_xlfn.XLOOKUP($AC1620,'Client Info'!$C$2:$C$2677,'Client Info'!$F$2:$F$2677,"",0,1))</f>
        <v/>
      </c>
      <c r="AG1620" s="55" t="s">
        <v>3510</v>
      </c>
      <c r="AH1620" s="26" t="str">
        <f>_xlfn.XLOOKUP(Table26[[#This Row],[customerSKU]],customerSKU!G:G,customerSKU!K:K,"NA",0,1)</f>
        <v>NA</v>
      </c>
      <c r="AI1620" s="43" t="str">
        <f>_xlfn.XLOOKUP(Table26[[#This Row],[customerSKU]],customerSKU!G:G,customerSKU!O:O,"not found",0,1)</f>
        <v>not found</v>
      </c>
      <c r="AJ1620" s="22" t="e">
        <f>Table26[[#This Row],[unitprice]]*Table26[[#This Row],[quantity_unit]]</f>
        <v>#VALUE!</v>
      </c>
      <c r="AK1620" s="227" t="e" cm="1">
        <f t="array" ref="AK16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1" spans="1:37" ht="24.6" customHeight="1">
      <c r="A1621" s="42">
        <v>631</v>
      </c>
      <c r="B1621" s="42" t="s">
        <v>3357</v>
      </c>
      <c r="C1621" s="53" t="s">
        <v>203</v>
      </c>
      <c r="E1621" s="20"/>
      <c r="F16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1" s="93"/>
      <c r="I1621" s="203">
        <v>45764</v>
      </c>
      <c r="J1621" s="90" t="s">
        <v>3507</v>
      </c>
      <c r="K1621" s="232">
        <v>45786</v>
      </c>
      <c r="L1621" s="49" t="s">
        <v>504</v>
      </c>
      <c r="M1621" s="22"/>
      <c r="N1621" s="15" t="str">
        <f>Table26[[#This Row],[po_number]]&amp;"-"&amp;Table26[[#This Row],[po_line]]</f>
        <v>-6</v>
      </c>
      <c r="O1621" s="15">
        <v>6</v>
      </c>
      <c r="P1621" s="50"/>
      <c r="Q1621" s="22" t="s">
        <v>527</v>
      </c>
      <c r="R1621" s="22" t="s">
        <v>569</v>
      </c>
      <c r="S1621" s="90" t="s">
        <v>134</v>
      </c>
      <c r="T1621" s="20">
        <v>44869</v>
      </c>
      <c r="U1621" s="94">
        <v>30</v>
      </c>
      <c r="V1621" s="22" t="str">
        <f>IF(ISBLANK(Table26[[#This Row],[customerSKU]]),"",_xlfn.XLOOKUP(Table26[[#This Row],[customerSKU]],Table27[customer_SKU],Table27[case_size],"",0,1))</f>
        <v/>
      </c>
      <c r="W1621" s="117" t="str">
        <f t="shared" si="67"/>
        <v/>
      </c>
      <c r="X1621" s="22" t="str">
        <f t="shared" si="68"/>
        <v/>
      </c>
      <c r="Y1621" s="25" t="str">
        <f>IF(Table26[[#This Row],[customerSKU]]="","",_xlfn.XLOOKUP(Table26[[#This Row],[customerSKU]],Table27[customer_SKU],Table27[product_GTIN],"",0,1))</f>
        <v/>
      </c>
      <c r="Z1621" s="25" t="s">
        <v>3517</v>
      </c>
      <c r="AA1621" s="18" t="str" cm="1">
        <f t="array" ref="AA1621">IF(P1621="", "", _xlfn.XLOOKUP(P1621,#REF!,#REF!,NA,0,-1))</f>
        <v/>
      </c>
      <c r="AB1621" s="22"/>
      <c r="AC1621" s="55" t="s">
        <v>3509</v>
      </c>
      <c r="AD1621" s="55" t="str">
        <f>IF($AC1621="","",_xlfn.XLOOKUP($AC1621,'Client Info'!$C$2:$C$2497,'Client Info'!$D$2:$D$2497,"",0,1))</f>
        <v/>
      </c>
      <c r="AE1621" s="55" t="str">
        <f>IF($AC1621="","",_xlfn.XLOOKUP($AC1621,'Client Info'!$C$2:$C$2677,'Client Info'!$E$2:$E$2677,"",))</f>
        <v/>
      </c>
      <c r="AF1621" s="55" t="str">
        <f>IF($AC1621="","",_xlfn.XLOOKUP($AC1621,'Client Info'!$C$2:$C$2677,'Client Info'!$F$2:$F$2677,"",0,1))</f>
        <v/>
      </c>
      <c r="AG1621" s="55" t="s">
        <v>3510</v>
      </c>
      <c r="AH1621" s="26" t="str">
        <f>_xlfn.XLOOKUP(Table26[[#This Row],[customerSKU]],customerSKU!G:G,customerSKU!K:K,"NA",0,1)</f>
        <v>NA</v>
      </c>
      <c r="AI1621" s="43" t="str">
        <f>_xlfn.XLOOKUP(Table26[[#This Row],[customerSKU]],customerSKU!G:G,customerSKU!O:O,"not found",0,1)</f>
        <v>not found</v>
      </c>
      <c r="AJ1621" s="22" t="e">
        <f>Table26[[#This Row],[unitprice]]*Table26[[#This Row],[quantity_unit]]</f>
        <v>#VALUE!</v>
      </c>
      <c r="AK1621" s="227" t="e" cm="1">
        <f t="array" ref="AK16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2" spans="1:37" ht="18" customHeight="1">
      <c r="A1622" s="42">
        <v>632</v>
      </c>
      <c r="B1622" s="42" t="s">
        <v>3357</v>
      </c>
      <c r="C1622" s="53" t="s">
        <v>203</v>
      </c>
      <c r="E1622" s="20"/>
      <c r="F16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2" s="93"/>
      <c r="I1622" s="203">
        <v>45764</v>
      </c>
      <c r="J1622" s="90" t="s">
        <v>3507</v>
      </c>
      <c r="K1622" s="232">
        <v>45786</v>
      </c>
      <c r="L1622" s="49" t="s">
        <v>504</v>
      </c>
      <c r="M1622" s="22"/>
      <c r="N1622" s="15" t="str">
        <f>Table26[[#This Row],[po_number]]&amp;"-"&amp;Table26[[#This Row],[po_line]]</f>
        <v>-7</v>
      </c>
      <c r="O1622" s="15">
        <v>7</v>
      </c>
      <c r="P1622" s="29"/>
      <c r="Q1622" s="349" t="s">
        <v>547</v>
      </c>
      <c r="R1622" s="22" t="s">
        <v>569</v>
      </c>
      <c r="S1622" s="90" t="s">
        <v>134</v>
      </c>
      <c r="T1622" s="20">
        <v>45739</v>
      </c>
      <c r="U1622" s="94">
        <v>30</v>
      </c>
      <c r="V1622" s="22" t="str">
        <f>IF(ISBLANK(Table26[[#This Row],[customerSKU]]),"",_xlfn.XLOOKUP(Table26[[#This Row],[customerSKU]],Table27[customer_SKU],Table27[case_size],"",0,1))</f>
        <v/>
      </c>
      <c r="W1622" s="117" t="str">
        <f t="shared" si="67"/>
        <v/>
      </c>
      <c r="X1622" s="22" t="str">
        <f t="shared" si="68"/>
        <v/>
      </c>
      <c r="Y1622" s="25" t="str">
        <f>IF(Table26[[#This Row],[customerSKU]]="","",_xlfn.XLOOKUP(Table26[[#This Row],[customerSKU]],Table27[customer_SKU],Table27[product_GTIN],"",0,1))</f>
        <v/>
      </c>
      <c r="Z1622" s="25" t="s">
        <v>3518</v>
      </c>
      <c r="AA1622" s="18" t="str" cm="1">
        <f t="array" ref="AA1622">IF(P1622="", "", _xlfn.XLOOKUP(P1622,#REF!,#REF!,NA,0,-1))</f>
        <v/>
      </c>
      <c r="AB1622" s="22"/>
      <c r="AC1622" s="55" t="s">
        <v>3509</v>
      </c>
      <c r="AD1622" s="55" t="str">
        <f>IF($AC1622="","",_xlfn.XLOOKUP($AC1622,'Client Info'!$C$2:$C$2497,'Client Info'!$D$2:$D$2497,"",0,1))</f>
        <v/>
      </c>
      <c r="AE1622" s="55" t="str">
        <f>IF($AC1622="","",_xlfn.XLOOKUP($AC1622,'Client Info'!$C$2:$C$2677,'Client Info'!$E$2:$E$2677,"",))</f>
        <v/>
      </c>
      <c r="AF1622" s="55" t="str">
        <f>IF($AC1622="","",_xlfn.XLOOKUP($AC1622,'Client Info'!$C$2:$C$2677,'Client Info'!$F$2:$F$2677,"",0,1))</f>
        <v/>
      </c>
      <c r="AG1622" s="55" t="s">
        <v>3510</v>
      </c>
      <c r="AH1622" s="26" t="str">
        <f>_xlfn.XLOOKUP(Table26[[#This Row],[customerSKU]],customerSKU!G:G,customerSKU!K:K,"NA",0,1)</f>
        <v>NA</v>
      </c>
      <c r="AI1622" s="43" t="str">
        <f>_xlfn.XLOOKUP(Table26[[#This Row],[customerSKU]],customerSKU!G:G,customerSKU!O:O,"not found",0,1)</f>
        <v>not found</v>
      </c>
      <c r="AJ1622" s="22" t="e">
        <f>Table26[[#This Row],[unitprice]]*Table26[[#This Row],[quantity_unit]]</f>
        <v>#VALUE!</v>
      </c>
      <c r="AK1622" s="227" t="e" cm="1">
        <f t="array" ref="AK16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3" spans="1:37" ht="18" customHeight="1">
      <c r="A1623" s="42">
        <v>633</v>
      </c>
      <c r="B1623" s="42" t="s">
        <v>3357</v>
      </c>
      <c r="C1623" s="53" t="s">
        <v>203</v>
      </c>
      <c r="E1623" s="20"/>
      <c r="F16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3" s="93"/>
      <c r="I1623" s="203">
        <v>45784</v>
      </c>
      <c r="J1623" s="90" t="str">
        <f>IF(Table26[[#This Row],[customerSKU]]="","",_xlfn.XLOOKUP(Table26[[#This Row],[customerSKU]],customerSKU!G:G,customerSKU!A:A,"",0,1))</f>
        <v/>
      </c>
      <c r="K1623" s="232">
        <v>45786</v>
      </c>
      <c r="L1623" s="49" t="str">
        <f>IF(Table26[[#This Row],[customerSKU]]="","",_xlfn.XLOOKUP(Table26[[#This Row],[customerSKU]],customerSKU!G:G,customerSKU!B:B,"",0,1))</f>
        <v/>
      </c>
      <c r="M1623" s="22"/>
      <c r="N1623" s="15" t="str">
        <f>Table26[[#This Row],[po_number]]&amp;"-"&amp;Table26[[#This Row],[po_line]]</f>
        <v>-1</v>
      </c>
      <c r="O1623" s="15">
        <v>1</v>
      </c>
      <c r="P1623" s="50"/>
      <c r="Q1623" s="22" t="s">
        <v>3548</v>
      </c>
      <c r="R1623" s="22" t="s">
        <v>3419</v>
      </c>
      <c r="S1623" s="90" t="str">
        <f>IF(Table26[[#This Row],[customerSKU]]="","",_xlfn.XLOOKUP(Table26[[#This Row],[customerSKU]],customerSKU!G:G,customerSKU!N:N,"NOT FOUND",0,1))</f>
        <v>NOT FOUND</v>
      </c>
      <c r="T1623" s="20">
        <v>45777</v>
      </c>
      <c r="U1623" s="94">
        <v>12</v>
      </c>
      <c r="V1623" s="22" t="str">
        <f>IF(ISBLANK(Table26[[#This Row],[customerSKU]]),"",_xlfn.XLOOKUP(Table26[[#This Row],[customerSKU]],Table27[customer_SKU],Table27[case_size],"",0,1))</f>
        <v/>
      </c>
      <c r="W1623" s="117" t="str">
        <f t="shared" si="67"/>
        <v/>
      </c>
      <c r="X1623" s="22" t="str">
        <f t="shared" si="68"/>
        <v/>
      </c>
      <c r="Y1623" s="25" t="str">
        <f>IF(Table26[[#This Row],[customerSKU]]="","",_xlfn.XLOOKUP(Table26[[#This Row],[customerSKU]],Table27[customer_SKU],Table27[product_GTIN],"",0,1))</f>
        <v/>
      </c>
      <c r="Z1623" s="25" t="s">
        <v>3370</v>
      </c>
      <c r="AA1623" s="18" t="str" cm="1">
        <f t="array" ref="AA1623">IF(P1623="", "", _xlfn.XLOOKUP(P1623,#REF!,#REF!,NA,0,-1))</f>
        <v/>
      </c>
      <c r="AB1623" s="22"/>
      <c r="AC1623" s="55" t="s">
        <v>167</v>
      </c>
      <c r="AD1623" s="55" t="str">
        <f>IF($AC1623="","",_xlfn.XLOOKUP($AC1623,'Client Info'!$C$2:$C$2497,'Client Info'!$D$2:$D$2497,"",0,1))</f>
        <v/>
      </c>
      <c r="AE1623" s="55" t="str">
        <f>IF($AC1623="","",_xlfn.XLOOKUP($AC1623,'Client Info'!$C$2:$C$2677,'Client Info'!$E$2:$E$2677,"",))</f>
        <v/>
      </c>
      <c r="AF1623" s="55" t="str">
        <f>IF($AC1623="","",_xlfn.XLOOKUP($AC1623,'Client Info'!$C$2:$C$2677,'Client Info'!$F$2:$F$2677,"",0,1))</f>
        <v/>
      </c>
      <c r="AG1623" s="55" t="s">
        <v>167</v>
      </c>
      <c r="AH1623" s="26" t="str">
        <f>_xlfn.XLOOKUP(Table26[[#This Row],[customerSKU]],customerSKU!G:G,customerSKU!K:K,"NA",0,1)</f>
        <v>NA</v>
      </c>
      <c r="AI1623" s="43" t="str">
        <f>_xlfn.XLOOKUP(Table26[[#This Row],[customerSKU]],customerSKU!G:G,customerSKU!O:O,"not found",0,1)</f>
        <v>not found</v>
      </c>
      <c r="AJ1623" s="22" t="e">
        <f>Table26[[#This Row],[unitprice]]*Table26[[#This Row],[quantity_unit]]</f>
        <v>#VALUE!</v>
      </c>
      <c r="AK1623" s="227" t="e" cm="1">
        <f t="array" ref="AK16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4" spans="1:37" ht="18" customHeight="1">
      <c r="A1624" s="42">
        <v>634</v>
      </c>
      <c r="B1624" s="42" t="s">
        <v>3357</v>
      </c>
      <c r="C1624" s="53" t="s">
        <v>203</v>
      </c>
      <c r="E1624" s="20"/>
      <c r="F16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4" s="93"/>
      <c r="I1624" s="203">
        <v>45784</v>
      </c>
      <c r="J1624" s="90" t="str">
        <f>IF(Table26[[#This Row],[customerSKU]]="","",_xlfn.XLOOKUP(Table26[[#This Row],[customerSKU]],customerSKU!G:G,customerSKU!A:A,"",0,1))</f>
        <v/>
      </c>
      <c r="K1624" s="232">
        <v>45786</v>
      </c>
      <c r="L1624" s="49" t="str">
        <f>IF(Table26[[#This Row],[customerSKU]]="","",_xlfn.XLOOKUP(Table26[[#This Row],[customerSKU]],customerSKU!G:G,customerSKU!B:B,"",0,1))</f>
        <v/>
      </c>
      <c r="M1624" s="22"/>
      <c r="N1624" s="15" t="str">
        <f>Table26[[#This Row],[po_number]]&amp;"-"&amp;Table26[[#This Row],[po_line]]</f>
        <v>-2</v>
      </c>
      <c r="O1624" s="15">
        <v>2</v>
      </c>
      <c r="P1624" s="50"/>
      <c r="Q1624" s="22" t="s">
        <v>574</v>
      </c>
      <c r="R1624" s="22" t="s">
        <v>569</v>
      </c>
      <c r="S1624" s="90" t="str">
        <f>IF(Table26[[#This Row],[customerSKU]]="","",_xlfn.XLOOKUP(Table26[[#This Row],[customerSKU]],customerSKU!G:G,customerSKU!N:N,"NOT FOUND",0,1))</f>
        <v>NOT FOUND</v>
      </c>
      <c r="T1624" s="20">
        <v>45749</v>
      </c>
      <c r="U1624" s="94">
        <v>22</v>
      </c>
      <c r="V1624" s="22" t="str">
        <f>IF(ISBLANK(Table26[[#This Row],[customerSKU]]),"",_xlfn.XLOOKUP(Table26[[#This Row],[customerSKU]],Table27[customer_SKU],Table27[case_size],"",0,1))</f>
        <v/>
      </c>
      <c r="W1624" s="117" t="str">
        <f t="shared" si="67"/>
        <v/>
      </c>
      <c r="X1624" s="22" t="str">
        <f t="shared" si="68"/>
        <v/>
      </c>
      <c r="Y1624" s="25" t="str">
        <f>IF(Table26[[#This Row],[customerSKU]]="","",_xlfn.XLOOKUP(Table26[[#This Row],[customerSKU]],Table27[customer_SKU],Table27[product_GTIN],"",0,1))</f>
        <v/>
      </c>
      <c r="Z1624" s="25" t="s">
        <v>3366</v>
      </c>
      <c r="AA1624" s="18" t="str" cm="1">
        <f t="array" ref="AA1624">IF(P1624="", "", _xlfn.XLOOKUP(P1624,#REF!,#REF!,NA,0,-1))</f>
        <v/>
      </c>
      <c r="AB1624" s="22"/>
      <c r="AC1624" s="55" t="s">
        <v>167</v>
      </c>
      <c r="AD1624" s="55" t="str">
        <f>IF($AC1624="","",_xlfn.XLOOKUP($AC1624,'Client Info'!$C$2:$C$2497,'Client Info'!$D$2:$D$2497,"",0,1))</f>
        <v/>
      </c>
      <c r="AE1624" s="55" t="str">
        <f>IF($AC1624="","",_xlfn.XLOOKUP($AC1624,'Client Info'!$C$2:$C$2677,'Client Info'!$E$2:$E$2677,"",))</f>
        <v/>
      </c>
      <c r="AF1624" s="55" t="str">
        <f>IF($AC1624="","",_xlfn.XLOOKUP($AC1624,'Client Info'!$C$2:$C$2677,'Client Info'!$F$2:$F$2677,"",0,1))</f>
        <v/>
      </c>
      <c r="AG1624" s="55" t="s">
        <v>167</v>
      </c>
      <c r="AH1624" s="26" t="str">
        <f>_xlfn.XLOOKUP(Table26[[#This Row],[customerSKU]],customerSKU!G:G,customerSKU!K:K,"NA",0,1)</f>
        <v>NA</v>
      </c>
      <c r="AI1624" s="43" t="str">
        <f>_xlfn.XLOOKUP(Table26[[#This Row],[customerSKU]],customerSKU!G:G,customerSKU!O:O,"not found",0,1)</f>
        <v>not found</v>
      </c>
      <c r="AJ1624" s="22" t="e">
        <f>Table26[[#This Row],[unitprice]]*Table26[[#This Row],[quantity_unit]]</f>
        <v>#VALUE!</v>
      </c>
      <c r="AK1624" s="227" t="e" cm="1">
        <f t="array" ref="AK16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5" spans="1:37" ht="18" customHeight="1">
      <c r="A1625" s="42">
        <v>635</v>
      </c>
      <c r="B1625" s="42" t="s">
        <v>3357</v>
      </c>
      <c r="C1625" s="53" t="s">
        <v>203</v>
      </c>
      <c r="E1625" s="20"/>
      <c r="F16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5" s="93"/>
      <c r="I1625" s="203">
        <v>45784</v>
      </c>
      <c r="J1625" s="90" t="str">
        <f>IF(Table26[[#This Row],[customerSKU]]="","",_xlfn.XLOOKUP(Table26[[#This Row],[customerSKU]],customerSKU!G:G,customerSKU!A:A,"",0,1))</f>
        <v/>
      </c>
      <c r="K1625" s="232">
        <v>45786</v>
      </c>
      <c r="L1625" s="49" t="str">
        <f>IF(Table26[[#This Row],[customerSKU]]="","",_xlfn.XLOOKUP(Table26[[#This Row],[customerSKU]],customerSKU!G:G,customerSKU!B:B,"",0,1))</f>
        <v/>
      </c>
      <c r="M1625" s="22"/>
      <c r="N1625" s="15" t="str">
        <f>Table26[[#This Row],[po_number]]&amp;"-"&amp;Table26[[#This Row],[po_line]]</f>
        <v>-3</v>
      </c>
      <c r="O1625" s="15">
        <v>3</v>
      </c>
      <c r="P1625" s="50"/>
      <c r="Q1625" s="22" t="s">
        <v>574</v>
      </c>
      <c r="R1625" s="22" t="s">
        <v>569</v>
      </c>
      <c r="S1625" s="90" t="str">
        <f>IF(Table26[[#This Row],[customerSKU]]="","",_xlfn.XLOOKUP(Table26[[#This Row],[customerSKU]],customerSKU!G:G,customerSKU!N:N,"NOT FOUND",0,1))</f>
        <v>NOT FOUND</v>
      </c>
      <c r="T1625" s="20">
        <v>45772</v>
      </c>
      <c r="U1625" s="94">
        <v>98</v>
      </c>
      <c r="V1625" s="22" t="str">
        <f>IF(ISBLANK(Table26[[#This Row],[customerSKU]]),"",_xlfn.XLOOKUP(Table26[[#This Row],[customerSKU]],Table27[customer_SKU],Table27[case_size],"",0,1))</f>
        <v/>
      </c>
      <c r="W1625" s="117" t="str">
        <f t="shared" si="67"/>
        <v/>
      </c>
      <c r="X1625" s="22" t="str">
        <f t="shared" si="68"/>
        <v/>
      </c>
      <c r="Y1625" s="25" t="str">
        <f>IF(Table26[[#This Row],[customerSKU]]="","",_xlfn.XLOOKUP(Table26[[#This Row],[customerSKU]],Table27[customer_SKU],Table27[product_GTIN],"",0,1))</f>
        <v/>
      </c>
      <c r="Z1625" s="25" t="s">
        <v>3366</v>
      </c>
      <c r="AA1625" s="18" t="str" cm="1">
        <f t="array" ref="AA1625">IF(P1625="", "", _xlfn.XLOOKUP(P1625,#REF!,#REF!,NA,0,-1))</f>
        <v/>
      </c>
      <c r="AB1625" s="22"/>
      <c r="AC1625" s="55" t="s">
        <v>167</v>
      </c>
      <c r="AD1625" s="55" t="str">
        <f>IF($AC1625="","",_xlfn.XLOOKUP($AC1625,'Client Info'!$C$2:$C$2497,'Client Info'!$D$2:$D$2497,"",0,1))</f>
        <v/>
      </c>
      <c r="AE1625" s="55" t="str">
        <f>IF($AC1625="","",_xlfn.XLOOKUP($AC1625,'Client Info'!$C$2:$C$2677,'Client Info'!$E$2:$E$2677,"",))</f>
        <v/>
      </c>
      <c r="AF1625" s="55" t="str">
        <f>IF($AC1625="","",_xlfn.XLOOKUP($AC1625,'Client Info'!$C$2:$C$2677,'Client Info'!$F$2:$F$2677,"",0,1))</f>
        <v/>
      </c>
      <c r="AG1625" s="55" t="s">
        <v>167</v>
      </c>
      <c r="AH1625" s="26" t="str">
        <f>_xlfn.XLOOKUP(Table26[[#This Row],[customerSKU]],customerSKU!G:G,customerSKU!K:K,"NA",0,1)</f>
        <v>NA</v>
      </c>
      <c r="AI1625" s="43" t="str">
        <f>_xlfn.XLOOKUP(Table26[[#This Row],[customerSKU]],customerSKU!G:G,customerSKU!O:O,"not found",0,1)</f>
        <v>not found</v>
      </c>
      <c r="AJ1625" s="22" t="e">
        <f>Table26[[#This Row],[unitprice]]*Table26[[#This Row],[quantity_unit]]</f>
        <v>#VALUE!</v>
      </c>
      <c r="AK1625" s="227" t="e" cm="1">
        <f t="array" ref="AK16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6" spans="1:37" ht="18" customHeight="1">
      <c r="A1626" s="42">
        <v>625</v>
      </c>
      <c r="B1626" s="42" t="s">
        <v>3357</v>
      </c>
      <c r="C1626" s="53" t="s">
        <v>3488</v>
      </c>
      <c r="E1626" s="20"/>
      <c r="F16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6" s="93"/>
      <c r="I1626" s="19">
        <v>45761</v>
      </c>
      <c r="J1626" s="90" t="str">
        <f>IF(Table26[[#This Row],[customerSKU]]="","",_xlfn.XLOOKUP(Table26[[#This Row],[customerSKU]],customerSKU!G:G,customerSKU!A:A,"",0,1))</f>
        <v/>
      </c>
      <c r="K1626" s="232">
        <v>45788</v>
      </c>
      <c r="L1626" s="49" t="str">
        <f>IF(Table26[[#This Row],[customerSKU]]="","",_xlfn.XLOOKUP(Table26[[#This Row],[customerSKU]],customerSKU!G:G,customerSKU!B:B,"",0,1))</f>
        <v/>
      </c>
      <c r="M1626" s="22"/>
      <c r="N1626" s="15" t="str">
        <f>Table26[[#This Row],[po_number]]&amp;"-"&amp;Table26[[#This Row],[po_line]]</f>
        <v>-1</v>
      </c>
      <c r="O1626" s="15">
        <v>1</v>
      </c>
      <c r="P1626" s="50"/>
      <c r="Q1626" s="22" t="s">
        <v>598</v>
      </c>
      <c r="R1626" s="22" t="s">
        <v>532</v>
      </c>
      <c r="S1626" s="90" t="str">
        <f>IF(Table26[[#This Row],[customerSKU]]="","",_xlfn.XLOOKUP(Table26[[#This Row],[customerSKU]],customerSKU!G:G,customerSKU!N:N,"NOT FOUND",0,1))</f>
        <v>NOT FOUND</v>
      </c>
      <c r="T1626" s="20">
        <v>45772</v>
      </c>
      <c r="U1626" s="94">
        <v>1200</v>
      </c>
      <c r="V1626" s="22" t="str">
        <f>IF(ISBLANK(Table26[[#This Row],[customerSKU]]),"",_xlfn.XLOOKUP(Table26[[#This Row],[customerSKU]],Table27[customer_SKU],Table27[case_size],"",0,1))</f>
        <v/>
      </c>
      <c r="W1626" s="117" t="str">
        <f t="shared" si="67"/>
        <v/>
      </c>
      <c r="X1626" s="22" t="str">
        <f t="shared" si="68"/>
        <v/>
      </c>
      <c r="Y1626" s="25" t="str">
        <f>IF(Table26[[#This Row],[customerSKU]]="","",_xlfn.XLOOKUP(Table26[[#This Row],[customerSKU]],Table27[customer_SKU],Table27[product_GTIN],"",0,1))</f>
        <v/>
      </c>
      <c r="Z1626" s="25" t="s">
        <v>3489</v>
      </c>
      <c r="AA1626" s="18" t="str" cm="1">
        <f t="array" ref="AA1626">IF(P1626="", "", _xlfn.XLOOKUP(P1626,#REF!,#REF!,NA,0,-1))</f>
        <v/>
      </c>
      <c r="AB1626" s="22"/>
      <c r="AC1626" s="55" t="str">
        <f>IF(Table26[[#This Row],[customerSKU]]="","",_xlfn.XLOOKUP(Table26[[#This Row],[customerSKU]],customerSKU!G:G,customerSKU!C:C,"",0,1))</f>
        <v/>
      </c>
      <c r="AD1626" s="55" t="str">
        <f>IF($AC1626="","",_xlfn.XLOOKUP($AC1626,'Client Info'!$C$2:$C$2497,'Client Info'!$D$2:$D$2497,"",0,1))</f>
        <v/>
      </c>
      <c r="AE1626" s="55" t="str">
        <f>IF($AC1626="","",_xlfn.XLOOKUP($AC1626,'Client Info'!$C$2:$C$2677,'Client Info'!$E$2:$E$2677,"",))</f>
        <v/>
      </c>
      <c r="AF1626" s="55" t="str">
        <f>IF($AC1626="","",_xlfn.XLOOKUP($AC1626,'Client Info'!$C$2:$C$2677,'Client Info'!$F$2:$F$2677,"",0,1))</f>
        <v/>
      </c>
      <c r="AG1626" s="55" t="str">
        <f>IF(ISBLANK(Table26[[#This Row],[customerSKU]]),"",_xlfn.XLOOKUP(Table26[[#This Row],[customerSKU]],Table27[customer_SKU],Table27[billto],"",0,1))</f>
        <v/>
      </c>
      <c r="AH1626" s="26" t="str">
        <f>_xlfn.XLOOKUP(Table26[[#This Row],[customerSKU]],customerSKU!G:G,customerSKU!K:K,"NA",0,1)</f>
        <v>NA</v>
      </c>
      <c r="AI1626" s="43" t="str">
        <f>_xlfn.XLOOKUP(Table26[[#This Row],[customerSKU]],customerSKU!G:G,customerSKU!O:O,"not found",0,1)</f>
        <v>not found</v>
      </c>
      <c r="AJ1626" s="22" t="e">
        <f>Table26[[#This Row],[unitprice]]*Table26[[#This Row],[quantity_unit]]</f>
        <v>#VALUE!</v>
      </c>
      <c r="AK1626" s="227" t="e" cm="1">
        <f t="array" ref="AK16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7" spans="1:37" ht="18" customHeight="1">
      <c r="A1627" s="42">
        <v>621</v>
      </c>
      <c r="B1627" s="42" t="s">
        <v>3357</v>
      </c>
      <c r="C1627" s="53" t="s">
        <v>3577</v>
      </c>
      <c r="E1627" s="20"/>
      <c r="F16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7" s="93"/>
      <c r="I1627" s="203">
        <v>45785</v>
      </c>
      <c r="J1627" s="90" t="str">
        <f>IF(Table26[[#This Row],[customerSKU]]="","",_xlfn.XLOOKUP(Table26[[#This Row],[customerSKU]],customerSKU!G:G,customerSKU!A:A,"",0,1))</f>
        <v/>
      </c>
      <c r="K1627" s="232">
        <v>45790</v>
      </c>
      <c r="L1627" s="49" t="str">
        <f>IF(Table26[[#This Row],[customerSKU]]="","",_xlfn.XLOOKUP(Table26[[#This Row],[customerSKU]],customerSKU!G:G,customerSKU!B:B,"",0,1))</f>
        <v/>
      </c>
      <c r="M1627" s="22"/>
      <c r="N1627" s="15" t="str">
        <f>Table26[[#This Row],[po_number]]&amp;"-"&amp;Table26[[#This Row],[po_line]]</f>
        <v>-1</v>
      </c>
      <c r="O1627" s="15">
        <v>1</v>
      </c>
      <c r="P1627" s="50"/>
      <c r="S1627" s="90" t="str">
        <f>IF(Table26[[#This Row],[customerSKU]]="","",_xlfn.XLOOKUP(Table26[[#This Row],[customerSKU]],customerSKU!G:G,customerSKU!N:N,"NOT FOUND",0,1))</f>
        <v>NOT FOUND</v>
      </c>
      <c r="T1627" s="20"/>
      <c r="U1627" s="94">
        <v>12</v>
      </c>
      <c r="V1627" s="22" t="str">
        <f>IF(ISBLANK(Table26[[#This Row],[customerSKU]]),"",_xlfn.XLOOKUP(Table26[[#This Row],[customerSKU]],Table27[customer_SKU],Table27[case_size],"",0,1))</f>
        <v/>
      </c>
      <c r="W1627" s="117" t="str">
        <f t="shared" si="67"/>
        <v/>
      </c>
      <c r="X1627" s="22" t="str">
        <f t="shared" si="68"/>
        <v/>
      </c>
      <c r="Y1627" s="25" t="str">
        <f>IF(Table26[[#This Row],[customerSKU]]="","",_xlfn.XLOOKUP(Table26[[#This Row],[customerSKU]],Table27[customer_SKU],Table27[product_GTIN],"",0,1))</f>
        <v/>
      </c>
      <c r="Z1627" s="25" t="s">
        <v>3390</v>
      </c>
      <c r="AA1627" s="18" t="str" cm="1">
        <f t="array" ref="AA1627">IF(P1627="", "", _xlfn.XLOOKUP(P1627,#REF!,#REF!,NA,0,-1))</f>
        <v/>
      </c>
      <c r="AB1627" s="22"/>
      <c r="AC1627" s="55" t="str">
        <f>IF(Table26[[#This Row],[customerSKU]]="","",_xlfn.XLOOKUP(Table26[[#This Row],[customerSKU]],customerSKU!G:G,customerSKU!C:C,"",0,1))</f>
        <v/>
      </c>
      <c r="AD1627" s="55" t="str">
        <f>IF($AC1627="","",_xlfn.XLOOKUP($AC1627,'Client Info'!$C$2:$C$2497,'Client Info'!$D$2:$D$2497,"",0,1))</f>
        <v/>
      </c>
      <c r="AE1627" s="55" t="str">
        <f>IF($AC1627="","",_xlfn.XLOOKUP($AC1627,'Client Info'!$C$2:$C$2677,'Client Info'!$E$2:$E$2677,"",))</f>
        <v/>
      </c>
      <c r="AF1627" s="55" t="str">
        <f>IF($AC1627="","",_xlfn.XLOOKUP($AC1627,'Client Info'!$C$2:$C$2677,'Client Info'!$F$2:$F$2677,"",0,1))</f>
        <v/>
      </c>
      <c r="AG1627" s="55" t="str">
        <f>IF(ISBLANK(Table26[[#This Row],[customerSKU]]),"",_xlfn.XLOOKUP(Table26[[#This Row],[customerSKU]],Table27[customer_SKU],Table27[billto],"",0,1))</f>
        <v/>
      </c>
      <c r="AH1627" s="26" t="str">
        <f>_xlfn.XLOOKUP(Table26[[#This Row],[customerSKU]],customerSKU!G:G,customerSKU!K:K,"NA",0,1)</f>
        <v>NA</v>
      </c>
      <c r="AI1627" s="43" t="str">
        <f>_xlfn.XLOOKUP(Table26[[#This Row],[customerSKU]],customerSKU!G:G,customerSKU!O:O,"not found",0,1)</f>
        <v>not found</v>
      </c>
      <c r="AJ1627" s="22" t="e">
        <f>Table26[[#This Row],[unitprice]]*Table26[[#This Row],[quantity_unit]]</f>
        <v>#VALUE!</v>
      </c>
      <c r="AK1627" s="227" t="e" cm="1">
        <f t="array" ref="AK16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8" spans="1:37" ht="18" customHeight="1">
      <c r="A1628" s="42">
        <v>622</v>
      </c>
      <c r="B1628" s="42" t="s">
        <v>3357</v>
      </c>
      <c r="C1628" s="53" t="s">
        <v>3577</v>
      </c>
      <c r="E1628" s="20"/>
      <c r="F16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8" s="93"/>
      <c r="I1628" s="203">
        <v>45785</v>
      </c>
      <c r="J1628" s="90" t="str">
        <f>IF(Table26[[#This Row],[customerSKU]]="","",_xlfn.XLOOKUP(Table26[[#This Row],[customerSKU]],customerSKU!G:G,customerSKU!A:A,"",0,1))</f>
        <v/>
      </c>
      <c r="K1628" s="232">
        <v>45790</v>
      </c>
      <c r="L1628" s="49" t="str">
        <f>IF(Table26[[#This Row],[customerSKU]]="","",_xlfn.XLOOKUP(Table26[[#This Row],[customerSKU]],customerSKU!G:G,customerSKU!B:B,"",0,1))</f>
        <v/>
      </c>
      <c r="M1628" s="22"/>
      <c r="N1628" s="15" t="str">
        <f>Table26[[#This Row],[po_number]]&amp;"-"&amp;Table26[[#This Row],[po_line]]</f>
        <v>-2</v>
      </c>
      <c r="O1628" s="15">
        <v>2</v>
      </c>
      <c r="P1628" s="50"/>
      <c r="S1628" s="90" t="str">
        <f>IF(Table26[[#This Row],[customerSKU]]="","",_xlfn.XLOOKUP(Table26[[#This Row],[customerSKU]],customerSKU!G:G,customerSKU!N:N,"NOT FOUND",0,1))</f>
        <v>NOT FOUND</v>
      </c>
      <c r="T1628" s="20"/>
      <c r="U1628" s="94">
        <v>12</v>
      </c>
      <c r="V1628" s="22" t="str">
        <f>IF(ISBLANK(Table26[[#This Row],[customerSKU]]),"",_xlfn.XLOOKUP(Table26[[#This Row],[customerSKU]],Table27[customer_SKU],Table27[case_size],"",0,1))</f>
        <v/>
      </c>
      <c r="W1628" s="117" t="str">
        <f t="shared" si="67"/>
        <v/>
      </c>
      <c r="X1628" s="22" t="str">
        <f t="shared" si="68"/>
        <v/>
      </c>
      <c r="Y1628" s="25" t="str">
        <f>IF(Table26[[#This Row],[customerSKU]]="","",_xlfn.XLOOKUP(Table26[[#This Row],[customerSKU]],Table27[customer_SKU],Table27[product_GTIN],"",0,1))</f>
        <v/>
      </c>
      <c r="Z1628" s="25" t="s">
        <v>3528</v>
      </c>
      <c r="AA1628" s="18" t="str" cm="1">
        <f t="array" ref="AA1628">IF(P1628="", "", _xlfn.XLOOKUP(P1628,#REF!,#REF!,NA,0,-1))</f>
        <v/>
      </c>
      <c r="AB1628" s="22"/>
      <c r="AC1628" s="55" t="str">
        <f>IF(Table26[[#This Row],[customerSKU]]="","",_xlfn.XLOOKUP(Table26[[#This Row],[customerSKU]],customerSKU!G:G,customerSKU!C:C,"",0,1))</f>
        <v/>
      </c>
      <c r="AD1628" s="55" t="str">
        <f>IF($AC1628="","",_xlfn.XLOOKUP($AC1628,'Client Info'!$C$2:$C$2497,'Client Info'!$D$2:$D$2497,"",0,1))</f>
        <v/>
      </c>
      <c r="AE1628" s="55" t="str">
        <f>IF($AC1628="","",_xlfn.XLOOKUP($AC1628,'Client Info'!$C$2:$C$2677,'Client Info'!$E$2:$E$2677,"",))</f>
        <v/>
      </c>
      <c r="AF1628" s="55" t="str">
        <f>IF($AC1628="","",_xlfn.XLOOKUP($AC1628,'Client Info'!$C$2:$C$2677,'Client Info'!$F$2:$F$2677,"",0,1))</f>
        <v/>
      </c>
      <c r="AG1628" s="55" t="str">
        <f>IF(ISBLANK(Table26[[#This Row],[customerSKU]]),"",_xlfn.XLOOKUP(Table26[[#This Row],[customerSKU]],Table27[customer_SKU],Table27[billto],"",0,1))</f>
        <v/>
      </c>
      <c r="AH1628" s="26" t="str">
        <f>_xlfn.XLOOKUP(Table26[[#This Row],[customerSKU]],customerSKU!G:G,customerSKU!K:K,"NA",0,1)</f>
        <v>NA</v>
      </c>
      <c r="AI1628" s="43" t="str">
        <f>_xlfn.XLOOKUP(Table26[[#This Row],[customerSKU]],customerSKU!G:G,customerSKU!O:O,"not found",0,1)</f>
        <v>not found</v>
      </c>
      <c r="AJ1628" s="22" t="e">
        <f>Table26[[#This Row],[unitprice]]*Table26[[#This Row],[quantity_unit]]</f>
        <v>#VALUE!</v>
      </c>
      <c r="AK1628" s="227" t="e" cm="1">
        <f t="array" ref="AK16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29" spans="1:37" ht="18" customHeight="1">
      <c r="A1629" s="42">
        <v>623</v>
      </c>
      <c r="B1629" s="42" t="s">
        <v>3357</v>
      </c>
      <c r="C1629" s="53" t="s">
        <v>3577</v>
      </c>
      <c r="E1629" s="20"/>
      <c r="F16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29" s="93"/>
      <c r="I1629" s="203">
        <v>45785</v>
      </c>
      <c r="J1629" s="90" t="str">
        <f>IF(Table26[[#This Row],[customerSKU]]="","",_xlfn.XLOOKUP(Table26[[#This Row],[customerSKU]],customerSKU!G:G,customerSKU!A:A,"",0,1))</f>
        <v/>
      </c>
      <c r="K1629" s="232">
        <v>45790</v>
      </c>
      <c r="L1629" s="49" t="str">
        <f>IF(Table26[[#This Row],[customerSKU]]="","",_xlfn.XLOOKUP(Table26[[#This Row],[customerSKU]],customerSKU!G:G,customerSKU!B:B,"",0,1))</f>
        <v/>
      </c>
      <c r="M1629" s="22"/>
      <c r="N1629" s="15" t="str">
        <f>Table26[[#This Row],[po_number]]&amp;"-"&amp;Table26[[#This Row],[po_line]]</f>
        <v>-3</v>
      </c>
      <c r="O1629" s="15">
        <v>3</v>
      </c>
      <c r="P1629" s="50"/>
      <c r="S1629" s="90" t="str">
        <f>IF(Table26[[#This Row],[customerSKU]]="","",_xlfn.XLOOKUP(Table26[[#This Row],[customerSKU]],customerSKU!G:G,customerSKU!N:N,"NOT FOUND",0,1))</f>
        <v>NOT FOUND</v>
      </c>
      <c r="T1629" s="20"/>
      <c r="U1629" s="94">
        <v>12</v>
      </c>
      <c r="V1629" s="22" t="str">
        <f>IF(ISBLANK(Table26[[#This Row],[customerSKU]]),"",_xlfn.XLOOKUP(Table26[[#This Row],[customerSKU]],Table27[customer_SKU],Table27[case_size],"",0,1))</f>
        <v/>
      </c>
      <c r="W1629" s="117" t="str">
        <f t="shared" si="67"/>
        <v/>
      </c>
      <c r="X1629" s="22" t="str">
        <f t="shared" si="68"/>
        <v/>
      </c>
      <c r="Y1629" s="25" t="str">
        <f>IF(Table26[[#This Row],[customerSKU]]="","",_xlfn.XLOOKUP(Table26[[#This Row],[customerSKU]],Table27[customer_SKU],Table27[product_GTIN],"",0,1))</f>
        <v/>
      </c>
      <c r="Z1629" s="25" t="s">
        <v>3380</v>
      </c>
      <c r="AA1629" s="18" t="str" cm="1">
        <f t="array" ref="AA1629">IF(P1629="", "", _xlfn.XLOOKUP(P1629,#REF!,#REF!,NA,0,-1))</f>
        <v/>
      </c>
      <c r="AB1629" s="22"/>
      <c r="AC1629" s="55" t="str">
        <f>IF(Table26[[#This Row],[customerSKU]]="","",_xlfn.XLOOKUP(Table26[[#This Row],[customerSKU]],customerSKU!G:G,customerSKU!C:C,"",0,1))</f>
        <v/>
      </c>
      <c r="AD1629" s="55" t="str">
        <f>IF($AC1629="","",_xlfn.XLOOKUP($AC1629,'Client Info'!$C$2:$C$2497,'Client Info'!$D$2:$D$2497,"",0,1))</f>
        <v/>
      </c>
      <c r="AE1629" s="55" t="str">
        <f>IF($AC1629="","",_xlfn.XLOOKUP($AC1629,'Client Info'!$C$2:$C$2677,'Client Info'!$E$2:$E$2677,"",))</f>
        <v/>
      </c>
      <c r="AF1629" s="55" t="str">
        <f>IF($AC1629="","",_xlfn.XLOOKUP($AC1629,'Client Info'!$C$2:$C$2677,'Client Info'!$F$2:$F$2677,"",0,1))</f>
        <v/>
      </c>
      <c r="AG1629" s="55" t="str">
        <f>IF(ISBLANK(Table26[[#This Row],[customerSKU]]),"",_xlfn.XLOOKUP(Table26[[#This Row],[customerSKU]],Table27[customer_SKU],Table27[billto],"",0,1))</f>
        <v/>
      </c>
      <c r="AH1629" s="26" t="str">
        <f>_xlfn.XLOOKUP(Table26[[#This Row],[customerSKU]],customerSKU!G:G,customerSKU!K:K,"NA",0,1)</f>
        <v>NA</v>
      </c>
      <c r="AI1629" s="43" t="str">
        <f>_xlfn.XLOOKUP(Table26[[#This Row],[customerSKU]],customerSKU!G:G,customerSKU!O:O,"not found",0,1)</f>
        <v>not found</v>
      </c>
      <c r="AJ1629" s="22" t="e">
        <f>Table26[[#This Row],[unitprice]]*Table26[[#This Row],[quantity_unit]]</f>
        <v>#VALUE!</v>
      </c>
      <c r="AK1629" s="227" t="e" cm="1">
        <f t="array" ref="AK16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0" spans="1:37" ht="18" customHeight="1">
      <c r="A1630" s="42">
        <v>624</v>
      </c>
      <c r="B1630" s="42" t="s">
        <v>3357</v>
      </c>
      <c r="C1630" s="53" t="s">
        <v>3577</v>
      </c>
      <c r="E1630" s="20"/>
      <c r="F16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0" s="93"/>
      <c r="I1630" s="203">
        <v>45789</v>
      </c>
      <c r="J1630" s="90" t="str">
        <f>IF(Table26[[#This Row],[customerSKU]]="","",_xlfn.XLOOKUP(Table26[[#This Row],[customerSKU]],customerSKU!G:G,customerSKU!A:A,"",0,1))</f>
        <v/>
      </c>
      <c r="K1630" s="232">
        <v>45790</v>
      </c>
      <c r="L1630" s="49" t="str">
        <f>IF(Table26[[#This Row],[customerSKU]]="","",_xlfn.XLOOKUP(Table26[[#This Row],[customerSKU]],customerSKU!G:G,customerSKU!B:B,"",0,1))</f>
        <v/>
      </c>
      <c r="M1630" s="22"/>
      <c r="N1630" s="15" t="str">
        <f>Table26[[#This Row],[po_number]]&amp;"-"&amp;Table26[[#This Row],[po_line]]</f>
        <v>-1</v>
      </c>
      <c r="O1630" s="15">
        <v>1</v>
      </c>
      <c r="P1630" s="50"/>
      <c r="S1630" s="90" t="str">
        <f>IF(Table26[[#This Row],[customerSKU]]="","",_xlfn.XLOOKUP(Table26[[#This Row],[customerSKU]],customerSKU!G:G,customerSKU!N:N,"NOT FOUND",0,1))</f>
        <v>NOT FOUND</v>
      </c>
      <c r="T1630" s="20"/>
      <c r="U1630" s="94">
        <v>12</v>
      </c>
      <c r="V1630" s="22" t="str">
        <f>IF(ISBLANK(Table26[[#This Row],[customerSKU]]),"",_xlfn.XLOOKUP(Table26[[#This Row],[customerSKU]],Table27[customer_SKU],Table27[case_size],"",0,1))</f>
        <v/>
      </c>
      <c r="W1630" s="117" t="str">
        <f t="shared" si="67"/>
        <v/>
      </c>
      <c r="X1630" s="22" t="str">
        <f t="shared" si="68"/>
        <v/>
      </c>
      <c r="Y1630" s="25" t="str">
        <f>IF(Table26[[#This Row],[customerSKU]]="","",_xlfn.XLOOKUP(Table26[[#This Row],[customerSKU]],Table27[customer_SKU],Table27[product_GTIN],"",0,1))</f>
        <v/>
      </c>
      <c r="Z1630" s="25" t="s">
        <v>3546</v>
      </c>
      <c r="AA1630" s="18" t="str" cm="1">
        <f t="array" ref="AA1630">IF(P1630="", "", _xlfn.XLOOKUP(P1630,#REF!,#REF!,NA,0,-1))</f>
        <v/>
      </c>
      <c r="AB1630" s="22"/>
      <c r="AC1630" s="55" t="str">
        <f>IF(Table26[[#This Row],[customerSKU]]="","",_xlfn.XLOOKUP(Table26[[#This Row],[customerSKU]],customerSKU!G:G,customerSKU!C:C,"",0,1))</f>
        <v/>
      </c>
      <c r="AD1630" s="55" t="str">
        <f>IF($AC1630="","",_xlfn.XLOOKUP($AC1630,'Client Info'!$C$2:$C$2497,'Client Info'!$D$2:$D$2497,"",0,1))</f>
        <v/>
      </c>
      <c r="AE1630" s="55" t="str">
        <f>IF($AC1630="","",_xlfn.XLOOKUP($AC1630,'Client Info'!$C$2:$C$2677,'Client Info'!$E$2:$E$2677,"",))</f>
        <v/>
      </c>
      <c r="AF1630" s="55" t="str">
        <f>IF($AC1630="","",_xlfn.XLOOKUP($AC1630,'Client Info'!$C$2:$C$2677,'Client Info'!$F$2:$F$2677,"",0,1))</f>
        <v/>
      </c>
      <c r="AG1630" s="55" t="str">
        <f>IF(ISBLANK(Table26[[#This Row],[customerSKU]]),"",_xlfn.XLOOKUP(Table26[[#This Row],[customerSKU]],Table27[customer_SKU],Table27[billto],"",0,1))</f>
        <v/>
      </c>
      <c r="AH1630" s="26" t="str">
        <f>_xlfn.XLOOKUP(Table26[[#This Row],[customerSKU]],customerSKU!G:G,customerSKU!K:K,"NA",0,1)</f>
        <v>NA</v>
      </c>
      <c r="AI1630" s="43" t="str">
        <f>_xlfn.XLOOKUP(Table26[[#This Row],[customerSKU]],customerSKU!G:G,customerSKU!O:O,"not found",0,1)</f>
        <v>not found</v>
      </c>
      <c r="AJ1630" s="22" t="e">
        <f>Table26[[#This Row],[unitprice]]*Table26[[#This Row],[quantity_unit]]</f>
        <v>#VALUE!</v>
      </c>
      <c r="AK1630" s="227" t="e" cm="1">
        <f t="array" ref="AK16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1" spans="1:37" ht="18" customHeight="1">
      <c r="A1631" s="42">
        <v>609</v>
      </c>
      <c r="B1631" s="42" t="s">
        <v>3357</v>
      </c>
      <c r="C1631" s="53" t="s">
        <v>203</v>
      </c>
      <c r="E1631" s="20"/>
      <c r="F16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1" s="93"/>
      <c r="I1631" s="203">
        <v>45789</v>
      </c>
      <c r="J1631" s="90" t="str">
        <f>IF(Table26[[#This Row],[customerSKU]]="","",_xlfn.XLOOKUP(Table26[[#This Row],[customerSKU]],customerSKU!G:G,customerSKU!A:A,"",0,1))</f>
        <v/>
      </c>
      <c r="K1631" s="232">
        <v>45791</v>
      </c>
      <c r="L1631" s="49" t="str">
        <f>IF(Table26[[#This Row],[customerSKU]]="","",_xlfn.XLOOKUP(Table26[[#This Row],[customerSKU]],customerSKU!G:G,customerSKU!B:B,"",0,1))</f>
        <v/>
      </c>
      <c r="M1631" s="22"/>
      <c r="N1631" s="15" t="str">
        <f>Table26[[#This Row],[po_number]]&amp;"-"&amp;Table26[[#This Row],[po_line]]</f>
        <v>-1</v>
      </c>
      <c r="O1631" s="15">
        <v>1</v>
      </c>
      <c r="P1631" s="50"/>
      <c r="Q1631" s="22" t="s">
        <v>551</v>
      </c>
      <c r="R1631" s="22" t="s">
        <v>569</v>
      </c>
      <c r="S1631" s="90" t="str">
        <f>IF(Table26[[#This Row],[customerSKU]]="","",_xlfn.XLOOKUP(Table26[[#This Row],[customerSKU]],customerSKU!G:G,customerSKU!N:N,"NOT FOUND",0,1))</f>
        <v>NOT FOUND</v>
      </c>
      <c r="T1631" s="20">
        <v>45779</v>
      </c>
      <c r="U1631" s="94">
        <v>12</v>
      </c>
      <c r="V1631" s="22" t="str">
        <f>IF(ISBLANK(Table26[[#This Row],[customerSKU]]),"",_xlfn.XLOOKUP(Table26[[#This Row],[customerSKU]],Table27[customer_SKU],Table27[case_size],"",0,1))</f>
        <v/>
      </c>
      <c r="W1631" s="117" t="str">
        <f t="shared" si="67"/>
        <v/>
      </c>
      <c r="X1631" s="22" t="str">
        <f t="shared" si="68"/>
        <v/>
      </c>
      <c r="Y1631" s="25" t="str">
        <f>IF(Table26[[#This Row],[customerSKU]]="","",_xlfn.XLOOKUP(Table26[[#This Row],[customerSKU]],Table27[customer_SKU],Table27[product_GTIN],"",0,1))</f>
        <v/>
      </c>
      <c r="Z1631" s="25" t="s">
        <v>3469</v>
      </c>
      <c r="AA1631" s="18" t="str" cm="1">
        <f t="array" ref="AA1631">IF(P1631="", "", _xlfn.XLOOKUP(P1631,#REF!,#REF!,NA,0,-1))</f>
        <v/>
      </c>
      <c r="AB1631" s="22"/>
      <c r="AC1631" s="55" t="s">
        <v>3588</v>
      </c>
      <c r="AD1631" s="55" t="str">
        <f>IF($AC1631="","",_xlfn.XLOOKUP($AC1631,'Client Info'!$C$2:$C$2497,'Client Info'!$D$2:$D$2497,"",0,1))</f>
        <v/>
      </c>
      <c r="AE1631" s="55" t="str">
        <f>IF($AC1631="","",_xlfn.XLOOKUP($AC1631,'Client Info'!$C$2:$C$2677,'Client Info'!$E$2:$E$2677,"",))</f>
        <v/>
      </c>
      <c r="AF1631" s="55" t="str">
        <f>IF($AC1631="","",_xlfn.XLOOKUP($AC1631,'Client Info'!$C$2:$C$2677,'Client Info'!$F$2:$F$2677,"",0,1))</f>
        <v/>
      </c>
      <c r="AG1631" s="55" t="s">
        <v>3588</v>
      </c>
      <c r="AH1631" s="26" t="str">
        <f>_xlfn.XLOOKUP(Table26[[#This Row],[customerSKU]],customerSKU!G:G,customerSKU!K:K,"NA",0,1)</f>
        <v>NA</v>
      </c>
      <c r="AI1631" s="43" t="str">
        <f>_xlfn.XLOOKUP(Table26[[#This Row],[customerSKU]],customerSKU!G:G,customerSKU!O:O,"not found",0,1)</f>
        <v>not found</v>
      </c>
      <c r="AJ1631" s="22" t="e">
        <f>Table26[[#This Row],[unitprice]]*Table26[[#This Row],[quantity_unit]]</f>
        <v>#VALUE!</v>
      </c>
      <c r="AK1631" s="227" t="e" cm="1">
        <f t="array" ref="AK16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2" spans="1:37" ht="18" customHeight="1">
      <c r="A1632" s="42">
        <v>610</v>
      </c>
      <c r="B1632" s="42" t="s">
        <v>3357</v>
      </c>
      <c r="C1632" s="53" t="s">
        <v>203</v>
      </c>
      <c r="E1632" s="20"/>
      <c r="F16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2" s="93"/>
      <c r="I1632" s="203">
        <v>45789</v>
      </c>
      <c r="J1632" s="90" t="str">
        <f>IF(Table26[[#This Row],[customerSKU]]="","",_xlfn.XLOOKUP(Table26[[#This Row],[customerSKU]],customerSKU!G:G,customerSKU!A:A,"",0,1))</f>
        <v/>
      </c>
      <c r="K1632" s="232">
        <v>45791</v>
      </c>
      <c r="L1632" s="49" t="str">
        <f>IF(Table26[[#This Row],[customerSKU]]="","",_xlfn.XLOOKUP(Table26[[#This Row],[customerSKU]],customerSKU!G:G,customerSKU!B:B,"",0,1))</f>
        <v/>
      </c>
      <c r="M1632" s="22"/>
      <c r="N1632" s="15" t="str">
        <f>Table26[[#This Row],[po_number]]&amp;"-"&amp;Table26[[#This Row],[po_line]]</f>
        <v>-2</v>
      </c>
      <c r="O1632" s="15">
        <v>2</v>
      </c>
      <c r="P1632" s="50"/>
      <c r="Q1632" s="22" t="s">
        <v>565</v>
      </c>
      <c r="R1632" s="22" t="s">
        <v>569</v>
      </c>
      <c r="S1632" s="90" t="str">
        <f>IF(Table26[[#This Row],[customerSKU]]="","",_xlfn.XLOOKUP(Table26[[#This Row],[customerSKU]],customerSKU!G:G,customerSKU!N:N,"NOT FOUND",0,1))</f>
        <v>NOT FOUND</v>
      </c>
      <c r="T1632" s="20">
        <v>45707</v>
      </c>
      <c r="U1632" s="94">
        <v>12</v>
      </c>
      <c r="V1632" s="22" t="str">
        <f>IF(ISBLANK(Table26[[#This Row],[customerSKU]]),"",_xlfn.XLOOKUP(Table26[[#This Row],[customerSKU]],Table27[customer_SKU],Table27[case_size],"",0,1))</f>
        <v/>
      </c>
      <c r="W1632" s="117" t="str">
        <f t="shared" si="67"/>
        <v/>
      </c>
      <c r="X1632" s="22" t="str">
        <f t="shared" si="68"/>
        <v/>
      </c>
      <c r="Y1632" s="25" t="str">
        <f>IF(Table26[[#This Row],[customerSKU]]="","",_xlfn.XLOOKUP(Table26[[#This Row],[customerSKU]],Table27[customer_SKU],Table27[product_GTIN],"",0,1))</f>
        <v/>
      </c>
      <c r="Z1632" s="25" t="s">
        <v>3373</v>
      </c>
      <c r="AA1632" s="18" t="str" cm="1">
        <f t="array" ref="AA1632">IF(P1632="", "", _xlfn.XLOOKUP(P1632,#REF!,#REF!,NA,0,-1))</f>
        <v/>
      </c>
      <c r="AB1632" s="22"/>
      <c r="AC1632" s="55" t="s">
        <v>3588</v>
      </c>
      <c r="AD1632" s="55" t="str">
        <f>IF($AC1632="","",_xlfn.XLOOKUP($AC1632,'Client Info'!$C$2:$C$2497,'Client Info'!$D$2:$D$2497,"",0,1))</f>
        <v/>
      </c>
      <c r="AE1632" s="55" t="str">
        <f>IF($AC1632="","",_xlfn.XLOOKUP($AC1632,'Client Info'!$C$2:$C$2677,'Client Info'!$E$2:$E$2677,"",))</f>
        <v/>
      </c>
      <c r="AF1632" s="55" t="str">
        <f>IF($AC1632="","",_xlfn.XLOOKUP($AC1632,'Client Info'!$C$2:$C$2677,'Client Info'!$F$2:$F$2677,"",0,1))</f>
        <v/>
      </c>
      <c r="AG1632" s="55" t="s">
        <v>3588</v>
      </c>
      <c r="AH1632" s="26" t="str">
        <f>_xlfn.XLOOKUP(Table26[[#This Row],[customerSKU]],customerSKU!G:G,customerSKU!K:K,"NA",0,1)</f>
        <v>NA</v>
      </c>
      <c r="AI1632" s="43" t="str">
        <f>_xlfn.XLOOKUP(Table26[[#This Row],[customerSKU]],customerSKU!G:G,customerSKU!O:O,"not found",0,1)</f>
        <v>not found</v>
      </c>
      <c r="AJ1632" s="22" t="e">
        <f>Table26[[#This Row],[unitprice]]*Table26[[#This Row],[quantity_unit]]</f>
        <v>#VALUE!</v>
      </c>
      <c r="AK1632" s="227" t="e" cm="1">
        <f t="array" ref="AK16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3" spans="1:37" ht="18" customHeight="1">
      <c r="A1633" s="42">
        <v>611</v>
      </c>
      <c r="B1633" s="42" t="s">
        <v>3357</v>
      </c>
      <c r="C1633" s="53" t="s">
        <v>203</v>
      </c>
      <c r="E1633" s="20"/>
      <c r="F16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3" s="93"/>
      <c r="I1633" s="203">
        <v>45789</v>
      </c>
      <c r="J1633" s="90" t="str">
        <f>IF(Table26[[#This Row],[customerSKU]]="","",_xlfn.XLOOKUP(Table26[[#This Row],[customerSKU]],customerSKU!G:G,customerSKU!A:A,"",0,1))</f>
        <v/>
      </c>
      <c r="K1633" s="232">
        <v>45791</v>
      </c>
      <c r="L1633" s="49" t="str">
        <f>IF(Table26[[#This Row],[customerSKU]]="","",_xlfn.XLOOKUP(Table26[[#This Row],[customerSKU]],customerSKU!G:G,customerSKU!B:B,"",0,1))</f>
        <v/>
      </c>
      <c r="M1633" s="22"/>
      <c r="N1633" s="15" t="str">
        <f>Table26[[#This Row],[po_number]]&amp;"-"&amp;Table26[[#This Row],[po_line]]</f>
        <v>-3</v>
      </c>
      <c r="O1633" s="15">
        <v>3</v>
      </c>
      <c r="P1633" s="50"/>
      <c r="Q1633" s="22" t="s">
        <v>531</v>
      </c>
      <c r="R1633" s="22" t="s">
        <v>569</v>
      </c>
      <c r="S1633" s="90" t="str">
        <f>IF(Table26[[#This Row],[customerSKU]]="","",_xlfn.XLOOKUP(Table26[[#This Row],[customerSKU]],customerSKU!G:G,customerSKU!N:N,"NOT FOUND",0,1))</f>
        <v>NOT FOUND</v>
      </c>
      <c r="T1633" s="20">
        <v>45478</v>
      </c>
      <c r="U1633" s="94">
        <v>12</v>
      </c>
      <c r="V1633" s="22" t="str">
        <f>IF(ISBLANK(Table26[[#This Row],[customerSKU]]),"",_xlfn.XLOOKUP(Table26[[#This Row],[customerSKU]],Table27[customer_SKU],Table27[case_size],"",0,1))</f>
        <v/>
      </c>
      <c r="W1633" s="117" t="str">
        <f t="shared" si="67"/>
        <v/>
      </c>
      <c r="X1633" s="22" t="str">
        <f t="shared" si="68"/>
        <v/>
      </c>
      <c r="Y1633" s="25" t="str">
        <f>IF(Table26[[#This Row],[customerSKU]]="","",_xlfn.XLOOKUP(Table26[[#This Row],[customerSKU]],Table27[customer_SKU],Table27[product_GTIN],"",0,1))</f>
        <v/>
      </c>
      <c r="Z1633" s="25" t="s">
        <v>3589</v>
      </c>
      <c r="AA1633" s="18" t="str" cm="1">
        <f t="array" ref="AA1633">IF(P1633="", "", _xlfn.XLOOKUP(P1633,#REF!,#REF!,NA,0,-1))</f>
        <v/>
      </c>
      <c r="AB1633" s="22" t="s">
        <v>18</v>
      </c>
      <c r="AC1633" s="55" t="s">
        <v>3588</v>
      </c>
      <c r="AD1633" s="55" t="str">
        <f>IF($AC1633="","",_xlfn.XLOOKUP($AC1633,'Client Info'!$C$2:$C$2497,'Client Info'!$D$2:$D$2497,"",0,1))</f>
        <v/>
      </c>
      <c r="AE1633" s="55" t="str">
        <f>IF($AC1633="","",_xlfn.XLOOKUP($AC1633,'Client Info'!$C$2:$C$2677,'Client Info'!$E$2:$E$2677,"",))</f>
        <v/>
      </c>
      <c r="AF1633" s="55" t="str">
        <f>IF($AC1633="","",_xlfn.XLOOKUP($AC1633,'Client Info'!$C$2:$C$2677,'Client Info'!$F$2:$F$2677,"",0,1))</f>
        <v/>
      </c>
      <c r="AG1633" s="55" t="s">
        <v>3588</v>
      </c>
      <c r="AH1633" s="26" t="str">
        <f>_xlfn.XLOOKUP(Table26[[#This Row],[customerSKU]],customerSKU!G:G,customerSKU!K:K,"NA",0,1)</f>
        <v>NA</v>
      </c>
      <c r="AI1633" s="43" t="str">
        <f>_xlfn.XLOOKUP(Table26[[#This Row],[customerSKU]],customerSKU!G:G,customerSKU!O:O,"not found",0,1)</f>
        <v>not found</v>
      </c>
      <c r="AJ1633" s="22" t="e">
        <f>Table26[[#This Row],[unitprice]]*Table26[[#This Row],[quantity_unit]]</f>
        <v>#VALUE!</v>
      </c>
      <c r="AK1633" s="227" t="e" cm="1">
        <f t="array" ref="AK16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4" spans="1:37" ht="18" customHeight="1">
      <c r="A1634" s="42">
        <v>612</v>
      </c>
      <c r="B1634" s="42" t="s">
        <v>3357</v>
      </c>
      <c r="C1634" s="53" t="s">
        <v>203</v>
      </c>
      <c r="E1634" s="20"/>
      <c r="F16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4" s="93"/>
      <c r="I1634" s="203">
        <v>45789</v>
      </c>
      <c r="J1634" s="90" t="str">
        <f>IF(Table26[[#This Row],[customerSKU]]="","",_xlfn.XLOOKUP(Table26[[#This Row],[customerSKU]],customerSKU!G:G,customerSKU!A:A,"",0,1))</f>
        <v/>
      </c>
      <c r="K1634" s="232">
        <v>45791</v>
      </c>
      <c r="L1634" s="49" t="str">
        <f>IF(Table26[[#This Row],[customerSKU]]="","",_xlfn.XLOOKUP(Table26[[#This Row],[customerSKU]],customerSKU!G:G,customerSKU!B:B,"",0,1))</f>
        <v/>
      </c>
      <c r="M1634" s="22"/>
      <c r="N1634" s="15" t="str">
        <f>Table26[[#This Row],[po_number]]&amp;"-"&amp;Table26[[#This Row],[po_line]]</f>
        <v>-4</v>
      </c>
      <c r="O1634" s="15">
        <v>4</v>
      </c>
      <c r="P1634" s="50"/>
      <c r="Q1634" s="22" t="s">
        <v>574</v>
      </c>
      <c r="R1634" s="22" t="s">
        <v>569</v>
      </c>
      <c r="S1634" s="90" t="str">
        <f>IF(Table26[[#This Row],[customerSKU]]="","",_xlfn.XLOOKUP(Table26[[#This Row],[customerSKU]],customerSKU!G:G,customerSKU!N:N,"NOT FOUND",0,1))</f>
        <v>NOT FOUND</v>
      </c>
      <c r="T1634" s="20">
        <v>45772</v>
      </c>
      <c r="U1634" s="94">
        <v>12</v>
      </c>
      <c r="V1634" s="22" t="str">
        <f>IF(ISBLANK(Table26[[#This Row],[customerSKU]]),"",_xlfn.XLOOKUP(Table26[[#This Row],[customerSKU]],Table27[customer_SKU],Table27[case_size],"",0,1))</f>
        <v/>
      </c>
      <c r="W1634" s="117" t="str">
        <f t="shared" si="67"/>
        <v/>
      </c>
      <c r="X1634" s="22" t="str">
        <f t="shared" si="68"/>
        <v/>
      </c>
      <c r="Y1634" s="25" t="str">
        <f>IF(Table26[[#This Row],[customerSKU]]="","",_xlfn.XLOOKUP(Table26[[#This Row],[customerSKU]],Table27[customer_SKU],Table27[product_GTIN],"",0,1))</f>
        <v/>
      </c>
      <c r="Z1634" s="25" t="s">
        <v>3366</v>
      </c>
      <c r="AA1634" s="18" t="str" cm="1">
        <f t="array" ref="AA1634">IF(P1634="", "", _xlfn.XLOOKUP(P1634,#REF!,#REF!,NA,0,-1))</f>
        <v/>
      </c>
      <c r="AB1634" s="22"/>
      <c r="AC1634" s="55" t="s">
        <v>3588</v>
      </c>
      <c r="AD1634" s="55" t="str">
        <f>IF($AC1634="","",_xlfn.XLOOKUP($AC1634,'Client Info'!$C$2:$C$2497,'Client Info'!$D$2:$D$2497,"",0,1))</f>
        <v/>
      </c>
      <c r="AE1634" s="55" t="str">
        <f>IF($AC1634="","",_xlfn.XLOOKUP($AC1634,'Client Info'!$C$2:$C$2677,'Client Info'!$E$2:$E$2677,"",))</f>
        <v/>
      </c>
      <c r="AF1634" s="55" t="str">
        <f>IF($AC1634="","",_xlfn.XLOOKUP($AC1634,'Client Info'!$C$2:$C$2677,'Client Info'!$F$2:$F$2677,"",0,1))</f>
        <v/>
      </c>
      <c r="AG1634" s="55" t="s">
        <v>3588</v>
      </c>
      <c r="AH1634" s="26" t="str">
        <f>_xlfn.XLOOKUP(Table26[[#This Row],[customerSKU]],customerSKU!G:G,customerSKU!K:K,"NA",0,1)</f>
        <v>NA</v>
      </c>
      <c r="AI1634" s="43" t="str">
        <f>_xlfn.XLOOKUP(Table26[[#This Row],[customerSKU]],customerSKU!G:G,customerSKU!O:O,"not found",0,1)</f>
        <v>not found</v>
      </c>
      <c r="AJ1634" s="22" t="e">
        <f>Table26[[#This Row],[unitprice]]*Table26[[#This Row],[quantity_unit]]</f>
        <v>#VALUE!</v>
      </c>
      <c r="AK1634" s="227" t="e" cm="1">
        <f t="array" ref="AK16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5" spans="1:37" ht="18" customHeight="1">
      <c r="A1635" s="42">
        <v>613</v>
      </c>
      <c r="B1635" s="42" t="s">
        <v>3357</v>
      </c>
      <c r="C1635" s="53" t="s">
        <v>203</v>
      </c>
      <c r="E1635" s="20"/>
      <c r="F16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5" s="93"/>
      <c r="I1635" s="203">
        <v>45789</v>
      </c>
      <c r="J1635" s="90" t="str">
        <f>IF(Table26[[#This Row],[customerSKU]]="","",_xlfn.XLOOKUP(Table26[[#This Row],[customerSKU]],customerSKU!G:G,customerSKU!A:A,"",0,1))</f>
        <v/>
      </c>
      <c r="K1635" s="232">
        <v>45791</v>
      </c>
      <c r="L1635" s="49" t="str">
        <f>IF(Table26[[#This Row],[customerSKU]]="","",_xlfn.XLOOKUP(Table26[[#This Row],[customerSKU]],customerSKU!G:G,customerSKU!B:B,"",0,1))</f>
        <v/>
      </c>
      <c r="M1635" s="22"/>
      <c r="N1635" s="15" t="str">
        <f>Table26[[#This Row],[po_number]]&amp;"-"&amp;Table26[[#This Row],[po_line]]</f>
        <v>-5</v>
      </c>
      <c r="O1635" s="15">
        <v>5</v>
      </c>
      <c r="P1635" s="50"/>
      <c r="Q1635" s="22" t="s">
        <v>1746</v>
      </c>
      <c r="R1635" s="22" t="s">
        <v>569</v>
      </c>
      <c r="S1635" s="90" t="str">
        <f>IF(Table26[[#This Row],[customerSKU]]="","",_xlfn.XLOOKUP(Table26[[#This Row],[customerSKU]],customerSKU!G:G,customerSKU!N:N,"NOT FOUND",0,1))</f>
        <v>NOT FOUND</v>
      </c>
      <c r="T1635" s="20">
        <v>45793</v>
      </c>
      <c r="U1635" s="94">
        <v>12</v>
      </c>
      <c r="V1635" s="22" t="str">
        <f>IF(ISBLANK(Table26[[#This Row],[customerSKU]]),"",_xlfn.XLOOKUP(Table26[[#This Row],[customerSKU]],Table27[customer_SKU],Table27[case_size],"",0,1))</f>
        <v/>
      </c>
      <c r="W1635" s="117" t="str">
        <f t="shared" si="67"/>
        <v/>
      </c>
      <c r="X1635" s="22" t="str">
        <f t="shared" si="68"/>
        <v/>
      </c>
      <c r="Y1635" s="25" t="str">
        <f>IF(Table26[[#This Row],[customerSKU]]="","",_xlfn.XLOOKUP(Table26[[#This Row],[customerSKU]],Table27[customer_SKU],Table27[product_GTIN],"",0,1))</f>
        <v/>
      </c>
      <c r="Z1635" s="25" t="s">
        <v>3590</v>
      </c>
      <c r="AA1635" s="18" t="str" cm="1">
        <f t="array" ref="AA1635">IF(P1635="", "", _xlfn.XLOOKUP(P1635,#REF!,#REF!,NA,0,-1))</f>
        <v/>
      </c>
      <c r="AB1635" s="22"/>
      <c r="AC1635" s="55" t="s">
        <v>3588</v>
      </c>
      <c r="AD1635" s="55" t="str">
        <f>IF($AC1635="","",_xlfn.XLOOKUP($AC1635,'Client Info'!$C$2:$C$2497,'Client Info'!$D$2:$D$2497,"",0,1))</f>
        <v/>
      </c>
      <c r="AE1635" s="55" t="str">
        <f>IF($AC1635="","",_xlfn.XLOOKUP($AC1635,'Client Info'!$C$2:$C$2677,'Client Info'!$E$2:$E$2677,"",))</f>
        <v/>
      </c>
      <c r="AF1635" s="55" t="str">
        <f>IF($AC1635="","",_xlfn.XLOOKUP($AC1635,'Client Info'!$C$2:$C$2677,'Client Info'!$F$2:$F$2677,"",0,1))</f>
        <v/>
      </c>
      <c r="AG1635" s="55" t="s">
        <v>3588</v>
      </c>
      <c r="AH1635" s="26" t="str">
        <f>_xlfn.XLOOKUP(Table26[[#This Row],[customerSKU]],customerSKU!G:G,customerSKU!K:K,"NA",0,1)</f>
        <v>NA</v>
      </c>
      <c r="AI1635" s="43" t="str">
        <f>_xlfn.XLOOKUP(Table26[[#This Row],[customerSKU]],customerSKU!G:G,customerSKU!O:O,"not found",0,1)</f>
        <v>not found</v>
      </c>
      <c r="AJ1635" s="22" t="e">
        <f>Table26[[#This Row],[unitprice]]*Table26[[#This Row],[quantity_unit]]</f>
        <v>#VALUE!</v>
      </c>
      <c r="AK1635" s="227" t="e" cm="1">
        <f t="array" ref="AK16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6" spans="1:37" ht="18" customHeight="1">
      <c r="A1636" s="42">
        <v>614</v>
      </c>
      <c r="B1636" s="42" t="s">
        <v>3357</v>
      </c>
      <c r="C1636" s="53" t="s">
        <v>203</v>
      </c>
      <c r="E1636" s="20"/>
      <c r="F16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6" s="93"/>
      <c r="I1636" s="203">
        <v>45789</v>
      </c>
      <c r="J1636" s="90" t="str">
        <f>IF(Table26[[#This Row],[customerSKU]]="","",_xlfn.XLOOKUP(Table26[[#This Row],[customerSKU]],customerSKU!G:G,customerSKU!A:A,"",0,1))</f>
        <v/>
      </c>
      <c r="K1636" s="232">
        <v>45791</v>
      </c>
      <c r="L1636" s="49" t="str">
        <f>IF(Table26[[#This Row],[customerSKU]]="","",_xlfn.XLOOKUP(Table26[[#This Row],[customerSKU]],customerSKU!G:G,customerSKU!B:B,"",0,1))</f>
        <v/>
      </c>
      <c r="M1636" s="22"/>
      <c r="N1636" s="15" t="str">
        <f>Table26[[#This Row],[po_number]]&amp;"-"&amp;Table26[[#This Row],[po_line]]</f>
        <v>-6</v>
      </c>
      <c r="O1636" s="15">
        <v>6</v>
      </c>
      <c r="P1636" s="50"/>
      <c r="Q1636" s="22" t="s">
        <v>559</v>
      </c>
      <c r="R1636" s="22" t="s">
        <v>569</v>
      </c>
      <c r="S1636" s="90" t="str">
        <f>IF(Table26[[#This Row],[customerSKU]]="","",_xlfn.XLOOKUP(Table26[[#This Row],[customerSKU]],customerSKU!G:G,customerSKU!N:N,"NOT FOUND",0,1))</f>
        <v>NOT FOUND</v>
      </c>
      <c r="T1636" s="20">
        <v>45740</v>
      </c>
      <c r="U1636" s="94">
        <v>24</v>
      </c>
      <c r="V1636" s="22" t="str">
        <f>IF(ISBLANK(Table26[[#This Row],[customerSKU]]),"",_xlfn.XLOOKUP(Table26[[#This Row],[customerSKU]],Table27[customer_SKU],Table27[case_size],"",0,1))</f>
        <v/>
      </c>
      <c r="W1636" s="117" t="str">
        <f t="shared" si="67"/>
        <v/>
      </c>
      <c r="X1636" s="22" t="str">
        <f t="shared" si="68"/>
        <v/>
      </c>
      <c r="Y1636" s="25" t="str">
        <f>IF(Table26[[#This Row],[customerSKU]]="","",_xlfn.XLOOKUP(Table26[[#This Row],[customerSKU]],Table27[customer_SKU],Table27[product_GTIN],"",0,1))</f>
        <v/>
      </c>
      <c r="Z1636" s="25" t="s">
        <v>3450</v>
      </c>
      <c r="AA1636" s="18" t="str" cm="1">
        <f t="array" ref="AA1636">IF(P1636="", "", _xlfn.XLOOKUP(P1636,#REF!,#REF!,NA,0,-1))</f>
        <v/>
      </c>
      <c r="AB1636" s="22"/>
      <c r="AC1636" s="55" t="s">
        <v>3588</v>
      </c>
      <c r="AD1636" s="55" t="str">
        <f>IF($AC1636="","",_xlfn.XLOOKUP($AC1636,'Client Info'!$C$2:$C$2497,'Client Info'!$D$2:$D$2497,"",0,1))</f>
        <v/>
      </c>
      <c r="AE1636" s="55" t="str">
        <f>IF($AC1636="","",_xlfn.XLOOKUP($AC1636,'Client Info'!$C$2:$C$2677,'Client Info'!$E$2:$E$2677,"",))</f>
        <v/>
      </c>
      <c r="AF1636" s="55" t="str">
        <f>IF($AC1636="","",_xlfn.XLOOKUP($AC1636,'Client Info'!$C$2:$C$2677,'Client Info'!$F$2:$F$2677,"",0,1))</f>
        <v/>
      </c>
      <c r="AG1636" s="55" t="s">
        <v>3588</v>
      </c>
      <c r="AH1636" s="26" t="str">
        <f>_xlfn.XLOOKUP(Table26[[#This Row],[customerSKU]],customerSKU!G:G,customerSKU!K:K,"NA",0,1)</f>
        <v>NA</v>
      </c>
      <c r="AI1636" s="43" t="str">
        <f>_xlfn.XLOOKUP(Table26[[#This Row],[customerSKU]],customerSKU!G:G,customerSKU!O:O,"not found",0,1)</f>
        <v>not found</v>
      </c>
      <c r="AJ1636" s="22" t="e">
        <f>Table26[[#This Row],[unitprice]]*Table26[[#This Row],[quantity_unit]]</f>
        <v>#VALUE!</v>
      </c>
      <c r="AK1636" s="227" t="e" cm="1">
        <f t="array" ref="AK16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7" spans="1:37" ht="18" customHeight="1">
      <c r="A1637" s="42">
        <v>615</v>
      </c>
      <c r="B1637" s="42" t="s">
        <v>3357</v>
      </c>
      <c r="C1637" s="53" t="s">
        <v>203</v>
      </c>
      <c r="E1637" s="20"/>
      <c r="F16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7" s="93"/>
      <c r="I1637" s="203">
        <v>45790</v>
      </c>
      <c r="J1637" s="90" t="str">
        <f>IF(Table26[[#This Row],[customerSKU]]="","",_xlfn.XLOOKUP(Table26[[#This Row],[customerSKU]],customerSKU!G:G,customerSKU!A:A,"",0,1))</f>
        <v/>
      </c>
      <c r="K1637" s="232">
        <v>45791</v>
      </c>
      <c r="L1637" s="49" t="str">
        <f>IF(Table26[[#This Row],[customerSKU]]="","",_xlfn.XLOOKUP(Table26[[#This Row],[customerSKU]],customerSKU!G:G,customerSKU!B:B,"",0,1))</f>
        <v/>
      </c>
      <c r="M1637" s="22"/>
      <c r="N1637" s="15" t="str">
        <f>Table26[[#This Row],[po_number]]&amp;"-"&amp;Table26[[#This Row],[po_line]]</f>
        <v>-1</v>
      </c>
      <c r="O1637" s="15">
        <v>1</v>
      </c>
      <c r="P1637" s="50"/>
      <c r="Q1637" s="22" t="s">
        <v>585</v>
      </c>
      <c r="R1637" s="22" t="s">
        <v>569</v>
      </c>
      <c r="S1637" s="90" t="str">
        <f>IF(Table26[[#This Row],[customerSKU]]="","",_xlfn.XLOOKUP(Table26[[#This Row],[customerSKU]],customerSKU!G:G,customerSKU!N:N,"NOT FOUND",0,1))</f>
        <v>NOT FOUND</v>
      </c>
      <c r="T1637" s="20">
        <v>45777</v>
      </c>
      <c r="U1637" s="94">
        <v>12</v>
      </c>
      <c r="V1637" s="22" t="str">
        <f>IF(ISBLANK(Table26[[#This Row],[customerSKU]]),"",_xlfn.XLOOKUP(Table26[[#This Row],[customerSKU]],Table27[customer_SKU],Table27[case_size],"",0,1))</f>
        <v/>
      </c>
      <c r="W1637" s="117" t="str">
        <f t="shared" si="67"/>
        <v/>
      </c>
      <c r="X1637" s="22" t="str">
        <f t="shared" si="68"/>
        <v/>
      </c>
      <c r="Y1637" s="25" t="str">
        <f>IF(Table26[[#This Row],[customerSKU]]="","",_xlfn.XLOOKUP(Table26[[#This Row],[customerSKU]],Table27[customer_SKU],Table27[product_GTIN],"",0,1))</f>
        <v/>
      </c>
      <c r="Z1637" s="25" t="s">
        <v>3466</v>
      </c>
      <c r="AA1637" s="18" t="str" cm="1">
        <f t="array" ref="AA1637">IF(P1637="", "", _xlfn.XLOOKUP(P1637,#REF!,#REF!,NA,0,-1))</f>
        <v/>
      </c>
      <c r="AB1637" s="22"/>
      <c r="AC1637" s="55" t="s">
        <v>90</v>
      </c>
      <c r="AD1637" s="55" t="str">
        <f>IF($AC1637="","",_xlfn.XLOOKUP($AC1637,'Client Info'!$C$2:$C$2497,'Client Info'!$D$2:$D$2497,"",0,1))</f>
        <v/>
      </c>
      <c r="AE1637" s="55" t="str">
        <f>IF($AC1637="","",_xlfn.XLOOKUP($AC1637,'Client Info'!$C$2:$C$2677,'Client Info'!$E$2:$E$2677,"",))</f>
        <v/>
      </c>
      <c r="AF1637" s="55" t="str">
        <f>IF($AC1637="","",_xlfn.XLOOKUP($AC1637,'Client Info'!$C$2:$C$2677,'Client Info'!$F$2:$F$2677,"",0,1))</f>
        <v/>
      </c>
      <c r="AG1637" s="55" t="s">
        <v>90</v>
      </c>
      <c r="AH1637" s="26" t="str">
        <f>_xlfn.XLOOKUP(Table26[[#This Row],[customerSKU]],customerSKU!G:G,customerSKU!K:K,"NA",0,1)</f>
        <v>NA</v>
      </c>
      <c r="AI1637" s="43" t="str">
        <f>_xlfn.XLOOKUP(Table26[[#This Row],[customerSKU]],customerSKU!G:G,customerSKU!O:O,"not found",0,1)</f>
        <v>not found</v>
      </c>
      <c r="AJ1637" s="22" t="e">
        <f>Table26[[#This Row],[unitprice]]*Table26[[#This Row],[quantity_unit]]</f>
        <v>#VALUE!</v>
      </c>
      <c r="AK1637" s="227" t="e" cm="1">
        <f t="array" ref="AK16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8" spans="1:37" ht="18" customHeight="1">
      <c r="A1638" s="42">
        <v>616</v>
      </c>
      <c r="B1638" s="42" t="s">
        <v>3357</v>
      </c>
      <c r="C1638" s="53" t="s">
        <v>203</v>
      </c>
      <c r="E1638" s="20"/>
      <c r="F16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8" s="93"/>
      <c r="I1638" s="203">
        <v>45790</v>
      </c>
      <c r="J1638" s="90" t="str">
        <f>IF(Table26[[#This Row],[customerSKU]]="","",_xlfn.XLOOKUP(Table26[[#This Row],[customerSKU]],customerSKU!G:G,customerSKU!A:A,"",0,1))</f>
        <v/>
      </c>
      <c r="K1638" s="232">
        <v>45791</v>
      </c>
      <c r="L1638" s="49" t="str">
        <f>IF(Table26[[#This Row],[customerSKU]]="","",_xlfn.XLOOKUP(Table26[[#This Row],[customerSKU]],customerSKU!G:G,customerSKU!B:B,"",0,1))</f>
        <v/>
      </c>
      <c r="M1638" s="22"/>
      <c r="N1638" s="15" t="str">
        <f>Table26[[#This Row],[po_number]]&amp;"-"&amp;Table26[[#This Row],[po_line]]</f>
        <v>-2</v>
      </c>
      <c r="O1638" s="15">
        <v>2</v>
      </c>
      <c r="P1638" s="50"/>
      <c r="Q1638" s="22" t="s">
        <v>591</v>
      </c>
      <c r="R1638" s="22" t="s">
        <v>569</v>
      </c>
      <c r="S1638" s="90" t="str">
        <f>IF(Table26[[#This Row],[customerSKU]]="","",_xlfn.XLOOKUP(Table26[[#This Row],[customerSKU]],customerSKU!G:G,customerSKU!N:N,"NOT FOUND",0,1))</f>
        <v>NOT FOUND</v>
      </c>
      <c r="T1638" s="20">
        <v>45772</v>
      </c>
      <c r="U1638" s="94">
        <v>12</v>
      </c>
      <c r="V1638" s="22" t="str">
        <f>IF(ISBLANK(Table26[[#This Row],[customerSKU]]),"",_xlfn.XLOOKUP(Table26[[#This Row],[customerSKU]],Table27[customer_SKU],Table27[case_size],"",0,1))</f>
        <v/>
      </c>
      <c r="W1638" s="117" t="str">
        <f t="shared" si="67"/>
        <v/>
      </c>
      <c r="X1638" s="22" t="str">
        <f t="shared" si="68"/>
        <v/>
      </c>
      <c r="Y1638" s="25" t="str">
        <f>IF(Table26[[#This Row],[customerSKU]]="","",_xlfn.XLOOKUP(Table26[[#This Row],[customerSKU]],Table27[customer_SKU],Table27[product_GTIN],"",0,1))</f>
        <v/>
      </c>
      <c r="Z1638" s="25" t="s">
        <v>3373</v>
      </c>
      <c r="AA1638" s="18" t="str" cm="1">
        <f t="array" ref="AA1638">IF(P1638="", "", _xlfn.XLOOKUP(P1638,#REF!,#REF!,NA,0,-1))</f>
        <v/>
      </c>
      <c r="AB1638" s="22"/>
      <c r="AC1638" s="55" t="s">
        <v>90</v>
      </c>
      <c r="AD1638" s="55" t="str">
        <f>IF($AC1638="","",_xlfn.XLOOKUP($AC1638,'Client Info'!$C$2:$C$2497,'Client Info'!$D$2:$D$2497,"",0,1))</f>
        <v/>
      </c>
      <c r="AE1638" s="55" t="str">
        <f>IF($AC1638="","",_xlfn.XLOOKUP($AC1638,'Client Info'!$C$2:$C$2677,'Client Info'!$E$2:$E$2677,"",))</f>
        <v/>
      </c>
      <c r="AF1638" s="55" t="str">
        <f>IF($AC1638="","",_xlfn.XLOOKUP($AC1638,'Client Info'!$C$2:$C$2677,'Client Info'!$F$2:$F$2677,"",0,1))</f>
        <v/>
      </c>
      <c r="AG1638" s="55" t="s">
        <v>90</v>
      </c>
      <c r="AH1638" s="26" t="str">
        <f>_xlfn.XLOOKUP(Table26[[#This Row],[customerSKU]],customerSKU!G:G,customerSKU!K:K,"NA",0,1)</f>
        <v>NA</v>
      </c>
      <c r="AI1638" s="43" t="str">
        <f>_xlfn.XLOOKUP(Table26[[#This Row],[customerSKU]],customerSKU!G:G,customerSKU!O:O,"not found",0,1)</f>
        <v>not found</v>
      </c>
      <c r="AJ1638" s="22" t="e">
        <f>Table26[[#This Row],[unitprice]]*Table26[[#This Row],[quantity_unit]]</f>
        <v>#VALUE!</v>
      </c>
      <c r="AK1638" s="227" t="e" cm="1">
        <f t="array" ref="AK16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39" spans="1:37" ht="24.6" customHeight="1">
      <c r="A1639" s="42">
        <v>617</v>
      </c>
      <c r="B1639" s="42" t="s">
        <v>3357</v>
      </c>
      <c r="C1639" s="53" t="s">
        <v>203</v>
      </c>
      <c r="E1639" s="20"/>
      <c r="F16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39" s="93"/>
      <c r="I1639" s="203">
        <v>45790</v>
      </c>
      <c r="J1639" s="90" t="str">
        <f>IF(Table26[[#This Row],[customerSKU]]="","",_xlfn.XLOOKUP(Table26[[#This Row],[customerSKU]],customerSKU!G:G,customerSKU!A:A,"",0,1))</f>
        <v/>
      </c>
      <c r="K1639" s="232">
        <v>45791</v>
      </c>
      <c r="L1639" s="49" t="str">
        <f>IF(Table26[[#This Row],[customerSKU]]="","",_xlfn.XLOOKUP(Table26[[#This Row],[customerSKU]],customerSKU!G:G,customerSKU!B:B,"",0,1))</f>
        <v/>
      </c>
      <c r="M1639" s="22"/>
      <c r="N1639" s="15" t="str">
        <f>Table26[[#This Row],[po_number]]&amp;"-"&amp;Table26[[#This Row],[po_line]]</f>
        <v>-3</v>
      </c>
      <c r="O1639" s="15">
        <v>3</v>
      </c>
      <c r="P1639" s="50"/>
      <c r="Q1639" s="22" t="s">
        <v>589</v>
      </c>
      <c r="R1639" s="22" t="s">
        <v>569</v>
      </c>
      <c r="S1639" s="90" t="str">
        <f>IF(Table26[[#This Row],[customerSKU]]="","",_xlfn.XLOOKUP(Table26[[#This Row],[customerSKU]],customerSKU!G:G,customerSKU!N:N,"NOT FOUND",0,1))</f>
        <v>NOT FOUND</v>
      </c>
      <c r="T1639" s="20">
        <v>45581</v>
      </c>
      <c r="U1639" s="94">
        <v>12</v>
      </c>
      <c r="V1639" s="22" t="str">
        <f>IF(ISBLANK(Table26[[#This Row],[customerSKU]]),"",_xlfn.XLOOKUP(Table26[[#This Row],[customerSKU]],Table27[customer_SKU],Table27[case_size],"",0,1))</f>
        <v/>
      </c>
      <c r="W1639" s="117" t="str">
        <f t="shared" si="67"/>
        <v/>
      </c>
      <c r="X1639" s="22" t="str">
        <f t="shared" si="68"/>
        <v/>
      </c>
      <c r="Y1639" s="25" t="str">
        <f>IF(Table26[[#This Row],[customerSKU]]="","",_xlfn.XLOOKUP(Table26[[#This Row],[customerSKU]],Table27[customer_SKU],Table27[product_GTIN],"",0,1))</f>
        <v/>
      </c>
      <c r="Z1639" s="25" t="s">
        <v>3491</v>
      </c>
      <c r="AA1639" s="18" t="str" cm="1">
        <f t="array" ref="AA1639">IF(P1639="", "", _xlfn.XLOOKUP(P1639,#REF!,#REF!,NA,0,-1))</f>
        <v/>
      </c>
      <c r="AB1639" s="22"/>
      <c r="AC1639" s="55" t="s">
        <v>90</v>
      </c>
      <c r="AD1639" s="55" t="str">
        <f>IF($AC1639="","",_xlfn.XLOOKUP($AC1639,'Client Info'!$C$2:$C$2497,'Client Info'!$D$2:$D$2497,"",0,1))</f>
        <v/>
      </c>
      <c r="AE1639" s="55" t="str">
        <f>IF($AC1639="","",_xlfn.XLOOKUP($AC1639,'Client Info'!$C$2:$C$2677,'Client Info'!$E$2:$E$2677,"",))</f>
        <v/>
      </c>
      <c r="AF1639" s="55" t="str">
        <f>IF($AC1639="","",_xlfn.XLOOKUP($AC1639,'Client Info'!$C$2:$C$2677,'Client Info'!$F$2:$F$2677,"",0,1))</f>
        <v/>
      </c>
      <c r="AG1639" s="55" t="s">
        <v>90</v>
      </c>
      <c r="AH1639" s="26" t="str">
        <f>_xlfn.XLOOKUP(Table26[[#This Row],[customerSKU]],customerSKU!G:G,customerSKU!K:K,"NA",0,1)</f>
        <v>NA</v>
      </c>
      <c r="AI1639" s="43" t="str">
        <f>_xlfn.XLOOKUP(Table26[[#This Row],[customerSKU]],customerSKU!G:G,customerSKU!O:O,"not found",0,1)</f>
        <v>not found</v>
      </c>
      <c r="AJ1639" s="22" t="e">
        <f>Table26[[#This Row],[unitprice]]*Table26[[#This Row],[quantity_unit]]</f>
        <v>#VALUE!</v>
      </c>
      <c r="AK1639" s="227" t="e" cm="1">
        <f t="array" ref="AK16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0" spans="1:37" ht="24.6" customHeight="1">
      <c r="A1640" s="42">
        <v>618</v>
      </c>
      <c r="B1640" s="42" t="s">
        <v>3357</v>
      </c>
      <c r="C1640" s="53" t="s">
        <v>203</v>
      </c>
      <c r="E1640" s="20"/>
      <c r="F16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0" s="393"/>
      <c r="I1640" s="203">
        <v>45790</v>
      </c>
      <c r="J1640" s="90" t="str">
        <f>IF(Table26[[#This Row],[customerSKU]]="","",_xlfn.XLOOKUP(Table26[[#This Row],[customerSKU]],customerSKU!G:G,customerSKU!A:A,"",0,1))</f>
        <v/>
      </c>
      <c r="K1640" s="232">
        <v>45791</v>
      </c>
      <c r="L1640" s="49" t="str">
        <f>IF(Table26[[#This Row],[customerSKU]]="","",_xlfn.XLOOKUP(Table26[[#This Row],[customerSKU]],customerSKU!G:G,customerSKU!B:B,"",0,1))</f>
        <v/>
      </c>
      <c r="M1640" s="22"/>
      <c r="N1640" s="15" t="str">
        <f>Table26[[#This Row],[po_number]]&amp;"-"&amp;Table26[[#This Row],[po_line]]</f>
        <v>-4</v>
      </c>
      <c r="O1640" s="15">
        <v>4</v>
      </c>
      <c r="P1640" s="50"/>
      <c r="Q1640" s="22" t="s">
        <v>574</v>
      </c>
      <c r="R1640" s="22" t="s">
        <v>569</v>
      </c>
      <c r="S1640" s="90" t="str">
        <f>IF(Table26[[#This Row],[customerSKU]]="","",_xlfn.XLOOKUP(Table26[[#This Row],[customerSKU]],customerSKU!G:G,customerSKU!N:N,"NOT FOUND",0,1))</f>
        <v>NOT FOUND</v>
      </c>
      <c r="T1640" s="20">
        <v>45772</v>
      </c>
      <c r="U1640" s="94">
        <v>12</v>
      </c>
      <c r="V1640" s="22" t="str">
        <f>IF(ISBLANK(Table26[[#This Row],[customerSKU]]),"",_xlfn.XLOOKUP(Table26[[#This Row],[customerSKU]],Table27[customer_SKU],Table27[case_size],"",0,1))</f>
        <v/>
      </c>
      <c r="W1640" s="117" t="str">
        <f t="shared" si="67"/>
        <v/>
      </c>
      <c r="X1640" s="22" t="str">
        <f t="shared" si="68"/>
        <v/>
      </c>
      <c r="Y1640" s="25" t="str">
        <f>IF(Table26[[#This Row],[customerSKU]]="","",_xlfn.XLOOKUP(Table26[[#This Row],[customerSKU]],Table27[customer_SKU],Table27[product_GTIN],"",0,1))</f>
        <v/>
      </c>
      <c r="Z1640" s="25" t="s">
        <v>3366</v>
      </c>
      <c r="AA1640" s="18" t="str" cm="1">
        <f t="array" ref="AA1640">IF(P1640="", "", _xlfn.XLOOKUP(P1640,#REF!,#REF!,NA,0,-1))</f>
        <v/>
      </c>
      <c r="AB1640" s="22"/>
      <c r="AC1640" s="55" t="s">
        <v>90</v>
      </c>
      <c r="AD1640" s="55" t="str">
        <f>IF($AC1640="","",_xlfn.XLOOKUP($AC1640,'Client Info'!$C$2:$C$2497,'Client Info'!$D$2:$D$2497,"",0,1))</f>
        <v/>
      </c>
      <c r="AE1640" s="55" t="str">
        <f>IF($AC1640="","",_xlfn.XLOOKUP($AC1640,'Client Info'!$C$2:$C$2677,'Client Info'!$E$2:$E$2677,"",))</f>
        <v/>
      </c>
      <c r="AF1640" s="55" t="str">
        <f>IF($AC1640="","",_xlfn.XLOOKUP($AC1640,'Client Info'!$C$2:$C$2677,'Client Info'!$F$2:$F$2677,"",0,1))</f>
        <v/>
      </c>
      <c r="AG1640" s="55" t="s">
        <v>90</v>
      </c>
      <c r="AH1640" s="26" t="str">
        <f>_xlfn.XLOOKUP(Table26[[#This Row],[customerSKU]],customerSKU!G:G,customerSKU!K:K,"NA",0,1)</f>
        <v>NA</v>
      </c>
      <c r="AI1640" s="43" t="str">
        <f>_xlfn.XLOOKUP(Table26[[#This Row],[customerSKU]],customerSKU!G:G,customerSKU!O:O,"not found",0,1)</f>
        <v>not found</v>
      </c>
      <c r="AJ1640" s="22" t="e">
        <f>Table26[[#This Row],[unitprice]]*Table26[[#This Row],[quantity_unit]]</f>
        <v>#VALUE!</v>
      </c>
      <c r="AK1640" s="227" t="e" cm="1">
        <f t="array" ref="AK16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1" spans="1:37" ht="24.6" customHeight="1">
      <c r="A1641" s="42">
        <v>619</v>
      </c>
      <c r="B1641" s="42" t="s">
        <v>3357</v>
      </c>
      <c r="C1641" s="53" t="s">
        <v>203</v>
      </c>
      <c r="E1641" s="20"/>
      <c r="F16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1" s="393"/>
      <c r="I1641" s="203">
        <v>45790</v>
      </c>
      <c r="J1641" s="90" t="str">
        <f>IF(Table26[[#This Row],[customerSKU]]="","",_xlfn.XLOOKUP(Table26[[#This Row],[customerSKU]],customerSKU!G:G,customerSKU!A:A,"",0,1))</f>
        <v/>
      </c>
      <c r="K1641" s="232">
        <v>45791</v>
      </c>
      <c r="L1641" s="49" t="str">
        <f>IF(Table26[[#This Row],[customerSKU]]="","",_xlfn.XLOOKUP(Table26[[#This Row],[customerSKU]],customerSKU!G:G,customerSKU!B:B,"",0,1))</f>
        <v/>
      </c>
      <c r="M1641" s="22"/>
      <c r="N1641" s="15" t="str">
        <f>Table26[[#This Row],[po_number]]&amp;"-"&amp;Table26[[#This Row],[po_line]]</f>
        <v>-5</v>
      </c>
      <c r="O1641" s="15">
        <v>5</v>
      </c>
      <c r="P1641" s="50"/>
      <c r="Q1641" s="22" t="s">
        <v>1746</v>
      </c>
      <c r="R1641" s="22" t="s">
        <v>569</v>
      </c>
      <c r="S1641" s="90" t="str">
        <f>IF(Table26[[#This Row],[customerSKU]]="","",_xlfn.XLOOKUP(Table26[[#This Row],[customerSKU]],customerSKU!G:G,customerSKU!N:N,"NOT FOUND",0,1))</f>
        <v>NOT FOUND</v>
      </c>
      <c r="T1641" s="20">
        <v>45793</v>
      </c>
      <c r="U1641" s="94">
        <v>6</v>
      </c>
      <c r="V1641" s="22" t="str">
        <f>IF(ISBLANK(Table26[[#This Row],[customerSKU]]),"",_xlfn.XLOOKUP(Table26[[#This Row],[customerSKU]],Table27[customer_SKU],Table27[case_size],"",0,1))</f>
        <v/>
      </c>
      <c r="W1641" s="117" t="str">
        <f t="shared" si="67"/>
        <v/>
      </c>
      <c r="X1641" s="22" t="str">
        <f t="shared" si="68"/>
        <v/>
      </c>
      <c r="Y1641" s="25" t="str">
        <f>IF(Table26[[#This Row],[customerSKU]]="","",_xlfn.XLOOKUP(Table26[[#This Row],[customerSKU]],Table27[customer_SKU],Table27[product_GTIN],"",0,1))</f>
        <v/>
      </c>
      <c r="Z1641" s="25" t="s">
        <v>3590</v>
      </c>
      <c r="AA1641" s="18" t="str" cm="1">
        <f t="array" ref="AA1641">IF(P1641="", "", _xlfn.XLOOKUP(P1641,#REF!,#REF!,NA,0,-1))</f>
        <v/>
      </c>
      <c r="AB1641" s="22"/>
      <c r="AC1641" s="55" t="s">
        <v>90</v>
      </c>
      <c r="AD1641" s="55" t="str">
        <f>IF($AC1641="","",_xlfn.XLOOKUP($AC1641,'Client Info'!$C$2:$C$2497,'Client Info'!$D$2:$D$2497,"",0,1))</f>
        <v/>
      </c>
      <c r="AE1641" s="55" t="str">
        <f>IF($AC1641="","",_xlfn.XLOOKUP($AC1641,'Client Info'!$C$2:$C$2677,'Client Info'!$E$2:$E$2677,"",))</f>
        <v/>
      </c>
      <c r="AF1641" s="55" t="str">
        <f>IF($AC1641="","",_xlfn.XLOOKUP($AC1641,'Client Info'!$C$2:$C$2677,'Client Info'!$F$2:$F$2677,"",0,1))</f>
        <v/>
      </c>
      <c r="AG1641" s="55" t="s">
        <v>90</v>
      </c>
      <c r="AH1641" s="26" t="str">
        <f>_xlfn.XLOOKUP(Table26[[#This Row],[customerSKU]],customerSKU!G:G,customerSKU!K:K,"NA",0,1)</f>
        <v>NA</v>
      </c>
      <c r="AI1641" s="43" t="str">
        <f>_xlfn.XLOOKUP(Table26[[#This Row],[customerSKU]],customerSKU!G:G,customerSKU!O:O,"not found",0,1)</f>
        <v>not found</v>
      </c>
      <c r="AJ1641" s="22" t="e">
        <f>Table26[[#This Row],[unitprice]]*Table26[[#This Row],[quantity_unit]]</f>
        <v>#VALUE!</v>
      </c>
      <c r="AK1641" s="227" t="e" cm="1">
        <f t="array" ref="AK16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2" spans="1:37" ht="24.6" customHeight="1">
      <c r="A1642" s="42">
        <v>620</v>
      </c>
      <c r="B1642" s="42" t="s">
        <v>3357</v>
      </c>
      <c r="C1642" s="53" t="s">
        <v>3494</v>
      </c>
      <c r="E1642" s="20"/>
      <c r="F16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2" s="393"/>
      <c r="I1642" s="203">
        <v>45791</v>
      </c>
      <c r="J1642" s="90" t="str">
        <f>IF(Table26[[#This Row],[customerSKU]]="","",_xlfn.XLOOKUP(Table26[[#This Row],[customerSKU]],customerSKU!G:G,customerSKU!A:A,"",0,1))</f>
        <v/>
      </c>
      <c r="K1642" s="232">
        <v>45791</v>
      </c>
      <c r="L1642" s="49" t="str">
        <f>IF(Table26[[#This Row],[customerSKU]]="","",_xlfn.XLOOKUP(Table26[[#This Row],[customerSKU]],customerSKU!G:G,customerSKU!B:B,"",0,1))</f>
        <v/>
      </c>
      <c r="M1642" s="22"/>
      <c r="N1642" s="15" t="str">
        <f>Table26[[#This Row],[po_number]]&amp;"-"&amp;Table26[[#This Row],[po_line]]</f>
        <v>-1</v>
      </c>
      <c r="O1642" s="15">
        <v>1</v>
      </c>
      <c r="P1642" s="50"/>
      <c r="Q1642" s="22" t="s">
        <v>3591</v>
      </c>
      <c r="R1642" s="22" t="s">
        <v>569</v>
      </c>
      <c r="S1642" s="90" t="str">
        <f>IF(Table26[[#This Row],[customerSKU]]="","",_xlfn.XLOOKUP(Table26[[#This Row],[customerSKU]],customerSKU!G:G,customerSKU!N:N,"NOT FOUND",0,1))</f>
        <v>NOT FOUND</v>
      </c>
      <c r="T1642" s="20">
        <v>45772</v>
      </c>
      <c r="U1642" s="94">
        <f>13*12</f>
        <v>156</v>
      </c>
      <c r="V1642" s="22" t="str">
        <f>IF(ISBLANK(Table26[[#This Row],[customerSKU]]),"",_xlfn.XLOOKUP(Table26[[#This Row],[customerSKU]],Table27[customer_SKU],Table27[case_size],"",0,1))</f>
        <v/>
      </c>
      <c r="W1642" s="117" t="str">
        <f t="shared" si="67"/>
        <v/>
      </c>
      <c r="X1642" s="22" t="str">
        <f t="shared" si="68"/>
        <v/>
      </c>
      <c r="Y1642" s="25" t="str">
        <f>IF(Table26[[#This Row],[customerSKU]]="","",_xlfn.XLOOKUP(Table26[[#This Row],[customerSKU]],Table27[customer_SKU],Table27[product_GTIN],"",0,1))</f>
        <v/>
      </c>
      <c r="Z1642" s="25" t="s">
        <v>3592</v>
      </c>
      <c r="AA1642" s="18" t="str" cm="1">
        <f t="array" ref="AA1642">IF(P1642="", "", _xlfn.XLOOKUP(P1642,#REF!,#REF!,NA,0,-1))</f>
        <v/>
      </c>
      <c r="AB1642" s="22"/>
      <c r="AC1642" s="55" t="str">
        <f>IF(Table26[[#This Row],[customerSKU]]="","",_xlfn.XLOOKUP(Table26[[#This Row],[customerSKU]],customerSKU!G:G,customerSKU!C:C,"",0,1))</f>
        <v/>
      </c>
      <c r="AD1642" s="55" t="str">
        <f>IF($AC1642="","",_xlfn.XLOOKUP($AC1642,'Client Info'!$C$2:$C$2497,'Client Info'!$D$2:$D$2497,"",0,1))</f>
        <v/>
      </c>
      <c r="AE1642" s="55" t="str">
        <f>IF($AC1642="","",_xlfn.XLOOKUP($AC1642,'Client Info'!$C$2:$C$2677,'Client Info'!$E$2:$E$2677,"",))</f>
        <v/>
      </c>
      <c r="AF1642" s="55" t="str">
        <f>IF($AC1642="","",_xlfn.XLOOKUP($AC1642,'Client Info'!$C$2:$C$2677,'Client Info'!$F$2:$F$2677,"",0,1))</f>
        <v/>
      </c>
      <c r="AG1642" s="55" t="str">
        <f>IF(ISBLANK(Table26[[#This Row],[customerSKU]]),"",_xlfn.XLOOKUP(Table26[[#This Row],[customerSKU]],Table27[customer_SKU],Table27[billto],"",0,1))</f>
        <v/>
      </c>
      <c r="AH1642" s="26" t="str">
        <f>_xlfn.XLOOKUP(Table26[[#This Row],[customerSKU]],customerSKU!G:G,customerSKU!K:K,"NA",0,1)</f>
        <v>NA</v>
      </c>
      <c r="AI1642" s="43" t="str">
        <f>_xlfn.XLOOKUP(Table26[[#This Row],[customerSKU]],customerSKU!G:G,customerSKU!O:O,"not found",0,1)</f>
        <v>not found</v>
      </c>
      <c r="AJ1642" s="22" t="e">
        <f>Table26[[#This Row],[unitprice]]*Table26[[#This Row],[quantity_unit]]</f>
        <v>#VALUE!</v>
      </c>
      <c r="AK1642" s="227" t="e" cm="1">
        <f t="array" ref="AK16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3" spans="1:37" ht="24.6" customHeight="1">
      <c r="A1643" s="42">
        <v>608</v>
      </c>
      <c r="B1643" s="42" t="s">
        <v>3357</v>
      </c>
      <c r="C1643" s="53" t="s">
        <v>3494</v>
      </c>
      <c r="E1643" s="20"/>
      <c r="F16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3" s="93"/>
      <c r="I1643" s="203">
        <v>45791</v>
      </c>
      <c r="J1643" s="90" t="str">
        <f>IF(Table26[[#This Row],[customerSKU]]="","",_xlfn.XLOOKUP(Table26[[#This Row],[customerSKU]],customerSKU!G:G,customerSKU!A:A,"",0,1))</f>
        <v/>
      </c>
      <c r="K1643" s="232">
        <v>45792</v>
      </c>
      <c r="L1643" s="49" t="str">
        <f>IF(Table26[[#This Row],[customerSKU]]="","",_xlfn.XLOOKUP(Table26[[#This Row],[customerSKU]],customerSKU!G:G,customerSKU!B:B,"",0,1))</f>
        <v/>
      </c>
      <c r="M1643" s="22"/>
      <c r="N1643" s="15" t="str">
        <f>Table26[[#This Row],[po_number]]&amp;"-"&amp;Table26[[#This Row],[po_line]]</f>
        <v>-1</v>
      </c>
      <c r="O1643" s="15">
        <v>1</v>
      </c>
      <c r="P1643" s="50"/>
      <c r="Q1643" s="22" t="s">
        <v>3594</v>
      </c>
      <c r="R1643" s="22" t="s">
        <v>569</v>
      </c>
      <c r="S1643" s="90" t="str">
        <f>IF(Table26[[#This Row],[customerSKU]]="","",_xlfn.XLOOKUP(Table26[[#This Row],[customerSKU]],customerSKU!G:G,customerSKU!N:N,"NOT FOUND",0,1))</f>
        <v>NOT FOUND</v>
      </c>
      <c r="T1643" s="20">
        <v>45786</v>
      </c>
      <c r="U1643" s="94">
        <v>72</v>
      </c>
      <c r="V1643" s="22" t="str">
        <f>IF(ISBLANK(Table26[[#This Row],[customerSKU]]),"",_xlfn.XLOOKUP(Table26[[#This Row],[customerSKU]],Table27[customer_SKU],Table27[case_size],"",0,1))</f>
        <v/>
      </c>
      <c r="W1643" s="117" t="str">
        <f t="shared" si="67"/>
        <v/>
      </c>
      <c r="X1643" s="22" t="str">
        <f t="shared" si="68"/>
        <v/>
      </c>
      <c r="Y1643" s="25" t="str">
        <f>IF(Table26[[#This Row],[customerSKU]]="","",_xlfn.XLOOKUP(Table26[[#This Row],[customerSKU]],Table27[customer_SKU],Table27[product_GTIN],"",0,1))</f>
        <v/>
      </c>
      <c r="Z1643" s="25" t="s">
        <v>3595</v>
      </c>
      <c r="AA1643" s="18" t="str" cm="1">
        <f t="array" ref="AA1643">IF(P1643="", "", _xlfn.XLOOKUP(P1643,#REF!,#REF!,NA,0,-1))</f>
        <v/>
      </c>
      <c r="AB1643" s="22"/>
      <c r="AC1643" s="55" t="str">
        <f>IF(Table26[[#This Row],[customerSKU]]="","",_xlfn.XLOOKUP(Table26[[#This Row],[customerSKU]],customerSKU!G:G,customerSKU!C:C,"",0,1))</f>
        <v/>
      </c>
      <c r="AD1643" s="55" t="str">
        <f>IF($AC1643="","",_xlfn.XLOOKUP($AC1643,'Client Info'!$C$2:$C$2497,'Client Info'!$D$2:$D$2497,"",0,1))</f>
        <v/>
      </c>
      <c r="AE1643" s="55" t="str">
        <f>IF($AC1643="","",_xlfn.XLOOKUP($AC1643,'Client Info'!$C$2:$C$2677,'Client Info'!$E$2:$E$2677,"",))</f>
        <v/>
      </c>
      <c r="AF1643" s="55" t="str">
        <f>IF($AC1643="","",_xlfn.XLOOKUP($AC1643,'Client Info'!$C$2:$C$2677,'Client Info'!$F$2:$F$2677,"",0,1))</f>
        <v/>
      </c>
      <c r="AG1643" s="55" t="str">
        <f>IF(ISBLANK(Table26[[#This Row],[customerSKU]]),"",_xlfn.XLOOKUP(Table26[[#This Row],[customerSKU]],Table27[customer_SKU],Table27[billto],"",0,1))</f>
        <v/>
      </c>
      <c r="AH1643" s="26" t="str">
        <f>_xlfn.XLOOKUP(Table26[[#This Row],[customerSKU]],customerSKU!G:G,customerSKU!K:K,"NA",0,1)</f>
        <v>NA</v>
      </c>
      <c r="AI1643" s="43" t="str">
        <f>_xlfn.XLOOKUP(Table26[[#This Row],[customerSKU]],customerSKU!G:G,customerSKU!O:O,"not found",0,1)</f>
        <v>not found</v>
      </c>
      <c r="AJ1643" s="22" t="e">
        <f>Table26[[#This Row],[unitprice]]*Table26[[#This Row],[quantity_unit]]</f>
        <v>#VALUE!</v>
      </c>
      <c r="AK1643" s="227" t="e" cm="1">
        <f t="array" ref="AK16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4" spans="1:37" ht="24.6" customHeight="1">
      <c r="A1644" s="42">
        <v>607</v>
      </c>
      <c r="B1644" s="42" t="s">
        <v>3357</v>
      </c>
      <c r="C1644" s="53" t="s">
        <v>3577</v>
      </c>
      <c r="E1644" s="20"/>
      <c r="F16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4" s="93"/>
      <c r="I1644" s="203">
        <v>45793</v>
      </c>
      <c r="J1644" s="90" t="str">
        <f>IF(Table26[[#This Row],[customerSKU]]="","",_xlfn.XLOOKUP(Table26[[#This Row],[customerSKU]],customerSKU!G:G,customerSKU!A:A,"",0,1))</f>
        <v/>
      </c>
      <c r="K1644" s="232">
        <v>45793</v>
      </c>
      <c r="L1644" s="49" t="str">
        <f>IF(Table26[[#This Row],[customerSKU]]="","",_xlfn.XLOOKUP(Table26[[#This Row],[customerSKU]],customerSKU!G:G,customerSKU!B:B,"",0,1))</f>
        <v/>
      </c>
      <c r="M1644" s="22"/>
      <c r="N1644" s="15" t="str">
        <f>Table26[[#This Row],[po_number]]&amp;"-"&amp;Table26[[#This Row],[po_line]]</f>
        <v>-1</v>
      </c>
      <c r="O1644" s="15">
        <v>1</v>
      </c>
      <c r="P1644" s="50"/>
      <c r="S1644" s="90" t="str">
        <f>IF(Table26[[#This Row],[customerSKU]]="","",_xlfn.XLOOKUP(Table26[[#This Row],[customerSKU]],customerSKU!G:G,customerSKU!N:N,"NOT FOUND",0,1))</f>
        <v>NOT FOUND</v>
      </c>
      <c r="T1644" s="20"/>
      <c r="U1644" s="94">
        <v>12</v>
      </c>
      <c r="V1644" s="22" t="str">
        <f>IF(ISBLANK(Table26[[#This Row],[customerSKU]]),"",_xlfn.XLOOKUP(Table26[[#This Row],[customerSKU]],Table27[customer_SKU],Table27[case_size],"",0,1))</f>
        <v/>
      </c>
      <c r="W1644" s="117" t="str">
        <f t="shared" si="67"/>
        <v/>
      </c>
      <c r="X1644" s="22" t="str">
        <f t="shared" si="68"/>
        <v/>
      </c>
      <c r="Y1644" s="25" t="str">
        <f>IF(Table26[[#This Row],[customerSKU]]="","",_xlfn.XLOOKUP(Table26[[#This Row],[customerSKU]],Table27[customer_SKU],Table27[product_GTIN],"",0,1))</f>
        <v/>
      </c>
      <c r="Z1644" s="25" t="s">
        <v>3452</v>
      </c>
      <c r="AA1644" s="18" t="str" cm="1">
        <f t="array" ref="AA1644">IF(P1644="", "", _xlfn.XLOOKUP(P1644,#REF!,#REF!,NA,0,-1))</f>
        <v/>
      </c>
      <c r="AB1644" s="22"/>
      <c r="AC1644" s="55" t="str">
        <f>IF(Table26[[#This Row],[customerSKU]]="","",_xlfn.XLOOKUP(Table26[[#This Row],[customerSKU]],customerSKU!G:G,customerSKU!C:C,"",0,1))</f>
        <v/>
      </c>
      <c r="AD1644" s="55" t="str">
        <f>IF($AC1644="","",_xlfn.XLOOKUP($AC1644,'Client Info'!$C$2:$C$2497,'Client Info'!$D$2:$D$2497,"",0,1))</f>
        <v/>
      </c>
      <c r="AE1644" s="55" t="str">
        <f>IF($AC1644="","",_xlfn.XLOOKUP($AC1644,'Client Info'!$C$2:$C$2677,'Client Info'!$E$2:$E$2677,"",))</f>
        <v/>
      </c>
      <c r="AF1644" s="55" t="str">
        <f>IF($AC1644="","",_xlfn.XLOOKUP($AC1644,'Client Info'!$C$2:$C$2677,'Client Info'!$F$2:$F$2677,"",0,1))</f>
        <v/>
      </c>
      <c r="AG1644" s="55" t="str">
        <f>IF(ISBLANK(Table26[[#This Row],[customerSKU]]),"",_xlfn.XLOOKUP(Table26[[#This Row],[customerSKU]],Table27[customer_SKU],Table27[billto],"",0,1))</f>
        <v/>
      </c>
      <c r="AH1644" s="26" t="str">
        <f>_xlfn.XLOOKUP(Table26[[#This Row],[customerSKU]],customerSKU!G:G,customerSKU!K:K,"NA",0,1)</f>
        <v>NA</v>
      </c>
      <c r="AI1644" s="43" t="str">
        <f>_xlfn.XLOOKUP(Table26[[#This Row],[customerSKU]],customerSKU!G:G,customerSKU!O:O,"not found",0,1)</f>
        <v>not found</v>
      </c>
      <c r="AJ1644" s="22" t="e">
        <f>Table26[[#This Row],[unitprice]]*Table26[[#This Row],[quantity_unit]]</f>
        <v>#VALUE!</v>
      </c>
      <c r="AK1644" s="227" t="e" cm="1">
        <f t="array" ref="AK16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5" spans="1:37" ht="18" customHeight="1">
      <c r="A1645" s="42">
        <v>606</v>
      </c>
      <c r="B1645" s="42" t="s">
        <v>3520</v>
      </c>
      <c r="C1645" s="22" t="s">
        <v>3360</v>
      </c>
      <c r="E1645" s="20"/>
      <c r="F16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5" s="93"/>
      <c r="I1645" s="203">
        <v>45853</v>
      </c>
      <c r="J1645" s="90" t="str">
        <f>IF(Table26[[#This Row],[customerSKU]]="","",_xlfn.XLOOKUP(Table26[[#This Row],[customerSKU]],customerSKU!G:G,customerSKU!A:A,"",0,1))</f>
        <v/>
      </c>
      <c r="K1645" s="19">
        <v>45794</v>
      </c>
      <c r="L1645" s="49" t="str">
        <f>IF(Table26[[#This Row],[customerSKU]]="","",_xlfn.XLOOKUP(Table26[[#This Row],[customerSKU]],customerSKU!G:G,customerSKU!B:B,"",0,1))</f>
        <v/>
      </c>
      <c r="M1645" s="22"/>
      <c r="N1645" s="15" t="str">
        <f>Table26[[#This Row],[po_number]]&amp;"-"&amp;Table26[[#This Row],[po_line]]</f>
        <v>-1</v>
      </c>
      <c r="O1645" s="15">
        <v>1</v>
      </c>
      <c r="P1645" s="50"/>
      <c r="Q1645" s="22" t="s">
        <v>1774</v>
      </c>
      <c r="R1645" s="22" t="s">
        <v>532</v>
      </c>
      <c r="S1645" s="90" t="str">
        <f>IF(Table26[[#This Row],[customerSKU]]="","",_xlfn.XLOOKUP(Table26[[#This Row],[customerSKU]],customerSKU!G:G,customerSKU!N:N,"NOT FOUND",0,1))</f>
        <v>NOT FOUND</v>
      </c>
      <c r="T1645" s="20">
        <v>45790</v>
      </c>
      <c r="U1645" s="94">
        <v>12</v>
      </c>
      <c r="V1645" s="22" t="str">
        <f>IF(ISBLANK(Table26[[#This Row],[customerSKU]]),"",_xlfn.XLOOKUP(Table26[[#This Row],[customerSKU]],Table27[customer_SKU],Table27[case_size],"",0,1))</f>
        <v/>
      </c>
      <c r="W1645" s="117" t="str">
        <f t="shared" si="67"/>
        <v/>
      </c>
      <c r="X1645" s="22" t="str">
        <f t="shared" si="68"/>
        <v/>
      </c>
      <c r="Y1645" s="25" t="str">
        <f>IF(Table26[[#This Row],[customerSKU]]="","",_xlfn.XLOOKUP(Table26[[#This Row],[customerSKU]],Table27[customer_SKU],Table27[product_GTIN],"",0,1))</f>
        <v/>
      </c>
      <c r="Z1645" s="25" t="s">
        <v>3694</v>
      </c>
      <c r="AA1645" s="18" t="str" cm="1">
        <f t="array" ref="AA1645">IF(P1645="", "", _xlfn.XLOOKUP(P1645,#REF!,#REF!,NA,0,-1))</f>
        <v/>
      </c>
      <c r="AB1645" s="22"/>
      <c r="AC1645" s="23" t="s">
        <v>64</v>
      </c>
      <c r="AD1645" s="23" t="str">
        <f>IF($AC1645="","",_xlfn.XLOOKUP($AC1645,'Client Info'!$C$2:$C$2497,'Client Info'!$D$2:$D$2497,"",0,1))</f>
        <v/>
      </c>
      <c r="AE1645" s="23" t="str">
        <f>IF($AC1645="","",_xlfn.XLOOKUP($AC1645,'Client Info'!$C$2:$C$2677,'Client Info'!$E$2:$E$2677,"",))</f>
        <v/>
      </c>
      <c r="AF1645" s="23" t="str">
        <f>IF($AC1645="","",_xlfn.XLOOKUP($AC1645,'Client Info'!$C$2:$C$2677,'Client Info'!$F$2:$F$2677,"",0,1))</f>
        <v/>
      </c>
      <c r="AG1645" s="23" t="s">
        <v>27</v>
      </c>
      <c r="AH1645" s="26" t="str">
        <f>_xlfn.XLOOKUP(Table26[[#This Row],[customerSKU]],customerSKU!G:G,customerSKU!K:K,"NA",0,1)</f>
        <v>NA</v>
      </c>
      <c r="AI1645" s="43" t="str">
        <f>_xlfn.XLOOKUP(Table26[[#This Row],[customerSKU]],customerSKU!G:G,customerSKU!O:O,"not found",0,1)</f>
        <v>not found</v>
      </c>
      <c r="AJ1645" s="22" t="e">
        <f>Table26[[#This Row],[unitprice]]*Table26[[#This Row],[quantity_unit]]</f>
        <v>#VALUE!</v>
      </c>
      <c r="AK1645" s="227" t="e" cm="1">
        <f t="array" ref="AK16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6" spans="1:37" ht="18" customHeight="1">
      <c r="A1646" s="42">
        <v>570</v>
      </c>
      <c r="B1646" s="42" t="s">
        <v>3357</v>
      </c>
      <c r="C1646" s="53" t="s">
        <v>203</v>
      </c>
      <c r="E1646" s="20"/>
      <c r="F16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6" s="93"/>
      <c r="I1646" s="203">
        <v>45783</v>
      </c>
      <c r="J1646" s="90" t="str">
        <f>IF(Table26[[#This Row],[customerSKU]]="","",_xlfn.XLOOKUP(Table26[[#This Row],[customerSKU]],customerSKU!G:G,customerSKU!A:A,"",0,1))</f>
        <v/>
      </c>
      <c r="K1646" s="232">
        <v>45797</v>
      </c>
      <c r="L1646" s="49" t="str">
        <f>IF(Table26[[#This Row],[customerSKU]]="","",_xlfn.XLOOKUP(Table26[[#This Row],[customerSKU]],customerSKU!G:G,customerSKU!B:B,"",0,1))</f>
        <v/>
      </c>
      <c r="M1646" s="22"/>
      <c r="N1646" s="15" t="str">
        <f>Table26[[#This Row],[po_number]]&amp;"-"&amp;Table26[[#This Row],[po_line]]</f>
        <v>-1</v>
      </c>
      <c r="O1646" s="15">
        <v>1</v>
      </c>
      <c r="P1646" s="50"/>
      <c r="Q1646" s="22" t="s">
        <v>547</v>
      </c>
      <c r="R1646" s="22" t="s">
        <v>3428</v>
      </c>
      <c r="S1646" s="90" t="str">
        <f>IF(Table26[[#This Row],[customerSKU]]="","",_xlfn.XLOOKUP(Table26[[#This Row],[customerSKU]],customerSKU!G:G,customerSKU!N:N,"NOT FOUND",0,1))</f>
        <v>NOT FOUND</v>
      </c>
      <c r="T1646" s="20">
        <v>45739</v>
      </c>
      <c r="U1646" s="94">
        <f>75*6</f>
        <v>450</v>
      </c>
      <c r="V1646" s="22" t="str">
        <f>IF(ISBLANK(Table26[[#This Row],[customerSKU]]),"",_xlfn.XLOOKUP(Table26[[#This Row],[customerSKU]],Table27[customer_SKU],Table27[case_size],"",0,1))</f>
        <v/>
      </c>
      <c r="W1646" s="117" t="str">
        <f t="shared" si="67"/>
        <v/>
      </c>
      <c r="X1646" s="22" t="str">
        <f t="shared" si="68"/>
        <v/>
      </c>
      <c r="Y1646" s="25" t="str">
        <f>IF(Table26[[#This Row],[customerSKU]]="","",_xlfn.XLOOKUP(Table26[[#This Row],[customerSKU]],Table27[customer_SKU],Table27[product_GTIN],"",0,1))</f>
        <v/>
      </c>
      <c r="Z1646" s="25" t="s">
        <v>3557</v>
      </c>
      <c r="AA1646" s="18" t="str" cm="1">
        <f t="array" ref="AA1646">IF(P1646="", "", _xlfn.XLOOKUP(P1646,#REF!,#REF!,NA,0,-1))</f>
        <v/>
      </c>
      <c r="AB1646" s="22"/>
      <c r="AC1646" s="55" t="s">
        <v>3558</v>
      </c>
      <c r="AD1646" s="55" t="str">
        <f>IF($AC1646="","",_xlfn.XLOOKUP($AC1646,'Client Info'!$C$2:$C$2497,'Client Info'!$D$2:$D$2497,"",0,1))</f>
        <v/>
      </c>
      <c r="AE1646" s="55" t="str">
        <f>IF($AC1646="","",_xlfn.XLOOKUP($AC1646,'Client Info'!$C$2:$C$2677,'Client Info'!$E$2:$E$2677,"",))</f>
        <v/>
      </c>
      <c r="AF1646" s="55" t="str">
        <f>IF($AC1646="","",_xlfn.XLOOKUP($AC1646,'Client Info'!$C$2:$C$2677,'Client Info'!$F$2:$F$2677,"",0,1))</f>
        <v/>
      </c>
      <c r="AG1646" s="55" t="str">
        <f>IF(ISBLANK(Table26[[#This Row],[customerSKU]]),"",_xlfn.XLOOKUP(Table26[[#This Row],[customerSKU]],Table27[customer_SKU],Table27[billto],"",0,1))</f>
        <v/>
      </c>
      <c r="AH1646" s="26" t="str">
        <f>_xlfn.XLOOKUP(Table26[[#This Row],[customerSKU]],customerSKU!G:G,customerSKU!K:K,"NA",0,1)</f>
        <v>NA</v>
      </c>
      <c r="AI1646" s="43" t="str">
        <f>_xlfn.XLOOKUP(Table26[[#This Row],[customerSKU]],customerSKU!G:G,customerSKU!O:O,"not found",0,1)</f>
        <v>not found</v>
      </c>
      <c r="AJ1646" s="22" t="e">
        <f>Table26[[#This Row],[unitprice]]*Table26[[#This Row],[quantity_unit]]</f>
        <v>#VALUE!</v>
      </c>
      <c r="AK1646" s="227" t="e" cm="1">
        <f t="array" ref="AK16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7" spans="1:37" ht="18" customHeight="1">
      <c r="A1647" s="42">
        <v>571</v>
      </c>
      <c r="B1647" s="42" t="s">
        <v>3357</v>
      </c>
      <c r="C1647" s="53" t="s">
        <v>3494</v>
      </c>
      <c r="E1647" s="20"/>
      <c r="F16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7" s="93"/>
      <c r="I1647" s="203">
        <v>45797</v>
      </c>
      <c r="J1647" s="90" t="str">
        <f>IF(Table26[[#This Row],[customerSKU]]="","",_xlfn.XLOOKUP(Table26[[#This Row],[customerSKU]],customerSKU!G:G,customerSKU!A:A,"",0,1))</f>
        <v/>
      </c>
      <c r="K1647" s="232">
        <v>45797</v>
      </c>
      <c r="L1647" s="49" t="str">
        <f>IF(Table26[[#This Row],[customerSKU]]="","",_xlfn.XLOOKUP(Table26[[#This Row],[customerSKU]],customerSKU!G:G,customerSKU!B:B,"",0,1))</f>
        <v/>
      </c>
      <c r="M1647" s="22"/>
      <c r="N1647" s="15" t="str">
        <f>Table26[[#This Row],[po_number]]&amp;"-"&amp;Table26[[#This Row],[po_line]]</f>
        <v>-1</v>
      </c>
      <c r="O1647" s="15">
        <v>1</v>
      </c>
      <c r="P1647" s="50"/>
      <c r="Q1647" s="22" t="s">
        <v>531</v>
      </c>
      <c r="R1647" s="22" t="s">
        <v>569</v>
      </c>
      <c r="S1647" s="90" t="str">
        <f>IF(Table26[[#This Row],[customerSKU]]="","",_xlfn.XLOOKUP(Table26[[#This Row],[customerSKU]],customerSKU!G:G,customerSKU!N:N,"NOT FOUND",0,1))</f>
        <v>NOT FOUND</v>
      </c>
      <c r="T1647" s="20">
        <v>45478</v>
      </c>
      <c r="U1647" s="94">
        <v>6</v>
      </c>
      <c r="V1647" s="22" t="str">
        <f>IF(ISBLANK(Table26[[#This Row],[customerSKU]]),"",_xlfn.XLOOKUP(Table26[[#This Row],[customerSKU]],Table27[customer_SKU],Table27[case_size],"",0,1))</f>
        <v/>
      </c>
      <c r="W1647" s="117" t="str">
        <f t="shared" si="67"/>
        <v/>
      </c>
      <c r="X1647" s="22" t="str">
        <f t="shared" si="68"/>
        <v/>
      </c>
      <c r="Y1647" s="25" t="str">
        <f>IF(Table26[[#This Row],[customerSKU]]="","",_xlfn.XLOOKUP(Table26[[#This Row],[customerSKU]],Table27[customer_SKU],Table27[product_GTIN],"",0,1))</f>
        <v/>
      </c>
      <c r="Z1647" s="25" t="s">
        <v>3597</v>
      </c>
      <c r="AA1647" s="18" t="str" cm="1">
        <f t="array" ref="AA1647">IF(P1647="", "", _xlfn.XLOOKUP(P1647,#REF!,#REF!,NA,0,-1))</f>
        <v/>
      </c>
      <c r="AB1647" s="22" t="s">
        <v>18</v>
      </c>
      <c r="AC1647" s="55" t="s">
        <v>3598</v>
      </c>
      <c r="AD1647" s="55" t="str">
        <f>IF($AC1647="","",_xlfn.XLOOKUP($AC1647,'Client Info'!$C$2:$C$2497,'Client Info'!$D$2:$D$2497,"",0,1))</f>
        <v/>
      </c>
      <c r="AE1647" s="55" t="str">
        <f>IF($AC1647="","",_xlfn.XLOOKUP($AC1647,'Client Info'!$C$2:$C$2677,'Client Info'!$E$2:$E$2677,"",))</f>
        <v/>
      </c>
      <c r="AF1647" s="55" t="str">
        <f>IF($AC1647="","",_xlfn.XLOOKUP($AC1647,'Client Info'!$C$2:$C$2677,'Client Info'!$F$2:$F$2677,"",0,1))</f>
        <v/>
      </c>
      <c r="AG1647" s="55" t="s">
        <v>3598</v>
      </c>
      <c r="AH1647" s="26" t="str">
        <f>_xlfn.XLOOKUP(Table26[[#This Row],[customerSKU]],customerSKU!G:G,customerSKU!K:K,"NA",0,1)</f>
        <v>NA</v>
      </c>
      <c r="AI1647" s="43" t="str">
        <f>_xlfn.XLOOKUP(Table26[[#This Row],[customerSKU]],customerSKU!G:G,customerSKU!O:O,"not found",0,1)</f>
        <v>not found</v>
      </c>
      <c r="AJ1647" s="22" t="e">
        <f>Table26[[#This Row],[unitprice]]*Table26[[#This Row],[quantity_unit]]</f>
        <v>#VALUE!</v>
      </c>
      <c r="AK1647" s="227" t="e" cm="1">
        <f t="array" ref="AK16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8" spans="1:37" ht="18" customHeight="1">
      <c r="A1648" s="42">
        <v>572</v>
      </c>
      <c r="B1648" s="42" t="s">
        <v>3357</v>
      </c>
      <c r="C1648" s="53" t="s">
        <v>3494</v>
      </c>
      <c r="E1648" s="20"/>
      <c r="F16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8" s="93"/>
      <c r="I1648" s="203">
        <v>45797</v>
      </c>
      <c r="J1648" s="90" t="str">
        <f>IF(Table26[[#This Row],[customerSKU]]="","",_xlfn.XLOOKUP(Table26[[#This Row],[customerSKU]],customerSKU!G:G,customerSKU!A:A,"",0,1))</f>
        <v/>
      </c>
      <c r="K1648" s="232">
        <v>45797</v>
      </c>
      <c r="L1648" s="49" t="str">
        <f>IF(Table26[[#This Row],[customerSKU]]="","",_xlfn.XLOOKUP(Table26[[#This Row],[customerSKU]],customerSKU!G:G,customerSKU!B:B,"",0,1))</f>
        <v/>
      </c>
      <c r="M1648" s="22"/>
      <c r="N1648" s="15" t="str">
        <f>Table26[[#This Row],[po_number]]&amp;"-"&amp;Table26[[#This Row],[po_line]]</f>
        <v>-2</v>
      </c>
      <c r="O1648" s="15">
        <v>2</v>
      </c>
      <c r="P1648" s="50"/>
      <c r="Q1648" s="22" t="s">
        <v>3405</v>
      </c>
      <c r="R1648" s="22" t="s">
        <v>569</v>
      </c>
      <c r="S1648" s="90" t="str">
        <f>IF(Table26[[#This Row],[customerSKU]]="","",_xlfn.XLOOKUP(Table26[[#This Row],[customerSKU]],customerSKU!G:G,customerSKU!N:N,"NOT FOUND",0,1))</f>
        <v>NOT FOUND</v>
      </c>
      <c r="T1648" s="20">
        <v>45623</v>
      </c>
      <c r="U1648" s="94">
        <v>12</v>
      </c>
      <c r="V1648" s="22" t="str">
        <f>IF(ISBLANK(Table26[[#This Row],[customerSKU]]),"",_xlfn.XLOOKUP(Table26[[#This Row],[customerSKU]],Table27[customer_SKU],Table27[case_size],"",0,1))</f>
        <v/>
      </c>
      <c r="W1648" s="117" t="str">
        <f t="shared" si="67"/>
        <v/>
      </c>
      <c r="X1648" s="22" t="str">
        <f t="shared" si="68"/>
        <v/>
      </c>
      <c r="Y1648" s="25" t="str">
        <f>IF(Table26[[#This Row],[customerSKU]]="","",_xlfn.XLOOKUP(Table26[[#This Row],[customerSKU]],Table27[customer_SKU],Table27[product_GTIN],"",0,1))</f>
        <v/>
      </c>
      <c r="Z1648" s="25" t="s">
        <v>3535</v>
      </c>
      <c r="AA1648" s="18" t="str" cm="1">
        <f t="array" ref="AA1648">IF(P1648="", "", _xlfn.XLOOKUP(P1648,#REF!,#REF!,NA,0,-1))</f>
        <v/>
      </c>
      <c r="AB1648" s="22"/>
      <c r="AC1648" s="55" t="s">
        <v>3598</v>
      </c>
      <c r="AD1648" s="55" t="str">
        <f>IF($AC1648="","",_xlfn.XLOOKUP($AC1648,'Client Info'!$C$2:$C$2497,'Client Info'!$D$2:$D$2497,"",0,1))</f>
        <v/>
      </c>
      <c r="AE1648" s="55" t="str">
        <f>IF($AC1648="","",_xlfn.XLOOKUP($AC1648,'Client Info'!$C$2:$C$2677,'Client Info'!$E$2:$E$2677,"",))</f>
        <v/>
      </c>
      <c r="AF1648" s="55" t="str">
        <f>IF($AC1648="","",_xlfn.XLOOKUP($AC1648,'Client Info'!$C$2:$C$2677,'Client Info'!$F$2:$F$2677,"",0,1))</f>
        <v/>
      </c>
      <c r="AG1648" s="55" t="s">
        <v>3598</v>
      </c>
      <c r="AH1648" s="26" t="str">
        <f>_xlfn.XLOOKUP(Table26[[#This Row],[customerSKU]],customerSKU!G:G,customerSKU!K:K,"NA",0,1)</f>
        <v>NA</v>
      </c>
      <c r="AI1648" s="43" t="str">
        <f>_xlfn.XLOOKUP(Table26[[#This Row],[customerSKU]],customerSKU!G:G,customerSKU!O:O,"not found",0,1)</f>
        <v>not found</v>
      </c>
      <c r="AJ1648" s="22" t="e">
        <f>Table26[[#This Row],[unitprice]]*Table26[[#This Row],[quantity_unit]]</f>
        <v>#VALUE!</v>
      </c>
      <c r="AK1648" s="227" t="e" cm="1">
        <f t="array" ref="AK16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49" spans="1:37" ht="18" customHeight="1">
      <c r="A1649" s="42">
        <v>573</v>
      </c>
      <c r="B1649" s="42" t="s">
        <v>3357</v>
      </c>
      <c r="C1649" s="53" t="s">
        <v>3494</v>
      </c>
      <c r="E1649" s="20"/>
      <c r="F16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49" s="93"/>
      <c r="I1649" s="203">
        <v>45797</v>
      </c>
      <c r="J1649" s="90" t="str">
        <f>IF(Table26[[#This Row],[customerSKU]]="","",_xlfn.XLOOKUP(Table26[[#This Row],[customerSKU]],customerSKU!G:G,customerSKU!A:A,"",0,1))</f>
        <v/>
      </c>
      <c r="K1649" s="232">
        <v>45797</v>
      </c>
      <c r="L1649" s="49" t="str">
        <f>IF(Table26[[#This Row],[customerSKU]]="","",_xlfn.XLOOKUP(Table26[[#This Row],[customerSKU]],customerSKU!G:G,customerSKU!B:B,"",0,1))</f>
        <v/>
      </c>
      <c r="M1649" s="22"/>
      <c r="N1649" s="15" t="str">
        <f>Table26[[#This Row],[po_number]]&amp;"-"&amp;Table26[[#This Row],[po_line]]</f>
        <v>-3</v>
      </c>
      <c r="O1649" s="15">
        <v>3</v>
      </c>
      <c r="P1649" s="50"/>
      <c r="Q1649" s="22" t="s">
        <v>543</v>
      </c>
      <c r="R1649" s="22" t="s">
        <v>569</v>
      </c>
      <c r="S1649" s="90" t="str">
        <f>IF(Table26[[#This Row],[customerSKU]]="","",_xlfn.XLOOKUP(Table26[[#This Row],[customerSKU]],customerSKU!G:G,customerSKU!N:N,"NOT FOUND",0,1))</f>
        <v>NOT FOUND</v>
      </c>
      <c r="T1649" s="20">
        <v>45793</v>
      </c>
      <c r="U1649" s="94">
        <v>6</v>
      </c>
      <c r="V1649" s="22" t="str">
        <f>IF(ISBLANK(Table26[[#This Row],[customerSKU]]),"",_xlfn.XLOOKUP(Table26[[#This Row],[customerSKU]],Table27[customer_SKU],Table27[case_size],"",0,1))</f>
        <v/>
      </c>
      <c r="W1649" s="117" t="str">
        <f t="shared" si="67"/>
        <v/>
      </c>
      <c r="X1649" s="22" t="str">
        <f t="shared" si="68"/>
        <v/>
      </c>
      <c r="Y1649" s="25" t="str">
        <f>IF(Table26[[#This Row],[customerSKU]]="","",_xlfn.XLOOKUP(Table26[[#This Row],[customerSKU]],Table27[customer_SKU],Table27[product_GTIN],"",0,1))</f>
        <v/>
      </c>
      <c r="Z1649" s="25" t="s">
        <v>3599</v>
      </c>
      <c r="AA1649" s="18" t="str" cm="1">
        <f t="array" ref="AA1649">IF(P1649="", "", _xlfn.XLOOKUP(P1649,#REF!,#REF!,NA,0,-1))</f>
        <v/>
      </c>
      <c r="AB1649" s="22"/>
      <c r="AC1649" s="55" t="s">
        <v>3598</v>
      </c>
      <c r="AD1649" s="55" t="str">
        <f>IF($AC1649="","",_xlfn.XLOOKUP($AC1649,'Client Info'!$C$2:$C$2497,'Client Info'!$D$2:$D$2497,"",0,1))</f>
        <v/>
      </c>
      <c r="AE1649" s="55" t="str">
        <f>IF($AC1649="","",_xlfn.XLOOKUP($AC1649,'Client Info'!$C$2:$C$2677,'Client Info'!$E$2:$E$2677,"",))</f>
        <v/>
      </c>
      <c r="AF1649" s="55" t="str">
        <f>IF($AC1649="","",_xlfn.XLOOKUP($AC1649,'Client Info'!$C$2:$C$2677,'Client Info'!$F$2:$F$2677,"",0,1))</f>
        <v/>
      </c>
      <c r="AG1649" s="55" t="s">
        <v>3598</v>
      </c>
      <c r="AH1649" s="26" t="str">
        <f>_xlfn.XLOOKUP(Table26[[#This Row],[customerSKU]],customerSKU!G:G,customerSKU!K:K,"NA",0,1)</f>
        <v>NA</v>
      </c>
      <c r="AI1649" s="43" t="str">
        <f>_xlfn.XLOOKUP(Table26[[#This Row],[customerSKU]],customerSKU!G:G,customerSKU!O:O,"not found",0,1)</f>
        <v>not found</v>
      </c>
      <c r="AJ1649" s="22" t="e">
        <f>Table26[[#This Row],[unitprice]]*Table26[[#This Row],[quantity_unit]]</f>
        <v>#VALUE!</v>
      </c>
      <c r="AK1649" s="227" t="e" cm="1">
        <f t="array" ref="AK16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0" spans="1:37" ht="18" customHeight="1">
      <c r="A1650" s="42">
        <v>574</v>
      </c>
      <c r="B1650" s="42" t="s">
        <v>3357</v>
      </c>
      <c r="C1650" s="53" t="s">
        <v>3494</v>
      </c>
      <c r="E1650" s="20"/>
      <c r="F16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0" s="93"/>
      <c r="I1650" s="203">
        <v>45797</v>
      </c>
      <c r="J1650" s="90" t="str">
        <f>IF(Table26[[#This Row],[customerSKU]]="","",_xlfn.XLOOKUP(Table26[[#This Row],[customerSKU]],customerSKU!G:G,customerSKU!A:A,"",0,1))</f>
        <v/>
      </c>
      <c r="K1650" s="232">
        <v>45797</v>
      </c>
      <c r="L1650" s="49" t="str">
        <f>IF(Table26[[#This Row],[customerSKU]]="","",_xlfn.XLOOKUP(Table26[[#This Row],[customerSKU]],customerSKU!G:G,customerSKU!B:B,"",0,1))</f>
        <v/>
      </c>
      <c r="M1650" s="22"/>
      <c r="N1650" s="15" t="str">
        <f>Table26[[#This Row],[po_number]]&amp;"-"&amp;Table26[[#This Row],[po_line]]</f>
        <v>-1</v>
      </c>
      <c r="O1650" s="15">
        <v>1</v>
      </c>
      <c r="P1650" s="50"/>
      <c r="Q1650" s="22" t="s">
        <v>659</v>
      </c>
      <c r="R1650" s="22" t="s">
        <v>569</v>
      </c>
      <c r="S1650" s="90" t="str">
        <f>IF(Table26[[#This Row],[customerSKU]]="","",_xlfn.XLOOKUP(Table26[[#This Row],[customerSKU]],customerSKU!G:G,customerSKU!N:N,"NOT FOUND",0,1))</f>
        <v>NOT FOUND</v>
      </c>
      <c r="T1650" s="20">
        <v>45638</v>
      </c>
      <c r="U1650" s="94">
        <v>12</v>
      </c>
      <c r="V1650" s="22" t="str">
        <f>IF(ISBLANK(Table26[[#This Row],[customerSKU]]),"",_xlfn.XLOOKUP(Table26[[#This Row],[customerSKU]],Table27[customer_SKU],Table27[case_size],"",0,1))</f>
        <v/>
      </c>
      <c r="W1650" s="117" t="str">
        <f t="shared" si="67"/>
        <v/>
      </c>
      <c r="X1650" s="22" t="str">
        <f t="shared" si="68"/>
        <v/>
      </c>
      <c r="Y1650" s="25" t="str">
        <f>IF(Table26[[#This Row],[customerSKU]]="","",_xlfn.XLOOKUP(Table26[[#This Row],[customerSKU]],Table27[customer_SKU],Table27[product_GTIN],"",0,1))</f>
        <v/>
      </c>
      <c r="Z1650" s="25" t="s">
        <v>3600</v>
      </c>
      <c r="AA1650" s="18" t="str" cm="1">
        <f t="array" ref="AA1650">IF(P1650="", "", _xlfn.XLOOKUP(P1650,#REF!,#REF!,NA,0,-1))</f>
        <v/>
      </c>
      <c r="AB1650" s="22"/>
      <c r="AC1650" s="55" t="s">
        <v>3601</v>
      </c>
      <c r="AD1650" s="55" t="str">
        <f>IF($AC1650="","",_xlfn.XLOOKUP($AC1650,'Client Info'!$C$2:$C$2497,'Client Info'!$D$2:$D$2497,"",0,1))</f>
        <v/>
      </c>
      <c r="AE1650" s="55" t="str">
        <f>IF($AC1650="","",_xlfn.XLOOKUP($AC1650,'Client Info'!$C$2:$C$2677,'Client Info'!$E$2:$E$2677,"",))</f>
        <v/>
      </c>
      <c r="AF1650" s="55" t="str">
        <f>IF($AC1650="","",_xlfn.XLOOKUP($AC1650,'Client Info'!$C$2:$C$2677,'Client Info'!$F$2:$F$2677,"",0,1))</f>
        <v/>
      </c>
      <c r="AG1650" s="55" t="s">
        <v>3601</v>
      </c>
      <c r="AH1650" s="26" t="str">
        <f>_xlfn.XLOOKUP(Table26[[#This Row],[customerSKU]],customerSKU!G:G,customerSKU!K:K,"NA",0,1)</f>
        <v>NA</v>
      </c>
      <c r="AI1650" s="43" t="str">
        <f>_xlfn.XLOOKUP(Table26[[#This Row],[customerSKU]],customerSKU!G:G,customerSKU!O:O,"not found",0,1)</f>
        <v>not found</v>
      </c>
      <c r="AJ1650" s="22" t="e">
        <f>Table26[[#This Row],[unitprice]]*Table26[[#This Row],[quantity_unit]]</f>
        <v>#VALUE!</v>
      </c>
      <c r="AK1650" s="227" t="e" cm="1">
        <f t="array" ref="AK16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1" spans="1:37" ht="18" customHeight="1">
      <c r="A1651" s="42">
        <v>575</v>
      </c>
      <c r="B1651" s="42" t="s">
        <v>3357</v>
      </c>
      <c r="C1651" s="53" t="s">
        <v>3494</v>
      </c>
      <c r="E1651" s="20"/>
      <c r="F16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1" s="93"/>
      <c r="I1651" s="203">
        <v>45797</v>
      </c>
      <c r="J1651" s="90" t="str">
        <f>IF(Table26[[#This Row],[customerSKU]]="","",_xlfn.XLOOKUP(Table26[[#This Row],[customerSKU]],customerSKU!G:G,customerSKU!A:A,"",0,1))</f>
        <v/>
      </c>
      <c r="K1651" s="232">
        <v>45797</v>
      </c>
      <c r="L1651" s="49" t="str">
        <f>IF(Table26[[#This Row],[customerSKU]]="","",_xlfn.XLOOKUP(Table26[[#This Row],[customerSKU]],customerSKU!G:G,customerSKU!B:B,"",0,1))</f>
        <v/>
      </c>
      <c r="M1651" s="22"/>
      <c r="N1651" s="15" t="str">
        <f>Table26[[#This Row],[po_number]]&amp;"-"&amp;Table26[[#This Row],[po_line]]</f>
        <v>-2</v>
      </c>
      <c r="O1651" s="15">
        <v>2</v>
      </c>
      <c r="P1651" s="50"/>
      <c r="Q1651" s="22" t="s">
        <v>582</v>
      </c>
      <c r="R1651" s="22" t="s">
        <v>569</v>
      </c>
      <c r="S1651" s="90" t="str">
        <f>IF(Table26[[#This Row],[customerSKU]]="","",_xlfn.XLOOKUP(Table26[[#This Row],[customerSKU]],customerSKU!G:G,customerSKU!N:N,"NOT FOUND",0,1))</f>
        <v>NOT FOUND</v>
      </c>
      <c r="T1651" s="20">
        <v>45756</v>
      </c>
      <c r="U1651" s="94">
        <v>11</v>
      </c>
      <c r="V1651" s="22" t="str">
        <f>IF(ISBLANK(Table26[[#This Row],[customerSKU]]),"",_xlfn.XLOOKUP(Table26[[#This Row],[customerSKU]],Table27[customer_SKU],Table27[case_size],"",0,1))</f>
        <v/>
      </c>
      <c r="W1651" s="117" t="str">
        <f t="shared" si="67"/>
        <v/>
      </c>
      <c r="X1651" s="22" t="str">
        <f t="shared" si="68"/>
        <v/>
      </c>
      <c r="Y1651" s="25" t="str">
        <f>IF(Table26[[#This Row],[customerSKU]]="","",_xlfn.XLOOKUP(Table26[[#This Row],[customerSKU]],Table27[customer_SKU],Table27[product_GTIN],"",0,1))</f>
        <v/>
      </c>
      <c r="Z1651" s="25" t="s">
        <v>3519</v>
      </c>
      <c r="AA1651" s="18" t="str" cm="1">
        <f t="array" ref="AA1651">IF(P1651="", "", _xlfn.XLOOKUP(P1651,#REF!,#REF!,NA,0,-1))</f>
        <v/>
      </c>
      <c r="AB1651" s="22"/>
      <c r="AC1651" s="55" t="s">
        <v>3601</v>
      </c>
      <c r="AD1651" s="55" t="str">
        <f>IF($AC1651="","",_xlfn.XLOOKUP($AC1651,'Client Info'!$C$2:$C$2497,'Client Info'!$D$2:$D$2497,"",0,1))</f>
        <v/>
      </c>
      <c r="AE1651" s="55" t="str">
        <f>IF($AC1651="","",_xlfn.XLOOKUP($AC1651,'Client Info'!$C$2:$C$2677,'Client Info'!$E$2:$E$2677,"",))</f>
        <v/>
      </c>
      <c r="AF1651" s="55" t="str">
        <f>IF($AC1651="","",_xlfn.XLOOKUP($AC1651,'Client Info'!$C$2:$C$2677,'Client Info'!$F$2:$F$2677,"",0,1))</f>
        <v/>
      </c>
      <c r="AG1651" s="55" t="s">
        <v>3601</v>
      </c>
      <c r="AH1651" s="26" t="str">
        <f>_xlfn.XLOOKUP(Table26[[#This Row],[customerSKU]],customerSKU!G:G,customerSKU!K:K,"NA",0,1)</f>
        <v>NA</v>
      </c>
      <c r="AI1651" s="43" t="str">
        <f>_xlfn.XLOOKUP(Table26[[#This Row],[customerSKU]],customerSKU!G:G,customerSKU!O:O,"not found",0,1)</f>
        <v>not found</v>
      </c>
      <c r="AJ1651" s="22" t="e">
        <f>Table26[[#This Row],[unitprice]]*Table26[[#This Row],[quantity_unit]]</f>
        <v>#VALUE!</v>
      </c>
      <c r="AK1651" s="227" t="e" cm="1">
        <f t="array" ref="AK16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2" spans="1:37" ht="18" customHeight="1">
      <c r="A1652" s="42">
        <v>576</v>
      </c>
      <c r="B1652" s="42" t="s">
        <v>3357</v>
      </c>
      <c r="C1652" s="53" t="s">
        <v>3494</v>
      </c>
      <c r="E1652" s="20"/>
      <c r="F16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2" s="93"/>
      <c r="I1652" s="203">
        <v>45797</v>
      </c>
      <c r="J1652" s="90" t="str">
        <f>IF(Table26[[#This Row],[customerSKU]]="","",_xlfn.XLOOKUP(Table26[[#This Row],[customerSKU]],customerSKU!G:G,customerSKU!A:A,"",0,1))</f>
        <v/>
      </c>
      <c r="K1652" s="232">
        <v>45797</v>
      </c>
      <c r="L1652" s="49" t="str">
        <f>IF(Table26[[#This Row],[customerSKU]]="","",_xlfn.XLOOKUP(Table26[[#This Row],[customerSKU]],customerSKU!G:G,customerSKU!B:B,"",0,1))</f>
        <v/>
      </c>
      <c r="M1652" s="22"/>
      <c r="N1652" s="15" t="str">
        <f>Table26[[#This Row],[po_number]]&amp;"-"&amp;Table26[[#This Row],[po_line]]</f>
        <v>-3</v>
      </c>
      <c r="O1652" s="15">
        <v>3</v>
      </c>
      <c r="P1652" s="50"/>
      <c r="Q1652" s="22" t="s">
        <v>582</v>
      </c>
      <c r="R1652" s="22" t="s">
        <v>569</v>
      </c>
      <c r="S1652" s="90" t="str">
        <f>IF(Table26[[#This Row],[customerSKU]]="","",_xlfn.XLOOKUP(Table26[[#This Row],[customerSKU]],customerSKU!G:G,customerSKU!N:N,"NOT FOUND",0,1))</f>
        <v>NOT FOUND</v>
      </c>
      <c r="T1652" s="20">
        <v>45778</v>
      </c>
      <c r="U1652" s="94">
        <v>1</v>
      </c>
      <c r="V1652" s="22" t="str">
        <f>IF(ISBLANK(Table26[[#This Row],[customerSKU]]),"",_xlfn.XLOOKUP(Table26[[#This Row],[customerSKU]],Table27[customer_SKU],Table27[case_size],"",0,1))</f>
        <v/>
      </c>
      <c r="W1652" s="117" t="str">
        <f t="shared" si="67"/>
        <v/>
      </c>
      <c r="X1652" s="22" t="str">
        <f t="shared" si="68"/>
        <v/>
      </c>
      <c r="Y1652" s="25" t="str">
        <f>IF(Table26[[#This Row],[customerSKU]]="","",_xlfn.XLOOKUP(Table26[[#This Row],[customerSKU]],Table27[customer_SKU],Table27[product_GTIN],"",0,1))</f>
        <v/>
      </c>
      <c r="Z1652" s="25" t="s">
        <v>3519</v>
      </c>
      <c r="AA1652" s="18" t="str" cm="1">
        <f t="array" ref="AA1652">IF(P1652="", "", _xlfn.XLOOKUP(P1652,#REF!,#REF!,NA,0,-1))</f>
        <v/>
      </c>
      <c r="AB1652" s="22"/>
      <c r="AC1652" s="55" t="s">
        <v>3601</v>
      </c>
      <c r="AD1652" s="55" t="str">
        <f>IF($AC1652="","",_xlfn.XLOOKUP($AC1652,'Client Info'!$C$2:$C$2497,'Client Info'!$D$2:$D$2497,"",0,1))</f>
        <v/>
      </c>
      <c r="AE1652" s="55" t="str">
        <f>IF($AC1652="","",_xlfn.XLOOKUP($AC1652,'Client Info'!$C$2:$C$2677,'Client Info'!$E$2:$E$2677,"",))</f>
        <v/>
      </c>
      <c r="AF1652" s="55" t="str">
        <f>IF($AC1652="","",_xlfn.XLOOKUP($AC1652,'Client Info'!$C$2:$C$2677,'Client Info'!$F$2:$F$2677,"",0,1))</f>
        <v/>
      </c>
      <c r="AG1652" s="55" t="s">
        <v>3601</v>
      </c>
      <c r="AH1652" s="26" t="str">
        <f>_xlfn.XLOOKUP(Table26[[#This Row],[customerSKU]],customerSKU!G:G,customerSKU!K:K,"NA",0,1)</f>
        <v>NA</v>
      </c>
      <c r="AI1652" s="43" t="str">
        <f>_xlfn.XLOOKUP(Table26[[#This Row],[customerSKU]],customerSKU!G:G,customerSKU!O:O,"not found",0,1)</f>
        <v>not found</v>
      </c>
      <c r="AJ1652" s="22" t="e">
        <f>Table26[[#This Row],[unitprice]]*Table26[[#This Row],[quantity_unit]]</f>
        <v>#VALUE!</v>
      </c>
      <c r="AK1652" s="227" t="e" cm="1">
        <f t="array" ref="AK16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3" spans="1:37" ht="18" customHeight="1">
      <c r="A1653" s="42">
        <v>577</v>
      </c>
      <c r="B1653" s="42" t="s">
        <v>3357</v>
      </c>
      <c r="C1653" s="53" t="s">
        <v>3494</v>
      </c>
      <c r="E1653" s="20"/>
      <c r="F16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3" s="93"/>
      <c r="I1653" s="203">
        <v>45797</v>
      </c>
      <c r="J1653" s="90" t="str">
        <f>IF(Table26[[#This Row],[customerSKU]]="","",_xlfn.XLOOKUP(Table26[[#This Row],[customerSKU]],customerSKU!G:G,customerSKU!A:A,"",0,1))</f>
        <v/>
      </c>
      <c r="K1653" s="232">
        <v>45797</v>
      </c>
      <c r="L1653" s="49" t="str">
        <f>IF(Table26[[#This Row],[customerSKU]]="","",_xlfn.XLOOKUP(Table26[[#This Row],[customerSKU]],customerSKU!G:G,customerSKU!B:B,"",0,1))</f>
        <v/>
      </c>
      <c r="M1653" s="22"/>
      <c r="N1653" s="15" t="str">
        <f>Table26[[#This Row],[po_number]]&amp;"-"&amp;Table26[[#This Row],[po_line]]</f>
        <v>-4</v>
      </c>
      <c r="O1653" s="15">
        <v>4</v>
      </c>
      <c r="P1653" s="50"/>
      <c r="Q1653" s="22" t="s">
        <v>828</v>
      </c>
      <c r="R1653" s="22" t="s">
        <v>569</v>
      </c>
      <c r="S1653" s="90" t="str">
        <f>IF(Table26[[#This Row],[customerSKU]]="","",_xlfn.XLOOKUP(Table26[[#This Row],[customerSKU]],customerSKU!G:G,customerSKU!N:N,"NOT FOUND",0,1))</f>
        <v>NOT FOUND</v>
      </c>
      <c r="T1653" s="20">
        <v>45685</v>
      </c>
      <c r="U1653" s="94">
        <v>11</v>
      </c>
      <c r="V1653" s="22" t="str">
        <f>IF(ISBLANK(Table26[[#This Row],[customerSKU]]),"",_xlfn.XLOOKUP(Table26[[#This Row],[customerSKU]],Table27[customer_SKU],Table27[case_size],"",0,1))</f>
        <v/>
      </c>
      <c r="W1653" s="117" t="str">
        <f t="shared" si="67"/>
        <v/>
      </c>
      <c r="X1653" s="22" t="str">
        <f t="shared" si="68"/>
        <v/>
      </c>
      <c r="Y1653" s="25" t="str">
        <f>IF(Table26[[#This Row],[customerSKU]]="","",_xlfn.XLOOKUP(Table26[[#This Row],[customerSKU]],Table27[customer_SKU],Table27[product_GTIN],"",0,1))</f>
        <v/>
      </c>
      <c r="Z1653" s="25" t="s">
        <v>3602</v>
      </c>
      <c r="AA1653" s="18" t="str" cm="1">
        <f t="array" ref="AA1653">IF(P1653="", "", _xlfn.XLOOKUP(P1653,#REF!,#REF!,NA,0,-1))</f>
        <v/>
      </c>
      <c r="AB1653" s="22"/>
      <c r="AC1653" s="55" t="s">
        <v>3601</v>
      </c>
      <c r="AD1653" s="55" t="str">
        <f>IF($AC1653="","",_xlfn.XLOOKUP($AC1653,'Client Info'!$C$2:$C$2497,'Client Info'!$D$2:$D$2497,"",0,1))</f>
        <v/>
      </c>
      <c r="AE1653" s="55" t="str">
        <f>IF($AC1653="","",_xlfn.XLOOKUP($AC1653,'Client Info'!$C$2:$C$2677,'Client Info'!$E$2:$E$2677,"",))</f>
        <v/>
      </c>
      <c r="AF1653" s="55" t="str">
        <f>IF($AC1653="","",_xlfn.XLOOKUP($AC1653,'Client Info'!$C$2:$C$2677,'Client Info'!$F$2:$F$2677,"",0,1))</f>
        <v/>
      </c>
      <c r="AG1653" s="55" t="s">
        <v>3601</v>
      </c>
      <c r="AH1653" s="26" t="str">
        <f>_xlfn.XLOOKUP(Table26[[#This Row],[customerSKU]],customerSKU!G:G,customerSKU!K:K,"NA",0,1)</f>
        <v>NA</v>
      </c>
      <c r="AI1653" s="43" t="str">
        <f>_xlfn.XLOOKUP(Table26[[#This Row],[customerSKU]],customerSKU!G:G,customerSKU!O:O,"not found",0,1)</f>
        <v>not found</v>
      </c>
      <c r="AJ1653" s="22" t="e">
        <f>Table26[[#This Row],[unitprice]]*Table26[[#This Row],[quantity_unit]]</f>
        <v>#VALUE!</v>
      </c>
      <c r="AK1653" s="227" t="e" cm="1">
        <f t="array" ref="AK16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4" spans="1:37" ht="18" customHeight="1">
      <c r="A1654" s="42">
        <v>578</v>
      </c>
      <c r="B1654" s="42" t="s">
        <v>3357</v>
      </c>
      <c r="C1654" s="53" t="s">
        <v>3494</v>
      </c>
      <c r="E1654" s="20"/>
      <c r="F16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4" s="93"/>
      <c r="I1654" s="203">
        <v>45797</v>
      </c>
      <c r="J1654" s="90" t="str">
        <f>IF(Table26[[#This Row],[customerSKU]]="","",_xlfn.XLOOKUP(Table26[[#This Row],[customerSKU]],customerSKU!G:G,customerSKU!A:A,"",0,1))</f>
        <v/>
      </c>
      <c r="K1654" s="232">
        <v>45797</v>
      </c>
      <c r="L1654" s="49" t="str">
        <f>IF(Table26[[#This Row],[customerSKU]]="","",_xlfn.XLOOKUP(Table26[[#This Row],[customerSKU]],customerSKU!G:G,customerSKU!B:B,"",0,1))</f>
        <v/>
      </c>
      <c r="M1654" s="22"/>
      <c r="N1654" s="15" t="str">
        <f>Table26[[#This Row],[po_number]]&amp;"-"&amp;Table26[[#This Row],[po_line]]</f>
        <v>-5</v>
      </c>
      <c r="O1654" s="15">
        <v>5</v>
      </c>
      <c r="P1654" s="50"/>
      <c r="Q1654" s="22" t="s">
        <v>828</v>
      </c>
      <c r="R1654" s="22" t="s">
        <v>569</v>
      </c>
      <c r="S1654" s="90" t="str">
        <f>IF(Table26[[#This Row],[customerSKU]]="","",_xlfn.XLOOKUP(Table26[[#This Row],[customerSKU]],customerSKU!G:G,customerSKU!N:N,"NOT FOUND",0,1))</f>
        <v>NOT FOUND</v>
      </c>
      <c r="T1654" s="20">
        <v>45735</v>
      </c>
      <c r="U1654" s="94">
        <v>1</v>
      </c>
      <c r="V1654" s="22" t="str">
        <f>IF(ISBLANK(Table26[[#This Row],[customerSKU]]),"",_xlfn.XLOOKUP(Table26[[#This Row],[customerSKU]],Table27[customer_SKU],Table27[case_size],"",0,1))</f>
        <v/>
      </c>
      <c r="W1654" s="117" t="str">
        <f t="shared" si="67"/>
        <v/>
      </c>
      <c r="X1654" s="22" t="str">
        <f t="shared" si="68"/>
        <v/>
      </c>
      <c r="Y1654" s="25" t="str">
        <f>IF(Table26[[#This Row],[customerSKU]]="","",_xlfn.XLOOKUP(Table26[[#This Row],[customerSKU]],Table27[customer_SKU],Table27[product_GTIN],"",0,1))</f>
        <v/>
      </c>
      <c r="Z1654" s="25" t="s">
        <v>3602</v>
      </c>
      <c r="AA1654" s="18" t="str" cm="1">
        <f t="array" ref="AA1654">IF(P1654="", "", _xlfn.XLOOKUP(P1654,#REF!,#REF!,NA,0,-1))</f>
        <v/>
      </c>
      <c r="AB1654" s="22"/>
      <c r="AC1654" s="55" t="s">
        <v>3601</v>
      </c>
      <c r="AD1654" s="55" t="str">
        <f>IF($AC1654="","",_xlfn.XLOOKUP($AC1654,'Client Info'!$C$2:$C$2497,'Client Info'!$D$2:$D$2497,"",0,1))</f>
        <v/>
      </c>
      <c r="AE1654" s="55" t="str">
        <f>IF($AC1654="","",_xlfn.XLOOKUP($AC1654,'Client Info'!$C$2:$C$2677,'Client Info'!$E$2:$E$2677,"",))</f>
        <v/>
      </c>
      <c r="AF1654" s="55" t="str">
        <f>IF($AC1654="","",_xlfn.XLOOKUP($AC1654,'Client Info'!$C$2:$C$2677,'Client Info'!$F$2:$F$2677,"",0,1))</f>
        <v/>
      </c>
      <c r="AG1654" s="55" t="s">
        <v>3601</v>
      </c>
      <c r="AH1654" s="26" t="str">
        <f>_xlfn.XLOOKUP(Table26[[#This Row],[customerSKU]],customerSKU!G:G,customerSKU!K:K,"NA",0,1)</f>
        <v>NA</v>
      </c>
      <c r="AI1654" s="43" t="str">
        <f>_xlfn.XLOOKUP(Table26[[#This Row],[customerSKU]],customerSKU!G:G,customerSKU!O:O,"not found",0,1)</f>
        <v>not found</v>
      </c>
      <c r="AJ1654" s="22" t="e">
        <f>Table26[[#This Row],[unitprice]]*Table26[[#This Row],[quantity_unit]]</f>
        <v>#VALUE!</v>
      </c>
      <c r="AK1654" s="227" t="e" cm="1">
        <f t="array" ref="AK16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5" spans="1:37" ht="18" customHeight="1">
      <c r="A1655" s="42">
        <v>579</v>
      </c>
      <c r="B1655" s="42" t="s">
        <v>3357</v>
      </c>
      <c r="C1655" s="53" t="s">
        <v>3494</v>
      </c>
      <c r="E1655" s="20"/>
      <c r="F16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5" s="93"/>
      <c r="I1655" s="203">
        <v>45797</v>
      </c>
      <c r="J1655" s="90" t="str">
        <f>IF(Table26[[#This Row],[customerSKU]]="","",_xlfn.XLOOKUP(Table26[[#This Row],[customerSKU]],customerSKU!G:G,customerSKU!A:A,"",0,1))</f>
        <v/>
      </c>
      <c r="K1655" s="232">
        <v>45797</v>
      </c>
      <c r="L1655" s="49" t="str">
        <f>IF(Table26[[#This Row],[customerSKU]]="","",_xlfn.XLOOKUP(Table26[[#This Row],[customerSKU]],customerSKU!G:G,customerSKU!B:B,"",0,1))</f>
        <v/>
      </c>
      <c r="M1655" s="22"/>
      <c r="N1655" s="15" t="str">
        <f>Table26[[#This Row],[po_number]]&amp;"-"&amp;Table26[[#This Row],[po_line]]</f>
        <v>-6</v>
      </c>
      <c r="O1655" s="15">
        <v>6</v>
      </c>
      <c r="P1655" s="50"/>
      <c r="Q1655" s="22" t="s">
        <v>551</v>
      </c>
      <c r="R1655" s="22" t="s">
        <v>569</v>
      </c>
      <c r="S1655" s="90" t="str">
        <f>IF(Table26[[#This Row],[customerSKU]]="","",_xlfn.XLOOKUP(Table26[[#This Row],[customerSKU]],customerSKU!G:G,customerSKU!N:N,"NOT FOUND",0,1))</f>
        <v>NOT FOUND</v>
      </c>
      <c r="T1655" s="20">
        <v>45779</v>
      </c>
      <c r="U1655" s="94">
        <v>12</v>
      </c>
      <c r="V1655" s="22" t="str">
        <f>IF(ISBLANK(Table26[[#This Row],[customerSKU]]),"",_xlfn.XLOOKUP(Table26[[#This Row],[customerSKU]],Table27[customer_SKU],Table27[case_size],"",0,1))</f>
        <v/>
      </c>
      <c r="W1655" s="117" t="str">
        <f t="shared" si="67"/>
        <v/>
      </c>
      <c r="X1655" s="22" t="str">
        <f t="shared" si="68"/>
        <v/>
      </c>
      <c r="Y1655" s="25" t="str">
        <f>IF(Table26[[#This Row],[customerSKU]]="","",_xlfn.XLOOKUP(Table26[[#This Row],[customerSKU]],Table27[customer_SKU],Table27[product_GTIN],"",0,1))</f>
        <v/>
      </c>
      <c r="Z1655" s="25" t="s">
        <v>3550</v>
      </c>
      <c r="AA1655" s="18" t="str" cm="1">
        <f t="array" ref="AA1655">IF(P1655="", "", _xlfn.XLOOKUP(P1655,#REF!,#REF!,NA,0,-1))</f>
        <v/>
      </c>
      <c r="AB1655" s="22"/>
      <c r="AC1655" s="55" t="s">
        <v>3601</v>
      </c>
      <c r="AD1655" s="55" t="str">
        <f>IF($AC1655="","",_xlfn.XLOOKUP($AC1655,'Client Info'!$C$2:$C$2497,'Client Info'!$D$2:$D$2497,"",0,1))</f>
        <v/>
      </c>
      <c r="AE1655" s="55" t="str">
        <f>IF($AC1655="","",_xlfn.XLOOKUP($AC1655,'Client Info'!$C$2:$C$2677,'Client Info'!$E$2:$E$2677,"",))</f>
        <v/>
      </c>
      <c r="AF1655" s="55" t="str">
        <f>IF($AC1655="","",_xlfn.XLOOKUP($AC1655,'Client Info'!$C$2:$C$2677,'Client Info'!$F$2:$F$2677,"",0,1))</f>
        <v/>
      </c>
      <c r="AG1655" s="55" t="s">
        <v>3601</v>
      </c>
      <c r="AH1655" s="26" t="str">
        <f>_xlfn.XLOOKUP(Table26[[#This Row],[customerSKU]],customerSKU!G:G,customerSKU!K:K,"NA",0,1)</f>
        <v>NA</v>
      </c>
      <c r="AI1655" s="43" t="str">
        <f>_xlfn.XLOOKUP(Table26[[#This Row],[customerSKU]],customerSKU!G:G,customerSKU!O:O,"not found",0,1)</f>
        <v>not found</v>
      </c>
      <c r="AJ1655" s="22" t="e">
        <f>Table26[[#This Row],[unitprice]]*Table26[[#This Row],[quantity_unit]]</f>
        <v>#VALUE!</v>
      </c>
      <c r="AK1655" s="227" t="e" cm="1">
        <f t="array" ref="AK16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6" spans="1:37" ht="18" customHeight="1">
      <c r="A1656" s="42">
        <v>580</v>
      </c>
      <c r="B1656" s="42" t="s">
        <v>3357</v>
      </c>
      <c r="C1656" s="53" t="s">
        <v>3494</v>
      </c>
      <c r="E1656" s="20"/>
      <c r="F16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6" s="93"/>
      <c r="I1656" s="203">
        <v>45797</v>
      </c>
      <c r="J1656" s="90" t="str">
        <f>IF(Table26[[#This Row],[customerSKU]]="","",_xlfn.XLOOKUP(Table26[[#This Row],[customerSKU]],customerSKU!G:G,customerSKU!A:A,"",0,1))</f>
        <v/>
      </c>
      <c r="K1656" s="232">
        <v>45797</v>
      </c>
      <c r="L1656" s="49" t="str">
        <f>IF(Table26[[#This Row],[customerSKU]]="","",_xlfn.XLOOKUP(Table26[[#This Row],[customerSKU]],customerSKU!G:G,customerSKU!B:B,"",0,1))</f>
        <v/>
      </c>
      <c r="M1656" s="22"/>
      <c r="N1656" s="15" t="str">
        <f>Table26[[#This Row],[po_number]]&amp;"-"&amp;Table26[[#This Row],[po_line]]</f>
        <v>-7</v>
      </c>
      <c r="O1656" s="15">
        <v>7</v>
      </c>
      <c r="P1656" s="50"/>
      <c r="Q1656" s="22" t="s">
        <v>531</v>
      </c>
      <c r="R1656" s="22" t="s">
        <v>569</v>
      </c>
      <c r="S1656" s="90" t="str">
        <f>IF(Table26[[#This Row],[customerSKU]]="","",_xlfn.XLOOKUP(Table26[[#This Row],[customerSKU]],customerSKU!G:G,customerSKU!N:N,"NOT FOUND",0,1))</f>
        <v>NOT FOUND</v>
      </c>
      <c r="T1656" s="20">
        <v>45478</v>
      </c>
      <c r="U1656" s="94">
        <v>6</v>
      </c>
      <c r="V1656" s="22" t="str">
        <f>IF(ISBLANK(Table26[[#This Row],[customerSKU]]),"",_xlfn.XLOOKUP(Table26[[#This Row],[customerSKU]],Table27[customer_SKU],Table27[case_size],"",0,1))</f>
        <v/>
      </c>
      <c r="W1656" s="117" t="str">
        <f t="shared" si="67"/>
        <v/>
      </c>
      <c r="X1656" s="22" t="str">
        <f t="shared" si="68"/>
        <v/>
      </c>
      <c r="Y1656" s="25" t="str">
        <f>IF(Table26[[#This Row],[customerSKU]]="","",_xlfn.XLOOKUP(Table26[[#This Row],[customerSKU]],Table27[customer_SKU],Table27[product_GTIN],"",0,1))</f>
        <v/>
      </c>
      <c r="Z1656" s="25" t="s">
        <v>3597</v>
      </c>
      <c r="AA1656" s="18" t="str" cm="1">
        <f t="array" ref="AA1656">IF(P1656="", "", _xlfn.XLOOKUP(P1656,#REF!,#REF!,NA,0,-1))</f>
        <v/>
      </c>
      <c r="AB1656" s="22" t="s">
        <v>18</v>
      </c>
      <c r="AC1656" s="55" t="s">
        <v>3601</v>
      </c>
      <c r="AD1656" s="55" t="str">
        <f>IF($AC1656="","",_xlfn.XLOOKUP($AC1656,'Client Info'!$C$2:$C$2497,'Client Info'!$D$2:$D$2497,"",0,1))</f>
        <v/>
      </c>
      <c r="AE1656" s="55" t="str">
        <f>IF($AC1656="","",_xlfn.XLOOKUP($AC1656,'Client Info'!$C$2:$C$2677,'Client Info'!$E$2:$E$2677,"",))</f>
        <v/>
      </c>
      <c r="AF1656" s="55" t="str">
        <f>IF($AC1656="","",_xlfn.XLOOKUP($AC1656,'Client Info'!$C$2:$C$2677,'Client Info'!$F$2:$F$2677,"",0,1))</f>
        <v/>
      </c>
      <c r="AG1656" s="55" t="s">
        <v>3601</v>
      </c>
      <c r="AH1656" s="26" t="str">
        <f>_xlfn.XLOOKUP(Table26[[#This Row],[customerSKU]],customerSKU!G:G,customerSKU!K:K,"NA",0,1)</f>
        <v>NA</v>
      </c>
      <c r="AI1656" s="43" t="str">
        <f>_xlfn.XLOOKUP(Table26[[#This Row],[customerSKU]],customerSKU!G:G,customerSKU!O:O,"not found",0,1)</f>
        <v>not found</v>
      </c>
      <c r="AJ1656" s="22" t="e">
        <f>Table26[[#This Row],[unitprice]]*Table26[[#This Row],[quantity_unit]]</f>
        <v>#VALUE!</v>
      </c>
      <c r="AK1656" s="227" t="e" cm="1">
        <f t="array" ref="AK16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7" spans="1:37" ht="18" customHeight="1">
      <c r="A1657" s="42">
        <v>581</v>
      </c>
      <c r="B1657" s="42" t="s">
        <v>3357</v>
      </c>
      <c r="C1657" s="53" t="s">
        <v>3494</v>
      </c>
      <c r="E1657" s="20"/>
      <c r="F16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7" s="93"/>
      <c r="I1657" s="203">
        <v>45797</v>
      </c>
      <c r="J1657" s="90" t="str">
        <f>IF(Table26[[#This Row],[customerSKU]]="","",_xlfn.XLOOKUP(Table26[[#This Row],[customerSKU]],customerSKU!G:G,customerSKU!A:A,"",0,1))</f>
        <v/>
      </c>
      <c r="K1657" s="232">
        <v>45797</v>
      </c>
      <c r="L1657" s="49" t="str">
        <f>IF(Table26[[#This Row],[customerSKU]]="","",_xlfn.XLOOKUP(Table26[[#This Row],[customerSKU]],customerSKU!G:G,customerSKU!B:B,"",0,1))</f>
        <v/>
      </c>
      <c r="M1657" s="22"/>
      <c r="N1657" s="15" t="str">
        <f>Table26[[#This Row],[po_number]]&amp;"-"&amp;Table26[[#This Row],[po_line]]</f>
        <v>-8</v>
      </c>
      <c r="O1657" s="15">
        <v>8</v>
      </c>
      <c r="P1657" s="50"/>
      <c r="Q1657" s="22" t="s">
        <v>1309</v>
      </c>
      <c r="R1657" s="22" t="s">
        <v>569</v>
      </c>
      <c r="S1657" s="90" t="str">
        <f>IF(Table26[[#This Row],[customerSKU]]="","",_xlfn.XLOOKUP(Table26[[#This Row],[customerSKU]],customerSKU!G:G,customerSKU!N:N,"NOT FOUND",0,1))</f>
        <v>NOT FOUND</v>
      </c>
      <c r="T1657" s="20">
        <v>45623</v>
      </c>
      <c r="U1657" s="94">
        <v>12</v>
      </c>
      <c r="V1657" s="22" t="str">
        <f>IF(ISBLANK(Table26[[#This Row],[customerSKU]]),"",_xlfn.XLOOKUP(Table26[[#This Row],[customerSKU]],Table27[customer_SKU],Table27[case_size],"",0,1))</f>
        <v/>
      </c>
      <c r="W1657" s="117" t="str">
        <f t="shared" si="67"/>
        <v/>
      </c>
      <c r="X1657" s="22" t="str">
        <f t="shared" si="68"/>
        <v/>
      </c>
      <c r="Y1657" s="25" t="str">
        <f>IF(Table26[[#This Row],[customerSKU]]="","",_xlfn.XLOOKUP(Table26[[#This Row],[customerSKU]],Table27[customer_SKU],Table27[product_GTIN],"",0,1))</f>
        <v/>
      </c>
      <c r="Z1657" s="25" t="s">
        <v>3536</v>
      </c>
      <c r="AA1657" s="18" t="str" cm="1">
        <f t="array" ref="AA1657">IF(P1657="", "", _xlfn.XLOOKUP(P1657,#REF!,#REF!,NA,0,-1))</f>
        <v/>
      </c>
      <c r="AB1657" s="22" t="s">
        <v>532</v>
      </c>
      <c r="AC1657" s="55" t="s">
        <v>3601</v>
      </c>
      <c r="AD1657" s="55" t="str">
        <f>IF($AC1657="","",_xlfn.XLOOKUP($AC1657,'Client Info'!$C$2:$C$2497,'Client Info'!$D$2:$D$2497,"",0,1))</f>
        <v/>
      </c>
      <c r="AE1657" s="55" t="str">
        <f>IF($AC1657="","",_xlfn.XLOOKUP($AC1657,'Client Info'!$C$2:$C$2677,'Client Info'!$E$2:$E$2677,"",))</f>
        <v/>
      </c>
      <c r="AF1657" s="55" t="str">
        <f>IF($AC1657="","",_xlfn.XLOOKUP($AC1657,'Client Info'!$C$2:$C$2677,'Client Info'!$F$2:$F$2677,"",0,1))</f>
        <v/>
      </c>
      <c r="AG1657" s="55" t="s">
        <v>3601</v>
      </c>
      <c r="AH1657" s="26" t="str">
        <f>_xlfn.XLOOKUP(Table26[[#This Row],[customerSKU]],customerSKU!G:G,customerSKU!K:K,"NA",0,1)</f>
        <v>NA</v>
      </c>
      <c r="AI1657" s="43" t="str">
        <f>_xlfn.XLOOKUP(Table26[[#This Row],[customerSKU]],customerSKU!G:G,customerSKU!O:O,"not found",0,1)</f>
        <v>not found</v>
      </c>
      <c r="AJ1657" s="22" t="e">
        <f>Table26[[#This Row],[unitprice]]*Table26[[#This Row],[quantity_unit]]</f>
        <v>#VALUE!</v>
      </c>
      <c r="AK1657" s="227" t="e" cm="1">
        <f t="array" ref="AK16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8" spans="1:37" ht="18" customHeight="1">
      <c r="A1658" s="42">
        <v>582</v>
      </c>
      <c r="B1658" s="42" t="s">
        <v>3357</v>
      </c>
      <c r="C1658" s="53" t="s">
        <v>3494</v>
      </c>
      <c r="E1658" s="20"/>
      <c r="F16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8" s="93"/>
      <c r="I1658" s="203">
        <v>45797</v>
      </c>
      <c r="J1658" s="90" t="str">
        <f>IF(Table26[[#This Row],[customerSKU]]="","",_xlfn.XLOOKUP(Table26[[#This Row],[customerSKU]],customerSKU!G:G,customerSKU!A:A,"",0,1))</f>
        <v/>
      </c>
      <c r="K1658" s="232">
        <v>45797</v>
      </c>
      <c r="L1658" s="49" t="str">
        <f>IF(Table26[[#This Row],[customerSKU]]="","",_xlfn.XLOOKUP(Table26[[#This Row],[customerSKU]],customerSKU!G:G,customerSKU!B:B,"",0,1))</f>
        <v/>
      </c>
      <c r="M1658" s="22"/>
      <c r="N1658" s="15" t="str">
        <f>Table26[[#This Row],[po_number]]&amp;"-"&amp;Table26[[#This Row],[po_line]]</f>
        <v>-9</v>
      </c>
      <c r="O1658" s="15">
        <v>9</v>
      </c>
      <c r="P1658" s="50"/>
      <c r="Q1658" s="22" t="s">
        <v>559</v>
      </c>
      <c r="R1658" s="22" t="s">
        <v>569</v>
      </c>
      <c r="S1658" s="90" t="str">
        <f>IF(Table26[[#This Row],[customerSKU]]="","",_xlfn.XLOOKUP(Table26[[#This Row],[customerSKU]],customerSKU!G:G,customerSKU!N:N,"NOT FOUND",0,1))</f>
        <v>NOT FOUND</v>
      </c>
      <c r="T1658" s="20">
        <v>45740</v>
      </c>
      <c r="U1658" s="94">
        <v>12</v>
      </c>
      <c r="V1658" s="22" t="str">
        <f>IF(ISBLANK(Table26[[#This Row],[customerSKU]]),"",_xlfn.XLOOKUP(Table26[[#This Row],[customerSKU]],Table27[customer_SKU],Table27[case_size],"",0,1))</f>
        <v/>
      </c>
      <c r="W1658" s="117" t="str">
        <f t="shared" si="67"/>
        <v/>
      </c>
      <c r="X1658" s="22" t="str">
        <f t="shared" si="68"/>
        <v/>
      </c>
      <c r="Y1658" s="25" t="str">
        <f>IF(Table26[[#This Row],[customerSKU]]="","",_xlfn.XLOOKUP(Table26[[#This Row],[customerSKU]],Table27[customer_SKU],Table27[product_GTIN],"",0,1))</f>
        <v/>
      </c>
      <c r="Z1658" s="25" t="s">
        <v>3527</v>
      </c>
      <c r="AA1658" s="18" t="str" cm="1">
        <f t="array" ref="AA1658">IF(P1658="", "", _xlfn.XLOOKUP(P1658,#REF!,#REF!,NA,0,-1))</f>
        <v/>
      </c>
      <c r="AB1658" s="22"/>
      <c r="AC1658" s="55" t="s">
        <v>3601</v>
      </c>
      <c r="AD1658" s="55" t="str">
        <f>IF($AC1658="","",_xlfn.XLOOKUP($AC1658,'Client Info'!$C$2:$C$2497,'Client Info'!$D$2:$D$2497,"",0,1))</f>
        <v/>
      </c>
      <c r="AE1658" s="55" t="str">
        <f>IF($AC1658="","",_xlfn.XLOOKUP($AC1658,'Client Info'!$C$2:$C$2677,'Client Info'!$E$2:$E$2677,"",))</f>
        <v/>
      </c>
      <c r="AF1658" s="55" t="str">
        <f>IF($AC1658="","",_xlfn.XLOOKUP($AC1658,'Client Info'!$C$2:$C$2677,'Client Info'!$F$2:$F$2677,"",0,1))</f>
        <v/>
      </c>
      <c r="AG1658" s="55" t="s">
        <v>3601</v>
      </c>
      <c r="AH1658" s="26" t="str">
        <f>_xlfn.XLOOKUP(Table26[[#This Row],[customerSKU]],customerSKU!G:G,customerSKU!K:K,"NA",0,1)</f>
        <v>NA</v>
      </c>
      <c r="AI1658" s="43" t="str">
        <f>_xlfn.XLOOKUP(Table26[[#This Row],[customerSKU]],customerSKU!G:G,customerSKU!O:O,"not found",0,1)</f>
        <v>not found</v>
      </c>
      <c r="AJ1658" s="22" t="e">
        <f>Table26[[#This Row],[unitprice]]*Table26[[#This Row],[quantity_unit]]</f>
        <v>#VALUE!</v>
      </c>
      <c r="AK1658" s="227" t="e" cm="1">
        <f t="array" ref="AK16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59" spans="1:37" ht="18" customHeight="1">
      <c r="A1659" s="42">
        <v>583</v>
      </c>
      <c r="B1659" s="42" t="s">
        <v>3357</v>
      </c>
      <c r="C1659" s="53" t="s">
        <v>3494</v>
      </c>
      <c r="E1659" s="20"/>
      <c r="F16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59" s="93"/>
      <c r="I1659" s="203">
        <v>45797</v>
      </c>
      <c r="J1659" s="90" t="str">
        <f>IF(Table26[[#This Row],[customerSKU]]="","",_xlfn.XLOOKUP(Table26[[#This Row],[customerSKU]],customerSKU!G:G,customerSKU!A:A,"",0,1))</f>
        <v/>
      </c>
      <c r="K1659" s="232">
        <v>45797</v>
      </c>
      <c r="L1659" s="49" t="str">
        <f>IF(Table26[[#This Row],[customerSKU]]="","",_xlfn.XLOOKUP(Table26[[#This Row],[customerSKU]],customerSKU!G:G,customerSKU!B:B,"",0,1))</f>
        <v/>
      </c>
      <c r="M1659" s="22"/>
      <c r="N1659" s="15" t="str">
        <f>Table26[[#This Row],[po_number]]&amp;"-"&amp;Table26[[#This Row],[po_line]]</f>
        <v>-1</v>
      </c>
      <c r="O1659" s="15">
        <v>1</v>
      </c>
      <c r="P1659" s="50"/>
      <c r="Q1659" s="22" t="s">
        <v>585</v>
      </c>
      <c r="R1659" s="22" t="s">
        <v>569</v>
      </c>
      <c r="S1659" s="90" t="str">
        <f>IF(Table26[[#This Row],[customerSKU]]="","",_xlfn.XLOOKUP(Table26[[#This Row],[customerSKU]],customerSKU!G:G,customerSKU!N:N,"NOT FOUND",0,1))</f>
        <v>NOT FOUND</v>
      </c>
      <c r="T1659" s="20">
        <v>45777</v>
      </c>
      <c r="U1659" s="94">
        <v>24</v>
      </c>
      <c r="V1659" s="22" t="str">
        <f>IF(ISBLANK(Table26[[#This Row],[customerSKU]]),"",_xlfn.XLOOKUP(Table26[[#This Row],[customerSKU]],Table27[customer_SKU],Table27[case_size],"",0,1))</f>
        <v/>
      </c>
      <c r="W1659" s="117" t="str">
        <f t="shared" si="67"/>
        <v/>
      </c>
      <c r="X1659" s="22" t="str">
        <f t="shared" si="68"/>
        <v/>
      </c>
      <c r="Y1659" s="25" t="str">
        <f>IF(Table26[[#This Row],[customerSKU]]="","",_xlfn.XLOOKUP(Table26[[#This Row],[customerSKU]],Table27[customer_SKU],Table27[product_GTIN],"",0,1))</f>
        <v/>
      </c>
      <c r="Z1659" s="25" t="s">
        <v>3603</v>
      </c>
      <c r="AA1659" s="18" t="str" cm="1">
        <f t="array" ref="AA1659">IF(P1659="", "", _xlfn.XLOOKUP(P1659,#REF!,#REF!,NA,0,-1))</f>
        <v/>
      </c>
      <c r="AB1659" s="22"/>
      <c r="AC1659" s="55" t="s">
        <v>3604</v>
      </c>
      <c r="AD1659" s="55" t="str">
        <f>IF($AC1659="","",_xlfn.XLOOKUP($AC1659,'Client Info'!$C$2:$C$2497,'Client Info'!$D$2:$D$2497,"",0,1))</f>
        <v/>
      </c>
      <c r="AE1659" s="55" t="str">
        <f>IF($AC1659="","",_xlfn.XLOOKUP($AC1659,'Client Info'!$C$2:$C$2677,'Client Info'!$E$2:$E$2677,"",))</f>
        <v/>
      </c>
      <c r="AF1659" s="55" t="str">
        <f>IF($AC1659="","",_xlfn.XLOOKUP($AC1659,'Client Info'!$C$2:$C$2677,'Client Info'!$F$2:$F$2677,"",0,1))</f>
        <v/>
      </c>
      <c r="AG1659" s="55" t="s">
        <v>3604</v>
      </c>
      <c r="AH1659" s="26" t="str">
        <f>_xlfn.XLOOKUP(Table26[[#This Row],[customerSKU]],customerSKU!G:G,customerSKU!K:K,"NA",0,1)</f>
        <v>NA</v>
      </c>
      <c r="AI1659" s="43" t="str">
        <f>_xlfn.XLOOKUP(Table26[[#This Row],[customerSKU]],customerSKU!G:G,customerSKU!O:O,"not found",0,1)</f>
        <v>not found</v>
      </c>
      <c r="AJ1659" s="22" t="e">
        <f>Table26[[#This Row],[unitprice]]*Table26[[#This Row],[quantity_unit]]</f>
        <v>#VALUE!</v>
      </c>
      <c r="AK1659" s="227" t="e" cm="1">
        <f t="array" ref="AK16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0" spans="1:37" ht="18" customHeight="1">
      <c r="A1660" s="42">
        <v>584</v>
      </c>
      <c r="B1660" s="42" t="s">
        <v>3357</v>
      </c>
      <c r="C1660" s="53" t="s">
        <v>3494</v>
      </c>
      <c r="E1660" s="20"/>
      <c r="F16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0" s="93"/>
      <c r="I1660" s="203">
        <v>45797</v>
      </c>
      <c r="J1660" s="90" t="str">
        <f>IF(Table26[[#This Row],[customerSKU]]="","",_xlfn.XLOOKUP(Table26[[#This Row],[customerSKU]],customerSKU!G:G,customerSKU!A:A,"",0,1))</f>
        <v/>
      </c>
      <c r="K1660" s="232">
        <v>45797</v>
      </c>
      <c r="L1660" s="49" t="str">
        <f>IF(Table26[[#This Row],[customerSKU]]="","",_xlfn.XLOOKUP(Table26[[#This Row],[customerSKU]],customerSKU!G:G,customerSKU!B:B,"",0,1))</f>
        <v/>
      </c>
      <c r="M1660" s="22"/>
      <c r="N1660" s="15" t="str">
        <f>Table26[[#This Row],[po_number]]&amp;"-"&amp;Table26[[#This Row],[po_line]]</f>
        <v>-2</v>
      </c>
      <c r="O1660" s="15">
        <v>2</v>
      </c>
      <c r="P1660" s="50"/>
      <c r="Q1660" s="22" t="s">
        <v>591</v>
      </c>
      <c r="R1660" s="22" t="s">
        <v>569</v>
      </c>
      <c r="S1660" s="90" t="str">
        <f>IF(Table26[[#This Row],[customerSKU]]="","",_xlfn.XLOOKUP(Table26[[#This Row],[customerSKU]],customerSKU!G:G,customerSKU!N:N,"NOT FOUND",0,1))</f>
        <v>NOT FOUND</v>
      </c>
      <c r="T1660" s="20">
        <v>45772</v>
      </c>
      <c r="U1660" s="94">
        <v>36</v>
      </c>
      <c r="V1660" s="22" t="str">
        <f>IF(ISBLANK(Table26[[#This Row],[customerSKU]]),"",_xlfn.XLOOKUP(Table26[[#This Row],[customerSKU]],Table27[customer_SKU],Table27[case_size],"",0,1))</f>
        <v/>
      </c>
      <c r="W1660" s="117" t="str">
        <f t="shared" si="67"/>
        <v/>
      </c>
      <c r="X1660" s="22" t="str">
        <f t="shared" si="68"/>
        <v/>
      </c>
      <c r="Y1660" s="25" t="str">
        <f>IF(Table26[[#This Row],[customerSKU]]="","",_xlfn.XLOOKUP(Table26[[#This Row],[customerSKU]],Table27[customer_SKU],Table27[product_GTIN],"",0,1))</f>
        <v/>
      </c>
      <c r="Z1660" s="25" t="s">
        <v>3525</v>
      </c>
      <c r="AA1660" s="18" t="str" cm="1">
        <f t="array" ref="AA1660">IF(P1660="", "", _xlfn.XLOOKUP(P1660,#REF!,#REF!,NA,0,-1))</f>
        <v/>
      </c>
      <c r="AB1660" s="22"/>
      <c r="AC1660" s="55" t="s">
        <v>3604</v>
      </c>
      <c r="AD1660" s="55" t="str">
        <f>IF($AC1660="","",_xlfn.XLOOKUP($AC1660,'Client Info'!$C$2:$C$2497,'Client Info'!$D$2:$D$2497,"",0,1))</f>
        <v/>
      </c>
      <c r="AE1660" s="55" t="str">
        <f>IF($AC1660="","",_xlfn.XLOOKUP($AC1660,'Client Info'!$C$2:$C$2677,'Client Info'!$E$2:$E$2677,"",))</f>
        <v/>
      </c>
      <c r="AF1660" s="55" t="str">
        <f>IF($AC1660="","",_xlfn.XLOOKUP($AC1660,'Client Info'!$C$2:$C$2677,'Client Info'!$F$2:$F$2677,"",0,1))</f>
        <v/>
      </c>
      <c r="AG1660" s="55" t="s">
        <v>3604</v>
      </c>
      <c r="AH1660" s="26" t="str">
        <f>_xlfn.XLOOKUP(Table26[[#This Row],[customerSKU]],customerSKU!G:G,customerSKU!K:K,"NA",0,1)</f>
        <v>NA</v>
      </c>
      <c r="AI1660" s="43" t="str">
        <f>_xlfn.XLOOKUP(Table26[[#This Row],[customerSKU]],customerSKU!G:G,customerSKU!O:O,"not found",0,1)</f>
        <v>not found</v>
      </c>
      <c r="AJ1660" s="22" t="e">
        <f>Table26[[#This Row],[unitprice]]*Table26[[#This Row],[quantity_unit]]</f>
        <v>#VALUE!</v>
      </c>
      <c r="AK1660" s="227" t="e" cm="1">
        <f t="array" ref="AK16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1" spans="1:37" ht="18" customHeight="1">
      <c r="A1661" s="42">
        <v>585</v>
      </c>
      <c r="B1661" s="42" t="s">
        <v>3357</v>
      </c>
      <c r="C1661" s="53" t="s">
        <v>3494</v>
      </c>
      <c r="E1661" s="20"/>
      <c r="F16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1" s="93"/>
      <c r="I1661" s="203">
        <v>45797</v>
      </c>
      <c r="J1661" s="90" t="str">
        <f>IF(Table26[[#This Row],[customerSKU]]="","",_xlfn.XLOOKUP(Table26[[#This Row],[customerSKU]],customerSKU!G:G,customerSKU!A:A,"",0,1))</f>
        <v/>
      </c>
      <c r="K1661" s="232">
        <v>45797</v>
      </c>
      <c r="L1661" s="49" t="str">
        <f>IF(Table26[[#This Row],[customerSKU]]="","",_xlfn.XLOOKUP(Table26[[#This Row],[customerSKU]],customerSKU!G:G,customerSKU!B:B,"",0,1))</f>
        <v/>
      </c>
      <c r="M1661" s="22"/>
      <c r="N1661" s="15" t="str">
        <f>Table26[[#This Row],[po_number]]&amp;"-"&amp;Table26[[#This Row],[po_line]]</f>
        <v>-3</v>
      </c>
      <c r="O1661" s="15">
        <v>3</v>
      </c>
      <c r="P1661" s="50"/>
      <c r="Q1661" s="22" t="s">
        <v>1312</v>
      </c>
      <c r="R1661" s="22" t="s">
        <v>569</v>
      </c>
      <c r="S1661" s="90" t="str">
        <f>IF(Table26[[#This Row],[customerSKU]]="","",_xlfn.XLOOKUP(Table26[[#This Row],[customerSKU]],customerSKU!G:G,customerSKU!N:N,"NOT FOUND",0,1))</f>
        <v>NOT FOUND</v>
      </c>
      <c r="T1661" s="20">
        <v>45660</v>
      </c>
      <c r="U1661" s="94">
        <v>36</v>
      </c>
      <c r="V1661" s="22" t="str">
        <f>IF(ISBLANK(Table26[[#This Row],[customerSKU]]),"",_xlfn.XLOOKUP(Table26[[#This Row],[customerSKU]],Table27[customer_SKU],Table27[case_size],"",0,1))</f>
        <v/>
      </c>
      <c r="W1661" s="117" t="str">
        <f t="shared" si="67"/>
        <v/>
      </c>
      <c r="X1661" s="22" t="str">
        <f t="shared" si="68"/>
        <v/>
      </c>
      <c r="Y1661" s="25" t="str">
        <f>IF(Table26[[#This Row],[customerSKU]]="","",_xlfn.XLOOKUP(Table26[[#This Row],[customerSKU]],Table27[customer_SKU],Table27[product_GTIN],"",0,1))</f>
        <v/>
      </c>
      <c r="Z1661" s="25" t="s">
        <v>3605</v>
      </c>
      <c r="AA1661" s="18" t="str" cm="1">
        <f t="array" ref="AA1661">IF(P1661="", "", _xlfn.XLOOKUP(P1661,#REF!,#REF!,NA,0,-1))</f>
        <v/>
      </c>
      <c r="AB1661" s="22"/>
      <c r="AC1661" s="55" t="s">
        <v>3604</v>
      </c>
      <c r="AD1661" s="55" t="str">
        <f>IF($AC1661="","",_xlfn.XLOOKUP($AC1661,'Client Info'!$C$2:$C$2497,'Client Info'!$D$2:$D$2497,"",0,1))</f>
        <v/>
      </c>
      <c r="AE1661" s="55" t="str">
        <f>IF($AC1661="","",_xlfn.XLOOKUP($AC1661,'Client Info'!$C$2:$C$2677,'Client Info'!$E$2:$E$2677,"",))</f>
        <v/>
      </c>
      <c r="AF1661" s="55" t="str">
        <f>IF($AC1661="","",_xlfn.XLOOKUP($AC1661,'Client Info'!$C$2:$C$2677,'Client Info'!$F$2:$F$2677,"",0,1))</f>
        <v/>
      </c>
      <c r="AG1661" s="55" t="s">
        <v>3604</v>
      </c>
      <c r="AH1661" s="26" t="str">
        <f>_xlfn.XLOOKUP(Table26[[#This Row],[customerSKU]],customerSKU!G:G,customerSKU!K:K,"NA",0,1)</f>
        <v>NA</v>
      </c>
      <c r="AI1661" s="43" t="str">
        <f>_xlfn.XLOOKUP(Table26[[#This Row],[customerSKU]],customerSKU!G:G,customerSKU!O:O,"not found",0,1)</f>
        <v>not found</v>
      </c>
      <c r="AJ1661" s="22" t="e">
        <f>Table26[[#This Row],[unitprice]]*Table26[[#This Row],[quantity_unit]]</f>
        <v>#VALUE!</v>
      </c>
      <c r="AK1661" s="227" t="e" cm="1">
        <f t="array" ref="AK16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2" spans="1:37" ht="18" customHeight="1">
      <c r="A1662" s="42">
        <v>586</v>
      </c>
      <c r="B1662" s="42" t="s">
        <v>3357</v>
      </c>
      <c r="C1662" s="53" t="s">
        <v>3494</v>
      </c>
      <c r="E1662" s="20"/>
      <c r="F16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2" s="93"/>
      <c r="I1662" s="203">
        <v>45797</v>
      </c>
      <c r="J1662" s="90" t="str">
        <f>IF(Table26[[#This Row],[customerSKU]]="","",_xlfn.XLOOKUP(Table26[[#This Row],[customerSKU]],customerSKU!G:G,customerSKU!A:A,"",0,1))</f>
        <v/>
      </c>
      <c r="K1662" s="232">
        <v>45797</v>
      </c>
      <c r="L1662" s="49" t="str">
        <f>IF(Table26[[#This Row],[customerSKU]]="","",_xlfn.XLOOKUP(Table26[[#This Row],[customerSKU]],customerSKU!G:G,customerSKU!B:B,"",0,1))</f>
        <v/>
      </c>
      <c r="M1662" s="22"/>
      <c r="N1662" s="15" t="str">
        <f>Table26[[#This Row],[po_number]]&amp;"-"&amp;Table26[[#This Row],[po_line]]</f>
        <v>-4</v>
      </c>
      <c r="O1662" s="15">
        <v>4</v>
      </c>
      <c r="P1662" s="50"/>
      <c r="Q1662" s="22" t="s">
        <v>1862</v>
      </c>
      <c r="R1662" s="22" t="s">
        <v>569</v>
      </c>
      <c r="S1662" s="90" t="str">
        <f>IF(Table26[[#This Row],[customerSKU]]="","",_xlfn.XLOOKUP(Table26[[#This Row],[customerSKU]],customerSKU!G:G,customerSKU!N:N,"NOT FOUND",0,1))</f>
        <v>NOT FOUND</v>
      </c>
      <c r="T1662" s="20">
        <v>45594</v>
      </c>
      <c r="U1662" s="94">
        <v>24</v>
      </c>
      <c r="V1662" s="22" t="str">
        <f>IF(ISBLANK(Table26[[#This Row],[customerSKU]]),"",_xlfn.XLOOKUP(Table26[[#This Row],[customerSKU]],Table27[customer_SKU],Table27[case_size],"",0,1))</f>
        <v/>
      </c>
      <c r="W1662" s="117" t="str">
        <f t="shared" si="67"/>
        <v/>
      </c>
      <c r="X1662" s="22" t="str">
        <f t="shared" si="68"/>
        <v/>
      </c>
      <c r="Y1662" s="25" t="str">
        <f>IF(Table26[[#This Row],[customerSKU]]="","",_xlfn.XLOOKUP(Table26[[#This Row],[customerSKU]],Table27[customer_SKU],Table27[product_GTIN],"",0,1))</f>
        <v/>
      </c>
      <c r="Z1662" s="25" t="s">
        <v>3526</v>
      </c>
      <c r="AA1662" s="18" t="str" cm="1">
        <f t="array" ref="AA1662">IF(P1662="", "", _xlfn.XLOOKUP(P1662,#REF!,#REF!,NA,0,-1))</f>
        <v/>
      </c>
      <c r="AB1662" s="22" t="s">
        <v>532</v>
      </c>
      <c r="AC1662" s="55" t="s">
        <v>3604</v>
      </c>
      <c r="AD1662" s="55" t="str">
        <f>IF($AC1662="","",_xlfn.XLOOKUP($AC1662,'Client Info'!$C$2:$C$2497,'Client Info'!$D$2:$D$2497,"",0,1))</f>
        <v/>
      </c>
      <c r="AE1662" s="55" t="str">
        <f>IF($AC1662="","",_xlfn.XLOOKUP($AC1662,'Client Info'!$C$2:$C$2677,'Client Info'!$E$2:$E$2677,"",))</f>
        <v/>
      </c>
      <c r="AF1662" s="55" t="str">
        <f>IF($AC1662="","",_xlfn.XLOOKUP($AC1662,'Client Info'!$C$2:$C$2677,'Client Info'!$F$2:$F$2677,"",0,1))</f>
        <v/>
      </c>
      <c r="AG1662" s="55" t="s">
        <v>3604</v>
      </c>
      <c r="AH1662" s="26" t="str">
        <f>_xlfn.XLOOKUP(Table26[[#This Row],[customerSKU]],customerSKU!G:G,customerSKU!K:K,"NA",0,1)</f>
        <v>NA</v>
      </c>
      <c r="AI1662" s="43" t="str">
        <f>_xlfn.XLOOKUP(Table26[[#This Row],[customerSKU]],customerSKU!G:G,customerSKU!O:O,"not found",0,1)</f>
        <v>not found</v>
      </c>
      <c r="AJ1662" s="22" t="e">
        <f>Table26[[#This Row],[unitprice]]*Table26[[#This Row],[quantity_unit]]</f>
        <v>#VALUE!</v>
      </c>
      <c r="AK1662" s="227" t="e" cm="1">
        <f t="array" ref="AK16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3" spans="1:37" ht="18" customHeight="1">
      <c r="A1663" s="42">
        <v>587</v>
      </c>
      <c r="B1663" s="42" t="s">
        <v>3357</v>
      </c>
      <c r="C1663" s="53" t="s">
        <v>3494</v>
      </c>
      <c r="E1663" s="20"/>
      <c r="F16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3" s="93"/>
      <c r="I1663" s="203">
        <v>45797</v>
      </c>
      <c r="J1663" s="90" t="str">
        <f>IF(Table26[[#This Row],[customerSKU]]="","",_xlfn.XLOOKUP(Table26[[#This Row],[customerSKU]],customerSKU!G:G,customerSKU!A:A,"",0,1))</f>
        <v/>
      </c>
      <c r="K1663" s="232">
        <v>45797</v>
      </c>
      <c r="L1663" s="49" t="str">
        <f>IF(Table26[[#This Row],[customerSKU]]="","",_xlfn.XLOOKUP(Table26[[#This Row],[customerSKU]],customerSKU!G:G,customerSKU!B:B,"",0,1))</f>
        <v/>
      </c>
      <c r="M1663" s="22"/>
      <c r="N1663" s="15" t="str">
        <f>Table26[[#This Row],[po_number]]&amp;"-"&amp;Table26[[#This Row],[po_line]]</f>
        <v>-5</v>
      </c>
      <c r="O1663" s="15">
        <v>5</v>
      </c>
      <c r="P1663" s="50"/>
      <c r="Q1663" s="22" t="s">
        <v>543</v>
      </c>
      <c r="R1663" s="22" t="s">
        <v>569</v>
      </c>
      <c r="S1663" s="90" t="str">
        <f>IF(Table26[[#This Row],[customerSKU]]="","",_xlfn.XLOOKUP(Table26[[#This Row],[customerSKU]],customerSKU!G:G,customerSKU!N:N,"NOT FOUND",0,1))</f>
        <v>NOT FOUND</v>
      </c>
      <c r="T1663" s="20">
        <v>45793</v>
      </c>
      <c r="U1663" s="94">
        <v>12</v>
      </c>
      <c r="V1663" s="22" t="str">
        <f>IF(ISBLANK(Table26[[#This Row],[customerSKU]]),"",_xlfn.XLOOKUP(Table26[[#This Row],[customerSKU]],Table27[customer_SKU],Table27[case_size],"",0,1))</f>
        <v/>
      </c>
      <c r="W1663" s="117" t="str">
        <f t="shared" si="67"/>
        <v/>
      </c>
      <c r="X1663" s="22" t="str">
        <f t="shared" si="68"/>
        <v/>
      </c>
      <c r="Y1663" s="25" t="str">
        <f>IF(Table26[[#This Row],[customerSKU]]="","",_xlfn.XLOOKUP(Table26[[#This Row],[customerSKU]],Table27[customer_SKU],Table27[product_GTIN],"",0,1))</f>
        <v/>
      </c>
      <c r="Z1663" s="25" t="s">
        <v>3599</v>
      </c>
      <c r="AA1663" s="18" t="str" cm="1">
        <f t="array" ref="AA1663">IF(P1663="", "", _xlfn.XLOOKUP(P1663,#REF!,#REF!,NA,0,-1))</f>
        <v/>
      </c>
      <c r="AB1663" s="22"/>
      <c r="AC1663" s="55" t="s">
        <v>3604</v>
      </c>
      <c r="AD1663" s="55" t="str">
        <f>IF($AC1663="","",_xlfn.XLOOKUP($AC1663,'Client Info'!$C$2:$C$2497,'Client Info'!$D$2:$D$2497,"",0,1))</f>
        <v/>
      </c>
      <c r="AE1663" s="55" t="str">
        <f>IF($AC1663="","",_xlfn.XLOOKUP($AC1663,'Client Info'!$C$2:$C$2677,'Client Info'!$E$2:$E$2677,"",))</f>
        <v/>
      </c>
      <c r="AF1663" s="55" t="str">
        <f>IF($AC1663="","",_xlfn.XLOOKUP($AC1663,'Client Info'!$C$2:$C$2677,'Client Info'!$F$2:$F$2677,"",0,1))</f>
        <v/>
      </c>
      <c r="AG1663" s="55" t="s">
        <v>3604</v>
      </c>
      <c r="AH1663" s="26" t="str">
        <f>_xlfn.XLOOKUP(Table26[[#This Row],[customerSKU]],customerSKU!G:G,customerSKU!K:K,"NA",0,1)</f>
        <v>NA</v>
      </c>
      <c r="AI1663" s="43" t="str">
        <f>_xlfn.XLOOKUP(Table26[[#This Row],[customerSKU]],customerSKU!G:G,customerSKU!O:O,"not found",0,1)</f>
        <v>not found</v>
      </c>
      <c r="AJ1663" s="22" t="e">
        <f>Table26[[#This Row],[unitprice]]*Table26[[#This Row],[quantity_unit]]</f>
        <v>#VALUE!</v>
      </c>
      <c r="AK1663" s="227" t="e" cm="1">
        <f t="array" ref="AK16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4" spans="1:37" ht="18" customHeight="1">
      <c r="A1664" s="42">
        <v>588</v>
      </c>
      <c r="B1664" s="42" t="s">
        <v>3357</v>
      </c>
      <c r="C1664" s="53" t="s">
        <v>3494</v>
      </c>
      <c r="E1664" s="20"/>
      <c r="F16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4" s="93"/>
      <c r="I1664" s="203">
        <v>45797</v>
      </c>
      <c r="J1664" s="90" t="str">
        <f>IF(Table26[[#This Row],[customerSKU]]="","",_xlfn.XLOOKUP(Table26[[#This Row],[customerSKU]],customerSKU!G:G,customerSKU!A:A,"",0,1))</f>
        <v/>
      </c>
      <c r="K1664" s="232">
        <v>45797</v>
      </c>
      <c r="L1664" s="49" t="str">
        <f>IF(Table26[[#This Row],[customerSKU]]="","",_xlfn.XLOOKUP(Table26[[#This Row],[customerSKU]],customerSKU!G:G,customerSKU!B:B,"",0,1))</f>
        <v/>
      </c>
      <c r="M1664" s="22"/>
      <c r="N1664" s="15" t="str">
        <f>Table26[[#This Row],[po_number]]&amp;"-"&amp;Table26[[#This Row],[po_line]]</f>
        <v>-1</v>
      </c>
      <c r="O1664" s="15">
        <v>1</v>
      </c>
      <c r="P1664" s="50"/>
      <c r="Q1664" s="22" t="s">
        <v>3606</v>
      </c>
      <c r="R1664" s="22" t="s">
        <v>569</v>
      </c>
      <c r="S1664" s="90" t="str">
        <f>IF(Table26[[#This Row],[customerSKU]]="","",_xlfn.XLOOKUP(Table26[[#This Row],[customerSKU]],customerSKU!G:G,customerSKU!N:N,"NOT FOUND",0,1))</f>
        <v>NOT FOUND</v>
      </c>
      <c r="T1664" s="20">
        <v>45618</v>
      </c>
      <c r="U1664" s="94">
        <v>12</v>
      </c>
      <c r="V1664" s="22" t="str">
        <f>IF(ISBLANK(Table26[[#This Row],[customerSKU]]),"",_xlfn.XLOOKUP(Table26[[#This Row],[customerSKU]],Table27[customer_SKU],Table27[case_size],"",0,1))</f>
        <v/>
      </c>
      <c r="W1664" s="117" t="str">
        <f t="shared" si="67"/>
        <v/>
      </c>
      <c r="X1664" s="22" t="str">
        <f t="shared" si="68"/>
        <v/>
      </c>
      <c r="Y1664" s="25" t="str">
        <f>IF(Table26[[#This Row],[customerSKU]]="","",_xlfn.XLOOKUP(Table26[[#This Row],[customerSKU]],Table27[customer_SKU],Table27[product_GTIN],"",0,1))</f>
        <v/>
      </c>
      <c r="Z1664" s="25" t="s">
        <v>3522</v>
      </c>
      <c r="AA1664" s="18" t="str" cm="1">
        <f t="array" ref="AA1664">IF(P1664="", "", _xlfn.XLOOKUP(P1664,#REF!,#REF!,NA,0,-1))</f>
        <v/>
      </c>
      <c r="AB1664" s="22"/>
      <c r="AC1664" s="55" t="s">
        <v>111</v>
      </c>
      <c r="AD1664" s="55" t="str">
        <f>IF($AC1664="","",_xlfn.XLOOKUP($AC1664,'Client Info'!$C$2:$C$2497,'Client Info'!$D$2:$D$2497,"",0,1))</f>
        <v/>
      </c>
      <c r="AE1664" s="55" t="str">
        <f>IF($AC1664="","",_xlfn.XLOOKUP($AC1664,'Client Info'!$C$2:$C$2677,'Client Info'!$E$2:$E$2677,"",))</f>
        <v/>
      </c>
      <c r="AF1664" s="55" t="str">
        <f>IF($AC1664="","",_xlfn.XLOOKUP($AC1664,'Client Info'!$C$2:$C$2677,'Client Info'!$F$2:$F$2677,"",0,1))</f>
        <v/>
      </c>
      <c r="AG1664" s="55" t="s">
        <v>111</v>
      </c>
      <c r="AH1664" s="26" t="str">
        <f>_xlfn.XLOOKUP(Table26[[#This Row],[customerSKU]],customerSKU!G:G,customerSKU!K:K,"NA",0,1)</f>
        <v>NA</v>
      </c>
      <c r="AI1664" s="43" t="str">
        <f>_xlfn.XLOOKUP(Table26[[#This Row],[customerSKU]],customerSKU!G:G,customerSKU!O:O,"not found",0,1)</f>
        <v>not found</v>
      </c>
      <c r="AJ1664" s="22" t="e">
        <f>Table26[[#This Row],[unitprice]]*Table26[[#This Row],[quantity_unit]]</f>
        <v>#VALUE!</v>
      </c>
      <c r="AK1664" s="227" t="e" cm="1">
        <f t="array" ref="AK16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5" spans="1:37" ht="18" customHeight="1">
      <c r="A1665" s="42">
        <v>589</v>
      </c>
      <c r="B1665" s="42" t="s">
        <v>3357</v>
      </c>
      <c r="C1665" s="53" t="s">
        <v>3494</v>
      </c>
      <c r="E1665" s="20"/>
      <c r="F16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5" s="93"/>
      <c r="I1665" s="203">
        <v>45797</v>
      </c>
      <c r="J1665" s="90" t="str">
        <f>IF(Table26[[#This Row],[customerSKU]]="","",_xlfn.XLOOKUP(Table26[[#This Row],[customerSKU]],customerSKU!G:G,customerSKU!A:A,"",0,1))</f>
        <v/>
      </c>
      <c r="K1665" s="232">
        <v>45797</v>
      </c>
      <c r="L1665" s="49" t="str">
        <f>IF(Table26[[#This Row],[customerSKU]]="","",_xlfn.XLOOKUP(Table26[[#This Row],[customerSKU]],customerSKU!G:G,customerSKU!B:B,"",0,1))</f>
        <v/>
      </c>
      <c r="M1665" s="22"/>
      <c r="N1665" s="15" t="str">
        <f>Table26[[#This Row],[po_number]]&amp;"-"&amp;Table26[[#This Row],[po_line]]</f>
        <v>-2</v>
      </c>
      <c r="O1665" s="15">
        <v>2</v>
      </c>
      <c r="P1665" s="50"/>
      <c r="Q1665" s="22" t="s">
        <v>574</v>
      </c>
      <c r="R1665" s="22" t="s">
        <v>569</v>
      </c>
      <c r="S1665" s="90" t="str">
        <f>IF(Table26[[#This Row],[customerSKU]]="","",_xlfn.XLOOKUP(Table26[[#This Row],[customerSKU]],customerSKU!G:G,customerSKU!N:N,"NOT FOUND",0,1))</f>
        <v>NOT FOUND</v>
      </c>
      <c r="T1665" s="20">
        <v>45772</v>
      </c>
      <c r="U1665" s="94">
        <v>48</v>
      </c>
      <c r="V1665" s="22" t="str">
        <f>IF(ISBLANK(Table26[[#This Row],[customerSKU]]),"",_xlfn.XLOOKUP(Table26[[#This Row],[customerSKU]],Table27[customer_SKU],Table27[case_size],"",0,1))</f>
        <v/>
      </c>
      <c r="W1665" s="117" t="str">
        <f t="shared" si="67"/>
        <v/>
      </c>
      <c r="X1665" s="22" t="str">
        <f t="shared" si="68"/>
        <v/>
      </c>
      <c r="Y1665" s="25" t="str">
        <f>IF(Table26[[#This Row],[customerSKU]]="","",_xlfn.XLOOKUP(Table26[[#This Row],[customerSKU]],Table27[customer_SKU],Table27[product_GTIN],"",0,1))</f>
        <v/>
      </c>
      <c r="Z1665" s="25" t="s">
        <v>3530</v>
      </c>
      <c r="AA1665" s="18" t="str" cm="1">
        <f t="array" ref="AA1665">IF(P1665="", "", _xlfn.XLOOKUP(P1665,#REF!,#REF!,NA,0,-1))</f>
        <v/>
      </c>
      <c r="AB1665" s="22"/>
      <c r="AC1665" s="55" t="s">
        <v>111</v>
      </c>
      <c r="AD1665" s="55" t="str">
        <f>IF($AC1665="","",_xlfn.XLOOKUP($AC1665,'Client Info'!$C$2:$C$2497,'Client Info'!$D$2:$D$2497,"",0,1))</f>
        <v/>
      </c>
      <c r="AE1665" s="55" t="str">
        <f>IF($AC1665="","",_xlfn.XLOOKUP($AC1665,'Client Info'!$C$2:$C$2677,'Client Info'!$E$2:$E$2677,"",))</f>
        <v/>
      </c>
      <c r="AF1665" s="55" t="str">
        <f>IF($AC1665="","",_xlfn.XLOOKUP($AC1665,'Client Info'!$C$2:$C$2677,'Client Info'!$F$2:$F$2677,"",0,1))</f>
        <v/>
      </c>
      <c r="AG1665" s="55" t="s">
        <v>111</v>
      </c>
      <c r="AH1665" s="26" t="str">
        <f>_xlfn.XLOOKUP(Table26[[#This Row],[customerSKU]],customerSKU!G:G,customerSKU!K:K,"NA",0,1)</f>
        <v>NA</v>
      </c>
      <c r="AI1665" s="43" t="str">
        <f>_xlfn.XLOOKUP(Table26[[#This Row],[customerSKU]],customerSKU!G:G,customerSKU!O:O,"not found",0,1)</f>
        <v>not found</v>
      </c>
      <c r="AJ1665" s="22" t="e">
        <f>Table26[[#This Row],[unitprice]]*Table26[[#This Row],[quantity_unit]]</f>
        <v>#VALUE!</v>
      </c>
      <c r="AK1665" s="227" t="e" cm="1">
        <f t="array" ref="AK16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6" spans="1:37" ht="18" customHeight="1">
      <c r="A1666" s="42">
        <v>590</v>
      </c>
      <c r="B1666" s="42" t="s">
        <v>3357</v>
      </c>
      <c r="C1666" s="53" t="s">
        <v>3494</v>
      </c>
      <c r="E1666" s="20"/>
      <c r="F16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6" s="93"/>
      <c r="I1666" s="203">
        <v>45797</v>
      </c>
      <c r="J1666" s="90" t="str">
        <f>IF(Table26[[#This Row],[customerSKU]]="","",_xlfn.XLOOKUP(Table26[[#This Row],[customerSKU]],customerSKU!G:G,customerSKU!A:A,"",0,1))</f>
        <v/>
      </c>
      <c r="K1666" s="232">
        <v>45797</v>
      </c>
      <c r="L1666" s="49" t="str">
        <f>IF(Table26[[#This Row],[customerSKU]]="","",_xlfn.XLOOKUP(Table26[[#This Row],[customerSKU]],customerSKU!G:G,customerSKU!B:B,"",0,1))</f>
        <v/>
      </c>
      <c r="M1666" s="22"/>
      <c r="N1666" s="15" t="str">
        <f>Table26[[#This Row],[po_number]]&amp;"-"&amp;Table26[[#This Row],[po_line]]</f>
        <v>-1</v>
      </c>
      <c r="O1666" s="15">
        <v>1</v>
      </c>
      <c r="P1666" s="50"/>
      <c r="Q1666" s="22" t="s">
        <v>1609</v>
      </c>
      <c r="R1666" s="22" t="s">
        <v>569</v>
      </c>
      <c r="S1666" s="90" t="str">
        <f>IF(Table26[[#This Row],[customerSKU]]="","",_xlfn.XLOOKUP(Table26[[#This Row],[customerSKU]],customerSKU!G:G,customerSKU!N:N,"NOT FOUND",0,1))</f>
        <v>NOT FOUND</v>
      </c>
      <c r="T1666" s="20">
        <v>45742</v>
      </c>
      <c r="U1666" s="94">
        <v>12</v>
      </c>
      <c r="V1666" s="22" t="str">
        <f>IF(ISBLANK(Table26[[#This Row],[customerSKU]]),"",_xlfn.XLOOKUP(Table26[[#This Row],[customerSKU]],Table27[customer_SKU],Table27[case_size],"",0,1))</f>
        <v/>
      </c>
      <c r="W1666" s="117" t="str">
        <f t="shared" si="67"/>
        <v/>
      </c>
      <c r="X1666" s="22" t="str">
        <f t="shared" si="68"/>
        <v/>
      </c>
      <c r="Y1666" s="25" t="str">
        <f>IF(Table26[[#This Row],[customerSKU]]="","",_xlfn.XLOOKUP(Table26[[#This Row],[customerSKU]],Table27[customer_SKU],Table27[product_GTIN],"",0,1))</f>
        <v/>
      </c>
      <c r="Z1666" s="25" t="s">
        <v>3607</v>
      </c>
      <c r="AA1666" s="18" t="str" cm="1">
        <f t="array" ref="AA1666">IF(P1666="", "", _xlfn.XLOOKUP(P1666,#REF!,#REF!,NA,0,-1))</f>
        <v/>
      </c>
      <c r="AB1666" s="22"/>
      <c r="AC1666" s="55" t="s">
        <v>3608</v>
      </c>
      <c r="AD1666" s="55" t="str">
        <f>IF($AC1666="","",_xlfn.XLOOKUP($AC1666,'Client Info'!$C$2:$C$2497,'Client Info'!$D$2:$D$2497,"",0,1))</f>
        <v/>
      </c>
      <c r="AE1666" s="55" t="str">
        <f>IF($AC1666="","",_xlfn.XLOOKUP($AC1666,'Client Info'!$C$2:$C$2677,'Client Info'!$E$2:$E$2677,"",))</f>
        <v/>
      </c>
      <c r="AF1666" s="55" t="str">
        <f>IF($AC1666="","",_xlfn.XLOOKUP($AC1666,'Client Info'!$C$2:$C$2677,'Client Info'!$F$2:$F$2677,"",0,1))</f>
        <v/>
      </c>
      <c r="AG1666" s="55" t="s">
        <v>3608</v>
      </c>
      <c r="AH1666" s="26" t="str">
        <f>_xlfn.XLOOKUP(Table26[[#This Row],[customerSKU]],customerSKU!G:G,customerSKU!K:K,"NA",0,1)</f>
        <v>NA</v>
      </c>
      <c r="AI1666" s="43" t="str">
        <f>_xlfn.XLOOKUP(Table26[[#This Row],[customerSKU]],customerSKU!G:G,customerSKU!O:O,"not found",0,1)</f>
        <v>not found</v>
      </c>
      <c r="AJ1666" s="22" t="e">
        <f>Table26[[#This Row],[unitprice]]*Table26[[#This Row],[quantity_unit]]</f>
        <v>#VALUE!</v>
      </c>
      <c r="AK1666" s="227" t="e" cm="1">
        <f t="array" ref="AK16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7" spans="1:37" ht="18" customHeight="1">
      <c r="A1667" s="42">
        <v>591</v>
      </c>
      <c r="B1667" s="42" t="s">
        <v>3357</v>
      </c>
      <c r="C1667" s="53" t="s">
        <v>3494</v>
      </c>
      <c r="E1667" s="20"/>
      <c r="F16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7" s="93"/>
      <c r="I1667" s="203">
        <v>45797</v>
      </c>
      <c r="J1667" s="90" t="str">
        <f>IF(Table26[[#This Row],[customerSKU]]="","",_xlfn.XLOOKUP(Table26[[#This Row],[customerSKU]],customerSKU!G:G,customerSKU!A:A,"",0,1))</f>
        <v/>
      </c>
      <c r="K1667" s="232">
        <v>45797</v>
      </c>
      <c r="L1667" s="49" t="str">
        <f>IF(Table26[[#This Row],[customerSKU]]="","",_xlfn.XLOOKUP(Table26[[#This Row],[customerSKU]],customerSKU!G:G,customerSKU!B:B,"",0,1))</f>
        <v/>
      </c>
      <c r="M1667" s="22"/>
      <c r="N1667" s="15" t="str">
        <f>Table26[[#This Row],[po_number]]&amp;"-"&amp;Table26[[#This Row],[po_line]]</f>
        <v>-2</v>
      </c>
      <c r="O1667" s="15">
        <v>2</v>
      </c>
      <c r="P1667" s="50"/>
      <c r="Q1667" s="22" t="s">
        <v>1575</v>
      </c>
      <c r="R1667" s="22" t="s">
        <v>569</v>
      </c>
      <c r="S1667" s="90" t="str">
        <f>IF(Table26[[#This Row],[customerSKU]]="","",_xlfn.XLOOKUP(Table26[[#This Row],[customerSKU]],customerSKU!G:G,customerSKU!N:N,"NOT FOUND",0,1))</f>
        <v>NOT FOUND</v>
      </c>
      <c r="T1667" s="20">
        <v>45742</v>
      </c>
      <c r="U1667" s="94">
        <v>12</v>
      </c>
      <c r="V1667" s="22" t="str">
        <f>IF(ISBLANK(Table26[[#This Row],[customerSKU]]),"",_xlfn.XLOOKUP(Table26[[#This Row],[customerSKU]],Table27[customer_SKU],Table27[case_size],"",0,1))</f>
        <v/>
      </c>
      <c r="W1667" s="117" t="str">
        <f t="shared" si="67"/>
        <v/>
      </c>
      <c r="X1667" s="22" t="str">
        <f t="shared" si="68"/>
        <v/>
      </c>
      <c r="Y1667" s="25" t="str">
        <f>IF(Table26[[#This Row],[customerSKU]]="","",_xlfn.XLOOKUP(Table26[[#This Row],[customerSKU]],Table27[customer_SKU],Table27[product_GTIN],"",0,1))</f>
        <v/>
      </c>
      <c r="Z1667" s="25" t="s">
        <v>3609</v>
      </c>
      <c r="AA1667" s="18" t="str" cm="1">
        <f t="array" ref="AA1667">IF(P1667="", "", _xlfn.XLOOKUP(P1667,#REF!,#REF!,NA,0,-1))</f>
        <v/>
      </c>
      <c r="AB1667" s="22"/>
      <c r="AC1667" s="55" t="s">
        <v>3608</v>
      </c>
      <c r="AD1667" s="55" t="str">
        <f>IF($AC1667="","",_xlfn.XLOOKUP($AC1667,'Client Info'!$C$2:$C$2497,'Client Info'!$D$2:$D$2497,"",0,1))</f>
        <v/>
      </c>
      <c r="AE1667" s="55" t="str">
        <f>IF($AC1667="","",_xlfn.XLOOKUP($AC1667,'Client Info'!$C$2:$C$2677,'Client Info'!$E$2:$E$2677,"",))</f>
        <v/>
      </c>
      <c r="AF1667" s="55" t="str">
        <f>IF($AC1667="","",_xlfn.XLOOKUP($AC1667,'Client Info'!$C$2:$C$2677,'Client Info'!$F$2:$F$2677,"",0,1))</f>
        <v/>
      </c>
      <c r="AG1667" s="55" t="s">
        <v>3608</v>
      </c>
      <c r="AH1667" s="26" t="str">
        <f>_xlfn.XLOOKUP(Table26[[#This Row],[customerSKU]],customerSKU!G:G,customerSKU!K:K,"NA",0,1)</f>
        <v>NA</v>
      </c>
      <c r="AI1667" s="43" t="str">
        <f>_xlfn.XLOOKUP(Table26[[#This Row],[customerSKU]],customerSKU!G:G,customerSKU!O:O,"not found",0,1)</f>
        <v>not found</v>
      </c>
      <c r="AJ1667" s="22" t="e">
        <f>Table26[[#This Row],[unitprice]]*Table26[[#This Row],[quantity_unit]]</f>
        <v>#VALUE!</v>
      </c>
      <c r="AK1667" s="227" t="e" cm="1">
        <f t="array" ref="AK16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8" spans="1:37" ht="18" customHeight="1">
      <c r="A1668" s="42">
        <v>592</v>
      </c>
      <c r="B1668" s="42" t="s">
        <v>3357</v>
      </c>
      <c r="C1668" s="53" t="s">
        <v>3494</v>
      </c>
      <c r="E1668" s="20"/>
      <c r="F16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8" s="93"/>
      <c r="I1668" s="203">
        <v>45797</v>
      </c>
      <c r="J1668" s="90" t="str">
        <f>IF(Table26[[#This Row],[customerSKU]]="","",_xlfn.XLOOKUP(Table26[[#This Row],[customerSKU]],customerSKU!G:G,customerSKU!A:A,"",0,1))</f>
        <v/>
      </c>
      <c r="K1668" s="232">
        <v>45797</v>
      </c>
      <c r="L1668" s="49" t="str">
        <f>IF(Table26[[#This Row],[customerSKU]]="","",_xlfn.XLOOKUP(Table26[[#This Row],[customerSKU]],customerSKU!G:G,customerSKU!B:B,"",0,1))</f>
        <v/>
      </c>
      <c r="M1668" s="22"/>
      <c r="N1668" s="15" t="str">
        <f>Table26[[#This Row],[po_number]]&amp;"-"&amp;Table26[[#This Row],[po_line]]</f>
        <v>-3</v>
      </c>
      <c r="O1668" s="15">
        <v>3</v>
      </c>
      <c r="P1668" s="50"/>
      <c r="Q1668" s="22" t="s">
        <v>582</v>
      </c>
      <c r="R1668" s="22" t="s">
        <v>569</v>
      </c>
      <c r="S1668" s="90" t="str">
        <f>IF(Table26[[#This Row],[customerSKU]]="","",_xlfn.XLOOKUP(Table26[[#This Row],[customerSKU]],customerSKU!G:G,customerSKU!N:N,"NOT FOUND",0,1))</f>
        <v>NOT FOUND</v>
      </c>
      <c r="T1668" s="20">
        <v>45778</v>
      </c>
      <c r="U1668" s="94">
        <v>24</v>
      </c>
      <c r="V1668" s="22" t="str">
        <f>IF(ISBLANK(Table26[[#This Row],[customerSKU]]),"",_xlfn.XLOOKUP(Table26[[#This Row],[customerSKU]],Table27[customer_SKU],Table27[case_size],"",0,1))</f>
        <v/>
      </c>
      <c r="W1668" s="117" t="str">
        <f t="shared" si="67"/>
        <v/>
      </c>
      <c r="X1668" s="22" t="str">
        <f t="shared" si="68"/>
        <v/>
      </c>
      <c r="Y1668" s="25" t="str">
        <f>IF(Table26[[#This Row],[customerSKU]]="","",_xlfn.XLOOKUP(Table26[[#This Row],[customerSKU]],Table27[customer_SKU],Table27[product_GTIN],"",0,1))</f>
        <v/>
      </c>
      <c r="Z1668" s="25" t="s">
        <v>3519</v>
      </c>
      <c r="AA1668" s="18" t="str" cm="1">
        <f t="array" ref="AA1668">IF(P1668="", "", _xlfn.XLOOKUP(P1668,#REF!,#REF!,NA,0,-1))</f>
        <v/>
      </c>
      <c r="AB1668" s="22"/>
      <c r="AC1668" s="55" t="s">
        <v>3608</v>
      </c>
      <c r="AD1668" s="55" t="str">
        <f>IF($AC1668="","",_xlfn.XLOOKUP($AC1668,'Client Info'!$C$2:$C$2497,'Client Info'!$D$2:$D$2497,"",0,1))</f>
        <v/>
      </c>
      <c r="AE1668" s="55" t="str">
        <f>IF($AC1668="","",_xlfn.XLOOKUP($AC1668,'Client Info'!$C$2:$C$2677,'Client Info'!$E$2:$E$2677,"",))</f>
        <v/>
      </c>
      <c r="AF1668" s="55" t="str">
        <f>IF($AC1668="","",_xlfn.XLOOKUP($AC1668,'Client Info'!$C$2:$C$2677,'Client Info'!$F$2:$F$2677,"",0,1))</f>
        <v/>
      </c>
      <c r="AG1668" s="55" t="s">
        <v>3608</v>
      </c>
      <c r="AH1668" s="26" t="str">
        <f>_xlfn.XLOOKUP(Table26[[#This Row],[customerSKU]],customerSKU!G:G,customerSKU!K:K,"NA",0,1)</f>
        <v>NA</v>
      </c>
      <c r="AI1668" s="43" t="str">
        <f>_xlfn.XLOOKUP(Table26[[#This Row],[customerSKU]],customerSKU!G:G,customerSKU!O:O,"not found",0,1)</f>
        <v>not found</v>
      </c>
      <c r="AJ1668" s="22" t="e">
        <f>Table26[[#This Row],[unitprice]]*Table26[[#This Row],[quantity_unit]]</f>
        <v>#VALUE!</v>
      </c>
      <c r="AK1668" s="227" t="e" cm="1">
        <f t="array" ref="AK16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69" spans="1:37" ht="18" customHeight="1">
      <c r="A1669" s="42">
        <v>593</v>
      </c>
      <c r="B1669" s="42" t="s">
        <v>3357</v>
      </c>
      <c r="C1669" s="53" t="s">
        <v>3494</v>
      </c>
      <c r="E1669" s="20"/>
      <c r="F16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69" s="93"/>
      <c r="I1669" s="203">
        <v>45797</v>
      </c>
      <c r="J1669" s="90" t="str">
        <f>IF(Table26[[#This Row],[customerSKU]]="","",_xlfn.XLOOKUP(Table26[[#This Row],[customerSKU]],customerSKU!G:G,customerSKU!A:A,"",0,1))</f>
        <v/>
      </c>
      <c r="K1669" s="232">
        <v>45797</v>
      </c>
      <c r="L1669" s="49" t="str">
        <f>IF(Table26[[#This Row],[customerSKU]]="","",_xlfn.XLOOKUP(Table26[[#This Row],[customerSKU]],customerSKU!G:G,customerSKU!B:B,"",0,1))</f>
        <v/>
      </c>
      <c r="M1669" s="22"/>
      <c r="N1669" s="15" t="str">
        <f>Table26[[#This Row],[po_number]]&amp;"-"&amp;Table26[[#This Row],[po_line]]</f>
        <v>-4</v>
      </c>
      <c r="O1669" s="15">
        <v>4</v>
      </c>
      <c r="P1669" s="50"/>
      <c r="Q1669" s="22" t="s">
        <v>828</v>
      </c>
      <c r="R1669" s="22" t="s">
        <v>569</v>
      </c>
      <c r="S1669" s="90" t="str">
        <f>IF(Table26[[#This Row],[customerSKU]]="","",_xlfn.XLOOKUP(Table26[[#This Row],[customerSKU]],customerSKU!G:G,customerSKU!N:N,"NOT FOUND",0,1))</f>
        <v>NOT FOUND</v>
      </c>
      <c r="T1669" s="20">
        <v>45735</v>
      </c>
      <c r="U1669" s="94">
        <v>12</v>
      </c>
      <c r="V1669" s="22" t="str">
        <f>IF(ISBLANK(Table26[[#This Row],[customerSKU]]),"",_xlfn.XLOOKUP(Table26[[#This Row],[customerSKU]],Table27[customer_SKU],Table27[case_size],"",0,1))</f>
        <v/>
      </c>
      <c r="W1669" s="117" t="str">
        <f t="shared" ref="W1669:W1732" si="69">IFERROR(U1669/V1669, "")</f>
        <v/>
      </c>
      <c r="X1669" s="22" t="str">
        <f t="shared" si="68"/>
        <v/>
      </c>
      <c r="Y1669" s="25" t="str">
        <f>IF(Table26[[#This Row],[customerSKU]]="","",_xlfn.XLOOKUP(Table26[[#This Row],[customerSKU]],Table27[customer_SKU],Table27[product_GTIN],"",0,1))</f>
        <v/>
      </c>
      <c r="Z1669" s="25" t="s">
        <v>3602</v>
      </c>
      <c r="AA1669" s="18" t="str" cm="1">
        <f t="array" ref="AA1669">IF(P1669="", "", _xlfn.XLOOKUP(P1669,#REF!,#REF!,NA,0,-1))</f>
        <v/>
      </c>
      <c r="AB1669" s="22"/>
      <c r="AC1669" s="55" t="s">
        <v>3608</v>
      </c>
      <c r="AD1669" s="55" t="str">
        <f>IF($AC1669="","",_xlfn.XLOOKUP($AC1669,'Client Info'!$C$2:$C$2497,'Client Info'!$D$2:$D$2497,"",0,1))</f>
        <v/>
      </c>
      <c r="AE1669" s="55" t="str">
        <f>IF($AC1669="","",_xlfn.XLOOKUP($AC1669,'Client Info'!$C$2:$C$2677,'Client Info'!$E$2:$E$2677,"",))</f>
        <v/>
      </c>
      <c r="AF1669" s="55" t="str">
        <f>IF($AC1669="","",_xlfn.XLOOKUP($AC1669,'Client Info'!$C$2:$C$2677,'Client Info'!$F$2:$F$2677,"",0,1))</f>
        <v/>
      </c>
      <c r="AG1669" s="55" t="s">
        <v>3608</v>
      </c>
      <c r="AH1669" s="26" t="str">
        <f>_xlfn.XLOOKUP(Table26[[#This Row],[customerSKU]],customerSKU!G:G,customerSKU!K:K,"NA",0,1)</f>
        <v>NA</v>
      </c>
      <c r="AI1669" s="43" t="str">
        <f>_xlfn.XLOOKUP(Table26[[#This Row],[customerSKU]],customerSKU!G:G,customerSKU!O:O,"not found",0,1)</f>
        <v>not found</v>
      </c>
      <c r="AJ1669" s="22" t="e">
        <f>Table26[[#This Row],[unitprice]]*Table26[[#This Row],[quantity_unit]]</f>
        <v>#VALUE!</v>
      </c>
      <c r="AK1669" s="227" t="e" cm="1">
        <f t="array" ref="AK16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0" spans="1:37" ht="18" customHeight="1">
      <c r="A1670" s="42">
        <v>594</v>
      </c>
      <c r="B1670" s="42" t="s">
        <v>3357</v>
      </c>
      <c r="C1670" s="53" t="s">
        <v>3494</v>
      </c>
      <c r="E1670" s="20"/>
      <c r="F16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0" s="93"/>
      <c r="I1670" s="203">
        <v>45797</v>
      </c>
      <c r="J1670" s="90" t="str">
        <f>IF(Table26[[#This Row],[customerSKU]]="","",_xlfn.XLOOKUP(Table26[[#This Row],[customerSKU]],customerSKU!G:G,customerSKU!A:A,"",0,1))</f>
        <v/>
      </c>
      <c r="K1670" s="232">
        <v>45797</v>
      </c>
      <c r="L1670" s="49" t="str">
        <f>IF(Table26[[#This Row],[customerSKU]]="","",_xlfn.XLOOKUP(Table26[[#This Row],[customerSKU]],customerSKU!G:G,customerSKU!B:B,"",0,1))</f>
        <v/>
      </c>
      <c r="M1670" s="22"/>
      <c r="N1670" s="15" t="str">
        <f>Table26[[#This Row],[po_number]]&amp;"-"&amp;Table26[[#This Row],[po_line]]</f>
        <v>-5</v>
      </c>
      <c r="O1670" s="15">
        <v>5</v>
      </c>
      <c r="P1670" s="50"/>
      <c r="Q1670" s="22" t="s">
        <v>551</v>
      </c>
      <c r="R1670" s="22" t="s">
        <v>569</v>
      </c>
      <c r="S1670" s="90" t="str">
        <f>IF(Table26[[#This Row],[customerSKU]]="","",_xlfn.XLOOKUP(Table26[[#This Row],[customerSKU]],customerSKU!G:G,customerSKU!N:N,"NOT FOUND",0,1))</f>
        <v>NOT FOUND</v>
      </c>
      <c r="T1670" s="20">
        <v>45779</v>
      </c>
      <c r="U1670" s="94">
        <v>12</v>
      </c>
      <c r="V1670" s="22" t="str">
        <f>IF(ISBLANK(Table26[[#This Row],[customerSKU]]),"",_xlfn.XLOOKUP(Table26[[#This Row],[customerSKU]],Table27[customer_SKU],Table27[case_size],"",0,1))</f>
        <v/>
      </c>
      <c r="W1670" s="117" t="str">
        <f t="shared" si="69"/>
        <v/>
      </c>
      <c r="X1670" s="22" t="str">
        <f t="shared" ref="X1670:X1733" si="70">IFERROR($AA1670*$U1670, "")</f>
        <v/>
      </c>
      <c r="Y1670" s="25" t="str">
        <f>IF(Table26[[#This Row],[customerSKU]]="","",_xlfn.XLOOKUP(Table26[[#This Row],[customerSKU]],Table27[customer_SKU],Table27[product_GTIN],"",0,1))</f>
        <v/>
      </c>
      <c r="Z1670" s="25" t="s">
        <v>3550</v>
      </c>
      <c r="AA1670" s="18" t="str" cm="1">
        <f t="array" ref="AA1670">IF(P1670="", "", _xlfn.XLOOKUP(P1670,#REF!,#REF!,NA,0,-1))</f>
        <v/>
      </c>
      <c r="AB1670" s="22"/>
      <c r="AC1670" s="55" t="s">
        <v>3608</v>
      </c>
      <c r="AD1670" s="55" t="str">
        <f>IF($AC1670="","",_xlfn.XLOOKUP($AC1670,'Client Info'!$C$2:$C$2497,'Client Info'!$D$2:$D$2497,"",0,1))</f>
        <v/>
      </c>
      <c r="AE1670" s="55" t="str">
        <f>IF($AC1670="","",_xlfn.XLOOKUP($AC1670,'Client Info'!$C$2:$C$2677,'Client Info'!$E$2:$E$2677,"",))</f>
        <v/>
      </c>
      <c r="AF1670" s="55" t="str">
        <f>IF($AC1670="","",_xlfn.XLOOKUP($AC1670,'Client Info'!$C$2:$C$2677,'Client Info'!$F$2:$F$2677,"",0,1))</f>
        <v/>
      </c>
      <c r="AG1670" s="55" t="s">
        <v>3608</v>
      </c>
      <c r="AH1670" s="26" t="str">
        <f>_xlfn.XLOOKUP(Table26[[#This Row],[customerSKU]],customerSKU!G:G,customerSKU!K:K,"NA",0,1)</f>
        <v>NA</v>
      </c>
      <c r="AI1670" s="43" t="str">
        <f>_xlfn.XLOOKUP(Table26[[#This Row],[customerSKU]],customerSKU!G:G,customerSKU!O:O,"not found",0,1)</f>
        <v>not found</v>
      </c>
      <c r="AJ1670" s="22" t="e">
        <f>Table26[[#This Row],[unitprice]]*Table26[[#This Row],[quantity_unit]]</f>
        <v>#VALUE!</v>
      </c>
      <c r="AK1670" s="227" t="e" cm="1">
        <f t="array" ref="AK16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1" spans="1:37" ht="18" customHeight="1">
      <c r="A1671" s="42">
        <v>595</v>
      </c>
      <c r="B1671" s="42" t="s">
        <v>3357</v>
      </c>
      <c r="C1671" s="53" t="s">
        <v>3494</v>
      </c>
      <c r="E1671" s="20"/>
      <c r="F16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1" s="93"/>
      <c r="I1671" s="203">
        <v>45797</v>
      </c>
      <c r="J1671" s="90" t="str">
        <f>IF(Table26[[#This Row],[customerSKU]]="","",_xlfn.XLOOKUP(Table26[[#This Row],[customerSKU]],customerSKU!G:G,customerSKU!A:A,"",0,1))</f>
        <v/>
      </c>
      <c r="K1671" s="232">
        <v>45797</v>
      </c>
      <c r="L1671" s="49" t="str">
        <f>IF(Table26[[#This Row],[customerSKU]]="","",_xlfn.XLOOKUP(Table26[[#This Row],[customerSKU]],customerSKU!G:G,customerSKU!B:B,"",0,1))</f>
        <v/>
      </c>
      <c r="M1671" s="22"/>
      <c r="N1671" s="15" t="str">
        <f>Table26[[#This Row],[po_number]]&amp;"-"&amp;Table26[[#This Row],[po_line]]</f>
        <v>-6</v>
      </c>
      <c r="O1671" s="15">
        <v>6</v>
      </c>
      <c r="P1671" s="50"/>
      <c r="Q1671" s="22" t="s">
        <v>869</v>
      </c>
      <c r="R1671" s="22" t="s">
        <v>569</v>
      </c>
      <c r="S1671" s="90" t="str">
        <f>IF(Table26[[#This Row],[customerSKU]]="","",_xlfn.XLOOKUP(Table26[[#This Row],[customerSKU]],customerSKU!G:G,customerSKU!N:N,"NOT FOUND",0,1))</f>
        <v>NOT FOUND</v>
      </c>
      <c r="T1671" s="20">
        <v>45742</v>
      </c>
      <c r="U1671" s="94">
        <v>12</v>
      </c>
      <c r="V1671" s="22" t="str">
        <f>IF(ISBLANK(Table26[[#This Row],[customerSKU]]),"",_xlfn.XLOOKUP(Table26[[#This Row],[customerSKU]],Table27[customer_SKU],Table27[case_size],"",0,1))</f>
        <v/>
      </c>
      <c r="W1671" s="117" t="str">
        <f t="shared" si="69"/>
        <v/>
      </c>
      <c r="X1671" s="22" t="str">
        <f t="shared" si="70"/>
        <v/>
      </c>
      <c r="Y1671" s="25" t="str">
        <f>IF(Table26[[#This Row],[customerSKU]]="","",_xlfn.XLOOKUP(Table26[[#This Row],[customerSKU]],Table27[customer_SKU],Table27[product_GTIN],"",0,1))</f>
        <v/>
      </c>
      <c r="Z1671" s="25" t="s">
        <v>3610</v>
      </c>
      <c r="AA1671" s="18" t="str" cm="1">
        <f t="array" ref="AA1671">IF(P1671="", "", _xlfn.XLOOKUP(P1671,#REF!,#REF!,NA,0,-1))</f>
        <v/>
      </c>
      <c r="AB1671" s="22"/>
      <c r="AC1671" s="55" t="s">
        <v>3608</v>
      </c>
      <c r="AD1671" s="55" t="str">
        <f>IF($AC1671="","",_xlfn.XLOOKUP($AC1671,'Client Info'!$C$2:$C$2497,'Client Info'!$D$2:$D$2497,"",0,1))</f>
        <v/>
      </c>
      <c r="AE1671" s="55" t="str">
        <f>IF($AC1671="","",_xlfn.XLOOKUP($AC1671,'Client Info'!$C$2:$C$2677,'Client Info'!$E$2:$E$2677,"",))</f>
        <v/>
      </c>
      <c r="AF1671" s="55" t="str">
        <f>IF($AC1671="","",_xlfn.XLOOKUP($AC1671,'Client Info'!$C$2:$C$2677,'Client Info'!$F$2:$F$2677,"",0,1))</f>
        <v/>
      </c>
      <c r="AG1671" s="55" t="s">
        <v>3608</v>
      </c>
      <c r="AH1671" s="26" t="str">
        <f>_xlfn.XLOOKUP(Table26[[#This Row],[customerSKU]],customerSKU!G:G,customerSKU!K:K,"NA",0,1)</f>
        <v>NA</v>
      </c>
      <c r="AI1671" s="43" t="str">
        <f>_xlfn.XLOOKUP(Table26[[#This Row],[customerSKU]],customerSKU!G:G,customerSKU!O:O,"not found",0,1)</f>
        <v>not found</v>
      </c>
      <c r="AJ1671" s="22" t="e">
        <f>Table26[[#This Row],[unitprice]]*Table26[[#This Row],[quantity_unit]]</f>
        <v>#VALUE!</v>
      </c>
      <c r="AK1671" s="227" t="e" cm="1">
        <f t="array" ref="AK16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2" spans="1:37" ht="24.6" customHeight="1">
      <c r="A1672" s="42">
        <v>596</v>
      </c>
      <c r="B1672" s="42" t="s">
        <v>3357</v>
      </c>
      <c r="C1672" s="53" t="s">
        <v>3494</v>
      </c>
      <c r="E1672" s="20"/>
      <c r="F16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2" s="93"/>
      <c r="I1672" s="203">
        <v>45797</v>
      </c>
      <c r="J1672" s="90" t="str">
        <f>IF(Table26[[#This Row],[customerSKU]]="","",_xlfn.XLOOKUP(Table26[[#This Row],[customerSKU]],customerSKU!G:G,customerSKU!A:A,"",0,1))</f>
        <v/>
      </c>
      <c r="K1672" s="232">
        <v>45797</v>
      </c>
      <c r="L1672" s="49" t="str">
        <f>IF(Table26[[#This Row],[customerSKU]]="","",_xlfn.XLOOKUP(Table26[[#This Row],[customerSKU]],customerSKU!G:G,customerSKU!B:B,"",0,1))</f>
        <v/>
      </c>
      <c r="M1672" s="22"/>
      <c r="N1672" s="15" t="str">
        <f>Table26[[#This Row],[po_number]]&amp;"-"&amp;Table26[[#This Row],[po_line]]</f>
        <v>-7</v>
      </c>
      <c r="O1672" s="15">
        <v>7</v>
      </c>
      <c r="P1672" s="50"/>
      <c r="Q1672" s="22" t="s">
        <v>531</v>
      </c>
      <c r="R1672" s="22" t="s">
        <v>569</v>
      </c>
      <c r="S1672" s="90" t="str">
        <f>IF(Table26[[#This Row],[customerSKU]]="","",_xlfn.XLOOKUP(Table26[[#This Row],[customerSKU]],customerSKU!G:G,customerSKU!N:N,"NOT FOUND",0,1))</f>
        <v>NOT FOUND</v>
      </c>
      <c r="T1672" s="20">
        <v>45478</v>
      </c>
      <c r="U1672" s="94">
        <v>12</v>
      </c>
      <c r="V1672" s="22" t="str">
        <f>IF(ISBLANK(Table26[[#This Row],[customerSKU]]),"",_xlfn.XLOOKUP(Table26[[#This Row],[customerSKU]],Table27[customer_SKU],Table27[case_size],"",0,1))</f>
        <v/>
      </c>
      <c r="W1672" s="117" t="str">
        <f t="shared" si="69"/>
        <v/>
      </c>
      <c r="X1672" s="22" t="str">
        <f t="shared" si="70"/>
        <v/>
      </c>
      <c r="Y1672" s="25" t="str">
        <f>IF(Table26[[#This Row],[customerSKU]]="","",_xlfn.XLOOKUP(Table26[[#This Row],[customerSKU]],Table27[customer_SKU],Table27[product_GTIN],"",0,1))</f>
        <v/>
      </c>
      <c r="Z1672" s="25" t="s">
        <v>3597</v>
      </c>
      <c r="AA1672" s="18" t="str" cm="1">
        <f t="array" ref="AA1672">IF(P1672="", "", _xlfn.XLOOKUP(P1672,#REF!,#REF!,NA,0,-1))</f>
        <v/>
      </c>
      <c r="AB1672" s="22" t="s">
        <v>18</v>
      </c>
      <c r="AC1672" s="55" t="s">
        <v>3608</v>
      </c>
      <c r="AD1672" s="55" t="str">
        <f>IF($AC1672="","",_xlfn.XLOOKUP($AC1672,'Client Info'!$C$2:$C$2497,'Client Info'!$D$2:$D$2497,"",0,1))</f>
        <v/>
      </c>
      <c r="AE1672" s="55" t="str">
        <f>IF($AC1672="","",_xlfn.XLOOKUP($AC1672,'Client Info'!$C$2:$C$2677,'Client Info'!$E$2:$E$2677,"",))</f>
        <v/>
      </c>
      <c r="AF1672" s="55" t="str">
        <f>IF($AC1672="","",_xlfn.XLOOKUP($AC1672,'Client Info'!$C$2:$C$2677,'Client Info'!$F$2:$F$2677,"",0,1))</f>
        <v/>
      </c>
      <c r="AG1672" s="55" t="s">
        <v>3608</v>
      </c>
      <c r="AH1672" s="26" t="str">
        <f>_xlfn.XLOOKUP(Table26[[#This Row],[customerSKU]],customerSKU!G:G,customerSKU!K:K,"NA",0,1)</f>
        <v>NA</v>
      </c>
      <c r="AI1672" s="43" t="str">
        <f>_xlfn.XLOOKUP(Table26[[#This Row],[customerSKU]],customerSKU!G:G,customerSKU!O:O,"not found",0,1)</f>
        <v>not found</v>
      </c>
      <c r="AJ1672" s="22" t="e">
        <f>Table26[[#This Row],[unitprice]]*Table26[[#This Row],[quantity_unit]]</f>
        <v>#VALUE!</v>
      </c>
      <c r="AK1672" s="227" t="e" cm="1">
        <f t="array" ref="AK16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3" spans="1:37" ht="24.6" customHeight="1">
      <c r="A1673" s="42">
        <v>597</v>
      </c>
      <c r="B1673" s="42" t="s">
        <v>3357</v>
      </c>
      <c r="C1673" s="53" t="s">
        <v>3494</v>
      </c>
      <c r="E1673" s="20"/>
      <c r="F16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3" s="93"/>
      <c r="I1673" s="203">
        <v>45797</v>
      </c>
      <c r="J1673" s="90" t="str">
        <f>IF(Table26[[#This Row],[customerSKU]]="","",_xlfn.XLOOKUP(Table26[[#This Row],[customerSKU]],customerSKU!G:G,customerSKU!A:A,"",0,1))</f>
        <v/>
      </c>
      <c r="K1673" s="232">
        <v>45797</v>
      </c>
      <c r="L1673" s="49" t="str">
        <f>IF(Table26[[#This Row],[customerSKU]]="","",_xlfn.XLOOKUP(Table26[[#This Row],[customerSKU]],customerSKU!G:G,customerSKU!B:B,"",0,1))</f>
        <v/>
      </c>
      <c r="M1673" s="22"/>
      <c r="N1673" s="15" t="str">
        <f>Table26[[#This Row],[po_number]]&amp;"-"&amp;Table26[[#This Row],[po_line]]</f>
        <v>-8</v>
      </c>
      <c r="O1673" s="15">
        <v>8</v>
      </c>
      <c r="P1673" s="50"/>
      <c r="Q1673" s="22" t="s">
        <v>574</v>
      </c>
      <c r="R1673" s="22" t="s">
        <v>569</v>
      </c>
      <c r="S1673" s="90" t="str">
        <f>IF(Table26[[#This Row],[customerSKU]]="","",_xlfn.XLOOKUP(Table26[[#This Row],[customerSKU]],customerSKU!G:G,customerSKU!N:N,"NOT FOUND",0,1))</f>
        <v>NOT FOUND</v>
      </c>
      <c r="T1673" s="20">
        <v>45772</v>
      </c>
      <c r="U1673" s="94">
        <v>12</v>
      </c>
      <c r="V1673" s="22" t="str">
        <f>IF(ISBLANK(Table26[[#This Row],[customerSKU]]),"",_xlfn.XLOOKUP(Table26[[#This Row],[customerSKU]],Table27[customer_SKU],Table27[case_size],"",0,1))</f>
        <v/>
      </c>
      <c r="W1673" s="117" t="str">
        <f t="shared" si="69"/>
        <v/>
      </c>
      <c r="X1673" s="22" t="str">
        <f t="shared" si="70"/>
        <v/>
      </c>
      <c r="Y1673" s="25" t="str">
        <f>IF(Table26[[#This Row],[customerSKU]]="","",_xlfn.XLOOKUP(Table26[[#This Row],[customerSKU]],Table27[customer_SKU],Table27[product_GTIN],"",0,1))</f>
        <v/>
      </c>
      <c r="Z1673" s="25" t="s">
        <v>3530</v>
      </c>
      <c r="AA1673" s="18" t="str" cm="1">
        <f t="array" ref="AA1673">IF(P1673="", "", _xlfn.XLOOKUP(P1673,#REF!,#REF!,NA,0,-1))</f>
        <v/>
      </c>
      <c r="AB1673" s="22"/>
      <c r="AC1673" s="55" t="s">
        <v>3608</v>
      </c>
      <c r="AD1673" s="55" t="str">
        <f>IF($AC1673="","",_xlfn.XLOOKUP($AC1673,'Client Info'!$C$2:$C$2497,'Client Info'!$D$2:$D$2497,"",0,1))</f>
        <v/>
      </c>
      <c r="AE1673" s="55" t="str">
        <f>IF($AC1673="","",_xlfn.XLOOKUP($AC1673,'Client Info'!$C$2:$C$2677,'Client Info'!$E$2:$E$2677,"",))</f>
        <v/>
      </c>
      <c r="AF1673" s="55" t="str">
        <f>IF($AC1673="","",_xlfn.XLOOKUP($AC1673,'Client Info'!$C$2:$C$2677,'Client Info'!$F$2:$F$2677,"",0,1))</f>
        <v/>
      </c>
      <c r="AG1673" s="55" t="s">
        <v>3608</v>
      </c>
      <c r="AH1673" s="26" t="str">
        <f>_xlfn.XLOOKUP(Table26[[#This Row],[customerSKU]],customerSKU!G:G,customerSKU!K:K,"NA",0,1)</f>
        <v>NA</v>
      </c>
      <c r="AI1673" s="43" t="str">
        <f>_xlfn.XLOOKUP(Table26[[#This Row],[customerSKU]],customerSKU!G:G,customerSKU!O:O,"not found",0,1)</f>
        <v>not found</v>
      </c>
      <c r="AJ1673" s="22" t="e">
        <f>Table26[[#This Row],[unitprice]]*Table26[[#This Row],[quantity_unit]]</f>
        <v>#VALUE!</v>
      </c>
      <c r="AK1673" s="227" t="e" cm="1">
        <f t="array" ref="AK16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4" spans="1:37" ht="18" customHeight="1">
      <c r="A1674" s="42">
        <v>598</v>
      </c>
      <c r="B1674" s="42" t="s">
        <v>3357</v>
      </c>
      <c r="C1674" s="53" t="s">
        <v>3494</v>
      </c>
      <c r="E1674" s="20"/>
      <c r="F16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4" s="93"/>
      <c r="I1674" s="203">
        <v>45797</v>
      </c>
      <c r="J1674" s="90" t="str">
        <f>IF(Table26[[#This Row],[customerSKU]]="","",_xlfn.XLOOKUP(Table26[[#This Row],[customerSKU]],customerSKU!G:G,customerSKU!A:A,"",0,1))</f>
        <v/>
      </c>
      <c r="K1674" s="232">
        <v>45797</v>
      </c>
      <c r="L1674" s="49" t="str">
        <f>IF(Table26[[#This Row],[customerSKU]]="","",_xlfn.XLOOKUP(Table26[[#This Row],[customerSKU]],customerSKU!G:G,customerSKU!B:B,"",0,1))</f>
        <v/>
      </c>
      <c r="M1674" s="22"/>
      <c r="N1674" s="15" t="str">
        <f>Table26[[#This Row],[po_number]]&amp;"-"&amp;Table26[[#This Row],[po_line]]</f>
        <v>-9</v>
      </c>
      <c r="O1674" s="15">
        <v>9</v>
      </c>
      <c r="P1674" s="50"/>
      <c r="Q1674" s="22" t="s">
        <v>3405</v>
      </c>
      <c r="R1674" s="22" t="s">
        <v>569</v>
      </c>
      <c r="S1674" s="90" t="str">
        <f>IF(Table26[[#This Row],[customerSKU]]="","",_xlfn.XLOOKUP(Table26[[#This Row],[customerSKU]],customerSKU!G:G,customerSKU!N:N,"NOT FOUND",0,1))</f>
        <v>NOT FOUND</v>
      </c>
      <c r="T1674" s="20">
        <v>45623</v>
      </c>
      <c r="U1674" s="94">
        <v>12</v>
      </c>
      <c r="V1674" s="22" t="str">
        <f>IF(ISBLANK(Table26[[#This Row],[customerSKU]]),"",_xlfn.XLOOKUP(Table26[[#This Row],[customerSKU]],Table27[customer_SKU],Table27[case_size],"",0,1))</f>
        <v/>
      </c>
      <c r="W1674" s="117" t="str">
        <f t="shared" si="69"/>
        <v/>
      </c>
      <c r="X1674" s="22" t="str">
        <f t="shared" si="70"/>
        <v/>
      </c>
      <c r="Y1674" s="25" t="str">
        <f>IF(Table26[[#This Row],[customerSKU]]="","",_xlfn.XLOOKUP(Table26[[#This Row],[customerSKU]],Table27[customer_SKU],Table27[product_GTIN],"",0,1))</f>
        <v/>
      </c>
      <c r="Z1674" s="25" t="s">
        <v>3535</v>
      </c>
      <c r="AA1674" s="18" t="str" cm="1">
        <f t="array" ref="AA1674">IF(P1674="", "", _xlfn.XLOOKUP(P1674,#REF!,#REF!,NA,0,-1))</f>
        <v/>
      </c>
      <c r="AB1674" s="22" t="s">
        <v>569</v>
      </c>
      <c r="AC1674" s="55" t="s">
        <v>3608</v>
      </c>
      <c r="AD1674" s="55" t="str">
        <f>IF($AC1674="","",_xlfn.XLOOKUP($AC1674,'Client Info'!$C$2:$C$2497,'Client Info'!$D$2:$D$2497,"",0,1))</f>
        <v/>
      </c>
      <c r="AE1674" s="55" t="str">
        <f>IF($AC1674="","",_xlfn.XLOOKUP($AC1674,'Client Info'!$C$2:$C$2677,'Client Info'!$E$2:$E$2677,"",))</f>
        <v/>
      </c>
      <c r="AF1674" s="55" t="str">
        <f>IF($AC1674="","",_xlfn.XLOOKUP($AC1674,'Client Info'!$C$2:$C$2677,'Client Info'!$F$2:$F$2677,"",0,1))</f>
        <v/>
      </c>
      <c r="AG1674" s="55" t="s">
        <v>3608</v>
      </c>
      <c r="AH1674" s="26" t="str">
        <f>_xlfn.XLOOKUP(Table26[[#This Row],[customerSKU]],customerSKU!G:G,customerSKU!K:K,"NA",0,1)</f>
        <v>NA</v>
      </c>
      <c r="AI1674" s="43" t="str">
        <f>_xlfn.XLOOKUP(Table26[[#This Row],[customerSKU]],customerSKU!G:G,customerSKU!O:O,"not found",0,1)</f>
        <v>not found</v>
      </c>
      <c r="AJ1674" s="22" t="e">
        <f>Table26[[#This Row],[unitprice]]*Table26[[#This Row],[quantity_unit]]</f>
        <v>#VALUE!</v>
      </c>
      <c r="AK1674" s="227" t="e" cm="1">
        <f t="array" ref="AK16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5" spans="1:37" ht="18" customHeight="1">
      <c r="A1675" s="42">
        <v>599</v>
      </c>
      <c r="B1675" s="42" t="s">
        <v>3357</v>
      </c>
      <c r="C1675" s="53" t="s">
        <v>3494</v>
      </c>
      <c r="E1675" s="20"/>
      <c r="F16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5" s="93"/>
      <c r="I1675" s="203">
        <v>45797</v>
      </c>
      <c r="J1675" s="90" t="str">
        <f>IF(Table26[[#This Row],[customerSKU]]="","",_xlfn.XLOOKUP(Table26[[#This Row],[customerSKU]],customerSKU!G:G,customerSKU!A:A,"",0,1))</f>
        <v/>
      </c>
      <c r="K1675" s="232">
        <v>45797</v>
      </c>
      <c r="L1675" s="49" t="str">
        <f>IF(Table26[[#This Row],[customerSKU]]="","",_xlfn.XLOOKUP(Table26[[#This Row],[customerSKU]],customerSKU!G:G,customerSKU!B:B,"",0,1))</f>
        <v/>
      </c>
      <c r="M1675" s="22"/>
      <c r="N1675" s="15" t="str">
        <f>Table26[[#This Row],[po_number]]&amp;"-"&amp;Table26[[#This Row],[po_line]]</f>
        <v>-10</v>
      </c>
      <c r="O1675" s="15">
        <v>10</v>
      </c>
      <c r="P1675" s="50"/>
      <c r="Q1675" s="22" t="s">
        <v>1862</v>
      </c>
      <c r="R1675" s="22" t="s">
        <v>569</v>
      </c>
      <c r="S1675" s="90" t="str">
        <f>IF(Table26[[#This Row],[customerSKU]]="","",_xlfn.XLOOKUP(Table26[[#This Row],[customerSKU]],customerSKU!G:G,customerSKU!N:N,"NOT FOUND",0,1))</f>
        <v>NOT FOUND</v>
      </c>
      <c r="T1675" s="20">
        <v>45594</v>
      </c>
      <c r="U1675" s="94">
        <v>12</v>
      </c>
      <c r="V1675" s="22" t="str">
        <f>IF(ISBLANK(Table26[[#This Row],[customerSKU]]),"",_xlfn.XLOOKUP(Table26[[#This Row],[customerSKU]],Table27[customer_SKU],Table27[case_size],"",0,1))</f>
        <v/>
      </c>
      <c r="W1675" s="117" t="str">
        <f t="shared" si="69"/>
        <v/>
      </c>
      <c r="X1675" s="22" t="str">
        <f t="shared" si="70"/>
        <v/>
      </c>
      <c r="Y1675" s="25" t="str">
        <f>IF(Table26[[#This Row],[customerSKU]]="","",_xlfn.XLOOKUP(Table26[[#This Row],[customerSKU]],Table27[customer_SKU],Table27[product_GTIN],"",0,1))</f>
        <v/>
      </c>
      <c r="Z1675" s="25" t="s">
        <v>3526</v>
      </c>
      <c r="AA1675" s="18" t="str" cm="1">
        <f t="array" ref="AA1675">IF(P1675="", "", _xlfn.XLOOKUP(P1675,#REF!,#REF!,NA,0,-1))</f>
        <v/>
      </c>
      <c r="AB1675" s="22" t="s">
        <v>569</v>
      </c>
      <c r="AC1675" s="55" t="s">
        <v>3608</v>
      </c>
      <c r="AD1675" s="55" t="str">
        <f>IF($AC1675="","",_xlfn.XLOOKUP($AC1675,'Client Info'!$C$2:$C$2497,'Client Info'!$D$2:$D$2497,"",0,1))</f>
        <v/>
      </c>
      <c r="AE1675" s="55" t="str">
        <f>IF($AC1675="","",_xlfn.XLOOKUP($AC1675,'Client Info'!$C$2:$C$2677,'Client Info'!$E$2:$E$2677,"",))</f>
        <v/>
      </c>
      <c r="AF1675" s="55" t="str">
        <f>IF($AC1675="","",_xlfn.XLOOKUP($AC1675,'Client Info'!$C$2:$C$2677,'Client Info'!$F$2:$F$2677,"",0,1))</f>
        <v/>
      </c>
      <c r="AG1675" s="55" t="s">
        <v>3608</v>
      </c>
      <c r="AH1675" s="26" t="str">
        <f>_xlfn.XLOOKUP(Table26[[#This Row],[customerSKU]],customerSKU!G:G,customerSKU!K:K,"NA",0,1)</f>
        <v>NA</v>
      </c>
      <c r="AI1675" s="43" t="str">
        <f>_xlfn.XLOOKUP(Table26[[#This Row],[customerSKU]],customerSKU!G:G,customerSKU!O:O,"not found",0,1)</f>
        <v>not found</v>
      </c>
      <c r="AJ1675" s="22" t="e">
        <f>Table26[[#This Row],[unitprice]]*Table26[[#This Row],[quantity_unit]]</f>
        <v>#VALUE!</v>
      </c>
      <c r="AK1675" s="227" t="e" cm="1">
        <f t="array" ref="AK16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6" spans="1:37" ht="18" customHeight="1">
      <c r="A1676" s="42">
        <v>600</v>
      </c>
      <c r="B1676" s="42" t="s">
        <v>3357</v>
      </c>
      <c r="C1676" s="53" t="s">
        <v>3494</v>
      </c>
      <c r="E1676" s="20"/>
      <c r="F16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6" s="93"/>
      <c r="I1676" s="203">
        <v>45797</v>
      </c>
      <c r="J1676" s="90" t="str">
        <f>IF(Table26[[#This Row],[customerSKU]]="","",_xlfn.XLOOKUP(Table26[[#This Row],[customerSKU]],customerSKU!G:G,customerSKU!A:A,"",0,1))</f>
        <v/>
      </c>
      <c r="K1676" s="232">
        <v>45797</v>
      </c>
      <c r="L1676" s="49" t="str">
        <f>IF(Table26[[#This Row],[customerSKU]]="","",_xlfn.XLOOKUP(Table26[[#This Row],[customerSKU]],customerSKU!G:G,customerSKU!B:B,"",0,1))</f>
        <v/>
      </c>
      <c r="M1676" s="22"/>
      <c r="N1676" s="15" t="str">
        <f>Table26[[#This Row],[po_number]]&amp;"-"&amp;Table26[[#This Row],[po_line]]</f>
        <v>-11</v>
      </c>
      <c r="O1676" s="15">
        <v>11</v>
      </c>
      <c r="P1676" s="50"/>
      <c r="Q1676" s="22" t="s">
        <v>1309</v>
      </c>
      <c r="R1676" s="22" t="s">
        <v>569</v>
      </c>
      <c r="S1676" s="90" t="str">
        <f>IF(Table26[[#This Row],[customerSKU]]="","",_xlfn.XLOOKUP(Table26[[#This Row],[customerSKU]],customerSKU!G:G,customerSKU!N:N,"NOT FOUND",0,1))</f>
        <v>NOT FOUND</v>
      </c>
      <c r="T1676" s="20">
        <v>45623</v>
      </c>
      <c r="U1676" s="94">
        <v>12</v>
      </c>
      <c r="V1676" s="22" t="str">
        <f>IF(ISBLANK(Table26[[#This Row],[customerSKU]]),"",_xlfn.XLOOKUP(Table26[[#This Row],[customerSKU]],Table27[customer_SKU],Table27[case_size],"",0,1))</f>
        <v/>
      </c>
      <c r="W1676" s="117" t="str">
        <f t="shared" si="69"/>
        <v/>
      </c>
      <c r="X1676" s="22" t="str">
        <f t="shared" si="70"/>
        <v/>
      </c>
      <c r="Y1676" s="25" t="str">
        <f>IF(Table26[[#This Row],[customerSKU]]="","",_xlfn.XLOOKUP(Table26[[#This Row],[customerSKU]],Table27[customer_SKU],Table27[product_GTIN],"",0,1))</f>
        <v/>
      </c>
      <c r="Z1676" s="25" t="s">
        <v>3536</v>
      </c>
      <c r="AA1676" s="18" t="str" cm="1">
        <f t="array" ref="AA1676">IF(P1676="", "", _xlfn.XLOOKUP(P1676,#REF!,#REF!,NA,0,-1))</f>
        <v/>
      </c>
      <c r="AB1676" s="22" t="s">
        <v>569</v>
      </c>
      <c r="AC1676" s="55" t="s">
        <v>3608</v>
      </c>
      <c r="AD1676" s="55" t="str">
        <f>IF($AC1676="","",_xlfn.XLOOKUP($AC1676,'Client Info'!$C$2:$C$2497,'Client Info'!$D$2:$D$2497,"",0,1))</f>
        <v/>
      </c>
      <c r="AE1676" s="55" t="str">
        <f>IF($AC1676="","",_xlfn.XLOOKUP($AC1676,'Client Info'!$C$2:$C$2677,'Client Info'!$E$2:$E$2677,"",))</f>
        <v/>
      </c>
      <c r="AF1676" s="55" t="str">
        <f>IF($AC1676="","",_xlfn.XLOOKUP($AC1676,'Client Info'!$C$2:$C$2677,'Client Info'!$F$2:$F$2677,"",0,1))</f>
        <v/>
      </c>
      <c r="AG1676" s="55" t="s">
        <v>3608</v>
      </c>
      <c r="AH1676" s="26" t="str">
        <f>_xlfn.XLOOKUP(Table26[[#This Row],[customerSKU]],customerSKU!G:G,customerSKU!K:K,"NA",0,1)</f>
        <v>NA</v>
      </c>
      <c r="AI1676" s="43" t="str">
        <f>_xlfn.XLOOKUP(Table26[[#This Row],[customerSKU]],customerSKU!G:G,customerSKU!O:O,"not found",0,1)</f>
        <v>not found</v>
      </c>
      <c r="AJ1676" s="22" t="e">
        <f>Table26[[#This Row],[unitprice]]*Table26[[#This Row],[quantity_unit]]</f>
        <v>#VALUE!</v>
      </c>
      <c r="AK1676" s="227" t="e" cm="1">
        <f t="array" ref="AK16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7" spans="1:37" ht="18" customHeight="1">
      <c r="A1677" s="42">
        <v>601</v>
      </c>
      <c r="B1677" s="42" t="s">
        <v>3357</v>
      </c>
      <c r="C1677" s="53" t="s">
        <v>3494</v>
      </c>
      <c r="E1677" s="20"/>
      <c r="F16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7" s="93"/>
      <c r="I1677" s="203">
        <v>45797</v>
      </c>
      <c r="J1677" s="90" t="str">
        <f>IF(Table26[[#This Row],[customerSKU]]="","",_xlfn.XLOOKUP(Table26[[#This Row],[customerSKU]],customerSKU!G:G,customerSKU!A:A,"",0,1))</f>
        <v/>
      </c>
      <c r="K1677" s="232">
        <v>45797</v>
      </c>
      <c r="L1677" s="49" t="str">
        <f>IF(Table26[[#This Row],[customerSKU]]="","",_xlfn.XLOOKUP(Table26[[#This Row],[customerSKU]],customerSKU!G:G,customerSKU!B:B,"",0,1))</f>
        <v/>
      </c>
      <c r="M1677" s="22"/>
      <c r="N1677" s="15" t="str">
        <f>Table26[[#This Row],[po_number]]&amp;"-"&amp;Table26[[#This Row],[po_line]]</f>
        <v>-12</v>
      </c>
      <c r="O1677" s="15">
        <v>12</v>
      </c>
      <c r="P1677" s="50"/>
      <c r="Q1677" s="22" t="s">
        <v>625</v>
      </c>
      <c r="R1677" s="22" t="s">
        <v>569</v>
      </c>
      <c r="S1677" s="90" t="str">
        <f>IF(Table26[[#This Row],[customerSKU]]="","",_xlfn.XLOOKUP(Table26[[#This Row],[customerSKU]],customerSKU!G:G,customerSKU!N:N,"NOT FOUND",0,1))</f>
        <v>NOT FOUND</v>
      </c>
      <c r="T1677" s="20">
        <v>45707</v>
      </c>
      <c r="U1677" s="94">
        <v>12</v>
      </c>
      <c r="V1677" s="22" t="str">
        <f>IF(ISBLANK(Table26[[#This Row],[customerSKU]]),"",_xlfn.XLOOKUP(Table26[[#This Row],[customerSKU]],Table27[customer_SKU],Table27[case_size],"",0,1))</f>
        <v/>
      </c>
      <c r="W1677" s="117" t="str">
        <f t="shared" si="69"/>
        <v/>
      </c>
      <c r="X1677" s="22" t="str">
        <f t="shared" si="70"/>
        <v/>
      </c>
      <c r="Y1677" s="25" t="str">
        <f>IF(Table26[[#This Row],[customerSKU]]="","",_xlfn.XLOOKUP(Table26[[#This Row],[customerSKU]],Table27[customer_SKU],Table27[product_GTIN],"",0,1))</f>
        <v/>
      </c>
      <c r="Z1677" s="25" t="s">
        <v>3611</v>
      </c>
      <c r="AA1677" s="18" t="str" cm="1">
        <f t="array" ref="AA1677">IF(P1677="", "", _xlfn.XLOOKUP(P1677,#REF!,#REF!,NA,0,-1))</f>
        <v/>
      </c>
      <c r="AB1677" s="22"/>
      <c r="AC1677" s="55" t="s">
        <v>3608</v>
      </c>
      <c r="AD1677" s="55" t="str">
        <f>IF($AC1677="","",_xlfn.XLOOKUP($AC1677,'Client Info'!$C$2:$C$2497,'Client Info'!$D$2:$D$2497,"",0,1))</f>
        <v/>
      </c>
      <c r="AE1677" s="55" t="str">
        <f>IF($AC1677="","",_xlfn.XLOOKUP($AC1677,'Client Info'!$C$2:$C$2677,'Client Info'!$E$2:$E$2677,"",))</f>
        <v/>
      </c>
      <c r="AF1677" s="55" t="str">
        <f>IF($AC1677="","",_xlfn.XLOOKUP($AC1677,'Client Info'!$C$2:$C$2677,'Client Info'!$F$2:$F$2677,"",0,1))</f>
        <v/>
      </c>
      <c r="AG1677" s="55" t="s">
        <v>3608</v>
      </c>
      <c r="AH1677" s="26" t="str">
        <f>_xlfn.XLOOKUP(Table26[[#This Row],[customerSKU]],customerSKU!G:G,customerSKU!K:K,"NA",0,1)</f>
        <v>NA</v>
      </c>
      <c r="AI1677" s="43" t="str">
        <f>_xlfn.XLOOKUP(Table26[[#This Row],[customerSKU]],customerSKU!G:G,customerSKU!O:O,"not found",0,1)</f>
        <v>not found</v>
      </c>
      <c r="AJ1677" s="22" t="e">
        <f>Table26[[#This Row],[unitprice]]*Table26[[#This Row],[quantity_unit]]</f>
        <v>#VALUE!</v>
      </c>
      <c r="AK1677" s="227" t="e" cm="1">
        <f t="array" ref="AK16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8" spans="1:37" ht="18" customHeight="1">
      <c r="A1678" s="42">
        <v>602</v>
      </c>
      <c r="B1678" s="42" t="s">
        <v>3357</v>
      </c>
      <c r="C1678" s="53" t="s">
        <v>3494</v>
      </c>
      <c r="E1678" s="20"/>
      <c r="F16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8" s="93"/>
      <c r="I1678" s="203">
        <v>45797</v>
      </c>
      <c r="J1678" s="90" t="str">
        <f>IF(Table26[[#This Row],[customerSKU]]="","",_xlfn.XLOOKUP(Table26[[#This Row],[customerSKU]],customerSKU!G:G,customerSKU!A:A,"",0,1))</f>
        <v/>
      </c>
      <c r="K1678" s="232">
        <v>45797</v>
      </c>
      <c r="L1678" s="49" t="str">
        <f>IF(Table26[[#This Row],[customerSKU]]="","",_xlfn.XLOOKUP(Table26[[#This Row],[customerSKU]],customerSKU!G:G,customerSKU!B:B,"",0,1))</f>
        <v/>
      </c>
      <c r="M1678" s="22"/>
      <c r="N1678" s="15" t="str">
        <f>Table26[[#This Row],[po_number]]&amp;"-"&amp;Table26[[#This Row],[po_line]]</f>
        <v>-13</v>
      </c>
      <c r="O1678" s="15">
        <v>13</v>
      </c>
      <c r="P1678" s="50"/>
      <c r="Q1678" s="22" t="s">
        <v>622</v>
      </c>
      <c r="R1678" s="22" t="s">
        <v>569</v>
      </c>
      <c r="S1678" s="90" t="str">
        <f>IF(Table26[[#This Row],[customerSKU]]="","",_xlfn.XLOOKUP(Table26[[#This Row],[customerSKU]],customerSKU!G:G,customerSKU!N:N,"NOT FOUND",0,1))</f>
        <v>NOT FOUND</v>
      </c>
      <c r="T1678" s="20">
        <v>45603</v>
      </c>
      <c r="U1678" s="94">
        <v>12</v>
      </c>
      <c r="V1678" s="22" t="str">
        <f>IF(ISBLANK(Table26[[#This Row],[customerSKU]]),"",_xlfn.XLOOKUP(Table26[[#This Row],[customerSKU]],Table27[customer_SKU],Table27[case_size],"",0,1))</f>
        <v/>
      </c>
      <c r="W1678" s="117" t="str">
        <f t="shared" si="69"/>
        <v/>
      </c>
      <c r="X1678" s="22" t="str">
        <f t="shared" si="70"/>
        <v/>
      </c>
      <c r="Y1678" s="25" t="str">
        <f>IF(Table26[[#This Row],[customerSKU]]="","",_xlfn.XLOOKUP(Table26[[#This Row],[customerSKU]],Table27[customer_SKU],Table27[product_GTIN],"",0,1))</f>
        <v/>
      </c>
      <c r="Z1678" s="25" t="s">
        <v>3612</v>
      </c>
      <c r="AA1678" s="18" t="str" cm="1">
        <f t="array" ref="AA1678">IF(P1678="", "", _xlfn.XLOOKUP(P1678,#REF!,#REF!,NA,0,-1))</f>
        <v/>
      </c>
      <c r="AB1678" s="22" t="s">
        <v>569</v>
      </c>
      <c r="AC1678" s="55" t="s">
        <v>3608</v>
      </c>
      <c r="AD1678" s="55" t="str">
        <f>IF($AC1678="","",_xlfn.XLOOKUP($AC1678,'Client Info'!$C$2:$C$2497,'Client Info'!$D$2:$D$2497,"",0,1))</f>
        <v/>
      </c>
      <c r="AE1678" s="55" t="str">
        <f>IF($AC1678="","",_xlfn.XLOOKUP($AC1678,'Client Info'!$C$2:$C$2677,'Client Info'!$E$2:$E$2677,"",))</f>
        <v/>
      </c>
      <c r="AF1678" s="55" t="str">
        <f>IF($AC1678="","",_xlfn.XLOOKUP($AC1678,'Client Info'!$C$2:$C$2677,'Client Info'!$F$2:$F$2677,"",0,1))</f>
        <v/>
      </c>
      <c r="AG1678" s="55" t="s">
        <v>3608</v>
      </c>
      <c r="AH1678" s="26" t="str">
        <f>_xlfn.XLOOKUP(Table26[[#This Row],[customerSKU]],customerSKU!G:G,customerSKU!K:K,"NA",0,1)</f>
        <v>NA</v>
      </c>
      <c r="AI1678" s="43" t="str">
        <f>_xlfn.XLOOKUP(Table26[[#This Row],[customerSKU]],customerSKU!G:G,customerSKU!O:O,"not found",0,1)</f>
        <v>not found</v>
      </c>
      <c r="AJ1678" s="22" t="e">
        <f>Table26[[#This Row],[unitprice]]*Table26[[#This Row],[quantity_unit]]</f>
        <v>#VALUE!</v>
      </c>
      <c r="AK1678" s="227" t="e" cm="1">
        <f t="array" ref="AK16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79" spans="1:37" ht="18" customHeight="1">
      <c r="A1679" s="42">
        <v>603</v>
      </c>
      <c r="B1679" s="42" t="s">
        <v>3357</v>
      </c>
      <c r="C1679" s="53" t="s">
        <v>3494</v>
      </c>
      <c r="E1679" s="20"/>
      <c r="F16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79" s="93"/>
      <c r="I1679" s="203">
        <v>45797</v>
      </c>
      <c r="J1679" s="90" t="str">
        <f>IF(Table26[[#This Row],[customerSKU]]="","",_xlfn.XLOOKUP(Table26[[#This Row],[customerSKU]],customerSKU!G:G,customerSKU!A:A,"",0,1))</f>
        <v/>
      </c>
      <c r="K1679" s="232">
        <v>45797</v>
      </c>
      <c r="L1679" s="49" t="str">
        <f>IF(Table26[[#This Row],[customerSKU]]="","",_xlfn.XLOOKUP(Table26[[#This Row],[customerSKU]],customerSKU!G:G,customerSKU!B:B,"",0,1))</f>
        <v/>
      </c>
      <c r="M1679" s="22"/>
      <c r="N1679" s="15" t="str">
        <f>Table26[[#This Row],[po_number]]&amp;"-"&amp;Table26[[#This Row],[po_line]]</f>
        <v>-14</v>
      </c>
      <c r="O1679" s="15">
        <v>14</v>
      </c>
      <c r="P1679" s="50"/>
      <c r="Q1679" s="22" t="s">
        <v>543</v>
      </c>
      <c r="R1679" s="22" t="s">
        <v>569</v>
      </c>
      <c r="S1679" s="90" t="str">
        <f>IF(Table26[[#This Row],[customerSKU]]="","",_xlfn.XLOOKUP(Table26[[#This Row],[customerSKU]],customerSKU!G:G,customerSKU!N:N,"NOT FOUND",0,1))</f>
        <v>NOT FOUND</v>
      </c>
      <c r="T1679" s="20">
        <v>45793</v>
      </c>
      <c r="U1679" s="94">
        <v>6</v>
      </c>
      <c r="V1679" s="22" t="str">
        <f>IF(ISBLANK(Table26[[#This Row],[customerSKU]]),"",_xlfn.XLOOKUP(Table26[[#This Row],[customerSKU]],Table27[customer_SKU],Table27[case_size],"",0,1))</f>
        <v/>
      </c>
      <c r="W1679" s="117" t="str">
        <f t="shared" si="69"/>
        <v/>
      </c>
      <c r="X1679" s="22" t="str">
        <f t="shared" si="70"/>
        <v/>
      </c>
      <c r="Y1679" s="25" t="str">
        <f>IF(Table26[[#This Row],[customerSKU]]="","",_xlfn.XLOOKUP(Table26[[#This Row],[customerSKU]],Table27[customer_SKU],Table27[product_GTIN],"",0,1))</f>
        <v/>
      </c>
      <c r="Z1679" s="25" t="s">
        <v>3599</v>
      </c>
      <c r="AA1679" s="18" t="str" cm="1">
        <f t="array" ref="AA1679">IF(P1679="", "", _xlfn.XLOOKUP(P1679,#REF!,#REF!,NA,0,-1))</f>
        <v/>
      </c>
      <c r="AB1679" s="22"/>
      <c r="AC1679" s="55" t="s">
        <v>3608</v>
      </c>
      <c r="AD1679" s="55" t="str">
        <f>IF($AC1679="","",_xlfn.XLOOKUP($AC1679,'Client Info'!$C$2:$C$2497,'Client Info'!$D$2:$D$2497,"",0,1))</f>
        <v/>
      </c>
      <c r="AE1679" s="55" t="str">
        <f>IF($AC1679="","",_xlfn.XLOOKUP($AC1679,'Client Info'!$C$2:$C$2677,'Client Info'!$E$2:$E$2677,"",))</f>
        <v/>
      </c>
      <c r="AF1679" s="55" t="str">
        <f>IF($AC1679="","",_xlfn.XLOOKUP($AC1679,'Client Info'!$C$2:$C$2677,'Client Info'!$F$2:$F$2677,"",0,1))</f>
        <v/>
      </c>
      <c r="AG1679" s="55" t="s">
        <v>3608</v>
      </c>
      <c r="AH1679" s="26" t="str">
        <f>_xlfn.XLOOKUP(Table26[[#This Row],[customerSKU]],customerSKU!G:G,customerSKU!K:K,"NA",0,1)</f>
        <v>NA</v>
      </c>
      <c r="AI1679" s="43" t="str">
        <f>_xlfn.XLOOKUP(Table26[[#This Row],[customerSKU]],customerSKU!G:G,customerSKU!O:O,"not found",0,1)</f>
        <v>not found</v>
      </c>
      <c r="AJ1679" s="22" t="e">
        <f>Table26[[#This Row],[unitprice]]*Table26[[#This Row],[quantity_unit]]</f>
        <v>#VALUE!</v>
      </c>
      <c r="AK1679" s="227" t="e" cm="1">
        <f t="array" ref="AK16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0" spans="1:37" ht="18" customHeight="1">
      <c r="A1680" s="42">
        <v>604</v>
      </c>
      <c r="B1680" s="42" t="s">
        <v>3357</v>
      </c>
      <c r="C1680" s="53" t="s">
        <v>3360</v>
      </c>
      <c r="E1680" s="20"/>
      <c r="F16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80" s="93"/>
      <c r="I1680" s="203">
        <v>45797</v>
      </c>
      <c r="J1680" s="90" t="str">
        <f>IF(Table26[[#This Row],[customerSKU]]="","",_xlfn.XLOOKUP(Table26[[#This Row],[customerSKU]],customerSKU!G:G,customerSKU!A:A,"",0,1))</f>
        <v/>
      </c>
      <c r="K1680" s="232">
        <v>45797</v>
      </c>
      <c r="L1680" s="49" t="str">
        <f>IF(Table26[[#This Row],[customerSKU]]="","",_xlfn.XLOOKUP(Table26[[#This Row],[customerSKU]],customerSKU!G:G,customerSKU!B:B,"",0,1))</f>
        <v/>
      </c>
      <c r="M1680" s="22"/>
      <c r="N1680" s="15" t="str">
        <f>Table26[[#This Row],[po_number]]&amp;"-"&amp;Table26[[#This Row],[po_line]]</f>
        <v>-1</v>
      </c>
      <c r="O1680" s="15">
        <v>1</v>
      </c>
      <c r="P1680" s="50"/>
      <c r="S1680" s="90" t="str">
        <f>IF(Table26[[#This Row],[customerSKU]]="","",_xlfn.XLOOKUP(Table26[[#This Row],[customerSKU]],customerSKU!G:G,customerSKU!N:N,"NOT FOUND",0,1))</f>
        <v>NOT FOUND</v>
      </c>
      <c r="T1680" s="20"/>
      <c r="U1680" s="94">
        <v>12</v>
      </c>
      <c r="V1680" s="22" t="str">
        <f>IF(ISBLANK(Table26[[#This Row],[customerSKU]]),"",_xlfn.XLOOKUP(Table26[[#This Row],[customerSKU]],Table27[customer_SKU],Table27[case_size],"",0,1))</f>
        <v/>
      </c>
      <c r="W1680" s="117" t="str">
        <f t="shared" si="69"/>
        <v/>
      </c>
      <c r="X1680" s="22" t="str">
        <f t="shared" si="70"/>
        <v/>
      </c>
      <c r="Y1680" s="25" t="str">
        <f>IF(Table26[[#This Row],[customerSKU]]="","",_xlfn.XLOOKUP(Table26[[#This Row],[customerSKU]],Table27[customer_SKU],Table27[product_GTIN],"",0,1))</f>
        <v/>
      </c>
      <c r="Z1680" s="25" t="s">
        <v>3451</v>
      </c>
      <c r="AA1680" s="18" t="str" cm="1">
        <f t="array" ref="AA1680">IF(P1680="", "", _xlfn.XLOOKUP(P1680,#REF!,#REF!,NA,0,-1))</f>
        <v/>
      </c>
      <c r="AB1680" s="22"/>
      <c r="AC1680" s="55" t="str">
        <f>IF(Table26[[#This Row],[customerSKU]]="","",_xlfn.XLOOKUP(Table26[[#This Row],[customerSKU]],customerSKU!G:G,customerSKU!C:C,"",0,1))</f>
        <v/>
      </c>
      <c r="AD1680" s="55" t="str">
        <f>IF($AC1680="","",_xlfn.XLOOKUP($AC1680,'Client Info'!$C$2:$C$2497,'Client Info'!$D$2:$D$2497,"",0,1))</f>
        <v/>
      </c>
      <c r="AE1680" s="55" t="str">
        <f>IF($AC1680="","",_xlfn.XLOOKUP($AC1680,'Client Info'!$C$2:$C$2677,'Client Info'!$E$2:$E$2677,"",))</f>
        <v/>
      </c>
      <c r="AF1680" s="55" t="str">
        <f>IF($AC1680="","",_xlfn.XLOOKUP($AC1680,'Client Info'!$C$2:$C$2677,'Client Info'!$F$2:$F$2677,"",0,1))</f>
        <v/>
      </c>
      <c r="AG1680" s="55" t="str">
        <f>IF(ISBLANK(Table26[[#This Row],[customerSKU]]),"",_xlfn.XLOOKUP(Table26[[#This Row],[customerSKU]],Table27[customer_SKU],Table27[billto],"",0,1))</f>
        <v/>
      </c>
      <c r="AH1680" s="26" t="str">
        <f>_xlfn.XLOOKUP(Table26[[#This Row],[customerSKU]],customerSKU!G:G,customerSKU!K:K,"NA",0,1)</f>
        <v>NA</v>
      </c>
      <c r="AI1680" s="43" t="str">
        <f>_xlfn.XLOOKUP(Table26[[#This Row],[customerSKU]],customerSKU!G:G,customerSKU!O:O,"not found",0,1)</f>
        <v>not found</v>
      </c>
      <c r="AJ1680" s="22" t="e">
        <f>Table26[[#This Row],[unitprice]]*Table26[[#This Row],[quantity_unit]]</f>
        <v>#VALUE!</v>
      </c>
      <c r="AK1680" s="227" t="e" cm="1">
        <f t="array" ref="AK16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1" spans="1:37" ht="18" customHeight="1">
      <c r="A1681" s="42">
        <v>605</v>
      </c>
      <c r="B1681" s="42" t="s">
        <v>3357</v>
      </c>
      <c r="C1681" s="53" t="s">
        <v>3360</v>
      </c>
      <c r="E1681" s="20"/>
      <c r="F16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81" s="93"/>
      <c r="I1681" s="203">
        <v>45797</v>
      </c>
      <c r="J1681" s="90" t="str">
        <f>IF(Table26[[#This Row],[customerSKU]]="","",_xlfn.XLOOKUP(Table26[[#This Row],[customerSKU]],customerSKU!G:G,customerSKU!A:A,"",0,1))</f>
        <v/>
      </c>
      <c r="K1681" s="232">
        <v>45797</v>
      </c>
      <c r="L1681" s="49" t="str">
        <f>IF(Table26[[#This Row],[customerSKU]]="","",_xlfn.XLOOKUP(Table26[[#This Row],[customerSKU]],customerSKU!G:G,customerSKU!B:B,"",0,1))</f>
        <v/>
      </c>
      <c r="M1681" s="22"/>
      <c r="N1681" s="15" t="str">
        <f>Table26[[#This Row],[po_number]]&amp;"-"&amp;Table26[[#This Row],[po_line]]</f>
        <v>-2</v>
      </c>
      <c r="O1681" s="15">
        <v>2</v>
      </c>
      <c r="P1681" s="50"/>
      <c r="S1681" s="90" t="str">
        <f>IF(Table26[[#This Row],[customerSKU]]="","",_xlfn.XLOOKUP(Table26[[#This Row],[customerSKU]],customerSKU!G:G,customerSKU!N:N,"NOT FOUND",0,1))</f>
        <v>NOT FOUND</v>
      </c>
      <c r="T1681" s="20"/>
      <c r="U1681" s="94">
        <v>12</v>
      </c>
      <c r="V1681" s="22" t="str">
        <f>IF(ISBLANK(Table26[[#This Row],[customerSKU]]),"",_xlfn.XLOOKUP(Table26[[#This Row],[customerSKU]],Table27[customer_SKU],Table27[case_size],"",0,1))</f>
        <v/>
      </c>
      <c r="W1681" s="117" t="str">
        <f t="shared" si="69"/>
        <v/>
      </c>
      <c r="X1681" s="22" t="str">
        <f t="shared" si="70"/>
        <v/>
      </c>
      <c r="Y1681" s="25" t="str">
        <f>IF(Table26[[#This Row],[customerSKU]]="","",_xlfn.XLOOKUP(Table26[[#This Row],[customerSKU]],Table27[customer_SKU],Table27[product_GTIN],"",0,1))</f>
        <v/>
      </c>
      <c r="Z1681" s="25" t="s">
        <v>3546</v>
      </c>
      <c r="AA1681" s="18" t="str" cm="1">
        <f t="array" ref="AA1681">IF(P1681="", "", _xlfn.XLOOKUP(P1681,#REF!,#REF!,NA,0,-1))</f>
        <v/>
      </c>
      <c r="AB1681" s="22"/>
      <c r="AC1681" s="55" t="str">
        <f>IF(Table26[[#This Row],[customerSKU]]="","",_xlfn.XLOOKUP(Table26[[#This Row],[customerSKU]],customerSKU!G:G,customerSKU!C:C,"",0,1))</f>
        <v/>
      </c>
      <c r="AD1681" s="55" t="str">
        <f>IF($AC1681="","",_xlfn.XLOOKUP($AC1681,'Client Info'!$C$2:$C$2497,'Client Info'!$D$2:$D$2497,"",0,1))</f>
        <v/>
      </c>
      <c r="AE1681" s="55" t="str">
        <f>IF($AC1681="","",_xlfn.XLOOKUP($AC1681,'Client Info'!$C$2:$C$2677,'Client Info'!$E$2:$E$2677,"",))</f>
        <v/>
      </c>
      <c r="AF1681" s="55" t="str">
        <f>IF($AC1681="","",_xlfn.XLOOKUP($AC1681,'Client Info'!$C$2:$C$2677,'Client Info'!$F$2:$F$2677,"",0,1))</f>
        <v/>
      </c>
      <c r="AG1681" s="55" t="str">
        <f>IF(ISBLANK(Table26[[#This Row],[customerSKU]]),"",_xlfn.XLOOKUP(Table26[[#This Row],[customerSKU]],Table27[customer_SKU],Table27[billto],"",0,1))</f>
        <v/>
      </c>
      <c r="AH1681" s="26" t="str">
        <f>_xlfn.XLOOKUP(Table26[[#This Row],[customerSKU]],customerSKU!G:G,customerSKU!K:K,"NA",0,1)</f>
        <v>NA</v>
      </c>
      <c r="AI1681" s="43" t="str">
        <f>_xlfn.XLOOKUP(Table26[[#This Row],[customerSKU]],customerSKU!G:G,customerSKU!O:O,"not found",0,1)</f>
        <v>not found</v>
      </c>
      <c r="AJ1681" s="22" t="e">
        <f>Table26[[#This Row],[unitprice]]*Table26[[#This Row],[quantity_unit]]</f>
        <v>#VALUE!</v>
      </c>
      <c r="AK1681" s="227" t="e" cm="1">
        <f t="array" ref="AK16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2" spans="1:37" ht="18" customHeight="1">
      <c r="A1682" s="42">
        <v>569</v>
      </c>
      <c r="B1682" s="42" t="s">
        <v>3357</v>
      </c>
      <c r="C1682" s="53" t="s">
        <v>3360</v>
      </c>
      <c r="E1682" s="20"/>
      <c r="F16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82" s="93"/>
      <c r="I1682" s="203">
        <v>45798</v>
      </c>
      <c r="J1682" s="90" t="str">
        <f>IF(Table26[[#This Row],[customerSKU]]="","",_xlfn.XLOOKUP(Table26[[#This Row],[customerSKU]],customerSKU!G:G,customerSKU!A:A,"",0,1))</f>
        <v/>
      </c>
      <c r="K1682" s="232">
        <v>45798</v>
      </c>
      <c r="L1682" s="49" t="str">
        <f>IF(Table26[[#This Row],[customerSKU]]="","",_xlfn.XLOOKUP(Table26[[#This Row],[customerSKU]],customerSKU!G:G,customerSKU!B:B,"",0,1))</f>
        <v/>
      </c>
      <c r="M1682" s="22"/>
      <c r="N1682" s="15" t="str">
        <f>Table26[[#This Row],[po_number]]&amp;"-"&amp;Table26[[#This Row],[po_line]]</f>
        <v>-1</v>
      </c>
      <c r="O1682" s="15">
        <v>1</v>
      </c>
      <c r="P1682" s="50"/>
      <c r="S1682" s="90" t="str">
        <f>IF(Table26[[#This Row],[customerSKU]]="","",_xlfn.XLOOKUP(Table26[[#This Row],[customerSKU]],customerSKU!G:G,customerSKU!N:N,"NOT FOUND",0,1))</f>
        <v>NOT FOUND</v>
      </c>
      <c r="T1682" s="20"/>
      <c r="U1682" s="94">
        <v>12</v>
      </c>
      <c r="V1682" s="22" t="str">
        <f>IF(ISBLANK(Table26[[#This Row],[customerSKU]]),"",_xlfn.XLOOKUP(Table26[[#This Row],[customerSKU]],Table27[customer_SKU],Table27[case_size],"",0,1))</f>
        <v/>
      </c>
      <c r="W1682" s="117" t="str">
        <f t="shared" si="69"/>
        <v/>
      </c>
      <c r="X1682" s="22" t="str">
        <f t="shared" si="70"/>
        <v/>
      </c>
      <c r="Y1682" s="25" t="str">
        <f>IF(Table26[[#This Row],[customerSKU]]="","",_xlfn.XLOOKUP(Table26[[#This Row],[customerSKU]],Table27[customer_SKU],Table27[product_GTIN],"",0,1))</f>
        <v/>
      </c>
      <c r="Z1682" s="25" t="s">
        <v>3395</v>
      </c>
      <c r="AA1682" s="18" t="str" cm="1">
        <f t="array" ref="AA1682">IF(P1682="", "", _xlfn.XLOOKUP(P1682,#REF!,#REF!,NA,0,-1))</f>
        <v/>
      </c>
      <c r="AB1682" s="22"/>
      <c r="AC1682" s="55" t="str">
        <f>IF(Table26[[#This Row],[customerSKU]]="","",_xlfn.XLOOKUP(Table26[[#This Row],[customerSKU]],customerSKU!G:G,customerSKU!C:C,"",0,1))</f>
        <v/>
      </c>
      <c r="AD1682" s="55" t="str">
        <f>IF($AC1682="","",_xlfn.XLOOKUP($AC1682,'Client Info'!$C$2:$C$2497,'Client Info'!$D$2:$D$2497,"",0,1))</f>
        <v/>
      </c>
      <c r="AE1682" s="55" t="str">
        <f>IF($AC1682="","",_xlfn.XLOOKUP($AC1682,'Client Info'!$C$2:$C$2677,'Client Info'!$E$2:$E$2677,"",))</f>
        <v/>
      </c>
      <c r="AF1682" s="55" t="str">
        <f>IF($AC1682="","",_xlfn.XLOOKUP($AC1682,'Client Info'!$C$2:$C$2677,'Client Info'!$F$2:$F$2677,"",0,1))</f>
        <v/>
      </c>
      <c r="AG1682" s="55" t="str">
        <f>IF(ISBLANK(Table26[[#This Row],[customerSKU]]),"",_xlfn.XLOOKUP(Table26[[#This Row],[customerSKU]],Table27[customer_SKU],Table27[billto],"",0,1))</f>
        <v/>
      </c>
      <c r="AH1682" s="26" t="str">
        <f>_xlfn.XLOOKUP(Table26[[#This Row],[customerSKU]],customerSKU!G:G,customerSKU!K:K,"NA",0,1)</f>
        <v>NA</v>
      </c>
      <c r="AI1682" s="43" t="str">
        <f>_xlfn.XLOOKUP(Table26[[#This Row],[customerSKU]],customerSKU!G:G,customerSKU!O:O,"not found",0,1)</f>
        <v>not found</v>
      </c>
      <c r="AJ1682" s="22" t="e">
        <f>Table26[[#This Row],[unitprice]]*Table26[[#This Row],[quantity_unit]]</f>
        <v>#VALUE!</v>
      </c>
      <c r="AK1682" s="227" t="e" cm="1">
        <f t="array" ref="AK16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3" spans="1:37" ht="18" customHeight="1">
      <c r="A1683" s="42">
        <v>553</v>
      </c>
      <c r="B1683" s="42" t="s">
        <v>3357</v>
      </c>
      <c r="C1683" s="53" t="s">
        <v>3494</v>
      </c>
      <c r="D1683" s="20">
        <v>45800</v>
      </c>
      <c r="E1683" s="20"/>
      <c r="F1683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3" s="203">
        <v>45785</v>
      </c>
      <c r="J1683" s="90" t="str">
        <f>IF(Table26[[#This Row],[customerSKU]]="","",_xlfn.XLOOKUP(Table26[[#This Row],[customerSKU]],customerSKU!G:G,customerSKU!A:A,"",0,1))</f>
        <v/>
      </c>
      <c r="K1683" s="232">
        <v>45799</v>
      </c>
      <c r="L1683" s="49" t="str">
        <f>IF(Table26[[#This Row],[customerSKU]]="","",_xlfn.XLOOKUP(Table26[[#This Row],[customerSKU]],customerSKU!G:G,customerSKU!B:B,"",0,1))</f>
        <v/>
      </c>
      <c r="M1683" s="22"/>
      <c r="N1683" s="15" t="str">
        <f>Table26[[#This Row],[po_number]]&amp;"-"&amp;Table26[[#This Row],[po_line]]</f>
        <v>-1</v>
      </c>
      <c r="O1683" s="15">
        <v>1</v>
      </c>
      <c r="P1683" s="50"/>
      <c r="Q1683" s="22" t="s">
        <v>3565</v>
      </c>
      <c r="R1683" s="22" t="s">
        <v>569</v>
      </c>
      <c r="S1683" s="90" t="str">
        <f>IF(Table26[[#This Row],[customerSKU]]="","",_xlfn.XLOOKUP(Table26[[#This Row],[customerSKU]],customerSKU!G:G,customerSKU!N:N,"NOT FOUND",0,1))</f>
        <v>NOT FOUND</v>
      </c>
      <c r="T1683" s="20">
        <v>45763</v>
      </c>
      <c r="U1683" s="94">
        <v>12</v>
      </c>
      <c r="V1683" s="22" t="str">
        <f>IF(ISBLANK(Table26[[#This Row],[customerSKU]]),"",_xlfn.XLOOKUP(Table26[[#This Row],[customerSKU]],Table27[customer_SKU],Table27[case_size],"",0,1))</f>
        <v/>
      </c>
      <c r="W1683" s="117" t="str">
        <f t="shared" si="69"/>
        <v/>
      </c>
      <c r="X1683" s="22" t="str">
        <f t="shared" si="70"/>
        <v/>
      </c>
      <c r="Y1683" s="25" t="str">
        <f>IF(Table26[[#This Row],[customerSKU]]="","",_xlfn.XLOOKUP(Table26[[#This Row],[customerSKU]],Table27[customer_SKU],Table27[product_GTIN],"",0,1))</f>
        <v/>
      </c>
      <c r="Z1683" s="25" t="s">
        <v>3477</v>
      </c>
      <c r="AA1683" s="18" t="str" cm="1">
        <f t="array" ref="AA1683">IF(P1683="", "", _xlfn.XLOOKUP(P1683,#REF!,#REF!,NA,0,-1))</f>
        <v/>
      </c>
      <c r="AB1683" s="22"/>
      <c r="AC1683" s="55" t="str">
        <f>IF(Table26[[#This Row],[customerSKU]]="","",_xlfn.XLOOKUP(Table26[[#This Row],[customerSKU]],customerSKU!G:G,customerSKU!C:C,"",0,1))</f>
        <v/>
      </c>
      <c r="AD1683" s="55" t="str">
        <f>IF($AC1683="","",_xlfn.XLOOKUP($AC1683,'Client Info'!$C$2:$C$2497,'Client Info'!$D$2:$D$2497,"",0,1))</f>
        <v/>
      </c>
      <c r="AE1683" s="55" t="str">
        <f>IF($AC1683="","",_xlfn.XLOOKUP($AC1683,'Client Info'!$C$2:$C$2677,'Client Info'!$E$2:$E$2677,"",))</f>
        <v/>
      </c>
      <c r="AF1683" s="55" t="str">
        <f>IF($AC1683="","",_xlfn.XLOOKUP($AC1683,'Client Info'!$C$2:$C$2677,'Client Info'!$F$2:$F$2677,"",0,1))</f>
        <v/>
      </c>
      <c r="AG1683" s="55" t="str">
        <f>IF(ISBLANK(Table26[[#This Row],[customerSKU]]),"",_xlfn.XLOOKUP(Table26[[#This Row],[customerSKU]],Table27[customer_SKU],Table27[billto],"",0,1))</f>
        <v/>
      </c>
      <c r="AH1683" s="26" t="str">
        <f>_xlfn.XLOOKUP(Table26[[#This Row],[customerSKU]],customerSKU!G:G,customerSKU!K:K,"NA",0,1)</f>
        <v>NA</v>
      </c>
      <c r="AI1683" s="43" t="str">
        <f>_xlfn.XLOOKUP(Table26[[#This Row],[customerSKU]],customerSKU!G:G,customerSKU!O:O,"not found",0,1)</f>
        <v>not found</v>
      </c>
      <c r="AJ1683" s="22" t="e">
        <f>Table26[[#This Row],[unitprice]]*Table26[[#This Row],[quantity_unit]]</f>
        <v>#VALUE!</v>
      </c>
      <c r="AK1683" s="227" t="e" cm="1">
        <f t="array" ref="AK16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4" spans="1:37" ht="18" customHeight="1">
      <c r="A1684" s="42">
        <v>554</v>
      </c>
      <c r="B1684" s="42" t="s">
        <v>3357</v>
      </c>
      <c r="C1684" s="53" t="s">
        <v>3494</v>
      </c>
      <c r="D1684" s="20">
        <v>45800</v>
      </c>
      <c r="E1684" s="20"/>
      <c r="F1684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4" s="203">
        <v>45785</v>
      </c>
      <c r="J1684" s="90" t="str">
        <f>IF(Table26[[#This Row],[customerSKU]]="","",_xlfn.XLOOKUP(Table26[[#This Row],[customerSKU]],customerSKU!G:G,customerSKU!A:A,"",0,1))</f>
        <v/>
      </c>
      <c r="K1684" s="232">
        <v>45799</v>
      </c>
      <c r="L1684" s="49" t="str">
        <f>IF(Table26[[#This Row],[customerSKU]]="","",_xlfn.XLOOKUP(Table26[[#This Row],[customerSKU]],customerSKU!G:G,customerSKU!B:B,"",0,1))</f>
        <v/>
      </c>
      <c r="M1684" s="22"/>
      <c r="N1684" s="15" t="str">
        <f>Table26[[#This Row],[po_number]]&amp;"-"&amp;Table26[[#This Row],[po_line]]</f>
        <v>-2</v>
      </c>
      <c r="O1684" s="15">
        <v>2</v>
      </c>
      <c r="P1684" s="50"/>
      <c r="Q1684" s="22" t="s">
        <v>3566</v>
      </c>
      <c r="R1684" s="22" t="s">
        <v>569</v>
      </c>
      <c r="S1684" s="90" t="str">
        <f>IF(Table26[[#This Row],[customerSKU]]="","",_xlfn.XLOOKUP(Table26[[#This Row],[customerSKU]],customerSKU!G:G,customerSKU!N:N,"NOT FOUND",0,1))</f>
        <v>NOT FOUND</v>
      </c>
      <c r="T1684" s="20">
        <v>45649</v>
      </c>
      <c r="U1684" s="94">
        <v>12</v>
      </c>
      <c r="V1684" s="22" t="str">
        <f>IF(ISBLANK(Table26[[#This Row],[customerSKU]]),"",_xlfn.XLOOKUP(Table26[[#This Row],[customerSKU]],Table27[customer_SKU],Table27[case_size],"",0,1))</f>
        <v/>
      </c>
      <c r="W1684" s="117" t="str">
        <f t="shared" si="69"/>
        <v/>
      </c>
      <c r="X1684" s="22" t="str">
        <f t="shared" si="70"/>
        <v/>
      </c>
      <c r="Y1684" s="25" t="str">
        <f>IF(Table26[[#This Row],[customerSKU]]="","",_xlfn.XLOOKUP(Table26[[#This Row],[customerSKU]],Table27[customer_SKU],Table27[product_GTIN],"",0,1))</f>
        <v/>
      </c>
      <c r="Z1684" s="25" t="s">
        <v>3567</v>
      </c>
      <c r="AA1684" s="18" t="str" cm="1">
        <f t="array" ref="AA1684">IF(P1684="", "", _xlfn.XLOOKUP(P1684,#REF!,#REF!,NA,0,-1))</f>
        <v/>
      </c>
      <c r="AB1684" s="22"/>
      <c r="AC1684" s="55" t="str">
        <f>IF(Table26[[#This Row],[customerSKU]]="","",_xlfn.XLOOKUP(Table26[[#This Row],[customerSKU]],customerSKU!G:G,customerSKU!C:C,"",0,1))</f>
        <v/>
      </c>
      <c r="AD1684" s="55" t="str">
        <f>IF($AC1684="","",_xlfn.XLOOKUP($AC1684,'Client Info'!$C$2:$C$2497,'Client Info'!$D$2:$D$2497,"",0,1))</f>
        <v/>
      </c>
      <c r="AE1684" s="55" t="str">
        <f>IF($AC1684="","",_xlfn.XLOOKUP($AC1684,'Client Info'!$C$2:$C$2677,'Client Info'!$E$2:$E$2677,"",))</f>
        <v/>
      </c>
      <c r="AF1684" s="55" t="str">
        <f>IF($AC1684="","",_xlfn.XLOOKUP($AC1684,'Client Info'!$C$2:$C$2677,'Client Info'!$F$2:$F$2677,"",0,1))</f>
        <v/>
      </c>
      <c r="AG1684" s="55" t="str">
        <f>IF(ISBLANK(Table26[[#This Row],[customerSKU]]),"",_xlfn.XLOOKUP(Table26[[#This Row],[customerSKU]],Table27[customer_SKU],Table27[billto],"",0,1))</f>
        <v/>
      </c>
      <c r="AH1684" s="26" t="str">
        <f>_xlfn.XLOOKUP(Table26[[#This Row],[customerSKU]],customerSKU!G:G,customerSKU!K:K,"NA",0,1)</f>
        <v>NA</v>
      </c>
      <c r="AI1684" s="43" t="str">
        <f>_xlfn.XLOOKUP(Table26[[#This Row],[customerSKU]],customerSKU!G:G,customerSKU!O:O,"not found",0,1)</f>
        <v>not found</v>
      </c>
      <c r="AJ1684" s="22" t="e">
        <f>Table26[[#This Row],[unitprice]]*Table26[[#This Row],[quantity_unit]]</f>
        <v>#VALUE!</v>
      </c>
      <c r="AK1684" s="227" t="e" cm="1">
        <f t="array" ref="AK16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5" spans="1:37" ht="18" customHeight="1">
      <c r="A1685" s="42">
        <v>555</v>
      </c>
      <c r="B1685" s="42" t="s">
        <v>3357</v>
      </c>
      <c r="C1685" s="53" t="s">
        <v>3494</v>
      </c>
      <c r="D1685" s="20">
        <v>45800</v>
      </c>
      <c r="E1685" s="20"/>
      <c r="F1685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5" s="203">
        <v>45785</v>
      </c>
      <c r="J1685" s="90" t="str">
        <f>IF(Table26[[#This Row],[customerSKU]]="","",_xlfn.XLOOKUP(Table26[[#This Row],[customerSKU]],customerSKU!G:G,customerSKU!A:A,"",0,1))</f>
        <v/>
      </c>
      <c r="K1685" s="232">
        <v>45799</v>
      </c>
      <c r="L1685" s="49" t="str">
        <f>IF(Table26[[#This Row],[customerSKU]]="","",_xlfn.XLOOKUP(Table26[[#This Row],[customerSKU]],customerSKU!G:G,customerSKU!B:B,"",0,1))</f>
        <v/>
      </c>
      <c r="M1685" s="22"/>
      <c r="N1685" s="15" t="str">
        <f>Table26[[#This Row],[po_number]]&amp;"-"&amp;Table26[[#This Row],[po_line]]</f>
        <v>-3</v>
      </c>
      <c r="O1685" s="15">
        <v>3</v>
      </c>
      <c r="P1685" s="50"/>
      <c r="Q1685" s="22" t="s">
        <v>1389</v>
      </c>
      <c r="R1685" s="22" t="s">
        <v>569</v>
      </c>
      <c r="S1685" s="90" t="str">
        <f>IF(Table26[[#This Row],[customerSKU]]="","",_xlfn.XLOOKUP(Table26[[#This Row],[customerSKU]],customerSKU!G:G,customerSKU!N:N,"NOT FOUND",0,1))</f>
        <v>NOT FOUND</v>
      </c>
      <c r="T1685" s="20">
        <v>45649</v>
      </c>
      <c r="U1685" s="94">
        <v>24</v>
      </c>
      <c r="V1685" s="22" t="str">
        <f>IF(ISBLANK(Table26[[#This Row],[customerSKU]]),"",_xlfn.XLOOKUP(Table26[[#This Row],[customerSKU]],Table27[customer_SKU],Table27[case_size],"",0,1))</f>
        <v/>
      </c>
      <c r="W1685" s="117" t="str">
        <f t="shared" si="69"/>
        <v/>
      </c>
      <c r="X1685" s="22" t="str">
        <f t="shared" si="70"/>
        <v/>
      </c>
      <c r="Y1685" s="25" t="str">
        <f>IF(Table26[[#This Row],[customerSKU]]="","",_xlfn.XLOOKUP(Table26[[#This Row],[customerSKU]],Table27[customer_SKU],Table27[product_GTIN],"",0,1))</f>
        <v/>
      </c>
      <c r="Z1685" s="25" t="s">
        <v>3568</v>
      </c>
      <c r="AA1685" s="18" t="str" cm="1">
        <f t="array" ref="AA1685">IF(P1685="", "", _xlfn.XLOOKUP(P1685,#REF!,#REF!,NA,0,-1))</f>
        <v/>
      </c>
      <c r="AB1685" s="22"/>
      <c r="AC1685" s="55" t="str">
        <f>IF(Table26[[#This Row],[customerSKU]]="","",_xlfn.XLOOKUP(Table26[[#This Row],[customerSKU]],customerSKU!G:G,customerSKU!C:C,"",0,1))</f>
        <v/>
      </c>
      <c r="AD1685" s="55" t="str">
        <f>IF($AC1685="","",_xlfn.XLOOKUP($AC1685,'Client Info'!$C$2:$C$2497,'Client Info'!$D$2:$D$2497,"",0,1))</f>
        <v/>
      </c>
      <c r="AE1685" s="55" t="str">
        <f>IF($AC1685="","",_xlfn.XLOOKUP($AC1685,'Client Info'!$C$2:$C$2677,'Client Info'!$E$2:$E$2677,"",))</f>
        <v/>
      </c>
      <c r="AF1685" s="55" t="str">
        <f>IF($AC1685="","",_xlfn.XLOOKUP($AC1685,'Client Info'!$C$2:$C$2677,'Client Info'!$F$2:$F$2677,"",0,1))</f>
        <v/>
      </c>
      <c r="AG1685" s="55" t="str">
        <f>IF(ISBLANK(Table26[[#This Row],[customerSKU]]),"",_xlfn.XLOOKUP(Table26[[#This Row],[customerSKU]],Table27[customer_SKU],Table27[billto],"",0,1))</f>
        <v/>
      </c>
      <c r="AH1685" s="26" t="str">
        <f>_xlfn.XLOOKUP(Table26[[#This Row],[customerSKU]],customerSKU!G:G,customerSKU!K:K,"NA",0,1)</f>
        <v>NA</v>
      </c>
      <c r="AI1685" s="43" t="str">
        <f>_xlfn.XLOOKUP(Table26[[#This Row],[customerSKU]],customerSKU!G:G,customerSKU!O:O,"not found",0,1)</f>
        <v>not found</v>
      </c>
      <c r="AJ1685" s="22" t="e">
        <f>Table26[[#This Row],[unitprice]]*Table26[[#This Row],[quantity_unit]]</f>
        <v>#VALUE!</v>
      </c>
      <c r="AK1685" s="227" t="e" cm="1">
        <f t="array" ref="AK16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6" spans="1:37" ht="18" customHeight="1">
      <c r="A1686" s="42">
        <v>556</v>
      </c>
      <c r="B1686" s="42" t="s">
        <v>3357</v>
      </c>
      <c r="C1686" s="53" t="s">
        <v>3494</v>
      </c>
      <c r="D1686" s="20">
        <v>45800</v>
      </c>
      <c r="E1686" s="20"/>
      <c r="F1686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6" s="203">
        <v>45785</v>
      </c>
      <c r="J1686" s="90" t="str">
        <f>IF(Table26[[#This Row],[customerSKU]]="","",_xlfn.XLOOKUP(Table26[[#This Row],[customerSKU]],customerSKU!G:G,customerSKU!A:A,"",0,1))</f>
        <v/>
      </c>
      <c r="K1686" s="232">
        <v>45799</v>
      </c>
      <c r="L1686" s="49" t="str">
        <f>IF(Table26[[#This Row],[customerSKU]]="","",_xlfn.XLOOKUP(Table26[[#This Row],[customerSKU]],customerSKU!G:G,customerSKU!B:B,"",0,1))</f>
        <v/>
      </c>
      <c r="M1686" s="22"/>
      <c r="N1686" s="15" t="str">
        <f>Table26[[#This Row],[po_number]]&amp;"-"&amp;Table26[[#This Row],[po_line]]</f>
        <v>-4</v>
      </c>
      <c r="O1686" s="15">
        <v>4</v>
      </c>
      <c r="P1686" s="50"/>
      <c r="Q1686" s="22" t="s">
        <v>3569</v>
      </c>
      <c r="R1686" s="22" t="s">
        <v>569</v>
      </c>
      <c r="S1686" s="90" t="str">
        <f>IF(Table26[[#This Row],[customerSKU]]="","",_xlfn.XLOOKUP(Table26[[#This Row],[customerSKU]],customerSKU!G:G,customerSKU!N:N,"NOT FOUND",0,1))</f>
        <v>NOT FOUND</v>
      </c>
      <c r="T1686" s="20">
        <v>45798</v>
      </c>
      <c r="U1686" s="94">
        <v>12</v>
      </c>
      <c r="V1686" s="22" t="str">
        <f>IF(ISBLANK(Table26[[#This Row],[customerSKU]]),"",_xlfn.XLOOKUP(Table26[[#This Row],[customerSKU]],Table27[customer_SKU],Table27[case_size],"",0,1))</f>
        <v/>
      </c>
      <c r="W1686" s="117" t="str">
        <f t="shared" si="69"/>
        <v/>
      </c>
      <c r="X1686" s="22" t="str">
        <f t="shared" si="70"/>
        <v/>
      </c>
      <c r="Y1686" s="25" t="str">
        <f>IF(Table26[[#This Row],[customerSKU]]="","",_xlfn.XLOOKUP(Table26[[#This Row],[customerSKU]],Table27[customer_SKU],Table27[product_GTIN],"",0,1))</f>
        <v/>
      </c>
      <c r="Z1686" s="25" t="s">
        <v>3570</v>
      </c>
      <c r="AA1686" s="18" t="str" cm="1">
        <f t="array" ref="AA1686">IF(P1686="", "", _xlfn.XLOOKUP(P1686,#REF!,#REF!,NA,0,-1))</f>
        <v/>
      </c>
      <c r="AB1686" s="22"/>
      <c r="AC1686" s="55" t="str">
        <f>IF(Table26[[#This Row],[customerSKU]]="","",_xlfn.XLOOKUP(Table26[[#This Row],[customerSKU]],customerSKU!G:G,customerSKU!C:C,"",0,1))</f>
        <v/>
      </c>
      <c r="AD1686" s="55" t="str">
        <f>IF($AC1686="","",_xlfn.XLOOKUP($AC1686,'Client Info'!$C$2:$C$2497,'Client Info'!$D$2:$D$2497,"",0,1))</f>
        <v/>
      </c>
      <c r="AE1686" s="55" t="str">
        <f>IF($AC1686="","",_xlfn.XLOOKUP($AC1686,'Client Info'!$C$2:$C$2677,'Client Info'!$E$2:$E$2677,"",))</f>
        <v/>
      </c>
      <c r="AF1686" s="55" t="str">
        <f>IF($AC1686="","",_xlfn.XLOOKUP($AC1686,'Client Info'!$C$2:$C$2677,'Client Info'!$F$2:$F$2677,"",0,1))</f>
        <v/>
      </c>
      <c r="AG1686" s="55" t="str">
        <f>IF(ISBLANK(Table26[[#This Row],[customerSKU]]),"",_xlfn.XLOOKUP(Table26[[#This Row],[customerSKU]],Table27[customer_SKU],Table27[billto],"",0,1))</f>
        <v/>
      </c>
      <c r="AH1686" s="26" t="str">
        <f>_xlfn.XLOOKUP(Table26[[#This Row],[customerSKU]],customerSKU!G:G,customerSKU!K:K,"NA",0,1)</f>
        <v>NA</v>
      </c>
      <c r="AI1686" s="43" t="str">
        <f>_xlfn.XLOOKUP(Table26[[#This Row],[customerSKU]],customerSKU!G:G,customerSKU!O:O,"not found",0,1)</f>
        <v>not found</v>
      </c>
      <c r="AJ1686" s="22" t="e">
        <f>Table26[[#This Row],[unitprice]]*Table26[[#This Row],[quantity_unit]]</f>
        <v>#VALUE!</v>
      </c>
      <c r="AK1686" s="227" t="e" cm="1">
        <f t="array" ref="AK16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7" spans="1:37" ht="18" customHeight="1">
      <c r="A1687" s="42">
        <v>557</v>
      </c>
      <c r="B1687" s="42" t="s">
        <v>3357</v>
      </c>
      <c r="C1687" s="53" t="s">
        <v>3494</v>
      </c>
      <c r="D1687" s="20">
        <v>45800</v>
      </c>
      <c r="E1687" s="20"/>
      <c r="F1687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7" s="203">
        <v>45785</v>
      </c>
      <c r="J1687" s="90" t="str">
        <f>IF(Table26[[#This Row],[customerSKU]]="","",_xlfn.XLOOKUP(Table26[[#This Row],[customerSKU]],customerSKU!G:G,customerSKU!A:A,"",0,1))</f>
        <v/>
      </c>
      <c r="K1687" s="232">
        <v>45799</v>
      </c>
      <c r="L1687" s="49" t="str">
        <f>IF(Table26[[#This Row],[customerSKU]]="","",_xlfn.XLOOKUP(Table26[[#This Row],[customerSKU]],customerSKU!G:G,customerSKU!B:B,"",0,1))</f>
        <v/>
      </c>
      <c r="M1687" s="22"/>
      <c r="N1687" s="15" t="str">
        <f>Table26[[#This Row],[po_number]]&amp;"-"&amp;Table26[[#This Row],[po_line]]</f>
        <v>-5</v>
      </c>
      <c r="O1687" s="15">
        <v>5</v>
      </c>
      <c r="P1687" s="50"/>
      <c r="Q1687" s="22" t="s">
        <v>824</v>
      </c>
      <c r="R1687" s="22" t="s">
        <v>569</v>
      </c>
      <c r="S1687" s="90" t="str">
        <f>IF(Table26[[#This Row],[customerSKU]]="","",_xlfn.XLOOKUP(Table26[[#This Row],[customerSKU]],customerSKU!G:G,customerSKU!N:N,"NOT FOUND",0,1))</f>
        <v>NOT FOUND</v>
      </c>
      <c r="T1687" s="20">
        <v>45798</v>
      </c>
      <c r="U1687" s="94">
        <v>24</v>
      </c>
      <c r="V1687" s="22" t="str">
        <f>IF(ISBLANK(Table26[[#This Row],[customerSKU]]),"",_xlfn.XLOOKUP(Table26[[#This Row],[customerSKU]],Table27[customer_SKU],Table27[case_size],"",0,1))</f>
        <v/>
      </c>
      <c r="W1687" s="117" t="str">
        <f t="shared" si="69"/>
        <v/>
      </c>
      <c r="X1687" s="22" t="str">
        <f t="shared" si="70"/>
        <v/>
      </c>
      <c r="Y1687" s="25" t="str">
        <f>IF(Table26[[#This Row],[customerSKU]]="","",_xlfn.XLOOKUP(Table26[[#This Row],[customerSKU]],Table27[customer_SKU],Table27[product_GTIN],"",0,1))</f>
        <v/>
      </c>
      <c r="Z1687" s="25" t="s">
        <v>3571</v>
      </c>
      <c r="AA1687" s="18" t="str" cm="1">
        <f t="array" ref="AA1687">IF(P1687="", "", _xlfn.XLOOKUP(P1687,#REF!,#REF!,NA,0,-1))</f>
        <v/>
      </c>
      <c r="AB1687" s="22"/>
      <c r="AC1687" s="55" t="str">
        <f>IF(Table26[[#This Row],[customerSKU]]="","",_xlfn.XLOOKUP(Table26[[#This Row],[customerSKU]],customerSKU!G:G,customerSKU!C:C,"",0,1))</f>
        <v/>
      </c>
      <c r="AD1687" s="55" t="str">
        <f>IF($AC1687="","",_xlfn.XLOOKUP($AC1687,'Client Info'!$C$2:$C$2497,'Client Info'!$D$2:$D$2497,"",0,1))</f>
        <v/>
      </c>
      <c r="AE1687" s="55" t="str">
        <f>IF($AC1687="","",_xlfn.XLOOKUP($AC1687,'Client Info'!$C$2:$C$2677,'Client Info'!$E$2:$E$2677,"",))</f>
        <v/>
      </c>
      <c r="AF1687" s="55" t="str">
        <f>IF($AC1687="","",_xlfn.XLOOKUP($AC1687,'Client Info'!$C$2:$C$2677,'Client Info'!$F$2:$F$2677,"",0,1))</f>
        <v/>
      </c>
      <c r="AG1687" s="55" t="str">
        <f>IF(ISBLANK(Table26[[#This Row],[customerSKU]]),"",_xlfn.XLOOKUP(Table26[[#This Row],[customerSKU]],Table27[customer_SKU],Table27[billto],"",0,1))</f>
        <v/>
      </c>
      <c r="AH1687" s="26" t="str">
        <f>_xlfn.XLOOKUP(Table26[[#This Row],[customerSKU]],customerSKU!G:G,customerSKU!K:K,"NA",0,1)</f>
        <v>NA</v>
      </c>
      <c r="AI1687" s="43" t="str">
        <f>_xlfn.XLOOKUP(Table26[[#This Row],[customerSKU]],customerSKU!G:G,customerSKU!O:O,"not found",0,1)</f>
        <v>not found</v>
      </c>
      <c r="AJ1687" s="22" t="e">
        <f>Table26[[#This Row],[unitprice]]*Table26[[#This Row],[quantity_unit]]</f>
        <v>#VALUE!</v>
      </c>
      <c r="AK1687" s="227" t="e" cm="1">
        <f t="array" ref="AK16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8" spans="1:37" ht="18" customHeight="1">
      <c r="A1688" s="42">
        <v>558</v>
      </c>
      <c r="B1688" s="42" t="s">
        <v>3357</v>
      </c>
      <c r="C1688" s="53" t="s">
        <v>3494</v>
      </c>
      <c r="D1688" s="20">
        <v>45800</v>
      </c>
      <c r="E1688" s="20"/>
      <c r="F1688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8" s="203">
        <v>45785</v>
      </c>
      <c r="J1688" s="90" t="str">
        <f>IF(Table26[[#This Row],[customerSKU]]="","",_xlfn.XLOOKUP(Table26[[#This Row],[customerSKU]],customerSKU!G:G,customerSKU!A:A,"",0,1))</f>
        <v/>
      </c>
      <c r="K1688" s="232">
        <v>45799</v>
      </c>
      <c r="L1688" s="49" t="str">
        <f>IF(Table26[[#This Row],[customerSKU]]="","",_xlfn.XLOOKUP(Table26[[#This Row],[customerSKU]],customerSKU!G:G,customerSKU!B:B,"",0,1))</f>
        <v/>
      </c>
      <c r="M1688" s="22"/>
      <c r="N1688" s="15" t="str">
        <f>Table26[[#This Row],[po_number]]&amp;"-"&amp;Table26[[#This Row],[po_line]]</f>
        <v>-6</v>
      </c>
      <c r="O1688" s="15">
        <v>6</v>
      </c>
      <c r="P1688" s="50"/>
      <c r="Q1688" s="22" t="s">
        <v>869</v>
      </c>
      <c r="R1688" s="22" t="s">
        <v>569</v>
      </c>
      <c r="S1688" s="90" t="str">
        <f>IF(Table26[[#This Row],[customerSKU]]="","",_xlfn.XLOOKUP(Table26[[#This Row],[customerSKU]],customerSKU!G:G,customerSKU!N:N,"NOT FOUND",0,1))</f>
        <v>NOT FOUND</v>
      </c>
      <c r="T1688" s="20">
        <v>45742</v>
      </c>
      <c r="U1688" s="94">
        <v>12</v>
      </c>
      <c r="V1688" s="22" t="str">
        <f>IF(ISBLANK(Table26[[#This Row],[customerSKU]]),"",_xlfn.XLOOKUP(Table26[[#This Row],[customerSKU]],Table27[customer_SKU],Table27[case_size],"",0,1))</f>
        <v/>
      </c>
      <c r="W1688" s="117" t="str">
        <f t="shared" si="69"/>
        <v/>
      </c>
      <c r="X1688" s="22" t="str">
        <f t="shared" si="70"/>
        <v/>
      </c>
      <c r="Y1688" s="25" t="str">
        <f>IF(Table26[[#This Row],[customerSKU]]="","",_xlfn.XLOOKUP(Table26[[#This Row],[customerSKU]],Table27[customer_SKU],Table27[product_GTIN],"",0,1))</f>
        <v/>
      </c>
      <c r="Z1688" s="25" t="s">
        <v>3572</v>
      </c>
      <c r="AA1688" s="18" t="str" cm="1">
        <f t="array" ref="AA1688">IF(P1688="", "", _xlfn.XLOOKUP(P1688,#REF!,#REF!,NA,0,-1))</f>
        <v/>
      </c>
      <c r="AB1688" s="22"/>
      <c r="AC1688" s="55" t="str">
        <f>IF(Table26[[#This Row],[customerSKU]]="","",_xlfn.XLOOKUP(Table26[[#This Row],[customerSKU]],customerSKU!G:G,customerSKU!C:C,"",0,1))</f>
        <v/>
      </c>
      <c r="AD1688" s="55" t="str">
        <f>IF($AC1688="","",_xlfn.XLOOKUP($AC1688,'Client Info'!$C$2:$C$2497,'Client Info'!$D$2:$D$2497,"",0,1))</f>
        <v/>
      </c>
      <c r="AE1688" s="55" t="str">
        <f>IF($AC1688="","",_xlfn.XLOOKUP($AC1688,'Client Info'!$C$2:$C$2677,'Client Info'!$E$2:$E$2677,"",))</f>
        <v/>
      </c>
      <c r="AF1688" s="55" t="str">
        <f>IF($AC1688="","",_xlfn.XLOOKUP($AC1688,'Client Info'!$C$2:$C$2677,'Client Info'!$F$2:$F$2677,"",0,1))</f>
        <v/>
      </c>
      <c r="AG1688" s="55" t="str">
        <f>IF(ISBLANK(Table26[[#This Row],[customerSKU]]),"",_xlfn.XLOOKUP(Table26[[#This Row],[customerSKU]],Table27[customer_SKU],Table27[billto],"",0,1))</f>
        <v/>
      </c>
      <c r="AH1688" s="26" t="str">
        <f>_xlfn.XLOOKUP(Table26[[#This Row],[customerSKU]],customerSKU!G:G,customerSKU!K:K,"NA",0,1)</f>
        <v>NA</v>
      </c>
      <c r="AI1688" s="43" t="str">
        <f>_xlfn.XLOOKUP(Table26[[#This Row],[customerSKU]],customerSKU!G:G,customerSKU!O:O,"not found",0,1)</f>
        <v>not found</v>
      </c>
      <c r="AJ1688" s="22" t="e">
        <f>Table26[[#This Row],[unitprice]]*Table26[[#This Row],[quantity_unit]]</f>
        <v>#VALUE!</v>
      </c>
      <c r="AK1688" s="227" t="e" cm="1">
        <f t="array" ref="AK16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89" spans="1:37" ht="18" customHeight="1">
      <c r="A1689" s="42">
        <v>559</v>
      </c>
      <c r="B1689" s="42" t="s">
        <v>3357</v>
      </c>
      <c r="C1689" s="53" t="s">
        <v>3494</v>
      </c>
      <c r="D1689" s="20">
        <v>45800</v>
      </c>
      <c r="E1689" s="20"/>
      <c r="F1689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89" s="203">
        <v>45785</v>
      </c>
      <c r="J1689" s="90" t="str">
        <f>IF(Table26[[#This Row],[customerSKU]]="","",_xlfn.XLOOKUP(Table26[[#This Row],[customerSKU]],customerSKU!G:G,customerSKU!A:A,"",0,1))</f>
        <v/>
      </c>
      <c r="K1689" s="232">
        <v>45799</v>
      </c>
      <c r="L1689" s="49" t="str">
        <f>IF(Table26[[#This Row],[customerSKU]]="","",_xlfn.XLOOKUP(Table26[[#This Row],[customerSKU]],customerSKU!G:G,customerSKU!B:B,"",0,1))</f>
        <v/>
      </c>
      <c r="M1689" s="22"/>
      <c r="N1689" s="15" t="str">
        <f>Table26[[#This Row],[po_number]]&amp;"-"&amp;Table26[[#This Row],[po_line]]</f>
        <v>-7</v>
      </c>
      <c r="O1689" s="15">
        <v>7</v>
      </c>
      <c r="P1689" s="50"/>
      <c r="Q1689" s="22" t="s">
        <v>591</v>
      </c>
      <c r="R1689" s="22" t="s">
        <v>569</v>
      </c>
      <c r="S1689" s="90" t="str">
        <f>IF(Table26[[#This Row],[customerSKU]]="","",_xlfn.XLOOKUP(Table26[[#This Row],[customerSKU]],customerSKU!G:G,customerSKU!N:N,"NOT FOUND",0,1))</f>
        <v>NOT FOUND</v>
      </c>
      <c r="T1689" s="20">
        <v>45772</v>
      </c>
      <c r="U1689" s="94">
        <v>12</v>
      </c>
      <c r="V1689" s="22" t="str">
        <f>IF(ISBLANK(Table26[[#This Row],[customerSKU]]),"",_xlfn.XLOOKUP(Table26[[#This Row],[customerSKU]],Table27[customer_SKU],Table27[case_size],"",0,1))</f>
        <v/>
      </c>
      <c r="W1689" s="117" t="str">
        <f t="shared" si="69"/>
        <v/>
      </c>
      <c r="X1689" s="22" t="str">
        <f t="shared" si="70"/>
        <v/>
      </c>
      <c r="Y1689" s="25" t="str">
        <f>IF(Table26[[#This Row],[customerSKU]]="","",_xlfn.XLOOKUP(Table26[[#This Row],[customerSKU]],Table27[customer_SKU],Table27[product_GTIN],"",0,1))</f>
        <v/>
      </c>
      <c r="Z1689" s="25" t="s">
        <v>3480</v>
      </c>
      <c r="AA1689" s="18" t="str" cm="1">
        <f t="array" ref="AA1689">IF(P1689="", "", _xlfn.XLOOKUP(P1689,#REF!,#REF!,NA,0,-1))</f>
        <v/>
      </c>
      <c r="AB1689" s="22"/>
      <c r="AC1689" s="55" t="str">
        <f>IF(Table26[[#This Row],[customerSKU]]="","",_xlfn.XLOOKUP(Table26[[#This Row],[customerSKU]],customerSKU!G:G,customerSKU!C:C,"",0,1))</f>
        <v/>
      </c>
      <c r="AD1689" s="55" t="str">
        <f>IF($AC1689="","",_xlfn.XLOOKUP($AC1689,'Client Info'!$C$2:$C$2497,'Client Info'!$D$2:$D$2497,"",0,1))</f>
        <v/>
      </c>
      <c r="AE1689" s="55" t="str">
        <f>IF($AC1689="","",_xlfn.XLOOKUP($AC1689,'Client Info'!$C$2:$C$2677,'Client Info'!$E$2:$E$2677,"",))</f>
        <v/>
      </c>
      <c r="AF1689" s="55" t="str">
        <f>IF($AC1689="","",_xlfn.XLOOKUP($AC1689,'Client Info'!$C$2:$C$2677,'Client Info'!$F$2:$F$2677,"",0,1))</f>
        <v/>
      </c>
      <c r="AG1689" s="55" t="str">
        <f>IF(ISBLANK(Table26[[#This Row],[customerSKU]]),"",_xlfn.XLOOKUP(Table26[[#This Row],[customerSKU]],Table27[customer_SKU],Table27[billto],"",0,1))</f>
        <v/>
      </c>
      <c r="AH1689" s="26" t="str">
        <f>_xlfn.XLOOKUP(Table26[[#This Row],[customerSKU]],customerSKU!G:G,customerSKU!K:K,"NA",0,1)</f>
        <v>NA</v>
      </c>
      <c r="AI1689" s="43" t="str">
        <f>_xlfn.XLOOKUP(Table26[[#This Row],[customerSKU]],customerSKU!G:G,customerSKU!O:O,"not found",0,1)</f>
        <v>not found</v>
      </c>
      <c r="AJ1689" s="22" t="e">
        <f>Table26[[#This Row],[unitprice]]*Table26[[#This Row],[quantity_unit]]</f>
        <v>#VALUE!</v>
      </c>
      <c r="AK1689" s="227" t="e" cm="1">
        <f t="array" ref="AK16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0" spans="1:37" ht="18" customHeight="1">
      <c r="A1690" s="42">
        <v>560</v>
      </c>
      <c r="B1690" s="42" t="s">
        <v>3357</v>
      </c>
      <c r="C1690" s="53" t="s">
        <v>3494</v>
      </c>
      <c r="D1690" s="20">
        <v>45800</v>
      </c>
      <c r="E1690" s="20"/>
      <c r="F1690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90" s="203">
        <v>45785</v>
      </c>
      <c r="J1690" s="90" t="str">
        <f>IF(Table26[[#This Row],[customerSKU]]="","",_xlfn.XLOOKUP(Table26[[#This Row],[customerSKU]],customerSKU!G:G,customerSKU!A:A,"",0,1))</f>
        <v/>
      </c>
      <c r="K1690" s="232">
        <v>45799</v>
      </c>
      <c r="L1690" s="49" t="str">
        <f>IF(Table26[[#This Row],[customerSKU]]="","",_xlfn.XLOOKUP(Table26[[#This Row],[customerSKU]],customerSKU!G:G,customerSKU!B:B,"",0,1))</f>
        <v/>
      </c>
      <c r="M1690" s="22"/>
      <c r="N1690" s="15" t="str">
        <f>Table26[[#This Row],[po_number]]&amp;"-"&amp;Table26[[#This Row],[po_line]]</f>
        <v>-8</v>
      </c>
      <c r="O1690" s="15">
        <v>8</v>
      </c>
      <c r="P1690" s="50"/>
      <c r="Q1690" s="22" t="s">
        <v>3284</v>
      </c>
      <c r="R1690" s="22" t="s">
        <v>569</v>
      </c>
      <c r="S1690" s="90" t="str">
        <f>IF(Table26[[#This Row],[customerSKU]]="","",_xlfn.XLOOKUP(Table26[[#This Row],[customerSKU]],customerSKU!G:G,customerSKU!N:N,"NOT FOUND",0,1))</f>
        <v>NOT FOUND</v>
      </c>
      <c r="T1690" s="20">
        <v>45763</v>
      </c>
      <c r="U1690" s="94">
        <v>12</v>
      </c>
      <c r="V1690" s="22" t="str">
        <f>IF(ISBLANK(Table26[[#This Row],[customerSKU]]),"",_xlfn.XLOOKUP(Table26[[#This Row],[customerSKU]],Table27[customer_SKU],Table27[case_size],"",0,1))</f>
        <v/>
      </c>
      <c r="W1690" s="117" t="str">
        <f t="shared" si="69"/>
        <v/>
      </c>
      <c r="X1690" s="22" t="str">
        <f t="shared" si="70"/>
        <v/>
      </c>
      <c r="Y1690" s="25" t="str">
        <f>IF(Table26[[#This Row],[customerSKU]]="","",_xlfn.XLOOKUP(Table26[[#This Row],[customerSKU]],Table27[customer_SKU],Table27[product_GTIN],"",0,1))</f>
        <v/>
      </c>
      <c r="Z1690" s="25" t="s">
        <v>3573</v>
      </c>
      <c r="AA1690" s="18" t="str" cm="1">
        <f t="array" ref="AA1690">IF(P1690="", "", _xlfn.XLOOKUP(P1690,#REF!,#REF!,NA,0,-1))</f>
        <v/>
      </c>
      <c r="AB1690" s="22"/>
      <c r="AC1690" s="55" t="str">
        <f>IF(Table26[[#This Row],[customerSKU]]="","",_xlfn.XLOOKUP(Table26[[#This Row],[customerSKU]],customerSKU!G:G,customerSKU!C:C,"",0,1))</f>
        <v/>
      </c>
      <c r="AD1690" s="55" t="str">
        <f>IF($AC1690="","",_xlfn.XLOOKUP($AC1690,'Client Info'!$C$2:$C$2497,'Client Info'!$D$2:$D$2497,"",0,1))</f>
        <v/>
      </c>
      <c r="AE1690" s="55" t="str">
        <f>IF($AC1690="","",_xlfn.XLOOKUP($AC1690,'Client Info'!$C$2:$C$2677,'Client Info'!$E$2:$E$2677,"",))</f>
        <v/>
      </c>
      <c r="AF1690" s="55" t="str">
        <f>IF($AC1690="","",_xlfn.XLOOKUP($AC1690,'Client Info'!$C$2:$C$2677,'Client Info'!$F$2:$F$2677,"",0,1))</f>
        <v/>
      </c>
      <c r="AG1690" s="55" t="str">
        <f>IF(ISBLANK(Table26[[#This Row],[customerSKU]]),"",_xlfn.XLOOKUP(Table26[[#This Row],[customerSKU]],Table27[customer_SKU],Table27[billto],"",0,1))</f>
        <v/>
      </c>
      <c r="AH1690" s="26" t="str">
        <f>_xlfn.XLOOKUP(Table26[[#This Row],[customerSKU]],customerSKU!G:G,customerSKU!K:K,"NA",0,1)</f>
        <v>NA</v>
      </c>
      <c r="AI1690" s="43" t="str">
        <f>_xlfn.XLOOKUP(Table26[[#This Row],[customerSKU]],customerSKU!G:G,customerSKU!O:O,"not found",0,1)</f>
        <v>not found</v>
      </c>
      <c r="AJ1690" s="22" t="e">
        <f>Table26[[#This Row],[unitprice]]*Table26[[#This Row],[quantity_unit]]</f>
        <v>#VALUE!</v>
      </c>
      <c r="AK1690" s="227" t="e" cm="1">
        <f t="array" ref="AK16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1" spans="1:37" ht="18" customHeight="1">
      <c r="A1691" s="42">
        <v>561</v>
      </c>
      <c r="B1691" s="42" t="s">
        <v>3357</v>
      </c>
      <c r="C1691" s="53" t="s">
        <v>3494</v>
      </c>
      <c r="D1691" s="20">
        <v>45800</v>
      </c>
      <c r="E1691" s="20"/>
      <c r="F1691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91" s="203">
        <v>45785</v>
      </c>
      <c r="J1691" s="90" t="str">
        <f>IF(Table26[[#This Row],[customerSKU]]="","",_xlfn.XLOOKUP(Table26[[#This Row],[customerSKU]],customerSKU!G:G,customerSKU!A:A,"",0,1))</f>
        <v/>
      </c>
      <c r="K1691" s="232">
        <v>45799</v>
      </c>
      <c r="L1691" s="49" t="str">
        <f>IF(Table26[[#This Row],[customerSKU]]="","",_xlfn.XLOOKUP(Table26[[#This Row],[customerSKU]],customerSKU!G:G,customerSKU!B:B,"",0,1))</f>
        <v/>
      </c>
      <c r="M1691" s="22"/>
      <c r="N1691" s="15" t="str">
        <f>Table26[[#This Row],[po_number]]&amp;"-"&amp;Table26[[#This Row],[po_line]]</f>
        <v>-9</v>
      </c>
      <c r="O1691" s="15">
        <v>9</v>
      </c>
      <c r="P1691" s="50"/>
      <c r="Q1691" s="22" t="s">
        <v>3500</v>
      </c>
      <c r="R1691" s="22" t="s">
        <v>569</v>
      </c>
      <c r="S1691" s="90" t="str">
        <f>IF(Table26[[#This Row],[customerSKU]]="","",_xlfn.XLOOKUP(Table26[[#This Row],[customerSKU]],customerSKU!G:G,customerSKU!N:N,"NOT FOUND",0,1))</f>
        <v>NOT FOUND</v>
      </c>
      <c r="T1691" s="20">
        <v>45770</v>
      </c>
      <c r="U1691" s="94">
        <v>84</v>
      </c>
      <c r="V1691" s="22" t="str">
        <f>IF(ISBLANK(Table26[[#This Row],[customerSKU]]),"",_xlfn.XLOOKUP(Table26[[#This Row],[customerSKU]],Table27[customer_SKU],Table27[case_size],"",0,1))</f>
        <v/>
      </c>
      <c r="W1691" s="117" t="str">
        <f t="shared" si="69"/>
        <v/>
      </c>
      <c r="X1691" s="22" t="str">
        <f t="shared" si="70"/>
        <v/>
      </c>
      <c r="Y1691" s="25" t="str">
        <f>IF(Table26[[#This Row],[customerSKU]]="","",_xlfn.XLOOKUP(Table26[[#This Row],[customerSKU]],Table27[customer_SKU],Table27[product_GTIN],"",0,1))</f>
        <v/>
      </c>
      <c r="Z1691" s="25" t="s">
        <v>3574</v>
      </c>
      <c r="AA1691" s="18" t="str" cm="1">
        <f t="array" ref="AA1691">IF(P1691="", "", _xlfn.XLOOKUP(P1691,#REF!,#REF!,NA,0,-1))</f>
        <v/>
      </c>
      <c r="AB1691" s="22"/>
      <c r="AC1691" s="55" t="str">
        <f>IF(Table26[[#This Row],[customerSKU]]="","",_xlfn.XLOOKUP(Table26[[#This Row],[customerSKU]],customerSKU!G:G,customerSKU!C:C,"",0,1))</f>
        <v/>
      </c>
      <c r="AD1691" s="55" t="str">
        <f>IF($AC1691="","",_xlfn.XLOOKUP($AC1691,'Client Info'!$C$2:$C$2497,'Client Info'!$D$2:$D$2497,"",0,1))</f>
        <v/>
      </c>
      <c r="AE1691" s="55" t="str">
        <f>IF($AC1691="","",_xlfn.XLOOKUP($AC1691,'Client Info'!$C$2:$C$2677,'Client Info'!$E$2:$E$2677,"",))</f>
        <v/>
      </c>
      <c r="AF1691" s="55" t="str">
        <f>IF($AC1691="","",_xlfn.XLOOKUP($AC1691,'Client Info'!$C$2:$C$2677,'Client Info'!$F$2:$F$2677,"",0,1))</f>
        <v/>
      </c>
      <c r="AG1691" s="55" t="str">
        <f>IF(ISBLANK(Table26[[#This Row],[customerSKU]]),"",_xlfn.XLOOKUP(Table26[[#This Row],[customerSKU]],Table27[customer_SKU],Table27[billto],"",0,1))</f>
        <v/>
      </c>
      <c r="AH1691" s="26" t="str">
        <f>_xlfn.XLOOKUP(Table26[[#This Row],[customerSKU]],customerSKU!G:G,customerSKU!K:K,"NA",0,1)</f>
        <v>NA</v>
      </c>
      <c r="AI1691" s="43" t="str">
        <f>_xlfn.XLOOKUP(Table26[[#This Row],[customerSKU]],customerSKU!G:G,customerSKU!O:O,"not found",0,1)</f>
        <v>not found</v>
      </c>
      <c r="AJ1691" s="22" t="e">
        <f>Table26[[#This Row],[unitprice]]*Table26[[#This Row],[quantity_unit]]</f>
        <v>#VALUE!</v>
      </c>
      <c r="AK1691" s="227" t="e" cm="1">
        <f t="array" ref="AK16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2" spans="1:37" ht="18" customHeight="1">
      <c r="A1692" s="42">
        <v>562</v>
      </c>
      <c r="B1692" s="42" t="s">
        <v>3357</v>
      </c>
      <c r="C1692" s="53" t="s">
        <v>3494</v>
      </c>
      <c r="D1692" s="20">
        <v>45800</v>
      </c>
      <c r="E1692" s="20"/>
      <c r="F1692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92" s="203">
        <v>45785</v>
      </c>
      <c r="J1692" s="90" t="str">
        <f>IF(Table26[[#This Row],[customerSKU]]="","",_xlfn.XLOOKUP(Table26[[#This Row],[customerSKU]],customerSKU!G:G,customerSKU!A:A,"",0,1))</f>
        <v/>
      </c>
      <c r="K1692" s="232">
        <v>45799</v>
      </c>
      <c r="L1692" s="49" t="str">
        <f>IF(Table26[[#This Row],[customerSKU]]="","",_xlfn.XLOOKUP(Table26[[#This Row],[customerSKU]],customerSKU!G:G,customerSKU!B:B,"",0,1))</f>
        <v/>
      </c>
      <c r="M1692" s="22"/>
      <c r="N1692" s="15" t="str">
        <f>Table26[[#This Row],[po_number]]&amp;"-"&amp;Table26[[#This Row],[po_line]]</f>
        <v>-10</v>
      </c>
      <c r="O1692" s="15">
        <v>10</v>
      </c>
      <c r="P1692" s="50"/>
      <c r="Q1692" s="22" t="s">
        <v>574</v>
      </c>
      <c r="R1692" s="22" t="s">
        <v>569</v>
      </c>
      <c r="S1692" s="90" t="str">
        <f>IF(Table26[[#This Row],[customerSKU]]="","",_xlfn.XLOOKUP(Table26[[#This Row],[customerSKU]],customerSKU!G:G,customerSKU!N:N,"NOT FOUND",0,1))</f>
        <v>NOT FOUND</v>
      </c>
      <c r="T1692" s="20">
        <v>45728</v>
      </c>
      <c r="U1692" s="94">
        <v>24</v>
      </c>
      <c r="V1692" s="22" t="str">
        <f>IF(ISBLANK(Table26[[#This Row],[customerSKU]]),"",_xlfn.XLOOKUP(Table26[[#This Row],[customerSKU]],Table27[customer_SKU],Table27[case_size],"",0,1))</f>
        <v/>
      </c>
      <c r="W1692" s="117" t="str">
        <f t="shared" si="69"/>
        <v/>
      </c>
      <c r="X1692" s="22" t="str">
        <f t="shared" si="70"/>
        <v/>
      </c>
      <c r="Y1692" s="25" t="str">
        <f>IF(Table26[[#This Row],[customerSKU]]="","",_xlfn.XLOOKUP(Table26[[#This Row],[customerSKU]],Table27[customer_SKU],Table27[product_GTIN],"",0,1))</f>
        <v/>
      </c>
      <c r="Z1692" s="25" t="s">
        <v>3575</v>
      </c>
      <c r="AA1692" s="18" t="str" cm="1">
        <f t="array" ref="AA1692">IF(P1692="", "", _xlfn.XLOOKUP(P1692,#REF!,#REF!,NA,0,-1))</f>
        <v/>
      </c>
      <c r="AB1692" s="22"/>
      <c r="AC1692" s="55" t="str">
        <f>IF(Table26[[#This Row],[customerSKU]]="","",_xlfn.XLOOKUP(Table26[[#This Row],[customerSKU]],customerSKU!G:G,customerSKU!C:C,"",0,1))</f>
        <v/>
      </c>
      <c r="AD1692" s="55" t="str">
        <f>IF($AC1692="","",_xlfn.XLOOKUP($AC1692,'Client Info'!$C$2:$C$2497,'Client Info'!$D$2:$D$2497,"",0,1))</f>
        <v/>
      </c>
      <c r="AE1692" s="55" t="str">
        <f>IF($AC1692="","",_xlfn.XLOOKUP($AC1692,'Client Info'!$C$2:$C$2677,'Client Info'!$E$2:$E$2677,"",))</f>
        <v/>
      </c>
      <c r="AF1692" s="55" t="str">
        <f>IF($AC1692="","",_xlfn.XLOOKUP($AC1692,'Client Info'!$C$2:$C$2677,'Client Info'!$F$2:$F$2677,"",0,1))</f>
        <v/>
      </c>
      <c r="AG1692" s="55" t="str">
        <f>IF(ISBLANK(Table26[[#This Row],[customerSKU]]),"",_xlfn.XLOOKUP(Table26[[#This Row],[customerSKU]],Table27[customer_SKU],Table27[billto],"",0,1))</f>
        <v/>
      </c>
      <c r="AH1692" s="26" t="str">
        <f>_xlfn.XLOOKUP(Table26[[#This Row],[customerSKU]],customerSKU!G:G,customerSKU!K:K,"NA",0,1)</f>
        <v>NA</v>
      </c>
      <c r="AI1692" s="43" t="str">
        <f>_xlfn.XLOOKUP(Table26[[#This Row],[customerSKU]],customerSKU!G:G,customerSKU!O:O,"not found",0,1)</f>
        <v>not found</v>
      </c>
      <c r="AJ1692" s="22" t="e">
        <f>Table26[[#This Row],[unitprice]]*Table26[[#This Row],[quantity_unit]]</f>
        <v>#VALUE!</v>
      </c>
      <c r="AK1692" s="227" t="e" cm="1">
        <f t="array" ref="AK16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3" spans="1:37" ht="18" customHeight="1">
      <c r="A1693" s="42">
        <v>563</v>
      </c>
      <c r="B1693" s="42" t="s">
        <v>3357</v>
      </c>
      <c r="C1693" s="53" t="s">
        <v>3494</v>
      </c>
      <c r="D1693" s="20">
        <v>45800</v>
      </c>
      <c r="E1693" s="20"/>
      <c r="F1693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93" s="203">
        <v>45785</v>
      </c>
      <c r="J1693" s="90" t="str">
        <f>IF(Table26[[#This Row],[customerSKU]]="","",_xlfn.XLOOKUP(Table26[[#This Row],[customerSKU]],customerSKU!G:G,customerSKU!A:A,"",0,1))</f>
        <v/>
      </c>
      <c r="K1693" s="232">
        <v>45799</v>
      </c>
      <c r="L1693" s="49" t="str">
        <f>IF(Table26[[#This Row],[customerSKU]]="","",_xlfn.XLOOKUP(Table26[[#This Row],[customerSKU]],customerSKU!G:G,customerSKU!B:B,"",0,1))</f>
        <v/>
      </c>
      <c r="M1693" s="22"/>
      <c r="N1693" s="15" t="str">
        <f>Table26[[#This Row],[po_number]]&amp;"-"&amp;Table26[[#This Row],[po_line]]</f>
        <v>-11</v>
      </c>
      <c r="O1693" s="15">
        <v>11</v>
      </c>
      <c r="P1693" s="50"/>
      <c r="Q1693" s="22" t="s">
        <v>1312</v>
      </c>
      <c r="R1693" s="22" t="s">
        <v>569</v>
      </c>
      <c r="S1693" s="90" t="str">
        <f>IF(Table26[[#This Row],[customerSKU]]="","",_xlfn.XLOOKUP(Table26[[#This Row],[customerSKU]],customerSKU!G:G,customerSKU!N:N,"NOT FOUND",0,1))</f>
        <v>NOT FOUND</v>
      </c>
      <c r="T1693" s="20">
        <v>45660</v>
      </c>
      <c r="U1693" s="94">
        <v>24</v>
      </c>
      <c r="V1693" s="22" t="str">
        <f>IF(ISBLANK(Table26[[#This Row],[customerSKU]]),"",_xlfn.XLOOKUP(Table26[[#This Row],[customerSKU]],Table27[customer_SKU],Table27[case_size],"",0,1))</f>
        <v/>
      </c>
      <c r="W1693" s="117" t="str">
        <f t="shared" si="69"/>
        <v/>
      </c>
      <c r="X1693" s="22" t="str">
        <f t="shared" si="70"/>
        <v/>
      </c>
      <c r="Y1693" s="25" t="str">
        <f>IF(Table26[[#This Row],[customerSKU]]="","",_xlfn.XLOOKUP(Table26[[#This Row],[customerSKU]],Table27[customer_SKU],Table27[product_GTIN],"",0,1))</f>
        <v/>
      </c>
      <c r="Z1693" s="25" t="s">
        <v>3484</v>
      </c>
      <c r="AA1693" s="18" t="str" cm="1">
        <f t="array" ref="AA1693">IF(P1693="", "", _xlfn.XLOOKUP(P1693,#REF!,#REF!,NA,0,-1))</f>
        <v/>
      </c>
      <c r="AB1693" s="22"/>
      <c r="AC1693" s="55" t="str">
        <f>IF(Table26[[#This Row],[customerSKU]]="","",_xlfn.XLOOKUP(Table26[[#This Row],[customerSKU]],customerSKU!G:G,customerSKU!C:C,"",0,1))</f>
        <v/>
      </c>
      <c r="AD1693" s="55" t="str">
        <f>IF($AC1693="","",_xlfn.XLOOKUP($AC1693,'Client Info'!$C$2:$C$2497,'Client Info'!$D$2:$D$2497,"",0,1))</f>
        <v/>
      </c>
      <c r="AE1693" s="55" t="str">
        <f>IF($AC1693="","",_xlfn.XLOOKUP($AC1693,'Client Info'!$C$2:$C$2677,'Client Info'!$E$2:$E$2677,"",))</f>
        <v/>
      </c>
      <c r="AF1693" s="55" t="str">
        <f>IF($AC1693="","",_xlfn.XLOOKUP($AC1693,'Client Info'!$C$2:$C$2677,'Client Info'!$F$2:$F$2677,"",0,1))</f>
        <v/>
      </c>
      <c r="AG1693" s="55" t="str">
        <f>IF(ISBLANK(Table26[[#This Row],[customerSKU]]),"",_xlfn.XLOOKUP(Table26[[#This Row],[customerSKU]],Table27[customer_SKU],Table27[billto],"",0,1))</f>
        <v/>
      </c>
      <c r="AH1693" s="26" t="str">
        <f>_xlfn.XLOOKUP(Table26[[#This Row],[customerSKU]],customerSKU!G:G,customerSKU!K:K,"NA",0,1)</f>
        <v>NA</v>
      </c>
      <c r="AI1693" s="43" t="str">
        <f>_xlfn.XLOOKUP(Table26[[#This Row],[customerSKU]],customerSKU!G:G,customerSKU!O:O,"not found",0,1)</f>
        <v>not found</v>
      </c>
      <c r="AJ1693" s="22" t="e">
        <f>Table26[[#This Row],[unitprice]]*Table26[[#This Row],[quantity_unit]]</f>
        <v>#VALUE!</v>
      </c>
      <c r="AK1693" s="227" t="e" cm="1">
        <f t="array" ref="AK16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4" spans="1:37" ht="18" customHeight="1">
      <c r="A1694" s="42">
        <v>564</v>
      </c>
      <c r="B1694" s="42" t="s">
        <v>3357</v>
      </c>
      <c r="C1694" s="53" t="s">
        <v>3494</v>
      </c>
      <c r="D1694" s="20">
        <v>45800</v>
      </c>
      <c r="E1694" s="20"/>
      <c r="F1694" s="22" t="str">
        <f>IF(OR(ISNUMBER(SEARCH("OCS",Table26[[#This Row],[sales_stream]])),ISNUMBER(SEARCH("AGLC",Table26[[#This Row],[sales_stream]])),ISNUMBER(SEARCH("NSLC",Table26[[#This Row],[sales_stream]]))),"NEED BOOKING","")</f>
        <v/>
      </c>
      <c r="I1694" s="203">
        <v>45785</v>
      </c>
      <c r="J1694" s="90" t="str">
        <f>IF(Table26[[#This Row],[customerSKU]]="","",_xlfn.XLOOKUP(Table26[[#This Row],[customerSKU]],customerSKU!G:G,customerSKU!A:A,"",0,1))</f>
        <v/>
      </c>
      <c r="K1694" s="232">
        <v>45799</v>
      </c>
      <c r="L1694" s="49" t="str">
        <f>IF(Table26[[#This Row],[customerSKU]]="","",_xlfn.XLOOKUP(Table26[[#This Row],[customerSKU]],customerSKU!G:G,customerSKU!B:B,"",0,1))</f>
        <v/>
      </c>
      <c r="M1694" s="22"/>
      <c r="N1694" s="15" t="str">
        <f>Table26[[#This Row],[po_number]]&amp;"-"&amp;Table26[[#This Row],[po_line]]</f>
        <v>-12</v>
      </c>
      <c r="O1694" s="15">
        <v>12</v>
      </c>
      <c r="P1694" s="50"/>
      <c r="Q1694" s="22" t="s">
        <v>3533</v>
      </c>
      <c r="R1694" s="22" t="s">
        <v>569</v>
      </c>
      <c r="S1694" s="90" t="str">
        <f>IF(Table26[[#This Row],[customerSKU]]="","",_xlfn.XLOOKUP(Table26[[#This Row],[customerSKU]],customerSKU!G:G,customerSKU!N:N,"NOT FOUND",0,1))</f>
        <v>NOT FOUND</v>
      </c>
      <c r="T1694" s="20">
        <v>45761</v>
      </c>
      <c r="U1694" s="94">
        <v>24</v>
      </c>
      <c r="V1694" s="22" t="str">
        <f>IF(ISBLANK(Table26[[#This Row],[customerSKU]]),"",_xlfn.XLOOKUP(Table26[[#This Row],[customerSKU]],Table27[customer_SKU],Table27[case_size],"",0,1))</f>
        <v/>
      </c>
      <c r="W1694" s="117" t="str">
        <f t="shared" si="69"/>
        <v/>
      </c>
      <c r="X1694" s="22" t="str">
        <f t="shared" si="70"/>
        <v/>
      </c>
      <c r="Y1694" s="25" t="str">
        <f>IF(Table26[[#This Row],[customerSKU]]="","",_xlfn.XLOOKUP(Table26[[#This Row],[customerSKU]],Table27[customer_SKU],Table27[product_GTIN],"",0,1))</f>
        <v/>
      </c>
      <c r="Z1694" s="25" t="s">
        <v>3485</v>
      </c>
      <c r="AA1694" s="18" t="str" cm="1">
        <f t="array" ref="AA1694">IF(P1694="", "", _xlfn.XLOOKUP(P1694,#REF!,#REF!,NA,0,-1))</f>
        <v/>
      </c>
      <c r="AB1694" s="22"/>
      <c r="AC1694" s="55" t="str">
        <f>IF(Table26[[#This Row],[customerSKU]]="","",_xlfn.XLOOKUP(Table26[[#This Row],[customerSKU]],customerSKU!G:G,customerSKU!C:C,"",0,1))</f>
        <v/>
      </c>
      <c r="AD1694" s="55" t="str">
        <f>IF($AC1694="","",_xlfn.XLOOKUP($AC1694,'Client Info'!$C$2:$C$2497,'Client Info'!$D$2:$D$2497,"",0,1))</f>
        <v/>
      </c>
      <c r="AE1694" s="55" t="str">
        <f>IF($AC1694="","",_xlfn.XLOOKUP($AC1694,'Client Info'!$C$2:$C$2677,'Client Info'!$E$2:$E$2677,"",))</f>
        <v/>
      </c>
      <c r="AF1694" s="55" t="str">
        <f>IF($AC1694="","",_xlfn.XLOOKUP($AC1694,'Client Info'!$C$2:$C$2677,'Client Info'!$F$2:$F$2677,"",0,1))</f>
        <v/>
      </c>
      <c r="AG1694" s="55" t="str">
        <f>IF(ISBLANK(Table26[[#This Row],[customerSKU]]),"",_xlfn.XLOOKUP(Table26[[#This Row],[customerSKU]],Table27[customer_SKU],Table27[billto],"",0,1))</f>
        <v/>
      </c>
      <c r="AH1694" s="26" t="str">
        <f>_xlfn.XLOOKUP(Table26[[#This Row],[customerSKU]],customerSKU!G:G,customerSKU!K:K,"NA",0,1)</f>
        <v>NA</v>
      </c>
      <c r="AI1694" s="43" t="str">
        <f>_xlfn.XLOOKUP(Table26[[#This Row],[customerSKU]],customerSKU!G:G,customerSKU!O:O,"not found",0,1)</f>
        <v>not found</v>
      </c>
      <c r="AJ1694" s="22" t="e">
        <f>Table26[[#This Row],[unitprice]]*Table26[[#This Row],[quantity_unit]]</f>
        <v>#VALUE!</v>
      </c>
      <c r="AK1694" s="227" t="e" cm="1">
        <f t="array" ref="AK16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5" spans="1:37" ht="18" customHeight="1">
      <c r="A1695" s="42">
        <v>565</v>
      </c>
      <c r="B1695" s="42" t="s">
        <v>3357</v>
      </c>
      <c r="C1695" s="53" t="s">
        <v>3427</v>
      </c>
      <c r="E1695" s="20"/>
      <c r="F16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95" s="93"/>
      <c r="I1695" s="203">
        <v>45798</v>
      </c>
      <c r="J1695" s="90" t="str">
        <f>IF(Table26[[#This Row],[customerSKU]]="","",_xlfn.XLOOKUP(Table26[[#This Row],[customerSKU]],customerSKU!G:G,customerSKU!A:A,"",0,1))</f>
        <v/>
      </c>
      <c r="K1695" s="232">
        <v>45799</v>
      </c>
      <c r="L1695" s="49" t="str">
        <f>IF(Table26[[#This Row],[customerSKU]]="","",_xlfn.XLOOKUP(Table26[[#This Row],[customerSKU]],customerSKU!G:G,customerSKU!B:B,"",0,1))</f>
        <v/>
      </c>
      <c r="M1695" s="22"/>
      <c r="N1695" s="15" t="str">
        <f>Table26[[#This Row],[po_number]]&amp;"-"&amp;Table26[[#This Row],[po_line]]</f>
        <v>-1</v>
      </c>
      <c r="O1695" s="15">
        <v>1</v>
      </c>
      <c r="P1695" s="50"/>
      <c r="Q1695" s="22" t="s">
        <v>574</v>
      </c>
      <c r="R1695" s="22" t="s">
        <v>532</v>
      </c>
      <c r="S1695" s="90" t="str">
        <f>IF(Table26[[#This Row],[customerSKU]]="","",_xlfn.XLOOKUP(Table26[[#This Row],[customerSKU]],customerSKU!G:G,customerSKU!N:N,"NOT FOUND",0,1))</f>
        <v>NOT FOUND</v>
      </c>
      <c r="T1695" s="20">
        <v>45772</v>
      </c>
      <c r="U1695" s="94">
        <v>91</v>
      </c>
      <c r="V1695" s="22" t="str">
        <f>IF(ISBLANK(Table26[[#This Row],[customerSKU]]),"",_xlfn.XLOOKUP(Table26[[#This Row],[customerSKU]],Table27[customer_SKU],Table27[case_size],"",0,1))</f>
        <v/>
      </c>
      <c r="W1695" s="117" t="str">
        <f t="shared" si="69"/>
        <v/>
      </c>
      <c r="X1695" s="22" t="str">
        <f t="shared" si="70"/>
        <v/>
      </c>
      <c r="Y1695" s="25" t="str">
        <f>IF(Table26[[#This Row],[customerSKU]]="","",_xlfn.XLOOKUP(Table26[[#This Row],[customerSKU]],Table27[customer_SKU],Table27[product_GTIN],"",0,1))</f>
        <v/>
      </c>
      <c r="Z1695" s="25" t="s">
        <v>3530</v>
      </c>
      <c r="AA1695" s="18" t="str" cm="1">
        <f t="array" ref="AA1695">IF(P1695="", "", _xlfn.XLOOKUP(P1695,#REF!,#REF!,NA,0,-1))</f>
        <v/>
      </c>
      <c r="AB1695" s="22"/>
      <c r="AC1695" s="55" t="s">
        <v>3531</v>
      </c>
      <c r="AD1695" s="55" t="str">
        <f>IF($AC1695="","",_xlfn.XLOOKUP($AC1695,'Client Info'!$C$2:$C$2497,'Client Info'!$D$2:$D$2497,"",0,1))</f>
        <v/>
      </c>
      <c r="AE1695" s="55" t="str">
        <f>IF($AC1695="","",_xlfn.XLOOKUP($AC1695,'Client Info'!$C$2:$C$2677,'Client Info'!$E$2:$E$2677,"",))</f>
        <v/>
      </c>
      <c r="AF1695" s="55" t="str">
        <f>IF($AC1695="","",_xlfn.XLOOKUP($AC1695,'Client Info'!$C$2:$C$2677,'Client Info'!$F$2:$F$2677,"",0,1))</f>
        <v/>
      </c>
      <c r="AG1695" s="55" t="s">
        <v>3531</v>
      </c>
      <c r="AH1695" s="26" t="str">
        <f>_xlfn.XLOOKUP(Table26[[#This Row],[customerSKU]],customerSKU!G:G,customerSKU!K:K,"NA",0,1)</f>
        <v>NA</v>
      </c>
      <c r="AI1695" s="43" t="str">
        <f>_xlfn.XLOOKUP(Table26[[#This Row],[customerSKU]],customerSKU!G:G,customerSKU!O:O,"not found",0,1)</f>
        <v>not found</v>
      </c>
      <c r="AJ1695" s="22" t="e">
        <f>Table26[[#This Row],[unitprice]]*Table26[[#This Row],[quantity_unit]]</f>
        <v>#VALUE!</v>
      </c>
      <c r="AK1695" s="227" t="e" cm="1">
        <f t="array" ref="AK16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6" spans="1:37" ht="18" customHeight="1">
      <c r="A1696" s="42">
        <v>566</v>
      </c>
      <c r="B1696" s="42" t="s">
        <v>3357</v>
      </c>
      <c r="C1696" s="53" t="s">
        <v>3427</v>
      </c>
      <c r="E1696" s="20"/>
      <c r="F16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96" s="93"/>
      <c r="I1696" s="203">
        <v>45798</v>
      </c>
      <c r="J1696" s="90" t="str">
        <f>IF(Table26[[#This Row],[customerSKU]]="","",_xlfn.XLOOKUP(Table26[[#This Row],[customerSKU]],customerSKU!G:G,customerSKU!A:A,"",0,1))</f>
        <v/>
      </c>
      <c r="K1696" s="232">
        <v>45799</v>
      </c>
      <c r="L1696" s="49" t="str">
        <f>IF(Table26[[#This Row],[customerSKU]]="","",_xlfn.XLOOKUP(Table26[[#This Row],[customerSKU]],customerSKU!G:G,customerSKU!B:B,"",0,1))</f>
        <v/>
      </c>
      <c r="M1696" s="22"/>
      <c r="N1696" s="15" t="str">
        <f>Table26[[#This Row],[po_number]]&amp;"-"&amp;Table26[[#This Row],[po_line]]</f>
        <v>-2</v>
      </c>
      <c r="O1696" s="15">
        <v>2</v>
      </c>
      <c r="P1696" s="50"/>
      <c r="Q1696" s="22" t="s">
        <v>574</v>
      </c>
      <c r="R1696" s="22" t="s">
        <v>532</v>
      </c>
      <c r="S1696" s="90" t="str">
        <f>IF(Table26[[#This Row],[customerSKU]]="","",_xlfn.XLOOKUP(Table26[[#This Row],[customerSKU]],customerSKU!G:G,customerSKU!N:N,"NOT FOUND",0,1))</f>
        <v>NOT FOUND</v>
      </c>
      <c r="T1696" s="20">
        <v>45799</v>
      </c>
      <c r="U1696" s="94">
        <v>65</v>
      </c>
      <c r="V1696" s="22" t="str">
        <f>IF(ISBLANK(Table26[[#This Row],[customerSKU]]),"",_xlfn.XLOOKUP(Table26[[#This Row],[customerSKU]],Table27[customer_SKU],Table27[case_size],"",0,1))</f>
        <v/>
      </c>
      <c r="W1696" s="117" t="str">
        <f t="shared" si="69"/>
        <v/>
      </c>
      <c r="X1696" s="22" t="str">
        <f t="shared" si="70"/>
        <v/>
      </c>
      <c r="Y1696" s="25" t="str">
        <f>IF(Table26[[#This Row],[customerSKU]]="","",_xlfn.XLOOKUP(Table26[[#This Row],[customerSKU]],Table27[customer_SKU],Table27[product_GTIN],"",0,1))</f>
        <v/>
      </c>
      <c r="Z1696" s="25" t="s">
        <v>3530</v>
      </c>
      <c r="AA1696" s="18" t="str" cm="1">
        <f t="array" ref="AA1696">IF(P1696="", "", _xlfn.XLOOKUP(P1696,#REF!,#REF!,NA,0,-1))</f>
        <v/>
      </c>
      <c r="AB1696" s="22"/>
      <c r="AC1696" s="55" t="s">
        <v>3531</v>
      </c>
      <c r="AD1696" s="55" t="str">
        <f>IF($AC1696="","",_xlfn.XLOOKUP($AC1696,'Client Info'!$C$2:$C$2497,'Client Info'!$D$2:$D$2497,"",0,1))</f>
        <v/>
      </c>
      <c r="AE1696" s="55" t="str">
        <f>IF($AC1696="","",_xlfn.XLOOKUP($AC1696,'Client Info'!$C$2:$C$2677,'Client Info'!$E$2:$E$2677,"",))</f>
        <v/>
      </c>
      <c r="AF1696" s="55" t="str">
        <f>IF($AC1696="","",_xlfn.XLOOKUP($AC1696,'Client Info'!$C$2:$C$2677,'Client Info'!$F$2:$F$2677,"",0,1))</f>
        <v/>
      </c>
      <c r="AG1696" s="55" t="s">
        <v>3531</v>
      </c>
      <c r="AH1696" s="26" t="str">
        <f>_xlfn.XLOOKUP(Table26[[#This Row],[customerSKU]],customerSKU!G:G,customerSKU!K:K,"NA",0,1)</f>
        <v>NA</v>
      </c>
      <c r="AI1696" s="43" t="str">
        <f>_xlfn.XLOOKUP(Table26[[#This Row],[customerSKU]],customerSKU!G:G,customerSKU!O:O,"not found",0,1)</f>
        <v>not found</v>
      </c>
      <c r="AJ1696" s="22" t="e">
        <f>Table26[[#This Row],[unitprice]]*Table26[[#This Row],[quantity_unit]]</f>
        <v>#VALUE!</v>
      </c>
      <c r="AK1696" s="227" t="e" cm="1">
        <f t="array" ref="AK16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7" spans="1:37" ht="18" customHeight="1">
      <c r="A1697" s="42">
        <v>567</v>
      </c>
      <c r="B1697" s="42" t="s">
        <v>3357</v>
      </c>
      <c r="C1697" s="53" t="s">
        <v>3494</v>
      </c>
      <c r="E1697" s="20"/>
      <c r="F16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97" s="93"/>
      <c r="I1697" s="203">
        <v>45798</v>
      </c>
      <c r="J1697" s="90" t="str">
        <f>IF(Table26[[#This Row],[customerSKU]]="","",_xlfn.XLOOKUP(Table26[[#This Row],[customerSKU]],customerSKU!G:G,customerSKU!A:A,"",0,1))</f>
        <v/>
      </c>
      <c r="K1697" s="232">
        <v>45799</v>
      </c>
      <c r="L1697" s="49" t="str">
        <f>IF(Table26[[#This Row],[customerSKU]]="","",_xlfn.XLOOKUP(Table26[[#This Row],[customerSKU]],customerSKU!G:G,customerSKU!B:B,"",0,1))</f>
        <v/>
      </c>
      <c r="M1697" s="22"/>
      <c r="N1697" s="15" t="str">
        <f>Table26[[#This Row],[po_number]]&amp;"-"&amp;Table26[[#This Row],[po_line]]</f>
        <v>-1</v>
      </c>
      <c r="O1697" s="15">
        <v>1</v>
      </c>
      <c r="P1697" s="50"/>
      <c r="Q1697" s="22" t="s">
        <v>3606</v>
      </c>
      <c r="R1697" s="22" t="s">
        <v>532</v>
      </c>
      <c r="S1697" s="90" t="str">
        <f>IF(Table26[[#This Row],[customerSKU]]="","",_xlfn.XLOOKUP(Table26[[#This Row],[customerSKU]],customerSKU!G:G,customerSKU!N:N,"NOT FOUND",0,1))</f>
        <v>NOT FOUND</v>
      </c>
      <c r="T1697" s="20">
        <v>45618</v>
      </c>
      <c r="U1697" s="94">
        <v>24</v>
      </c>
      <c r="V1697" s="22" t="str">
        <f>IF(ISBLANK(Table26[[#This Row],[customerSKU]]),"",_xlfn.XLOOKUP(Table26[[#This Row],[customerSKU]],Table27[customer_SKU],Table27[case_size],"",0,1))</f>
        <v/>
      </c>
      <c r="W1697" s="117" t="str">
        <f t="shared" si="69"/>
        <v/>
      </c>
      <c r="X1697" s="22" t="str">
        <f t="shared" si="70"/>
        <v/>
      </c>
      <c r="Y1697" s="25" t="str">
        <f>IF(Table26[[#This Row],[customerSKU]]="","",_xlfn.XLOOKUP(Table26[[#This Row],[customerSKU]],Table27[customer_SKU],Table27[product_GTIN],"",0,1))</f>
        <v/>
      </c>
      <c r="Z1697" s="25" t="s">
        <v>3522</v>
      </c>
      <c r="AA1697" s="18" t="str" cm="1">
        <f t="array" ref="AA1697">IF(P1697="", "", _xlfn.XLOOKUP(P1697,#REF!,#REF!,NA,0,-1))</f>
        <v/>
      </c>
      <c r="AB1697" s="22"/>
      <c r="AC1697" s="55" t="s">
        <v>95</v>
      </c>
      <c r="AD1697" s="55" t="str">
        <f>IF($AC1697="","",_xlfn.XLOOKUP($AC1697,'Client Info'!$C$2:$C$2497,'Client Info'!$D$2:$D$2497,"",0,1))</f>
        <v/>
      </c>
      <c r="AE1697" s="55" t="str">
        <f>IF($AC1697="","",_xlfn.XLOOKUP($AC1697,'Client Info'!$C$2:$C$2677,'Client Info'!$E$2:$E$2677,"",))</f>
        <v/>
      </c>
      <c r="AF1697" s="55" t="str">
        <f>IF($AC1697="","",_xlfn.XLOOKUP($AC1697,'Client Info'!$C$2:$C$2677,'Client Info'!$F$2:$F$2677,"",0,1))</f>
        <v/>
      </c>
      <c r="AG1697" s="55" t="s">
        <v>95</v>
      </c>
      <c r="AH1697" s="26" t="str">
        <f>_xlfn.XLOOKUP(Table26[[#This Row],[customerSKU]],customerSKU!G:G,customerSKU!K:K,"NA",0,1)</f>
        <v>NA</v>
      </c>
      <c r="AI1697" s="43" t="str">
        <f>_xlfn.XLOOKUP(Table26[[#This Row],[customerSKU]],customerSKU!G:G,customerSKU!O:O,"not found",0,1)</f>
        <v>not found</v>
      </c>
      <c r="AJ1697" s="22" t="e">
        <f>Table26[[#This Row],[unitprice]]*Table26[[#This Row],[quantity_unit]]</f>
        <v>#VALUE!</v>
      </c>
      <c r="AK1697" s="227" t="e" cm="1">
        <f t="array" ref="AK16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8" spans="1:37" ht="18" customHeight="1">
      <c r="A1698" s="42">
        <v>568</v>
      </c>
      <c r="B1698" s="42" t="s">
        <v>3357</v>
      </c>
      <c r="C1698" s="53" t="s">
        <v>3427</v>
      </c>
      <c r="E1698" s="20"/>
      <c r="F16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98" s="93"/>
      <c r="I1698" s="203">
        <v>45798</v>
      </c>
      <c r="J1698" s="90" t="str">
        <f>IF(Table26[[#This Row],[customerSKU]]="","",_xlfn.XLOOKUP(Table26[[#This Row],[customerSKU]],customerSKU!G:G,customerSKU!A:A,"",0,1))</f>
        <v/>
      </c>
      <c r="K1698" s="232">
        <v>45799</v>
      </c>
      <c r="L1698" s="49" t="str">
        <f>IF(Table26[[#This Row],[customerSKU]]="","",_xlfn.XLOOKUP(Table26[[#This Row],[customerSKU]],customerSKU!G:G,customerSKU!B:B,"",0,1))</f>
        <v/>
      </c>
      <c r="M1698" s="22"/>
      <c r="N1698" s="15" t="str">
        <f>Table26[[#This Row],[po_number]]&amp;"-"&amp;Table26[[#This Row],[po_line]]</f>
        <v>-1</v>
      </c>
      <c r="O1698" s="15">
        <v>1</v>
      </c>
      <c r="P1698" s="50"/>
      <c r="Q1698" s="22" t="s">
        <v>3454</v>
      </c>
      <c r="R1698" s="22" t="s">
        <v>221</v>
      </c>
      <c r="S1698" s="90" t="str">
        <f>IF(Table26[[#This Row],[customerSKU]]="","",_xlfn.XLOOKUP(Table26[[#This Row],[customerSKU]],customerSKU!G:G,customerSKU!N:N,"NOT FOUND",0,1))</f>
        <v>NOT FOUND</v>
      </c>
      <c r="T1698" s="20">
        <v>45714</v>
      </c>
      <c r="U1698" s="94">
        <v>12</v>
      </c>
      <c r="V1698" s="22" t="str">
        <f>IF(ISBLANK(Table26[[#This Row],[customerSKU]]),"",_xlfn.XLOOKUP(Table26[[#This Row],[customerSKU]],Table27[customer_SKU],Table27[case_size],"",0,1))</f>
        <v/>
      </c>
      <c r="W1698" s="117" t="str">
        <f t="shared" si="69"/>
        <v/>
      </c>
      <c r="X1698" s="22" t="str">
        <f t="shared" si="70"/>
        <v/>
      </c>
      <c r="Y1698" s="25" t="str">
        <f>IF(Table26[[#This Row],[customerSKU]]="","",_xlfn.XLOOKUP(Table26[[#This Row],[customerSKU]],Table27[customer_SKU],Table27[product_GTIN],"",0,1))</f>
        <v/>
      </c>
      <c r="Z1698" s="25" t="s">
        <v>3529</v>
      </c>
      <c r="AA1698" s="18" t="str" cm="1">
        <f t="array" ref="AA1698">IF(P1698="", "", _xlfn.XLOOKUP(P1698,#REF!,#REF!,NA,0,-1))</f>
        <v/>
      </c>
      <c r="AB1698" s="22"/>
      <c r="AC1698" s="55" t="s">
        <v>180</v>
      </c>
      <c r="AD1698" s="55" t="str">
        <f>IF($AC1698="","",_xlfn.XLOOKUP($AC1698,'Client Info'!$C$2:$C$2497,'Client Info'!$D$2:$D$2497,"",0,1))</f>
        <v/>
      </c>
      <c r="AE1698" s="55" t="str">
        <f>IF($AC1698="","",_xlfn.XLOOKUP($AC1698,'Client Info'!$C$2:$C$2677,'Client Info'!$E$2:$E$2677,"",))</f>
        <v/>
      </c>
      <c r="AF1698" s="55" t="str">
        <f>IF($AC1698="","",_xlfn.XLOOKUP($AC1698,'Client Info'!$C$2:$C$2677,'Client Info'!$F$2:$F$2677,"",0,1))</f>
        <v/>
      </c>
      <c r="AG1698" s="55" t="str">
        <f>IF(ISBLANK(Table26[[#This Row],[customerSKU]]),"",_xlfn.XLOOKUP(Table26[[#This Row],[customerSKU]],Table27[customer_SKU],Table27[billto],"",0,1))</f>
        <v/>
      </c>
      <c r="AH1698" s="26" t="str">
        <f>_xlfn.XLOOKUP(Table26[[#This Row],[customerSKU]],customerSKU!G:G,customerSKU!K:K,"NA",0,1)</f>
        <v>NA</v>
      </c>
      <c r="AI1698" s="43" t="str">
        <f>_xlfn.XLOOKUP(Table26[[#This Row],[customerSKU]],customerSKU!G:G,customerSKU!O:O,"not found",0,1)</f>
        <v>not found</v>
      </c>
      <c r="AJ1698" s="22" t="e">
        <f>Table26[[#This Row],[unitprice]]*Table26[[#This Row],[quantity_unit]]</f>
        <v>#VALUE!</v>
      </c>
      <c r="AK1698" s="227" t="e" cm="1">
        <f t="array" ref="AK16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699" spans="1:37" ht="24.6" customHeight="1">
      <c r="A1699" s="42">
        <v>548</v>
      </c>
      <c r="B1699" s="42" t="s">
        <v>3357</v>
      </c>
      <c r="C1699" s="53" t="s">
        <v>3427</v>
      </c>
      <c r="E1699" s="20"/>
      <c r="F16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699" s="93"/>
      <c r="I1699" s="203">
        <v>45800</v>
      </c>
      <c r="J1699" s="90" t="str">
        <f>IF(Table26[[#This Row],[customerSKU]]="","",_xlfn.XLOOKUP(Table26[[#This Row],[customerSKU]],customerSKU!G:G,customerSKU!A:A,"",0,1))</f>
        <v/>
      </c>
      <c r="K1699" s="232">
        <v>45800</v>
      </c>
      <c r="L1699" s="49" t="str">
        <f>IF(Table26[[#This Row],[customerSKU]]="","",_xlfn.XLOOKUP(Table26[[#This Row],[customerSKU]],customerSKU!G:G,customerSKU!B:B,"",0,1))</f>
        <v/>
      </c>
      <c r="M1699" s="22"/>
      <c r="N1699" s="15" t="str">
        <f>Table26[[#This Row],[po_number]]&amp;"-"&amp;Table26[[#This Row],[po_line]]</f>
        <v>-1</v>
      </c>
      <c r="O1699" s="15">
        <v>1</v>
      </c>
      <c r="P1699" s="50"/>
      <c r="Q1699" s="22" t="s">
        <v>582</v>
      </c>
      <c r="R1699" s="22" t="s">
        <v>221</v>
      </c>
      <c r="S1699" s="90" t="str">
        <f>IF(Table26[[#This Row],[customerSKU]]="","",_xlfn.XLOOKUP(Table26[[#This Row],[customerSKU]],customerSKU!G:G,customerSKU!N:N,"NOT FOUND",0,1))</f>
        <v>NOT FOUND</v>
      </c>
      <c r="T1699" s="20">
        <v>45778</v>
      </c>
      <c r="U1699" s="94">
        <v>12</v>
      </c>
      <c r="V1699" s="22" t="str">
        <f>IF(ISBLANK(Table26[[#This Row],[customerSKU]]),"",_xlfn.XLOOKUP(Table26[[#This Row],[customerSKU]],Table27[customer_SKU],Table27[case_size],"",0,1))</f>
        <v/>
      </c>
      <c r="W1699" s="117" t="str">
        <f t="shared" si="69"/>
        <v/>
      </c>
      <c r="X1699" s="22" t="str">
        <f t="shared" si="70"/>
        <v/>
      </c>
      <c r="Y1699" s="25" t="str">
        <f>IF(Table26[[#This Row],[customerSKU]]="","",_xlfn.XLOOKUP(Table26[[#This Row],[customerSKU]],Table27[customer_SKU],Table27[product_GTIN],"",0,1))</f>
        <v/>
      </c>
      <c r="Z1699" s="25" t="s">
        <v>3519</v>
      </c>
      <c r="AA1699" s="18" t="str" cm="1">
        <f t="array" ref="AA1699">IF(P1699="", "", _xlfn.XLOOKUP(P1699,#REF!,#REF!,NA,0,-1))</f>
        <v/>
      </c>
      <c r="AB1699" s="22"/>
      <c r="AC1699" s="55" t="s">
        <v>119</v>
      </c>
      <c r="AD1699" s="55" t="str">
        <f>IF($AC1699="","",_xlfn.XLOOKUP($AC1699,'Client Info'!$C$2:$C$2497,'Client Info'!$D$2:$D$2497,"",0,1))</f>
        <v/>
      </c>
      <c r="AE1699" s="55" t="str">
        <f>IF($AC1699="","",_xlfn.XLOOKUP($AC1699,'Client Info'!$C$2:$C$2677,'Client Info'!$E$2:$E$2677,"",))</f>
        <v/>
      </c>
      <c r="AF1699" s="55" t="str">
        <f>IF($AC1699="","",_xlfn.XLOOKUP($AC1699,'Client Info'!$C$2:$C$2677,'Client Info'!$F$2:$F$2677,"",0,1))</f>
        <v/>
      </c>
      <c r="AG1699" s="55" t="s">
        <v>119</v>
      </c>
      <c r="AH1699" s="26" t="str">
        <f>_xlfn.XLOOKUP(Table26[[#This Row],[customerSKU]],customerSKU!G:G,customerSKU!K:K,"NA",0,1)</f>
        <v>NA</v>
      </c>
      <c r="AI1699" s="43" t="str">
        <f>_xlfn.XLOOKUP(Table26[[#This Row],[customerSKU]],customerSKU!G:G,customerSKU!O:O,"not found",0,1)</f>
        <v>not found</v>
      </c>
      <c r="AJ1699" s="22" t="e">
        <f>Table26[[#This Row],[unitprice]]*Table26[[#This Row],[quantity_unit]]</f>
        <v>#VALUE!</v>
      </c>
      <c r="AK1699" s="227" t="e" cm="1">
        <f t="array" ref="AK16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0" spans="1:37" ht="24.6" customHeight="1">
      <c r="A1700" s="42">
        <v>549</v>
      </c>
      <c r="B1700" s="42" t="s">
        <v>3357</v>
      </c>
      <c r="C1700" s="53" t="s">
        <v>3427</v>
      </c>
      <c r="E1700" s="20"/>
      <c r="F1700" s="22"/>
      <c r="G1700" s="93"/>
      <c r="I1700" s="203">
        <v>45800</v>
      </c>
      <c r="J1700" s="90" t="str">
        <f>IF(Table26[[#This Row],[customerSKU]]="","",_xlfn.XLOOKUP(Table26[[#This Row],[customerSKU]],customerSKU!G:G,customerSKU!A:A,"",0,1))</f>
        <v/>
      </c>
      <c r="K1700" s="232">
        <v>45800</v>
      </c>
      <c r="L1700" s="49" t="str">
        <f>IF(Table26[[#This Row],[customerSKU]]="","",_xlfn.XLOOKUP(Table26[[#This Row],[customerSKU]],customerSKU!G:G,customerSKU!B:B,"",0,1))</f>
        <v/>
      </c>
      <c r="M1700" s="22"/>
      <c r="N1700" s="15" t="str">
        <f>Table26[[#This Row],[po_number]]&amp;"-"&amp;Table26[[#This Row],[po_line]]</f>
        <v>-2</v>
      </c>
      <c r="O1700" s="15">
        <v>2</v>
      </c>
      <c r="P1700" s="50"/>
      <c r="Q1700" s="22" t="s">
        <v>3606</v>
      </c>
      <c r="R1700" s="22" t="s">
        <v>221</v>
      </c>
      <c r="S1700" s="90" t="str">
        <f>IF(Table26[[#This Row],[customerSKU]]="","",_xlfn.XLOOKUP(Table26[[#This Row],[customerSKU]],customerSKU!G:G,customerSKU!N:N,"NOT FOUND",0,1))</f>
        <v>NOT FOUND</v>
      </c>
      <c r="T1700" s="20">
        <v>45618</v>
      </c>
      <c r="U1700" s="94">
        <v>2</v>
      </c>
      <c r="V1700" s="22" t="str">
        <f>IF(ISBLANK(Table26[[#This Row],[customerSKU]]),"",_xlfn.XLOOKUP(Table26[[#This Row],[customerSKU]],Table27[customer_SKU],Table27[case_size],"",0,1))</f>
        <v/>
      </c>
      <c r="W1700" s="117" t="str">
        <f t="shared" si="69"/>
        <v/>
      </c>
      <c r="X1700" s="22" t="str">
        <f t="shared" si="70"/>
        <v/>
      </c>
      <c r="Y1700" s="25" t="str">
        <f>IF(Table26[[#This Row],[customerSKU]]="","",_xlfn.XLOOKUP(Table26[[#This Row],[customerSKU]],Table27[customer_SKU],Table27[product_GTIN],"",0,1))</f>
        <v/>
      </c>
      <c r="Z1700" s="25" t="s">
        <v>3522</v>
      </c>
      <c r="AA1700" s="18" t="str" cm="1">
        <f t="array" ref="AA1700">IF(P1700="", "", _xlfn.XLOOKUP(P1700,#REF!,#REF!,NA,0,-1))</f>
        <v/>
      </c>
      <c r="AB1700" s="22"/>
      <c r="AC1700" s="55" t="s">
        <v>119</v>
      </c>
      <c r="AD1700" s="55" t="str">
        <f>IF($AC1700="","",_xlfn.XLOOKUP($AC1700,'Client Info'!$C$2:$C$2497,'Client Info'!$D$2:$D$2497,"",0,1))</f>
        <v/>
      </c>
      <c r="AE1700" s="55" t="str">
        <f>IF($AC1700="","",_xlfn.XLOOKUP($AC1700,'Client Info'!$C$2:$C$2677,'Client Info'!$E$2:$E$2677,"",))</f>
        <v/>
      </c>
      <c r="AF1700" s="55" t="str">
        <f>IF($AC1700="","",_xlfn.XLOOKUP($AC1700,'Client Info'!$C$2:$C$2677,'Client Info'!$F$2:$F$2677,"",0,1))</f>
        <v/>
      </c>
      <c r="AG1700" s="55" t="s">
        <v>119</v>
      </c>
      <c r="AH1700" s="26" t="str">
        <f>_xlfn.XLOOKUP(Table26[[#This Row],[customerSKU]],customerSKU!G:G,customerSKU!K:K,"NA",0,1)</f>
        <v>NA</v>
      </c>
      <c r="AI1700" s="43" t="str">
        <f>_xlfn.XLOOKUP(Table26[[#This Row],[customerSKU]],customerSKU!G:G,customerSKU!O:O,"not found",0,1)</f>
        <v>not found</v>
      </c>
      <c r="AJ1700" s="22" t="e">
        <f>Table26[[#This Row],[unitprice]]*Table26[[#This Row],[quantity_unit]]</f>
        <v>#VALUE!</v>
      </c>
      <c r="AK1700" s="227" t="e" cm="1">
        <f t="array" ref="AK17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1" spans="1:37" ht="18" customHeight="1">
      <c r="A1701" s="42">
        <v>550</v>
      </c>
      <c r="B1701" s="42" t="s">
        <v>3357</v>
      </c>
      <c r="C1701" s="53" t="s">
        <v>3427</v>
      </c>
      <c r="E1701" s="20"/>
      <c r="F17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1" s="93"/>
      <c r="I1701" s="203">
        <v>45800</v>
      </c>
      <c r="J1701" s="90" t="str">
        <f>IF(Table26[[#This Row],[customerSKU]]="","",_xlfn.XLOOKUP(Table26[[#This Row],[customerSKU]],customerSKU!G:G,customerSKU!A:A,"",0,1))</f>
        <v/>
      </c>
      <c r="K1701" s="232">
        <v>45800</v>
      </c>
      <c r="L1701" s="49" t="str">
        <f>IF(Table26[[#This Row],[customerSKU]]="","",_xlfn.XLOOKUP(Table26[[#This Row],[customerSKU]],customerSKU!G:G,customerSKU!B:B,"",0,1))</f>
        <v/>
      </c>
      <c r="M1701" s="22"/>
      <c r="N1701" s="15" t="str">
        <f>Table26[[#This Row],[po_number]]&amp;"-"&amp;Table26[[#This Row],[po_line]]</f>
        <v>-3</v>
      </c>
      <c r="O1701" s="15">
        <v>3</v>
      </c>
      <c r="P1701" s="50"/>
      <c r="Q1701" s="22" t="s">
        <v>3284</v>
      </c>
      <c r="R1701" s="22" t="s">
        <v>221</v>
      </c>
      <c r="S1701" s="90" t="str">
        <f>IF(Table26[[#This Row],[customerSKU]]="","",_xlfn.XLOOKUP(Table26[[#This Row],[customerSKU]],customerSKU!G:G,customerSKU!N:N,"NOT FOUND",0,1))</f>
        <v>NOT FOUND</v>
      </c>
      <c r="T1701" s="20">
        <v>45763</v>
      </c>
      <c r="U1701" s="94">
        <v>10</v>
      </c>
      <c r="V1701" s="22" t="str">
        <f>IF(ISBLANK(Table26[[#This Row],[customerSKU]]),"",_xlfn.XLOOKUP(Table26[[#This Row],[customerSKU]],Table27[customer_SKU],Table27[case_size],"",0,1))</f>
        <v/>
      </c>
      <c r="W1701" s="117" t="str">
        <f t="shared" si="69"/>
        <v/>
      </c>
      <c r="X1701" s="22" t="str">
        <f t="shared" si="70"/>
        <v/>
      </c>
      <c r="Y1701" s="25" t="str">
        <f>IF(Table26[[#This Row],[customerSKU]]="","",_xlfn.XLOOKUP(Table26[[#This Row],[customerSKU]],Table27[customer_SKU],Table27[product_GTIN],"",0,1))</f>
        <v/>
      </c>
      <c r="Z1701" s="25" t="s">
        <v>3522</v>
      </c>
      <c r="AA1701" s="18" t="str" cm="1">
        <f t="array" ref="AA1701">IF(P1701="", "", _xlfn.XLOOKUP(P1701,#REF!,#REF!,NA,0,-1))</f>
        <v/>
      </c>
      <c r="AB1701" s="22"/>
      <c r="AC1701" s="55" t="s">
        <v>119</v>
      </c>
      <c r="AD1701" s="55" t="str">
        <f>IF($AC1701="","",_xlfn.XLOOKUP($AC1701,'Client Info'!$C$2:$C$2497,'Client Info'!$D$2:$D$2497,"",0,1))</f>
        <v/>
      </c>
      <c r="AE1701" s="55" t="str">
        <f>IF($AC1701="","",_xlfn.XLOOKUP($AC1701,'Client Info'!$C$2:$C$2677,'Client Info'!$E$2:$E$2677,"",))</f>
        <v/>
      </c>
      <c r="AF1701" s="55" t="str">
        <f>IF($AC1701="","",_xlfn.XLOOKUP($AC1701,'Client Info'!$C$2:$C$2677,'Client Info'!$F$2:$F$2677,"",0,1))</f>
        <v/>
      </c>
      <c r="AG1701" s="55" t="s">
        <v>119</v>
      </c>
      <c r="AH1701" s="26" t="str">
        <f>_xlfn.XLOOKUP(Table26[[#This Row],[customerSKU]],customerSKU!G:G,customerSKU!K:K,"NA",0,1)</f>
        <v>NA</v>
      </c>
      <c r="AI1701" s="43" t="str">
        <f>_xlfn.XLOOKUP(Table26[[#This Row],[customerSKU]],customerSKU!G:G,customerSKU!O:O,"not found",0,1)</f>
        <v>not found</v>
      </c>
      <c r="AJ1701" s="22" t="e">
        <f>Table26[[#This Row],[unitprice]]*Table26[[#This Row],[quantity_unit]]</f>
        <v>#VALUE!</v>
      </c>
      <c r="AK1701" s="227" t="e" cm="1">
        <f t="array" ref="AK17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2" spans="1:37" ht="18" customHeight="1">
      <c r="A1702" s="42">
        <v>551</v>
      </c>
      <c r="B1702" s="42" t="s">
        <v>3357</v>
      </c>
      <c r="C1702" s="53" t="s">
        <v>3427</v>
      </c>
      <c r="E1702" s="20"/>
      <c r="F17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2" s="93"/>
      <c r="I1702" s="203">
        <v>45800</v>
      </c>
      <c r="J1702" s="90" t="str">
        <f>IF(Table26[[#This Row],[customerSKU]]="","",_xlfn.XLOOKUP(Table26[[#This Row],[customerSKU]],customerSKU!G:G,customerSKU!A:A,"",0,1))</f>
        <v/>
      </c>
      <c r="K1702" s="232">
        <v>45800</v>
      </c>
      <c r="L1702" s="49" t="str">
        <f>IF(Table26[[#This Row],[customerSKU]]="","",_xlfn.XLOOKUP(Table26[[#This Row],[customerSKU]],customerSKU!G:G,customerSKU!B:B,"",0,1))</f>
        <v/>
      </c>
      <c r="M1702" s="22"/>
      <c r="N1702" s="15" t="str">
        <f>Table26[[#This Row],[po_number]]&amp;"-"&amp;Table26[[#This Row],[po_line]]</f>
        <v>-4</v>
      </c>
      <c r="O1702" s="15">
        <v>4</v>
      </c>
      <c r="P1702" s="50"/>
      <c r="Q1702" s="22" t="s">
        <v>1134</v>
      </c>
      <c r="R1702" s="22" t="s">
        <v>221</v>
      </c>
      <c r="S1702" s="90" t="str">
        <f>IF(Table26[[#This Row],[customerSKU]]="","",_xlfn.XLOOKUP(Table26[[#This Row],[customerSKU]],customerSKU!G:G,customerSKU!N:N,"NOT FOUND",0,1))</f>
        <v>NOT FOUND</v>
      </c>
      <c r="T1702" s="20">
        <v>45581</v>
      </c>
      <c r="U1702" s="94">
        <v>12</v>
      </c>
      <c r="V1702" s="22" t="str">
        <f>IF(ISBLANK(Table26[[#This Row],[customerSKU]]),"",_xlfn.XLOOKUP(Table26[[#This Row],[customerSKU]],Table27[customer_SKU],Table27[case_size],"",0,1))</f>
        <v/>
      </c>
      <c r="W1702" s="117" t="str">
        <f t="shared" si="69"/>
        <v/>
      </c>
      <c r="X1702" s="22" t="str">
        <f t="shared" si="70"/>
        <v/>
      </c>
      <c r="Y1702" s="25" t="str">
        <f>IF(Table26[[#This Row],[customerSKU]]="","",_xlfn.XLOOKUP(Table26[[#This Row],[customerSKU]],Table27[customer_SKU],Table27[product_GTIN],"",0,1))</f>
        <v/>
      </c>
      <c r="Z1702" s="25" t="s">
        <v>3535</v>
      </c>
      <c r="AA1702" s="18" t="str" cm="1">
        <f t="array" ref="AA1702">IF(P1702="", "", _xlfn.XLOOKUP(P1702,#REF!,#REF!,NA,0,-1))</f>
        <v/>
      </c>
      <c r="AB1702" s="22"/>
      <c r="AC1702" s="55" t="s">
        <v>119</v>
      </c>
      <c r="AD1702" s="55" t="str">
        <f>IF($AC1702="","",_xlfn.XLOOKUP($AC1702,'Client Info'!$C$2:$C$2497,'Client Info'!$D$2:$D$2497,"",0,1))</f>
        <v/>
      </c>
      <c r="AE1702" s="55" t="str">
        <f>IF($AC1702="","",_xlfn.XLOOKUP($AC1702,'Client Info'!$C$2:$C$2677,'Client Info'!$E$2:$E$2677,"",))</f>
        <v/>
      </c>
      <c r="AF1702" s="55" t="str">
        <f>IF($AC1702="","",_xlfn.XLOOKUP($AC1702,'Client Info'!$C$2:$C$2677,'Client Info'!$F$2:$F$2677,"",0,1))</f>
        <v/>
      </c>
      <c r="AG1702" s="55" t="s">
        <v>119</v>
      </c>
      <c r="AH1702" s="26" t="str">
        <f>_xlfn.XLOOKUP(Table26[[#This Row],[customerSKU]],customerSKU!G:G,customerSKU!K:K,"NA",0,1)</f>
        <v>NA</v>
      </c>
      <c r="AI1702" s="43" t="str">
        <f>_xlfn.XLOOKUP(Table26[[#This Row],[customerSKU]],customerSKU!G:G,customerSKU!O:O,"not found",0,1)</f>
        <v>not found</v>
      </c>
      <c r="AJ1702" s="22" t="e">
        <f>Table26[[#This Row],[unitprice]]*Table26[[#This Row],[quantity_unit]]</f>
        <v>#VALUE!</v>
      </c>
      <c r="AK1702" s="227" t="e" cm="1">
        <f t="array" ref="AK17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3" spans="1:37" ht="18" customHeight="1">
      <c r="A1703" s="42">
        <v>552</v>
      </c>
      <c r="B1703" s="42" t="s">
        <v>3357</v>
      </c>
      <c r="C1703" s="53" t="s">
        <v>3427</v>
      </c>
      <c r="E1703" s="20"/>
      <c r="F17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3" s="93"/>
      <c r="I1703" s="203">
        <v>45800</v>
      </c>
      <c r="J1703" s="90" t="str">
        <f>IF(Table26[[#This Row],[customerSKU]]="","",_xlfn.XLOOKUP(Table26[[#This Row],[customerSKU]],customerSKU!G:G,customerSKU!A:A,"",0,1))</f>
        <v/>
      </c>
      <c r="K1703" s="232">
        <v>45800</v>
      </c>
      <c r="L1703" s="49" t="str">
        <f>IF(Table26[[#This Row],[customerSKU]]="","",_xlfn.XLOOKUP(Table26[[#This Row],[customerSKU]],customerSKU!G:G,customerSKU!B:B,"",0,1))</f>
        <v/>
      </c>
      <c r="M1703" s="22"/>
      <c r="N1703" s="15" t="str">
        <f>Table26[[#This Row],[po_number]]&amp;"-"&amp;Table26[[#This Row],[po_line]]</f>
        <v>-5</v>
      </c>
      <c r="O1703" s="15">
        <v>5</v>
      </c>
      <c r="P1703" s="50"/>
      <c r="Q1703" s="22" t="s">
        <v>1862</v>
      </c>
      <c r="R1703" s="22" t="s">
        <v>221</v>
      </c>
      <c r="S1703" s="90" t="str">
        <f>IF(Table26[[#This Row],[customerSKU]]="","",_xlfn.XLOOKUP(Table26[[#This Row],[customerSKU]],customerSKU!G:G,customerSKU!N:N,"NOT FOUND",0,1))</f>
        <v>NOT FOUND</v>
      </c>
      <c r="T1703" s="20">
        <v>45594</v>
      </c>
      <c r="U1703" s="94">
        <v>12</v>
      </c>
      <c r="V1703" s="22" t="str">
        <f>IF(ISBLANK(Table26[[#This Row],[customerSKU]]),"",_xlfn.XLOOKUP(Table26[[#This Row],[customerSKU]],Table27[customer_SKU],Table27[case_size],"",0,1))</f>
        <v/>
      </c>
      <c r="W1703" s="117" t="str">
        <f t="shared" si="69"/>
        <v/>
      </c>
      <c r="X1703" s="22" t="str">
        <f t="shared" si="70"/>
        <v/>
      </c>
      <c r="Y1703" s="25" t="str">
        <f>IF(Table26[[#This Row],[customerSKU]]="","",_xlfn.XLOOKUP(Table26[[#This Row],[customerSKU]],Table27[customer_SKU],Table27[product_GTIN],"",0,1))</f>
        <v/>
      </c>
      <c r="Z1703" s="25" t="s">
        <v>3526</v>
      </c>
      <c r="AA1703" s="18" t="str" cm="1">
        <f t="array" ref="AA1703">IF(P1703="", "", _xlfn.XLOOKUP(P1703,#REF!,#REF!,NA,0,-1))</f>
        <v/>
      </c>
      <c r="AB1703" s="22"/>
      <c r="AC1703" s="55" t="s">
        <v>119</v>
      </c>
      <c r="AD1703" s="55" t="str">
        <f>IF($AC1703="","",_xlfn.XLOOKUP($AC1703,'Client Info'!$C$2:$C$2497,'Client Info'!$D$2:$D$2497,"",0,1))</f>
        <v/>
      </c>
      <c r="AE1703" s="55" t="str">
        <f>IF($AC1703="","",_xlfn.XLOOKUP($AC1703,'Client Info'!$C$2:$C$2677,'Client Info'!$E$2:$E$2677,"",))</f>
        <v/>
      </c>
      <c r="AF1703" s="55" t="str">
        <f>IF($AC1703="","",_xlfn.XLOOKUP($AC1703,'Client Info'!$C$2:$C$2677,'Client Info'!$F$2:$F$2677,"",0,1))</f>
        <v/>
      </c>
      <c r="AG1703" s="55" t="s">
        <v>119</v>
      </c>
      <c r="AH1703" s="26" t="str">
        <f>_xlfn.XLOOKUP(Table26[[#This Row],[customerSKU]],customerSKU!G:G,customerSKU!K:K,"NA",0,1)</f>
        <v>NA</v>
      </c>
      <c r="AI1703" s="43" t="str">
        <f>_xlfn.XLOOKUP(Table26[[#This Row],[customerSKU]],customerSKU!G:G,customerSKU!O:O,"not found",0,1)</f>
        <v>not found</v>
      </c>
      <c r="AJ1703" s="22" t="e">
        <f>Table26[[#This Row],[unitprice]]*Table26[[#This Row],[quantity_unit]]</f>
        <v>#VALUE!</v>
      </c>
      <c r="AK1703" s="227" t="e" cm="1">
        <f t="array" ref="AK17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4" spans="1:37" ht="18" customHeight="1">
      <c r="A1704" s="42">
        <v>536</v>
      </c>
      <c r="B1704" s="42" t="s">
        <v>3357</v>
      </c>
      <c r="C1704" s="53" t="s">
        <v>3427</v>
      </c>
      <c r="E1704" s="20"/>
      <c r="F17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4" s="93"/>
      <c r="I1704" s="203">
        <v>45800</v>
      </c>
      <c r="J1704" s="90" t="str">
        <f>IF(Table26[[#This Row],[customerSKU]]="","",_xlfn.XLOOKUP(Table26[[#This Row],[customerSKU]],customerSKU!G:G,customerSKU!A:A,"",0,1))</f>
        <v/>
      </c>
      <c r="K1704" s="232">
        <v>45803</v>
      </c>
      <c r="L1704" s="49" t="str">
        <f>IF(Table26[[#This Row],[customerSKU]]="","",_xlfn.XLOOKUP(Table26[[#This Row],[customerSKU]],customerSKU!G:G,customerSKU!B:B,"",0,1))</f>
        <v/>
      </c>
      <c r="M1704" s="22"/>
      <c r="N1704" s="15" t="str">
        <f>Table26[[#This Row],[po_number]]&amp;"-"&amp;Table26[[#This Row],[po_line]]</f>
        <v>-1</v>
      </c>
      <c r="O1704" s="15">
        <v>1</v>
      </c>
      <c r="P1704" s="50"/>
      <c r="Q1704" s="22" t="s">
        <v>1829</v>
      </c>
      <c r="R1704" s="22" t="s">
        <v>221</v>
      </c>
      <c r="S1704" s="90" t="str">
        <f>IF(Table26[[#This Row],[customerSKU]]="","",_xlfn.XLOOKUP(Table26[[#This Row],[customerSKU]],customerSKU!G:G,customerSKU!N:N,"NOT FOUND",0,1))</f>
        <v>NOT FOUND</v>
      </c>
      <c r="T1704" s="20">
        <v>45721</v>
      </c>
      <c r="U1704" s="94">
        <v>72</v>
      </c>
      <c r="V1704" s="22" t="str">
        <f>IF(ISBLANK(Table26[[#This Row],[customerSKU]]),"",_xlfn.XLOOKUP(Table26[[#This Row],[customerSKU]],Table27[customer_SKU],Table27[case_size],"",0,1))</f>
        <v/>
      </c>
      <c r="W1704" s="117" t="str">
        <f t="shared" si="69"/>
        <v/>
      </c>
      <c r="X1704" s="22" t="str">
        <f t="shared" si="70"/>
        <v/>
      </c>
      <c r="Y1704" s="25" t="str">
        <f>IF(Table26[[#This Row],[customerSKU]]="","",_xlfn.XLOOKUP(Table26[[#This Row],[customerSKU]],Table27[customer_SKU],Table27[product_GTIN],"",0,1))</f>
        <v/>
      </c>
      <c r="Z1704" s="22">
        <v>7900041</v>
      </c>
      <c r="AA1704" s="18" t="str" cm="1">
        <f t="array" ref="AA1704">IF(P1704="", "", _xlfn.XLOOKUP(P1704,#REF!,#REF!,NA,0,-1))</f>
        <v/>
      </c>
      <c r="AB1704" s="22"/>
      <c r="AC1704" s="55" t="str">
        <f>IF(Table26[[#This Row],[customerSKU]]="","",_xlfn.XLOOKUP(Table26[[#This Row],[customerSKU]],customerSKU!G:G,customerSKU!C:C,"",0,1))</f>
        <v/>
      </c>
      <c r="AD1704" s="55" t="str">
        <f>IF($AC1704="","",_xlfn.XLOOKUP($AC1704,'Client Info'!$C$2:$C$2497,'Client Info'!$D$2:$D$2497,"",0,1))</f>
        <v/>
      </c>
      <c r="AE1704" s="55" t="str">
        <f>IF($AC1704="","",_xlfn.XLOOKUP($AC1704,'Client Info'!$C$2:$C$2677,'Client Info'!$E$2:$E$2677,"",))</f>
        <v/>
      </c>
      <c r="AF1704" s="55" t="str">
        <f>IF($AC1704="","",_xlfn.XLOOKUP($AC1704,'Client Info'!$C$2:$C$2677,'Client Info'!$F$2:$F$2677,"",0,1))</f>
        <v/>
      </c>
      <c r="AG1704" s="55" t="str">
        <f>IF(ISBLANK(Table26[[#This Row],[customerSKU]]),"",_xlfn.XLOOKUP(Table26[[#This Row],[customerSKU]],Table27[customer_SKU],Table27[billto],"",0,1))</f>
        <v/>
      </c>
      <c r="AH1704" s="26" t="str">
        <f>_xlfn.XLOOKUP(Table26[[#This Row],[customerSKU]],customerSKU!G:G,customerSKU!K:K,"NA",0,1)</f>
        <v>NA</v>
      </c>
      <c r="AI1704" s="43" t="str">
        <f>_xlfn.XLOOKUP(Table26[[#This Row],[customerSKU]],customerSKU!G:G,customerSKU!O:O,"not found",0,1)</f>
        <v>not found</v>
      </c>
      <c r="AJ1704" s="22" t="e">
        <f>Table26[[#This Row],[unitprice]]*Table26[[#This Row],[quantity_unit]]</f>
        <v>#VALUE!</v>
      </c>
      <c r="AK1704" s="227" t="e" cm="1">
        <f t="array" ref="AK17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5" spans="1:37" ht="18" customHeight="1">
      <c r="A1705" s="42">
        <v>537</v>
      </c>
      <c r="B1705" s="42" t="s">
        <v>3357</v>
      </c>
      <c r="C1705" s="53" t="s">
        <v>3427</v>
      </c>
      <c r="E1705" s="20"/>
      <c r="F17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5" s="93"/>
      <c r="I1705" s="203">
        <v>45800</v>
      </c>
      <c r="J1705" s="90" t="str">
        <f>IF(Table26[[#This Row],[customerSKU]]="","",_xlfn.XLOOKUP(Table26[[#This Row],[customerSKU]],customerSKU!G:G,customerSKU!A:A,"",0,1))</f>
        <v/>
      </c>
      <c r="K1705" s="232">
        <v>45803</v>
      </c>
      <c r="L1705" s="49" t="str">
        <f>IF(Table26[[#This Row],[customerSKU]]="","",_xlfn.XLOOKUP(Table26[[#This Row],[customerSKU]],customerSKU!G:G,customerSKU!B:B,"",0,1))</f>
        <v/>
      </c>
      <c r="M1705" s="22"/>
      <c r="N1705" s="15" t="str">
        <f>Table26[[#This Row],[po_number]]&amp;"-"&amp;Table26[[#This Row],[po_line]]</f>
        <v>-2</v>
      </c>
      <c r="O1705" s="15">
        <v>2</v>
      </c>
      <c r="P1705" s="50"/>
      <c r="Q1705" s="22" t="s">
        <v>934</v>
      </c>
      <c r="R1705" s="22" t="s">
        <v>221</v>
      </c>
      <c r="S1705" s="90" t="str">
        <f>IF(Table26[[#This Row],[customerSKU]]="","",_xlfn.XLOOKUP(Table26[[#This Row],[customerSKU]],customerSKU!G:G,customerSKU!N:N,"NOT FOUND",0,1))</f>
        <v>NOT FOUND</v>
      </c>
      <c r="T1705" s="20">
        <v>45777</v>
      </c>
      <c r="U1705" s="94">
        <v>24</v>
      </c>
      <c r="V1705" s="22" t="str">
        <f>IF(ISBLANK(Table26[[#This Row],[customerSKU]]),"",_xlfn.XLOOKUP(Table26[[#This Row],[customerSKU]],Table27[customer_SKU],Table27[case_size],"",0,1))</f>
        <v/>
      </c>
      <c r="W1705" s="117" t="str">
        <f t="shared" si="69"/>
        <v/>
      </c>
      <c r="X1705" s="22" t="str">
        <f t="shared" si="70"/>
        <v/>
      </c>
      <c r="Y1705" s="25" t="str">
        <f>IF(Table26[[#This Row],[customerSKU]]="","",_xlfn.XLOOKUP(Table26[[#This Row],[customerSKU]],Table27[customer_SKU],Table27[product_GTIN],"",0,1))</f>
        <v/>
      </c>
      <c r="Z1705" s="22">
        <v>7900354</v>
      </c>
      <c r="AA1705" s="18" t="str" cm="1">
        <f t="array" ref="AA1705">IF(P1705="", "", _xlfn.XLOOKUP(P1705,#REF!,#REF!,NA,0,-1))</f>
        <v/>
      </c>
      <c r="AB1705" s="22"/>
      <c r="AC1705" s="55" t="str">
        <f>IF(Table26[[#This Row],[customerSKU]]="","",_xlfn.XLOOKUP(Table26[[#This Row],[customerSKU]],customerSKU!G:G,customerSKU!C:C,"",0,1))</f>
        <v/>
      </c>
      <c r="AD1705" s="55" t="str">
        <f>IF($AC1705="","",_xlfn.XLOOKUP($AC1705,'Client Info'!$C$2:$C$2497,'Client Info'!$D$2:$D$2497,"",0,1))</f>
        <v/>
      </c>
      <c r="AE1705" s="55" t="str">
        <f>IF($AC1705="","",_xlfn.XLOOKUP($AC1705,'Client Info'!$C$2:$C$2677,'Client Info'!$E$2:$E$2677,"",))</f>
        <v/>
      </c>
      <c r="AF1705" s="55" t="str">
        <f>IF($AC1705="","",_xlfn.XLOOKUP($AC1705,'Client Info'!$C$2:$C$2677,'Client Info'!$F$2:$F$2677,"",0,1))</f>
        <v/>
      </c>
      <c r="AG1705" s="55" t="str">
        <f>IF(ISBLANK(Table26[[#This Row],[customerSKU]]),"",_xlfn.XLOOKUP(Table26[[#This Row],[customerSKU]],Table27[customer_SKU],Table27[billto],"",0,1))</f>
        <v/>
      </c>
      <c r="AH1705" s="26" t="str">
        <f>_xlfn.XLOOKUP(Table26[[#This Row],[customerSKU]],customerSKU!G:G,customerSKU!K:K,"NA",0,1)</f>
        <v>NA</v>
      </c>
      <c r="AI1705" s="43" t="str">
        <f>_xlfn.XLOOKUP(Table26[[#This Row],[customerSKU]],customerSKU!G:G,customerSKU!O:O,"not found",0,1)</f>
        <v>not found</v>
      </c>
      <c r="AJ1705" s="22" t="e">
        <f>Table26[[#This Row],[unitprice]]*Table26[[#This Row],[quantity_unit]]</f>
        <v>#VALUE!</v>
      </c>
      <c r="AK1705" s="227" t="e" cm="1">
        <f t="array" ref="AK17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6" spans="1:37" ht="18" customHeight="1">
      <c r="A1706" s="42">
        <v>538</v>
      </c>
      <c r="B1706" s="42" t="s">
        <v>3357</v>
      </c>
      <c r="C1706" s="53" t="s">
        <v>3427</v>
      </c>
      <c r="E1706" s="20"/>
      <c r="F17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6" s="93"/>
      <c r="I1706" s="203">
        <v>45800</v>
      </c>
      <c r="J1706" s="90" t="str">
        <f>IF(Table26[[#This Row],[customerSKU]]="","",_xlfn.XLOOKUP(Table26[[#This Row],[customerSKU]],customerSKU!G:G,customerSKU!A:A,"",0,1))</f>
        <v/>
      </c>
      <c r="K1706" s="232">
        <v>45803</v>
      </c>
      <c r="L1706" s="49" t="str">
        <f>IF(Table26[[#This Row],[customerSKU]]="","",_xlfn.XLOOKUP(Table26[[#This Row],[customerSKU]],customerSKU!G:G,customerSKU!B:B,"",0,1))</f>
        <v/>
      </c>
      <c r="M1706" s="22"/>
      <c r="N1706" s="15" t="str">
        <f>Table26[[#This Row],[po_number]]&amp;"-"&amp;Table26[[#This Row],[po_line]]</f>
        <v>-3</v>
      </c>
      <c r="O1706" s="15">
        <v>3</v>
      </c>
      <c r="P1706" s="50"/>
      <c r="Q1706" s="22" t="s">
        <v>1312</v>
      </c>
      <c r="R1706" s="22" t="s">
        <v>221</v>
      </c>
      <c r="S1706" s="90" t="str">
        <f>IF(Table26[[#This Row],[customerSKU]]="","",_xlfn.XLOOKUP(Table26[[#This Row],[customerSKU]],customerSKU!G:G,customerSKU!N:N,"NOT FOUND",0,1))</f>
        <v>NOT FOUND</v>
      </c>
      <c r="T1706" s="20">
        <v>45604</v>
      </c>
      <c r="U1706" s="94">
        <v>72</v>
      </c>
      <c r="V1706" s="22" t="str">
        <f>IF(ISBLANK(Table26[[#This Row],[customerSKU]]),"",_xlfn.XLOOKUP(Table26[[#This Row],[customerSKU]],Table27[customer_SKU],Table27[case_size],"",0,1))</f>
        <v/>
      </c>
      <c r="W1706" s="117" t="str">
        <f t="shared" si="69"/>
        <v/>
      </c>
      <c r="X1706" s="22" t="str">
        <f t="shared" si="70"/>
        <v/>
      </c>
      <c r="Y1706" s="25" t="str">
        <f>IF(Table26[[#This Row],[customerSKU]]="","",_xlfn.XLOOKUP(Table26[[#This Row],[customerSKU]],Table27[customer_SKU],Table27[product_GTIN],"",0,1))</f>
        <v/>
      </c>
      <c r="Z1706" s="22">
        <v>7900384</v>
      </c>
      <c r="AA1706" s="18" t="str" cm="1">
        <f t="array" ref="AA1706">IF(P1706="", "", _xlfn.XLOOKUP(P1706,#REF!,#REF!,NA,0,-1))</f>
        <v/>
      </c>
      <c r="AB1706" s="22"/>
      <c r="AC1706" s="55" t="str">
        <f>IF(Table26[[#This Row],[customerSKU]]="","",_xlfn.XLOOKUP(Table26[[#This Row],[customerSKU]],customerSKU!G:G,customerSKU!C:C,"",0,1))</f>
        <v/>
      </c>
      <c r="AD1706" s="55" t="str">
        <f>IF($AC1706="","",_xlfn.XLOOKUP($AC1706,'Client Info'!$C$2:$C$2497,'Client Info'!$D$2:$D$2497,"",0,1))</f>
        <v/>
      </c>
      <c r="AE1706" s="55" t="str">
        <f>IF($AC1706="","",_xlfn.XLOOKUP($AC1706,'Client Info'!$C$2:$C$2677,'Client Info'!$E$2:$E$2677,"",))</f>
        <v/>
      </c>
      <c r="AF1706" s="55" t="str">
        <f>IF($AC1706="","",_xlfn.XLOOKUP($AC1706,'Client Info'!$C$2:$C$2677,'Client Info'!$F$2:$F$2677,"",0,1))</f>
        <v/>
      </c>
      <c r="AG1706" s="55" t="str">
        <f>IF(ISBLANK(Table26[[#This Row],[customerSKU]]),"",_xlfn.XLOOKUP(Table26[[#This Row],[customerSKU]],Table27[customer_SKU],Table27[billto],"",0,1))</f>
        <v/>
      </c>
      <c r="AH1706" s="26" t="str">
        <f>_xlfn.XLOOKUP(Table26[[#This Row],[customerSKU]],customerSKU!G:G,customerSKU!K:K,"NA",0,1)</f>
        <v>NA</v>
      </c>
      <c r="AI1706" s="43" t="str">
        <f>_xlfn.XLOOKUP(Table26[[#This Row],[customerSKU]],customerSKU!G:G,customerSKU!O:O,"not found",0,1)</f>
        <v>not found</v>
      </c>
      <c r="AJ1706" s="22" t="e">
        <f>Table26[[#This Row],[unitprice]]*Table26[[#This Row],[quantity_unit]]</f>
        <v>#VALUE!</v>
      </c>
      <c r="AK1706" s="227" t="e" cm="1">
        <f t="array" ref="AK17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7" spans="1:37" ht="18" customHeight="1">
      <c r="A1707" s="42">
        <v>539</v>
      </c>
      <c r="B1707" s="42" t="s">
        <v>3357</v>
      </c>
      <c r="C1707" s="53" t="s">
        <v>3427</v>
      </c>
      <c r="E1707" s="20"/>
      <c r="F17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7" s="93"/>
      <c r="I1707" s="203">
        <v>45800</v>
      </c>
      <c r="J1707" s="90" t="str">
        <f>IF(Table26[[#This Row],[customerSKU]]="","",_xlfn.XLOOKUP(Table26[[#This Row],[customerSKU]],customerSKU!G:G,customerSKU!A:A,"",0,1))</f>
        <v/>
      </c>
      <c r="K1707" s="232">
        <v>45803</v>
      </c>
      <c r="L1707" s="49" t="str">
        <f>IF(Table26[[#This Row],[customerSKU]]="","",_xlfn.XLOOKUP(Table26[[#This Row],[customerSKU]],customerSKU!G:G,customerSKU!B:B,"",0,1))</f>
        <v/>
      </c>
      <c r="M1707" s="22"/>
      <c r="N1707" s="15" t="str">
        <f>Table26[[#This Row],[po_number]]&amp;"-"&amp;Table26[[#This Row],[po_line]]</f>
        <v>-4</v>
      </c>
      <c r="O1707" s="15">
        <v>4</v>
      </c>
      <c r="P1707" s="50"/>
      <c r="Q1707" s="22" t="s">
        <v>905</v>
      </c>
      <c r="R1707" s="22" t="s">
        <v>221</v>
      </c>
      <c r="S1707" s="90" t="str">
        <f>IF(Table26[[#This Row],[customerSKU]]="","",_xlfn.XLOOKUP(Table26[[#This Row],[customerSKU]],customerSKU!G:G,customerSKU!N:N,"NOT FOUND",0,1))</f>
        <v>NOT FOUND</v>
      </c>
      <c r="T1707" s="20">
        <v>45575</v>
      </c>
      <c r="U1707" s="94">
        <v>72</v>
      </c>
      <c r="V1707" s="22" t="str">
        <f>IF(ISBLANK(Table26[[#This Row],[customerSKU]]),"",_xlfn.XLOOKUP(Table26[[#This Row],[customerSKU]],Table27[customer_SKU],Table27[case_size],"",0,1))</f>
        <v/>
      </c>
      <c r="W1707" s="117" t="str">
        <f t="shared" si="69"/>
        <v/>
      </c>
      <c r="X1707" s="22" t="str">
        <f t="shared" si="70"/>
        <v/>
      </c>
      <c r="Y1707" s="25" t="str">
        <f>IF(Table26[[#This Row],[customerSKU]]="","",_xlfn.XLOOKUP(Table26[[#This Row],[customerSKU]],Table27[customer_SKU],Table27[product_GTIN],"",0,1))</f>
        <v/>
      </c>
      <c r="Z1707" s="22">
        <v>7900386</v>
      </c>
      <c r="AA1707" s="18" t="str" cm="1">
        <f t="array" ref="AA1707">IF(P1707="", "", _xlfn.XLOOKUP(P1707,#REF!,#REF!,NA,0,-1))</f>
        <v/>
      </c>
      <c r="AB1707" s="22"/>
      <c r="AC1707" s="55" t="str">
        <f>IF(Table26[[#This Row],[customerSKU]]="","",_xlfn.XLOOKUP(Table26[[#This Row],[customerSKU]],customerSKU!G:G,customerSKU!C:C,"",0,1))</f>
        <v/>
      </c>
      <c r="AD1707" s="55" t="str">
        <f>IF($AC1707="","",_xlfn.XLOOKUP($AC1707,'Client Info'!$C$2:$C$2497,'Client Info'!$D$2:$D$2497,"",0,1))</f>
        <v/>
      </c>
      <c r="AE1707" s="55" t="str">
        <f>IF($AC1707="","",_xlfn.XLOOKUP($AC1707,'Client Info'!$C$2:$C$2677,'Client Info'!$E$2:$E$2677,"",))</f>
        <v/>
      </c>
      <c r="AF1707" s="55" t="str">
        <f>IF($AC1707="","",_xlfn.XLOOKUP($AC1707,'Client Info'!$C$2:$C$2677,'Client Info'!$F$2:$F$2677,"",0,1))</f>
        <v/>
      </c>
      <c r="AG1707" s="55" t="str">
        <f>IF(ISBLANK(Table26[[#This Row],[customerSKU]]),"",_xlfn.XLOOKUP(Table26[[#This Row],[customerSKU]],Table27[customer_SKU],Table27[billto],"",0,1))</f>
        <v/>
      </c>
      <c r="AH1707" s="26" t="str">
        <f>_xlfn.XLOOKUP(Table26[[#This Row],[customerSKU]],customerSKU!G:G,customerSKU!K:K,"NA",0,1)</f>
        <v>NA</v>
      </c>
      <c r="AI1707" s="43" t="str">
        <f>_xlfn.XLOOKUP(Table26[[#This Row],[customerSKU]],customerSKU!G:G,customerSKU!O:O,"not found",0,1)</f>
        <v>not found</v>
      </c>
      <c r="AJ1707" s="22" t="e">
        <f>Table26[[#This Row],[unitprice]]*Table26[[#This Row],[quantity_unit]]</f>
        <v>#VALUE!</v>
      </c>
      <c r="AK1707" s="227" t="e" cm="1">
        <f t="array" ref="AK17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8" spans="1:37" ht="18" customHeight="1">
      <c r="A1708" s="42">
        <v>540</v>
      </c>
      <c r="B1708" s="42" t="s">
        <v>3357</v>
      </c>
      <c r="C1708" s="53" t="s">
        <v>3427</v>
      </c>
      <c r="E1708" s="20"/>
      <c r="F17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8" s="93"/>
      <c r="I1708" s="203">
        <v>45800</v>
      </c>
      <c r="J1708" s="90" t="str">
        <f>IF(Table26[[#This Row],[customerSKU]]="","",_xlfn.XLOOKUP(Table26[[#This Row],[customerSKU]],customerSKU!G:G,customerSKU!A:A,"",0,1))</f>
        <v/>
      </c>
      <c r="K1708" s="232">
        <v>45803</v>
      </c>
      <c r="L1708" s="49" t="str">
        <f>IF(Table26[[#This Row],[customerSKU]]="","",_xlfn.XLOOKUP(Table26[[#This Row],[customerSKU]],customerSKU!G:G,customerSKU!B:B,"",0,1))</f>
        <v/>
      </c>
      <c r="M1708" s="22"/>
      <c r="N1708" s="15" t="str">
        <f>Table26[[#This Row],[po_number]]&amp;"-"&amp;Table26[[#This Row],[po_line]]</f>
        <v>-5</v>
      </c>
      <c r="O1708" s="15">
        <v>5</v>
      </c>
      <c r="P1708" s="50"/>
      <c r="Q1708" s="22" t="s">
        <v>630</v>
      </c>
      <c r="R1708" s="22" t="s">
        <v>221</v>
      </c>
      <c r="S1708" s="90" t="str">
        <f>IF(Table26[[#This Row],[customerSKU]]="","",_xlfn.XLOOKUP(Table26[[#This Row],[customerSKU]],customerSKU!G:G,customerSKU!N:N,"NOT FOUND",0,1))</f>
        <v>NOT FOUND</v>
      </c>
      <c r="T1708" s="20">
        <v>45707</v>
      </c>
      <c r="U1708" s="94">
        <v>12</v>
      </c>
      <c r="V1708" s="22" t="str">
        <f>IF(ISBLANK(Table26[[#This Row],[customerSKU]]),"",_xlfn.XLOOKUP(Table26[[#This Row],[customerSKU]],Table27[customer_SKU],Table27[case_size],"",0,1))</f>
        <v/>
      </c>
      <c r="W1708" s="117" t="str">
        <f t="shared" si="69"/>
        <v/>
      </c>
      <c r="X1708" s="22" t="str">
        <f t="shared" si="70"/>
        <v/>
      </c>
      <c r="Y1708" s="25" t="str">
        <f>IF(Table26[[#This Row],[customerSKU]]="","",_xlfn.XLOOKUP(Table26[[#This Row],[customerSKU]],Table27[customer_SKU],Table27[product_GTIN],"",0,1))</f>
        <v/>
      </c>
      <c r="Z1708" s="22">
        <v>7900417</v>
      </c>
      <c r="AA1708" s="18" t="str" cm="1">
        <f t="array" ref="AA1708">IF(P1708="", "", _xlfn.XLOOKUP(P1708,#REF!,#REF!,NA,0,-1))</f>
        <v/>
      </c>
      <c r="AB1708" s="22"/>
      <c r="AC1708" s="55" t="str">
        <f>IF(Table26[[#This Row],[customerSKU]]="","",_xlfn.XLOOKUP(Table26[[#This Row],[customerSKU]],customerSKU!G:G,customerSKU!C:C,"",0,1))</f>
        <v/>
      </c>
      <c r="AD1708" s="55" t="str">
        <f>IF($AC1708="","",_xlfn.XLOOKUP($AC1708,'Client Info'!$C$2:$C$2497,'Client Info'!$D$2:$D$2497,"",0,1))</f>
        <v/>
      </c>
      <c r="AE1708" s="55" t="str">
        <f>IF($AC1708="","",_xlfn.XLOOKUP($AC1708,'Client Info'!$C$2:$C$2677,'Client Info'!$E$2:$E$2677,"",))</f>
        <v/>
      </c>
      <c r="AF1708" s="55" t="str">
        <f>IF($AC1708="","",_xlfn.XLOOKUP($AC1708,'Client Info'!$C$2:$C$2677,'Client Info'!$F$2:$F$2677,"",0,1))</f>
        <v/>
      </c>
      <c r="AG1708" s="55" t="str">
        <f>IF(ISBLANK(Table26[[#This Row],[customerSKU]]),"",_xlfn.XLOOKUP(Table26[[#This Row],[customerSKU]],Table27[customer_SKU],Table27[billto],"",0,1))</f>
        <v/>
      </c>
      <c r="AH1708" s="26" t="str">
        <f>_xlfn.XLOOKUP(Table26[[#This Row],[customerSKU]],customerSKU!G:G,customerSKU!K:K,"NA",0,1)</f>
        <v>NA</v>
      </c>
      <c r="AI1708" s="43" t="str">
        <f>_xlfn.XLOOKUP(Table26[[#This Row],[customerSKU]],customerSKU!G:G,customerSKU!O:O,"not found",0,1)</f>
        <v>not found</v>
      </c>
      <c r="AJ1708" s="22" t="e">
        <f>Table26[[#This Row],[unitprice]]*Table26[[#This Row],[quantity_unit]]</f>
        <v>#VALUE!</v>
      </c>
      <c r="AK1708" s="227" t="e" cm="1">
        <f t="array" ref="AK17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09" spans="1:37" ht="18" customHeight="1">
      <c r="A1709" s="42">
        <v>541</v>
      </c>
      <c r="B1709" s="42" t="s">
        <v>3357</v>
      </c>
      <c r="C1709" s="53" t="s">
        <v>3427</v>
      </c>
      <c r="E1709" s="20"/>
      <c r="F17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09" s="93"/>
      <c r="I1709" s="203">
        <v>45800</v>
      </c>
      <c r="J1709" s="90" t="str">
        <f>IF(Table26[[#This Row],[customerSKU]]="","",_xlfn.XLOOKUP(Table26[[#This Row],[customerSKU]],customerSKU!G:G,customerSKU!A:A,"",0,1))</f>
        <v/>
      </c>
      <c r="K1709" s="232">
        <v>45803</v>
      </c>
      <c r="L1709" s="49" t="str">
        <f>IF(Table26[[#This Row],[customerSKU]]="","",_xlfn.XLOOKUP(Table26[[#This Row],[customerSKU]],customerSKU!G:G,customerSKU!B:B,"",0,1))</f>
        <v/>
      </c>
      <c r="M1709" s="22"/>
      <c r="N1709" s="15" t="str">
        <f>Table26[[#This Row],[po_number]]&amp;"-"&amp;Table26[[#This Row],[po_line]]</f>
        <v>-6</v>
      </c>
      <c r="O1709" s="15">
        <v>6</v>
      </c>
      <c r="P1709" s="50"/>
      <c r="Q1709" s="22" t="s">
        <v>3502</v>
      </c>
      <c r="R1709" s="22" t="s">
        <v>221</v>
      </c>
      <c r="S1709" s="90" t="str">
        <f>IF(Table26[[#This Row],[customerSKU]]="","",_xlfn.XLOOKUP(Table26[[#This Row],[customerSKU]],customerSKU!G:G,customerSKU!N:N,"NOT FOUND",0,1))</f>
        <v>NOT FOUND</v>
      </c>
      <c r="T1709" s="20">
        <v>45770</v>
      </c>
      <c r="U1709" s="94">
        <v>36</v>
      </c>
      <c r="V1709" s="22" t="str">
        <f>IF(ISBLANK(Table26[[#This Row],[customerSKU]]),"",_xlfn.XLOOKUP(Table26[[#This Row],[customerSKU]],Table27[customer_SKU],Table27[case_size],"",0,1))</f>
        <v/>
      </c>
      <c r="W1709" s="117" t="str">
        <f t="shared" si="69"/>
        <v/>
      </c>
      <c r="X1709" s="22" t="str">
        <f t="shared" si="70"/>
        <v/>
      </c>
      <c r="Y1709" s="25" t="str">
        <f>IF(Table26[[#This Row],[customerSKU]]="","",_xlfn.XLOOKUP(Table26[[#This Row],[customerSKU]],Table27[customer_SKU],Table27[product_GTIN],"",0,1))</f>
        <v/>
      </c>
      <c r="Z1709" s="22">
        <v>7900417</v>
      </c>
      <c r="AA1709" s="18" t="str" cm="1">
        <f t="array" ref="AA1709">IF(P1709="", "", _xlfn.XLOOKUP(P1709,#REF!,#REF!,NA,0,-1))</f>
        <v/>
      </c>
      <c r="AB1709" s="22"/>
      <c r="AC1709" s="55" t="str">
        <f>IF(Table26[[#This Row],[customerSKU]]="","",_xlfn.XLOOKUP(Table26[[#This Row],[customerSKU]],customerSKU!G:G,customerSKU!C:C,"",0,1))</f>
        <v/>
      </c>
      <c r="AD1709" s="55" t="str">
        <f>IF($AC1709="","",_xlfn.XLOOKUP($AC1709,'Client Info'!$C$2:$C$2497,'Client Info'!$D$2:$D$2497,"",0,1))</f>
        <v/>
      </c>
      <c r="AE1709" s="55" t="str">
        <f>IF($AC1709="","",_xlfn.XLOOKUP($AC1709,'Client Info'!$C$2:$C$2677,'Client Info'!$E$2:$E$2677,"",))</f>
        <v/>
      </c>
      <c r="AF1709" s="55" t="str">
        <f>IF($AC1709="","",_xlfn.XLOOKUP($AC1709,'Client Info'!$C$2:$C$2677,'Client Info'!$F$2:$F$2677,"",0,1))</f>
        <v/>
      </c>
      <c r="AG1709" s="55" t="str">
        <f>IF(ISBLANK(Table26[[#This Row],[customerSKU]]),"",_xlfn.XLOOKUP(Table26[[#This Row],[customerSKU]],Table27[customer_SKU],Table27[billto],"",0,1))</f>
        <v/>
      </c>
      <c r="AH1709" s="26" t="str">
        <f>_xlfn.XLOOKUP(Table26[[#This Row],[customerSKU]],customerSKU!G:G,customerSKU!K:K,"NA",0,1)</f>
        <v>NA</v>
      </c>
      <c r="AI1709" s="43" t="str">
        <f>_xlfn.XLOOKUP(Table26[[#This Row],[customerSKU]],customerSKU!G:G,customerSKU!O:O,"not found",0,1)</f>
        <v>not found</v>
      </c>
      <c r="AJ1709" s="22" t="e">
        <f>Table26[[#This Row],[unitprice]]*Table26[[#This Row],[quantity_unit]]</f>
        <v>#VALUE!</v>
      </c>
      <c r="AK1709" s="227" t="e" cm="1">
        <f t="array" ref="AK17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0" spans="1:37" ht="18" customHeight="1">
      <c r="A1710" s="42">
        <v>542</v>
      </c>
      <c r="B1710" s="42" t="s">
        <v>3357</v>
      </c>
      <c r="C1710" s="53" t="s">
        <v>3427</v>
      </c>
      <c r="E1710" s="20"/>
      <c r="F17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0" s="93"/>
      <c r="I1710" s="203">
        <v>45800</v>
      </c>
      <c r="J1710" s="90" t="str">
        <f>IF(Table26[[#This Row],[customerSKU]]="","",_xlfn.XLOOKUP(Table26[[#This Row],[customerSKU]],customerSKU!G:G,customerSKU!A:A,"",0,1))</f>
        <v/>
      </c>
      <c r="K1710" s="232">
        <v>45803</v>
      </c>
      <c r="L1710" s="49" t="str">
        <f>IF(Table26[[#This Row],[customerSKU]]="","",_xlfn.XLOOKUP(Table26[[#This Row],[customerSKU]],customerSKU!G:G,customerSKU!B:B,"",0,1))</f>
        <v/>
      </c>
      <c r="M1710" s="22"/>
      <c r="N1710" s="15" t="str">
        <f>Table26[[#This Row],[po_number]]&amp;"-"&amp;Table26[[#This Row],[po_line]]</f>
        <v>-7</v>
      </c>
      <c r="O1710" s="15">
        <v>7</v>
      </c>
      <c r="P1710" s="50"/>
      <c r="Q1710" s="22" t="s">
        <v>1783</v>
      </c>
      <c r="R1710" s="22" t="s">
        <v>221</v>
      </c>
      <c r="S1710" s="90" t="str">
        <f>IF(Table26[[#This Row],[customerSKU]]="","",_xlfn.XLOOKUP(Table26[[#This Row],[customerSKU]],customerSKU!G:G,customerSKU!N:N,"NOT FOUND",0,1))</f>
        <v>NOT FOUND</v>
      </c>
      <c r="T1710" s="20">
        <v>45800</v>
      </c>
      <c r="U1710" s="94">
        <f>72-12-36</f>
        <v>24</v>
      </c>
      <c r="V1710" s="22" t="str">
        <f>IF(ISBLANK(Table26[[#This Row],[customerSKU]]),"",_xlfn.XLOOKUP(Table26[[#This Row],[customerSKU]],Table27[customer_SKU],Table27[case_size],"",0,1))</f>
        <v/>
      </c>
      <c r="W1710" s="117" t="str">
        <f t="shared" si="69"/>
        <v/>
      </c>
      <c r="X1710" s="22" t="str">
        <f t="shared" si="70"/>
        <v/>
      </c>
      <c r="Y1710" s="25" t="str">
        <f>IF(Table26[[#This Row],[customerSKU]]="","",_xlfn.XLOOKUP(Table26[[#This Row],[customerSKU]],Table27[customer_SKU],Table27[product_GTIN],"",0,1))</f>
        <v/>
      </c>
      <c r="Z1710" s="22">
        <v>7900417</v>
      </c>
      <c r="AA1710" s="18" t="str" cm="1">
        <f t="array" ref="AA1710">IF(P1710="", "", _xlfn.XLOOKUP(P1710,#REF!,#REF!,NA,0,-1))</f>
        <v/>
      </c>
      <c r="AB1710" s="22"/>
      <c r="AC1710" s="55" t="str">
        <f>IF(Table26[[#This Row],[customerSKU]]="","",_xlfn.XLOOKUP(Table26[[#This Row],[customerSKU]],customerSKU!G:G,customerSKU!C:C,"",0,1))</f>
        <v/>
      </c>
      <c r="AD1710" s="55" t="str">
        <f>IF($AC1710="","",_xlfn.XLOOKUP($AC1710,'Client Info'!$C$2:$C$2497,'Client Info'!$D$2:$D$2497,"",0,1))</f>
        <v/>
      </c>
      <c r="AE1710" s="55" t="str">
        <f>IF($AC1710="","",_xlfn.XLOOKUP($AC1710,'Client Info'!$C$2:$C$2677,'Client Info'!$E$2:$E$2677,"",))</f>
        <v/>
      </c>
      <c r="AF1710" s="55" t="str">
        <f>IF($AC1710="","",_xlfn.XLOOKUP($AC1710,'Client Info'!$C$2:$C$2677,'Client Info'!$F$2:$F$2677,"",0,1))</f>
        <v/>
      </c>
      <c r="AG1710" s="55" t="str">
        <f>IF(ISBLANK(Table26[[#This Row],[customerSKU]]),"",_xlfn.XLOOKUP(Table26[[#This Row],[customerSKU]],Table27[customer_SKU],Table27[billto],"",0,1))</f>
        <v/>
      </c>
      <c r="AH1710" s="26" t="str">
        <f>_xlfn.XLOOKUP(Table26[[#This Row],[customerSKU]],customerSKU!G:G,customerSKU!K:K,"NA",0,1)</f>
        <v>NA</v>
      </c>
      <c r="AI1710" s="43" t="str">
        <f>_xlfn.XLOOKUP(Table26[[#This Row],[customerSKU]],customerSKU!G:G,customerSKU!O:O,"not found",0,1)</f>
        <v>not found</v>
      </c>
      <c r="AJ1710" s="22" t="e">
        <f>Table26[[#This Row],[unitprice]]*Table26[[#This Row],[quantity_unit]]</f>
        <v>#VALUE!</v>
      </c>
      <c r="AK1710" s="227" t="e" cm="1">
        <f t="array" ref="AK17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1" spans="1:37" ht="18" customHeight="1">
      <c r="A1711" s="42">
        <v>543</v>
      </c>
      <c r="B1711" s="42" t="s">
        <v>3357</v>
      </c>
      <c r="C1711" s="53" t="s">
        <v>3427</v>
      </c>
      <c r="E1711" s="20"/>
      <c r="F17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1" s="93"/>
      <c r="I1711" s="203">
        <v>45800</v>
      </c>
      <c r="J1711" s="90" t="str">
        <f>IF(Table26[[#This Row],[customerSKU]]="","",_xlfn.XLOOKUP(Table26[[#This Row],[customerSKU]],customerSKU!G:G,customerSKU!A:A,"",0,1))</f>
        <v/>
      </c>
      <c r="K1711" s="232">
        <v>45803</v>
      </c>
      <c r="L1711" s="49" t="str">
        <f>IF(Table26[[#This Row],[customerSKU]]="","",_xlfn.XLOOKUP(Table26[[#This Row],[customerSKU]],customerSKU!G:G,customerSKU!B:B,"",0,1))</f>
        <v/>
      </c>
      <c r="M1711" s="22"/>
      <c r="N1711" s="15" t="str">
        <f>Table26[[#This Row],[po_number]]&amp;"-"&amp;Table26[[#This Row],[po_line]]</f>
        <v>-8</v>
      </c>
      <c r="O1711" s="15">
        <v>8</v>
      </c>
      <c r="P1711" s="50"/>
      <c r="Q1711" s="22" t="s">
        <v>591</v>
      </c>
      <c r="R1711" s="22" t="s">
        <v>221</v>
      </c>
      <c r="S1711" s="90" t="str">
        <f>IF(Table26[[#This Row],[customerSKU]]="","",_xlfn.XLOOKUP(Table26[[#This Row],[customerSKU]],customerSKU!G:G,customerSKU!N:N,"NOT FOUND",0,1))</f>
        <v>NOT FOUND</v>
      </c>
      <c r="T1711" s="20">
        <v>45783</v>
      </c>
      <c r="U1711" s="94">
        <v>84</v>
      </c>
      <c r="V1711" s="22" t="str">
        <f>IF(ISBLANK(Table26[[#This Row],[customerSKU]]),"",_xlfn.XLOOKUP(Table26[[#This Row],[customerSKU]],Table27[customer_SKU],Table27[case_size],"",0,1))</f>
        <v/>
      </c>
      <c r="W1711" s="117" t="str">
        <f t="shared" si="69"/>
        <v/>
      </c>
      <c r="X1711" s="22" t="str">
        <f t="shared" si="70"/>
        <v/>
      </c>
      <c r="Y1711" s="25" t="str">
        <f>IF(Table26[[#This Row],[customerSKU]]="","",_xlfn.XLOOKUP(Table26[[#This Row],[customerSKU]],Table27[customer_SKU],Table27[product_GTIN],"",0,1))</f>
        <v/>
      </c>
      <c r="Z1711" s="22">
        <v>7900446</v>
      </c>
      <c r="AA1711" s="18" t="str" cm="1">
        <f t="array" ref="AA1711">IF(P1711="", "", _xlfn.XLOOKUP(P1711,#REF!,#REF!,NA,0,-1))</f>
        <v/>
      </c>
      <c r="AB1711" s="22"/>
      <c r="AC1711" s="55" t="str">
        <f>IF(Table26[[#This Row],[customerSKU]]="","",_xlfn.XLOOKUP(Table26[[#This Row],[customerSKU]],customerSKU!G:G,customerSKU!C:C,"",0,1))</f>
        <v/>
      </c>
      <c r="AD1711" s="55" t="str">
        <f>IF($AC1711="","",_xlfn.XLOOKUP($AC1711,'Client Info'!$C$2:$C$2497,'Client Info'!$D$2:$D$2497,"",0,1))</f>
        <v/>
      </c>
      <c r="AE1711" s="55" t="str">
        <f>IF($AC1711="","",_xlfn.XLOOKUP($AC1711,'Client Info'!$C$2:$C$2677,'Client Info'!$E$2:$E$2677,"",))</f>
        <v/>
      </c>
      <c r="AF1711" s="55" t="str">
        <f>IF($AC1711="","",_xlfn.XLOOKUP($AC1711,'Client Info'!$C$2:$C$2677,'Client Info'!$F$2:$F$2677,"",0,1))</f>
        <v/>
      </c>
      <c r="AG1711" s="55" t="str">
        <f>IF(ISBLANK(Table26[[#This Row],[customerSKU]]),"",_xlfn.XLOOKUP(Table26[[#This Row],[customerSKU]],Table27[customer_SKU],Table27[billto],"",0,1))</f>
        <v/>
      </c>
      <c r="AH1711" s="26" t="str">
        <f>_xlfn.XLOOKUP(Table26[[#This Row],[customerSKU]],customerSKU!G:G,customerSKU!K:K,"NA",0,1)</f>
        <v>NA</v>
      </c>
      <c r="AI1711" s="43" t="str">
        <f>_xlfn.XLOOKUP(Table26[[#This Row],[customerSKU]],customerSKU!G:G,customerSKU!O:O,"not found",0,1)</f>
        <v>not found</v>
      </c>
      <c r="AJ1711" s="22" t="e">
        <f>Table26[[#This Row],[unitprice]]*Table26[[#This Row],[quantity_unit]]</f>
        <v>#VALUE!</v>
      </c>
      <c r="AK1711" s="227" t="e" cm="1">
        <f t="array" ref="AK17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2" spans="1:37" ht="18" customHeight="1">
      <c r="A1712" s="42">
        <v>544</v>
      </c>
      <c r="B1712" s="42" t="s">
        <v>3357</v>
      </c>
      <c r="C1712" s="53" t="s">
        <v>3427</v>
      </c>
      <c r="E1712" s="20"/>
      <c r="F17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2" s="93"/>
      <c r="I1712" s="203">
        <v>45800</v>
      </c>
      <c r="J1712" s="90" t="str">
        <f>IF(Table26[[#This Row],[customerSKU]]="","",_xlfn.XLOOKUP(Table26[[#This Row],[customerSKU]],customerSKU!G:G,customerSKU!A:A,"",0,1))</f>
        <v/>
      </c>
      <c r="K1712" s="232">
        <v>45803</v>
      </c>
      <c r="L1712" s="49" t="str">
        <f>IF(Table26[[#This Row],[customerSKU]]="","",_xlfn.XLOOKUP(Table26[[#This Row],[customerSKU]],customerSKU!G:G,customerSKU!B:B,"",0,1))</f>
        <v/>
      </c>
      <c r="M1712" s="22"/>
      <c r="N1712" s="15" t="str">
        <f>Table26[[#This Row],[po_number]]&amp;"-"&amp;Table26[[#This Row],[po_line]]</f>
        <v>-9</v>
      </c>
      <c r="O1712" s="15">
        <v>9</v>
      </c>
      <c r="P1712" s="50"/>
      <c r="Q1712" s="22" t="s">
        <v>582</v>
      </c>
      <c r="R1712" s="22" t="s">
        <v>221</v>
      </c>
      <c r="S1712" s="90" t="str">
        <f>IF(Table26[[#This Row],[customerSKU]]="","",_xlfn.XLOOKUP(Table26[[#This Row],[customerSKU]],customerSKU!G:G,customerSKU!N:N,"NOT FOUND",0,1))</f>
        <v>NOT FOUND</v>
      </c>
      <c r="T1712" s="20">
        <v>45778</v>
      </c>
      <c r="U1712" s="94">
        <v>24</v>
      </c>
      <c r="V1712" s="22" t="str">
        <f>IF(ISBLANK(Table26[[#This Row],[customerSKU]]),"",_xlfn.XLOOKUP(Table26[[#This Row],[customerSKU]],Table27[customer_SKU],Table27[case_size],"",0,1))</f>
        <v/>
      </c>
      <c r="W1712" s="117" t="str">
        <f t="shared" si="69"/>
        <v/>
      </c>
      <c r="X1712" s="22" t="str">
        <f t="shared" si="70"/>
        <v/>
      </c>
      <c r="Y1712" s="25" t="str">
        <f>IF(Table26[[#This Row],[customerSKU]]="","",_xlfn.XLOOKUP(Table26[[#This Row],[customerSKU]],Table27[customer_SKU],Table27[product_GTIN],"",0,1))</f>
        <v/>
      </c>
      <c r="Z1712" s="22">
        <v>7900477</v>
      </c>
      <c r="AA1712" s="18" t="str" cm="1">
        <f t="array" ref="AA1712">IF(P1712="", "", _xlfn.XLOOKUP(P1712,#REF!,#REF!,NA,0,-1))</f>
        <v/>
      </c>
      <c r="AB1712" s="22"/>
      <c r="AC1712" s="55" t="str">
        <f>IF(Table26[[#This Row],[customerSKU]]="","",_xlfn.XLOOKUP(Table26[[#This Row],[customerSKU]],customerSKU!G:G,customerSKU!C:C,"",0,1))</f>
        <v/>
      </c>
      <c r="AD1712" s="55" t="str">
        <f>IF($AC1712="","",_xlfn.XLOOKUP($AC1712,'Client Info'!$C$2:$C$2497,'Client Info'!$D$2:$D$2497,"",0,1))</f>
        <v/>
      </c>
      <c r="AE1712" s="55" t="str">
        <f>IF($AC1712="","",_xlfn.XLOOKUP($AC1712,'Client Info'!$C$2:$C$2677,'Client Info'!$E$2:$E$2677,"",))</f>
        <v/>
      </c>
      <c r="AF1712" s="55" t="str">
        <f>IF($AC1712="","",_xlfn.XLOOKUP($AC1712,'Client Info'!$C$2:$C$2677,'Client Info'!$F$2:$F$2677,"",0,1))</f>
        <v/>
      </c>
      <c r="AG1712" s="55" t="str">
        <f>IF(ISBLANK(Table26[[#This Row],[customerSKU]]),"",_xlfn.XLOOKUP(Table26[[#This Row],[customerSKU]],Table27[customer_SKU],Table27[billto],"",0,1))</f>
        <v/>
      </c>
      <c r="AH1712" s="26" t="str">
        <f>_xlfn.XLOOKUP(Table26[[#This Row],[customerSKU]],customerSKU!G:G,customerSKU!K:K,"NA",0,1)</f>
        <v>NA</v>
      </c>
      <c r="AI1712" s="43" t="str">
        <f>_xlfn.XLOOKUP(Table26[[#This Row],[customerSKU]],customerSKU!G:G,customerSKU!O:O,"not found",0,1)</f>
        <v>not found</v>
      </c>
      <c r="AJ1712" s="22" t="e">
        <f>Table26[[#This Row],[unitprice]]*Table26[[#This Row],[quantity_unit]]</f>
        <v>#VALUE!</v>
      </c>
      <c r="AK1712" s="227" t="e" cm="1">
        <f t="array" ref="AK17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3" spans="1:37" ht="24.6" customHeight="1">
      <c r="A1713" s="42">
        <v>545</v>
      </c>
      <c r="B1713" s="42" t="s">
        <v>3357</v>
      </c>
      <c r="C1713" s="53" t="s">
        <v>3427</v>
      </c>
      <c r="E1713" s="20"/>
      <c r="F17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3" s="93"/>
      <c r="I1713" s="203">
        <v>45800</v>
      </c>
      <c r="J1713" s="90" t="str">
        <f>IF(Table26[[#This Row],[customerSKU]]="","",_xlfn.XLOOKUP(Table26[[#This Row],[customerSKU]],customerSKU!G:G,customerSKU!A:A,"",0,1))</f>
        <v/>
      </c>
      <c r="K1713" s="232">
        <v>45803</v>
      </c>
      <c r="L1713" s="49" t="str">
        <f>IF(Table26[[#This Row],[customerSKU]]="","",_xlfn.XLOOKUP(Table26[[#This Row],[customerSKU]],customerSKU!G:G,customerSKU!B:B,"",0,1))</f>
        <v/>
      </c>
      <c r="M1713" s="22"/>
      <c r="N1713" s="15" t="str">
        <f>Table26[[#This Row],[po_number]]&amp;"-"&amp;Table26[[#This Row],[po_line]]</f>
        <v>-10</v>
      </c>
      <c r="O1713" s="15">
        <v>10</v>
      </c>
      <c r="P1713" s="50"/>
      <c r="Q1713" s="22" t="s">
        <v>585</v>
      </c>
      <c r="R1713" s="22" t="s">
        <v>221</v>
      </c>
      <c r="S1713" s="90" t="str">
        <f>IF(Table26[[#This Row],[customerSKU]]="","",_xlfn.XLOOKUP(Table26[[#This Row],[customerSKU]],customerSKU!G:G,customerSKU!N:N,"NOT FOUND",0,1))</f>
        <v>NOT FOUND</v>
      </c>
      <c r="T1713" s="20">
        <v>45777</v>
      </c>
      <c r="U1713" s="94">
        <v>96</v>
      </c>
      <c r="V1713" s="22" t="str">
        <f>IF(ISBLANK(Table26[[#This Row],[customerSKU]]),"",_xlfn.XLOOKUP(Table26[[#This Row],[customerSKU]],Table27[customer_SKU],Table27[case_size],"",0,1))</f>
        <v/>
      </c>
      <c r="W1713" s="117" t="str">
        <f t="shared" si="69"/>
        <v/>
      </c>
      <c r="X1713" s="22" t="str">
        <f t="shared" si="70"/>
        <v/>
      </c>
      <c r="Y1713" s="25" t="str">
        <f>IF(Table26[[#This Row],[customerSKU]]="","",_xlfn.XLOOKUP(Table26[[#This Row],[customerSKU]],Table27[customer_SKU],Table27[product_GTIN],"",0,1))</f>
        <v/>
      </c>
      <c r="Z1713" s="22">
        <v>7900478</v>
      </c>
      <c r="AA1713" s="18" t="str" cm="1">
        <f t="array" ref="AA1713">IF(P1713="", "", _xlfn.XLOOKUP(P1713,#REF!,#REF!,NA,0,-1))</f>
        <v/>
      </c>
      <c r="AB1713" s="22"/>
      <c r="AC1713" s="55" t="str">
        <f>IF(Table26[[#This Row],[customerSKU]]="","",_xlfn.XLOOKUP(Table26[[#This Row],[customerSKU]],customerSKU!G:G,customerSKU!C:C,"",0,1))</f>
        <v/>
      </c>
      <c r="AD1713" s="55" t="str">
        <f>IF($AC1713="","",_xlfn.XLOOKUP($AC1713,'Client Info'!$C$2:$C$2497,'Client Info'!$D$2:$D$2497,"",0,1))</f>
        <v/>
      </c>
      <c r="AE1713" s="55" t="str">
        <f>IF($AC1713="","",_xlfn.XLOOKUP($AC1713,'Client Info'!$C$2:$C$2677,'Client Info'!$E$2:$E$2677,"",))</f>
        <v/>
      </c>
      <c r="AF1713" s="55" t="str">
        <f>IF($AC1713="","",_xlfn.XLOOKUP($AC1713,'Client Info'!$C$2:$C$2677,'Client Info'!$F$2:$F$2677,"",0,1))</f>
        <v/>
      </c>
      <c r="AG1713" s="55" t="str">
        <f>IF(ISBLANK(Table26[[#This Row],[customerSKU]]),"",_xlfn.XLOOKUP(Table26[[#This Row],[customerSKU]],Table27[customer_SKU],Table27[billto],"",0,1))</f>
        <v/>
      </c>
      <c r="AH1713" s="26" t="str">
        <f>_xlfn.XLOOKUP(Table26[[#This Row],[customerSKU]],customerSKU!G:G,customerSKU!K:K,"NA",0,1)</f>
        <v>NA</v>
      </c>
      <c r="AI1713" s="43" t="str">
        <f>_xlfn.XLOOKUP(Table26[[#This Row],[customerSKU]],customerSKU!G:G,customerSKU!O:O,"not found",0,1)</f>
        <v>not found</v>
      </c>
      <c r="AJ1713" s="22" t="e">
        <f>Table26[[#This Row],[unitprice]]*Table26[[#This Row],[quantity_unit]]</f>
        <v>#VALUE!</v>
      </c>
      <c r="AK1713" s="227" t="e" cm="1">
        <f t="array" ref="AK17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4" spans="1:37" ht="24.6" customHeight="1">
      <c r="A1714" s="42">
        <v>546</v>
      </c>
      <c r="B1714" s="42" t="s">
        <v>3357</v>
      </c>
      <c r="C1714" s="53" t="s">
        <v>3427</v>
      </c>
      <c r="E1714" s="20"/>
      <c r="F17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4" s="93"/>
      <c r="I1714" s="203">
        <v>45800</v>
      </c>
      <c r="J1714" s="90" t="str">
        <f>IF(Table26[[#This Row],[customerSKU]]="","",_xlfn.XLOOKUP(Table26[[#This Row],[customerSKU]],customerSKU!G:G,customerSKU!A:A,"",0,1))</f>
        <v/>
      </c>
      <c r="K1714" s="232">
        <v>45803</v>
      </c>
      <c r="L1714" s="49" t="str">
        <f>IF(Table26[[#This Row],[customerSKU]]="","",_xlfn.XLOOKUP(Table26[[#This Row],[customerSKU]],customerSKU!G:G,customerSKU!B:B,"",0,1))</f>
        <v/>
      </c>
      <c r="M1714" s="22"/>
      <c r="N1714" s="15" t="str">
        <f>Table26[[#This Row],[po_number]]&amp;"-"&amp;Table26[[#This Row],[po_line]]</f>
        <v>-11</v>
      </c>
      <c r="O1714" s="15">
        <v>11</v>
      </c>
      <c r="P1714" s="50"/>
      <c r="Q1714" s="22" t="s">
        <v>589</v>
      </c>
      <c r="R1714" s="22" t="s">
        <v>221</v>
      </c>
      <c r="S1714" s="90" t="str">
        <f>IF(Table26[[#This Row],[customerSKU]]="","",_xlfn.XLOOKUP(Table26[[#This Row],[customerSKU]],customerSKU!G:G,customerSKU!N:N,"NOT FOUND",0,1))</f>
        <v>NOT FOUND</v>
      </c>
      <c r="T1714" s="20">
        <v>45581</v>
      </c>
      <c r="U1714" s="94">
        <v>72</v>
      </c>
      <c r="V1714" s="22" t="str">
        <f>IF(ISBLANK(Table26[[#This Row],[customerSKU]]),"",_xlfn.XLOOKUP(Table26[[#This Row],[customerSKU]],Table27[customer_SKU],Table27[case_size],"",0,1))</f>
        <v/>
      </c>
      <c r="W1714" s="117" t="str">
        <f t="shared" si="69"/>
        <v/>
      </c>
      <c r="X1714" s="22" t="str">
        <f t="shared" si="70"/>
        <v/>
      </c>
      <c r="Y1714" s="25" t="str">
        <f>IF(Table26[[#This Row],[customerSKU]]="","",_xlfn.XLOOKUP(Table26[[#This Row],[customerSKU]],Table27[customer_SKU],Table27[product_GTIN],"",0,1))</f>
        <v/>
      </c>
      <c r="Z1714" s="25" t="s">
        <v>3414</v>
      </c>
      <c r="AA1714" s="18" t="str" cm="1">
        <f t="array" ref="AA1714">IF(P1714="", "", _xlfn.XLOOKUP(P1714,#REF!,#REF!,NA,0,-1))</f>
        <v/>
      </c>
      <c r="AB1714" s="22"/>
      <c r="AC1714" s="55" t="str">
        <f>IF(Table26[[#This Row],[customerSKU]]="","",_xlfn.XLOOKUP(Table26[[#This Row],[customerSKU]],customerSKU!G:G,customerSKU!C:C,"",0,1))</f>
        <v/>
      </c>
      <c r="AD1714" s="55" t="str">
        <f>IF($AC1714="","",_xlfn.XLOOKUP($AC1714,'Client Info'!$C$2:$C$2497,'Client Info'!$D$2:$D$2497,"",0,1))</f>
        <v/>
      </c>
      <c r="AE1714" s="55" t="str">
        <f>IF($AC1714="","",_xlfn.XLOOKUP($AC1714,'Client Info'!$C$2:$C$2677,'Client Info'!$E$2:$E$2677,"",))</f>
        <v/>
      </c>
      <c r="AF1714" s="55" t="str">
        <f>IF($AC1714="","",_xlfn.XLOOKUP($AC1714,'Client Info'!$C$2:$C$2677,'Client Info'!$F$2:$F$2677,"",0,1))</f>
        <v/>
      </c>
      <c r="AG1714" s="55" t="str">
        <f>IF(ISBLANK(Table26[[#This Row],[customerSKU]]),"",_xlfn.XLOOKUP(Table26[[#This Row],[customerSKU]],Table27[customer_SKU],Table27[billto],"",0,1))</f>
        <v/>
      </c>
      <c r="AH1714" s="26" t="str">
        <f>_xlfn.XLOOKUP(Table26[[#This Row],[customerSKU]],customerSKU!G:G,customerSKU!K:K,"NA",0,1)</f>
        <v>NA</v>
      </c>
      <c r="AI1714" s="43" t="str">
        <f>_xlfn.XLOOKUP(Table26[[#This Row],[customerSKU]],customerSKU!G:G,customerSKU!O:O,"not found",0,1)</f>
        <v>not found</v>
      </c>
      <c r="AJ1714" s="22" t="e">
        <f>Table26[[#This Row],[unitprice]]*Table26[[#This Row],[quantity_unit]]</f>
        <v>#VALUE!</v>
      </c>
      <c r="AK1714" s="227" t="e" cm="1">
        <f t="array" ref="AK17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5" spans="1:37" ht="24.6" customHeight="1">
      <c r="A1715" s="42">
        <v>547</v>
      </c>
      <c r="B1715" s="42" t="s">
        <v>3357</v>
      </c>
      <c r="C1715" s="53" t="s">
        <v>3488</v>
      </c>
      <c r="E1715" s="20"/>
      <c r="F17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5" s="93"/>
      <c r="I1715" s="203">
        <v>45803</v>
      </c>
      <c r="J1715" s="90" t="str">
        <f>IF(Table26[[#This Row],[customerSKU]]="","",_xlfn.XLOOKUP(Table26[[#This Row],[customerSKU]],customerSKU!G:G,customerSKU!A:A,"",0,1))</f>
        <v/>
      </c>
      <c r="K1715" s="232">
        <v>45803</v>
      </c>
      <c r="L1715" s="49" t="str">
        <f>IF(Table26[[#This Row],[customerSKU]]="","",_xlfn.XLOOKUP(Table26[[#This Row],[customerSKU]],customerSKU!G:G,customerSKU!B:B,"",0,1))</f>
        <v/>
      </c>
      <c r="M1715" s="22"/>
      <c r="N1715" s="15" t="str">
        <f>Table26[[#This Row],[po_number]]&amp;"-"&amp;Table26[[#This Row],[po_line]]</f>
        <v>-1</v>
      </c>
      <c r="O1715" s="15">
        <v>1</v>
      </c>
      <c r="P1715" s="50"/>
      <c r="Q1715" s="22" t="s">
        <v>3615</v>
      </c>
      <c r="R1715" s="22" t="s">
        <v>532</v>
      </c>
      <c r="S1715" s="90" t="str">
        <f>IF(Table26[[#This Row],[customerSKU]]="","",_xlfn.XLOOKUP(Table26[[#This Row],[customerSKU]],customerSKU!G:G,customerSKU!N:N,"NOT FOUND",0,1))</f>
        <v>NOT FOUND</v>
      </c>
      <c r="T1715" s="20">
        <v>45744</v>
      </c>
      <c r="U1715" s="94">
        <v>480</v>
      </c>
      <c r="V1715" s="22" t="str">
        <f>IF(ISBLANK(Table26[[#This Row],[customerSKU]]),"",_xlfn.XLOOKUP(Table26[[#This Row],[customerSKU]],Table27[customer_SKU],Table27[case_size],"",0,1))</f>
        <v/>
      </c>
      <c r="W1715" s="117" t="str">
        <f t="shared" si="69"/>
        <v/>
      </c>
      <c r="X1715" s="22" t="str">
        <f t="shared" si="70"/>
        <v/>
      </c>
      <c r="Y1715" s="25" t="str">
        <f>IF(Table26[[#This Row],[customerSKU]]="","",_xlfn.XLOOKUP(Table26[[#This Row],[customerSKU]],Table27[customer_SKU],Table27[product_GTIN],"",0,1))</f>
        <v/>
      </c>
      <c r="Z1715" s="25" t="s">
        <v>3459</v>
      </c>
      <c r="AA1715" s="18" t="str" cm="1">
        <f t="array" ref="AA1715">IF(P1715="", "", _xlfn.XLOOKUP(P1715,#REF!,#REF!,NA,0,-1))</f>
        <v/>
      </c>
      <c r="AB1715" s="22"/>
      <c r="AC1715" s="55" t="str">
        <f>IF(Table26[[#This Row],[customerSKU]]="","",_xlfn.XLOOKUP(Table26[[#This Row],[customerSKU]],customerSKU!G:G,customerSKU!C:C,"",0,1))</f>
        <v/>
      </c>
      <c r="AD1715" s="55" t="str">
        <f>IF($AC1715="","",_xlfn.XLOOKUP($AC1715,'Client Info'!$C$2:$C$2497,'Client Info'!$D$2:$D$2497,"",0,1))</f>
        <v/>
      </c>
      <c r="AE1715" s="55" t="str">
        <f>IF($AC1715="","",_xlfn.XLOOKUP($AC1715,'Client Info'!$C$2:$C$2677,'Client Info'!$E$2:$E$2677,"",))</f>
        <v/>
      </c>
      <c r="AF1715" s="55" t="str">
        <f>IF($AC1715="","",_xlfn.XLOOKUP($AC1715,'Client Info'!$C$2:$C$2677,'Client Info'!$F$2:$F$2677,"",0,1))</f>
        <v/>
      </c>
      <c r="AG1715" s="55" t="str">
        <f>IF(ISBLANK(Table26[[#This Row],[customerSKU]]),"",_xlfn.XLOOKUP(Table26[[#This Row],[customerSKU]],Table27[customer_SKU],Table27[billto],"",0,1))</f>
        <v/>
      </c>
      <c r="AH1715" s="26" t="str">
        <f>_xlfn.XLOOKUP(Table26[[#This Row],[customerSKU]],customerSKU!G:G,customerSKU!K:K,"NA",0,1)</f>
        <v>NA</v>
      </c>
      <c r="AI1715" s="43" t="str">
        <f>_xlfn.XLOOKUP(Table26[[#This Row],[customerSKU]],customerSKU!G:G,customerSKU!O:O,"not found",0,1)</f>
        <v>not found</v>
      </c>
      <c r="AJ1715" s="22" t="e">
        <f>Table26[[#This Row],[unitprice]]*Table26[[#This Row],[quantity_unit]]</f>
        <v>#VALUE!</v>
      </c>
      <c r="AK1715" s="227" t="e" cm="1">
        <f t="array" ref="AK17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6" spans="1:37" ht="24.6" customHeight="1">
      <c r="A1716" s="42">
        <v>523</v>
      </c>
      <c r="B1716" s="42" t="s">
        <v>3357</v>
      </c>
      <c r="C1716" s="53" t="s">
        <v>3427</v>
      </c>
      <c r="E1716" s="20"/>
      <c r="F17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6" s="93"/>
      <c r="I1716" s="203">
        <v>45803</v>
      </c>
      <c r="J1716" s="90" t="str">
        <f>IF(Table26[[#This Row],[customerSKU]]="","",_xlfn.XLOOKUP(Table26[[#This Row],[customerSKU]],customerSKU!G:G,customerSKU!A:A,"",0,1))</f>
        <v/>
      </c>
      <c r="K1716" s="232">
        <v>45804</v>
      </c>
      <c r="L1716" s="49" t="str">
        <f>IF(Table26[[#This Row],[customerSKU]]="","",_xlfn.XLOOKUP(Table26[[#This Row],[customerSKU]],customerSKU!G:G,customerSKU!B:B,"",0,1))</f>
        <v/>
      </c>
      <c r="M1716" s="22"/>
      <c r="N1716" s="15" t="str">
        <f>Table26[[#This Row],[po_number]]&amp;"-"&amp;Table26[[#This Row],[po_line]]</f>
        <v>-1</v>
      </c>
      <c r="O1716" s="15">
        <v>1</v>
      </c>
      <c r="P1716" s="50"/>
      <c r="Q1716" s="22" t="s">
        <v>3616</v>
      </c>
      <c r="R1716" s="22" t="s">
        <v>532</v>
      </c>
      <c r="S1716" s="90" t="str">
        <f>IF(Table26[[#This Row],[customerSKU]]="","",_xlfn.XLOOKUP(Table26[[#This Row],[customerSKU]],customerSKU!G:G,customerSKU!N:N,"NOT FOUND",0,1))</f>
        <v>NOT FOUND</v>
      </c>
      <c r="T1716" s="20">
        <v>45799</v>
      </c>
      <c r="U1716" s="94">
        <f>210*12</f>
        <v>2520</v>
      </c>
      <c r="V1716" s="22" t="str">
        <f>IF(ISBLANK(Table26[[#This Row],[customerSKU]]),"",_xlfn.XLOOKUP(Table26[[#This Row],[customerSKU]],Table27[customer_SKU],Table27[case_size],"",0,1))</f>
        <v/>
      </c>
      <c r="W1716" s="117" t="str">
        <f t="shared" si="69"/>
        <v/>
      </c>
      <c r="X1716" s="22" t="str">
        <f t="shared" si="70"/>
        <v/>
      </c>
      <c r="Y1716" s="25" t="str">
        <f>IF(Table26[[#This Row],[customerSKU]]="","",_xlfn.XLOOKUP(Table26[[#This Row],[customerSKU]],Table27[customer_SKU],Table27[product_GTIN],"",0,1))</f>
        <v/>
      </c>
      <c r="Z1716" s="25" t="s">
        <v>3617</v>
      </c>
      <c r="AA1716" s="18" t="str" cm="1">
        <f t="array" ref="AA1716">IF(P1716="", "", _xlfn.XLOOKUP(P1716,#REF!,#REF!,NA,0,-1))</f>
        <v/>
      </c>
      <c r="AB1716" s="22"/>
      <c r="AC1716" s="55" t="str">
        <f>IF(Table26[[#This Row],[customerSKU]]="","",_xlfn.XLOOKUP(Table26[[#This Row],[customerSKU]],customerSKU!G:G,customerSKU!C:C,"",0,1))</f>
        <v/>
      </c>
      <c r="AD1716" s="55" t="str">
        <f>IF($AC1716="","",_xlfn.XLOOKUP($AC1716,'Client Info'!$C$2:$C$2497,'Client Info'!$D$2:$D$2497,"",0,1))</f>
        <v/>
      </c>
      <c r="AE1716" s="55" t="str">
        <f>IF($AC1716="","",_xlfn.XLOOKUP($AC1716,'Client Info'!$C$2:$C$2677,'Client Info'!$E$2:$E$2677,"",))</f>
        <v/>
      </c>
      <c r="AF1716" s="55" t="str">
        <f>IF($AC1716="","",_xlfn.XLOOKUP($AC1716,'Client Info'!$C$2:$C$2677,'Client Info'!$F$2:$F$2677,"",0,1))</f>
        <v/>
      </c>
      <c r="AG1716" s="55" t="str">
        <f>IF(ISBLANK(Table26[[#This Row],[customerSKU]]),"",_xlfn.XLOOKUP(Table26[[#This Row],[customerSKU]],Table27[customer_SKU],Table27[billto],"",0,1))</f>
        <v/>
      </c>
      <c r="AH1716" s="26" t="str">
        <f>_xlfn.XLOOKUP(Table26[[#This Row],[customerSKU]],customerSKU!G:G,customerSKU!K:K,"NA",0,1)</f>
        <v>NA</v>
      </c>
      <c r="AI1716" s="43" t="str">
        <f>_xlfn.XLOOKUP(Table26[[#This Row],[customerSKU]],customerSKU!G:G,customerSKU!O:O,"not found",0,1)</f>
        <v>not found</v>
      </c>
      <c r="AJ1716" s="22" t="e">
        <f>Table26[[#This Row],[unitprice]]*Table26[[#This Row],[quantity_unit]]</f>
        <v>#VALUE!</v>
      </c>
      <c r="AK1716" s="227" t="e" cm="1">
        <f t="array" ref="AK17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7" spans="1:37" ht="24.6" customHeight="1">
      <c r="A1717" s="42">
        <v>524</v>
      </c>
      <c r="B1717" s="42" t="s">
        <v>3357</v>
      </c>
      <c r="C1717" s="53" t="s">
        <v>3427</v>
      </c>
      <c r="E1717" s="20"/>
      <c r="F17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7" s="93"/>
      <c r="I1717" s="203">
        <v>45803</v>
      </c>
      <c r="J1717" s="90" t="str">
        <f>IF(Table26[[#This Row],[customerSKU]]="","",_xlfn.XLOOKUP(Table26[[#This Row],[customerSKU]],customerSKU!G:G,customerSKU!A:A,"",0,1))</f>
        <v/>
      </c>
      <c r="K1717" s="232">
        <v>45804</v>
      </c>
      <c r="L1717" s="49" t="str">
        <f>IF(Table26[[#This Row],[customerSKU]]="","",_xlfn.XLOOKUP(Table26[[#This Row],[customerSKU]],customerSKU!G:G,customerSKU!B:B,"",0,1))</f>
        <v/>
      </c>
      <c r="M1717" s="22"/>
      <c r="N1717" s="15" t="str">
        <f>Table26[[#This Row],[po_number]]&amp;"-"&amp;Table26[[#This Row],[po_line]]</f>
        <v>-1</v>
      </c>
      <c r="O1717" s="15">
        <v>1</v>
      </c>
      <c r="P1717" s="50"/>
      <c r="Q1717" s="22" t="s">
        <v>1575</v>
      </c>
      <c r="R1717" s="22" t="s">
        <v>532</v>
      </c>
      <c r="S1717" s="90" t="str">
        <f>IF(Table26[[#This Row],[customerSKU]]="","",_xlfn.XLOOKUP(Table26[[#This Row],[customerSKU]],customerSKU!G:G,customerSKU!N:N,"NOT FOUND",0,1))</f>
        <v>NOT FOUND</v>
      </c>
      <c r="T1717" s="20">
        <v>45728</v>
      </c>
      <c r="U1717" s="94">
        <v>24</v>
      </c>
      <c r="V1717" s="22" t="str">
        <f>IF(ISBLANK(Table26[[#This Row],[customerSKU]]),"",_xlfn.XLOOKUP(Table26[[#This Row],[customerSKU]],Table27[customer_SKU],Table27[case_size],"",0,1))</f>
        <v/>
      </c>
      <c r="W1717" s="117" t="str">
        <f t="shared" si="69"/>
        <v/>
      </c>
      <c r="X1717" s="22" t="str">
        <f t="shared" si="70"/>
        <v/>
      </c>
      <c r="Y1717" s="25" t="str">
        <f>IF(Table26[[#This Row],[customerSKU]]="","",_xlfn.XLOOKUP(Table26[[#This Row],[customerSKU]],Table27[customer_SKU],Table27[product_GTIN],"",0,1))</f>
        <v/>
      </c>
      <c r="Z1717" s="25" t="s">
        <v>3609</v>
      </c>
      <c r="AA1717" s="18" t="str" cm="1">
        <f t="array" ref="AA1717">IF(P1717="", "", _xlfn.XLOOKUP(P1717,#REF!,#REF!,NA,0,-1))</f>
        <v/>
      </c>
      <c r="AB1717" s="22"/>
      <c r="AC1717" s="55" t="s">
        <v>3604</v>
      </c>
      <c r="AD1717" s="55" t="str">
        <f>IF($AC1717="","",_xlfn.XLOOKUP($AC1717,'Client Info'!$C$2:$C$2497,'Client Info'!$D$2:$D$2497,"",0,1))</f>
        <v/>
      </c>
      <c r="AE1717" s="55" t="str">
        <f>IF($AC1717="","",_xlfn.XLOOKUP($AC1717,'Client Info'!$C$2:$C$2677,'Client Info'!$E$2:$E$2677,"",))</f>
        <v/>
      </c>
      <c r="AF1717" s="55" t="str">
        <f>IF($AC1717="","",_xlfn.XLOOKUP($AC1717,'Client Info'!$C$2:$C$2677,'Client Info'!$F$2:$F$2677,"",0,1))</f>
        <v/>
      </c>
      <c r="AG1717" s="55" t="s">
        <v>3604</v>
      </c>
      <c r="AH1717" s="26" t="str">
        <f>_xlfn.XLOOKUP(Table26[[#This Row],[customerSKU]],customerSKU!G:G,customerSKU!K:K,"NA",0,1)</f>
        <v>NA</v>
      </c>
      <c r="AI1717" s="43" t="str">
        <f>_xlfn.XLOOKUP(Table26[[#This Row],[customerSKU]],customerSKU!G:G,customerSKU!O:O,"not found",0,1)</f>
        <v>not found</v>
      </c>
      <c r="AJ1717" s="22" t="e">
        <f>Table26[[#This Row],[unitprice]]*Table26[[#This Row],[quantity_unit]]</f>
        <v>#VALUE!</v>
      </c>
      <c r="AK1717" s="227" t="e" cm="1">
        <f t="array" ref="AK17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8" spans="1:37" ht="24.6" customHeight="1">
      <c r="A1718" s="42">
        <v>525</v>
      </c>
      <c r="B1718" s="42" t="s">
        <v>3357</v>
      </c>
      <c r="C1718" s="53" t="s">
        <v>3427</v>
      </c>
      <c r="E1718" s="20"/>
      <c r="F17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8" s="93"/>
      <c r="I1718" s="203">
        <v>45803</v>
      </c>
      <c r="J1718" s="90" t="str">
        <f>IF(Table26[[#This Row],[customerSKU]]="","",_xlfn.XLOOKUP(Table26[[#This Row],[customerSKU]],customerSKU!G:G,customerSKU!A:A,"",0,1))</f>
        <v/>
      </c>
      <c r="K1718" s="232">
        <v>45804</v>
      </c>
      <c r="L1718" s="49" t="str">
        <f>IF(Table26[[#This Row],[customerSKU]]="","",_xlfn.XLOOKUP(Table26[[#This Row],[customerSKU]],customerSKU!G:G,customerSKU!B:B,"",0,1))</f>
        <v/>
      </c>
      <c r="M1718" s="22"/>
      <c r="N1718" s="15" t="str">
        <f>Table26[[#This Row],[po_number]]&amp;"-"&amp;Table26[[#This Row],[po_line]]</f>
        <v>-2</v>
      </c>
      <c r="O1718" s="15">
        <v>2</v>
      </c>
      <c r="P1718" s="50"/>
      <c r="Q1718" s="22" t="s">
        <v>591</v>
      </c>
      <c r="R1718" s="22" t="s">
        <v>532</v>
      </c>
      <c r="S1718" s="90" t="str">
        <f>IF(Table26[[#This Row],[customerSKU]]="","",_xlfn.XLOOKUP(Table26[[#This Row],[customerSKU]],customerSKU!G:G,customerSKU!N:N,"NOT FOUND",0,1))</f>
        <v>NOT FOUND</v>
      </c>
      <c r="T1718" s="20">
        <v>45783</v>
      </c>
      <c r="U1718" s="94">
        <v>21</v>
      </c>
      <c r="V1718" s="22" t="str">
        <f>IF(ISBLANK(Table26[[#This Row],[customerSKU]]),"",_xlfn.XLOOKUP(Table26[[#This Row],[customerSKU]],Table27[customer_SKU],Table27[case_size],"",0,1))</f>
        <v/>
      </c>
      <c r="W1718" s="117" t="str">
        <f t="shared" si="69"/>
        <v/>
      </c>
      <c r="X1718" s="22" t="str">
        <f t="shared" si="70"/>
        <v/>
      </c>
      <c r="Y1718" s="25" t="str">
        <f>IF(Table26[[#This Row],[customerSKU]]="","",_xlfn.XLOOKUP(Table26[[#This Row],[customerSKU]],Table27[customer_SKU],Table27[product_GTIN],"",0,1))</f>
        <v/>
      </c>
      <c r="Z1718" s="25" t="s">
        <v>3525</v>
      </c>
      <c r="AA1718" s="18" t="str" cm="1">
        <f t="array" ref="AA1718">IF(P1718="", "", _xlfn.XLOOKUP(P1718,#REF!,#REF!,NA,0,-1))</f>
        <v/>
      </c>
      <c r="AB1718" s="22"/>
      <c r="AC1718" s="55" t="s">
        <v>3604</v>
      </c>
      <c r="AD1718" s="55" t="str">
        <f>IF($AC1718="","",_xlfn.XLOOKUP($AC1718,'Client Info'!$C$2:$C$2497,'Client Info'!$D$2:$D$2497,"",0,1))</f>
        <v/>
      </c>
      <c r="AE1718" s="55" t="str">
        <f>IF($AC1718="","",_xlfn.XLOOKUP($AC1718,'Client Info'!$C$2:$C$2677,'Client Info'!$E$2:$E$2677,"",))</f>
        <v/>
      </c>
      <c r="AF1718" s="55" t="str">
        <f>IF($AC1718="","",_xlfn.XLOOKUP($AC1718,'Client Info'!$C$2:$C$2677,'Client Info'!$F$2:$F$2677,"",0,1))</f>
        <v/>
      </c>
      <c r="AG1718" s="55" t="s">
        <v>3604</v>
      </c>
      <c r="AH1718" s="26" t="str">
        <f>_xlfn.XLOOKUP(Table26[[#This Row],[customerSKU]],customerSKU!G:G,customerSKU!K:K,"NA",0,1)</f>
        <v>NA</v>
      </c>
      <c r="AI1718" s="43" t="str">
        <f>_xlfn.XLOOKUP(Table26[[#This Row],[customerSKU]],customerSKU!G:G,customerSKU!O:O,"not found",0,1)</f>
        <v>not found</v>
      </c>
      <c r="AJ1718" s="22" t="e">
        <f>Table26[[#This Row],[unitprice]]*Table26[[#This Row],[quantity_unit]]</f>
        <v>#VALUE!</v>
      </c>
      <c r="AK1718" s="227" t="e" cm="1">
        <f t="array" ref="AK17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19" spans="1:37" ht="24.6" customHeight="1">
      <c r="A1719" s="42">
        <v>526</v>
      </c>
      <c r="B1719" s="42" t="s">
        <v>3357</v>
      </c>
      <c r="C1719" s="53" t="s">
        <v>3427</v>
      </c>
      <c r="E1719" s="20"/>
      <c r="F17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19" s="93"/>
      <c r="I1719" s="203">
        <v>45803</v>
      </c>
      <c r="J1719" s="90" t="str">
        <f>IF(Table26[[#This Row],[customerSKU]]="","",_xlfn.XLOOKUP(Table26[[#This Row],[customerSKU]],customerSKU!G:G,customerSKU!A:A,"",0,1))</f>
        <v/>
      </c>
      <c r="K1719" s="232">
        <v>45804</v>
      </c>
      <c r="L1719" s="49" t="str">
        <f>IF(Table26[[#This Row],[customerSKU]]="","",_xlfn.XLOOKUP(Table26[[#This Row],[customerSKU]],customerSKU!G:G,customerSKU!B:B,"",0,1))</f>
        <v/>
      </c>
      <c r="M1719" s="22"/>
      <c r="N1719" s="15" t="str">
        <f>Table26[[#This Row],[po_number]]&amp;"-"&amp;Table26[[#This Row],[po_line]]</f>
        <v>-3</v>
      </c>
      <c r="O1719" s="15">
        <v>3</v>
      </c>
      <c r="P1719" s="50"/>
      <c r="Q1719" s="22" t="s">
        <v>591</v>
      </c>
      <c r="R1719" s="22" t="s">
        <v>532</v>
      </c>
      <c r="S1719" s="90" t="str">
        <f>IF(Table26[[#This Row],[customerSKU]]="","",_xlfn.XLOOKUP(Table26[[#This Row],[customerSKU]],customerSKU!G:G,customerSKU!N:N,"NOT FOUND",0,1))</f>
        <v>NOT FOUND</v>
      </c>
      <c r="T1719" s="20">
        <v>45772</v>
      </c>
      <c r="U1719" s="94">
        <v>3</v>
      </c>
      <c r="V1719" s="22" t="str">
        <f>IF(ISBLANK(Table26[[#This Row],[customerSKU]]),"",_xlfn.XLOOKUP(Table26[[#This Row],[customerSKU]],Table27[customer_SKU],Table27[case_size],"",0,1))</f>
        <v/>
      </c>
      <c r="W1719" s="117" t="str">
        <f t="shared" si="69"/>
        <v/>
      </c>
      <c r="X1719" s="22" t="str">
        <f t="shared" si="70"/>
        <v/>
      </c>
      <c r="Y1719" s="25" t="str">
        <f>IF(Table26[[#This Row],[customerSKU]]="","",_xlfn.XLOOKUP(Table26[[#This Row],[customerSKU]],Table27[customer_SKU],Table27[product_GTIN],"",0,1))</f>
        <v/>
      </c>
      <c r="Z1719" s="25" t="s">
        <v>3525</v>
      </c>
      <c r="AA1719" s="18" t="str" cm="1">
        <f t="array" ref="AA1719">IF(P1719="", "", _xlfn.XLOOKUP(P1719,#REF!,#REF!,NA,0,-1))</f>
        <v/>
      </c>
      <c r="AB1719" s="22"/>
      <c r="AC1719" s="55" t="s">
        <v>3604</v>
      </c>
      <c r="AD1719" s="55" t="str">
        <f>IF($AC1719="","",_xlfn.XLOOKUP($AC1719,'Client Info'!$C$2:$C$2497,'Client Info'!$D$2:$D$2497,"",0,1))</f>
        <v/>
      </c>
      <c r="AE1719" s="55" t="str">
        <f>IF($AC1719="","",_xlfn.XLOOKUP($AC1719,'Client Info'!$C$2:$C$2677,'Client Info'!$E$2:$E$2677,"",))</f>
        <v/>
      </c>
      <c r="AF1719" s="55" t="str">
        <f>IF($AC1719="","",_xlfn.XLOOKUP($AC1719,'Client Info'!$C$2:$C$2677,'Client Info'!$F$2:$F$2677,"",0,1))</f>
        <v/>
      </c>
      <c r="AG1719" s="55" t="s">
        <v>3604</v>
      </c>
      <c r="AH1719" s="26" t="str">
        <f>_xlfn.XLOOKUP(Table26[[#This Row],[customerSKU]],customerSKU!G:G,customerSKU!K:K,"NA",0,1)</f>
        <v>NA</v>
      </c>
      <c r="AI1719" s="43" t="str">
        <f>_xlfn.XLOOKUP(Table26[[#This Row],[customerSKU]],customerSKU!G:G,customerSKU!O:O,"not found",0,1)</f>
        <v>not found</v>
      </c>
      <c r="AJ1719" s="22" t="e">
        <f>Table26[[#This Row],[unitprice]]*Table26[[#This Row],[quantity_unit]]</f>
        <v>#VALUE!</v>
      </c>
      <c r="AK1719" s="227" t="e" cm="1">
        <f t="array" ref="AK17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0" spans="1:37" ht="24.6" customHeight="1">
      <c r="A1720" s="42">
        <v>527</v>
      </c>
      <c r="B1720" s="42" t="s">
        <v>3357</v>
      </c>
      <c r="C1720" s="53" t="s">
        <v>3427</v>
      </c>
      <c r="E1720" s="20"/>
      <c r="F17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0" s="93"/>
      <c r="I1720" s="203">
        <v>45803</v>
      </c>
      <c r="J1720" s="90" t="str">
        <f>IF(Table26[[#This Row],[customerSKU]]="","",_xlfn.XLOOKUP(Table26[[#This Row],[customerSKU]],customerSKU!G:G,customerSKU!A:A,"",0,1))</f>
        <v/>
      </c>
      <c r="K1720" s="232">
        <v>45804</v>
      </c>
      <c r="L1720" s="49" t="str">
        <f>IF(Table26[[#This Row],[customerSKU]]="","",_xlfn.XLOOKUP(Table26[[#This Row],[customerSKU]],customerSKU!G:G,customerSKU!B:B,"",0,1))</f>
        <v/>
      </c>
      <c r="M1720" s="22"/>
      <c r="N1720" s="15" t="str">
        <f>Table26[[#This Row],[po_number]]&amp;"-"&amp;Table26[[#This Row],[po_line]]</f>
        <v>-4</v>
      </c>
      <c r="O1720" s="15">
        <v>4</v>
      </c>
      <c r="P1720" s="50"/>
      <c r="Q1720" s="22" t="s">
        <v>1862</v>
      </c>
      <c r="R1720" s="22" t="s">
        <v>532</v>
      </c>
      <c r="S1720" s="90" t="str">
        <f>IF(Table26[[#This Row],[customerSKU]]="","",_xlfn.XLOOKUP(Table26[[#This Row],[customerSKU]],customerSKU!G:G,customerSKU!N:N,"NOT FOUND",0,1))</f>
        <v>NOT FOUND</v>
      </c>
      <c r="T1720" s="20">
        <v>45594</v>
      </c>
      <c r="U1720" s="94">
        <v>12</v>
      </c>
      <c r="V1720" s="22" t="str">
        <f>IF(ISBLANK(Table26[[#This Row],[customerSKU]]),"",_xlfn.XLOOKUP(Table26[[#This Row],[customerSKU]],Table27[customer_SKU],Table27[case_size],"",0,1))</f>
        <v/>
      </c>
      <c r="W1720" s="117" t="str">
        <f t="shared" si="69"/>
        <v/>
      </c>
      <c r="X1720" s="22" t="str">
        <f t="shared" si="70"/>
        <v/>
      </c>
      <c r="Y1720" s="25" t="str">
        <f>IF(Table26[[#This Row],[customerSKU]]="","",_xlfn.XLOOKUP(Table26[[#This Row],[customerSKU]],Table27[customer_SKU],Table27[product_GTIN],"",0,1))</f>
        <v/>
      </c>
      <c r="Z1720" s="25" t="s">
        <v>3526</v>
      </c>
      <c r="AA1720" s="18" t="str" cm="1">
        <f t="array" ref="AA1720">IF(P1720="", "", _xlfn.XLOOKUP(P1720,#REF!,#REF!,NA,0,-1))</f>
        <v/>
      </c>
      <c r="AB1720" s="22" t="s">
        <v>532</v>
      </c>
      <c r="AC1720" s="55" t="s">
        <v>3604</v>
      </c>
      <c r="AD1720" s="55" t="str">
        <f>IF($AC1720="","",_xlfn.XLOOKUP($AC1720,'Client Info'!$C$2:$C$2497,'Client Info'!$D$2:$D$2497,"",0,1))</f>
        <v/>
      </c>
      <c r="AE1720" s="55" t="str">
        <f>IF($AC1720="","",_xlfn.XLOOKUP($AC1720,'Client Info'!$C$2:$C$2677,'Client Info'!$E$2:$E$2677,"",))</f>
        <v/>
      </c>
      <c r="AF1720" s="55" t="str">
        <f>IF($AC1720="","",_xlfn.XLOOKUP($AC1720,'Client Info'!$C$2:$C$2677,'Client Info'!$F$2:$F$2677,"",0,1))</f>
        <v/>
      </c>
      <c r="AG1720" s="55" t="s">
        <v>3604</v>
      </c>
      <c r="AH1720" s="26" t="str">
        <f>_xlfn.XLOOKUP(Table26[[#This Row],[customerSKU]],customerSKU!G:G,customerSKU!K:K,"NA",0,1)</f>
        <v>NA</v>
      </c>
      <c r="AI1720" s="43" t="str">
        <f>_xlfn.XLOOKUP(Table26[[#This Row],[customerSKU]],customerSKU!G:G,customerSKU!O:O,"not found",0,1)</f>
        <v>not found</v>
      </c>
      <c r="AJ1720" s="22" t="e">
        <f>Table26[[#This Row],[unitprice]]*Table26[[#This Row],[quantity_unit]]</f>
        <v>#VALUE!</v>
      </c>
      <c r="AK1720" s="227" t="e" cm="1">
        <f t="array" ref="AK17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1" spans="1:37" ht="24.6" customHeight="1">
      <c r="A1721" s="42">
        <v>528</v>
      </c>
      <c r="B1721" s="42" t="s">
        <v>3357</v>
      </c>
      <c r="C1721" s="53" t="s">
        <v>3488</v>
      </c>
      <c r="E1721" s="20"/>
      <c r="F17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1" s="93"/>
      <c r="I1721" s="203">
        <v>45803</v>
      </c>
      <c r="J1721" s="90" t="str">
        <f>IF(Table26[[#This Row],[customerSKU]]="","",_xlfn.XLOOKUP(Table26[[#This Row],[customerSKU]],customerSKU!G:G,customerSKU!A:A,"",0,1))</f>
        <v/>
      </c>
      <c r="K1721" s="232">
        <v>45804</v>
      </c>
      <c r="L1721" s="49" t="str">
        <f>IF(Table26[[#This Row],[customerSKU]]="","",_xlfn.XLOOKUP(Table26[[#This Row],[customerSKU]],customerSKU!G:G,customerSKU!B:B,"",0,1))</f>
        <v/>
      </c>
      <c r="M1721" s="22"/>
      <c r="N1721" s="15" t="str">
        <f>Table26[[#This Row],[po_number]]&amp;"-"&amp;Table26[[#This Row],[po_line]]</f>
        <v>-1</v>
      </c>
      <c r="O1721" s="15">
        <v>1</v>
      </c>
      <c r="P1721" s="50"/>
      <c r="Q1721" s="22" t="s">
        <v>1862</v>
      </c>
      <c r="R1721" s="22" t="s">
        <v>532</v>
      </c>
      <c r="S1721" s="90" t="str">
        <f>IF(Table26[[#This Row],[customerSKU]]="","",_xlfn.XLOOKUP(Table26[[#This Row],[customerSKU]],customerSKU!G:G,customerSKU!N:N,"NOT FOUND",0,1))</f>
        <v>NOT FOUND</v>
      </c>
      <c r="T1721" s="20">
        <v>45594</v>
      </c>
      <c r="U1721" s="94">
        <v>12</v>
      </c>
      <c r="V1721" s="22" t="str">
        <f>IF(ISBLANK(Table26[[#This Row],[customerSKU]]),"",_xlfn.XLOOKUP(Table26[[#This Row],[customerSKU]],Table27[customer_SKU],Table27[case_size],"",0,1))</f>
        <v/>
      </c>
      <c r="W1721" s="117" t="str">
        <f t="shared" si="69"/>
        <v/>
      </c>
      <c r="X1721" s="22" t="str">
        <f t="shared" si="70"/>
        <v/>
      </c>
      <c r="Y1721" s="25" t="str">
        <f>IF(Table26[[#This Row],[customerSKU]]="","",_xlfn.XLOOKUP(Table26[[#This Row],[customerSKU]],Table27[customer_SKU],Table27[product_GTIN],"",0,1))</f>
        <v/>
      </c>
      <c r="Z1721" s="25" t="s">
        <v>3624</v>
      </c>
      <c r="AA1721" s="18" t="str" cm="1">
        <f t="array" ref="AA1721">IF(P1721="", "", _xlfn.XLOOKUP(P1721,#REF!,#REF!,NA,0,-1))</f>
        <v/>
      </c>
      <c r="AB1721" s="22" t="s">
        <v>532</v>
      </c>
      <c r="AC1721" s="55" t="s">
        <v>182</v>
      </c>
      <c r="AD1721" s="55" t="str">
        <f>IF($AC1721="","",_xlfn.XLOOKUP($AC1721,'Client Info'!$C$2:$C$2497,'Client Info'!$D$2:$D$2497,"",0,1))</f>
        <v/>
      </c>
      <c r="AE1721" s="55" t="str">
        <f>IF($AC1721="","",_xlfn.XLOOKUP($AC1721,'Client Info'!$C$2:$C$2677,'Client Info'!$E$2:$E$2677,"",))</f>
        <v/>
      </c>
      <c r="AF1721" s="55" t="str">
        <f>IF($AC1721="","",_xlfn.XLOOKUP($AC1721,'Client Info'!$C$2:$C$2677,'Client Info'!$F$2:$F$2677,"",0,1))</f>
        <v/>
      </c>
      <c r="AG1721" s="55" t="str">
        <f>IF(ISBLANK(Table26[[#This Row],[customerSKU]]),"",_xlfn.XLOOKUP(Table26[[#This Row],[customerSKU]],Table27[customer_SKU],Table27[billto],"",0,1))</f>
        <v/>
      </c>
      <c r="AH1721" s="26" t="str">
        <f>_xlfn.XLOOKUP(Table26[[#This Row],[customerSKU]],customerSKU!G:G,customerSKU!K:K,"NA",0,1)</f>
        <v>NA</v>
      </c>
      <c r="AI1721" s="43" t="str">
        <f>_xlfn.XLOOKUP(Table26[[#This Row],[customerSKU]],customerSKU!G:G,customerSKU!O:O,"not found",0,1)</f>
        <v>not found</v>
      </c>
      <c r="AJ1721" s="22" t="e">
        <f>Table26[[#This Row],[unitprice]]*Table26[[#This Row],[quantity_unit]]</f>
        <v>#VALUE!</v>
      </c>
      <c r="AK1721" s="227" t="e" cm="1">
        <f t="array" ref="AK17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2" spans="1:37" ht="24.6" customHeight="1">
      <c r="A1722" s="42">
        <v>529</v>
      </c>
      <c r="B1722" s="42" t="s">
        <v>3357</v>
      </c>
      <c r="C1722" s="53" t="s">
        <v>3360</v>
      </c>
      <c r="E1722" s="20"/>
      <c r="F17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2" s="93"/>
      <c r="I1722" s="203">
        <v>45803</v>
      </c>
      <c r="J1722" s="90" t="str">
        <f>IF(Table26[[#This Row],[customerSKU]]="","",_xlfn.XLOOKUP(Table26[[#This Row],[customerSKU]],customerSKU!G:G,customerSKU!A:A,"",0,1))</f>
        <v/>
      </c>
      <c r="K1722" s="232">
        <v>45804</v>
      </c>
      <c r="L1722" s="49" t="str">
        <f>IF(Table26[[#This Row],[customerSKU]]="","",_xlfn.XLOOKUP(Table26[[#This Row],[customerSKU]],customerSKU!G:G,customerSKU!B:B,"",0,1))</f>
        <v/>
      </c>
      <c r="M1722" s="22"/>
      <c r="N1722" s="15" t="str">
        <f>Table26[[#This Row],[po_number]]&amp;"-"&amp;Table26[[#This Row],[po_line]]</f>
        <v>-1</v>
      </c>
      <c r="O1722" s="15">
        <v>1</v>
      </c>
      <c r="P1722" s="50"/>
      <c r="S1722" s="90" t="str">
        <f>IF(Table26[[#This Row],[customerSKU]]="","",_xlfn.XLOOKUP(Table26[[#This Row],[customerSKU]],customerSKU!G:G,customerSKU!N:N,"NOT FOUND",0,1))</f>
        <v>NOT FOUND</v>
      </c>
      <c r="T1722" s="20"/>
      <c r="U1722" s="94">
        <v>12</v>
      </c>
      <c r="V1722" s="22" t="str">
        <f>IF(ISBLANK(Table26[[#This Row],[customerSKU]]),"",_xlfn.XLOOKUP(Table26[[#This Row],[customerSKU]],Table27[customer_SKU],Table27[case_size],"",0,1))</f>
        <v/>
      </c>
      <c r="W1722" s="117" t="str">
        <f t="shared" si="69"/>
        <v/>
      </c>
      <c r="X1722" s="22" t="str">
        <f t="shared" si="70"/>
        <v/>
      </c>
      <c r="Y1722" s="25" t="str">
        <f>IF(Table26[[#This Row],[customerSKU]]="","",_xlfn.XLOOKUP(Table26[[#This Row],[customerSKU]],Table27[customer_SKU],Table27[product_GTIN],"",0,1))</f>
        <v/>
      </c>
      <c r="Z1722" s="25" t="s">
        <v>3625</v>
      </c>
      <c r="AA1722" s="18" t="str" cm="1">
        <f t="array" ref="AA1722">IF(P1722="", "", _xlfn.XLOOKUP(P1722,#REF!,#REF!,NA,0,-1))</f>
        <v/>
      </c>
      <c r="AB1722" s="22"/>
      <c r="AC1722" s="55" t="s">
        <v>182</v>
      </c>
      <c r="AD1722" s="55" t="str">
        <f>IF($AC1722="","",_xlfn.XLOOKUP($AC1722,'Client Info'!$C$2:$C$2497,'Client Info'!$D$2:$D$2497,"",0,1))</f>
        <v/>
      </c>
      <c r="AE1722" s="55" t="str">
        <f>IF($AC1722="","",_xlfn.XLOOKUP($AC1722,'Client Info'!$C$2:$C$2677,'Client Info'!$E$2:$E$2677,"",))</f>
        <v/>
      </c>
      <c r="AF1722" s="55" t="str">
        <f>IF($AC1722="","",_xlfn.XLOOKUP($AC1722,'Client Info'!$C$2:$C$2677,'Client Info'!$F$2:$F$2677,"",0,1))</f>
        <v/>
      </c>
      <c r="AG1722" s="55" t="str">
        <f>IF(ISBLANK(Table26[[#This Row],[customerSKU]]),"",_xlfn.XLOOKUP(Table26[[#This Row],[customerSKU]],Table27[customer_SKU],Table27[billto],"",0,1))</f>
        <v/>
      </c>
      <c r="AH1722" s="26" t="str">
        <f>_xlfn.XLOOKUP(Table26[[#This Row],[customerSKU]],customerSKU!G:G,customerSKU!K:K,"NA",0,1)</f>
        <v>NA</v>
      </c>
      <c r="AI1722" s="43" t="str">
        <f>_xlfn.XLOOKUP(Table26[[#This Row],[customerSKU]],customerSKU!G:G,customerSKU!O:O,"not found",0,1)</f>
        <v>not found</v>
      </c>
      <c r="AJ1722" s="22" t="e">
        <f>Table26[[#This Row],[unitprice]]*Table26[[#This Row],[quantity_unit]]</f>
        <v>#VALUE!</v>
      </c>
      <c r="AK1722" s="227" t="e" cm="1">
        <f t="array" ref="AK17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3" spans="1:37" ht="24.6" customHeight="1">
      <c r="A1723" s="42">
        <v>530</v>
      </c>
      <c r="B1723" s="42" t="s">
        <v>3357</v>
      </c>
      <c r="C1723" s="53" t="s">
        <v>3360</v>
      </c>
      <c r="E1723" s="20"/>
      <c r="F17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3" s="93"/>
      <c r="I1723" s="203">
        <v>45803</v>
      </c>
      <c r="J1723" s="90" t="str">
        <f>IF(Table26[[#This Row],[customerSKU]]="","",_xlfn.XLOOKUP(Table26[[#This Row],[customerSKU]],customerSKU!G:G,customerSKU!A:A,"",0,1))</f>
        <v/>
      </c>
      <c r="K1723" s="232">
        <v>45804</v>
      </c>
      <c r="L1723" s="49" t="str">
        <f>IF(Table26[[#This Row],[customerSKU]]="","",_xlfn.XLOOKUP(Table26[[#This Row],[customerSKU]],customerSKU!G:G,customerSKU!B:B,"",0,1))</f>
        <v/>
      </c>
      <c r="M1723" s="22"/>
      <c r="N1723" s="15" t="str">
        <f>Table26[[#This Row],[po_number]]&amp;"-"&amp;Table26[[#This Row],[po_line]]</f>
        <v>-2</v>
      </c>
      <c r="O1723" s="15">
        <v>2</v>
      </c>
      <c r="P1723" s="50"/>
      <c r="S1723" s="90" t="str">
        <f>IF(Table26[[#This Row],[customerSKU]]="","",_xlfn.XLOOKUP(Table26[[#This Row],[customerSKU]],customerSKU!G:G,customerSKU!N:N,"NOT FOUND",0,1))</f>
        <v>NOT FOUND</v>
      </c>
      <c r="T1723" s="20"/>
      <c r="U1723" s="94">
        <v>12</v>
      </c>
      <c r="V1723" s="22" t="str">
        <f>IF(ISBLANK(Table26[[#This Row],[customerSKU]]),"",_xlfn.XLOOKUP(Table26[[#This Row],[customerSKU]],Table27[customer_SKU],Table27[case_size],"",0,1))</f>
        <v/>
      </c>
      <c r="W1723" s="117" t="str">
        <f t="shared" si="69"/>
        <v/>
      </c>
      <c r="X1723" s="22" t="str">
        <f t="shared" si="70"/>
        <v/>
      </c>
      <c r="Y1723" s="25" t="str">
        <f>IF(Table26[[#This Row],[customerSKU]]="","",_xlfn.XLOOKUP(Table26[[#This Row],[customerSKU]],Table27[customer_SKU],Table27[product_GTIN],"",0,1))</f>
        <v/>
      </c>
      <c r="Z1723" s="25" t="s">
        <v>3626</v>
      </c>
      <c r="AA1723" s="18" t="str" cm="1">
        <f t="array" ref="AA1723">IF(P1723="", "", _xlfn.XLOOKUP(P1723,#REF!,#REF!,NA,0,-1))</f>
        <v/>
      </c>
      <c r="AB1723" s="22"/>
      <c r="AC1723" s="55" t="s">
        <v>182</v>
      </c>
      <c r="AD1723" s="55" t="str">
        <f>IF($AC1723="","",_xlfn.XLOOKUP($AC1723,'Client Info'!$C$2:$C$2497,'Client Info'!$D$2:$D$2497,"",0,1))</f>
        <v/>
      </c>
      <c r="AE1723" s="55" t="str">
        <f>IF($AC1723="","",_xlfn.XLOOKUP($AC1723,'Client Info'!$C$2:$C$2677,'Client Info'!$E$2:$E$2677,"",))</f>
        <v/>
      </c>
      <c r="AF1723" s="55" t="str">
        <f>IF($AC1723="","",_xlfn.XLOOKUP($AC1723,'Client Info'!$C$2:$C$2677,'Client Info'!$F$2:$F$2677,"",0,1))</f>
        <v/>
      </c>
      <c r="AG1723" s="55" t="str">
        <f>IF(ISBLANK(Table26[[#This Row],[customerSKU]]),"",_xlfn.XLOOKUP(Table26[[#This Row],[customerSKU]],Table27[customer_SKU],Table27[billto],"",0,1))</f>
        <v/>
      </c>
      <c r="AH1723" s="26" t="str">
        <f>_xlfn.XLOOKUP(Table26[[#This Row],[customerSKU]],customerSKU!G:G,customerSKU!K:K,"NA",0,1)</f>
        <v>NA</v>
      </c>
      <c r="AI1723" s="43" t="str">
        <f>_xlfn.XLOOKUP(Table26[[#This Row],[customerSKU]],customerSKU!G:G,customerSKU!O:O,"not found",0,1)</f>
        <v>not found</v>
      </c>
      <c r="AJ1723" s="22" t="e">
        <f>Table26[[#This Row],[unitprice]]*Table26[[#This Row],[quantity_unit]]</f>
        <v>#VALUE!</v>
      </c>
      <c r="AK1723" s="227" t="e" cm="1">
        <f t="array" ref="AK17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4" spans="1:37" ht="24.6" customHeight="1">
      <c r="A1724" s="42">
        <v>531</v>
      </c>
      <c r="B1724" s="42" t="s">
        <v>3357</v>
      </c>
      <c r="C1724" s="53" t="s">
        <v>3360</v>
      </c>
      <c r="E1724" s="20"/>
      <c r="F17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4" s="93"/>
      <c r="I1724" s="203">
        <v>45803</v>
      </c>
      <c r="J1724" s="90" t="str">
        <f>IF(Table26[[#This Row],[customerSKU]]="","",_xlfn.XLOOKUP(Table26[[#This Row],[customerSKU]],customerSKU!G:G,customerSKU!A:A,"",0,1))</f>
        <v/>
      </c>
      <c r="K1724" s="232">
        <v>45804</v>
      </c>
      <c r="L1724" s="49" t="str">
        <f>IF(Table26[[#This Row],[customerSKU]]="","",_xlfn.XLOOKUP(Table26[[#This Row],[customerSKU]],customerSKU!G:G,customerSKU!B:B,"",0,1))</f>
        <v/>
      </c>
      <c r="M1724" s="22"/>
      <c r="N1724" s="15" t="str">
        <f>Table26[[#This Row],[po_number]]&amp;"-"&amp;Table26[[#This Row],[po_line]]</f>
        <v>-3</v>
      </c>
      <c r="O1724" s="15">
        <v>3</v>
      </c>
      <c r="P1724" s="50"/>
      <c r="S1724" s="90" t="str">
        <f>IF(Table26[[#This Row],[customerSKU]]="","",_xlfn.XLOOKUP(Table26[[#This Row],[customerSKU]],customerSKU!G:G,customerSKU!N:N,"NOT FOUND",0,1))</f>
        <v>NOT FOUND</v>
      </c>
      <c r="T1724" s="20"/>
      <c r="U1724" s="94">
        <v>12</v>
      </c>
      <c r="V1724" s="22" t="str">
        <f>IF(ISBLANK(Table26[[#This Row],[customerSKU]]),"",_xlfn.XLOOKUP(Table26[[#This Row],[customerSKU]],Table27[customer_SKU],Table27[case_size],"",0,1))</f>
        <v/>
      </c>
      <c r="W1724" s="117" t="str">
        <f t="shared" si="69"/>
        <v/>
      </c>
      <c r="X1724" s="22" t="str">
        <f t="shared" si="70"/>
        <v/>
      </c>
      <c r="Y1724" s="25" t="str">
        <f>IF(Table26[[#This Row],[customerSKU]]="","",_xlfn.XLOOKUP(Table26[[#This Row],[customerSKU]],Table27[customer_SKU],Table27[product_GTIN],"",0,1))</f>
        <v/>
      </c>
      <c r="Z1724" s="25" t="s">
        <v>3546</v>
      </c>
      <c r="AA1724" s="18" t="str" cm="1">
        <f t="array" ref="AA1724">IF(P1724="", "", _xlfn.XLOOKUP(P1724,#REF!,#REF!,NA,0,-1))</f>
        <v/>
      </c>
      <c r="AB1724" s="22"/>
      <c r="AC1724" s="55" t="s">
        <v>182</v>
      </c>
      <c r="AD1724" s="55" t="str">
        <f>IF($AC1724="","",_xlfn.XLOOKUP($AC1724,'Client Info'!$C$2:$C$2497,'Client Info'!$D$2:$D$2497,"",0,1))</f>
        <v/>
      </c>
      <c r="AE1724" s="55" t="str">
        <f>IF($AC1724="","",_xlfn.XLOOKUP($AC1724,'Client Info'!$C$2:$C$2677,'Client Info'!$E$2:$E$2677,"",))</f>
        <v/>
      </c>
      <c r="AF1724" s="55" t="str">
        <f>IF($AC1724="","",_xlfn.XLOOKUP($AC1724,'Client Info'!$C$2:$C$2677,'Client Info'!$F$2:$F$2677,"",0,1))</f>
        <v/>
      </c>
      <c r="AG1724" s="55" t="str">
        <f>IF(ISBLANK(Table26[[#This Row],[customerSKU]]),"",_xlfn.XLOOKUP(Table26[[#This Row],[customerSKU]],Table27[customer_SKU],Table27[billto],"",0,1))</f>
        <v/>
      </c>
      <c r="AH1724" s="26" t="str">
        <f>_xlfn.XLOOKUP(Table26[[#This Row],[customerSKU]],customerSKU!G:G,customerSKU!K:K,"NA",0,1)</f>
        <v>NA</v>
      </c>
      <c r="AI1724" s="43" t="str">
        <f>_xlfn.XLOOKUP(Table26[[#This Row],[customerSKU]],customerSKU!G:G,customerSKU!O:O,"not found",0,1)</f>
        <v>not found</v>
      </c>
      <c r="AJ1724" s="22" t="e">
        <f>Table26[[#This Row],[unitprice]]*Table26[[#This Row],[quantity_unit]]</f>
        <v>#VALUE!</v>
      </c>
      <c r="AK1724" s="227" t="e" cm="1">
        <f t="array" ref="AK17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5" spans="1:37" ht="24.6" customHeight="1">
      <c r="A1725" s="42">
        <v>532</v>
      </c>
      <c r="B1725" s="42" t="s">
        <v>3520</v>
      </c>
      <c r="C1725" s="53" t="s">
        <v>3427</v>
      </c>
      <c r="E1725" s="20"/>
      <c r="F17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5" s="93"/>
      <c r="I1725" s="203">
        <v>45803</v>
      </c>
      <c r="J1725" s="90" t="str">
        <f>IF(Table26[[#This Row],[customerSKU]]="","",_xlfn.XLOOKUP(Table26[[#This Row],[customerSKU]],customerSKU!G:G,customerSKU!A:A,"",0,1))</f>
        <v/>
      </c>
      <c r="K1725" s="232">
        <v>45804</v>
      </c>
      <c r="L1725" s="49" t="str">
        <f>IF(Table26[[#This Row],[customerSKU]]="","",_xlfn.XLOOKUP(Table26[[#This Row],[customerSKU]],customerSKU!G:G,customerSKU!B:B,"",0,1))</f>
        <v/>
      </c>
      <c r="M1725" s="22"/>
      <c r="N1725" s="15" t="str">
        <f>Table26[[#This Row],[po_number]]&amp;"-"&amp;Table26[[#This Row],[po_line]]</f>
        <v>-1</v>
      </c>
      <c r="O1725" s="15">
        <v>1</v>
      </c>
      <c r="P1725" s="50"/>
      <c r="Q1725" s="22" t="s">
        <v>3454</v>
      </c>
      <c r="R1725" s="22" t="s">
        <v>532</v>
      </c>
      <c r="S1725" s="90" t="str">
        <f>IF(Table26[[#This Row],[customerSKU]]="","",_xlfn.XLOOKUP(Table26[[#This Row],[customerSKU]],customerSKU!G:G,customerSKU!N:N,"NOT FOUND",0,1))</f>
        <v>NOT FOUND</v>
      </c>
      <c r="T1725" s="20">
        <v>45714</v>
      </c>
      <c r="U1725" s="94">
        <v>12</v>
      </c>
      <c r="V1725" s="22" t="str">
        <f>IF(ISBLANK(Table26[[#This Row],[customerSKU]]),"",_xlfn.XLOOKUP(Table26[[#This Row],[customerSKU]],Table27[customer_SKU],Table27[case_size],"",0,1))</f>
        <v/>
      </c>
      <c r="W1725" s="117" t="str">
        <f t="shared" si="69"/>
        <v/>
      </c>
      <c r="X1725" s="22" t="str">
        <f t="shared" si="70"/>
        <v/>
      </c>
      <c r="Y1725" s="25" t="str">
        <f>IF(Table26[[#This Row],[customerSKU]]="","",_xlfn.XLOOKUP(Table26[[#This Row],[customerSKU]],Table27[customer_SKU],Table27[product_GTIN],"",0,1))</f>
        <v/>
      </c>
      <c r="Z1725" s="25" t="s">
        <v>3529</v>
      </c>
      <c r="AA1725" s="18" t="str" cm="1">
        <f t="array" ref="AA1725">IF(P1725="", "", _xlfn.XLOOKUP(P1725,#REF!,#REF!,NA,0,-1))</f>
        <v/>
      </c>
      <c r="AB1725" s="22"/>
      <c r="AC1725" s="55" t="s">
        <v>181</v>
      </c>
      <c r="AD1725" s="55" t="str">
        <f>IF($AC1725="","",_xlfn.XLOOKUP($AC1725,'Client Info'!$C$2:$C$2497,'Client Info'!$D$2:$D$2497,"",0,1))</f>
        <v/>
      </c>
      <c r="AE1725" s="55" t="str">
        <f>IF($AC1725="","",_xlfn.XLOOKUP($AC1725,'Client Info'!$C$2:$C$2677,'Client Info'!$E$2:$E$2677,"",))</f>
        <v/>
      </c>
      <c r="AF1725" s="55" t="str">
        <f>IF($AC1725="","",_xlfn.XLOOKUP($AC1725,'Client Info'!$C$2:$C$2677,'Client Info'!$F$2:$F$2677,"",0,1))</f>
        <v/>
      </c>
      <c r="AG1725" s="55" t="str">
        <f>IF(ISBLANK(Table26[[#This Row],[customerSKU]]),"",_xlfn.XLOOKUP(Table26[[#This Row],[customerSKU]],Table27[customer_SKU],Table27[billto],"",0,1))</f>
        <v/>
      </c>
      <c r="AH1725" s="26" t="str">
        <f>_xlfn.XLOOKUP(Table26[[#This Row],[customerSKU]],customerSKU!G:G,customerSKU!K:K,"NA",0,1)</f>
        <v>NA</v>
      </c>
      <c r="AI1725" s="43" t="str">
        <f>_xlfn.XLOOKUP(Table26[[#This Row],[customerSKU]],customerSKU!G:G,customerSKU!O:O,"not found",0,1)</f>
        <v>not found</v>
      </c>
      <c r="AJ1725" s="22" t="e">
        <f>Table26[[#This Row],[unitprice]]*Table26[[#This Row],[quantity_unit]]</f>
        <v>#VALUE!</v>
      </c>
      <c r="AK1725" s="227" t="e" cm="1">
        <f t="array" ref="AK17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6" spans="1:37" ht="24.6" customHeight="1">
      <c r="A1726" s="42">
        <v>533</v>
      </c>
      <c r="B1726" s="42" t="s">
        <v>3357</v>
      </c>
      <c r="C1726" s="53" t="s">
        <v>3427</v>
      </c>
      <c r="E1726" s="20"/>
      <c r="F17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6" s="93"/>
      <c r="I1726" s="203">
        <v>45804</v>
      </c>
      <c r="J1726" s="90" t="str">
        <f>IF(Table26[[#This Row],[customerSKU]]="","",_xlfn.XLOOKUP(Table26[[#This Row],[customerSKU]],customerSKU!G:G,customerSKU!A:A,"",0,1))</f>
        <v/>
      </c>
      <c r="K1726" s="232">
        <v>45804</v>
      </c>
      <c r="L1726" s="49" t="str">
        <f>IF(Table26[[#This Row],[customerSKU]]="","",_xlfn.XLOOKUP(Table26[[#This Row],[customerSKU]],customerSKU!G:G,customerSKU!B:B,"",0,1))</f>
        <v/>
      </c>
      <c r="M1726" s="22"/>
      <c r="N1726" s="15" t="str">
        <f>Table26[[#This Row],[po_number]]&amp;"-"&amp;Table26[[#This Row],[po_line]]</f>
        <v>-1</v>
      </c>
      <c r="O1726" s="15">
        <v>1</v>
      </c>
      <c r="P1726" s="50"/>
      <c r="Q1726" s="22" t="s">
        <v>582</v>
      </c>
      <c r="R1726" s="22" t="s">
        <v>221</v>
      </c>
      <c r="S1726" s="90" t="str">
        <f>IF(Table26[[#This Row],[customerSKU]]="","",_xlfn.XLOOKUP(Table26[[#This Row],[customerSKU]],customerSKU!G:G,customerSKU!N:N,"NOT FOUND",0,1))</f>
        <v>NOT FOUND</v>
      </c>
      <c r="T1726" s="20">
        <v>45778</v>
      </c>
      <c r="U1726" s="94">
        <v>72</v>
      </c>
      <c r="V1726" s="22" t="str">
        <f>IF(ISBLANK(Table26[[#This Row],[customerSKU]]),"",_xlfn.XLOOKUP(Table26[[#This Row],[customerSKU]],Table27[customer_SKU],Table27[case_size],"",0,1))</f>
        <v/>
      </c>
      <c r="W1726" s="117" t="str">
        <f t="shared" si="69"/>
        <v/>
      </c>
      <c r="X1726" s="22" t="str">
        <f t="shared" si="70"/>
        <v/>
      </c>
      <c r="Y1726" s="25" t="str">
        <f>IF(Table26[[#This Row],[customerSKU]]="","",_xlfn.XLOOKUP(Table26[[#This Row],[customerSKU]],Table27[customer_SKU],Table27[product_GTIN],"",0,1))</f>
        <v/>
      </c>
      <c r="Z1726" s="25" t="s">
        <v>3519</v>
      </c>
      <c r="AA1726" s="18" t="str" cm="1">
        <f t="array" ref="AA1726">IF(P1726="", "", _xlfn.XLOOKUP(P1726,#REF!,#REF!,NA,0,-1))</f>
        <v/>
      </c>
      <c r="AB1726" s="22"/>
      <c r="AC1726" s="55" t="s">
        <v>39</v>
      </c>
      <c r="AD1726" s="55" t="str">
        <f>IF($AC1726="","",_xlfn.XLOOKUP($AC1726,'Client Info'!$C$2:$C$2497,'Client Info'!$D$2:$D$2497,"",0,1))</f>
        <v/>
      </c>
      <c r="AE1726" s="55" t="str">
        <f>IF($AC1726="","",_xlfn.XLOOKUP($AC1726,'Client Info'!$C$2:$C$2677,'Client Info'!$E$2:$E$2677,"",))</f>
        <v/>
      </c>
      <c r="AF1726" s="55" t="str">
        <f>IF($AC1726="","",_xlfn.XLOOKUP($AC1726,'Client Info'!$C$2:$C$2677,'Client Info'!$F$2:$F$2677,"",0,1))</f>
        <v/>
      </c>
      <c r="AG1726" s="55" t="s">
        <v>39</v>
      </c>
      <c r="AH1726" s="26" t="str">
        <f>_xlfn.XLOOKUP(Table26[[#This Row],[customerSKU]],customerSKU!G:G,customerSKU!K:K,"NA",0,1)</f>
        <v>NA</v>
      </c>
      <c r="AI1726" s="43" t="str">
        <f>_xlfn.XLOOKUP(Table26[[#This Row],[customerSKU]],customerSKU!G:G,customerSKU!O:O,"not found",0,1)</f>
        <v>not found</v>
      </c>
      <c r="AJ1726" s="22" t="e">
        <f>Table26[[#This Row],[unitprice]]*Table26[[#This Row],[quantity_unit]]</f>
        <v>#VALUE!</v>
      </c>
      <c r="AK1726" s="227" t="e" cm="1">
        <f t="array" ref="AK17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7" spans="1:37" ht="24.6" customHeight="1">
      <c r="A1727" s="42">
        <v>534</v>
      </c>
      <c r="B1727" s="42" t="s">
        <v>3357</v>
      </c>
      <c r="C1727" s="53" t="s">
        <v>3427</v>
      </c>
      <c r="E1727" s="20"/>
      <c r="F17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7" s="93"/>
      <c r="I1727" s="203">
        <v>45804</v>
      </c>
      <c r="J1727" s="90" t="str">
        <f>IF(Table26[[#This Row],[customerSKU]]="","",_xlfn.XLOOKUP(Table26[[#This Row],[customerSKU]],customerSKU!G:G,customerSKU!A:A,"",0,1))</f>
        <v/>
      </c>
      <c r="K1727" s="232">
        <v>45804</v>
      </c>
      <c r="L1727" s="49" t="str">
        <f>IF(Table26[[#This Row],[customerSKU]]="","",_xlfn.XLOOKUP(Table26[[#This Row],[customerSKU]],customerSKU!G:G,customerSKU!B:B,"",0,1))</f>
        <v/>
      </c>
      <c r="M1727" s="22"/>
      <c r="N1727" s="15" t="str">
        <f>Table26[[#This Row],[po_number]]&amp;"-"&amp;Table26[[#This Row],[po_line]]</f>
        <v>-2</v>
      </c>
      <c r="O1727" s="15">
        <v>2</v>
      </c>
      <c r="P1727" s="50"/>
      <c r="Q1727" s="22" t="s">
        <v>559</v>
      </c>
      <c r="R1727" s="22" t="s">
        <v>221</v>
      </c>
      <c r="S1727" s="90" t="str">
        <f>IF(Table26[[#This Row],[customerSKU]]="","",_xlfn.XLOOKUP(Table26[[#This Row],[customerSKU]],customerSKU!G:G,customerSKU!N:N,"NOT FOUND",0,1))</f>
        <v>NOT FOUND</v>
      </c>
      <c r="T1727" s="20">
        <v>45772</v>
      </c>
      <c r="U1727" s="94">
        <v>60</v>
      </c>
      <c r="V1727" s="22" t="str">
        <f>IF(ISBLANK(Table26[[#This Row],[customerSKU]]),"",_xlfn.XLOOKUP(Table26[[#This Row],[customerSKU]],Table27[customer_SKU],Table27[case_size],"",0,1))</f>
        <v/>
      </c>
      <c r="W1727" s="117" t="str">
        <f t="shared" si="69"/>
        <v/>
      </c>
      <c r="X1727" s="22" t="str">
        <f t="shared" si="70"/>
        <v/>
      </c>
      <c r="Y1727" s="25" t="str">
        <f>IF(Table26[[#This Row],[customerSKU]]="","",_xlfn.XLOOKUP(Table26[[#This Row],[customerSKU]],Table27[customer_SKU],Table27[product_GTIN],"",0,1))</f>
        <v/>
      </c>
      <c r="Z1727" s="25" t="s">
        <v>3527</v>
      </c>
      <c r="AA1727" s="18" t="str" cm="1">
        <f t="array" ref="AA1727">IF(P1727="", "", _xlfn.XLOOKUP(P1727,#REF!,#REF!,NA,0,-1))</f>
        <v/>
      </c>
      <c r="AB1727" s="22"/>
      <c r="AC1727" s="55" t="s">
        <v>39</v>
      </c>
      <c r="AD1727" s="55" t="str">
        <f>IF($AC1727="","",_xlfn.XLOOKUP($AC1727,'Client Info'!$C$2:$C$2497,'Client Info'!$D$2:$D$2497,"",0,1))</f>
        <v/>
      </c>
      <c r="AE1727" s="55" t="str">
        <f>IF($AC1727="","",_xlfn.XLOOKUP($AC1727,'Client Info'!$C$2:$C$2677,'Client Info'!$E$2:$E$2677,"",))</f>
        <v/>
      </c>
      <c r="AF1727" s="55" t="str">
        <f>IF($AC1727="","",_xlfn.XLOOKUP($AC1727,'Client Info'!$C$2:$C$2677,'Client Info'!$F$2:$F$2677,"",0,1))</f>
        <v/>
      </c>
      <c r="AG1727" s="55" t="s">
        <v>39</v>
      </c>
      <c r="AH1727" s="26" t="str">
        <f>_xlfn.XLOOKUP(Table26[[#This Row],[customerSKU]],customerSKU!G:G,customerSKU!K:K,"NA",0,1)</f>
        <v>NA</v>
      </c>
      <c r="AI1727" s="43" t="str">
        <f>_xlfn.XLOOKUP(Table26[[#This Row],[customerSKU]],customerSKU!G:G,customerSKU!O:O,"not found",0,1)</f>
        <v>not found</v>
      </c>
      <c r="AJ1727" s="22" t="e">
        <f>Table26[[#This Row],[unitprice]]*Table26[[#This Row],[quantity_unit]]</f>
        <v>#VALUE!</v>
      </c>
      <c r="AK1727" s="227" t="e" cm="1">
        <f t="array" ref="AK17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8" spans="1:37" ht="24.6" customHeight="1">
      <c r="A1728" s="42">
        <v>535</v>
      </c>
      <c r="B1728" s="42" t="s">
        <v>3357</v>
      </c>
      <c r="C1728" s="53" t="s">
        <v>3427</v>
      </c>
      <c r="E1728" s="20"/>
      <c r="F17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8" s="93"/>
      <c r="I1728" s="203">
        <v>45804</v>
      </c>
      <c r="J1728" s="90" t="str">
        <f>IF(Table26[[#This Row],[customerSKU]]="","",_xlfn.XLOOKUP(Table26[[#This Row],[customerSKU]],customerSKU!G:G,customerSKU!A:A,"",0,1))</f>
        <v/>
      </c>
      <c r="K1728" s="232">
        <v>45804</v>
      </c>
      <c r="L1728" s="49" t="str">
        <f>IF(Table26[[#This Row],[customerSKU]]="","",_xlfn.XLOOKUP(Table26[[#This Row],[customerSKU]],customerSKU!G:G,customerSKU!B:B,"",0,1))</f>
        <v/>
      </c>
      <c r="M1728" s="22"/>
      <c r="N1728" s="15" t="str">
        <f>Table26[[#This Row],[po_number]]&amp;"-"&amp;Table26[[#This Row],[po_line]]</f>
        <v>-3</v>
      </c>
      <c r="O1728" s="15">
        <v>3</v>
      </c>
      <c r="P1728" s="50"/>
      <c r="Q1728" s="22" t="s">
        <v>559</v>
      </c>
      <c r="R1728" s="22" t="s">
        <v>221</v>
      </c>
      <c r="S1728" s="90" t="str">
        <f>IF(Table26[[#This Row],[customerSKU]]="","",_xlfn.XLOOKUP(Table26[[#This Row],[customerSKU]],customerSKU!G:G,customerSKU!N:N,"NOT FOUND",0,1))</f>
        <v>NOT FOUND</v>
      </c>
      <c r="T1728" s="20">
        <v>45740</v>
      </c>
      <c r="U1728" s="94">
        <v>12</v>
      </c>
      <c r="V1728" s="22" t="str">
        <f>IF(ISBLANK(Table26[[#This Row],[customerSKU]]),"",_xlfn.XLOOKUP(Table26[[#This Row],[customerSKU]],Table27[customer_SKU],Table27[case_size],"",0,1))</f>
        <v/>
      </c>
      <c r="W1728" s="117" t="str">
        <f t="shared" si="69"/>
        <v/>
      </c>
      <c r="X1728" s="22" t="str">
        <f t="shared" si="70"/>
        <v/>
      </c>
      <c r="Y1728" s="25" t="str">
        <f>IF(Table26[[#This Row],[customerSKU]]="","",_xlfn.XLOOKUP(Table26[[#This Row],[customerSKU]],Table27[customer_SKU],Table27[product_GTIN],"",0,1))</f>
        <v/>
      </c>
      <c r="Z1728" s="25" t="s">
        <v>3527</v>
      </c>
      <c r="AA1728" s="18" t="str" cm="1">
        <f t="array" ref="AA1728">IF(P1728="", "", _xlfn.XLOOKUP(P1728,#REF!,#REF!,NA,0,-1))</f>
        <v/>
      </c>
      <c r="AB1728" s="22"/>
      <c r="AC1728" s="55" t="s">
        <v>39</v>
      </c>
      <c r="AD1728" s="55" t="str">
        <f>IF($AC1728="","",_xlfn.XLOOKUP($AC1728,'Client Info'!$C$2:$C$2497,'Client Info'!$D$2:$D$2497,"",0,1))</f>
        <v/>
      </c>
      <c r="AE1728" s="55" t="str">
        <f>IF($AC1728="","",_xlfn.XLOOKUP($AC1728,'Client Info'!$C$2:$C$2677,'Client Info'!$E$2:$E$2677,"",))</f>
        <v/>
      </c>
      <c r="AF1728" s="55" t="str">
        <f>IF($AC1728="","",_xlfn.XLOOKUP($AC1728,'Client Info'!$C$2:$C$2677,'Client Info'!$F$2:$F$2677,"",0,1))</f>
        <v/>
      </c>
      <c r="AG1728" s="55" t="s">
        <v>39</v>
      </c>
      <c r="AH1728" s="26" t="str">
        <f>_xlfn.XLOOKUP(Table26[[#This Row],[customerSKU]],customerSKU!G:G,customerSKU!K:K,"NA",0,1)</f>
        <v>NA</v>
      </c>
      <c r="AI1728" s="43" t="str">
        <f>_xlfn.XLOOKUP(Table26[[#This Row],[customerSKU]],customerSKU!G:G,customerSKU!O:O,"not found",0,1)</f>
        <v>not found</v>
      </c>
      <c r="AJ1728" s="22" t="e">
        <f>Table26[[#This Row],[unitprice]]*Table26[[#This Row],[quantity_unit]]</f>
        <v>#VALUE!</v>
      </c>
      <c r="AK1728" s="227" t="e" cm="1">
        <f t="array" ref="AK17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29" spans="1:37" ht="24.6" customHeight="1">
      <c r="A1729" s="42">
        <v>519</v>
      </c>
      <c r="B1729" s="42" t="s">
        <v>3357</v>
      </c>
      <c r="C1729" s="53" t="s">
        <v>203</v>
      </c>
      <c r="E1729" s="20"/>
      <c r="F17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29" s="24"/>
      <c r="I1729" s="203">
        <v>45785</v>
      </c>
      <c r="J1729" s="90" t="str">
        <f>IF(Table26[[#This Row],[customerSKU]]="","",_xlfn.XLOOKUP(Table26[[#This Row],[customerSKU]],customerSKU!G:G,customerSKU!A:A,"",0,1))</f>
        <v/>
      </c>
      <c r="K1729" s="232">
        <v>45805</v>
      </c>
      <c r="L1729" s="49" t="str">
        <f>IF(Table26[[#This Row],[customerSKU]]="","",_xlfn.XLOOKUP(Table26[[#This Row],[customerSKU]],customerSKU!G:G,customerSKU!B:B,"",0,1))</f>
        <v/>
      </c>
      <c r="M1729" s="22"/>
      <c r="N1729" s="15" t="str">
        <f>Table26[[#This Row],[po_number]]&amp;"-"&amp;Table26[[#This Row],[po_line]]</f>
        <v>-1</v>
      </c>
      <c r="O1729" s="15">
        <v>1</v>
      </c>
      <c r="P1729" s="50"/>
      <c r="Q1729" s="22" t="s">
        <v>3578</v>
      </c>
      <c r="R1729" s="22" t="s">
        <v>569</v>
      </c>
      <c r="S1729" s="90" t="str">
        <f>IF(Table26[[#This Row],[customerSKU]]="","",_xlfn.XLOOKUP(Table26[[#This Row],[customerSKU]],customerSKU!G:G,customerSKU!N:N,"NOT FOUND",0,1))</f>
        <v>NOT FOUND</v>
      </c>
      <c r="T1729" s="20">
        <v>45793</v>
      </c>
      <c r="U1729" s="94">
        <f>156*12</f>
        <v>1872</v>
      </c>
      <c r="V1729" s="22" t="str">
        <f>IF(ISBLANK(Table26[[#This Row],[customerSKU]]),"",_xlfn.XLOOKUP(Table26[[#This Row],[customerSKU]],Table27[customer_SKU],Table27[case_size],"",0,1))</f>
        <v/>
      </c>
      <c r="W1729" s="117" t="str">
        <f t="shared" si="69"/>
        <v/>
      </c>
      <c r="X1729" s="22" t="str">
        <f t="shared" si="70"/>
        <v/>
      </c>
      <c r="Y1729" s="25" t="str">
        <f>IF(Table26[[#This Row],[customerSKU]]="","",_xlfn.XLOOKUP(Table26[[#This Row],[customerSKU]],Table27[customer_SKU],Table27[product_GTIN],"",0,1))</f>
        <v/>
      </c>
      <c r="Z1729" s="25" t="s">
        <v>3579</v>
      </c>
      <c r="AA1729" s="18" t="str" cm="1">
        <f t="array" ref="AA1729">IF(P1729="", "", _xlfn.XLOOKUP(P1729,#REF!,#REF!,NA,0,-1))</f>
        <v/>
      </c>
      <c r="AB1729" s="22"/>
      <c r="AC1729" s="55" t="str">
        <f>IF(Table26[[#This Row],[customerSKU]]="","",_xlfn.XLOOKUP(Table26[[#This Row],[customerSKU]],customerSKU!G:G,customerSKU!C:C,"",0,1))</f>
        <v/>
      </c>
      <c r="AD1729" s="55" t="str">
        <f>IF($AC1729="","",_xlfn.XLOOKUP($AC1729,'Client Info'!$C$2:$C$2497,'Client Info'!$D$2:$D$2497,"",0,1))</f>
        <v/>
      </c>
      <c r="AE1729" s="55" t="str">
        <f>IF($AC1729="","",_xlfn.XLOOKUP($AC1729,'Client Info'!$C$2:$C$2677,'Client Info'!$E$2:$E$2677,"",))</f>
        <v/>
      </c>
      <c r="AF1729" s="55" t="str">
        <f>IF($AC1729="","",_xlfn.XLOOKUP($AC1729,'Client Info'!$C$2:$C$2677,'Client Info'!$F$2:$F$2677,"",0,1))</f>
        <v/>
      </c>
      <c r="AG1729" s="55" t="str">
        <f>IF(ISBLANK(Table26[[#This Row],[customerSKU]]),"",_xlfn.XLOOKUP(Table26[[#This Row],[customerSKU]],Table27[customer_SKU],Table27[billto],"",0,1))</f>
        <v/>
      </c>
      <c r="AH1729" s="26" t="str">
        <f>_xlfn.XLOOKUP(Table26[[#This Row],[customerSKU]],customerSKU!G:G,customerSKU!K:K,"NA",0,1)</f>
        <v>NA</v>
      </c>
      <c r="AI1729" s="43" t="str">
        <f>_xlfn.XLOOKUP(Table26[[#This Row],[customerSKU]],customerSKU!G:G,customerSKU!O:O,"not found",0,1)</f>
        <v>not found</v>
      </c>
      <c r="AJ1729" s="22" t="e">
        <f>Table26[[#This Row],[unitprice]]*Table26[[#This Row],[quantity_unit]]</f>
        <v>#VALUE!</v>
      </c>
      <c r="AK1729" s="227" t="e" cm="1">
        <f t="array" ref="AK17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0" spans="1:37" ht="24.6" customHeight="1">
      <c r="A1730" s="42">
        <v>520</v>
      </c>
      <c r="B1730" s="42" t="s">
        <v>3357</v>
      </c>
      <c r="C1730" s="53" t="s">
        <v>203</v>
      </c>
      <c r="E1730" s="20"/>
      <c r="F17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0" s="24"/>
      <c r="I1730" s="203">
        <v>45785</v>
      </c>
      <c r="J1730" s="90" t="str">
        <f>IF(Table26[[#This Row],[customerSKU]]="","",_xlfn.XLOOKUP(Table26[[#This Row],[customerSKU]],customerSKU!G:G,customerSKU!A:A,"",0,1))</f>
        <v/>
      </c>
      <c r="K1730" s="232">
        <v>45805</v>
      </c>
      <c r="L1730" s="49" t="str">
        <f>IF(Table26[[#This Row],[customerSKU]]="","",_xlfn.XLOOKUP(Table26[[#This Row],[customerSKU]],customerSKU!G:G,customerSKU!B:B,"",0,1))</f>
        <v/>
      </c>
      <c r="M1730" s="22"/>
      <c r="N1730" s="15" t="str">
        <f>Table26[[#This Row],[po_number]]&amp;"-"&amp;Table26[[#This Row],[po_line]]</f>
        <v>-2</v>
      </c>
      <c r="O1730" s="15">
        <v>2</v>
      </c>
      <c r="P1730" s="50"/>
      <c r="Q1730" s="22" t="s">
        <v>3580</v>
      </c>
      <c r="R1730" s="22" t="s">
        <v>569</v>
      </c>
      <c r="S1730" s="90" t="str">
        <f>IF(Table26[[#This Row],[customerSKU]]="","",_xlfn.XLOOKUP(Table26[[#This Row],[customerSKU]],customerSKU!G:G,customerSKU!N:N,"NOT FOUND",0,1))</f>
        <v>NOT FOUND</v>
      </c>
      <c r="T1730" s="20">
        <v>45793</v>
      </c>
      <c r="U1730" s="94">
        <f>2400-1872</f>
        <v>528</v>
      </c>
      <c r="V1730" s="22" t="str">
        <f>IF(ISBLANK(Table26[[#This Row],[customerSKU]]),"",_xlfn.XLOOKUP(Table26[[#This Row],[customerSKU]],Table27[customer_SKU],Table27[case_size],"",0,1))</f>
        <v/>
      </c>
      <c r="W1730" s="117" t="str">
        <f t="shared" si="69"/>
        <v/>
      </c>
      <c r="X1730" s="22" t="str">
        <f t="shared" si="70"/>
        <v/>
      </c>
      <c r="Y1730" s="25" t="str">
        <f>IF(Table26[[#This Row],[customerSKU]]="","",_xlfn.XLOOKUP(Table26[[#This Row],[customerSKU]],Table27[customer_SKU],Table27[product_GTIN],"",0,1))</f>
        <v/>
      </c>
      <c r="Z1730" s="25" t="s">
        <v>3579</v>
      </c>
      <c r="AA1730" s="18" t="str" cm="1">
        <f t="array" ref="AA1730">IF(P1730="", "", _xlfn.XLOOKUP(P1730,#REF!,#REF!,NA,0,-1))</f>
        <v/>
      </c>
      <c r="AB1730" s="22"/>
      <c r="AC1730" s="55" t="str">
        <f>IF(Table26[[#This Row],[customerSKU]]="","",_xlfn.XLOOKUP(Table26[[#This Row],[customerSKU]],customerSKU!G:G,customerSKU!C:C,"",0,1))</f>
        <v/>
      </c>
      <c r="AD1730" s="55" t="str">
        <f>IF($AC1730="","",_xlfn.XLOOKUP($AC1730,'Client Info'!$C$2:$C$2497,'Client Info'!$D$2:$D$2497,"",0,1))</f>
        <v/>
      </c>
      <c r="AE1730" s="55" t="str">
        <f>IF($AC1730="","",_xlfn.XLOOKUP($AC1730,'Client Info'!$C$2:$C$2677,'Client Info'!$E$2:$E$2677,"",))</f>
        <v/>
      </c>
      <c r="AF1730" s="55" t="str">
        <f>IF($AC1730="","",_xlfn.XLOOKUP($AC1730,'Client Info'!$C$2:$C$2677,'Client Info'!$F$2:$F$2677,"",0,1))</f>
        <v/>
      </c>
      <c r="AG1730" s="55" t="str">
        <f>IF(ISBLANK(Table26[[#This Row],[customerSKU]]),"",_xlfn.XLOOKUP(Table26[[#This Row],[customerSKU]],Table27[customer_SKU],Table27[billto],"",0,1))</f>
        <v/>
      </c>
      <c r="AH1730" s="26" t="str">
        <f>_xlfn.XLOOKUP(Table26[[#This Row],[customerSKU]],customerSKU!G:G,customerSKU!K:K,"NA",0,1)</f>
        <v>NA</v>
      </c>
      <c r="AI1730" s="43" t="str">
        <f>_xlfn.XLOOKUP(Table26[[#This Row],[customerSKU]],customerSKU!G:G,customerSKU!O:O,"not found",0,1)</f>
        <v>not found</v>
      </c>
      <c r="AJ1730" s="22" t="e">
        <f>Table26[[#This Row],[unitprice]]*Table26[[#This Row],[quantity_unit]]</f>
        <v>#VALUE!</v>
      </c>
      <c r="AK1730" s="227" t="e" cm="1">
        <f t="array" ref="AK17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1" spans="1:37" ht="24.6" customHeight="1">
      <c r="A1731" s="42">
        <v>521</v>
      </c>
      <c r="B1731" s="42" t="s">
        <v>3357</v>
      </c>
      <c r="C1731" s="53" t="s">
        <v>203</v>
      </c>
      <c r="E1731" s="20"/>
      <c r="F17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1" s="24"/>
      <c r="I1731" s="203">
        <v>45785</v>
      </c>
      <c r="J1731" s="90" t="str">
        <f>IF(Table26[[#This Row],[customerSKU]]="","",_xlfn.XLOOKUP(Table26[[#This Row],[customerSKU]],customerSKU!G:G,customerSKU!A:A,"",0,1))</f>
        <v/>
      </c>
      <c r="K1731" s="232">
        <v>45805</v>
      </c>
      <c r="L1731" s="49" t="str">
        <f>IF(Table26[[#This Row],[customerSKU]]="","",_xlfn.XLOOKUP(Table26[[#This Row],[customerSKU]],customerSKU!G:G,customerSKU!B:B,"",0,1))</f>
        <v/>
      </c>
      <c r="M1731" s="22"/>
      <c r="N1731" s="15" t="str">
        <f>Table26[[#This Row],[po_number]]&amp;"-"&amp;Table26[[#This Row],[po_line]]</f>
        <v>-1</v>
      </c>
      <c r="O1731" s="15">
        <v>1</v>
      </c>
      <c r="P1731" s="50"/>
      <c r="Q1731" s="22" t="s">
        <v>3583</v>
      </c>
      <c r="R1731" s="22" t="s">
        <v>569</v>
      </c>
      <c r="S1731" s="90" t="str">
        <f>IF(Table26[[#This Row],[customerSKU]]="","",_xlfn.XLOOKUP(Table26[[#This Row],[customerSKU]],customerSKU!G:G,customerSKU!N:N,"NOT FOUND",0,1))</f>
        <v>NOT FOUND</v>
      </c>
      <c r="T1731" s="20">
        <v>45786</v>
      </c>
      <c r="U1731" s="94">
        <v>1200</v>
      </c>
      <c r="V1731" s="22" t="str">
        <f>IF(ISBLANK(Table26[[#This Row],[customerSKU]]),"",_xlfn.XLOOKUP(Table26[[#This Row],[customerSKU]],Table27[customer_SKU],Table27[case_size],"",0,1))</f>
        <v/>
      </c>
      <c r="W1731" s="117" t="str">
        <f t="shared" si="69"/>
        <v/>
      </c>
      <c r="X1731" s="22" t="str">
        <f t="shared" si="70"/>
        <v/>
      </c>
      <c r="Y1731" s="25" t="str">
        <f>IF(Table26[[#This Row],[customerSKU]]="","",_xlfn.XLOOKUP(Table26[[#This Row],[customerSKU]],Table27[customer_SKU],Table27[product_GTIN],"",0,1))</f>
        <v/>
      </c>
      <c r="Z1731" s="25" t="s">
        <v>3471</v>
      </c>
      <c r="AA1731" s="18" t="str" cm="1">
        <f t="array" ref="AA1731">IF(P1731="", "", _xlfn.XLOOKUP(P1731,#REF!,#REF!,NA,0,-1))</f>
        <v/>
      </c>
      <c r="AB1731" s="22"/>
      <c r="AC1731" s="55" t="str">
        <f>IF(Table26[[#This Row],[customerSKU]]="","",_xlfn.XLOOKUP(Table26[[#This Row],[customerSKU]],customerSKU!G:G,customerSKU!C:C,"",0,1))</f>
        <v/>
      </c>
      <c r="AD1731" s="55" t="str">
        <f>IF($AC1731="","",_xlfn.XLOOKUP($AC1731,'Client Info'!$C$2:$C$2497,'Client Info'!$D$2:$D$2497,"",0,1))</f>
        <v/>
      </c>
      <c r="AE1731" s="55" t="str">
        <f>IF($AC1731="","",_xlfn.XLOOKUP($AC1731,'Client Info'!$C$2:$C$2677,'Client Info'!$E$2:$E$2677,"",))</f>
        <v/>
      </c>
      <c r="AF1731" s="55" t="str">
        <f>IF($AC1731="","",_xlfn.XLOOKUP($AC1731,'Client Info'!$C$2:$C$2677,'Client Info'!$F$2:$F$2677,"",0,1))</f>
        <v/>
      </c>
      <c r="AG1731" s="55" t="str">
        <f>IF(ISBLANK(Table26[[#This Row],[customerSKU]]),"",_xlfn.XLOOKUP(Table26[[#This Row],[customerSKU]],Table27[customer_SKU],Table27[billto],"",0,1))</f>
        <v/>
      </c>
      <c r="AH1731" s="26" t="str">
        <f>_xlfn.XLOOKUP(Table26[[#This Row],[customerSKU]],customerSKU!G:G,customerSKU!K:K,"NA",0,1)</f>
        <v>NA</v>
      </c>
      <c r="AI1731" s="43" t="str">
        <f>_xlfn.XLOOKUP(Table26[[#This Row],[customerSKU]],customerSKU!G:G,customerSKU!O:O,"not found",0,1)</f>
        <v>not found</v>
      </c>
      <c r="AJ1731" s="22" t="e">
        <f>Table26[[#This Row],[unitprice]]*Table26[[#This Row],[quantity_unit]]</f>
        <v>#VALUE!</v>
      </c>
      <c r="AK1731" s="227" t="e" cm="1">
        <f t="array" ref="AK17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2" spans="1:37" ht="24.6" customHeight="1">
      <c r="A1732" s="42">
        <v>522</v>
      </c>
      <c r="B1732" s="42" t="s">
        <v>3357</v>
      </c>
      <c r="C1732" s="53" t="s">
        <v>3427</v>
      </c>
      <c r="E1732" s="20"/>
      <c r="F17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2" s="93"/>
      <c r="I1732" s="203">
        <v>45803</v>
      </c>
      <c r="J1732" s="90" t="str">
        <f>IF(Table26[[#This Row],[customerSKU]]="","",_xlfn.XLOOKUP(Table26[[#This Row],[customerSKU]],customerSKU!G:G,customerSKU!A:A,"",0,1))</f>
        <v/>
      </c>
      <c r="K1732" s="232">
        <v>45805</v>
      </c>
      <c r="L1732" s="49" t="str">
        <f>IF(Table26[[#This Row],[customerSKU]]="","",_xlfn.XLOOKUP(Table26[[#This Row],[customerSKU]],customerSKU!G:G,customerSKU!B:B,"",0,1))</f>
        <v/>
      </c>
      <c r="M1732" s="22"/>
      <c r="N1732" s="15" t="str">
        <f>Table26[[#This Row],[po_number]]&amp;"-"&amp;Table26[[#This Row],[po_line]]</f>
        <v>-1</v>
      </c>
      <c r="O1732" s="15">
        <v>1</v>
      </c>
      <c r="P1732" s="50"/>
      <c r="Q1732" s="22" t="s">
        <v>3616</v>
      </c>
      <c r="R1732" s="22" t="s">
        <v>532</v>
      </c>
      <c r="S1732" s="90" t="str">
        <f>IF(Table26[[#This Row],[customerSKU]]="","",_xlfn.XLOOKUP(Table26[[#This Row],[customerSKU]],customerSKU!G:G,customerSKU!N:N,"NOT FOUND",0,1))</f>
        <v>NOT FOUND</v>
      </c>
      <c r="T1732" s="20">
        <v>45799</v>
      </c>
      <c r="U1732" s="94">
        <f>12*52</f>
        <v>624</v>
      </c>
      <c r="V1732" s="22" t="str">
        <f>IF(ISBLANK(Table26[[#This Row],[customerSKU]]),"",_xlfn.XLOOKUP(Table26[[#This Row],[customerSKU]],Table27[customer_SKU],Table27[case_size],"",0,1))</f>
        <v/>
      </c>
      <c r="W1732" s="117" t="str">
        <f t="shared" si="69"/>
        <v/>
      </c>
      <c r="X1732" s="22" t="str">
        <f t="shared" si="70"/>
        <v/>
      </c>
      <c r="Y1732" s="25" t="str">
        <f>IF(Table26[[#This Row],[customerSKU]]="","",_xlfn.XLOOKUP(Table26[[#This Row],[customerSKU]],Table27[customer_SKU],Table27[product_GTIN],"",0,1))</f>
        <v/>
      </c>
      <c r="Z1732" s="25" t="s">
        <v>3617</v>
      </c>
      <c r="AA1732" s="18" t="str" cm="1">
        <f t="array" ref="AA1732">IF(P1732="", "", _xlfn.XLOOKUP(P1732,#REF!,#REF!,NA,0,-1))</f>
        <v/>
      </c>
      <c r="AB1732" s="22"/>
      <c r="AC1732" s="55" t="str">
        <f>IF(Table26[[#This Row],[customerSKU]]="","",_xlfn.XLOOKUP(Table26[[#This Row],[customerSKU]],customerSKU!G:G,customerSKU!C:C,"",0,1))</f>
        <v/>
      </c>
      <c r="AD1732" s="55" t="str">
        <f>IF($AC1732="","",_xlfn.XLOOKUP($AC1732,'Client Info'!$C$2:$C$2497,'Client Info'!$D$2:$D$2497,"",0,1))</f>
        <v/>
      </c>
      <c r="AE1732" s="55" t="str">
        <f>IF($AC1732="","",_xlfn.XLOOKUP($AC1732,'Client Info'!$C$2:$C$2677,'Client Info'!$E$2:$E$2677,"",))</f>
        <v/>
      </c>
      <c r="AF1732" s="55" t="str">
        <f>IF($AC1732="","",_xlfn.XLOOKUP($AC1732,'Client Info'!$C$2:$C$2677,'Client Info'!$F$2:$F$2677,"",0,1))</f>
        <v/>
      </c>
      <c r="AG1732" s="55" t="str">
        <f>IF(ISBLANK(Table26[[#This Row],[customerSKU]]),"",_xlfn.XLOOKUP(Table26[[#This Row],[customerSKU]],Table27[customer_SKU],Table27[billto],"",0,1))</f>
        <v/>
      </c>
      <c r="AH1732" s="26" t="str">
        <f>_xlfn.XLOOKUP(Table26[[#This Row],[customerSKU]],customerSKU!G:G,customerSKU!K:K,"NA",0,1)</f>
        <v>NA</v>
      </c>
      <c r="AI1732" s="43" t="str">
        <f>_xlfn.XLOOKUP(Table26[[#This Row],[customerSKU]],customerSKU!G:G,customerSKU!O:O,"not found",0,1)</f>
        <v>not found</v>
      </c>
      <c r="AJ1732" s="22" t="e">
        <f>Table26[[#This Row],[unitprice]]*Table26[[#This Row],[quantity_unit]]</f>
        <v>#VALUE!</v>
      </c>
      <c r="AK1732" s="227" t="e" cm="1">
        <f t="array" ref="AK17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3" spans="1:37" ht="24.6" customHeight="1">
      <c r="A1733" s="42">
        <v>518</v>
      </c>
      <c r="B1733" s="42" t="s">
        <v>3357</v>
      </c>
      <c r="C1733" s="53" t="s">
        <v>3427</v>
      </c>
      <c r="E1733" s="20"/>
      <c r="F17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3" s="93"/>
      <c r="I1733" s="203">
        <v>45805</v>
      </c>
      <c r="J1733" s="90" t="str">
        <f>IF(Table26[[#This Row],[customerSKU]]="","",_xlfn.XLOOKUP(Table26[[#This Row],[customerSKU]],customerSKU!G:G,customerSKU!A:A,"",0,1))</f>
        <v/>
      </c>
      <c r="K1733" s="232">
        <v>45806</v>
      </c>
      <c r="L1733" s="49" t="str">
        <f>IF(Table26[[#This Row],[customerSKU]]="","",_xlfn.XLOOKUP(Table26[[#This Row],[customerSKU]],customerSKU!G:G,customerSKU!B:B,"",0,1))</f>
        <v/>
      </c>
      <c r="M1733" s="22"/>
      <c r="N1733" s="15" t="str">
        <f>Table26[[#This Row],[po_number]]&amp;"-"&amp;Table26[[#This Row],[po_line]]</f>
        <v>-1</v>
      </c>
      <c r="O1733" s="15">
        <v>1</v>
      </c>
      <c r="P1733" s="50"/>
      <c r="Q1733" s="22" t="s">
        <v>3454</v>
      </c>
      <c r="R1733" s="22" t="s">
        <v>221</v>
      </c>
      <c r="S1733" s="90" t="str">
        <f>IF(Table26[[#This Row],[customerSKU]]="","",_xlfn.XLOOKUP(Table26[[#This Row],[customerSKU]],customerSKU!G:G,customerSKU!N:N,"NOT FOUND",0,1))</f>
        <v>NOT FOUND</v>
      </c>
      <c r="T1733" s="20">
        <v>45714</v>
      </c>
      <c r="U1733" s="94">
        <v>12</v>
      </c>
      <c r="V1733" s="22" t="str">
        <f>IF(ISBLANK(Table26[[#This Row],[customerSKU]]),"",_xlfn.XLOOKUP(Table26[[#This Row],[customerSKU]],Table27[customer_SKU],Table27[case_size],"",0,1))</f>
        <v/>
      </c>
      <c r="W1733" s="117" t="str">
        <f t="shared" ref="W1733" si="71">IFERROR(U1733/V1733, "")</f>
        <v/>
      </c>
      <c r="X1733" s="22" t="str">
        <f t="shared" si="70"/>
        <v/>
      </c>
      <c r="Y1733" s="25" t="str">
        <f>IF(Table26[[#This Row],[customerSKU]]="","",_xlfn.XLOOKUP(Table26[[#This Row],[customerSKU]],Table27[customer_SKU],Table27[product_GTIN],"",0,1))</f>
        <v/>
      </c>
      <c r="Z1733" s="25" t="s">
        <v>3529</v>
      </c>
      <c r="AA1733" s="18" t="str" cm="1">
        <f t="array" ref="AA1733">IF(P1733="", "", _xlfn.XLOOKUP(P1733,#REF!,#REF!,NA,0,-1))</f>
        <v/>
      </c>
      <c r="AB1733" s="22"/>
      <c r="AC1733" s="55" t="s">
        <v>183</v>
      </c>
      <c r="AD1733" s="55" t="str">
        <f>IF($AC1733="","",_xlfn.XLOOKUP($AC1733,'Client Info'!$C$2:$C$2497,'Client Info'!$D$2:$D$2497,"",0,1))</f>
        <v/>
      </c>
      <c r="AE1733" s="55" t="str">
        <f>IF($AC1733="","",_xlfn.XLOOKUP($AC1733,'Client Info'!$C$2:$C$2677,'Client Info'!$E$2:$E$2677,"",))</f>
        <v/>
      </c>
      <c r="AF1733" s="55" t="str">
        <f>IF($AC1733="","",_xlfn.XLOOKUP($AC1733,'Client Info'!$C$2:$C$2677,'Client Info'!$F$2:$F$2677,"",0,1))</f>
        <v/>
      </c>
      <c r="AG1733" s="55" t="str">
        <f>IF(ISBLANK(Table26[[#This Row],[customerSKU]]),"",_xlfn.XLOOKUP(Table26[[#This Row],[customerSKU]],Table27[customer_SKU],Table27[billto],"",0,1))</f>
        <v/>
      </c>
      <c r="AH1733" s="26" t="str">
        <f>_xlfn.XLOOKUP(Table26[[#This Row],[customerSKU]],customerSKU!G:G,customerSKU!K:K,"NA",0,1)</f>
        <v>NA</v>
      </c>
      <c r="AI1733" s="43" t="str">
        <f>_xlfn.XLOOKUP(Table26[[#This Row],[customerSKU]],customerSKU!G:G,customerSKU!O:O,"not found",0,1)</f>
        <v>not found</v>
      </c>
      <c r="AJ1733" s="22" t="e">
        <f>Table26[[#This Row],[unitprice]]*Table26[[#This Row],[quantity_unit]]</f>
        <v>#VALUE!</v>
      </c>
      <c r="AK1733" s="227" t="e" cm="1">
        <f t="array" ref="AK17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4" spans="1:37" ht="24.6" customHeight="1">
      <c r="A1734" s="42">
        <v>503</v>
      </c>
      <c r="B1734" s="42" t="s">
        <v>3520</v>
      </c>
      <c r="C1734" s="53" t="s">
        <v>3427</v>
      </c>
      <c r="D1734" s="20">
        <v>45826</v>
      </c>
      <c r="E1734" s="20"/>
      <c r="F17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4" s="93"/>
      <c r="I1734" s="203">
        <v>45785</v>
      </c>
      <c r="J1734" s="90" t="str">
        <f>IF(Table26[[#This Row],[customerSKU]]="","",_xlfn.XLOOKUP(Table26[[#This Row],[customerSKU]],customerSKU!G:G,customerSKU!A:A,"",0,1))</f>
        <v/>
      </c>
      <c r="K1734" s="232">
        <v>45807</v>
      </c>
      <c r="L1734" s="49" t="str">
        <f>IF(Table26[[#This Row],[customerSKU]]="","",_xlfn.XLOOKUP(Table26[[#This Row],[customerSKU]],customerSKU!G:G,customerSKU!B:B,"",0,1))</f>
        <v/>
      </c>
      <c r="M1734" s="22"/>
      <c r="N1734" s="15" t="str">
        <f>Table26[[#This Row],[po_number]]&amp;"-"&amp;Table26[[#This Row],[po_line]]</f>
        <v>-1</v>
      </c>
      <c r="O1734" s="15">
        <v>1</v>
      </c>
      <c r="P1734" s="50"/>
      <c r="Q1734" s="22" t="s">
        <v>659</v>
      </c>
      <c r="R1734" s="22" t="s">
        <v>3559</v>
      </c>
      <c r="S1734" s="90" t="str">
        <f>IF(Table26[[#This Row],[customerSKU]]="","",_xlfn.XLOOKUP(Table26[[#This Row],[customerSKU]],customerSKU!G:G,customerSKU!N:N,"NOT FOUND",0,1))</f>
        <v>NOT FOUND</v>
      </c>
      <c r="T1734" s="20">
        <v>45638</v>
      </c>
      <c r="U1734" s="94">
        <v>120</v>
      </c>
      <c r="V1734" s="22" t="str">
        <f>IF(ISBLANK(Table26[[#This Row],[customerSKU]]),"",_xlfn.XLOOKUP(Table26[[#This Row],[customerSKU]],Table27[customer_SKU],Table27[case_size],"",0,1))</f>
        <v/>
      </c>
      <c r="W1734" s="117">
        <v>3</v>
      </c>
      <c r="X1734" s="22" t="str">
        <f t="shared" ref="X1734:X1797" si="72">IFERROR($AA1734*$U1734, "")</f>
        <v/>
      </c>
      <c r="Y1734" s="25" t="str">
        <f>IF(Table26[[#This Row],[customerSKU]]="","",_xlfn.XLOOKUP(Table26[[#This Row],[customerSKU]],Table27[customer_SKU],Table27[product_GTIN],"",0,1))</f>
        <v/>
      </c>
      <c r="Z1734" s="25" t="s">
        <v>3560</v>
      </c>
      <c r="AA1734" s="18" t="str" cm="1">
        <f t="array" ref="AA1734">IF(P1734="", "", _xlfn.XLOOKUP(P1734,#REF!,#REF!,NA,0,-1))</f>
        <v/>
      </c>
      <c r="AB1734" s="22"/>
      <c r="AC1734" s="55" t="str">
        <f>IF(Table26[[#This Row],[customerSKU]]="","",_xlfn.XLOOKUP(Table26[[#This Row],[customerSKU]],customerSKU!G:G,customerSKU!C:C,"",0,1))</f>
        <v/>
      </c>
      <c r="AD1734" s="55" t="str">
        <f>IF($AC1734="","",_xlfn.XLOOKUP($AC1734,'Client Info'!$C$2:$C$2497,'Client Info'!$D$2:$D$2497,"",0,1))</f>
        <v/>
      </c>
      <c r="AE1734" s="55" t="str">
        <f>IF($AC1734="","",_xlfn.XLOOKUP($AC1734,'Client Info'!$C$2:$C$2677,'Client Info'!$E$2:$E$2677,"",))</f>
        <v/>
      </c>
      <c r="AF1734" s="55" t="str">
        <f>IF($AC1734="","",_xlfn.XLOOKUP($AC1734,'Client Info'!$C$2:$C$2677,'Client Info'!$F$2:$F$2677,"",0,1))</f>
        <v/>
      </c>
      <c r="AG1734" s="55" t="str">
        <f>IF(ISBLANK(Table26[[#This Row],[customerSKU]]),"",_xlfn.XLOOKUP(Table26[[#This Row],[customerSKU]],Table27[customer_SKU],Table27[billto],"",0,1))</f>
        <v/>
      </c>
      <c r="AH1734" s="26" t="str">
        <f>_xlfn.XLOOKUP(Table26[[#This Row],[customerSKU]],customerSKU!G:G,customerSKU!K:K,"NA",0,1)</f>
        <v>NA</v>
      </c>
      <c r="AI1734" s="43" t="str">
        <f>_xlfn.XLOOKUP(Table26[[#This Row],[customerSKU]],customerSKU!G:G,customerSKU!O:O,"not found",0,1)</f>
        <v>not found</v>
      </c>
      <c r="AJ1734" s="22" t="e">
        <f>Table26[[#This Row],[unitprice]]*Table26[[#This Row],[quantity_unit]]</f>
        <v>#VALUE!</v>
      </c>
      <c r="AK1734" s="227" t="e" cm="1">
        <f t="array" ref="AK17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5" spans="1:37" ht="24.6" customHeight="1">
      <c r="A1735" s="42">
        <v>504</v>
      </c>
      <c r="B1735" s="42" t="s">
        <v>3520</v>
      </c>
      <c r="C1735" s="53" t="s">
        <v>3427</v>
      </c>
      <c r="D1735" s="20">
        <v>45826</v>
      </c>
      <c r="E1735" s="20"/>
      <c r="F17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5" s="93"/>
      <c r="I1735" s="203">
        <v>45785</v>
      </c>
      <c r="J1735" s="90" t="str">
        <f>IF(Table26[[#This Row],[customerSKU]]="","",_xlfn.XLOOKUP(Table26[[#This Row],[customerSKU]],customerSKU!G:G,customerSKU!A:A,"",0,1))</f>
        <v/>
      </c>
      <c r="K1735" s="232">
        <v>45807</v>
      </c>
      <c r="L1735" s="49" t="str">
        <f>IF(Table26[[#This Row],[customerSKU]]="","",_xlfn.XLOOKUP(Table26[[#This Row],[customerSKU]],customerSKU!G:G,customerSKU!B:B,"",0,1))</f>
        <v/>
      </c>
      <c r="M1735" s="22"/>
      <c r="N1735" s="15" t="str">
        <f>Table26[[#This Row],[po_number]]&amp;"-"&amp;Table26[[#This Row],[po_line]]</f>
        <v>-2</v>
      </c>
      <c r="O1735" s="15">
        <v>2</v>
      </c>
      <c r="P1735" s="50"/>
      <c r="Q1735" s="22" t="s">
        <v>1811</v>
      </c>
      <c r="R1735" s="22" t="s">
        <v>3559</v>
      </c>
      <c r="S1735" s="90" t="str">
        <f>IF(Table26[[#This Row],[customerSKU]]="","",_xlfn.XLOOKUP(Table26[[#This Row],[customerSKU]],customerSKU!G:G,customerSKU!N:N,"NOT FOUND",0,1))</f>
        <v>NOT FOUND</v>
      </c>
      <c r="T1735" s="20">
        <v>45805</v>
      </c>
      <c r="U1735" s="94">
        <v>120</v>
      </c>
      <c r="V1735" s="22" t="str">
        <f>IF(ISBLANK(Table26[[#This Row],[customerSKU]]),"",_xlfn.XLOOKUP(Table26[[#This Row],[customerSKU]],Table27[customer_SKU],Table27[case_size],"",0,1))</f>
        <v/>
      </c>
      <c r="W1735" s="117">
        <v>2</v>
      </c>
      <c r="X1735" s="22" t="str">
        <f t="shared" si="72"/>
        <v/>
      </c>
      <c r="Y1735" s="25" t="str">
        <f>IF(Table26[[#This Row],[customerSKU]]="","",_xlfn.XLOOKUP(Table26[[#This Row],[customerSKU]],Table27[customer_SKU],Table27[product_GTIN],"",0,1))</f>
        <v/>
      </c>
      <c r="Z1735" s="25" t="s">
        <v>3561</v>
      </c>
      <c r="AA1735" s="18" t="str" cm="1">
        <f t="array" ref="AA1735">IF(P1735="", "", _xlfn.XLOOKUP(P1735,#REF!,#REF!,NA,0,-1))</f>
        <v/>
      </c>
      <c r="AB1735" s="22"/>
      <c r="AC1735" s="55" t="str">
        <f>IF(Table26[[#This Row],[customerSKU]]="","",_xlfn.XLOOKUP(Table26[[#This Row],[customerSKU]],customerSKU!G:G,customerSKU!C:C,"",0,1))</f>
        <v/>
      </c>
      <c r="AD1735" s="55" t="str">
        <f>IF($AC1735="","",_xlfn.XLOOKUP($AC1735,'Client Info'!$C$2:$C$2497,'Client Info'!$D$2:$D$2497,"",0,1))</f>
        <v/>
      </c>
      <c r="AE1735" s="55" t="str">
        <f>IF($AC1735="","",_xlfn.XLOOKUP($AC1735,'Client Info'!$C$2:$C$2677,'Client Info'!$E$2:$E$2677,"",))</f>
        <v/>
      </c>
      <c r="AF1735" s="55" t="str">
        <f>IF($AC1735="","",_xlfn.XLOOKUP($AC1735,'Client Info'!$C$2:$C$2677,'Client Info'!$F$2:$F$2677,"",0,1))</f>
        <v/>
      </c>
      <c r="AG1735" s="55" t="str">
        <f>IF(ISBLANK(Table26[[#This Row],[customerSKU]]),"",_xlfn.XLOOKUP(Table26[[#This Row],[customerSKU]],Table27[customer_SKU],Table27[billto],"",0,1))</f>
        <v/>
      </c>
      <c r="AH1735" s="26" t="str">
        <f>_xlfn.XLOOKUP(Table26[[#This Row],[customerSKU]],customerSKU!G:G,customerSKU!K:K,"NA",0,1)</f>
        <v>NA</v>
      </c>
      <c r="AI1735" s="43" t="str">
        <f>_xlfn.XLOOKUP(Table26[[#This Row],[customerSKU]],customerSKU!G:G,customerSKU!O:O,"not found",0,1)</f>
        <v>not found</v>
      </c>
      <c r="AJ1735" s="22" t="e">
        <f>Table26[[#This Row],[unitprice]]*Table26[[#This Row],[quantity_unit]]</f>
        <v>#VALUE!</v>
      </c>
      <c r="AK1735" s="227" t="e" cm="1">
        <f t="array" ref="AK17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6" spans="1:37" ht="24.6" customHeight="1">
      <c r="A1736" s="42">
        <v>505</v>
      </c>
      <c r="B1736" s="42" t="s">
        <v>3520</v>
      </c>
      <c r="C1736" s="53" t="s">
        <v>3427</v>
      </c>
      <c r="D1736" s="20">
        <v>45826</v>
      </c>
      <c r="E1736" s="20"/>
      <c r="F17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6" s="93"/>
      <c r="I1736" s="203">
        <v>45785</v>
      </c>
      <c r="J1736" s="90" t="str">
        <f>IF(Table26[[#This Row],[customerSKU]]="","",_xlfn.XLOOKUP(Table26[[#This Row],[customerSKU]],customerSKU!G:G,customerSKU!A:A,"",0,1))</f>
        <v/>
      </c>
      <c r="K1736" s="232">
        <v>45807</v>
      </c>
      <c r="L1736" s="49" t="str">
        <f>IF(Table26[[#This Row],[customerSKU]]="","",_xlfn.XLOOKUP(Table26[[#This Row],[customerSKU]],customerSKU!G:G,customerSKU!B:B,"",0,1))</f>
        <v/>
      </c>
      <c r="M1736" s="22"/>
      <c r="N1736" s="15" t="str">
        <f>Table26[[#This Row],[po_number]]&amp;"-"&amp;Table26[[#This Row],[po_line]]</f>
        <v>-3</v>
      </c>
      <c r="O1736" s="15">
        <v>3</v>
      </c>
      <c r="P1736" s="50"/>
      <c r="Q1736" s="22" t="s">
        <v>591</v>
      </c>
      <c r="R1736" s="22" t="s">
        <v>3559</v>
      </c>
      <c r="S1736" s="90" t="str">
        <f>IF(Table26[[#This Row],[customerSKU]]="","",_xlfn.XLOOKUP(Table26[[#This Row],[customerSKU]],customerSKU!G:G,customerSKU!N:N,"NOT FOUND",0,1))</f>
        <v>NOT FOUND</v>
      </c>
      <c r="T1736" s="20">
        <v>45783</v>
      </c>
      <c r="U1736" s="94">
        <v>120</v>
      </c>
      <c r="V1736" s="22" t="str">
        <f>IF(ISBLANK(Table26[[#This Row],[customerSKU]]),"",_xlfn.XLOOKUP(Table26[[#This Row],[customerSKU]],Table27[customer_SKU],Table27[case_size],"",0,1))</f>
        <v/>
      </c>
      <c r="W1736" s="117">
        <v>1</v>
      </c>
      <c r="X1736" s="22" t="str">
        <f t="shared" si="72"/>
        <v/>
      </c>
      <c r="Y1736" s="25" t="str">
        <f>IF(Table26[[#This Row],[customerSKU]]="","",_xlfn.XLOOKUP(Table26[[#This Row],[customerSKU]],Table27[customer_SKU],Table27[product_GTIN],"",0,1))</f>
        <v/>
      </c>
      <c r="Z1736" s="25" t="s">
        <v>3562</v>
      </c>
      <c r="AA1736" s="18" t="str" cm="1">
        <f t="array" ref="AA1736">IF(P1736="", "", _xlfn.XLOOKUP(P1736,#REF!,#REF!,NA,0,-1))</f>
        <v/>
      </c>
      <c r="AB1736" s="22"/>
      <c r="AC1736" s="55" t="str">
        <f>IF(Table26[[#This Row],[customerSKU]]="","",_xlfn.XLOOKUP(Table26[[#This Row],[customerSKU]],customerSKU!G:G,customerSKU!C:C,"",0,1))</f>
        <v/>
      </c>
      <c r="AD1736" s="55" t="str">
        <f>IF($AC1736="","",_xlfn.XLOOKUP($AC1736,'Client Info'!$C$2:$C$2497,'Client Info'!$D$2:$D$2497,"",0,1))</f>
        <v/>
      </c>
      <c r="AE1736" s="55" t="str">
        <f>IF($AC1736="","",_xlfn.XLOOKUP($AC1736,'Client Info'!$C$2:$C$2677,'Client Info'!$E$2:$E$2677,"",))</f>
        <v/>
      </c>
      <c r="AF1736" s="55" t="str">
        <f>IF($AC1736="","",_xlfn.XLOOKUP($AC1736,'Client Info'!$C$2:$C$2677,'Client Info'!$F$2:$F$2677,"",0,1))</f>
        <v/>
      </c>
      <c r="AG1736" s="55" t="str">
        <f>IF(ISBLANK(Table26[[#This Row],[customerSKU]]),"",_xlfn.XLOOKUP(Table26[[#This Row],[customerSKU]],Table27[customer_SKU],Table27[billto],"",0,1))</f>
        <v/>
      </c>
      <c r="AH1736" s="26" t="str">
        <f>_xlfn.XLOOKUP(Table26[[#This Row],[customerSKU]],customerSKU!G:G,customerSKU!K:K,"NA",0,1)</f>
        <v>NA</v>
      </c>
      <c r="AI1736" s="43" t="str">
        <f>_xlfn.XLOOKUP(Table26[[#This Row],[customerSKU]],customerSKU!G:G,customerSKU!O:O,"not found",0,1)</f>
        <v>not found</v>
      </c>
      <c r="AJ1736" s="22" t="e">
        <f>Table26[[#This Row],[unitprice]]*Table26[[#This Row],[quantity_unit]]</f>
        <v>#VALUE!</v>
      </c>
      <c r="AK1736" s="227" t="e" cm="1">
        <f t="array" ref="AK17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7" spans="1:37" ht="24.6" customHeight="1">
      <c r="A1737" s="42">
        <v>506</v>
      </c>
      <c r="B1737" s="42" t="s">
        <v>3520</v>
      </c>
      <c r="C1737" s="53" t="s">
        <v>3427</v>
      </c>
      <c r="D1737" s="20">
        <v>45826</v>
      </c>
      <c r="E1737" s="20"/>
      <c r="F17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7" s="93"/>
      <c r="I1737" s="203">
        <v>45785</v>
      </c>
      <c r="J1737" s="90" t="str">
        <f>IF(Table26[[#This Row],[customerSKU]]="","",_xlfn.XLOOKUP(Table26[[#This Row],[customerSKU]],customerSKU!G:G,customerSKU!A:A,"",0,1))</f>
        <v/>
      </c>
      <c r="K1737" s="232">
        <v>45807</v>
      </c>
      <c r="L1737" s="49" t="str">
        <f>IF(Table26[[#This Row],[customerSKU]]="","",_xlfn.XLOOKUP(Table26[[#This Row],[customerSKU]],customerSKU!G:G,customerSKU!B:B,"",0,1))</f>
        <v/>
      </c>
      <c r="M1737" s="22"/>
      <c r="N1737" s="15" t="str">
        <f>Table26[[#This Row],[po_number]]&amp;"-"&amp;Table26[[#This Row],[po_line]]</f>
        <v>-4</v>
      </c>
      <c r="O1737" s="15">
        <v>4</v>
      </c>
      <c r="P1737" s="50"/>
      <c r="Q1737" s="22" t="s">
        <v>1770</v>
      </c>
      <c r="R1737" s="22" t="s">
        <v>3559</v>
      </c>
      <c r="S1737" s="90" t="str">
        <f>IF(Table26[[#This Row],[customerSKU]]="","",_xlfn.XLOOKUP(Table26[[#This Row],[customerSKU]],customerSKU!G:G,customerSKU!N:N,"NOT FOUND",0,1))</f>
        <v>NOT FOUND</v>
      </c>
      <c r="T1737" s="20">
        <v>45790</v>
      </c>
      <c r="U1737" s="94">
        <v>120</v>
      </c>
      <c r="V1737" s="22" t="str">
        <f>IF(ISBLANK(Table26[[#This Row],[customerSKU]]),"",_xlfn.XLOOKUP(Table26[[#This Row],[customerSKU]],Table27[customer_SKU],Table27[case_size],"",0,1))</f>
        <v/>
      </c>
      <c r="W1737" s="117">
        <v>1</v>
      </c>
      <c r="X1737" s="22" t="str">
        <f t="shared" si="72"/>
        <v/>
      </c>
      <c r="Y1737" s="25" t="str">
        <f>IF(Table26[[#This Row],[customerSKU]]="","",_xlfn.XLOOKUP(Table26[[#This Row],[customerSKU]],Table27[customer_SKU],Table27[product_GTIN],"",0,1))</f>
        <v/>
      </c>
      <c r="Z1737" s="25" t="s">
        <v>3563</v>
      </c>
      <c r="AA1737" s="18" t="str" cm="1">
        <f t="array" ref="AA1737">IF(P1737="", "", _xlfn.XLOOKUP(P1737,#REF!,#REF!,NA,0,-1))</f>
        <v/>
      </c>
      <c r="AB1737" s="22"/>
      <c r="AC1737" s="55" t="str">
        <f>IF(Table26[[#This Row],[customerSKU]]="","",_xlfn.XLOOKUP(Table26[[#This Row],[customerSKU]],customerSKU!G:G,customerSKU!C:C,"",0,1))</f>
        <v/>
      </c>
      <c r="AD1737" s="55" t="str">
        <f>IF($AC1737="","",_xlfn.XLOOKUP($AC1737,'Client Info'!$C$2:$C$2497,'Client Info'!$D$2:$D$2497,"",0,1))</f>
        <v/>
      </c>
      <c r="AE1737" s="55" t="str">
        <f>IF($AC1737="","",_xlfn.XLOOKUP($AC1737,'Client Info'!$C$2:$C$2677,'Client Info'!$E$2:$E$2677,"",))</f>
        <v/>
      </c>
      <c r="AF1737" s="55" t="str">
        <f>IF($AC1737="","",_xlfn.XLOOKUP($AC1737,'Client Info'!$C$2:$C$2677,'Client Info'!$F$2:$F$2677,"",0,1))</f>
        <v/>
      </c>
      <c r="AG1737" s="55" t="str">
        <f>IF(ISBLANK(Table26[[#This Row],[customerSKU]]),"",_xlfn.XLOOKUP(Table26[[#This Row],[customerSKU]],Table27[customer_SKU],Table27[billto],"",0,1))</f>
        <v/>
      </c>
      <c r="AH1737" s="26" t="str">
        <f>_xlfn.XLOOKUP(Table26[[#This Row],[customerSKU]],customerSKU!G:G,customerSKU!K:K,"NA",0,1)</f>
        <v>NA</v>
      </c>
      <c r="AI1737" s="43" t="str">
        <f>_xlfn.XLOOKUP(Table26[[#This Row],[customerSKU]],customerSKU!G:G,customerSKU!O:O,"not found",0,1)</f>
        <v>not found</v>
      </c>
      <c r="AJ1737" s="22" t="e">
        <f>Table26[[#This Row],[unitprice]]*Table26[[#This Row],[quantity_unit]]</f>
        <v>#VALUE!</v>
      </c>
      <c r="AK1737" s="227" t="e" cm="1">
        <f t="array" ref="AK17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8" spans="1:37" ht="24.6" customHeight="1">
      <c r="A1738" s="42">
        <v>507</v>
      </c>
      <c r="B1738" s="42" t="s">
        <v>3520</v>
      </c>
      <c r="C1738" s="53" t="s">
        <v>3427</v>
      </c>
      <c r="D1738" s="20">
        <v>45826</v>
      </c>
      <c r="E1738" s="20"/>
      <c r="F17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38" s="93"/>
      <c r="I1738" s="203">
        <v>45785</v>
      </c>
      <c r="J1738" s="90" t="str">
        <f>IF(Table26[[#This Row],[customerSKU]]="","",_xlfn.XLOOKUP(Table26[[#This Row],[customerSKU]],customerSKU!G:G,customerSKU!A:A,"",0,1))</f>
        <v/>
      </c>
      <c r="K1738" s="232">
        <v>45807</v>
      </c>
      <c r="L1738" s="49" t="str">
        <f>IF(Table26[[#This Row],[customerSKU]]="","",_xlfn.XLOOKUP(Table26[[#This Row],[customerSKU]],customerSKU!G:G,customerSKU!B:B,"",0,1))</f>
        <v/>
      </c>
      <c r="M1738" s="22"/>
      <c r="N1738" s="15" t="str">
        <f>Table26[[#This Row],[po_number]]&amp;"-"&amp;Table26[[#This Row],[po_line]]</f>
        <v>-5</v>
      </c>
      <c r="O1738" s="15">
        <v>5</v>
      </c>
      <c r="P1738" s="50"/>
      <c r="Q1738" s="22" t="s">
        <v>3405</v>
      </c>
      <c r="R1738" s="22" t="s">
        <v>3559</v>
      </c>
      <c r="S1738" s="90" t="str">
        <f>IF(Table26[[#This Row],[customerSKU]]="","",_xlfn.XLOOKUP(Table26[[#This Row],[customerSKU]],customerSKU!G:G,customerSKU!N:N,"NOT FOUND",0,1))</f>
        <v>NOT FOUND</v>
      </c>
      <c r="T1738" s="20">
        <v>45805</v>
      </c>
      <c r="U1738" s="94">
        <v>120</v>
      </c>
      <c r="V1738" s="22" t="str">
        <f>IF(ISBLANK(Table26[[#This Row],[customerSKU]]),"",_xlfn.XLOOKUP(Table26[[#This Row],[customerSKU]],Table27[customer_SKU],Table27[case_size],"",0,1))</f>
        <v/>
      </c>
      <c r="W1738" s="117">
        <v>1</v>
      </c>
      <c r="X1738" s="22" t="str">
        <f t="shared" si="72"/>
        <v/>
      </c>
      <c r="Y1738" s="25" t="str">
        <f>IF(Table26[[#This Row],[customerSKU]]="","",_xlfn.XLOOKUP(Table26[[#This Row],[customerSKU]],Table27[customer_SKU],Table27[product_GTIN],"",0,1))</f>
        <v/>
      </c>
      <c r="Z1738" s="25" t="s">
        <v>3564</v>
      </c>
      <c r="AA1738" s="18" t="str" cm="1">
        <f t="array" ref="AA1738">IF(P1738="", "", _xlfn.XLOOKUP(P1738,#REF!,#REF!,NA,0,-1))</f>
        <v/>
      </c>
      <c r="AB1738" s="22"/>
      <c r="AC1738" s="55" t="str">
        <f>IF(Table26[[#This Row],[customerSKU]]="","",_xlfn.XLOOKUP(Table26[[#This Row],[customerSKU]],customerSKU!G:G,customerSKU!C:C,"",0,1))</f>
        <v/>
      </c>
      <c r="AD1738" s="55" t="str">
        <f>IF($AC1738="","",_xlfn.XLOOKUP($AC1738,'Client Info'!$C$2:$C$2497,'Client Info'!$D$2:$D$2497,"",0,1))</f>
        <v/>
      </c>
      <c r="AE1738" s="55" t="str">
        <f>IF($AC1738="","",_xlfn.XLOOKUP($AC1738,'Client Info'!$C$2:$C$2677,'Client Info'!$E$2:$E$2677,"",))</f>
        <v/>
      </c>
      <c r="AF1738" s="55" t="str">
        <f>IF($AC1738="","",_xlfn.XLOOKUP($AC1738,'Client Info'!$C$2:$C$2677,'Client Info'!$F$2:$F$2677,"",0,1))</f>
        <v/>
      </c>
      <c r="AG1738" s="55" t="str">
        <f>IF(ISBLANK(Table26[[#This Row],[customerSKU]]),"",_xlfn.XLOOKUP(Table26[[#This Row],[customerSKU]],Table27[customer_SKU],Table27[billto],"",0,1))</f>
        <v/>
      </c>
      <c r="AH1738" s="26" t="str">
        <f>_xlfn.XLOOKUP(Table26[[#This Row],[customerSKU]],customerSKU!G:G,customerSKU!K:K,"NA",0,1)</f>
        <v>NA</v>
      </c>
      <c r="AI1738" s="43" t="str">
        <f>_xlfn.XLOOKUP(Table26[[#This Row],[customerSKU]],customerSKU!G:G,customerSKU!O:O,"not found",0,1)</f>
        <v>not found</v>
      </c>
      <c r="AJ1738" s="22" t="e">
        <f>Table26[[#This Row],[unitprice]]*Table26[[#This Row],[quantity_unit]]</f>
        <v>#VALUE!</v>
      </c>
      <c r="AK1738" s="227" t="e" cm="1">
        <f t="array" ref="AK17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39" spans="1:37" ht="24.6" customHeight="1">
      <c r="A1739" s="42">
        <v>508</v>
      </c>
      <c r="B1739" s="42" t="s">
        <v>3357</v>
      </c>
      <c r="C1739" s="53" t="s">
        <v>3427</v>
      </c>
      <c r="D1739" s="20">
        <v>45817</v>
      </c>
      <c r="E1739" s="20"/>
      <c r="F1739" s="25"/>
      <c r="G1739" s="93"/>
      <c r="I1739" s="203">
        <v>45785</v>
      </c>
      <c r="J1739" s="90" t="str">
        <f>IF(Table26[[#This Row],[customerSKU]]="","",_xlfn.XLOOKUP(Table26[[#This Row],[customerSKU]],customerSKU!G:G,customerSKU!A:A,"",0,1))</f>
        <v/>
      </c>
      <c r="K1739" s="232">
        <v>45807</v>
      </c>
      <c r="L1739" s="49" t="str">
        <f>IF(Table26[[#This Row],[customerSKU]]="","",_xlfn.XLOOKUP(Table26[[#This Row],[customerSKU]],customerSKU!G:G,customerSKU!B:B,"",0,1))</f>
        <v/>
      </c>
      <c r="M1739" s="22"/>
      <c r="N1739" s="15" t="str">
        <f>Table26[[#This Row],[po_number]]&amp;"-"&amp;Table26[[#This Row],[po_line]]</f>
        <v>-1</v>
      </c>
      <c r="O1739" s="15">
        <v>1</v>
      </c>
      <c r="P1739" s="50"/>
      <c r="Q1739" s="22" t="s">
        <v>585</v>
      </c>
      <c r="R1739" s="47" t="s">
        <v>3428</v>
      </c>
      <c r="S1739" s="90" t="str">
        <f>IF(Table26[[#This Row],[customerSKU]]="","",_xlfn.XLOOKUP(Table26[[#This Row],[customerSKU]],customerSKU!G:G,customerSKU!N:N,"NOT FOUND",0,1))</f>
        <v>NOT FOUND</v>
      </c>
      <c r="T1739" s="20">
        <v>45777</v>
      </c>
      <c r="U1739" s="94">
        <v>36</v>
      </c>
      <c r="V1739" s="22" t="str">
        <f>IF(ISBLANK(Table26[[#This Row],[customerSKU]]),"",_xlfn.XLOOKUP(Table26[[#This Row],[customerSKU]],Table27[customer_SKU],Table27[case_size],"",0,1))</f>
        <v/>
      </c>
      <c r="W1739" s="117" t="str">
        <f t="shared" ref="W1739:W1802" si="73">IFERROR(U1739/V1739, "")</f>
        <v/>
      </c>
      <c r="X1739" s="22" t="str">
        <f t="shared" si="72"/>
        <v/>
      </c>
      <c r="Y1739" s="25" t="str">
        <f>IF(Table26[[#This Row],[customerSKU]]="","",_xlfn.XLOOKUP(Table26[[#This Row],[customerSKU]],Table27[customer_SKU],Table27[product_GTIN],"",0,1))</f>
        <v/>
      </c>
      <c r="Z1739" s="25" t="s">
        <v>3584</v>
      </c>
      <c r="AA1739" s="18" t="str" cm="1">
        <f t="array" ref="AA1739">IF(P1739="", "", _xlfn.XLOOKUP(P1739,#REF!,#REF!,NA,0,-1))</f>
        <v/>
      </c>
      <c r="AB1739" s="22"/>
      <c r="AC1739" s="55" t="str">
        <f>IF(Table26[[#This Row],[customerSKU]]="","",_xlfn.XLOOKUP(Table26[[#This Row],[customerSKU]],customerSKU!G:G,customerSKU!C:C,"",0,1))</f>
        <v/>
      </c>
      <c r="AD1739" s="55" t="str">
        <f>IF($AC1739="","",_xlfn.XLOOKUP($AC1739,'Client Info'!$C$2:$C$2497,'Client Info'!$D$2:$D$2497,"",0,1))</f>
        <v/>
      </c>
      <c r="AE1739" s="55" t="str">
        <f>IF($AC1739="","",_xlfn.XLOOKUP($AC1739,'Client Info'!$C$2:$C$2677,'Client Info'!$E$2:$E$2677,"",))</f>
        <v/>
      </c>
      <c r="AF1739" s="55" t="str">
        <f>IF($AC1739="","",_xlfn.XLOOKUP($AC1739,'Client Info'!$C$2:$C$2677,'Client Info'!$F$2:$F$2677,"",0,1))</f>
        <v/>
      </c>
      <c r="AG1739" s="55" t="str">
        <f>IF(ISBLANK(Table26[[#This Row],[customerSKU]]),"",_xlfn.XLOOKUP(Table26[[#This Row],[customerSKU]],Table27[customer_SKU],Table27[billto],"",0,1))</f>
        <v/>
      </c>
      <c r="AH1739" s="26" t="str">
        <f>_xlfn.XLOOKUP(Table26[[#This Row],[customerSKU]],customerSKU!G:G,customerSKU!K:K,"NA",0,1)</f>
        <v>NA</v>
      </c>
      <c r="AI1739" s="43" t="str">
        <f>_xlfn.XLOOKUP(Table26[[#This Row],[customerSKU]],customerSKU!G:G,customerSKU!O:O,"not found",0,1)</f>
        <v>not found</v>
      </c>
      <c r="AJ1739" s="22" t="e">
        <f>Table26[[#This Row],[unitprice]]*Table26[[#This Row],[quantity_unit]]</f>
        <v>#VALUE!</v>
      </c>
      <c r="AK1739" s="227" t="e" cm="1">
        <f t="array" ref="AK17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0" spans="1:37" ht="24.6" customHeight="1">
      <c r="A1740" s="42">
        <v>509</v>
      </c>
      <c r="B1740" s="42" t="s">
        <v>3357</v>
      </c>
      <c r="C1740" s="53" t="s">
        <v>3427</v>
      </c>
      <c r="D1740" s="20">
        <v>45817</v>
      </c>
      <c r="E1740" s="20"/>
      <c r="F1740" s="25"/>
      <c r="G1740" s="93"/>
      <c r="I1740" s="203">
        <v>45785</v>
      </c>
      <c r="J1740" s="90" t="str">
        <f>IF(Table26[[#This Row],[customerSKU]]="","",_xlfn.XLOOKUP(Table26[[#This Row],[customerSKU]],customerSKU!G:G,customerSKU!A:A,"",0,1))</f>
        <v/>
      </c>
      <c r="K1740" s="232">
        <v>45807</v>
      </c>
      <c r="L1740" s="49" t="str">
        <f>IF(Table26[[#This Row],[customerSKU]]="","",_xlfn.XLOOKUP(Table26[[#This Row],[customerSKU]],customerSKU!G:G,customerSKU!B:B,"",0,1))</f>
        <v/>
      </c>
      <c r="M1740" s="22"/>
      <c r="N1740" s="15" t="str">
        <f>Table26[[#This Row],[po_number]]&amp;"-"&amp;Table26[[#This Row],[po_line]]</f>
        <v>-2</v>
      </c>
      <c r="O1740" s="15">
        <v>2</v>
      </c>
      <c r="P1740" s="50"/>
      <c r="Q1740" s="22" t="s">
        <v>585</v>
      </c>
      <c r="R1740" s="47" t="s">
        <v>3428</v>
      </c>
      <c r="S1740" s="90" t="str">
        <f>IF(Table26[[#This Row],[customerSKU]]="","",_xlfn.XLOOKUP(Table26[[#This Row],[customerSKU]],customerSKU!G:G,customerSKU!N:N,"NOT FOUND",0,1))</f>
        <v>NOT FOUND</v>
      </c>
      <c r="T1740" s="20">
        <v>45755</v>
      </c>
      <c r="U1740" s="94">
        <v>108</v>
      </c>
      <c r="V1740" s="22" t="str">
        <f>IF(ISBLANK(Table26[[#This Row],[customerSKU]]),"",_xlfn.XLOOKUP(Table26[[#This Row],[customerSKU]],Table27[customer_SKU],Table27[case_size],"",0,1))</f>
        <v/>
      </c>
      <c r="W1740" s="117" t="str">
        <f t="shared" si="73"/>
        <v/>
      </c>
      <c r="X1740" s="22" t="str">
        <f t="shared" si="72"/>
        <v/>
      </c>
      <c r="Y1740" s="25" t="str">
        <f>IF(Table26[[#This Row],[customerSKU]]="","",_xlfn.XLOOKUP(Table26[[#This Row],[customerSKU]],Table27[customer_SKU],Table27[product_GTIN],"",0,1))</f>
        <v/>
      </c>
      <c r="Z1740" s="25" t="s">
        <v>3584</v>
      </c>
      <c r="AA1740" s="18" t="str" cm="1">
        <f t="array" ref="AA1740">IF(P1740="", "", _xlfn.XLOOKUP(P1740,#REF!,#REF!,NA,0,-1))</f>
        <v/>
      </c>
      <c r="AB1740" s="22"/>
      <c r="AC1740" s="55" t="str">
        <f>IF(Table26[[#This Row],[customerSKU]]="","",_xlfn.XLOOKUP(Table26[[#This Row],[customerSKU]],customerSKU!G:G,customerSKU!C:C,"",0,1))</f>
        <v/>
      </c>
      <c r="AD1740" s="55" t="str">
        <f>IF($AC1740="","",_xlfn.XLOOKUP($AC1740,'Client Info'!$C$2:$C$2497,'Client Info'!$D$2:$D$2497,"",0,1))</f>
        <v/>
      </c>
      <c r="AE1740" s="55" t="str">
        <f>IF($AC1740="","",_xlfn.XLOOKUP($AC1740,'Client Info'!$C$2:$C$2677,'Client Info'!$E$2:$E$2677,"",))</f>
        <v/>
      </c>
      <c r="AF1740" s="55" t="str">
        <f>IF($AC1740="","",_xlfn.XLOOKUP($AC1740,'Client Info'!$C$2:$C$2677,'Client Info'!$F$2:$F$2677,"",0,1))</f>
        <v/>
      </c>
      <c r="AG1740" s="55" t="str">
        <f>IF(ISBLANK(Table26[[#This Row],[customerSKU]]),"",_xlfn.XLOOKUP(Table26[[#This Row],[customerSKU]],Table27[customer_SKU],Table27[billto],"",0,1))</f>
        <v/>
      </c>
      <c r="AH1740" s="26" t="str">
        <f>_xlfn.XLOOKUP(Table26[[#This Row],[customerSKU]],customerSKU!G:G,customerSKU!K:K,"NA",0,1)</f>
        <v>NA</v>
      </c>
      <c r="AI1740" s="43" t="str">
        <f>_xlfn.XLOOKUP(Table26[[#This Row],[customerSKU]],customerSKU!G:G,customerSKU!O:O,"not found",0,1)</f>
        <v>not found</v>
      </c>
      <c r="AJ1740" s="22" t="e">
        <f>Table26[[#This Row],[unitprice]]*Table26[[#This Row],[quantity_unit]]</f>
        <v>#VALUE!</v>
      </c>
      <c r="AK1740" s="227" t="e" cm="1">
        <f t="array" ref="AK17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1" spans="1:37" ht="18" customHeight="1">
      <c r="A1741" s="42">
        <v>510</v>
      </c>
      <c r="B1741" s="42" t="s">
        <v>3357</v>
      </c>
      <c r="C1741" s="53" t="s">
        <v>3427</v>
      </c>
      <c r="D1741" s="20">
        <v>45817</v>
      </c>
      <c r="E1741" s="20"/>
      <c r="F1741" s="25"/>
      <c r="G1741" s="93"/>
      <c r="I1741" s="203">
        <v>45785</v>
      </c>
      <c r="J1741" s="90" t="str">
        <f>IF(Table26[[#This Row],[customerSKU]]="","",_xlfn.XLOOKUP(Table26[[#This Row],[customerSKU]],customerSKU!G:G,customerSKU!A:A,"",0,1))</f>
        <v/>
      </c>
      <c r="K1741" s="232">
        <v>45807</v>
      </c>
      <c r="L1741" s="49" t="str">
        <f>IF(Table26[[#This Row],[customerSKU]]="","",_xlfn.XLOOKUP(Table26[[#This Row],[customerSKU]],customerSKU!G:G,customerSKU!B:B,"",0,1))</f>
        <v/>
      </c>
      <c r="M1741" s="22"/>
      <c r="N1741" s="15" t="str">
        <f>Table26[[#This Row],[po_number]]&amp;"-"&amp;Table26[[#This Row],[po_line]]</f>
        <v>-3</v>
      </c>
      <c r="O1741" s="15">
        <v>3</v>
      </c>
      <c r="P1741" s="50"/>
      <c r="Q1741" s="22" t="s">
        <v>585</v>
      </c>
      <c r="R1741" s="47" t="s">
        <v>3428</v>
      </c>
      <c r="S1741" s="90" t="str">
        <f>IF(Table26[[#This Row],[customerSKU]]="","",_xlfn.XLOOKUP(Table26[[#This Row],[customerSKU]],customerSKU!G:G,customerSKU!N:N,"NOT FOUND",0,1))</f>
        <v>NOT FOUND</v>
      </c>
      <c r="T1741" s="20">
        <v>45803</v>
      </c>
      <c r="U1741" s="94">
        <f>450-36-108</f>
        <v>306</v>
      </c>
      <c r="V1741" s="22" t="str">
        <f>IF(ISBLANK(Table26[[#This Row],[customerSKU]]),"",_xlfn.XLOOKUP(Table26[[#This Row],[customerSKU]],Table27[customer_SKU],Table27[case_size],"",0,1))</f>
        <v/>
      </c>
      <c r="W1741" s="117" t="str">
        <f t="shared" si="73"/>
        <v/>
      </c>
      <c r="X1741" s="22" t="str">
        <f t="shared" si="72"/>
        <v/>
      </c>
      <c r="Y1741" s="25" t="str">
        <f>IF(Table26[[#This Row],[customerSKU]]="","",_xlfn.XLOOKUP(Table26[[#This Row],[customerSKU]],Table27[customer_SKU],Table27[product_GTIN],"",0,1))</f>
        <v/>
      </c>
      <c r="Z1741" s="25" t="s">
        <v>3584</v>
      </c>
      <c r="AA1741" s="18" t="str" cm="1">
        <f t="array" ref="AA1741">IF(P1741="", "", _xlfn.XLOOKUP(P1741,#REF!,#REF!,NA,0,-1))</f>
        <v/>
      </c>
      <c r="AB1741" s="22"/>
      <c r="AC1741" s="55" t="str">
        <f>IF(Table26[[#This Row],[customerSKU]]="","",_xlfn.XLOOKUP(Table26[[#This Row],[customerSKU]],customerSKU!G:G,customerSKU!C:C,"",0,1))</f>
        <v/>
      </c>
      <c r="AD1741" s="55" t="str">
        <f>IF($AC1741="","",_xlfn.XLOOKUP($AC1741,'Client Info'!$C$2:$C$2497,'Client Info'!$D$2:$D$2497,"",0,1))</f>
        <v/>
      </c>
      <c r="AE1741" s="55" t="str">
        <f>IF($AC1741="","",_xlfn.XLOOKUP($AC1741,'Client Info'!$C$2:$C$2677,'Client Info'!$E$2:$E$2677,"",))</f>
        <v/>
      </c>
      <c r="AF1741" s="55" t="str">
        <f>IF($AC1741="","",_xlfn.XLOOKUP($AC1741,'Client Info'!$C$2:$C$2677,'Client Info'!$F$2:$F$2677,"",0,1))</f>
        <v/>
      </c>
      <c r="AG1741" s="55" t="str">
        <f>IF(ISBLANK(Table26[[#This Row],[customerSKU]]),"",_xlfn.XLOOKUP(Table26[[#This Row],[customerSKU]],Table27[customer_SKU],Table27[billto],"",0,1))</f>
        <v/>
      </c>
      <c r="AH1741" s="26" t="str">
        <f>_xlfn.XLOOKUP(Table26[[#This Row],[customerSKU]],customerSKU!G:G,customerSKU!K:K,"NA",0,1)</f>
        <v>NA</v>
      </c>
      <c r="AI1741" s="43" t="str">
        <f>_xlfn.XLOOKUP(Table26[[#This Row],[customerSKU]],customerSKU!G:G,customerSKU!O:O,"not found",0,1)</f>
        <v>not found</v>
      </c>
      <c r="AJ1741" s="22" t="e">
        <f>Table26[[#This Row],[unitprice]]*Table26[[#This Row],[quantity_unit]]</f>
        <v>#VALUE!</v>
      </c>
      <c r="AK1741" s="227" t="e" cm="1">
        <f t="array" ref="AK17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2" spans="1:37" ht="18" customHeight="1">
      <c r="A1742" s="42">
        <v>511</v>
      </c>
      <c r="B1742" s="42" t="s">
        <v>3357</v>
      </c>
      <c r="C1742" s="53" t="s">
        <v>3427</v>
      </c>
      <c r="D1742" s="20">
        <v>45817</v>
      </c>
      <c r="E1742" s="20"/>
      <c r="F1742" s="25"/>
      <c r="G1742" s="93"/>
      <c r="I1742" s="203">
        <v>45785</v>
      </c>
      <c r="J1742" s="90" t="str">
        <f>IF(Table26[[#This Row],[customerSKU]]="","",_xlfn.XLOOKUP(Table26[[#This Row],[customerSKU]],customerSKU!G:G,customerSKU!A:A,"",0,1))</f>
        <v/>
      </c>
      <c r="K1742" s="232">
        <v>45807</v>
      </c>
      <c r="L1742" s="49" t="str">
        <f>IF(Table26[[#This Row],[customerSKU]]="","",_xlfn.XLOOKUP(Table26[[#This Row],[customerSKU]],customerSKU!G:G,customerSKU!B:B,"",0,1))</f>
        <v/>
      </c>
      <c r="M1742" s="22"/>
      <c r="N1742" s="15" t="str">
        <f>Table26[[#This Row],[po_number]]&amp;"-"&amp;Table26[[#This Row],[po_line]]</f>
        <v>-4</v>
      </c>
      <c r="O1742" s="15">
        <v>4</v>
      </c>
      <c r="P1742" s="50"/>
      <c r="Q1742" s="22" t="s">
        <v>1806</v>
      </c>
      <c r="R1742" s="47" t="s">
        <v>3428</v>
      </c>
      <c r="S1742" s="90" t="str">
        <f>IF(Table26[[#This Row],[customerSKU]]="","",_xlfn.XLOOKUP(Table26[[#This Row],[customerSKU]],customerSKU!G:G,customerSKU!N:N,"NOT FOUND",0,1))</f>
        <v>NOT FOUND</v>
      </c>
      <c r="T1742" s="20">
        <v>45807</v>
      </c>
      <c r="U1742" s="94">
        <v>450</v>
      </c>
      <c r="V1742" s="22" t="str">
        <f>IF(ISBLANK(Table26[[#This Row],[customerSKU]]),"",_xlfn.XLOOKUP(Table26[[#This Row],[customerSKU]],Table27[customer_SKU],Table27[case_size],"",0,1))</f>
        <v/>
      </c>
      <c r="W1742" s="117" t="str">
        <f t="shared" si="73"/>
        <v/>
      </c>
      <c r="X1742" s="22" t="str">
        <f t="shared" si="72"/>
        <v/>
      </c>
      <c r="Y1742" s="25" t="str">
        <f>IF(Table26[[#This Row],[customerSKU]]="","",_xlfn.XLOOKUP(Table26[[#This Row],[customerSKU]],Table27[customer_SKU],Table27[product_GTIN],"",0,1))</f>
        <v/>
      </c>
      <c r="Z1742" s="25" t="s">
        <v>3585</v>
      </c>
      <c r="AA1742" s="18" t="str" cm="1">
        <f t="array" ref="AA1742">IF(P1742="", "", _xlfn.XLOOKUP(P1742,#REF!,#REF!,NA,0,-1))</f>
        <v/>
      </c>
      <c r="AB1742" s="22"/>
      <c r="AC1742" s="55" t="str">
        <f>IF(Table26[[#This Row],[customerSKU]]="","",_xlfn.XLOOKUP(Table26[[#This Row],[customerSKU]],customerSKU!G:G,customerSKU!C:C,"",0,1))</f>
        <v/>
      </c>
      <c r="AD1742" s="55" t="str">
        <f>IF($AC1742="","",_xlfn.XLOOKUP($AC1742,'Client Info'!$C$2:$C$2497,'Client Info'!$D$2:$D$2497,"",0,1))</f>
        <v/>
      </c>
      <c r="AE1742" s="55" t="str">
        <f>IF($AC1742="","",_xlfn.XLOOKUP($AC1742,'Client Info'!$C$2:$C$2677,'Client Info'!$E$2:$E$2677,"",))</f>
        <v/>
      </c>
      <c r="AF1742" s="55" t="str">
        <f>IF($AC1742="","",_xlfn.XLOOKUP($AC1742,'Client Info'!$C$2:$C$2677,'Client Info'!$F$2:$F$2677,"",0,1))</f>
        <v/>
      </c>
      <c r="AG1742" s="55" t="str">
        <f>IF(ISBLANK(Table26[[#This Row],[customerSKU]]),"",_xlfn.XLOOKUP(Table26[[#This Row],[customerSKU]],Table27[customer_SKU],Table27[billto],"",0,1))</f>
        <v/>
      </c>
      <c r="AH1742" s="26" t="str">
        <f>_xlfn.XLOOKUP(Table26[[#This Row],[customerSKU]],customerSKU!G:G,customerSKU!K:K,"NA",0,1)</f>
        <v>NA</v>
      </c>
      <c r="AI1742" s="43" t="str">
        <f>_xlfn.XLOOKUP(Table26[[#This Row],[customerSKU]],customerSKU!G:G,customerSKU!O:O,"not found",0,1)</f>
        <v>not found</v>
      </c>
      <c r="AJ1742" s="22" t="e">
        <f>Table26[[#This Row],[unitprice]]*Table26[[#This Row],[quantity_unit]]</f>
        <v>#VALUE!</v>
      </c>
      <c r="AK1742" s="227" t="e" cm="1">
        <f t="array" ref="AK17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3" spans="1:37" ht="18" customHeight="1">
      <c r="A1743" s="42">
        <v>512</v>
      </c>
      <c r="B1743" s="42" t="s">
        <v>3357</v>
      </c>
      <c r="C1743" s="53" t="s">
        <v>3427</v>
      </c>
      <c r="D1743" s="20">
        <v>45817</v>
      </c>
      <c r="E1743" s="20"/>
      <c r="F1743" s="25"/>
      <c r="G1743" s="93"/>
      <c r="I1743" s="203">
        <v>45785</v>
      </c>
      <c r="J1743" s="90" t="str">
        <f>IF(Table26[[#This Row],[customerSKU]]="","",_xlfn.XLOOKUP(Table26[[#This Row],[customerSKU]],customerSKU!G:G,customerSKU!A:A,"",0,1))</f>
        <v/>
      </c>
      <c r="K1743" s="232">
        <v>45807</v>
      </c>
      <c r="L1743" s="49" t="str">
        <f>IF(Table26[[#This Row],[customerSKU]]="","",_xlfn.XLOOKUP(Table26[[#This Row],[customerSKU]],customerSKU!G:G,customerSKU!B:B,"",0,1))</f>
        <v/>
      </c>
      <c r="M1743" s="22"/>
      <c r="N1743" s="15" t="str">
        <f>Table26[[#This Row],[po_number]]&amp;"-"&amp;Table26[[#This Row],[po_line]]</f>
        <v>-5</v>
      </c>
      <c r="O1743" s="15">
        <v>5</v>
      </c>
      <c r="P1743" s="50"/>
      <c r="Q1743" s="22" t="s">
        <v>3586</v>
      </c>
      <c r="R1743" s="47" t="s">
        <v>3428</v>
      </c>
      <c r="S1743" s="90" t="str">
        <f>IF(Table26[[#This Row],[customerSKU]]="","",_xlfn.XLOOKUP(Table26[[#This Row],[customerSKU]],customerSKU!G:G,customerSKU!N:N,"NOT FOUND",0,1))</f>
        <v>NOT FOUND</v>
      </c>
      <c r="T1743" s="20">
        <v>45800</v>
      </c>
      <c r="U1743" s="94">
        <v>900</v>
      </c>
      <c r="V1743" s="22" t="str">
        <f>IF(ISBLANK(Table26[[#This Row],[customerSKU]]),"",_xlfn.XLOOKUP(Table26[[#This Row],[customerSKU]],Table27[customer_SKU],Table27[case_size],"",0,1))</f>
        <v/>
      </c>
      <c r="W1743" s="117" t="str">
        <f t="shared" si="73"/>
        <v/>
      </c>
      <c r="X1743" s="22" t="str">
        <f t="shared" si="72"/>
        <v/>
      </c>
      <c r="Y1743" s="25" t="str">
        <f>IF(Table26[[#This Row],[customerSKU]]="","",_xlfn.XLOOKUP(Table26[[#This Row],[customerSKU]],Table27[customer_SKU],Table27[product_GTIN],"",0,1))</f>
        <v/>
      </c>
      <c r="Z1743" s="25" t="s">
        <v>3587</v>
      </c>
      <c r="AA1743" s="18" t="str" cm="1">
        <f t="array" ref="AA1743">IF(P1743="", "", _xlfn.XLOOKUP(P1743,#REF!,#REF!,NA,0,-1))</f>
        <v/>
      </c>
      <c r="AB1743" s="22"/>
      <c r="AC1743" s="55" t="str">
        <f>IF(Table26[[#This Row],[customerSKU]]="","",_xlfn.XLOOKUP(Table26[[#This Row],[customerSKU]],customerSKU!G:G,customerSKU!C:C,"",0,1))</f>
        <v/>
      </c>
      <c r="AD1743" s="55" t="str">
        <f>IF($AC1743="","",_xlfn.XLOOKUP($AC1743,'Client Info'!$C$2:$C$2497,'Client Info'!$D$2:$D$2497,"",0,1))</f>
        <v/>
      </c>
      <c r="AE1743" s="55" t="str">
        <f>IF($AC1743="","",_xlfn.XLOOKUP($AC1743,'Client Info'!$C$2:$C$2677,'Client Info'!$E$2:$E$2677,"",))</f>
        <v/>
      </c>
      <c r="AF1743" s="55" t="str">
        <f>IF($AC1743="","",_xlfn.XLOOKUP($AC1743,'Client Info'!$C$2:$C$2677,'Client Info'!$F$2:$F$2677,"",0,1))</f>
        <v/>
      </c>
      <c r="AG1743" s="55" t="str">
        <f>IF(ISBLANK(Table26[[#This Row],[customerSKU]]),"",_xlfn.XLOOKUP(Table26[[#This Row],[customerSKU]],Table27[customer_SKU],Table27[billto],"",0,1))</f>
        <v/>
      </c>
      <c r="AH1743" s="26" t="str">
        <f>_xlfn.XLOOKUP(Table26[[#This Row],[customerSKU]],customerSKU!G:G,customerSKU!K:K,"NA",0,1)</f>
        <v>NA</v>
      </c>
      <c r="AI1743" s="43" t="str">
        <f>_xlfn.XLOOKUP(Table26[[#This Row],[customerSKU]],customerSKU!G:G,customerSKU!O:O,"not found",0,1)</f>
        <v>not found</v>
      </c>
      <c r="AJ1743" s="22" t="e">
        <f>Table26[[#This Row],[unitprice]]*Table26[[#This Row],[quantity_unit]]</f>
        <v>#VALUE!</v>
      </c>
      <c r="AK1743" s="227" t="e" cm="1">
        <f t="array" ref="AK17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4" spans="1:37" ht="18" customHeight="1">
      <c r="A1744" s="42">
        <v>513</v>
      </c>
      <c r="B1744" s="42" t="s">
        <v>3357</v>
      </c>
      <c r="C1744" s="53" t="s">
        <v>3427</v>
      </c>
      <c r="D1744" s="20">
        <v>45817</v>
      </c>
      <c r="E1744" s="20"/>
      <c r="F1744" s="25"/>
      <c r="G1744" s="93"/>
      <c r="I1744" s="203">
        <v>45792</v>
      </c>
      <c r="J1744" s="90" t="str">
        <f>IF(Table26[[#This Row],[customerSKU]]="","",_xlfn.XLOOKUP(Table26[[#This Row],[customerSKU]],customerSKU!G:G,customerSKU!A:A,"",0,1))</f>
        <v/>
      </c>
      <c r="K1744" s="232">
        <v>45807</v>
      </c>
      <c r="L1744" s="49" t="str">
        <f>IF(Table26[[#This Row],[customerSKU]]="","",_xlfn.XLOOKUP(Table26[[#This Row],[customerSKU]],customerSKU!G:G,customerSKU!B:B,"",0,1))</f>
        <v/>
      </c>
      <c r="M1744" s="22"/>
      <c r="N1744" s="15" t="str">
        <f>Table26[[#This Row],[po_number]]&amp;"-"&amp;Table26[[#This Row],[po_line]]</f>
        <v>-1</v>
      </c>
      <c r="O1744" s="15">
        <v>1</v>
      </c>
      <c r="P1744" s="50"/>
      <c r="Q1744" s="22" t="s">
        <v>659</v>
      </c>
      <c r="R1744" s="47" t="s">
        <v>3428</v>
      </c>
      <c r="S1744" s="90" t="str">
        <f>IF(Table26[[#This Row],[customerSKU]]="","",_xlfn.XLOOKUP(Table26[[#This Row],[customerSKU]],customerSKU!G:G,customerSKU!N:N,"NOT FOUND",0,1))</f>
        <v>NOT FOUND</v>
      </c>
      <c r="T1744" s="20">
        <v>45638</v>
      </c>
      <c r="U1744" s="94">
        <f>29*12</f>
        <v>348</v>
      </c>
      <c r="V1744" s="22" t="str">
        <f>IF(ISBLANK(Table26[[#This Row],[customerSKU]]),"",_xlfn.XLOOKUP(Table26[[#This Row],[customerSKU]],Table27[customer_SKU],Table27[case_size],"",0,1))</f>
        <v/>
      </c>
      <c r="W1744" s="117" t="str">
        <f t="shared" si="73"/>
        <v/>
      </c>
      <c r="X1744" s="22" t="str">
        <f t="shared" si="72"/>
        <v/>
      </c>
      <c r="Y1744" s="25" t="str">
        <f>IF(Table26[[#This Row],[customerSKU]]="","",_xlfn.XLOOKUP(Table26[[#This Row],[customerSKU]],Table27[customer_SKU],Table27[product_GTIN],"",0,1))</f>
        <v/>
      </c>
      <c r="Z1744" s="25" t="s">
        <v>3596</v>
      </c>
      <c r="AA1744" s="18" t="str" cm="1">
        <f t="array" ref="AA1744">IF(P1744="", "", _xlfn.XLOOKUP(P1744,#REF!,#REF!,NA,0,-1))</f>
        <v/>
      </c>
      <c r="AB1744" s="22" t="s">
        <v>532</v>
      </c>
      <c r="AC1744" s="55" t="str">
        <f>IF(Table26[[#This Row],[customerSKU]]="","",_xlfn.XLOOKUP(Table26[[#This Row],[customerSKU]],customerSKU!G:G,customerSKU!C:C,"",0,1))</f>
        <v/>
      </c>
      <c r="AD1744" s="55" t="str">
        <f>IF($AC1744="","",_xlfn.XLOOKUP($AC1744,'Client Info'!$C$2:$C$2497,'Client Info'!$D$2:$D$2497,"",0,1))</f>
        <v/>
      </c>
      <c r="AE1744" s="55" t="str">
        <f>IF($AC1744="","",_xlfn.XLOOKUP($AC1744,'Client Info'!$C$2:$C$2677,'Client Info'!$E$2:$E$2677,"",))</f>
        <v/>
      </c>
      <c r="AF1744" s="55" t="str">
        <f>IF($AC1744="","",_xlfn.XLOOKUP($AC1744,'Client Info'!$C$2:$C$2677,'Client Info'!$F$2:$F$2677,"",0,1))</f>
        <v/>
      </c>
      <c r="AG1744" s="55" t="str">
        <f>IF(ISBLANK(Table26[[#This Row],[customerSKU]]),"",_xlfn.XLOOKUP(Table26[[#This Row],[customerSKU]],Table27[customer_SKU],Table27[billto],"",0,1))</f>
        <v/>
      </c>
      <c r="AH1744" s="26" t="str">
        <f>_xlfn.XLOOKUP(Table26[[#This Row],[customerSKU]],customerSKU!G:G,customerSKU!K:K,"NA",0,1)</f>
        <v>NA</v>
      </c>
      <c r="AI1744" s="43" t="str">
        <f>_xlfn.XLOOKUP(Table26[[#This Row],[customerSKU]],customerSKU!G:G,customerSKU!O:O,"not found",0,1)</f>
        <v>not found</v>
      </c>
      <c r="AJ1744" s="22" t="e">
        <f>Table26[[#This Row],[unitprice]]*Table26[[#This Row],[quantity_unit]]</f>
        <v>#VALUE!</v>
      </c>
      <c r="AK1744" s="227" t="e" cm="1">
        <f t="array" ref="AK17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5" spans="1:37" ht="18" customHeight="1">
      <c r="A1745" s="42">
        <v>514</v>
      </c>
      <c r="B1745" s="42" t="s">
        <v>3357</v>
      </c>
      <c r="C1745" s="53" t="s">
        <v>3427</v>
      </c>
      <c r="D1745" s="20">
        <v>45817</v>
      </c>
      <c r="E1745" s="20"/>
      <c r="F1745" s="25"/>
      <c r="G1745" s="93"/>
      <c r="I1745" s="203">
        <v>45792</v>
      </c>
      <c r="J1745" s="90" t="str">
        <f>IF(Table26[[#This Row],[customerSKU]]="","",_xlfn.XLOOKUP(Table26[[#This Row],[customerSKU]],customerSKU!G:G,customerSKU!A:A,"",0,1))</f>
        <v/>
      </c>
      <c r="K1745" s="232">
        <v>45807</v>
      </c>
      <c r="L1745" s="49" t="str">
        <f>IF(Table26[[#This Row],[customerSKU]]="","",_xlfn.XLOOKUP(Table26[[#This Row],[customerSKU]],customerSKU!G:G,customerSKU!B:B,"",0,1))</f>
        <v/>
      </c>
      <c r="M1745" s="22"/>
      <c r="N1745" s="15" t="str">
        <f>Table26[[#This Row],[po_number]]&amp;"-"&amp;Table26[[#This Row],[po_line]]</f>
        <v>-2</v>
      </c>
      <c r="O1745" s="15">
        <v>2</v>
      </c>
      <c r="P1745" s="50"/>
      <c r="Q1745" s="22" t="s">
        <v>659</v>
      </c>
      <c r="R1745" s="47" t="s">
        <v>3428</v>
      </c>
      <c r="S1745" s="90" t="str">
        <f>IF(Table26[[#This Row],[customerSKU]]="","",_xlfn.XLOOKUP(Table26[[#This Row],[customerSKU]],customerSKU!G:G,customerSKU!N:N,"NOT FOUND",0,1))</f>
        <v>NOT FOUND</v>
      </c>
      <c r="T1745" s="20">
        <v>45638</v>
      </c>
      <c r="U1745" s="94">
        <v>12</v>
      </c>
      <c r="V1745" s="22" t="str">
        <f>IF(ISBLANK(Table26[[#This Row],[customerSKU]]),"",_xlfn.XLOOKUP(Table26[[#This Row],[customerSKU]],Table27[customer_SKU],Table27[case_size],"",0,1))</f>
        <v/>
      </c>
      <c r="W1745" s="117" t="str">
        <f t="shared" si="73"/>
        <v/>
      </c>
      <c r="X1745" s="22" t="str">
        <f t="shared" si="72"/>
        <v/>
      </c>
      <c r="Y1745" s="25" t="str">
        <f>IF(Table26[[#This Row],[customerSKU]]="","",_xlfn.XLOOKUP(Table26[[#This Row],[customerSKU]],Table27[customer_SKU],Table27[product_GTIN],"",0,1))</f>
        <v/>
      </c>
      <c r="Z1745" s="25" t="s">
        <v>3596</v>
      </c>
      <c r="AA1745" s="18" t="str" cm="1">
        <f t="array" ref="AA1745">IF(P1745="", "", _xlfn.XLOOKUP(P1745,#REF!,#REF!,NA,0,-1))</f>
        <v/>
      </c>
      <c r="AB1745" s="22"/>
      <c r="AC1745" s="55" t="str">
        <f>IF(Table26[[#This Row],[customerSKU]]="","",_xlfn.XLOOKUP(Table26[[#This Row],[customerSKU]],customerSKU!G:G,customerSKU!C:C,"",0,1))</f>
        <v/>
      </c>
      <c r="AD1745" s="55" t="str">
        <f>IF($AC1745="","",_xlfn.XLOOKUP($AC1745,'Client Info'!$C$2:$C$2497,'Client Info'!$D$2:$D$2497,"",0,1))</f>
        <v/>
      </c>
      <c r="AE1745" s="55" t="str">
        <f>IF($AC1745="","",_xlfn.XLOOKUP($AC1745,'Client Info'!$C$2:$C$2677,'Client Info'!$E$2:$E$2677,"",))</f>
        <v/>
      </c>
      <c r="AF1745" s="55" t="str">
        <f>IF($AC1745="","",_xlfn.XLOOKUP($AC1745,'Client Info'!$C$2:$C$2677,'Client Info'!$F$2:$F$2677,"",0,1))</f>
        <v/>
      </c>
      <c r="AG1745" s="55" t="str">
        <f>IF(ISBLANK(Table26[[#This Row],[customerSKU]]),"",_xlfn.XLOOKUP(Table26[[#This Row],[customerSKU]],Table27[customer_SKU],Table27[billto],"",0,1))</f>
        <v/>
      </c>
      <c r="AH1745" s="26" t="str">
        <f>_xlfn.XLOOKUP(Table26[[#This Row],[customerSKU]],customerSKU!G:G,customerSKU!K:K,"NA",0,1)</f>
        <v>NA</v>
      </c>
      <c r="AI1745" s="43" t="str">
        <f>_xlfn.XLOOKUP(Table26[[#This Row],[customerSKU]],customerSKU!G:G,customerSKU!O:O,"not found",0,1)</f>
        <v>not found</v>
      </c>
      <c r="AJ1745" s="22" t="e">
        <f>Table26[[#This Row],[unitprice]]*Table26[[#This Row],[quantity_unit]]</f>
        <v>#VALUE!</v>
      </c>
      <c r="AK1745" s="227" t="e" cm="1">
        <f t="array" ref="AK17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6" spans="1:37" ht="18" customHeight="1">
      <c r="A1746" s="42">
        <v>515</v>
      </c>
      <c r="B1746" s="42" t="s">
        <v>3357</v>
      </c>
      <c r="C1746" s="53" t="s">
        <v>3427</v>
      </c>
      <c r="D1746" s="20">
        <v>45817</v>
      </c>
      <c r="E1746" s="20"/>
      <c r="F1746" s="25"/>
      <c r="G1746" s="93"/>
      <c r="I1746" s="203">
        <v>45792</v>
      </c>
      <c r="J1746" s="90" t="str">
        <f>IF(Table26[[#This Row],[customerSKU]]="","",_xlfn.XLOOKUP(Table26[[#This Row],[customerSKU]],customerSKU!G:G,customerSKU!A:A,"",0,1))</f>
        <v/>
      </c>
      <c r="K1746" s="232">
        <v>45807</v>
      </c>
      <c r="L1746" s="49" t="str">
        <f>IF(Table26[[#This Row],[customerSKU]]="","",_xlfn.XLOOKUP(Table26[[#This Row],[customerSKU]],customerSKU!G:G,customerSKU!B:B,"",0,1))</f>
        <v/>
      </c>
      <c r="M1746" s="22"/>
      <c r="N1746" s="15" t="str">
        <f>Table26[[#This Row],[po_number]]&amp;"-"&amp;Table26[[#This Row],[po_line]]</f>
        <v>-3</v>
      </c>
      <c r="O1746" s="15">
        <v>3</v>
      </c>
      <c r="P1746" s="50"/>
      <c r="Q1746" s="22" t="s">
        <v>1807</v>
      </c>
      <c r="R1746" s="47" t="s">
        <v>3428</v>
      </c>
      <c r="S1746" s="90" t="str">
        <f>IF(Table26[[#This Row],[customerSKU]]="","",_xlfn.XLOOKUP(Table26[[#This Row],[customerSKU]],customerSKU!G:G,customerSKU!N:N,"NOT FOUND",0,1))</f>
        <v>NOT FOUND</v>
      </c>
      <c r="T1746" s="20">
        <v>45804</v>
      </c>
      <c r="U1746" s="94">
        <v>300</v>
      </c>
      <c r="V1746" s="22" t="str">
        <f>IF(ISBLANK(Table26[[#This Row],[customerSKU]]),"",_xlfn.XLOOKUP(Table26[[#This Row],[customerSKU]],Table27[customer_SKU],Table27[case_size],"",0,1))</f>
        <v/>
      </c>
      <c r="W1746" s="117" t="str">
        <f t="shared" si="73"/>
        <v/>
      </c>
      <c r="X1746" s="22" t="str">
        <f t="shared" si="72"/>
        <v/>
      </c>
      <c r="Y1746" s="25" t="str">
        <f>IF(Table26[[#This Row],[customerSKU]]="","",_xlfn.XLOOKUP(Table26[[#This Row],[customerSKU]],Table27[customer_SKU],Table27[product_GTIN],"",0,1))</f>
        <v/>
      </c>
      <c r="Z1746" s="25" t="s">
        <v>3472</v>
      </c>
      <c r="AA1746" s="18" t="str" cm="1">
        <f t="array" ref="AA1746">IF(P1746="", "", _xlfn.XLOOKUP(P1746,#REF!,#REF!,NA,0,-1))</f>
        <v/>
      </c>
      <c r="AB1746" s="22"/>
      <c r="AC1746" s="55" t="str">
        <f>IF(Table26[[#This Row],[customerSKU]]="","",_xlfn.XLOOKUP(Table26[[#This Row],[customerSKU]],customerSKU!G:G,customerSKU!C:C,"",0,1))</f>
        <v/>
      </c>
      <c r="AD1746" s="55" t="str">
        <f>IF($AC1746="","",_xlfn.XLOOKUP($AC1746,'Client Info'!$C$2:$C$2497,'Client Info'!$D$2:$D$2497,"",0,1))</f>
        <v/>
      </c>
      <c r="AE1746" s="55" t="str">
        <f>IF($AC1746="","",_xlfn.XLOOKUP($AC1746,'Client Info'!$C$2:$C$2677,'Client Info'!$E$2:$E$2677,"",))</f>
        <v/>
      </c>
      <c r="AF1746" s="55" t="str">
        <f>IF($AC1746="","",_xlfn.XLOOKUP($AC1746,'Client Info'!$C$2:$C$2677,'Client Info'!$F$2:$F$2677,"",0,1))</f>
        <v/>
      </c>
      <c r="AG1746" s="55" t="str">
        <f>IF(ISBLANK(Table26[[#This Row],[customerSKU]]),"",_xlfn.XLOOKUP(Table26[[#This Row],[customerSKU]],Table27[customer_SKU],Table27[billto],"",0,1))</f>
        <v/>
      </c>
      <c r="AH1746" s="26" t="str">
        <f>_xlfn.XLOOKUP(Table26[[#This Row],[customerSKU]],customerSKU!G:G,customerSKU!K:K,"NA",0,1)</f>
        <v>NA</v>
      </c>
      <c r="AI1746" s="43" t="str">
        <f>_xlfn.XLOOKUP(Table26[[#This Row],[customerSKU]],customerSKU!G:G,customerSKU!O:O,"not found",0,1)</f>
        <v>not found</v>
      </c>
      <c r="AJ1746" s="22" t="e">
        <f>Table26[[#This Row],[unitprice]]*Table26[[#This Row],[quantity_unit]]</f>
        <v>#VALUE!</v>
      </c>
      <c r="AK1746" s="227" t="e" cm="1">
        <f t="array" ref="AK17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7" spans="1:37" ht="18" customHeight="1">
      <c r="A1747" s="42">
        <v>516</v>
      </c>
      <c r="B1747" s="42" t="s">
        <v>3357</v>
      </c>
      <c r="C1747" s="53" t="s">
        <v>3427</v>
      </c>
      <c r="E1747" s="20"/>
      <c r="F1747" s="25"/>
      <c r="G1747" s="93"/>
      <c r="I1747" s="203">
        <v>45799</v>
      </c>
      <c r="J1747" s="90" t="str">
        <f>IF(Table26[[#This Row],[customerSKU]]="","",_xlfn.XLOOKUP(Table26[[#This Row],[customerSKU]],customerSKU!G:G,customerSKU!A:A,"",0,1))</f>
        <v/>
      </c>
      <c r="K1747" s="232">
        <v>45807</v>
      </c>
      <c r="L1747" s="49" t="str">
        <f>IF(Table26[[#This Row],[customerSKU]]="","",_xlfn.XLOOKUP(Table26[[#This Row],[customerSKU]],customerSKU!G:G,customerSKU!B:B,"",0,1))</f>
        <v/>
      </c>
      <c r="M1747" s="22"/>
      <c r="N1747" s="15" t="str">
        <f>Table26[[#This Row],[po_number]]&amp;"-"&amp;Table26[[#This Row],[po_line]]</f>
        <v>-1</v>
      </c>
      <c r="O1747" s="15">
        <v>1</v>
      </c>
      <c r="P1747" s="50"/>
      <c r="Q1747" s="22" t="s">
        <v>591</v>
      </c>
      <c r="R1747" s="47" t="s">
        <v>3428</v>
      </c>
      <c r="S1747" s="90" t="str">
        <f>IF(Table26[[#This Row],[customerSKU]]="","",_xlfn.XLOOKUP(Table26[[#This Row],[customerSKU]],customerSKU!G:G,customerSKU!N:N,"NOT FOUND",0,1))</f>
        <v>NOT FOUND</v>
      </c>
      <c r="T1747" s="20">
        <v>45783</v>
      </c>
      <c r="U1747" s="94">
        <v>120</v>
      </c>
      <c r="V1747" s="22" t="str">
        <f>IF(ISBLANK(Table26[[#This Row],[customerSKU]]),"",_xlfn.XLOOKUP(Table26[[#This Row],[customerSKU]],Table27[customer_SKU],Table27[case_size],"",0,1))</f>
        <v/>
      </c>
      <c r="W1747" s="117" t="str">
        <f t="shared" si="73"/>
        <v/>
      </c>
      <c r="X1747" s="22" t="str">
        <f t="shared" si="72"/>
        <v/>
      </c>
      <c r="Y1747" s="25" t="str">
        <f>IF(Table26[[#This Row],[customerSKU]]="","",_xlfn.XLOOKUP(Table26[[#This Row],[customerSKU]],Table27[customer_SKU],Table27[product_GTIN],"",0,1))</f>
        <v/>
      </c>
      <c r="Z1747" s="25" t="s">
        <v>3614</v>
      </c>
      <c r="AA1747" s="18" t="str" cm="1">
        <f t="array" ref="AA1747">IF(P1747="", "", _xlfn.XLOOKUP(P1747,#REF!,#REF!,NA,0,-1))</f>
        <v/>
      </c>
      <c r="AB1747" s="22"/>
      <c r="AC1747" s="55" t="str">
        <f>IF(Table26[[#This Row],[customerSKU]]="","",_xlfn.XLOOKUP(Table26[[#This Row],[customerSKU]],customerSKU!G:G,customerSKU!C:C,"",0,1))</f>
        <v/>
      </c>
      <c r="AD1747" s="55" t="str">
        <f>IF($AC1747="","",_xlfn.XLOOKUP($AC1747,'Client Info'!$C$2:$C$2497,'Client Info'!$D$2:$D$2497,"",0,1))</f>
        <v/>
      </c>
      <c r="AE1747" s="55" t="str">
        <f>IF($AC1747="","",_xlfn.XLOOKUP($AC1747,'Client Info'!$C$2:$C$2677,'Client Info'!$E$2:$E$2677,"",))</f>
        <v/>
      </c>
      <c r="AF1747" s="55" t="str">
        <f>IF($AC1747="","",_xlfn.XLOOKUP($AC1747,'Client Info'!$C$2:$C$2677,'Client Info'!$F$2:$F$2677,"",0,1))</f>
        <v/>
      </c>
      <c r="AG1747" s="55" t="str">
        <f>IF(ISBLANK(Table26[[#This Row],[customerSKU]]),"",_xlfn.XLOOKUP(Table26[[#This Row],[customerSKU]],Table27[customer_SKU],Table27[billto],"",0,1))</f>
        <v/>
      </c>
      <c r="AH1747" s="26" t="str">
        <f>_xlfn.XLOOKUP(Table26[[#This Row],[customerSKU]],customerSKU!G:G,customerSKU!K:K,"NA",0,1)</f>
        <v>NA</v>
      </c>
      <c r="AI1747" s="43" t="str">
        <f>_xlfn.XLOOKUP(Table26[[#This Row],[customerSKU]],customerSKU!G:G,customerSKU!O:O,"not found",0,1)</f>
        <v>not found</v>
      </c>
      <c r="AJ1747" s="22" t="e">
        <f>Table26[[#This Row],[unitprice]]*Table26[[#This Row],[quantity_unit]]</f>
        <v>#VALUE!</v>
      </c>
      <c r="AK1747" s="227" t="e" cm="1">
        <f t="array" ref="AK17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8" spans="1:37" ht="18" customHeight="1">
      <c r="A1748" s="42">
        <v>517</v>
      </c>
      <c r="B1748" s="42" t="s">
        <v>3520</v>
      </c>
      <c r="C1748" s="53" t="s">
        <v>3427</v>
      </c>
      <c r="E1748" s="20"/>
      <c r="F17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48" s="93"/>
      <c r="I1748" s="203">
        <v>45807</v>
      </c>
      <c r="J1748" s="90" t="str">
        <f>IF(Table26[[#This Row],[customerSKU]]="","",_xlfn.XLOOKUP(Table26[[#This Row],[customerSKU]],customerSKU!G:G,customerSKU!A:A,"",0,1))</f>
        <v/>
      </c>
      <c r="K1748" s="232">
        <v>45807</v>
      </c>
      <c r="L1748" s="49" t="str">
        <f>IF(Table26[[#This Row],[customerSKU]]="","",_xlfn.XLOOKUP(Table26[[#This Row],[customerSKU]],customerSKU!G:G,customerSKU!B:B,"",0,1))</f>
        <v/>
      </c>
      <c r="M1748" s="22"/>
      <c r="N1748" s="15" t="str">
        <f>Table26[[#This Row],[po_number]]&amp;"-"&amp;Table26[[#This Row],[po_line]]</f>
        <v>-1</v>
      </c>
      <c r="O1748" s="15">
        <v>1</v>
      </c>
      <c r="P1748" s="50"/>
      <c r="Q1748" s="22" t="s">
        <v>1811</v>
      </c>
      <c r="R1748" s="22" t="s">
        <v>221</v>
      </c>
      <c r="S1748" s="90" t="str">
        <f>IF(Table26[[#This Row],[customerSKU]]="","",_xlfn.XLOOKUP(Table26[[#This Row],[customerSKU]],customerSKU!G:G,customerSKU!N:N,"NOT FOUND",0,1))</f>
        <v>NOT FOUND</v>
      </c>
      <c r="T1748" s="20">
        <v>45805</v>
      </c>
      <c r="U1748" s="94">
        <v>12</v>
      </c>
      <c r="V1748" s="22" t="str">
        <f>IF(ISBLANK(Table26[[#This Row],[customerSKU]]),"",_xlfn.XLOOKUP(Table26[[#This Row],[customerSKU]],Table27[customer_SKU],Table27[case_size],"",0,1))</f>
        <v/>
      </c>
      <c r="W1748" s="117" t="str">
        <f t="shared" si="73"/>
        <v/>
      </c>
      <c r="X1748" s="22" t="str">
        <f t="shared" si="72"/>
        <v/>
      </c>
      <c r="Y1748" s="25" t="str">
        <f>IF(Table26[[#This Row],[customerSKU]]="","",_xlfn.XLOOKUP(Table26[[#This Row],[customerSKU]],Table27[customer_SKU],Table27[product_GTIN],"",0,1))</f>
        <v/>
      </c>
      <c r="Z1748" s="25" t="s">
        <v>3529</v>
      </c>
      <c r="AA1748" s="18" t="str" cm="1">
        <f t="array" ref="AA1748">IF(P1748="", "", _xlfn.XLOOKUP(P1748,#REF!,#REF!,NA,0,-1))</f>
        <v/>
      </c>
      <c r="AB1748" s="22"/>
      <c r="AC1748" s="55" t="s">
        <v>3635</v>
      </c>
      <c r="AD1748" s="55" t="str">
        <f>IF($AC1748="","",_xlfn.XLOOKUP($AC1748,'Client Info'!$C$2:$C$2497,'Client Info'!$D$2:$D$2497,"",0,1))</f>
        <v/>
      </c>
      <c r="AE1748" s="55" t="str">
        <f>IF($AC1748="","",_xlfn.XLOOKUP($AC1748,'Client Info'!$C$2:$C$2677,'Client Info'!$E$2:$E$2677,"",))</f>
        <v/>
      </c>
      <c r="AF1748" s="55" t="str">
        <f>IF($AC1748="","",_xlfn.XLOOKUP($AC1748,'Client Info'!$C$2:$C$2677,'Client Info'!$F$2:$F$2677,"",0,1))</f>
        <v/>
      </c>
      <c r="AG1748" s="55" t="str">
        <f>IF(ISBLANK(Table26[[#This Row],[customerSKU]]),"",_xlfn.XLOOKUP(Table26[[#This Row],[customerSKU]],Table27[customer_SKU],Table27[billto],"",0,1))</f>
        <v/>
      </c>
      <c r="AH1748" s="26" t="str">
        <f>_xlfn.XLOOKUP(Table26[[#This Row],[customerSKU]],customerSKU!G:G,customerSKU!K:K,"NA",0,1)</f>
        <v>NA</v>
      </c>
      <c r="AI1748" s="43" t="str">
        <f>_xlfn.XLOOKUP(Table26[[#This Row],[customerSKU]],customerSKU!G:G,customerSKU!O:O,"not found",0,1)</f>
        <v>not found</v>
      </c>
      <c r="AJ1748" s="22" t="e">
        <f>Table26[[#This Row],[unitprice]]*Table26[[#This Row],[quantity_unit]]</f>
        <v>#VALUE!</v>
      </c>
      <c r="AK1748" s="227" t="e" cm="1">
        <f t="array" ref="AK17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49" spans="1:37" ht="18" customHeight="1">
      <c r="A1749" s="42">
        <v>501</v>
      </c>
      <c r="B1749" s="42" t="s">
        <v>3520</v>
      </c>
      <c r="C1749" s="53" t="s">
        <v>3427</v>
      </c>
      <c r="E1749" s="20"/>
      <c r="F17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49" s="93"/>
      <c r="I1749" s="203">
        <v>45806</v>
      </c>
      <c r="J1749" s="90" t="str">
        <f>IF(Table26[[#This Row],[customerSKU]]="","",_xlfn.XLOOKUP(Table26[[#This Row],[customerSKU]],customerSKU!G:G,customerSKU!A:A,"",0,1))</f>
        <v/>
      </c>
      <c r="K1749" s="232">
        <v>45808</v>
      </c>
      <c r="L1749" s="49" t="str">
        <f>IF(Table26[[#This Row],[customerSKU]]="","",_xlfn.XLOOKUP(Table26[[#This Row],[customerSKU]],customerSKU!G:G,customerSKU!B:B,"",0,1))</f>
        <v/>
      </c>
      <c r="M1749" s="22"/>
      <c r="N1749" s="15" t="str">
        <f>Table26[[#This Row],[po_number]]&amp;"-"&amp;Table26[[#This Row],[po_line]]</f>
        <v>-1</v>
      </c>
      <c r="O1749" s="15">
        <v>1</v>
      </c>
      <c r="P1749" s="50"/>
      <c r="Q1749" s="22" t="s">
        <v>3456</v>
      </c>
      <c r="R1749" s="22" t="s">
        <v>221</v>
      </c>
      <c r="S1749" s="90" t="s">
        <v>14</v>
      </c>
      <c r="T1749" s="20">
        <v>45767</v>
      </c>
      <c r="U1749" s="94">
        <v>72</v>
      </c>
      <c r="V1749" s="22" t="str">
        <f>IF(ISBLANK(Table26[[#This Row],[customerSKU]]),"",_xlfn.XLOOKUP(Table26[[#This Row],[customerSKU]],Table27[customer_SKU],Table27[case_size],"",0,1))</f>
        <v/>
      </c>
      <c r="W1749" s="117" t="str">
        <f t="shared" si="73"/>
        <v/>
      </c>
      <c r="X1749" s="22" t="str">
        <f t="shared" si="72"/>
        <v/>
      </c>
      <c r="Y1749" s="25" t="str">
        <f>IF(Table26[[#This Row],[customerSKU]]="","",_xlfn.XLOOKUP(Table26[[#This Row],[customerSKU]],Table27[customer_SKU],Table27[product_GTIN],"",0,1))</f>
        <v/>
      </c>
      <c r="Z1749" s="25" t="s">
        <v>3632</v>
      </c>
      <c r="AA1749" s="18" t="str" cm="1">
        <f t="array" ref="AA1749">IF(P1749="", "", _xlfn.XLOOKUP(P1749,#REF!,#REF!,NA,0,-1))</f>
        <v/>
      </c>
      <c r="AB1749" s="22"/>
      <c r="AC1749" s="55" t="s">
        <v>3633</v>
      </c>
      <c r="AD1749" s="55" t="str">
        <f>IF($AC1749="","",_xlfn.XLOOKUP($AC1749,'Client Info'!$C$2:$C$2497,'Client Info'!$D$2:$D$2497,"",0,1))</f>
        <v/>
      </c>
      <c r="AE1749" s="55" t="str">
        <f>IF($AC1749="","",_xlfn.XLOOKUP($AC1749,'Client Info'!$C$2:$C$2677,'Client Info'!$E$2:$E$2677,"",))</f>
        <v/>
      </c>
      <c r="AF1749" s="55" t="str">
        <f>IF($AC1749="","",_xlfn.XLOOKUP($AC1749,'Client Info'!$C$2:$C$2677,'Client Info'!$F$2:$F$2677,"",0,1))</f>
        <v/>
      </c>
      <c r="AG1749" s="55" t="s">
        <v>3633</v>
      </c>
      <c r="AH1749" s="26" t="str">
        <f>_xlfn.XLOOKUP(Table26[[#This Row],[customerSKU]],customerSKU!G:G,customerSKU!K:K,"NA",0,1)</f>
        <v>NA</v>
      </c>
      <c r="AI1749" s="43" t="str">
        <f>_xlfn.XLOOKUP(Table26[[#This Row],[customerSKU]],customerSKU!G:G,customerSKU!O:O,"not found",0,1)</f>
        <v>not found</v>
      </c>
      <c r="AJ1749" s="22" t="e">
        <f>Table26[[#This Row],[unitprice]]*Table26[[#This Row],[quantity_unit]]</f>
        <v>#VALUE!</v>
      </c>
      <c r="AK1749" s="227" t="e" cm="1">
        <f t="array" ref="AK17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0" spans="1:37" ht="18" customHeight="1">
      <c r="A1750" s="42">
        <v>502</v>
      </c>
      <c r="B1750" s="42" t="s">
        <v>3520</v>
      </c>
      <c r="C1750" s="53" t="s">
        <v>3427</v>
      </c>
      <c r="E1750" s="20"/>
      <c r="F17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0" s="93"/>
      <c r="I1750" s="203">
        <v>45806</v>
      </c>
      <c r="J1750" s="90" t="str">
        <f>IF(Table26[[#This Row],[customerSKU]]="","",_xlfn.XLOOKUP(Table26[[#This Row],[customerSKU]],customerSKU!G:G,customerSKU!A:A,"",0,1))</f>
        <v/>
      </c>
      <c r="K1750" s="232">
        <v>45808</v>
      </c>
      <c r="L1750" s="49" t="str">
        <f>IF(Table26[[#This Row],[customerSKU]]="","",_xlfn.XLOOKUP(Table26[[#This Row],[customerSKU]],customerSKU!G:G,customerSKU!B:B,"",0,1))</f>
        <v/>
      </c>
      <c r="M1750" s="22"/>
      <c r="N1750" s="15" t="str">
        <f>Table26[[#This Row],[po_number]]&amp;"-"&amp;Table26[[#This Row],[po_line]]</f>
        <v>-2</v>
      </c>
      <c r="O1750" s="15">
        <v>2</v>
      </c>
      <c r="P1750" s="50"/>
      <c r="Q1750" s="350" t="s">
        <v>3629</v>
      </c>
      <c r="R1750" s="22" t="s">
        <v>221</v>
      </c>
      <c r="S1750" s="90" t="s">
        <v>14</v>
      </c>
      <c r="T1750" s="20">
        <v>45725</v>
      </c>
      <c r="U1750" s="94">
        <v>72</v>
      </c>
      <c r="V1750" s="22" t="str">
        <f>IF(ISBLANK(Table26[[#This Row],[customerSKU]]),"",_xlfn.XLOOKUP(Table26[[#This Row],[customerSKU]],Table27[customer_SKU],Table27[case_size],"",0,1))</f>
        <v/>
      </c>
      <c r="W1750" s="117" t="str">
        <f t="shared" si="73"/>
        <v/>
      </c>
      <c r="X1750" s="22" t="str">
        <f t="shared" si="72"/>
        <v/>
      </c>
      <c r="Y1750" s="25" t="str">
        <f>IF(Table26[[#This Row],[customerSKU]]="","",_xlfn.XLOOKUP(Table26[[#This Row],[customerSKU]],Table27[customer_SKU],Table27[product_GTIN],"",0,1))</f>
        <v/>
      </c>
      <c r="Z1750" s="28" t="s">
        <v>3634</v>
      </c>
      <c r="AA1750" s="18" t="str" cm="1">
        <f t="array" ref="AA1750">IF(P1750="", "", _xlfn.XLOOKUP(P1750,#REF!,#REF!,NA,0,-1))</f>
        <v/>
      </c>
      <c r="AB1750" s="22"/>
      <c r="AC1750" s="55" t="s">
        <v>3633</v>
      </c>
      <c r="AD1750" s="55" t="str">
        <f>IF($AC1750="","",_xlfn.XLOOKUP($AC1750,'Client Info'!$C$2:$C$2497,'Client Info'!$D$2:$D$2497,"",0,1))</f>
        <v/>
      </c>
      <c r="AE1750" s="55" t="str">
        <f>IF($AC1750="","",_xlfn.XLOOKUP($AC1750,'Client Info'!$C$2:$C$2677,'Client Info'!$E$2:$E$2677,"",))</f>
        <v/>
      </c>
      <c r="AF1750" s="55" t="str">
        <f>IF($AC1750="","",_xlfn.XLOOKUP($AC1750,'Client Info'!$C$2:$C$2677,'Client Info'!$F$2:$F$2677,"",0,1))</f>
        <v/>
      </c>
      <c r="AG1750" s="55" t="s">
        <v>3633</v>
      </c>
      <c r="AH1750" s="26" t="str">
        <f>_xlfn.XLOOKUP(Table26[[#This Row],[customerSKU]],customerSKU!G:G,customerSKU!K:K,"NA",0,1)</f>
        <v>NA</v>
      </c>
      <c r="AI1750" s="43" t="str">
        <f>_xlfn.XLOOKUP(Table26[[#This Row],[customerSKU]],customerSKU!G:G,customerSKU!O:O,"not found",0,1)</f>
        <v>not found</v>
      </c>
      <c r="AJ1750" s="22" t="e">
        <f>Table26[[#This Row],[unitprice]]*Table26[[#This Row],[quantity_unit]]</f>
        <v>#VALUE!</v>
      </c>
      <c r="AK1750" s="227" t="e" cm="1">
        <f t="array" ref="AK17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1" spans="1:37" ht="18" customHeight="1">
      <c r="A1751" s="42">
        <v>497</v>
      </c>
      <c r="B1751" s="42" t="s">
        <v>3357</v>
      </c>
      <c r="C1751" s="53" t="s">
        <v>3427</v>
      </c>
      <c r="E1751" s="20"/>
      <c r="F17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1" s="93"/>
      <c r="I1751" s="203">
        <v>45785</v>
      </c>
      <c r="J1751" s="90" t="str">
        <f>IF(Table26[[#This Row],[customerSKU]]="","",_xlfn.XLOOKUP(Table26[[#This Row],[customerSKU]],customerSKU!G:G,customerSKU!A:A,"",0,1))</f>
        <v/>
      </c>
      <c r="K1751" s="232">
        <v>45810</v>
      </c>
      <c r="L1751" s="49" t="str">
        <f>IF(Table26[[#This Row],[customerSKU]]="","",_xlfn.XLOOKUP(Table26[[#This Row],[customerSKU]],customerSKU!G:G,customerSKU!B:B,"",0,1))</f>
        <v/>
      </c>
      <c r="M1751" s="22"/>
      <c r="N1751" s="15" t="str">
        <f>Table26[[#This Row],[po_number]]&amp;"-"&amp;Table26[[#This Row],[po_line]]</f>
        <v>-1</v>
      </c>
      <c r="O1751" s="15">
        <v>1</v>
      </c>
      <c r="P1751" s="50"/>
      <c r="Q1751" s="22" t="s">
        <v>3581</v>
      </c>
      <c r="R1751" s="22" t="s">
        <v>532</v>
      </c>
      <c r="S1751" s="90" t="str">
        <f>IF(Table26[[#This Row],[customerSKU]]="","",_xlfn.XLOOKUP(Table26[[#This Row],[customerSKU]],customerSKU!G:G,customerSKU!N:N,"NOT FOUND",0,1))</f>
        <v>NOT FOUND</v>
      </c>
      <c r="T1751" s="20">
        <v>45800</v>
      </c>
      <c r="U1751" s="94">
        <v>2400</v>
      </c>
      <c r="V1751" s="22" t="str">
        <f>IF(ISBLANK(Table26[[#This Row],[customerSKU]]),"",_xlfn.XLOOKUP(Table26[[#This Row],[customerSKU]],Table27[customer_SKU],Table27[case_size],"",0,1))</f>
        <v/>
      </c>
      <c r="W1751" s="117" t="str">
        <f t="shared" si="73"/>
        <v/>
      </c>
      <c r="X1751" s="22" t="str">
        <f t="shared" si="72"/>
        <v/>
      </c>
      <c r="Y1751" s="25" t="str">
        <f>IF(Table26[[#This Row],[customerSKU]]="","",_xlfn.XLOOKUP(Table26[[#This Row],[customerSKU]],Table27[customer_SKU],Table27[product_GTIN],"",0,1))</f>
        <v/>
      </c>
      <c r="Z1751" s="25" t="s">
        <v>3582</v>
      </c>
      <c r="AA1751" s="18" t="str" cm="1">
        <f t="array" ref="AA1751">IF(P1751="", "", _xlfn.XLOOKUP(P1751,#REF!,#REF!,NA,0,-1))</f>
        <v/>
      </c>
      <c r="AB1751" s="22"/>
      <c r="AC1751" s="55" t="str">
        <f>IF(Table26[[#This Row],[customerSKU]]="","",_xlfn.XLOOKUP(Table26[[#This Row],[customerSKU]],customerSKU!G:G,customerSKU!C:C,"",0,1))</f>
        <v/>
      </c>
      <c r="AD1751" s="55" t="str">
        <f>IF($AC1751="","",_xlfn.XLOOKUP($AC1751,'Client Info'!$C$2:$C$2497,'Client Info'!$D$2:$D$2497,"",0,1))</f>
        <v/>
      </c>
      <c r="AE1751" s="55" t="str">
        <f>IF($AC1751="","",_xlfn.XLOOKUP($AC1751,'Client Info'!$C$2:$C$2677,'Client Info'!$E$2:$E$2677,"",))</f>
        <v/>
      </c>
      <c r="AF1751" s="55" t="str">
        <f>IF($AC1751="","",_xlfn.XLOOKUP($AC1751,'Client Info'!$C$2:$C$2677,'Client Info'!$F$2:$F$2677,"",0,1))</f>
        <v/>
      </c>
      <c r="AG1751" s="55" t="str">
        <f>IF(ISBLANK(Table26[[#This Row],[customerSKU]]),"",_xlfn.XLOOKUP(Table26[[#This Row],[customerSKU]],Table27[customer_SKU],Table27[billto],"",0,1))</f>
        <v/>
      </c>
      <c r="AH1751" s="26" t="str">
        <f>_xlfn.XLOOKUP(Table26[[#This Row],[customerSKU]],customerSKU!G:G,customerSKU!K:K,"NA",0,1)</f>
        <v>NA</v>
      </c>
      <c r="AI1751" s="43" t="str">
        <f>_xlfn.XLOOKUP(Table26[[#This Row],[customerSKU]],customerSKU!G:G,customerSKU!O:O,"not found",0,1)</f>
        <v>not found</v>
      </c>
      <c r="AJ1751" s="22" t="e">
        <f>Table26[[#This Row],[unitprice]]*Table26[[#This Row],[quantity_unit]]</f>
        <v>#VALUE!</v>
      </c>
      <c r="AK1751" s="227" t="e" cm="1">
        <f t="array" ref="AK17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2" spans="1:37" ht="18" customHeight="1">
      <c r="A1752" s="42">
        <v>498</v>
      </c>
      <c r="B1752" s="42" t="s">
        <v>3357</v>
      </c>
      <c r="C1752" s="53" t="s">
        <v>3427</v>
      </c>
      <c r="D1752" s="20">
        <v>45814</v>
      </c>
      <c r="E1752" s="20"/>
      <c r="F17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2" s="93"/>
      <c r="I1752" s="203">
        <v>45791</v>
      </c>
      <c r="J1752" s="90" t="str">
        <f>IF(Table26[[#This Row],[customerSKU]]="","",_xlfn.XLOOKUP(Table26[[#This Row],[customerSKU]],customerSKU!G:G,customerSKU!A:A,"",0,1))</f>
        <v/>
      </c>
      <c r="K1752" s="232">
        <v>45810</v>
      </c>
      <c r="L1752" s="49" t="str">
        <f>IF(Table26[[#This Row],[customerSKU]]="","",_xlfn.XLOOKUP(Table26[[#This Row],[customerSKU]],customerSKU!G:G,customerSKU!B:B,"",0,1))</f>
        <v/>
      </c>
      <c r="M1752" s="22"/>
      <c r="N1752" s="15" t="str">
        <f>Table26[[#This Row],[po_number]]&amp;"-"&amp;Table26[[#This Row],[po_line]]</f>
        <v>-1</v>
      </c>
      <c r="O1752" s="15">
        <v>1</v>
      </c>
      <c r="P1752" s="50"/>
      <c r="Q1752" s="22" t="s">
        <v>3586</v>
      </c>
      <c r="R1752" s="22" t="s">
        <v>532</v>
      </c>
      <c r="S1752" s="90" t="str">
        <f>IF(Table26[[#This Row],[customerSKU]]="","",_xlfn.XLOOKUP(Table26[[#This Row],[customerSKU]],customerSKU!G:G,customerSKU!N:N,"NOT FOUND",0,1))</f>
        <v>NOT FOUND</v>
      </c>
      <c r="T1752" s="20">
        <v>45800</v>
      </c>
      <c r="U1752" s="94">
        <v>2400</v>
      </c>
      <c r="V1752" s="22" t="str">
        <f>IF(ISBLANK(Table26[[#This Row],[customerSKU]]),"",_xlfn.XLOOKUP(Table26[[#This Row],[customerSKU]],Table27[customer_SKU],Table27[case_size],"",0,1))</f>
        <v/>
      </c>
      <c r="W1752" s="117" t="str">
        <f t="shared" si="73"/>
        <v/>
      </c>
      <c r="X1752" s="22" t="str">
        <f t="shared" si="72"/>
        <v/>
      </c>
      <c r="Y1752" s="25" t="str">
        <f>IF(Table26[[#This Row],[customerSKU]]="","",_xlfn.XLOOKUP(Table26[[#This Row],[customerSKU]],Table27[customer_SKU],Table27[product_GTIN],"",0,1))</f>
        <v/>
      </c>
      <c r="Z1752" s="25" t="s">
        <v>3593</v>
      </c>
      <c r="AA1752" s="18" t="str" cm="1">
        <f t="array" ref="AA1752">IF(P1752="", "", _xlfn.XLOOKUP(P1752,#REF!,#REF!,NA,0,-1))</f>
        <v/>
      </c>
      <c r="AB1752" s="22"/>
      <c r="AC1752" s="55" t="str">
        <f>IF(Table26[[#This Row],[customerSKU]]="","",_xlfn.XLOOKUP(Table26[[#This Row],[customerSKU]],customerSKU!G:G,customerSKU!C:C,"",0,1))</f>
        <v/>
      </c>
      <c r="AD1752" s="55" t="str">
        <f>IF($AC1752="","",_xlfn.XLOOKUP($AC1752,'Client Info'!$C$2:$C$2497,'Client Info'!$D$2:$D$2497,"",0,1))</f>
        <v/>
      </c>
      <c r="AE1752" s="55" t="str">
        <f>IF($AC1752="","",_xlfn.XLOOKUP($AC1752,'Client Info'!$C$2:$C$2677,'Client Info'!$E$2:$E$2677,"",))</f>
        <v/>
      </c>
      <c r="AF1752" s="55" t="str">
        <f>IF($AC1752="","",_xlfn.XLOOKUP($AC1752,'Client Info'!$C$2:$C$2677,'Client Info'!$F$2:$F$2677,"",0,1))</f>
        <v/>
      </c>
      <c r="AG1752" s="55" t="str">
        <f>IF(ISBLANK(Table26[[#This Row],[customerSKU]]),"",_xlfn.XLOOKUP(Table26[[#This Row],[customerSKU]],Table27[customer_SKU],Table27[billto],"",0,1))</f>
        <v/>
      </c>
      <c r="AH1752" s="26" t="str">
        <f>_xlfn.XLOOKUP(Table26[[#This Row],[customerSKU]],customerSKU!G:G,customerSKU!K:K,"NA",0,1)</f>
        <v>NA</v>
      </c>
      <c r="AI1752" s="43" t="str">
        <f>_xlfn.XLOOKUP(Table26[[#This Row],[customerSKU]],customerSKU!G:G,customerSKU!O:O,"not found",0,1)</f>
        <v>not found</v>
      </c>
      <c r="AJ1752" s="22" t="e">
        <f>Table26[[#This Row],[unitprice]]*Table26[[#This Row],[quantity_unit]]</f>
        <v>#VALUE!</v>
      </c>
      <c r="AK1752" s="227" t="e" cm="1">
        <f t="array" ref="AK17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3" spans="1:37" ht="18" customHeight="1">
      <c r="A1753" s="42">
        <v>499</v>
      </c>
      <c r="B1753" s="42" t="s">
        <v>3520</v>
      </c>
      <c r="C1753" s="53" t="s">
        <v>3427</v>
      </c>
      <c r="E1753" s="20"/>
      <c r="F17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3" s="93"/>
      <c r="I1753" s="203">
        <v>45806</v>
      </c>
      <c r="J1753" s="90" t="str">
        <f>IF(Table26[[#This Row],[customerSKU]]="","",_xlfn.XLOOKUP(Table26[[#This Row],[customerSKU]],customerSKU!G:G,customerSKU!A:A,"",0,1))</f>
        <v/>
      </c>
      <c r="K1753" s="232">
        <v>45810</v>
      </c>
      <c r="L1753" s="49" t="str">
        <f>IF(Table26[[#This Row],[customerSKU]]="","",_xlfn.XLOOKUP(Table26[[#This Row],[customerSKU]],customerSKU!G:G,customerSKU!B:B,"",0,1))</f>
        <v/>
      </c>
      <c r="M1753" s="22"/>
      <c r="N1753" s="15" t="str">
        <f>Table26[[#This Row],[po_number]]&amp;"-"&amp;Table26[[#This Row],[po_line]]</f>
        <v>-1</v>
      </c>
      <c r="O1753" s="15">
        <v>1</v>
      </c>
      <c r="P1753" s="50"/>
      <c r="Q1753" s="22" t="s">
        <v>3627</v>
      </c>
      <c r="R1753" s="22" t="s">
        <v>532</v>
      </c>
      <c r="S1753" s="90" t="str">
        <f>IF(Table26[[#This Row],[customerSKU]]="","",_xlfn.XLOOKUP(Table26[[#This Row],[customerSKU]],customerSKU!G:G,customerSKU!N:N,"NOT FOUND",0,1))</f>
        <v>NOT FOUND</v>
      </c>
      <c r="T1753" s="20">
        <v>45802</v>
      </c>
      <c r="U1753" s="94">
        <v>600</v>
      </c>
      <c r="V1753" s="22" t="str">
        <f>IF(ISBLANK(Table26[[#This Row],[customerSKU]]),"",_xlfn.XLOOKUP(Table26[[#This Row],[customerSKU]],Table27[customer_SKU],Table27[case_size],"",0,1))</f>
        <v/>
      </c>
      <c r="W1753" s="117" t="str">
        <f t="shared" si="73"/>
        <v/>
      </c>
      <c r="X1753" s="22" t="str">
        <f t="shared" si="72"/>
        <v/>
      </c>
      <c r="Y1753" s="25" t="str">
        <f>IF(Table26[[#This Row],[customerSKU]]="","",_xlfn.XLOOKUP(Table26[[#This Row],[customerSKU]],Table27[customer_SKU],Table27[product_GTIN],"",0,1))</f>
        <v/>
      </c>
      <c r="Z1753" s="25" t="s">
        <v>3628</v>
      </c>
      <c r="AA1753" s="18" t="str" cm="1">
        <f t="array" ref="AA1753">IF(P1753="", "", _xlfn.XLOOKUP(P1753,#REF!,#REF!,NA,0,-1))</f>
        <v/>
      </c>
      <c r="AB1753" s="22"/>
      <c r="AC1753" s="55" t="str">
        <f>IF(Table26[[#This Row],[customerSKU]]="","",_xlfn.XLOOKUP(Table26[[#This Row],[customerSKU]],customerSKU!G:G,customerSKU!C:C,"",0,1))</f>
        <v/>
      </c>
      <c r="AD1753" s="55" t="str">
        <f>IF($AC1753="","",_xlfn.XLOOKUP($AC1753,'Client Info'!$C$2:$C$2497,'Client Info'!$D$2:$D$2497,"",0,1))</f>
        <v/>
      </c>
      <c r="AE1753" s="55" t="str">
        <f>IF($AC1753="","",_xlfn.XLOOKUP($AC1753,'Client Info'!$C$2:$C$2677,'Client Info'!$E$2:$E$2677,"",))</f>
        <v/>
      </c>
      <c r="AF1753" s="55" t="str">
        <f>IF($AC1753="","",_xlfn.XLOOKUP($AC1753,'Client Info'!$C$2:$C$2677,'Client Info'!$F$2:$F$2677,"",0,1))</f>
        <v/>
      </c>
      <c r="AG1753" s="55" t="str">
        <f>IF(ISBLANK(Table26[[#This Row],[customerSKU]]),"",_xlfn.XLOOKUP(Table26[[#This Row],[customerSKU]],Table27[customer_SKU],Table27[billto],"",0,1))</f>
        <v/>
      </c>
      <c r="AH1753" s="26" t="str">
        <f>_xlfn.XLOOKUP(Table26[[#This Row],[customerSKU]],customerSKU!G:G,customerSKU!K:K,"NA",0,1)</f>
        <v>NA</v>
      </c>
      <c r="AI1753" s="43" t="str">
        <f>_xlfn.XLOOKUP(Table26[[#This Row],[customerSKU]],customerSKU!G:G,customerSKU!O:O,"not found",0,1)</f>
        <v>not found</v>
      </c>
      <c r="AJ1753" s="22" t="e">
        <f>Table26[[#This Row],[unitprice]]*Table26[[#This Row],[quantity_unit]]</f>
        <v>#VALUE!</v>
      </c>
      <c r="AK1753" s="227" t="e" cm="1">
        <f t="array" ref="AK17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4" spans="1:37" ht="18" customHeight="1">
      <c r="A1754" s="42">
        <v>500</v>
      </c>
      <c r="B1754" s="42" t="s">
        <v>3520</v>
      </c>
      <c r="C1754" s="53" t="s">
        <v>3427</v>
      </c>
      <c r="E1754" s="20"/>
      <c r="F17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4" s="93"/>
      <c r="I1754" s="203">
        <v>45806</v>
      </c>
      <c r="J1754" s="90" t="str">
        <f>IF(Table26[[#This Row],[customerSKU]]="","",_xlfn.XLOOKUP(Table26[[#This Row],[customerSKU]],customerSKU!G:G,customerSKU!A:A,"",0,1))</f>
        <v/>
      </c>
      <c r="K1754" s="232">
        <v>45810</v>
      </c>
      <c r="L1754" s="49" t="str">
        <f>IF(Table26[[#This Row],[customerSKU]]="","",_xlfn.XLOOKUP(Table26[[#This Row],[customerSKU]],customerSKU!G:G,customerSKU!B:B,"",0,1))</f>
        <v/>
      </c>
      <c r="M1754" s="22"/>
      <c r="N1754" s="15" t="str">
        <f>Table26[[#This Row],[po_number]]&amp;"-"&amp;Table26[[#This Row],[po_line]]</f>
        <v>-1</v>
      </c>
      <c r="O1754" s="15">
        <v>1</v>
      </c>
      <c r="P1754" s="50"/>
      <c r="Q1754" s="22" t="s">
        <v>3629</v>
      </c>
      <c r="R1754" s="22" t="s">
        <v>532</v>
      </c>
      <c r="S1754" s="90" t="str">
        <f>IF(Table26[[#This Row],[customerSKU]]="","",_xlfn.XLOOKUP(Table26[[#This Row],[customerSKU]],customerSKU!G:G,customerSKU!N:N,"NOT FOUND",0,1))</f>
        <v>NOT FOUND</v>
      </c>
      <c r="T1754" s="20">
        <v>45725</v>
      </c>
      <c r="U1754" s="94">
        <v>240</v>
      </c>
      <c r="V1754" s="22" t="str">
        <f>IF(ISBLANK(Table26[[#This Row],[customerSKU]]),"",_xlfn.XLOOKUP(Table26[[#This Row],[customerSKU]],Table27[customer_SKU],Table27[case_size],"",0,1))</f>
        <v/>
      </c>
      <c r="W1754" s="117" t="str">
        <f t="shared" si="73"/>
        <v/>
      </c>
      <c r="X1754" s="22" t="str">
        <f t="shared" si="72"/>
        <v/>
      </c>
      <c r="Y1754" s="25" t="str">
        <f>IF(Table26[[#This Row],[customerSKU]]="","",_xlfn.XLOOKUP(Table26[[#This Row],[customerSKU]],Table27[customer_SKU],Table27[product_GTIN],"",0,1))</f>
        <v/>
      </c>
      <c r="Z1754" s="25" t="s">
        <v>3630</v>
      </c>
      <c r="AA1754" s="18" t="str" cm="1">
        <f t="array" ref="AA1754">IF(P1754="", "", _xlfn.XLOOKUP(P1754,#REF!,#REF!,NA,0,-1))</f>
        <v/>
      </c>
      <c r="AB1754" s="22"/>
      <c r="AC1754" s="55" t="str">
        <f>IF(Table26[[#This Row],[customerSKU]]="","",_xlfn.XLOOKUP(Table26[[#This Row],[customerSKU]],customerSKU!G:G,customerSKU!C:C,"",0,1))</f>
        <v/>
      </c>
      <c r="AD1754" s="55" t="str">
        <f>IF($AC1754="","",_xlfn.XLOOKUP($AC1754,'Client Info'!$C$2:$C$2497,'Client Info'!$D$2:$D$2497,"",0,1))</f>
        <v/>
      </c>
      <c r="AE1754" s="55" t="str">
        <f>IF($AC1754="","",_xlfn.XLOOKUP($AC1754,'Client Info'!$C$2:$C$2677,'Client Info'!$E$2:$E$2677,"",))</f>
        <v/>
      </c>
      <c r="AF1754" s="55" t="str">
        <f>IF($AC1754="","",_xlfn.XLOOKUP($AC1754,'Client Info'!$C$2:$C$2677,'Client Info'!$F$2:$F$2677,"",0,1))</f>
        <v/>
      </c>
      <c r="AG1754" s="55" t="str">
        <f>IF(ISBLANK(Table26[[#This Row],[customerSKU]]),"",_xlfn.XLOOKUP(Table26[[#This Row],[customerSKU]],Table27[customer_SKU],Table27[billto],"",0,1))</f>
        <v/>
      </c>
      <c r="AH1754" s="26" t="str">
        <f>_xlfn.XLOOKUP(Table26[[#This Row],[customerSKU]],customerSKU!G:G,customerSKU!K:K,"NA",0,1)</f>
        <v>NA</v>
      </c>
      <c r="AI1754" s="43" t="str">
        <f>_xlfn.XLOOKUP(Table26[[#This Row],[customerSKU]],customerSKU!G:G,customerSKU!O:O,"not found",0,1)</f>
        <v>not found</v>
      </c>
      <c r="AJ1754" s="22" t="e">
        <f>Table26[[#This Row],[unitprice]]*Table26[[#This Row],[quantity_unit]]</f>
        <v>#VALUE!</v>
      </c>
      <c r="AK1754" s="227" t="e" cm="1">
        <f t="array" ref="AK17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5" spans="1:37" ht="18" customHeight="1">
      <c r="A1755" s="42">
        <v>483</v>
      </c>
      <c r="B1755" s="42" t="s">
        <v>3357</v>
      </c>
      <c r="C1755" s="53" t="s">
        <v>3427</v>
      </c>
      <c r="E1755" s="20"/>
      <c r="F17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5" s="93"/>
      <c r="I1755" s="203">
        <v>45803</v>
      </c>
      <c r="J1755" s="90" t="str">
        <f>IF(Table26[[#This Row],[customerSKU]]="","",_xlfn.XLOOKUP(Table26[[#This Row],[customerSKU]],customerSKU!G:G,customerSKU!A:A,"",0,1))</f>
        <v/>
      </c>
      <c r="K1755" s="232">
        <v>45811</v>
      </c>
      <c r="L1755" s="49" t="str">
        <f>IF(Table26[[#This Row],[customerSKU]]="","",_xlfn.XLOOKUP(Table26[[#This Row],[customerSKU]],customerSKU!G:G,customerSKU!B:B,"",0,1))</f>
        <v/>
      </c>
      <c r="M1755" s="22"/>
      <c r="N1755" s="15" t="str">
        <f>Table26[[#This Row],[po_number]]&amp;"-"&amp;Table26[[#This Row],[po_line]]</f>
        <v>-1</v>
      </c>
      <c r="O1755" s="15">
        <v>1</v>
      </c>
      <c r="P1755" s="50"/>
      <c r="Q1755" s="22" t="s">
        <v>3616</v>
      </c>
      <c r="R1755" s="22" t="s">
        <v>532</v>
      </c>
      <c r="S1755" s="90" t="str">
        <f>IF(Table26[[#This Row],[customerSKU]]="","",_xlfn.XLOOKUP(Table26[[#This Row],[customerSKU]],customerSKU!G:G,customerSKU!N:N,"NOT FOUND",0,1))</f>
        <v>NOT FOUND</v>
      </c>
      <c r="T1755" s="20">
        <v>45799</v>
      </c>
      <c r="U1755" s="94">
        <f>3936-210*12-52*12</f>
        <v>792</v>
      </c>
      <c r="V1755" s="22" t="str">
        <f>IF(ISBLANK(Table26[[#This Row],[customerSKU]]),"",_xlfn.XLOOKUP(Table26[[#This Row],[customerSKU]],Table27[customer_SKU],Table27[case_size],"",0,1))</f>
        <v/>
      </c>
      <c r="W1755" s="117" t="str">
        <f t="shared" si="73"/>
        <v/>
      </c>
      <c r="X1755" s="22" t="str">
        <f t="shared" si="72"/>
        <v/>
      </c>
      <c r="Y1755" s="25" t="str">
        <f>IF(Table26[[#This Row],[customerSKU]]="","",_xlfn.XLOOKUP(Table26[[#This Row],[customerSKU]],Table27[customer_SKU],Table27[product_GTIN],"",0,1))</f>
        <v/>
      </c>
      <c r="Z1755" s="25" t="s">
        <v>3617</v>
      </c>
      <c r="AA1755" s="18" t="str" cm="1">
        <f t="array" ref="AA1755">IF(P1755="", "", _xlfn.XLOOKUP(P1755,#REF!,#REF!,NA,0,-1))</f>
        <v/>
      </c>
      <c r="AB1755" s="22"/>
      <c r="AC1755" s="55" t="str">
        <f>IF(Table26[[#This Row],[customerSKU]]="","",_xlfn.XLOOKUP(Table26[[#This Row],[customerSKU]],customerSKU!G:G,customerSKU!C:C,"",0,1))</f>
        <v/>
      </c>
      <c r="AD1755" s="55" t="str">
        <f>IF($AC1755="","",_xlfn.XLOOKUP($AC1755,'Client Info'!$C$2:$C$2497,'Client Info'!$D$2:$D$2497,"",0,1))</f>
        <v/>
      </c>
      <c r="AE1755" s="55" t="str">
        <f>IF($AC1755="","",_xlfn.XLOOKUP($AC1755,'Client Info'!$C$2:$C$2677,'Client Info'!$E$2:$E$2677,"",))</f>
        <v/>
      </c>
      <c r="AF1755" s="55" t="str">
        <f>IF($AC1755="","",_xlfn.XLOOKUP($AC1755,'Client Info'!$C$2:$C$2677,'Client Info'!$F$2:$F$2677,"",0,1))</f>
        <v/>
      </c>
      <c r="AG1755" s="55" t="str">
        <f>IF(ISBLANK(Table26[[#This Row],[customerSKU]]),"",_xlfn.XLOOKUP(Table26[[#This Row],[customerSKU]],Table27[customer_SKU],Table27[billto],"",0,1))</f>
        <v/>
      </c>
      <c r="AH1755" s="26" t="str">
        <f>_xlfn.XLOOKUP(Table26[[#This Row],[customerSKU]],customerSKU!G:G,customerSKU!K:K,"NA",0,1)</f>
        <v>NA</v>
      </c>
      <c r="AI1755" s="43" t="str">
        <f>_xlfn.XLOOKUP(Table26[[#This Row],[customerSKU]],customerSKU!G:G,customerSKU!O:O,"not found",0,1)</f>
        <v>not found</v>
      </c>
      <c r="AJ1755" s="22" t="e">
        <f>Table26[[#This Row],[unitprice]]*Table26[[#This Row],[quantity_unit]]</f>
        <v>#VALUE!</v>
      </c>
      <c r="AK1755" s="227" t="e" cm="1">
        <f t="array" ref="AK17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6" spans="1:37" ht="24.6" customHeight="1">
      <c r="A1756" s="42">
        <v>484</v>
      </c>
      <c r="B1756" s="42" t="s">
        <v>3520</v>
      </c>
      <c r="C1756" s="53" t="s">
        <v>3427</v>
      </c>
      <c r="E1756" s="20"/>
      <c r="F17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6" s="93"/>
      <c r="I1756" s="203">
        <v>45807</v>
      </c>
      <c r="J1756" s="90" t="str">
        <f>IF(Table26[[#This Row],[customerSKU]]="","",_xlfn.XLOOKUP(Table26[[#This Row],[customerSKU]],customerSKU!G:G,customerSKU!A:A,"",0,1))</f>
        <v/>
      </c>
      <c r="K1756" s="232">
        <v>45811</v>
      </c>
      <c r="L1756" s="49" t="str">
        <f>IF(Table26[[#This Row],[customerSKU]]="","",_xlfn.XLOOKUP(Table26[[#This Row],[customerSKU]],customerSKU!G:G,customerSKU!B:B,"",0,1))</f>
        <v/>
      </c>
      <c r="M1756" s="22"/>
      <c r="N1756" s="15" t="str">
        <f>Table26[[#This Row],[po_number]]&amp;"-"&amp;Table26[[#This Row],[po_line]]</f>
        <v>-1</v>
      </c>
      <c r="O1756" s="15">
        <v>1</v>
      </c>
      <c r="P1756" s="50"/>
      <c r="Q1756" s="22" t="s">
        <v>582</v>
      </c>
      <c r="R1756" s="22" t="s">
        <v>532</v>
      </c>
      <c r="S1756" s="90" t="str">
        <f>IF(Table26[[#This Row],[customerSKU]]="","",_xlfn.XLOOKUP(Table26[[#This Row],[customerSKU]],customerSKU!G:G,customerSKU!N:N,"NOT FOUND",0,1))</f>
        <v>NOT FOUND</v>
      </c>
      <c r="T1756" s="20">
        <v>45778</v>
      </c>
      <c r="U1756" s="94">
        <v>12</v>
      </c>
      <c r="V1756" s="22" t="str">
        <f>IF(ISBLANK(Table26[[#This Row],[customerSKU]]),"",_xlfn.XLOOKUP(Table26[[#This Row],[customerSKU]],Table27[customer_SKU],Table27[case_size],"",0,1))</f>
        <v/>
      </c>
      <c r="W1756" s="117" t="str">
        <f t="shared" si="73"/>
        <v/>
      </c>
      <c r="X1756" s="22" t="str">
        <f t="shared" si="72"/>
        <v/>
      </c>
      <c r="Y1756" s="25" t="str">
        <f>IF(Table26[[#This Row],[customerSKU]]="","",_xlfn.XLOOKUP(Table26[[#This Row],[customerSKU]],Table27[customer_SKU],Table27[product_GTIN],"",0,1))</f>
        <v/>
      </c>
      <c r="Z1756" s="25" t="s">
        <v>3519</v>
      </c>
      <c r="AA1756" s="18" t="str" cm="1">
        <f t="array" ref="AA1756">IF(P1756="", "", _xlfn.XLOOKUP(P1756,#REF!,#REF!,NA,0,-1))</f>
        <v/>
      </c>
      <c r="AB1756" s="22"/>
      <c r="AC1756" s="55" t="s">
        <v>3598</v>
      </c>
      <c r="AD1756" s="55" t="str">
        <f>IF($AC1756="","",_xlfn.XLOOKUP($AC1756,'Client Info'!$C$2:$C$2497,'Client Info'!$D$2:$D$2497,"",0,1))</f>
        <v/>
      </c>
      <c r="AE1756" s="55" t="str">
        <f>IF($AC1756="","",_xlfn.XLOOKUP($AC1756,'Client Info'!$C$2:$C$2677,'Client Info'!$E$2:$E$2677,"",))</f>
        <v/>
      </c>
      <c r="AF1756" s="55" t="str">
        <f>IF($AC1756="","",_xlfn.XLOOKUP($AC1756,'Client Info'!$C$2:$C$2677,'Client Info'!$F$2:$F$2677,"",0,1))</f>
        <v/>
      </c>
      <c r="AG1756" s="55" t="s">
        <v>3598</v>
      </c>
      <c r="AH1756" s="26" t="str">
        <f>_xlfn.XLOOKUP(Table26[[#This Row],[customerSKU]],customerSKU!G:G,customerSKU!K:K,"NA",0,1)</f>
        <v>NA</v>
      </c>
      <c r="AI1756" s="43" t="str">
        <f>_xlfn.XLOOKUP(Table26[[#This Row],[customerSKU]],customerSKU!G:G,customerSKU!O:O,"not found",0,1)</f>
        <v>not found</v>
      </c>
      <c r="AJ1756" s="22" t="e">
        <f>Table26[[#This Row],[unitprice]]*Table26[[#This Row],[quantity_unit]]</f>
        <v>#VALUE!</v>
      </c>
      <c r="AK1756" s="227" t="e" cm="1">
        <f t="array" ref="AK17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7" spans="1:37" ht="24.6" customHeight="1">
      <c r="A1757" s="42">
        <v>485</v>
      </c>
      <c r="B1757" s="42" t="s">
        <v>3520</v>
      </c>
      <c r="C1757" s="53" t="s">
        <v>3427</v>
      </c>
      <c r="E1757" s="20"/>
      <c r="F17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7" s="93"/>
      <c r="I1757" s="203">
        <v>45807</v>
      </c>
      <c r="J1757" s="90" t="str">
        <f>IF(Table26[[#This Row],[customerSKU]]="","",_xlfn.XLOOKUP(Table26[[#This Row],[customerSKU]],customerSKU!G:G,customerSKU!A:A,"",0,1))</f>
        <v/>
      </c>
      <c r="K1757" s="232">
        <v>45811</v>
      </c>
      <c r="L1757" s="49" t="str">
        <f>IF(Table26[[#This Row],[customerSKU]]="","",_xlfn.XLOOKUP(Table26[[#This Row],[customerSKU]],customerSKU!G:G,customerSKU!B:B,"",0,1))</f>
        <v/>
      </c>
      <c r="M1757" s="22"/>
      <c r="N1757" s="15" t="str">
        <f>Table26[[#This Row],[po_number]]&amp;"-"&amp;Table26[[#This Row],[po_line]]</f>
        <v>-2</v>
      </c>
      <c r="O1757" s="15">
        <v>2</v>
      </c>
      <c r="P1757" s="50"/>
      <c r="Q1757" s="22" t="s">
        <v>591</v>
      </c>
      <c r="R1757" s="22" t="s">
        <v>532</v>
      </c>
      <c r="S1757" s="90" t="str">
        <f>IF(Table26[[#This Row],[customerSKU]]="","",_xlfn.XLOOKUP(Table26[[#This Row],[customerSKU]],customerSKU!G:G,customerSKU!N:N,"NOT FOUND",0,1))</f>
        <v>NOT FOUND</v>
      </c>
      <c r="T1757" s="20">
        <v>45783</v>
      </c>
      <c r="U1757" s="94">
        <v>12</v>
      </c>
      <c r="V1757" s="22" t="str">
        <f>IF(ISBLANK(Table26[[#This Row],[customerSKU]]),"",_xlfn.XLOOKUP(Table26[[#This Row],[customerSKU]],Table27[customer_SKU],Table27[case_size],"",0,1))</f>
        <v/>
      </c>
      <c r="W1757" s="117" t="str">
        <f t="shared" si="73"/>
        <v/>
      </c>
      <c r="X1757" s="22" t="str">
        <f t="shared" si="72"/>
        <v/>
      </c>
      <c r="Y1757" s="25" t="str">
        <f>IF(Table26[[#This Row],[customerSKU]]="","",_xlfn.XLOOKUP(Table26[[#This Row],[customerSKU]],Table27[customer_SKU],Table27[product_GTIN],"",0,1))</f>
        <v/>
      </c>
      <c r="Z1757" s="25" t="s">
        <v>3525</v>
      </c>
      <c r="AA1757" s="18" t="str" cm="1">
        <f t="array" ref="AA1757">IF(P1757="", "", _xlfn.XLOOKUP(P1757,#REF!,#REF!,NA,0,-1))</f>
        <v/>
      </c>
      <c r="AB1757" s="22"/>
      <c r="AC1757" s="55" t="s">
        <v>3598</v>
      </c>
      <c r="AD1757" s="55" t="str">
        <f>IF($AC1757="","",_xlfn.XLOOKUP($AC1757,'Client Info'!$C$2:$C$2497,'Client Info'!$D$2:$D$2497,"",0,1))</f>
        <v/>
      </c>
      <c r="AE1757" s="55" t="str">
        <f>IF($AC1757="","",_xlfn.XLOOKUP($AC1757,'Client Info'!$C$2:$C$2677,'Client Info'!$E$2:$E$2677,"",))</f>
        <v/>
      </c>
      <c r="AF1757" s="55" t="str">
        <f>IF($AC1757="","",_xlfn.XLOOKUP($AC1757,'Client Info'!$C$2:$C$2677,'Client Info'!$F$2:$F$2677,"",0,1))</f>
        <v/>
      </c>
      <c r="AG1757" s="55" t="s">
        <v>3598</v>
      </c>
      <c r="AH1757" s="26" t="str">
        <f>_xlfn.XLOOKUP(Table26[[#This Row],[customerSKU]],customerSKU!G:G,customerSKU!K:K,"NA",0,1)</f>
        <v>NA</v>
      </c>
      <c r="AI1757" s="43" t="str">
        <f>_xlfn.XLOOKUP(Table26[[#This Row],[customerSKU]],customerSKU!G:G,customerSKU!O:O,"not found",0,1)</f>
        <v>not found</v>
      </c>
      <c r="AJ1757" s="22" t="e">
        <f>Table26[[#This Row],[unitprice]]*Table26[[#This Row],[quantity_unit]]</f>
        <v>#VALUE!</v>
      </c>
      <c r="AK1757" s="227" t="e" cm="1">
        <f t="array" ref="AK17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8" spans="1:37" ht="24.6" customHeight="1">
      <c r="A1758" s="42">
        <v>486</v>
      </c>
      <c r="B1758" s="42" t="s">
        <v>3520</v>
      </c>
      <c r="C1758" s="53" t="s">
        <v>3427</v>
      </c>
      <c r="E1758" s="20"/>
      <c r="F17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8" s="93"/>
      <c r="I1758" s="203">
        <v>45807</v>
      </c>
      <c r="J1758" s="90" t="str">
        <f>IF(Table26[[#This Row],[customerSKU]]="","",_xlfn.XLOOKUP(Table26[[#This Row],[customerSKU]],customerSKU!G:G,customerSKU!A:A,"",0,1))</f>
        <v/>
      </c>
      <c r="K1758" s="232">
        <v>45811</v>
      </c>
      <c r="L1758" s="49" t="str">
        <f>IF(Table26[[#This Row],[customerSKU]]="","",_xlfn.XLOOKUP(Table26[[#This Row],[customerSKU]],customerSKU!G:G,customerSKU!B:B,"",0,1))</f>
        <v/>
      </c>
      <c r="M1758" s="22"/>
      <c r="N1758" s="15" t="str">
        <f>Table26[[#This Row],[po_number]]&amp;"-"&amp;Table26[[#This Row],[po_line]]</f>
        <v>-3</v>
      </c>
      <c r="O1758" s="15">
        <v>3</v>
      </c>
      <c r="P1758" s="50"/>
      <c r="Q1758" s="22" t="s">
        <v>543</v>
      </c>
      <c r="R1758" s="22" t="s">
        <v>532</v>
      </c>
      <c r="S1758" s="90" t="str">
        <f>IF(Table26[[#This Row],[customerSKU]]="","",_xlfn.XLOOKUP(Table26[[#This Row],[customerSKU]],customerSKU!G:G,customerSKU!N:N,"NOT FOUND",0,1))</f>
        <v>NOT FOUND</v>
      </c>
      <c r="T1758" s="20">
        <v>45793</v>
      </c>
      <c r="U1758" s="94">
        <v>18</v>
      </c>
      <c r="V1758" s="22" t="str">
        <f>IF(ISBLANK(Table26[[#This Row],[customerSKU]]),"",_xlfn.XLOOKUP(Table26[[#This Row],[customerSKU]],Table27[customer_SKU],Table27[case_size],"",0,1))</f>
        <v/>
      </c>
      <c r="W1758" s="117" t="str">
        <f t="shared" si="73"/>
        <v/>
      </c>
      <c r="X1758" s="22" t="str">
        <f t="shared" si="72"/>
        <v/>
      </c>
      <c r="Y1758" s="25" t="str">
        <f>IF(Table26[[#This Row],[customerSKU]]="","",_xlfn.XLOOKUP(Table26[[#This Row],[customerSKU]],Table27[customer_SKU],Table27[product_GTIN],"",0,1))</f>
        <v/>
      </c>
      <c r="Z1758" s="25" t="s">
        <v>3599</v>
      </c>
      <c r="AA1758" s="18" t="str" cm="1">
        <f t="array" ref="AA1758">IF(P1758="", "", _xlfn.XLOOKUP(P1758,#REF!,#REF!,NA,0,-1))</f>
        <v/>
      </c>
      <c r="AB1758" s="22"/>
      <c r="AC1758" s="55" t="s">
        <v>3598</v>
      </c>
      <c r="AD1758" s="55" t="str">
        <f>IF($AC1758="","",_xlfn.XLOOKUP($AC1758,'Client Info'!$C$2:$C$2497,'Client Info'!$D$2:$D$2497,"",0,1))</f>
        <v/>
      </c>
      <c r="AE1758" s="55" t="str">
        <f>IF($AC1758="","",_xlfn.XLOOKUP($AC1758,'Client Info'!$C$2:$C$2677,'Client Info'!$E$2:$E$2677,"",))</f>
        <v/>
      </c>
      <c r="AF1758" s="55" t="str">
        <f>IF($AC1758="","",_xlfn.XLOOKUP($AC1758,'Client Info'!$C$2:$C$2677,'Client Info'!$F$2:$F$2677,"",0,1))</f>
        <v/>
      </c>
      <c r="AG1758" s="55" t="s">
        <v>3598</v>
      </c>
      <c r="AH1758" s="26" t="str">
        <f>_xlfn.XLOOKUP(Table26[[#This Row],[customerSKU]],customerSKU!G:G,customerSKU!K:K,"NA",0,1)</f>
        <v>NA</v>
      </c>
      <c r="AI1758" s="43" t="str">
        <f>_xlfn.XLOOKUP(Table26[[#This Row],[customerSKU]],customerSKU!G:G,customerSKU!O:O,"not found",0,1)</f>
        <v>not found</v>
      </c>
      <c r="AJ1758" s="22" t="e">
        <f>Table26[[#This Row],[unitprice]]*Table26[[#This Row],[quantity_unit]]</f>
        <v>#VALUE!</v>
      </c>
      <c r="AK1758" s="227" t="e" cm="1">
        <f t="array" ref="AK17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59" spans="1:37" ht="24.6" customHeight="1">
      <c r="A1759" s="42">
        <v>487</v>
      </c>
      <c r="B1759" s="42" t="s">
        <v>3520</v>
      </c>
      <c r="C1759" s="53" t="s">
        <v>3427</v>
      </c>
      <c r="E1759" s="20"/>
      <c r="F17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59" s="93"/>
      <c r="I1759" s="203">
        <v>45810</v>
      </c>
      <c r="J1759" s="90" t="str">
        <f>IF(Table26[[#This Row],[customerSKU]]="","",_xlfn.XLOOKUP(Table26[[#This Row],[customerSKU]],customerSKU!G:G,customerSKU!A:A,"",0,1))</f>
        <v/>
      </c>
      <c r="K1759" s="232">
        <v>45811</v>
      </c>
      <c r="L1759" s="49" t="str">
        <f>IF(Table26[[#This Row],[customerSKU]]="","",_xlfn.XLOOKUP(Table26[[#This Row],[customerSKU]],customerSKU!G:G,customerSKU!B:B,"",0,1))</f>
        <v/>
      </c>
      <c r="M1759" s="22"/>
      <c r="N1759" s="15" t="str">
        <f>Table26[[#This Row],[po_number]]&amp;"-"&amp;Table26[[#This Row],[po_line]]</f>
        <v>-1</v>
      </c>
      <c r="O1759" s="15">
        <v>1</v>
      </c>
      <c r="P1759" s="50"/>
      <c r="Q1759" s="22" t="s">
        <v>585</v>
      </c>
      <c r="R1759" s="22" t="s">
        <v>532</v>
      </c>
      <c r="S1759" s="90" t="str">
        <f>IF(Table26[[#This Row],[customerSKU]]="","",_xlfn.XLOOKUP(Table26[[#This Row],[customerSKU]],customerSKU!G:G,customerSKU!N:N,"NOT FOUND",0,1))</f>
        <v>NOT FOUND</v>
      </c>
      <c r="T1759" s="20">
        <v>45803</v>
      </c>
      <c r="U1759" s="94">
        <v>24</v>
      </c>
      <c r="V1759" s="22" t="str">
        <f>IF(ISBLANK(Table26[[#This Row],[customerSKU]]),"",_xlfn.XLOOKUP(Table26[[#This Row],[customerSKU]],Table27[customer_SKU],Table27[case_size],"",0,1))</f>
        <v/>
      </c>
      <c r="W1759" s="117" t="str">
        <f t="shared" si="73"/>
        <v/>
      </c>
      <c r="X1759" s="22" t="str">
        <f t="shared" si="72"/>
        <v/>
      </c>
      <c r="Y1759" s="25" t="str">
        <f>IF(Table26[[#This Row],[customerSKU]]="","",_xlfn.XLOOKUP(Table26[[#This Row],[customerSKU]],Table27[customer_SKU],Table27[product_GTIN],"",0,1))</f>
        <v/>
      </c>
      <c r="Z1759" s="25" t="s">
        <v>3603</v>
      </c>
      <c r="AA1759" s="18" t="str" cm="1">
        <f t="array" ref="AA1759">IF(P1759="", "", _xlfn.XLOOKUP(P1759,#REF!,#REF!,NA,0,-1))</f>
        <v/>
      </c>
      <c r="AB1759" s="22"/>
      <c r="AC1759" s="55" t="s">
        <v>81</v>
      </c>
      <c r="AD1759" s="55" t="str">
        <f>IF($AC1759="","",_xlfn.XLOOKUP($AC1759,'Client Info'!$C$2:$C$2497,'Client Info'!$D$2:$D$2497,"",0,1))</f>
        <v/>
      </c>
      <c r="AE1759" s="55" t="str">
        <f>IF($AC1759="","",_xlfn.XLOOKUP($AC1759,'Client Info'!$C$2:$C$2677,'Client Info'!$E$2:$E$2677,"",))</f>
        <v/>
      </c>
      <c r="AF1759" s="55" t="str">
        <f>IF($AC1759="","",_xlfn.XLOOKUP($AC1759,'Client Info'!$C$2:$C$2677,'Client Info'!$F$2:$F$2677,"",0,1))</f>
        <v/>
      </c>
      <c r="AG1759" s="55" t="s">
        <v>81</v>
      </c>
      <c r="AH1759" s="26" t="str">
        <f>_xlfn.XLOOKUP(Table26[[#This Row],[customerSKU]],customerSKU!G:G,customerSKU!K:K,"NA",0,1)</f>
        <v>NA</v>
      </c>
      <c r="AI1759" s="43" t="str">
        <f>_xlfn.XLOOKUP(Table26[[#This Row],[customerSKU]],customerSKU!G:G,customerSKU!O:O,"not found",0,1)</f>
        <v>not found</v>
      </c>
      <c r="AJ1759" s="22" t="e">
        <f>Table26[[#This Row],[unitprice]]*Table26[[#This Row],[quantity_unit]]</f>
        <v>#VALUE!</v>
      </c>
      <c r="AK1759" s="227" t="e" cm="1">
        <f t="array" ref="AK17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0" spans="1:37" ht="24.6" customHeight="1">
      <c r="A1760" s="42">
        <v>488</v>
      </c>
      <c r="B1760" s="42" t="s">
        <v>3520</v>
      </c>
      <c r="C1760" s="53" t="s">
        <v>3427</v>
      </c>
      <c r="E1760" s="20"/>
      <c r="F17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0" s="93"/>
      <c r="I1760" s="203">
        <v>45810</v>
      </c>
      <c r="J1760" s="90" t="str">
        <f>IF(Table26[[#This Row],[customerSKU]]="","",_xlfn.XLOOKUP(Table26[[#This Row],[customerSKU]],customerSKU!G:G,customerSKU!A:A,"",0,1))</f>
        <v/>
      </c>
      <c r="K1760" s="232">
        <v>45811</v>
      </c>
      <c r="L1760" s="49" t="str">
        <f>IF(Table26[[#This Row],[customerSKU]]="","",_xlfn.XLOOKUP(Table26[[#This Row],[customerSKU]],customerSKU!G:G,customerSKU!B:B,"",0,1))</f>
        <v/>
      </c>
      <c r="M1760" s="22"/>
      <c r="N1760" s="15" t="str">
        <f>Table26[[#This Row],[po_number]]&amp;"-"&amp;Table26[[#This Row],[po_line]]</f>
        <v>-2</v>
      </c>
      <c r="O1760" s="15">
        <v>2</v>
      </c>
      <c r="P1760" s="50"/>
      <c r="Q1760" s="22" t="s">
        <v>582</v>
      </c>
      <c r="R1760" s="22" t="s">
        <v>532</v>
      </c>
      <c r="S1760" s="90" t="str">
        <f>IF(Table26[[#This Row],[customerSKU]]="","",_xlfn.XLOOKUP(Table26[[#This Row],[customerSKU]],customerSKU!G:G,customerSKU!N:N,"NOT FOUND",0,1))</f>
        <v>NOT FOUND</v>
      </c>
      <c r="T1760" s="20">
        <v>45778</v>
      </c>
      <c r="U1760" s="94">
        <v>24</v>
      </c>
      <c r="V1760" s="22" t="str">
        <f>IF(ISBLANK(Table26[[#This Row],[customerSKU]]),"",_xlfn.XLOOKUP(Table26[[#This Row],[customerSKU]],Table27[customer_SKU],Table27[case_size],"",0,1))</f>
        <v/>
      </c>
      <c r="W1760" s="117" t="str">
        <f t="shared" si="73"/>
        <v/>
      </c>
      <c r="X1760" s="22" t="str">
        <f t="shared" si="72"/>
        <v/>
      </c>
      <c r="Y1760" s="25" t="str">
        <f>IF(Table26[[#This Row],[customerSKU]]="","",_xlfn.XLOOKUP(Table26[[#This Row],[customerSKU]],Table27[customer_SKU],Table27[product_GTIN],"",0,1))</f>
        <v/>
      </c>
      <c r="Z1760" s="25" t="s">
        <v>3519</v>
      </c>
      <c r="AA1760" s="18" t="str" cm="1">
        <f t="array" ref="AA1760">IF(P1760="", "", _xlfn.XLOOKUP(P1760,#REF!,#REF!,NA,0,-1))</f>
        <v/>
      </c>
      <c r="AB1760" s="22"/>
      <c r="AC1760" s="55" t="s">
        <v>81</v>
      </c>
      <c r="AD1760" s="55" t="str">
        <f>IF($AC1760="","",_xlfn.XLOOKUP($AC1760,'Client Info'!$C$2:$C$2497,'Client Info'!$D$2:$D$2497,"",0,1))</f>
        <v/>
      </c>
      <c r="AE1760" s="55" t="str">
        <f>IF($AC1760="","",_xlfn.XLOOKUP($AC1760,'Client Info'!$C$2:$C$2677,'Client Info'!$E$2:$E$2677,"",))</f>
        <v/>
      </c>
      <c r="AF1760" s="55" t="str">
        <f>IF($AC1760="","",_xlfn.XLOOKUP($AC1760,'Client Info'!$C$2:$C$2677,'Client Info'!$F$2:$F$2677,"",0,1))</f>
        <v/>
      </c>
      <c r="AG1760" s="55" t="s">
        <v>81</v>
      </c>
      <c r="AH1760" s="26" t="str">
        <f>_xlfn.XLOOKUP(Table26[[#This Row],[customerSKU]],customerSKU!G:G,customerSKU!K:K,"NA",0,1)</f>
        <v>NA</v>
      </c>
      <c r="AI1760" s="43" t="str">
        <f>_xlfn.XLOOKUP(Table26[[#This Row],[customerSKU]],customerSKU!G:G,customerSKU!O:O,"not found",0,1)</f>
        <v>not found</v>
      </c>
      <c r="AJ1760" s="22" t="e">
        <f>Table26[[#This Row],[unitprice]]*Table26[[#This Row],[quantity_unit]]</f>
        <v>#VALUE!</v>
      </c>
      <c r="AK1760" s="227" t="e" cm="1">
        <f t="array" ref="AK17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1" spans="1:37" ht="24.6" customHeight="1">
      <c r="A1761" s="42">
        <v>489</v>
      </c>
      <c r="B1761" s="42" t="s">
        <v>3520</v>
      </c>
      <c r="C1761" s="53" t="s">
        <v>3427</v>
      </c>
      <c r="E1761" s="20"/>
      <c r="F17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1" s="93"/>
      <c r="I1761" s="203">
        <v>45810</v>
      </c>
      <c r="J1761" s="90" t="str">
        <f>IF(Table26[[#This Row],[customerSKU]]="","",_xlfn.XLOOKUP(Table26[[#This Row],[customerSKU]],customerSKU!G:G,customerSKU!A:A,"",0,1))</f>
        <v/>
      </c>
      <c r="K1761" s="232">
        <v>45811</v>
      </c>
      <c r="L1761" s="49" t="str">
        <f>IF(Table26[[#This Row],[customerSKU]]="","",_xlfn.XLOOKUP(Table26[[#This Row],[customerSKU]],customerSKU!G:G,customerSKU!B:B,"",0,1))</f>
        <v/>
      </c>
      <c r="M1761" s="22"/>
      <c r="N1761" s="15" t="str">
        <f>Table26[[#This Row],[po_number]]&amp;"-"&amp;Table26[[#This Row],[po_line]]</f>
        <v>-3</v>
      </c>
      <c r="O1761" s="15">
        <v>3</v>
      </c>
      <c r="P1761" s="50"/>
      <c r="Q1761" s="22" t="s">
        <v>828</v>
      </c>
      <c r="R1761" s="22" t="s">
        <v>532</v>
      </c>
      <c r="S1761" s="90" t="str">
        <f>IF(Table26[[#This Row],[customerSKU]]="","",_xlfn.XLOOKUP(Table26[[#This Row],[customerSKU]],customerSKU!G:G,customerSKU!N:N,"NOT FOUND",0,1))</f>
        <v>NOT FOUND</v>
      </c>
      <c r="T1761" s="20">
        <v>45735</v>
      </c>
      <c r="U1761" s="94">
        <v>48</v>
      </c>
      <c r="V1761" s="22" t="str">
        <f>IF(ISBLANK(Table26[[#This Row],[customerSKU]]),"",_xlfn.XLOOKUP(Table26[[#This Row],[customerSKU]],Table27[customer_SKU],Table27[case_size],"",0,1))</f>
        <v/>
      </c>
      <c r="W1761" s="117" t="str">
        <f t="shared" si="73"/>
        <v/>
      </c>
      <c r="X1761" s="22" t="str">
        <f t="shared" si="72"/>
        <v/>
      </c>
      <c r="Y1761" s="25" t="str">
        <f>IF(Table26[[#This Row],[customerSKU]]="","",_xlfn.XLOOKUP(Table26[[#This Row],[customerSKU]],Table27[customer_SKU],Table27[product_GTIN],"",0,1))</f>
        <v/>
      </c>
      <c r="Z1761" s="25" t="s">
        <v>3602</v>
      </c>
      <c r="AA1761" s="18" t="str" cm="1">
        <f t="array" ref="AA1761">IF(P1761="", "", _xlfn.XLOOKUP(P1761,#REF!,#REF!,NA,0,-1))</f>
        <v/>
      </c>
      <c r="AB1761" s="22"/>
      <c r="AC1761" s="55" t="s">
        <v>81</v>
      </c>
      <c r="AD1761" s="55" t="str">
        <f>IF($AC1761="","",_xlfn.XLOOKUP($AC1761,'Client Info'!$C$2:$C$2497,'Client Info'!$D$2:$D$2497,"",0,1))</f>
        <v/>
      </c>
      <c r="AE1761" s="55" t="str">
        <f>IF($AC1761="","",_xlfn.XLOOKUP($AC1761,'Client Info'!$C$2:$C$2677,'Client Info'!$E$2:$E$2677,"",))</f>
        <v/>
      </c>
      <c r="AF1761" s="55" t="str">
        <f>IF($AC1761="","",_xlfn.XLOOKUP($AC1761,'Client Info'!$C$2:$C$2677,'Client Info'!$F$2:$F$2677,"",0,1))</f>
        <v/>
      </c>
      <c r="AG1761" s="55" t="s">
        <v>81</v>
      </c>
      <c r="AH1761" s="26" t="str">
        <f>_xlfn.XLOOKUP(Table26[[#This Row],[customerSKU]],customerSKU!G:G,customerSKU!K:K,"NA",0,1)</f>
        <v>NA</v>
      </c>
      <c r="AI1761" s="43" t="str">
        <f>_xlfn.XLOOKUP(Table26[[#This Row],[customerSKU]],customerSKU!G:G,customerSKU!O:O,"not found",0,1)</f>
        <v>not found</v>
      </c>
      <c r="AJ1761" s="22" t="e">
        <f>Table26[[#This Row],[unitprice]]*Table26[[#This Row],[quantity_unit]]</f>
        <v>#VALUE!</v>
      </c>
      <c r="AK1761" s="227" t="e" cm="1">
        <f t="array" ref="AK17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2" spans="1:37" ht="24.6" customHeight="1">
      <c r="A1762" s="42">
        <v>490</v>
      </c>
      <c r="B1762" s="42" t="s">
        <v>3520</v>
      </c>
      <c r="C1762" s="53" t="s">
        <v>3427</v>
      </c>
      <c r="E1762" s="20"/>
      <c r="F17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2" s="93"/>
      <c r="I1762" s="203">
        <v>45810</v>
      </c>
      <c r="J1762" s="90" t="str">
        <f>IF(Table26[[#This Row],[customerSKU]]="","",_xlfn.XLOOKUP(Table26[[#This Row],[customerSKU]],customerSKU!G:G,customerSKU!A:A,"",0,1))</f>
        <v/>
      </c>
      <c r="K1762" s="232">
        <v>45811</v>
      </c>
      <c r="L1762" s="49" t="str">
        <f>IF(Table26[[#This Row],[customerSKU]]="","",_xlfn.XLOOKUP(Table26[[#This Row],[customerSKU]],customerSKU!G:G,customerSKU!B:B,"",0,1))</f>
        <v/>
      </c>
      <c r="M1762" s="22"/>
      <c r="N1762" s="15" t="str">
        <f>Table26[[#This Row],[po_number]]&amp;"-"&amp;Table26[[#This Row],[po_line]]</f>
        <v>-4</v>
      </c>
      <c r="O1762" s="15">
        <v>4</v>
      </c>
      <c r="P1762" s="50"/>
      <c r="Q1762" s="22" t="s">
        <v>574</v>
      </c>
      <c r="R1762" s="22" t="s">
        <v>532</v>
      </c>
      <c r="S1762" s="90" t="str">
        <f>IF(Table26[[#This Row],[customerSKU]]="","",_xlfn.XLOOKUP(Table26[[#This Row],[customerSKU]],customerSKU!G:G,customerSKU!N:N,"NOT FOUND",0,1))</f>
        <v>NOT FOUND</v>
      </c>
      <c r="T1762" s="20">
        <v>45799</v>
      </c>
      <c r="U1762" s="94">
        <v>48</v>
      </c>
      <c r="V1762" s="22" t="str">
        <f>IF(ISBLANK(Table26[[#This Row],[customerSKU]]),"",_xlfn.XLOOKUP(Table26[[#This Row],[customerSKU]],Table27[customer_SKU],Table27[case_size],"",0,1))</f>
        <v/>
      </c>
      <c r="W1762" s="117" t="str">
        <f t="shared" si="73"/>
        <v/>
      </c>
      <c r="X1762" s="22" t="str">
        <f t="shared" si="72"/>
        <v/>
      </c>
      <c r="Y1762" s="25" t="str">
        <f>IF(Table26[[#This Row],[customerSKU]]="","",_xlfn.XLOOKUP(Table26[[#This Row],[customerSKU]],Table27[customer_SKU],Table27[product_GTIN],"",0,1))</f>
        <v/>
      </c>
      <c r="Z1762" s="25" t="s">
        <v>3530</v>
      </c>
      <c r="AA1762" s="18" t="str" cm="1">
        <f t="array" ref="AA1762">IF(P1762="", "", _xlfn.XLOOKUP(P1762,#REF!,#REF!,NA,0,-1))</f>
        <v/>
      </c>
      <c r="AB1762" s="22"/>
      <c r="AC1762" s="55" t="s">
        <v>81</v>
      </c>
      <c r="AD1762" s="55" t="str">
        <f>IF($AC1762="","",_xlfn.XLOOKUP($AC1762,'Client Info'!$C$2:$C$2497,'Client Info'!$D$2:$D$2497,"",0,1))</f>
        <v/>
      </c>
      <c r="AE1762" s="55" t="str">
        <f>IF($AC1762="","",_xlfn.XLOOKUP($AC1762,'Client Info'!$C$2:$C$2677,'Client Info'!$E$2:$E$2677,"",))</f>
        <v/>
      </c>
      <c r="AF1762" s="55" t="str">
        <f>IF($AC1762="","",_xlfn.XLOOKUP($AC1762,'Client Info'!$C$2:$C$2677,'Client Info'!$F$2:$F$2677,"",0,1))</f>
        <v/>
      </c>
      <c r="AG1762" s="55" t="s">
        <v>81</v>
      </c>
      <c r="AH1762" s="26" t="str">
        <f>_xlfn.XLOOKUP(Table26[[#This Row],[customerSKU]],customerSKU!G:G,customerSKU!K:K,"NA",0,1)</f>
        <v>NA</v>
      </c>
      <c r="AI1762" s="43" t="str">
        <f>_xlfn.XLOOKUP(Table26[[#This Row],[customerSKU]],customerSKU!G:G,customerSKU!O:O,"not found",0,1)</f>
        <v>not found</v>
      </c>
      <c r="AJ1762" s="22" t="e">
        <f>Table26[[#This Row],[unitprice]]*Table26[[#This Row],[quantity_unit]]</f>
        <v>#VALUE!</v>
      </c>
      <c r="AK1762" s="227" t="e" cm="1">
        <f t="array" ref="AK17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3" spans="1:37" ht="24.6" customHeight="1">
      <c r="A1763" s="42">
        <v>491</v>
      </c>
      <c r="B1763" s="42" t="s">
        <v>3520</v>
      </c>
      <c r="C1763" s="53" t="s">
        <v>3427</v>
      </c>
      <c r="E1763" s="20"/>
      <c r="F17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3" s="93"/>
      <c r="I1763" s="203">
        <v>45810</v>
      </c>
      <c r="J1763" s="90" t="s">
        <v>27</v>
      </c>
      <c r="K1763" s="232">
        <v>45811</v>
      </c>
      <c r="L1763" s="49" t="str">
        <f>IF(Table26[[#This Row],[customerSKU]]="","",_xlfn.XLOOKUP(Table26[[#This Row],[customerSKU]],customerSKU!G:G,customerSKU!B:B,"",0,1))</f>
        <v/>
      </c>
      <c r="M1763" s="22"/>
      <c r="N1763" s="15" t="str">
        <f>Table26[[#This Row],[po_number]]&amp;"-"&amp;Table26[[#This Row],[po_line]]</f>
        <v>-1</v>
      </c>
      <c r="O1763" s="15">
        <v>1</v>
      </c>
      <c r="P1763" s="50"/>
      <c r="Q1763" s="22" t="s">
        <v>1811</v>
      </c>
      <c r="R1763" s="22" t="s">
        <v>532</v>
      </c>
      <c r="S1763" s="90" t="str">
        <f>IF(Table26[[#This Row],[customerSKU]]="","",_xlfn.XLOOKUP(Table26[[#This Row],[customerSKU]],customerSKU!G:G,customerSKU!N:N,"NOT FOUND",0,1))</f>
        <v>NOT FOUND</v>
      </c>
      <c r="T1763" s="20">
        <v>45805</v>
      </c>
      <c r="U1763" s="94">
        <v>12</v>
      </c>
      <c r="V1763" s="22" t="str">
        <f>IF(ISBLANK(Table26[[#This Row],[customerSKU]]),"",_xlfn.XLOOKUP(Table26[[#This Row],[customerSKU]],Table27[customer_SKU],Table27[case_size],"",0,1))</f>
        <v/>
      </c>
      <c r="W1763" s="117" t="str">
        <f t="shared" si="73"/>
        <v/>
      </c>
      <c r="X1763" s="22" t="str">
        <f t="shared" si="72"/>
        <v/>
      </c>
      <c r="Y1763" s="25" t="str">
        <f>IF(Table26[[#This Row],[customerSKU]]="","",_xlfn.XLOOKUP(Table26[[#This Row],[customerSKU]],Table27[customer_SKU],Table27[product_GTIN],"",0,1))</f>
        <v/>
      </c>
      <c r="Z1763" s="25" t="s">
        <v>3529</v>
      </c>
      <c r="AA1763" s="18" t="str" cm="1">
        <f t="array" ref="AA1763">IF(P1763="", "", _xlfn.XLOOKUP(P1763,#REF!,#REF!,NA,0,-1))</f>
        <v/>
      </c>
      <c r="AB1763" s="22"/>
      <c r="AC1763" s="55" t="s">
        <v>184</v>
      </c>
      <c r="AD1763" s="55" t="str">
        <f>IF($AC1763="","",_xlfn.XLOOKUP($AC1763,'Client Info'!$C$2:$C$2497,'Client Info'!$D$2:$D$2497,"",0,1))</f>
        <v/>
      </c>
      <c r="AE1763" s="55" t="str">
        <f>IF($AC1763="","",_xlfn.XLOOKUP($AC1763,'Client Info'!$C$2:$C$2677,'Client Info'!$E$2:$E$2677,"",))</f>
        <v/>
      </c>
      <c r="AF1763" s="55" t="str">
        <f>IF($AC1763="","",_xlfn.XLOOKUP($AC1763,'Client Info'!$C$2:$C$2677,'Client Info'!$F$2:$F$2677,"",0,1))</f>
        <v/>
      </c>
      <c r="AG1763" s="55" t="str">
        <f>IF(ISBLANK(Table26[[#This Row],[customerSKU]]),"",_xlfn.XLOOKUP(Table26[[#This Row],[customerSKU]],Table27[customer_SKU],Table27[billto],"",0,1))</f>
        <v/>
      </c>
      <c r="AH1763" s="26" t="str">
        <f>_xlfn.XLOOKUP(Table26[[#This Row],[customerSKU]],customerSKU!G:G,customerSKU!K:K,"NA",0,1)</f>
        <v>NA</v>
      </c>
      <c r="AI1763" s="43" t="str">
        <f>_xlfn.XLOOKUP(Table26[[#This Row],[customerSKU]],customerSKU!G:G,customerSKU!O:O,"not found",0,1)</f>
        <v>not found</v>
      </c>
      <c r="AJ1763" s="22" t="e">
        <f>Table26[[#This Row],[unitprice]]*Table26[[#This Row],[quantity_unit]]</f>
        <v>#VALUE!</v>
      </c>
      <c r="AK1763" s="227" t="e" cm="1">
        <f t="array" ref="AK17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1764" spans="1:37" ht="24.6" customHeight="1">
      <c r="A1764" s="42">
        <v>492</v>
      </c>
      <c r="B1764" s="42" t="s">
        <v>3520</v>
      </c>
      <c r="C1764" s="53" t="s">
        <v>3427</v>
      </c>
      <c r="E1764" s="20"/>
      <c r="F17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4" s="93"/>
      <c r="I1764" s="203">
        <v>45811</v>
      </c>
      <c r="J1764" s="90" t="str">
        <f>IF(Table26[[#This Row],[customerSKU]]="","",_xlfn.XLOOKUP(Table26[[#This Row],[customerSKU]],customerSKU!G:G,customerSKU!A:A,"",0,1))</f>
        <v/>
      </c>
      <c r="K1764" s="232">
        <v>45811</v>
      </c>
      <c r="L1764" s="49" t="str">
        <f>IF(Table26[[#This Row],[customerSKU]]="","",_xlfn.XLOOKUP(Table26[[#This Row],[customerSKU]],customerSKU!G:G,customerSKU!B:B,"",0,1))</f>
        <v/>
      </c>
      <c r="M1764" s="22"/>
      <c r="N1764" s="15" t="str">
        <f>Table26[[#This Row],[po_number]]&amp;"-"&amp;Table26[[#This Row],[po_line]]</f>
        <v>-1</v>
      </c>
      <c r="O1764" s="15">
        <v>1</v>
      </c>
      <c r="P1764" s="50"/>
      <c r="Q1764" s="22" t="s">
        <v>3636</v>
      </c>
      <c r="R1764" s="22" t="s">
        <v>532</v>
      </c>
      <c r="S1764" s="90" t="str">
        <f>IF(Table26[[#This Row],[customerSKU]]="","",_xlfn.XLOOKUP(Table26[[#This Row],[customerSKU]],customerSKU!G:G,customerSKU!N:N,"NOT FOUND",0,1))</f>
        <v>NOT FOUND</v>
      </c>
      <c r="T1764" s="20">
        <v>45807</v>
      </c>
      <c r="U1764" s="94">
        <f>403*12</f>
        <v>4836</v>
      </c>
      <c r="V1764" s="22" t="str">
        <f>IF(ISBLANK(Table26[[#This Row],[customerSKU]]),"",_xlfn.XLOOKUP(Table26[[#This Row],[customerSKU]],Table27[customer_SKU],Table27[case_size],"",0,1))</f>
        <v/>
      </c>
      <c r="W1764" s="117" t="str">
        <f t="shared" si="73"/>
        <v/>
      </c>
      <c r="X1764" s="22" t="str">
        <f t="shared" si="72"/>
        <v/>
      </c>
      <c r="Y1764" s="25" t="str">
        <f>IF(Table26[[#This Row],[customerSKU]]="","",_xlfn.XLOOKUP(Table26[[#This Row],[customerSKU]],Table27[customer_SKU],Table27[product_GTIN],"",0,1))</f>
        <v/>
      </c>
      <c r="Z1764" s="25" t="s">
        <v>3637</v>
      </c>
      <c r="AA1764" s="18" t="str" cm="1">
        <f t="array" ref="AA1764">IF(P1764="", "", _xlfn.XLOOKUP(P1764,#REF!,#REF!,NA,0,-1))</f>
        <v/>
      </c>
      <c r="AB1764" s="22"/>
      <c r="AC1764" s="55" t="str">
        <f>IF(Table26[[#This Row],[customerSKU]]="","",_xlfn.XLOOKUP(Table26[[#This Row],[customerSKU]],customerSKU!G:G,customerSKU!C:C,"",0,1))</f>
        <v/>
      </c>
      <c r="AD1764" s="55" t="str">
        <f>IF($AC1764="","",_xlfn.XLOOKUP($AC1764,'Client Info'!$C$2:$C$2497,'Client Info'!$D$2:$D$2497,"",0,1))</f>
        <v/>
      </c>
      <c r="AE1764" s="55" t="str">
        <f>IF($AC1764="","",_xlfn.XLOOKUP($AC1764,'Client Info'!$C$2:$C$2677,'Client Info'!$E$2:$E$2677,"",))</f>
        <v/>
      </c>
      <c r="AF1764" s="55" t="str">
        <f>IF($AC1764="","",_xlfn.XLOOKUP($AC1764,'Client Info'!$C$2:$C$2677,'Client Info'!$F$2:$F$2677,"",0,1))</f>
        <v/>
      </c>
      <c r="AG1764" s="55" t="str">
        <f>IF(ISBLANK(Table26[[#This Row],[customerSKU]]),"",_xlfn.XLOOKUP(Table26[[#This Row],[customerSKU]],Table27[customer_SKU],Table27[billto],"",0,1))</f>
        <v/>
      </c>
      <c r="AH1764" s="26" t="str">
        <f>_xlfn.XLOOKUP(Table26[[#This Row],[customerSKU]],customerSKU!G:G,customerSKU!K:K,"NA",0,1)</f>
        <v>NA</v>
      </c>
      <c r="AI1764" s="43" t="str">
        <f>_xlfn.XLOOKUP(Table26[[#This Row],[customerSKU]],customerSKU!G:G,customerSKU!O:O,"not found",0,1)</f>
        <v>not found</v>
      </c>
      <c r="AJ1764" s="22" t="e">
        <f>Table26[[#This Row],[unitprice]]*Table26[[#This Row],[quantity_unit]]</f>
        <v>#VALUE!</v>
      </c>
      <c r="AK1764" s="227" t="e" cm="1">
        <f t="array" ref="AK17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5" spans="1:37" ht="24.6" customHeight="1">
      <c r="A1765" s="42">
        <v>493</v>
      </c>
      <c r="B1765" s="42" t="s">
        <v>3520</v>
      </c>
      <c r="C1765" s="53" t="s">
        <v>3427</v>
      </c>
      <c r="E1765" s="20"/>
      <c r="F17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5" s="93"/>
      <c r="I1765" s="203">
        <v>45811</v>
      </c>
      <c r="J1765" s="90" t="str">
        <f>IF(Table26[[#This Row],[customerSKU]]="","",_xlfn.XLOOKUP(Table26[[#This Row],[customerSKU]],customerSKU!G:G,customerSKU!A:A,"",0,1))</f>
        <v/>
      </c>
      <c r="K1765" s="232">
        <v>45811</v>
      </c>
      <c r="L1765" s="49" t="str">
        <f>IF(Table26[[#This Row],[customerSKU]]="","",_xlfn.XLOOKUP(Table26[[#This Row],[customerSKU]],customerSKU!G:G,customerSKU!B:B,"",0,1))</f>
        <v/>
      </c>
      <c r="M1765" s="22"/>
      <c r="N1765" s="15" t="str">
        <f>Table26[[#This Row],[po_number]]&amp;"-"&amp;Table26[[#This Row],[po_line]]</f>
        <v>-1</v>
      </c>
      <c r="O1765" s="15">
        <v>1</v>
      </c>
      <c r="P1765" s="50"/>
      <c r="Q1765" s="22" t="s">
        <v>591</v>
      </c>
      <c r="R1765" s="22" t="s">
        <v>532</v>
      </c>
      <c r="S1765" s="90" t="s">
        <v>13</v>
      </c>
      <c r="T1765" s="20">
        <v>45783</v>
      </c>
      <c r="U1765" s="94">
        <v>24</v>
      </c>
      <c r="V1765" s="22" t="str">
        <f>IF(ISBLANK(Table26[[#This Row],[customerSKU]]),"",_xlfn.XLOOKUP(Table26[[#This Row],[customerSKU]],Table27[customer_SKU],Table27[case_size],"",0,1))</f>
        <v/>
      </c>
      <c r="W1765" s="117" t="str">
        <f t="shared" si="73"/>
        <v/>
      </c>
      <c r="X1765" s="22" t="str">
        <f t="shared" si="72"/>
        <v/>
      </c>
      <c r="Y1765" s="25" t="str">
        <f>IF(Table26[[#This Row],[customerSKU]]="","",_xlfn.XLOOKUP(Table26[[#This Row],[customerSKU]],Table27[customer_SKU],Table27[product_GTIN],"",0,1))</f>
        <v/>
      </c>
      <c r="Z1765" s="25" t="s">
        <v>3525</v>
      </c>
      <c r="AA1765" s="18" t="str" cm="1">
        <f t="array" ref="AA1765">IF(P1765="", "", _xlfn.XLOOKUP(P1765,#REF!,#REF!,NA,0,-1))</f>
        <v/>
      </c>
      <c r="AB1765" s="22"/>
      <c r="AC1765" s="55" t="s">
        <v>140</v>
      </c>
      <c r="AD1765" s="55" t="str">
        <f>IF($AC1765="","",_xlfn.XLOOKUP($AC1765,'Client Info'!$C$2:$C$2497,'Client Info'!$D$2:$D$2497,"",0,1))</f>
        <v/>
      </c>
      <c r="AE1765" s="55" t="str">
        <f>IF($AC1765="","",_xlfn.XLOOKUP($AC1765,'Client Info'!$C$2:$C$2677,'Client Info'!$E$2:$E$2677,"",))</f>
        <v/>
      </c>
      <c r="AF1765" s="55" t="str">
        <f>IF($AC1765="","",_xlfn.XLOOKUP($AC1765,'Client Info'!$C$2:$C$2677,'Client Info'!$F$2:$F$2677,"",0,1))</f>
        <v/>
      </c>
      <c r="AG1765" s="55" t="s">
        <v>140</v>
      </c>
      <c r="AH1765" s="26" t="str">
        <f>_xlfn.XLOOKUP(Table26[[#This Row],[customerSKU]],customerSKU!G:G,customerSKU!K:K,"NA",0,1)</f>
        <v>NA</v>
      </c>
      <c r="AI1765" s="43" t="str">
        <f>_xlfn.XLOOKUP(Table26[[#This Row],[customerSKU]],customerSKU!G:G,customerSKU!O:O,"not found",0,1)</f>
        <v>not found</v>
      </c>
      <c r="AJ1765" s="22" t="e">
        <f>Table26[[#This Row],[unitprice]]*Table26[[#This Row],[quantity_unit]]</f>
        <v>#VALUE!</v>
      </c>
      <c r="AK1765" s="227" t="e" cm="1">
        <f t="array" ref="AK17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6" spans="1:37" ht="18" customHeight="1">
      <c r="A1766" s="42">
        <v>494</v>
      </c>
      <c r="B1766" s="42" t="s">
        <v>3520</v>
      </c>
      <c r="C1766" s="53" t="s">
        <v>3427</v>
      </c>
      <c r="E1766" s="20"/>
      <c r="F17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6" s="93"/>
      <c r="I1766" s="203">
        <v>45811</v>
      </c>
      <c r="J1766" s="90" t="str">
        <f>IF(Table26[[#This Row],[customerSKU]]="","",_xlfn.XLOOKUP(Table26[[#This Row],[customerSKU]],customerSKU!G:G,customerSKU!A:A,"",0,1))</f>
        <v/>
      </c>
      <c r="K1766" s="232">
        <v>45811</v>
      </c>
      <c r="L1766" s="49" t="str">
        <f>IF(Table26[[#This Row],[customerSKU]]="","",_xlfn.XLOOKUP(Table26[[#This Row],[customerSKU]],customerSKU!G:G,customerSKU!B:B,"",0,1))</f>
        <v/>
      </c>
      <c r="M1766" s="22"/>
      <c r="N1766" s="15" t="str">
        <f>Table26[[#This Row],[po_number]]&amp;"-"&amp;Table26[[#This Row],[po_line]]</f>
        <v>-2</v>
      </c>
      <c r="O1766" s="15">
        <v>2</v>
      </c>
      <c r="P1766" s="50"/>
      <c r="Q1766" s="22" t="s">
        <v>3606</v>
      </c>
      <c r="R1766" s="22" t="s">
        <v>532</v>
      </c>
      <c r="S1766" s="90" t="s">
        <v>13</v>
      </c>
      <c r="T1766" s="20">
        <v>45618</v>
      </c>
      <c r="U1766" s="94">
        <v>12</v>
      </c>
      <c r="V1766" s="22" t="str">
        <f>IF(ISBLANK(Table26[[#This Row],[customerSKU]]),"",_xlfn.XLOOKUP(Table26[[#This Row],[customerSKU]],Table27[customer_SKU],Table27[case_size],"",0,1))</f>
        <v/>
      </c>
      <c r="W1766" s="117" t="str">
        <f t="shared" si="73"/>
        <v/>
      </c>
      <c r="X1766" s="22" t="str">
        <f t="shared" si="72"/>
        <v/>
      </c>
      <c r="Y1766" s="25" t="str">
        <f>IF(Table26[[#This Row],[customerSKU]]="","",_xlfn.XLOOKUP(Table26[[#This Row],[customerSKU]],Table27[customer_SKU],Table27[product_GTIN],"",0,1))</f>
        <v/>
      </c>
      <c r="Z1766" s="25" t="s">
        <v>3522</v>
      </c>
      <c r="AA1766" s="18" t="str" cm="1">
        <f t="array" ref="AA1766">IF(P1766="", "", _xlfn.XLOOKUP(P1766,#REF!,#REF!,NA,0,-1))</f>
        <v/>
      </c>
      <c r="AB1766" s="22"/>
      <c r="AC1766" s="55" t="s">
        <v>140</v>
      </c>
      <c r="AD1766" s="55" t="str">
        <f>IF($AC1766="","",_xlfn.XLOOKUP($AC1766,'Client Info'!$C$2:$C$2497,'Client Info'!$D$2:$D$2497,"",0,1))</f>
        <v/>
      </c>
      <c r="AE1766" s="55" t="str">
        <f>IF($AC1766="","",_xlfn.XLOOKUP($AC1766,'Client Info'!$C$2:$C$2677,'Client Info'!$E$2:$E$2677,"",))</f>
        <v/>
      </c>
      <c r="AF1766" s="55" t="str">
        <f>IF($AC1766="","",_xlfn.XLOOKUP($AC1766,'Client Info'!$C$2:$C$2677,'Client Info'!$F$2:$F$2677,"",0,1))</f>
        <v/>
      </c>
      <c r="AG1766" s="55" t="s">
        <v>140</v>
      </c>
      <c r="AH1766" s="26" t="str">
        <f>_xlfn.XLOOKUP(Table26[[#This Row],[customerSKU]],customerSKU!G:G,customerSKU!K:K,"NA",0,1)</f>
        <v>NA</v>
      </c>
      <c r="AI1766" s="43" t="str">
        <f>_xlfn.XLOOKUP(Table26[[#This Row],[customerSKU]],customerSKU!G:G,customerSKU!O:O,"not found",0,1)</f>
        <v>not found</v>
      </c>
      <c r="AJ1766" s="22" t="e">
        <f>Table26[[#This Row],[unitprice]]*Table26[[#This Row],[quantity_unit]]</f>
        <v>#VALUE!</v>
      </c>
      <c r="AK1766" s="227" t="e" cm="1">
        <f t="array" ref="AK17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7" spans="1:37" ht="24.6" customHeight="1">
      <c r="A1767" s="42">
        <v>495</v>
      </c>
      <c r="B1767" s="42" t="s">
        <v>3520</v>
      </c>
      <c r="C1767" s="53" t="s">
        <v>3427</v>
      </c>
      <c r="E1767" s="20"/>
      <c r="F17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7" s="93"/>
      <c r="I1767" s="203">
        <v>45811</v>
      </c>
      <c r="J1767" s="90" t="str">
        <f>IF(Table26[[#This Row],[customerSKU]]="","",_xlfn.XLOOKUP(Table26[[#This Row],[customerSKU]],customerSKU!G:G,customerSKU!A:A,"",0,1))</f>
        <v/>
      </c>
      <c r="K1767" s="232">
        <v>45811</v>
      </c>
      <c r="L1767" s="49" t="str">
        <f>IF(Table26[[#This Row],[customerSKU]]="","",_xlfn.XLOOKUP(Table26[[#This Row],[customerSKU]],customerSKU!G:G,customerSKU!B:B,"",0,1))</f>
        <v/>
      </c>
      <c r="M1767" s="22"/>
      <c r="N1767" s="15" t="str">
        <f>Table26[[#This Row],[po_number]]&amp;"-"&amp;Table26[[#This Row],[po_line]]</f>
        <v>-3</v>
      </c>
      <c r="O1767" s="15">
        <v>3</v>
      </c>
      <c r="P1767" s="50"/>
      <c r="Q1767" s="22" t="s">
        <v>574</v>
      </c>
      <c r="R1767" s="22" t="s">
        <v>532</v>
      </c>
      <c r="S1767" s="90" t="str">
        <f>IF(Table26[[#This Row],[customerSKU]]="","",_xlfn.XLOOKUP(Table26[[#This Row],[customerSKU]],customerSKU!G:G,customerSKU!N:N,"NOT FOUND",0,1))</f>
        <v>NOT FOUND</v>
      </c>
      <c r="T1767" s="20">
        <v>45799</v>
      </c>
      <c r="U1767" s="94">
        <v>12</v>
      </c>
      <c r="V1767" s="22" t="str">
        <f>IF(ISBLANK(Table26[[#This Row],[customerSKU]]),"",_xlfn.XLOOKUP(Table26[[#This Row],[customerSKU]],Table27[customer_SKU],Table27[case_size],"",0,1))</f>
        <v/>
      </c>
      <c r="W1767" s="117" t="str">
        <f t="shared" si="73"/>
        <v/>
      </c>
      <c r="X1767" s="22" t="str">
        <f t="shared" si="72"/>
        <v/>
      </c>
      <c r="Y1767" s="25" t="str">
        <f>IF(Table26[[#This Row],[customerSKU]]="","",_xlfn.XLOOKUP(Table26[[#This Row],[customerSKU]],Table27[customer_SKU],Table27[product_GTIN],"",0,1))</f>
        <v/>
      </c>
      <c r="Z1767" s="25" t="s">
        <v>3530</v>
      </c>
      <c r="AA1767" s="18" t="str" cm="1">
        <f t="array" ref="AA1767">IF(P1767="", "", _xlfn.XLOOKUP(P1767,#REF!,#REF!,NA,0,-1))</f>
        <v/>
      </c>
      <c r="AB1767" s="22"/>
      <c r="AC1767" s="55" t="s">
        <v>140</v>
      </c>
      <c r="AD1767" s="55" t="str">
        <f>IF($AC1767="","",_xlfn.XLOOKUP($AC1767,'Client Info'!$C$2:$C$2497,'Client Info'!$D$2:$D$2497,"",0,1))</f>
        <v/>
      </c>
      <c r="AE1767" s="55" t="str">
        <f>IF($AC1767="","",_xlfn.XLOOKUP($AC1767,'Client Info'!$C$2:$C$2677,'Client Info'!$E$2:$E$2677,"",))</f>
        <v/>
      </c>
      <c r="AF1767" s="55" t="str">
        <f>IF($AC1767="","",_xlfn.XLOOKUP($AC1767,'Client Info'!$C$2:$C$2677,'Client Info'!$F$2:$F$2677,"",0,1))</f>
        <v/>
      </c>
      <c r="AG1767" s="55" t="s">
        <v>140</v>
      </c>
      <c r="AH1767" s="26" t="str">
        <f>_xlfn.XLOOKUP(Table26[[#This Row],[customerSKU]],customerSKU!G:G,customerSKU!K:K,"NA",0,1)</f>
        <v>NA</v>
      </c>
      <c r="AI1767" s="43" t="str">
        <f>_xlfn.XLOOKUP(Table26[[#This Row],[customerSKU]],customerSKU!G:G,customerSKU!O:O,"not found",0,1)</f>
        <v>not found</v>
      </c>
      <c r="AJ1767" s="22" t="e">
        <f>Table26[[#This Row],[unitprice]]*Table26[[#This Row],[quantity_unit]]</f>
        <v>#VALUE!</v>
      </c>
      <c r="AK1767" s="227" t="e" cm="1">
        <f t="array" ref="AK17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68" spans="1:37" ht="24.6" customHeight="1">
      <c r="A1768" s="42">
        <v>496</v>
      </c>
      <c r="B1768" s="42" t="s">
        <v>3520</v>
      </c>
      <c r="C1768" s="53" t="s">
        <v>3427</v>
      </c>
      <c r="E1768" s="20"/>
      <c r="F17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8" s="93"/>
      <c r="I1768" s="203">
        <v>45811</v>
      </c>
      <c r="J1768" s="90" t="s">
        <v>27</v>
      </c>
      <c r="K1768" s="232">
        <v>45811</v>
      </c>
      <c r="L1768" s="49" t="str">
        <f>IF(Table26[[#This Row],[customerSKU]]="","",_xlfn.XLOOKUP(Table26[[#This Row],[customerSKU]],customerSKU!G:G,customerSKU!B:B,"",0,1))</f>
        <v/>
      </c>
      <c r="M1768" s="22"/>
      <c r="N1768" s="15" t="str">
        <f>Table26[[#This Row],[po_number]]&amp;"-"&amp;Table26[[#This Row],[po_line]]</f>
        <v>-1</v>
      </c>
      <c r="O1768" s="15">
        <v>1</v>
      </c>
      <c r="P1768" s="50"/>
      <c r="Q1768" s="22" t="s">
        <v>1811</v>
      </c>
      <c r="R1768" s="22" t="s">
        <v>532</v>
      </c>
      <c r="S1768" s="90" t="str">
        <f>IF(Table26[[#This Row],[customerSKU]]="","",_xlfn.XLOOKUP(Table26[[#This Row],[customerSKU]],customerSKU!G:G,customerSKU!N:N,"NOT FOUND",0,1))</f>
        <v>NOT FOUND</v>
      </c>
      <c r="T1768" s="20">
        <v>45805</v>
      </c>
      <c r="U1768" s="94">
        <v>12</v>
      </c>
      <c r="V1768" s="22" t="str">
        <f>IF(ISBLANK(Table26[[#This Row],[customerSKU]]),"",_xlfn.XLOOKUP(Table26[[#This Row],[customerSKU]],Table27[customer_SKU],Table27[case_size],"",0,1))</f>
        <v/>
      </c>
      <c r="W1768" s="117" t="str">
        <f t="shared" si="73"/>
        <v/>
      </c>
      <c r="X1768" s="22" t="str">
        <f t="shared" si="72"/>
        <v/>
      </c>
      <c r="Y1768" s="25" t="str">
        <f>IF(Table26[[#This Row],[customerSKU]]="","",_xlfn.XLOOKUP(Table26[[#This Row],[customerSKU]],Table27[customer_SKU],Table27[product_GTIN],"",0,1))</f>
        <v/>
      </c>
      <c r="Z1768" s="25" t="s">
        <v>3529</v>
      </c>
      <c r="AA1768" s="18" t="str" cm="1">
        <f t="array" ref="AA1768">IF(P1768="", "", _xlfn.XLOOKUP(P1768,#REF!,#REF!,NA,0,-1))</f>
        <v/>
      </c>
      <c r="AB1768" s="22"/>
      <c r="AC1768" s="55" t="s">
        <v>185</v>
      </c>
      <c r="AD1768" s="55" t="str">
        <f>IF($AC1768="","",_xlfn.XLOOKUP($AC1768,'Client Info'!$C$2:$C$2497,'Client Info'!$D$2:$D$2497,"",0,1))</f>
        <v/>
      </c>
      <c r="AE1768" s="55" t="str">
        <f>IF($AC1768="","",_xlfn.XLOOKUP($AC1768,'Client Info'!$C$2:$C$2677,'Client Info'!$E$2:$E$2677,"",))</f>
        <v/>
      </c>
      <c r="AF1768" s="55" t="str">
        <f>IF($AC1768="","",_xlfn.XLOOKUP($AC1768,'Client Info'!$C$2:$C$2677,'Client Info'!$F$2:$F$2677,"",0,1))</f>
        <v/>
      </c>
      <c r="AG1768" s="55" t="str">
        <f>IF(ISBLANK(Table26[[#This Row],[customerSKU]]),"",_xlfn.XLOOKUP(Table26[[#This Row],[customerSKU]],Table27[customer_SKU],Table27[billto],"",0,1))</f>
        <v/>
      </c>
      <c r="AH1768" s="26" t="str">
        <f>_xlfn.XLOOKUP(Table26[[#This Row],[customerSKU]],customerSKU!G:G,customerSKU!K:K,"NA",0,1)</f>
        <v>NA</v>
      </c>
      <c r="AI1768" s="43" t="str">
        <f>_xlfn.XLOOKUP(Table26[[#This Row],[customerSKU]],customerSKU!G:G,customerSKU!O:O,"not found",0,1)</f>
        <v>not found</v>
      </c>
      <c r="AJ1768" s="22" t="e">
        <f>Table26[[#This Row],[unitprice]]*Table26[[#This Row],[quantity_unit]]</f>
        <v>#VALUE!</v>
      </c>
      <c r="AK1768" s="227" t="e" cm="1">
        <f t="array" ref="AK17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</row>
    <row r="1769" spans="1:37" ht="24.6" customHeight="1">
      <c r="A1769" s="42">
        <v>467</v>
      </c>
      <c r="B1769" s="42" t="s">
        <v>3520</v>
      </c>
      <c r="C1769" s="53" t="s">
        <v>3427</v>
      </c>
      <c r="E1769" s="20"/>
      <c r="F17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69" s="93"/>
      <c r="I1769" s="203">
        <v>45812</v>
      </c>
      <c r="J1769" s="90" t="str">
        <f>IF(Table26[[#This Row],[customerSKU]]="","",_xlfn.XLOOKUP(Table26[[#This Row],[customerSKU]],customerSKU!G:G,customerSKU!A:A,"",0,1))</f>
        <v/>
      </c>
      <c r="K1769" s="232">
        <v>45812</v>
      </c>
      <c r="L1769" s="49" t="str">
        <f>IF(Table26[[#This Row],[customerSKU]]="","",_xlfn.XLOOKUP(Table26[[#This Row],[customerSKU]],customerSKU!G:G,customerSKU!B:B,"",0,1))</f>
        <v/>
      </c>
      <c r="M1769" s="22"/>
      <c r="N1769" s="15" t="str">
        <f>Table26[[#This Row],[po_number]]&amp;"-"&amp;Table26[[#This Row],[po_line]]</f>
        <v>-1</v>
      </c>
      <c r="O1769" s="15">
        <v>1</v>
      </c>
      <c r="P1769" s="50"/>
      <c r="Q1769" s="22" t="s">
        <v>591</v>
      </c>
      <c r="R1769" s="22" t="s">
        <v>221</v>
      </c>
      <c r="S1769" s="90" t="str">
        <f>IF(Table26[[#This Row],[customerSKU]]="","",_xlfn.XLOOKUP(Table26[[#This Row],[customerSKU]],customerSKU!G:G,customerSKU!N:N,"NOT FOUND",0,1))</f>
        <v>NOT FOUND</v>
      </c>
      <c r="T1769" s="20">
        <v>45783</v>
      </c>
      <c r="U1769" s="94">
        <v>12</v>
      </c>
      <c r="V1769" s="22" t="str">
        <f>IF(ISBLANK(Table26[[#This Row],[customerSKU]]),"",_xlfn.XLOOKUP(Table26[[#This Row],[customerSKU]],Table27[customer_SKU],Table27[case_size],"",0,1))</f>
        <v/>
      </c>
      <c r="W1769" s="117" t="str">
        <f t="shared" si="73"/>
        <v/>
      </c>
      <c r="X1769" s="22" t="str">
        <f t="shared" si="72"/>
        <v/>
      </c>
      <c r="Y1769" s="25" t="str">
        <f>IF(Table26[[#This Row],[customerSKU]]="","",_xlfn.XLOOKUP(Table26[[#This Row],[customerSKU]],Table27[customer_SKU],Table27[product_GTIN],"",0,1))</f>
        <v/>
      </c>
      <c r="Z1769" s="25" t="s">
        <v>3525</v>
      </c>
      <c r="AA1769" s="18" t="str" cm="1">
        <f t="array" ref="AA1769">IF(P1769="", "", _xlfn.XLOOKUP(P1769,#REF!,#REF!,NA,0,-1))</f>
        <v/>
      </c>
      <c r="AB1769" s="22"/>
      <c r="AC1769" s="55" t="s">
        <v>95</v>
      </c>
      <c r="AD1769" s="55" t="str">
        <f>IF($AC1769="","",_xlfn.XLOOKUP($AC1769,'Client Info'!$C$2:$C$2497,'Client Info'!$D$2:$D$2497,"",0,1))</f>
        <v/>
      </c>
      <c r="AE1769" s="55" t="str">
        <f>IF($AC1769="","",_xlfn.XLOOKUP($AC1769,'Client Info'!$C$2:$C$2677,'Client Info'!$E$2:$E$2677,"",))</f>
        <v/>
      </c>
      <c r="AF1769" s="55" t="str">
        <f>IF($AC1769="","",_xlfn.XLOOKUP($AC1769,'Client Info'!$C$2:$C$2677,'Client Info'!$F$2:$F$2677,"",0,1))</f>
        <v/>
      </c>
      <c r="AG1769" s="55" t="s">
        <v>95</v>
      </c>
      <c r="AH1769" s="26" t="str">
        <f>_xlfn.XLOOKUP(Table26[[#This Row],[customerSKU]],customerSKU!G:G,customerSKU!K:K,"NA",0,1)</f>
        <v>NA</v>
      </c>
      <c r="AI1769" s="43" t="str">
        <f>_xlfn.XLOOKUP(Table26[[#This Row],[customerSKU]],customerSKU!G:G,customerSKU!O:O,"not found",0,1)</f>
        <v>not found</v>
      </c>
      <c r="AJ1769" s="22" t="e">
        <f>Table26[[#This Row],[unitprice]]*Table26[[#This Row],[quantity_unit]]</f>
        <v>#VALUE!</v>
      </c>
      <c r="AK1769" s="227" t="e" cm="1">
        <f t="array" ref="AK17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0" spans="1:37" ht="24.6" customHeight="1">
      <c r="A1770" s="42">
        <v>468</v>
      </c>
      <c r="B1770" s="42" t="s">
        <v>3520</v>
      </c>
      <c r="C1770" s="53" t="s">
        <v>3427</v>
      </c>
      <c r="E1770" s="20"/>
      <c r="F17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0" s="93"/>
      <c r="I1770" s="203">
        <v>45812</v>
      </c>
      <c r="J1770" s="90" t="str">
        <f>IF(Table26[[#This Row],[customerSKU]]="","",_xlfn.XLOOKUP(Table26[[#This Row],[customerSKU]],customerSKU!G:G,customerSKU!A:A,"",0,1))</f>
        <v/>
      </c>
      <c r="K1770" s="232">
        <v>45812</v>
      </c>
      <c r="L1770" s="49" t="str">
        <f>IF(Table26[[#This Row],[customerSKU]]="","",_xlfn.XLOOKUP(Table26[[#This Row],[customerSKU]],customerSKU!G:G,customerSKU!B:B,"",0,1))</f>
        <v/>
      </c>
      <c r="M1770" s="22"/>
      <c r="N1770" s="15" t="str">
        <f>Table26[[#This Row],[po_number]]&amp;"-"&amp;Table26[[#This Row],[po_line]]</f>
        <v>-2</v>
      </c>
      <c r="O1770" s="15">
        <v>2</v>
      </c>
      <c r="P1770" s="50"/>
      <c r="Q1770" s="22" t="s">
        <v>574</v>
      </c>
      <c r="R1770" s="22" t="s">
        <v>221</v>
      </c>
      <c r="S1770" s="90" t="str">
        <f>IF(Table26[[#This Row],[customerSKU]]="","",_xlfn.XLOOKUP(Table26[[#This Row],[customerSKU]],customerSKU!G:G,customerSKU!N:N,"NOT FOUND",0,1))</f>
        <v>NOT FOUND</v>
      </c>
      <c r="T1770" s="20">
        <v>45799</v>
      </c>
      <c r="U1770" s="94">
        <v>12</v>
      </c>
      <c r="V1770" s="22" t="str">
        <f>IF(ISBLANK(Table26[[#This Row],[customerSKU]]),"",_xlfn.XLOOKUP(Table26[[#This Row],[customerSKU]],Table27[customer_SKU],Table27[case_size],"",0,1))</f>
        <v/>
      </c>
      <c r="W1770" s="117" t="str">
        <f t="shared" si="73"/>
        <v/>
      </c>
      <c r="X1770" s="22" t="str">
        <f t="shared" si="72"/>
        <v/>
      </c>
      <c r="Y1770" s="25" t="str">
        <f>IF(Table26[[#This Row],[customerSKU]]="","",_xlfn.XLOOKUP(Table26[[#This Row],[customerSKU]],Table27[customer_SKU],Table27[product_GTIN],"",0,1))</f>
        <v/>
      </c>
      <c r="Z1770" s="25" t="s">
        <v>3530</v>
      </c>
      <c r="AA1770" s="18" t="str" cm="1">
        <f t="array" ref="AA1770">IF(P1770="", "", _xlfn.XLOOKUP(P1770,#REF!,#REF!,NA,0,-1))</f>
        <v/>
      </c>
      <c r="AB1770" s="22"/>
      <c r="AC1770" s="55" t="s">
        <v>95</v>
      </c>
      <c r="AD1770" s="55" t="str">
        <f>IF($AC1770="","",_xlfn.XLOOKUP($AC1770,'Client Info'!$C$2:$C$2497,'Client Info'!$D$2:$D$2497,"",0,1))</f>
        <v/>
      </c>
      <c r="AE1770" s="55" t="str">
        <f>IF($AC1770="","",_xlfn.XLOOKUP($AC1770,'Client Info'!$C$2:$C$2677,'Client Info'!$E$2:$E$2677,"",))</f>
        <v/>
      </c>
      <c r="AF1770" s="55" t="str">
        <f>IF($AC1770="","",_xlfn.XLOOKUP($AC1770,'Client Info'!$C$2:$C$2677,'Client Info'!$F$2:$F$2677,"",0,1))</f>
        <v/>
      </c>
      <c r="AG1770" s="55" t="s">
        <v>95</v>
      </c>
      <c r="AH1770" s="26" t="str">
        <f>_xlfn.XLOOKUP(Table26[[#This Row],[customerSKU]],customerSKU!G:G,customerSKU!K:K,"NA",0,1)</f>
        <v>NA</v>
      </c>
      <c r="AI1770" s="43" t="str">
        <f>_xlfn.XLOOKUP(Table26[[#This Row],[customerSKU]],customerSKU!G:G,customerSKU!O:O,"not found",0,1)</f>
        <v>not found</v>
      </c>
      <c r="AJ1770" s="22" t="e">
        <f>Table26[[#This Row],[unitprice]]*Table26[[#This Row],[quantity_unit]]</f>
        <v>#VALUE!</v>
      </c>
      <c r="AK1770" s="227" t="e" cm="1">
        <f t="array" ref="AK17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1" spans="1:37" ht="18" customHeight="1">
      <c r="A1771" s="42">
        <v>469</v>
      </c>
      <c r="B1771" s="42" t="s">
        <v>3520</v>
      </c>
      <c r="C1771" s="53" t="s">
        <v>3427</v>
      </c>
      <c r="E1771" s="20"/>
      <c r="F17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1" s="93"/>
      <c r="I1771" s="203">
        <v>45812</v>
      </c>
      <c r="J1771" s="90" t="str">
        <f>IF(Table26[[#This Row],[customerSKU]]="","",_xlfn.XLOOKUP(Table26[[#This Row],[customerSKU]],customerSKU!G:G,customerSKU!A:A,"",0,1))</f>
        <v/>
      </c>
      <c r="K1771" s="232">
        <v>45812</v>
      </c>
      <c r="L1771" s="49" t="str">
        <f>IF(Table26[[#This Row],[customerSKU]]="","",_xlfn.XLOOKUP(Table26[[#This Row],[customerSKU]],customerSKU!G:G,customerSKU!B:B,"",0,1))</f>
        <v/>
      </c>
      <c r="M1771" s="22"/>
      <c r="N1771" s="15" t="str">
        <f>Table26[[#This Row],[po_number]]&amp;"-"&amp;Table26[[#This Row],[po_line]]</f>
        <v>-3</v>
      </c>
      <c r="O1771" s="15">
        <v>3</v>
      </c>
      <c r="P1771" s="50"/>
      <c r="Q1771" s="22" t="s">
        <v>3551</v>
      </c>
      <c r="R1771" s="22" t="s">
        <v>221</v>
      </c>
      <c r="S1771" s="90" t="str">
        <f>IF(Table26[[#This Row],[customerSKU]]="","",_xlfn.XLOOKUP(Table26[[#This Row],[customerSKU]],customerSKU!G:G,customerSKU!N:N,"NOT FOUND",0,1))</f>
        <v>NOT FOUND</v>
      </c>
      <c r="T1771" s="20">
        <v>45755</v>
      </c>
      <c r="U1771" s="94">
        <v>12</v>
      </c>
      <c r="V1771" s="22" t="str">
        <f>IF(ISBLANK(Table26[[#This Row],[customerSKU]]),"",_xlfn.XLOOKUP(Table26[[#This Row],[customerSKU]],Table27[customer_SKU],Table27[case_size],"",0,1))</f>
        <v/>
      </c>
      <c r="W1771" s="117" t="str">
        <f t="shared" si="73"/>
        <v/>
      </c>
      <c r="X1771" s="22" t="str">
        <f t="shared" si="72"/>
        <v/>
      </c>
      <c r="Y1771" s="25" t="str">
        <f>IF(Table26[[#This Row],[customerSKU]]="","",_xlfn.XLOOKUP(Table26[[#This Row],[customerSKU]],Table27[customer_SKU],Table27[product_GTIN],"",0,1))</f>
        <v/>
      </c>
      <c r="Z1771" s="25" t="s">
        <v>3535</v>
      </c>
      <c r="AA1771" s="18" t="str" cm="1">
        <f t="array" ref="AA1771">IF(P1771="", "", _xlfn.XLOOKUP(P1771,#REF!,#REF!,NA,0,-1))</f>
        <v/>
      </c>
      <c r="AB1771" s="22"/>
      <c r="AC1771" s="55" t="s">
        <v>95</v>
      </c>
      <c r="AD1771" s="55" t="str">
        <f>IF($AC1771="","",_xlfn.XLOOKUP($AC1771,'Client Info'!$C$2:$C$2497,'Client Info'!$D$2:$D$2497,"",0,1))</f>
        <v/>
      </c>
      <c r="AE1771" s="55" t="str">
        <f>IF($AC1771="","",_xlfn.XLOOKUP($AC1771,'Client Info'!$C$2:$C$2677,'Client Info'!$E$2:$E$2677,"",))</f>
        <v/>
      </c>
      <c r="AF1771" s="55" t="str">
        <f>IF($AC1771="","",_xlfn.XLOOKUP($AC1771,'Client Info'!$C$2:$C$2677,'Client Info'!$F$2:$F$2677,"",0,1))</f>
        <v/>
      </c>
      <c r="AG1771" s="55" t="s">
        <v>95</v>
      </c>
      <c r="AH1771" s="26" t="str">
        <f>_xlfn.XLOOKUP(Table26[[#This Row],[customerSKU]],customerSKU!G:G,customerSKU!K:K,"NA",0,1)</f>
        <v>NA</v>
      </c>
      <c r="AI1771" s="43" t="str">
        <f>_xlfn.XLOOKUP(Table26[[#This Row],[customerSKU]],customerSKU!G:G,customerSKU!O:O,"not found",0,1)</f>
        <v>not found</v>
      </c>
      <c r="AJ1771" s="22" t="e">
        <f>Table26[[#This Row],[unitprice]]*Table26[[#This Row],[quantity_unit]]</f>
        <v>#VALUE!</v>
      </c>
      <c r="AK1771" s="227" t="e" cm="1">
        <f t="array" ref="AK17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2" spans="1:37" ht="18" customHeight="1">
      <c r="A1772" s="42">
        <v>470</v>
      </c>
      <c r="B1772" s="42" t="s">
        <v>3520</v>
      </c>
      <c r="C1772" s="53" t="s">
        <v>3427</v>
      </c>
      <c r="E1772" s="20"/>
      <c r="F17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2" s="93"/>
      <c r="I1772" s="203">
        <v>45812</v>
      </c>
      <c r="J1772" s="90" t="str">
        <f>IF(Table26[[#This Row],[customerSKU]]="","",_xlfn.XLOOKUP(Table26[[#This Row],[customerSKU]],customerSKU!G:G,customerSKU!A:A,"",0,1))</f>
        <v/>
      </c>
      <c r="K1772" s="232">
        <v>45812</v>
      </c>
      <c r="L1772" s="49" t="str">
        <f>IF(Table26[[#This Row],[customerSKU]]="","",_xlfn.XLOOKUP(Table26[[#This Row],[customerSKU]],customerSKU!G:G,customerSKU!B:B,"",0,1))</f>
        <v/>
      </c>
      <c r="M1772" s="22"/>
      <c r="N1772" s="15" t="str">
        <f>Table26[[#This Row],[po_number]]&amp;"-"&amp;Table26[[#This Row],[po_line]]</f>
        <v>-4</v>
      </c>
      <c r="O1772" s="15">
        <v>4</v>
      </c>
      <c r="P1772" s="50"/>
      <c r="Q1772" s="22" t="s">
        <v>1309</v>
      </c>
      <c r="R1772" s="22" t="s">
        <v>221</v>
      </c>
      <c r="S1772" s="90" t="str">
        <f>IF(Table26[[#This Row],[customerSKU]]="","",_xlfn.XLOOKUP(Table26[[#This Row],[customerSKU]],customerSKU!G:G,customerSKU!N:N,"NOT FOUND",0,1))</f>
        <v>NOT FOUND</v>
      </c>
      <c r="T1772" s="20">
        <v>45697</v>
      </c>
      <c r="U1772" s="94">
        <v>12</v>
      </c>
      <c r="V1772" s="22" t="str">
        <f>IF(ISBLANK(Table26[[#This Row],[customerSKU]]),"",_xlfn.XLOOKUP(Table26[[#This Row],[customerSKU]],Table27[customer_SKU],Table27[case_size],"",0,1))</f>
        <v/>
      </c>
      <c r="W1772" s="117" t="str">
        <f t="shared" si="73"/>
        <v/>
      </c>
      <c r="X1772" s="22" t="str">
        <f t="shared" si="72"/>
        <v/>
      </c>
      <c r="Y1772" s="25" t="str">
        <f>IF(Table26[[#This Row],[customerSKU]]="","",_xlfn.XLOOKUP(Table26[[#This Row],[customerSKU]],Table27[customer_SKU],Table27[product_GTIN],"",0,1))</f>
        <v/>
      </c>
      <c r="Z1772" s="25" t="s">
        <v>3536</v>
      </c>
      <c r="AA1772" s="18" t="str" cm="1">
        <f t="array" ref="AA1772">IF(P1772="", "", _xlfn.XLOOKUP(P1772,#REF!,#REF!,NA,0,-1))</f>
        <v/>
      </c>
      <c r="AB1772" s="22"/>
      <c r="AC1772" s="55" t="s">
        <v>95</v>
      </c>
      <c r="AD1772" s="55" t="str">
        <f>IF($AC1772="","",_xlfn.XLOOKUP($AC1772,'Client Info'!$C$2:$C$2497,'Client Info'!$D$2:$D$2497,"",0,1))</f>
        <v/>
      </c>
      <c r="AE1772" s="55" t="str">
        <f>IF($AC1772="","",_xlfn.XLOOKUP($AC1772,'Client Info'!$C$2:$C$2677,'Client Info'!$E$2:$E$2677,"",))</f>
        <v/>
      </c>
      <c r="AF1772" s="55" t="str">
        <f>IF($AC1772="","",_xlfn.XLOOKUP($AC1772,'Client Info'!$C$2:$C$2677,'Client Info'!$F$2:$F$2677,"",0,1))</f>
        <v/>
      </c>
      <c r="AG1772" s="55" t="s">
        <v>95</v>
      </c>
      <c r="AH1772" s="26" t="str">
        <f>_xlfn.XLOOKUP(Table26[[#This Row],[customerSKU]],customerSKU!G:G,customerSKU!K:K,"NA",0,1)</f>
        <v>NA</v>
      </c>
      <c r="AI1772" s="43" t="str">
        <f>_xlfn.XLOOKUP(Table26[[#This Row],[customerSKU]],customerSKU!G:G,customerSKU!O:O,"not found",0,1)</f>
        <v>not found</v>
      </c>
      <c r="AJ1772" s="22" t="e">
        <f>Table26[[#This Row],[unitprice]]*Table26[[#This Row],[quantity_unit]]</f>
        <v>#VALUE!</v>
      </c>
      <c r="AK1772" s="227" t="e" cm="1">
        <f t="array" ref="AK17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3" spans="1:37" ht="18" customHeight="1">
      <c r="A1773" s="42">
        <v>471</v>
      </c>
      <c r="B1773" s="42" t="s">
        <v>3520</v>
      </c>
      <c r="C1773" s="53" t="s">
        <v>3427</v>
      </c>
      <c r="E1773" s="20"/>
      <c r="F17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3" s="93"/>
      <c r="I1773" s="203">
        <v>45812</v>
      </c>
      <c r="J1773" s="90" t="str">
        <f>IF(Table26[[#This Row],[customerSKU]]="","",_xlfn.XLOOKUP(Table26[[#This Row],[customerSKU]],customerSKU!G:G,customerSKU!A:A,"",0,1))</f>
        <v/>
      </c>
      <c r="K1773" s="232">
        <v>45812</v>
      </c>
      <c r="L1773" s="49" t="str">
        <f>IF(Table26[[#This Row],[customerSKU]]="","",_xlfn.XLOOKUP(Table26[[#This Row],[customerSKU]],customerSKU!G:G,customerSKU!B:B,"",0,1))</f>
        <v/>
      </c>
      <c r="M1773" s="22"/>
      <c r="N1773" s="15" t="str">
        <f>Table26[[#This Row],[po_number]]&amp;"-"&amp;Table26[[#This Row],[po_line]]</f>
        <v>-1</v>
      </c>
      <c r="O1773" s="15">
        <v>1</v>
      </c>
      <c r="P1773" s="50"/>
      <c r="Q1773" s="22" t="s">
        <v>934</v>
      </c>
      <c r="R1773" s="22" t="s">
        <v>3559</v>
      </c>
      <c r="S1773" s="90" t="str">
        <f>IF(Table26[[#This Row],[customerSKU]]="","",_xlfn.XLOOKUP(Table26[[#This Row],[customerSKU]],customerSKU!G:G,customerSKU!N:N,"NOT FOUND",0,1))</f>
        <v>NOT FOUND</v>
      </c>
      <c r="T1773" s="20">
        <v>45596</v>
      </c>
      <c r="U1773" s="94">
        <v>12</v>
      </c>
      <c r="V1773" s="22" t="str">
        <f>IF(ISBLANK(Table26[[#This Row],[customerSKU]]),"",_xlfn.XLOOKUP(Table26[[#This Row],[customerSKU]],Table27[customer_SKU],Table27[case_size],"",0,1))</f>
        <v/>
      </c>
      <c r="W1773" s="117" t="str">
        <f t="shared" si="73"/>
        <v/>
      </c>
      <c r="X1773" s="22" t="str">
        <f t="shared" si="72"/>
        <v/>
      </c>
      <c r="Y1773" s="25" t="str">
        <f>IF(Table26[[#This Row],[customerSKU]]="","",_xlfn.XLOOKUP(Table26[[#This Row],[customerSKU]],Table27[customer_SKU],Table27[product_GTIN],"",0,1))</f>
        <v/>
      </c>
      <c r="Z1773" s="25" t="s">
        <v>3547</v>
      </c>
      <c r="AA1773" s="18" t="str" cm="1">
        <f t="array" ref="AA1773">IF(P1773="", "", _xlfn.XLOOKUP(P1773,#REF!,#REF!,NA,0,-1))</f>
        <v/>
      </c>
      <c r="AB1773" s="22"/>
      <c r="AC1773" s="55" t="s">
        <v>97</v>
      </c>
      <c r="AD1773" s="55" t="str">
        <f>IF($AC1773="","",_xlfn.XLOOKUP($AC1773,'Client Info'!$C$2:$C$2497,'Client Info'!$D$2:$D$2497,"",0,1))</f>
        <v/>
      </c>
      <c r="AE1773" s="55" t="str">
        <f>IF($AC1773="","",_xlfn.XLOOKUP($AC1773,'Client Info'!$C$2:$C$2677,'Client Info'!$E$2:$E$2677,"",))</f>
        <v/>
      </c>
      <c r="AF1773" s="55" t="str">
        <f>IF($AC1773="","",_xlfn.XLOOKUP($AC1773,'Client Info'!$C$2:$C$2677,'Client Info'!$F$2:$F$2677,"",0,1))</f>
        <v/>
      </c>
      <c r="AG1773" s="55" t="s">
        <v>97</v>
      </c>
      <c r="AH1773" s="26" t="str">
        <f>_xlfn.XLOOKUP(Table26[[#This Row],[customerSKU]],customerSKU!G:G,customerSKU!K:K,"NA",0,1)</f>
        <v>NA</v>
      </c>
      <c r="AI1773" s="43" t="str">
        <f>_xlfn.XLOOKUP(Table26[[#This Row],[customerSKU]],customerSKU!G:G,customerSKU!O:O,"not found",0,1)</f>
        <v>not found</v>
      </c>
      <c r="AJ1773" s="22" t="e">
        <f>Table26[[#This Row],[unitprice]]*Table26[[#This Row],[quantity_unit]]</f>
        <v>#VALUE!</v>
      </c>
      <c r="AK1773" s="227" t="e" cm="1">
        <f t="array" ref="AK17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4" spans="1:37" ht="18" customHeight="1">
      <c r="A1774" s="42">
        <v>472</v>
      </c>
      <c r="B1774" s="42" t="s">
        <v>3520</v>
      </c>
      <c r="C1774" s="53" t="s">
        <v>3427</v>
      </c>
      <c r="E1774" s="20"/>
      <c r="F17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4" s="93"/>
      <c r="I1774" s="203">
        <v>45812</v>
      </c>
      <c r="J1774" s="90" t="str">
        <f>IF(Table26[[#This Row],[customerSKU]]="","",_xlfn.XLOOKUP(Table26[[#This Row],[customerSKU]],customerSKU!G:G,customerSKU!A:A,"",0,1))</f>
        <v/>
      </c>
      <c r="K1774" s="232">
        <v>45812</v>
      </c>
      <c r="L1774" s="49" t="str">
        <f>IF(Table26[[#This Row],[customerSKU]]="","",_xlfn.XLOOKUP(Table26[[#This Row],[customerSKU]],customerSKU!G:G,customerSKU!B:B,"",0,1))</f>
        <v/>
      </c>
      <c r="M1774" s="22"/>
      <c r="N1774" s="15" t="str">
        <f>Table26[[#This Row],[po_number]]&amp;"-"&amp;Table26[[#This Row],[po_line]]</f>
        <v>-2</v>
      </c>
      <c r="O1774" s="15">
        <v>2</v>
      </c>
      <c r="P1774" s="50"/>
      <c r="Q1774" s="22" t="s">
        <v>585</v>
      </c>
      <c r="R1774" s="22" t="s">
        <v>221</v>
      </c>
      <c r="S1774" s="90" t="str">
        <f>IF(Table26[[#This Row],[customerSKU]]="","",_xlfn.XLOOKUP(Table26[[#This Row],[customerSKU]],customerSKU!G:G,customerSKU!N:N,"NOT FOUND",0,1))</f>
        <v>NOT FOUND</v>
      </c>
      <c r="T1774" s="20">
        <v>45777</v>
      </c>
      <c r="U1774" s="94">
        <v>2</v>
      </c>
      <c r="V1774" s="22" t="str">
        <f>IF(ISBLANK(Table26[[#This Row],[customerSKU]]),"",_xlfn.XLOOKUP(Table26[[#This Row],[customerSKU]],Table27[customer_SKU],Table27[case_size],"",0,1))</f>
        <v/>
      </c>
      <c r="W1774" s="117" t="str">
        <f t="shared" si="73"/>
        <v/>
      </c>
      <c r="X1774" s="22" t="str">
        <f t="shared" si="72"/>
        <v/>
      </c>
      <c r="Y1774" s="25" t="str">
        <f>IF(Table26[[#This Row],[customerSKU]]="","",_xlfn.XLOOKUP(Table26[[#This Row],[customerSKU]],Table27[customer_SKU],Table27[product_GTIN],"",0,1))</f>
        <v/>
      </c>
      <c r="Z1774" s="25" t="s">
        <v>3603</v>
      </c>
      <c r="AA1774" s="18" t="str" cm="1">
        <f t="array" ref="AA1774">IF(P1774="", "", _xlfn.XLOOKUP(P1774,#REF!,#REF!,NA,0,-1))</f>
        <v/>
      </c>
      <c r="AB1774" s="22"/>
      <c r="AC1774" s="55" t="s">
        <v>97</v>
      </c>
      <c r="AD1774" s="55" t="str">
        <f>IF($AC1774="","",_xlfn.XLOOKUP($AC1774,'Client Info'!$C$2:$C$2497,'Client Info'!$D$2:$D$2497,"",0,1))</f>
        <v/>
      </c>
      <c r="AE1774" s="55" t="str">
        <f>IF($AC1774="","",_xlfn.XLOOKUP($AC1774,'Client Info'!$C$2:$C$2677,'Client Info'!$E$2:$E$2677,"",))</f>
        <v/>
      </c>
      <c r="AF1774" s="55" t="str">
        <f>IF($AC1774="","",_xlfn.XLOOKUP($AC1774,'Client Info'!$C$2:$C$2677,'Client Info'!$F$2:$F$2677,"",0,1))</f>
        <v/>
      </c>
      <c r="AG1774" s="55" t="s">
        <v>97</v>
      </c>
      <c r="AH1774" s="26" t="str">
        <f>_xlfn.XLOOKUP(Table26[[#This Row],[customerSKU]],customerSKU!G:G,customerSKU!K:K,"NA",0,1)</f>
        <v>NA</v>
      </c>
      <c r="AI1774" s="43" t="str">
        <f>_xlfn.XLOOKUP(Table26[[#This Row],[customerSKU]],customerSKU!G:G,customerSKU!O:O,"not found",0,1)</f>
        <v>not found</v>
      </c>
      <c r="AJ1774" s="22" t="e">
        <f>Table26[[#This Row],[unitprice]]*Table26[[#This Row],[quantity_unit]]</f>
        <v>#VALUE!</v>
      </c>
      <c r="AK1774" s="227" t="e" cm="1">
        <f t="array" ref="AK17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5" spans="1:37" ht="18" customHeight="1">
      <c r="A1775" s="42">
        <v>473</v>
      </c>
      <c r="B1775" s="42" t="s">
        <v>3520</v>
      </c>
      <c r="C1775" s="53" t="s">
        <v>3427</v>
      </c>
      <c r="E1775" s="20"/>
      <c r="F17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5" s="93"/>
      <c r="I1775" s="203">
        <v>45812</v>
      </c>
      <c r="J1775" s="90" t="str">
        <f>IF(Table26[[#This Row],[customerSKU]]="","",_xlfn.XLOOKUP(Table26[[#This Row],[customerSKU]],customerSKU!G:G,customerSKU!A:A,"",0,1))</f>
        <v/>
      </c>
      <c r="K1775" s="232">
        <v>45812</v>
      </c>
      <c r="L1775" s="49" t="str">
        <f>IF(Table26[[#This Row],[customerSKU]]="","",_xlfn.XLOOKUP(Table26[[#This Row],[customerSKU]],customerSKU!G:G,customerSKU!B:B,"",0,1))</f>
        <v/>
      </c>
      <c r="M1775" s="22"/>
      <c r="N1775" s="15" t="str">
        <f>Table26[[#This Row],[po_number]]&amp;"-"&amp;Table26[[#This Row],[po_line]]</f>
        <v>-3</v>
      </c>
      <c r="O1775" s="15">
        <v>3</v>
      </c>
      <c r="P1775" s="50"/>
      <c r="Q1775" s="22" t="s">
        <v>585</v>
      </c>
      <c r="R1775" s="22" t="s">
        <v>221</v>
      </c>
      <c r="S1775" s="90" t="str">
        <f>IF(Table26[[#This Row],[customerSKU]]="","",_xlfn.XLOOKUP(Table26[[#This Row],[customerSKU]],customerSKU!G:G,customerSKU!N:N,"NOT FOUND",0,1))</f>
        <v>NOT FOUND</v>
      </c>
      <c r="T1775" s="20">
        <v>45755</v>
      </c>
      <c r="U1775" s="94">
        <v>10</v>
      </c>
      <c r="V1775" s="22" t="str">
        <f>IF(ISBLANK(Table26[[#This Row],[customerSKU]]),"",_xlfn.XLOOKUP(Table26[[#This Row],[customerSKU]],Table27[customer_SKU],Table27[case_size],"",0,1))</f>
        <v/>
      </c>
      <c r="W1775" s="117" t="str">
        <f t="shared" si="73"/>
        <v/>
      </c>
      <c r="X1775" s="22" t="str">
        <f t="shared" si="72"/>
        <v/>
      </c>
      <c r="Y1775" s="25" t="str">
        <f>IF(Table26[[#This Row],[customerSKU]]="","",_xlfn.XLOOKUP(Table26[[#This Row],[customerSKU]],Table27[customer_SKU],Table27[product_GTIN],"",0,1))</f>
        <v/>
      </c>
      <c r="Z1775" s="25" t="s">
        <v>3603</v>
      </c>
      <c r="AA1775" s="18" t="str" cm="1">
        <f t="array" ref="AA1775">IF(P1775="", "", _xlfn.XLOOKUP(P1775,#REF!,#REF!,NA,0,-1))</f>
        <v/>
      </c>
      <c r="AB1775" s="22"/>
      <c r="AC1775" s="55" t="s">
        <v>97</v>
      </c>
      <c r="AD1775" s="55" t="str">
        <f>IF($AC1775="","",_xlfn.XLOOKUP($AC1775,'Client Info'!$C$2:$C$2497,'Client Info'!$D$2:$D$2497,"",0,1))</f>
        <v/>
      </c>
      <c r="AE1775" s="55" t="str">
        <f>IF($AC1775="","",_xlfn.XLOOKUP($AC1775,'Client Info'!$C$2:$C$2677,'Client Info'!$E$2:$E$2677,"",))</f>
        <v/>
      </c>
      <c r="AF1775" s="55" t="str">
        <f>IF($AC1775="","",_xlfn.XLOOKUP($AC1775,'Client Info'!$C$2:$C$2677,'Client Info'!$F$2:$F$2677,"",0,1))</f>
        <v/>
      </c>
      <c r="AG1775" s="55" t="s">
        <v>97</v>
      </c>
      <c r="AH1775" s="26" t="str">
        <f>_xlfn.XLOOKUP(Table26[[#This Row],[customerSKU]],customerSKU!G:G,customerSKU!K:K,"NA",0,1)</f>
        <v>NA</v>
      </c>
      <c r="AI1775" s="43" t="str">
        <f>_xlfn.XLOOKUP(Table26[[#This Row],[customerSKU]],customerSKU!G:G,customerSKU!O:O,"not found",0,1)</f>
        <v>not found</v>
      </c>
      <c r="AJ1775" s="22" t="e">
        <f>Table26[[#This Row],[unitprice]]*Table26[[#This Row],[quantity_unit]]</f>
        <v>#VALUE!</v>
      </c>
      <c r="AK1775" s="227" t="e" cm="1">
        <f t="array" ref="AK17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6" spans="1:37" ht="18" customHeight="1">
      <c r="A1776" s="42">
        <v>474</v>
      </c>
      <c r="B1776" s="42" t="s">
        <v>3520</v>
      </c>
      <c r="C1776" s="53" t="s">
        <v>3427</v>
      </c>
      <c r="E1776" s="20"/>
      <c r="F17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6" s="93"/>
      <c r="I1776" s="203">
        <v>45812</v>
      </c>
      <c r="J1776" s="90" t="str">
        <f>IF(Table26[[#This Row],[customerSKU]]="","",_xlfn.XLOOKUP(Table26[[#This Row],[customerSKU]],customerSKU!G:G,customerSKU!A:A,"",0,1))</f>
        <v/>
      </c>
      <c r="K1776" s="232">
        <v>45812</v>
      </c>
      <c r="L1776" s="49" t="str">
        <f>IF(Table26[[#This Row],[customerSKU]]="","",_xlfn.XLOOKUP(Table26[[#This Row],[customerSKU]],customerSKU!G:G,customerSKU!B:B,"",0,1))</f>
        <v/>
      </c>
      <c r="M1776" s="22"/>
      <c r="N1776" s="15" t="str">
        <f>Table26[[#This Row],[po_number]]&amp;"-"&amp;Table26[[#This Row],[po_line]]</f>
        <v>-4</v>
      </c>
      <c r="O1776" s="15">
        <v>4</v>
      </c>
      <c r="P1776" s="50"/>
      <c r="Q1776" s="22" t="s">
        <v>3548</v>
      </c>
      <c r="R1776" s="22" t="s">
        <v>3559</v>
      </c>
      <c r="S1776" s="90" t="str">
        <f>IF(Table26[[#This Row],[customerSKU]]="","",_xlfn.XLOOKUP(Table26[[#This Row],[customerSKU]],customerSKU!G:G,customerSKU!N:N,"NOT FOUND",0,1))</f>
        <v>NOT FOUND</v>
      </c>
      <c r="T1776" s="20">
        <v>45777</v>
      </c>
      <c r="U1776" s="94">
        <v>12</v>
      </c>
      <c r="V1776" s="22" t="str">
        <f>IF(ISBLANK(Table26[[#This Row],[customerSKU]]),"",_xlfn.XLOOKUP(Table26[[#This Row],[customerSKU]],Table27[customer_SKU],Table27[case_size],"",0,1))</f>
        <v/>
      </c>
      <c r="W1776" s="117" t="str">
        <f t="shared" si="73"/>
        <v/>
      </c>
      <c r="X1776" s="22" t="str">
        <f t="shared" si="72"/>
        <v/>
      </c>
      <c r="Y1776" s="25" t="str">
        <f>IF(Table26[[#This Row],[customerSKU]]="","",_xlfn.XLOOKUP(Table26[[#This Row],[customerSKU]],Table27[customer_SKU],Table27[product_GTIN],"",0,1))</f>
        <v/>
      </c>
      <c r="Z1776" s="25" t="s">
        <v>3549</v>
      </c>
      <c r="AA1776" s="18" t="str" cm="1">
        <f t="array" ref="AA1776">IF(P1776="", "", _xlfn.XLOOKUP(P1776,#REF!,#REF!,NA,0,-1))</f>
        <v/>
      </c>
      <c r="AB1776" s="22"/>
      <c r="AC1776" s="55" t="s">
        <v>97</v>
      </c>
      <c r="AD1776" s="55" t="str">
        <f>IF($AC1776="","",_xlfn.XLOOKUP($AC1776,'Client Info'!$C$2:$C$2497,'Client Info'!$D$2:$D$2497,"",0,1))</f>
        <v/>
      </c>
      <c r="AE1776" s="55" t="str">
        <f>IF($AC1776="","",_xlfn.XLOOKUP($AC1776,'Client Info'!$C$2:$C$2677,'Client Info'!$E$2:$E$2677,"",))</f>
        <v/>
      </c>
      <c r="AF1776" s="55" t="str">
        <f>IF($AC1776="","",_xlfn.XLOOKUP($AC1776,'Client Info'!$C$2:$C$2677,'Client Info'!$F$2:$F$2677,"",0,1))</f>
        <v/>
      </c>
      <c r="AG1776" s="55" t="s">
        <v>97</v>
      </c>
      <c r="AH1776" s="26" t="str">
        <f>_xlfn.XLOOKUP(Table26[[#This Row],[customerSKU]],customerSKU!G:G,customerSKU!K:K,"NA",0,1)</f>
        <v>NA</v>
      </c>
      <c r="AI1776" s="43" t="str">
        <f>_xlfn.XLOOKUP(Table26[[#This Row],[customerSKU]],customerSKU!G:G,customerSKU!O:O,"not found",0,1)</f>
        <v>not found</v>
      </c>
      <c r="AJ1776" s="22" t="e">
        <f>Table26[[#This Row],[unitprice]]*Table26[[#This Row],[quantity_unit]]</f>
        <v>#VALUE!</v>
      </c>
      <c r="AK1776" s="227" t="e" cm="1">
        <f t="array" ref="AK17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7" spans="1:37" ht="18" customHeight="1">
      <c r="A1777" s="42">
        <v>475</v>
      </c>
      <c r="B1777" s="42" t="s">
        <v>3520</v>
      </c>
      <c r="C1777" s="53" t="s">
        <v>3427</v>
      </c>
      <c r="E1777" s="20"/>
      <c r="F17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7" s="93"/>
      <c r="I1777" s="203">
        <v>45812</v>
      </c>
      <c r="J1777" s="90" t="str">
        <f>IF(Table26[[#This Row],[customerSKU]]="","",_xlfn.XLOOKUP(Table26[[#This Row],[customerSKU]],customerSKU!G:G,customerSKU!A:A,"",0,1))</f>
        <v/>
      </c>
      <c r="K1777" s="232">
        <v>45812</v>
      </c>
      <c r="L1777" s="49" t="str">
        <f>IF(Table26[[#This Row],[customerSKU]]="","",_xlfn.XLOOKUP(Table26[[#This Row],[customerSKU]],customerSKU!G:G,customerSKU!B:B,"",0,1))</f>
        <v/>
      </c>
      <c r="M1777" s="22"/>
      <c r="N1777" s="15" t="str">
        <f>Table26[[#This Row],[po_number]]&amp;"-"&amp;Table26[[#This Row],[po_line]]</f>
        <v>-5</v>
      </c>
      <c r="O1777" s="15">
        <v>5</v>
      </c>
      <c r="P1777" s="50"/>
      <c r="Q1777" s="22" t="s">
        <v>582</v>
      </c>
      <c r="R1777" s="22" t="s">
        <v>221</v>
      </c>
      <c r="S1777" s="90" t="str">
        <f>IF(Table26[[#This Row],[customerSKU]]="","",_xlfn.XLOOKUP(Table26[[#This Row],[customerSKU]],customerSKU!G:G,customerSKU!N:N,"NOT FOUND",0,1))</f>
        <v>NOT FOUND</v>
      </c>
      <c r="T1777" s="20">
        <v>45778</v>
      </c>
      <c r="U1777" s="94">
        <v>12</v>
      </c>
      <c r="V1777" s="22" t="str">
        <f>IF(ISBLANK(Table26[[#This Row],[customerSKU]]),"",_xlfn.XLOOKUP(Table26[[#This Row],[customerSKU]],Table27[customer_SKU],Table27[case_size],"",0,1))</f>
        <v/>
      </c>
      <c r="W1777" s="117" t="str">
        <f t="shared" si="73"/>
        <v/>
      </c>
      <c r="X1777" s="22" t="str">
        <f t="shared" si="72"/>
        <v/>
      </c>
      <c r="Y1777" s="25" t="str">
        <f>IF(Table26[[#This Row],[customerSKU]]="","",_xlfn.XLOOKUP(Table26[[#This Row],[customerSKU]],Table27[customer_SKU],Table27[product_GTIN],"",0,1))</f>
        <v/>
      </c>
      <c r="Z1777" s="25" t="s">
        <v>3519</v>
      </c>
      <c r="AA1777" s="18" t="str" cm="1">
        <f t="array" ref="AA1777">IF(P1777="", "", _xlfn.XLOOKUP(P1777,#REF!,#REF!,NA,0,-1))</f>
        <v/>
      </c>
      <c r="AB1777" s="22"/>
      <c r="AC1777" s="55" t="s">
        <v>97</v>
      </c>
      <c r="AD1777" s="55" t="str">
        <f>IF($AC1777="","",_xlfn.XLOOKUP($AC1777,'Client Info'!$C$2:$C$2497,'Client Info'!$D$2:$D$2497,"",0,1))</f>
        <v/>
      </c>
      <c r="AE1777" s="55" t="str">
        <f>IF($AC1777="","",_xlfn.XLOOKUP($AC1777,'Client Info'!$C$2:$C$2677,'Client Info'!$E$2:$E$2677,"",))</f>
        <v/>
      </c>
      <c r="AF1777" s="55" t="str">
        <f>IF($AC1777="","",_xlfn.XLOOKUP($AC1777,'Client Info'!$C$2:$C$2677,'Client Info'!$F$2:$F$2677,"",0,1))</f>
        <v/>
      </c>
      <c r="AG1777" s="55" t="s">
        <v>97</v>
      </c>
      <c r="AH1777" s="26" t="str">
        <f>_xlfn.XLOOKUP(Table26[[#This Row],[customerSKU]],customerSKU!G:G,customerSKU!K:K,"NA",0,1)</f>
        <v>NA</v>
      </c>
      <c r="AI1777" s="43" t="str">
        <f>_xlfn.XLOOKUP(Table26[[#This Row],[customerSKU]],customerSKU!G:G,customerSKU!O:O,"not found",0,1)</f>
        <v>not found</v>
      </c>
      <c r="AJ1777" s="22" t="e">
        <f>Table26[[#This Row],[unitprice]]*Table26[[#This Row],[quantity_unit]]</f>
        <v>#VALUE!</v>
      </c>
      <c r="AK1777" s="227" t="e" cm="1">
        <f t="array" ref="AK17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8" spans="1:37" ht="18" customHeight="1">
      <c r="A1778" s="42">
        <v>476</v>
      </c>
      <c r="B1778" s="42" t="s">
        <v>3520</v>
      </c>
      <c r="C1778" s="53" t="s">
        <v>3427</v>
      </c>
      <c r="E1778" s="20"/>
      <c r="F17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8" s="93"/>
      <c r="I1778" s="203">
        <v>45812</v>
      </c>
      <c r="J1778" s="90" t="str">
        <f>IF(Table26[[#This Row],[customerSKU]]="","",_xlfn.XLOOKUP(Table26[[#This Row],[customerSKU]],customerSKU!G:G,customerSKU!A:A,"",0,1))</f>
        <v/>
      </c>
      <c r="K1778" s="232">
        <v>45812</v>
      </c>
      <c r="L1778" s="49" t="str">
        <f>IF(Table26[[#This Row],[customerSKU]]="","",_xlfn.XLOOKUP(Table26[[#This Row],[customerSKU]],customerSKU!G:G,customerSKU!B:B,"",0,1))</f>
        <v/>
      </c>
      <c r="M1778" s="22"/>
      <c r="N1778" s="15" t="str">
        <f>Table26[[#This Row],[po_number]]&amp;"-"&amp;Table26[[#This Row],[po_line]]</f>
        <v>-6</v>
      </c>
      <c r="O1778" s="15">
        <v>6</v>
      </c>
      <c r="P1778" s="50"/>
      <c r="Q1778" s="4" t="s">
        <v>587</v>
      </c>
      <c r="R1778" s="22" t="s">
        <v>221</v>
      </c>
      <c r="S1778" s="90" t="str">
        <f>IF(Table26[[#This Row],[customerSKU]]="","",_xlfn.XLOOKUP(Table26[[#This Row],[customerSKU]],customerSKU!G:G,customerSKU!N:N,"NOT FOUND",0,1))</f>
        <v>NOT FOUND</v>
      </c>
      <c r="T1778" s="20">
        <v>45742</v>
      </c>
      <c r="U1778" s="94">
        <v>12</v>
      </c>
      <c r="V1778" s="22" t="str">
        <f>IF(ISBLANK(Table26[[#This Row],[customerSKU]]),"",_xlfn.XLOOKUP(Table26[[#This Row],[customerSKU]],Table27[customer_SKU],Table27[case_size],"",0,1))</f>
        <v/>
      </c>
      <c r="W1778" s="117" t="str">
        <f t="shared" si="73"/>
        <v/>
      </c>
      <c r="X1778" s="22" t="str">
        <f t="shared" si="72"/>
        <v/>
      </c>
      <c r="Y1778" s="25" t="str">
        <f>IF(Table26[[#This Row],[customerSKU]]="","",_xlfn.XLOOKUP(Table26[[#This Row],[customerSKU]],Table27[customer_SKU],Table27[product_GTIN],"",0,1))</f>
        <v/>
      </c>
      <c r="Z1778" s="25" t="s">
        <v>3550</v>
      </c>
      <c r="AA1778" s="18" t="str" cm="1">
        <f t="array" ref="AA1778">IF(P1778="", "", _xlfn.XLOOKUP(P1778,#REF!,#REF!,NA,0,-1))</f>
        <v/>
      </c>
      <c r="AB1778" s="22"/>
      <c r="AC1778" s="55" t="s">
        <v>97</v>
      </c>
      <c r="AD1778" s="55" t="str">
        <f>IF($AC1778="","",_xlfn.XLOOKUP($AC1778,'Client Info'!$C$2:$C$2497,'Client Info'!$D$2:$D$2497,"",0,1))</f>
        <v/>
      </c>
      <c r="AE1778" s="55" t="str">
        <f>IF($AC1778="","",_xlfn.XLOOKUP($AC1778,'Client Info'!$C$2:$C$2677,'Client Info'!$E$2:$E$2677,"",))</f>
        <v/>
      </c>
      <c r="AF1778" s="55" t="str">
        <f>IF($AC1778="","",_xlfn.XLOOKUP($AC1778,'Client Info'!$C$2:$C$2677,'Client Info'!$F$2:$F$2677,"",0,1))</f>
        <v/>
      </c>
      <c r="AG1778" s="55" t="s">
        <v>97</v>
      </c>
      <c r="AH1778" s="26" t="str">
        <f>_xlfn.XLOOKUP(Table26[[#This Row],[customerSKU]],customerSKU!G:G,customerSKU!K:K,"NA",0,1)</f>
        <v>NA</v>
      </c>
      <c r="AI1778" s="43" t="str">
        <f>_xlfn.XLOOKUP(Table26[[#This Row],[customerSKU]],customerSKU!G:G,customerSKU!O:O,"not found",0,1)</f>
        <v>not found</v>
      </c>
      <c r="AJ1778" s="22" t="e">
        <f>Table26[[#This Row],[unitprice]]*Table26[[#This Row],[quantity_unit]]</f>
        <v>#VALUE!</v>
      </c>
      <c r="AK1778" s="227" t="e" cm="1">
        <f t="array" ref="AK17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79" spans="1:37" ht="18" customHeight="1">
      <c r="A1779" s="42">
        <v>477</v>
      </c>
      <c r="B1779" s="42" t="s">
        <v>3520</v>
      </c>
      <c r="C1779" s="53" t="s">
        <v>3427</v>
      </c>
      <c r="E1779" s="20"/>
      <c r="F17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79" s="93"/>
      <c r="I1779" s="203">
        <v>45812</v>
      </c>
      <c r="J1779" s="90" t="str">
        <f>IF(Table26[[#This Row],[customerSKU]]="","",_xlfn.XLOOKUP(Table26[[#This Row],[customerSKU]],customerSKU!G:G,customerSKU!A:A,"",0,1))</f>
        <v/>
      </c>
      <c r="K1779" s="232">
        <v>45812</v>
      </c>
      <c r="L1779" s="49" t="str">
        <f>IF(Table26[[#This Row],[customerSKU]]="","",_xlfn.XLOOKUP(Table26[[#This Row],[customerSKU]],customerSKU!G:G,customerSKU!B:B,"",0,1))</f>
        <v/>
      </c>
      <c r="M1779" s="22"/>
      <c r="N1779" s="15" t="str">
        <f>Table26[[#This Row],[po_number]]&amp;"-"&amp;Table26[[#This Row],[po_line]]</f>
        <v>-7</v>
      </c>
      <c r="O1779" s="15">
        <v>7</v>
      </c>
      <c r="P1779" s="50"/>
      <c r="Q1779" s="22" t="s">
        <v>869</v>
      </c>
      <c r="R1779" s="22" t="s">
        <v>221</v>
      </c>
      <c r="S1779" s="90" t="str">
        <f>IF(Table26[[#This Row],[customerSKU]]="","",_xlfn.XLOOKUP(Table26[[#This Row],[customerSKU]],customerSKU!G:G,customerSKU!N:N,"NOT FOUND",0,1))</f>
        <v>NOT FOUND</v>
      </c>
      <c r="T1779" s="20">
        <v>45742</v>
      </c>
      <c r="U1779" s="94">
        <v>12</v>
      </c>
      <c r="V1779" s="22" t="str">
        <f>IF(ISBLANK(Table26[[#This Row],[customerSKU]]),"",_xlfn.XLOOKUP(Table26[[#This Row],[customerSKU]],Table27[customer_SKU],Table27[case_size],"",0,1))</f>
        <v/>
      </c>
      <c r="W1779" s="117" t="str">
        <f t="shared" si="73"/>
        <v/>
      </c>
      <c r="X1779" s="22" t="str">
        <f t="shared" si="72"/>
        <v/>
      </c>
      <c r="Y1779" s="25" t="str">
        <f>IF(Table26[[#This Row],[customerSKU]]="","",_xlfn.XLOOKUP(Table26[[#This Row],[customerSKU]],Table27[customer_SKU],Table27[product_GTIN],"",0,1))</f>
        <v/>
      </c>
      <c r="Z1779" s="25" t="s">
        <v>3610</v>
      </c>
      <c r="AA1779" s="18" t="str" cm="1">
        <f t="array" ref="AA1779">IF(P1779="", "", _xlfn.XLOOKUP(P1779,#REF!,#REF!,NA,0,-1))</f>
        <v/>
      </c>
      <c r="AB1779" s="22"/>
      <c r="AC1779" s="55" t="s">
        <v>97</v>
      </c>
      <c r="AD1779" s="55" t="str">
        <f>IF($AC1779="","",_xlfn.XLOOKUP($AC1779,'Client Info'!$C$2:$C$2497,'Client Info'!$D$2:$D$2497,"",0,1))</f>
        <v/>
      </c>
      <c r="AE1779" s="55" t="str">
        <f>IF($AC1779="","",_xlfn.XLOOKUP($AC1779,'Client Info'!$C$2:$C$2677,'Client Info'!$E$2:$E$2677,"",))</f>
        <v/>
      </c>
      <c r="AF1779" s="55" t="str">
        <f>IF($AC1779="","",_xlfn.XLOOKUP($AC1779,'Client Info'!$C$2:$C$2677,'Client Info'!$F$2:$F$2677,"",0,1))</f>
        <v/>
      </c>
      <c r="AG1779" s="55" t="s">
        <v>97</v>
      </c>
      <c r="AH1779" s="26" t="str">
        <f>_xlfn.XLOOKUP(Table26[[#This Row],[customerSKU]],customerSKU!G:G,customerSKU!K:K,"NA",0,1)</f>
        <v>NA</v>
      </c>
      <c r="AI1779" s="43" t="str">
        <f>_xlfn.XLOOKUP(Table26[[#This Row],[customerSKU]],customerSKU!G:G,customerSKU!O:O,"not found",0,1)</f>
        <v>not found</v>
      </c>
      <c r="AJ1779" s="22" t="e">
        <f>Table26[[#This Row],[unitprice]]*Table26[[#This Row],[quantity_unit]]</f>
        <v>#VALUE!</v>
      </c>
      <c r="AK1779" s="227" t="e" cm="1">
        <f t="array" ref="AK17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0" spans="1:37" ht="18" customHeight="1">
      <c r="A1780" s="42">
        <v>478</v>
      </c>
      <c r="B1780" s="42" t="s">
        <v>3520</v>
      </c>
      <c r="C1780" s="53" t="s">
        <v>3427</v>
      </c>
      <c r="E1780" s="20"/>
      <c r="F17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0" s="93"/>
      <c r="I1780" s="203">
        <v>45812</v>
      </c>
      <c r="J1780" s="90" t="str">
        <f>IF(Table26[[#This Row],[customerSKU]]="","",_xlfn.XLOOKUP(Table26[[#This Row],[customerSKU]],customerSKU!G:G,customerSKU!A:A,"",0,1))</f>
        <v/>
      </c>
      <c r="K1780" s="232">
        <v>45812</v>
      </c>
      <c r="L1780" s="49" t="str">
        <f>IF(Table26[[#This Row],[customerSKU]]="","",_xlfn.XLOOKUP(Table26[[#This Row],[customerSKU]],customerSKU!G:G,customerSKU!B:B,"",0,1))</f>
        <v/>
      </c>
      <c r="M1780" s="22"/>
      <c r="N1780" s="15" t="str">
        <f>Table26[[#This Row],[po_number]]&amp;"-"&amp;Table26[[#This Row],[po_line]]</f>
        <v>-8</v>
      </c>
      <c r="O1780" s="15">
        <v>8</v>
      </c>
      <c r="P1780" s="50"/>
      <c r="Q1780" s="22" t="s">
        <v>531</v>
      </c>
      <c r="R1780" s="22" t="s">
        <v>221</v>
      </c>
      <c r="S1780" s="90" t="str">
        <f>IF(Table26[[#This Row],[customerSKU]]="","",_xlfn.XLOOKUP(Table26[[#This Row],[customerSKU]],customerSKU!G:G,customerSKU!N:N,"NOT FOUND",0,1))</f>
        <v>NOT FOUND</v>
      </c>
      <c r="T1780" s="20">
        <v>45478</v>
      </c>
      <c r="U1780" s="94">
        <v>6</v>
      </c>
      <c r="V1780" s="22" t="str">
        <f>IF(ISBLANK(Table26[[#This Row],[customerSKU]]),"",_xlfn.XLOOKUP(Table26[[#This Row],[customerSKU]],Table27[customer_SKU],Table27[case_size],"",0,1))</f>
        <v/>
      </c>
      <c r="W1780" s="117" t="str">
        <f t="shared" si="73"/>
        <v/>
      </c>
      <c r="X1780" s="22" t="str">
        <f t="shared" si="72"/>
        <v/>
      </c>
      <c r="Y1780" s="25" t="str">
        <f>IF(Table26[[#This Row],[customerSKU]]="","",_xlfn.XLOOKUP(Table26[[#This Row],[customerSKU]],Table27[customer_SKU],Table27[product_GTIN],"",0,1))</f>
        <v/>
      </c>
      <c r="Z1780" s="25" t="s">
        <v>3597</v>
      </c>
      <c r="AA1780" s="18" t="str" cm="1">
        <f t="array" ref="AA1780">IF(P1780="", "", _xlfn.XLOOKUP(P1780,#REF!,#REF!,NA,0,-1))</f>
        <v/>
      </c>
      <c r="AB1780" s="22" t="s">
        <v>18</v>
      </c>
      <c r="AC1780" s="55" t="s">
        <v>97</v>
      </c>
      <c r="AD1780" s="55" t="str">
        <f>IF($AC1780="","",_xlfn.XLOOKUP($AC1780,'Client Info'!$C$2:$C$2497,'Client Info'!$D$2:$D$2497,"",0,1))</f>
        <v/>
      </c>
      <c r="AE1780" s="55" t="str">
        <f>IF($AC1780="","",_xlfn.XLOOKUP($AC1780,'Client Info'!$C$2:$C$2677,'Client Info'!$E$2:$E$2677,"",))</f>
        <v/>
      </c>
      <c r="AF1780" s="55" t="str">
        <f>IF($AC1780="","",_xlfn.XLOOKUP($AC1780,'Client Info'!$C$2:$C$2677,'Client Info'!$F$2:$F$2677,"",0,1))</f>
        <v/>
      </c>
      <c r="AG1780" s="55" t="s">
        <v>97</v>
      </c>
      <c r="AH1780" s="26" t="str">
        <f>_xlfn.XLOOKUP(Table26[[#This Row],[customerSKU]],customerSKU!G:G,customerSKU!K:K,"NA",0,1)</f>
        <v>NA</v>
      </c>
      <c r="AI1780" s="43" t="str">
        <f>_xlfn.XLOOKUP(Table26[[#This Row],[customerSKU]],customerSKU!G:G,customerSKU!O:O,"not found",0,1)</f>
        <v>not found</v>
      </c>
      <c r="AJ1780" s="22" t="e">
        <f>Table26[[#This Row],[unitprice]]*Table26[[#This Row],[quantity_unit]]</f>
        <v>#VALUE!</v>
      </c>
      <c r="AK1780" s="227" t="e" cm="1">
        <f t="array" ref="AK17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1" spans="1:37" ht="18" customHeight="1">
      <c r="A1781" s="42">
        <v>479</v>
      </c>
      <c r="B1781" s="42" t="s">
        <v>3520</v>
      </c>
      <c r="C1781" s="53" t="s">
        <v>3427</v>
      </c>
      <c r="E1781" s="20"/>
      <c r="F17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1" s="93"/>
      <c r="I1781" s="203">
        <v>45812</v>
      </c>
      <c r="J1781" s="90" t="str">
        <f>IF(Table26[[#This Row],[customerSKU]]="","",_xlfn.XLOOKUP(Table26[[#This Row],[customerSKU]],customerSKU!G:G,customerSKU!A:A,"",0,1))</f>
        <v/>
      </c>
      <c r="K1781" s="232">
        <v>45812</v>
      </c>
      <c r="L1781" s="49" t="str">
        <f>IF(Table26[[#This Row],[customerSKU]]="","",_xlfn.XLOOKUP(Table26[[#This Row],[customerSKU]],customerSKU!G:G,customerSKU!B:B,"",0,1))</f>
        <v/>
      </c>
      <c r="M1781" s="22"/>
      <c r="N1781" s="15" t="str">
        <f>Table26[[#This Row],[po_number]]&amp;"-"&amp;Table26[[#This Row],[po_line]]</f>
        <v>-9</v>
      </c>
      <c r="O1781" s="15">
        <v>9</v>
      </c>
      <c r="P1781" s="50"/>
      <c r="Q1781" s="22" t="s">
        <v>574</v>
      </c>
      <c r="R1781" s="22" t="s">
        <v>221</v>
      </c>
      <c r="S1781" s="90" t="str">
        <f>IF(Table26[[#This Row],[customerSKU]]="","",_xlfn.XLOOKUP(Table26[[#This Row],[customerSKU]],customerSKU!G:G,customerSKU!N:N,"NOT FOUND",0,1))</f>
        <v>NOT FOUND</v>
      </c>
      <c r="T1781" s="20">
        <v>45799</v>
      </c>
      <c r="U1781" s="94">
        <v>12</v>
      </c>
      <c r="V1781" s="22" t="str">
        <f>IF(ISBLANK(Table26[[#This Row],[customerSKU]]),"",_xlfn.XLOOKUP(Table26[[#This Row],[customerSKU]],Table27[customer_SKU],Table27[case_size],"",0,1))</f>
        <v/>
      </c>
      <c r="W1781" s="117" t="str">
        <f t="shared" si="73"/>
        <v/>
      </c>
      <c r="X1781" s="22" t="str">
        <f t="shared" si="72"/>
        <v/>
      </c>
      <c r="Y1781" s="25" t="str">
        <f>IF(Table26[[#This Row],[customerSKU]]="","",_xlfn.XLOOKUP(Table26[[#This Row],[customerSKU]],Table27[customer_SKU],Table27[product_GTIN],"",0,1))</f>
        <v/>
      </c>
      <c r="Z1781" s="25" t="s">
        <v>3530</v>
      </c>
      <c r="AA1781" s="18" t="str" cm="1">
        <f t="array" ref="AA1781">IF(P1781="", "", _xlfn.XLOOKUP(P1781,#REF!,#REF!,NA,0,-1))</f>
        <v/>
      </c>
      <c r="AB1781" s="22"/>
      <c r="AC1781" s="55" t="s">
        <v>97</v>
      </c>
      <c r="AD1781" s="55" t="str">
        <f>IF($AC1781="","",_xlfn.XLOOKUP($AC1781,'Client Info'!$C$2:$C$2497,'Client Info'!$D$2:$D$2497,"",0,1))</f>
        <v/>
      </c>
      <c r="AE1781" s="55" t="str">
        <f>IF($AC1781="","",_xlfn.XLOOKUP($AC1781,'Client Info'!$C$2:$C$2677,'Client Info'!$E$2:$E$2677,"",))</f>
        <v/>
      </c>
      <c r="AF1781" s="55" t="str">
        <f>IF($AC1781="","",_xlfn.XLOOKUP($AC1781,'Client Info'!$C$2:$C$2677,'Client Info'!$F$2:$F$2677,"",0,1))</f>
        <v/>
      </c>
      <c r="AG1781" s="55" t="s">
        <v>97</v>
      </c>
      <c r="AH1781" s="26" t="str">
        <f>_xlfn.XLOOKUP(Table26[[#This Row],[customerSKU]],customerSKU!G:G,customerSKU!K:K,"NA",0,1)</f>
        <v>NA</v>
      </c>
      <c r="AI1781" s="43" t="str">
        <f>_xlfn.XLOOKUP(Table26[[#This Row],[customerSKU]],customerSKU!G:G,customerSKU!O:O,"not found",0,1)</f>
        <v>not found</v>
      </c>
      <c r="AJ1781" s="22" t="e">
        <f>Table26[[#This Row],[unitprice]]*Table26[[#This Row],[quantity_unit]]</f>
        <v>#VALUE!</v>
      </c>
      <c r="AK1781" s="227" t="e" cm="1">
        <f t="array" ref="AK17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2" spans="1:37" ht="18" customHeight="1">
      <c r="A1782" s="42">
        <v>480</v>
      </c>
      <c r="B1782" s="42" t="s">
        <v>3520</v>
      </c>
      <c r="C1782" s="53" t="s">
        <v>3427</v>
      </c>
      <c r="E1782" s="20"/>
      <c r="F17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2" s="93"/>
      <c r="I1782" s="203">
        <v>45812</v>
      </c>
      <c r="J1782" s="90" t="str">
        <f>IF(Table26[[#This Row],[customerSKU]]="","",_xlfn.XLOOKUP(Table26[[#This Row],[customerSKU]],customerSKU!G:G,customerSKU!A:A,"",0,1))</f>
        <v/>
      </c>
      <c r="K1782" s="232">
        <v>45812</v>
      </c>
      <c r="L1782" s="49" t="str">
        <f>IF(Table26[[#This Row],[customerSKU]]="","",_xlfn.XLOOKUP(Table26[[#This Row],[customerSKU]],customerSKU!G:G,customerSKU!B:B,"",0,1))</f>
        <v/>
      </c>
      <c r="M1782" s="22"/>
      <c r="N1782" s="15" t="str">
        <f>Table26[[#This Row],[po_number]]&amp;"-"&amp;Table26[[#This Row],[po_line]]</f>
        <v>-10</v>
      </c>
      <c r="O1782" s="15">
        <v>10</v>
      </c>
      <c r="P1782" s="50"/>
      <c r="Q1782" s="22" t="s">
        <v>3405</v>
      </c>
      <c r="R1782" s="22" t="s">
        <v>221</v>
      </c>
      <c r="S1782" s="90" t="str">
        <f>IF(Table26[[#This Row],[customerSKU]]="","",_xlfn.XLOOKUP(Table26[[#This Row],[customerSKU]],customerSKU!G:G,customerSKU!N:N,"NOT FOUND",0,1))</f>
        <v>NOT FOUND</v>
      </c>
      <c r="T1782" s="20">
        <v>45623</v>
      </c>
      <c r="U1782" s="94">
        <v>12</v>
      </c>
      <c r="V1782" s="22" t="str">
        <f>IF(ISBLANK(Table26[[#This Row],[customerSKU]]),"",_xlfn.XLOOKUP(Table26[[#This Row],[customerSKU]],Table27[customer_SKU],Table27[case_size],"",0,1))</f>
        <v/>
      </c>
      <c r="W1782" s="117" t="str">
        <f t="shared" si="73"/>
        <v/>
      </c>
      <c r="X1782" s="22" t="str">
        <f t="shared" si="72"/>
        <v/>
      </c>
      <c r="Y1782" s="25" t="str">
        <f>IF(Table26[[#This Row],[customerSKU]]="","",_xlfn.XLOOKUP(Table26[[#This Row],[customerSKU]],Table27[customer_SKU],Table27[product_GTIN],"",0,1))</f>
        <v/>
      </c>
      <c r="Z1782" s="25" t="s">
        <v>3535</v>
      </c>
      <c r="AA1782" s="18" t="str" cm="1">
        <f t="array" ref="AA1782">IF(P1782="", "", _xlfn.XLOOKUP(P1782,#REF!,#REF!,NA,0,-1))</f>
        <v/>
      </c>
      <c r="AB1782" s="22"/>
      <c r="AC1782" s="55" t="s">
        <v>97</v>
      </c>
      <c r="AD1782" s="55" t="str">
        <f>IF($AC1782="","",_xlfn.XLOOKUP($AC1782,'Client Info'!$C$2:$C$2497,'Client Info'!$D$2:$D$2497,"",0,1))</f>
        <v/>
      </c>
      <c r="AE1782" s="55" t="str">
        <f>IF($AC1782="","",_xlfn.XLOOKUP($AC1782,'Client Info'!$C$2:$C$2677,'Client Info'!$E$2:$E$2677,"",))</f>
        <v/>
      </c>
      <c r="AF1782" s="55" t="str">
        <f>IF($AC1782="","",_xlfn.XLOOKUP($AC1782,'Client Info'!$C$2:$C$2677,'Client Info'!$F$2:$F$2677,"",0,1))</f>
        <v/>
      </c>
      <c r="AG1782" s="55" t="s">
        <v>97</v>
      </c>
      <c r="AH1782" s="26" t="str">
        <f>_xlfn.XLOOKUP(Table26[[#This Row],[customerSKU]],customerSKU!G:G,customerSKU!K:K,"NA",0,1)</f>
        <v>NA</v>
      </c>
      <c r="AI1782" s="43" t="str">
        <f>_xlfn.XLOOKUP(Table26[[#This Row],[customerSKU]],customerSKU!G:G,customerSKU!O:O,"not found",0,1)</f>
        <v>not found</v>
      </c>
      <c r="AJ1782" s="22" t="e">
        <f>Table26[[#This Row],[unitprice]]*Table26[[#This Row],[quantity_unit]]</f>
        <v>#VALUE!</v>
      </c>
      <c r="AK1782" s="227" t="e" cm="1">
        <f t="array" ref="AK17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3" spans="1:37" ht="24.6" customHeight="1">
      <c r="A1783" s="42">
        <v>481</v>
      </c>
      <c r="B1783" s="42" t="s">
        <v>3520</v>
      </c>
      <c r="C1783" s="53" t="s">
        <v>3427</v>
      </c>
      <c r="E1783" s="20"/>
      <c r="F17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3" s="93"/>
      <c r="I1783" s="203">
        <v>45812</v>
      </c>
      <c r="J1783" s="90" t="str">
        <f>IF(Table26[[#This Row],[customerSKU]]="","",_xlfn.XLOOKUP(Table26[[#This Row],[customerSKU]],customerSKU!G:G,customerSKU!A:A,"",0,1))</f>
        <v/>
      </c>
      <c r="K1783" s="232">
        <v>45812</v>
      </c>
      <c r="L1783" s="49" t="str">
        <f>IF(Table26[[#This Row],[customerSKU]]="","",_xlfn.XLOOKUP(Table26[[#This Row],[customerSKU]],customerSKU!G:G,customerSKU!B:B,"",0,1))</f>
        <v/>
      </c>
      <c r="M1783" s="22"/>
      <c r="N1783" s="15" t="str">
        <f>Table26[[#This Row],[po_number]]&amp;"-"&amp;Table26[[#This Row],[po_line]]</f>
        <v>-11</v>
      </c>
      <c r="O1783" s="15">
        <v>11</v>
      </c>
      <c r="P1783" s="50"/>
      <c r="Q1783" s="22" t="s">
        <v>543</v>
      </c>
      <c r="R1783" s="22" t="s">
        <v>221</v>
      </c>
      <c r="S1783" s="90" t="str">
        <f>IF(Table26[[#This Row],[customerSKU]]="","",_xlfn.XLOOKUP(Table26[[#This Row],[customerSKU]],customerSKU!G:G,customerSKU!N:N,"NOT FOUND",0,1))</f>
        <v>NOT FOUND</v>
      </c>
      <c r="T1783" s="20">
        <v>45793</v>
      </c>
      <c r="U1783" s="94">
        <v>6</v>
      </c>
      <c r="V1783" s="22" t="str">
        <f>IF(ISBLANK(Table26[[#This Row],[customerSKU]]),"",_xlfn.XLOOKUP(Table26[[#This Row],[customerSKU]],Table27[customer_SKU],Table27[case_size],"",0,1))</f>
        <v/>
      </c>
      <c r="W1783" s="117" t="str">
        <f t="shared" si="73"/>
        <v/>
      </c>
      <c r="X1783" s="22" t="str">
        <f t="shared" si="72"/>
        <v/>
      </c>
      <c r="Y1783" s="25" t="str">
        <f>IF(Table26[[#This Row],[customerSKU]]="","",_xlfn.XLOOKUP(Table26[[#This Row],[customerSKU]],Table27[customer_SKU],Table27[product_GTIN],"",0,1))</f>
        <v/>
      </c>
      <c r="Z1783" s="25" t="s">
        <v>3599</v>
      </c>
      <c r="AA1783" s="18" t="str" cm="1">
        <f t="array" ref="AA1783">IF(P1783="", "", _xlfn.XLOOKUP(P1783,#REF!,#REF!,NA,0,-1))</f>
        <v/>
      </c>
      <c r="AB1783" s="22"/>
      <c r="AC1783" s="55" t="s">
        <v>97</v>
      </c>
      <c r="AD1783" s="55" t="str">
        <f>IF($AC1783="","",_xlfn.XLOOKUP($AC1783,'Client Info'!$C$2:$C$2497,'Client Info'!$D$2:$D$2497,"",0,1))</f>
        <v/>
      </c>
      <c r="AE1783" s="55" t="str">
        <f>IF($AC1783="","",_xlfn.XLOOKUP($AC1783,'Client Info'!$C$2:$C$2677,'Client Info'!$E$2:$E$2677,"",))</f>
        <v/>
      </c>
      <c r="AF1783" s="55" t="str">
        <f>IF($AC1783="","",_xlfn.XLOOKUP($AC1783,'Client Info'!$C$2:$C$2677,'Client Info'!$F$2:$F$2677,"",0,1))</f>
        <v/>
      </c>
      <c r="AG1783" s="55" t="s">
        <v>97</v>
      </c>
      <c r="AH1783" s="26" t="str">
        <f>_xlfn.XLOOKUP(Table26[[#This Row],[customerSKU]],customerSKU!G:G,customerSKU!K:K,"NA",0,1)</f>
        <v>NA</v>
      </c>
      <c r="AI1783" s="43" t="str">
        <f>_xlfn.XLOOKUP(Table26[[#This Row],[customerSKU]],customerSKU!G:G,customerSKU!O:O,"not found",0,1)</f>
        <v>not found</v>
      </c>
      <c r="AJ1783" s="22" t="e">
        <f>Table26[[#This Row],[unitprice]]*Table26[[#This Row],[quantity_unit]]</f>
        <v>#VALUE!</v>
      </c>
      <c r="AK1783" s="227" t="e" cm="1">
        <f t="array" ref="AK17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4" spans="1:37" ht="18" customHeight="1">
      <c r="A1784" s="42">
        <v>482</v>
      </c>
      <c r="B1784" s="42" t="s">
        <v>3520</v>
      </c>
      <c r="C1784" s="53" t="s">
        <v>3427</v>
      </c>
      <c r="E1784" s="20"/>
      <c r="F17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4" s="93"/>
      <c r="I1784" s="203">
        <v>45812</v>
      </c>
      <c r="J1784" s="90" t="str">
        <f>IF(Table26[[#This Row],[customerSKU]]="","",_xlfn.XLOOKUP(Table26[[#This Row],[customerSKU]],customerSKU!G:G,customerSKU!A:A,"",0,1))</f>
        <v/>
      </c>
      <c r="K1784" s="232">
        <v>45812</v>
      </c>
      <c r="L1784" s="49" t="str">
        <f>IF(Table26[[#This Row],[customerSKU]]="","",_xlfn.XLOOKUP(Table26[[#This Row],[customerSKU]],customerSKU!G:G,customerSKU!B:B,"",0,1))</f>
        <v/>
      </c>
      <c r="M1784" s="22"/>
      <c r="N1784" s="15" t="str">
        <f>Table26[[#This Row],[po_number]]&amp;"-"&amp;Table26[[#This Row],[po_line]]</f>
        <v>-12</v>
      </c>
      <c r="O1784" s="15">
        <v>12</v>
      </c>
      <c r="P1784" s="50"/>
      <c r="Q1784" s="22" t="s">
        <v>559</v>
      </c>
      <c r="R1784" s="22" t="s">
        <v>221</v>
      </c>
      <c r="S1784" s="90" t="str">
        <f>IF(Table26[[#This Row],[customerSKU]]="","",_xlfn.XLOOKUP(Table26[[#This Row],[customerSKU]],customerSKU!G:G,customerSKU!N:N,"NOT FOUND",0,1))</f>
        <v>NOT FOUND</v>
      </c>
      <c r="T1784" s="20">
        <v>45772</v>
      </c>
      <c r="U1784" s="94">
        <v>12</v>
      </c>
      <c r="V1784" s="22" t="str">
        <f>IF(ISBLANK(Table26[[#This Row],[customerSKU]]),"",_xlfn.XLOOKUP(Table26[[#This Row],[customerSKU]],Table27[customer_SKU],Table27[case_size],"",0,1))</f>
        <v/>
      </c>
      <c r="W1784" s="117" t="str">
        <f t="shared" si="73"/>
        <v/>
      </c>
      <c r="X1784" s="22" t="str">
        <f t="shared" si="72"/>
        <v/>
      </c>
      <c r="Y1784" s="25" t="str">
        <f>IF(Table26[[#This Row],[customerSKU]]="","",_xlfn.XLOOKUP(Table26[[#This Row],[customerSKU]],Table27[customer_SKU],Table27[product_GTIN],"",0,1))</f>
        <v/>
      </c>
      <c r="Z1784" s="25" t="s">
        <v>3527</v>
      </c>
      <c r="AA1784" s="18" t="str" cm="1">
        <f t="array" ref="AA1784">IF(P1784="", "", _xlfn.XLOOKUP(P1784,#REF!,#REF!,NA,0,-1))</f>
        <v/>
      </c>
      <c r="AB1784" s="22"/>
      <c r="AC1784" s="55" t="s">
        <v>97</v>
      </c>
      <c r="AD1784" s="55" t="str">
        <f>IF($AC1784="","",_xlfn.XLOOKUP($AC1784,'Client Info'!$C$2:$C$2497,'Client Info'!$D$2:$D$2497,"",0,1))</f>
        <v/>
      </c>
      <c r="AE1784" s="55" t="str">
        <f>IF($AC1784="","",_xlfn.XLOOKUP($AC1784,'Client Info'!$C$2:$C$2677,'Client Info'!$E$2:$E$2677,"",))</f>
        <v/>
      </c>
      <c r="AF1784" s="55" t="str">
        <f>IF($AC1784="","",_xlfn.XLOOKUP($AC1784,'Client Info'!$C$2:$C$2677,'Client Info'!$F$2:$F$2677,"",0,1))</f>
        <v/>
      </c>
      <c r="AG1784" s="55" t="s">
        <v>97</v>
      </c>
      <c r="AH1784" s="26" t="str">
        <f>_xlfn.XLOOKUP(Table26[[#This Row],[customerSKU]],customerSKU!G:G,customerSKU!K:K,"NA",0,1)</f>
        <v>NA</v>
      </c>
      <c r="AI1784" s="43" t="str">
        <f>_xlfn.XLOOKUP(Table26[[#This Row],[customerSKU]],customerSKU!G:G,customerSKU!O:O,"not found",0,1)</f>
        <v>not found</v>
      </c>
      <c r="AJ1784" s="22" t="e">
        <f>Table26[[#This Row],[unitprice]]*Table26[[#This Row],[quantity_unit]]</f>
        <v>#VALUE!</v>
      </c>
      <c r="AK1784" s="227" t="e" cm="1">
        <f t="array" ref="AK17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5" spans="1:37" ht="18" customHeight="1">
      <c r="A1785" s="42">
        <v>464</v>
      </c>
      <c r="B1785" s="42" t="s">
        <v>3520</v>
      </c>
      <c r="C1785" s="53" t="s">
        <v>3427</v>
      </c>
      <c r="E1785" s="20"/>
      <c r="F1785" s="25"/>
      <c r="G1785" s="93"/>
      <c r="I1785" s="203">
        <v>45806</v>
      </c>
      <c r="J1785" s="90" t="str">
        <f>IF(Table26[[#This Row],[customerSKU]]="","",_xlfn.XLOOKUP(Table26[[#This Row],[customerSKU]],customerSKU!G:G,customerSKU!A:A,"",0,1))</f>
        <v/>
      </c>
      <c r="K1785" s="232">
        <v>45814</v>
      </c>
      <c r="L1785" s="49" t="str">
        <f>IF(Table26[[#This Row],[customerSKU]]="","",_xlfn.XLOOKUP(Table26[[#This Row],[customerSKU]],customerSKU!G:G,customerSKU!B:B,"",0,1))</f>
        <v/>
      </c>
      <c r="M1785" s="22"/>
      <c r="N1785" s="15" t="str">
        <f>Table26[[#This Row],[po_number]]&amp;"-"&amp;Table26[[#This Row],[po_line]]</f>
        <v>-1</v>
      </c>
      <c r="O1785" s="15">
        <v>1</v>
      </c>
      <c r="P1785" s="50"/>
      <c r="Q1785" s="22" t="s">
        <v>1807</v>
      </c>
      <c r="R1785" s="47" t="s">
        <v>3428</v>
      </c>
      <c r="S1785" s="90" t="str">
        <f>IF(Table26[[#This Row],[customerSKU]]="","",_xlfn.XLOOKUP(Table26[[#This Row],[customerSKU]],customerSKU!G:G,customerSKU!N:N,"NOT FOUND",0,1))</f>
        <v>NOT FOUND</v>
      </c>
      <c r="T1785" s="20">
        <v>45804</v>
      </c>
      <c r="U1785" s="94">
        <v>600</v>
      </c>
      <c r="V1785" s="22" t="str">
        <f>IF(ISBLANK(Table26[[#This Row],[customerSKU]]),"",_xlfn.XLOOKUP(Table26[[#This Row],[customerSKU]],Table27[customer_SKU],Table27[case_size],"",0,1))</f>
        <v/>
      </c>
      <c r="W1785" s="117" t="str">
        <f t="shared" si="73"/>
        <v/>
      </c>
      <c r="X1785" s="22" t="str">
        <f t="shared" si="72"/>
        <v/>
      </c>
      <c r="Y1785" s="25" t="str">
        <f>IF(Table26[[#This Row],[customerSKU]]="","",_xlfn.XLOOKUP(Table26[[#This Row],[customerSKU]],Table27[customer_SKU],Table27[product_GTIN],"",0,1))</f>
        <v/>
      </c>
      <c r="Z1785" s="25" t="s">
        <v>3283</v>
      </c>
      <c r="AA1785" s="18" t="str" cm="1">
        <f t="array" ref="AA1785">IF(P1785="", "", _xlfn.XLOOKUP(P1785,#REF!,#REF!,NA,0,-1))</f>
        <v/>
      </c>
      <c r="AB1785" s="22"/>
      <c r="AC1785" s="55" t="str">
        <f>IF(Table26[[#This Row],[customerSKU]]="","",_xlfn.XLOOKUP(Table26[[#This Row],[customerSKU]],customerSKU!G:G,customerSKU!C:C,"",0,1))</f>
        <v/>
      </c>
      <c r="AD1785" s="55" t="str">
        <f>IF($AC1785="","",_xlfn.XLOOKUP($AC1785,'Client Info'!$C$2:$C$2497,'Client Info'!$D$2:$D$2497,"",0,1))</f>
        <v/>
      </c>
      <c r="AE1785" s="55" t="str">
        <f>IF($AC1785="","",_xlfn.XLOOKUP($AC1785,'Client Info'!$C$2:$C$2677,'Client Info'!$E$2:$E$2677,"",))</f>
        <v/>
      </c>
      <c r="AF1785" s="55" t="str">
        <f>IF($AC1785="","",_xlfn.XLOOKUP($AC1785,'Client Info'!$C$2:$C$2677,'Client Info'!$F$2:$F$2677,"",0,1))</f>
        <v/>
      </c>
      <c r="AG1785" s="55" t="str">
        <f>IF(ISBLANK(Table26[[#This Row],[customerSKU]]),"",_xlfn.XLOOKUP(Table26[[#This Row],[customerSKU]],Table27[customer_SKU],Table27[billto],"",0,1))</f>
        <v/>
      </c>
      <c r="AH1785" s="26" t="str">
        <f>_xlfn.XLOOKUP(Table26[[#This Row],[customerSKU]],customerSKU!G:G,customerSKU!K:K,"NA",0,1)</f>
        <v>NA</v>
      </c>
      <c r="AI1785" s="43" t="str">
        <f>_xlfn.XLOOKUP(Table26[[#This Row],[customerSKU]],customerSKU!G:G,customerSKU!O:O,"not found",0,1)</f>
        <v>not found</v>
      </c>
      <c r="AJ1785" s="22" t="e">
        <f>Table26[[#This Row],[unitprice]]*Table26[[#This Row],[quantity_unit]]</f>
        <v>#VALUE!</v>
      </c>
      <c r="AK1785" s="227" t="e" cm="1">
        <f t="array" ref="AK17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6" spans="1:37" ht="18" customHeight="1">
      <c r="A1786" s="42">
        <v>465</v>
      </c>
      <c r="B1786" s="42" t="s">
        <v>3520</v>
      </c>
      <c r="C1786" s="53" t="s">
        <v>3427</v>
      </c>
      <c r="E1786" s="20"/>
      <c r="F1786" s="25"/>
      <c r="G1786" s="93"/>
      <c r="I1786" s="203">
        <v>45806</v>
      </c>
      <c r="J1786" s="90" t="str">
        <f>IF(Table26[[#This Row],[customerSKU]]="","",_xlfn.XLOOKUP(Table26[[#This Row],[customerSKU]],customerSKU!G:G,customerSKU!A:A,"",0,1))</f>
        <v/>
      </c>
      <c r="K1786" s="232">
        <v>45814</v>
      </c>
      <c r="L1786" s="49" t="str">
        <f>IF(Table26[[#This Row],[customerSKU]]="","",_xlfn.XLOOKUP(Table26[[#This Row],[customerSKU]],customerSKU!G:G,customerSKU!B:B,"",0,1))</f>
        <v/>
      </c>
      <c r="M1786" s="22"/>
      <c r="N1786" s="15" t="str">
        <f>Table26[[#This Row],[po_number]]&amp;"-"&amp;Table26[[#This Row],[po_line]]</f>
        <v>-2</v>
      </c>
      <c r="O1786" s="15">
        <v>2</v>
      </c>
      <c r="P1786" s="50"/>
      <c r="Q1786" s="22" t="s">
        <v>574</v>
      </c>
      <c r="R1786" s="22" t="s">
        <v>221</v>
      </c>
      <c r="S1786" s="90" t="str">
        <f>IF(Table26[[#This Row],[customerSKU]]="","",_xlfn.XLOOKUP(Table26[[#This Row],[customerSKU]],customerSKU!G:G,customerSKU!N:N,"NOT FOUND",0,1))</f>
        <v>NOT FOUND</v>
      </c>
      <c r="T1786" s="20">
        <v>45799</v>
      </c>
      <c r="U1786" s="94">
        <v>600</v>
      </c>
      <c r="V1786" s="22" t="str">
        <f>IF(ISBLANK(Table26[[#This Row],[customerSKU]]),"",_xlfn.XLOOKUP(Table26[[#This Row],[customerSKU]],Table27[customer_SKU],Table27[case_size],"",0,1))</f>
        <v/>
      </c>
      <c r="W1786" s="117" t="str">
        <f t="shared" si="73"/>
        <v/>
      </c>
      <c r="X1786" s="22" t="str">
        <f t="shared" si="72"/>
        <v/>
      </c>
      <c r="Y1786" s="25" t="str">
        <f>IF(Table26[[#This Row],[customerSKU]]="","",_xlfn.XLOOKUP(Table26[[#This Row],[customerSKU]],Table27[customer_SKU],Table27[product_GTIN],"",0,1))</f>
        <v/>
      </c>
      <c r="Z1786" s="25" t="s">
        <v>3631</v>
      </c>
      <c r="AA1786" s="18" t="str" cm="1">
        <f t="array" ref="AA1786">IF(P1786="", "", _xlfn.XLOOKUP(P1786,#REF!,#REF!,NA,0,-1))</f>
        <v/>
      </c>
      <c r="AB1786" s="22"/>
      <c r="AC1786" s="55" t="str">
        <f>IF(Table26[[#This Row],[customerSKU]]="","",_xlfn.XLOOKUP(Table26[[#This Row],[customerSKU]],customerSKU!G:G,customerSKU!C:C,"",0,1))</f>
        <v/>
      </c>
      <c r="AD1786" s="55" t="str">
        <f>IF($AC1786="","",_xlfn.XLOOKUP($AC1786,'Client Info'!$C$2:$C$2497,'Client Info'!$D$2:$D$2497,"",0,1))</f>
        <v/>
      </c>
      <c r="AE1786" s="55" t="str">
        <f>IF($AC1786="","",_xlfn.XLOOKUP($AC1786,'Client Info'!$C$2:$C$2677,'Client Info'!$E$2:$E$2677,"",))</f>
        <v/>
      </c>
      <c r="AF1786" s="55" t="str">
        <f>IF($AC1786="","",_xlfn.XLOOKUP($AC1786,'Client Info'!$C$2:$C$2677,'Client Info'!$F$2:$F$2677,"",0,1))</f>
        <v/>
      </c>
      <c r="AG1786" s="55" t="str">
        <f>IF(ISBLANK(Table26[[#This Row],[customerSKU]]),"",_xlfn.XLOOKUP(Table26[[#This Row],[customerSKU]],Table27[customer_SKU],Table27[billto],"",0,1))</f>
        <v/>
      </c>
      <c r="AH1786" s="26" t="str">
        <f>_xlfn.XLOOKUP(Table26[[#This Row],[customerSKU]],customerSKU!G:G,customerSKU!K:K,"NA",0,1)</f>
        <v>NA</v>
      </c>
      <c r="AI1786" s="43" t="str">
        <f>_xlfn.XLOOKUP(Table26[[#This Row],[customerSKU]],customerSKU!G:G,customerSKU!O:O,"not found",0,1)</f>
        <v>not found</v>
      </c>
      <c r="AJ1786" s="22" t="e">
        <f>Table26[[#This Row],[unitprice]]*Table26[[#This Row],[quantity_unit]]</f>
        <v>#VALUE!</v>
      </c>
      <c r="AK1786" s="227" t="e" cm="1">
        <f t="array" ref="AK17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7" spans="1:37" ht="18" customHeight="1">
      <c r="A1787" s="42">
        <v>466</v>
      </c>
      <c r="B1787" s="42" t="s">
        <v>3520</v>
      </c>
      <c r="C1787" s="53" t="s">
        <v>3488</v>
      </c>
      <c r="E1787" s="20"/>
      <c r="F17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7" s="93"/>
      <c r="I1787" s="203">
        <v>45813</v>
      </c>
      <c r="J1787" s="90" t="str">
        <f>IF(Table26[[#This Row],[customerSKU]]="","",_xlfn.XLOOKUP(Table26[[#This Row],[customerSKU]],customerSKU!G:G,customerSKU!A:A,"",0,1))</f>
        <v/>
      </c>
      <c r="K1787" s="232">
        <v>45814</v>
      </c>
      <c r="L1787" s="49" t="str">
        <f>IF(Table26[[#This Row],[customerSKU]]="","",_xlfn.XLOOKUP(Table26[[#This Row],[customerSKU]],customerSKU!G:G,customerSKU!B:B,"",0,1))</f>
        <v/>
      </c>
      <c r="M1787" s="22"/>
      <c r="N1787" s="15" t="str">
        <f>Table26[[#This Row],[po_number]]&amp;"-"&amp;Table26[[#This Row],[po_line]]</f>
        <v>-1</v>
      </c>
      <c r="O1787" s="15">
        <v>1</v>
      </c>
      <c r="P1787" s="50"/>
      <c r="Q1787" s="22" t="s">
        <v>535</v>
      </c>
      <c r="R1787" s="22" t="s">
        <v>532</v>
      </c>
      <c r="S1787" s="90" t="str">
        <f>IF(Table26[[#This Row],[customerSKU]]="","",_xlfn.XLOOKUP(Table26[[#This Row],[customerSKU]],customerSKU!G:G,customerSKU!N:N,"NOT FOUND",0,1))</f>
        <v>NOT FOUND</v>
      </c>
      <c r="T1787" s="20">
        <v>45630</v>
      </c>
      <c r="U1787" s="94">
        <v>36</v>
      </c>
      <c r="V1787" s="22" t="str">
        <f>IF(ISBLANK(Table26[[#This Row],[customerSKU]]),"",_xlfn.XLOOKUP(Table26[[#This Row],[customerSKU]],Table27[customer_SKU],Table27[case_size],"",0,1))</f>
        <v/>
      </c>
      <c r="W1787" s="117" t="str">
        <f t="shared" si="73"/>
        <v/>
      </c>
      <c r="X1787" s="22" t="str">
        <f t="shared" si="72"/>
        <v/>
      </c>
      <c r="Y1787" s="25" t="str">
        <f>IF(Table26[[#This Row],[customerSKU]]="","",_xlfn.XLOOKUP(Table26[[#This Row],[customerSKU]],Table27[customer_SKU],Table27[product_GTIN],"",0,1))</f>
        <v/>
      </c>
      <c r="Z1787" s="25" t="s">
        <v>3553</v>
      </c>
      <c r="AA1787" s="18" t="str" cm="1">
        <f t="array" ref="AA1787">IF(P1787="", "", _xlfn.XLOOKUP(P1787,#REF!,#REF!,NA,0,-1))</f>
        <v/>
      </c>
      <c r="AB1787" s="22"/>
      <c r="AC1787" s="55" t="s">
        <v>3638</v>
      </c>
      <c r="AD1787" s="55" t="str">
        <f>IF($AC1787="","",_xlfn.XLOOKUP($AC1787,'Client Info'!$C$2:$C$2497,'Client Info'!$D$2:$D$2497,"",0,1))</f>
        <v/>
      </c>
      <c r="AE1787" s="55" t="str">
        <f>IF($AC1787="","",_xlfn.XLOOKUP($AC1787,'Client Info'!$C$2:$C$2677,'Client Info'!$E$2:$E$2677,"",))</f>
        <v/>
      </c>
      <c r="AF1787" s="55" t="str">
        <f>IF($AC1787="","",_xlfn.XLOOKUP($AC1787,'Client Info'!$C$2:$C$2677,'Client Info'!$F$2:$F$2677,"",0,1))</f>
        <v/>
      </c>
      <c r="AG1787" s="55" t="str">
        <f>IF(ISBLANK(Table26[[#This Row],[customerSKU]]),"",_xlfn.XLOOKUP(Table26[[#This Row],[customerSKU]],Table27[customer_SKU],Table27[billto],"",0,1))</f>
        <v/>
      </c>
      <c r="AH1787" s="26" t="str">
        <f>_xlfn.XLOOKUP(Table26[[#This Row],[customerSKU]],customerSKU!G:G,customerSKU!K:K,"NA",0,1)</f>
        <v>NA</v>
      </c>
      <c r="AI1787" s="43" t="str">
        <f>_xlfn.XLOOKUP(Table26[[#This Row],[customerSKU]],customerSKU!G:G,customerSKU!O:O,"not found",0,1)</f>
        <v>not found</v>
      </c>
      <c r="AJ1787" s="22" t="e">
        <f>Table26[[#This Row],[unitprice]]*Table26[[#This Row],[quantity_unit]]</f>
        <v>#VALUE!</v>
      </c>
      <c r="AK1787" s="227" t="e" cm="1">
        <f t="array" ref="AK17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8" spans="1:37" ht="18" customHeight="1">
      <c r="A1788" s="42">
        <v>437</v>
      </c>
      <c r="B1788" s="42" t="s">
        <v>3520</v>
      </c>
      <c r="C1788" s="53" t="s">
        <v>3488</v>
      </c>
      <c r="E1788" s="20"/>
      <c r="F17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8" s="93"/>
      <c r="I1788" s="203">
        <v>45813</v>
      </c>
      <c r="J1788" s="90" t="str">
        <f>IF(Table26[[#This Row],[customerSKU]]="","",_xlfn.XLOOKUP(Table26[[#This Row],[customerSKU]],customerSKU!G:G,customerSKU!A:A,"",0,1))</f>
        <v/>
      </c>
      <c r="K1788" s="232">
        <v>45817</v>
      </c>
      <c r="L1788" s="49" t="str">
        <f>IF(Table26[[#This Row],[customerSKU]]="","",_xlfn.XLOOKUP(Table26[[#This Row],[customerSKU]],customerSKU!G:G,customerSKU!B:B,"",0,1))</f>
        <v/>
      </c>
      <c r="M1788" s="22"/>
      <c r="N1788" s="15" t="str">
        <f>Table26[[#This Row],[po_number]]&amp;"-"&amp;Table26[[#This Row],[po_line]]</f>
        <v>-1</v>
      </c>
      <c r="O1788" s="15">
        <v>1</v>
      </c>
      <c r="P1788" s="50"/>
      <c r="Q1788" s="22" t="s">
        <v>1811</v>
      </c>
      <c r="R1788" s="22" t="s">
        <v>532</v>
      </c>
      <c r="S1788" s="90" t="str">
        <f>IF(Table26[[#This Row],[customerSKU]]="","",_xlfn.XLOOKUP(Table26[[#This Row],[customerSKU]],customerSKU!G:G,customerSKU!N:N,"NOT FOUND",0,1))</f>
        <v>NOT FOUND</v>
      </c>
      <c r="T1788" s="20">
        <v>45805</v>
      </c>
      <c r="U1788" s="94">
        <v>12</v>
      </c>
      <c r="V1788" s="22" t="str">
        <f>IF(ISBLANK(Table26[[#This Row],[customerSKU]]),"",_xlfn.XLOOKUP(Table26[[#This Row],[customerSKU]],Table27[customer_SKU],Table27[case_size],"",0,1))</f>
        <v/>
      </c>
      <c r="W1788" s="117" t="str">
        <f t="shared" si="73"/>
        <v/>
      </c>
      <c r="X1788" s="22" t="str">
        <f t="shared" si="72"/>
        <v/>
      </c>
      <c r="Y1788" s="25" t="str">
        <f>IF(Table26[[#This Row],[customerSKU]]="","",_xlfn.XLOOKUP(Table26[[#This Row],[customerSKU]],Table27[customer_SKU],Table27[product_GTIN],"",0,1))</f>
        <v/>
      </c>
      <c r="Z1788" s="25" t="s">
        <v>3529</v>
      </c>
      <c r="AA1788" s="18" t="str" cm="1">
        <f t="array" ref="AA1788">IF(P1788="", "", _xlfn.XLOOKUP(P1788,#REF!,#REF!,NA,0,-1))</f>
        <v/>
      </c>
      <c r="AB1788" s="22"/>
      <c r="AC1788" s="55" t="s">
        <v>186</v>
      </c>
      <c r="AD1788" s="55" t="str">
        <f>IF($AC1788="","",_xlfn.XLOOKUP($AC1788,'Client Info'!$C$2:$C$2497,'Client Info'!$D$2:$D$2497,"",0,1))</f>
        <v/>
      </c>
      <c r="AE1788" s="55" t="str">
        <f>IF($AC1788="","",_xlfn.XLOOKUP($AC1788,'Client Info'!$C$2:$C$2677,'Client Info'!$E$2:$E$2677,"",))</f>
        <v/>
      </c>
      <c r="AF1788" s="55" t="str">
        <f>IF($AC1788="","",_xlfn.XLOOKUP($AC1788,'Client Info'!$C$2:$C$2677,'Client Info'!$F$2:$F$2677,"",0,1))</f>
        <v/>
      </c>
      <c r="AG1788" s="55" t="str">
        <f>IF(ISBLANK(Table26[[#This Row],[customerSKU]]),"",_xlfn.XLOOKUP(Table26[[#This Row],[customerSKU]],Table27[customer_SKU],Table27[billto],"",0,1))</f>
        <v/>
      </c>
      <c r="AH1788" s="26" t="str">
        <f>_xlfn.XLOOKUP(Table26[[#This Row],[customerSKU]],customerSKU!G:G,customerSKU!K:K,"NA",0,1)</f>
        <v>NA</v>
      </c>
      <c r="AI1788" s="43" t="str">
        <f>_xlfn.XLOOKUP(Table26[[#This Row],[customerSKU]],customerSKU!G:G,customerSKU!O:O,"not found",0,1)</f>
        <v>not found</v>
      </c>
      <c r="AJ1788" s="22" t="e">
        <f>Table26[[#This Row],[unitprice]]*Table26[[#This Row],[quantity_unit]]</f>
        <v>#VALUE!</v>
      </c>
      <c r="AK1788" s="227" t="e" cm="1">
        <f t="array" ref="AK17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89" spans="1:37" ht="18" customHeight="1">
      <c r="A1789" s="42">
        <v>438</v>
      </c>
      <c r="B1789" s="42" t="s">
        <v>3520</v>
      </c>
      <c r="C1789" s="53" t="s">
        <v>3488</v>
      </c>
      <c r="E1789" s="20"/>
      <c r="F17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89" s="258"/>
      <c r="I1789" s="203">
        <v>45813</v>
      </c>
      <c r="J1789" s="90" t="str">
        <f>IF(Table26[[#This Row],[customerSKU]]="","",_xlfn.XLOOKUP(Table26[[#This Row],[customerSKU]],customerSKU!G:G,customerSKU!A:A,"",0,1))</f>
        <v/>
      </c>
      <c r="K1789" s="232">
        <v>45817</v>
      </c>
      <c r="L1789" s="49" t="str">
        <f>IF(Table26[[#This Row],[customerSKU]]="","",_xlfn.XLOOKUP(Table26[[#This Row],[customerSKU]],customerSKU!G:G,customerSKU!B:B,"",0,1))</f>
        <v/>
      </c>
      <c r="M1789" s="22"/>
      <c r="N1789" s="15" t="str">
        <f>Table26[[#This Row],[po_number]]&amp;"-"&amp;Table26[[#This Row],[po_line]]</f>
        <v>-1</v>
      </c>
      <c r="O1789" s="15">
        <v>1</v>
      </c>
      <c r="P1789" s="50"/>
      <c r="Q1789" s="22" t="s">
        <v>1811</v>
      </c>
      <c r="R1789" s="22" t="s">
        <v>532</v>
      </c>
      <c r="S1789" s="90" t="str">
        <f>IF(Table26[[#This Row],[customerSKU]]="","",_xlfn.XLOOKUP(Table26[[#This Row],[customerSKU]],customerSKU!G:G,customerSKU!N:N,"NOT FOUND",0,1))</f>
        <v>NOT FOUND</v>
      </c>
      <c r="T1789" s="20">
        <v>45805</v>
      </c>
      <c r="U1789" s="94">
        <v>12</v>
      </c>
      <c r="V1789" s="22" t="str">
        <f>IF(ISBLANK(Table26[[#This Row],[customerSKU]]),"",_xlfn.XLOOKUP(Table26[[#This Row],[customerSKU]],Table27[customer_SKU],Table27[case_size],"",0,1))</f>
        <v/>
      </c>
      <c r="W1789" s="117" t="str">
        <f t="shared" si="73"/>
        <v/>
      </c>
      <c r="X1789" s="22" t="str">
        <f t="shared" si="72"/>
        <v/>
      </c>
      <c r="Y1789" s="25" t="str">
        <f>IF(Table26[[#This Row],[customerSKU]]="","",_xlfn.XLOOKUP(Table26[[#This Row],[customerSKU]],Table27[customer_SKU],Table27[product_GTIN],"",0,1))</f>
        <v/>
      </c>
      <c r="Z1789" s="25" t="s">
        <v>3529</v>
      </c>
      <c r="AA1789" s="18" t="str" cm="1">
        <f t="array" ref="AA1789">IF(P1789="", "", _xlfn.XLOOKUP(P1789,#REF!,#REF!,NA,0,-1))</f>
        <v/>
      </c>
      <c r="AB1789" s="22"/>
      <c r="AC1789" s="55" t="s">
        <v>187</v>
      </c>
      <c r="AD1789" s="55" t="str">
        <f>IF($AC1789="","",_xlfn.XLOOKUP($AC1789,'Client Info'!$C$2:$C$2497,'Client Info'!$D$2:$D$2497,"",0,1))</f>
        <v/>
      </c>
      <c r="AE1789" s="55" t="str">
        <f>IF($AC1789="","",_xlfn.XLOOKUP($AC1789,'Client Info'!$C$2:$C$2677,'Client Info'!$E$2:$E$2677,"",))</f>
        <v/>
      </c>
      <c r="AF1789" s="55" t="str">
        <f>IF($AC1789="","",_xlfn.XLOOKUP($AC1789,'Client Info'!$C$2:$C$2677,'Client Info'!$F$2:$F$2677,"",0,1))</f>
        <v/>
      </c>
      <c r="AG1789" s="55" t="str">
        <f>IF(ISBLANK(Table26[[#This Row],[customerSKU]]),"",_xlfn.XLOOKUP(Table26[[#This Row],[customerSKU]],Table27[customer_SKU],Table27[billto],"",0,1))</f>
        <v/>
      </c>
      <c r="AH1789" s="26" t="str">
        <f>_xlfn.XLOOKUP(Table26[[#This Row],[customerSKU]],customerSKU!G:G,customerSKU!K:K,"NA",0,1)</f>
        <v>NA</v>
      </c>
      <c r="AI1789" s="43" t="str">
        <f>_xlfn.XLOOKUP(Table26[[#This Row],[customerSKU]],customerSKU!G:G,customerSKU!O:O,"not found",0,1)</f>
        <v>not found</v>
      </c>
      <c r="AJ1789" s="22" t="e">
        <f>Table26[[#This Row],[unitprice]]*Table26[[#This Row],[quantity_unit]]</f>
        <v>#VALUE!</v>
      </c>
      <c r="AK1789" s="227" t="e" cm="1">
        <f t="array" ref="AK17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0" spans="1:37" ht="18" customHeight="1">
      <c r="A1790" s="42">
        <v>439</v>
      </c>
      <c r="B1790" s="42" t="s">
        <v>3520</v>
      </c>
      <c r="C1790" s="53" t="s">
        <v>3488</v>
      </c>
      <c r="E1790" s="20"/>
      <c r="F17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0" s="93"/>
      <c r="I1790" s="203">
        <v>45814</v>
      </c>
      <c r="J1790" s="90" t="str">
        <f>IF(Table26[[#This Row],[customerSKU]]="","",_xlfn.XLOOKUP(Table26[[#This Row],[customerSKU]],customerSKU!G:G,customerSKU!A:A,"",0,1))</f>
        <v/>
      </c>
      <c r="K1790" s="232">
        <v>45817</v>
      </c>
      <c r="L1790" s="49" t="str">
        <f>IF(Table26[[#This Row],[customerSKU]]="","",_xlfn.XLOOKUP(Table26[[#This Row],[customerSKU]],customerSKU!G:G,customerSKU!B:B,"",0,1))</f>
        <v/>
      </c>
      <c r="M1790" s="22"/>
      <c r="N1790" s="15" t="str">
        <f>Table26[[#This Row],[po_number]]&amp;"-"&amp;Table26[[#This Row],[po_line]]</f>
        <v>-1</v>
      </c>
      <c r="O1790" s="15">
        <v>1</v>
      </c>
      <c r="P1790" s="50"/>
      <c r="Q1790" s="22" t="s">
        <v>585</v>
      </c>
      <c r="R1790" s="22" t="s">
        <v>532</v>
      </c>
      <c r="S1790" s="90" t="str">
        <f>IF(Table26[[#This Row],[customerSKU]]="","",_xlfn.XLOOKUP(Table26[[#This Row],[customerSKU]],customerSKU!G:G,customerSKU!N:N,"NOT FOUND",0,1))</f>
        <v>NOT FOUND</v>
      </c>
      <c r="T1790" s="20">
        <v>45803</v>
      </c>
      <c r="U1790" s="94">
        <v>24</v>
      </c>
      <c r="V1790" s="22" t="str">
        <f>IF(ISBLANK(Table26[[#This Row],[customerSKU]]),"",_xlfn.XLOOKUP(Table26[[#This Row],[customerSKU]],Table27[customer_SKU],Table27[case_size],"",0,1))</f>
        <v/>
      </c>
      <c r="W1790" s="117" t="str">
        <f t="shared" si="73"/>
        <v/>
      </c>
      <c r="X1790" s="22" t="str">
        <f t="shared" si="72"/>
        <v/>
      </c>
      <c r="Y1790" s="25" t="str">
        <f>IF(Table26[[#This Row],[customerSKU]]="","",_xlfn.XLOOKUP(Table26[[#This Row],[customerSKU]],Table27[customer_SKU],Table27[product_GTIN],"",0,1))</f>
        <v/>
      </c>
      <c r="Z1790" s="25" t="s">
        <v>3643</v>
      </c>
      <c r="AA1790" s="18" t="str" cm="1">
        <f t="array" ref="AA1790">IF(P1790="", "", _xlfn.XLOOKUP(P1790,#REF!,#REF!,NA,0,-1))</f>
        <v/>
      </c>
      <c r="AB1790" s="22"/>
      <c r="AC1790" s="55" t="str">
        <f>IF(Table26[[#This Row],[customerSKU]]="","",_xlfn.XLOOKUP(Table26[[#This Row],[customerSKU]],customerSKU!G:G,customerSKU!C:C,"",0,1))</f>
        <v/>
      </c>
      <c r="AD1790" s="55" t="str">
        <f>IF($AC1790="","",_xlfn.XLOOKUP($AC1790,'Client Info'!$C$2:$C$2497,'Client Info'!$D$2:$D$2497,"",0,1))</f>
        <v/>
      </c>
      <c r="AE1790" s="55" t="str">
        <f>IF($AC1790="","",_xlfn.XLOOKUP($AC1790,'Client Info'!$C$2:$C$2677,'Client Info'!$E$2:$E$2677,"",))</f>
        <v/>
      </c>
      <c r="AF1790" s="55" t="str">
        <f>IF($AC1790="","",_xlfn.XLOOKUP($AC1790,'Client Info'!$C$2:$C$2677,'Client Info'!$F$2:$F$2677,"",0,1))</f>
        <v/>
      </c>
      <c r="AG1790" s="55" t="str">
        <f>IF(ISBLANK(Table26[[#This Row],[customerSKU]]),"",_xlfn.XLOOKUP(Table26[[#This Row],[customerSKU]],Table27[customer_SKU],Table27[billto],"",0,1))</f>
        <v/>
      </c>
      <c r="AH1790" s="26" t="str">
        <f>_xlfn.XLOOKUP(Table26[[#This Row],[customerSKU]],customerSKU!G:G,customerSKU!K:K,"NA",0,1)</f>
        <v>NA</v>
      </c>
      <c r="AI1790" s="43" t="str">
        <f>_xlfn.XLOOKUP(Table26[[#This Row],[customerSKU]],customerSKU!G:G,customerSKU!O:O,"not found",0,1)</f>
        <v>not found</v>
      </c>
      <c r="AJ1790" s="22" t="e">
        <f>Table26[[#This Row],[unitprice]]*Table26[[#This Row],[quantity_unit]]</f>
        <v>#VALUE!</v>
      </c>
      <c r="AK1790" s="227" t="e" cm="1">
        <f t="array" ref="AK17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1" spans="1:37" ht="18" customHeight="1">
      <c r="A1791" s="42">
        <v>440</v>
      </c>
      <c r="B1791" s="42" t="s">
        <v>3520</v>
      </c>
      <c r="C1791" s="53" t="s">
        <v>3488</v>
      </c>
      <c r="E1791" s="20"/>
      <c r="F17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1" s="93"/>
      <c r="I1791" s="203">
        <v>45814</v>
      </c>
      <c r="J1791" s="90" t="str">
        <f>IF(Table26[[#This Row],[customerSKU]]="","",_xlfn.XLOOKUP(Table26[[#This Row],[customerSKU]],customerSKU!G:G,customerSKU!A:A,"",0,1))</f>
        <v/>
      </c>
      <c r="K1791" s="232">
        <v>45817</v>
      </c>
      <c r="L1791" s="49" t="str">
        <f>IF(Table26[[#This Row],[customerSKU]]="","",_xlfn.XLOOKUP(Table26[[#This Row],[customerSKU]],customerSKU!G:G,customerSKU!B:B,"",0,1))</f>
        <v/>
      </c>
      <c r="M1791" s="22"/>
      <c r="N1791" s="15" t="str">
        <f>Table26[[#This Row],[po_number]]&amp;"-"&amp;Table26[[#This Row],[po_line]]</f>
        <v>-2</v>
      </c>
      <c r="O1791" s="15">
        <v>2</v>
      </c>
      <c r="P1791" s="50"/>
      <c r="Q1791" s="22" t="s">
        <v>591</v>
      </c>
      <c r="R1791" s="22" t="s">
        <v>532</v>
      </c>
      <c r="S1791" s="90" t="str">
        <f>IF(Table26[[#This Row],[customerSKU]]="","",_xlfn.XLOOKUP(Table26[[#This Row],[customerSKU]],customerSKU!G:G,customerSKU!N:N,"NOT FOUND",0,1))</f>
        <v>NOT FOUND</v>
      </c>
      <c r="T1791" s="20">
        <v>45783</v>
      </c>
      <c r="U1791" s="94">
        <v>24</v>
      </c>
      <c r="V1791" s="22" t="str">
        <f>IF(ISBLANK(Table26[[#This Row],[customerSKU]]),"",_xlfn.XLOOKUP(Table26[[#This Row],[customerSKU]],Table27[customer_SKU],Table27[case_size],"",0,1))</f>
        <v/>
      </c>
      <c r="W1791" s="117" t="str">
        <f t="shared" si="73"/>
        <v/>
      </c>
      <c r="X1791" s="22" t="str">
        <f t="shared" si="72"/>
        <v/>
      </c>
      <c r="Y1791" s="25" t="str">
        <f>IF(Table26[[#This Row],[customerSKU]]="","",_xlfn.XLOOKUP(Table26[[#This Row],[customerSKU]],Table27[customer_SKU],Table27[product_GTIN],"",0,1))</f>
        <v/>
      </c>
      <c r="Z1791" s="25" t="s">
        <v>3644</v>
      </c>
      <c r="AA1791" s="18" t="str" cm="1">
        <f t="array" ref="AA1791">IF(P1791="", "", _xlfn.XLOOKUP(P1791,#REF!,#REF!,NA,0,-1))</f>
        <v/>
      </c>
      <c r="AB1791" s="22"/>
      <c r="AC1791" s="55" t="str">
        <f>IF(Table26[[#This Row],[customerSKU]]="","",_xlfn.XLOOKUP(Table26[[#This Row],[customerSKU]],customerSKU!G:G,customerSKU!C:C,"",0,1))</f>
        <v/>
      </c>
      <c r="AD1791" s="55" t="str">
        <f>IF($AC1791="","",_xlfn.XLOOKUP($AC1791,'Client Info'!$C$2:$C$2497,'Client Info'!$D$2:$D$2497,"",0,1))</f>
        <v/>
      </c>
      <c r="AE1791" s="55" t="str">
        <f>IF($AC1791="","",_xlfn.XLOOKUP($AC1791,'Client Info'!$C$2:$C$2677,'Client Info'!$E$2:$E$2677,"",))</f>
        <v/>
      </c>
      <c r="AF1791" s="55" t="str">
        <f>IF($AC1791="","",_xlfn.XLOOKUP($AC1791,'Client Info'!$C$2:$C$2677,'Client Info'!$F$2:$F$2677,"",0,1))</f>
        <v/>
      </c>
      <c r="AG1791" s="55" t="str">
        <f>IF(ISBLANK(Table26[[#This Row],[customerSKU]]),"",_xlfn.XLOOKUP(Table26[[#This Row],[customerSKU]],Table27[customer_SKU],Table27[billto],"",0,1))</f>
        <v/>
      </c>
      <c r="AH1791" s="26" t="str">
        <f>_xlfn.XLOOKUP(Table26[[#This Row],[customerSKU]],customerSKU!G:G,customerSKU!K:K,"NA",0,1)</f>
        <v>NA</v>
      </c>
      <c r="AI1791" s="43" t="str">
        <f>_xlfn.XLOOKUP(Table26[[#This Row],[customerSKU]],customerSKU!G:G,customerSKU!O:O,"not found",0,1)</f>
        <v>not found</v>
      </c>
      <c r="AJ1791" s="22" t="e">
        <f>Table26[[#This Row],[unitprice]]*Table26[[#This Row],[quantity_unit]]</f>
        <v>#VALUE!</v>
      </c>
      <c r="AK1791" s="227" t="e" cm="1">
        <f t="array" ref="AK17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2" spans="1:37" ht="18" customHeight="1">
      <c r="A1792" s="42">
        <v>441</v>
      </c>
      <c r="B1792" s="42" t="s">
        <v>3520</v>
      </c>
      <c r="C1792" s="53" t="s">
        <v>3488</v>
      </c>
      <c r="E1792" s="20"/>
      <c r="F17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2" s="93"/>
      <c r="I1792" s="203">
        <v>45814</v>
      </c>
      <c r="J1792" s="90" t="str">
        <f>IF(Table26[[#This Row],[customerSKU]]="","",_xlfn.XLOOKUP(Table26[[#This Row],[customerSKU]],customerSKU!G:G,customerSKU!A:A,"",0,1))</f>
        <v/>
      </c>
      <c r="K1792" s="232">
        <v>45817</v>
      </c>
      <c r="L1792" s="49" t="str">
        <f>IF(Table26[[#This Row],[customerSKU]]="","",_xlfn.XLOOKUP(Table26[[#This Row],[customerSKU]],customerSKU!G:G,customerSKU!B:B,"",0,1))</f>
        <v/>
      </c>
      <c r="M1792" s="22"/>
      <c r="N1792" s="15" t="str">
        <f>Table26[[#This Row],[po_number]]&amp;"-"&amp;Table26[[#This Row],[po_line]]</f>
        <v>-3</v>
      </c>
      <c r="O1792" s="15">
        <v>3</v>
      </c>
      <c r="P1792" s="50"/>
      <c r="Q1792" s="22" t="s">
        <v>3284</v>
      </c>
      <c r="R1792" s="22" t="s">
        <v>532</v>
      </c>
      <c r="S1792" s="90" t="str">
        <f>IF(Table26[[#This Row],[customerSKU]]="","",_xlfn.XLOOKUP(Table26[[#This Row],[customerSKU]],customerSKU!G:G,customerSKU!N:N,"NOT FOUND",0,1))</f>
        <v>NOT FOUND</v>
      </c>
      <c r="T1792" s="20">
        <v>45763</v>
      </c>
      <c r="U1792" s="94">
        <v>24</v>
      </c>
      <c r="V1792" s="22" t="str">
        <f>IF(ISBLANK(Table26[[#This Row],[customerSKU]]),"",_xlfn.XLOOKUP(Table26[[#This Row],[customerSKU]],Table27[customer_SKU],Table27[case_size],"",0,1))</f>
        <v/>
      </c>
      <c r="W1792" s="117" t="str">
        <f t="shared" si="73"/>
        <v/>
      </c>
      <c r="X1792" s="22" t="str">
        <f t="shared" si="72"/>
        <v/>
      </c>
      <c r="Y1792" s="25" t="str">
        <f>IF(Table26[[#This Row],[customerSKU]]="","",_xlfn.XLOOKUP(Table26[[#This Row],[customerSKU]],Table27[customer_SKU],Table27[product_GTIN],"",0,1))</f>
        <v/>
      </c>
      <c r="Z1792" s="25" t="s">
        <v>3481</v>
      </c>
      <c r="AA1792" s="18" t="str" cm="1">
        <f t="array" ref="AA1792">IF(P1792="", "", _xlfn.XLOOKUP(P1792,#REF!,#REF!,NA,0,-1))</f>
        <v/>
      </c>
      <c r="AB1792" s="22"/>
      <c r="AC1792" s="55" t="str">
        <f>IF(Table26[[#This Row],[customerSKU]]="","",_xlfn.XLOOKUP(Table26[[#This Row],[customerSKU]],customerSKU!G:G,customerSKU!C:C,"",0,1))</f>
        <v/>
      </c>
      <c r="AD1792" s="55" t="str">
        <f>IF($AC1792="","",_xlfn.XLOOKUP($AC1792,'Client Info'!$C$2:$C$2497,'Client Info'!$D$2:$D$2497,"",0,1))</f>
        <v/>
      </c>
      <c r="AE1792" s="55" t="str">
        <f>IF($AC1792="","",_xlfn.XLOOKUP($AC1792,'Client Info'!$C$2:$C$2677,'Client Info'!$E$2:$E$2677,"",))</f>
        <v/>
      </c>
      <c r="AF1792" s="55" t="str">
        <f>IF($AC1792="","",_xlfn.XLOOKUP($AC1792,'Client Info'!$C$2:$C$2677,'Client Info'!$F$2:$F$2677,"",0,1))</f>
        <v/>
      </c>
      <c r="AG1792" s="55" t="str">
        <f>IF(ISBLANK(Table26[[#This Row],[customerSKU]]),"",_xlfn.XLOOKUP(Table26[[#This Row],[customerSKU]],Table27[customer_SKU],Table27[billto],"",0,1))</f>
        <v/>
      </c>
      <c r="AH1792" s="26" t="str">
        <f>_xlfn.XLOOKUP(Table26[[#This Row],[customerSKU]],customerSKU!G:G,customerSKU!K:K,"NA",0,1)</f>
        <v>NA</v>
      </c>
      <c r="AI1792" s="43" t="str">
        <f>_xlfn.XLOOKUP(Table26[[#This Row],[customerSKU]],customerSKU!G:G,customerSKU!O:O,"not found",0,1)</f>
        <v>not found</v>
      </c>
      <c r="AJ1792" s="22" t="e">
        <f>Table26[[#This Row],[unitprice]]*Table26[[#This Row],[quantity_unit]]</f>
        <v>#VALUE!</v>
      </c>
      <c r="AK1792" s="227" t="e" cm="1">
        <f t="array" ref="AK17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3" spans="1:37" ht="18" customHeight="1">
      <c r="A1793" s="42">
        <v>442</v>
      </c>
      <c r="B1793" s="42" t="s">
        <v>3520</v>
      </c>
      <c r="C1793" s="53" t="s">
        <v>3488</v>
      </c>
      <c r="E1793" s="20"/>
      <c r="F17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3" s="93"/>
      <c r="I1793" s="203">
        <v>45814</v>
      </c>
      <c r="J1793" s="90" t="str">
        <f>IF(Table26[[#This Row],[customerSKU]]="","",_xlfn.XLOOKUP(Table26[[#This Row],[customerSKU]],customerSKU!G:G,customerSKU!A:A,"",0,1))</f>
        <v/>
      </c>
      <c r="K1793" s="232">
        <v>45817</v>
      </c>
      <c r="L1793" s="49" t="str">
        <f>IF(Table26[[#This Row],[customerSKU]]="","",_xlfn.XLOOKUP(Table26[[#This Row],[customerSKU]],customerSKU!G:G,customerSKU!B:B,"",0,1))</f>
        <v/>
      </c>
      <c r="M1793" s="22"/>
      <c r="N1793" s="15" t="str">
        <f>Table26[[#This Row],[po_number]]&amp;"-"&amp;Table26[[#This Row],[po_line]]</f>
        <v>-4</v>
      </c>
      <c r="O1793" s="15">
        <v>4</v>
      </c>
      <c r="P1793" s="50"/>
      <c r="Q1793" s="22" t="s">
        <v>1807</v>
      </c>
      <c r="R1793" s="22" t="s">
        <v>532</v>
      </c>
      <c r="S1793" s="90" t="str">
        <f>IF(Table26[[#This Row],[customerSKU]]="","",_xlfn.XLOOKUP(Table26[[#This Row],[customerSKU]],customerSKU!G:G,customerSKU!N:N,"NOT FOUND",0,1))</f>
        <v>NOT FOUND</v>
      </c>
      <c r="T1793" s="20">
        <v>45804</v>
      </c>
      <c r="U1793" s="94">
        <v>60</v>
      </c>
      <c r="V1793" s="22" t="str">
        <f>IF(ISBLANK(Table26[[#This Row],[customerSKU]]),"",_xlfn.XLOOKUP(Table26[[#This Row],[customerSKU]],Table27[customer_SKU],Table27[case_size],"",0,1))</f>
        <v/>
      </c>
      <c r="W1793" s="117" t="str">
        <f t="shared" si="73"/>
        <v/>
      </c>
      <c r="X1793" s="22" t="str">
        <f t="shared" si="72"/>
        <v/>
      </c>
      <c r="Y1793" s="25" t="str">
        <f>IF(Table26[[#This Row],[customerSKU]]="","",_xlfn.XLOOKUP(Table26[[#This Row],[customerSKU]],Table27[customer_SKU],Table27[product_GTIN],"",0,1))</f>
        <v/>
      </c>
      <c r="Z1793" s="25" t="s">
        <v>3574</v>
      </c>
      <c r="AA1793" s="18" t="str" cm="1">
        <f t="array" ref="AA1793">IF(P1793="", "", _xlfn.XLOOKUP(P1793,#REF!,#REF!,NA,0,-1))</f>
        <v/>
      </c>
      <c r="AB1793" s="22"/>
      <c r="AC1793" s="55" t="str">
        <f>IF(Table26[[#This Row],[customerSKU]]="","",_xlfn.XLOOKUP(Table26[[#This Row],[customerSKU]],customerSKU!G:G,customerSKU!C:C,"",0,1))</f>
        <v/>
      </c>
      <c r="AD1793" s="55" t="str">
        <f>IF($AC1793="","",_xlfn.XLOOKUP($AC1793,'Client Info'!$C$2:$C$2497,'Client Info'!$D$2:$D$2497,"",0,1))</f>
        <v/>
      </c>
      <c r="AE1793" s="55" t="str">
        <f>IF($AC1793="","",_xlfn.XLOOKUP($AC1793,'Client Info'!$C$2:$C$2677,'Client Info'!$E$2:$E$2677,"",))</f>
        <v/>
      </c>
      <c r="AF1793" s="55" t="str">
        <f>IF($AC1793="","",_xlfn.XLOOKUP($AC1793,'Client Info'!$C$2:$C$2677,'Client Info'!$F$2:$F$2677,"",0,1))</f>
        <v/>
      </c>
      <c r="AG1793" s="55" t="str">
        <f>IF(ISBLANK(Table26[[#This Row],[customerSKU]]),"",_xlfn.XLOOKUP(Table26[[#This Row],[customerSKU]],Table27[customer_SKU],Table27[billto],"",0,1))</f>
        <v/>
      </c>
      <c r="AH1793" s="26" t="str">
        <f>_xlfn.XLOOKUP(Table26[[#This Row],[customerSKU]],customerSKU!G:G,customerSKU!K:K,"NA",0,1)</f>
        <v>NA</v>
      </c>
      <c r="AI1793" s="43" t="str">
        <f>_xlfn.XLOOKUP(Table26[[#This Row],[customerSKU]],customerSKU!G:G,customerSKU!O:O,"not found",0,1)</f>
        <v>not found</v>
      </c>
      <c r="AJ1793" s="22" t="e">
        <f>Table26[[#This Row],[unitprice]]*Table26[[#This Row],[quantity_unit]]</f>
        <v>#VALUE!</v>
      </c>
      <c r="AK1793" s="227" t="e" cm="1">
        <f t="array" ref="AK17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4" spans="1:37" ht="18" customHeight="1">
      <c r="A1794" s="42">
        <v>443</v>
      </c>
      <c r="B1794" s="42" t="s">
        <v>3520</v>
      </c>
      <c r="C1794" s="53" t="s">
        <v>203</v>
      </c>
      <c r="E1794" s="20"/>
      <c r="F17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4" s="93"/>
      <c r="I1794" s="203">
        <v>45814</v>
      </c>
      <c r="J1794" s="90" t="str">
        <f>IF(Table26[[#This Row],[customerSKU]]="","",_xlfn.XLOOKUP(Table26[[#This Row],[customerSKU]],customerSKU!G:G,customerSKU!A:A,"",0,1))</f>
        <v/>
      </c>
      <c r="K1794" s="232">
        <v>45817</v>
      </c>
      <c r="L1794" s="49" t="str">
        <f>IF(Table26[[#This Row],[customerSKU]]="","",_xlfn.XLOOKUP(Table26[[#This Row],[customerSKU]],customerSKU!G:G,customerSKU!B:B,"",0,1))</f>
        <v/>
      </c>
      <c r="M1794" s="22"/>
      <c r="N1794" s="15" t="str">
        <f>Table26[[#This Row],[po_number]]&amp;"-"&amp;Table26[[#This Row],[po_line]]</f>
        <v>-5</v>
      </c>
      <c r="O1794" s="15">
        <v>5</v>
      </c>
      <c r="P1794" s="50"/>
      <c r="Q1794" s="22" t="s">
        <v>1783</v>
      </c>
      <c r="R1794" s="22" t="s">
        <v>532</v>
      </c>
      <c r="S1794" s="90" t="str">
        <f>IF(Table26[[#This Row],[customerSKU]]="","",_xlfn.XLOOKUP(Table26[[#This Row],[customerSKU]],customerSKU!G:G,customerSKU!N:N,"NOT FOUND",0,1))</f>
        <v>NOT FOUND</v>
      </c>
      <c r="T1794" s="20">
        <v>45800</v>
      </c>
      <c r="U1794" s="94">
        <v>24</v>
      </c>
      <c r="V1794" s="22" t="str">
        <f>IF(ISBLANK(Table26[[#This Row],[customerSKU]]),"",_xlfn.XLOOKUP(Table26[[#This Row],[customerSKU]],Table27[customer_SKU],Table27[case_size],"",0,1))</f>
        <v/>
      </c>
      <c r="W1794" s="117" t="str">
        <f t="shared" si="73"/>
        <v/>
      </c>
      <c r="X1794" s="22" t="str">
        <f t="shared" si="72"/>
        <v/>
      </c>
      <c r="Y1794" s="25" t="str">
        <f>IF(Table26[[#This Row],[customerSKU]]="","",_xlfn.XLOOKUP(Table26[[#This Row],[customerSKU]],Table27[customer_SKU],Table27[product_GTIN],"",0,1))</f>
        <v/>
      </c>
      <c r="Z1794" s="25" t="s">
        <v>3575</v>
      </c>
      <c r="AA1794" s="18" t="str" cm="1">
        <f t="array" ref="AA1794">IF(P1794="", "", _xlfn.XLOOKUP(P1794,#REF!,#REF!,NA,0,-1))</f>
        <v/>
      </c>
      <c r="AB1794" s="22"/>
      <c r="AC1794" s="55" t="str">
        <f>IF(Table26[[#This Row],[customerSKU]]="","",_xlfn.XLOOKUP(Table26[[#This Row],[customerSKU]],customerSKU!G:G,customerSKU!C:C,"",0,1))</f>
        <v/>
      </c>
      <c r="AD1794" s="55" t="str">
        <f>IF($AC1794="","",_xlfn.XLOOKUP($AC1794,'Client Info'!$C$2:$C$2497,'Client Info'!$D$2:$D$2497,"",0,1))</f>
        <v/>
      </c>
      <c r="AE1794" s="55" t="str">
        <f>IF($AC1794="","",_xlfn.XLOOKUP($AC1794,'Client Info'!$C$2:$C$2677,'Client Info'!$E$2:$E$2677,"",))</f>
        <v/>
      </c>
      <c r="AF1794" s="55" t="str">
        <f>IF($AC1794="","",_xlfn.XLOOKUP($AC1794,'Client Info'!$C$2:$C$2677,'Client Info'!$F$2:$F$2677,"",0,1))</f>
        <v/>
      </c>
      <c r="AG1794" s="55" t="str">
        <f>IF(ISBLANK(Table26[[#This Row],[customerSKU]]),"",_xlfn.XLOOKUP(Table26[[#This Row],[customerSKU]],Table27[customer_SKU],Table27[billto],"",0,1))</f>
        <v/>
      </c>
      <c r="AH1794" s="26" t="str">
        <f>_xlfn.XLOOKUP(Table26[[#This Row],[customerSKU]],customerSKU!G:G,customerSKU!K:K,"NA",0,1)</f>
        <v>NA</v>
      </c>
      <c r="AI1794" s="43" t="str">
        <f>_xlfn.XLOOKUP(Table26[[#This Row],[customerSKU]],customerSKU!G:G,customerSKU!O:O,"not found",0,1)</f>
        <v>not found</v>
      </c>
      <c r="AJ1794" s="22" t="e">
        <f>Table26[[#This Row],[unitprice]]*Table26[[#This Row],[quantity_unit]]</f>
        <v>#VALUE!</v>
      </c>
      <c r="AK1794" s="227" t="e" cm="1">
        <f t="array" ref="AK17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5" spans="1:37" ht="18" customHeight="1">
      <c r="A1795" s="42">
        <v>444</v>
      </c>
      <c r="B1795" s="42" t="s">
        <v>3520</v>
      </c>
      <c r="C1795" s="53" t="s">
        <v>3488</v>
      </c>
      <c r="E1795" s="20"/>
      <c r="F17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5" s="93"/>
      <c r="I1795" s="203">
        <v>45814</v>
      </c>
      <c r="J1795" s="90" t="str">
        <f>IF(Table26[[#This Row],[customerSKU]]="","",_xlfn.XLOOKUP(Table26[[#This Row],[customerSKU]],customerSKU!G:G,customerSKU!A:A,"",0,1))</f>
        <v/>
      </c>
      <c r="K1795" s="232">
        <v>45817</v>
      </c>
      <c r="L1795" s="49" t="str">
        <f>IF(Table26[[#This Row],[customerSKU]]="","",_xlfn.XLOOKUP(Table26[[#This Row],[customerSKU]],customerSKU!G:G,customerSKU!B:B,"",0,1))</f>
        <v/>
      </c>
      <c r="M1795" s="22"/>
      <c r="N1795" s="15" t="str">
        <f>Table26[[#This Row],[po_number]]&amp;"-"&amp;Table26[[#This Row],[po_line]]</f>
        <v>-6</v>
      </c>
      <c r="O1795" s="15">
        <v>6</v>
      </c>
      <c r="P1795" s="50"/>
      <c r="Q1795" s="22" t="s">
        <v>1312</v>
      </c>
      <c r="R1795" s="22" t="s">
        <v>532</v>
      </c>
      <c r="S1795" s="90" t="str">
        <f>IF(Table26[[#This Row],[customerSKU]]="","",_xlfn.XLOOKUP(Table26[[#This Row],[customerSKU]],customerSKU!G:G,customerSKU!N:N,"NOT FOUND",0,1))</f>
        <v>NOT FOUND</v>
      </c>
      <c r="T1795" s="20">
        <v>45660</v>
      </c>
      <c r="U1795" s="94">
        <v>24</v>
      </c>
      <c r="V1795" s="22" t="str">
        <f>IF(ISBLANK(Table26[[#This Row],[customerSKU]]),"",_xlfn.XLOOKUP(Table26[[#This Row],[customerSKU]],Table27[customer_SKU],Table27[case_size],"",0,1))</f>
        <v/>
      </c>
      <c r="W1795" s="117" t="str">
        <f t="shared" si="73"/>
        <v/>
      </c>
      <c r="X1795" s="22" t="str">
        <f t="shared" si="72"/>
        <v/>
      </c>
      <c r="Y1795" s="25" t="str">
        <f>IF(Table26[[#This Row],[customerSKU]]="","",_xlfn.XLOOKUP(Table26[[#This Row],[customerSKU]],Table27[customer_SKU],Table27[product_GTIN],"",0,1))</f>
        <v/>
      </c>
      <c r="Z1795" s="25" t="s">
        <v>3645</v>
      </c>
      <c r="AA1795" s="18" t="str" cm="1">
        <f t="array" ref="AA1795">IF(P1795="", "", _xlfn.XLOOKUP(P1795,#REF!,#REF!,NA,0,-1))</f>
        <v/>
      </c>
      <c r="AB1795" s="22"/>
      <c r="AC1795" s="55" t="str">
        <f>IF(Table26[[#This Row],[customerSKU]]="","",_xlfn.XLOOKUP(Table26[[#This Row],[customerSKU]],customerSKU!G:G,customerSKU!C:C,"",0,1))</f>
        <v/>
      </c>
      <c r="AD1795" s="55" t="str">
        <f>IF($AC1795="","",_xlfn.XLOOKUP($AC1795,'Client Info'!$C$2:$C$2497,'Client Info'!$D$2:$D$2497,"",0,1))</f>
        <v/>
      </c>
      <c r="AE1795" s="55" t="str">
        <f>IF($AC1795="","",_xlfn.XLOOKUP($AC1795,'Client Info'!$C$2:$C$2677,'Client Info'!$E$2:$E$2677,"",))</f>
        <v/>
      </c>
      <c r="AF1795" s="55" t="str">
        <f>IF($AC1795="","",_xlfn.XLOOKUP($AC1795,'Client Info'!$C$2:$C$2677,'Client Info'!$F$2:$F$2677,"",0,1))</f>
        <v/>
      </c>
      <c r="AG1795" s="55" t="str">
        <f>IF(ISBLANK(Table26[[#This Row],[customerSKU]]),"",_xlfn.XLOOKUP(Table26[[#This Row],[customerSKU]],Table27[customer_SKU],Table27[billto],"",0,1))</f>
        <v/>
      </c>
      <c r="AH1795" s="26" t="str">
        <f>_xlfn.XLOOKUP(Table26[[#This Row],[customerSKU]],customerSKU!G:G,customerSKU!K:K,"NA",0,1)</f>
        <v>NA</v>
      </c>
      <c r="AI1795" s="43" t="str">
        <f>_xlfn.XLOOKUP(Table26[[#This Row],[customerSKU]],customerSKU!G:G,customerSKU!O:O,"not found",0,1)</f>
        <v>not found</v>
      </c>
      <c r="AJ1795" s="22" t="e">
        <f>Table26[[#This Row],[unitprice]]*Table26[[#This Row],[quantity_unit]]</f>
        <v>#VALUE!</v>
      </c>
      <c r="AK1795" s="227" t="e" cm="1">
        <f t="array" ref="AK17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6" spans="1:37" ht="18" customHeight="1">
      <c r="A1796" s="42">
        <v>445</v>
      </c>
      <c r="B1796" s="42" t="s">
        <v>3520</v>
      </c>
      <c r="C1796" s="53" t="s">
        <v>3488</v>
      </c>
      <c r="E1796" s="20"/>
      <c r="F17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6" s="93"/>
      <c r="I1796" s="203">
        <v>45814</v>
      </c>
      <c r="J1796" s="90" t="str">
        <f>IF(Table26[[#This Row],[customerSKU]]="","",_xlfn.XLOOKUP(Table26[[#This Row],[customerSKU]],customerSKU!G:G,customerSKU!A:A,"",0,1))</f>
        <v/>
      </c>
      <c r="K1796" s="232">
        <v>45817</v>
      </c>
      <c r="L1796" s="49" t="str">
        <f>IF(Table26[[#This Row],[customerSKU]]="","",_xlfn.XLOOKUP(Table26[[#This Row],[customerSKU]],customerSKU!G:G,customerSKU!B:B,"",0,1))</f>
        <v/>
      </c>
      <c r="M1796" s="22"/>
      <c r="N1796" s="15" t="str">
        <f>Table26[[#This Row],[po_number]]&amp;"-"&amp;Table26[[#This Row],[po_line]]</f>
        <v>-7</v>
      </c>
      <c r="O1796" s="15">
        <v>7</v>
      </c>
      <c r="P1796" s="50"/>
      <c r="Q1796" s="22" t="s">
        <v>3533</v>
      </c>
      <c r="R1796" s="22" t="s">
        <v>532</v>
      </c>
      <c r="S1796" s="90" t="str">
        <f>IF(Table26[[#This Row],[customerSKU]]="","",_xlfn.XLOOKUP(Table26[[#This Row],[customerSKU]],customerSKU!G:G,customerSKU!N:N,"NOT FOUND",0,1))</f>
        <v>NOT FOUND</v>
      </c>
      <c r="T1796" s="20">
        <v>45761</v>
      </c>
      <c r="U1796" s="94">
        <v>24</v>
      </c>
      <c r="V1796" s="22" t="str">
        <f>IF(ISBLANK(Table26[[#This Row],[customerSKU]]),"",_xlfn.XLOOKUP(Table26[[#This Row],[customerSKU]],Table27[customer_SKU],Table27[case_size],"",0,1))</f>
        <v/>
      </c>
      <c r="W1796" s="117" t="str">
        <f t="shared" si="73"/>
        <v/>
      </c>
      <c r="X1796" s="22" t="str">
        <f t="shared" si="72"/>
        <v/>
      </c>
      <c r="Y1796" s="25" t="str">
        <f>IF(Table26[[#This Row],[customerSKU]]="","",_xlfn.XLOOKUP(Table26[[#This Row],[customerSKU]],Table27[customer_SKU],Table27[product_GTIN],"",0,1))</f>
        <v/>
      </c>
      <c r="Z1796" s="25" t="s">
        <v>3485</v>
      </c>
      <c r="AA1796" s="18" t="str" cm="1">
        <f t="array" ref="AA1796">IF(P1796="", "", _xlfn.XLOOKUP(P1796,#REF!,#REF!,NA,0,-1))</f>
        <v/>
      </c>
      <c r="AB1796" s="22"/>
      <c r="AC1796" s="55" t="str">
        <f>IF(Table26[[#This Row],[customerSKU]]="","",_xlfn.XLOOKUP(Table26[[#This Row],[customerSKU]],customerSKU!G:G,customerSKU!C:C,"",0,1))</f>
        <v/>
      </c>
      <c r="AD1796" s="55" t="str">
        <f>IF($AC1796="","",_xlfn.XLOOKUP($AC1796,'Client Info'!$C$2:$C$2497,'Client Info'!$D$2:$D$2497,"",0,1))</f>
        <v/>
      </c>
      <c r="AE1796" s="55" t="str">
        <f>IF($AC1796="","",_xlfn.XLOOKUP($AC1796,'Client Info'!$C$2:$C$2677,'Client Info'!$E$2:$E$2677,"",))</f>
        <v/>
      </c>
      <c r="AF1796" s="55" t="str">
        <f>IF($AC1796="","",_xlfn.XLOOKUP($AC1796,'Client Info'!$C$2:$C$2677,'Client Info'!$F$2:$F$2677,"",0,1))</f>
        <v/>
      </c>
      <c r="AG1796" s="55" t="str">
        <f>IF(ISBLANK(Table26[[#This Row],[customerSKU]]),"",_xlfn.XLOOKUP(Table26[[#This Row],[customerSKU]],Table27[customer_SKU],Table27[billto],"",0,1))</f>
        <v/>
      </c>
      <c r="AH1796" s="26" t="str">
        <f>_xlfn.XLOOKUP(Table26[[#This Row],[customerSKU]],customerSKU!G:G,customerSKU!K:K,"NA",0,1)</f>
        <v>NA</v>
      </c>
      <c r="AI1796" s="43" t="str">
        <f>_xlfn.XLOOKUP(Table26[[#This Row],[customerSKU]],customerSKU!G:G,customerSKU!O:O,"not found",0,1)</f>
        <v>not found</v>
      </c>
      <c r="AJ1796" s="22" t="e">
        <f>Table26[[#This Row],[unitprice]]*Table26[[#This Row],[quantity_unit]]</f>
        <v>#VALUE!</v>
      </c>
      <c r="AK1796" s="227" t="e" cm="1">
        <f t="array" ref="AK17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7" spans="1:37" ht="18" customHeight="1">
      <c r="A1797" s="42">
        <v>446</v>
      </c>
      <c r="B1797" s="42" t="s">
        <v>3520</v>
      </c>
      <c r="C1797" s="53" t="s">
        <v>3488</v>
      </c>
      <c r="E1797" s="20"/>
      <c r="F17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7" s="93"/>
      <c r="I1797" s="203">
        <v>45814</v>
      </c>
      <c r="J1797" s="90" t="str">
        <f>IF(Table26[[#This Row],[customerSKU]]="","",_xlfn.XLOOKUP(Table26[[#This Row],[customerSKU]],customerSKU!G:G,customerSKU!A:A,"",0,1))</f>
        <v/>
      </c>
      <c r="K1797" s="232">
        <v>45817</v>
      </c>
      <c r="L1797" s="49" t="str">
        <f>IF(Table26[[#This Row],[customerSKU]]="","",_xlfn.XLOOKUP(Table26[[#This Row],[customerSKU]],customerSKU!G:G,customerSKU!B:B,"",0,1))</f>
        <v/>
      </c>
      <c r="M1797" s="22"/>
      <c r="N1797" s="15" t="str">
        <f>Table26[[#This Row],[po_number]]&amp;"-"&amp;Table26[[#This Row],[po_line]]</f>
        <v>-8</v>
      </c>
      <c r="O1797" s="15">
        <v>8</v>
      </c>
      <c r="P1797" s="50"/>
      <c r="Q1797" s="22" t="s">
        <v>656</v>
      </c>
      <c r="R1797" s="22" t="s">
        <v>532</v>
      </c>
      <c r="S1797" s="90" t="str">
        <f>IF(Table26[[#This Row],[customerSKU]]="","",_xlfn.XLOOKUP(Table26[[#This Row],[customerSKU]],customerSKU!G:G,customerSKU!N:N,"NOT FOUND",0,1))</f>
        <v>NOT FOUND</v>
      </c>
      <c r="T1797" s="20">
        <v>45763</v>
      </c>
      <c r="U1797" s="94">
        <v>12</v>
      </c>
      <c r="V1797" s="22" t="str">
        <f>IF(ISBLANK(Table26[[#This Row],[customerSKU]]),"",_xlfn.XLOOKUP(Table26[[#This Row],[customerSKU]],Table27[customer_SKU],Table27[case_size],"",0,1))</f>
        <v/>
      </c>
      <c r="W1797" s="117" t="str">
        <f t="shared" si="73"/>
        <v/>
      </c>
      <c r="X1797" s="22" t="str">
        <f t="shared" si="72"/>
        <v/>
      </c>
      <c r="Y1797" s="25" t="str">
        <f>IF(Table26[[#This Row],[customerSKU]]="","",_xlfn.XLOOKUP(Table26[[#This Row],[customerSKU]],Table27[customer_SKU],Table27[product_GTIN],"",0,1))</f>
        <v/>
      </c>
      <c r="Z1797" s="25" t="s">
        <v>3646</v>
      </c>
      <c r="AA1797" s="18" t="str" cm="1">
        <f t="array" ref="AA1797">IF(P1797="", "", _xlfn.XLOOKUP(P1797,#REF!,#REF!,NA,0,-1))</f>
        <v/>
      </c>
      <c r="AB1797" s="22"/>
      <c r="AC1797" s="55" t="str">
        <f>IF(Table26[[#This Row],[customerSKU]]="","",_xlfn.XLOOKUP(Table26[[#This Row],[customerSKU]],customerSKU!G:G,customerSKU!C:C,"",0,1))</f>
        <v/>
      </c>
      <c r="AD1797" s="55" t="str">
        <f>IF($AC1797="","",_xlfn.XLOOKUP($AC1797,'Client Info'!$C$2:$C$2497,'Client Info'!$D$2:$D$2497,"",0,1))</f>
        <v/>
      </c>
      <c r="AE1797" s="55" t="str">
        <f>IF($AC1797="","",_xlfn.XLOOKUP($AC1797,'Client Info'!$C$2:$C$2677,'Client Info'!$E$2:$E$2677,"",))</f>
        <v/>
      </c>
      <c r="AF1797" s="55" t="str">
        <f>IF($AC1797="","",_xlfn.XLOOKUP($AC1797,'Client Info'!$C$2:$C$2677,'Client Info'!$F$2:$F$2677,"",0,1))</f>
        <v/>
      </c>
      <c r="AG1797" s="55" t="str">
        <f>IF(ISBLANK(Table26[[#This Row],[customerSKU]]),"",_xlfn.XLOOKUP(Table26[[#This Row],[customerSKU]],Table27[customer_SKU],Table27[billto],"",0,1))</f>
        <v/>
      </c>
      <c r="AH1797" s="26" t="str">
        <f>_xlfn.XLOOKUP(Table26[[#This Row],[customerSKU]],customerSKU!G:G,customerSKU!K:K,"NA",0,1)</f>
        <v>NA</v>
      </c>
      <c r="AI1797" s="43" t="str">
        <f>_xlfn.XLOOKUP(Table26[[#This Row],[customerSKU]],customerSKU!G:G,customerSKU!O:O,"not found",0,1)</f>
        <v>not found</v>
      </c>
      <c r="AJ1797" s="22" t="e">
        <f>Table26[[#This Row],[unitprice]]*Table26[[#This Row],[quantity_unit]]</f>
        <v>#VALUE!</v>
      </c>
      <c r="AK1797" s="227" t="e" cm="1">
        <f t="array" ref="AK17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8" spans="1:37" ht="24.6" customHeight="1">
      <c r="A1798" s="42">
        <v>447</v>
      </c>
      <c r="B1798" s="42" t="s">
        <v>3520</v>
      </c>
      <c r="C1798" s="53" t="s">
        <v>3488</v>
      </c>
      <c r="E1798" s="20"/>
      <c r="F17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8" s="93"/>
      <c r="I1798" s="203">
        <v>45814</v>
      </c>
      <c r="J1798" s="90" t="str">
        <f>IF(Table26[[#This Row],[customerSKU]]="","",_xlfn.XLOOKUP(Table26[[#This Row],[customerSKU]],customerSKU!G:G,customerSKU!A:A,"",0,1))</f>
        <v/>
      </c>
      <c r="K1798" s="232">
        <v>45817</v>
      </c>
      <c r="L1798" s="49" t="str">
        <f>IF(Table26[[#This Row],[customerSKU]]="","",_xlfn.XLOOKUP(Table26[[#This Row],[customerSKU]],customerSKU!G:G,customerSKU!B:B,"",0,1))</f>
        <v/>
      </c>
      <c r="M1798" s="22"/>
      <c r="N1798" s="15" t="str">
        <f>Table26[[#This Row],[po_number]]&amp;"-"&amp;Table26[[#This Row],[po_line]]</f>
        <v>-9</v>
      </c>
      <c r="O1798" s="15">
        <v>9</v>
      </c>
      <c r="P1798" s="50"/>
      <c r="Q1798" s="22" t="s">
        <v>656</v>
      </c>
      <c r="R1798" s="22" t="s">
        <v>532</v>
      </c>
      <c r="S1798" s="90" t="str">
        <f>IF(Table26[[#This Row],[customerSKU]]="","",_xlfn.XLOOKUP(Table26[[#This Row],[customerSKU]],customerSKU!G:G,customerSKU!N:N,"NOT FOUND",0,1))</f>
        <v>NOT FOUND</v>
      </c>
      <c r="T1798" s="20">
        <v>45756</v>
      </c>
      <c r="U1798" s="94">
        <v>12</v>
      </c>
      <c r="V1798" s="22" t="str">
        <f>IF(ISBLANK(Table26[[#This Row],[customerSKU]]),"",_xlfn.XLOOKUP(Table26[[#This Row],[customerSKU]],Table27[customer_SKU],Table27[case_size],"",0,1))</f>
        <v/>
      </c>
      <c r="W1798" s="117" t="str">
        <f t="shared" si="73"/>
        <v/>
      </c>
      <c r="X1798" s="22" t="str">
        <f t="shared" ref="X1798:X1861" si="74">IFERROR($AA1798*$U1798, "")</f>
        <v/>
      </c>
      <c r="Y1798" s="25" t="str">
        <f>IF(Table26[[#This Row],[customerSKU]]="","",_xlfn.XLOOKUP(Table26[[#This Row],[customerSKU]],Table27[customer_SKU],Table27[product_GTIN],"",0,1))</f>
        <v/>
      </c>
      <c r="Z1798" s="25" t="s">
        <v>3646</v>
      </c>
      <c r="AA1798" s="18" t="str" cm="1">
        <f t="array" ref="AA1798">IF(P1798="", "", _xlfn.XLOOKUP(P1798,#REF!,#REF!,NA,0,-1))</f>
        <v/>
      </c>
      <c r="AB1798" s="22"/>
      <c r="AC1798" s="55" t="str">
        <f>IF(Table26[[#This Row],[customerSKU]]="","",_xlfn.XLOOKUP(Table26[[#This Row],[customerSKU]],customerSKU!G:G,customerSKU!C:C,"",0,1))</f>
        <v/>
      </c>
      <c r="AD1798" s="55" t="str">
        <f>IF($AC1798="","",_xlfn.XLOOKUP($AC1798,'Client Info'!$C$2:$C$2497,'Client Info'!$D$2:$D$2497,"",0,1))</f>
        <v/>
      </c>
      <c r="AE1798" s="55" t="str">
        <f>IF($AC1798="","",_xlfn.XLOOKUP($AC1798,'Client Info'!$C$2:$C$2677,'Client Info'!$E$2:$E$2677,"",))</f>
        <v/>
      </c>
      <c r="AF1798" s="55" t="str">
        <f>IF($AC1798="","",_xlfn.XLOOKUP($AC1798,'Client Info'!$C$2:$C$2677,'Client Info'!$F$2:$F$2677,"",0,1))</f>
        <v/>
      </c>
      <c r="AG1798" s="55" t="str">
        <f>IF(ISBLANK(Table26[[#This Row],[customerSKU]]),"",_xlfn.XLOOKUP(Table26[[#This Row],[customerSKU]],Table27[customer_SKU],Table27[billto],"",0,1))</f>
        <v/>
      </c>
      <c r="AH1798" s="26" t="str">
        <f>_xlfn.XLOOKUP(Table26[[#This Row],[customerSKU]],customerSKU!G:G,customerSKU!K:K,"NA",0,1)</f>
        <v>NA</v>
      </c>
      <c r="AI1798" s="43" t="str">
        <f>_xlfn.XLOOKUP(Table26[[#This Row],[customerSKU]],customerSKU!G:G,customerSKU!O:O,"not found",0,1)</f>
        <v>not found</v>
      </c>
      <c r="AJ1798" s="22" t="e">
        <f>Table26[[#This Row],[unitprice]]*Table26[[#This Row],[quantity_unit]]</f>
        <v>#VALUE!</v>
      </c>
      <c r="AK1798" s="227" t="e" cm="1">
        <f t="array" ref="AK17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799" spans="1:37" ht="24.6" customHeight="1">
      <c r="A1799" s="42">
        <v>448</v>
      </c>
      <c r="B1799" s="42" t="s">
        <v>3520</v>
      </c>
      <c r="C1799" s="53" t="s">
        <v>3488</v>
      </c>
      <c r="E1799" s="20"/>
      <c r="F17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799" s="93"/>
      <c r="I1799" s="203">
        <v>45816</v>
      </c>
      <c r="J1799" s="90" t="str">
        <f>IF(Table26[[#This Row],[customerSKU]]="","",_xlfn.XLOOKUP(Table26[[#This Row],[customerSKU]],customerSKU!G:G,customerSKU!A:A,"",0,1))</f>
        <v/>
      </c>
      <c r="K1799" s="232">
        <v>45817</v>
      </c>
      <c r="L1799" s="49" t="str">
        <f>IF(Table26[[#This Row],[customerSKU]]="","",_xlfn.XLOOKUP(Table26[[#This Row],[customerSKU]],customerSKU!G:G,customerSKU!B:B,"",0,1))</f>
        <v/>
      </c>
      <c r="M1799" s="22"/>
      <c r="N1799" s="15" t="str">
        <f>Table26[[#This Row],[po_number]]&amp;"-"&amp;Table26[[#This Row],[po_line]]</f>
        <v>-1</v>
      </c>
      <c r="O1799" s="15">
        <v>1</v>
      </c>
      <c r="P1799" s="50"/>
      <c r="Q1799" s="22" t="s">
        <v>591</v>
      </c>
      <c r="R1799" s="22" t="s">
        <v>532</v>
      </c>
      <c r="S1799" s="90" t="str">
        <f>IF(Table26[[#This Row],[customerSKU]]="","",_xlfn.XLOOKUP(Table26[[#This Row],[customerSKU]],customerSKU!G:G,customerSKU!N:N,"NOT FOUND",0,1))</f>
        <v>NOT FOUND</v>
      </c>
      <c r="T1799" s="20">
        <v>45783</v>
      </c>
      <c r="U1799" s="94">
        <v>12</v>
      </c>
      <c r="V1799" s="22" t="str">
        <f>IF(ISBLANK(Table26[[#This Row],[customerSKU]]),"",_xlfn.XLOOKUP(Table26[[#This Row],[customerSKU]],Table27[customer_SKU],Table27[case_size],"",0,1))</f>
        <v/>
      </c>
      <c r="W1799" s="117" t="str">
        <f t="shared" si="73"/>
        <v/>
      </c>
      <c r="X1799" s="22" t="str">
        <f t="shared" si="74"/>
        <v/>
      </c>
      <c r="Y1799" s="25" t="str">
        <f>IF(Table26[[#This Row],[customerSKU]]="","",_xlfn.XLOOKUP(Table26[[#This Row],[customerSKU]],Table27[customer_SKU],Table27[product_GTIN],"",0,1))</f>
        <v/>
      </c>
      <c r="Z1799" s="25" t="s">
        <v>3525</v>
      </c>
      <c r="AA1799" s="18" t="str" cm="1">
        <f t="array" ref="AA1799">IF(P1799="", "", _xlfn.XLOOKUP(P1799,#REF!,#REF!,NA,0,-1))</f>
        <v/>
      </c>
      <c r="AB1799" s="22"/>
      <c r="AC1799" s="55" t="s">
        <v>3598</v>
      </c>
      <c r="AD1799" s="55" t="str">
        <f>IF($AC1799="","",_xlfn.XLOOKUP($AC1799,'Client Info'!$C$2:$C$2497,'Client Info'!$D$2:$D$2497,"",0,1))</f>
        <v/>
      </c>
      <c r="AE1799" s="55" t="str">
        <f>IF($AC1799="","",_xlfn.XLOOKUP($AC1799,'Client Info'!$C$2:$C$2677,'Client Info'!$E$2:$E$2677,"",))</f>
        <v/>
      </c>
      <c r="AF1799" s="55" t="str">
        <f>IF($AC1799="","",_xlfn.XLOOKUP($AC1799,'Client Info'!$C$2:$C$2677,'Client Info'!$F$2:$F$2677,"",0,1))</f>
        <v/>
      </c>
      <c r="AG1799" s="55" t="s">
        <v>3598</v>
      </c>
      <c r="AH1799" s="26" t="str">
        <f>_xlfn.XLOOKUP(Table26[[#This Row],[customerSKU]],customerSKU!G:G,customerSKU!K:K,"NA",0,1)</f>
        <v>NA</v>
      </c>
      <c r="AI1799" s="43" t="str">
        <f>_xlfn.XLOOKUP(Table26[[#This Row],[customerSKU]],customerSKU!G:G,customerSKU!O:O,"not found",0,1)</f>
        <v>not found</v>
      </c>
      <c r="AJ1799" s="22" t="e">
        <f>Table26[[#This Row],[unitprice]]*Table26[[#This Row],[quantity_unit]]</f>
        <v>#VALUE!</v>
      </c>
      <c r="AK1799" s="227" t="e" cm="1">
        <f t="array" ref="AK17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0" spans="1:37" ht="24.6" customHeight="1">
      <c r="A1800" s="42">
        <v>449</v>
      </c>
      <c r="B1800" s="42" t="s">
        <v>3520</v>
      </c>
      <c r="C1800" s="53" t="s">
        <v>3488</v>
      </c>
      <c r="E1800" s="20"/>
      <c r="F18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0" s="93"/>
      <c r="I1800" s="203">
        <v>45816</v>
      </c>
      <c r="J1800" s="90" t="str">
        <f>IF(Table26[[#This Row],[customerSKU]]="","",_xlfn.XLOOKUP(Table26[[#This Row],[customerSKU]],customerSKU!G:G,customerSKU!A:A,"",0,1))</f>
        <v/>
      </c>
      <c r="K1800" s="232">
        <v>45817</v>
      </c>
      <c r="L1800" s="49" t="str">
        <f>IF(Table26[[#This Row],[customerSKU]]="","",_xlfn.XLOOKUP(Table26[[#This Row],[customerSKU]],customerSKU!G:G,customerSKU!B:B,"",0,1))</f>
        <v/>
      </c>
      <c r="M1800" s="22"/>
      <c r="N1800" s="15" t="str">
        <f>Table26[[#This Row],[po_number]]&amp;"-"&amp;Table26[[#This Row],[po_line]]</f>
        <v>-2</v>
      </c>
      <c r="O1800" s="15">
        <v>2</v>
      </c>
      <c r="P1800" s="50"/>
      <c r="Q1800" s="22" t="s">
        <v>1807</v>
      </c>
      <c r="R1800" s="22" t="s">
        <v>532</v>
      </c>
      <c r="S1800" s="90" t="str">
        <f>IF(Table26[[#This Row],[customerSKU]]="","",_xlfn.XLOOKUP(Table26[[#This Row],[customerSKU]],customerSKU!G:G,customerSKU!N:N,"NOT FOUND",0,1))</f>
        <v>NOT FOUND</v>
      </c>
      <c r="T1800" s="20">
        <v>45804</v>
      </c>
      <c r="U1800" s="94">
        <v>24</v>
      </c>
      <c r="V1800" s="22" t="str">
        <f>IF(ISBLANK(Table26[[#This Row],[customerSKU]]),"",_xlfn.XLOOKUP(Table26[[#This Row],[customerSKU]],Table27[customer_SKU],Table27[case_size],"",0,1))</f>
        <v/>
      </c>
      <c r="W1800" s="117" t="str">
        <f t="shared" si="73"/>
        <v/>
      </c>
      <c r="X1800" s="22" t="str">
        <f t="shared" si="74"/>
        <v/>
      </c>
      <c r="Y1800" s="25" t="str">
        <f>IF(Table26[[#This Row],[customerSKU]]="","",_xlfn.XLOOKUP(Table26[[#This Row],[customerSKU]],Table27[customer_SKU],Table27[product_GTIN],"",0,1))</f>
        <v/>
      </c>
      <c r="Z1800" s="25" t="s">
        <v>3650</v>
      </c>
      <c r="AA1800" s="18" t="str" cm="1">
        <f t="array" ref="AA1800">IF(P1800="", "", _xlfn.XLOOKUP(P1800,#REF!,#REF!,NA,0,-1))</f>
        <v/>
      </c>
      <c r="AB1800" s="22"/>
      <c r="AC1800" s="55" t="s">
        <v>3598</v>
      </c>
      <c r="AD1800" s="55" t="str">
        <f>IF($AC1800="","",_xlfn.XLOOKUP($AC1800,'Client Info'!$C$2:$C$2497,'Client Info'!$D$2:$D$2497,"",0,1))</f>
        <v/>
      </c>
      <c r="AE1800" s="55" t="str">
        <f>IF($AC1800="","",_xlfn.XLOOKUP($AC1800,'Client Info'!$C$2:$C$2677,'Client Info'!$E$2:$E$2677,"",))</f>
        <v/>
      </c>
      <c r="AF1800" s="55" t="str">
        <f>IF($AC1800="","",_xlfn.XLOOKUP($AC1800,'Client Info'!$C$2:$C$2677,'Client Info'!$F$2:$F$2677,"",0,1))</f>
        <v/>
      </c>
      <c r="AG1800" s="55" t="s">
        <v>3598</v>
      </c>
      <c r="AH1800" s="26" t="str">
        <f>_xlfn.XLOOKUP(Table26[[#This Row],[customerSKU]],customerSKU!G:G,customerSKU!K:K,"NA",0,1)</f>
        <v>NA</v>
      </c>
      <c r="AI1800" s="43" t="str">
        <f>_xlfn.XLOOKUP(Table26[[#This Row],[customerSKU]],customerSKU!G:G,customerSKU!O:O,"not found",0,1)</f>
        <v>not found</v>
      </c>
      <c r="AJ1800" s="22" t="e">
        <f>Table26[[#This Row],[unitprice]]*Table26[[#This Row],[quantity_unit]]</f>
        <v>#VALUE!</v>
      </c>
      <c r="AK1800" s="227" t="e" cm="1">
        <f t="array" ref="AK18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1" spans="1:37" ht="24.6" customHeight="1">
      <c r="A1801" s="42">
        <v>450</v>
      </c>
      <c r="B1801" s="42" t="s">
        <v>3520</v>
      </c>
      <c r="C1801" s="53" t="s">
        <v>203</v>
      </c>
      <c r="E1801" s="20"/>
      <c r="F18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1" s="93"/>
      <c r="I1801" s="203">
        <v>45816</v>
      </c>
      <c r="J1801" s="90" t="str">
        <f>IF(Table26[[#This Row],[customerSKU]]="","",_xlfn.XLOOKUP(Table26[[#This Row],[customerSKU]],customerSKU!G:G,customerSKU!A:A,"",0,1))</f>
        <v/>
      </c>
      <c r="K1801" s="232">
        <v>45817</v>
      </c>
      <c r="L1801" s="49" t="str">
        <f>IF(Table26[[#This Row],[customerSKU]]="","",_xlfn.XLOOKUP(Table26[[#This Row],[customerSKU]],customerSKU!G:G,customerSKU!B:B,"",0,1))</f>
        <v/>
      </c>
      <c r="M1801" s="22"/>
      <c r="N1801" s="15" t="str">
        <f>Table26[[#This Row],[po_number]]&amp;"-"&amp;Table26[[#This Row],[po_line]]</f>
        <v>-3</v>
      </c>
      <c r="O1801" s="15">
        <v>3</v>
      </c>
      <c r="P1801" s="50"/>
      <c r="Q1801" s="22" t="s">
        <v>630</v>
      </c>
      <c r="R1801" s="22" t="s">
        <v>532</v>
      </c>
      <c r="S1801" s="90" t="str">
        <f>IF(Table26[[#This Row],[customerSKU]]="","",_xlfn.XLOOKUP(Table26[[#This Row],[customerSKU]],customerSKU!G:G,customerSKU!N:N,"NOT FOUND",0,1))</f>
        <v>NOT FOUND</v>
      </c>
      <c r="T1801" s="20">
        <v>45707</v>
      </c>
      <c r="U1801" s="94">
        <v>5</v>
      </c>
      <c r="V1801" s="22" t="str">
        <f>IF(ISBLANK(Table26[[#This Row],[customerSKU]]),"",_xlfn.XLOOKUP(Table26[[#This Row],[customerSKU]],Table27[customer_SKU],Table27[case_size],"",0,1))</f>
        <v/>
      </c>
      <c r="W1801" s="117" t="str">
        <f t="shared" si="73"/>
        <v/>
      </c>
      <c r="X1801" s="22" t="str">
        <f t="shared" si="74"/>
        <v/>
      </c>
      <c r="Y1801" s="25" t="str">
        <f>IF(Table26[[#This Row],[customerSKU]]="","",_xlfn.XLOOKUP(Table26[[#This Row],[customerSKU]],Table27[customer_SKU],Table27[product_GTIN],"",0,1))</f>
        <v/>
      </c>
      <c r="Z1801" s="25" t="s">
        <v>3651</v>
      </c>
      <c r="AA1801" s="18" t="str" cm="1">
        <f t="array" ref="AA1801">IF(P1801="", "", _xlfn.XLOOKUP(P1801,#REF!,#REF!,NA,0,-1))</f>
        <v/>
      </c>
      <c r="AB1801" s="22"/>
      <c r="AC1801" s="55" t="s">
        <v>3598</v>
      </c>
      <c r="AD1801" s="55" t="str">
        <f>IF($AC1801="","",_xlfn.XLOOKUP($AC1801,'Client Info'!$C$2:$C$2497,'Client Info'!$D$2:$D$2497,"",0,1))</f>
        <v/>
      </c>
      <c r="AE1801" s="55" t="str">
        <f>IF($AC1801="","",_xlfn.XLOOKUP($AC1801,'Client Info'!$C$2:$C$2677,'Client Info'!$E$2:$E$2677,"",))</f>
        <v/>
      </c>
      <c r="AF1801" s="55" t="str">
        <f>IF($AC1801="","",_xlfn.XLOOKUP($AC1801,'Client Info'!$C$2:$C$2677,'Client Info'!$F$2:$F$2677,"",0,1))</f>
        <v/>
      </c>
      <c r="AG1801" s="55" t="s">
        <v>3598</v>
      </c>
      <c r="AH1801" s="26" t="str">
        <f>_xlfn.XLOOKUP(Table26[[#This Row],[customerSKU]],customerSKU!G:G,customerSKU!K:K,"NA",0,1)</f>
        <v>NA</v>
      </c>
      <c r="AI1801" s="43" t="str">
        <f>_xlfn.XLOOKUP(Table26[[#This Row],[customerSKU]],customerSKU!G:G,customerSKU!O:O,"not found",0,1)</f>
        <v>not found</v>
      </c>
      <c r="AJ1801" s="22" t="e">
        <f>Table26[[#This Row],[unitprice]]*Table26[[#This Row],[quantity_unit]]</f>
        <v>#VALUE!</v>
      </c>
      <c r="AK1801" s="227" t="e" cm="1">
        <f t="array" ref="AK18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2" spans="1:37" ht="24.6" customHeight="1">
      <c r="A1802" s="42">
        <v>451</v>
      </c>
      <c r="B1802" s="42" t="s">
        <v>3520</v>
      </c>
      <c r="C1802" s="53" t="s">
        <v>203</v>
      </c>
      <c r="E1802" s="20"/>
      <c r="F18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2" s="93"/>
      <c r="I1802" s="203">
        <v>45816</v>
      </c>
      <c r="J1802" s="90" t="str">
        <f>IF(Table26[[#This Row],[customerSKU]]="","",_xlfn.XLOOKUP(Table26[[#This Row],[customerSKU]],customerSKU!G:G,customerSKU!A:A,"",0,1))</f>
        <v/>
      </c>
      <c r="K1802" s="232">
        <v>45817</v>
      </c>
      <c r="L1802" s="49" t="str">
        <f>IF(Table26[[#This Row],[customerSKU]]="","",_xlfn.XLOOKUP(Table26[[#This Row],[customerSKU]],customerSKU!G:G,customerSKU!B:B,"",0,1))</f>
        <v/>
      </c>
      <c r="M1802" s="22"/>
      <c r="N1802" s="15" t="str">
        <f>Table26[[#This Row],[po_number]]&amp;"-"&amp;Table26[[#This Row],[po_line]]</f>
        <v>-4</v>
      </c>
      <c r="O1802" s="15">
        <v>4</v>
      </c>
      <c r="P1802" s="50"/>
      <c r="Q1802" s="22" t="s">
        <v>3502</v>
      </c>
      <c r="R1802" s="22" t="s">
        <v>532</v>
      </c>
      <c r="S1802" s="90" t="str">
        <f>IF(Table26[[#This Row],[customerSKU]]="","",_xlfn.XLOOKUP(Table26[[#This Row],[customerSKU]],customerSKU!G:G,customerSKU!N:N,"NOT FOUND",0,1))</f>
        <v>NOT FOUND</v>
      </c>
      <c r="T1802" s="20">
        <v>45770</v>
      </c>
      <c r="U1802" s="94">
        <v>9</v>
      </c>
      <c r="V1802" s="22" t="str">
        <f>IF(ISBLANK(Table26[[#This Row],[customerSKU]]),"",_xlfn.XLOOKUP(Table26[[#This Row],[customerSKU]],Table27[customer_SKU],Table27[case_size],"",0,1))</f>
        <v/>
      </c>
      <c r="W1802" s="117" t="str">
        <f t="shared" si="73"/>
        <v/>
      </c>
      <c r="X1802" s="22" t="str">
        <f t="shared" si="74"/>
        <v/>
      </c>
      <c r="Y1802" s="25" t="str">
        <f>IF(Table26[[#This Row],[customerSKU]]="","",_xlfn.XLOOKUP(Table26[[#This Row],[customerSKU]],Table27[customer_SKU],Table27[product_GTIN],"",0,1))</f>
        <v/>
      </c>
      <c r="Z1802" s="25" t="s">
        <v>3651</v>
      </c>
      <c r="AA1802" s="18" t="str" cm="1">
        <f t="array" ref="AA1802">IF(P1802="", "", _xlfn.XLOOKUP(P1802,#REF!,#REF!,NA,0,-1))</f>
        <v/>
      </c>
      <c r="AB1802" s="22"/>
      <c r="AC1802" s="55" t="s">
        <v>3598</v>
      </c>
      <c r="AD1802" s="55" t="str">
        <f>IF($AC1802="","",_xlfn.XLOOKUP($AC1802,'Client Info'!$C$2:$C$2497,'Client Info'!$D$2:$D$2497,"",0,1))</f>
        <v/>
      </c>
      <c r="AE1802" s="55" t="str">
        <f>IF($AC1802="","",_xlfn.XLOOKUP($AC1802,'Client Info'!$C$2:$C$2677,'Client Info'!$E$2:$E$2677,"",))</f>
        <v/>
      </c>
      <c r="AF1802" s="55" t="str">
        <f>IF($AC1802="","",_xlfn.XLOOKUP($AC1802,'Client Info'!$C$2:$C$2677,'Client Info'!$F$2:$F$2677,"",0,1))</f>
        <v/>
      </c>
      <c r="AG1802" s="55" t="s">
        <v>3598</v>
      </c>
      <c r="AH1802" s="26" t="str">
        <f>_xlfn.XLOOKUP(Table26[[#This Row],[customerSKU]],customerSKU!G:G,customerSKU!K:K,"NA",0,1)</f>
        <v>NA</v>
      </c>
      <c r="AI1802" s="43" t="str">
        <f>_xlfn.XLOOKUP(Table26[[#This Row],[customerSKU]],customerSKU!G:G,customerSKU!O:O,"not found",0,1)</f>
        <v>not found</v>
      </c>
      <c r="AJ1802" s="22" t="e">
        <f>Table26[[#This Row],[unitprice]]*Table26[[#This Row],[quantity_unit]]</f>
        <v>#VALUE!</v>
      </c>
      <c r="AK1802" s="227" t="e" cm="1">
        <f t="array" ref="AK18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3" spans="1:37" ht="24.6" customHeight="1">
      <c r="A1803" s="42">
        <v>452</v>
      </c>
      <c r="B1803" s="42" t="s">
        <v>3520</v>
      </c>
      <c r="C1803" s="53" t="s">
        <v>203</v>
      </c>
      <c r="E1803" s="20"/>
      <c r="F18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3" s="93"/>
      <c r="I1803" s="203">
        <v>45816</v>
      </c>
      <c r="J1803" s="90" t="str">
        <f>IF(Table26[[#This Row],[customerSKU]]="","",_xlfn.XLOOKUP(Table26[[#This Row],[customerSKU]],customerSKU!G:G,customerSKU!A:A,"",0,1))</f>
        <v/>
      </c>
      <c r="K1803" s="232">
        <v>45817</v>
      </c>
      <c r="L1803" s="49" t="str">
        <f>IF(Table26[[#This Row],[customerSKU]]="","",_xlfn.XLOOKUP(Table26[[#This Row],[customerSKU]],customerSKU!G:G,customerSKU!B:B,"",0,1))</f>
        <v/>
      </c>
      <c r="M1803" s="22"/>
      <c r="N1803" s="15" t="str">
        <f>Table26[[#This Row],[po_number]]&amp;"-"&amp;Table26[[#This Row],[po_line]]</f>
        <v>-5</v>
      </c>
      <c r="O1803" s="15">
        <v>5</v>
      </c>
      <c r="P1803" s="50"/>
      <c r="Q1803" s="22" t="s">
        <v>1783</v>
      </c>
      <c r="R1803" s="22" t="s">
        <v>532</v>
      </c>
      <c r="S1803" s="90" t="str">
        <f>IF(Table26[[#This Row],[customerSKU]]="","",_xlfn.XLOOKUP(Table26[[#This Row],[customerSKU]],customerSKU!G:G,customerSKU!N:N,"NOT FOUND",0,1))</f>
        <v>NOT FOUND</v>
      </c>
      <c r="T1803" s="20">
        <v>45800</v>
      </c>
      <c r="U1803" s="94">
        <v>10</v>
      </c>
      <c r="V1803" s="22" t="str">
        <f>IF(ISBLANK(Table26[[#This Row],[customerSKU]]),"",_xlfn.XLOOKUP(Table26[[#This Row],[customerSKU]],Table27[customer_SKU],Table27[case_size],"",0,1))</f>
        <v/>
      </c>
      <c r="W1803" s="117" t="str">
        <f t="shared" ref="W1803:W1866" si="75">IFERROR(U1803/V1803, "")</f>
        <v/>
      </c>
      <c r="X1803" s="22" t="str">
        <f t="shared" si="74"/>
        <v/>
      </c>
      <c r="Y1803" s="25" t="str">
        <f>IF(Table26[[#This Row],[customerSKU]]="","",_xlfn.XLOOKUP(Table26[[#This Row],[customerSKU]],Table27[customer_SKU],Table27[product_GTIN],"",0,1))</f>
        <v/>
      </c>
      <c r="Z1803" s="25" t="s">
        <v>3651</v>
      </c>
      <c r="AA1803" s="18" t="str" cm="1">
        <f t="array" ref="AA1803">IF(P1803="", "", _xlfn.XLOOKUP(P1803,#REF!,#REF!,NA,0,-1))</f>
        <v/>
      </c>
      <c r="AB1803" s="22"/>
      <c r="AC1803" s="55" t="s">
        <v>3598</v>
      </c>
      <c r="AD1803" s="55" t="str">
        <f>IF($AC1803="","",_xlfn.XLOOKUP($AC1803,'Client Info'!$C$2:$C$2497,'Client Info'!$D$2:$D$2497,"",0,1))</f>
        <v/>
      </c>
      <c r="AE1803" s="55" t="str">
        <f>IF($AC1803="","",_xlfn.XLOOKUP($AC1803,'Client Info'!$C$2:$C$2677,'Client Info'!$E$2:$E$2677,"",))</f>
        <v/>
      </c>
      <c r="AF1803" s="55" t="str">
        <f>IF($AC1803="","",_xlfn.XLOOKUP($AC1803,'Client Info'!$C$2:$C$2677,'Client Info'!$F$2:$F$2677,"",0,1))</f>
        <v/>
      </c>
      <c r="AG1803" s="55" t="s">
        <v>3598</v>
      </c>
      <c r="AH1803" s="26" t="str">
        <f>_xlfn.XLOOKUP(Table26[[#This Row],[customerSKU]],customerSKU!G:G,customerSKU!K:K,"NA",0,1)</f>
        <v>NA</v>
      </c>
      <c r="AI1803" s="43" t="str">
        <f>_xlfn.XLOOKUP(Table26[[#This Row],[customerSKU]],customerSKU!G:G,customerSKU!O:O,"not found",0,1)</f>
        <v>not found</v>
      </c>
      <c r="AJ1803" s="22" t="e">
        <f>Table26[[#This Row],[unitprice]]*Table26[[#This Row],[quantity_unit]]</f>
        <v>#VALUE!</v>
      </c>
      <c r="AK1803" s="227" t="e" cm="1">
        <f t="array" ref="AK18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4" spans="1:37" ht="18" customHeight="1">
      <c r="A1804" s="42">
        <v>453</v>
      </c>
      <c r="B1804" s="42" t="s">
        <v>3520</v>
      </c>
      <c r="C1804" s="53" t="s">
        <v>3488</v>
      </c>
      <c r="E1804" s="20"/>
      <c r="F18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4" s="93"/>
      <c r="I1804" s="203">
        <v>45816</v>
      </c>
      <c r="J1804" s="90" t="str">
        <f>IF(Table26[[#This Row],[customerSKU]]="","",_xlfn.XLOOKUP(Table26[[#This Row],[customerSKU]],customerSKU!G:G,customerSKU!A:A,"",0,1))</f>
        <v/>
      </c>
      <c r="K1804" s="232">
        <v>45817</v>
      </c>
      <c r="L1804" s="49" t="str">
        <f>IF(Table26[[#This Row],[customerSKU]]="","",_xlfn.XLOOKUP(Table26[[#This Row],[customerSKU]],customerSKU!G:G,customerSKU!B:B,"",0,1))</f>
        <v/>
      </c>
      <c r="M1804" s="22"/>
      <c r="N1804" s="15" t="str">
        <f>Table26[[#This Row],[po_number]]&amp;"-"&amp;Table26[[#This Row],[po_line]]</f>
        <v>-6</v>
      </c>
      <c r="O1804" s="15">
        <v>6</v>
      </c>
      <c r="P1804" s="50"/>
      <c r="Q1804" s="22" t="s">
        <v>1312</v>
      </c>
      <c r="R1804" s="22" t="s">
        <v>532</v>
      </c>
      <c r="S1804" s="90" t="str">
        <f>IF(Table26[[#This Row],[customerSKU]]="","",_xlfn.XLOOKUP(Table26[[#This Row],[customerSKU]],customerSKU!G:G,customerSKU!N:N,"NOT FOUND",0,1))</f>
        <v>NOT FOUND</v>
      </c>
      <c r="T1804" s="20">
        <v>45660</v>
      </c>
      <c r="U1804" s="94">
        <v>24</v>
      </c>
      <c r="V1804" s="22" t="str">
        <f>IF(ISBLANK(Table26[[#This Row],[customerSKU]]),"",_xlfn.XLOOKUP(Table26[[#This Row],[customerSKU]],Table27[customer_SKU],Table27[case_size],"",0,1))</f>
        <v/>
      </c>
      <c r="W1804" s="117" t="str">
        <f t="shared" si="75"/>
        <v/>
      </c>
      <c r="X1804" s="22" t="str">
        <f t="shared" si="74"/>
        <v/>
      </c>
      <c r="Y1804" s="25" t="str">
        <f>IF(Table26[[#This Row],[customerSKU]]="","",_xlfn.XLOOKUP(Table26[[#This Row],[customerSKU]],Table27[customer_SKU],Table27[product_GTIN],"",0,1))</f>
        <v/>
      </c>
      <c r="Z1804" s="25" t="s">
        <v>3605</v>
      </c>
      <c r="AA1804" s="18" t="str" cm="1">
        <f t="array" ref="AA1804">IF(P1804="", "", _xlfn.XLOOKUP(P1804,#REF!,#REF!,NA,0,-1))</f>
        <v/>
      </c>
      <c r="AB1804" s="22"/>
      <c r="AC1804" s="55" t="s">
        <v>3598</v>
      </c>
      <c r="AD1804" s="55" t="str">
        <f>IF($AC1804="","",_xlfn.XLOOKUP($AC1804,'Client Info'!$C$2:$C$2497,'Client Info'!$D$2:$D$2497,"",0,1))</f>
        <v/>
      </c>
      <c r="AE1804" s="55" t="str">
        <f>IF($AC1804="","",_xlfn.XLOOKUP($AC1804,'Client Info'!$C$2:$C$2677,'Client Info'!$E$2:$E$2677,"",))</f>
        <v/>
      </c>
      <c r="AF1804" s="55" t="str">
        <f>IF($AC1804="","",_xlfn.XLOOKUP($AC1804,'Client Info'!$C$2:$C$2677,'Client Info'!$F$2:$F$2677,"",0,1))</f>
        <v/>
      </c>
      <c r="AG1804" s="55" t="s">
        <v>3598</v>
      </c>
      <c r="AH1804" s="26" t="str">
        <f>_xlfn.XLOOKUP(Table26[[#This Row],[customerSKU]],customerSKU!G:G,customerSKU!K:K,"NA",0,1)</f>
        <v>NA</v>
      </c>
      <c r="AI1804" s="43" t="str">
        <f>_xlfn.XLOOKUP(Table26[[#This Row],[customerSKU]],customerSKU!G:G,customerSKU!O:O,"not found",0,1)</f>
        <v>not found</v>
      </c>
      <c r="AJ1804" s="22" t="e">
        <f>Table26[[#This Row],[unitprice]]*Table26[[#This Row],[quantity_unit]]</f>
        <v>#VALUE!</v>
      </c>
      <c r="AK1804" s="227" t="e" cm="1">
        <f t="array" ref="AK18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5" spans="1:37" ht="18" customHeight="1">
      <c r="A1805" s="42">
        <v>454</v>
      </c>
      <c r="B1805" s="42" t="s">
        <v>3520</v>
      </c>
      <c r="C1805" s="53" t="s">
        <v>3488</v>
      </c>
      <c r="E1805" s="20"/>
      <c r="F18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5" s="93"/>
      <c r="I1805" s="203">
        <v>45816</v>
      </c>
      <c r="J1805" s="90" t="str">
        <f>IF(Table26[[#This Row],[customerSKU]]="","",_xlfn.XLOOKUP(Table26[[#This Row],[customerSKU]],customerSKU!G:G,customerSKU!A:A,"",0,1))</f>
        <v/>
      </c>
      <c r="K1805" s="232">
        <v>45817</v>
      </c>
      <c r="L1805" s="49" t="str">
        <f>IF(Table26[[#This Row],[customerSKU]]="","",_xlfn.XLOOKUP(Table26[[#This Row],[customerSKU]],customerSKU!G:G,customerSKU!B:B,"",0,1))</f>
        <v/>
      </c>
      <c r="M1805" s="22"/>
      <c r="N1805" s="15" t="str">
        <f>Table26[[#This Row],[po_number]]&amp;"-"&amp;Table26[[#This Row],[po_line]]</f>
        <v>-7</v>
      </c>
      <c r="O1805" s="15">
        <v>7</v>
      </c>
      <c r="P1805" s="50"/>
      <c r="Q1805" s="22" t="s">
        <v>574</v>
      </c>
      <c r="R1805" s="22" t="s">
        <v>532</v>
      </c>
      <c r="S1805" s="90" t="str">
        <f>IF(Table26[[#This Row],[customerSKU]]="","",_xlfn.XLOOKUP(Table26[[#This Row],[customerSKU]],customerSKU!G:G,customerSKU!N:N,"NOT FOUND",0,1))</f>
        <v>NOT FOUND</v>
      </c>
      <c r="T1805" s="20">
        <v>45799</v>
      </c>
      <c r="U1805" s="94">
        <v>36</v>
      </c>
      <c r="V1805" s="22" t="str">
        <f>IF(ISBLANK(Table26[[#This Row],[customerSKU]]),"",_xlfn.XLOOKUP(Table26[[#This Row],[customerSKU]],Table27[customer_SKU],Table27[case_size],"",0,1))</f>
        <v/>
      </c>
      <c r="W1805" s="117" t="str">
        <f t="shared" si="75"/>
        <v/>
      </c>
      <c r="X1805" s="22" t="str">
        <f t="shared" si="74"/>
        <v/>
      </c>
      <c r="Y1805" s="25" t="str">
        <f>IF(Table26[[#This Row],[customerSKU]]="","",_xlfn.XLOOKUP(Table26[[#This Row],[customerSKU]],Table27[customer_SKU],Table27[product_GTIN],"",0,1))</f>
        <v/>
      </c>
      <c r="Z1805" s="25" t="s">
        <v>3530</v>
      </c>
      <c r="AA1805" s="18" t="str" cm="1">
        <f t="array" ref="AA1805">IF(P1805="", "", _xlfn.XLOOKUP(P1805,#REF!,#REF!,NA,0,-1))</f>
        <v/>
      </c>
      <c r="AB1805" s="22"/>
      <c r="AC1805" s="55" t="s">
        <v>3598</v>
      </c>
      <c r="AD1805" s="55" t="str">
        <f>IF($AC1805="","",_xlfn.XLOOKUP($AC1805,'Client Info'!$C$2:$C$2497,'Client Info'!$D$2:$D$2497,"",0,1))</f>
        <v/>
      </c>
      <c r="AE1805" s="55" t="str">
        <f>IF($AC1805="","",_xlfn.XLOOKUP($AC1805,'Client Info'!$C$2:$C$2677,'Client Info'!$E$2:$E$2677,"",))</f>
        <v/>
      </c>
      <c r="AF1805" s="55" t="str">
        <f>IF($AC1805="","",_xlfn.XLOOKUP($AC1805,'Client Info'!$C$2:$C$2677,'Client Info'!$F$2:$F$2677,"",0,1))</f>
        <v/>
      </c>
      <c r="AG1805" s="55" t="s">
        <v>3598</v>
      </c>
      <c r="AH1805" s="26" t="str">
        <f>_xlfn.XLOOKUP(Table26[[#This Row],[customerSKU]],customerSKU!G:G,customerSKU!K:K,"NA",0,1)</f>
        <v>NA</v>
      </c>
      <c r="AI1805" s="43" t="str">
        <f>_xlfn.XLOOKUP(Table26[[#This Row],[customerSKU]],customerSKU!G:G,customerSKU!O:O,"not found",0,1)</f>
        <v>not found</v>
      </c>
      <c r="AJ1805" s="22" t="e">
        <f>Table26[[#This Row],[unitprice]]*Table26[[#This Row],[quantity_unit]]</f>
        <v>#VALUE!</v>
      </c>
      <c r="AK1805" s="227" t="e" cm="1">
        <f t="array" ref="AK18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6" spans="1:37" ht="18" customHeight="1">
      <c r="A1806" s="42">
        <v>455</v>
      </c>
      <c r="B1806" s="42" t="s">
        <v>3520</v>
      </c>
      <c r="C1806" s="53" t="s">
        <v>3488</v>
      </c>
      <c r="E1806" s="20"/>
      <c r="F18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6" s="93"/>
      <c r="I1806" s="203">
        <v>45816</v>
      </c>
      <c r="J1806" s="90" t="str">
        <f>IF(Table26[[#This Row],[customerSKU]]="","",_xlfn.XLOOKUP(Table26[[#This Row],[customerSKU]],customerSKU!G:G,customerSKU!A:A,"",0,1))</f>
        <v/>
      </c>
      <c r="K1806" s="232">
        <v>45817</v>
      </c>
      <c r="L1806" s="49" t="str">
        <f>IF(Table26[[#This Row],[customerSKU]]="","",_xlfn.XLOOKUP(Table26[[#This Row],[customerSKU]],customerSKU!G:G,customerSKU!B:B,"",0,1))</f>
        <v/>
      </c>
      <c r="M1806" s="22"/>
      <c r="N1806" s="15" t="str">
        <f>Table26[[#This Row],[po_number]]&amp;"-"&amp;Table26[[#This Row],[po_line]]</f>
        <v>-8</v>
      </c>
      <c r="O1806" s="15">
        <v>8</v>
      </c>
      <c r="P1806" s="50"/>
      <c r="Q1806" s="22" t="s">
        <v>535</v>
      </c>
      <c r="R1806" s="22" t="s">
        <v>532</v>
      </c>
      <c r="S1806" s="90" t="str">
        <f>IF(Table26[[#This Row],[customerSKU]]="","",_xlfn.XLOOKUP(Table26[[#This Row],[customerSKU]],customerSKU!G:G,customerSKU!N:N,"NOT FOUND",0,1))</f>
        <v>NOT FOUND</v>
      </c>
      <c r="T1806" s="20">
        <v>45630</v>
      </c>
      <c r="U1806" s="94">
        <v>24</v>
      </c>
      <c r="V1806" s="22" t="str">
        <f>IF(ISBLANK(Table26[[#This Row],[customerSKU]]),"",_xlfn.XLOOKUP(Table26[[#This Row],[customerSKU]],Table27[customer_SKU],Table27[case_size],"",0,1))</f>
        <v/>
      </c>
      <c r="W1806" s="117" t="str">
        <f t="shared" si="75"/>
        <v/>
      </c>
      <c r="X1806" s="22" t="str">
        <f t="shared" si="74"/>
        <v/>
      </c>
      <c r="Y1806" s="25" t="str">
        <f>IF(Table26[[#This Row],[customerSKU]]="","",_xlfn.XLOOKUP(Table26[[#This Row],[customerSKU]],Table27[customer_SKU],Table27[product_GTIN],"",0,1))</f>
        <v/>
      </c>
      <c r="Z1806" s="25" t="s">
        <v>3652</v>
      </c>
      <c r="AA1806" s="18" t="str" cm="1">
        <f t="array" ref="AA1806">IF(P1806="", "", _xlfn.XLOOKUP(P1806,#REF!,#REF!,NA,0,-1))</f>
        <v/>
      </c>
      <c r="AB1806" s="22"/>
      <c r="AC1806" s="55" t="s">
        <v>3598</v>
      </c>
      <c r="AD1806" s="55" t="str">
        <f>IF($AC1806="","",_xlfn.XLOOKUP($AC1806,'Client Info'!$C$2:$C$2497,'Client Info'!$D$2:$D$2497,"",0,1))</f>
        <v/>
      </c>
      <c r="AE1806" s="55" t="str">
        <f>IF($AC1806="","",_xlfn.XLOOKUP($AC1806,'Client Info'!$C$2:$C$2677,'Client Info'!$E$2:$E$2677,"",))</f>
        <v/>
      </c>
      <c r="AF1806" s="55" t="str">
        <f>IF($AC1806="","",_xlfn.XLOOKUP($AC1806,'Client Info'!$C$2:$C$2677,'Client Info'!$F$2:$F$2677,"",0,1))</f>
        <v/>
      </c>
      <c r="AG1806" s="55" t="s">
        <v>3598</v>
      </c>
      <c r="AH1806" s="26" t="str">
        <f>_xlfn.XLOOKUP(Table26[[#This Row],[customerSKU]],customerSKU!G:G,customerSKU!K:K,"NA",0,1)</f>
        <v>NA</v>
      </c>
      <c r="AI1806" s="43" t="str">
        <f>_xlfn.XLOOKUP(Table26[[#This Row],[customerSKU]],customerSKU!G:G,customerSKU!O:O,"not found",0,1)</f>
        <v>not found</v>
      </c>
      <c r="AJ1806" s="22" t="e">
        <f>Table26[[#This Row],[unitprice]]*Table26[[#This Row],[quantity_unit]]</f>
        <v>#VALUE!</v>
      </c>
      <c r="AK1806" s="227" t="e" cm="1">
        <f t="array" ref="AK18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7" spans="1:37" ht="18" customHeight="1">
      <c r="A1807" s="42">
        <v>456</v>
      </c>
      <c r="B1807" s="42" t="s">
        <v>3520</v>
      </c>
      <c r="C1807" s="53" t="s">
        <v>3488</v>
      </c>
      <c r="E1807" s="20"/>
      <c r="F18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7" s="93"/>
      <c r="I1807" s="19">
        <v>45817</v>
      </c>
      <c r="J1807" s="90" t="str">
        <f>IF(Table26[[#This Row],[customerSKU]]="","",_xlfn.XLOOKUP(Table26[[#This Row],[customerSKU]],customerSKU!G:G,customerSKU!A:A,"",0,1))</f>
        <v/>
      </c>
      <c r="K1807" s="232">
        <v>45817</v>
      </c>
      <c r="L1807" s="49" t="str">
        <f>IF(Table26[[#This Row],[customerSKU]]="","",_xlfn.XLOOKUP(Table26[[#This Row],[customerSKU]],customerSKU!G:G,customerSKU!B:B,"",0,1))</f>
        <v/>
      </c>
      <c r="M1807" s="22"/>
      <c r="N1807" s="15" t="str">
        <f>Table26[[#This Row],[po_number]]&amp;"-"&amp;Table26[[#This Row],[po_line]]</f>
        <v>-1</v>
      </c>
      <c r="O1807" s="15">
        <v>1</v>
      </c>
      <c r="P1807" s="50"/>
      <c r="Q1807" s="22" t="s">
        <v>582</v>
      </c>
      <c r="R1807" s="22" t="s">
        <v>532</v>
      </c>
      <c r="S1807" s="90" t="str">
        <f>IF(Table26[[#This Row],[customerSKU]]="","",_xlfn.XLOOKUP(Table26[[#This Row],[customerSKU]],customerSKU!G:G,customerSKU!N:N,"NOT FOUND",0,1))</f>
        <v>NOT FOUND</v>
      </c>
      <c r="T1807" s="20">
        <v>45778</v>
      </c>
      <c r="U1807" s="94">
        <v>12</v>
      </c>
      <c r="V1807" s="22" t="str">
        <f>IF(ISBLANK(Table26[[#This Row],[customerSKU]]),"",_xlfn.XLOOKUP(Table26[[#This Row],[customerSKU]],Table27[customer_SKU],Table27[case_size],"",0,1))</f>
        <v/>
      </c>
      <c r="W1807" s="117" t="str">
        <f t="shared" si="75"/>
        <v/>
      </c>
      <c r="X1807" s="22" t="str">
        <f t="shared" si="74"/>
        <v/>
      </c>
      <c r="Y1807" s="25" t="str">
        <f>IF(Table26[[#This Row],[customerSKU]]="","",_xlfn.XLOOKUP(Table26[[#This Row],[customerSKU]],Table27[customer_SKU],Table27[product_GTIN],"",0,1))</f>
        <v/>
      </c>
      <c r="Z1807" s="25" t="s">
        <v>3519</v>
      </c>
      <c r="AA1807" s="18" t="str" cm="1">
        <f t="array" ref="AA1807">IF(P1807="", "", _xlfn.XLOOKUP(P1807,#REF!,#REF!,NA,0,-1))</f>
        <v/>
      </c>
      <c r="AB1807" s="22"/>
      <c r="AC1807" s="55" t="s">
        <v>3653</v>
      </c>
      <c r="AD1807" s="55" t="str">
        <f>IF($AC1807="","",_xlfn.XLOOKUP($AC1807,'Client Info'!$C$2:$C$2497,'Client Info'!$D$2:$D$2497,"",0,1))</f>
        <v/>
      </c>
      <c r="AE1807" s="55" t="str">
        <f>IF($AC1807="","",_xlfn.XLOOKUP($AC1807,'Client Info'!$C$2:$C$2677,'Client Info'!$E$2:$E$2677,"",))</f>
        <v/>
      </c>
      <c r="AF1807" s="55" t="str">
        <f>IF($AC1807="","",_xlfn.XLOOKUP($AC1807,'Client Info'!$C$2:$C$2677,'Client Info'!$F$2:$F$2677,"",0,1))</f>
        <v/>
      </c>
      <c r="AG1807" s="55" t="s">
        <v>3653</v>
      </c>
      <c r="AH1807" s="26" t="str">
        <f>_xlfn.XLOOKUP(Table26[[#This Row],[customerSKU]],customerSKU!G:G,customerSKU!K:K,"NA",0,1)</f>
        <v>NA</v>
      </c>
      <c r="AI1807" s="43" t="str">
        <f>_xlfn.XLOOKUP(Table26[[#This Row],[customerSKU]],customerSKU!G:G,customerSKU!O:O,"not found",0,1)</f>
        <v>not found</v>
      </c>
      <c r="AJ1807" s="22" t="e">
        <f>Table26[[#This Row],[unitprice]]*Table26[[#This Row],[quantity_unit]]</f>
        <v>#VALUE!</v>
      </c>
      <c r="AK1807" s="227" t="e" cm="1">
        <f t="array" ref="AK18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8" spans="1:37" ht="18" customHeight="1">
      <c r="A1808" s="42">
        <v>457</v>
      </c>
      <c r="B1808" s="42" t="s">
        <v>3520</v>
      </c>
      <c r="C1808" s="53" t="s">
        <v>3488</v>
      </c>
      <c r="E1808" s="20"/>
      <c r="F18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8" s="93"/>
      <c r="I1808" s="19">
        <v>45817</v>
      </c>
      <c r="J1808" s="90" t="str">
        <f>IF(Table26[[#This Row],[customerSKU]]="","",_xlfn.XLOOKUP(Table26[[#This Row],[customerSKU]],customerSKU!G:G,customerSKU!A:A,"",0,1))</f>
        <v/>
      </c>
      <c r="K1808" s="232">
        <v>45817</v>
      </c>
      <c r="L1808" s="49" t="str">
        <f>IF(Table26[[#This Row],[customerSKU]]="","",_xlfn.XLOOKUP(Table26[[#This Row],[customerSKU]],customerSKU!G:G,customerSKU!B:B,"",0,1))</f>
        <v/>
      </c>
      <c r="M1808" s="22"/>
      <c r="N1808" s="15" t="str">
        <f>Table26[[#This Row],[po_number]]&amp;"-"&amp;Table26[[#This Row],[po_line]]</f>
        <v>-2</v>
      </c>
      <c r="O1808" s="15">
        <v>2</v>
      </c>
      <c r="P1808" s="50"/>
      <c r="Q1808" s="22" t="s">
        <v>587</v>
      </c>
      <c r="R1808" s="22" t="s">
        <v>532</v>
      </c>
      <c r="S1808" s="90" t="str">
        <f>IF(Table26[[#This Row],[customerSKU]]="","",_xlfn.XLOOKUP(Table26[[#This Row],[customerSKU]],customerSKU!G:G,customerSKU!N:N,"NOT FOUND",0,1))</f>
        <v>NOT FOUND</v>
      </c>
      <c r="T1808" s="20">
        <v>45742</v>
      </c>
      <c r="U1808" s="94">
        <v>12</v>
      </c>
      <c r="V1808" s="22" t="str">
        <f>IF(ISBLANK(Table26[[#This Row],[customerSKU]]),"",_xlfn.XLOOKUP(Table26[[#This Row],[customerSKU]],Table27[customer_SKU],Table27[case_size],"",0,1))</f>
        <v/>
      </c>
      <c r="W1808" s="117" t="str">
        <f t="shared" si="75"/>
        <v/>
      </c>
      <c r="X1808" s="22" t="str">
        <f t="shared" si="74"/>
        <v/>
      </c>
      <c r="Y1808" s="25" t="str">
        <f>IF(Table26[[#This Row],[customerSKU]]="","",_xlfn.XLOOKUP(Table26[[#This Row],[customerSKU]],Table27[customer_SKU],Table27[product_GTIN],"",0,1))</f>
        <v/>
      </c>
      <c r="Z1808" s="25" t="s">
        <v>3550</v>
      </c>
      <c r="AA1808" s="18" t="str" cm="1">
        <f t="array" ref="AA1808">IF(P1808="", "", _xlfn.XLOOKUP(P1808,#REF!,#REF!,NA,0,-1))</f>
        <v/>
      </c>
      <c r="AB1808" s="22"/>
      <c r="AC1808" s="55" t="s">
        <v>3653</v>
      </c>
      <c r="AD1808" s="55" t="str">
        <f>IF($AC1808="","",_xlfn.XLOOKUP($AC1808,'Client Info'!$C$2:$C$2497,'Client Info'!$D$2:$D$2497,"",0,1))</f>
        <v/>
      </c>
      <c r="AE1808" s="55" t="str">
        <f>IF($AC1808="","",_xlfn.XLOOKUP($AC1808,'Client Info'!$C$2:$C$2677,'Client Info'!$E$2:$E$2677,"",))</f>
        <v/>
      </c>
      <c r="AF1808" s="55" t="str">
        <f>IF($AC1808="","",_xlfn.XLOOKUP($AC1808,'Client Info'!$C$2:$C$2677,'Client Info'!$F$2:$F$2677,"",0,1))</f>
        <v/>
      </c>
      <c r="AG1808" s="55" t="s">
        <v>3653</v>
      </c>
      <c r="AH1808" s="26" t="str">
        <f>_xlfn.XLOOKUP(Table26[[#This Row],[customerSKU]],customerSKU!G:G,customerSKU!K:K,"NA",0,1)</f>
        <v>NA</v>
      </c>
      <c r="AI1808" s="43" t="str">
        <f>_xlfn.XLOOKUP(Table26[[#This Row],[customerSKU]],customerSKU!G:G,customerSKU!O:O,"not found",0,1)</f>
        <v>not found</v>
      </c>
      <c r="AJ1808" s="22" t="e">
        <f>Table26[[#This Row],[unitprice]]*Table26[[#This Row],[quantity_unit]]</f>
        <v>#VALUE!</v>
      </c>
      <c r="AK1808" s="227" t="e" cm="1">
        <f t="array" ref="AK18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09" spans="1:37" ht="18" customHeight="1">
      <c r="A1809" s="42">
        <v>458</v>
      </c>
      <c r="B1809" s="42" t="s">
        <v>3520</v>
      </c>
      <c r="C1809" s="53" t="s">
        <v>3488</v>
      </c>
      <c r="E1809" s="20"/>
      <c r="F18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09" s="93"/>
      <c r="I1809" s="19">
        <v>45817</v>
      </c>
      <c r="J1809" s="90" t="str">
        <f>IF(Table26[[#This Row],[customerSKU]]="","",_xlfn.XLOOKUP(Table26[[#This Row],[customerSKU]],customerSKU!G:G,customerSKU!A:A,"",0,1))</f>
        <v/>
      </c>
      <c r="K1809" s="232">
        <v>45817</v>
      </c>
      <c r="L1809" s="49" t="str">
        <f>IF(Table26[[#This Row],[customerSKU]]="","",_xlfn.XLOOKUP(Table26[[#This Row],[customerSKU]],customerSKU!G:G,customerSKU!B:B,"",0,1))</f>
        <v/>
      </c>
      <c r="M1809" s="22"/>
      <c r="N1809" s="15" t="str">
        <f>Table26[[#This Row],[po_number]]&amp;"-"&amp;Table26[[#This Row],[po_line]]</f>
        <v>-3</v>
      </c>
      <c r="O1809" s="15">
        <v>3</v>
      </c>
      <c r="P1809" s="50"/>
      <c r="Q1809" s="22" t="s">
        <v>543</v>
      </c>
      <c r="R1809" s="22" t="s">
        <v>532</v>
      </c>
      <c r="S1809" s="90" t="str">
        <f>IF(Table26[[#This Row],[customerSKU]]="","",_xlfn.XLOOKUP(Table26[[#This Row],[customerSKU]],customerSKU!G:G,customerSKU!N:N,"NOT FOUND",0,1))</f>
        <v>NOT FOUND</v>
      </c>
      <c r="T1809" s="20">
        <v>45793</v>
      </c>
      <c r="U1809" s="94">
        <v>12</v>
      </c>
      <c r="V1809" s="22" t="str">
        <f>IF(ISBLANK(Table26[[#This Row],[customerSKU]]),"",_xlfn.XLOOKUP(Table26[[#This Row],[customerSKU]],Table27[customer_SKU],Table27[case_size],"",0,1))</f>
        <v/>
      </c>
      <c r="W1809" s="117" t="str">
        <f t="shared" si="75"/>
        <v/>
      </c>
      <c r="X1809" s="22" t="str">
        <f t="shared" si="74"/>
        <v/>
      </c>
      <c r="Y1809" s="25" t="str">
        <f>IF(Table26[[#This Row],[customerSKU]]="","",_xlfn.XLOOKUP(Table26[[#This Row],[customerSKU]],Table27[customer_SKU],Table27[product_GTIN],"",0,1))</f>
        <v/>
      </c>
      <c r="Z1809" s="25" t="s">
        <v>3599</v>
      </c>
      <c r="AA1809" s="18" t="str" cm="1">
        <f t="array" ref="AA1809">IF(P1809="", "", _xlfn.XLOOKUP(P1809,#REF!,#REF!,NA,0,-1))</f>
        <v/>
      </c>
      <c r="AB1809" s="22"/>
      <c r="AC1809" s="55" t="s">
        <v>3653</v>
      </c>
      <c r="AD1809" s="55" t="str">
        <f>IF($AC1809="","",_xlfn.XLOOKUP($AC1809,'Client Info'!$C$2:$C$2497,'Client Info'!$D$2:$D$2497,"",0,1))</f>
        <v/>
      </c>
      <c r="AE1809" s="55" t="str">
        <f>IF($AC1809="","",_xlfn.XLOOKUP($AC1809,'Client Info'!$C$2:$C$2677,'Client Info'!$E$2:$E$2677,"",))</f>
        <v/>
      </c>
      <c r="AF1809" s="55" t="str">
        <f>IF($AC1809="","",_xlfn.XLOOKUP($AC1809,'Client Info'!$C$2:$C$2677,'Client Info'!$F$2:$F$2677,"",0,1))</f>
        <v/>
      </c>
      <c r="AG1809" s="55" t="s">
        <v>3653</v>
      </c>
      <c r="AH1809" s="26" t="str">
        <f>_xlfn.XLOOKUP(Table26[[#This Row],[customerSKU]],customerSKU!G:G,customerSKU!K:K,"NA",0,1)</f>
        <v>NA</v>
      </c>
      <c r="AI1809" s="43" t="str">
        <f>_xlfn.XLOOKUP(Table26[[#This Row],[customerSKU]],customerSKU!G:G,customerSKU!O:O,"not found",0,1)</f>
        <v>not found</v>
      </c>
      <c r="AJ1809" s="22" t="e">
        <f>Table26[[#This Row],[unitprice]]*Table26[[#This Row],[quantity_unit]]</f>
        <v>#VALUE!</v>
      </c>
      <c r="AK1809" s="227" t="e" cm="1">
        <f t="array" ref="AK18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0" spans="1:37" ht="18" customHeight="1">
      <c r="A1810" s="42">
        <v>459</v>
      </c>
      <c r="B1810" s="42" t="s">
        <v>3520</v>
      </c>
      <c r="C1810" s="53" t="s">
        <v>3488</v>
      </c>
      <c r="E1810" s="20"/>
      <c r="F18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0" s="93"/>
      <c r="I1810" s="19">
        <v>45817</v>
      </c>
      <c r="J1810" s="90" t="str">
        <f>IF(Table26[[#This Row],[customerSKU]]="","",_xlfn.XLOOKUP(Table26[[#This Row],[customerSKU]],customerSKU!G:G,customerSKU!A:A,"",0,1))</f>
        <v/>
      </c>
      <c r="K1810" s="232">
        <v>45817</v>
      </c>
      <c r="L1810" s="49" t="str">
        <f>IF(Table26[[#This Row],[customerSKU]]="","",_xlfn.XLOOKUP(Table26[[#This Row],[customerSKU]],customerSKU!G:G,customerSKU!B:B,"",0,1))</f>
        <v/>
      </c>
      <c r="M1810" s="22"/>
      <c r="N1810" s="15" t="str">
        <f>Table26[[#This Row],[po_number]]&amp;"-"&amp;Table26[[#This Row],[po_line]]</f>
        <v>-4</v>
      </c>
      <c r="O1810" s="15">
        <v>4</v>
      </c>
      <c r="P1810" s="50"/>
      <c r="Q1810" s="22" t="s">
        <v>559</v>
      </c>
      <c r="R1810" s="22" t="s">
        <v>532</v>
      </c>
      <c r="S1810" s="90" t="str">
        <f>IF(Table26[[#This Row],[customerSKU]]="","",_xlfn.XLOOKUP(Table26[[#This Row],[customerSKU]],customerSKU!G:G,customerSKU!N:N,"NOT FOUND",0,1))</f>
        <v>NOT FOUND</v>
      </c>
      <c r="T1810" s="20">
        <v>45772</v>
      </c>
      <c r="U1810" s="94">
        <v>24</v>
      </c>
      <c r="V1810" s="22" t="str">
        <f>IF(ISBLANK(Table26[[#This Row],[customerSKU]]),"",_xlfn.XLOOKUP(Table26[[#This Row],[customerSKU]],Table27[customer_SKU],Table27[case_size],"",0,1))</f>
        <v/>
      </c>
      <c r="W1810" s="117" t="str">
        <f t="shared" si="75"/>
        <v/>
      </c>
      <c r="X1810" s="22" t="str">
        <f t="shared" si="74"/>
        <v/>
      </c>
      <c r="Y1810" s="25" t="str">
        <f>IF(Table26[[#This Row],[customerSKU]]="","",_xlfn.XLOOKUP(Table26[[#This Row],[customerSKU]],Table27[customer_SKU],Table27[product_GTIN],"",0,1))</f>
        <v/>
      </c>
      <c r="Z1810" s="25" t="s">
        <v>3527</v>
      </c>
      <c r="AA1810" s="18" t="str" cm="1">
        <f t="array" ref="AA1810">IF(P1810="", "", _xlfn.XLOOKUP(P1810,#REF!,#REF!,NA,0,-1))</f>
        <v/>
      </c>
      <c r="AB1810" s="22"/>
      <c r="AC1810" s="55" t="s">
        <v>3653</v>
      </c>
      <c r="AD1810" s="55" t="str">
        <f>IF($AC1810="","",_xlfn.XLOOKUP($AC1810,'Client Info'!$C$2:$C$2497,'Client Info'!$D$2:$D$2497,"",0,1))</f>
        <v/>
      </c>
      <c r="AE1810" s="55" t="str">
        <f>IF($AC1810="","",_xlfn.XLOOKUP($AC1810,'Client Info'!$C$2:$C$2677,'Client Info'!$E$2:$E$2677,"",))</f>
        <v/>
      </c>
      <c r="AF1810" s="55" t="str">
        <f>IF($AC1810="","",_xlfn.XLOOKUP($AC1810,'Client Info'!$C$2:$C$2677,'Client Info'!$F$2:$F$2677,"",0,1))</f>
        <v/>
      </c>
      <c r="AG1810" s="55" t="s">
        <v>3653</v>
      </c>
      <c r="AH1810" s="26" t="str">
        <f>_xlfn.XLOOKUP(Table26[[#This Row],[customerSKU]],customerSKU!G:G,customerSKU!K:K,"NA",0,1)</f>
        <v>NA</v>
      </c>
      <c r="AI1810" s="43" t="str">
        <f>_xlfn.XLOOKUP(Table26[[#This Row],[customerSKU]],customerSKU!G:G,customerSKU!O:O,"not found",0,1)</f>
        <v>not found</v>
      </c>
      <c r="AJ1810" s="22" t="e">
        <f>Table26[[#This Row],[unitprice]]*Table26[[#This Row],[quantity_unit]]</f>
        <v>#VALUE!</v>
      </c>
      <c r="AK1810" s="227" t="e" cm="1">
        <f t="array" ref="AK18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1" spans="1:37" ht="18" customHeight="1">
      <c r="A1811" s="42">
        <v>460</v>
      </c>
      <c r="B1811" s="42" t="s">
        <v>3520</v>
      </c>
      <c r="C1811" s="53" t="s">
        <v>3360</v>
      </c>
      <c r="E1811" s="20"/>
      <c r="F18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1" s="93"/>
      <c r="I1811" s="19">
        <v>45817</v>
      </c>
      <c r="J1811" s="90" t="str">
        <f>IF(Table26[[#This Row],[customerSKU]]="","",_xlfn.XLOOKUP(Table26[[#This Row],[customerSKU]],customerSKU!G:G,customerSKU!A:A,"",0,1))</f>
        <v/>
      </c>
      <c r="K1811" s="232">
        <v>45817</v>
      </c>
      <c r="L1811" s="49" t="str">
        <f>IF(Table26[[#This Row],[customerSKU]]="","",_xlfn.XLOOKUP(Table26[[#This Row],[customerSKU]],customerSKU!G:G,customerSKU!B:B,"",0,1))</f>
        <v/>
      </c>
      <c r="M1811" s="22"/>
      <c r="N1811" s="15" t="str">
        <f>Table26[[#This Row],[po_number]]&amp;"-"&amp;Table26[[#This Row],[po_line]]</f>
        <v>-1</v>
      </c>
      <c r="O1811" s="15">
        <v>1</v>
      </c>
      <c r="P1811" s="50"/>
      <c r="S1811" s="90" t="str">
        <f>IF(Table26[[#This Row],[customerSKU]]="","",_xlfn.XLOOKUP(Table26[[#This Row],[customerSKU]],customerSKU!G:G,customerSKU!N:N,"NOT FOUND",0,1))</f>
        <v>NOT FOUND</v>
      </c>
      <c r="T1811" s="20"/>
      <c r="U1811" s="94">
        <v>12</v>
      </c>
      <c r="V1811" s="22" t="str">
        <f>IF(ISBLANK(Table26[[#This Row],[customerSKU]]),"",_xlfn.XLOOKUP(Table26[[#This Row],[customerSKU]],Table27[customer_SKU],Table27[case_size],"",0,1))</f>
        <v/>
      </c>
      <c r="W1811" s="117" t="str">
        <f t="shared" si="75"/>
        <v/>
      </c>
      <c r="X1811" s="22" t="str">
        <f t="shared" si="74"/>
        <v/>
      </c>
      <c r="Y1811" s="25" t="str">
        <f>IF(Table26[[#This Row],[customerSKU]]="","",_xlfn.XLOOKUP(Table26[[#This Row],[customerSKU]],Table27[customer_SKU],Table27[product_GTIN],"",0,1))</f>
        <v/>
      </c>
      <c r="Z1811" s="25" t="s">
        <v>3380</v>
      </c>
      <c r="AA1811" s="18" t="str" cm="1">
        <f t="array" ref="AA1811">IF(P1811="", "", _xlfn.XLOOKUP(P1811,#REF!,#REF!,NA,0,-1))</f>
        <v/>
      </c>
      <c r="AB1811" s="22"/>
      <c r="AC1811" s="55" t="str">
        <f>IF(Table26[[#This Row],[customerSKU]]="","",_xlfn.XLOOKUP(Table26[[#This Row],[customerSKU]],customerSKU!G:G,customerSKU!C:C,"",0,1))</f>
        <v/>
      </c>
      <c r="AD1811" s="55" t="str">
        <f>IF($AC1811="","",_xlfn.XLOOKUP($AC1811,'Client Info'!$C$2:$C$2497,'Client Info'!$D$2:$D$2497,"",0,1))</f>
        <v/>
      </c>
      <c r="AE1811" s="55" t="str">
        <f>IF($AC1811="","",_xlfn.XLOOKUP($AC1811,'Client Info'!$C$2:$C$2677,'Client Info'!$E$2:$E$2677,"",))</f>
        <v/>
      </c>
      <c r="AF1811" s="55" t="str">
        <f>IF($AC1811="","",_xlfn.XLOOKUP($AC1811,'Client Info'!$C$2:$C$2677,'Client Info'!$F$2:$F$2677,"",0,1))</f>
        <v/>
      </c>
      <c r="AG1811" s="55" t="str">
        <f>IF(ISBLANK(Table26[[#This Row],[customerSKU]]),"",_xlfn.XLOOKUP(Table26[[#This Row],[customerSKU]],Table27[customer_SKU],Table27[billto],"",0,1))</f>
        <v/>
      </c>
      <c r="AH1811" s="26" t="str">
        <f>_xlfn.XLOOKUP(Table26[[#This Row],[customerSKU]],customerSKU!G:G,customerSKU!K:K,"NA",0,1)</f>
        <v>NA</v>
      </c>
      <c r="AI1811" s="43" t="str">
        <f>_xlfn.XLOOKUP(Table26[[#This Row],[customerSKU]],customerSKU!G:G,customerSKU!O:O,"not found",0,1)</f>
        <v>not found</v>
      </c>
      <c r="AJ1811" s="22" t="e">
        <f>Table26[[#This Row],[unitprice]]*Table26[[#This Row],[quantity_unit]]</f>
        <v>#VALUE!</v>
      </c>
      <c r="AK1811" s="227" t="e" cm="1">
        <f t="array" ref="AK18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2" spans="1:37" ht="18" customHeight="1">
      <c r="A1812" s="42">
        <v>461</v>
      </c>
      <c r="B1812" s="42" t="s">
        <v>3520</v>
      </c>
      <c r="C1812" s="53" t="s">
        <v>3360</v>
      </c>
      <c r="E1812" s="20"/>
      <c r="F18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2" s="93"/>
      <c r="I1812" s="19">
        <v>45817</v>
      </c>
      <c r="J1812" s="90" t="str">
        <f>IF(Table26[[#This Row],[customerSKU]]="","",_xlfn.XLOOKUP(Table26[[#This Row],[customerSKU]],customerSKU!G:G,customerSKU!A:A,"",0,1))</f>
        <v/>
      </c>
      <c r="K1812" s="232">
        <v>45817</v>
      </c>
      <c r="L1812" s="49" t="str">
        <f>IF(Table26[[#This Row],[customerSKU]]="","",_xlfn.XLOOKUP(Table26[[#This Row],[customerSKU]],customerSKU!G:G,customerSKU!B:B,"",0,1))</f>
        <v/>
      </c>
      <c r="M1812" s="22"/>
      <c r="N1812" s="15" t="str">
        <f>Table26[[#This Row],[po_number]]&amp;"-"&amp;Table26[[#This Row],[po_line]]</f>
        <v>-1</v>
      </c>
      <c r="O1812" s="15">
        <v>1</v>
      </c>
      <c r="P1812" s="50"/>
      <c r="S1812" s="90" t="str">
        <f>IF(Table26[[#This Row],[customerSKU]]="","",_xlfn.XLOOKUP(Table26[[#This Row],[customerSKU]],customerSKU!G:G,customerSKU!N:N,"NOT FOUND",0,1))</f>
        <v>NOT FOUND</v>
      </c>
      <c r="T1812" s="20"/>
      <c r="U1812" s="94">
        <v>12</v>
      </c>
      <c r="V1812" s="22" t="str">
        <f>IF(ISBLANK(Table26[[#This Row],[customerSKU]]),"",_xlfn.XLOOKUP(Table26[[#This Row],[customerSKU]],Table27[customer_SKU],Table27[case_size],"",0,1))</f>
        <v/>
      </c>
      <c r="W1812" s="117" t="str">
        <f t="shared" si="75"/>
        <v/>
      </c>
      <c r="X1812" s="22" t="str">
        <f t="shared" si="74"/>
        <v/>
      </c>
      <c r="Y1812" s="25" t="str">
        <f>IF(Table26[[#This Row],[customerSKU]]="","",_xlfn.XLOOKUP(Table26[[#This Row],[customerSKU]],Table27[customer_SKU],Table27[product_GTIN],"",0,1))</f>
        <v/>
      </c>
      <c r="Z1812" s="25" t="s">
        <v>3654</v>
      </c>
      <c r="AA1812" s="18" t="str" cm="1">
        <f t="array" ref="AA1812">IF(P1812="", "", _xlfn.XLOOKUP(P1812,#REF!,#REF!,NA,0,-1))</f>
        <v/>
      </c>
      <c r="AB1812" s="22"/>
      <c r="AC1812" s="55" t="str">
        <f>IF(Table26[[#This Row],[customerSKU]]="","",_xlfn.XLOOKUP(Table26[[#This Row],[customerSKU]],customerSKU!G:G,customerSKU!C:C,"",0,1))</f>
        <v/>
      </c>
      <c r="AD1812" s="55" t="str">
        <f>IF($AC1812="","",_xlfn.XLOOKUP($AC1812,'Client Info'!$C$2:$C$2497,'Client Info'!$D$2:$D$2497,"",0,1))</f>
        <v/>
      </c>
      <c r="AE1812" s="55" t="str">
        <f>IF($AC1812="","",_xlfn.XLOOKUP($AC1812,'Client Info'!$C$2:$C$2677,'Client Info'!$E$2:$E$2677,"",))</f>
        <v/>
      </c>
      <c r="AF1812" s="55" t="str">
        <f>IF($AC1812="","",_xlfn.XLOOKUP($AC1812,'Client Info'!$C$2:$C$2677,'Client Info'!$F$2:$F$2677,"",0,1))</f>
        <v/>
      </c>
      <c r="AG1812" s="55" t="str">
        <f>IF(ISBLANK(Table26[[#This Row],[customerSKU]]),"",_xlfn.XLOOKUP(Table26[[#This Row],[customerSKU]],Table27[customer_SKU],Table27[billto],"",0,1))</f>
        <v/>
      </c>
      <c r="AH1812" s="26" t="str">
        <f>_xlfn.XLOOKUP(Table26[[#This Row],[customerSKU]],customerSKU!G:G,customerSKU!K:K,"NA",0,1)</f>
        <v>NA</v>
      </c>
      <c r="AI1812" s="43" t="str">
        <f>_xlfn.XLOOKUP(Table26[[#This Row],[customerSKU]],customerSKU!G:G,customerSKU!O:O,"not found",0,1)</f>
        <v>not found</v>
      </c>
      <c r="AJ1812" s="22" t="e">
        <f>Table26[[#This Row],[unitprice]]*Table26[[#This Row],[quantity_unit]]</f>
        <v>#VALUE!</v>
      </c>
      <c r="AK1812" s="227" t="e" cm="1">
        <f t="array" ref="AK18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3" spans="1:37" ht="18" customHeight="1">
      <c r="A1813" s="42">
        <v>462</v>
      </c>
      <c r="B1813" s="42" t="s">
        <v>3520</v>
      </c>
      <c r="C1813" s="53" t="s">
        <v>3360</v>
      </c>
      <c r="E1813" s="20"/>
      <c r="F18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3" s="93"/>
      <c r="I1813" s="19">
        <v>45817</v>
      </c>
      <c r="J1813" s="90" t="str">
        <f>IF(Table26[[#This Row],[customerSKU]]="","",_xlfn.XLOOKUP(Table26[[#This Row],[customerSKU]],customerSKU!G:G,customerSKU!A:A,"",0,1))</f>
        <v/>
      </c>
      <c r="K1813" s="232">
        <v>45817</v>
      </c>
      <c r="L1813" s="49" t="str">
        <f>IF(Table26[[#This Row],[customerSKU]]="","",_xlfn.XLOOKUP(Table26[[#This Row],[customerSKU]],customerSKU!G:G,customerSKU!B:B,"",0,1))</f>
        <v/>
      </c>
      <c r="M1813" s="22"/>
      <c r="N1813" s="15" t="str">
        <f>Table26[[#This Row],[po_number]]&amp;"-"&amp;Table26[[#This Row],[po_line]]</f>
        <v>-1</v>
      </c>
      <c r="O1813" s="15">
        <v>1</v>
      </c>
      <c r="P1813" s="50"/>
      <c r="S1813" s="90" t="str">
        <f>IF(Table26[[#This Row],[customerSKU]]="","",_xlfn.XLOOKUP(Table26[[#This Row],[customerSKU]],customerSKU!G:G,customerSKU!N:N,"NOT FOUND",0,1))</f>
        <v>NOT FOUND</v>
      </c>
      <c r="T1813" s="20"/>
      <c r="U1813" s="94">
        <v>12</v>
      </c>
      <c r="V1813" s="22" t="str">
        <f>IF(ISBLANK(Table26[[#This Row],[customerSKU]]),"",_xlfn.XLOOKUP(Table26[[#This Row],[customerSKU]],Table27[customer_SKU],Table27[case_size],"",0,1))</f>
        <v/>
      </c>
      <c r="W1813" s="117" t="str">
        <f t="shared" si="75"/>
        <v/>
      </c>
      <c r="X1813" s="22" t="str">
        <f t="shared" si="74"/>
        <v/>
      </c>
      <c r="Y1813" s="25" t="str">
        <f>IF(Table26[[#This Row],[customerSKU]]="","",_xlfn.XLOOKUP(Table26[[#This Row],[customerSKU]],Table27[customer_SKU],Table27[product_GTIN],"",0,1))</f>
        <v/>
      </c>
      <c r="Z1813" s="25" t="s">
        <v>3451</v>
      </c>
      <c r="AA1813" s="18" t="str" cm="1">
        <f t="array" ref="AA1813">IF(P1813="", "", _xlfn.XLOOKUP(P1813,#REF!,#REF!,NA,0,-1))</f>
        <v/>
      </c>
      <c r="AB1813" s="22"/>
      <c r="AC1813" s="55" t="str">
        <f>IF(Table26[[#This Row],[customerSKU]]="","",_xlfn.XLOOKUP(Table26[[#This Row],[customerSKU]],customerSKU!G:G,customerSKU!C:C,"",0,1))</f>
        <v/>
      </c>
      <c r="AD1813" s="55" t="str">
        <f>IF($AC1813="","",_xlfn.XLOOKUP($AC1813,'Client Info'!$C$2:$C$2497,'Client Info'!$D$2:$D$2497,"",0,1))</f>
        <v/>
      </c>
      <c r="AE1813" s="55" t="str">
        <f>IF($AC1813="","",_xlfn.XLOOKUP($AC1813,'Client Info'!$C$2:$C$2677,'Client Info'!$E$2:$E$2677,"",))</f>
        <v/>
      </c>
      <c r="AF1813" s="55" t="str">
        <f>IF($AC1813="","",_xlfn.XLOOKUP($AC1813,'Client Info'!$C$2:$C$2677,'Client Info'!$F$2:$F$2677,"",0,1))</f>
        <v/>
      </c>
      <c r="AG1813" s="55" t="str">
        <f>IF(ISBLANK(Table26[[#This Row],[customerSKU]]),"",_xlfn.XLOOKUP(Table26[[#This Row],[customerSKU]],Table27[customer_SKU],Table27[billto],"",0,1))</f>
        <v/>
      </c>
      <c r="AH1813" s="26" t="str">
        <f>_xlfn.XLOOKUP(Table26[[#This Row],[customerSKU]],customerSKU!G:G,customerSKU!K:K,"NA",0,1)</f>
        <v>NA</v>
      </c>
      <c r="AI1813" s="43" t="str">
        <f>_xlfn.XLOOKUP(Table26[[#This Row],[customerSKU]],customerSKU!G:G,customerSKU!O:O,"not found",0,1)</f>
        <v>not found</v>
      </c>
      <c r="AJ1813" s="22" t="e">
        <f>Table26[[#This Row],[unitprice]]*Table26[[#This Row],[quantity_unit]]</f>
        <v>#VALUE!</v>
      </c>
      <c r="AK1813" s="227" t="e" cm="1">
        <f t="array" ref="AK18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4" spans="1:37" ht="18" customHeight="1">
      <c r="A1814" s="42">
        <v>463</v>
      </c>
      <c r="B1814" s="42" t="s">
        <v>3520</v>
      </c>
      <c r="C1814" s="53" t="s">
        <v>3360</v>
      </c>
      <c r="E1814" s="20"/>
      <c r="F18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4" s="93"/>
      <c r="I1814" s="19">
        <v>45817</v>
      </c>
      <c r="J1814" s="90" t="str">
        <f>IF(Table26[[#This Row],[customerSKU]]="","",_xlfn.XLOOKUP(Table26[[#This Row],[customerSKU]],customerSKU!G:G,customerSKU!A:A,"",0,1))</f>
        <v/>
      </c>
      <c r="K1814" s="232">
        <v>45817</v>
      </c>
      <c r="L1814" s="49" t="str">
        <f>IF(Table26[[#This Row],[customerSKU]]="","",_xlfn.XLOOKUP(Table26[[#This Row],[customerSKU]],customerSKU!G:G,customerSKU!B:B,"",0,1))</f>
        <v/>
      </c>
      <c r="M1814" s="22"/>
      <c r="N1814" s="15" t="str">
        <f>Table26[[#This Row],[po_number]]&amp;"-"&amp;Table26[[#This Row],[po_line]]</f>
        <v>-2</v>
      </c>
      <c r="O1814" s="15">
        <v>2</v>
      </c>
      <c r="P1814" s="50"/>
      <c r="S1814" s="90" t="str">
        <f>IF(Table26[[#This Row],[customerSKU]]="","",_xlfn.XLOOKUP(Table26[[#This Row],[customerSKU]],customerSKU!G:G,customerSKU!N:N,"NOT FOUND",0,1))</f>
        <v>NOT FOUND</v>
      </c>
      <c r="T1814" s="20"/>
      <c r="U1814" s="94">
        <v>12</v>
      </c>
      <c r="V1814" s="22" t="str">
        <f>IF(ISBLANK(Table26[[#This Row],[customerSKU]]),"",_xlfn.XLOOKUP(Table26[[#This Row],[customerSKU]],Table27[customer_SKU],Table27[case_size],"",0,1))</f>
        <v/>
      </c>
      <c r="W1814" s="117" t="str">
        <f t="shared" si="75"/>
        <v/>
      </c>
      <c r="X1814" s="22" t="str">
        <f t="shared" si="74"/>
        <v/>
      </c>
      <c r="Y1814" s="25" t="str">
        <f>IF(Table26[[#This Row],[customerSKU]]="","",_xlfn.XLOOKUP(Table26[[#This Row],[customerSKU]],Table27[customer_SKU],Table27[product_GTIN],"",0,1))</f>
        <v/>
      </c>
      <c r="Z1814" s="25" t="s">
        <v>3546</v>
      </c>
      <c r="AA1814" s="18" t="str" cm="1">
        <f t="array" ref="AA1814">IF(P1814="", "", _xlfn.XLOOKUP(P1814,#REF!,#REF!,NA,0,-1))</f>
        <v/>
      </c>
      <c r="AB1814" s="22"/>
      <c r="AC1814" s="55" t="str">
        <f>IF(Table26[[#This Row],[customerSKU]]="","",_xlfn.XLOOKUP(Table26[[#This Row],[customerSKU]],customerSKU!G:G,customerSKU!C:C,"",0,1))</f>
        <v/>
      </c>
      <c r="AD1814" s="55" t="str">
        <f>IF($AC1814="","",_xlfn.XLOOKUP($AC1814,'Client Info'!$C$2:$C$2497,'Client Info'!$D$2:$D$2497,"",0,1))</f>
        <v/>
      </c>
      <c r="AE1814" s="55" t="str">
        <f>IF($AC1814="","",_xlfn.XLOOKUP($AC1814,'Client Info'!$C$2:$C$2677,'Client Info'!$E$2:$E$2677,"",))</f>
        <v/>
      </c>
      <c r="AF1814" s="55" t="str">
        <f>IF($AC1814="","",_xlfn.XLOOKUP($AC1814,'Client Info'!$C$2:$C$2677,'Client Info'!$F$2:$F$2677,"",0,1))</f>
        <v/>
      </c>
      <c r="AG1814" s="55" t="str">
        <f>IF(ISBLANK(Table26[[#This Row],[customerSKU]]),"",_xlfn.XLOOKUP(Table26[[#This Row],[customerSKU]],Table27[customer_SKU],Table27[billto],"",0,1))</f>
        <v/>
      </c>
      <c r="AH1814" s="26" t="str">
        <f>_xlfn.XLOOKUP(Table26[[#This Row],[customerSKU]],customerSKU!G:G,customerSKU!K:K,"NA",0,1)</f>
        <v>NA</v>
      </c>
      <c r="AI1814" s="43" t="str">
        <f>_xlfn.XLOOKUP(Table26[[#This Row],[customerSKU]],customerSKU!G:G,customerSKU!O:O,"not found",0,1)</f>
        <v>not found</v>
      </c>
      <c r="AJ1814" s="22" t="e">
        <f>Table26[[#This Row],[unitprice]]*Table26[[#This Row],[quantity_unit]]</f>
        <v>#VALUE!</v>
      </c>
      <c r="AK1814" s="227" t="e" cm="1">
        <f t="array" ref="AK18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5" spans="1:37" ht="18" customHeight="1">
      <c r="A1815" s="42">
        <v>428</v>
      </c>
      <c r="B1815" s="42" t="s">
        <v>3520</v>
      </c>
      <c r="C1815" s="53" t="s">
        <v>3427</v>
      </c>
      <c r="E1815" s="20"/>
      <c r="F18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5" s="93"/>
      <c r="I1815" s="203">
        <v>45813</v>
      </c>
      <c r="J1815" s="90" t="str">
        <f>IF(Table26[[#This Row],[customerSKU]]="","",_xlfn.XLOOKUP(Table26[[#This Row],[customerSKU]],customerSKU!G:G,customerSKU!A:A,"",0,1))</f>
        <v/>
      </c>
      <c r="K1815" s="232">
        <v>45818</v>
      </c>
      <c r="L1815" s="49" t="str">
        <f>IF(Table26[[#This Row],[customerSKU]]="","",_xlfn.XLOOKUP(Table26[[#This Row],[customerSKU]],customerSKU!G:G,customerSKU!B:B,"",0,1))</f>
        <v/>
      </c>
      <c r="M1815" s="22"/>
      <c r="N1815" s="15" t="str">
        <f>Table26[[#This Row],[po_number]]&amp;"-"&amp;Table26[[#This Row],[po_line]]</f>
        <v>-1</v>
      </c>
      <c r="O1815" s="15">
        <v>1</v>
      </c>
      <c r="P1815" s="50"/>
      <c r="Q1815" s="22" t="s">
        <v>1811</v>
      </c>
      <c r="R1815" s="22" t="s">
        <v>532</v>
      </c>
      <c r="S1815" s="90" t="str">
        <f>IF(Table26[[#This Row],[customerSKU]]="","",_xlfn.XLOOKUP(Table26[[#This Row],[customerSKU]],customerSKU!G:G,customerSKU!N:N,"NOT FOUND",0,1))</f>
        <v>NOT FOUND</v>
      </c>
      <c r="T1815" s="20">
        <v>45805</v>
      </c>
      <c r="U1815" s="94">
        <v>156</v>
      </c>
      <c r="V1815" s="22" t="str">
        <f>IF(ISBLANK(Table26[[#This Row],[customerSKU]]),"",_xlfn.XLOOKUP(Table26[[#This Row],[customerSKU]],Table27[customer_SKU],Table27[case_size],"",0,1))</f>
        <v/>
      </c>
      <c r="W1815" s="117" t="str">
        <f t="shared" si="75"/>
        <v/>
      </c>
      <c r="X1815" s="22" t="str">
        <f t="shared" si="74"/>
        <v/>
      </c>
      <c r="Y1815" s="25" t="str">
        <f>IF(Table26[[#This Row],[customerSKU]]="","",_xlfn.XLOOKUP(Table26[[#This Row],[customerSKU]],Table27[customer_SKU],Table27[product_GTIN],"",0,1))</f>
        <v/>
      </c>
      <c r="Z1815" s="25" t="s">
        <v>3529</v>
      </c>
      <c r="AA1815" s="18" t="str" cm="1">
        <f t="array" ref="AA1815">IF(P1815="", "", _xlfn.XLOOKUP(P1815,#REF!,#REF!,NA,0,-1))</f>
        <v/>
      </c>
      <c r="AB1815" s="22"/>
      <c r="AC1815" s="55" t="s">
        <v>165</v>
      </c>
      <c r="AD1815" s="55" t="str">
        <f>IF($AC1815="","",_xlfn.XLOOKUP($AC1815,'Client Info'!$C$2:$C$2497,'Client Info'!$D$2:$D$2497,"",0,1))</f>
        <v/>
      </c>
      <c r="AE1815" s="55" t="str">
        <f>IF($AC1815="","",_xlfn.XLOOKUP($AC1815,'Client Info'!$C$2:$C$2677,'Client Info'!$E$2:$E$2677,"",))</f>
        <v/>
      </c>
      <c r="AF1815" s="55" t="str">
        <f>IF($AC1815="","",_xlfn.XLOOKUP($AC1815,'Client Info'!$C$2:$C$2677,'Client Info'!$F$2:$F$2677,"",0,1))</f>
        <v/>
      </c>
      <c r="AG1815" s="55" t="s">
        <v>55</v>
      </c>
      <c r="AH1815" s="26" t="str">
        <f>_xlfn.XLOOKUP(Table26[[#This Row],[customerSKU]],customerSKU!G:G,customerSKU!K:K,"NA",0,1)</f>
        <v>NA</v>
      </c>
      <c r="AI1815" s="43" t="str">
        <f>_xlfn.XLOOKUP(Table26[[#This Row],[customerSKU]],customerSKU!G:G,customerSKU!O:O,"not found",0,1)</f>
        <v>not found</v>
      </c>
      <c r="AJ1815" s="22" t="e">
        <f>Table26[[#This Row],[unitprice]]*Table26[[#This Row],[quantity_unit]]</f>
        <v>#VALUE!</v>
      </c>
      <c r="AK1815" s="227" t="e" cm="1">
        <f t="array" ref="AK18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6" spans="1:37" ht="18" customHeight="1">
      <c r="A1816" s="42">
        <v>429</v>
      </c>
      <c r="B1816" s="42" t="s">
        <v>3520</v>
      </c>
      <c r="C1816" s="53" t="s">
        <v>3488</v>
      </c>
      <c r="E1816" s="20"/>
      <c r="F18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6" s="93"/>
      <c r="I1816" s="203">
        <v>45814</v>
      </c>
      <c r="J1816" s="90" t="str">
        <f>IF(Table26[[#This Row],[customerSKU]]="","",_xlfn.XLOOKUP(Table26[[#This Row],[customerSKU]],customerSKU!G:G,customerSKU!A:A,"",0,1))</f>
        <v/>
      </c>
      <c r="K1816" s="232">
        <v>45818</v>
      </c>
      <c r="L1816" s="49" t="str">
        <f>IF(Table26[[#This Row],[customerSKU]]="","",_xlfn.XLOOKUP(Table26[[#This Row],[customerSKU]],customerSKU!G:G,customerSKU!B:B,"",0,1))</f>
        <v/>
      </c>
      <c r="M1816" s="22"/>
      <c r="N1816" s="15" t="str">
        <f>Table26[[#This Row],[po_number]]&amp;"-"&amp;Table26[[#This Row],[po_line]]</f>
        <v>-1</v>
      </c>
      <c r="O1816" s="15">
        <v>1</v>
      </c>
      <c r="P1816" s="50"/>
      <c r="Q1816" s="22" t="s">
        <v>934</v>
      </c>
      <c r="R1816" s="22" t="s">
        <v>532</v>
      </c>
      <c r="S1816" s="90" t="str">
        <f>IF(Table26[[#This Row],[customerSKU]]="","",_xlfn.XLOOKUP(Table26[[#This Row],[customerSKU]],customerSKU!G:G,customerSKU!N:N,"NOT FOUND",0,1))</f>
        <v>NOT FOUND</v>
      </c>
      <c r="T1816" s="20">
        <v>45596</v>
      </c>
      <c r="U1816" s="94">
        <v>12</v>
      </c>
      <c r="V1816" s="22" t="str">
        <f>IF(ISBLANK(Table26[[#This Row],[customerSKU]]),"",_xlfn.XLOOKUP(Table26[[#This Row],[customerSKU]],Table27[customer_SKU],Table27[case_size],"",0,1))</f>
        <v/>
      </c>
      <c r="W1816" s="117" t="str">
        <f t="shared" si="75"/>
        <v/>
      </c>
      <c r="X1816" s="22" t="str">
        <f t="shared" si="74"/>
        <v/>
      </c>
      <c r="Y1816" s="25" t="str">
        <f>IF(Table26[[#This Row],[customerSKU]]="","",_xlfn.XLOOKUP(Table26[[#This Row],[customerSKU]],Table27[customer_SKU],Table27[product_GTIN],"",0,1))</f>
        <v/>
      </c>
      <c r="Z1816" s="25" t="s">
        <v>3543</v>
      </c>
      <c r="AA1816" s="18" t="str" cm="1">
        <f t="array" ref="AA1816">IF(P1816="", "", _xlfn.XLOOKUP(P1816,#REF!,#REF!,NA,0,-1))</f>
        <v/>
      </c>
      <c r="AB1816" s="22"/>
      <c r="AC1816" s="55" t="s">
        <v>3647</v>
      </c>
      <c r="AD1816" s="55" t="str">
        <f>IF($AC1816="","",_xlfn.XLOOKUP($AC1816,'Client Info'!$C$2:$C$2497,'Client Info'!$D$2:$D$2497,"",0,1))</f>
        <v/>
      </c>
      <c r="AE1816" s="55" t="str">
        <f>IF($AC1816="","",_xlfn.XLOOKUP($AC1816,'Client Info'!$C$2:$C$2677,'Client Info'!$E$2:$E$2677,"",))</f>
        <v/>
      </c>
      <c r="AF1816" s="55" t="str">
        <f>IF($AC1816="","",_xlfn.XLOOKUP($AC1816,'Client Info'!$C$2:$C$2677,'Client Info'!$F$2:$F$2677,"",0,1))</f>
        <v/>
      </c>
      <c r="AG1816" s="55" t="str">
        <f>IF(ISBLANK(Table26[[#This Row],[customerSKU]]),"",_xlfn.XLOOKUP(Table26[[#This Row],[customerSKU]],Table27[customer_SKU],Table27[billto],"",0,1))</f>
        <v/>
      </c>
      <c r="AH1816" s="26" t="str">
        <f>_xlfn.XLOOKUP(Table26[[#This Row],[customerSKU]],customerSKU!G:G,customerSKU!K:K,"NA",0,1)</f>
        <v>NA</v>
      </c>
      <c r="AI1816" s="43" t="str">
        <f>_xlfn.XLOOKUP(Table26[[#This Row],[customerSKU]],customerSKU!G:G,customerSKU!O:O,"not found",0,1)</f>
        <v>not found</v>
      </c>
      <c r="AJ1816" s="22" t="e">
        <f>Table26[[#This Row],[unitprice]]*Table26[[#This Row],[quantity_unit]]</f>
        <v>#VALUE!</v>
      </c>
      <c r="AK1816" s="227" t="e" cm="1">
        <f t="array" ref="AK18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7" spans="1:37" ht="18" customHeight="1">
      <c r="A1817" s="42">
        <v>430</v>
      </c>
      <c r="B1817" s="42" t="s">
        <v>3520</v>
      </c>
      <c r="C1817" s="53" t="s">
        <v>3488</v>
      </c>
      <c r="E1817" s="20"/>
      <c r="F18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7" s="118"/>
      <c r="I1817" s="203">
        <v>45814</v>
      </c>
      <c r="J1817" s="90" t="str">
        <f>IF(Table26[[#This Row],[customerSKU]]="","",_xlfn.XLOOKUP(Table26[[#This Row],[customerSKU]],customerSKU!G:G,customerSKU!A:A,"",0,1))</f>
        <v/>
      </c>
      <c r="K1817" s="232">
        <v>45818</v>
      </c>
      <c r="L1817" s="49" t="str">
        <f>IF(Table26[[#This Row],[customerSKU]]="","",_xlfn.XLOOKUP(Table26[[#This Row],[customerSKU]],customerSKU!G:G,customerSKU!B:B,"",0,1))</f>
        <v/>
      </c>
      <c r="M1817" s="22"/>
      <c r="N1817" s="15" t="str">
        <f>Table26[[#This Row],[po_number]]&amp;"-"&amp;Table26[[#This Row],[po_line]]</f>
        <v>-2</v>
      </c>
      <c r="O1817" s="15">
        <v>2</v>
      </c>
      <c r="P1817" s="50"/>
      <c r="Q1817" s="22" t="s">
        <v>3648</v>
      </c>
      <c r="R1817" s="22" t="s">
        <v>532</v>
      </c>
      <c r="S1817" s="90" t="str">
        <f>IF(Table26[[#This Row],[customerSKU]]="","",_xlfn.XLOOKUP(Table26[[#This Row],[customerSKU]],customerSKU!G:G,customerSKU!N:N,"NOT FOUND",0,1))</f>
        <v>NOT FOUND</v>
      </c>
      <c r="T1817" s="20">
        <v>45649</v>
      </c>
      <c r="U1817" s="94">
        <v>24</v>
      </c>
      <c r="V1817" s="22" t="str">
        <f>IF(ISBLANK(Table26[[#This Row],[customerSKU]]),"",_xlfn.XLOOKUP(Table26[[#This Row],[customerSKU]],Table27[customer_SKU],Table27[case_size],"",0,1))</f>
        <v/>
      </c>
      <c r="W1817" s="117" t="str">
        <f t="shared" si="75"/>
        <v/>
      </c>
      <c r="X1817" s="22" t="str">
        <f t="shared" si="74"/>
        <v/>
      </c>
      <c r="Y1817" s="25" t="str">
        <f>IF(Table26[[#This Row],[customerSKU]]="","",_xlfn.XLOOKUP(Table26[[#This Row],[customerSKU]],Table27[customer_SKU],Table27[product_GTIN],"",0,1))</f>
        <v/>
      </c>
      <c r="Z1817" s="25" t="s">
        <v>3649</v>
      </c>
      <c r="AA1817" s="18" t="str" cm="1">
        <f t="array" ref="AA1817">IF(P1817="", "", _xlfn.XLOOKUP(P1817,#REF!,#REF!,NA,0,-1))</f>
        <v/>
      </c>
      <c r="AB1817" s="22"/>
      <c r="AC1817" s="55" t="s">
        <v>3647</v>
      </c>
      <c r="AD1817" s="55" t="str">
        <f>IF($AC1817="","",_xlfn.XLOOKUP($AC1817,'Client Info'!$C$2:$C$2497,'Client Info'!$D$2:$D$2497,"",0,1))</f>
        <v/>
      </c>
      <c r="AE1817" s="55" t="str">
        <f>IF($AC1817="","",_xlfn.XLOOKUP($AC1817,'Client Info'!$C$2:$C$2677,'Client Info'!$E$2:$E$2677,"",))</f>
        <v/>
      </c>
      <c r="AF1817" s="55" t="str">
        <f>IF($AC1817="","",_xlfn.XLOOKUP($AC1817,'Client Info'!$C$2:$C$2677,'Client Info'!$F$2:$F$2677,"",0,1))</f>
        <v/>
      </c>
      <c r="AG1817" s="55" t="str">
        <f>IF(ISBLANK(Table26[[#This Row],[customerSKU]]),"",_xlfn.XLOOKUP(Table26[[#This Row],[customerSKU]],Table27[customer_SKU],Table27[billto],"",0,1))</f>
        <v/>
      </c>
      <c r="AH1817" s="26" t="str">
        <f>_xlfn.XLOOKUP(Table26[[#This Row],[customerSKU]],customerSKU!G:G,customerSKU!K:K,"NA",0,1)</f>
        <v>NA</v>
      </c>
      <c r="AI1817" s="43" t="str">
        <f>_xlfn.XLOOKUP(Table26[[#This Row],[customerSKU]],customerSKU!G:G,customerSKU!O:O,"not found",0,1)</f>
        <v>not found</v>
      </c>
      <c r="AJ1817" s="22" t="e">
        <f>Table26[[#This Row],[unitprice]]*Table26[[#This Row],[quantity_unit]]</f>
        <v>#VALUE!</v>
      </c>
      <c r="AK1817" s="227" t="e" cm="1">
        <f t="array" ref="AK18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8" spans="1:37" ht="18" customHeight="1">
      <c r="A1818" s="42">
        <v>431</v>
      </c>
      <c r="B1818" s="42" t="s">
        <v>3520</v>
      </c>
      <c r="C1818" s="53" t="s">
        <v>3488</v>
      </c>
      <c r="E1818" s="20"/>
      <c r="F18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8" s="93"/>
      <c r="I1818" s="19">
        <v>45817</v>
      </c>
      <c r="J1818" s="90" t="str">
        <f>IF(Table26[[#This Row],[customerSKU]]="","",_xlfn.XLOOKUP(Table26[[#This Row],[customerSKU]],customerSKU!G:G,customerSKU!A:A,"",0,1))</f>
        <v/>
      </c>
      <c r="K1818" s="232">
        <v>45818</v>
      </c>
      <c r="L1818" s="49" t="str">
        <f>IF(Table26[[#This Row],[customerSKU]]="","",_xlfn.XLOOKUP(Table26[[#This Row],[customerSKU]],customerSKU!G:G,customerSKU!B:B,"",0,1))</f>
        <v/>
      </c>
      <c r="M1818" s="22"/>
      <c r="N1818" s="15" t="str">
        <f>Table26[[#This Row],[po_number]]&amp;"-"&amp;Table26[[#This Row],[po_line]]</f>
        <v>-1</v>
      </c>
      <c r="O1818" s="15">
        <v>1</v>
      </c>
      <c r="P1818" s="50"/>
      <c r="Q1818" s="22" t="s">
        <v>3548</v>
      </c>
      <c r="R1818" s="22" t="s">
        <v>221</v>
      </c>
      <c r="S1818" s="90" t="s">
        <v>13</v>
      </c>
      <c r="T1818" s="20">
        <v>45777</v>
      </c>
      <c r="U1818" s="94">
        <v>12</v>
      </c>
      <c r="V1818" s="22" t="str">
        <f>IF(ISBLANK(Table26[[#This Row],[customerSKU]]),"",_xlfn.XLOOKUP(Table26[[#This Row],[customerSKU]],Table27[customer_SKU],Table27[case_size],"",0,1))</f>
        <v/>
      </c>
      <c r="W1818" s="117" t="str">
        <f t="shared" si="75"/>
        <v/>
      </c>
      <c r="X1818" s="22" t="str">
        <f t="shared" si="74"/>
        <v/>
      </c>
      <c r="Y1818" s="25" t="str">
        <f>IF(Table26[[#This Row],[customerSKU]]="","",_xlfn.XLOOKUP(Table26[[#This Row],[customerSKU]],Table27[customer_SKU],Table27[product_GTIN],"",0,1))</f>
        <v/>
      </c>
      <c r="Z1818" s="25" t="s">
        <v>3549</v>
      </c>
      <c r="AA1818" s="18" t="str" cm="1">
        <f t="array" ref="AA1818">IF(P1818="", "", _xlfn.XLOOKUP(P1818,#REF!,#REF!,NA,0,-1))</f>
        <v/>
      </c>
      <c r="AB1818" s="22"/>
      <c r="AC1818" s="55" t="s">
        <v>3531</v>
      </c>
      <c r="AD1818" s="55" t="str">
        <f>IF($AC1818="","",_xlfn.XLOOKUP($AC1818,'Client Info'!$C$2:$C$2497,'Client Info'!$D$2:$D$2497,"",0,1))</f>
        <v/>
      </c>
      <c r="AE1818" s="55" t="str">
        <f>IF($AC1818="","",_xlfn.XLOOKUP($AC1818,'Client Info'!$C$2:$C$2677,'Client Info'!$E$2:$E$2677,"",))</f>
        <v/>
      </c>
      <c r="AF1818" s="55" t="str">
        <f>IF($AC1818="","",_xlfn.XLOOKUP($AC1818,'Client Info'!$C$2:$C$2677,'Client Info'!$F$2:$F$2677,"",0,1))</f>
        <v/>
      </c>
      <c r="AG1818" s="55" t="s">
        <v>3531</v>
      </c>
      <c r="AH1818" s="26" t="str">
        <f>_xlfn.XLOOKUP(Table26[[#This Row],[customerSKU]],customerSKU!G:G,customerSKU!K:K,"NA",0,1)</f>
        <v>NA</v>
      </c>
      <c r="AI1818" s="43" t="str">
        <f>_xlfn.XLOOKUP(Table26[[#This Row],[customerSKU]],customerSKU!G:G,customerSKU!O:O,"not found",0,1)</f>
        <v>not found</v>
      </c>
      <c r="AJ1818" s="22" t="e">
        <f>Table26[[#This Row],[unitprice]]*Table26[[#This Row],[quantity_unit]]</f>
        <v>#VALUE!</v>
      </c>
      <c r="AK1818" s="227" t="e" cm="1">
        <f t="array" ref="AK18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19" spans="1:37" ht="18" customHeight="1">
      <c r="A1819" s="42">
        <v>432</v>
      </c>
      <c r="B1819" s="42" t="s">
        <v>3520</v>
      </c>
      <c r="C1819" s="53" t="s">
        <v>3488</v>
      </c>
      <c r="E1819" s="20"/>
      <c r="F18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19" s="93"/>
      <c r="I1819" s="19">
        <v>45817</v>
      </c>
      <c r="J1819" s="90" t="str">
        <f>IF(Table26[[#This Row],[customerSKU]]="","",_xlfn.XLOOKUP(Table26[[#This Row],[customerSKU]],customerSKU!G:G,customerSKU!A:A,"",0,1))</f>
        <v/>
      </c>
      <c r="K1819" s="232">
        <v>45818</v>
      </c>
      <c r="L1819" s="49" t="str">
        <f>IF(Table26[[#This Row],[customerSKU]]="","",_xlfn.XLOOKUP(Table26[[#This Row],[customerSKU]],customerSKU!G:G,customerSKU!B:B,"",0,1))</f>
        <v/>
      </c>
      <c r="M1819" s="22"/>
      <c r="N1819" s="15" t="str">
        <f>Table26[[#This Row],[po_number]]&amp;"-"&amp;Table26[[#This Row],[po_line]]</f>
        <v>-2</v>
      </c>
      <c r="O1819" s="15">
        <v>2</v>
      </c>
      <c r="P1819" s="50"/>
      <c r="Q1819" s="22" t="s">
        <v>3606</v>
      </c>
      <c r="R1819" s="22" t="s">
        <v>221</v>
      </c>
      <c r="S1819" s="90" t="s">
        <v>13</v>
      </c>
      <c r="T1819" s="20">
        <v>45618</v>
      </c>
      <c r="U1819" s="94">
        <v>10</v>
      </c>
      <c r="V1819" s="22" t="str">
        <f>IF(ISBLANK(Table26[[#This Row],[customerSKU]]),"",_xlfn.XLOOKUP(Table26[[#This Row],[customerSKU]],Table27[customer_SKU],Table27[case_size],"",0,1))</f>
        <v/>
      </c>
      <c r="W1819" s="117" t="str">
        <f t="shared" si="75"/>
        <v/>
      </c>
      <c r="X1819" s="22" t="str">
        <f t="shared" si="74"/>
        <v/>
      </c>
      <c r="Y1819" s="25" t="str">
        <f>IF(Table26[[#This Row],[customerSKU]]="","",_xlfn.XLOOKUP(Table26[[#This Row],[customerSKU]],Table27[customer_SKU],Table27[product_GTIN],"",0,1))</f>
        <v/>
      </c>
      <c r="Z1819" s="25" t="s">
        <v>3522</v>
      </c>
      <c r="AA1819" s="18" t="str" cm="1">
        <f t="array" ref="AA1819">IF(P1819="", "", _xlfn.XLOOKUP(P1819,#REF!,#REF!,NA,0,-1))</f>
        <v/>
      </c>
      <c r="AB1819" s="22"/>
      <c r="AC1819" s="55" t="s">
        <v>3531</v>
      </c>
      <c r="AD1819" s="55" t="str">
        <f>IF($AC1819="","",_xlfn.XLOOKUP($AC1819,'Client Info'!$C$2:$C$2497,'Client Info'!$D$2:$D$2497,"",0,1))</f>
        <v/>
      </c>
      <c r="AE1819" s="55" t="str">
        <f>IF($AC1819="","",_xlfn.XLOOKUP($AC1819,'Client Info'!$C$2:$C$2677,'Client Info'!$E$2:$E$2677,"",))</f>
        <v/>
      </c>
      <c r="AF1819" s="55" t="str">
        <f>IF($AC1819="","",_xlfn.XLOOKUP($AC1819,'Client Info'!$C$2:$C$2677,'Client Info'!$F$2:$F$2677,"",0,1))</f>
        <v/>
      </c>
      <c r="AG1819" s="55" t="s">
        <v>3531</v>
      </c>
      <c r="AH1819" s="26" t="str">
        <f>_xlfn.XLOOKUP(Table26[[#This Row],[customerSKU]],customerSKU!G:G,customerSKU!K:K,"NA",0,1)</f>
        <v>NA</v>
      </c>
      <c r="AI1819" s="43" t="str">
        <f>_xlfn.XLOOKUP(Table26[[#This Row],[customerSKU]],customerSKU!G:G,customerSKU!O:O,"not found",0,1)</f>
        <v>not found</v>
      </c>
      <c r="AJ1819" s="22" t="e">
        <f>Table26[[#This Row],[unitprice]]*Table26[[#This Row],[quantity_unit]]</f>
        <v>#VALUE!</v>
      </c>
      <c r="AK1819" s="227" t="e" cm="1">
        <f t="array" ref="AK18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0" spans="1:37" ht="18" customHeight="1">
      <c r="A1820" s="42">
        <v>433</v>
      </c>
      <c r="B1820" s="42" t="s">
        <v>3520</v>
      </c>
      <c r="C1820" s="53" t="s">
        <v>3488</v>
      </c>
      <c r="E1820" s="20"/>
      <c r="F18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0" s="93"/>
      <c r="I1820" s="19">
        <v>45817</v>
      </c>
      <c r="J1820" s="90" t="str">
        <f>IF(Table26[[#This Row],[customerSKU]]="","",_xlfn.XLOOKUP(Table26[[#This Row],[customerSKU]],customerSKU!G:G,customerSKU!A:A,"",0,1))</f>
        <v/>
      </c>
      <c r="K1820" s="232">
        <v>45818</v>
      </c>
      <c r="L1820" s="49" t="str">
        <f>IF(Table26[[#This Row],[customerSKU]]="","",_xlfn.XLOOKUP(Table26[[#This Row],[customerSKU]],customerSKU!G:G,customerSKU!B:B,"",0,1))</f>
        <v/>
      </c>
      <c r="M1820" s="22"/>
      <c r="N1820" s="15" t="str">
        <f>Table26[[#This Row],[po_number]]&amp;"-"&amp;Table26[[#This Row],[po_line]]</f>
        <v>-3</v>
      </c>
      <c r="O1820" s="15">
        <v>3</v>
      </c>
      <c r="P1820" s="50"/>
      <c r="Q1820" s="22" t="s">
        <v>3284</v>
      </c>
      <c r="R1820" s="22" t="s">
        <v>221</v>
      </c>
      <c r="S1820" s="90" t="s">
        <v>13</v>
      </c>
      <c r="T1820" s="20">
        <v>45721</v>
      </c>
      <c r="U1820" s="94">
        <v>2</v>
      </c>
      <c r="V1820" s="22" t="str">
        <f>IF(ISBLANK(Table26[[#This Row],[customerSKU]]),"",_xlfn.XLOOKUP(Table26[[#This Row],[customerSKU]],Table27[customer_SKU],Table27[case_size],"",0,1))</f>
        <v/>
      </c>
      <c r="W1820" s="117" t="str">
        <f t="shared" si="75"/>
        <v/>
      </c>
      <c r="X1820" s="22" t="str">
        <f t="shared" si="74"/>
        <v/>
      </c>
      <c r="Y1820" s="25" t="str">
        <f>IF(Table26[[#This Row],[customerSKU]]="","",_xlfn.XLOOKUP(Table26[[#This Row],[customerSKU]],Table27[customer_SKU],Table27[product_GTIN],"",0,1))</f>
        <v/>
      </c>
      <c r="Z1820" s="25" t="s">
        <v>3522</v>
      </c>
      <c r="AA1820" s="18" t="str" cm="1">
        <f t="array" ref="AA1820">IF(P1820="", "", _xlfn.XLOOKUP(P1820,#REF!,#REF!,NA,0,-1))</f>
        <v/>
      </c>
      <c r="AB1820" s="22"/>
      <c r="AC1820" s="55" t="s">
        <v>3531</v>
      </c>
      <c r="AD1820" s="55" t="str">
        <f>IF($AC1820="","",_xlfn.XLOOKUP($AC1820,'Client Info'!$C$2:$C$2497,'Client Info'!$D$2:$D$2497,"",0,1))</f>
        <v/>
      </c>
      <c r="AE1820" s="55" t="str">
        <f>IF($AC1820="","",_xlfn.XLOOKUP($AC1820,'Client Info'!$C$2:$C$2677,'Client Info'!$E$2:$E$2677,"",))</f>
        <v/>
      </c>
      <c r="AF1820" s="55" t="str">
        <f>IF($AC1820="","",_xlfn.XLOOKUP($AC1820,'Client Info'!$C$2:$C$2677,'Client Info'!$F$2:$F$2677,"",0,1))</f>
        <v/>
      </c>
      <c r="AG1820" s="55" t="s">
        <v>3531</v>
      </c>
      <c r="AH1820" s="26" t="str">
        <f>_xlfn.XLOOKUP(Table26[[#This Row],[customerSKU]],customerSKU!G:G,customerSKU!K:K,"NA",0,1)</f>
        <v>NA</v>
      </c>
      <c r="AI1820" s="43" t="str">
        <f>_xlfn.XLOOKUP(Table26[[#This Row],[customerSKU]],customerSKU!G:G,customerSKU!O:O,"not found",0,1)</f>
        <v>not found</v>
      </c>
      <c r="AJ1820" s="22" t="e">
        <f>Table26[[#This Row],[unitprice]]*Table26[[#This Row],[quantity_unit]]</f>
        <v>#VALUE!</v>
      </c>
      <c r="AK1820" s="227" t="e" cm="1">
        <f t="array" ref="AK18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1" spans="1:37" ht="18" customHeight="1">
      <c r="A1821" s="42">
        <v>434</v>
      </c>
      <c r="B1821" s="42" t="s">
        <v>3520</v>
      </c>
      <c r="C1821" s="53" t="s">
        <v>3488</v>
      </c>
      <c r="E1821" s="20"/>
      <c r="F18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1" s="93"/>
      <c r="I1821" s="19">
        <v>45817</v>
      </c>
      <c r="J1821" s="90" t="str">
        <f>IF(Table26[[#This Row],[customerSKU]]="","",_xlfn.XLOOKUP(Table26[[#This Row],[customerSKU]],customerSKU!G:G,customerSKU!A:A,"",0,1))</f>
        <v/>
      </c>
      <c r="K1821" s="232">
        <v>45818</v>
      </c>
      <c r="L1821" s="49" t="str">
        <f>IF(Table26[[#This Row],[customerSKU]]="","",_xlfn.XLOOKUP(Table26[[#This Row],[customerSKU]],customerSKU!G:G,customerSKU!B:B,"",0,1))</f>
        <v/>
      </c>
      <c r="M1821" s="22"/>
      <c r="N1821" s="15" t="str">
        <f>Table26[[#This Row],[po_number]]&amp;"-"&amp;Table26[[#This Row],[po_line]]</f>
        <v>-4</v>
      </c>
      <c r="O1821" s="15">
        <v>4</v>
      </c>
      <c r="P1821" s="50"/>
      <c r="Q1821" s="22" t="s">
        <v>574</v>
      </c>
      <c r="R1821" s="22" t="s">
        <v>221</v>
      </c>
      <c r="S1821" s="90" t="s">
        <v>13</v>
      </c>
      <c r="T1821" s="20">
        <v>45799</v>
      </c>
      <c r="U1821" s="94">
        <v>235</v>
      </c>
      <c r="V1821" s="22" t="str">
        <f>IF(ISBLANK(Table26[[#This Row],[customerSKU]]),"",_xlfn.XLOOKUP(Table26[[#This Row],[customerSKU]],Table27[customer_SKU],Table27[case_size],"",0,1))</f>
        <v/>
      </c>
      <c r="W1821" s="117" t="str">
        <f t="shared" si="75"/>
        <v/>
      </c>
      <c r="X1821" s="22" t="str">
        <f t="shared" si="74"/>
        <v/>
      </c>
      <c r="Y1821" s="25" t="str">
        <f>IF(Table26[[#This Row],[customerSKU]]="","",_xlfn.XLOOKUP(Table26[[#This Row],[customerSKU]],Table27[customer_SKU],Table27[product_GTIN],"",0,1))</f>
        <v/>
      </c>
      <c r="Z1821" s="25" t="s">
        <v>3530</v>
      </c>
      <c r="AA1821" s="18" t="str" cm="1">
        <f t="array" ref="AA1821">IF(P1821="", "", _xlfn.XLOOKUP(P1821,#REF!,#REF!,NA,0,-1))</f>
        <v/>
      </c>
      <c r="AB1821" s="22"/>
      <c r="AC1821" s="55" t="s">
        <v>3531</v>
      </c>
      <c r="AD1821" s="55" t="str">
        <f>IF($AC1821="","",_xlfn.XLOOKUP($AC1821,'Client Info'!$C$2:$C$2497,'Client Info'!$D$2:$D$2497,"",0,1))</f>
        <v/>
      </c>
      <c r="AE1821" s="55" t="str">
        <f>IF($AC1821="","",_xlfn.XLOOKUP($AC1821,'Client Info'!$C$2:$C$2677,'Client Info'!$E$2:$E$2677,"",))</f>
        <v/>
      </c>
      <c r="AF1821" s="55" t="str">
        <f>IF($AC1821="","",_xlfn.XLOOKUP($AC1821,'Client Info'!$C$2:$C$2677,'Client Info'!$F$2:$F$2677,"",0,1))</f>
        <v/>
      </c>
      <c r="AG1821" s="55" t="s">
        <v>3531</v>
      </c>
      <c r="AH1821" s="26" t="str">
        <f>_xlfn.XLOOKUP(Table26[[#This Row],[customerSKU]],customerSKU!G:G,customerSKU!K:K,"NA",0,1)</f>
        <v>NA</v>
      </c>
      <c r="AI1821" s="43" t="str">
        <f>_xlfn.XLOOKUP(Table26[[#This Row],[customerSKU]],customerSKU!G:G,customerSKU!O:O,"not found",0,1)</f>
        <v>not found</v>
      </c>
      <c r="AJ1821" s="22" t="e">
        <f>Table26[[#This Row],[unitprice]]*Table26[[#This Row],[quantity_unit]]</f>
        <v>#VALUE!</v>
      </c>
      <c r="AK1821" s="227" t="e" cm="1">
        <f t="array" ref="AK18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2" spans="1:37" ht="18" customHeight="1">
      <c r="A1822" s="42">
        <v>435</v>
      </c>
      <c r="B1822" s="42" t="s">
        <v>3520</v>
      </c>
      <c r="C1822" s="53" t="s">
        <v>3488</v>
      </c>
      <c r="E1822" s="20"/>
      <c r="F18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2" s="93"/>
      <c r="I1822" s="19">
        <v>45817</v>
      </c>
      <c r="J1822" s="90" t="str">
        <f>IF(Table26[[#This Row],[customerSKU]]="","",_xlfn.XLOOKUP(Table26[[#This Row],[customerSKU]],customerSKU!G:G,customerSKU!A:A,"",0,1))</f>
        <v/>
      </c>
      <c r="K1822" s="232">
        <v>45818</v>
      </c>
      <c r="L1822" s="49" t="str">
        <f>IF(Table26[[#This Row],[customerSKU]]="","",_xlfn.XLOOKUP(Table26[[#This Row],[customerSKU]],customerSKU!G:G,customerSKU!B:B,"",0,1))</f>
        <v/>
      </c>
      <c r="M1822" s="22"/>
      <c r="N1822" s="15" t="str">
        <f>Table26[[#This Row],[po_number]]&amp;"-"&amp;Table26[[#This Row],[po_line]]</f>
        <v>-5</v>
      </c>
      <c r="O1822" s="15">
        <v>5</v>
      </c>
      <c r="P1822" s="50"/>
      <c r="Q1822" s="22" t="s">
        <v>574</v>
      </c>
      <c r="R1822" s="22" t="s">
        <v>221</v>
      </c>
      <c r="S1822" s="90" t="s">
        <v>13</v>
      </c>
      <c r="T1822" s="20">
        <v>45818</v>
      </c>
      <c r="U1822" s="94">
        <v>5</v>
      </c>
      <c r="V1822" s="22" t="str">
        <f>IF(ISBLANK(Table26[[#This Row],[customerSKU]]),"",_xlfn.XLOOKUP(Table26[[#This Row],[customerSKU]],Table27[customer_SKU],Table27[case_size],"",0,1))</f>
        <v/>
      </c>
      <c r="W1822" s="117" t="str">
        <f t="shared" si="75"/>
        <v/>
      </c>
      <c r="X1822" s="22" t="str">
        <f t="shared" si="74"/>
        <v/>
      </c>
      <c r="Y1822" s="25" t="str">
        <f>IF(Table26[[#This Row],[customerSKU]]="","",_xlfn.XLOOKUP(Table26[[#This Row],[customerSKU]],Table27[customer_SKU],Table27[product_GTIN],"",0,1))</f>
        <v/>
      </c>
      <c r="Z1822" s="25" t="s">
        <v>3530</v>
      </c>
      <c r="AA1822" s="18" t="str" cm="1">
        <f t="array" ref="AA1822">IF(P1822="", "", _xlfn.XLOOKUP(P1822,#REF!,#REF!,NA,0,-1))</f>
        <v/>
      </c>
      <c r="AB1822" s="22"/>
      <c r="AC1822" s="55" t="s">
        <v>3531</v>
      </c>
      <c r="AD1822" s="55" t="str">
        <f>IF($AC1822="","",_xlfn.XLOOKUP($AC1822,'Client Info'!$C$2:$C$2497,'Client Info'!$D$2:$D$2497,"",0,1))</f>
        <v/>
      </c>
      <c r="AE1822" s="55" t="str">
        <f>IF($AC1822="","",_xlfn.XLOOKUP($AC1822,'Client Info'!$C$2:$C$2677,'Client Info'!$E$2:$E$2677,"",))</f>
        <v/>
      </c>
      <c r="AF1822" s="55" t="str">
        <f>IF($AC1822="","",_xlfn.XLOOKUP($AC1822,'Client Info'!$C$2:$C$2677,'Client Info'!$F$2:$F$2677,"",0,1))</f>
        <v/>
      </c>
      <c r="AG1822" s="55" t="s">
        <v>3531</v>
      </c>
      <c r="AH1822" s="26" t="str">
        <f>_xlfn.XLOOKUP(Table26[[#This Row],[customerSKU]],customerSKU!G:G,customerSKU!K:K,"NA",0,1)</f>
        <v>NA</v>
      </c>
      <c r="AI1822" s="43" t="str">
        <f>_xlfn.XLOOKUP(Table26[[#This Row],[customerSKU]],customerSKU!G:G,customerSKU!O:O,"not found",0,1)</f>
        <v>not found</v>
      </c>
      <c r="AJ1822" s="22" t="e">
        <f>Table26[[#This Row],[unitprice]]*Table26[[#This Row],[quantity_unit]]</f>
        <v>#VALUE!</v>
      </c>
      <c r="AK1822" s="227" t="e" cm="1">
        <f t="array" ref="AK18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3" spans="1:37" ht="18" customHeight="1">
      <c r="A1823" s="42">
        <v>436</v>
      </c>
      <c r="B1823" s="42" t="s">
        <v>3520</v>
      </c>
      <c r="C1823" s="53" t="s">
        <v>3488</v>
      </c>
      <c r="E1823" s="20"/>
      <c r="F18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3" s="93"/>
      <c r="I1823" s="203">
        <v>45818</v>
      </c>
      <c r="J1823" s="90" t="str">
        <f>IF(Table26[[#This Row],[customerSKU]]="","",_xlfn.XLOOKUP(Table26[[#This Row],[customerSKU]],customerSKU!G:G,customerSKU!A:A,"",0,1))</f>
        <v/>
      </c>
      <c r="K1823" s="232">
        <v>45818</v>
      </c>
      <c r="L1823" s="49" t="str">
        <f>IF(Table26[[#This Row],[customerSKU]]="","",_xlfn.XLOOKUP(Table26[[#This Row],[customerSKU]],customerSKU!G:G,customerSKU!B:B,"",0,1))</f>
        <v/>
      </c>
      <c r="M1823" s="22"/>
      <c r="N1823" s="15" t="str">
        <f>Table26[[#This Row],[po_number]]&amp;"-"&amp;Table26[[#This Row],[po_line]]</f>
        <v>-1</v>
      </c>
      <c r="O1823" s="15">
        <v>1</v>
      </c>
      <c r="P1823" s="50"/>
      <c r="Q1823" s="22" t="s">
        <v>3655</v>
      </c>
      <c r="R1823" s="22" t="s">
        <v>532</v>
      </c>
      <c r="S1823" s="90" t="str">
        <f>IF(Table26[[#This Row],[customerSKU]]="","",_xlfn.XLOOKUP(Table26[[#This Row],[customerSKU]],customerSKU!G:G,customerSKU!N:N,"NOT FOUND",0,1))</f>
        <v>NOT FOUND</v>
      </c>
      <c r="T1823" s="20">
        <v>45721</v>
      </c>
      <c r="U1823" s="94">
        <v>240</v>
      </c>
      <c r="V1823" s="22" t="str">
        <f>IF(ISBLANK(Table26[[#This Row],[customerSKU]]),"",_xlfn.XLOOKUP(Table26[[#This Row],[customerSKU]],Table27[customer_SKU],Table27[case_size],"",0,1))</f>
        <v/>
      </c>
      <c r="W1823" s="117" t="str">
        <f t="shared" si="75"/>
        <v/>
      </c>
      <c r="X1823" s="22" t="str">
        <f t="shared" si="74"/>
        <v/>
      </c>
      <c r="Y1823" s="25" t="str">
        <f>IF(Table26[[#This Row],[customerSKU]]="","",_xlfn.XLOOKUP(Table26[[#This Row],[customerSKU]],Table27[customer_SKU],Table27[product_GTIN],"",0,1))</f>
        <v/>
      </c>
      <c r="Z1823" s="25" t="s">
        <v>3656</v>
      </c>
      <c r="AA1823" s="18" t="str" cm="1">
        <f t="array" ref="AA1823">IF(P1823="", "", _xlfn.XLOOKUP(P1823,#REF!,#REF!,NA,0,-1))</f>
        <v/>
      </c>
      <c r="AB1823" s="22"/>
      <c r="AC1823" s="55" t="str">
        <f>IF(Table26[[#This Row],[customerSKU]]="","",_xlfn.XLOOKUP(Table26[[#This Row],[customerSKU]],customerSKU!G:G,customerSKU!C:C,"",0,1))</f>
        <v/>
      </c>
      <c r="AD1823" s="55" t="str">
        <f>IF($AC1823="","",_xlfn.XLOOKUP($AC1823,'Client Info'!$C$2:$C$2497,'Client Info'!$D$2:$D$2497,"",0,1))</f>
        <v/>
      </c>
      <c r="AE1823" s="55" t="str">
        <f>IF($AC1823="","",_xlfn.XLOOKUP($AC1823,'Client Info'!$C$2:$C$2677,'Client Info'!$E$2:$E$2677,"",))</f>
        <v/>
      </c>
      <c r="AF1823" s="55" t="str">
        <f>IF($AC1823="","",_xlfn.XLOOKUP($AC1823,'Client Info'!$C$2:$C$2677,'Client Info'!$F$2:$F$2677,"",0,1))</f>
        <v/>
      </c>
      <c r="AG1823" s="55" t="str">
        <f>IF(ISBLANK(Table26[[#This Row],[customerSKU]]),"",_xlfn.XLOOKUP(Table26[[#This Row],[customerSKU]],Table27[customer_SKU],Table27[billto],"",0,1))</f>
        <v/>
      </c>
      <c r="AH1823" s="26" t="str">
        <f>_xlfn.XLOOKUP(Table26[[#This Row],[customerSKU]],customerSKU!G:G,customerSKU!K:K,"NA",0,1)</f>
        <v>NA</v>
      </c>
      <c r="AI1823" s="43" t="str">
        <f>_xlfn.XLOOKUP(Table26[[#This Row],[customerSKU]],customerSKU!G:G,customerSKU!O:O,"not found",0,1)</f>
        <v>not found</v>
      </c>
      <c r="AJ1823" s="22" t="e">
        <f>Table26[[#This Row],[unitprice]]*Table26[[#This Row],[quantity_unit]]</f>
        <v>#VALUE!</v>
      </c>
      <c r="AK1823" s="227" t="e" cm="1">
        <f t="array" ref="AK18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4" spans="1:37" ht="18" customHeight="1">
      <c r="A1824" s="42">
        <v>421</v>
      </c>
      <c r="B1824" s="42" t="s">
        <v>3520</v>
      </c>
      <c r="C1824" s="53" t="s">
        <v>3488</v>
      </c>
      <c r="E1824" s="20"/>
      <c r="F18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4" s="258"/>
      <c r="I1824" s="203">
        <v>45818</v>
      </c>
      <c r="J1824" s="90" t="str">
        <f>IF(Table26[[#This Row],[customerSKU]]="","",_xlfn.XLOOKUP(Table26[[#This Row],[customerSKU]],customerSKU!G:G,customerSKU!A:A,"",0,1))</f>
        <v/>
      </c>
      <c r="K1824" s="232">
        <v>45819</v>
      </c>
      <c r="L1824" s="49" t="str">
        <f>IF(Table26[[#This Row],[customerSKU]]="","",_xlfn.XLOOKUP(Table26[[#This Row],[customerSKU]],customerSKU!G:G,customerSKU!B:B,"",0,1))</f>
        <v/>
      </c>
      <c r="M1824" s="22"/>
      <c r="N1824" s="15" t="str">
        <f>Table26[[#This Row],[po_number]]&amp;"-"&amp;Table26[[#This Row],[po_line]]</f>
        <v>-1</v>
      </c>
      <c r="O1824" s="15">
        <v>1</v>
      </c>
      <c r="P1824" s="50"/>
      <c r="Q1824" s="22" t="s">
        <v>582</v>
      </c>
      <c r="R1824" s="22" t="s">
        <v>532</v>
      </c>
      <c r="S1824" s="90" t="str">
        <f>IF(Table26[[#This Row],[customerSKU]]="","",_xlfn.XLOOKUP(Table26[[#This Row],[customerSKU]],customerSKU!G:G,customerSKU!N:N,"NOT FOUND",0,1))</f>
        <v>NOT FOUND</v>
      </c>
      <c r="T1824" s="20">
        <v>45778</v>
      </c>
      <c r="U1824" s="94">
        <v>36</v>
      </c>
      <c r="V1824" s="22" t="str">
        <f>IF(ISBLANK(Table26[[#This Row],[customerSKU]]),"",_xlfn.XLOOKUP(Table26[[#This Row],[customerSKU]],Table27[customer_SKU],Table27[case_size],"",0,1))</f>
        <v/>
      </c>
      <c r="W1824" s="117" t="str">
        <f t="shared" si="75"/>
        <v/>
      </c>
      <c r="X1824" s="22" t="str">
        <f t="shared" si="74"/>
        <v/>
      </c>
      <c r="Y1824" s="25" t="str">
        <f>IF(Table26[[#This Row],[customerSKU]]="","",_xlfn.XLOOKUP(Table26[[#This Row],[customerSKU]],Table27[customer_SKU],Table27[product_GTIN],"",0,1))</f>
        <v/>
      </c>
      <c r="Z1824" s="25" t="s">
        <v>3519</v>
      </c>
      <c r="AA1824" s="18" t="str" cm="1">
        <f t="array" ref="AA1824">IF(P1824="", "", _xlfn.XLOOKUP(P1824,#REF!,#REF!,NA,0,-1))</f>
        <v/>
      </c>
      <c r="AB1824" s="22"/>
      <c r="AC1824" s="55" t="s">
        <v>3657</v>
      </c>
      <c r="AD1824" s="55" t="str">
        <f>IF($AC1824="","",_xlfn.XLOOKUP($AC1824,'Client Info'!$C$2:$C$2497,'Client Info'!$D$2:$D$2497,"",0,1))</f>
        <v/>
      </c>
      <c r="AE1824" s="55" t="str">
        <f>IF($AC1824="","",_xlfn.XLOOKUP($AC1824,'Client Info'!$C$2:$C$2677,'Client Info'!$E$2:$E$2677,"",))</f>
        <v/>
      </c>
      <c r="AF1824" s="55" t="str">
        <f>IF($AC1824="","",_xlfn.XLOOKUP($AC1824,'Client Info'!$C$2:$C$2677,'Client Info'!$F$2:$F$2677,"",0,1))</f>
        <v/>
      </c>
      <c r="AG1824" s="55" t="s">
        <v>3657</v>
      </c>
      <c r="AH1824" s="26" t="str">
        <f>_xlfn.XLOOKUP(Table26[[#This Row],[customerSKU]],customerSKU!G:G,customerSKU!K:K,"NA",0,1)</f>
        <v>NA</v>
      </c>
      <c r="AI1824" s="43" t="str">
        <f>_xlfn.XLOOKUP(Table26[[#This Row],[customerSKU]],customerSKU!G:G,customerSKU!O:O,"not found",0,1)</f>
        <v>not found</v>
      </c>
      <c r="AJ1824" s="22" t="e">
        <f>Table26[[#This Row],[unitprice]]*Table26[[#This Row],[quantity_unit]]</f>
        <v>#VALUE!</v>
      </c>
      <c r="AK1824" s="227" t="e" cm="1">
        <f t="array" ref="AK18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5" spans="1:37" ht="18" customHeight="1">
      <c r="A1825" s="42">
        <v>422</v>
      </c>
      <c r="B1825" s="42" t="s">
        <v>3520</v>
      </c>
      <c r="C1825" s="53" t="s">
        <v>3488</v>
      </c>
      <c r="E1825" s="20"/>
      <c r="F18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5" s="258"/>
      <c r="I1825" s="203">
        <v>45818</v>
      </c>
      <c r="J1825" s="90" t="str">
        <f>IF(Table26[[#This Row],[customerSKU]]="","",_xlfn.XLOOKUP(Table26[[#This Row],[customerSKU]],customerSKU!G:G,customerSKU!A:A,"",0,1))</f>
        <v/>
      </c>
      <c r="K1825" s="232">
        <v>45819</v>
      </c>
      <c r="L1825" s="49" t="str">
        <f>IF(Table26[[#This Row],[customerSKU]]="","",_xlfn.XLOOKUP(Table26[[#This Row],[customerSKU]],customerSKU!G:G,customerSKU!B:B,"",0,1))</f>
        <v/>
      </c>
      <c r="M1825" s="22"/>
      <c r="N1825" s="15" t="str">
        <f>Table26[[#This Row],[po_number]]&amp;"-"&amp;Table26[[#This Row],[po_line]]</f>
        <v>-2</v>
      </c>
      <c r="O1825" s="15">
        <v>2</v>
      </c>
      <c r="P1825" s="50"/>
      <c r="Q1825" s="22" t="s">
        <v>591</v>
      </c>
      <c r="R1825" s="22" t="s">
        <v>532</v>
      </c>
      <c r="S1825" s="90" t="str">
        <f>IF(Table26[[#This Row],[customerSKU]]="","",_xlfn.XLOOKUP(Table26[[#This Row],[customerSKU]],customerSKU!G:G,customerSKU!N:N,"NOT FOUND",0,1))</f>
        <v>NOT FOUND</v>
      </c>
      <c r="T1825" s="20">
        <v>45783</v>
      </c>
      <c r="U1825" s="94">
        <v>12</v>
      </c>
      <c r="V1825" s="22" t="str">
        <f>IF(ISBLANK(Table26[[#This Row],[customerSKU]]),"",_xlfn.XLOOKUP(Table26[[#This Row],[customerSKU]],Table27[customer_SKU],Table27[case_size],"",0,1))</f>
        <v/>
      </c>
      <c r="W1825" s="117" t="str">
        <f t="shared" si="75"/>
        <v/>
      </c>
      <c r="X1825" s="22" t="str">
        <f t="shared" si="74"/>
        <v/>
      </c>
      <c r="Y1825" s="25" t="str">
        <f>IF(Table26[[#This Row],[customerSKU]]="","",_xlfn.XLOOKUP(Table26[[#This Row],[customerSKU]],Table27[customer_SKU],Table27[product_GTIN],"",0,1))</f>
        <v/>
      </c>
      <c r="Z1825" s="25" t="s">
        <v>3525</v>
      </c>
      <c r="AA1825" s="18" t="str" cm="1">
        <f t="array" ref="AA1825">IF(P1825="", "", _xlfn.XLOOKUP(P1825,#REF!,#REF!,NA,0,-1))</f>
        <v/>
      </c>
      <c r="AB1825" s="22"/>
      <c r="AC1825" s="55" t="s">
        <v>3657</v>
      </c>
      <c r="AD1825" s="55" t="str">
        <f>IF($AC1825="","",_xlfn.XLOOKUP($AC1825,'Client Info'!$C$2:$C$2497,'Client Info'!$D$2:$D$2497,"",0,1))</f>
        <v/>
      </c>
      <c r="AE1825" s="55" t="str">
        <f>IF($AC1825="","",_xlfn.XLOOKUP($AC1825,'Client Info'!$C$2:$C$2677,'Client Info'!$E$2:$E$2677,"",))</f>
        <v/>
      </c>
      <c r="AF1825" s="55" t="str">
        <f>IF($AC1825="","",_xlfn.XLOOKUP($AC1825,'Client Info'!$C$2:$C$2677,'Client Info'!$F$2:$F$2677,"",0,1))</f>
        <v/>
      </c>
      <c r="AG1825" s="55" t="s">
        <v>3657</v>
      </c>
      <c r="AH1825" s="26" t="str">
        <f>_xlfn.XLOOKUP(Table26[[#This Row],[customerSKU]],customerSKU!G:G,customerSKU!K:K,"NA",0,1)</f>
        <v>NA</v>
      </c>
      <c r="AI1825" s="43" t="str">
        <f>_xlfn.XLOOKUP(Table26[[#This Row],[customerSKU]],customerSKU!G:G,customerSKU!O:O,"not found",0,1)</f>
        <v>not found</v>
      </c>
      <c r="AJ1825" s="22" t="e">
        <f>Table26[[#This Row],[unitprice]]*Table26[[#This Row],[quantity_unit]]</f>
        <v>#VALUE!</v>
      </c>
      <c r="AK1825" s="227" t="e" cm="1">
        <f t="array" ref="AK18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6" spans="1:37" ht="18" customHeight="1">
      <c r="A1826" s="42">
        <v>423</v>
      </c>
      <c r="B1826" s="42" t="s">
        <v>3520</v>
      </c>
      <c r="C1826" s="53" t="s">
        <v>3488</v>
      </c>
      <c r="E1826" s="20"/>
      <c r="F18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6" s="258"/>
      <c r="I1826" s="203">
        <v>45818</v>
      </c>
      <c r="J1826" s="90" t="str">
        <f>IF(Table26[[#This Row],[customerSKU]]="","",_xlfn.XLOOKUP(Table26[[#This Row],[customerSKU]],customerSKU!G:G,customerSKU!A:A,"",0,1))</f>
        <v/>
      </c>
      <c r="K1826" s="232">
        <v>45819</v>
      </c>
      <c r="L1826" s="49" t="str">
        <f>IF(Table26[[#This Row],[customerSKU]]="","",_xlfn.XLOOKUP(Table26[[#This Row],[customerSKU]],customerSKU!G:G,customerSKU!B:B,"",0,1))</f>
        <v/>
      </c>
      <c r="M1826" s="22"/>
      <c r="N1826" s="15" t="str">
        <f>Table26[[#This Row],[po_number]]&amp;"-"&amp;Table26[[#This Row],[po_line]]</f>
        <v>-3</v>
      </c>
      <c r="O1826" s="15">
        <v>3</v>
      </c>
      <c r="P1826" s="50"/>
      <c r="Q1826" s="22" t="s">
        <v>574</v>
      </c>
      <c r="R1826" s="22" t="s">
        <v>532</v>
      </c>
      <c r="S1826" s="90" t="str">
        <f>IF(Table26[[#This Row],[customerSKU]]="","",_xlfn.XLOOKUP(Table26[[#This Row],[customerSKU]],customerSKU!G:G,customerSKU!N:N,"NOT FOUND",0,1))</f>
        <v>NOT FOUND</v>
      </c>
      <c r="T1826" s="20">
        <v>45818</v>
      </c>
      <c r="U1826" s="94">
        <v>24</v>
      </c>
      <c r="V1826" s="22" t="str">
        <f>IF(ISBLANK(Table26[[#This Row],[customerSKU]]),"",_xlfn.XLOOKUP(Table26[[#This Row],[customerSKU]],Table27[customer_SKU],Table27[case_size],"",0,1))</f>
        <v/>
      </c>
      <c r="W1826" s="117" t="str">
        <f t="shared" si="75"/>
        <v/>
      </c>
      <c r="X1826" s="22" t="str">
        <f t="shared" si="74"/>
        <v/>
      </c>
      <c r="Y1826" s="25" t="str">
        <f>IF(Table26[[#This Row],[customerSKU]]="","",_xlfn.XLOOKUP(Table26[[#This Row],[customerSKU]],Table27[customer_SKU],Table27[product_GTIN],"",0,1))</f>
        <v/>
      </c>
      <c r="Z1826" s="25" t="s">
        <v>3530</v>
      </c>
      <c r="AA1826" s="18" t="str" cm="1">
        <f t="array" ref="AA1826">IF(P1826="", "", _xlfn.XLOOKUP(P1826,#REF!,#REF!,NA,0,-1))</f>
        <v/>
      </c>
      <c r="AB1826" s="22"/>
      <c r="AC1826" s="55" t="s">
        <v>3657</v>
      </c>
      <c r="AD1826" s="55" t="str">
        <f>IF($AC1826="","",_xlfn.XLOOKUP($AC1826,'Client Info'!$C$2:$C$2497,'Client Info'!$D$2:$D$2497,"",0,1))</f>
        <v/>
      </c>
      <c r="AE1826" s="55" t="str">
        <f>IF($AC1826="","",_xlfn.XLOOKUP($AC1826,'Client Info'!$C$2:$C$2677,'Client Info'!$E$2:$E$2677,"",))</f>
        <v/>
      </c>
      <c r="AF1826" s="55" t="str">
        <f>IF($AC1826="","",_xlfn.XLOOKUP($AC1826,'Client Info'!$C$2:$C$2677,'Client Info'!$F$2:$F$2677,"",0,1))</f>
        <v/>
      </c>
      <c r="AG1826" s="55" t="s">
        <v>3657</v>
      </c>
      <c r="AH1826" s="26" t="str">
        <f>_xlfn.XLOOKUP(Table26[[#This Row],[customerSKU]],customerSKU!G:G,customerSKU!K:K,"NA",0,1)</f>
        <v>NA</v>
      </c>
      <c r="AI1826" s="43" t="str">
        <f>_xlfn.XLOOKUP(Table26[[#This Row],[customerSKU]],customerSKU!G:G,customerSKU!O:O,"not found",0,1)</f>
        <v>not found</v>
      </c>
      <c r="AJ1826" s="22" t="e">
        <f>Table26[[#This Row],[unitprice]]*Table26[[#This Row],[quantity_unit]]</f>
        <v>#VALUE!</v>
      </c>
      <c r="AK1826" s="227" t="e" cm="1">
        <f t="array" ref="AK18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7" spans="1:37" ht="18" customHeight="1">
      <c r="A1827" s="42">
        <v>424</v>
      </c>
      <c r="B1827" s="42" t="s">
        <v>3520</v>
      </c>
      <c r="C1827" s="53" t="s">
        <v>3488</v>
      </c>
      <c r="E1827" s="20"/>
      <c r="F18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7" s="258"/>
      <c r="I1827" s="203">
        <v>45818</v>
      </c>
      <c r="J1827" s="90" t="str">
        <f>IF(Table26[[#This Row],[customerSKU]]="","",_xlfn.XLOOKUP(Table26[[#This Row],[customerSKU]],customerSKU!G:G,customerSKU!A:A,"",0,1))</f>
        <v/>
      </c>
      <c r="K1827" s="232">
        <v>45819</v>
      </c>
      <c r="L1827" s="49" t="str">
        <f>IF(Table26[[#This Row],[customerSKU]]="","",_xlfn.XLOOKUP(Table26[[#This Row],[customerSKU]],customerSKU!G:G,customerSKU!B:B,"",0,1))</f>
        <v/>
      </c>
      <c r="M1827" s="22"/>
      <c r="N1827" s="15" t="str">
        <f>Table26[[#This Row],[po_number]]&amp;"-"&amp;Table26[[#This Row],[po_line]]</f>
        <v>-4</v>
      </c>
      <c r="O1827" s="15">
        <v>4</v>
      </c>
      <c r="P1827" s="50"/>
      <c r="Q1827" s="22" t="s">
        <v>559</v>
      </c>
      <c r="R1827" s="22" t="s">
        <v>532</v>
      </c>
      <c r="S1827" s="90" t="str">
        <f>IF(Table26[[#This Row],[customerSKU]]="","",_xlfn.XLOOKUP(Table26[[#This Row],[customerSKU]],customerSKU!G:G,customerSKU!N:N,"NOT FOUND",0,1))</f>
        <v>NOT FOUND</v>
      </c>
      <c r="T1827" s="20">
        <v>45772</v>
      </c>
      <c r="U1827" s="94">
        <v>12</v>
      </c>
      <c r="V1827" s="22" t="str">
        <f>IF(ISBLANK(Table26[[#This Row],[customerSKU]]),"",_xlfn.XLOOKUP(Table26[[#This Row],[customerSKU]],Table27[customer_SKU],Table27[case_size],"",0,1))</f>
        <v/>
      </c>
      <c r="W1827" s="117" t="str">
        <f t="shared" si="75"/>
        <v/>
      </c>
      <c r="X1827" s="22" t="str">
        <f t="shared" si="74"/>
        <v/>
      </c>
      <c r="Y1827" s="25" t="str">
        <f>IF(Table26[[#This Row],[customerSKU]]="","",_xlfn.XLOOKUP(Table26[[#This Row],[customerSKU]],Table27[customer_SKU],Table27[product_GTIN],"",0,1))</f>
        <v/>
      </c>
      <c r="Z1827" s="25" t="s">
        <v>3527</v>
      </c>
      <c r="AA1827" s="18" t="str" cm="1">
        <f t="array" ref="AA1827">IF(P1827="", "", _xlfn.XLOOKUP(P1827,#REF!,#REF!,NA,0,-1))</f>
        <v/>
      </c>
      <c r="AB1827" s="22"/>
      <c r="AC1827" s="55" t="s">
        <v>3657</v>
      </c>
      <c r="AD1827" s="55" t="str">
        <f>IF($AC1827="","",_xlfn.XLOOKUP($AC1827,'Client Info'!$C$2:$C$2497,'Client Info'!$D$2:$D$2497,"",0,1))</f>
        <v/>
      </c>
      <c r="AE1827" s="55" t="str">
        <f>IF($AC1827="","",_xlfn.XLOOKUP($AC1827,'Client Info'!$C$2:$C$2677,'Client Info'!$E$2:$E$2677,"",))</f>
        <v/>
      </c>
      <c r="AF1827" s="55" t="str">
        <f>IF($AC1827="","",_xlfn.XLOOKUP($AC1827,'Client Info'!$C$2:$C$2677,'Client Info'!$F$2:$F$2677,"",0,1))</f>
        <v/>
      </c>
      <c r="AG1827" s="55" t="s">
        <v>3657</v>
      </c>
      <c r="AH1827" s="26" t="str">
        <f>_xlfn.XLOOKUP(Table26[[#This Row],[customerSKU]],customerSKU!G:G,customerSKU!K:K,"NA",0,1)</f>
        <v>NA</v>
      </c>
      <c r="AI1827" s="43" t="str">
        <f>_xlfn.XLOOKUP(Table26[[#This Row],[customerSKU]],customerSKU!G:G,customerSKU!O:O,"not found",0,1)</f>
        <v>not found</v>
      </c>
      <c r="AJ1827" s="22" t="e">
        <f>Table26[[#This Row],[unitprice]]*Table26[[#This Row],[quantity_unit]]</f>
        <v>#VALUE!</v>
      </c>
      <c r="AK1827" s="227" t="e" cm="1">
        <f t="array" ref="AK18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8" spans="1:37" ht="18" customHeight="1">
      <c r="A1828" s="42">
        <v>425</v>
      </c>
      <c r="B1828" s="42" t="s">
        <v>3520</v>
      </c>
      <c r="C1828" s="53" t="s">
        <v>3488</v>
      </c>
      <c r="E1828" s="20"/>
      <c r="F18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8" s="93"/>
      <c r="I1828" s="203">
        <v>45819</v>
      </c>
      <c r="J1828" s="90" t="str">
        <f>IF(Table26[[#This Row],[customerSKU]]="","",_xlfn.XLOOKUP(Table26[[#This Row],[customerSKU]],customerSKU!G:G,customerSKU!A:A,"",0,1))</f>
        <v/>
      </c>
      <c r="K1828" s="232">
        <v>45819</v>
      </c>
      <c r="L1828" s="49" t="str">
        <f>IF(Table26[[#This Row],[customerSKU]]="","",_xlfn.XLOOKUP(Table26[[#This Row],[customerSKU]],customerSKU!G:G,customerSKU!B:B,"",0,1))</f>
        <v/>
      </c>
      <c r="M1828" s="22"/>
      <c r="N1828" s="15" t="str">
        <f>Table26[[#This Row],[po_number]]&amp;"-"&amp;Table26[[#This Row],[po_line]]</f>
        <v>-1</v>
      </c>
      <c r="O1828" s="15">
        <v>1</v>
      </c>
      <c r="P1828" s="50"/>
      <c r="Q1828" s="22" t="s">
        <v>591</v>
      </c>
      <c r="R1828" s="22" t="s">
        <v>532</v>
      </c>
      <c r="S1828" s="90" t="str">
        <f>IF(Table26[[#This Row],[customerSKU]]="","",_xlfn.XLOOKUP(Table26[[#This Row],[customerSKU]],customerSKU!G:G,customerSKU!N:N,"NOT FOUND",0,1))</f>
        <v>NOT FOUND</v>
      </c>
      <c r="T1828" s="20">
        <v>45783</v>
      </c>
      <c r="U1828" s="94">
        <v>12</v>
      </c>
      <c r="V1828" s="22" t="str">
        <f>IF(ISBLANK(Table26[[#This Row],[customerSKU]]),"",_xlfn.XLOOKUP(Table26[[#This Row],[customerSKU]],Table27[customer_SKU],Table27[case_size],"",0,1))</f>
        <v/>
      </c>
      <c r="W1828" s="117" t="str">
        <f t="shared" si="75"/>
        <v/>
      </c>
      <c r="X1828" s="22" t="str">
        <f t="shared" si="74"/>
        <v/>
      </c>
      <c r="Y1828" s="25" t="str">
        <f>IF(Table26[[#This Row],[customerSKU]]="","",_xlfn.XLOOKUP(Table26[[#This Row],[customerSKU]],Table27[customer_SKU],Table27[product_GTIN],"",0,1))</f>
        <v/>
      </c>
      <c r="Z1828" s="25" t="s">
        <v>3525</v>
      </c>
      <c r="AA1828" s="18" t="str" cm="1">
        <f t="array" ref="AA1828">IF(P1828="", "", _xlfn.XLOOKUP(P1828,#REF!,#REF!,NA,0,-1))</f>
        <v/>
      </c>
      <c r="AB1828" s="22"/>
      <c r="AC1828" s="55" t="s">
        <v>188</v>
      </c>
      <c r="AD1828" s="55" t="str">
        <f>IF($AC1828="","",_xlfn.XLOOKUP($AC1828,'Client Info'!$C$2:$C$2497,'Client Info'!$D$2:$D$2497,"",0,1))</f>
        <v/>
      </c>
      <c r="AE1828" s="55" t="str">
        <f>IF($AC1828="","",_xlfn.XLOOKUP($AC1828,'Client Info'!$C$2:$C$2677,'Client Info'!$E$2:$E$2677,"",))</f>
        <v/>
      </c>
      <c r="AF1828" s="55" t="str">
        <f>IF($AC1828="","",_xlfn.XLOOKUP($AC1828,'Client Info'!$C$2:$C$2677,'Client Info'!$F$2:$F$2677,"",0,1))</f>
        <v/>
      </c>
      <c r="AG1828" s="55" t="s">
        <v>188</v>
      </c>
      <c r="AH1828" s="26" t="str">
        <f>_xlfn.XLOOKUP(Table26[[#This Row],[customerSKU]],customerSKU!G:G,customerSKU!K:K,"NA",0,1)</f>
        <v>NA</v>
      </c>
      <c r="AI1828" s="43" t="str">
        <f>_xlfn.XLOOKUP(Table26[[#This Row],[customerSKU]],customerSKU!G:G,customerSKU!O:O,"not found",0,1)</f>
        <v>not found</v>
      </c>
      <c r="AJ1828" s="22" t="e">
        <f>Table26[[#This Row],[unitprice]]*Table26[[#This Row],[quantity_unit]]</f>
        <v>#VALUE!</v>
      </c>
      <c r="AK1828" s="227" t="e" cm="1">
        <f t="array" ref="AK18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29" spans="1:37" ht="18" customHeight="1">
      <c r="A1829" s="42">
        <v>426</v>
      </c>
      <c r="B1829" s="42" t="s">
        <v>3520</v>
      </c>
      <c r="C1829" s="53" t="s">
        <v>3488</v>
      </c>
      <c r="E1829" s="20"/>
      <c r="F18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29" s="393"/>
      <c r="I1829" s="203">
        <v>45819</v>
      </c>
      <c r="J1829" s="90" t="str">
        <f>IF(Table26[[#This Row],[customerSKU]]="","",_xlfn.XLOOKUP(Table26[[#This Row],[customerSKU]],customerSKU!G:G,customerSKU!A:A,"",0,1))</f>
        <v/>
      </c>
      <c r="K1829" s="232">
        <v>45819</v>
      </c>
      <c r="L1829" s="49" t="str">
        <f>IF(Table26[[#This Row],[customerSKU]]="","",_xlfn.XLOOKUP(Table26[[#This Row],[customerSKU]],customerSKU!G:G,customerSKU!B:B,"",0,1))</f>
        <v/>
      </c>
      <c r="M1829" s="22"/>
      <c r="N1829" s="15" t="str">
        <f>Table26[[#This Row],[po_number]]&amp;"-"&amp;Table26[[#This Row],[po_line]]</f>
        <v>-2</v>
      </c>
      <c r="O1829" s="15">
        <v>2</v>
      </c>
      <c r="P1829" s="50"/>
      <c r="Q1829" s="22" t="s">
        <v>574</v>
      </c>
      <c r="R1829" s="22" t="s">
        <v>532</v>
      </c>
      <c r="S1829" s="90" t="s">
        <v>13</v>
      </c>
      <c r="T1829" s="20">
        <v>45818</v>
      </c>
      <c r="U1829" s="94">
        <v>24</v>
      </c>
      <c r="V1829" s="22" t="str">
        <f>IF(ISBLANK(Table26[[#This Row],[customerSKU]]),"",_xlfn.XLOOKUP(Table26[[#This Row],[customerSKU]],Table27[customer_SKU],Table27[case_size],"",0,1))</f>
        <v/>
      </c>
      <c r="W1829" s="117" t="str">
        <f t="shared" si="75"/>
        <v/>
      </c>
      <c r="X1829" s="22" t="str">
        <f t="shared" si="74"/>
        <v/>
      </c>
      <c r="Y1829" s="25" t="str">
        <f>IF(Table26[[#This Row],[customerSKU]]="","",_xlfn.XLOOKUP(Table26[[#This Row],[customerSKU]],Table27[customer_SKU],Table27[product_GTIN],"",0,1))</f>
        <v/>
      </c>
      <c r="Z1829" s="25" t="s">
        <v>3530</v>
      </c>
      <c r="AA1829" s="18" t="str" cm="1">
        <f t="array" ref="AA1829">IF(P1829="", "", _xlfn.XLOOKUP(P1829,#REF!,#REF!,NA,0,-1))</f>
        <v/>
      </c>
      <c r="AB1829" s="22"/>
      <c r="AC1829" s="55" t="s">
        <v>188</v>
      </c>
      <c r="AD1829" s="55" t="str">
        <f>IF($AC1829="","",_xlfn.XLOOKUP($AC1829,'Client Info'!$C$2:$C$2497,'Client Info'!$D$2:$D$2497,"",0,1))</f>
        <v/>
      </c>
      <c r="AE1829" s="55" t="str">
        <f>IF($AC1829="","",_xlfn.XLOOKUP($AC1829,'Client Info'!$C$2:$C$2677,'Client Info'!$E$2:$E$2677,"",))</f>
        <v/>
      </c>
      <c r="AF1829" s="55" t="str">
        <f>IF($AC1829="","",_xlfn.XLOOKUP($AC1829,'Client Info'!$C$2:$C$2677,'Client Info'!$F$2:$F$2677,"",0,1))</f>
        <v/>
      </c>
      <c r="AG1829" s="55" t="s">
        <v>188</v>
      </c>
      <c r="AH1829" s="26" t="str">
        <f>_xlfn.XLOOKUP(Table26[[#This Row],[customerSKU]],customerSKU!G:G,customerSKU!K:K,"NA",0,1)</f>
        <v>NA</v>
      </c>
      <c r="AI1829" s="43" t="str">
        <f>_xlfn.XLOOKUP(Table26[[#This Row],[customerSKU]],customerSKU!G:G,customerSKU!O:O,"not found",0,1)</f>
        <v>not found</v>
      </c>
      <c r="AJ1829" s="22" t="e">
        <f>Table26[[#This Row],[unitprice]]*Table26[[#This Row],[quantity_unit]]</f>
        <v>#VALUE!</v>
      </c>
      <c r="AK1829" s="227" t="e" cm="1">
        <f t="array" ref="AK18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0" spans="1:37" ht="18" customHeight="1">
      <c r="A1830" s="42">
        <v>427</v>
      </c>
      <c r="B1830" s="42" t="s">
        <v>3520</v>
      </c>
      <c r="C1830" s="53" t="s">
        <v>3360</v>
      </c>
      <c r="E1830" s="20"/>
      <c r="F18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0" s="93"/>
      <c r="I1830" s="203">
        <v>45819</v>
      </c>
      <c r="J1830" s="90" t="str">
        <f>IF(Table26[[#This Row],[customerSKU]]="","",_xlfn.XLOOKUP(Table26[[#This Row],[customerSKU]],customerSKU!G:G,customerSKU!A:A,"",0,1))</f>
        <v/>
      </c>
      <c r="K1830" s="232">
        <v>45819</v>
      </c>
      <c r="L1830" s="49" t="str">
        <f>IF(Table26[[#This Row],[customerSKU]]="","",_xlfn.XLOOKUP(Table26[[#This Row],[customerSKU]],customerSKU!G:G,customerSKU!B:B,"",0,1))</f>
        <v/>
      </c>
      <c r="M1830" s="22"/>
      <c r="N1830" s="15" t="str">
        <f>Table26[[#This Row],[po_number]]&amp;"-"&amp;Table26[[#This Row],[po_line]]</f>
        <v>-1</v>
      </c>
      <c r="O1830" s="15">
        <v>1</v>
      </c>
      <c r="P1830" s="50"/>
      <c r="S1830" s="90" t="str">
        <f>IF(Table26[[#This Row],[customerSKU]]="","",_xlfn.XLOOKUP(Table26[[#This Row],[customerSKU]],customerSKU!G:G,customerSKU!N:N,"NOT FOUND",0,1))</f>
        <v>NOT FOUND</v>
      </c>
      <c r="T1830" s="20"/>
      <c r="U1830" s="94">
        <v>12</v>
      </c>
      <c r="V1830" s="22" t="str">
        <f>IF(ISBLANK(Table26[[#This Row],[customerSKU]]),"",_xlfn.XLOOKUP(Table26[[#This Row],[customerSKU]],Table27[customer_SKU],Table27[case_size],"",0,1))</f>
        <v/>
      </c>
      <c r="W1830" s="117" t="str">
        <f t="shared" si="75"/>
        <v/>
      </c>
      <c r="X1830" s="22" t="str">
        <f t="shared" si="74"/>
        <v/>
      </c>
      <c r="Y1830" s="25" t="str">
        <f>IF(Table26[[#This Row],[customerSKU]]="","",_xlfn.XLOOKUP(Table26[[#This Row],[customerSKU]],Table27[customer_SKU],Table27[product_GTIN],"",0,1))</f>
        <v/>
      </c>
      <c r="Z1830" s="25" t="s">
        <v>3451</v>
      </c>
      <c r="AA1830" s="18" t="str" cm="1">
        <f t="array" ref="AA1830">IF(P1830="", "", _xlfn.XLOOKUP(P1830,#REF!,#REF!,NA,0,-1))</f>
        <v/>
      </c>
      <c r="AB1830" s="22"/>
      <c r="AC1830" s="55" t="str">
        <f>IF(Table26[[#This Row],[customerSKU]]="","",_xlfn.XLOOKUP(Table26[[#This Row],[customerSKU]],customerSKU!G:G,customerSKU!C:C,"",0,1))</f>
        <v/>
      </c>
      <c r="AD1830" s="55" t="str">
        <f>IF($AC1830="","",_xlfn.XLOOKUP($AC1830,'Client Info'!$C$2:$C$2497,'Client Info'!$D$2:$D$2497,"",0,1))</f>
        <v/>
      </c>
      <c r="AE1830" s="55" t="str">
        <f>IF($AC1830="","",_xlfn.XLOOKUP($AC1830,'Client Info'!$C$2:$C$2677,'Client Info'!$E$2:$E$2677,"",))</f>
        <v/>
      </c>
      <c r="AF1830" s="55" t="str">
        <f>IF($AC1830="","",_xlfn.XLOOKUP($AC1830,'Client Info'!$C$2:$C$2677,'Client Info'!$F$2:$F$2677,"",0,1))</f>
        <v/>
      </c>
      <c r="AG1830" s="55" t="str">
        <f>IF(ISBLANK(Table26[[#This Row],[customerSKU]]),"",_xlfn.XLOOKUP(Table26[[#This Row],[customerSKU]],Table27[customer_SKU],Table27[billto],"",0,1))</f>
        <v/>
      </c>
      <c r="AH1830" s="26" t="str">
        <f>_xlfn.XLOOKUP(Table26[[#This Row],[customerSKU]],customerSKU!G:G,customerSKU!K:K,"NA",0,1)</f>
        <v>NA</v>
      </c>
      <c r="AI1830" s="43" t="str">
        <f>_xlfn.XLOOKUP(Table26[[#This Row],[customerSKU]],customerSKU!G:G,customerSKU!O:O,"not found",0,1)</f>
        <v>not found</v>
      </c>
      <c r="AJ1830" s="22" t="e">
        <f>Table26[[#This Row],[unitprice]]*Table26[[#This Row],[quantity_unit]]</f>
        <v>#VALUE!</v>
      </c>
      <c r="AK1830" s="227" t="e" cm="1">
        <f t="array" ref="AK18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1" spans="1:37" ht="18" customHeight="1">
      <c r="A1831" s="42">
        <v>414</v>
      </c>
      <c r="B1831" s="42" t="s">
        <v>3520</v>
      </c>
      <c r="C1831" s="53" t="s">
        <v>3488</v>
      </c>
      <c r="E1831" s="20"/>
      <c r="F18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1" s="93"/>
      <c r="I1831" s="203">
        <v>45818</v>
      </c>
      <c r="J1831" s="90" t="str">
        <f>IF(Table26[[#This Row],[customerSKU]]="","",_xlfn.XLOOKUP(Table26[[#This Row],[customerSKU]],customerSKU!G:G,customerSKU!A:A,"",0,1))</f>
        <v/>
      </c>
      <c r="K1831" s="232">
        <v>45820</v>
      </c>
      <c r="L1831" s="49" t="str">
        <f>IF(Table26[[#This Row],[customerSKU]]="","",_xlfn.XLOOKUP(Table26[[#This Row],[customerSKU]],customerSKU!G:G,customerSKU!B:B,"",0,1))</f>
        <v/>
      </c>
      <c r="M1831" s="22"/>
      <c r="N1831" s="15" t="str">
        <f>Table26[[#This Row],[po_number]]&amp;"-"&amp;Table26[[#This Row],[po_line]]</f>
        <v>-1</v>
      </c>
      <c r="O1831" s="15">
        <v>1</v>
      </c>
      <c r="P1831" s="50"/>
      <c r="Q1831" s="22" t="s">
        <v>3580</v>
      </c>
      <c r="R1831" s="22" t="s">
        <v>532</v>
      </c>
      <c r="S1831" s="90" t="str">
        <f>IF(Table26[[#This Row],[customerSKU]]="","",_xlfn.XLOOKUP(Table26[[#This Row],[customerSKU]],customerSKU!G:G,customerSKU!N:N,"NOT FOUND",0,1))</f>
        <v>NOT FOUND</v>
      </c>
      <c r="T1831" s="20">
        <v>45817</v>
      </c>
      <c r="U1831" s="94">
        <v>2220</v>
      </c>
      <c r="V1831" s="22" t="str">
        <f>IF(ISBLANK(Table26[[#This Row],[customerSKU]]),"",_xlfn.XLOOKUP(Table26[[#This Row],[customerSKU]],Table27[customer_SKU],Table27[case_size],"",0,1))</f>
        <v/>
      </c>
      <c r="W1831" s="117" t="str">
        <f t="shared" si="75"/>
        <v/>
      </c>
      <c r="X1831" s="22" t="str">
        <f t="shared" si="74"/>
        <v/>
      </c>
      <c r="Y1831" s="25" t="str">
        <f>IF(Table26[[#This Row],[customerSKU]]="","",_xlfn.XLOOKUP(Table26[[#This Row],[customerSKU]],Table27[customer_SKU],Table27[product_GTIN],"",0,1))</f>
        <v/>
      </c>
      <c r="Z1831" s="25" t="s">
        <v>3658</v>
      </c>
      <c r="AA1831" s="18" t="str" cm="1">
        <f t="array" ref="AA1831">IF(P1831="", "", _xlfn.XLOOKUP(P1831,#REF!,#REF!,NA,0,-1))</f>
        <v/>
      </c>
      <c r="AB1831" s="22"/>
      <c r="AC1831" s="55" t="str">
        <f>IF(Table26[[#This Row],[customerSKU]]="","",_xlfn.XLOOKUP(Table26[[#This Row],[customerSKU]],customerSKU!G:G,customerSKU!C:C,"",0,1))</f>
        <v/>
      </c>
      <c r="AD1831" s="55" t="str">
        <f>IF($AC1831="","",_xlfn.XLOOKUP($AC1831,'Client Info'!$C$2:$C$2497,'Client Info'!$D$2:$D$2497,"",0,1))</f>
        <v/>
      </c>
      <c r="AE1831" s="55" t="str">
        <f>IF($AC1831="","",_xlfn.XLOOKUP($AC1831,'Client Info'!$C$2:$C$2677,'Client Info'!$E$2:$E$2677,"",))</f>
        <v/>
      </c>
      <c r="AF1831" s="55" t="str">
        <f>IF($AC1831="","",_xlfn.XLOOKUP($AC1831,'Client Info'!$C$2:$C$2677,'Client Info'!$F$2:$F$2677,"",0,1))</f>
        <v/>
      </c>
      <c r="AG1831" s="55" t="str">
        <f>IF(ISBLANK(Table26[[#This Row],[customerSKU]]),"",_xlfn.XLOOKUP(Table26[[#This Row],[customerSKU]],Table27[customer_SKU],Table27[billto],"",0,1))</f>
        <v/>
      </c>
      <c r="AH1831" s="26" t="str">
        <f>_xlfn.XLOOKUP(Table26[[#This Row],[customerSKU]],customerSKU!G:G,customerSKU!K:K,"NA",0,1)</f>
        <v>NA</v>
      </c>
      <c r="AI1831" s="43" t="str">
        <f>_xlfn.XLOOKUP(Table26[[#This Row],[customerSKU]],customerSKU!G:G,customerSKU!O:O,"not found",0,1)</f>
        <v>not found</v>
      </c>
      <c r="AJ1831" s="22" t="e">
        <f>Table26[[#This Row],[unitprice]]*Table26[[#This Row],[quantity_unit]]</f>
        <v>#VALUE!</v>
      </c>
      <c r="AK1831" s="227" t="e" cm="1">
        <f t="array" ref="AK18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2" spans="1:37" ht="18" customHeight="1">
      <c r="A1832" s="42">
        <v>415</v>
      </c>
      <c r="B1832" s="42" t="s">
        <v>3520</v>
      </c>
      <c r="C1832" s="53" t="s">
        <v>3488</v>
      </c>
      <c r="E1832" s="20"/>
      <c r="F18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2" s="93"/>
      <c r="I1832" s="203">
        <v>45818</v>
      </c>
      <c r="J1832" s="90" t="str">
        <f>IF(Table26[[#This Row],[customerSKU]]="","",_xlfn.XLOOKUP(Table26[[#This Row],[customerSKU]],customerSKU!G:G,customerSKU!A:A,"",0,1))</f>
        <v/>
      </c>
      <c r="K1832" s="232">
        <v>45820</v>
      </c>
      <c r="L1832" s="49" t="str">
        <f>IF(Table26[[#This Row],[customerSKU]]="","",_xlfn.XLOOKUP(Table26[[#This Row],[customerSKU]],customerSKU!G:G,customerSKU!B:B,"",0,1))</f>
        <v/>
      </c>
      <c r="M1832" s="22"/>
      <c r="N1832" s="15" t="str">
        <f>Table26[[#This Row],[po_number]]&amp;"-"&amp;Table26[[#This Row],[po_line]]</f>
        <v>-2</v>
      </c>
      <c r="O1832" s="15">
        <v>2</v>
      </c>
      <c r="P1832" s="50"/>
      <c r="Q1832" s="22" t="s">
        <v>1854</v>
      </c>
      <c r="R1832" s="22" t="s">
        <v>532</v>
      </c>
      <c r="S1832" s="90" t="str">
        <f>IF(Table26[[#This Row],[customerSKU]]="","",_xlfn.XLOOKUP(Table26[[#This Row],[customerSKU]],customerSKU!G:G,customerSKU!N:N,"NOT FOUND",0,1))</f>
        <v>NOT FOUND</v>
      </c>
      <c r="T1832" s="20">
        <v>45817</v>
      </c>
      <c r="U1832" s="94">
        <v>180</v>
      </c>
      <c r="V1832" s="22" t="str">
        <f>IF(ISBLANK(Table26[[#This Row],[customerSKU]]),"",_xlfn.XLOOKUP(Table26[[#This Row],[customerSKU]],Table27[customer_SKU],Table27[case_size],"",0,1))</f>
        <v/>
      </c>
      <c r="W1832" s="117" t="str">
        <f t="shared" si="75"/>
        <v/>
      </c>
      <c r="X1832" s="22" t="str">
        <f t="shared" si="74"/>
        <v/>
      </c>
      <c r="Y1832" s="25" t="str">
        <f>IF(Table26[[#This Row],[customerSKU]]="","",_xlfn.XLOOKUP(Table26[[#This Row],[customerSKU]],Table27[customer_SKU],Table27[product_GTIN],"",0,1))</f>
        <v/>
      </c>
      <c r="Z1832" s="25" t="s">
        <v>3658</v>
      </c>
      <c r="AA1832" s="18" t="str" cm="1">
        <f t="array" ref="AA1832">IF(P1832="", "", _xlfn.XLOOKUP(P1832,#REF!,#REF!,NA,0,-1))</f>
        <v/>
      </c>
      <c r="AB1832" s="22"/>
      <c r="AC1832" s="55" t="str">
        <f>IF(Table26[[#This Row],[customerSKU]]="","",_xlfn.XLOOKUP(Table26[[#This Row],[customerSKU]],customerSKU!G:G,customerSKU!C:C,"",0,1))</f>
        <v/>
      </c>
      <c r="AD1832" s="55" t="str">
        <f>IF($AC1832="","",_xlfn.XLOOKUP($AC1832,'Client Info'!$C$2:$C$2497,'Client Info'!$D$2:$D$2497,"",0,1))</f>
        <v/>
      </c>
      <c r="AE1832" s="55" t="str">
        <f>IF($AC1832="","",_xlfn.XLOOKUP($AC1832,'Client Info'!$C$2:$C$2677,'Client Info'!$E$2:$E$2677,"",))</f>
        <v/>
      </c>
      <c r="AF1832" s="55" t="str">
        <f>IF($AC1832="","",_xlfn.XLOOKUP($AC1832,'Client Info'!$C$2:$C$2677,'Client Info'!$F$2:$F$2677,"",0,1))</f>
        <v/>
      </c>
      <c r="AG1832" s="55" t="str">
        <f>IF(ISBLANK(Table26[[#This Row],[customerSKU]]),"",_xlfn.XLOOKUP(Table26[[#This Row],[customerSKU]],Table27[customer_SKU],Table27[billto],"",0,1))</f>
        <v/>
      </c>
      <c r="AH1832" s="26" t="str">
        <f>_xlfn.XLOOKUP(Table26[[#This Row],[customerSKU]],customerSKU!G:G,customerSKU!K:K,"NA",0,1)</f>
        <v>NA</v>
      </c>
      <c r="AI1832" s="43" t="str">
        <f>_xlfn.XLOOKUP(Table26[[#This Row],[customerSKU]],customerSKU!G:G,customerSKU!O:O,"not found",0,1)</f>
        <v>not found</v>
      </c>
      <c r="AJ1832" s="22" t="e">
        <f>Table26[[#This Row],[unitprice]]*Table26[[#This Row],[quantity_unit]]</f>
        <v>#VALUE!</v>
      </c>
      <c r="AK1832" s="227" t="e" cm="1">
        <f t="array" ref="AK18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3" spans="1:37" ht="18" customHeight="1">
      <c r="A1833" s="42">
        <v>416</v>
      </c>
      <c r="B1833" s="42" t="s">
        <v>3520</v>
      </c>
      <c r="C1833" s="53" t="s">
        <v>3488</v>
      </c>
      <c r="E1833" s="20"/>
      <c r="F18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3" s="93"/>
      <c r="I1833" s="203">
        <v>45820</v>
      </c>
      <c r="J1833" s="90" t="str">
        <f>IF(Table26[[#This Row],[customerSKU]]="","",_xlfn.XLOOKUP(Table26[[#This Row],[customerSKU]],customerSKU!G:G,customerSKU!A:A,"",0,1))</f>
        <v/>
      </c>
      <c r="K1833" s="232">
        <v>45820</v>
      </c>
      <c r="L1833" s="49" t="str">
        <f>IF(Table26[[#This Row],[customerSKU]]="","",_xlfn.XLOOKUP(Table26[[#This Row],[customerSKU]],customerSKU!G:G,customerSKU!B:B,"",0,1))</f>
        <v/>
      </c>
      <c r="M1833" s="22"/>
      <c r="N1833" s="15" t="str">
        <f>Table26[[#This Row],[po_number]]&amp;"-"&amp;Table26[[#This Row],[po_line]]</f>
        <v>-1</v>
      </c>
      <c r="O1833" s="15">
        <v>1</v>
      </c>
      <c r="P1833" s="50"/>
      <c r="Q1833" s="22" t="s">
        <v>585</v>
      </c>
      <c r="R1833" s="22" t="s">
        <v>532</v>
      </c>
      <c r="S1833" s="90" t="s">
        <v>18</v>
      </c>
      <c r="T1833" s="20">
        <v>45803</v>
      </c>
      <c r="U1833" s="94">
        <v>1</v>
      </c>
      <c r="V1833" s="22" t="str">
        <f>IF(ISBLANK(Table26[[#This Row],[customerSKU]]),"",_xlfn.XLOOKUP(Table26[[#This Row],[customerSKU]],Table27[customer_SKU],Table27[case_size],"",0,1))</f>
        <v/>
      </c>
      <c r="W1833" s="117" t="str">
        <f t="shared" si="75"/>
        <v/>
      </c>
      <c r="X1833" s="22" t="str">
        <f t="shared" si="74"/>
        <v/>
      </c>
      <c r="Y1833" s="25" t="str">
        <f>IF(Table26[[#This Row],[customerSKU]]="","",_xlfn.XLOOKUP(Table26[[#This Row],[customerSKU]],Table27[customer_SKU],Table27[product_GTIN],"",0,1))</f>
        <v/>
      </c>
      <c r="Z1833" s="25" t="s">
        <v>3660</v>
      </c>
      <c r="AA1833" s="18" t="str" cm="1">
        <f t="array" ref="AA1833">IF(P1833="", "", _xlfn.XLOOKUP(P1833,#REF!,#REF!,NA,0,-1))</f>
        <v/>
      </c>
      <c r="AB1833" s="22"/>
      <c r="AC1833" s="55" t="s">
        <v>3661</v>
      </c>
      <c r="AD1833" s="55" t="s">
        <v>3662</v>
      </c>
      <c r="AE1833" s="55" t="s">
        <v>23</v>
      </c>
      <c r="AF1833" s="55" t="s">
        <v>18</v>
      </c>
      <c r="AG1833" s="55" t="s">
        <v>55</v>
      </c>
      <c r="AH1833" s="26" t="str">
        <f>_xlfn.XLOOKUP(Table26[[#This Row],[customerSKU]],customerSKU!G:G,customerSKU!K:K,"NA",0,1)</f>
        <v>NA</v>
      </c>
      <c r="AI1833" s="43" t="str">
        <f>_xlfn.XLOOKUP(Table26[[#This Row],[customerSKU]],customerSKU!G:G,customerSKU!O:O,"not found",0,1)</f>
        <v>not found</v>
      </c>
      <c r="AJ1833" s="22" t="e">
        <f>Table26[[#This Row],[unitprice]]*Table26[[#This Row],[quantity_unit]]</f>
        <v>#VALUE!</v>
      </c>
      <c r="AK1833" s="227" t="e" cm="1">
        <f t="array" ref="AK18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4" spans="1:37" ht="18" customHeight="1">
      <c r="A1834" s="42">
        <v>417</v>
      </c>
      <c r="B1834" s="42" t="s">
        <v>3520</v>
      </c>
      <c r="C1834" s="53" t="s">
        <v>3488</v>
      </c>
      <c r="E1834" s="20"/>
      <c r="F18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4" s="93"/>
      <c r="I1834" s="203">
        <v>45820</v>
      </c>
      <c r="J1834" s="90" t="str">
        <f>IF(Table26[[#This Row],[customerSKU]]="","",_xlfn.XLOOKUP(Table26[[#This Row],[customerSKU]],customerSKU!G:G,customerSKU!A:A,"",0,1))</f>
        <v/>
      </c>
      <c r="K1834" s="232">
        <v>45820</v>
      </c>
      <c r="L1834" s="49" t="str">
        <f>IF(Table26[[#This Row],[customerSKU]]="","",_xlfn.XLOOKUP(Table26[[#This Row],[customerSKU]],customerSKU!G:G,customerSKU!B:B,"",0,1))</f>
        <v/>
      </c>
      <c r="M1834" s="22"/>
      <c r="N1834" s="15" t="str">
        <f>Table26[[#This Row],[po_number]]&amp;"-"&amp;Table26[[#This Row],[po_line]]</f>
        <v>-2</v>
      </c>
      <c r="O1834" s="15">
        <v>2</v>
      </c>
      <c r="P1834" s="50"/>
      <c r="Q1834" s="22" t="s">
        <v>1172</v>
      </c>
      <c r="R1834" s="22" t="s">
        <v>532</v>
      </c>
      <c r="S1834" s="90" t="s">
        <v>18</v>
      </c>
      <c r="T1834" s="20">
        <v>45588</v>
      </c>
      <c r="U1834" s="94">
        <v>1</v>
      </c>
      <c r="V1834" s="22" t="str">
        <f>IF(ISBLANK(Table26[[#This Row],[customerSKU]]),"",_xlfn.XLOOKUP(Table26[[#This Row],[customerSKU]],Table27[customer_SKU],Table27[case_size],"",0,1))</f>
        <v/>
      </c>
      <c r="W1834" s="117" t="str">
        <f t="shared" si="75"/>
        <v/>
      </c>
      <c r="X1834" s="22" t="str">
        <f t="shared" si="74"/>
        <v/>
      </c>
      <c r="Y1834" s="25" t="str">
        <f>IF(Table26[[#This Row],[customerSKU]]="","",_xlfn.XLOOKUP(Table26[[#This Row],[customerSKU]],Table27[customer_SKU],Table27[product_GTIN],"",0,1))</f>
        <v/>
      </c>
      <c r="Z1834" s="25" t="s">
        <v>3660</v>
      </c>
      <c r="AA1834" s="18" t="str" cm="1">
        <f t="array" ref="AA1834">IF(P1834="", "", _xlfn.XLOOKUP(P1834,#REF!,#REF!,NA,0,-1))</f>
        <v/>
      </c>
      <c r="AB1834" s="22"/>
      <c r="AC1834" s="55" t="s">
        <v>3661</v>
      </c>
      <c r="AD1834" s="55" t="s">
        <v>3662</v>
      </c>
      <c r="AE1834" s="55" t="s">
        <v>23</v>
      </c>
      <c r="AF1834" s="55" t="s">
        <v>18</v>
      </c>
      <c r="AG1834" s="55" t="s">
        <v>55</v>
      </c>
      <c r="AH1834" s="26" t="str">
        <f>_xlfn.XLOOKUP(Table26[[#This Row],[customerSKU]],customerSKU!G:G,customerSKU!K:K,"NA",0,1)</f>
        <v>NA</v>
      </c>
      <c r="AI1834" s="43" t="str">
        <f>_xlfn.XLOOKUP(Table26[[#This Row],[customerSKU]],customerSKU!G:G,customerSKU!O:O,"not found",0,1)</f>
        <v>not found</v>
      </c>
      <c r="AJ1834" s="22" t="e">
        <f>Table26[[#This Row],[unitprice]]*Table26[[#This Row],[quantity_unit]]</f>
        <v>#VALUE!</v>
      </c>
      <c r="AK1834" s="227" t="e" cm="1">
        <f t="array" ref="AK18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5" spans="1:37" ht="18" customHeight="1">
      <c r="A1835" s="42">
        <v>418</v>
      </c>
      <c r="B1835" s="42" t="s">
        <v>3520</v>
      </c>
      <c r="C1835" s="53" t="s">
        <v>3488</v>
      </c>
      <c r="E1835" s="20"/>
      <c r="F18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5" s="93"/>
      <c r="I1835" s="203">
        <v>45820</v>
      </c>
      <c r="J1835" s="90" t="str">
        <f>IF(Table26[[#This Row],[customerSKU]]="","",_xlfn.XLOOKUP(Table26[[#This Row],[customerSKU]],customerSKU!G:G,customerSKU!A:A,"",0,1))</f>
        <v/>
      </c>
      <c r="K1835" s="232">
        <v>45820</v>
      </c>
      <c r="L1835" s="49" t="str">
        <f>IF(Table26[[#This Row],[customerSKU]]="","",_xlfn.XLOOKUP(Table26[[#This Row],[customerSKU]],customerSKU!G:G,customerSKU!B:B,"",0,1))</f>
        <v/>
      </c>
      <c r="M1835" s="22"/>
      <c r="N1835" s="15" t="str">
        <f>Table26[[#This Row],[po_number]]&amp;"-"&amp;Table26[[#This Row],[po_line]]</f>
        <v>-3</v>
      </c>
      <c r="O1835" s="15">
        <v>3</v>
      </c>
      <c r="P1835" s="50"/>
      <c r="Q1835" s="22" t="s">
        <v>3284</v>
      </c>
      <c r="R1835" s="22" t="s">
        <v>532</v>
      </c>
      <c r="S1835" s="90" t="s">
        <v>18</v>
      </c>
      <c r="T1835" s="20">
        <v>45721</v>
      </c>
      <c r="U1835" s="94">
        <v>1</v>
      </c>
      <c r="V1835" s="22" t="str">
        <f>IF(ISBLANK(Table26[[#This Row],[customerSKU]]),"",_xlfn.XLOOKUP(Table26[[#This Row],[customerSKU]],Table27[customer_SKU],Table27[case_size],"",0,1))</f>
        <v/>
      </c>
      <c r="W1835" s="117" t="str">
        <f t="shared" si="75"/>
        <v/>
      </c>
      <c r="X1835" s="22" t="str">
        <f t="shared" si="74"/>
        <v/>
      </c>
      <c r="Y1835" s="25" t="str">
        <f>IF(Table26[[#This Row],[customerSKU]]="","",_xlfn.XLOOKUP(Table26[[#This Row],[customerSKU]],Table27[customer_SKU],Table27[product_GTIN],"",0,1))</f>
        <v/>
      </c>
      <c r="Z1835" s="25" t="s">
        <v>3660</v>
      </c>
      <c r="AA1835" s="18" t="str" cm="1">
        <f t="array" ref="AA1835">IF(P1835="", "", _xlfn.XLOOKUP(P1835,#REF!,#REF!,NA,0,-1))</f>
        <v/>
      </c>
      <c r="AB1835" s="22"/>
      <c r="AC1835" s="55" t="s">
        <v>3661</v>
      </c>
      <c r="AD1835" s="55" t="s">
        <v>3662</v>
      </c>
      <c r="AE1835" s="55" t="s">
        <v>23</v>
      </c>
      <c r="AF1835" s="55" t="s">
        <v>18</v>
      </c>
      <c r="AG1835" s="55" t="s">
        <v>55</v>
      </c>
      <c r="AH1835" s="26" t="str">
        <f>_xlfn.XLOOKUP(Table26[[#This Row],[customerSKU]],customerSKU!G:G,customerSKU!K:K,"NA",0,1)</f>
        <v>NA</v>
      </c>
      <c r="AI1835" s="43" t="str">
        <f>_xlfn.XLOOKUP(Table26[[#This Row],[customerSKU]],customerSKU!G:G,customerSKU!O:O,"not found",0,1)</f>
        <v>not found</v>
      </c>
      <c r="AJ1835" s="22" t="e">
        <f>Table26[[#This Row],[unitprice]]*Table26[[#This Row],[quantity_unit]]</f>
        <v>#VALUE!</v>
      </c>
      <c r="AK1835" s="227" t="e" cm="1">
        <f t="array" ref="AK18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6" spans="1:37" ht="18" customHeight="1">
      <c r="A1836" s="42">
        <v>419</v>
      </c>
      <c r="B1836" s="42" t="s">
        <v>3520</v>
      </c>
      <c r="C1836" s="53" t="s">
        <v>3488</v>
      </c>
      <c r="E1836" s="20"/>
      <c r="F18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6" s="93"/>
      <c r="I1836" s="203">
        <v>45820</v>
      </c>
      <c r="J1836" s="90" t="str">
        <f>IF(Table26[[#This Row],[customerSKU]]="","",_xlfn.XLOOKUP(Table26[[#This Row],[customerSKU]],customerSKU!G:G,customerSKU!A:A,"",0,1))</f>
        <v/>
      </c>
      <c r="K1836" s="232">
        <v>45820</v>
      </c>
      <c r="L1836" s="49" t="str">
        <f>IF(Table26[[#This Row],[customerSKU]]="","",_xlfn.XLOOKUP(Table26[[#This Row],[customerSKU]],customerSKU!G:G,customerSKU!B:B,"",0,1))</f>
        <v/>
      </c>
      <c r="M1836" s="22"/>
      <c r="N1836" s="15" t="str">
        <f>Table26[[#This Row],[po_number]]&amp;"-"&amp;Table26[[#This Row],[po_line]]</f>
        <v>-4</v>
      </c>
      <c r="O1836" s="15">
        <v>4</v>
      </c>
      <c r="P1836" s="50"/>
      <c r="Q1836" s="22" t="s">
        <v>574</v>
      </c>
      <c r="R1836" s="22" t="s">
        <v>532</v>
      </c>
      <c r="S1836" s="90" t="s">
        <v>18</v>
      </c>
      <c r="T1836" s="20">
        <v>45818</v>
      </c>
      <c r="U1836" s="94">
        <v>1</v>
      </c>
      <c r="V1836" s="22" t="str">
        <f>IF(ISBLANK(Table26[[#This Row],[customerSKU]]),"",_xlfn.XLOOKUP(Table26[[#This Row],[customerSKU]],Table27[customer_SKU],Table27[case_size],"",0,1))</f>
        <v/>
      </c>
      <c r="W1836" s="117" t="str">
        <f t="shared" si="75"/>
        <v/>
      </c>
      <c r="X1836" s="22" t="str">
        <f t="shared" si="74"/>
        <v/>
      </c>
      <c r="Y1836" s="25" t="str">
        <f>IF(Table26[[#This Row],[customerSKU]]="","",_xlfn.XLOOKUP(Table26[[#This Row],[customerSKU]],Table27[customer_SKU],Table27[product_GTIN],"",0,1))</f>
        <v/>
      </c>
      <c r="Z1836" s="25" t="s">
        <v>3660</v>
      </c>
      <c r="AA1836" s="18" t="str" cm="1">
        <f t="array" ref="AA1836">IF(P1836="", "", _xlfn.XLOOKUP(P1836,#REF!,#REF!,NA,0,-1))</f>
        <v/>
      </c>
      <c r="AB1836" s="22"/>
      <c r="AC1836" s="55" t="s">
        <v>3661</v>
      </c>
      <c r="AD1836" s="55" t="s">
        <v>3662</v>
      </c>
      <c r="AE1836" s="55" t="s">
        <v>23</v>
      </c>
      <c r="AF1836" s="55" t="s">
        <v>18</v>
      </c>
      <c r="AG1836" s="55" t="s">
        <v>55</v>
      </c>
      <c r="AH1836" s="26" t="str">
        <f>_xlfn.XLOOKUP(Table26[[#This Row],[customerSKU]],customerSKU!G:G,customerSKU!K:K,"NA",0,1)</f>
        <v>NA</v>
      </c>
      <c r="AI1836" s="43" t="str">
        <f>_xlfn.XLOOKUP(Table26[[#This Row],[customerSKU]],customerSKU!G:G,customerSKU!O:O,"not found",0,1)</f>
        <v>not found</v>
      </c>
      <c r="AJ1836" s="22" t="e">
        <f>Table26[[#This Row],[unitprice]]*Table26[[#This Row],[quantity_unit]]</f>
        <v>#VALUE!</v>
      </c>
      <c r="AK1836" s="227" t="e" cm="1">
        <f t="array" ref="AK18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7" spans="1:37" ht="18" customHeight="1">
      <c r="A1837" s="42">
        <v>420</v>
      </c>
      <c r="B1837" s="42" t="s">
        <v>3520</v>
      </c>
      <c r="C1837" s="53" t="s">
        <v>3488</v>
      </c>
      <c r="E1837" s="20"/>
      <c r="F18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7" s="93"/>
      <c r="I1837" s="203">
        <v>45820</v>
      </c>
      <c r="J1837" s="90" t="str">
        <f>IF(Table26[[#This Row],[customerSKU]]="","",_xlfn.XLOOKUP(Table26[[#This Row],[customerSKU]],customerSKU!G:G,customerSKU!A:A,"",0,1))</f>
        <v/>
      </c>
      <c r="K1837" s="232">
        <v>45820</v>
      </c>
      <c r="L1837" s="49" t="str">
        <f>IF(Table26[[#This Row],[customerSKU]]="","",_xlfn.XLOOKUP(Table26[[#This Row],[customerSKU]],customerSKU!G:G,customerSKU!B:B,"",0,1))</f>
        <v/>
      </c>
      <c r="M1837" s="22"/>
      <c r="N1837" s="15" t="str">
        <f>Table26[[#This Row],[po_number]]&amp;"-"&amp;Table26[[#This Row],[po_line]]</f>
        <v>-5</v>
      </c>
      <c r="O1837" s="15">
        <v>5</v>
      </c>
      <c r="P1837" s="50"/>
      <c r="Q1837" s="22" t="s">
        <v>625</v>
      </c>
      <c r="R1837" s="22" t="s">
        <v>532</v>
      </c>
      <c r="S1837" s="90" t="s">
        <v>18</v>
      </c>
      <c r="T1837" s="20">
        <v>45707</v>
      </c>
      <c r="U1837" s="94">
        <v>1</v>
      </c>
      <c r="V1837" s="22" t="str">
        <f>IF(ISBLANK(Table26[[#This Row],[customerSKU]]),"",_xlfn.XLOOKUP(Table26[[#This Row],[customerSKU]],Table27[customer_SKU],Table27[case_size],"",0,1))</f>
        <v/>
      </c>
      <c r="W1837" s="117" t="str">
        <f t="shared" si="75"/>
        <v/>
      </c>
      <c r="X1837" s="22" t="str">
        <f t="shared" si="74"/>
        <v/>
      </c>
      <c r="Y1837" s="25" t="str">
        <f>IF(Table26[[#This Row],[customerSKU]]="","",_xlfn.XLOOKUP(Table26[[#This Row],[customerSKU]],Table27[customer_SKU],Table27[product_GTIN],"",0,1))</f>
        <v/>
      </c>
      <c r="Z1837" s="25" t="s">
        <v>3660</v>
      </c>
      <c r="AA1837" s="18" t="str" cm="1">
        <f t="array" ref="AA1837">IF(P1837="", "", _xlfn.XLOOKUP(P1837,#REF!,#REF!,NA,0,-1))</f>
        <v/>
      </c>
      <c r="AB1837" s="22"/>
      <c r="AC1837" s="55" t="s">
        <v>3661</v>
      </c>
      <c r="AD1837" s="55" t="s">
        <v>3662</v>
      </c>
      <c r="AE1837" s="55" t="s">
        <v>23</v>
      </c>
      <c r="AF1837" s="55" t="s">
        <v>18</v>
      </c>
      <c r="AG1837" s="55" t="s">
        <v>55</v>
      </c>
      <c r="AH1837" s="26" t="str">
        <f>_xlfn.XLOOKUP(Table26[[#This Row],[customerSKU]],customerSKU!G:G,customerSKU!K:K,"NA",0,1)</f>
        <v>NA</v>
      </c>
      <c r="AI1837" s="43" t="str">
        <f>_xlfn.XLOOKUP(Table26[[#This Row],[customerSKU]],customerSKU!G:G,customerSKU!O:O,"not found",0,1)</f>
        <v>not found</v>
      </c>
      <c r="AJ1837" s="22" t="e">
        <f>Table26[[#This Row],[unitprice]]*Table26[[#This Row],[quantity_unit]]</f>
        <v>#VALUE!</v>
      </c>
      <c r="AK1837" s="227" t="e" cm="1">
        <f t="array" ref="AK18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8" spans="1:37" ht="18" customHeight="1">
      <c r="A1838" s="42">
        <v>403</v>
      </c>
      <c r="B1838" s="42" t="s">
        <v>3357</v>
      </c>
      <c r="C1838" s="53" t="s">
        <v>3488</v>
      </c>
      <c r="D1838" s="20">
        <v>45826</v>
      </c>
      <c r="E1838" s="20"/>
      <c r="F18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8" s="93"/>
      <c r="I1838" s="203">
        <v>45803</v>
      </c>
      <c r="J1838" s="90" t="str">
        <f>IF(Table26[[#This Row],[customerSKU]]="","",_xlfn.XLOOKUP(Table26[[#This Row],[customerSKU]],customerSKU!G:G,customerSKU!A:A,"",0,1))</f>
        <v/>
      </c>
      <c r="K1838" s="232">
        <v>45821</v>
      </c>
      <c r="L1838" s="49" t="str">
        <f>IF(Table26[[#This Row],[customerSKU]]="","",_xlfn.XLOOKUP(Table26[[#This Row],[customerSKU]],customerSKU!G:G,customerSKU!B:B,"",0,1))</f>
        <v/>
      </c>
      <c r="M1838" s="22"/>
      <c r="N1838" s="15" t="str">
        <f>Table26[[#This Row],[po_number]]&amp;"-"&amp;Table26[[#This Row],[po_line]]</f>
        <v>-1</v>
      </c>
      <c r="O1838" s="15">
        <v>1</v>
      </c>
      <c r="P1838" s="50"/>
      <c r="Q1838" s="22" t="s">
        <v>585</v>
      </c>
      <c r="R1838" s="22" t="s">
        <v>221</v>
      </c>
      <c r="S1838" s="90" t="str">
        <f>IF(Table26[[#This Row],[customerSKU]]="","",_xlfn.XLOOKUP(Table26[[#This Row],[customerSKU]],customerSKU!G:G,customerSKU!N:N,"NOT FOUND",0,1))</f>
        <v>NOT FOUND</v>
      </c>
      <c r="T1838" s="20">
        <v>45803</v>
      </c>
      <c r="U1838" s="94">
        <v>180</v>
      </c>
      <c r="V1838" s="22" t="str">
        <f>IF(ISBLANK(Table26[[#This Row],[customerSKU]]),"",_xlfn.XLOOKUP(Table26[[#This Row],[customerSKU]],Table27[customer_SKU],Table27[case_size],"",0,1))</f>
        <v/>
      </c>
      <c r="W1838" s="117" t="str">
        <f t="shared" si="75"/>
        <v/>
      </c>
      <c r="X1838" s="22" t="str">
        <f t="shared" si="74"/>
        <v/>
      </c>
      <c r="Y1838" s="25" t="str">
        <f>IF(Table26[[#This Row],[customerSKU]]="","",_xlfn.XLOOKUP(Table26[[#This Row],[customerSKU]],Table27[customer_SKU],Table27[product_GTIN],"",0,1))</f>
        <v/>
      </c>
      <c r="Z1838" s="25" t="s">
        <v>3618</v>
      </c>
      <c r="AA1838" s="18" t="str" cm="1">
        <f t="array" ref="AA1838">IF(P1838="", "", _xlfn.XLOOKUP(P1838,#REF!,#REF!,NA,0,-1))</f>
        <v/>
      </c>
      <c r="AB1838" s="22"/>
      <c r="AC1838" s="55" t="str">
        <f>IF(Table26[[#This Row],[customerSKU]]="","",_xlfn.XLOOKUP(Table26[[#This Row],[customerSKU]],customerSKU!G:G,customerSKU!C:C,"",0,1))</f>
        <v/>
      </c>
      <c r="AD1838" s="55" t="str">
        <f>IF($AC1838="","",_xlfn.XLOOKUP($AC1838,'Client Info'!$C$2:$C$2497,'Client Info'!$D$2:$D$2497,"",0,1))</f>
        <v/>
      </c>
      <c r="AE1838" s="55" t="str">
        <f>IF($AC1838="","",_xlfn.XLOOKUP($AC1838,'Client Info'!$C$2:$C$2677,'Client Info'!$E$2:$E$2677,"",))</f>
        <v/>
      </c>
      <c r="AF1838" s="55" t="str">
        <f>IF($AC1838="","",_xlfn.XLOOKUP($AC1838,'Client Info'!$C$2:$C$2677,'Client Info'!$F$2:$F$2677,"",0,1))</f>
        <v/>
      </c>
      <c r="AG1838" s="55" t="str">
        <f>IF(ISBLANK(Table26[[#This Row],[customerSKU]]),"",_xlfn.XLOOKUP(Table26[[#This Row],[customerSKU]],Table27[customer_SKU],Table27[billto],"",0,1))</f>
        <v/>
      </c>
      <c r="AH1838" s="26" t="str">
        <f>_xlfn.XLOOKUP(Table26[[#This Row],[customerSKU]],customerSKU!G:G,customerSKU!K:K,"NA",0,1)</f>
        <v>NA</v>
      </c>
      <c r="AI1838" s="43" t="str">
        <f>_xlfn.XLOOKUP(Table26[[#This Row],[customerSKU]],customerSKU!G:G,customerSKU!O:O,"not found",0,1)</f>
        <v>not found</v>
      </c>
      <c r="AJ1838" s="22" t="e">
        <f>Table26[[#This Row],[unitprice]]*Table26[[#This Row],[quantity_unit]]</f>
        <v>#VALUE!</v>
      </c>
      <c r="AK1838" s="227" t="e" cm="1">
        <f t="array" ref="AK18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39" spans="1:37" ht="24.6" customHeight="1">
      <c r="A1839" s="42">
        <v>404</v>
      </c>
      <c r="B1839" s="42" t="s">
        <v>3357</v>
      </c>
      <c r="C1839" s="53" t="s">
        <v>3488</v>
      </c>
      <c r="D1839" s="20">
        <v>45826</v>
      </c>
      <c r="E1839" s="20"/>
      <c r="F18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39" s="93"/>
      <c r="I1839" s="203">
        <v>45803</v>
      </c>
      <c r="J1839" s="90" t="str">
        <f>IF(Table26[[#This Row],[customerSKU]]="","",_xlfn.XLOOKUP(Table26[[#This Row],[customerSKU]],customerSKU!G:G,customerSKU!A:A,"",0,1))</f>
        <v/>
      </c>
      <c r="K1839" s="232">
        <v>45821</v>
      </c>
      <c r="L1839" s="49" t="str">
        <f>IF(Table26[[#This Row],[customerSKU]]="","",_xlfn.XLOOKUP(Table26[[#This Row],[customerSKU]],customerSKU!G:G,customerSKU!B:B,"",0,1))</f>
        <v/>
      </c>
      <c r="M1839" s="22"/>
      <c r="N1839" s="15" t="str">
        <f>Table26[[#This Row],[po_number]]&amp;"-"&amp;Table26[[#This Row],[po_line]]</f>
        <v>-2</v>
      </c>
      <c r="O1839" s="15">
        <v>2</v>
      </c>
      <c r="P1839" s="50"/>
      <c r="Q1839" s="22" t="s">
        <v>1811</v>
      </c>
      <c r="R1839" s="22" t="s">
        <v>221</v>
      </c>
      <c r="S1839" s="90" t="str">
        <f>IF(Table26[[#This Row],[customerSKU]]="","",_xlfn.XLOOKUP(Table26[[#This Row],[customerSKU]],customerSKU!G:G,customerSKU!N:N,"NOT FOUND",0,1))</f>
        <v>NOT FOUND</v>
      </c>
      <c r="T1839" s="20">
        <v>45805</v>
      </c>
      <c r="U1839" s="94">
        <v>240</v>
      </c>
      <c r="V1839" s="22" t="str">
        <f>IF(ISBLANK(Table26[[#This Row],[customerSKU]]),"",_xlfn.XLOOKUP(Table26[[#This Row],[customerSKU]],Table27[customer_SKU],Table27[case_size],"",0,1))</f>
        <v/>
      </c>
      <c r="W1839" s="117" t="str">
        <f t="shared" si="75"/>
        <v/>
      </c>
      <c r="X1839" s="22" t="str">
        <f t="shared" si="74"/>
        <v/>
      </c>
      <c r="Y1839" s="25" t="str">
        <f>IF(Table26[[#This Row],[customerSKU]]="","",_xlfn.XLOOKUP(Table26[[#This Row],[customerSKU]],Table27[customer_SKU],Table27[product_GTIN],"",0,1))</f>
        <v/>
      </c>
      <c r="Z1839" s="25" t="s">
        <v>3619</v>
      </c>
      <c r="AA1839" s="18" t="str" cm="1">
        <f t="array" ref="AA1839">IF(P1839="", "", _xlfn.XLOOKUP(P1839,#REF!,#REF!,NA,0,-1))</f>
        <v/>
      </c>
      <c r="AB1839" s="22"/>
      <c r="AC1839" s="55" t="str">
        <f>IF(Table26[[#This Row],[customerSKU]]="","",_xlfn.XLOOKUP(Table26[[#This Row],[customerSKU]],customerSKU!G:G,customerSKU!C:C,"",0,1))</f>
        <v/>
      </c>
      <c r="AD1839" s="55" t="str">
        <f>IF($AC1839="","",_xlfn.XLOOKUP($AC1839,'Client Info'!$C$2:$C$2497,'Client Info'!$D$2:$D$2497,"",0,1))</f>
        <v/>
      </c>
      <c r="AE1839" s="55" t="str">
        <f>IF($AC1839="","",_xlfn.XLOOKUP($AC1839,'Client Info'!$C$2:$C$2677,'Client Info'!$E$2:$E$2677,"",))</f>
        <v/>
      </c>
      <c r="AF1839" s="55" t="str">
        <f>IF($AC1839="","",_xlfn.XLOOKUP($AC1839,'Client Info'!$C$2:$C$2677,'Client Info'!$F$2:$F$2677,"",0,1))</f>
        <v/>
      </c>
      <c r="AG1839" s="55" t="str">
        <f>IF(ISBLANK(Table26[[#This Row],[customerSKU]]),"",_xlfn.XLOOKUP(Table26[[#This Row],[customerSKU]],Table27[customer_SKU],Table27[billto],"",0,1))</f>
        <v/>
      </c>
      <c r="AH1839" s="26" t="str">
        <f>_xlfn.XLOOKUP(Table26[[#This Row],[customerSKU]],customerSKU!G:G,customerSKU!K:K,"NA",0,1)</f>
        <v>NA</v>
      </c>
      <c r="AI1839" s="43" t="str">
        <f>_xlfn.XLOOKUP(Table26[[#This Row],[customerSKU]],customerSKU!G:G,customerSKU!O:O,"not found",0,1)</f>
        <v>not found</v>
      </c>
      <c r="AJ1839" s="22" t="e">
        <f>Table26[[#This Row],[unitprice]]*Table26[[#This Row],[quantity_unit]]</f>
        <v>#VALUE!</v>
      </c>
      <c r="AK1839" s="227" t="e" cm="1">
        <f t="array" ref="AK18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40" spans="1:37" ht="24.6" customHeight="1">
      <c r="A1840" s="42">
        <v>405</v>
      </c>
      <c r="B1840" s="42" t="s">
        <v>3357</v>
      </c>
      <c r="C1840" s="53" t="s">
        <v>3488</v>
      </c>
      <c r="D1840" s="20">
        <v>45826</v>
      </c>
      <c r="E1840" s="20"/>
      <c r="F18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0" s="93"/>
      <c r="I1840" s="203">
        <v>45803</v>
      </c>
      <c r="J1840" s="90" t="str">
        <f>IF(Table26[[#This Row],[customerSKU]]="","",_xlfn.XLOOKUP(Table26[[#This Row],[customerSKU]],customerSKU!G:G,customerSKU!A:A,"",0,1))</f>
        <v/>
      </c>
      <c r="K1840" s="232">
        <v>45821</v>
      </c>
      <c r="L1840" s="49" t="str">
        <f>IF(Table26[[#This Row],[customerSKU]]="","",_xlfn.XLOOKUP(Table26[[#This Row],[customerSKU]],customerSKU!G:G,customerSKU!B:B,"",0,1))</f>
        <v/>
      </c>
      <c r="M1840" s="22"/>
      <c r="N1840" s="15" t="str">
        <f>Table26[[#This Row],[po_number]]&amp;"-"&amp;Table26[[#This Row],[po_line]]</f>
        <v>-3</v>
      </c>
      <c r="O1840" s="15">
        <v>3</v>
      </c>
      <c r="P1840" s="50"/>
      <c r="Q1840" s="22" t="s">
        <v>591</v>
      </c>
      <c r="R1840" s="22" t="s">
        <v>221</v>
      </c>
      <c r="S1840" s="90" t="str">
        <f>IF(Table26[[#This Row],[customerSKU]]="","",_xlfn.XLOOKUP(Table26[[#This Row],[customerSKU]],customerSKU!G:G,customerSKU!N:N,"NOT FOUND",0,1))</f>
        <v>NOT FOUND</v>
      </c>
      <c r="T1840" s="20">
        <v>45821</v>
      </c>
      <c r="U1840" s="94">
        <v>180</v>
      </c>
      <c r="V1840" s="22" t="str">
        <f>IF(ISBLANK(Table26[[#This Row],[customerSKU]]),"",_xlfn.XLOOKUP(Table26[[#This Row],[customerSKU]],Table27[customer_SKU],Table27[case_size],"",0,1))</f>
        <v/>
      </c>
      <c r="W1840" s="117" t="str">
        <f t="shared" si="75"/>
        <v/>
      </c>
      <c r="X1840" s="22" t="str">
        <f t="shared" si="74"/>
        <v/>
      </c>
      <c r="Y1840" s="25" t="str">
        <f>IF(Table26[[#This Row],[customerSKU]]="","",_xlfn.XLOOKUP(Table26[[#This Row],[customerSKU]],Table27[customer_SKU],Table27[product_GTIN],"",0,1))</f>
        <v/>
      </c>
      <c r="Z1840" s="60" t="s">
        <v>3620</v>
      </c>
      <c r="AA1840" s="18" t="str" cm="1">
        <f t="array" ref="AA1840">IF(P1840="", "", _xlfn.XLOOKUP(P1840,#REF!,#REF!,NA,0,-1))</f>
        <v/>
      </c>
      <c r="AB1840" s="22"/>
      <c r="AC1840" s="55" t="str">
        <f>IF(Table26[[#This Row],[customerSKU]]="","",_xlfn.XLOOKUP(Table26[[#This Row],[customerSKU]],customerSKU!G:G,customerSKU!C:C,"",0,1))</f>
        <v/>
      </c>
      <c r="AD1840" s="55" t="str">
        <f>IF($AC1840="","",_xlfn.XLOOKUP($AC1840,'Client Info'!$C$2:$C$2497,'Client Info'!$D$2:$D$2497,"",0,1))</f>
        <v/>
      </c>
      <c r="AE1840" s="55" t="str">
        <f>IF($AC1840="","",_xlfn.XLOOKUP($AC1840,'Client Info'!$C$2:$C$2677,'Client Info'!$E$2:$E$2677,"",))</f>
        <v/>
      </c>
      <c r="AF1840" s="55" t="str">
        <f>IF($AC1840="","",_xlfn.XLOOKUP($AC1840,'Client Info'!$C$2:$C$2677,'Client Info'!$F$2:$F$2677,"",0,1))</f>
        <v/>
      </c>
      <c r="AG1840" s="55" t="str">
        <f>IF(ISBLANK(Table26[[#This Row],[customerSKU]]),"",_xlfn.XLOOKUP(Table26[[#This Row],[customerSKU]],Table27[customer_SKU],Table27[billto],"",0,1))</f>
        <v/>
      </c>
      <c r="AH1840" s="26" t="str">
        <f>_xlfn.XLOOKUP(Table26[[#This Row],[customerSKU]],customerSKU!G:G,customerSKU!K:K,"NA",0,1)</f>
        <v>NA</v>
      </c>
      <c r="AI1840" s="43" t="str">
        <f>_xlfn.XLOOKUP(Table26[[#This Row],[customerSKU]],customerSKU!G:G,customerSKU!O:O,"not found",0,1)</f>
        <v>not found</v>
      </c>
      <c r="AJ1840" s="22" t="e">
        <f>Table26[[#This Row],[unitprice]]*Table26[[#This Row],[quantity_unit]]</f>
        <v>#VALUE!</v>
      </c>
      <c r="AK1840" s="227" t="e" cm="1">
        <f t="array" ref="AK18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41" spans="1:38" ht="24.6" customHeight="1">
      <c r="A1841" s="42">
        <v>406</v>
      </c>
      <c r="B1841" s="42" t="s">
        <v>3357</v>
      </c>
      <c r="C1841" s="53" t="s">
        <v>3488</v>
      </c>
      <c r="D1841" s="20">
        <v>45826</v>
      </c>
      <c r="E1841" s="20"/>
      <c r="F18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1" s="93"/>
      <c r="I1841" s="203">
        <v>45803</v>
      </c>
      <c r="J1841" s="90" t="str">
        <f>IF(Table26[[#This Row],[customerSKU]]="","",_xlfn.XLOOKUP(Table26[[#This Row],[customerSKU]],customerSKU!G:G,customerSKU!A:A,"",0,1))</f>
        <v/>
      </c>
      <c r="K1841" s="232">
        <v>45821</v>
      </c>
      <c r="L1841" s="49" t="str">
        <f>IF(Table26[[#This Row],[customerSKU]]="","",_xlfn.XLOOKUP(Table26[[#This Row],[customerSKU]],customerSKU!G:G,customerSKU!B:B,"",0,1))</f>
        <v/>
      </c>
      <c r="M1841" s="22"/>
      <c r="N1841" s="15" t="str">
        <f>Table26[[#This Row],[po_number]]&amp;"-"&amp;Table26[[#This Row],[po_line]]</f>
        <v>-4</v>
      </c>
      <c r="O1841" s="15">
        <v>4</v>
      </c>
      <c r="P1841" s="50"/>
      <c r="Q1841" s="22" t="s">
        <v>1807</v>
      </c>
      <c r="R1841" s="22" t="s">
        <v>221</v>
      </c>
      <c r="S1841" s="90" t="str">
        <f>IF(Table26[[#This Row],[customerSKU]]="","",_xlfn.XLOOKUP(Table26[[#This Row],[customerSKU]],customerSKU!G:G,customerSKU!N:N,"NOT FOUND",0,1))</f>
        <v>NOT FOUND</v>
      </c>
      <c r="T1841" s="20">
        <v>45804</v>
      </c>
      <c r="U1841" s="94">
        <v>180</v>
      </c>
      <c r="V1841" s="22" t="str">
        <f>IF(ISBLANK(Table26[[#This Row],[customerSKU]]),"",_xlfn.XLOOKUP(Table26[[#This Row],[customerSKU]],Table27[customer_SKU],Table27[case_size],"",0,1))</f>
        <v/>
      </c>
      <c r="W1841" s="117" t="str">
        <f t="shared" si="75"/>
        <v/>
      </c>
      <c r="X1841" s="22" t="str">
        <f t="shared" si="74"/>
        <v/>
      </c>
      <c r="Y1841" s="25" t="str">
        <f>IF(Table26[[#This Row],[customerSKU]]="","",_xlfn.XLOOKUP(Table26[[#This Row],[customerSKU]],Table27[customer_SKU],Table27[product_GTIN],"",0,1))</f>
        <v/>
      </c>
      <c r="Z1841" s="60" t="s">
        <v>3621</v>
      </c>
      <c r="AA1841" s="18" t="str" cm="1">
        <f t="array" ref="AA1841">IF(P1841="", "", _xlfn.XLOOKUP(P1841,#REF!,#REF!,NA,0,-1))</f>
        <v/>
      </c>
      <c r="AB1841" s="22"/>
      <c r="AC1841" s="55" t="str">
        <f>IF(Table26[[#This Row],[customerSKU]]="","",_xlfn.XLOOKUP(Table26[[#This Row],[customerSKU]],customerSKU!G:G,customerSKU!C:C,"",0,1))</f>
        <v/>
      </c>
      <c r="AD1841" s="55" t="str">
        <f>IF($AC1841="","",_xlfn.XLOOKUP($AC1841,'Client Info'!$C$2:$C$2497,'Client Info'!$D$2:$D$2497,"",0,1))</f>
        <v/>
      </c>
      <c r="AE1841" s="55" t="str">
        <f>IF($AC1841="","",_xlfn.XLOOKUP($AC1841,'Client Info'!$C$2:$C$2677,'Client Info'!$E$2:$E$2677,"",))</f>
        <v/>
      </c>
      <c r="AF1841" s="55" t="str">
        <f>IF($AC1841="","",_xlfn.XLOOKUP($AC1841,'Client Info'!$C$2:$C$2677,'Client Info'!$F$2:$F$2677,"",0,1))</f>
        <v/>
      </c>
      <c r="AG1841" s="55" t="str">
        <f>IF(ISBLANK(Table26[[#This Row],[customerSKU]]),"",_xlfn.XLOOKUP(Table26[[#This Row],[customerSKU]],Table27[customer_SKU],Table27[billto],"",0,1))</f>
        <v/>
      </c>
      <c r="AH1841" s="26" t="str">
        <f>_xlfn.XLOOKUP(Table26[[#This Row],[customerSKU]],customerSKU!G:G,customerSKU!K:K,"NA",0,1)</f>
        <v>NA</v>
      </c>
      <c r="AI1841" s="43" t="str">
        <f>_xlfn.XLOOKUP(Table26[[#This Row],[customerSKU]],customerSKU!G:G,customerSKU!O:O,"not found",0,1)</f>
        <v>not found</v>
      </c>
      <c r="AJ1841" s="22" t="e">
        <f>Table26[[#This Row],[unitprice]]*Table26[[#This Row],[quantity_unit]]</f>
        <v>#VALUE!</v>
      </c>
      <c r="AK1841" s="227" t="e" cm="1">
        <f t="array" ref="AK18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42" spans="1:38" ht="18" customHeight="1">
      <c r="A1842" s="42">
        <v>407</v>
      </c>
      <c r="B1842" s="42" t="s">
        <v>3357</v>
      </c>
      <c r="C1842" s="53" t="s">
        <v>203</v>
      </c>
      <c r="D1842" s="20">
        <v>45826</v>
      </c>
      <c r="E1842" s="20"/>
      <c r="F18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2" s="93"/>
      <c r="I1842" s="203">
        <v>45803</v>
      </c>
      <c r="J1842" s="90" t="str">
        <f>IF(Table26[[#This Row],[customerSKU]]="","",_xlfn.XLOOKUP(Table26[[#This Row],[customerSKU]],customerSKU!G:G,customerSKU!A:A,"",0,1))</f>
        <v/>
      </c>
      <c r="K1842" s="232">
        <v>45821</v>
      </c>
      <c r="L1842" s="49" t="str">
        <f>IF(Table26[[#This Row],[customerSKU]]="","",_xlfn.XLOOKUP(Table26[[#This Row],[customerSKU]],customerSKU!G:G,customerSKU!B:B,"",0,1))</f>
        <v/>
      </c>
      <c r="M1842" s="22"/>
      <c r="N1842" s="15" t="str">
        <f>Table26[[#This Row],[po_number]]&amp;"-"&amp;Table26[[#This Row],[po_line]]</f>
        <v>-5</v>
      </c>
      <c r="O1842" s="15">
        <v>5</v>
      </c>
      <c r="P1842" s="50"/>
      <c r="Q1842" s="22" t="s">
        <v>1783</v>
      </c>
      <c r="R1842" s="22" t="s">
        <v>221</v>
      </c>
      <c r="S1842" s="90" t="str">
        <f>IF(Table26[[#This Row],[customerSKU]]="","",_xlfn.XLOOKUP(Table26[[#This Row],[customerSKU]],customerSKU!G:G,customerSKU!N:N,"NOT FOUND",0,1))</f>
        <v>NOT FOUND</v>
      </c>
      <c r="T1842" s="20">
        <v>45800</v>
      </c>
      <c r="U1842" s="94">
        <v>180</v>
      </c>
      <c r="V1842" s="22" t="str">
        <f>IF(ISBLANK(Table26[[#This Row],[customerSKU]]),"",_xlfn.XLOOKUP(Table26[[#This Row],[customerSKU]],Table27[customer_SKU],Table27[case_size],"",0,1))</f>
        <v/>
      </c>
      <c r="W1842" s="117" t="str">
        <f t="shared" si="75"/>
        <v/>
      </c>
      <c r="X1842" s="22" t="str">
        <f t="shared" si="74"/>
        <v/>
      </c>
      <c r="Y1842" s="25" t="str">
        <f>IF(Table26[[#This Row],[customerSKU]]="","",_xlfn.XLOOKUP(Table26[[#This Row],[customerSKU]],Table27[customer_SKU],Table27[product_GTIN],"",0,1))</f>
        <v/>
      </c>
      <c r="Z1842" s="60" t="s">
        <v>3622</v>
      </c>
      <c r="AA1842" s="18" t="str" cm="1">
        <f t="array" ref="AA1842">IF(P1842="", "", _xlfn.XLOOKUP(P1842,#REF!,#REF!,NA,0,-1))</f>
        <v/>
      </c>
      <c r="AB1842" s="22"/>
      <c r="AC1842" s="55" t="str">
        <f>IF(Table26[[#This Row],[customerSKU]]="","",_xlfn.XLOOKUP(Table26[[#This Row],[customerSKU]],customerSKU!G:G,customerSKU!C:C,"",0,1))</f>
        <v/>
      </c>
      <c r="AD1842" s="55" t="str">
        <f>IF($AC1842="","",_xlfn.XLOOKUP($AC1842,'Client Info'!$C$2:$C$2497,'Client Info'!$D$2:$D$2497,"",0,1))</f>
        <v/>
      </c>
      <c r="AE1842" s="55" t="str">
        <f>IF($AC1842="","",_xlfn.XLOOKUP($AC1842,'Client Info'!$C$2:$C$2677,'Client Info'!$E$2:$E$2677,"",))</f>
        <v/>
      </c>
      <c r="AF1842" s="55" t="str">
        <f>IF($AC1842="","",_xlfn.XLOOKUP($AC1842,'Client Info'!$C$2:$C$2677,'Client Info'!$F$2:$F$2677,"",0,1))</f>
        <v/>
      </c>
      <c r="AG1842" s="55" t="str">
        <f>IF(ISBLANK(Table26[[#This Row],[customerSKU]]),"",_xlfn.XLOOKUP(Table26[[#This Row],[customerSKU]],Table27[customer_SKU],Table27[billto],"",0,1))</f>
        <v/>
      </c>
      <c r="AH1842" s="26" t="str">
        <f>_xlfn.XLOOKUP(Table26[[#This Row],[customerSKU]],customerSKU!G:G,customerSKU!K:K,"NA",0,1)</f>
        <v>NA</v>
      </c>
      <c r="AI1842" s="43" t="str">
        <f>_xlfn.XLOOKUP(Table26[[#This Row],[customerSKU]],customerSKU!G:G,customerSKU!O:O,"not found",0,1)</f>
        <v>not found</v>
      </c>
      <c r="AJ1842" s="22" t="e">
        <f>Table26[[#This Row],[unitprice]]*Table26[[#This Row],[quantity_unit]]</f>
        <v>#VALUE!</v>
      </c>
      <c r="AK1842" s="227" t="e" cm="1">
        <f t="array" ref="AK18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43" spans="1:38" ht="18" customHeight="1">
      <c r="A1843" s="42">
        <v>408</v>
      </c>
      <c r="B1843" s="42" t="s">
        <v>3357</v>
      </c>
      <c r="C1843" s="53" t="s">
        <v>3488</v>
      </c>
      <c r="D1843" s="20">
        <v>45826</v>
      </c>
      <c r="E1843" s="20"/>
      <c r="F18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3" s="93"/>
      <c r="I1843" s="203">
        <v>45803</v>
      </c>
      <c r="J1843" s="90" t="str">
        <f>IF(Table26[[#This Row],[customerSKU]]="","",_xlfn.XLOOKUP(Table26[[#This Row],[customerSKU]],customerSKU!G:G,customerSKU!A:A,"",0,1))</f>
        <v/>
      </c>
      <c r="K1843" s="232">
        <v>45821</v>
      </c>
      <c r="L1843" s="49" t="str">
        <f>IF(Table26[[#This Row],[customerSKU]]="","",_xlfn.XLOOKUP(Table26[[#This Row],[customerSKU]],customerSKU!G:G,customerSKU!B:B,"",0,1))</f>
        <v/>
      </c>
      <c r="M1843" s="22"/>
      <c r="N1843" s="15" t="str">
        <f>Table26[[#This Row],[po_number]]&amp;"-"&amp;Table26[[#This Row],[po_line]]</f>
        <v>-6</v>
      </c>
      <c r="O1843" s="15">
        <v>6</v>
      </c>
      <c r="P1843" s="50"/>
      <c r="Q1843" s="22" t="s">
        <v>1312</v>
      </c>
      <c r="R1843" s="22" t="s">
        <v>221</v>
      </c>
      <c r="S1843" s="90" t="str">
        <f>IF(Table26[[#This Row],[customerSKU]]="","",_xlfn.XLOOKUP(Table26[[#This Row],[customerSKU]],customerSKU!G:G,customerSKU!N:N,"NOT FOUND",0,1))</f>
        <v>NOT FOUND</v>
      </c>
      <c r="T1843" s="20">
        <v>45803</v>
      </c>
      <c r="U1843" s="94">
        <v>144</v>
      </c>
      <c r="V1843" s="22" t="str">
        <f>IF(ISBLANK(Table26[[#This Row],[customerSKU]]),"",_xlfn.XLOOKUP(Table26[[#This Row],[customerSKU]],Table27[customer_SKU],Table27[case_size],"",0,1))</f>
        <v/>
      </c>
      <c r="W1843" s="117" t="str">
        <f t="shared" si="75"/>
        <v/>
      </c>
      <c r="X1843" s="22" t="str">
        <f t="shared" si="74"/>
        <v/>
      </c>
      <c r="Y1843" s="25" t="str">
        <f>IF(Table26[[#This Row],[customerSKU]]="","",_xlfn.XLOOKUP(Table26[[#This Row],[customerSKU]],Table27[customer_SKU],Table27[product_GTIN],"",0,1))</f>
        <v/>
      </c>
      <c r="Z1843" s="60" t="s">
        <v>3623</v>
      </c>
      <c r="AA1843" s="18" t="str" cm="1">
        <f t="array" ref="AA1843">IF(P1843="", "", _xlfn.XLOOKUP(P1843,#REF!,#REF!,NA,0,-1))</f>
        <v/>
      </c>
      <c r="AB1843" s="22" t="s">
        <v>532</v>
      </c>
      <c r="AC1843" s="55" t="str">
        <f>IF(Table26[[#This Row],[customerSKU]]="","",_xlfn.XLOOKUP(Table26[[#This Row],[customerSKU]],customerSKU!G:G,customerSKU!C:C,"",0,1))</f>
        <v/>
      </c>
      <c r="AD1843" s="55" t="str">
        <f>IF($AC1843="","",_xlfn.XLOOKUP($AC1843,'Client Info'!$C$2:$C$2497,'Client Info'!$D$2:$D$2497,"",0,1))</f>
        <v/>
      </c>
      <c r="AE1843" s="55" t="str">
        <f>IF($AC1843="","",_xlfn.XLOOKUP($AC1843,'Client Info'!$C$2:$C$2677,'Client Info'!$E$2:$E$2677,"",))</f>
        <v/>
      </c>
      <c r="AF1843" s="55" t="str">
        <f>IF($AC1843="","",_xlfn.XLOOKUP($AC1843,'Client Info'!$C$2:$C$2677,'Client Info'!$F$2:$F$2677,"",0,1))</f>
        <v/>
      </c>
      <c r="AG1843" s="55" t="str">
        <f>IF(ISBLANK(Table26[[#This Row],[customerSKU]]),"",_xlfn.XLOOKUP(Table26[[#This Row],[customerSKU]],Table27[customer_SKU],Table27[billto],"",0,1))</f>
        <v/>
      </c>
      <c r="AH1843" s="26" t="str">
        <f>_xlfn.XLOOKUP(Table26[[#This Row],[customerSKU]],customerSKU!G:G,customerSKU!K:K,"NA",0,1)</f>
        <v>NA</v>
      </c>
      <c r="AI1843" s="43" t="str">
        <f>_xlfn.XLOOKUP(Table26[[#This Row],[customerSKU]],customerSKU!G:G,customerSKU!O:O,"not found",0,1)</f>
        <v>not found</v>
      </c>
      <c r="AJ1843" s="22" t="e">
        <f>Table26[[#This Row],[unitprice]]*Table26[[#This Row],[quantity_unit]]</f>
        <v>#VALUE!</v>
      </c>
      <c r="AK1843" s="227" t="e" cm="1">
        <f t="array" ref="AK18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</row>
    <row r="1844" spans="1:38" ht="18" customHeight="1">
      <c r="A1844" s="42">
        <v>409</v>
      </c>
      <c r="B1844" s="42" t="s">
        <v>3357</v>
      </c>
      <c r="C1844" s="53" t="s">
        <v>3488</v>
      </c>
      <c r="D1844" s="20">
        <v>45826</v>
      </c>
      <c r="E1844" s="20"/>
      <c r="F18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4" s="93"/>
      <c r="I1844" s="203">
        <v>45803</v>
      </c>
      <c r="J1844" s="90" t="str">
        <f>IF(Table26[[#This Row],[customerSKU]]="","",_xlfn.XLOOKUP(Table26[[#This Row],[customerSKU]],customerSKU!G:G,customerSKU!A:A,"",0,1))</f>
        <v/>
      </c>
      <c r="K1844" s="232">
        <v>45821</v>
      </c>
      <c r="L1844" s="49" t="str">
        <f>IF(Table26[[#This Row],[customerSKU]]="","",_xlfn.XLOOKUP(Table26[[#This Row],[customerSKU]],customerSKU!G:G,customerSKU!B:B,"",0,1))</f>
        <v/>
      </c>
      <c r="M1844" s="22"/>
      <c r="N1844" s="15" t="str">
        <f>Table26[[#This Row],[po_number]]&amp;"-"&amp;Table26[[#This Row],[po_line]]</f>
        <v>-7</v>
      </c>
      <c r="O1844" s="15">
        <v>7</v>
      </c>
      <c r="P1844" s="50"/>
      <c r="Q1844" s="22" t="s">
        <v>1312</v>
      </c>
      <c r="R1844" s="22" t="s">
        <v>221</v>
      </c>
      <c r="S1844" s="90" t="str">
        <f>IF(Table26[[#This Row],[customerSKU]]="","",_xlfn.XLOOKUP(Table26[[#This Row],[customerSKU]],customerSKU!G:G,customerSKU!N:N,"NOT FOUND",0,1))</f>
        <v>NOT FOUND</v>
      </c>
      <c r="T1844" s="20">
        <v>45660</v>
      </c>
      <c r="U1844" s="94">
        <v>36</v>
      </c>
      <c r="V1844" s="22" t="str">
        <f>IF(ISBLANK(Table26[[#This Row],[customerSKU]]),"",_xlfn.XLOOKUP(Table26[[#This Row],[customerSKU]],Table27[customer_SKU],Table27[case_size],"",0,1))</f>
        <v/>
      </c>
      <c r="W1844" s="117" t="str">
        <f t="shared" si="75"/>
        <v/>
      </c>
      <c r="X1844" s="22" t="str">
        <f t="shared" si="74"/>
        <v/>
      </c>
      <c r="Y1844" s="25" t="str">
        <f>IF(Table26[[#This Row],[customerSKU]]="","",_xlfn.XLOOKUP(Table26[[#This Row],[customerSKU]],Table27[customer_SKU],Table27[product_GTIN],"",0,1))</f>
        <v/>
      </c>
      <c r="Z1844" s="60" t="s">
        <v>3623</v>
      </c>
      <c r="AA1844" s="18" t="str" cm="1">
        <f t="array" ref="AA1844">IF(P1844="", "", _xlfn.XLOOKUP(P1844,#REF!,#REF!,NA,0,-1))</f>
        <v/>
      </c>
      <c r="AB1844" s="22"/>
      <c r="AC1844" s="55" t="str">
        <f>IF(Table26[[#This Row],[customerSKU]]="","",_xlfn.XLOOKUP(Table26[[#This Row],[customerSKU]],customerSKU!G:G,customerSKU!C:C,"",0,1))</f>
        <v/>
      </c>
      <c r="AD1844" s="55" t="str">
        <f>IF($AC1844="","",_xlfn.XLOOKUP($AC1844,'Client Info'!$C$2:$C$2497,'Client Info'!$D$2:$D$2497,"",0,1))</f>
        <v/>
      </c>
      <c r="AE1844" s="55" t="str">
        <f>IF($AC1844="","",_xlfn.XLOOKUP($AC1844,'Client Info'!$C$2:$C$2677,'Client Info'!$E$2:$E$2677,"",))</f>
        <v/>
      </c>
      <c r="AF1844" s="55" t="str">
        <f>IF($AC1844="","",_xlfn.XLOOKUP($AC1844,'Client Info'!$C$2:$C$2677,'Client Info'!$F$2:$F$2677,"",0,1))</f>
        <v/>
      </c>
      <c r="AG1844" s="55" t="str">
        <f>IF(ISBLANK(Table26[[#This Row],[customerSKU]]),"",_xlfn.XLOOKUP(Table26[[#This Row],[customerSKU]],Table27[customer_SKU],Table27[billto],"",0,1))</f>
        <v/>
      </c>
      <c r="AH1844" s="26" t="str">
        <f>_xlfn.XLOOKUP(Table26[[#This Row],[customerSKU]],customerSKU!G:G,customerSKU!K:K,"NA",0,1)</f>
        <v>NA</v>
      </c>
      <c r="AI1844" s="43" t="str">
        <f>_xlfn.XLOOKUP(Table26[[#This Row],[customerSKU]],customerSKU!G:G,customerSKU!O:O,"not found",0,1)</f>
        <v>not found</v>
      </c>
      <c r="AJ1844" s="22" t="e">
        <f>Table26[[#This Row],[unitprice]]*Table26[[#This Row],[quantity_unit]]</f>
        <v>#VALUE!</v>
      </c>
      <c r="AK1844" s="227" t="e" cm="1">
        <f t="array" ref="AK18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4" s="227"/>
    </row>
    <row r="1845" spans="1:38" ht="18" customHeight="1">
      <c r="A1845" s="42">
        <v>410</v>
      </c>
      <c r="B1845" s="42" t="s">
        <v>3520</v>
      </c>
      <c r="C1845" s="53" t="s">
        <v>3360</v>
      </c>
      <c r="E1845" s="20"/>
      <c r="F18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5" s="93"/>
      <c r="I1845" s="203">
        <v>45818</v>
      </c>
      <c r="J1845" s="90" t="str">
        <f>IF(Table26[[#This Row],[customerSKU]]="","",_xlfn.XLOOKUP(Table26[[#This Row],[customerSKU]],customerSKU!G:G,customerSKU!A:A,"",0,1))</f>
        <v/>
      </c>
      <c r="K1845" s="232">
        <v>45821</v>
      </c>
      <c r="L1845" s="49" t="str">
        <f>IF(Table26[[#This Row],[customerSKU]]="","",_xlfn.XLOOKUP(Table26[[#This Row],[customerSKU]],customerSKU!G:G,customerSKU!B:B,"",0,1))</f>
        <v/>
      </c>
      <c r="M1845" s="22"/>
      <c r="N1845" s="15" t="str">
        <f>Table26[[#This Row],[po_number]]&amp;"-"&amp;Table26[[#This Row],[po_line]]</f>
        <v>-1</v>
      </c>
      <c r="O1845" s="15">
        <v>1</v>
      </c>
      <c r="P1845" s="50"/>
      <c r="S1845" s="90" t="str">
        <f>IF(Table26[[#This Row],[customerSKU]]="","",_xlfn.XLOOKUP(Table26[[#This Row],[customerSKU]],customerSKU!G:G,customerSKU!N:N,"NOT FOUND",0,1))</f>
        <v>NOT FOUND</v>
      </c>
      <c r="T1845" s="20"/>
      <c r="U1845" s="94">
        <v>12</v>
      </c>
      <c r="V1845" s="22" t="str">
        <f>IF(ISBLANK(Table26[[#This Row],[customerSKU]]),"",_xlfn.XLOOKUP(Table26[[#This Row],[customerSKU]],Table27[customer_SKU],Table27[case_size],"",0,1))</f>
        <v/>
      </c>
      <c r="W1845" s="117" t="str">
        <f t="shared" si="75"/>
        <v/>
      </c>
      <c r="X1845" s="22" t="str">
        <f t="shared" si="74"/>
        <v/>
      </c>
      <c r="Y1845" s="25" t="str">
        <f>IF(Table26[[#This Row],[customerSKU]]="","",_xlfn.XLOOKUP(Table26[[#This Row],[customerSKU]],Table27[customer_SKU],Table27[product_GTIN],"",0,1))</f>
        <v/>
      </c>
      <c r="Z1845" s="25" t="s">
        <v>3529</v>
      </c>
      <c r="AA1845" s="18" t="str" cm="1">
        <f t="array" ref="AA1845">IF(P1845="", "", _xlfn.XLOOKUP(P1845,#REF!,#REF!,NA,0,-1))</f>
        <v/>
      </c>
      <c r="AB1845" s="22"/>
      <c r="AC1845" s="55" t="str">
        <f>IF(Table26[[#This Row],[customerSKU]]="","",_xlfn.XLOOKUP(Table26[[#This Row],[customerSKU]],customerSKU!G:G,customerSKU!C:C,"",0,1))</f>
        <v/>
      </c>
      <c r="AD1845" s="55" t="str">
        <f>IF($AC1845="","",_xlfn.XLOOKUP($AC1845,'Client Info'!$C$2:$C$2497,'Client Info'!$D$2:$D$2497,"",0,1))</f>
        <v/>
      </c>
      <c r="AE1845" s="55" t="str">
        <f>IF($AC1845="","",_xlfn.XLOOKUP($AC1845,'Client Info'!$C$2:$C$2677,'Client Info'!$E$2:$E$2677,"",))</f>
        <v/>
      </c>
      <c r="AF1845" s="55" t="str">
        <f>IF($AC1845="","",_xlfn.XLOOKUP($AC1845,'Client Info'!$C$2:$C$2677,'Client Info'!$F$2:$F$2677,"",0,1))</f>
        <v/>
      </c>
      <c r="AG1845" s="55" t="str">
        <f>IF(ISBLANK(Table26[[#This Row],[customerSKU]]),"",_xlfn.XLOOKUP(Table26[[#This Row],[customerSKU]],Table27[customer_SKU],Table27[billto],"",0,1))</f>
        <v/>
      </c>
      <c r="AH1845" s="26" t="str">
        <f>_xlfn.XLOOKUP(Table26[[#This Row],[customerSKU]],customerSKU!G:G,customerSKU!K:K,"NA",0,1)</f>
        <v>NA</v>
      </c>
      <c r="AI1845" s="43" t="str">
        <f>_xlfn.XLOOKUP(Table26[[#This Row],[customerSKU]],customerSKU!G:G,customerSKU!O:O,"not found",0,1)</f>
        <v>not found</v>
      </c>
      <c r="AJ1845" s="22" t="e">
        <f>Table26[[#This Row],[unitprice]]*Table26[[#This Row],[quantity_unit]]</f>
        <v>#VALUE!</v>
      </c>
      <c r="AK1845" s="227" t="e" cm="1">
        <f t="array" ref="AK18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5" s="227"/>
    </row>
    <row r="1846" spans="1:38" ht="18" customHeight="1">
      <c r="A1846" s="42">
        <v>411</v>
      </c>
      <c r="B1846" s="42" t="s">
        <v>3520</v>
      </c>
      <c r="C1846" s="53" t="s">
        <v>3360</v>
      </c>
      <c r="E1846" s="20"/>
      <c r="F18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6" s="93"/>
      <c r="I1846" s="203">
        <v>45819</v>
      </c>
      <c r="J1846" s="90" t="str">
        <f>IF(Table26[[#This Row],[customerSKU]]="","",_xlfn.XLOOKUP(Table26[[#This Row],[customerSKU]],customerSKU!G:G,customerSKU!A:A,"",0,1))</f>
        <v/>
      </c>
      <c r="K1846" s="232">
        <v>45821</v>
      </c>
      <c r="L1846" s="49" t="str">
        <f>IF(Table26[[#This Row],[customerSKU]]="","",_xlfn.XLOOKUP(Table26[[#This Row],[customerSKU]],customerSKU!G:G,customerSKU!B:B,"",0,1))</f>
        <v/>
      </c>
      <c r="M1846" s="22"/>
      <c r="N1846" s="15" t="str">
        <f>Table26[[#This Row],[po_number]]&amp;"-"&amp;Table26[[#This Row],[po_line]]</f>
        <v>-1</v>
      </c>
      <c r="O1846" s="15">
        <v>1</v>
      </c>
      <c r="P1846" s="50"/>
      <c r="S1846" s="90" t="str">
        <f>IF(Table26[[#This Row],[customerSKU]]="","",_xlfn.XLOOKUP(Table26[[#This Row],[customerSKU]],customerSKU!G:G,customerSKU!N:N,"NOT FOUND",0,1))</f>
        <v>NOT FOUND</v>
      </c>
      <c r="T1846" s="20"/>
      <c r="U1846" s="94">
        <v>12</v>
      </c>
      <c r="V1846" s="22" t="str">
        <f>IF(ISBLANK(Table26[[#This Row],[customerSKU]]),"",_xlfn.XLOOKUP(Table26[[#This Row],[customerSKU]],Table27[customer_SKU],Table27[case_size],"",0,1))</f>
        <v/>
      </c>
      <c r="W1846" s="117" t="str">
        <f t="shared" si="75"/>
        <v/>
      </c>
      <c r="X1846" s="22" t="str">
        <f t="shared" si="74"/>
        <v/>
      </c>
      <c r="Y1846" s="25" t="str">
        <f>IF(Table26[[#This Row],[customerSKU]]="","",_xlfn.XLOOKUP(Table26[[#This Row],[customerSKU]],Table27[customer_SKU],Table27[product_GTIN],"",0,1))</f>
        <v/>
      </c>
      <c r="Z1846" s="25" t="s">
        <v>3529</v>
      </c>
      <c r="AA1846" s="18" t="str" cm="1">
        <f t="array" ref="AA1846">IF(P1846="", "", _xlfn.XLOOKUP(P1846,#REF!,#REF!,NA,0,-1))</f>
        <v/>
      </c>
      <c r="AB1846" s="22"/>
      <c r="AC1846" s="55" t="str">
        <f>IF(Table26[[#This Row],[customerSKU]]="","",_xlfn.XLOOKUP(Table26[[#This Row],[customerSKU]],customerSKU!G:G,customerSKU!C:C,"",0,1))</f>
        <v/>
      </c>
      <c r="AD1846" s="55" t="str">
        <f>IF($AC1846="","",_xlfn.XLOOKUP($AC1846,'Client Info'!$C$2:$C$2497,'Client Info'!$D$2:$D$2497,"",0,1))</f>
        <v/>
      </c>
      <c r="AE1846" s="55" t="str">
        <f>IF($AC1846="","",_xlfn.XLOOKUP($AC1846,'Client Info'!$C$2:$C$2677,'Client Info'!$E$2:$E$2677,"",))</f>
        <v/>
      </c>
      <c r="AF1846" s="55" t="str">
        <f>IF($AC1846="","",_xlfn.XLOOKUP($AC1846,'Client Info'!$C$2:$C$2677,'Client Info'!$F$2:$F$2677,"",0,1))</f>
        <v/>
      </c>
      <c r="AG1846" s="55" t="str">
        <f>IF(ISBLANK(Table26[[#This Row],[customerSKU]]),"",_xlfn.XLOOKUP(Table26[[#This Row],[customerSKU]],Table27[customer_SKU],Table27[billto],"",0,1))</f>
        <v/>
      </c>
      <c r="AH1846" s="26" t="str">
        <f>_xlfn.XLOOKUP(Table26[[#This Row],[customerSKU]],customerSKU!G:G,customerSKU!K:K,"NA",0,1)</f>
        <v>NA</v>
      </c>
      <c r="AI1846" s="43" t="str">
        <f>_xlfn.XLOOKUP(Table26[[#This Row],[customerSKU]],customerSKU!G:G,customerSKU!O:O,"not found",0,1)</f>
        <v>not found</v>
      </c>
      <c r="AJ1846" s="22" t="e">
        <f>Table26[[#This Row],[unitprice]]*Table26[[#This Row],[quantity_unit]]</f>
        <v>#VALUE!</v>
      </c>
      <c r="AK1846" s="227" t="e" cm="1">
        <f t="array" ref="AK18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6" s="227"/>
    </row>
    <row r="1847" spans="1:38" ht="18" customHeight="1">
      <c r="A1847" s="42">
        <v>412</v>
      </c>
      <c r="B1847" s="42" t="s">
        <v>3520</v>
      </c>
      <c r="C1847" s="53" t="s">
        <v>3360</v>
      </c>
      <c r="E1847" s="20"/>
      <c r="F18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7" s="93"/>
      <c r="I1847" s="203">
        <v>45819</v>
      </c>
      <c r="J1847" s="90" t="str">
        <f>IF(Table26[[#This Row],[customerSKU]]="","",_xlfn.XLOOKUP(Table26[[#This Row],[customerSKU]],customerSKU!G:G,customerSKU!A:A,"",0,1))</f>
        <v/>
      </c>
      <c r="K1847" s="232">
        <v>45821</v>
      </c>
      <c r="L1847" s="49" t="str">
        <f>IF(Table26[[#This Row],[customerSKU]]="","",_xlfn.XLOOKUP(Table26[[#This Row],[customerSKU]],customerSKU!G:G,customerSKU!B:B,"",0,1))</f>
        <v/>
      </c>
      <c r="M1847" s="22"/>
      <c r="N1847" s="15" t="str">
        <f>Table26[[#This Row],[po_number]]&amp;"-"&amp;Table26[[#This Row],[po_line]]</f>
        <v>-1</v>
      </c>
      <c r="O1847" s="15">
        <v>1</v>
      </c>
      <c r="P1847" s="50"/>
      <c r="S1847" s="90" t="str">
        <f>IF(Table26[[#This Row],[customerSKU]]="","",_xlfn.XLOOKUP(Table26[[#This Row],[customerSKU]],customerSKU!G:G,customerSKU!N:N,"NOT FOUND",0,1))</f>
        <v>NOT FOUND</v>
      </c>
      <c r="T1847" s="20"/>
      <c r="U1847" s="94">
        <v>12</v>
      </c>
      <c r="V1847" s="22" t="str">
        <f>IF(ISBLANK(Table26[[#This Row],[customerSKU]]),"",_xlfn.XLOOKUP(Table26[[#This Row],[customerSKU]],Table27[customer_SKU],Table27[case_size],"",0,1))</f>
        <v/>
      </c>
      <c r="W1847" s="117" t="str">
        <f t="shared" si="75"/>
        <v/>
      </c>
      <c r="X1847" s="22" t="str">
        <f t="shared" si="74"/>
        <v/>
      </c>
      <c r="Y1847" s="25" t="str">
        <f>IF(Table26[[#This Row],[customerSKU]]="","",_xlfn.XLOOKUP(Table26[[#This Row],[customerSKU]],Table27[customer_SKU],Table27[product_GTIN],"",0,1))</f>
        <v/>
      </c>
      <c r="Z1847" s="25" t="s">
        <v>3529</v>
      </c>
      <c r="AA1847" s="18" t="str" cm="1">
        <f t="array" ref="AA1847">IF(P1847="", "", _xlfn.XLOOKUP(P1847,#REF!,#REF!,NA,0,-1))</f>
        <v/>
      </c>
      <c r="AB1847" s="22"/>
      <c r="AC1847" s="55" t="str">
        <f>IF(Table26[[#This Row],[customerSKU]]="","",_xlfn.XLOOKUP(Table26[[#This Row],[customerSKU]],customerSKU!G:G,customerSKU!C:C,"",0,1))</f>
        <v/>
      </c>
      <c r="AD1847" s="55" t="str">
        <f>IF($AC1847="","",_xlfn.XLOOKUP($AC1847,'Client Info'!$C$2:$C$2497,'Client Info'!$D$2:$D$2497,"",0,1))</f>
        <v/>
      </c>
      <c r="AE1847" s="55" t="str">
        <f>IF($AC1847="","",_xlfn.XLOOKUP($AC1847,'Client Info'!$C$2:$C$2677,'Client Info'!$E$2:$E$2677,"",))</f>
        <v/>
      </c>
      <c r="AF1847" s="55" t="str">
        <f>IF($AC1847="","",_xlfn.XLOOKUP($AC1847,'Client Info'!$C$2:$C$2677,'Client Info'!$F$2:$F$2677,"",0,1))</f>
        <v/>
      </c>
      <c r="AG1847" s="55" t="str">
        <f>IF(ISBLANK(Table26[[#This Row],[customerSKU]]),"",_xlfn.XLOOKUP(Table26[[#This Row],[customerSKU]],Table27[customer_SKU],Table27[billto],"",0,1))</f>
        <v/>
      </c>
      <c r="AH1847" s="26" t="str">
        <f>_xlfn.XLOOKUP(Table26[[#This Row],[customerSKU]],customerSKU!G:G,customerSKU!K:K,"NA",0,1)</f>
        <v>NA</v>
      </c>
      <c r="AI1847" s="43" t="str">
        <f>_xlfn.XLOOKUP(Table26[[#This Row],[customerSKU]],customerSKU!G:G,customerSKU!O:O,"not found",0,1)</f>
        <v>not found</v>
      </c>
      <c r="AJ1847" s="22" t="e">
        <f>Table26[[#This Row],[unitprice]]*Table26[[#This Row],[quantity_unit]]</f>
        <v>#VALUE!</v>
      </c>
      <c r="AK1847" s="227" t="e" cm="1">
        <f t="array" ref="AK18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7" s="227"/>
    </row>
    <row r="1848" spans="1:38" ht="18" customHeight="1">
      <c r="A1848" s="42">
        <v>413</v>
      </c>
      <c r="B1848" s="42" t="s">
        <v>3520</v>
      </c>
      <c r="C1848" s="53" t="s">
        <v>3488</v>
      </c>
      <c r="E1848" s="20"/>
      <c r="F18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8" s="93"/>
      <c r="I1848" s="203">
        <v>45821</v>
      </c>
      <c r="J1848" s="90" t="str">
        <f>IF(Table26[[#This Row],[customerSKU]]="","",_xlfn.XLOOKUP(Table26[[#This Row],[customerSKU]],customerSKU!G:G,customerSKU!A:A,"",0,1))</f>
        <v/>
      </c>
      <c r="K1848" s="232">
        <v>45821</v>
      </c>
      <c r="L1848" s="49" t="str">
        <f>IF(Table26[[#This Row],[customerSKU]]="","",_xlfn.XLOOKUP(Table26[[#This Row],[customerSKU]],customerSKU!G:G,customerSKU!B:B,"",0,1))</f>
        <v/>
      </c>
      <c r="M1848" s="22"/>
      <c r="N1848" s="15" t="str">
        <f>Table26[[#This Row],[po_number]]&amp;"-"&amp;Table26[[#This Row],[po_line]]</f>
        <v>-1</v>
      </c>
      <c r="O1848" s="15">
        <v>1</v>
      </c>
      <c r="P1848" s="50"/>
      <c r="Q1848" s="22" t="s">
        <v>585</v>
      </c>
      <c r="R1848" s="22" t="s">
        <v>532</v>
      </c>
      <c r="S1848" s="90" t="str">
        <f>IF(Table26[[#This Row],[customerSKU]]="","",_xlfn.XLOOKUP(Table26[[#This Row],[customerSKU]],customerSKU!G:G,customerSKU!N:N,"NOT FOUND",0,1))</f>
        <v>NOT FOUND</v>
      </c>
      <c r="T1848" s="20">
        <v>45803</v>
      </c>
      <c r="U1848" s="94">
        <v>48</v>
      </c>
      <c r="V1848" s="22" t="str">
        <f>IF(ISBLANK(Table26[[#This Row],[customerSKU]]),"",_xlfn.XLOOKUP(Table26[[#This Row],[customerSKU]],Table27[customer_SKU],Table27[case_size],"",0,1))</f>
        <v/>
      </c>
      <c r="W1848" s="117" t="str">
        <f t="shared" si="75"/>
        <v/>
      </c>
      <c r="X1848" s="22" t="str">
        <f t="shared" si="74"/>
        <v/>
      </c>
      <c r="Y1848" s="25" t="str">
        <f>IF(Table26[[#This Row],[customerSKU]]="","",_xlfn.XLOOKUP(Table26[[#This Row],[customerSKU]],Table27[customer_SKU],Table27[product_GTIN],"",0,1))</f>
        <v/>
      </c>
      <c r="Z1848" s="25" t="s">
        <v>3603</v>
      </c>
      <c r="AA1848" s="18" t="str" cm="1">
        <f t="array" ref="AA1848">IF(P1848="", "", _xlfn.XLOOKUP(P1848,#REF!,#REF!,NA,0,-1))</f>
        <v/>
      </c>
      <c r="AB1848" s="22"/>
      <c r="AC1848" s="55" t="s">
        <v>81</v>
      </c>
      <c r="AD1848" s="55" t="str">
        <f>IF($AC1848="","",_xlfn.XLOOKUP($AC1848,'Client Info'!$C$2:$C$2497,'Client Info'!$D$2:$D$2497,"",0,1))</f>
        <v/>
      </c>
      <c r="AE1848" s="55" t="str">
        <f>IF($AC1848="","",_xlfn.XLOOKUP($AC1848,'Client Info'!$C$2:$C$2677,'Client Info'!$E$2:$E$2677,"",))</f>
        <v/>
      </c>
      <c r="AF1848" s="55" t="str">
        <f>IF($AC1848="","",_xlfn.XLOOKUP($AC1848,'Client Info'!$C$2:$C$2677,'Client Info'!$F$2:$F$2677,"",0,1))</f>
        <v/>
      </c>
      <c r="AG1848" s="55" t="s">
        <v>81</v>
      </c>
      <c r="AH1848" s="26" t="str">
        <f>_xlfn.XLOOKUP(Table26[[#This Row],[customerSKU]],customerSKU!G:G,customerSKU!K:K,"NA",0,1)</f>
        <v>NA</v>
      </c>
      <c r="AI1848" s="43" t="str">
        <f>_xlfn.XLOOKUP(Table26[[#This Row],[customerSKU]],customerSKU!G:G,customerSKU!O:O,"not found",0,1)</f>
        <v>not found</v>
      </c>
      <c r="AJ1848" s="22" t="e">
        <f>Table26[[#This Row],[unitprice]]*Table26[[#This Row],[quantity_unit]]</f>
        <v>#VALUE!</v>
      </c>
      <c r="AK1848" s="227" t="e" cm="1">
        <f t="array" ref="AK18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8" s="227"/>
    </row>
    <row r="1849" spans="1:38" ht="18" customHeight="1">
      <c r="A1849" s="42">
        <v>393</v>
      </c>
      <c r="B1849" s="42" t="s">
        <v>3520</v>
      </c>
      <c r="C1849" s="53" t="s">
        <v>3488</v>
      </c>
      <c r="E1849" s="20"/>
      <c r="F18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49" s="93"/>
      <c r="I1849" s="203">
        <v>45821</v>
      </c>
      <c r="J1849" s="90" t="str">
        <f>IF(Table26[[#This Row],[customerSKU]]="","",_xlfn.XLOOKUP(Table26[[#This Row],[customerSKU]],customerSKU!G:G,customerSKU!A:A,"",0,1))</f>
        <v/>
      </c>
      <c r="K1849" s="232">
        <v>45824</v>
      </c>
      <c r="L1849" s="49" t="str">
        <f>IF(Table26[[#This Row],[customerSKU]]="","",_xlfn.XLOOKUP(Table26[[#This Row],[customerSKU]],customerSKU!G:G,customerSKU!B:B,"",0,1))</f>
        <v/>
      </c>
      <c r="M1849" s="22"/>
      <c r="N1849" s="15" t="str">
        <f>Table26[[#This Row],[po_number]]&amp;"-"&amp;Table26[[#This Row],[po_line]]</f>
        <v>-1</v>
      </c>
      <c r="O1849" s="15">
        <v>1</v>
      </c>
      <c r="P1849" s="50"/>
      <c r="Q1849" s="22" t="s">
        <v>591</v>
      </c>
      <c r="R1849" s="22" t="s">
        <v>221</v>
      </c>
      <c r="S1849" s="90" t="str">
        <f>IF(Table26[[#This Row],[customerSKU]]="","",_xlfn.XLOOKUP(Table26[[#This Row],[customerSKU]],customerSKU!G:G,customerSKU!N:N,"NOT FOUND",0,1))</f>
        <v>NOT FOUND</v>
      </c>
      <c r="T1849" s="20">
        <v>45821</v>
      </c>
      <c r="U1849" s="94">
        <v>12</v>
      </c>
      <c r="V1849" s="22" t="str">
        <f>IF(ISBLANK(Table26[[#This Row],[customerSKU]]),"",_xlfn.XLOOKUP(Table26[[#This Row],[customerSKU]],Table27[customer_SKU],Table27[case_size],"",0,1))</f>
        <v/>
      </c>
      <c r="W1849" s="117" t="str">
        <f t="shared" si="75"/>
        <v/>
      </c>
      <c r="X1849" s="22" t="str">
        <f t="shared" si="74"/>
        <v/>
      </c>
      <c r="Y1849" s="25" t="str">
        <f>IF(Table26[[#This Row],[customerSKU]]="","",_xlfn.XLOOKUP(Table26[[#This Row],[customerSKU]],Table27[customer_SKU],Table27[product_GTIN],"",0,1))</f>
        <v/>
      </c>
      <c r="Z1849" s="25" t="s">
        <v>3525</v>
      </c>
      <c r="AA1849" s="18" t="str" cm="1">
        <f t="array" ref="AA1849">IF(P1849="", "", _xlfn.XLOOKUP(P1849,#REF!,#REF!,NA,0,-1))</f>
        <v/>
      </c>
      <c r="AB1849" s="22"/>
      <c r="AC1849" s="55" t="s">
        <v>111</v>
      </c>
      <c r="AD1849" s="55" t="str">
        <f>IF($AC1849="","",_xlfn.XLOOKUP($AC1849,'Client Info'!$C$2:$C$2497,'Client Info'!$D$2:$D$2497,"",0,1))</f>
        <v/>
      </c>
      <c r="AE1849" s="55" t="str">
        <f>IF($AC1849="","",_xlfn.XLOOKUP($AC1849,'Client Info'!$C$2:$C$2677,'Client Info'!$E$2:$E$2677,"",))</f>
        <v/>
      </c>
      <c r="AF1849" s="55" t="str">
        <f>IF($AC1849="","",_xlfn.XLOOKUP($AC1849,'Client Info'!$C$2:$C$2677,'Client Info'!$F$2:$F$2677,"",0,1))</f>
        <v/>
      </c>
      <c r="AG1849" s="55" t="s">
        <v>111</v>
      </c>
      <c r="AH1849" s="26" t="str">
        <f>_xlfn.XLOOKUP(Table26[[#This Row],[customerSKU]],customerSKU!G:G,customerSKU!K:K,"NA",0,1)</f>
        <v>NA</v>
      </c>
      <c r="AI1849" s="43" t="str">
        <f>_xlfn.XLOOKUP(Table26[[#This Row],[customerSKU]],customerSKU!G:G,customerSKU!O:O,"not found",0,1)</f>
        <v>not found</v>
      </c>
      <c r="AJ1849" s="22" t="e">
        <f>Table26[[#This Row],[unitprice]]*Table26[[#This Row],[quantity_unit]]</f>
        <v>#VALUE!</v>
      </c>
      <c r="AK1849" s="227" t="e" cm="1">
        <f t="array" ref="AK18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49" s="227"/>
    </row>
    <row r="1850" spans="1:38" ht="18" customHeight="1">
      <c r="A1850" s="42">
        <v>394</v>
      </c>
      <c r="B1850" s="42" t="s">
        <v>3520</v>
      </c>
      <c r="C1850" s="53" t="s">
        <v>3488</v>
      </c>
      <c r="E1850" s="20"/>
      <c r="F18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0" s="93"/>
      <c r="I1850" s="203">
        <v>45821</v>
      </c>
      <c r="J1850" s="90" t="str">
        <f>IF(Table26[[#This Row],[customerSKU]]="","",_xlfn.XLOOKUP(Table26[[#This Row],[customerSKU]],customerSKU!G:G,customerSKU!A:A,"",0,1))</f>
        <v/>
      </c>
      <c r="K1850" s="232">
        <v>45824</v>
      </c>
      <c r="L1850" s="49" t="str">
        <f>IF(Table26[[#This Row],[customerSKU]]="","",_xlfn.XLOOKUP(Table26[[#This Row],[customerSKU]],customerSKU!G:G,customerSKU!B:B,"",0,1))</f>
        <v/>
      </c>
      <c r="M1850" s="22"/>
      <c r="N1850" s="15" t="str">
        <f>Table26[[#This Row],[po_number]]&amp;"-"&amp;Table26[[#This Row],[po_line]]</f>
        <v>-2</v>
      </c>
      <c r="O1850" s="15">
        <v>2</v>
      </c>
      <c r="P1850" s="50"/>
      <c r="Q1850" s="22" t="s">
        <v>3284</v>
      </c>
      <c r="R1850" s="22" t="s">
        <v>221</v>
      </c>
      <c r="S1850" s="90" t="str">
        <f>IF(Table26[[#This Row],[customerSKU]]="","",_xlfn.XLOOKUP(Table26[[#This Row],[customerSKU]],customerSKU!G:G,customerSKU!N:N,"NOT FOUND",0,1))</f>
        <v>NOT FOUND</v>
      </c>
      <c r="T1850" s="20">
        <v>45763</v>
      </c>
      <c r="U1850" s="94">
        <v>12</v>
      </c>
      <c r="V1850" s="22" t="str">
        <f>IF(ISBLANK(Table26[[#This Row],[customerSKU]]),"",_xlfn.XLOOKUP(Table26[[#This Row],[customerSKU]],Table27[customer_SKU],Table27[case_size],"",0,1))</f>
        <v/>
      </c>
      <c r="W1850" s="117" t="str">
        <f t="shared" si="75"/>
        <v/>
      </c>
      <c r="X1850" s="22" t="str">
        <f t="shared" si="74"/>
        <v/>
      </c>
      <c r="Y1850" s="25" t="str">
        <f>IF(Table26[[#This Row],[customerSKU]]="","",_xlfn.XLOOKUP(Table26[[#This Row],[customerSKU]],Table27[customer_SKU],Table27[product_GTIN],"",0,1))</f>
        <v/>
      </c>
      <c r="Z1850" s="25" t="s">
        <v>3522</v>
      </c>
      <c r="AA1850" s="18" t="str" cm="1">
        <f t="array" ref="AA1850">IF(P1850="", "", _xlfn.XLOOKUP(P1850,#REF!,#REF!,NA,0,-1))</f>
        <v/>
      </c>
      <c r="AB1850" s="22"/>
      <c r="AC1850" s="55" t="s">
        <v>111</v>
      </c>
      <c r="AD1850" s="55" t="str">
        <f>IF($AC1850="","",_xlfn.XLOOKUP($AC1850,'Client Info'!$C$2:$C$2497,'Client Info'!$D$2:$D$2497,"",0,1))</f>
        <v/>
      </c>
      <c r="AE1850" s="55" t="str">
        <f>IF($AC1850="","",_xlfn.XLOOKUP($AC1850,'Client Info'!$C$2:$C$2677,'Client Info'!$E$2:$E$2677,"",))</f>
        <v/>
      </c>
      <c r="AF1850" s="55" t="str">
        <f>IF($AC1850="","",_xlfn.XLOOKUP($AC1850,'Client Info'!$C$2:$C$2677,'Client Info'!$F$2:$F$2677,"",0,1))</f>
        <v/>
      </c>
      <c r="AG1850" s="55" t="s">
        <v>111</v>
      </c>
      <c r="AH1850" s="26" t="str">
        <f>_xlfn.XLOOKUP(Table26[[#This Row],[customerSKU]],customerSKU!G:G,customerSKU!K:K,"NA",0,1)</f>
        <v>NA</v>
      </c>
      <c r="AI1850" s="43" t="str">
        <f>_xlfn.XLOOKUP(Table26[[#This Row],[customerSKU]],customerSKU!G:G,customerSKU!O:O,"not found",0,1)</f>
        <v>not found</v>
      </c>
      <c r="AJ1850" s="22" t="e">
        <f>Table26[[#This Row],[unitprice]]*Table26[[#This Row],[quantity_unit]]</f>
        <v>#VALUE!</v>
      </c>
      <c r="AK1850" s="227" t="e" cm="1">
        <f t="array" ref="AK18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0" s="227"/>
    </row>
    <row r="1851" spans="1:38" ht="18" customHeight="1">
      <c r="A1851" s="42">
        <v>395</v>
      </c>
      <c r="B1851" s="42" t="s">
        <v>3520</v>
      </c>
      <c r="C1851" s="53" t="s">
        <v>3488</v>
      </c>
      <c r="E1851" s="20"/>
      <c r="F18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1" s="93"/>
      <c r="I1851" s="203">
        <v>45821</v>
      </c>
      <c r="J1851" s="90" t="str">
        <f>IF(Table26[[#This Row],[customerSKU]]="","",_xlfn.XLOOKUP(Table26[[#This Row],[customerSKU]],customerSKU!G:G,customerSKU!A:A,"",0,1))</f>
        <v/>
      </c>
      <c r="K1851" s="232">
        <v>45824</v>
      </c>
      <c r="L1851" s="49" t="str">
        <f>IF(Table26[[#This Row],[customerSKU]]="","",_xlfn.XLOOKUP(Table26[[#This Row],[customerSKU]],customerSKU!G:G,customerSKU!B:B,"",0,1))</f>
        <v/>
      </c>
      <c r="M1851" s="22"/>
      <c r="N1851" s="15" t="str">
        <f>Table26[[#This Row],[po_number]]&amp;"-"&amp;Table26[[#This Row],[po_line]]</f>
        <v>-3</v>
      </c>
      <c r="O1851" s="15">
        <v>3</v>
      </c>
      <c r="P1851" s="50"/>
      <c r="Q1851" s="22" t="s">
        <v>574</v>
      </c>
      <c r="R1851" s="22" t="s">
        <v>532</v>
      </c>
      <c r="S1851" s="90" t="s">
        <v>13</v>
      </c>
      <c r="T1851" s="20">
        <v>45818</v>
      </c>
      <c r="U1851" s="94">
        <v>36</v>
      </c>
      <c r="V1851" s="22" t="str">
        <f>IF(ISBLANK(Table26[[#This Row],[customerSKU]]),"",_xlfn.XLOOKUP(Table26[[#This Row],[customerSKU]],Table27[customer_SKU],Table27[case_size],"",0,1))</f>
        <v/>
      </c>
      <c r="W1851" s="117" t="str">
        <f t="shared" si="75"/>
        <v/>
      </c>
      <c r="X1851" s="22" t="str">
        <f t="shared" si="74"/>
        <v/>
      </c>
      <c r="Y1851" s="25" t="str">
        <f>IF(Table26[[#This Row],[customerSKU]]="","",_xlfn.XLOOKUP(Table26[[#This Row],[customerSKU]],Table27[customer_SKU],Table27[product_GTIN],"",0,1))</f>
        <v/>
      </c>
      <c r="Z1851" s="25" t="s">
        <v>3530</v>
      </c>
      <c r="AA1851" s="18" t="str" cm="1">
        <f t="array" ref="AA1851">IF(P1851="", "", _xlfn.XLOOKUP(P1851,#REF!,#REF!,NA,0,-1))</f>
        <v/>
      </c>
      <c r="AB1851" s="22"/>
      <c r="AC1851" s="55" t="s">
        <v>111</v>
      </c>
      <c r="AD1851" s="55" t="str">
        <f>IF($AC1851="","",_xlfn.XLOOKUP($AC1851,'Client Info'!$C$2:$C$2497,'Client Info'!$D$2:$D$2497,"",0,1))</f>
        <v/>
      </c>
      <c r="AE1851" s="55" t="str">
        <f>IF($AC1851="","",_xlfn.XLOOKUP($AC1851,'Client Info'!$C$2:$C$2677,'Client Info'!$E$2:$E$2677,"",))</f>
        <v/>
      </c>
      <c r="AF1851" s="55" t="str">
        <f>IF($AC1851="","",_xlfn.XLOOKUP($AC1851,'Client Info'!$C$2:$C$2677,'Client Info'!$F$2:$F$2677,"",0,1))</f>
        <v/>
      </c>
      <c r="AG1851" s="55" t="s">
        <v>111</v>
      </c>
      <c r="AH1851" s="26" t="str">
        <f>_xlfn.XLOOKUP(Table26[[#This Row],[customerSKU]],customerSKU!G:G,customerSKU!K:K,"NA",0,1)</f>
        <v>NA</v>
      </c>
      <c r="AI1851" s="43" t="str">
        <f>_xlfn.XLOOKUP(Table26[[#This Row],[customerSKU]],customerSKU!G:G,customerSKU!O:O,"not found",0,1)</f>
        <v>not found</v>
      </c>
      <c r="AJ1851" s="22" t="e">
        <f>Table26[[#This Row],[unitprice]]*Table26[[#This Row],[quantity_unit]]</f>
        <v>#VALUE!</v>
      </c>
      <c r="AK1851" s="227" t="e" cm="1">
        <f t="array" ref="AK18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1" s="227"/>
    </row>
    <row r="1852" spans="1:38" ht="24.6" customHeight="1">
      <c r="A1852" s="42">
        <v>396</v>
      </c>
      <c r="B1852" s="42" t="s">
        <v>3520</v>
      </c>
      <c r="C1852" s="53" t="s">
        <v>3488</v>
      </c>
      <c r="E1852" s="20"/>
      <c r="F18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2" s="93"/>
      <c r="I1852" s="203">
        <v>45821</v>
      </c>
      <c r="J1852" s="90" t="str">
        <f>IF(Table26[[#This Row],[customerSKU]]="","",_xlfn.XLOOKUP(Table26[[#This Row],[customerSKU]],customerSKU!G:G,customerSKU!A:A,"",0,1))</f>
        <v/>
      </c>
      <c r="K1852" s="232">
        <v>45824</v>
      </c>
      <c r="L1852" s="49" t="str">
        <f>IF(Table26[[#This Row],[customerSKU]]="","",_xlfn.XLOOKUP(Table26[[#This Row],[customerSKU]],customerSKU!G:G,customerSKU!B:B,"",0,1))</f>
        <v/>
      </c>
      <c r="M1852" s="22"/>
      <c r="N1852" s="15" t="str">
        <f>Table26[[#This Row],[po_number]]&amp;"-"&amp;Table26[[#This Row],[po_line]]</f>
        <v>-1</v>
      </c>
      <c r="O1852" s="15">
        <v>1</v>
      </c>
      <c r="P1852" s="50"/>
      <c r="Q1852" s="22" t="s">
        <v>3418</v>
      </c>
      <c r="R1852" s="22" t="s">
        <v>3559</v>
      </c>
      <c r="S1852" s="90" t="str">
        <f>IF(Table26[[#This Row],[customerSKU]]="","",_xlfn.XLOOKUP(Table26[[#This Row],[customerSKU]],customerSKU!G:G,customerSKU!N:N,"NOT FOUND",0,1))</f>
        <v>NOT FOUND</v>
      </c>
      <c r="T1852" s="20">
        <v>45702</v>
      </c>
      <c r="U1852" s="94">
        <v>5</v>
      </c>
      <c r="V1852" s="22" t="str">
        <f>IF(ISBLANK(Table26[[#This Row],[customerSKU]]),"",_xlfn.XLOOKUP(Table26[[#This Row],[customerSKU]],Table27[customer_SKU],Table27[case_size],"",0,1))</f>
        <v/>
      </c>
      <c r="W1852" s="117" t="str">
        <f t="shared" si="75"/>
        <v/>
      </c>
      <c r="X1852" s="22" t="str">
        <f t="shared" si="74"/>
        <v/>
      </c>
      <c r="Y1852" s="25" t="str">
        <f>IF(Table26[[#This Row],[customerSKU]]="","",_xlfn.XLOOKUP(Table26[[#This Row],[customerSKU]],Table27[customer_SKU],Table27[product_GTIN],"",0,1))</f>
        <v/>
      </c>
      <c r="Z1852" s="25" t="s">
        <v>3660</v>
      </c>
      <c r="AA1852" s="18" t="str" cm="1">
        <f t="array" ref="AA1852">IF(P1852="", "", _xlfn.XLOOKUP(P1852,#REF!,#REF!,NA,0,-1))</f>
        <v/>
      </c>
      <c r="AB1852" s="22"/>
      <c r="AC1852" s="23" t="s">
        <v>3664</v>
      </c>
      <c r="AD1852" s="23" t="str">
        <f>IF($AC1852="","",_xlfn.XLOOKUP($AC1852,'Client Info'!$C$2:$C$2497,'Client Info'!$D$2:$D$2497,"",0,1))</f>
        <v/>
      </c>
      <c r="AE1852" s="23" t="str">
        <f>IF($AC1852="","",_xlfn.XLOOKUP($AC1852,'Client Info'!$C$2:$C$2677,'Client Info'!$E$2:$E$2677,"",))</f>
        <v/>
      </c>
      <c r="AF1852" s="23" t="str">
        <f>IF($AC1852="","",_xlfn.XLOOKUP($AC1852,'Client Info'!$C$2:$C$2677,'Client Info'!$F$2:$F$2677,"",0,1))</f>
        <v/>
      </c>
      <c r="AG1852" s="23" t="s">
        <v>55</v>
      </c>
      <c r="AH1852" s="26" t="str">
        <f>_xlfn.XLOOKUP(Table26[[#This Row],[customerSKU]],customerSKU!G:G,customerSKU!K:K,"NA",0,1)</f>
        <v>NA</v>
      </c>
      <c r="AI1852" s="43" t="str">
        <f>_xlfn.XLOOKUP(Table26[[#This Row],[customerSKU]],customerSKU!G:G,customerSKU!O:O,"not found",0,1)</f>
        <v>not found</v>
      </c>
      <c r="AJ1852" s="22" t="e">
        <f>Table26[[#This Row],[unitprice]]*Table26[[#This Row],[quantity_unit]]</f>
        <v>#VALUE!</v>
      </c>
      <c r="AK1852" s="227" t="e" cm="1">
        <f t="array" ref="AK18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2" s="227"/>
    </row>
    <row r="1853" spans="1:38" ht="18" customHeight="1">
      <c r="A1853" s="42">
        <v>397</v>
      </c>
      <c r="B1853" s="42" t="s">
        <v>3520</v>
      </c>
      <c r="C1853" s="53" t="s">
        <v>3488</v>
      </c>
      <c r="E1853" s="20"/>
      <c r="F1853" s="20"/>
      <c r="G1853" s="93"/>
      <c r="I1853" s="19">
        <v>45824</v>
      </c>
      <c r="J1853" s="90" t="str">
        <f>IF(Table26[[#This Row],[customerSKU]]="","",_xlfn.XLOOKUP(Table26[[#This Row],[customerSKU]],customerSKU!G:G,customerSKU!A:A,"",0,1))</f>
        <v/>
      </c>
      <c r="K1853" s="232">
        <v>45824</v>
      </c>
      <c r="L1853" s="49" t="str">
        <f>IF(Table26[[#This Row],[customerSKU]]="","",_xlfn.XLOOKUP(Table26[[#This Row],[customerSKU]],customerSKU!G:G,customerSKU!B:B,"",0,1))</f>
        <v/>
      </c>
      <c r="M1853" s="22"/>
      <c r="N1853" s="15" t="str">
        <f>Table26[[#This Row],[po_number]]&amp;"-"&amp;Table26[[#This Row],[po_line]]</f>
        <v>-1</v>
      </c>
      <c r="O1853" s="15">
        <v>1</v>
      </c>
      <c r="P1853" s="50"/>
      <c r="Q1853" s="24" t="s">
        <v>1774</v>
      </c>
      <c r="R1853" s="22" t="s">
        <v>532</v>
      </c>
      <c r="S1853" s="90" t="str">
        <f>IF(Table26[[#This Row],[customerSKU]]="","",_xlfn.XLOOKUP(Table26[[#This Row],[customerSKU]],customerSKU!G:G,customerSKU!N:N,"NOT FOUND",0,1))</f>
        <v>NOT FOUND</v>
      </c>
      <c r="T1853" s="20">
        <v>45790</v>
      </c>
      <c r="U1853" s="94">
        <v>144</v>
      </c>
      <c r="V1853" s="22" t="str">
        <f>IF(ISBLANK(Table26[[#This Row],[customerSKU]]),"",_xlfn.XLOOKUP(Table26[[#This Row],[customerSKU]],Table27[customer_SKU],Table27[case_size],"",0,1))</f>
        <v/>
      </c>
      <c r="W1853" s="117" t="str">
        <f t="shared" si="75"/>
        <v/>
      </c>
      <c r="X1853" s="22" t="str">
        <f t="shared" si="74"/>
        <v/>
      </c>
      <c r="Y1853" s="25" t="str">
        <f>IF(Table26[[#This Row],[customerSKU]]="","",_xlfn.XLOOKUP(Table26[[#This Row],[customerSKU]],Table27[customer_SKU],Table27[product_GTIN],"",0,1))</f>
        <v/>
      </c>
      <c r="Z1853" s="25" t="s">
        <v>3542</v>
      </c>
      <c r="AA1853" s="18" t="str" cm="1">
        <f t="array" ref="AA1853">IF(P1853="", "", _xlfn.XLOOKUP(P1853,#REF!,#REF!,NA,0,-1))</f>
        <v/>
      </c>
      <c r="AB1853" s="22"/>
      <c r="AC1853" s="55" t="str">
        <f>IF(Table26[[#This Row],[customerSKU]]="","",_xlfn.XLOOKUP(Table26[[#This Row],[customerSKU]],customerSKU!G:G,customerSKU!C:C,"",0,1))</f>
        <v/>
      </c>
      <c r="AD1853" s="55" t="str">
        <f>IF($AC1853="","",_xlfn.XLOOKUP($AC1853,'Client Info'!$C$2:$C$2497,'Client Info'!$D$2:$D$2497,"",0,1))</f>
        <v/>
      </c>
      <c r="AE1853" s="55" t="str">
        <f>IF($AC1853="","",_xlfn.XLOOKUP($AC1853,'Client Info'!$C$2:$C$2677,'Client Info'!$E$2:$E$2677,"",))</f>
        <v/>
      </c>
      <c r="AF1853" s="55" t="str">
        <f>IF($AC1853="","",_xlfn.XLOOKUP($AC1853,'Client Info'!$C$2:$C$2677,'Client Info'!$F$2:$F$2677,"",0,1))</f>
        <v/>
      </c>
      <c r="AG1853" s="55" t="str">
        <f>IF(ISBLANK(Table26[[#This Row],[customerSKU]]),"",_xlfn.XLOOKUP(Table26[[#This Row],[customerSKU]],Table27[customer_SKU],Table27[billto],"",0,1))</f>
        <v/>
      </c>
      <c r="AH1853" s="26" t="str">
        <f>_xlfn.XLOOKUP(Table26[[#This Row],[customerSKU]],customerSKU!G:G,customerSKU!K:K,"NA",0,1)</f>
        <v>NA</v>
      </c>
      <c r="AI1853" s="43" t="str">
        <f>_xlfn.XLOOKUP(Table26[[#This Row],[customerSKU]],customerSKU!G:G,customerSKU!O:O,"not found",0,1)</f>
        <v>not found</v>
      </c>
      <c r="AJ1853" s="22" t="e">
        <f>Table26[[#This Row],[unitprice]]*Table26[[#This Row],[quantity_unit]]</f>
        <v>#VALUE!</v>
      </c>
      <c r="AK1853" s="227" t="e" cm="1">
        <f t="array" ref="AK18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3" s="227"/>
    </row>
    <row r="1854" spans="1:38" ht="18" customHeight="1">
      <c r="A1854" s="42">
        <v>398</v>
      </c>
      <c r="B1854" s="42" t="s">
        <v>3520</v>
      </c>
      <c r="C1854" s="53" t="s">
        <v>3488</v>
      </c>
      <c r="E1854" s="20"/>
      <c r="F1854" s="20"/>
      <c r="G1854" s="393"/>
      <c r="I1854" s="19">
        <v>45824</v>
      </c>
      <c r="J1854" s="90" t="str">
        <f>IF(Table26[[#This Row],[customerSKU]]="","",_xlfn.XLOOKUP(Table26[[#This Row],[customerSKU]],customerSKU!G:G,customerSKU!A:A,"",0,1))</f>
        <v/>
      </c>
      <c r="K1854" s="232">
        <v>45824</v>
      </c>
      <c r="L1854" s="49" t="str">
        <f>IF(Table26[[#This Row],[customerSKU]]="","",_xlfn.XLOOKUP(Table26[[#This Row],[customerSKU]],customerSKU!G:G,customerSKU!B:B,"",0,1))</f>
        <v/>
      </c>
      <c r="M1854" s="22"/>
      <c r="N1854" s="15" t="str">
        <f>Table26[[#This Row],[po_number]]&amp;"-"&amp;Table26[[#This Row],[po_line]]</f>
        <v>-1</v>
      </c>
      <c r="O1854" s="15">
        <v>1</v>
      </c>
      <c r="P1854" s="50"/>
      <c r="Q1854" s="22" t="s">
        <v>1811</v>
      </c>
      <c r="R1854" s="22" t="s">
        <v>532</v>
      </c>
      <c r="S1854" s="90" t="str">
        <f>IF(Table26[[#This Row],[customerSKU]]="","",_xlfn.XLOOKUP(Table26[[#This Row],[customerSKU]],customerSKU!G:G,customerSKU!N:N,"NOT FOUND",0,1))</f>
        <v>NOT FOUND</v>
      </c>
      <c r="T1854" s="20">
        <v>45805</v>
      </c>
      <c r="U1854" s="94">
        <v>36</v>
      </c>
      <c r="V1854" s="22" t="str">
        <f>IF(ISBLANK(Table26[[#This Row],[customerSKU]]),"",_xlfn.XLOOKUP(Table26[[#This Row],[customerSKU]],Table27[customer_SKU],Table27[case_size],"",0,1))</f>
        <v/>
      </c>
      <c r="W1854" s="117" t="str">
        <f t="shared" si="75"/>
        <v/>
      </c>
      <c r="X1854" s="22" t="str">
        <f t="shared" si="74"/>
        <v/>
      </c>
      <c r="Y1854" s="25" t="str">
        <f>IF(Table26[[#This Row],[customerSKU]]="","",_xlfn.XLOOKUP(Table26[[#This Row],[customerSKU]],Table27[customer_SKU],Table27[product_GTIN],"",0,1))</f>
        <v/>
      </c>
      <c r="Z1854" s="25" t="s">
        <v>3613</v>
      </c>
      <c r="AA1854" s="18" t="str" cm="1">
        <f t="array" ref="AA1854">IF(P1854="", "", _xlfn.XLOOKUP(P1854,#REF!,#REF!,NA,0,-1))</f>
        <v/>
      </c>
      <c r="AB1854" s="22"/>
      <c r="AC1854" s="55" t="str">
        <f>IF(Table26[[#This Row],[customerSKU]]="","",_xlfn.XLOOKUP(Table26[[#This Row],[customerSKU]],customerSKU!G:G,customerSKU!C:C,"",0,1))</f>
        <v/>
      </c>
      <c r="AD1854" s="55" t="str">
        <f>IF($AC1854="","",_xlfn.XLOOKUP($AC1854,'Client Info'!$C$2:$C$2497,'Client Info'!$D$2:$D$2497,"",0,1))</f>
        <v/>
      </c>
      <c r="AE1854" s="55" t="str">
        <f>IF($AC1854="","",_xlfn.XLOOKUP($AC1854,'Client Info'!$C$2:$C$2677,'Client Info'!$E$2:$E$2677,"",))</f>
        <v/>
      </c>
      <c r="AF1854" s="55" t="str">
        <f>IF($AC1854="","",_xlfn.XLOOKUP($AC1854,'Client Info'!$C$2:$C$2677,'Client Info'!$F$2:$F$2677,"",0,1))</f>
        <v/>
      </c>
      <c r="AG1854" s="55" t="str">
        <f>IF(ISBLANK(Table26[[#This Row],[customerSKU]]),"",_xlfn.XLOOKUP(Table26[[#This Row],[customerSKU]],Table27[customer_SKU],Table27[billto],"",0,1))</f>
        <v/>
      </c>
      <c r="AH1854" s="26" t="str">
        <f>_xlfn.XLOOKUP(Table26[[#This Row],[customerSKU]],customerSKU!G:G,customerSKU!K:K,"NA",0,1)</f>
        <v>NA</v>
      </c>
      <c r="AI1854" s="43" t="str">
        <f>_xlfn.XLOOKUP(Table26[[#This Row],[customerSKU]],customerSKU!G:G,customerSKU!O:O,"not found",0,1)</f>
        <v>not found</v>
      </c>
      <c r="AJ1854" s="22" t="e">
        <f>Table26[[#This Row],[unitprice]]*Table26[[#This Row],[quantity_unit]]</f>
        <v>#VALUE!</v>
      </c>
      <c r="AK1854" s="227" t="e" cm="1">
        <f t="array" ref="AK18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4" s="227"/>
    </row>
    <row r="1855" spans="1:38" ht="18" customHeight="1">
      <c r="A1855" s="42">
        <v>399</v>
      </c>
      <c r="B1855" s="42" t="s">
        <v>3520</v>
      </c>
      <c r="C1855" s="53" t="s">
        <v>3488</v>
      </c>
      <c r="E1855" s="20"/>
      <c r="F1855" s="20"/>
      <c r="G1855" s="393"/>
      <c r="I1855" s="19">
        <v>45824</v>
      </c>
      <c r="J1855" s="90" t="str">
        <f>IF(Table26[[#This Row],[customerSKU]]="","",_xlfn.XLOOKUP(Table26[[#This Row],[customerSKU]],customerSKU!G:G,customerSKU!A:A,"",0,1))</f>
        <v/>
      </c>
      <c r="K1855" s="232">
        <v>45824</v>
      </c>
      <c r="L1855" s="49" t="str">
        <f>IF(Table26[[#This Row],[customerSKU]]="","",_xlfn.XLOOKUP(Table26[[#This Row],[customerSKU]],customerSKU!G:G,customerSKU!B:B,"",0,1))</f>
        <v/>
      </c>
      <c r="M1855" s="22"/>
      <c r="N1855" s="15" t="str">
        <f>Table26[[#This Row],[po_number]]&amp;"-"&amp;Table26[[#This Row],[po_line]]</f>
        <v>-2</v>
      </c>
      <c r="O1855" s="15">
        <v>2</v>
      </c>
      <c r="P1855" s="50"/>
      <c r="Q1855" s="24" t="s">
        <v>1774</v>
      </c>
      <c r="R1855" s="22" t="s">
        <v>532</v>
      </c>
      <c r="S1855" s="90" t="str">
        <f>IF(Table26[[#This Row],[customerSKU]]="","",_xlfn.XLOOKUP(Table26[[#This Row],[customerSKU]],customerSKU!G:G,customerSKU!N:N,"NOT FOUND",0,1))</f>
        <v>NOT FOUND</v>
      </c>
      <c r="T1855" s="20">
        <v>45790</v>
      </c>
      <c r="U1855" s="94">
        <v>120</v>
      </c>
      <c r="V1855" s="22" t="str">
        <f>IF(ISBLANK(Table26[[#This Row],[customerSKU]]),"",_xlfn.XLOOKUP(Table26[[#This Row],[customerSKU]],Table27[customer_SKU],Table27[case_size],"",0,1))</f>
        <v/>
      </c>
      <c r="W1855" s="117" t="str">
        <f t="shared" si="75"/>
        <v/>
      </c>
      <c r="X1855" s="22" t="str">
        <f t="shared" si="74"/>
        <v/>
      </c>
      <c r="Y1855" s="25" t="str">
        <f>IF(Table26[[#This Row],[customerSKU]]="","",_xlfn.XLOOKUP(Table26[[#This Row],[customerSKU]],Table27[customer_SKU],Table27[product_GTIN],"",0,1))</f>
        <v/>
      </c>
      <c r="Z1855" s="25" t="s">
        <v>3542</v>
      </c>
      <c r="AA1855" s="18" t="str" cm="1">
        <f t="array" ref="AA1855">IF(P1855="", "", _xlfn.XLOOKUP(P1855,#REF!,#REF!,NA,0,-1))</f>
        <v/>
      </c>
      <c r="AB1855" s="22"/>
      <c r="AC1855" s="55" t="str">
        <f>IF(Table26[[#This Row],[customerSKU]]="","",_xlfn.XLOOKUP(Table26[[#This Row],[customerSKU]],customerSKU!G:G,customerSKU!C:C,"",0,1))</f>
        <v/>
      </c>
      <c r="AD1855" s="55" t="str">
        <f>IF($AC1855="","",_xlfn.XLOOKUP($AC1855,'Client Info'!$C$2:$C$2497,'Client Info'!$D$2:$D$2497,"",0,1))</f>
        <v/>
      </c>
      <c r="AE1855" s="55" t="str">
        <f>IF($AC1855="","",_xlfn.XLOOKUP($AC1855,'Client Info'!$C$2:$C$2677,'Client Info'!$E$2:$E$2677,"",))</f>
        <v/>
      </c>
      <c r="AF1855" s="55" t="str">
        <f>IF($AC1855="","",_xlfn.XLOOKUP($AC1855,'Client Info'!$C$2:$C$2677,'Client Info'!$F$2:$F$2677,"",0,1))</f>
        <v/>
      </c>
      <c r="AG1855" s="55" t="str">
        <f>IF(ISBLANK(Table26[[#This Row],[customerSKU]]),"",_xlfn.XLOOKUP(Table26[[#This Row],[customerSKU]],Table27[customer_SKU],Table27[billto],"",0,1))</f>
        <v/>
      </c>
      <c r="AH1855" s="26" t="str">
        <f>_xlfn.XLOOKUP(Table26[[#This Row],[customerSKU]],customerSKU!G:G,customerSKU!K:K,"NA",0,1)</f>
        <v>NA</v>
      </c>
      <c r="AI1855" s="43" t="str">
        <f>_xlfn.XLOOKUP(Table26[[#This Row],[customerSKU]],customerSKU!G:G,customerSKU!O:O,"not found",0,1)</f>
        <v>not found</v>
      </c>
      <c r="AJ1855" s="22" t="e">
        <f>Table26[[#This Row],[unitprice]]*Table26[[#This Row],[quantity_unit]]</f>
        <v>#VALUE!</v>
      </c>
      <c r="AK1855" s="227" t="e" cm="1">
        <f t="array" ref="AK18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5" s="227"/>
    </row>
    <row r="1856" spans="1:38" ht="18" customHeight="1">
      <c r="A1856" s="42">
        <v>400</v>
      </c>
      <c r="B1856" s="42" t="s">
        <v>3520</v>
      </c>
      <c r="C1856" s="53" t="s">
        <v>3488</v>
      </c>
      <c r="E1856" s="20"/>
      <c r="F18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6" s="393"/>
      <c r="I1856" s="19">
        <v>45824</v>
      </c>
      <c r="J1856" s="90" t="str">
        <f>IF(Table26[[#This Row],[customerSKU]]="","",_xlfn.XLOOKUP(Table26[[#This Row],[customerSKU]],customerSKU!G:G,customerSKU!A:A,"",0,1))</f>
        <v/>
      </c>
      <c r="K1856" s="232">
        <v>45824</v>
      </c>
      <c r="L1856" s="49" t="str">
        <f>IF(Table26[[#This Row],[customerSKU]]="","",_xlfn.XLOOKUP(Table26[[#This Row],[customerSKU]],customerSKU!G:G,customerSKU!B:B,"",0,1))</f>
        <v/>
      </c>
      <c r="M1856" s="22"/>
      <c r="N1856" s="15" t="str">
        <f>Table26[[#This Row],[po_number]]&amp;"-"&amp;Table26[[#This Row],[po_line]]</f>
        <v>-1</v>
      </c>
      <c r="O1856" s="15">
        <v>1</v>
      </c>
      <c r="P1856" s="50"/>
      <c r="Q1856" s="22" t="s">
        <v>3548</v>
      </c>
      <c r="R1856" s="22" t="s">
        <v>532</v>
      </c>
      <c r="S1856" s="90" t="s">
        <v>13</v>
      </c>
      <c r="T1856" s="20">
        <v>45777</v>
      </c>
      <c r="U1856" s="94">
        <v>24</v>
      </c>
      <c r="V1856" s="22" t="str">
        <f>IF(ISBLANK(Table26[[#This Row],[customerSKU]]),"",_xlfn.XLOOKUP(Table26[[#This Row],[customerSKU]],Table27[customer_SKU],Table27[case_size],"",0,1))</f>
        <v/>
      </c>
      <c r="W1856" s="117" t="str">
        <f t="shared" si="75"/>
        <v/>
      </c>
      <c r="X1856" s="22" t="str">
        <f t="shared" si="74"/>
        <v/>
      </c>
      <c r="Y1856" s="25" t="str">
        <f>IF(Table26[[#This Row],[customerSKU]]="","",_xlfn.XLOOKUP(Table26[[#This Row],[customerSKU]],Table27[customer_SKU],Table27[product_GTIN],"",0,1))</f>
        <v/>
      </c>
      <c r="Z1856" s="25" t="s">
        <v>3549</v>
      </c>
      <c r="AA1856" s="18" t="str" cm="1">
        <f t="array" ref="AA1856">IF(P1856="", "", _xlfn.XLOOKUP(P1856,#REF!,#REF!,NA,0,-1))</f>
        <v/>
      </c>
      <c r="AB1856" s="22"/>
      <c r="AC1856" s="55" t="s">
        <v>3653</v>
      </c>
      <c r="AD1856" s="55" t="str">
        <f>IF($AC1856="","",_xlfn.XLOOKUP($AC1856,'Client Info'!$C$2:$C$2497,'Client Info'!$D$2:$D$2497,"",0,1))</f>
        <v/>
      </c>
      <c r="AE1856" s="55" t="str">
        <f>IF($AC1856="","",_xlfn.XLOOKUP($AC1856,'Client Info'!$C$2:$C$2677,'Client Info'!$E$2:$E$2677,"",))</f>
        <v/>
      </c>
      <c r="AF1856" s="55" t="str">
        <f>IF($AC1856="","",_xlfn.XLOOKUP($AC1856,'Client Info'!$C$2:$C$2677,'Client Info'!$F$2:$F$2677,"",0,1))</f>
        <v/>
      </c>
      <c r="AG1856" s="55" t="s">
        <v>3653</v>
      </c>
      <c r="AH1856" s="26" t="str">
        <f>_xlfn.XLOOKUP(Table26[[#This Row],[customerSKU]],customerSKU!G:G,customerSKU!K:K,"NA",0,1)</f>
        <v>NA</v>
      </c>
      <c r="AI1856" s="43" t="str">
        <f>_xlfn.XLOOKUP(Table26[[#This Row],[customerSKU]],customerSKU!G:G,customerSKU!O:O,"not found",0,1)</f>
        <v>not found</v>
      </c>
      <c r="AJ1856" s="22" t="e">
        <f>Table26[[#This Row],[unitprice]]*Table26[[#This Row],[quantity_unit]]</f>
        <v>#VALUE!</v>
      </c>
      <c r="AK1856" s="227" t="e" cm="1">
        <f t="array" ref="AK18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6" s="227"/>
    </row>
    <row r="1857" spans="1:38" ht="18" customHeight="1">
      <c r="A1857" s="42">
        <v>401</v>
      </c>
      <c r="B1857" s="42" t="s">
        <v>3520</v>
      </c>
      <c r="C1857" s="53" t="s">
        <v>3488</v>
      </c>
      <c r="E1857" s="20"/>
      <c r="F18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7" s="393"/>
      <c r="I1857" s="19">
        <v>45824</v>
      </c>
      <c r="J1857" s="90" t="str">
        <f>IF(Table26[[#This Row],[customerSKU]]="","",_xlfn.XLOOKUP(Table26[[#This Row],[customerSKU]],customerSKU!G:G,customerSKU!A:A,"",0,1))</f>
        <v/>
      </c>
      <c r="K1857" s="232">
        <v>45824</v>
      </c>
      <c r="L1857" s="49" t="str">
        <f>IF(Table26[[#This Row],[customerSKU]]="","",_xlfn.XLOOKUP(Table26[[#This Row],[customerSKU]],customerSKU!G:G,customerSKU!B:B,"",0,1))</f>
        <v/>
      </c>
      <c r="M1857" s="22"/>
      <c r="N1857" s="15" t="str">
        <f>Table26[[#This Row],[po_number]]&amp;"-"&amp;Table26[[#This Row],[po_line]]</f>
        <v>-2</v>
      </c>
      <c r="O1857" s="15">
        <v>2</v>
      </c>
      <c r="P1857" s="50"/>
      <c r="Q1857" s="22" t="s">
        <v>574</v>
      </c>
      <c r="R1857" s="22" t="s">
        <v>532</v>
      </c>
      <c r="S1857" s="90" t="s">
        <v>13</v>
      </c>
      <c r="T1857" s="20">
        <v>45818</v>
      </c>
      <c r="U1857" s="94">
        <v>12</v>
      </c>
      <c r="V1857" s="22" t="str">
        <f>IF(ISBLANK(Table26[[#This Row],[customerSKU]]),"",_xlfn.XLOOKUP(Table26[[#This Row],[customerSKU]],Table27[customer_SKU],Table27[case_size],"",0,1))</f>
        <v/>
      </c>
      <c r="W1857" s="117" t="str">
        <f t="shared" si="75"/>
        <v/>
      </c>
      <c r="X1857" s="22" t="str">
        <f t="shared" si="74"/>
        <v/>
      </c>
      <c r="Y1857" s="25" t="str">
        <f>IF(Table26[[#This Row],[customerSKU]]="","",_xlfn.XLOOKUP(Table26[[#This Row],[customerSKU]],Table27[customer_SKU],Table27[product_GTIN],"",0,1))</f>
        <v/>
      </c>
      <c r="Z1857" s="25" t="s">
        <v>3530</v>
      </c>
      <c r="AA1857" s="18" t="str" cm="1">
        <f t="array" ref="AA1857">IF(P1857="", "", _xlfn.XLOOKUP(P1857,#REF!,#REF!,NA,0,-1))</f>
        <v/>
      </c>
      <c r="AB1857" s="22"/>
      <c r="AC1857" s="55" t="s">
        <v>3653</v>
      </c>
      <c r="AD1857" s="55" t="str">
        <f>IF($AC1857="","",_xlfn.XLOOKUP($AC1857,'Client Info'!$C$2:$C$2497,'Client Info'!$D$2:$D$2497,"",0,1))</f>
        <v/>
      </c>
      <c r="AE1857" s="55" t="str">
        <f>IF($AC1857="","",_xlfn.XLOOKUP($AC1857,'Client Info'!$C$2:$C$2677,'Client Info'!$E$2:$E$2677,"",))</f>
        <v/>
      </c>
      <c r="AF1857" s="55" t="str">
        <f>IF($AC1857="","",_xlfn.XLOOKUP($AC1857,'Client Info'!$C$2:$C$2677,'Client Info'!$F$2:$F$2677,"",0,1))</f>
        <v/>
      </c>
      <c r="AG1857" s="55" t="s">
        <v>3653</v>
      </c>
      <c r="AH1857" s="26" t="str">
        <f>_xlfn.XLOOKUP(Table26[[#This Row],[customerSKU]],customerSKU!G:G,customerSKU!K:K,"NA",0,1)</f>
        <v>NA</v>
      </c>
      <c r="AI1857" s="43" t="str">
        <f>_xlfn.XLOOKUP(Table26[[#This Row],[customerSKU]],customerSKU!G:G,customerSKU!O:O,"not found",0,1)</f>
        <v>not found</v>
      </c>
      <c r="AJ1857" s="22" t="e">
        <f>Table26[[#This Row],[unitprice]]*Table26[[#This Row],[quantity_unit]]</f>
        <v>#VALUE!</v>
      </c>
      <c r="AK1857" s="227" t="e" cm="1">
        <f t="array" ref="AK18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7" s="227"/>
    </row>
    <row r="1858" spans="1:38" ht="18" customHeight="1">
      <c r="A1858" s="42">
        <v>402</v>
      </c>
      <c r="B1858" s="42" t="s">
        <v>3520</v>
      </c>
      <c r="C1858" s="53" t="s">
        <v>3488</v>
      </c>
      <c r="E1858" s="20"/>
      <c r="F18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8" s="93"/>
      <c r="I1858" s="19">
        <v>45824</v>
      </c>
      <c r="J1858" s="90" t="str">
        <f>IF(Table26[[#This Row],[customerSKU]]="","",_xlfn.XLOOKUP(Table26[[#This Row],[customerSKU]],customerSKU!G:G,customerSKU!A:A,"",0,1))</f>
        <v/>
      </c>
      <c r="K1858" s="232">
        <v>45824</v>
      </c>
      <c r="L1858" s="49" t="str">
        <f>IF(Table26[[#This Row],[customerSKU]]="","",_xlfn.XLOOKUP(Table26[[#This Row],[customerSKU]],customerSKU!G:G,customerSKU!B:B,"",0,1))</f>
        <v/>
      </c>
      <c r="M1858" s="22"/>
      <c r="N1858" s="15" t="str">
        <f>Table26[[#This Row],[po_number]]&amp;"-"&amp;Table26[[#This Row],[po_line]]</f>
        <v>-3</v>
      </c>
      <c r="O1858" s="15">
        <v>3</v>
      </c>
      <c r="P1858" s="50"/>
      <c r="Q1858" s="22" t="s">
        <v>543</v>
      </c>
      <c r="R1858" s="22" t="s">
        <v>532</v>
      </c>
      <c r="S1858" s="90" t="s">
        <v>13</v>
      </c>
      <c r="T1858" s="20">
        <v>45793</v>
      </c>
      <c r="U1858" s="94">
        <v>12</v>
      </c>
      <c r="V1858" s="22" t="str">
        <f>IF(ISBLANK(Table26[[#This Row],[customerSKU]]),"",_xlfn.XLOOKUP(Table26[[#This Row],[customerSKU]],Table27[customer_SKU],Table27[case_size],"",0,1))</f>
        <v/>
      </c>
      <c r="W1858" s="117" t="str">
        <f t="shared" si="75"/>
        <v/>
      </c>
      <c r="X1858" s="22" t="str">
        <f t="shared" si="74"/>
        <v/>
      </c>
      <c r="Y1858" s="25" t="str">
        <f>IF(Table26[[#This Row],[customerSKU]]="","",_xlfn.XLOOKUP(Table26[[#This Row],[customerSKU]],Table27[customer_SKU],Table27[product_GTIN],"",0,1))</f>
        <v/>
      </c>
      <c r="Z1858" s="25" t="s">
        <v>3599</v>
      </c>
      <c r="AA1858" s="18" t="str" cm="1">
        <f t="array" ref="AA1858">IF(P1858="", "", _xlfn.XLOOKUP(P1858,#REF!,#REF!,NA,0,-1))</f>
        <v/>
      </c>
      <c r="AB1858" s="22"/>
      <c r="AC1858" s="55" t="s">
        <v>3653</v>
      </c>
      <c r="AD1858" s="55" t="str">
        <f>IF($AC1858="","",_xlfn.XLOOKUP($AC1858,'Client Info'!$C$2:$C$2497,'Client Info'!$D$2:$D$2497,"",0,1))</f>
        <v/>
      </c>
      <c r="AE1858" s="55" t="str">
        <f>IF($AC1858="","",_xlfn.XLOOKUP($AC1858,'Client Info'!$C$2:$C$2677,'Client Info'!$E$2:$E$2677,"",))</f>
        <v/>
      </c>
      <c r="AF1858" s="55" t="str">
        <f>IF($AC1858="","",_xlfn.XLOOKUP($AC1858,'Client Info'!$C$2:$C$2677,'Client Info'!$F$2:$F$2677,"",0,1))</f>
        <v/>
      </c>
      <c r="AG1858" s="55" t="s">
        <v>3653</v>
      </c>
      <c r="AH1858" s="26" t="str">
        <f>_xlfn.XLOOKUP(Table26[[#This Row],[customerSKU]],customerSKU!G:G,customerSKU!K:K,"NA",0,1)</f>
        <v>NA</v>
      </c>
      <c r="AI1858" s="43" t="str">
        <f>_xlfn.XLOOKUP(Table26[[#This Row],[customerSKU]],customerSKU!G:G,customerSKU!O:O,"not found",0,1)</f>
        <v>not found</v>
      </c>
      <c r="AJ1858" s="22" t="e">
        <f>Table26[[#This Row],[unitprice]]*Table26[[#This Row],[quantity_unit]]</f>
        <v>#VALUE!</v>
      </c>
      <c r="AK1858" s="227" t="e" cm="1">
        <f t="array" ref="AK18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8" s="227"/>
    </row>
    <row r="1859" spans="1:38" ht="18" customHeight="1">
      <c r="A1859" s="42">
        <v>381</v>
      </c>
      <c r="B1859" s="42" t="s">
        <v>3520</v>
      </c>
      <c r="C1859" s="53" t="s">
        <v>3427</v>
      </c>
      <c r="E1859" s="20"/>
      <c r="F18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59" s="93"/>
      <c r="I1859" s="203">
        <v>45813</v>
      </c>
      <c r="J1859" s="90" t="str">
        <f>IF(Table26[[#This Row],[customerSKU]]="","",_xlfn.XLOOKUP(Table26[[#This Row],[customerSKU]],customerSKU!G:G,customerSKU!A:A,"",0,1))</f>
        <v/>
      </c>
      <c r="K1859" s="232">
        <v>45825</v>
      </c>
      <c r="L1859" s="49" t="str">
        <f>IF(Table26[[#This Row],[customerSKU]]="","",_xlfn.XLOOKUP(Table26[[#This Row],[customerSKU]],customerSKU!G:G,customerSKU!B:B,"",0,1))</f>
        <v/>
      </c>
      <c r="M1859" s="22"/>
      <c r="N1859" s="15" t="str">
        <f>Table26[[#This Row],[po_number]]&amp;"-"&amp;Table26[[#This Row],[po_line]]</f>
        <v>-1</v>
      </c>
      <c r="O1859" s="15">
        <v>1</v>
      </c>
      <c r="P1859" s="50"/>
      <c r="Q1859" s="22" t="s">
        <v>3293</v>
      </c>
      <c r="R1859" s="22" t="s">
        <v>532</v>
      </c>
      <c r="S1859" s="90" t="str">
        <f>IF(Table26[[#This Row],[customerSKU]]="","",_xlfn.XLOOKUP(Table26[[#This Row],[customerSKU]],customerSKU!G:G,customerSKU!N:N,"NOT FOUND",0,1))</f>
        <v>NOT FOUND</v>
      </c>
      <c r="T1859" s="20">
        <v>45814</v>
      </c>
      <c r="U1859" s="94">
        <f>12*34</f>
        <v>408</v>
      </c>
      <c r="V1859" s="22" t="str">
        <f>IF(ISBLANK(Table26[[#This Row],[customerSKU]]),"",_xlfn.XLOOKUP(Table26[[#This Row],[customerSKU]],Table27[customer_SKU],Table27[case_size],"",0,1))</f>
        <v/>
      </c>
      <c r="W1859" s="117" t="str">
        <f t="shared" si="75"/>
        <v/>
      </c>
      <c r="X1859" s="22" t="str">
        <f t="shared" si="74"/>
        <v/>
      </c>
      <c r="Y1859" s="25" t="str">
        <f>IF(Table26[[#This Row],[customerSKU]]="","",_xlfn.XLOOKUP(Table26[[#This Row],[customerSKU]],Table27[customer_SKU],Table27[product_GTIN],"",0,1))</f>
        <v/>
      </c>
      <c r="Z1859" s="25" t="s">
        <v>3639</v>
      </c>
      <c r="AA1859" s="18" t="str" cm="1">
        <f t="array" ref="AA1859">IF(P1859="", "", _xlfn.XLOOKUP(P1859,#REF!,#REF!,NA,0,-1))</f>
        <v/>
      </c>
      <c r="AB1859" s="22"/>
      <c r="AC1859" s="55" t="str">
        <f>IF(Table26[[#This Row],[customerSKU]]="","",_xlfn.XLOOKUP(Table26[[#This Row],[customerSKU]],customerSKU!G:G,customerSKU!C:C,"",0,1))</f>
        <v/>
      </c>
      <c r="AD1859" s="55" t="str">
        <f>IF($AC1859="","",_xlfn.XLOOKUP($AC1859,'Client Info'!$C$2:$C$2497,'Client Info'!$D$2:$D$2497,"",0,1))</f>
        <v/>
      </c>
      <c r="AE1859" s="55" t="str">
        <f>IF($AC1859="","",_xlfn.XLOOKUP($AC1859,'Client Info'!$C$2:$C$2677,'Client Info'!$E$2:$E$2677,"",))</f>
        <v/>
      </c>
      <c r="AF1859" s="55" t="str">
        <f>IF($AC1859="","",_xlfn.XLOOKUP($AC1859,'Client Info'!$C$2:$C$2677,'Client Info'!$F$2:$F$2677,"",0,1))</f>
        <v/>
      </c>
      <c r="AG1859" s="55" t="str">
        <f>IF(ISBLANK(Table26[[#This Row],[customerSKU]]),"",_xlfn.XLOOKUP(Table26[[#This Row],[customerSKU]],Table27[customer_SKU],Table27[billto],"",0,1))</f>
        <v/>
      </c>
      <c r="AH1859" s="26" t="str">
        <f>_xlfn.XLOOKUP(Table26[[#This Row],[customerSKU]],customerSKU!G:G,customerSKU!K:K,"NA",0,1)</f>
        <v>NA</v>
      </c>
      <c r="AI1859" s="43" t="str">
        <f>_xlfn.XLOOKUP(Table26[[#This Row],[customerSKU]],customerSKU!G:G,customerSKU!O:O,"not found",0,1)</f>
        <v>not found</v>
      </c>
      <c r="AJ1859" s="22" t="e">
        <f>Table26[[#This Row],[unitprice]]*Table26[[#This Row],[quantity_unit]]</f>
        <v>#VALUE!</v>
      </c>
      <c r="AK1859" s="227" t="e" cm="1">
        <f t="array" ref="AK18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59" s="227"/>
    </row>
    <row r="1860" spans="1:38" ht="18" customHeight="1">
      <c r="A1860" s="42">
        <v>382</v>
      </c>
      <c r="B1860" s="42" t="s">
        <v>3520</v>
      </c>
      <c r="C1860" s="53" t="s">
        <v>3427</v>
      </c>
      <c r="E1860" s="20"/>
      <c r="F18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0" s="93"/>
      <c r="I1860" s="203">
        <v>45813</v>
      </c>
      <c r="J1860" s="90" t="str">
        <f>IF(Table26[[#This Row],[customerSKU]]="","",_xlfn.XLOOKUP(Table26[[#This Row],[customerSKU]],customerSKU!G:G,customerSKU!A:A,"",0,1))</f>
        <v/>
      </c>
      <c r="K1860" s="232">
        <v>45825</v>
      </c>
      <c r="L1860" s="49" t="str">
        <f>IF(Table26[[#This Row],[customerSKU]]="","",_xlfn.XLOOKUP(Table26[[#This Row],[customerSKU]],customerSKU!G:G,customerSKU!B:B,"",0,1))</f>
        <v/>
      </c>
      <c r="M1860" s="22"/>
      <c r="N1860" s="15" t="str">
        <f>Table26[[#This Row],[po_number]]&amp;"-"&amp;Table26[[#This Row],[po_line]]</f>
        <v>-2</v>
      </c>
      <c r="O1860" s="15">
        <v>2</v>
      </c>
      <c r="P1860" s="50"/>
      <c r="Q1860" s="22" t="s">
        <v>3298</v>
      </c>
      <c r="R1860" s="22" t="s">
        <v>532</v>
      </c>
      <c r="S1860" s="90" t="str">
        <f>IF(Table26[[#This Row],[customerSKU]]="","",_xlfn.XLOOKUP(Table26[[#This Row],[customerSKU]],customerSKU!G:G,customerSKU!N:N,"NOT FOUND",0,1))</f>
        <v>NOT FOUND</v>
      </c>
      <c r="T1860" s="20">
        <v>45805</v>
      </c>
      <c r="U1860" s="94">
        <f>12*15</f>
        <v>180</v>
      </c>
      <c r="V1860" s="22" t="str">
        <f>IF(ISBLANK(Table26[[#This Row],[customerSKU]]),"",_xlfn.XLOOKUP(Table26[[#This Row],[customerSKU]],Table27[customer_SKU],Table27[case_size],"",0,1))</f>
        <v/>
      </c>
      <c r="W1860" s="117" t="str">
        <f t="shared" si="75"/>
        <v/>
      </c>
      <c r="X1860" s="22" t="str">
        <f t="shared" si="74"/>
        <v/>
      </c>
      <c r="Y1860" s="25" t="str">
        <f>IF(Table26[[#This Row],[customerSKU]]="","",_xlfn.XLOOKUP(Table26[[#This Row],[customerSKU]],Table27[customer_SKU],Table27[product_GTIN],"",0,1))</f>
        <v/>
      </c>
      <c r="Z1860" s="25" t="s">
        <v>3435</v>
      </c>
      <c r="AA1860" s="18" t="str" cm="1">
        <f t="array" ref="AA1860">IF(P1860="", "", _xlfn.XLOOKUP(P1860,#REF!,#REF!,NA,0,-1))</f>
        <v/>
      </c>
      <c r="AB1860" s="22"/>
      <c r="AC1860" s="55" t="str">
        <f>IF(Table26[[#This Row],[customerSKU]]="","",_xlfn.XLOOKUP(Table26[[#This Row],[customerSKU]],customerSKU!G:G,customerSKU!C:C,"",0,1))</f>
        <v/>
      </c>
      <c r="AD1860" s="55" t="str">
        <f>IF($AC1860="","",_xlfn.XLOOKUP($AC1860,'Client Info'!$C$2:$C$2497,'Client Info'!$D$2:$D$2497,"",0,1))</f>
        <v/>
      </c>
      <c r="AE1860" s="55" t="str">
        <f>IF($AC1860="","",_xlfn.XLOOKUP($AC1860,'Client Info'!$C$2:$C$2677,'Client Info'!$E$2:$E$2677,"",))</f>
        <v/>
      </c>
      <c r="AF1860" s="55" t="str">
        <f>IF($AC1860="","",_xlfn.XLOOKUP($AC1860,'Client Info'!$C$2:$C$2677,'Client Info'!$F$2:$F$2677,"",0,1))</f>
        <v/>
      </c>
      <c r="AG1860" s="55" t="str">
        <f>IF(ISBLANK(Table26[[#This Row],[customerSKU]]),"",_xlfn.XLOOKUP(Table26[[#This Row],[customerSKU]],Table27[customer_SKU],Table27[billto],"",0,1))</f>
        <v/>
      </c>
      <c r="AH1860" s="26" t="str">
        <f>_xlfn.XLOOKUP(Table26[[#This Row],[customerSKU]],customerSKU!G:G,customerSKU!K:K,"NA",0,1)</f>
        <v>NA</v>
      </c>
      <c r="AI1860" s="43" t="str">
        <f>_xlfn.XLOOKUP(Table26[[#This Row],[customerSKU]],customerSKU!G:G,customerSKU!O:O,"not found",0,1)</f>
        <v>not found</v>
      </c>
      <c r="AJ1860" s="22" t="e">
        <f>Table26[[#This Row],[unitprice]]*Table26[[#This Row],[quantity_unit]]</f>
        <v>#VALUE!</v>
      </c>
      <c r="AK1860" s="227" t="e" cm="1">
        <f t="array" ref="AK18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0" s="227"/>
    </row>
    <row r="1861" spans="1:38" ht="18" customHeight="1">
      <c r="A1861" s="42">
        <v>383</v>
      </c>
      <c r="B1861" s="42" t="s">
        <v>3520</v>
      </c>
      <c r="C1861" s="53" t="s">
        <v>3427</v>
      </c>
      <c r="E1861" s="20"/>
      <c r="F18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1" s="93"/>
      <c r="I1861" s="203">
        <v>45813</v>
      </c>
      <c r="J1861" s="90" t="str">
        <f>IF(Table26[[#This Row],[customerSKU]]="","",_xlfn.XLOOKUP(Table26[[#This Row],[customerSKU]],customerSKU!G:G,customerSKU!A:A,"",0,1))</f>
        <v/>
      </c>
      <c r="K1861" s="232">
        <v>45825</v>
      </c>
      <c r="L1861" s="49" t="str">
        <f>IF(Table26[[#This Row],[customerSKU]]="","",_xlfn.XLOOKUP(Table26[[#This Row],[customerSKU]],customerSKU!G:G,customerSKU!B:B,"",0,1))</f>
        <v/>
      </c>
      <c r="M1861" s="22"/>
      <c r="N1861" s="15" t="str">
        <f>Table26[[#This Row],[po_number]]&amp;"-"&amp;Table26[[#This Row],[po_line]]</f>
        <v>-3</v>
      </c>
      <c r="O1861" s="15">
        <v>3</v>
      </c>
      <c r="P1861" s="50"/>
      <c r="Q1861" s="22" t="s">
        <v>3306</v>
      </c>
      <c r="R1861" s="22" t="s">
        <v>532</v>
      </c>
      <c r="S1861" s="90" t="str">
        <f>IF(Table26[[#This Row],[customerSKU]]="","",_xlfn.XLOOKUP(Table26[[#This Row],[customerSKU]],customerSKU!G:G,customerSKU!N:N,"NOT FOUND",0,1))</f>
        <v>NOT FOUND</v>
      </c>
      <c r="T1861" s="20">
        <v>45814</v>
      </c>
      <c r="U1861" s="94">
        <v>360</v>
      </c>
      <c r="V1861" s="22" t="str">
        <f>IF(ISBLANK(Table26[[#This Row],[customerSKU]]),"",_xlfn.XLOOKUP(Table26[[#This Row],[customerSKU]],Table27[customer_SKU],Table27[case_size],"",0,1))</f>
        <v/>
      </c>
      <c r="W1861" s="117" t="str">
        <f t="shared" si="75"/>
        <v/>
      </c>
      <c r="X1861" s="22" t="str">
        <f t="shared" si="74"/>
        <v/>
      </c>
      <c r="Y1861" s="25" t="str">
        <f>IF(Table26[[#This Row],[customerSKU]]="","",_xlfn.XLOOKUP(Table26[[#This Row],[customerSKU]],Table27[customer_SKU],Table27[product_GTIN],"",0,1))</f>
        <v/>
      </c>
      <c r="Z1861" s="25" t="s">
        <v>3640</v>
      </c>
      <c r="AA1861" s="18" t="str" cm="1">
        <f t="array" ref="AA1861">IF(P1861="", "", _xlfn.XLOOKUP(P1861,#REF!,#REF!,NA,0,-1))</f>
        <v/>
      </c>
      <c r="AB1861" s="22"/>
      <c r="AC1861" s="55" t="str">
        <f>IF(Table26[[#This Row],[customerSKU]]="","",_xlfn.XLOOKUP(Table26[[#This Row],[customerSKU]],customerSKU!G:G,customerSKU!C:C,"",0,1))</f>
        <v/>
      </c>
      <c r="AD1861" s="55" t="str">
        <f>IF($AC1861="","",_xlfn.XLOOKUP($AC1861,'Client Info'!$C$2:$C$2497,'Client Info'!$D$2:$D$2497,"",0,1))</f>
        <v/>
      </c>
      <c r="AE1861" s="55" t="str">
        <f>IF($AC1861="","",_xlfn.XLOOKUP($AC1861,'Client Info'!$C$2:$C$2677,'Client Info'!$E$2:$E$2677,"",))</f>
        <v/>
      </c>
      <c r="AF1861" s="55" t="str">
        <f>IF($AC1861="","",_xlfn.XLOOKUP($AC1861,'Client Info'!$C$2:$C$2677,'Client Info'!$F$2:$F$2677,"",0,1))</f>
        <v/>
      </c>
      <c r="AG1861" s="55" t="str">
        <f>IF(ISBLANK(Table26[[#This Row],[customerSKU]]),"",_xlfn.XLOOKUP(Table26[[#This Row],[customerSKU]],Table27[customer_SKU],Table27[billto],"",0,1))</f>
        <v/>
      </c>
      <c r="AH1861" s="26" t="str">
        <f>_xlfn.XLOOKUP(Table26[[#This Row],[customerSKU]],customerSKU!G:G,customerSKU!K:K,"NA",0,1)</f>
        <v>NA</v>
      </c>
      <c r="AI1861" s="43" t="str">
        <f>_xlfn.XLOOKUP(Table26[[#This Row],[customerSKU]],customerSKU!G:G,customerSKU!O:O,"not found",0,1)</f>
        <v>not found</v>
      </c>
      <c r="AJ1861" s="22" t="e">
        <f>Table26[[#This Row],[unitprice]]*Table26[[#This Row],[quantity_unit]]</f>
        <v>#VALUE!</v>
      </c>
      <c r="AK1861" s="227" t="e" cm="1">
        <f t="array" ref="AK18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1" s="227"/>
    </row>
    <row r="1862" spans="1:38" ht="18" customHeight="1">
      <c r="A1862" s="42">
        <v>384</v>
      </c>
      <c r="B1862" s="42" t="s">
        <v>3520</v>
      </c>
      <c r="C1862" s="53" t="s">
        <v>3427</v>
      </c>
      <c r="E1862" s="20"/>
      <c r="F18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2" s="93"/>
      <c r="I1862" s="203">
        <v>45813</v>
      </c>
      <c r="J1862" s="90" t="str">
        <f>IF(Table26[[#This Row],[customerSKU]]="","",_xlfn.XLOOKUP(Table26[[#This Row],[customerSKU]],customerSKU!G:G,customerSKU!A:A,"",0,1))</f>
        <v/>
      </c>
      <c r="K1862" s="232">
        <v>45825</v>
      </c>
      <c r="L1862" s="49" t="str">
        <f>IF(Table26[[#This Row],[customerSKU]]="","",_xlfn.XLOOKUP(Table26[[#This Row],[customerSKU]],customerSKU!G:G,customerSKU!B:B,"",0,1))</f>
        <v/>
      </c>
      <c r="M1862" s="22"/>
      <c r="N1862" s="15" t="str">
        <f>Table26[[#This Row],[po_number]]&amp;"-"&amp;Table26[[#This Row],[po_line]]</f>
        <v>-4</v>
      </c>
      <c r="O1862" s="15">
        <v>4</v>
      </c>
      <c r="P1862" s="50"/>
      <c r="Q1862" s="22" t="s">
        <v>3312</v>
      </c>
      <c r="R1862" s="22" t="s">
        <v>532</v>
      </c>
      <c r="S1862" s="90" t="str">
        <f>IF(Table26[[#This Row],[customerSKU]]="","",_xlfn.XLOOKUP(Table26[[#This Row],[customerSKU]],customerSKU!G:G,customerSKU!N:N,"NOT FOUND",0,1))</f>
        <v>NOT FOUND</v>
      </c>
      <c r="T1862" s="20">
        <v>45814</v>
      </c>
      <c r="U1862" s="94">
        <v>516</v>
      </c>
      <c r="V1862" s="22" t="str">
        <f>IF(ISBLANK(Table26[[#This Row],[customerSKU]]),"",_xlfn.XLOOKUP(Table26[[#This Row],[customerSKU]],Table27[customer_SKU],Table27[case_size],"",0,1))</f>
        <v/>
      </c>
      <c r="W1862" s="117" t="str">
        <f t="shared" si="75"/>
        <v/>
      </c>
      <c r="X1862" s="22" t="str">
        <f t="shared" ref="X1862:X1925" si="76">IFERROR($AA1862*$U1862, "")</f>
        <v/>
      </c>
      <c r="Y1862" s="25" t="str">
        <f>IF(Table26[[#This Row],[customerSKU]]="","",_xlfn.XLOOKUP(Table26[[#This Row],[customerSKU]],Table27[customer_SKU],Table27[product_GTIN],"",0,1))</f>
        <v/>
      </c>
      <c r="Z1862" s="25" t="s">
        <v>3641</v>
      </c>
      <c r="AA1862" s="18" t="str" cm="1">
        <f t="array" ref="AA1862">IF(P1862="", "", _xlfn.XLOOKUP(P1862,#REF!,#REF!,NA,0,-1))</f>
        <v/>
      </c>
      <c r="AB1862" s="22"/>
      <c r="AC1862" s="55" t="str">
        <f>IF(Table26[[#This Row],[customerSKU]]="","",_xlfn.XLOOKUP(Table26[[#This Row],[customerSKU]],customerSKU!G:G,customerSKU!C:C,"",0,1))</f>
        <v/>
      </c>
      <c r="AD1862" s="55" t="str">
        <f>IF($AC1862="","",_xlfn.XLOOKUP($AC1862,'Client Info'!$C$2:$C$2497,'Client Info'!$D$2:$D$2497,"",0,1))</f>
        <v/>
      </c>
      <c r="AE1862" s="55" t="str">
        <f>IF($AC1862="","",_xlfn.XLOOKUP($AC1862,'Client Info'!$C$2:$C$2677,'Client Info'!$E$2:$E$2677,"",))</f>
        <v/>
      </c>
      <c r="AF1862" s="55" t="str">
        <f>IF($AC1862="","",_xlfn.XLOOKUP($AC1862,'Client Info'!$C$2:$C$2677,'Client Info'!$F$2:$F$2677,"",0,1))</f>
        <v/>
      </c>
      <c r="AG1862" s="55" t="str">
        <f>IF(ISBLANK(Table26[[#This Row],[customerSKU]]),"",_xlfn.XLOOKUP(Table26[[#This Row],[customerSKU]],Table27[customer_SKU],Table27[billto],"",0,1))</f>
        <v/>
      </c>
      <c r="AH1862" s="26" t="str">
        <f>_xlfn.XLOOKUP(Table26[[#This Row],[customerSKU]],customerSKU!G:G,customerSKU!K:K,"NA",0,1)</f>
        <v>NA</v>
      </c>
      <c r="AI1862" s="43" t="str">
        <f>_xlfn.XLOOKUP(Table26[[#This Row],[customerSKU]],customerSKU!G:G,customerSKU!O:O,"not found",0,1)</f>
        <v>not found</v>
      </c>
      <c r="AJ1862" s="22" t="e">
        <f>Table26[[#This Row],[unitprice]]*Table26[[#This Row],[quantity_unit]]</f>
        <v>#VALUE!</v>
      </c>
      <c r="AK1862" s="227" t="e" cm="1">
        <f t="array" ref="AK18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2" s="227"/>
    </row>
    <row r="1863" spans="1:38" ht="18" customHeight="1">
      <c r="A1863" s="42">
        <v>385</v>
      </c>
      <c r="B1863" s="42" t="s">
        <v>3520</v>
      </c>
      <c r="C1863" s="53" t="s">
        <v>3427</v>
      </c>
      <c r="E1863" s="20"/>
      <c r="F18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3" s="93"/>
      <c r="I1863" s="203">
        <v>45813</v>
      </c>
      <c r="J1863" s="90" t="str">
        <f>IF(Table26[[#This Row],[customerSKU]]="","",_xlfn.XLOOKUP(Table26[[#This Row],[customerSKU]],customerSKU!G:G,customerSKU!A:A,"",0,1))</f>
        <v/>
      </c>
      <c r="K1863" s="232">
        <v>45825</v>
      </c>
      <c r="L1863" s="49" t="str">
        <f>IF(Table26[[#This Row],[customerSKU]]="","",_xlfn.XLOOKUP(Table26[[#This Row],[customerSKU]],customerSKU!G:G,customerSKU!B:B,"",0,1))</f>
        <v/>
      </c>
      <c r="M1863" s="22"/>
      <c r="N1863" s="15" t="str">
        <f>Table26[[#This Row],[po_number]]&amp;"-"&amp;Table26[[#This Row],[po_line]]</f>
        <v>-5</v>
      </c>
      <c r="O1863" s="15">
        <v>5</v>
      </c>
      <c r="P1863" s="50"/>
      <c r="Q1863" s="22" t="s">
        <v>3315</v>
      </c>
      <c r="R1863" s="22" t="s">
        <v>532</v>
      </c>
      <c r="S1863" s="90" t="str">
        <f>IF(Table26[[#This Row],[customerSKU]]="","",_xlfn.XLOOKUP(Table26[[#This Row],[customerSKU]],customerSKU!G:G,customerSKU!N:N,"NOT FOUND",0,1))</f>
        <v>NOT FOUND</v>
      </c>
      <c r="T1863" s="20">
        <v>45814</v>
      </c>
      <c r="U1863" s="94">
        <v>12</v>
      </c>
      <c r="V1863" s="22" t="str">
        <f>IF(ISBLANK(Table26[[#This Row],[customerSKU]]),"",_xlfn.XLOOKUP(Table26[[#This Row],[customerSKU]],Table27[customer_SKU],Table27[case_size],"",0,1))</f>
        <v/>
      </c>
      <c r="W1863" s="117" t="str">
        <f t="shared" si="75"/>
        <v/>
      </c>
      <c r="X1863" s="22" t="str">
        <f t="shared" si="76"/>
        <v/>
      </c>
      <c r="Y1863" s="25" t="str">
        <f>IF(Table26[[#This Row],[customerSKU]]="","",_xlfn.XLOOKUP(Table26[[#This Row],[customerSKU]],Table27[customer_SKU],Table27[product_GTIN],"",0,1))</f>
        <v/>
      </c>
      <c r="Z1863" s="25" t="s">
        <v>3642</v>
      </c>
      <c r="AA1863" s="18" t="str" cm="1">
        <f t="array" ref="AA1863">IF(P1863="", "", _xlfn.XLOOKUP(P1863,#REF!,#REF!,NA,0,-1))</f>
        <v/>
      </c>
      <c r="AB1863" s="22"/>
      <c r="AC1863" s="55" t="str">
        <f>IF(Table26[[#This Row],[customerSKU]]="","",_xlfn.XLOOKUP(Table26[[#This Row],[customerSKU]],customerSKU!G:G,customerSKU!C:C,"",0,1))</f>
        <v/>
      </c>
      <c r="AD1863" s="55" t="str">
        <f>IF($AC1863="","",_xlfn.XLOOKUP($AC1863,'Client Info'!$C$2:$C$2497,'Client Info'!$D$2:$D$2497,"",0,1))</f>
        <v/>
      </c>
      <c r="AE1863" s="55" t="str">
        <f>IF($AC1863="","",_xlfn.XLOOKUP($AC1863,'Client Info'!$C$2:$C$2677,'Client Info'!$E$2:$E$2677,"",))</f>
        <v/>
      </c>
      <c r="AF1863" s="55" t="str">
        <f>IF($AC1863="","",_xlfn.XLOOKUP($AC1863,'Client Info'!$C$2:$C$2677,'Client Info'!$F$2:$F$2677,"",0,1))</f>
        <v/>
      </c>
      <c r="AG1863" s="55" t="str">
        <f>IF(ISBLANK(Table26[[#This Row],[customerSKU]]),"",_xlfn.XLOOKUP(Table26[[#This Row],[customerSKU]],Table27[customer_SKU],Table27[billto],"",0,1))</f>
        <v/>
      </c>
      <c r="AH1863" s="26" t="str">
        <f>_xlfn.XLOOKUP(Table26[[#This Row],[customerSKU]],customerSKU!G:G,customerSKU!K:K,"NA",0,1)</f>
        <v>NA</v>
      </c>
      <c r="AI1863" s="43" t="str">
        <f>_xlfn.XLOOKUP(Table26[[#This Row],[customerSKU]],customerSKU!G:G,customerSKU!O:O,"not found",0,1)</f>
        <v>not found</v>
      </c>
      <c r="AJ1863" s="22" t="e">
        <f>Table26[[#This Row],[unitprice]]*Table26[[#This Row],[quantity_unit]]</f>
        <v>#VALUE!</v>
      </c>
      <c r="AK1863" s="227" t="e" cm="1">
        <f t="array" ref="AK18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3" s="227"/>
    </row>
    <row r="1864" spans="1:38" ht="18" customHeight="1">
      <c r="A1864" s="42">
        <v>386</v>
      </c>
      <c r="B1864" s="42" t="s">
        <v>3520</v>
      </c>
      <c r="C1864" s="53" t="s">
        <v>3488</v>
      </c>
      <c r="E1864" s="20"/>
      <c r="F18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4" s="93"/>
      <c r="I1864" s="19">
        <v>45824</v>
      </c>
      <c r="J1864" s="90" t="str">
        <f>IF(Table26[[#This Row],[customerSKU]]="","",_xlfn.XLOOKUP(Table26[[#This Row],[customerSKU]],customerSKU!G:G,customerSKU!A:A,"",0,1))</f>
        <v/>
      </c>
      <c r="K1864" s="232">
        <v>45825</v>
      </c>
      <c r="L1864" s="49" t="str">
        <f>IF(Table26[[#This Row],[customerSKU]]="","",_xlfn.XLOOKUP(Table26[[#This Row],[customerSKU]],customerSKU!G:G,customerSKU!B:B,"",0,1))</f>
        <v/>
      </c>
      <c r="M1864" s="22"/>
      <c r="N1864" s="15" t="str">
        <f>Table26[[#This Row],[po_number]]&amp;"-"&amp;Table26[[#This Row],[po_line]]</f>
        <v>-1</v>
      </c>
      <c r="O1864" s="15">
        <v>1</v>
      </c>
      <c r="P1864" s="50"/>
      <c r="Q1864" s="22" t="s">
        <v>3665</v>
      </c>
      <c r="R1864" s="22" t="s">
        <v>532</v>
      </c>
      <c r="S1864" s="90" t="str">
        <f>IF(Table26[[#This Row],[customerSKU]]="","",_xlfn.XLOOKUP(Table26[[#This Row],[customerSKU]],customerSKU!G:G,customerSKU!N:N,"NOT FOUND",0,1))</f>
        <v>NOT FOUND</v>
      </c>
      <c r="T1864" s="20">
        <v>45820</v>
      </c>
      <c r="U1864" s="94">
        <f>210*12</f>
        <v>2520</v>
      </c>
      <c r="V1864" s="22" t="str">
        <f>IF(ISBLANK(Table26[[#This Row],[customerSKU]]),"",_xlfn.XLOOKUP(Table26[[#This Row],[customerSKU]],Table27[customer_SKU],Table27[case_size],"",0,1))</f>
        <v/>
      </c>
      <c r="W1864" s="117" t="str">
        <f t="shared" si="75"/>
        <v/>
      </c>
      <c r="X1864" s="22" t="str">
        <f t="shared" si="76"/>
        <v/>
      </c>
      <c r="Y1864" s="25" t="str">
        <f>IF(Table26[[#This Row],[customerSKU]]="","",_xlfn.XLOOKUP(Table26[[#This Row],[customerSKU]],Table27[customer_SKU],Table27[product_GTIN],"",0,1))</f>
        <v/>
      </c>
      <c r="Z1864" s="25" t="s">
        <v>3617</v>
      </c>
      <c r="AA1864" s="18" t="str" cm="1">
        <f t="array" ref="AA1864">IF(P1864="", "", _xlfn.XLOOKUP(P1864,#REF!,#REF!,NA,0,-1))</f>
        <v/>
      </c>
      <c r="AB1864" s="22"/>
      <c r="AC1864" s="55" t="str">
        <f>IF(Table26[[#This Row],[customerSKU]]="","",_xlfn.XLOOKUP(Table26[[#This Row],[customerSKU]],customerSKU!G:G,customerSKU!C:C,"",0,1))</f>
        <v/>
      </c>
      <c r="AD1864" s="55" t="str">
        <f>IF($AC1864="","",_xlfn.XLOOKUP($AC1864,'Client Info'!$C$2:$C$2497,'Client Info'!$D$2:$D$2497,"",0,1))</f>
        <v/>
      </c>
      <c r="AE1864" s="55" t="str">
        <f>IF($AC1864="","",_xlfn.XLOOKUP($AC1864,'Client Info'!$C$2:$C$2677,'Client Info'!$E$2:$E$2677,"",))</f>
        <v/>
      </c>
      <c r="AF1864" s="55" t="str">
        <f>IF($AC1864="","",_xlfn.XLOOKUP($AC1864,'Client Info'!$C$2:$C$2677,'Client Info'!$F$2:$F$2677,"",0,1))</f>
        <v/>
      </c>
      <c r="AG1864" s="55" t="str">
        <f>IF(ISBLANK(Table26[[#This Row],[customerSKU]]),"",_xlfn.XLOOKUP(Table26[[#This Row],[customerSKU]],Table27[customer_SKU],Table27[billto],"",0,1))</f>
        <v/>
      </c>
      <c r="AH1864" s="26" t="str">
        <f>_xlfn.XLOOKUP(Table26[[#This Row],[customerSKU]],customerSKU!G:G,customerSKU!K:K,"NA",0,1)</f>
        <v>NA</v>
      </c>
      <c r="AI1864" s="43" t="str">
        <f>_xlfn.XLOOKUP(Table26[[#This Row],[customerSKU]],customerSKU!G:G,customerSKU!O:O,"not found",0,1)</f>
        <v>not found</v>
      </c>
      <c r="AJ1864" s="22" t="e">
        <f>Table26[[#This Row],[unitprice]]*Table26[[#This Row],[quantity_unit]]</f>
        <v>#VALUE!</v>
      </c>
      <c r="AK1864" s="227" t="e" cm="1">
        <f t="array" ref="AK18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4" s="227"/>
    </row>
    <row r="1865" spans="1:38" ht="18" customHeight="1">
      <c r="A1865" s="42">
        <v>387</v>
      </c>
      <c r="B1865" s="42" t="s">
        <v>3520</v>
      </c>
      <c r="C1865" s="53" t="s">
        <v>3488</v>
      </c>
      <c r="E1865" s="20"/>
      <c r="F18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5" s="93"/>
      <c r="I1865" s="19">
        <v>45824</v>
      </c>
      <c r="J1865" s="90" t="str">
        <f>IF(Table26[[#This Row],[customerSKU]]="","",_xlfn.XLOOKUP(Table26[[#This Row],[customerSKU]],customerSKU!G:G,customerSKU!A:A,"",0,1))</f>
        <v/>
      </c>
      <c r="K1865" s="232">
        <v>45825</v>
      </c>
      <c r="L1865" s="49" t="str">
        <f>IF(Table26[[#This Row],[customerSKU]]="","",_xlfn.XLOOKUP(Table26[[#This Row],[customerSKU]],customerSKU!G:G,customerSKU!B:B,"",0,1))</f>
        <v/>
      </c>
      <c r="M1865" s="22"/>
      <c r="N1865" s="15" t="str">
        <f>Table26[[#This Row],[po_number]]&amp;"-"&amp;Table26[[#This Row],[po_line]]</f>
        <v>-1</v>
      </c>
      <c r="O1865" s="15">
        <v>1</v>
      </c>
      <c r="P1865" s="50"/>
      <c r="Q1865" s="22" t="s">
        <v>3665</v>
      </c>
      <c r="R1865" s="22" t="s">
        <v>532</v>
      </c>
      <c r="S1865" s="90" t="str">
        <f>IF(Table26[[#This Row],[customerSKU]]="","",_xlfn.XLOOKUP(Table26[[#This Row],[customerSKU]],customerSKU!G:G,customerSKU!N:N,"NOT FOUND",0,1))</f>
        <v>NOT FOUND</v>
      </c>
      <c r="T1865" s="20">
        <v>45820</v>
      </c>
      <c r="U1865" s="94">
        <f>33*12</f>
        <v>396</v>
      </c>
      <c r="V1865" s="22" t="str">
        <f>IF(ISBLANK(Table26[[#This Row],[customerSKU]]),"",_xlfn.XLOOKUP(Table26[[#This Row],[customerSKU]],Table27[customer_SKU],Table27[case_size],"",0,1))</f>
        <v/>
      </c>
      <c r="W1865" s="117" t="str">
        <f t="shared" si="75"/>
        <v/>
      </c>
      <c r="X1865" s="22" t="str">
        <f t="shared" si="76"/>
        <v/>
      </c>
      <c r="Y1865" s="25" t="str">
        <f>IF(Table26[[#This Row],[customerSKU]]="","",_xlfn.XLOOKUP(Table26[[#This Row],[customerSKU]],Table27[customer_SKU],Table27[product_GTIN],"",0,1))</f>
        <v/>
      </c>
      <c r="Z1865" s="25" t="s">
        <v>3617</v>
      </c>
      <c r="AA1865" s="18" t="str" cm="1">
        <f t="array" ref="AA1865">IF(P1865="", "", _xlfn.XLOOKUP(P1865,#REF!,#REF!,NA,0,-1))</f>
        <v/>
      </c>
      <c r="AB1865" s="22"/>
      <c r="AC1865" s="55" t="str">
        <f>IF(Table26[[#This Row],[customerSKU]]="","",_xlfn.XLOOKUP(Table26[[#This Row],[customerSKU]],customerSKU!G:G,customerSKU!C:C,"",0,1))</f>
        <v/>
      </c>
      <c r="AD1865" s="55" t="str">
        <f>IF($AC1865="","",_xlfn.XLOOKUP($AC1865,'Client Info'!$C$2:$C$2497,'Client Info'!$D$2:$D$2497,"",0,1))</f>
        <v/>
      </c>
      <c r="AE1865" s="55" t="str">
        <f>IF($AC1865="","",_xlfn.XLOOKUP($AC1865,'Client Info'!$C$2:$C$2677,'Client Info'!$E$2:$E$2677,"",))</f>
        <v/>
      </c>
      <c r="AF1865" s="55" t="str">
        <f>IF($AC1865="","",_xlfn.XLOOKUP($AC1865,'Client Info'!$C$2:$C$2677,'Client Info'!$F$2:$F$2677,"",0,1))</f>
        <v/>
      </c>
      <c r="AG1865" s="55" t="str">
        <f>IF(ISBLANK(Table26[[#This Row],[customerSKU]]),"",_xlfn.XLOOKUP(Table26[[#This Row],[customerSKU]],Table27[customer_SKU],Table27[billto],"",0,1))</f>
        <v/>
      </c>
      <c r="AH1865" s="26" t="str">
        <f>_xlfn.XLOOKUP(Table26[[#This Row],[customerSKU]],customerSKU!G:G,customerSKU!K:K,"NA",0,1)</f>
        <v>NA</v>
      </c>
      <c r="AI1865" s="43" t="str">
        <f>_xlfn.XLOOKUP(Table26[[#This Row],[customerSKU]],customerSKU!G:G,customerSKU!O:O,"not found",0,1)</f>
        <v>not found</v>
      </c>
      <c r="AJ1865" s="22" t="e">
        <f>Table26[[#This Row],[unitprice]]*Table26[[#This Row],[quantity_unit]]</f>
        <v>#VALUE!</v>
      </c>
      <c r="AK1865" s="227" t="e" cm="1">
        <f t="array" ref="AK18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5" s="227"/>
    </row>
    <row r="1866" spans="1:38" ht="18" customHeight="1">
      <c r="A1866" s="42">
        <v>388</v>
      </c>
      <c r="B1866" s="42" t="s">
        <v>3520</v>
      </c>
      <c r="C1866" s="53" t="s">
        <v>3488</v>
      </c>
      <c r="E1866" s="20"/>
      <c r="F18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6" s="258"/>
      <c r="I1866" s="19">
        <v>45824</v>
      </c>
      <c r="J1866" s="90" t="str">
        <f>IF(Table26[[#This Row],[customerSKU]]="","",_xlfn.XLOOKUP(Table26[[#This Row],[customerSKU]],customerSKU!G:G,customerSKU!A:A,"",0,1))</f>
        <v/>
      </c>
      <c r="K1866" s="232">
        <v>45825</v>
      </c>
      <c r="L1866" s="49" t="str">
        <f>IF(Table26[[#This Row],[customerSKU]]="","",_xlfn.XLOOKUP(Table26[[#This Row],[customerSKU]],customerSKU!G:G,customerSKU!B:B,"",0,1))</f>
        <v/>
      </c>
      <c r="M1866" s="22"/>
      <c r="N1866" s="15" t="str">
        <f>Table26[[#This Row],[po_number]]&amp;"-"&amp;Table26[[#This Row],[po_line]]</f>
        <v>-1</v>
      </c>
      <c r="O1866" s="15">
        <v>1</v>
      </c>
      <c r="P1866" s="50"/>
      <c r="Q1866" s="22" t="s">
        <v>535</v>
      </c>
      <c r="R1866" s="22" t="s">
        <v>532</v>
      </c>
      <c r="S1866" s="90" t="str">
        <f>IF(Table26[[#This Row],[customerSKU]]="","",_xlfn.XLOOKUP(Table26[[#This Row],[customerSKU]],customerSKU!G:G,customerSKU!N:N,"NOT FOUND",0,1))</f>
        <v>NOT FOUND</v>
      </c>
      <c r="T1866" s="20">
        <v>45588</v>
      </c>
      <c r="U1866" s="94">
        <v>12</v>
      </c>
      <c r="V1866" s="22" t="str">
        <f>IF(ISBLANK(Table26[[#This Row],[customerSKU]]),"",_xlfn.XLOOKUP(Table26[[#This Row],[customerSKU]],Table27[customer_SKU],Table27[case_size],"",0,1))</f>
        <v/>
      </c>
      <c r="W1866" s="117" t="str">
        <f t="shared" si="75"/>
        <v/>
      </c>
      <c r="X1866" s="22" t="str">
        <f t="shared" si="76"/>
        <v/>
      </c>
      <c r="Y1866" s="25" t="str">
        <f>IF(Table26[[#This Row],[customerSKU]]="","",_xlfn.XLOOKUP(Table26[[#This Row],[customerSKU]],Table27[customer_SKU],Table27[product_GTIN],"",0,1))</f>
        <v/>
      </c>
      <c r="Z1866" s="25" t="s">
        <v>3553</v>
      </c>
      <c r="AA1866" s="18" t="str" cm="1">
        <f t="array" ref="AA1866">IF(P1866="", "", _xlfn.XLOOKUP(P1866,#REF!,#REF!,NA,0,-1))</f>
        <v/>
      </c>
      <c r="AB1866" s="22"/>
      <c r="AC1866" s="55" t="s">
        <v>183</v>
      </c>
      <c r="AD1866" s="55" t="str">
        <f>IF($AC1866="","",_xlfn.XLOOKUP($AC1866,'Client Info'!$C$2:$C$2497,'Client Info'!$D$2:$D$2497,"",0,1))</f>
        <v/>
      </c>
      <c r="AE1866" s="55" t="str">
        <f>IF($AC1866="","",_xlfn.XLOOKUP($AC1866,'Client Info'!$C$2:$C$2677,'Client Info'!$E$2:$E$2677,"",))</f>
        <v/>
      </c>
      <c r="AF1866" s="55" t="str">
        <f>IF($AC1866="","",_xlfn.XLOOKUP($AC1866,'Client Info'!$C$2:$C$2677,'Client Info'!$F$2:$F$2677,"",0,1))</f>
        <v/>
      </c>
      <c r="AG1866" s="55" t="str">
        <f>IF(ISBLANK(Table26[[#This Row],[customerSKU]]),"",_xlfn.XLOOKUP(Table26[[#This Row],[customerSKU]],Table27[customer_SKU],Table27[billto],"",0,1))</f>
        <v/>
      </c>
      <c r="AH1866" s="26" t="str">
        <f>_xlfn.XLOOKUP(Table26[[#This Row],[customerSKU]],customerSKU!G:G,customerSKU!K:K,"NA",0,1)</f>
        <v>NA</v>
      </c>
      <c r="AI1866" s="43" t="str">
        <f>_xlfn.XLOOKUP(Table26[[#This Row],[customerSKU]],customerSKU!G:G,customerSKU!O:O,"not found",0,1)</f>
        <v>not found</v>
      </c>
      <c r="AJ1866" s="22" t="e">
        <f>Table26[[#This Row],[unitprice]]*Table26[[#This Row],[quantity_unit]]</f>
        <v>#VALUE!</v>
      </c>
      <c r="AK1866" s="227" t="e" cm="1">
        <f t="array" ref="AK18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6" s="227"/>
    </row>
    <row r="1867" spans="1:38" ht="18" customHeight="1">
      <c r="A1867" s="42">
        <v>389</v>
      </c>
      <c r="B1867" s="42" t="s">
        <v>3520</v>
      </c>
      <c r="C1867" s="53" t="s">
        <v>3360</v>
      </c>
      <c r="E1867" s="20"/>
      <c r="F18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7" s="93"/>
      <c r="I1867" s="19">
        <v>45825</v>
      </c>
      <c r="J1867" s="90" t="str">
        <f>IF(Table26[[#This Row],[customerSKU]]="","",_xlfn.XLOOKUP(Table26[[#This Row],[customerSKU]],customerSKU!G:G,customerSKU!A:A,"",0,1))</f>
        <v/>
      </c>
      <c r="K1867" s="232">
        <v>45825</v>
      </c>
      <c r="L1867" s="49" t="str">
        <f>IF(Table26[[#This Row],[customerSKU]]="","",_xlfn.XLOOKUP(Table26[[#This Row],[customerSKU]],customerSKU!G:G,customerSKU!B:B,"",0,1))</f>
        <v/>
      </c>
      <c r="M1867" s="22"/>
      <c r="N1867" s="15" t="str">
        <f>Table26[[#This Row],[po_number]]&amp;"-"&amp;Table26[[#This Row],[po_line]]</f>
        <v>-1</v>
      </c>
      <c r="O1867" s="15">
        <v>1</v>
      </c>
      <c r="P1867" s="50"/>
      <c r="S1867" s="90" t="str">
        <f>IF(Table26[[#This Row],[customerSKU]]="","",_xlfn.XLOOKUP(Table26[[#This Row],[customerSKU]],customerSKU!G:G,customerSKU!N:N,"NOT FOUND",0,1))</f>
        <v>NOT FOUND</v>
      </c>
      <c r="T1867" s="20"/>
      <c r="U1867" s="94">
        <v>12</v>
      </c>
      <c r="V1867" s="22" t="str">
        <f>IF(ISBLANK(Table26[[#This Row],[customerSKU]]),"",_xlfn.XLOOKUP(Table26[[#This Row],[customerSKU]],Table27[customer_SKU],Table27[case_size],"",0,1))</f>
        <v/>
      </c>
      <c r="W1867" s="117" t="str">
        <f t="shared" ref="W1867:W1930" si="77">IFERROR(U1867/V1867, "")</f>
        <v/>
      </c>
      <c r="X1867" s="22" t="str">
        <f t="shared" si="76"/>
        <v/>
      </c>
      <c r="Y1867" s="25" t="str">
        <f>IF(Table26[[#This Row],[customerSKU]]="","",_xlfn.XLOOKUP(Table26[[#This Row],[customerSKU]],Table27[customer_SKU],Table27[product_GTIN],"",0,1))</f>
        <v/>
      </c>
      <c r="Z1867" s="25" t="s">
        <v>3666</v>
      </c>
      <c r="AA1867" s="18" t="str" cm="1">
        <f t="array" ref="AA1867">IF(P1867="", "", _xlfn.XLOOKUP(P1867,#REF!,#REF!,NA,0,-1))</f>
        <v/>
      </c>
      <c r="AB1867" s="22"/>
      <c r="AC1867" s="23" t="str">
        <f>IF(Table26[[#This Row],[customerSKU]]="","",_xlfn.XLOOKUP(Table26[[#This Row],[customerSKU]],customerSKU!G:G,customerSKU!C:C,"",0,1))</f>
        <v/>
      </c>
      <c r="AD1867" s="23" t="str">
        <f>IF($AC1867="","",_xlfn.XLOOKUP($AC1867,'Client Info'!$C$2:$C$2497,'Client Info'!$D$2:$D$2497,"",0,1))</f>
        <v/>
      </c>
      <c r="AE1867" s="23" t="str">
        <f>IF($AC1867="","",_xlfn.XLOOKUP($AC1867,'Client Info'!$C$2:$C$2677,'Client Info'!$E$2:$E$2677,"",))</f>
        <v/>
      </c>
      <c r="AF1867" s="23" t="str">
        <f>IF($AC1867="","",_xlfn.XLOOKUP($AC1867,'Client Info'!$C$2:$C$2677,'Client Info'!$F$2:$F$2677,"",0,1))</f>
        <v/>
      </c>
      <c r="AG1867" s="23" t="str">
        <f>IF(ISBLANK(Table26[[#This Row],[customerSKU]]),"",_xlfn.XLOOKUP(Table26[[#This Row],[customerSKU]],Table27[customer_SKU],Table27[billto],"",0,1))</f>
        <v/>
      </c>
      <c r="AH1867" s="26" t="str">
        <f>_xlfn.XLOOKUP(Table26[[#This Row],[customerSKU]],customerSKU!G:G,customerSKU!K:K,"NA",0,1)</f>
        <v>NA</v>
      </c>
      <c r="AI1867" s="43" t="str">
        <f>_xlfn.XLOOKUP(Table26[[#This Row],[customerSKU]],customerSKU!G:G,customerSKU!O:O,"not found",0,1)</f>
        <v>not found</v>
      </c>
      <c r="AJ1867" s="22" t="e">
        <f>Table26[[#This Row],[unitprice]]*Table26[[#This Row],[quantity_unit]]</f>
        <v>#VALUE!</v>
      </c>
      <c r="AK1867" s="227" t="e" cm="1">
        <f t="array" ref="AK18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7" s="227"/>
    </row>
    <row r="1868" spans="1:38" ht="18" customHeight="1">
      <c r="A1868" s="42">
        <v>390</v>
      </c>
      <c r="B1868" s="42" t="s">
        <v>3520</v>
      </c>
      <c r="C1868" s="53" t="s">
        <v>3360</v>
      </c>
      <c r="E1868" s="20"/>
      <c r="F18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8" s="93"/>
      <c r="I1868" s="19">
        <v>45825</v>
      </c>
      <c r="J1868" s="90" t="str">
        <f>IF(Table26[[#This Row],[customerSKU]]="","",_xlfn.XLOOKUP(Table26[[#This Row],[customerSKU]],customerSKU!G:G,customerSKU!A:A,"",0,1))</f>
        <v/>
      </c>
      <c r="K1868" s="232">
        <v>45825</v>
      </c>
      <c r="L1868" s="49" t="str">
        <f>IF(Table26[[#This Row],[customerSKU]]="","",_xlfn.XLOOKUP(Table26[[#This Row],[customerSKU]],customerSKU!G:G,customerSKU!B:B,"",0,1))</f>
        <v/>
      </c>
      <c r="M1868" s="22"/>
      <c r="N1868" s="15" t="str">
        <f>Table26[[#This Row],[po_number]]&amp;"-"&amp;Table26[[#This Row],[po_line]]</f>
        <v>-2</v>
      </c>
      <c r="O1868" s="15">
        <v>2</v>
      </c>
      <c r="P1868" s="50"/>
      <c r="S1868" s="90" t="str">
        <f>IF(Table26[[#This Row],[customerSKU]]="","",_xlfn.XLOOKUP(Table26[[#This Row],[customerSKU]],customerSKU!G:G,customerSKU!N:N,"NOT FOUND",0,1))</f>
        <v>NOT FOUND</v>
      </c>
      <c r="T1868" s="20"/>
      <c r="U1868" s="94">
        <v>12</v>
      </c>
      <c r="V1868" s="22" t="str">
        <f>IF(ISBLANK(Table26[[#This Row],[customerSKU]]),"",_xlfn.XLOOKUP(Table26[[#This Row],[customerSKU]],Table27[customer_SKU],Table27[case_size],"",0,1))</f>
        <v/>
      </c>
      <c r="W1868" s="117" t="str">
        <f t="shared" si="77"/>
        <v/>
      </c>
      <c r="X1868" s="22" t="str">
        <f t="shared" si="76"/>
        <v/>
      </c>
      <c r="Y1868" s="25" t="str">
        <f>IF(Table26[[#This Row],[customerSKU]]="","",_xlfn.XLOOKUP(Table26[[#This Row],[customerSKU]],Table27[customer_SKU],Table27[product_GTIN],"",0,1))</f>
        <v/>
      </c>
      <c r="Z1868" s="25" t="s">
        <v>3395</v>
      </c>
      <c r="AA1868" s="18" t="str" cm="1">
        <f t="array" ref="AA1868">IF(P1868="", "", _xlfn.XLOOKUP(P1868,#REF!,#REF!,NA,0,-1))</f>
        <v/>
      </c>
      <c r="AB1868" s="22"/>
      <c r="AC1868" s="23" t="str">
        <f>IF(Table26[[#This Row],[customerSKU]]="","",_xlfn.XLOOKUP(Table26[[#This Row],[customerSKU]],customerSKU!G:G,customerSKU!C:C,"",0,1))</f>
        <v/>
      </c>
      <c r="AD1868" s="23" t="str">
        <f>IF($AC1868="","",_xlfn.XLOOKUP($AC1868,'Client Info'!$C$2:$C$2497,'Client Info'!$D$2:$D$2497,"",0,1))</f>
        <v/>
      </c>
      <c r="AE1868" s="23" t="str">
        <f>IF($AC1868="","",_xlfn.XLOOKUP($AC1868,'Client Info'!$C$2:$C$2677,'Client Info'!$E$2:$E$2677,"",))</f>
        <v/>
      </c>
      <c r="AF1868" s="23" t="str">
        <f>IF($AC1868="","",_xlfn.XLOOKUP($AC1868,'Client Info'!$C$2:$C$2677,'Client Info'!$F$2:$F$2677,"",0,1))</f>
        <v/>
      </c>
      <c r="AG1868" s="23" t="str">
        <f>IF(ISBLANK(Table26[[#This Row],[customerSKU]]),"",_xlfn.XLOOKUP(Table26[[#This Row],[customerSKU]],Table27[customer_SKU],Table27[billto],"",0,1))</f>
        <v/>
      </c>
      <c r="AH1868" s="26" t="str">
        <f>_xlfn.XLOOKUP(Table26[[#This Row],[customerSKU]],customerSKU!G:G,customerSKU!K:K,"NA",0,1)</f>
        <v>NA</v>
      </c>
      <c r="AI1868" s="43" t="str">
        <f>_xlfn.XLOOKUP(Table26[[#This Row],[customerSKU]],customerSKU!G:G,customerSKU!O:O,"not found",0,1)</f>
        <v>not found</v>
      </c>
      <c r="AJ1868" s="22" t="e">
        <f>Table26[[#This Row],[unitprice]]*Table26[[#This Row],[quantity_unit]]</f>
        <v>#VALUE!</v>
      </c>
      <c r="AK1868" s="227" t="e" cm="1">
        <f t="array" ref="AK18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8" s="227"/>
    </row>
    <row r="1869" spans="1:38" ht="18" customHeight="1">
      <c r="A1869" s="42">
        <v>391</v>
      </c>
      <c r="B1869" s="42" t="s">
        <v>3520</v>
      </c>
      <c r="C1869" s="53" t="s">
        <v>3360</v>
      </c>
      <c r="E1869" s="20"/>
      <c r="F18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69" s="93"/>
      <c r="I1869" s="19">
        <v>45825</v>
      </c>
      <c r="J1869" s="90" t="str">
        <f>IF(Table26[[#This Row],[customerSKU]]="","",_xlfn.XLOOKUP(Table26[[#This Row],[customerSKU]],customerSKU!G:G,customerSKU!A:A,"",0,1))</f>
        <v/>
      </c>
      <c r="K1869" s="232">
        <v>45825</v>
      </c>
      <c r="L1869" s="49" t="str">
        <f>IF(Table26[[#This Row],[customerSKU]]="","",_xlfn.XLOOKUP(Table26[[#This Row],[customerSKU]],customerSKU!G:G,customerSKU!B:B,"",0,1))</f>
        <v/>
      </c>
      <c r="M1869" s="22"/>
      <c r="N1869" s="15" t="str">
        <f>Table26[[#This Row],[po_number]]&amp;"-"&amp;Table26[[#This Row],[po_line]]</f>
        <v>-3</v>
      </c>
      <c r="O1869" s="15">
        <v>3</v>
      </c>
      <c r="P1869" s="50"/>
      <c r="S1869" s="90" t="str">
        <f>IF(Table26[[#This Row],[customerSKU]]="","",_xlfn.XLOOKUP(Table26[[#This Row],[customerSKU]],customerSKU!G:G,customerSKU!N:N,"NOT FOUND",0,1))</f>
        <v>NOT FOUND</v>
      </c>
      <c r="T1869" s="20"/>
      <c r="U1869" s="94">
        <v>12</v>
      </c>
      <c r="V1869" s="22" t="str">
        <f>IF(ISBLANK(Table26[[#This Row],[customerSKU]]),"",_xlfn.XLOOKUP(Table26[[#This Row],[customerSKU]],Table27[customer_SKU],Table27[case_size],"",0,1))</f>
        <v/>
      </c>
      <c r="W1869" s="117" t="str">
        <f t="shared" si="77"/>
        <v/>
      </c>
      <c r="X1869" s="22" t="str">
        <f t="shared" si="76"/>
        <v/>
      </c>
      <c r="Y1869" s="25" t="str">
        <f>IF(Table26[[#This Row],[customerSKU]]="","",_xlfn.XLOOKUP(Table26[[#This Row],[customerSKU]],Table27[customer_SKU],Table27[product_GTIN],"",0,1))</f>
        <v/>
      </c>
      <c r="Z1869" s="25" t="s">
        <v>3380</v>
      </c>
      <c r="AA1869" s="18" t="str" cm="1">
        <f t="array" ref="AA1869">IF(P1869="", "", _xlfn.XLOOKUP(P1869,#REF!,#REF!,NA,0,-1))</f>
        <v/>
      </c>
      <c r="AB1869" s="22"/>
      <c r="AC1869" s="23" t="str">
        <f>IF(Table26[[#This Row],[customerSKU]]="","",_xlfn.XLOOKUP(Table26[[#This Row],[customerSKU]],customerSKU!G:G,customerSKU!C:C,"",0,1))</f>
        <v/>
      </c>
      <c r="AD1869" s="23" t="str">
        <f>IF($AC1869="","",_xlfn.XLOOKUP($AC1869,'Client Info'!$C$2:$C$2497,'Client Info'!$D$2:$D$2497,"",0,1))</f>
        <v/>
      </c>
      <c r="AE1869" s="23" t="str">
        <f>IF($AC1869="","",_xlfn.XLOOKUP($AC1869,'Client Info'!$C$2:$C$2677,'Client Info'!$E$2:$E$2677,"",))</f>
        <v/>
      </c>
      <c r="AF1869" s="23" t="str">
        <f>IF($AC1869="","",_xlfn.XLOOKUP($AC1869,'Client Info'!$C$2:$C$2677,'Client Info'!$F$2:$F$2677,"",0,1))</f>
        <v/>
      </c>
      <c r="AG1869" s="23" t="str">
        <f>IF(ISBLANK(Table26[[#This Row],[customerSKU]]),"",_xlfn.XLOOKUP(Table26[[#This Row],[customerSKU]],Table27[customer_SKU],Table27[billto],"",0,1))</f>
        <v/>
      </c>
      <c r="AH1869" s="26" t="str">
        <f>_xlfn.XLOOKUP(Table26[[#This Row],[customerSKU]],customerSKU!G:G,customerSKU!K:K,"NA",0,1)</f>
        <v>NA</v>
      </c>
      <c r="AI1869" s="43" t="str">
        <f>_xlfn.XLOOKUP(Table26[[#This Row],[customerSKU]],customerSKU!G:G,customerSKU!O:O,"not found",0,1)</f>
        <v>not found</v>
      </c>
      <c r="AJ1869" s="22" t="e">
        <f>Table26[[#This Row],[unitprice]]*Table26[[#This Row],[quantity_unit]]</f>
        <v>#VALUE!</v>
      </c>
      <c r="AK1869" s="227" t="e" cm="1">
        <f t="array" ref="AK18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69" s="227"/>
    </row>
    <row r="1870" spans="1:38" ht="18" customHeight="1">
      <c r="A1870" s="42">
        <v>392</v>
      </c>
      <c r="B1870" s="42" t="s">
        <v>3520</v>
      </c>
      <c r="C1870" s="53" t="s">
        <v>3360</v>
      </c>
      <c r="E1870" s="20"/>
      <c r="F18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0" s="93"/>
      <c r="I1870" s="19">
        <v>45825</v>
      </c>
      <c r="J1870" s="90" t="str">
        <f>IF(Table26[[#This Row],[customerSKU]]="","",_xlfn.XLOOKUP(Table26[[#This Row],[customerSKU]],customerSKU!G:G,customerSKU!A:A,"",0,1))</f>
        <v/>
      </c>
      <c r="K1870" s="232">
        <v>45825</v>
      </c>
      <c r="L1870" s="49" t="str">
        <f>IF(Table26[[#This Row],[customerSKU]]="","",_xlfn.XLOOKUP(Table26[[#This Row],[customerSKU]],customerSKU!G:G,customerSKU!B:B,"",0,1))</f>
        <v/>
      </c>
      <c r="M1870" s="22"/>
      <c r="N1870" s="15" t="str">
        <f>Table26[[#This Row],[po_number]]&amp;"-"&amp;Table26[[#This Row],[po_line]]</f>
        <v>-1</v>
      </c>
      <c r="O1870" s="15">
        <v>1</v>
      </c>
      <c r="P1870" s="50"/>
      <c r="S1870" s="90" t="str">
        <f>IF(Table26[[#This Row],[customerSKU]]="","",_xlfn.XLOOKUP(Table26[[#This Row],[customerSKU]],customerSKU!G:G,customerSKU!N:N,"NOT FOUND",0,1))</f>
        <v>NOT FOUND</v>
      </c>
      <c r="T1870" s="20"/>
      <c r="U1870" s="94">
        <v>12</v>
      </c>
      <c r="V1870" s="22" t="str">
        <f>IF(ISBLANK(Table26[[#This Row],[customerSKU]]),"",_xlfn.XLOOKUP(Table26[[#This Row],[customerSKU]],Table27[customer_SKU],Table27[case_size],"",0,1))</f>
        <v/>
      </c>
      <c r="W1870" s="117" t="str">
        <f t="shared" si="77"/>
        <v/>
      </c>
      <c r="X1870" s="22" t="str">
        <f t="shared" si="76"/>
        <v/>
      </c>
      <c r="Y1870" s="25" t="str">
        <f>IF(Table26[[#This Row],[customerSKU]]="","",_xlfn.XLOOKUP(Table26[[#This Row],[customerSKU]],Table27[customer_SKU],Table27[product_GTIN],"",0,1))</f>
        <v/>
      </c>
      <c r="Z1870" s="25" t="s">
        <v>3529</v>
      </c>
      <c r="AA1870" s="18" t="str" cm="1">
        <f t="array" ref="AA1870">IF(P1870="", "", _xlfn.XLOOKUP(P1870,#REF!,#REF!,NA,0,-1))</f>
        <v/>
      </c>
      <c r="AB1870" s="22"/>
      <c r="AC1870" s="23" t="str">
        <f>IF(Table26[[#This Row],[customerSKU]]="","",_xlfn.XLOOKUP(Table26[[#This Row],[customerSKU]],customerSKU!G:G,customerSKU!C:C,"",0,1))</f>
        <v/>
      </c>
      <c r="AD1870" s="23" t="str">
        <f>IF($AC1870="","",_xlfn.XLOOKUP($AC1870,'Client Info'!$C$2:$C$2497,'Client Info'!$D$2:$D$2497,"",0,1))</f>
        <v/>
      </c>
      <c r="AE1870" s="23" t="str">
        <f>IF($AC1870="","",_xlfn.XLOOKUP($AC1870,'Client Info'!$C$2:$C$2677,'Client Info'!$E$2:$E$2677,"",))</f>
        <v/>
      </c>
      <c r="AF1870" s="23" t="str">
        <f>IF($AC1870="","",_xlfn.XLOOKUP($AC1870,'Client Info'!$C$2:$C$2677,'Client Info'!$F$2:$F$2677,"",0,1))</f>
        <v/>
      </c>
      <c r="AG1870" s="23" t="str">
        <f>IF(ISBLANK(Table26[[#This Row],[customerSKU]]),"",_xlfn.XLOOKUP(Table26[[#This Row],[customerSKU]],Table27[customer_SKU],Table27[billto],"",0,1))</f>
        <v/>
      </c>
      <c r="AH1870" s="26" t="str">
        <f>_xlfn.XLOOKUP(Table26[[#This Row],[customerSKU]],customerSKU!G:G,customerSKU!K:K,"NA",0,1)</f>
        <v>NA</v>
      </c>
      <c r="AI1870" s="43" t="str">
        <f>_xlfn.XLOOKUP(Table26[[#This Row],[customerSKU]],customerSKU!G:G,customerSKU!O:O,"not found",0,1)</f>
        <v>not found</v>
      </c>
      <c r="AJ1870" s="22" t="e">
        <f>Table26[[#This Row],[unitprice]]*Table26[[#This Row],[quantity_unit]]</f>
        <v>#VALUE!</v>
      </c>
      <c r="AK1870" s="227" t="e" cm="1">
        <f t="array" ref="AK18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0" s="227"/>
    </row>
    <row r="1871" spans="1:38" ht="18" customHeight="1">
      <c r="A1871" s="42">
        <v>378</v>
      </c>
      <c r="B1871" s="42" t="s">
        <v>3520</v>
      </c>
      <c r="C1871" s="53" t="s">
        <v>3488</v>
      </c>
      <c r="E1871" s="20"/>
      <c r="F18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1" s="93"/>
      <c r="I1871" s="203">
        <v>45824</v>
      </c>
      <c r="J1871" s="90" t="str">
        <f>IF(Table26[[#This Row],[customerSKU]]="","",_xlfn.XLOOKUP(Table26[[#This Row],[customerSKU]],customerSKU!G:G,customerSKU!A:A,"",0,1))</f>
        <v/>
      </c>
      <c r="K1871" s="232">
        <v>45826</v>
      </c>
      <c r="L1871" s="49" t="str">
        <f>IF(Table26[[#This Row],[customerSKU]]="","",_xlfn.XLOOKUP(Table26[[#This Row],[customerSKU]],customerSKU!G:G,customerSKU!B:B,"",0,1))</f>
        <v/>
      </c>
      <c r="M1871" s="22"/>
      <c r="N1871" s="15" t="str">
        <f>Table26[[#This Row],[po_number]]&amp;"-"&amp;Table26[[#This Row],[po_line]]</f>
        <v>-1</v>
      </c>
      <c r="O1871" s="15">
        <v>1</v>
      </c>
      <c r="P1871" s="50"/>
      <c r="Q1871" s="22" t="s">
        <v>1827</v>
      </c>
      <c r="R1871" s="22" t="s">
        <v>221</v>
      </c>
      <c r="S1871" s="90" t="str">
        <f>IF(Table26[[#This Row],[customerSKU]]="","",_xlfn.XLOOKUP(Table26[[#This Row],[customerSKU]],customerSKU!G:G,customerSKU!N:N,"NOT FOUND",0,1))</f>
        <v>NOT FOUND</v>
      </c>
      <c r="T1871" s="20">
        <v>45825</v>
      </c>
      <c r="U1871" s="94">
        <v>12</v>
      </c>
      <c r="V1871" s="22" t="str">
        <f>IF(ISBLANK(Table26[[#This Row],[customerSKU]]),"",_xlfn.XLOOKUP(Table26[[#This Row],[customerSKU]],Table27[customer_SKU],Table27[case_size],"",0,1))</f>
        <v/>
      </c>
      <c r="W1871" s="117" t="str">
        <f t="shared" si="77"/>
        <v/>
      </c>
      <c r="X1871" s="22" t="str">
        <f t="shared" si="76"/>
        <v/>
      </c>
      <c r="Y1871" s="25" t="str">
        <f>IF(Table26[[#This Row],[customerSKU]]="","",_xlfn.XLOOKUP(Table26[[#This Row],[customerSKU]],Table27[customer_SKU],Table27[product_GTIN],"",0,1))</f>
        <v/>
      </c>
      <c r="Z1871" s="25" t="s">
        <v>3603</v>
      </c>
      <c r="AA1871" s="18" t="str" cm="1">
        <f t="array" ref="AA1871">IF(P1871="", "", _xlfn.XLOOKUP(P1871,#REF!,#REF!,NA,0,-1))</f>
        <v/>
      </c>
      <c r="AB1871" s="22"/>
      <c r="AC1871" s="55" t="s">
        <v>93</v>
      </c>
      <c r="AD1871" s="55" t="str">
        <f>IF($AC1871="","",_xlfn.XLOOKUP($AC1871,'Client Info'!$C$2:$C$2497,'Client Info'!$D$2:$D$2497,"",0,1))</f>
        <v/>
      </c>
      <c r="AE1871" s="55" t="str">
        <f>IF($AC1871="","",_xlfn.XLOOKUP($AC1871,'Client Info'!$C$2:$C$2677,'Client Info'!$E$2:$E$2677,"",))</f>
        <v/>
      </c>
      <c r="AF1871" s="55" t="str">
        <f>IF($AC1871="","",_xlfn.XLOOKUP($AC1871,'Client Info'!$C$2:$C$2677,'Client Info'!$F$2:$F$2677,"",0,1))</f>
        <v/>
      </c>
      <c r="AG1871" s="55" t="s">
        <v>93</v>
      </c>
      <c r="AH1871" s="26" t="str">
        <f>_xlfn.XLOOKUP(Table26[[#This Row],[customerSKU]],customerSKU!G:G,customerSKU!K:K,"NA",0,1)</f>
        <v>NA</v>
      </c>
      <c r="AI1871" s="43" t="str">
        <f>_xlfn.XLOOKUP(Table26[[#This Row],[customerSKU]],customerSKU!G:G,customerSKU!O:O,"not found",0,1)</f>
        <v>not found</v>
      </c>
      <c r="AJ1871" s="22" t="e">
        <f>Table26[[#This Row],[unitprice]]*Table26[[#This Row],[quantity_unit]]</f>
        <v>#VALUE!</v>
      </c>
      <c r="AK1871" s="227" t="e" cm="1">
        <f t="array" ref="AK18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1" s="227"/>
    </row>
    <row r="1872" spans="1:38" ht="18" customHeight="1">
      <c r="A1872" s="42">
        <v>379</v>
      </c>
      <c r="B1872" s="42" t="s">
        <v>3520</v>
      </c>
      <c r="C1872" s="53" t="s">
        <v>3488</v>
      </c>
      <c r="E1872" s="20"/>
      <c r="F18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2" s="93"/>
      <c r="I1872" s="203">
        <v>45824</v>
      </c>
      <c r="J1872" s="90" t="str">
        <f>IF(Table26[[#This Row],[customerSKU]]="","",_xlfn.XLOOKUP(Table26[[#This Row],[customerSKU]],customerSKU!G:G,customerSKU!A:A,"",0,1))</f>
        <v/>
      </c>
      <c r="K1872" s="232">
        <v>45826</v>
      </c>
      <c r="L1872" s="49" t="str">
        <f>IF(Table26[[#This Row],[customerSKU]]="","",_xlfn.XLOOKUP(Table26[[#This Row],[customerSKU]],customerSKU!G:G,customerSKU!B:B,"",0,1))</f>
        <v/>
      </c>
      <c r="M1872" s="22"/>
      <c r="N1872" s="15" t="str">
        <f>Table26[[#This Row],[po_number]]&amp;"-"&amp;Table26[[#This Row],[po_line]]</f>
        <v>-2</v>
      </c>
      <c r="O1872" s="15">
        <v>2</v>
      </c>
      <c r="P1872" s="50"/>
      <c r="Q1872" s="22" t="s">
        <v>591</v>
      </c>
      <c r="R1872" s="22" t="s">
        <v>221</v>
      </c>
      <c r="S1872" s="90" t="str">
        <f>IF(Table26[[#This Row],[customerSKU]]="","",_xlfn.XLOOKUP(Table26[[#This Row],[customerSKU]],customerSKU!G:G,customerSKU!N:N,"NOT FOUND",0,1))</f>
        <v>NOT FOUND</v>
      </c>
      <c r="T1872" s="20">
        <v>45821</v>
      </c>
      <c r="U1872" s="94">
        <v>12</v>
      </c>
      <c r="V1872" s="22" t="str">
        <f>IF(ISBLANK(Table26[[#This Row],[customerSKU]]),"",_xlfn.XLOOKUP(Table26[[#This Row],[customerSKU]],Table27[customer_SKU],Table27[case_size],"",0,1))</f>
        <v/>
      </c>
      <c r="W1872" s="117" t="str">
        <f t="shared" si="77"/>
        <v/>
      </c>
      <c r="X1872" s="22" t="str">
        <f t="shared" si="76"/>
        <v/>
      </c>
      <c r="Y1872" s="25" t="str">
        <f>IF(Table26[[#This Row],[customerSKU]]="","",_xlfn.XLOOKUP(Table26[[#This Row],[customerSKU]],Table27[customer_SKU],Table27[product_GTIN],"",0,1))</f>
        <v/>
      </c>
      <c r="Z1872" s="25" t="s">
        <v>3525</v>
      </c>
      <c r="AA1872" s="18" t="str" cm="1">
        <f t="array" ref="AA1872">IF(P1872="", "", _xlfn.XLOOKUP(P1872,#REF!,#REF!,NA,0,-1))</f>
        <v/>
      </c>
      <c r="AB1872" s="22"/>
      <c r="AC1872" s="55" t="s">
        <v>93</v>
      </c>
      <c r="AD1872" s="55" t="str">
        <f>IF($AC1872="","",_xlfn.XLOOKUP($AC1872,'Client Info'!$C$2:$C$2497,'Client Info'!$D$2:$D$2497,"",0,1))</f>
        <v/>
      </c>
      <c r="AE1872" s="55" t="str">
        <f>IF($AC1872="","",_xlfn.XLOOKUP($AC1872,'Client Info'!$C$2:$C$2677,'Client Info'!$E$2:$E$2677,"",))</f>
        <v/>
      </c>
      <c r="AF1872" s="55" t="str">
        <f>IF($AC1872="","",_xlfn.XLOOKUP($AC1872,'Client Info'!$C$2:$C$2677,'Client Info'!$F$2:$F$2677,"",0,1))</f>
        <v/>
      </c>
      <c r="AG1872" s="55" t="s">
        <v>93</v>
      </c>
      <c r="AH1872" s="26" t="str">
        <f>_xlfn.XLOOKUP(Table26[[#This Row],[customerSKU]],customerSKU!G:G,customerSKU!K:K,"NA",0,1)</f>
        <v>NA</v>
      </c>
      <c r="AI1872" s="43" t="str">
        <f>_xlfn.XLOOKUP(Table26[[#This Row],[customerSKU]],customerSKU!G:G,customerSKU!O:O,"not found",0,1)</f>
        <v>not found</v>
      </c>
      <c r="AJ1872" s="22" t="e">
        <f>Table26[[#This Row],[unitprice]]*Table26[[#This Row],[quantity_unit]]</f>
        <v>#VALUE!</v>
      </c>
      <c r="AK1872" s="227" t="e" cm="1">
        <f t="array" ref="AK18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2" s="227"/>
    </row>
    <row r="1873" spans="1:38" ht="18" customHeight="1">
      <c r="A1873" s="42">
        <v>380</v>
      </c>
      <c r="B1873" s="42" t="s">
        <v>3520</v>
      </c>
      <c r="C1873" s="53" t="s">
        <v>3488</v>
      </c>
      <c r="E1873" s="20"/>
      <c r="F18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3" s="93"/>
      <c r="I1873" s="203">
        <v>45824</v>
      </c>
      <c r="J1873" s="90" t="str">
        <f>IF(Table26[[#This Row],[customerSKU]]="","",_xlfn.XLOOKUP(Table26[[#This Row],[customerSKU]],customerSKU!G:G,customerSKU!A:A,"",0,1))</f>
        <v/>
      </c>
      <c r="K1873" s="232">
        <v>45826</v>
      </c>
      <c r="L1873" s="49" t="str">
        <f>IF(Table26[[#This Row],[customerSKU]]="","",_xlfn.XLOOKUP(Table26[[#This Row],[customerSKU]],customerSKU!G:G,customerSKU!B:B,"",0,1))</f>
        <v/>
      </c>
      <c r="M1873" s="22"/>
      <c r="N1873" s="15" t="str">
        <f>Table26[[#This Row],[po_number]]&amp;"-"&amp;Table26[[#This Row],[po_line]]</f>
        <v>-3</v>
      </c>
      <c r="O1873" s="15">
        <v>3</v>
      </c>
      <c r="P1873" s="50"/>
      <c r="Q1873" s="22" t="s">
        <v>3284</v>
      </c>
      <c r="R1873" s="22" t="s">
        <v>221</v>
      </c>
      <c r="S1873" s="90" t="str">
        <f>IF(Table26[[#This Row],[customerSKU]]="","",_xlfn.XLOOKUP(Table26[[#This Row],[customerSKU]],customerSKU!G:G,customerSKU!N:N,"NOT FOUND",0,1))</f>
        <v>NOT FOUND</v>
      </c>
      <c r="T1873" s="20">
        <v>45763</v>
      </c>
      <c r="U1873" s="94">
        <v>12</v>
      </c>
      <c r="V1873" s="22" t="str">
        <f>IF(ISBLANK(Table26[[#This Row],[customerSKU]]),"",_xlfn.XLOOKUP(Table26[[#This Row],[customerSKU]],Table27[customer_SKU],Table27[case_size],"",0,1))</f>
        <v/>
      </c>
      <c r="W1873" s="117" t="str">
        <f t="shared" si="77"/>
        <v/>
      </c>
      <c r="X1873" s="22" t="str">
        <f t="shared" si="76"/>
        <v/>
      </c>
      <c r="Y1873" s="25" t="str">
        <f>IF(Table26[[#This Row],[customerSKU]]="","",_xlfn.XLOOKUP(Table26[[#This Row],[customerSKU]],Table27[customer_SKU],Table27[product_GTIN],"",0,1))</f>
        <v/>
      </c>
      <c r="Z1873" s="25" t="s">
        <v>3522</v>
      </c>
      <c r="AA1873" s="18" t="str" cm="1">
        <f t="array" ref="AA1873">IF(P1873="", "", _xlfn.XLOOKUP(P1873,#REF!,#REF!,NA,0,-1))</f>
        <v/>
      </c>
      <c r="AB1873" s="22"/>
      <c r="AC1873" s="55" t="s">
        <v>93</v>
      </c>
      <c r="AD1873" s="55" t="str">
        <f>IF($AC1873="","",_xlfn.XLOOKUP($AC1873,'Client Info'!$C$2:$C$2497,'Client Info'!$D$2:$D$2497,"",0,1))</f>
        <v/>
      </c>
      <c r="AE1873" s="55" t="str">
        <f>IF($AC1873="","",_xlfn.XLOOKUP($AC1873,'Client Info'!$C$2:$C$2677,'Client Info'!$E$2:$E$2677,"",))</f>
        <v/>
      </c>
      <c r="AF1873" s="55" t="str">
        <f>IF($AC1873="","",_xlfn.XLOOKUP($AC1873,'Client Info'!$C$2:$C$2677,'Client Info'!$F$2:$F$2677,"",0,1))</f>
        <v/>
      </c>
      <c r="AG1873" s="55" t="s">
        <v>93</v>
      </c>
      <c r="AH1873" s="26" t="str">
        <f>_xlfn.XLOOKUP(Table26[[#This Row],[customerSKU]],customerSKU!G:G,customerSKU!K:K,"NA",0,1)</f>
        <v>NA</v>
      </c>
      <c r="AI1873" s="43" t="str">
        <f>_xlfn.XLOOKUP(Table26[[#This Row],[customerSKU]],customerSKU!G:G,customerSKU!O:O,"not found",0,1)</f>
        <v>not found</v>
      </c>
      <c r="AJ1873" s="22" t="e">
        <f>Table26[[#This Row],[unitprice]]*Table26[[#This Row],[quantity_unit]]</f>
        <v>#VALUE!</v>
      </c>
      <c r="AK1873" s="227" t="e" cm="1">
        <f t="array" ref="AK18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3" s="227"/>
    </row>
    <row r="1874" spans="1:38" ht="18" customHeight="1">
      <c r="A1874" s="42">
        <v>371</v>
      </c>
      <c r="B1874" s="42" t="s">
        <v>3520</v>
      </c>
      <c r="C1874" s="53" t="s">
        <v>3488</v>
      </c>
      <c r="E1874" s="20"/>
      <c r="F18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4" s="93"/>
      <c r="I1874" s="203">
        <v>45826</v>
      </c>
      <c r="J1874" s="90" t="str">
        <f>IF(Table26[[#This Row],[customerSKU]]="","",_xlfn.XLOOKUP(Table26[[#This Row],[customerSKU]],customerSKU!G:G,customerSKU!A:A,"",0,1))</f>
        <v/>
      </c>
      <c r="K1874" s="232">
        <v>45827</v>
      </c>
      <c r="L1874" s="49" t="str">
        <f>IF(Table26[[#This Row],[customerSKU]]="","",_xlfn.XLOOKUP(Table26[[#This Row],[customerSKU]],customerSKU!G:G,customerSKU!B:B,"",0,1))</f>
        <v/>
      </c>
      <c r="M1874" s="22"/>
      <c r="N1874" s="15" t="str">
        <f>Table26[[#This Row],[po_number]]&amp;"-"&amp;Table26[[#This Row],[po_line]]</f>
        <v>-1</v>
      </c>
      <c r="O1874" s="15">
        <v>1</v>
      </c>
      <c r="P1874" s="50"/>
      <c r="Q1874" s="22" t="s">
        <v>591</v>
      </c>
      <c r="R1874" s="22" t="s">
        <v>532</v>
      </c>
      <c r="S1874" s="90" t="str">
        <f>IF(Table26[[#This Row],[customerSKU]]="","",_xlfn.XLOOKUP(Table26[[#This Row],[customerSKU]],customerSKU!G:G,customerSKU!N:N,"NOT FOUND",0,1))</f>
        <v>NOT FOUND</v>
      </c>
      <c r="T1874" s="20">
        <v>45783</v>
      </c>
      <c r="U1874" s="94">
        <v>12</v>
      </c>
      <c r="V1874" s="22" t="str">
        <f>IF(ISBLANK(Table26[[#This Row],[customerSKU]]),"",_xlfn.XLOOKUP(Table26[[#This Row],[customerSKU]],Table27[customer_SKU],Table27[case_size],"",0,1))</f>
        <v/>
      </c>
      <c r="W1874" s="117" t="str">
        <f t="shared" si="77"/>
        <v/>
      </c>
      <c r="X1874" s="22" t="str">
        <f t="shared" si="76"/>
        <v/>
      </c>
      <c r="Y1874" s="25" t="str">
        <f>IF(Table26[[#This Row],[customerSKU]]="","",_xlfn.XLOOKUP(Table26[[#This Row],[customerSKU]],Table27[customer_SKU],Table27[product_GTIN],"",0,1))</f>
        <v/>
      </c>
      <c r="Z1874" s="25" t="s">
        <v>3525</v>
      </c>
      <c r="AA1874" s="18" t="str" cm="1">
        <f t="array" ref="AA1874">IF(P1874="", "", _xlfn.XLOOKUP(P1874,#REF!,#REF!,NA,0,-1))</f>
        <v/>
      </c>
      <c r="AB1874" s="22"/>
      <c r="AC1874" s="23" t="s">
        <v>189</v>
      </c>
      <c r="AD1874" s="23" t="str">
        <f>IF($AC1874="","",_xlfn.XLOOKUP($AC1874,'Client Info'!$C$2:$C$2497,'Client Info'!$D$2:$D$2497,"",0,1))</f>
        <v/>
      </c>
      <c r="AE1874" s="23" t="str">
        <f>IF($AC1874="","",_xlfn.XLOOKUP($AC1874,'Client Info'!$C$2:$C$2677,'Client Info'!$E$2:$E$2677,"",))</f>
        <v/>
      </c>
      <c r="AF1874" s="23" t="str">
        <f>IF($AC1874="","",_xlfn.XLOOKUP($AC1874,'Client Info'!$C$2:$C$2677,'Client Info'!$F$2:$F$2677,"",0,1))</f>
        <v/>
      </c>
      <c r="AG1874" s="23" t="s">
        <v>3667</v>
      </c>
      <c r="AH1874" s="26" t="str">
        <f>_xlfn.XLOOKUP(Table26[[#This Row],[customerSKU]],customerSKU!G:G,customerSKU!K:K,"NA",0,1)</f>
        <v>NA</v>
      </c>
      <c r="AI1874" s="43" t="str">
        <f>_xlfn.XLOOKUP(Table26[[#This Row],[customerSKU]],customerSKU!G:G,customerSKU!O:O,"not found",0,1)</f>
        <v>not found</v>
      </c>
      <c r="AJ1874" s="22" t="e">
        <f>Table26[[#This Row],[unitprice]]*Table26[[#This Row],[quantity_unit]]</f>
        <v>#VALUE!</v>
      </c>
      <c r="AK1874" s="227" t="e" cm="1">
        <f t="array" ref="AK18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4" s="227"/>
    </row>
    <row r="1875" spans="1:38" ht="18" customHeight="1">
      <c r="A1875" s="42">
        <v>372</v>
      </c>
      <c r="B1875" s="42" t="s">
        <v>3520</v>
      </c>
      <c r="C1875" s="53" t="s">
        <v>3488</v>
      </c>
      <c r="E1875" s="20"/>
      <c r="F18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5" s="93"/>
      <c r="I1875" s="203">
        <v>45826</v>
      </c>
      <c r="J1875" s="90" t="str">
        <f>IF(Table26[[#This Row],[customerSKU]]="","",_xlfn.XLOOKUP(Table26[[#This Row],[customerSKU]],customerSKU!G:G,customerSKU!A:A,"",0,1))</f>
        <v/>
      </c>
      <c r="K1875" s="232">
        <v>45827</v>
      </c>
      <c r="L1875" s="49" t="str">
        <f>IF(Table26[[#This Row],[customerSKU]]="","",_xlfn.XLOOKUP(Table26[[#This Row],[customerSKU]],customerSKU!G:G,customerSKU!B:B,"",0,1))</f>
        <v/>
      </c>
      <c r="M1875" s="22"/>
      <c r="N1875" s="15" t="str">
        <f>Table26[[#This Row],[po_number]]&amp;"-"&amp;Table26[[#This Row],[po_line]]</f>
        <v>-2</v>
      </c>
      <c r="O1875" s="15">
        <v>2</v>
      </c>
      <c r="P1875" s="50"/>
      <c r="Q1875" s="22" t="s">
        <v>1309</v>
      </c>
      <c r="R1875" s="22" t="s">
        <v>532</v>
      </c>
      <c r="S1875" s="90" t="str">
        <f>IF(Table26[[#This Row],[customerSKU]]="","",_xlfn.XLOOKUP(Table26[[#This Row],[customerSKU]],customerSKU!G:G,customerSKU!N:N,"NOT FOUND",0,1))</f>
        <v>NOT FOUND</v>
      </c>
      <c r="T1875" s="20">
        <v>45623</v>
      </c>
      <c r="U1875" s="94">
        <v>12</v>
      </c>
      <c r="V1875" s="22" t="str">
        <f>IF(ISBLANK(Table26[[#This Row],[customerSKU]]),"",_xlfn.XLOOKUP(Table26[[#This Row],[customerSKU]],Table27[customer_SKU],Table27[case_size],"",0,1))</f>
        <v/>
      </c>
      <c r="W1875" s="117" t="str">
        <f t="shared" si="77"/>
        <v/>
      </c>
      <c r="X1875" s="22" t="str">
        <f t="shared" si="76"/>
        <v/>
      </c>
      <c r="Y1875" s="25" t="str">
        <f>IF(Table26[[#This Row],[customerSKU]]="","",_xlfn.XLOOKUP(Table26[[#This Row],[customerSKU]],Table27[customer_SKU],Table27[product_GTIN],"",0,1))</f>
        <v/>
      </c>
      <c r="Z1875" s="25" t="s">
        <v>3536</v>
      </c>
      <c r="AA1875" s="18" t="str" cm="1">
        <f t="array" ref="AA1875">IF(P1875="", "", _xlfn.XLOOKUP(P1875,#REF!,#REF!,NA,0,-1))</f>
        <v/>
      </c>
      <c r="AB1875" s="22" t="s">
        <v>14</v>
      </c>
      <c r="AC1875" s="23" t="s">
        <v>189</v>
      </c>
      <c r="AD1875" s="23" t="str">
        <f>IF($AC1875="","",_xlfn.XLOOKUP($AC1875,'Client Info'!$C$2:$C$2497,'Client Info'!$D$2:$D$2497,"",0,1))</f>
        <v/>
      </c>
      <c r="AE1875" s="23" t="str">
        <f>IF($AC1875="","",_xlfn.XLOOKUP($AC1875,'Client Info'!$C$2:$C$2677,'Client Info'!$E$2:$E$2677,"",))</f>
        <v/>
      </c>
      <c r="AF1875" s="23" t="str">
        <f>IF($AC1875="","",_xlfn.XLOOKUP($AC1875,'Client Info'!$C$2:$C$2677,'Client Info'!$F$2:$F$2677,"",0,1))</f>
        <v/>
      </c>
      <c r="AG1875" s="23" t="s">
        <v>3667</v>
      </c>
      <c r="AH1875" s="26" t="str">
        <f>_xlfn.XLOOKUP(Table26[[#This Row],[customerSKU]],customerSKU!G:G,customerSKU!K:K,"NA",0,1)</f>
        <v>NA</v>
      </c>
      <c r="AI1875" s="43" t="str">
        <f>_xlfn.XLOOKUP(Table26[[#This Row],[customerSKU]],customerSKU!G:G,customerSKU!O:O,"not found",0,1)</f>
        <v>not found</v>
      </c>
      <c r="AJ1875" s="22" t="e">
        <f>Table26[[#This Row],[unitprice]]*Table26[[#This Row],[quantity_unit]]</f>
        <v>#VALUE!</v>
      </c>
      <c r="AK1875" s="227" t="e" cm="1">
        <f t="array" ref="AK18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5" s="227"/>
    </row>
    <row r="1876" spans="1:38" ht="18" customHeight="1">
      <c r="A1876" s="42">
        <v>373</v>
      </c>
      <c r="B1876" s="42" t="s">
        <v>3520</v>
      </c>
      <c r="C1876" s="53" t="s">
        <v>3488</v>
      </c>
      <c r="E1876" s="20"/>
      <c r="F18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6" s="93"/>
      <c r="I1876" s="203">
        <v>45826</v>
      </c>
      <c r="J1876" s="90" t="str">
        <f>IF(Table26[[#This Row],[customerSKU]]="","",_xlfn.XLOOKUP(Table26[[#This Row],[customerSKU]],customerSKU!G:G,customerSKU!A:A,"",0,1))</f>
        <v/>
      </c>
      <c r="K1876" s="232">
        <v>45827</v>
      </c>
      <c r="L1876" s="49" t="str">
        <f>IF(Table26[[#This Row],[customerSKU]]="","",_xlfn.XLOOKUP(Table26[[#This Row],[customerSKU]],customerSKU!G:G,customerSKU!B:B,"",0,1))</f>
        <v/>
      </c>
      <c r="M1876" s="22"/>
      <c r="N1876" s="15" t="str">
        <f>Table26[[#This Row],[po_number]]&amp;"-"&amp;Table26[[#This Row],[po_line]]</f>
        <v>-3</v>
      </c>
      <c r="O1876" s="15">
        <v>3</v>
      </c>
      <c r="P1876" s="50"/>
      <c r="Q1876" s="22" t="s">
        <v>559</v>
      </c>
      <c r="R1876" s="22" t="s">
        <v>532</v>
      </c>
      <c r="S1876" s="90" t="str">
        <f>IF(Table26[[#This Row],[customerSKU]]="","",_xlfn.XLOOKUP(Table26[[#This Row],[customerSKU]],customerSKU!G:G,customerSKU!N:N,"NOT FOUND",0,1))</f>
        <v>NOT FOUND</v>
      </c>
      <c r="T1876" s="20">
        <v>45772</v>
      </c>
      <c r="U1876" s="94">
        <v>12</v>
      </c>
      <c r="V1876" s="22" t="str">
        <f>IF(ISBLANK(Table26[[#This Row],[customerSKU]]),"",_xlfn.XLOOKUP(Table26[[#This Row],[customerSKU]],Table27[customer_SKU],Table27[case_size],"",0,1))</f>
        <v/>
      </c>
      <c r="W1876" s="117" t="str">
        <f t="shared" si="77"/>
        <v/>
      </c>
      <c r="X1876" s="22" t="str">
        <f t="shared" si="76"/>
        <v/>
      </c>
      <c r="Y1876" s="25" t="str">
        <f>IF(Table26[[#This Row],[customerSKU]]="","",_xlfn.XLOOKUP(Table26[[#This Row],[customerSKU]],Table27[customer_SKU],Table27[product_GTIN],"",0,1))</f>
        <v/>
      </c>
      <c r="Z1876" s="25" t="s">
        <v>3527</v>
      </c>
      <c r="AA1876" s="18" t="str" cm="1">
        <f t="array" ref="AA1876">IF(P1876="", "", _xlfn.XLOOKUP(P1876,#REF!,#REF!,NA,0,-1))</f>
        <v/>
      </c>
      <c r="AB1876" s="22"/>
      <c r="AC1876" s="23" t="s">
        <v>189</v>
      </c>
      <c r="AD1876" s="23" t="str">
        <f>IF($AC1876="","",_xlfn.XLOOKUP($AC1876,'Client Info'!$C$2:$C$2497,'Client Info'!$D$2:$D$2497,"",0,1))</f>
        <v/>
      </c>
      <c r="AE1876" s="23" t="str">
        <f>IF($AC1876="","",_xlfn.XLOOKUP($AC1876,'Client Info'!$C$2:$C$2677,'Client Info'!$E$2:$E$2677,"",))</f>
        <v/>
      </c>
      <c r="AF1876" s="23" t="str">
        <f>IF($AC1876="","",_xlfn.XLOOKUP($AC1876,'Client Info'!$C$2:$C$2677,'Client Info'!$F$2:$F$2677,"",0,1))</f>
        <v/>
      </c>
      <c r="AG1876" s="23" t="s">
        <v>3667</v>
      </c>
      <c r="AH1876" s="26" t="str">
        <f>_xlfn.XLOOKUP(Table26[[#This Row],[customerSKU]],customerSKU!G:G,customerSKU!K:K,"NA",0,1)</f>
        <v>NA</v>
      </c>
      <c r="AI1876" s="43" t="str">
        <f>_xlfn.XLOOKUP(Table26[[#This Row],[customerSKU]],customerSKU!G:G,customerSKU!O:O,"not found",0,1)</f>
        <v>not found</v>
      </c>
      <c r="AJ1876" s="22" t="e">
        <f>Table26[[#This Row],[unitprice]]*Table26[[#This Row],[quantity_unit]]</f>
        <v>#VALUE!</v>
      </c>
      <c r="AK1876" s="227" t="e" cm="1">
        <f t="array" ref="AK18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6" s="227"/>
    </row>
    <row r="1877" spans="1:38" ht="18" customHeight="1">
      <c r="A1877" s="42">
        <v>374</v>
      </c>
      <c r="B1877" s="42" t="s">
        <v>3520</v>
      </c>
      <c r="C1877" s="53" t="s">
        <v>3488</v>
      </c>
      <c r="E1877" s="20"/>
      <c r="F18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7" s="93"/>
      <c r="I1877" s="232">
        <v>45827</v>
      </c>
      <c r="J1877" s="90" t="str">
        <f>IF(Table26[[#This Row],[customerSKU]]="","",_xlfn.XLOOKUP(Table26[[#This Row],[customerSKU]],customerSKU!G:G,customerSKU!A:A,"",0,1))</f>
        <v/>
      </c>
      <c r="K1877" s="232">
        <v>45827</v>
      </c>
      <c r="L1877" s="49" t="str">
        <f>IF(Table26[[#This Row],[customerSKU]]="","",_xlfn.XLOOKUP(Table26[[#This Row],[customerSKU]],customerSKU!G:G,customerSKU!B:B,"",0,1))</f>
        <v/>
      </c>
      <c r="M1877" s="22"/>
      <c r="N1877" s="15" t="str">
        <f>Table26[[#This Row],[po_number]]&amp;"-"&amp;Table26[[#This Row],[po_line]]</f>
        <v>-1</v>
      </c>
      <c r="O1877" s="15">
        <v>1</v>
      </c>
      <c r="P1877" s="50"/>
      <c r="Q1877" s="22" t="s">
        <v>1806</v>
      </c>
      <c r="R1877" s="22" t="s">
        <v>532</v>
      </c>
      <c r="S1877" s="90" t="str">
        <f>IF(Table26[[#This Row],[customerSKU]]="","",_xlfn.XLOOKUP(Table26[[#This Row],[customerSKU]],customerSKU!G:G,customerSKU!N:N,"NOT FOUND",0,1))</f>
        <v>NOT FOUND</v>
      </c>
      <c r="T1877" s="20">
        <v>45826</v>
      </c>
      <c r="U1877" s="94">
        <v>24</v>
      </c>
      <c r="V1877" s="22" t="str">
        <f>IF(ISBLANK(Table26[[#This Row],[customerSKU]]),"",_xlfn.XLOOKUP(Table26[[#This Row],[customerSKU]],Table27[customer_SKU],Table27[case_size],"",0,1))</f>
        <v/>
      </c>
      <c r="W1877" s="117" t="str">
        <f t="shared" si="77"/>
        <v/>
      </c>
      <c r="X1877" s="22" t="str">
        <f t="shared" si="76"/>
        <v/>
      </c>
      <c r="Y1877" s="25" t="str">
        <f>IF(Table26[[#This Row],[customerSKU]]="","",_xlfn.XLOOKUP(Table26[[#This Row],[customerSKU]],Table27[customer_SKU],Table27[product_GTIN],"",0,1))</f>
        <v/>
      </c>
      <c r="Z1877" s="25" t="s">
        <v>3519</v>
      </c>
      <c r="AA1877" s="18" t="str" cm="1">
        <f t="array" ref="AA1877">IF(P1877="", "", _xlfn.XLOOKUP(P1877,#REF!,#REF!,NA,0,-1))</f>
        <v/>
      </c>
      <c r="AB1877" s="22"/>
      <c r="AC1877" s="23" t="s">
        <v>3668</v>
      </c>
      <c r="AD1877" s="23" t="str">
        <f>IF($AC1877="","",_xlfn.XLOOKUP($AC1877,'Client Info'!$C$2:$C$2497,'Client Info'!$D$2:$D$2497,"",0,1))</f>
        <v/>
      </c>
      <c r="AE1877" s="23" t="str">
        <f>IF($AC1877="","",_xlfn.XLOOKUP($AC1877,'Client Info'!$C$2:$C$2677,'Client Info'!$E$2:$E$2677,"",))</f>
        <v/>
      </c>
      <c r="AF1877" s="23" t="str">
        <f>IF($AC1877="","",_xlfn.XLOOKUP($AC1877,'Client Info'!$C$2:$C$2677,'Client Info'!$F$2:$F$2677,"",0,1))</f>
        <v/>
      </c>
      <c r="AG1877" s="23" t="s">
        <v>3668</v>
      </c>
      <c r="AH1877" s="26" t="str">
        <f>_xlfn.XLOOKUP(Table26[[#This Row],[customerSKU]],customerSKU!G:G,customerSKU!K:K,"NA",0,1)</f>
        <v>NA</v>
      </c>
      <c r="AI1877" s="43" t="str">
        <f>_xlfn.XLOOKUP(Table26[[#This Row],[customerSKU]],customerSKU!G:G,customerSKU!O:O,"not found",0,1)</f>
        <v>not found</v>
      </c>
      <c r="AJ1877" s="22" t="e">
        <f>Table26[[#This Row],[unitprice]]*Table26[[#This Row],[quantity_unit]]</f>
        <v>#VALUE!</v>
      </c>
      <c r="AK1877" s="227" t="e" cm="1">
        <f t="array" ref="AK18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7" s="227"/>
    </row>
    <row r="1878" spans="1:38" ht="18" customHeight="1">
      <c r="A1878" s="42">
        <v>375</v>
      </c>
      <c r="B1878" s="42" t="s">
        <v>3520</v>
      </c>
      <c r="C1878" s="53" t="s">
        <v>3488</v>
      </c>
      <c r="E1878" s="20"/>
      <c r="F18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8" s="93"/>
      <c r="I1878" s="232">
        <v>45827</v>
      </c>
      <c r="J1878" s="90" t="str">
        <f>IF(Table26[[#This Row],[customerSKU]]="","",_xlfn.XLOOKUP(Table26[[#This Row],[customerSKU]],customerSKU!G:G,customerSKU!A:A,"",0,1))</f>
        <v/>
      </c>
      <c r="K1878" s="232">
        <v>45827</v>
      </c>
      <c r="L1878" s="49" t="str">
        <f>IF(Table26[[#This Row],[customerSKU]]="","",_xlfn.XLOOKUP(Table26[[#This Row],[customerSKU]],customerSKU!G:G,customerSKU!B:B,"",0,1))</f>
        <v/>
      </c>
      <c r="M1878" s="22"/>
      <c r="N1878" s="15" t="str">
        <f>Table26[[#This Row],[po_number]]&amp;"-"&amp;Table26[[#This Row],[po_line]]</f>
        <v>-2</v>
      </c>
      <c r="O1878" s="15">
        <v>2</v>
      </c>
      <c r="P1878" s="50"/>
      <c r="Q1878" s="22" t="s">
        <v>531</v>
      </c>
      <c r="R1878" s="22" t="s">
        <v>532</v>
      </c>
      <c r="S1878" s="90" t="str">
        <f>IF(Table26[[#This Row],[customerSKU]]="","",_xlfn.XLOOKUP(Table26[[#This Row],[customerSKU]],customerSKU!G:G,customerSKU!N:N,"NOT FOUND",0,1))</f>
        <v>NOT FOUND</v>
      </c>
      <c r="T1878" s="20">
        <v>45478</v>
      </c>
      <c r="U1878" s="94">
        <v>12</v>
      </c>
      <c r="V1878" s="22" t="str">
        <f>IF(ISBLANK(Table26[[#This Row],[customerSKU]]),"",_xlfn.XLOOKUP(Table26[[#This Row],[customerSKU]],Table27[customer_SKU],Table27[case_size],"",0,1))</f>
        <v/>
      </c>
      <c r="W1878" s="117" t="str">
        <f t="shared" si="77"/>
        <v/>
      </c>
      <c r="X1878" s="22" t="str">
        <f t="shared" si="76"/>
        <v/>
      </c>
      <c r="Y1878" s="25" t="str">
        <f>IF(Table26[[#This Row],[customerSKU]]="","",_xlfn.XLOOKUP(Table26[[#This Row],[customerSKU]],Table27[customer_SKU],Table27[product_GTIN],"",0,1))</f>
        <v/>
      </c>
      <c r="Z1878" s="25" t="s">
        <v>3597</v>
      </c>
      <c r="AA1878" s="18" t="str" cm="1">
        <f t="array" ref="AA1878">IF(P1878="", "", _xlfn.XLOOKUP(P1878,#REF!,#REF!,NA,0,-1))</f>
        <v/>
      </c>
      <c r="AB1878" s="22" t="s">
        <v>18</v>
      </c>
      <c r="AC1878" s="23" t="s">
        <v>3668</v>
      </c>
      <c r="AD1878" s="23" t="str">
        <f>IF($AC1878="","",_xlfn.XLOOKUP($AC1878,'Client Info'!$C$2:$C$2497,'Client Info'!$D$2:$D$2497,"",0,1))</f>
        <v/>
      </c>
      <c r="AE1878" s="23" t="str">
        <f>IF($AC1878="","",_xlfn.XLOOKUP($AC1878,'Client Info'!$C$2:$C$2677,'Client Info'!$E$2:$E$2677,"",))</f>
        <v/>
      </c>
      <c r="AF1878" s="23" t="str">
        <f>IF($AC1878="","",_xlfn.XLOOKUP($AC1878,'Client Info'!$C$2:$C$2677,'Client Info'!$F$2:$F$2677,"",0,1))</f>
        <v/>
      </c>
      <c r="AG1878" s="23" t="s">
        <v>3668</v>
      </c>
      <c r="AH1878" s="26" t="str">
        <f>_xlfn.XLOOKUP(Table26[[#This Row],[customerSKU]],customerSKU!G:G,customerSKU!K:K,"NA",0,1)</f>
        <v>NA</v>
      </c>
      <c r="AI1878" s="43" t="str">
        <f>_xlfn.XLOOKUP(Table26[[#This Row],[customerSKU]],customerSKU!G:G,customerSKU!O:O,"not found",0,1)</f>
        <v>not found</v>
      </c>
      <c r="AJ1878" s="22" t="e">
        <f>Table26[[#This Row],[unitprice]]*Table26[[#This Row],[quantity_unit]]</f>
        <v>#VALUE!</v>
      </c>
      <c r="AK1878" s="227" t="e" cm="1">
        <f t="array" ref="AK18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8" s="227"/>
    </row>
    <row r="1879" spans="1:38" ht="24.6" customHeight="1">
      <c r="A1879" s="42">
        <v>376</v>
      </c>
      <c r="B1879" s="42" t="s">
        <v>3520</v>
      </c>
      <c r="C1879" s="53" t="s">
        <v>3488</v>
      </c>
      <c r="E1879" s="20"/>
      <c r="F18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79" s="93"/>
      <c r="I1879" s="232">
        <v>45827</v>
      </c>
      <c r="J1879" s="90" t="str">
        <f>IF(Table26[[#This Row],[customerSKU]]="","",_xlfn.XLOOKUP(Table26[[#This Row],[customerSKU]],customerSKU!G:G,customerSKU!A:A,"",0,1))</f>
        <v/>
      </c>
      <c r="K1879" s="232">
        <v>45827</v>
      </c>
      <c r="L1879" s="49" t="str">
        <f>IF(Table26[[#This Row],[customerSKU]]="","",_xlfn.XLOOKUP(Table26[[#This Row],[customerSKU]],customerSKU!G:G,customerSKU!B:B,"",0,1))</f>
        <v/>
      </c>
      <c r="M1879" s="22"/>
      <c r="N1879" s="15" t="str">
        <f>Table26[[#This Row],[po_number]]&amp;"-"&amp;Table26[[#This Row],[po_line]]</f>
        <v>-3</v>
      </c>
      <c r="O1879" s="15">
        <v>3</v>
      </c>
      <c r="P1879" s="50"/>
      <c r="Q1879" s="22" t="s">
        <v>1309</v>
      </c>
      <c r="R1879" s="22" t="s">
        <v>532</v>
      </c>
      <c r="S1879" s="90" t="str">
        <f>IF(Table26[[#This Row],[customerSKU]]="","",_xlfn.XLOOKUP(Table26[[#This Row],[customerSKU]],customerSKU!G:G,customerSKU!N:N,"NOT FOUND",0,1))</f>
        <v>NOT FOUND</v>
      </c>
      <c r="T1879" s="20">
        <v>45623</v>
      </c>
      <c r="U1879" s="94">
        <v>12</v>
      </c>
      <c r="V1879" s="22" t="str">
        <f>IF(ISBLANK(Table26[[#This Row],[customerSKU]]),"",_xlfn.XLOOKUP(Table26[[#This Row],[customerSKU]],Table27[customer_SKU],Table27[case_size],"",0,1))</f>
        <v/>
      </c>
      <c r="W1879" s="117" t="str">
        <f t="shared" si="77"/>
        <v/>
      </c>
      <c r="X1879" s="22" t="str">
        <f t="shared" si="76"/>
        <v/>
      </c>
      <c r="Y1879" s="25" t="str">
        <f>IF(Table26[[#This Row],[customerSKU]]="","",_xlfn.XLOOKUP(Table26[[#This Row],[customerSKU]],Table27[customer_SKU],Table27[product_GTIN],"",0,1))</f>
        <v/>
      </c>
      <c r="Z1879" s="25" t="s">
        <v>3536</v>
      </c>
      <c r="AA1879" s="18" t="str" cm="1">
        <f t="array" ref="AA1879">IF(P1879="", "", _xlfn.XLOOKUP(P1879,#REF!,#REF!,NA,0,-1))</f>
        <v/>
      </c>
      <c r="AB1879" s="22" t="s">
        <v>14</v>
      </c>
      <c r="AC1879" s="23" t="s">
        <v>3668</v>
      </c>
      <c r="AD1879" s="23" t="str">
        <f>IF($AC1879="","",_xlfn.XLOOKUP($AC1879,'Client Info'!$C$2:$C$2497,'Client Info'!$D$2:$D$2497,"",0,1))</f>
        <v/>
      </c>
      <c r="AE1879" s="23" t="str">
        <f>IF($AC1879="","",_xlfn.XLOOKUP($AC1879,'Client Info'!$C$2:$C$2677,'Client Info'!$E$2:$E$2677,"",))</f>
        <v/>
      </c>
      <c r="AF1879" s="23" t="str">
        <f>IF($AC1879="","",_xlfn.XLOOKUP($AC1879,'Client Info'!$C$2:$C$2677,'Client Info'!$F$2:$F$2677,"",0,1))</f>
        <v/>
      </c>
      <c r="AG1879" s="23" t="s">
        <v>3668</v>
      </c>
      <c r="AH1879" s="26" t="str">
        <f>_xlfn.XLOOKUP(Table26[[#This Row],[customerSKU]],customerSKU!G:G,customerSKU!K:K,"NA",0,1)</f>
        <v>NA</v>
      </c>
      <c r="AI1879" s="43" t="str">
        <f>_xlfn.XLOOKUP(Table26[[#This Row],[customerSKU]],customerSKU!G:G,customerSKU!O:O,"not found",0,1)</f>
        <v>not found</v>
      </c>
      <c r="AJ1879" s="22" t="e">
        <f>Table26[[#This Row],[unitprice]]*Table26[[#This Row],[quantity_unit]]</f>
        <v>#VALUE!</v>
      </c>
      <c r="AK1879" s="227" t="e" cm="1">
        <f t="array" ref="AK18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79" s="227"/>
    </row>
    <row r="1880" spans="1:38" ht="24.6" customHeight="1">
      <c r="A1880" s="42">
        <v>377</v>
      </c>
      <c r="B1880" s="42" t="s">
        <v>3520</v>
      </c>
      <c r="C1880" s="53" t="s">
        <v>3488</v>
      </c>
      <c r="E1880" s="20"/>
      <c r="F18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0" s="93"/>
      <c r="I1880" s="232">
        <v>45827</v>
      </c>
      <c r="J1880" s="90" t="str">
        <f>IF(Table26[[#This Row],[customerSKU]]="","",_xlfn.XLOOKUP(Table26[[#This Row],[customerSKU]],customerSKU!G:G,customerSKU!A:A,"",0,1))</f>
        <v/>
      </c>
      <c r="K1880" s="232">
        <v>45827</v>
      </c>
      <c r="L1880" s="49" t="str">
        <f>IF(Table26[[#This Row],[customerSKU]]="","",_xlfn.XLOOKUP(Table26[[#This Row],[customerSKU]],customerSKU!G:G,customerSKU!B:B,"",0,1))</f>
        <v/>
      </c>
      <c r="M1880" s="22"/>
      <c r="N1880" s="15" t="str">
        <f>Table26[[#This Row],[po_number]]&amp;"-"&amp;Table26[[#This Row],[po_line]]</f>
        <v>-4</v>
      </c>
      <c r="O1880" s="15">
        <v>4</v>
      </c>
      <c r="P1880" s="50"/>
      <c r="Q1880" s="347" t="s">
        <v>559</v>
      </c>
      <c r="R1880" s="22" t="s">
        <v>532</v>
      </c>
      <c r="S1880" s="90" t="str">
        <f>IF(Table26[[#This Row],[customerSKU]]="","",_xlfn.XLOOKUP(Table26[[#This Row],[customerSKU]],customerSKU!G:G,customerSKU!N:N,"NOT FOUND",0,1))</f>
        <v>NOT FOUND</v>
      </c>
      <c r="T1880" s="20">
        <v>45772</v>
      </c>
      <c r="U1880" s="94">
        <v>12</v>
      </c>
      <c r="V1880" s="22" t="str">
        <f>IF(ISBLANK(Table26[[#This Row],[customerSKU]]),"",_xlfn.XLOOKUP(Table26[[#This Row],[customerSKU]],Table27[customer_SKU],Table27[case_size],"",0,1))</f>
        <v/>
      </c>
      <c r="W1880" s="117" t="str">
        <f t="shared" si="77"/>
        <v/>
      </c>
      <c r="X1880" s="22" t="str">
        <f t="shared" si="76"/>
        <v/>
      </c>
      <c r="Y1880" s="25" t="str">
        <f>IF(Table26[[#This Row],[customerSKU]]="","",_xlfn.XLOOKUP(Table26[[#This Row],[customerSKU]],Table27[customer_SKU],Table27[product_GTIN],"",0,1))</f>
        <v/>
      </c>
      <c r="Z1880" s="25" t="s">
        <v>3527</v>
      </c>
      <c r="AA1880" s="18" t="str" cm="1">
        <f t="array" ref="AA1880">IF(P1880="", "", _xlfn.XLOOKUP(P1880,#REF!,#REF!,NA,0,-1))</f>
        <v/>
      </c>
      <c r="AB1880" s="22"/>
      <c r="AC1880" s="23" t="s">
        <v>3668</v>
      </c>
      <c r="AD1880" s="23" t="str">
        <f>IF($AC1880="","",_xlfn.XLOOKUP($AC1880,'Client Info'!$C$2:$C$2497,'Client Info'!$D$2:$D$2497,"",0,1))</f>
        <v/>
      </c>
      <c r="AE1880" s="23" t="str">
        <f>IF($AC1880="","",_xlfn.XLOOKUP($AC1880,'Client Info'!$C$2:$C$2677,'Client Info'!$E$2:$E$2677,"",))</f>
        <v/>
      </c>
      <c r="AF1880" s="23" t="str">
        <f>IF($AC1880="","",_xlfn.XLOOKUP($AC1880,'Client Info'!$C$2:$C$2677,'Client Info'!$F$2:$F$2677,"",0,1))</f>
        <v/>
      </c>
      <c r="AG1880" s="23" t="s">
        <v>3668</v>
      </c>
      <c r="AH1880" s="26" t="str">
        <f>_xlfn.XLOOKUP(Table26[[#This Row],[customerSKU]],customerSKU!G:G,customerSKU!K:K,"NA",0,1)</f>
        <v>NA</v>
      </c>
      <c r="AI1880" s="43" t="str">
        <f>_xlfn.XLOOKUP(Table26[[#This Row],[customerSKU]],customerSKU!G:G,customerSKU!O:O,"not found",0,1)</f>
        <v>not found</v>
      </c>
      <c r="AJ1880" s="22" t="e">
        <f>Table26[[#This Row],[unitprice]]*Table26[[#This Row],[quantity_unit]]</f>
        <v>#VALUE!</v>
      </c>
      <c r="AK1880" s="227" t="e" cm="1">
        <f t="array" ref="AK18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0" s="227"/>
    </row>
    <row r="1881" spans="1:38" ht="24.6" customHeight="1">
      <c r="A1881" s="42">
        <v>353</v>
      </c>
      <c r="B1881" s="42" t="s">
        <v>3520</v>
      </c>
      <c r="C1881" s="53" t="s">
        <v>3360</v>
      </c>
      <c r="E1881" s="20"/>
      <c r="F18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1" s="93"/>
      <c r="I1881" s="232">
        <v>45827</v>
      </c>
      <c r="J1881" s="90" t="str">
        <f>IF(Table26[[#This Row],[customerSKU]]="","",_xlfn.XLOOKUP(Table26[[#This Row],[customerSKU]],customerSKU!G:G,customerSKU!A:A,"",0,1))</f>
        <v/>
      </c>
      <c r="K1881" s="232">
        <v>45828</v>
      </c>
      <c r="L1881" s="49" t="str">
        <f>IF(Table26[[#This Row],[customerSKU]]="","",_xlfn.XLOOKUP(Table26[[#This Row],[customerSKU]],customerSKU!G:G,customerSKU!B:B,"",0,1))</f>
        <v/>
      </c>
      <c r="M1881" s="22"/>
      <c r="N1881" s="15" t="str">
        <f>Table26[[#This Row],[po_number]]&amp;"-"&amp;Table26[[#This Row],[po_line]]</f>
        <v>-1</v>
      </c>
      <c r="O1881" s="15">
        <v>1</v>
      </c>
      <c r="P1881" s="50"/>
      <c r="Q1881" s="347"/>
      <c r="S1881" s="90" t="str">
        <f>IF(Table26[[#This Row],[customerSKU]]="","",_xlfn.XLOOKUP(Table26[[#This Row],[customerSKU]],customerSKU!G:G,customerSKU!N:N,"NOT FOUND",0,1))</f>
        <v>NOT FOUND</v>
      </c>
      <c r="T1881" s="20"/>
      <c r="U1881" s="94">
        <v>12</v>
      </c>
      <c r="V1881" s="22" t="str">
        <f>IF(ISBLANK(Table26[[#This Row],[customerSKU]]),"",_xlfn.XLOOKUP(Table26[[#This Row],[customerSKU]],Table27[customer_SKU],Table27[case_size],"",0,1))</f>
        <v/>
      </c>
      <c r="W1881" s="117" t="str">
        <f t="shared" si="77"/>
        <v/>
      </c>
      <c r="X1881" s="22" t="str">
        <f t="shared" si="76"/>
        <v/>
      </c>
      <c r="Y1881" s="25" t="str">
        <f>IF(Table26[[#This Row],[customerSKU]]="","",_xlfn.XLOOKUP(Table26[[#This Row],[customerSKU]],Table27[customer_SKU],Table27[product_GTIN],"",0,1))</f>
        <v/>
      </c>
      <c r="Z1881" s="25" t="s">
        <v>3669</v>
      </c>
      <c r="AA1881" s="18" t="str" cm="1">
        <f t="array" ref="AA1881">IF(P1881="", "", _xlfn.XLOOKUP(P1881,#REF!,#REF!,NA,0,-1))</f>
        <v/>
      </c>
      <c r="AB1881" s="22"/>
      <c r="AC1881" s="23" t="str">
        <f>IF(Table26[[#This Row],[customerSKU]]="","",_xlfn.XLOOKUP(Table26[[#This Row],[customerSKU]],customerSKU!G:G,customerSKU!C:C,"",0,1))</f>
        <v/>
      </c>
      <c r="AD1881" s="23" t="str">
        <f>IF($AC1881="","",_xlfn.XLOOKUP($AC1881,'Client Info'!$C$2:$C$2497,'Client Info'!$D$2:$D$2497,"",0,1))</f>
        <v/>
      </c>
      <c r="AE1881" s="23" t="str">
        <f>IF($AC1881="","",_xlfn.XLOOKUP($AC1881,'Client Info'!$C$2:$C$2677,'Client Info'!$E$2:$E$2677,"",))</f>
        <v/>
      </c>
      <c r="AF1881" s="23" t="str">
        <f>IF($AC1881="","",_xlfn.XLOOKUP($AC1881,'Client Info'!$C$2:$C$2677,'Client Info'!$F$2:$F$2677,"",0,1))</f>
        <v/>
      </c>
      <c r="AG1881" s="23" t="str">
        <f>IF(ISBLANK(Table26[[#This Row],[customerSKU]]),"",_xlfn.XLOOKUP(Table26[[#This Row],[customerSKU]],Table27[customer_SKU],Table27[billto],"",0,1))</f>
        <v/>
      </c>
      <c r="AH1881" s="26" t="str">
        <f>_xlfn.XLOOKUP(Table26[[#This Row],[customerSKU]],customerSKU!G:G,customerSKU!K:K,"NA",0,1)</f>
        <v>NA</v>
      </c>
      <c r="AI1881" s="43" t="str">
        <f>_xlfn.XLOOKUP(Table26[[#This Row],[customerSKU]],customerSKU!G:G,customerSKU!O:O,"not found",0,1)</f>
        <v>not found</v>
      </c>
      <c r="AJ1881" s="22" t="e">
        <f>Table26[[#This Row],[unitprice]]*Table26[[#This Row],[quantity_unit]]</f>
        <v>#VALUE!</v>
      </c>
      <c r="AK1881" s="227" t="e" cm="1">
        <f t="array" ref="AK18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1" s="227"/>
    </row>
    <row r="1882" spans="1:38" ht="24.6" customHeight="1">
      <c r="A1882" s="42">
        <v>354</v>
      </c>
      <c r="B1882" s="42" t="s">
        <v>3520</v>
      </c>
      <c r="C1882" s="53" t="s">
        <v>3360</v>
      </c>
      <c r="E1882" s="20"/>
      <c r="F18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2" s="93"/>
      <c r="I1882" s="232">
        <v>45827</v>
      </c>
      <c r="J1882" s="90" t="str">
        <f>IF(Table26[[#This Row],[customerSKU]]="","",_xlfn.XLOOKUP(Table26[[#This Row],[customerSKU]],customerSKU!G:G,customerSKU!A:A,"",0,1))</f>
        <v/>
      </c>
      <c r="K1882" s="232">
        <v>45828</v>
      </c>
      <c r="L1882" s="49" t="str">
        <f>IF(Table26[[#This Row],[customerSKU]]="","",_xlfn.XLOOKUP(Table26[[#This Row],[customerSKU]],customerSKU!G:G,customerSKU!B:B,"",0,1))</f>
        <v/>
      </c>
      <c r="M1882" s="22"/>
      <c r="N1882" s="15" t="str">
        <f>Table26[[#This Row],[po_number]]&amp;"-"&amp;Table26[[#This Row],[po_line]]</f>
        <v>-2</v>
      </c>
      <c r="O1882" s="15">
        <v>2</v>
      </c>
      <c r="P1882" s="50"/>
      <c r="S1882" s="90" t="str">
        <f>IF(Table26[[#This Row],[customerSKU]]="","",_xlfn.XLOOKUP(Table26[[#This Row],[customerSKU]],customerSKU!G:G,customerSKU!N:N,"NOT FOUND",0,1))</f>
        <v>NOT FOUND</v>
      </c>
      <c r="T1882" s="20"/>
      <c r="U1882" s="94">
        <v>12</v>
      </c>
      <c r="V1882" s="22" t="str">
        <f>IF(ISBLANK(Table26[[#This Row],[customerSKU]]),"",_xlfn.XLOOKUP(Table26[[#This Row],[customerSKU]],Table27[customer_SKU],Table27[case_size],"",0,1))</f>
        <v/>
      </c>
      <c r="W1882" s="117" t="str">
        <f t="shared" si="77"/>
        <v/>
      </c>
      <c r="X1882" s="22" t="str">
        <f t="shared" si="76"/>
        <v/>
      </c>
      <c r="Y1882" s="25" t="str">
        <f>IF(Table26[[#This Row],[customerSKU]]="","",_xlfn.XLOOKUP(Table26[[#This Row],[customerSKU]],Table27[customer_SKU],Table27[product_GTIN],"",0,1))</f>
        <v/>
      </c>
      <c r="Z1882" s="25" t="s">
        <v>3626</v>
      </c>
      <c r="AA1882" s="18" t="str" cm="1">
        <f t="array" ref="AA1882">IF(P1882="", "", _xlfn.XLOOKUP(P1882,#REF!,#REF!,NA,0,-1))</f>
        <v/>
      </c>
      <c r="AB1882" s="22"/>
      <c r="AC1882" s="23" t="str">
        <f>IF(Table26[[#This Row],[customerSKU]]="","",_xlfn.XLOOKUP(Table26[[#This Row],[customerSKU]],customerSKU!G:G,customerSKU!C:C,"",0,1))</f>
        <v/>
      </c>
      <c r="AD1882" s="23" t="str">
        <f>IF($AC1882="","",_xlfn.XLOOKUP($AC1882,'Client Info'!$C$2:$C$2497,'Client Info'!$D$2:$D$2497,"",0,1))</f>
        <v/>
      </c>
      <c r="AE1882" s="23" t="str">
        <f>IF($AC1882="","",_xlfn.XLOOKUP($AC1882,'Client Info'!$C$2:$C$2677,'Client Info'!$E$2:$E$2677,"",))</f>
        <v/>
      </c>
      <c r="AF1882" s="23" t="str">
        <f>IF($AC1882="","",_xlfn.XLOOKUP($AC1882,'Client Info'!$C$2:$C$2677,'Client Info'!$F$2:$F$2677,"",0,1))</f>
        <v/>
      </c>
      <c r="AG1882" s="23" t="str">
        <f>IF(ISBLANK(Table26[[#This Row],[customerSKU]]),"",_xlfn.XLOOKUP(Table26[[#This Row],[customerSKU]],Table27[customer_SKU],Table27[billto],"",0,1))</f>
        <v/>
      </c>
      <c r="AH1882" s="26" t="str">
        <f>_xlfn.XLOOKUP(Table26[[#This Row],[customerSKU]],customerSKU!G:G,customerSKU!K:K,"NA",0,1)</f>
        <v>NA</v>
      </c>
      <c r="AI1882" s="43" t="str">
        <f>_xlfn.XLOOKUP(Table26[[#This Row],[customerSKU]],customerSKU!G:G,customerSKU!O:O,"not found",0,1)</f>
        <v>not found</v>
      </c>
      <c r="AJ1882" s="22" t="e">
        <f>Table26[[#This Row],[unitprice]]*Table26[[#This Row],[quantity_unit]]</f>
        <v>#VALUE!</v>
      </c>
      <c r="AK1882" s="227" t="e" cm="1">
        <f t="array" ref="AK18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2" s="227"/>
    </row>
    <row r="1883" spans="1:38" ht="24.6" customHeight="1">
      <c r="A1883" s="42">
        <v>355</v>
      </c>
      <c r="B1883" s="42" t="s">
        <v>3520</v>
      </c>
      <c r="C1883" s="53" t="s">
        <v>3360</v>
      </c>
      <c r="E1883" s="20"/>
      <c r="F18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3" s="93"/>
      <c r="I1883" s="232">
        <v>45827</v>
      </c>
      <c r="J1883" s="90" t="str">
        <f>IF(Table26[[#This Row],[customerSKU]]="","",_xlfn.XLOOKUP(Table26[[#This Row],[customerSKU]],customerSKU!G:G,customerSKU!A:A,"",0,1))</f>
        <v/>
      </c>
      <c r="K1883" s="232">
        <v>45828</v>
      </c>
      <c r="L1883" s="49" t="str">
        <f>IF(Table26[[#This Row],[customerSKU]]="","",_xlfn.XLOOKUP(Table26[[#This Row],[customerSKU]],customerSKU!G:G,customerSKU!B:B,"",0,1))</f>
        <v/>
      </c>
      <c r="M1883" s="22"/>
      <c r="N1883" s="15" t="str">
        <f>Table26[[#This Row],[po_number]]&amp;"-"&amp;Table26[[#This Row],[po_line]]</f>
        <v>-1</v>
      </c>
      <c r="O1883" s="15">
        <v>1</v>
      </c>
      <c r="P1883" s="50"/>
      <c r="S1883" s="90" t="str">
        <f>IF(Table26[[#This Row],[customerSKU]]="","",_xlfn.XLOOKUP(Table26[[#This Row],[customerSKU]],customerSKU!G:G,customerSKU!N:N,"NOT FOUND",0,1))</f>
        <v>NOT FOUND</v>
      </c>
      <c r="T1883" s="20"/>
      <c r="U1883" s="94">
        <v>12</v>
      </c>
      <c r="V1883" s="22" t="str">
        <f>IF(ISBLANK(Table26[[#This Row],[customerSKU]]),"",_xlfn.XLOOKUP(Table26[[#This Row],[customerSKU]],Table27[customer_SKU],Table27[case_size],"",0,1))</f>
        <v/>
      </c>
      <c r="W1883" s="117" t="str">
        <f t="shared" si="77"/>
        <v/>
      </c>
      <c r="X1883" s="22" t="str">
        <f t="shared" si="76"/>
        <v/>
      </c>
      <c r="Y1883" s="25" t="str">
        <f>IF(Table26[[#This Row],[customerSKU]]="","",_xlfn.XLOOKUP(Table26[[#This Row],[customerSKU]],Table27[customer_SKU],Table27[product_GTIN],"",0,1))</f>
        <v/>
      </c>
      <c r="Z1883" s="25" t="s">
        <v>3669</v>
      </c>
      <c r="AA1883" s="18" t="str" cm="1">
        <f t="array" ref="AA1883">IF(P1883="", "", _xlfn.XLOOKUP(P1883,#REF!,#REF!,NA,0,-1))</f>
        <v/>
      </c>
      <c r="AB1883" s="22"/>
      <c r="AC1883" s="23" t="str">
        <f>IF(Table26[[#This Row],[customerSKU]]="","",_xlfn.XLOOKUP(Table26[[#This Row],[customerSKU]],customerSKU!G:G,customerSKU!C:C,"",0,1))</f>
        <v/>
      </c>
      <c r="AD1883" s="23" t="str">
        <f>IF($AC1883="","",_xlfn.XLOOKUP($AC1883,'Client Info'!$C$2:$C$2497,'Client Info'!$D$2:$D$2497,"",0,1))</f>
        <v/>
      </c>
      <c r="AE1883" s="23" t="str">
        <f>IF($AC1883="","",_xlfn.XLOOKUP($AC1883,'Client Info'!$C$2:$C$2677,'Client Info'!$E$2:$E$2677,"",))</f>
        <v/>
      </c>
      <c r="AF1883" s="23" t="str">
        <f>IF($AC1883="","",_xlfn.XLOOKUP($AC1883,'Client Info'!$C$2:$C$2677,'Client Info'!$F$2:$F$2677,"",0,1))</f>
        <v/>
      </c>
      <c r="AG1883" s="23" t="str">
        <f>IF(ISBLANK(Table26[[#This Row],[customerSKU]]),"",_xlfn.XLOOKUP(Table26[[#This Row],[customerSKU]],Table27[customer_SKU],Table27[billto],"",0,1))</f>
        <v/>
      </c>
      <c r="AH1883" s="26" t="str">
        <f>_xlfn.XLOOKUP(Table26[[#This Row],[customerSKU]],customerSKU!G:G,customerSKU!K:K,"NA",0,1)</f>
        <v>NA</v>
      </c>
      <c r="AI1883" s="43" t="str">
        <f>_xlfn.XLOOKUP(Table26[[#This Row],[customerSKU]],customerSKU!G:G,customerSKU!O:O,"not found",0,1)</f>
        <v>not found</v>
      </c>
      <c r="AJ1883" s="22" t="e">
        <f>Table26[[#This Row],[unitprice]]*Table26[[#This Row],[quantity_unit]]</f>
        <v>#VALUE!</v>
      </c>
      <c r="AK1883" s="227" t="e" cm="1">
        <f t="array" ref="AK18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3" s="227"/>
    </row>
    <row r="1884" spans="1:38" ht="24.6" customHeight="1">
      <c r="A1884" s="42">
        <v>356</v>
      </c>
      <c r="B1884" s="42" t="s">
        <v>3520</v>
      </c>
      <c r="C1884" s="53" t="s">
        <v>3360</v>
      </c>
      <c r="E1884" s="20"/>
      <c r="F18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4" s="93"/>
      <c r="I1884" s="232">
        <v>45827</v>
      </c>
      <c r="J1884" s="90" t="str">
        <f>IF(Table26[[#This Row],[customerSKU]]="","",_xlfn.XLOOKUP(Table26[[#This Row],[customerSKU]],customerSKU!G:G,customerSKU!A:A,"",0,1))</f>
        <v/>
      </c>
      <c r="K1884" s="232">
        <v>45828</v>
      </c>
      <c r="L1884" s="49" t="str">
        <f>IF(Table26[[#This Row],[customerSKU]]="","",_xlfn.XLOOKUP(Table26[[#This Row],[customerSKU]],customerSKU!G:G,customerSKU!B:B,"",0,1))</f>
        <v/>
      </c>
      <c r="M1884" s="22"/>
      <c r="N1884" s="15" t="str">
        <f>Table26[[#This Row],[po_number]]&amp;"-"&amp;Table26[[#This Row],[po_line]]</f>
        <v>-2</v>
      </c>
      <c r="O1884" s="15">
        <v>2</v>
      </c>
      <c r="P1884" s="50"/>
      <c r="S1884" s="90" t="str">
        <f>IF(Table26[[#This Row],[customerSKU]]="","",_xlfn.XLOOKUP(Table26[[#This Row],[customerSKU]],customerSKU!G:G,customerSKU!N:N,"NOT FOUND",0,1))</f>
        <v>NOT FOUND</v>
      </c>
      <c r="T1884" s="20"/>
      <c r="U1884" s="94">
        <v>12</v>
      </c>
      <c r="V1884" s="22" t="str">
        <f>IF(ISBLANK(Table26[[#This Row],[customerSKU]]),"",_xlfn.XLOOKUP(Table26[[#This Row],[customerSKU]],Table27[customer_SKU],Table27[case_size],"",0,1))</f>
        <v/>
      </c>
      <c r="W1884" s="117" t="str">
        <f t="shared" si="77"/>
        <v/>
      </c>
      <c r="X1884" s="22" t="str">
        <f t="shared" si="76"/>
        <v/>
      </c>
      <c r="Y1884" s="25" t="str">
        <f>IF(Table26[[#This Row],[customerSKU]]="","",_xlfn.XLOOKUP(Table26[[#This Row],[customerSKU]],Table27[customer_SKU],Table27[product_GTIN],"",0,1))</f>
        <v/>
      </c>
      <c r="Z1884" s="25" t="s">
        <v>3626</v>
      </c>
      <c r="AA1884" s="18" t="str" cm="1">
        <f t="array" ref="AA1884">IF(P1884="", "", _xlfn.XLOOKUP(P1884,#REF!,#REF!,NA,0,-1))</f>
        <v/>
      </c>
      <c r="AB1884" s="22"/>
      <c r="AC1884" s="23" t="str">
        <f>IF(Table26[[#This Row],[customerSKU]]="","",_xlfn.XLOOKUP(Table26[[#This Row],[customerSKU]],customerSKU!G:G,customerSKU!C:C,"",0,1))</f>
        <v/>
      </c>
      <c r="AD1884" s="23" t="str">
        <f>IF($AC1884="","",_xlfn.XLOOKUP($AC1884,'Client Info'!$C$2:$C$2497,'Client Info'!$D$2:$D$2497,"",0,1))</f>
        <v/>
      </c>
      <c r="AE1884" s="23" t="str">
        <f>IF($AC1884="","",_xlfn.XLOOKUP($AC1884,'Client Info'!$C$2:$C$2677,'Client Info'!$E$2:$E$2677,"",))</f>
        <v/>
      </c>
      <c r="AF1884" s="23" t="str">
        <f>IF($AC1884="","",_xlfn.XLOOKUP($AC1884,'Client Info'!$C$2:$C$2677,'Client Info'!$F$2:$F$2677,"",0,1))</f>
        <v/>
      </c>
      <c r="AG1884" s="23" t="str">
        <f>IF(ISBLANK(Table26[[#This Row],[customerSKU]]),"",_xlfn.XLOOKUP(Table26[[#This Row],[customerSKU]],Table27[customer_SKU],Table27[billto],"",0,1))</f>
        <v/>
      </c>
      <c r="AH1884" s="26" t="str">
        <f>_xlfn.XLOOKUP(Table26[[#This Row],[customerSKU]],customerSKU!G:G,customerSKU!K:K,"NA",0,1)</f>
        <v>NA</v>
      </c>
      <c r="AI1884" s="43" t="str">
        <f>_xlfn.XLOOKUP(Table26[[#This Row],[customerSKU]],customerSKU!G:G,customerSKU!O:O,"not found",0,1)</f>
        <v>not found</v>
      </c>
      <c r="AJ1884" s="22" t="e">
        <f>Table26[[#This Row],[unitprice]]*Table26[[#This Row],[quantity_unit]]</f>
        <v>#VALUE!</v>
      </c>
      <c r="AK1884" s="227" t="e" cm="1">
        <f t="array" ref="AK18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4" s="227"/>
    </row>
    <row r="1885" spans="1:38" ht="24.6" customHeight="1">
      <c r="A1885" s="42">
        <v>357</v>
      </c>
      <c r="B1885" s="42" t="s">
        <v>3520</v>
      </c>
      <c r="C1885" s="53" t="s">
        <v>3360</v>
      </c>
      <c r="E1885" s="20"/>
      <c r="F18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5" s="93"/>
      <c r="I1885" s="232">
        <v>45827</v>
      </c>
      <c r="J1885" s="90" t="str">
        <f>IF(Table26[[#This Row],[customerSKU]]="","",_xlfn.XLOOKUP(Table26[[#This Row],[customerSKU]],customerSKU!G:G,customerSKU!A:A,"",0,1))</f>
        <v/>
      </c>
      <c r="K1885" s="232">
        <v>45828</v>
      </c>
      <c r="L1885" s="49" t="str">
        <f>IF(Table26[[#This Row],[customerSKU]]="","",_xlfn.XLOOKUP(Table26[[#This Row],[customerSKU]],customerSKU!G:G,customerSKU!B:B,"",0,1))</f>
        <v/>
      </c>
      <c r="M1885" s="22"/>
      <c r="N1885" s="15" t="str">
        <f>Table26[[#This Row],[po_number]]&amp;"-"&amp;Table26[[#This Row],[po_line]]</f>
        <v>-1</v>
      </c>
      <c r="O1885" s="15">
        <v>1</v>
      </c>
      <c r="P1885" s="50"/>
      <c r="S1885" s="90" t="str">
        <f>IF(Table26[[#This Row],[customerSKU]]="","",_xlfn.XLOOKUP(Table26[[#This Row],[customerSKU]],customerSKU!G:G,customerSKU!N:N,"NOT FOUND",0,1))</f>
        <v>NOT FOUND</v>
      </c>
      <c r="T1885" s="20"/>
      <c r="U1885" s="94">
        <v>12</v>
      </c>
      <c r="V1885" s="22" t="str">
        <f>IF(ISBLANK(Table26[[#This Row],[customerSKU]]),"",_xlfn.XLOOKUP(Table26[[#This Row],[customerSKU]],Table27[customer_SKU],Table27[case_size],"",0,1))</f>
        <v/>
      </c>
      <c r="W1885" s="117" t="str">
        <f t="shared" si="77"/>
        <v/>
      </c>
      <c r="X1885" s="22" t="str">
        <f t="shared" si="76"/>
        <v/>
      </c>
      <c r="Y1885" s="25" t="str">
        <f>IF(Table26[[#This Row],[customerSKU]]="","",_xlfn.XLOOKUP(Table26[[#This Row],[customerSKU]],Table27[customer_SKU],Table27[product_GTIN],"",0,1))</f>
        <v/>
      </c>
      <c r="Z1885" s="25" t="s">
        <v>3670</v>
      </c>
      <c r="AA1885" s="18" t="str" cm="1">
        <f t="array" ref="AA1885">IF(P1885="", "", _xlfn.XLOOKUP(P1885,#REF!,#REF!,NA,0,-1))</f>
        <v/>
      </c>
      <c r="AB1885" s="22"/>
      <c r="AC1885" s="23" t="str">
        <f>IF(Table26[[#This Row],[customerSKU]]="","",_xlfn.XLOOKUP(Table26[[#This Row],[customerSKU]],customerSKU!G:G,customerSKU!C:C,"",0,1))</f>
        <v/>
      </c>
      <c r="AD1885" s="23" t="str">
        <f>IF($AC1885="","",_xlfn.XLOOKUP($AC1885,'Client Info'!$C$2:$C$2497,'Client Info'!$D$2:$D$2497,"",0,1))</f>
        <v/>
      </c>
      <c r="AE1885" s="23" t="str">
        <f>IF($AC1885="","",_xlfn.XLOOKUP($AC1885,'Client Info'!$C$2:$C$2677,'Client Info'!$E$2:$E$2677,"",))</f>
        <v/>
      </c>
      <c r="AF1885" s="23" t="str">
        <f>IF($AC1885="","",_xlfn.XLOOKUP($AC1885,'Client Info'!$C$2:$C$2677,'Client Info'!$F$2:$F$2677,"",0,1))</f>
        <v/>
      </c>
      <c r="AG1885" s="23" t="str">
        <f>IF(ISBLANK(Table26[[#This Row],[customerSKU]]),"",_xlfn.XLOOKUP(Table26[[#This Row],[customerSKU]],Table27[customer_SKU],Table27[billto],"",0,1))</f>
        <v/>
      </c>
      <c r="AH1885" s="26" t="str">
        <f>_xlfn.XLOOKUP(Table26[[#This Row],[customerSKU]],customerSKU!G:G,customerSKU!K:K,"NA",0,1)</f>
        <v>NA</v>
      </c>
      <c r="AI1885" s="43" t="str">
        <f>_xlfn.XLOOKUP(Table26[[#This Row],[customerSKU]],customerSKU!G:G,customerSKU!O:O,"not found",0,1)</f>
        <v>not found</v>
      </c>
      <c r="AJ1885" s="22" t="e">
        <f>Table26[[#This Row],[unitprice]]*Table26[[#This Row],[quantity_unit]]</f>
        <v>#VALUE!</v>
      </c>
      <c r="AK1885" s="227" t="e" cm="1">
        <f t="array" ref="AK18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5" s="227"/>
    </row>
    <row r="1886" spans="1:38" ht="24.6" customHeight="1">
      <c r="A1886" s="42">
        <v>358</v>
      </c>
      <c r="B1886" s="42" t="s">
        <v>3520</v>
      </c>
      <c r="C1886" s="53" t="s">
        <v>3488</v>
      </c>
      <c r="E1886" s="20"/>
      <c r="F18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6" s="93"/>
      <c r="I1886" s="232">
        <v>45828</v>
      </c>
      <c r="J1886" s="90" t="str">
        <f>IF(Table26[[#This Row],[customerSKU]]="","",_xlfn.XLOOKUP(Table26[[#This Row],[customerSKU]],customerSKU!G:G,customerSKU!A:A,"",0,1))</f>
        <v/>
      </c>
      <c r="K1886" s="232">
        <v>45828</v>
      </c>
      <c r="L1886" s="49" t="str">
        <f>IF(Table26[[#This Row],[customerSKU]]="","",_xlfn.XLOOKUP(Table26[[#This Row],[customerSKU]],customerSKU!G:G,customerSKU!B:B,"",0,1))</f>
        <v/>
      </c>
      <c r="M1886" s="22"/>
      <c r="N1886" s="15" t="str">
        <f>Table26[[#This Row],[po_number]]&amp;"-"&amp;Table26[[#This Row],[po_line]]</f>
        <v>-1</v>
      </c>
      <c r="O1886" s="15">
        <v>1</v>
      </c>
      <c r="P1886" s="50"/>
      <c r="Q1886" s="22" t="s">
        <v>3671</v>
      </c>
      <c r="R1886" s="22" t="s">
        <v>3559</v>
      </c>
      <c r="S1886" s="90" t="s">
        <v>3344</v>
      </c>
      <c r="T1886" s="20">
        <v>44415</v>
      </c>
      <c r="U1886" s="94">
        <v>211</v>
      </c>
      <c r="V1886" s="22" t="str">
        <f>IF(ISBLANK(Table26[[#This Row],[customerSKU]]),"",_xlfn.XLOOKUP(Table26[[#This Row],[customerSKU]],Table27[customer_SKU],Table27[case_size],"",0,1))</f>
        <v/>
      </c>
      <c r="W1886" s="117" t="str">
        <f t="shared" si="77"/>
        <v/>
      </c>
      <c r="X1886" s="22" t="str">
        <f t="shared" si="76"/>
        <v/>
      </c>
      <c r="Y1886" s="25" t="str">
        <f>IF(Table26[[#This Row],[customerSKU]]="","",_xlfn.XLOOKUP(Table26[[#This Row],[customerSKU]],Table27[customer_SKU],Table27[product_GTIN],"",0,1))</f>
        <v/>
      </c>
      <c r="Z1886" s="25" t="s">
        <v>3672</v>
      </c>
      <c r="AA1886" s="18" t="str" cm="1">
        <f t="array" ref="AA1886">IF(P1886="", "", _xlfn.XLOOKUP(P1886,#REF!,#REF!,NA,0,-1))</f>
        <v/>
      </c>
      <c r="AB1886" s="22"/>
      <c r="AC1886" s="23" t="s">
        <v>16</v>
      </c>
      <c r="AD1886" s="23" t="str">
        <f>IF($AC1886="","",_xlfn.XLOOKUP($AC1886,'Client Info'!$C$2:$C$2497,'Client Info'!$D$2:$D$2497,"",0,1))</f>
        <v/>
      </c>
      <c r="AE1886" s="23" t="str">
        <f>IF($AC1886="","",_xlfn.XLOOKUP($AC1886,'Client Info'!$C$2:$C$2677,'Client Info'!$E$2:$E$2677,"",))</f>
        <v/>
      </c>
      <c r="AF1886" s="23" t="str">
        <f>IF($AC1886="","",_xlfn.XLOOKUP($AC1886,'Client Info'!$C$2:$C$2677,'Client Info'!$F$2:$F$2677,"",0,1))</f>
        <v/>
      </c>
      <c r="AG1886" s="23" t="s">
        <v>55</v>
      </c>
      <c r="AH1886" s="26" t="str">
        <f>_xlfn.XLOOKUP(Table26[[#This Row],[customerSKU]],customerSKU!G:G,customerSKU!K:K,"NA",0,1)</f>
        <v>NA</v>
      </c>
      <c r="AI1886" s="43" t="str">
        <f>_xlfn.XLOOKUP(Table26[[#This Row],[customerSKU]],customerSKU!G:G,customerSKU!O:O,"not found",0,1)</f>
        <v>not found</v>
      </c>
      <c r="AJ1886" s="22" t="e">
        <f>Table26[[#This Row],[unitprice]]*Table26[[#This Row],[quantity_unit]]</f>
        <v>#VALUE!</v>
      </c>
      <c r="AK1886" s="227" t="e" cm="1">
        <f t="array" ref="AK18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6" s="227"/>
    </row>
    <row r="1887" spans="1:38" ht="24.6" customHeight="1">
      <c r="A1887" s="42">
        <v>359</v>
      </c>
      <c r="B1887" s="42" t="s">
        <v>3520</v>
      </c>
      <c r="C1887" s="53" t="s">
        <v>3488</v>
      </c>
      <c r="E1887" s="20"/>
      <c r="F18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7" s="393"/>
      <c r="I1887" s="232">
        <v>45828</v>
      </c>
      <c r="J1887" s="90" t="str">
        <f>IF(Table26[[#This Row],[customerSKU]]="","",_xlfn.XLOOKUP(Table26[[#This Row],[customerSKU]],customerSKU!G:G,customerSKU!A:A,"",0,1))</f>
        <v/>
      </c>
      <c r="K1887" s="232">
        <v>45828</v>
      </c>
      <c r="L1887" s="49" t="str">
        <f>IF(Table26[[#This Row],[customerSKU]]="","",_xlfn.XLOOKUP(Table26[[#This Row],[customerSKU]],customerSKU!G:G,customerSKU!B:B,"",0,1))</f>
        <v/>
      </c>
      <c r="M1887" s="22"/>
      <c r="N1887" s="15" t="str">
        <f>Table26[[#This Row],[po_number]]&amp;"-"&amp;Table26[[#This Row],[po_line]]</f>
        <v>-2</v>
      </c>
      <c r="O1887" s="15">
        <v>2</v>
      </c>
      <c r="P1887" s="50"/>
      <c r="Q1887" s="22" t="s">
        <v>3673</v>
      </c>
      <c r="R1887" s="22" t="s">
        <v>3559</v>
      </c>
      <c r="S1887" s="90" t="s">
        <v>3344</v>
      </c>
      <c r="T1887" s="20">
        <v>44415</v>
      </c>
      <c r="U1887" s="94">
        <v>408</v>
      </c>
      <c r="V1887" s="22" t="str">
        <f>IF(ISBLANK(Table26[[#This Row],[customerSKU]]),"",_xlfn.XLOOKUP(Table26[[#This Row],[customerSKU]],Table27[customer_SKU],Table27[case_size],"",0,1))</f>
        <v/>
      </c>
      <c r="W1887" s="117" t="str">
        <f t="shared" si="77"/>
        <v/>
      </c>
      <c r="X1887" s="22" t="str">
        <f t="shared" si="76"/>
        <v/>
      </c>
      <c r="Y1887" s="25" t="str">
        <f>IF(Table26[[#This Row],[customerSKU]]="","",_xlfn.XLOOKUP(Table26[[#This Row],[customerSKU]],Table27[customer_SKU],Table27[product_GTIN],"",0,1))</f>
        <v/>
      </c>
      <c r="Z1887" s="25" t="s">
        <v>3672</v>
      </c>
      <c r="AA1887" s="18" t="str" cm="1">
        <f t="array" ref="AA1887">IF(P1887="", "", _xlfn.XLOOKUP(P1887,#REF!,#REF!,NA,0,-1))</f>
        <v/>
      </c>
      <c r="AB1887" s="22"/>
      <c r="AC1887" s="23" t="s">
        <v>16</v>
      </c>
      <c r="AD1887" s="23" t="str">
        <f>IF($AC1887="","",_xlfn.XLOOKUP($AC1887,'Client Info'!$C$2:$C$2497,'Client Info'!$D$2:$D$2497,"",0,1))</f>
        <v/>
      </c>
      <c r="AE1887" s="23" t="str">
        <f>IF($AC1887="","",_xlfn.XLOOKUP($AC1887,'Client Info'!$C$2:$C$2677,'Client Info'!$E$2:$E$2677,"",))</f>
        <v/>
      </c>
      <c r="AF1887" s="23" t="str">
        <f>IF($AC1887="","",_xlfn.XLOOKUP($AC1887,'Client Info'!$C$2:$C$2677,'Client Info'!$F$2:$F$2677,"",0,1))</f>
        <v/>
      </c>
      <c r="AG1887" s="23" t="s">
        <v>55</v>
      </c>
      <c r="AH1887" s="26" t="str">
        <f>_xlfn.XLOOKUP(Table26[[#This Row],[customerSKU]],customerSKU!G:G,customerSKU!K:K,"NA",0,1)</f>
        <v>NA</v>
      </c>
      <c r="AI1887" s="43" t="str">
        <f>_xlfn.XLOOKUP(Table26[[#This Row],[customerSKU]],customerSKU!G:G,customerSKU!O:O,"not found",0,1)</f>
        <v>not found</v>
      </c>
      <c r="AJ1887" s="22" t="e">
        <f>Table26[[#This Row],[unitprice]]*Table26[[#This Row],[quantity_unit]]</f>
        <v>#VALUE!</v>
      </c>
      <c r="AK1887" s="227" t="e" cm="1">
        <f t="array" ref="AK18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7" s="227"/>
    </row>
    <row r="1888" spans="1:38" ht="24.6" customHeight="1">
      <c r="A1888" s="42">
        <v>360</v>
      </c>
      <c r="B1888" s="42" t="s">
        <v>3520</v>
      </c>
      <c r="C1888" s="53" t="s">
        <v>3488</v>
      </c>
      <c r="E1888" s="20"/>
      <c r="F18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8" s="93"/>
      <c r="I1888" s="232">
        <v>45828</v>
      </c>
      <c r="J1888" s="90" t="str">
        <f>IF(Table26[[#This Row],[customerSKU]]="","",_xlfn.XLOOKUP(Table26[[#This Row],[customerSKU]],customerSKU!G:G,customerSKU!A:A,"",0,1))</f>
        <v/>
      </c>
      <c r="K1888" s="232">
        <v>45828</v>
      </c>
      <c r="L1888" s="49" t="str">
        <f>IF(Table26[[#This Row],[customerSKU]]="","",_xlfn.XLOOKUP(Table26[[#This Row],[customerSKU]],customerSKU!G:G,customerSKU!B:B,"",0,1))</f>
        <v/>
      </c>
      <c r="M1888" s="22"/>
      <c r="N1888" s="15" t="str">
        <f>Table26[[#This Row],[po_number]]&amp;"-"&amp;Table26[[#This Row],[po_line]]</f>
        <v>-3</v>
      </c>
      <c r="O1888" s="15">
        <v>3</v>
      </c>
      <c r="P1888" s="50"/>
      <c r="Q1888" s="22" t="s">
        <v>3674</v>
      </c>
      <c r="R1888" s="22" t="s">
        <v>3559</v>
      </c>
      <c r="S1888" s="90" t="s">
        <v>3344</v>
      </c>
      <c r="T1888" s="20">
        <v>44261</v>
      </c>
      <c r="U1888" s="94">
        <v>733</v>
      </c>
      <c r="V1888" s="22" t="str">
        <f>IF(ISBLANK(Table26[[#This Row],[customerSKU]]),"",_xlfn.XLOOKUP(Table26[[#This Row],[customerSKU]],Table27[customer_SKU],Table27[case_size],"",0,1))</f>
        <v/>
      </c>
      <c r="W1888" s="117" t="str">
        <f t="shared" si="77"/>
        <v/>
      </c>
      <c r="X1888" s="22" t="str">
        <f t="shared" si="76"/>
        <v/>
      </c>
      <c r="Y1888" s="25" t="str">
        <f>IF(Table26[[#This Row],[customerSKU]]="","",_xlfn.XLOOKUP(Table26[[#This Row],[customerSKU]],Table27[customer_SKU],Table27[product_GTIN],"",0,1))</f>
        <v/>
      </c>
      <c r="Z1888" s="25" t="s">
        <v>3672</v>
      </c>
      <c r="AA1888" s="18" t="str" cm="1">
        <f t="array" ref="AA1888">IF(P1888="", "", _xlfn.XLOOKUP(P1888,#REF!,#REF!,NA,0,-1))</f>
        <v/>
      </c>
      <c r="AB1888" s="22"/>
      <c r="AC1888" s="23" t="s">
        <v>16</v>
      </c>
      <c r="AD1888" s="23" t="str">
        <f>IF($AC1888="","",_xlfn.XLOOKUP($AC1888,'Client Info'!$C$2:$C$2497,'Client Info'!$D$2:$D$2497,"",0,1))</f>
        <v/>
      </c>
      <c r="AE1888" s="23" t="str">
        <f>IF($AC1888="","",_xlfn.XLOOKUP($AC1888,'Client Info'!$C$2:$C$2677,'Client Info'!$E$2:$E$2677,"",))</f>
        <v/>
      </c>
      <c r="AF1888" s="23" t="str">
        <f>IF($AC1888="","",_xlfn.XLOOKUP($AC1888,'Client Info'!$C$2:$C$2677,'Client Info'!$F$2:$F$2677,"",0,1))</f>
        <v/>
      </c>
      <c r="AG1888" s="23" t="s">
        <v>55</v>
      </c>
      <c r="AH1888" s="26" t="str">
        <f>_xlfn.XLOOKUP(Table26[[#This Row],[customerSKU]],customerSKU!G:G,customerSKU!K:K,"NA",0,1)</f>
        <v>NA</v>
      </c>
      <c r="AI1888" s="43" t="str">
        <f>_xlfn.XLOOKUP(Table26[[#This Row],[customerSKU]],customerSKU!G:G,customerSKU!O:O,"not found",0,1)</f>
        <v>not found</v>
      </c>
      <c r="AJ1888" s="22" t="e">
        <f>Table26[[#This Row],[unitprice]]*Table26[[#This Row],[quantity_unit]]</f>
        <v>#VALUE!</v>
      </c>
      <c r="AK1888" s="227" t="e" cm="1">
        <f t="array" ref="AK18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8" s="227"/>
    </row>
    <row r="1889" spans="1:38" ht="24.6" customHeight="1">
      <c r="A1889" s="42">
        <v>361</v>
      </c>
      <c r="B1889" s="42" t="s">
        <v>3520</v>
      </c>
      <c r="C1889" s="53" t="s">
        <v>3488</v>
      </c>
      <c r="E1889" s="20"/>
      <c r="F18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89" s="93"/>
      <c r="I1889" s="232">
        <v>45828</v>
      </c>
      <c r="J1889" s="90" t="str">
        <f>IF(Table26[[#This Row],[customerSKU]]="","",_xlfn.XLOOKUP(Table26[[#This Row],[customerSKU]],customerSKU!G:G,customerSKU!A:A,"",0,1))</f>
        <v/>
      </c>
      <c r="K1889" s="232">
        <v>45828</v>
      </c>
      <c r="L1889" s="49" t="str">
        <f>IF(Table26[[#This Row],[customerSKU]]="","",_xlfn.XLOOKUP(Table26[[#This Row],[customerSKU]],customerSKU!G:G,customerSKU!B:B,"",0,1))</f>
        <v/>
      </c>
      <c r="M1889" s="22"/>
      <c r="N1889" s="15" t="str">
        <f>Table26[[#This Row],[po_number]]&amp;"-"&amp;Table26[[#This Row],[po_line]]</f>
        <v>-4</v>
      </c>
      <c r="O1889" s="15">
        <v>4</v>
      </c>
      <c r="P1889" s="50"/>
      <c r="Q1889" s="22" t="s">
        <v>571</v>
      </c>
      <c r="R1889" s="22" t="s">
        <v>3559</v>
      </c>
      <c r="S1889" s="90" t="s">
        <v>3344</v>
      </c>
      <c r="T1889" s="20">
        <v>45633</v>
      </c>
      <c r="U1889" s="94">
        <v>549</v>
      </c>
      <c r="V1889" s="22" t="str">
        <f>IF(ISBLANK(Table26[[#This Row],[customerSKU]]),"",_xlfn.XLOOKUP(Table26[[#This Row],[customerSKU]],Table27[customer_SKU],Table27[case_size],"",0,1))</f>
        <v/>
      </c>
      <c r="W1889" s="117" t="str">
        <f t="shared" si="77"/>
        <v/>
      </c>
      <c r="X1889" s="22" t="str">
        <f t="shared" si="76"/>
        <v/>
      </c>
      <c r="Y1889" s="25" t="str">
        <f>IF(Table26[[#This Row],[customerSKU]]="","",_xlfn.XLOOKUP(Table26[[#This Row],[customerSKU]],Table27[customer_SKU],Table27[product_GTIN],"",0,1))</f>
        <v/>
      </c>
      <c r="Z1889" s="25" t="s">
        <v>3672</v>
      </c>
      <c r="AA1889" s="18" t="str" cm="1">
        <f t="array" ref="AA1889">IF(P1889="", "", _xlfn.XLOOKUP(P1889,#REF!,#REF!,NA,0,-1))</f>
        <v/>
      </c>
      <c r="AB1889" s="22"/>
      <c r="AC1889" s="23" t="s">
        <v>16</v>
      </c>
      <c r="AD1889" s="23" t="str">
        <f>IF($AC1889="","",_xlfn.XLOOKUP($AC1889,'Client Info'!$C$2:$C$2497,'Client Info'!$D$2:$D$2497,"",0,1))</f>
        <v/>
      </c>
      <c r="AE1889" s="23" t="str">
        <f>IF($AC1889="","",_xlfn.XLOOKUP($AC1889,'Client Info'!$C$2:$C$2677,'Client Info'!$E$2:$E$2677,"",))</f>
        <v/>
      </c>
      <c r="AF1889" s="23" t="str">
        <f>IF($AC1889="","",_xlfn.XLOOKUP($AC1889,'Client Info'!$C$2:$C$2677,'Client Info'!$F$2:$F$2677,"",0,1))</f>
        <v/>
      </c>
      <c r="AG1889" s="23" t="s">
        <v>55</v>
      </c>
      <c r="AH1889" s="26" t="str">
        <f>_xlfn.XLOOKUP(Table26[[#This Row],[customerSKU]],customerSKU!G:G,customerSKU!K:K,"NA",0,1)</f>
        <v>NA</v>
      </c>
      <c r="AI1889" s="43" t="str">
        <f>_xlfn.XLOOKUP(Table26[[#This Row],[customerSKU]],customerSKU!G:G,customerSKU!O:O,"not found",0,1)</f>
        <v>not found</v>
      </c>
      <c r="AJ1889" s="22" t="e">
        <f>Table26[[#This Row],[unitprice]]*Table26[[#This Row],[quantity_unit]]</f>
        <v>#VALUE!</v>
      </c>
      <c r="AK1889" s="227" t="e" cm="1">
        <f t="array" ref="AK18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89" s="227"/>
    </row>
    <row r="1890" spans="1:38" ht="24.6" customHeight="1">
      <c r="A1890" s="42">
        <v>362</v>
      </c>
      <c r="B1890" s="42" t="s">
        <v>3520</v>
      </c>
      <c r="C1890" s="53" t="s">
        <v>3488</v>
      </c>
      <c r="E1890" s="20"/>
      <c r="F18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0" s="93"/>
      <c r="I1890" s="232">
        <v>45828</v>
      </c>
      <c r="J1890" s="90" t="str">
        <f>IF(Table26[[#This Row],[customerSKU]]="","",_xlfn.XLOOKUP(Table26[[#This Row],[customerSKU]],customerSKU!G:G,customerSKU!A:A,"",0,1))</f>
        <v/>
      </c>
      <c r="K1890" s="232">
        <v>45828</v>
      </c>
      <c r="L1890" s="49" t="str">
        <f>IF(Table26[[#This Row],[customerSKU]]="","",_xlfn.XLOOKUP(Table26[[#This Row],[customerSKU]],customerSKU!G:G,customerSKU!B:B,"",0,1))</f>
        <v/>
      </c>
      <c r="M1890" s="22"/>
      <c r="N1890" s="15" t="str">
        <f>Table26[[#This Row],[po_number]]&amp;"-"&amp;Table26[[#This Row],[po_line]]</f>
        <v>-1</v>
      </c>
      <c r="O1890" s="15">
        <v>1</v>
      </c>
      <c r="P1890" s="50"/>
      <c r="Q1890" s="353" t="s">
        <v>3627</v>
      </c>
      <c r="R1890" s="22" t="s">
        <v>532</v>
      </c>
      <c r="S1890" s="90" t="str">
        <f>IF(Table26[[#This Row],[customerSKU]]="","",_xlfn.XLOOKUP(Table26[[#This Row],[customerSKU]],customerSKU!G:G,customerSKU!N:N,"NOT FOUND",0,1))</f>
        <v>NOT FOUND</v>
      </c>
      <c r="T1890" s="20">
        <v>45802</v>
      </c>
      <c r="U1890" s="94">
        <v>36</v>
      </c>
      <c r="V1890" s="22" t="str">
        <f>IF(ISBLANK(Table26[[#This Row],[customerSKU]]),"",_xlfn.XLOOKUP(Table26[[#This Row],[customerSKU]],Table27[customer_SKU],Table27[case_size],"",0,1))</f>
        <v/>
      </c>
      <c r="W1890" s="117" t="str">
        <f t="shared" si="77"/>
        <v/>
      </c>
      <c r="X1890" s="22" t="str">
        <f t="shared" si="76"/>
        <v/>
      </c>
      <c r="Y1890" s="25" t="str">
        <f>IF(Table26[[#This Row],[customerSKU]]="","",_xlfn.XLOOKUP(Table26[[#This Row],[customerSKU]],Table27[customer_SKU],Table27[product_GTIN],"",0,1))</f>
        <v/>
      </c>
      <c r="Z1890" s="25" t="s">
        <v>3675</v>
      </c>
      <c r="AA1890" s="18" t="str" cm="1">
        <f t="array" ref="AA1890">IF(P1890="", "", _xlfn.XLOOKUP(P1890,#REF!,#REF!,NA,0,-1))</f>
        <v/>
      </c>
      <c r="AB1890" s="22"/>
      <c r="AC1890" s="23" t="s">
        <v>3633</v>
      </c>
      <c r="AD1890" s="23" t="str">
        <f>IF($AC1890="","",_xlfn.XLOOKUP($AC1890,'Client Info'!$C$2:$C$2497,'Client Info'!$D$2:$D$2497,"",0,1))</f>
        <v/>
      </c>
      <c r="AE1890" s="23" t="str">
        <f>IF($AC1890="","",_xlfn.XLOOKUP($AC1890,'Client Info'!$C$2:$C$2677,'Client Info'!$E$2:$E$2677,"",))</f>
        <v/>
      </c>
      <c r="AF1890" s="23" t="str">
        <f>IF($AC1890="","",_xlfn.XLOOKUP($AC1890,'Client Info'!$C$2:$C$2677,'Client Info'!$F$2:$F$2677,"",0,1))</f>
        <v/>
      </c>
      <c r="AG1890" s="23" t="s">
        <v>3633</v>
      </c>
      <c r="AH1890" s="26" t="str">
        <f>_xlfn.XLOOKUP(Table26[[#This Row],[customerSKU]],customerSKU!G:G,customerSKU!K:K,"NA",0,1)</f>
        <v>NA</v>
      </c>
      <c r="AI1890" s="43" t="str">
        <f>_xlfn.XLOOKUP(Table26[[#This Row],[customerSKU]],customerSKU!G:G,customerSKU!O:O,"not found",0,1)</f>
        <v>not found</v>
      </c>
      <c r="AJ1890" s="22" t="e">
        <f>Table26[[#This Row],[unitprice]]*Table26[[#This Row],[quantity_unit]]</f>
        <v>#VALUE!</v>
      </c>
      <c r="AK1890" s="227" t="e" cm="1">
        <f t="array" ref="AK18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0" s="227"/>
    </row>
    <row r="1891" spans="1:38" ht="24.6" customHeight="1">
      <c r="A1891" s="42">
        <v>363</v>
      </c>
      <c r="B1891" s="42" t="s">
        <v>3520</v>
      </c>
      <c r="C1891" s="53" t="s">
        <v>3488</v>
      </c>
      <c r="E1891" s="20"/>
      <c r="F18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1" s="93"/>
      <c r="I1891" s="232">
        <v>45828</v>
      </c>
      <c r="J1891" s="90" t="str">
        <f>IF(Table26[[#This Row],[customerSKU]]="","",_xlfn.XLOOKUP(Table26[[#This Row],[customerSKU]],customerSKU!G:G,customerSKU!A:A,"",0,1))</f>
        <v/>
      </c>
      <c r="K1891" s="232">
        <v>45828</v>
      </c>
      <c r="L1891" s="49" t="str">
        <f>IF(Table26[[#This Row],[customerSKU]]="","",_xlfn.XLOOKUP(Table26[[#This Row],[customerSKU]],customerSKU!G:G,customerSKU!B:B,"",0,1))</f>
        <v/>
      </c>
      <c r="M1891" s="22"/>
      <c r="N1891" s="15" t="str">
        <f>Table26[[#This Row],[po_number]]&amp;"-"&amp;Table26[[#This Row],[po_line]]</f>
        <v>-2</v>
      </c>
      <c r="O1891" s="15">
        <v>2</v>
      </c>
      <c r="P1891" s="50"/>
      <c r="Q1891" s="22" t="s">
        <v>554</v>
      </c>
      <c r="R1891" s="22" t="s">
        <v>532</v>
      </c>
      <c r="S1891" s="90" t="str">
        <f>IF(Table26[[#This Row],[customerSKU]]="","",_xlfn.XLOOKUP(Table26[[#This Row],[customerSKU]],customerSKU!G:G,customerSKU!N:N,"NOT FOUND",0,1))</f>
        <v>NOT FOUND</v>
      </c>
      <c r="T1891" s="20">
        <v>45543</v>
      </c>
      <c r="U1891" s="94">
        <v>6</v>
      </c>
      <c r="V1891" s="22" t="str">
        <f>IF(ISBLANK(Table26[[#This Row],[customerSKU]]),"",_xlfn.XLOOKUP(Table26[[#This Row],[customerSKU]],Table27[customer_SKU],Table27[case_size],"",0,1))</f>
        <v/>
      </c>
      <c r="W1891" s="117" t="str">
        <f t="shared" si="77"/>
        <v/>
      </c>
      <c r="X1891" s="22" t="str">
        <f t="shared" si="76"/>
        <v/>
      </c>
      <c r="Y1891" s="25" t="str">
        <f>IF(Table26[[#This Row],[customerSKU]]="","",_xlfn.XLOOKUP(Table26[[#This Row],[customerSKU]],Table27[customer_SKU],Table27[product_GTIN],"",0,1))</f>
        <v/>
      </c>
      <c r="Z1891" s="25" t="s">
        <v>3676</v>
      </c>
      <c r="AA1891" s="18" t="str" cm="1">
        <f t="array" ref="AA1891">IF(P1891="", "", _xlfn.XLOOKUP(P1891,#REF!,#REF!,NA,0,-1))</f>
        <v/>
      </c>
      <c r="AB1891" s="22"/>
      <c r="AC1891" s="23" t="s">
        <v>3633</v>
      </c>
      <c r="AD1891" s="23" t="str">
        <f>IF($AC1891="","",_xlfn.XLOOKUP($AC1891,'Client Info'!$C$2:$C$2497,'Client Info'!$D$2:$D$2497,"",0,1))</f>
        <v/>
      </c>
      <c r="AE1891" s="23" t="str">
        <f>IF($AC1891="","",_xlfn.XLOOKUP($AC1891,'Client Info'!$C$2:$C$2677,'Client Info'!$E$2:$E$2677,"",))</f>
        <v/>
      </c>
      <c r="AF1891" s="23" t="str">
        <f>IF($AC1891="","",_xlfn.XLOOKUP($AC1891,'Client Info'!$C$2:$C$2677,'Client Info'!$F$2:$F$2677,"",0,1))</f>
        <v/>
      </c>
      <c r="AG1891" s="23" t="s">
        <v>3633</v>
      </c>
      <c r="AH1891" s="26" t="str">
        <f>_xlfn.XLOOKUP(Table26[[#This Row],[customerSKU]],customerSKU!G:G,customerSKU!K:K,"NA",0,1)</f>
        <v>NA</v>
      </c>
      <c r="AI1891" s="43" t="str">
        <f>_xlfn.XLOOKUP(Table26[[#This Row],[customerSKU]],customerSKU!G:G,customerSKU!O:O,"not found",0,1)</f>
        <v>not found</v>
      </c>
      <c r="AJ1891" s="22" t="e">
        <f>Table26[[#This Row],[unitprice]]*Table26[[#This Row],[quantity_unit]]</f>
        <v>#VALUE!</v>
      </c>
      <c r="AK1891" s="227" t="e" cm="1">
        <f t="array" ref="AK18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1" s="227"/>
    </row>
    <row r="1892" spans="1:38" ht="24.6" customHeight="1">
      <c r="A1892" s="42">
        <v>364</v>
      </c>
      <c r="B1892" s="42" t="s">
        <v>3520</v>
      </c>
      <c r="C1892" s="53" t="s">
        <v>3488</v>
      </c>
      <c r="E1892" s="20"/>
      <c r="F18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2" s="93"/>
      <c r="I1892" s="232">
        <v>45828</v>
      </c>
      <c r="J1892" s="90" t="str">
        <f>IF(Table26[[#This Row],[customerSKU]]="","",_xlfn.XLOOKUP(Table26[[#This Row],[customerSKU]],customerSKU!G:G,customerSKU!A:A,"",0,1))</f>
        <v/>
      </c>
      <c r="K1892" s="232">
        <v>45828</v>
      </c>
      <c r="L1892" s="49" t="str">
        <f>IF(Table26[[#This Row],[customerSKU]]="","",_xlfn.XLOOKUP(Table26[[#This Row],[customerSKU]],customerSKU!G:G,customerSKU!B:B,"",0,1))</f>
        <v/>
      </c>
      <c r="M1892" s="22"/>
      <c r="N1892" s="15" t="str">
        <f>Table26[[#This Row],[po_number]]&amp;"-"&amp;Table26[[#This Row],[po_line]]</f>
        <v>-3</v>
      </c>
      <c r="O1892" s="15">
        <v>3</v>
      </c>
      <c r="P1892" s="50"/>
      <c r="Q1892" s="22" t="s">
        <v>3677</v>
      </c>
      <c r="R1892" s="22" t="s">
        <v>532</v>
      </c>
      <c r="S1892" s="90" t="str">
        <f>IF(Table26[[#This Row],[customerSKU]]="","",_xlfn.XLOOKUP(Table26[[#This Row],[customerSKU]],customerSKU!G:G,customerSKU!N:N,"NOT FOUND",0,1))</f>
        <v>NOT FOUND</v>
      </c>
      <c r="T1892" s="20">
        <v>44907</v>
      </c>
      <c r="U1892" s="94">
        <v>12</v>
      </c>
      <c r="V1892" s="22" t="str">
        <f>IF(ISBLANK(Table26[[#This Row],[customerSKU]]),"",_xlfn.XLOOKUP(Table26[[#This Row],[customerSKU]],Table27[customer_SKU],Table27[case_size],"",0,1))</f>
        <v/>
      </c>
      <c r="W1892" s="117" t="str">
        <f t="shared" si="77"/>
        <v/>
      </c>
      <c r="X1892" s="22" t="str">
        <f t="shared" si="76"/>
        <v/>
      </c>
      <c r="Y1892" s="25" t="str">
        <f>IF(Table26[[#This Row],[customerSKU]]="","",_xlfn.XLOOKUP(Table26[[#This Row],[customerSKU]],Table27[customer_SKU],Table27[product_GTIN],"",0,1))</f>
        <v/>
      </c>
      <c r="Z1892" s="25" t="s">
        <v>3678</v>
      </c>
      <c r="AA1892" s="18" t="str" cm="1">
        <f t="array" ref="AA1892">IF(P1892="", "", _xlfn.XLOOKUP(P1892,#REF!,#REF!,NA,0,-1))</f>
        <v/>
      </c>
      <c r="AB1892" s="22"/>
      <c r="AC1892" s="23" t="s">
        <v>3633</v>
      </c>
      <c r="AD1892" s="23" t="str">
        <f>IF($AC1892="","",_xlfn.XLOOKUP($AC1892,'Client Info'!$C$2:$C$2497,'Client Info'!$D$2:$D$2497,"",0,1))</f>
        <v/>
      </c>
      <c r="AE1892" s="23" t="str">
        <f>IF($AC1892="","",_xlfn.XLOOKUP($AC1892,'Client Info'!$C$2:$C$2677,'Client Info'!$E$2:$E$2677,"",))</f>
        <v/>
      </c>
      <c r="AF1892" s="23" t="str">
        <f>IF($AC1892="","",_xlfn.XLOOKUP($AC1892,'Client Info'!$C$2:$C$2677,'Client Info'!$F$2:$F$2677,"",0,1))</f>
        <v/>
      </c>
      <c r="AG1892" s="23" t="s">
        <v>3633</v>
      </c>
      <c r="AH1892" s="26" t="str">
        <f>_xlfn.XLOOKUP(Table26[[#This Row],[customerSKU]],customerSKU!G:G,customerSKU!K:K,"NA",0,1)</f>
        <v>NA</v>
      </c>
      <c r="AI1892" s="43" t="str">
        <f>_xlfn.XLOOKUP(Table26[[#This Row],[customerSKU]],customerSKU!G:G,customerSKU!O:O,"not found",0,1)</f>
        <v>not found</v>
      </c>
      <c r="AJ1892" s="22" t="e">
        <f>Table26[[#This Row],[unitprice]]*Table26[[#This Row],[quantity_unit]]</f>
        <v>#VALUE!</v>
      </c>
      <c r="AK1892" s="227" t="e" cm="1">
        <f t="array" ref="AK18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2" s="227"/>
    </row>
    <row r="1893" spans="1:38" ht="24.6" customHeight="1">
      <c r="A1893" s="42">
        <v>365</v>
      </c>
      <c r="B1893" s="42" t="s">
        <v>3520</v>
      </c>
      <c r="C1893" s="53" t="s">
        <v>3488</v>
      </c>
      <c r="E1893" s="20"/>
      <c r="F18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3" s="93"/>
      <c r="I1893" s="232">
        <v>45828</v>
      </c>
      <c r="J1893" s="90" t="str">
        <f>IF(Table26[[#This Row],[customerSKU]]="","",_xlfn.XLOOKUP(Table26[[#This Row],[customerSKU]],customerSKU!G:G,customerSKU!A:A,"",0,1))</f>
        <v/>
      </c>
      <c r="K1893" s="232">
        <v>45828</v>
      </c>
      <c r="L1893" s="49" t="str">
        <f>IF(Table26[[#This Row],[customerSKU]]="","",_xlfn.XLOOKUP(Table26[[#This Row],[customerSKU]],customerSKU!G:G,customerSKU!B:B,"",0,1))</f>
        <v/>
      </c>
      <c r="M1893" s="4"/>
      <c r="N1893" s="4" t="str">
        <f>Table26[[#This Row],[po_number]]&amp;"-"&amp;Table26[[#This Row],[po_line]]</f>
        <v>-4</v>
      </c>
      <c r="O1893" s="4">
        <v>4</v>
      </c>
      <c r="P1893" s="50"/>
      <c r="Q1893" s="22" t="s">
        <v>538</v>
      </c>
      <c r="R1893" s="22" t="s">
        <v>532</v>
      </c>
      <c r="S1893" s="90" t="str">
        <f>IF(Table26[[#This Row],[customerSKU]]="","",_xlfn.XLOOKUP(Table26[[#This Row],[customerSKU]],customerSKU!G:G,customerSKU!N:N,"NOT FOUND",0,1))</f>
        <v>NOT FOUND</v>
      </c>
      <c r="T1893" s="20">
        <v>44601</v>
      </c>
      <c r="U1893" s="94">
        <v>6</v>
      </c>
      <c r="V1893" s="22" t="str">
        <f>IF(ISBLANK(Table26[[#This Row],[customerSKU]]),"",_xlfn.XLOOKUP(Table26[[#This Row],[customerSKU]],Table27[customer_SKU],Table27[case_size],"",0,1))</f>
        <v/>
      </c>
      <c r="W1893" s="117" t="str">
        <f t="shared" si="77"/>
        <v/>
      </c>
      <c r="X1893" s="22" t="str">
        <f t="shared" si="76"/>
        <v/>
      </c>
      <c r="Y1893" s="25" t="str">
        <f>IF(Table26[[#This Row],[customerSKU]]="","",_xlfn.XLOOKUP(Table26[[#This Row],[customerSKU]],Table27[customer_SKU],Table27[product_GTIN],"",0,1))</f>
        <v/>
      </c>
      <c r="Z1893" s="25" t="s">
        <v>3679</v>
      </c>
      <c r="AA1893" s="18" t="str" cm="1">
        <f t="array" ref="AA1893">IF(P1893="", "", _xlfn.XLOOKUP(P1893,#REF!,#REF!,NA,0,-1))</f>
        <v/>
      </c>
      <c r="AB1893" s="22"/>
      <c r="AC1893" s="23" t="s">
        <v>3633</v>
      </c>
      <c r="AD1893" s="23" t="str">
        <f>IF($AC1893="","",_xlfn.XLOOKUP($AC1893,'Client Info'!$C$2:$C$2497,'Client Info'!$D$2:$D$2497,"",0,1))</f>
        <v/>
      </c>
      <c r="AE1893" s="23" t="str">
        <f>IF($AC1893="","",_xlfn.XLOOKUP($AC1893,'Client Info'!$C$2:$C$2677,'Client Info'!$E$2:$E$2677,"",))</f>
        <v/>
      </c>
      <c r="AF1893" s="23" t="str">
        <f>IF($AC1893="","",_xlfn.XLOOKUP($AC1893,'Client Info'!$C$2:$C$2677,'Client Info'!$F$2:$F$2677,"",0,1))</f>
        <v/>
      </c>
      <c r="AG1893" s="23" t="s">
        <v>3633</v>
      </c>
      <c r="AH1893" s="26" t="str">
        <f>_xlfn.XLOOKUP(Table26[[#This Row],[customerSKU]],customerSKU!G:G,customerSKU!K:K,"NA",0,1)</f>
        <v>NA</v>
      </c>
      <c r="AI1893" s="43" t="str">
        <f>_xlfn.XLOOKUP(Table26[[#This Row],[customerSKU]],customerSKU!G:G,customerSKU!O:O,"not found",0,1)</f>
        <v>not found</v>
      </c>
      <c r="AJ1893" s="22" t="e">
        <f>Table26[[#This Row],[unitprice]]*Table26[[#This Row],[quantity_unit]]</f>
        <v>#VALUE!</v>
      </c>
      <c r="AK1893" s="227" t="e" cm="1">
        <f t="array" ref="AK18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3" s="227"/>
    </row>
    <row r="1894" spans="1:38" ht="24.6" customHeight="1">
      <c r="A1894" s="42">
        <v>366</v>
      </c>
      <c r="B1894" s="42" t="s">
        <v>3520</v>
      </c>
      <c r="C1894" s="53" t="s">
        <v>3488</v>
      </c>
      <c r="E1894" s="20"/>
      <c r="F18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4" s="93"/>
      <c r="I1894" s="232">
        <v>45828</v>
      </c>
      <c r="J1894" s="90" t="str">
        <f>IF(Table26[[#This Row],[customerSKU]]="","",_xlfn.XLOOKUP(Table26[[#This Row],[customerSKU]],customerSKU!G:G,customerSKU!A:A,"",0,1))</f>
        <v/>
      </c>
      <c r="K1894" s="232">
        <v>45828</v>
      </c>
      <c r="L1894" s="49" t="str">
        <f>IF(Table26[[#This Row],[customerSKU]]="","",_xlfn.XLOOKUP(Table26[[#This Row],[customerSKU]],customerSKU!G:G,customerSKU!B:B,"",0,1))</f>
        <v/>
      </c>
      <c r="M1894" s="22"/>
      <c r="N1894" s="15" t="str">
        <f>Table26[[#This Row],[po_number]]&amp;"-"&amp;Table26[[#This Row],[po_line]]</f>
        <v>-5</v>
      </c>
      <c r="O1894" s="15">
        <v>5</v>
      </c>
      <c r="P1894" s="50"/>
      <c r="Q1894" s="22" t="s">
        <v>3680</v>
      </c>
      <c r="R1894" s="22" t="s">
        <v>532</v>
      </c>
      <c r="S1894" s="90" t="str">
        <f>IF(Table26[[#This Row],[customerSKU]]="","",_xlfn.XLOOKUP(Table26[[#This Row],[customerSKU]],customerSKU!G:G,customerSKU!N:N,"NOT FOUND",0,1))</f>
        <v>NOT FOUND</v>
      </c>
      <c r="T1894" s="20">
        <v>44954</v>
      </c>
      <c r="U1894" s="94">
        <v>12</v>
      </c>
      <c r="V1894" s="22" t="str">
        <f>IF(ISBLANK(Table26[[#This Row],[customerSKU]]),"",_xlfn.XLOOKUP(Table26[[#This Row],[customerSKU]],Table27[customer_SKU],Table27[case_size],"",0,1))</f>
        <v/>
      </c>
      <c r="W1894" s="117" t="str">
        <f t="shared" si="77"/>
        <v/>
      </c>
      <c r="X1894" s="22" t="str">
        <f t="shared" si="76"/>
        <v/>
      </c>
      <c r="Y1894" s="25" t="str">
        <f>IF(Table26[[#This Row],[customerSKU]]="","",_xlfn.XLOOKUP(Table26[[#This Row],[customerSKU]],Table27[customer_SKU],Table27[product_GTIN],"",0,1))</f>
        <v/>
      </c>
      <c r="Z1894" s="25" t="s">
        <v>3681</v>
      </c>
      <c r="AA1894" s="18" t="str" cm="1">
        <f t="array" ref="AA1894">IF(P1894="", "", _xlfn.XLOOKUP(P1894,#REF!,#REF!,NA,0,-1))</f>
        <v/>
      </c>
      <c r="AB1894" s="22"/>
      <c r="AC1894" s="23" t="s">
        <v>3633</v>
      </c>
      <c r="AD1894" s="23" t="str">
        <f>IF($AC1894="","",_xlfn.XLOOKUP($AC1894,'Client Info'!$C$2:$C$2497,'Client Info'!$D$2:$D$2497,"",0,1))</f>
        <v/>
      </c>
      <c r="AE1894" s="23" t="str">
        <f>IF($AC1894="","",_xlfn.XLOOKUP($AC1894,'Client Info'!$C$2:$C$2677,'Client Info'!$E$2:$E$2677,"",))</f>
        <v/>
      </c>
      <c r="AF1894" s="23" t="str">
        <f>IF($AC1894="","",_xlfn.XLOOKUP($AC1894,'Client Info'!$C$2:$C$2677,'Client Info'!$F$2:$F$2677,"",0,1))</f>
        <v/>
      </c>
      <c r="AG1894" s="23" t="s">
        <v>3633</v>
      </c>
      <c r="AH1894" s="26" t="str">
        <f>_xlfn.XLOOKUP(Table26[[#This Row],[customerSKU]],customerSKU!G:G,customerSKU!K:K,"NA",0,1)</f>
        <v>NA</v>
      </c>
      <c r="AI1894" s="43" t="str">
        <f>_xlfn.XLOOKUP(Table26[[#This Row],[customerSKU]],customerSKU!G:G,customerSKU!O:O,"not found",0,1)</f>
        <v>not found</v>
      </c>
      <c r="AJ1894" s="22" t="e">
        <f>Table26[[#This Row],[unitprice]]*Table26[[#This Row],[quantity_unit]]</f>
        <v>#VALUE!</v>
      </c>
      <c r="AK1894" s="227" t="e" cm="1">
        <f t="array" ref="AK18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4" s="227"/>
    </row>
    <row r="1895" spans="1:38" ht="24.6" customHeight="1">
      <c r="A1895" s="42">
        <v>367</v>
      </c>
      <c r="B1895" s="42" t="s">
        <v>3520</v>
      </c>
      <c r="C1895" s="53" t="s">
        <v>3488</v>
      </c>
      <c r="E1895" s="20"/>
      <c r="F18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5" s="93"/>
      <c r="I1895" s="232">
        <v>45828</v>
      </c>
      <c r="J1895" s="90" t="str">
        <f>IF(Table26[[#This Row],[customerSKU]]="","",_xlfn.XLOOKUP(Table26[[#This Row],[customerSKU]],customerSKU!G:G,customerSKU!A:A,"",0,1))</f>
        <v/>
      </c>
      <c r="K1895" s="232">
        <v>45828</v>
      </c>
      <c r="L1895" s="49" t="str">
        <f>IF(Table26[[#This Row],[customerSKU]]="","",_xlfn.XLOOKUP(Table26[[#This Row],[customerSKU]],customerSKU!G:G,customerSKU!B:B,"",0,1))</f>
        <v/>
      </c>
      <c r="M1895" s="22"/>
      <c r="N1895" s="15" t="str">
        <f>Table26[[#This Row],[po_number]]&amp;"-"&amp;Table26[[#This Row],[po_line]]</f>
        <v>-6</v>
      </c>
      <c r="O1895" s="15">
        <v>6</v>
      </c>
      <c r="P1895" s="50"/>
      <c r="Q1895" s="22" t="s">
        <v>571</v>
      </c>
      <c r="R1895" s="22" t="s">
        <v>532</v>
      </c>
      <c r="S1895" s="90" t="str">
        <f>IF(Table26[[#This Row],[customerSKU]]="","",_xlfn.XLOOKUP(Table26[[#This Row],[customerSKU]],customerSKU!G:G,customerSKU!N:N,"NOT FOUND",0,1))</f>
        <v>NOT FOUND</v>
      </c>
      <c r="T1895" s="20">
        <v>45633</v>
      </c>
      <c r="U1895" s="94">
        <v>6</v>
      </c>
      <c r="V1895" s="22" t="str">
        <f>IF(ISBLANK(Table26[[#This Row],[customerSKU]]),"",_xlfn.XLOOKUP(Table26[[#This Row],[customerSKU]],Table27[customer_SKU],Table27[case_size],"",0,1))</f>
        <v/>
      </c>
      <c r="W1895" s="117" t="str">
        <f t="shared" si="77"/>
        <v/>
      </c>
      <c r="X1895" s="22" t="str">
        <f t="shared" si="76"/>
        <v/>
      </c>
      <c r="Y1895" s="25" t="str">
        <f>IF(Table26[[#This Row],[customerSKU]]="","",_xlfn.XLOOKUP(Table26[[#This Row],[customerSKU]],Table27[customer_SKU],Table27[product_GTIN],"",0,1))</f>
        <v/>
      </c>
      <c r="Z1895" s="25" t="s">
        <v>3682</v>
      </c>
      <c r="AA1895" s="18" t="str" cm="1">
        <f t="array" ref="AA1895">IF(P1895="", "", _xlfn.XLOOKUP(P1895,#REF!,#REF!,NA,0,-1))</f>
        <v/>
      </c>
      <c r="AB1895" s="22"/>
      <c r="AC1895" s="23" t="s">
        <v>3633</v>
      </c>
      <c r="AD1895" s="23" t="str">
        <f>IF($AC1895="","",_xlfn.XLOOKUP($AC1895,'Client Info'!$C$2:$C$2497,'Client Info'!$D$2:$D$2497,"",0,1))</f>
        <v/>
      </c>
      <c r="AE1895" s="23" t="str">
        <f>IF($AC1895="","",_xlfn.XLOOKUP($AC1895,'Client Info'!$C$2:$C$2677,'Client Info'!$E$2:$E$2677,"",))</f>
        <v/>
      </c>
      <c r="AF1895" s="23" t="str">
        <f>IF($AC1895="","",_xlfn.XLOOKUP($AC1895,'Client Info'!$C$2:$C$2677,'Client Info'!$F$2:$F$2677,"",0,1))</f>
        <v/>
      </c>
      <c r="AG1895" s="23" t="s">
        <v>3633</v>
      </c>
      <c r="AH1895" s="26" t="str">
        <f>_xlfn.XLOOKUP(Table26[[#This Row],[customerSKU]],customerSKU!G:G,customerSKU!K:K,"NA",0,1)</f>
        <v>NA</v>
      </c>
      <c r="AI1895" s="43" t="str">
        <f>_xlfn.XLOOKUP(Table26[[#This Row],[customerSKU]],customerSKU!G:G,customerSKU!O:O,"not found",0,1)</f>
        <v>not found</v>
      </c>
      <c r="AJ1895" s="22" t="e">
        <f>Table26[[#This Row],[unitprice]]*Table26[[#This Row],[quantity_unit]]</f>
        <v>#VALUE!</v>
      </c>
      <c r="AK1895" s="227" t="e" cm="1">
        <f t="array" ref="AK18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5" s="227"/>
    </row>
    <row r="1896" spans="1:38" ht="24.6" customHeight="1">
      <c r="A1896" s="42">
        <v>368</v>
      </c>
      <c r="B1896" s="42" t="s">
        <v>3520</v>
      </c>
      <c r="C1896" s="53" t="s">
        <v>3488</v>
      </c>
      <c r="E1896" s="20"/>
      <c r="F18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6" s="93"/>
      <c r="I1896" s="232">
        <v>45828</v>
      </c>
      <c r="J1896" s="90" t="str">
        <f>IF(Table26[[#This Row],[customerSKU]]="","",_xlfn.XLOOKUP(Table26[[#This Row],[customerSKU]],customerSKU!G:G,customerSKU!A:A,"",0,1))</f>
        <v/>
      </c>
      <c r="K1896" s="232">
        <v>45828</v>
      </c>
      <c r="L1896" s="49" t="str">
        <f>IF(Table26[[#This Row],[customerSKU]]="","",_xlfn.XLOOKUP(Table26[[#This Row],[customerSKU]],customerSKU!G:G,customerSKU!B:B,"",0,1))</f>
        <v/>
      </c>
      <c r="M1896" s="4"/>
      <c r="N1896" s="4" t="str">
        <f>Table26[[#This Row],[po_number]]&amp;"-"&amp;Table26[[#This Row],[po_line]]</f>
        <v>-7</v>
      </c>
      <c r="O1896" s="4">
        <v>7</v>
      </c>
      <c r="P1896" s="50"/>
      <c r="Q1896" s="22" t="s">
        <v>3515</v>
      </c>
      <c r="R1896" s="22" t="s">
        <v>532</v>
      </c>
      <c r="S1896" s="90" t="str">
        <f>IF(Table26[[#This Row],[customerSKU]]="","",_xlfn.XLOOKUP(Table26[[#This Row],[customerSKU]],customerSKU!G:G,customerSKU!N:N,"NOT FOUND",0,1))</f>
        <v>NOT FOUND</v>
      </c>
      <c r="T1896" s="20">
        <v>45689</v>
      </c>
      <c r="U1896" s="94">
        <v>18</v>
      </c>
      <c r="V1896" s="22" t="str">
        <f>IF(ISBLANK(Table26[[#This Row],[customerSKU]]),"",_xlfn.XLOOKUP(Table26[[#This Row],[customerSKU]],Table27[customer_SKU],Table27[case_size],"",0,1))</f>
        <v/>
      </c>
      <c r="W1896" s="117" t="str">
        <f t="shared" si="77"/>
        <v/>
      </c>
      <c r="X1896" s="22" t="str">
        <f t="shared" si="76"/>
        <v/>
      </c>
      <c r="Y1896" s="25" t="str">
        <f>IF(Table26[[#This Row],[customerSKU]]="","",_xlfn.XLOOKUP(Table26[[#This Row],[customerSKU]],Table27[customer_SKU],Table27[product_GTIN],"",0,1))</f>
        <v/>
      </c>
      <c r="Z1896" s="25" t="s">
        <v>3683</v>
      </c>
      <c r="AA1896" s="18" t="str" cm="1">
        <f t="array" ref="AA1896">IF(P1896="", "", _xlfn.XLOOKUP(P1896,#REF!,#REF!,NA,0,-1))</f>
        <v/>
      </c>
      <c r="AB1896" s="22"/>
      <c r="AC1896" s="23" t="s">
        <v>3633</v>
      </c>
      <c r="AD1896" s="23" t="str">
        <f>IF($AC1896="","",_xlfn.XLOOKUP($AC1896,'Client Info'!$C$2:$C$2497,'Client Info'!$D$2:$D$2497,"",0,1))</f>
        <v/>
      </c>
      <c r="AE1896" s="23" t="str">
        <f>IF($AC1896="","",_xlfn.XLOOKUP($AC1896,'Client Info'!$C$2:$C$2677,'Client Info'!$E$2:$E$2677,"",))</f>
        <v/>
      </c>
      <c r="AF1896" s="23" t="str">
        <f>IF($AC1896="","",_xlfn.XLOOKUP($AC1896,'Client Info'!$C$2:$C$2677,'Client Info'!$F$2:$F$2677,"",0,1))</f>
        <v/>
      </c>
      <c r="AG1896" s="23" t="s">
        <v>3633</v>
      </c>
      <c r="AH1896" s="26" t="str">
        <f>_xlfn.XLOOKUP(Table26[[#This Row],[customerSKU]],customerSKU!G:G,customerSKU!K:K,"NA",0,1)</f>
        <v>NA</v>
      </c>
      <c r="AI1896" s="43" t="str">
        <f>_xlfn.XLOOKUP(Table26[[#This Row],[customerSKU]],customerSKU!G:G,customerSKU!O:O,"not found",0,1)</f>
        <v>not found</v>
      </c>
      <c r="AJ1896" s="22" t="e">
        <f>Table26[[#This Row],[unitprice]]*Table26[[#This Row],[quantity_unit]]</f>
        <v>#VALUE!</v>
      </c>
      <c r="AK1896" s="227" t="e" cm="1">
        <f t="array" ref="AK18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6" s="227"/>
    </row>
    <row r="1897" spans="1:38" ht="24.6" customHeight="1">
      <c r="A1897" s="42">
        <v>369</v>
      </c>
      <c r="B1897" s="42" t="s">
        <v>3520</v>
      </c>
      <c r="C1897" s="53" t="s">
        <v>3488</v>
      </c>
      <c r="E1897" s="20"/>
      <c r="F18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7" s="93"/>
      <c r="I1897" s="232">
        <v>45828</v>
      </c>
      <c r="J1897" s="90" t="str">
        <f>IF(Table26[[#This Row],[customerSKU]]="","",_xlfn.XLOOKUP(Table26[[#This Row],[customerSKU]],customerSKU!G:G,customerSKU!A:A,"",0,1))</f>
        <v/>
      </c>
      <c r="K1897" s="232">
        <v>45828</v>
      </c>
      <c r="L1897" s="49" t="str">
        <f>IF(Table26[[#This Row],[customerSKU]]="","",_xlfn.XLOOKUP(Table26[[#This Row],[customerSKU]],customerSKU!G:G,customerSKU!B:B,"",0,1))</f>
        <v/>
      </c>
      <c r="M1897" s="22"/>
      <c r="N1897" s="15" t="str">
        <f>Table26[[#This Row],[po_number]]&amp;"-"&amp;Table26[[#This Row],[po_line]]</f>
        <v>-8</v>
      </c>
      <c r="O1897" s="15">
        <v>8</v>
      </c>
      <c r="P1897" s="50"/>
      <c r="Q1897" s="22" t="s">
        <v>527</v>
      </c>
      <c r="R1897" s="22" t="s">
        <v>532</v>
      </c>
      <c r="S1897" s="90" t="str">
        <f>IF(Table26[[#This Row],[customerSKU]]="","",_xlfn.XLOOKUP(Table26[[#This Row],[customerSKU]],customerSKU!G:G,customerSKU!N:N,"NOT FOUND",0,1))</f>
        <v>NOT FOUND</v>
      </c>
      <c r="T1897" s="20">
        <v>44879</v>
      </c>
      <c r="U1897" s="94">
        <v>6</v>
      </c>
      <c r="V1897" s="22" t="str">
        <f>IF(ISBLANK(Table26[[#This Row],[customerSKU]]),"",_xlfn.XLOOKUP(Table26[[#This Row],[customerSKU]],Table27[customer_SKU],Table27[case_size],"",0,1))</f>
        <v/>
      </c>
      <c r="W1897" s="117" t="str">
        <f t="shared" si="77"/>
        <v/>
      </c>
      <c r="X1897" s="22" t="str">
        <f t="shared" si="76"/>
        <v/>
      </c>
      <c r="Y1897" s="25" t="str">
        <f>IF(Table26[[#This Row],[customerSKU]]="","",_xlfn.XLOOKUP(Table26[[#This Row],[customerSKU]],Table27[customer_SKU],Table27[product_GTIN],"",0,1))</f>
        <v/>
      </c>
      <c r="Z1897" s="25" t="s">
        <v>3684</v>
      </c>
      <c r="AA1897" s="18" t="str" cm="1">
        <f t="array" ref="AA1897">IF(P1897="", "", _xlfn.XLOOKUP(P1897,#REF!,#REF!,NA,0,-1))</f>
        <v/>
      </c>
      <c r="AB1897" s="22"/>
      <c r="AC1897" s="23" t="s">
        <v>3633</v>
      </c>
      <c r="AD1897" s="23" t="str">
        <f>IF($AC1897="","",_xlfn.XLOOKUP($AC1897,'Client Info'!$C$2:$C$2497,'Client Info'!$D$2:$D$2497,"",0,1))</f>
        <v/>
      </c>
      <c r="AE1897" s="23" t="str">
        <f>IF($AC1897="","",_xlfn.XLOOKUP($AC1897,'Client Info'!$C$2:$C$2677,'Client Info'!$E$2:$E$2677,"",))</f>
        <v/>
      </c>
      <c r="AF1897" s="23" t="str">
        <f>IF($AC1897="","",_xlfn.XLOOKUP($AC1897,'Client Info'!$C$2:$C$2677,'Client Info'!$F$2:$F$2677,"",0,1))</f>
        <v/>
      </c>
      <c r="AG1897" s="23" t="s">
        <v>3633</v>
      </c>
      <c r="AH1897" s="26" t="str">
        <f>_xlfn.XLOOKUP(Table26[[#This Row],[customerSKU]],customerSKU!G:G,customerSKU!K:K,"NA",0,1)</f>
        <v>NA</v>
      </c>
      <c r="AI1897" s="43" t="str">
        <f>_xlfn.XLOOKUP(Table26[[#This Row],[customerSKU]],customerSKU!G:G,customerSKU!O:O,"not found",0,1)</f>
        <v>not found</v>
      </c>
      <c r="AJ1897" s="22" t="e">
        <f>Table26[[#This Row],[unitprice]]*Table26[[#This Row],[quantity_unit]]</f>
        <v>#VALUE!</v>
      </c>
      <c r="AK1897" s="227" t="e" cm="1">
        <f t="array" ref="AK18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7" s="227"/>
    </row>
    <row r="1898" spans="1:38" ht="24.6" customHeight="1">
      <c r="A1898" s="42">
        <v>370</v>
      </c>
      <c r="B1898" s="42" t="s">
        <v>3520</v>
      </c>
      <c r="C1898" s="53" t="s">
        <v>3488</v>
      </c>
      <c r="E1898" s="20"/>
      <c r="F18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8" s="93"/>
      <c r="I1898" s="232">
        <v>45828</v>
      </c>
      <c r="J1898" s="90" t="str">
        <f>IF(Table26[[#This Row],[customerSKU]]="","",_xlfn.XLOOKUP(Table26[[#This Row],[customerSKU]],customerSKU!G:G,customerSKU!A:A,"",0,1))</f>
        <v/>
      </c>
      <c r="K1898" s="232">
        <v>45828</v>
      </c>
      <c r="L1898" s="49" t="str">
        <f>IF(Table26[[#This Row],[customerSKU]]="","",_xlfn.XLOOKUP(Table26[[#This Row],[customerSKU]],customerSKU!G:G,customerSKU!B:B,"",0,1))</f>
        <v/>
      </c>
      <c r="M1898" s="22"/>
      <c r="N1898" s="15" t="str">
        <f>Table26[[#This Row],[po_number]]&amp;"-"&amp;Table26[[#This Row],[po_line]]</f>
        <v>-9</v>
      </c>
      <c r="O1898" s="15">
        <v>9</v>
      </c>
      <c r="P1898" s="50"/>
      <c r="Q1898" s="350" t="s">
        <v>547</v>
      </c>
      <c r="R1898" s="22" t="s">
        <v>532</v>
      </c>
      <c r="S1898" s="90" t="str">
        <f>IF(Table26[[#This Row],[customerSKU]]="","",_xlfn.XLOOKUP(Table26[[#This Row],[customerSKU]],customerSKU!G:G,customerSKU!N:N,"NOT FOUND",0,1))</f>
        <v>NOT FOUND</v>
      </c>
      <c r="T1898" s="20">
        <v>45802</v>
      </c>
      <c r="U1898" s="94">
        <v>30</v>
      </c>
      <c r="V1898" s="22" t="str">
        <f>IF(ISBLANK(Table26[[#This Row],[customerSKU]]),"",_xlfn.XLOOKUP(Table26[[#This Row],[customerSKU]],Table27[customer_SKU],Table27[case_size],"",0,1))</f>
        <v/>
      </c>
      <c r="W1898" s="117" t="str">
        <f t="shared" si="77"/>
        <v/>
      </c>
      <c r="X1898" s="22" t="str">
        <f t="shared" si="76"/>
        <v/>
      </c>
      <c r="Y1898" s="25" t="str">
        <f>IF(Table26[[#This Row],[customerSKU]]="","",_xlfn.XLOOKUP(Table26[[#This Row],[customerSKU]],Table27[customer_SKU],Table27[product_GTIN],"",0,1))</f>
        <v/>
      </c>
      <c r="Z1898" s="25" t="s">
        <v>3685</v>
      </c>
      <c r="AA1898" s="18" t="str" cm="1">
        <f t="array" ref="AA1898">IF(P1898="", "", _xlfn.XLOOKUP(P1898,#REF!,#REF!,NA,0,-1))</f>
        <v/>
      </c>
      <c r="AB1898" s="22"/>
      <c r="AC1898" s="23" t="s">
        <v>3633</v>
      </c>
      <c r="AD1898" s="23" t="str">
        <f>IF($AC1898="","",_xlfn.XLOOKUP($AC1898,'Client Info'!$C$2:$C$2497,'Client Info'!$D$2:$D$2497,"",0,1))</f>
        <v/>
      </c>
      <c r="AE1898" s="23" t="str">
        <f>IF($AC1898="","",_xlfn.XLOOKUP($AC1898,'Client Info'!$C$2:$C$2677,'Client Info'!$E$2:$E$2677,"",))</f>
        <v/>
      </c>
      <c r="AF1898" s="23" t="str">
        <f>IF($AC1898="","",_xlfn.XLOOKUP($AC1898,'Client Info'!$C$2:$C$2677,'Client Info'!$F$2:$F$2677,"",0,1))</f>
        <v/>
      </c>
      <c r="AG1898" s="23" t="s">
        <v>3633</v>
      </c>
      <c r="AH1898" s="26" t="str">
        <f>_xlfn.XLOOKUP(Table26[[#This Row],[customerSKU]],customerSKU!G:G,customerSKU!K:K,"NA",0,1)</f>
        <v>NA</v>
      </c>
      <c r="AI1898" s="43" t="str">
        <f>_xlfn.XLOOKUP(Table26[[#This Row],[customerSKU]],customerSKU!G:G,customerSKU!O:O,"not found",0,1)</f>
        <v>not found</v>
      </c>
      <c r="AJ1898" s="22" t="e">
        <f>Table26[[#This Row],[unitprice]]*Table26[[#This Row],[quantity_unit]]</f>
        <v>#VALUE!</v>
      </c>
      <c r="AK1898" s="227" t="e" cm="1">
        <f t="array" ref="AK18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8" s="227"/>
    </row>
    <row r="1899" spans="1:38" ht="24.6" customHeight="1">
      <c r="A1899" s="42">
        <v>340</v>
      </c>
      <c r="B1899" s="42" t="s">
        <v>3520</v>
      </c>
      <c r="C1899" s="53" t="s">
        <v>3488</v>
      </c>
      <c r="E1899" s="20"/>
      <c r="F18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899" s="93"/>
      <c r="I1899" s="232">
        <v>45827</v>
      </c>
      <c r="J1899" s="90" t="str">
        <f>IF(Table26[[#This Row],[customerSKU]]="","",_xlfn.XLOOKUP(Table26[[#This Row],[customerSKU]],customerSKU!G:G,customerSKU!A:A,"",0,1))</f>
        <v/>
      </c>
      <c r="K1899" s="232">
        <v>45831</v>
      </c>
      <c r="L1899" s="49" t="str">
        <f>IF(Table26[[#This Row],[customerSKU]]="","",_xlfn.XLOOKUP(Table26[[#This Row],[customerSKU]],customerSKU!G:G,customerSKU!B:B,"",0,1))</f>
        <v/>
      </c>
      <c r="M1899" s="4"/>
      <c r="N1899" s="4" t="str">
        <f>Table26[[#This Row],[po_number]]&amp;"-"&amp;Table26[[#This Row],[po_line]]</f>
        <v>-1</v>
      </c>
      <c r="O1899" s="4">
        <v>1</v>
      </c>
      <c r="P1899" s="50"/>
      <c r="Q1899" s="22" t="s">
        <v>551</v>
      </c>
      <c r="R1899" s="22" t="s">
        <v>532</v>
      </c>
      <c r="S1899" s="90" t="str">
        <f>IF(Table26[[#This Row],[customerSKU]]="","",_xlfn.XLOOKUP(Table26[[#This Row],[customerSKU]],customerSKU!G:G,customerSKU!N:N,"NOT FOUND",0,1))</f>
        <v>NOT FOUND</v>
      </c>
      <c r="T1899" s="20">
        <v>45779</v>
      </c>
      <c r="U1899" s="94">
        <v>24</v>
      </c>
      <c r="V1899" s="22" t="str">
        <f>IF(ISBLANK(Table26[[#This Row],[customerSKU]]),"",_xlfn.XLOOKUP(Table26[[#This Row],[customerSKU]],Table27[customer_SKU],Table27[case_size],"",0,1))</f>
        <v/>
      </c>
      <c r="W1899" s="117" t="str">
        <f t="shared" si="77"/>
        <v/>
      </c>
      <c r="X1899" s="22" t="str">
        <f t="shared" si="76"/>
        <v/>
      </c>
      <c r="Y1899" s="25" t="str">
        <f>IF(Table26[[#This Row],[customerSKU]]="","",_xlfn.XLOOKUP(Table26[[#This Row],[customerSKU]],Table27[customer_SKU],Table27[product_GTIN],"",0,1))</f>
        <v/>
      </c>
      <c r="Z1899" s="25" t="s">
        <v>3550</v>
      </c>
      <c r="AA1899" s="18" t="str" cm="1">
        <f t="array" ref="AA1899">IF(P1899="", "", _xlfn.XLOOKUP(P1899,#REF!,#REF!,NA,0,-1))</f>
        <v/>
      </c>
      <c r="AB1899" s="22"/>
      <c r="AC1899" s="23" t="s">
        <v>3604</v>
      </c>
      <c r="AD1899" s="23" t="str">
        <f>IF($AC1899="","",_xlfn.XLOOKUP($AC1899,'Client Info'!$C$2:$C$2497,'Client Info'!$D$2:$D$2497,"",0,1))</f>
        <v/>
      </c>
      <c r="AE1899" s="23" t="str">
        <f>IF($AC1899="","",_xlfn.XLOOKUP($AC1899,'Client Info'!$C$2:$C$2677,'Client Info'!$E$2:$E$2677,"",))</f>
        <v/>
      </c>
      <c r="AF1899" s="23" t="str">
        <f>IF($AC1899="","",_xlfn.XLOOKUP($AC1899,'Client Info'!$C$2:$C$2677,'Client Info'!$F$2:$F$2677,"",0,1))</f>
        <v/>
      </c>
      <c r="AG1899" s="23" t="s">
        <v>3604</v>
      </c>
      <c r="AH1899" s="26" t="str">
        <f>_xlfn.XLOOKUP(Table26[[#This Row],[customerSKU]],customerSKU!G:G,customerSKU!K:K,"NA",0,1)</f>
        <v>NA</v>
      </c>
      <c r="AI1899" s="43" t="str">
        <f>_xlfn.XLOOKUP(Table26[[#This Row],[customerSKU]],customerSKU!G:G,customerSKU!O:O,"not found",0,1)</f>
        <v>not found</v>
      </c>
      <c r="AJ1899" s="22" t="e">
        <f>Table26[[#This Row],[unitprice]]*Table26[[#This Row],[quantity_unit]]</f>
        <v>#VALUE!</v>
      </c>
      <c r="AK1899" s="227" t="e" cm="1">
        <f t="array" ref="AK18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899" s="227"/>
    </row>
    <row r="1900" spans="1:38" ht="24.6" customHeight="1">
      <c r="A1900" s="42">
        <v>341</v>
      </c>
      <c r="B1900" s="42" t="s">
        <v>3520</v>
      </c>
      <c r="C1900" s="53" t="s">
        <v>3488</v>
      </c>
      <c r="E1900" s="20"/>
      <c r="F19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0" s="93"/>
      <c r="I1900" s="232">
        <v>45827</v>
      </c>
      <c r="J1900" s="90" t="str">
        <f>IF(Table26[[#This Row],[customerSKU]]="","",_xlfn.XLOOKUP(Table26[[#This Row],[customerSKU]],customerSKU!G:G,customerSKU!A:A,"",0,1))</f>
        <v/>
      </c>
      <c r="K1900" s="232">
        <v>45831</v>
      </c>
      <c r="L1900" s="49" t="str">
        <f>IF(Table26[[#This Row],[customerSKU]]="","",_xlfn.XLOOKUP(Table26[[#This Row],[customerSKU]],customerSKU!G:G,customerSKU!B:B,"",0,1))</f>
        <v/>
      </c>
      <c r="M1900" s="22"/>
      <c r="N1900" s="15" t="str">
        <f>Table26[[#This Row],[po_number]]&amp;"-"&amp;Table26[[#This Row],[po_line]]</f>
        <v>-2</v>
      </c>
      <c r="O1900" s="15">
        <v>2</v>
      </c>
      <c r="P1900" s="50"/>
      <c r="Q1900" s="22" t="s">
        <v>869</v>
      </c>
      <c r="R1900" s="22" t="s">
        <v>532</v>
      </c>
      <c r="S1900" s="90" t="str">
        <f>IF(Table26[[#This Row],[customerSKU]]="","",_xlfn.XLOOKUP(Table26[[#This Row],[customerSKU]],customerSKU!G:G,customerSKU!N:N,"NOT FOUND",0,1))</f>
        <v>NOT FOUND</v>
      </c>
      <c r="T1900" s="20">
        <v>45828</v>
      </c>
      <c r="U1900" s="94">
        <v>24</v>
      </c>
      <c r="V1900" s="22" t="str">
        <f>IF(ISBLANK(Table26[[#This Row],[customerSKU]]),"",_xlfn.XLOOKUP(Table26[[#This Row],[customerSKU]],Table27[customer_SKU],Table27[case_size],"",0,1))</f>
        <v/>
      </c>
      <c r="W1900" s="117" t="str">
        <f t="shared" si="77"/>
        <v/>
      </c>
      <c r="X1900" s="22" t="str">
        <f t="shared" si="76"/>
        <v/>
      </c>
      <c r="Y1900" s="25" t="str">
        <f>IF(Table26[[#This Row],[customerSKU]]="","",_xlfn.XLOOKUP(Table26[[#This Row],[customerSKU]],Table27[customer_SKU],Table27[product_GTIN],"",0,1))</f>
        <v/>
      </c>
      <c r="Z1900" s="25" t="s">
        <v>3610</v>
      </c>
      <c r="AA1900" s="18" t="str" cm="1">
        <f t="array" ref="AA1900">IF(P1900="", "", _xlfn.XLOOKUP(P1900,#REF!,#REF!,NA,0,-1))</f>
        <v/>
      </c>
      <c r="AB1900" s="22"/>
      <c r="AC1900" s="23" t="s">
        <v>3604</v>
      </c>
      <c r="AD1900" s="23" t="str">
        <f>IF($AC1900="","",_xlfn.XLOOKUP($AC1900,'Client Info'!$C$2:$C$2497,'Client Info'!$D$2:$D$2497,"",0,1))</f>
        <v/>
      </c>
      <c r="AE1900" s="23" t="str">
        <f>IF($AC1900="","",_xlfn.XLOOKUP($AC1900,'Client Info'!$C$2:$C$2677,'Client Info'!$E$2:$E$2677,"",))</f>
        <v/>
      </c>
      <c r="AF1900" s="23" t="str">
        <f>IF($AC1900="","",_xlfn.XLOOKUP($AC1900,'Client Info'!$C$2:$C$2677,'Client Info'!$F$2:$F$2677,"",0,1))</f>
        <v/>
      </c>
      <c r="AG1900" s="23" t="s">
        <v>3604</v>
      </c>
      <c r="AH1900" s="26" t="str">
        <f>_xlfn.XLOOKUP(Table26[[#This Row],[customerSKU]],customerSKU!G:G,customerSKU!K:K,"NA",0,1)</f>
        <v>NA</v>
      </c>
      <c r="AI1900" s="43" t="str">
        <f>_xlfn.XLOOKUP(Table26[[#This Row],[customerSKU]],customerSKU!G:G,customerSKU!O:O,"not found",0,1)</f>
        <v>not found</v>
      </c>
      <c r="AJ1900" s="22" t="e">
        <f>Table26[[#This Row],[unitprice]]*Table26[[#This Row],[quantity_unit]]</f>
        <v>#VALUE!</v>
      </c>
      <c r="AK1900" s="227" t="e" cm="1">
        <f t="array" ref="AK19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0" s="227"/>
    </row>
    <row r="1901" spans="1:38" ht="24.6" customHeight="1">
      <c r="A1901" s="42">
        <v>342</v>
      </c>
      <c r="B1901" s="42" t="s">
        <v>3520</v>
      </c>
      <c r="C1901" s="53" t="s">
        <v>3488</v>
      </c>
      <c r="E1901" s="20"/>
      <c r="F19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1" s="93"/>
      <c r="I1901" s="232">
        <v>45827</v>
      </c>
      <c r="J1901" s="90" t="str">
        <f>IF(Table26[[#This Row],[customerSKU]]="","",_xlfn.XLOOKUP(Table26[[#This Row],[customerSKU]],customerSKU!G:G,customerSKU!A:A,"",0,1))</f>
        <v/>
      </c>
      <c r="K1901" s="232">
        <v>45831</v>
      </c>
      <c r="L1901" s="49" t="str">
        <f>IF(Table26[[#This Row],[customerSKU]]="","",_xlfn.XLOOKUP(Table26[[#This Row],[customerSKU]],customerSKU!G:G,customerSKU!B:B,"",0,1))</f>
        <v/>
      </c>
      <c r="M1901" s="22"/>
      <c r="N1901" s="15" t="str">
        <f>Table26[[#This Row],[po_number]]&amp;"-"&amp;Table26[[#This Row],[po_line]]</f>
        <v>-3</v>
      </c>
      <c r="O1901" s="15">
        <v>3</v>
      </c>
      <c r="P1901" s="50"/>
      <c r="Q1901" s="22" t="s">
        <v>1134</v>
      </c>
      <c r="R1901" s="22" t="s">
        <v>532</v>
      </c>
      <c r="S1901" s="90" t="str">
        <f>IF(Table26[[#This Row],[customerSKU]]="","",_xlfn.XLOOKUP(Table26[[#This Row],[customerSKU]],customerSKU!G:G,customerSKU!N:N,"NOT FOUND",0,1))</f>
        <v>NOT FOUND</v>
      </c>
      <c r="T1901" s="20">
        <v>45581</v>
      </c>
      <c r="U1901" s="94">
        <v>12</v>
      </c>
      <c r="V1901" s="22" t="str">
        <f>IF(ISBLANK(Table26[[#This Row],[customerSKU]]),"",_xlfn.XLOOKUP(Table26[[#This Row],[customerSKU]],Table27[customer_SKU],Table27[case_size],"",0,1))</f>
        <v/>
      </c>
      <c r="W1901" s="117" t="str">
        <f t="shared" si="77"/>
        <v/>
      </c>
      <c r="X1901" s="22" t="str">
        <f t="shared" si="76"/>
        <v/>
      </c>
      <c r="Y1901" s="25" t="str">
        <f>IF(Table26[[#This Row],[customerSKU]]="","",_xlfn.XLOOKUP(Table26[[#This Row],[customerSKU]],Table27[customer_SKU],Table27[product_GTIN],"",0,1))</f>
        <v/>
      </c>
      <c r="Z1901" s="25" t="s">
        <v>3535</v>
      </c>
      <c r="AA1901" s="18" t="str" cm="1">
        <f t="array" ref="AA1901">IF(P1901="", "", _xlfn.XLOOKUP(P1901,#REF!,#REF!,NA,0,-1))</f>
        <v/>
      </c>
      <c r="AB1901" s="22" t="s">
        <v>14</v>
      </c>
      <c r="AC1901" s="23" t="s">
        <v>3604</v>
      </c>
      <c r="AD1901" s="23" t="str">
        <f>IF($AC1901="","",_xlfn.XLOOKUP($AC1901,'Client Info'!$C$2:$C$2497,'Client Info'!$D$2:$D$2497,"",0,1))</f>
        <v/>
      </c>
      <c r="AE1901" s="23" t="str">
        <f>IF($AC1901="","",_xlfn.XLOOKUP($AC1901,'Client Info'!$C$2:$C$2677,'Client Info'!$E$2:$E$2677,"",))</f>
        <v/>
      </c>
      <c r="AF1901" s="23" t="str">
        <f>IF($AC1901="","",_xlfn.XLOOKUP($AC1901,'Client Info'!$C$2:$C$2677,'Client Info'!$F$2:$F$2677,"",0,1))</f>
        <v/>
      </c>
      <c r="AG1901" s="23" t="s">
        <v>3604</v>
      </c>
      <c r="AH1901" s="26" t="str">
        <f>_xlfn.XLOOKUP(Table26[[#This Row],[customerSKU]],customerSKU!G:G,customerSKU!K:K,"NA",0,1)</f>
        <v>NA</v>
      </c>
      <c r="AI1901" s="43" t="str">
        <f>_xlfn.XLOOKUP(Table26[[#This Row],[customerSKU]],customerSKU!G:G,customerSKU!O:O,"not found",0,1)</f>
        <v>not found</v>
      </c>
      <c r="AJ1901" s="22" t="e">
        <f>Table26[[#This Row],[unitprice]]*Table26[[#This Row],[quantity_unit]]</f>
        <v>#VALUE!</v>
      </c>
      <c r="AK1901" s="227" t="e" cm="1">
        <f t="array" ref="AK19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1" s="227"/>
    </row>
    <row r="1902" spans="1:38" ht="24.6" customHeight="1">
      <c r="A1902" s="42">
        <v>343</v>
      </c>
      <c r="B1902" s="42" t="s">
        <v>3520</v>
      </c>
      <c r="C1902" s="53" t="s">
        <v>3488</v>
      </c>
      <c r="E1902" s="20"/>
      <c r="F19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2" s="93"/>
      <c r="I1902" s="232">
        <v>45827</v>
      </c>
      <c r="J1902" s="90" t="str">
        <f>IF(Table26[[#This Row],[customerSKU]]="","",_xlfn.XLOOKUP(Table26[[#This Row],[customerSKU]],customerSKU!G:G,customerSKU!A:A,"",0,1))</f>
        <v/>
      </c>
      <c r="K1902" s="232">
        <v>45831</v>
      </c>
      <c r="L1902" s="49" t="str">
        <f>IF(Table26[[#This Row],[customerSKU]]="","",_xlfn.XLOOKUP(Table26[[#This Row],[customerSKU]],customerSKU!G:G,customerSKU!B:B,"",0,1))</f>
        <v/>
      </c>
      <c r="M1902" s="4"/>
      <c r="N1902" s="4" t="str">
        <f>Table26[[#This Row],[po_number]]&amp;"-"&amp;Table26[[#This Row],[po_line]]</f>
        <v>-4</v>
      </c>
      <c r="O1902" s="4">
        <v>4</v>
      </c>
      <c r="P1902" s="50"/>
      <c r="Q1902" s="22" t="s">
        <v>3405</v>
      </c>
      <c r="R1902" s="22" t="s">
        <v>532</v>
      </c>
      <c r="S1902" s="90" t="str">
        <f>IF(Table26[[#This Row],[customerSKU]]="","",_xlfn.XLOOKUP(Table26[[#This Row],[customerSKU]],customerSKU!G:G,customerSKU!N:N,"NOT FOUND",0,1))</f>
        <v>NOT FOUND</v>
      </c>
      <c r="T1902" s="20">
        <v>45623</v>
      </c>
      <c r="U1902" s="94">
        <v>24</v>
      </c>
      <c r="V1902" s="22" t="str">
        <f>IF(ISBLANK(Table26[[#This Row],[customerSKU]]),"",_xlfn.XLOOKUP(Table26[[#This Row],[customerSKU]],Table27[customer_SKU],Table27[case_size],"",0,1))</f>
        <v/>
      </c>
      <c r="W1902" s="117" t="str">
        <f t="shared" si="77"/>
        <v/>
      </c>
      <c r="X1902" s="22" t="str">
        <f t="shared" si="76"/>
        <v/>
      </c>
      <c r="Y1902" s="25" t="str">
        <f>IF(Table26[[#This Row],[customerSKU]]="","",_xlfn.XLOOKUP(Table26[[#This Row],[customerSKU]],Table27[customer_SKU],Table27[product_GTIN],"",0,1))</f>
        <v/>
      </c>
      <c r="Z1902" s="25" t="s">
        <v>3535</v>
      </c>
      <c r="AA1902" s="18" t="str" cm="1">
        <f t="array" ref="AA1902">IF(P1902="", "", _xlfn.XLOOKUP(P1902,#REF!,#REF!,NA,0,-1))</f>
        <v/>
      </c>
      <c r="AB1902" s="22" t="s">
        <v>14</v>
      </c>
      <c r="AC1902" s="23" t="s">
        <v>3604</v>
      </c>
      <c r="AD1902" s="23" t="str">
        <f>IF($AC1902="","",_xlfn.XLOOKUP($AC1902,'Client Info'!$C$2:$C$2497,'Client Info'!$D$2:$D$2497,"",0,1))</f>
        <v/>
      </c>
      <c r="AE1902" s="23" t="str">
        <f>IF($AC1902="","",_xlfn.XLOOKUP($AC1902,'Client Info'!$C$2:$C$2677,'Client Info'!$E$2:$E$2677,"",))</f>
        <v/>
      </c>
      <c r="AF1902" s="23" t="str">
        <f>IF($AC1902="","",_xlfn.XLOOKUP($AC1902,'Client Info'!$C$2:$C$2677,'Client Info'!$F$2:$F$2677,"",0,1))</f>
        <v/>
      </c>
      <c r="AG1902" s="23" t="s">
        <v>3604</v>
      </c>
      <c r="AH1902" s="26" t="str">
        <f>_xlfn.XLOOKUP(Table26[[#This Row],[customerSKU]],customerSKU!G:G,customerSKU!K:K,"NA",0,1)</f>
        <v>NA</v>
      </c>
      <c r="AI1902" s="43" t="str">
        <f>_xlfn.XLOOKUP(Table26[[#This Row],[customerSKU]],customerSKU!G:G,customerSKU!O:O,"not found",0,1)</f>
        <v>not found</v>
      </c>
      <c r="AJ1902" s="22" t="e">
        <f>Table26[[#This Row],[unitprice]]*Table26[[#This Row],[quantity_unit]]</f>
        <v>#VALUE!</v>
      </c>
      <c r="AK1902" s="227" t="e" cm="1">
        <f t="array" ref="AK19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2" s="227"/>
    </row>
    <row r="1903" spans="1:38" ht="24.6" customHeight="1">
      <c r="A1903" s="42">
        <v>344</v>
      </c>
      <c r="B1903" s="42" t="s">
        <v>3520</v>
      </c>
      <c r="C1903" s="53" t="s">
        <v>3488</v>
      </c>
      <c r="E1903" s="20"/>
      <c r="F19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3" s="93"/>
      <c r="I1903" s="232">
        <v>45827</v>
      </c>
      <c r="J1903" s="90" t="str">
        <f>IF(Table26[[#This Row],[customerSKU]]="","",_xlfn.XLOOKUP(Table26[[#This Row],[customerSKU]],customerSKU!G:G,customerSKU!A:A,"",0,1))</f>
        <v/>
      </c>
      <c r="K1903" s="232">
        <v>45831</v>
      </c>
      <c r="L1903" s="49" t="str">
        <f>IF(Table26[[#This Row],[customerSKU]]="","",_xlfn.XLOOKUP(Table26[[#This Row],[customerSKU]],customerSKU!G:G,customerSKU!B:B,"",0,1))</f>
        <v/>
      </c>
      <c r="M1903" s="22"/>
      <c r="N1903" s="15" t="str">
        <f>Table26[[#This Row],[po_number]]&amp;"-"&amp;Table26[[#This Row],[po_line]]</f>
        <v>-5</v>
      </c>
      <c r="O1903" s="15">
        <v>5</v>
      </c>
      <c r="P1903" s="50"/>
      <c r="Q1903" s="22" t="s">
        <v>1309</v>
      </c>
      <c r="R1903" s="22" t="s">
        <v>532</v>
      </c>
      <c r="S1903" s="90" t="str">
        <f>IF(Table26[[#This Row],[customerSKU]]="","",_xlfn.XLOOKUP(Table26[[#This Row],[customerSKU]],customerSKU!G:G,customerSKU!N:N,"NOT FOUND",0,1))</f>
        <v>NOT FOUND</v>
      </c>
      <c r="T1903" s="20">
        <v>45623</v>
      </c>
      <c r="U1903" s="94">
        <v>36</v>
      </c>
      <c r="V1903" s="22" t="str">
        <f>IF(ISBLANK(Table26[[#This Row],[customerSKU]]),"",_xlfn.XLOOKUP(Table26[[#This Row],[customerSKU]],Table27[customer_SKU],Table27[case_size],"",0,1))</f>
        <v/>
      </c>
      <c r="W1903" s="117" t="str">
        <f t="shared" si="77"/>
        <v/>
      </c>
      <c r="X1903" s="22" t="str">
        <f t="shared" si="76"/>
        <v/>
      </c>
      <c r="Y1903" s="25" t="str">
        <f>IF(Table26[[#This Row],[customerSKU]]="","",_xlfn.XLOOKUP(Table26[[#This Row],[customerSKU]],Table27[customer_SKU],Table27[product_GTIN],"",0,1))</f>
        <v/>
      </c>
      <c r="Z1903" s="25" t="s">
        <v>3536</v>
      </c>
      <c r="AA1903" s="18" t="str" cm="1">
        <f t="array" ref="AA1903">IF(P1903="", "", _xlfn.XLOOKUP(P1903,#REF!,#REF!,NA,0,-1))</f>
        <v/>
      </c>
      <c r="AB1903" s="22" t="s">
        <v>14</v>
      </c>
      <c r="AC1903" s="23" t="s">
        <v>3604</v>
      </c>
      <c r="AD1903" s="23" t="str">
        <f>IF($AC1903="","",_xlfn.XLOOKUP($AC1903,'Client Info'!$C$2:$C$2497,'Client Info'!$D$2:$D$2497,"",0,1))</f>
        <v/>
      </c>
      <c r="AE1903" s="23" t="str">
        <f>IF($AC1903="","",_xlfn.XLOOKUP($AC1903,'Client Info'!$C$2:$C$2677,'Client Info'!$E$2:$E$2677,"",))</f>
        <v/>
      </c>
      <c r="AF1903" s="23" t="str">
        <f>IF($AC1903="","",_xlfn.XLOOKUP($AC1903,'Client Info'!$C$2:$C$2677,'Client Info'!$F$2:$F$2677,"",0,1))</f>
        <v/>
      </c>
      <c r="AG1903" s="23" t="s">
        <v>3604</v>
      </c>
      <c r="AH1903" s="26" t="str">
        <f>_xlfn.XLOOKUP(Table26[[#This Row],[customerSKU]],customerSKU!G:G,customerSKU!K:K,"NA",0,1)</f>
        <v>NA</v>
      </c>
      <c r="AI1903" s="43" t="str">
        <f>_xlfn.XLOOKUP(Table26[[#This Row],[customerSKU]],customerSKU!G:G,customerSKU!O:O,"not found",0,1)</f>
        <v>not found</v>
      </c>
      <c r="AJ1903" s="22" t="e">
        <f>Table26[[#This Row],[unitprice]]*Table26[[#This Row],[quantity_unit]]</f>
        <v>#VALUE!</v>
      </c>
      <c r="AK1903" s="227" t="e" cm="1">
        <f t="array" ref="AK19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3" s="227"/>
    </row>
    <row r="1904" spans="1:38" ht="24.6" customHeight="1">
      <c r="A1904" s="42">
        <v>345</v>
      </c>
      <c r="B1904" s="42" t="s">
        <v>3520</v>
      </c>
      <c r="C1904" s="53" t="s">
        <v>3427</v>
      </c>
      <c r="E1904" s="20"/>
      <c r="F19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4" s="93"/>
      <c r="I1904" s="232">
        <v>45827</v>
      </c>
      <c r="J1904" s="90" t="str">
        <f>IF(Table26[[#This Row],[customerSKU]]="","",_xlfn.XLOOKUP(Table26[[#This Row],[customerSKU]],customerSKU!G:G,customerSKU!A:A,"",0,1))</f>
        <v/>
      </c>
      <c r="K1904" s="300">
        <v>45831</v>
      </c>
      <c r="L1904" s="49" t="str">
        <f>IF(Table26[[#This Row],[customerSKU]]="","",_xlfn.XLOOKUP(Table26[[#This Row],[customerSKU]],customerSKU!G:G,customerSKU!B:B,"",0,1))</f>
        <v/>
      </c>
      <c r="M1904" s="22"/>
      <c r="N1904" s="15" t="str">
        <f>Table26[[#This Row],[po_number]]&amp;"-"&amp;Table26[[#This Row],[po_line]]</f>
        <v>-1</v>
      </c>
      <c r="O1904" s="15">
        <v>1</v>
      </c>
      <c r="P1904" s="50"/>
      <c r="Q1904" s="22" t="s">
        <v>535</v>
      </c>
      <c r="R1904" s="22" t="s">
        <v>532</v>
      </c>
      <c r="S1904" s="90" t="str">
        <f>IF(Table26[[#This Row],[customerSKU]]="","",_xlfn.XLOOKUP(Table26[[#This Row],[customerSKU]],customerSKU!G:G,customerSKU!N:N,"NOT FOUND",0,1))</f>
        <v>NOT FOUND</v>
      </c>
      <c r="T1904" s="20">
        <v>45630</v>
      </c>
      <c r="U1904" s="94">
        <v>48</v>
      </c>
      <c r="V1904" s="22" t="str">
        <f>IF(ISBLANK(Table26[[#This Row],[customerSKU]]),"",_xlfn.XLOOKUP(Table26[[#This Row],[customerSKU]],Table27[customer_SKU],Table27[case_size],"",0,1))</f>
        <v/>
      </c>
      <c r="W1904" s="117" t="str">
        <f t="shared" si="77"/>
        <v/>
      </c>
      <c r="X1904" s="22" t="str">
        <f t="shared" si="76"/>
        <v/>
      </c>
      <c r="Y1904" s="25" t="str">
        <f>IF(Table26[[#This Row],[customerSKU]]="","",_xlfn.XLOOKUP(Table26[[#This Row],[customerSKU]],Table27[customer_SKU],Table27[product_GTIN],"",0,1))</f>
        <v/>
      </c>
      <c r="Z1904" s="25" t="s">
        <v>3553</v>
      </c>
      <c r="AA1904" s="18" t="str" cm="1">
        <f t="array" ref="AA1904">IF(P1904="", "", _xlfn.XLOOKUP(P1904,#REF!,#REF!,NA,0,-1))</f>
        <v/>
      </c>
      <c r="AB1904" s="22"/>
      <c r="AC1904" s="23" t="s">
        <v>3638</v>
      </c>
      <c r="AD1904" s="23" t="str">
        <f>IF($AC1904="","",_xlfn.XLOOKUP($AC1904,'Client Info'!$C$2:$C$2497,'Client Info'!$D$2:$D$2497,"",0,1))</f>
        <v/>
      </c>
      <c r="AE1904" s="23" t="str">
        <f>IF($AC1904="","",_xlfn.XLOOKUP($AC1904,'Client Info'!$C$2:$C$2677,'Client Info'!$E$2:$E$2677,"",))</f>
        <v/>
      </c>
      <c r="AF1904" s="23" t="str">
        <f>IF($AC1904="","",_xlfn.XLOOKUP($AC1904,'Client Info'!$C$2:$C$2677,'Client Info'!$F$2:$F$2677,"",0,1))</f>
        <v/>
      </c>
      <c r="AG1904" s="23" t="str">
        <f>IF(ISBLANK(Table26[[#This Row],[customerSKU]]),"",_xlfn.XLOOKUP(Table26[[#This Row],[customerSKU]],Table27[customer_SKU],Table27[billto],"",0,1))</f>
        <v/>
      </c>
      <c r="AH1904" s="26" t="str">
        <f>_xlfn.XLOOKUP(Table26[[#This Row],[customerSKU]],customerSKU!G:G,customerSKU!K:K,"NA",0,1)</f>
        <v>NA</v>
      </c>
      <c r="AI1904" s="43" t="str">
        <f>_xlfn.XLOOKUP(Table26[[#This Row],[customerSKU]],customerSKU!G:G,customerSKU!O:O,"not found",0,1)</f>
        <v>not found</v>
      </c>
      <c r="AJ1904" s="22" t="e">
        <f>Table26[[#This Row],[unitprice]]*Table26[[#This Row],[quantity_unit]]</f>
        <v>#VALUE!</v>
      </c>
      <c r="AK1904" s="227" t="e" cm="1">
        <f t="array" ref="AK19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4" s="227"/>
    </row>
    <row r="1905" spans="1:38" ht="24.6" customHeight="1">
      <c r="A1905" s="42">
        <v>346</v>
      </c>
      <c r="B1905" s="42" t="s">
        <v>3520</v>
      </c>
      <c r="C1905" s="53" t="s">
        <v>3488</v>
      </c>
      <c r="E1905" s="20"/>
      <c r="F19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5" s="93"/>
      <c r="I1905" s="203">
        <v>45831</v>
      </c>
      <c r="J1905" s="90" t="str">
        <f>IF(Table26[[#This Row],[customerSKU]]="","",_xlfn.XLOOKUP(Table26[[#This Row],[customerSKU]],customerSKU!G:G,customerSKU!A:A,"",0,1))</f>
        <v/>
      </c>
      <c r="K1905" s="203">
        <v>45831</v>
      </c>
      <c r="L1905" s="49" t="str">
        <f>IF(Table26[[#This Row],[customerSKU]]="","",_xlfn.XLOOKUP(Table26[[#This Row],[customerSKU]],customerSKU!G:G,customerSKU!B:B,"",0,1))</f>
        <v/>
      </c>
      <c r="M1905" s="4"/>
      <c r="N1905" s="4" t="str">
        <f>Table26[[#This Row],[po_number]]&amp;"-"&amp;Table26[[#This Row],[po_line]]</f>
        <v>-1</v>
      </c>
      <c r="O1905" s="4">
        <v>1</v>
      </c>
      <c r="P1905" s="50"/>
      <c r="Q1905" s="22" t="s">
        <v>3284</v>
      </c>
      <c r="R1905" s="22" t="s">
        <v>532</v>
      </c>
      <c r="S1905" s="90" t="str">
        <f>IF(Table26[[#This Row],[customerSKU]]="","",_xlfn.XLOOKUP(Table26[[#This Row],[customerSKU]],customerSKU!G:G,customerSKU!N:N,"NOT FOUND",0,1))</f>
        <v>NOT FOUND</v>
      </c>
      <c r="T1905" s="20">
        <v>45763</v>
      </c>
      <c r="U1905" s="94">
        <v>12</v>
      </c>
      <c r="V1905" s="22" t="str">
        <f>IF(ISBLANK(Table26[[#This Row],[customerSKU]]),"",_xlfn.XLOOKUP(Table26[[#This Row],[customerSKU]],Table27[customer_SKU],Table27[case_size],"",0,1))</f>
        <v/>
      </c>
      <c r="W1905" s="117" t="str">
        <f t="shared" si="77"/>
        <v/>
      </c>
      <c r="X1905" s="22" t="str">
        <f t="shared" si="76"/>
        <v/>
      </c>
      <c r="Y1905" s="25" t="str">
        <f>IF(Table26[[#This Row],[customerSKU]]="","",_xlfn.XLOOKUP(Table26[[#This Row],[customerSKU]],Table27[customer_SKU],Table27[product_GTIN],"",0,1))</f>
        <v/>
      </c>
      <c r="Z1905" s="25" t="s">
        <v>3522</v>
      </c>
      <c r="AA1905" s="18" t="str" cm="1">
        <f t="array" ref="AA1905">IF(P1905="", "", _xlfn.XLOOKUP(P1905,#REF!,#REF!,NA,0,-1))</f>
        <v/>
      </c>
      <c r="AB1905" s="22"/>
      <c r="AC1905" s="23" t="s">
        <v>3598</v>
      </c>
      <c r="AD1905" s="23" t="str">
        <f>IF($AC1905="","",_xlfn.XLOOKUP($AC1905,'Client Info'!$C$2:$C$2497,'Client Info'!$D$2:$D$2497,"",0,1))</f>
        <v/>
      </c>
      <c r="AE1905" s="23" t="str">
        <f>IF($AC1905="","",_xlfn.XLOOKUP($AC1905,'Client Info'!$C$2:$C$2677,'Client Info'!$E$2:$E$2677,"",))</f>
        <v/>
      </c>
      <c r="AF1905" s="23" t="str">
        <f>IF($AC1905="","",_xlfn.XLOOKUP($AC1905,'Client Info'!$C$2:$C$2677,'Client Info'!$F$2:$F$2677,"",0,1))</f>
        <v/>
      </c>
      <c r="AG1905" s="23" t="s">
        <v>3598</v>
      </c>
      <c r="AH1905" s="26" t="str">
        <f>_xlfn.XLOOKUP(Table26[[#This Row],[customerSKU]],customerSKU!G:G,customerSKU!K:K,"NA",0,1)</f>
        <v>NA</v>
      </c>
      <c r="AI1905" s="43" t="str">
        <f>_xlfn.XLOOKUP(Table26[[#This Row],[customerSKU]],customerSKU!G:G,customerSKU!O:O,"not found",0,1)</f>
        <v>not found</v>
      </c>
      <c r="AJ1905" s="22" t="e">
        <f>Table26[[#This Row],[unitprice]]*Table26[[#This Row],[quantity_unit]]</f>
        <v>#VALUE!</v>
      </c>
      <c r="AK1905" s="227" t="e" cm="1">
        <f t="array" ref="AK19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5" s="227"/>
    </row>
    <row r="1906" spans="1:38" ht="24.6" customHeight="1">
      <c r="A1906" s="42">
        <v>347</v>
      </c>
      <c r="B1906" s="42" t="s">
        <v>3520</v>
      </c>
      <c r="C1906" s="53" t="s">
        <v>3488</v>
      </c>
      <c r="E1906" s="20"/>
      <c r="F19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6" s="93"/>
      <c r="I1906" s="203">
        <v>45831</v>
      </c>
      <c r="J1906" s="90" t="str">
        <f>IF(Table26[[#This Row],[customerSKU]]="","",_xlfn.XLOOKUP(Table26[[#This Row],[customerSKU]],customerSKU!G:G,customerSKU!A:A,"",0,1))</f>
        <v/>
      </c>
      <c r="K1906" s="203">
        <v>45831</v>
      </c>
      <c r="L1906" s="49" t="str">
        <f>IF(Table26[[#This Row],[customerSKU]]="","",_xlfn.XLOOKUP(Table26[[#This Row],[customerSKU]],customerSKU!G:G,customerSKU!B:B,"",0,1))</f>
        <v/>
      </c>
      <c r="M1906" s="4"/>
      <c r="N1906" s="4" t="str">
        <f>Table26[[#This Row],[po_number]]&amp;"-"&amp;Table26[[#This Row],[po_line]]</f>
        <v>-2</v>
      </c>
      <c r="O1906" s="4">
        <v>2</v>
      </c>
      <c r="P1906" s="50"/>
      <c r="Q1906" s="22" t="s">
        <v>574</v>
      </c>
      <c r="R1906" s="22" t="s">
        <v>532</v>
      </c>
      <c r="S1906" s="90" t="str">
        <f>IF(Table26[[#This Row],[customerSKU]]="","",_xlfn.XLOOKUP(Table26[[#This Row],[customerSKU]],customerSKU!G:G,customerSKU!N:N,"NOT FOUND",0,1))</f>
        <v>NOT FOUND</v>
      </c>
      <c r="T1906" s="20">
        <v>45818</v>
      </c>
      <c r="U1906" s="94">
        <v>36</v>
      </c>
      <c r="V1906" s="22" t="str">
        <f>IF(ISBLANK(Table26[[#This Row],[customerSKU]]),"",_xlfn.XLOOKUP(Table26[[#This Row],[customerSKU]],Table27[customer_SKU],Table27[case_size],"",0,1))</f>
        <v/>
      </c>
      <c r="W1906" s="117" t="str">
        <f t="shared" si="77"/>
        <v/>
      </c>
      <c r="X1906" s="22" t="str">
        <f t="shared" si="76"/>
        <v/>
      </c>
      <c r="Y1906" s="25" t="str">
        <f>IF(Table26[[#This Row],[customerSKU]]="","",_xlfn.XLOOKUP(Table26[[#This Row],[customerSKU]],Table27[customer_SKU],Table27[product_GTIN],"",0,1))</f>
        <v/>
      </c>
      <c r="Z1906" s="25" t="s">
        <v>3530</v>
      </c>
      <c r="AA1906" s="18" t="str" cm="1">
        <f t="array" ref="AA1906">IF(P1906="", "", _xlfn.XLOOKUP(P1906,#REF!,#REF!,NA,0,-1))</f>
        <v/>
      </c>
      <c r="AB1906" s="22"/>
      <c r="AC1906" s="23" t="s">
        <v>3598</v>
      </c>
      <c r="AD1906" s="23" t="str">
        <f>IF($AC1906="","",_xlfn.XLOOKUP($AC1906,'Client Info'!$C$2:$C$2497,'Client Info'!$D$2:$D$2497,"",0,1))</f>
        <v/>
      </c>
      <c r="AE1906" s="23" t="str">
        <f>IF($AC1906="","",_xlfn.XLOOKUP($AC1906,'Client Info'!$C$2:$C$2677,'Client Info'!$E$2:$E$2677,"",))</f>
        <v/>
      </c>
      <c r="AF1906" s="23" t="str">
        <f>IF($AC1906="","",_xlfn.XLOOKUP($AC1906,'Client Info'!$C$2:$C$2677,'Client Info'!$F$2:$F$2677,"",0,1))</f>
        <v/>
      </c>
      <c r="AG1906" s="23" t="s">
        <v>3598</v>
      </c>
      <c r="AH1906" s="26" t="str">
        <f>_xlfn.XLOOKUP(Table26[[#This Row],[customerSKU]],customerSKU!G:G,customerSKU!K:K,"NA",0,1)</f>
        <v>NA</v>
      </c>
      <c r="AI1906" s="43" t="str">
        <f>_xlfn.XLOOKUP(Table26[[#This Row],[customerSKU]],customerSKU!G:G,customerSKU!O:O,"not found",0,1)</f>
        <v>not found</v>
      </c>
      <c r="AJ1906" s="22" t="e">
        <f>Table26[[#This Row],[unitprice]]*Table26[[#This Row],[quantity_unit]]</f>
        <v>#VALUE!</v>
      </c>
      <c r="AK1906" s="227" t="e" cm="1">
        <f t="array" ref="AK19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6" s="227"/>
    </row>
    <row r="1907" spans="1:38" ht="24.6" customHeight="1">
      <c r="A1907" s="42">
        <v>348</v>
      </c>
      <c r="B1907" s="42" t="s">
        <v>3520</v>
      </c>
      <c r="C1907" s="53" t="s">
        <v>3488</v>
      </c>
      <c r="E1907" s="20"/>
      <c r="F19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7" s="93"/>
      <c r="I1907" s="203">
        <v>45831</v>
      </c>
      <c r="J1907" s="90" t="str">
        <f>IF(Table26[[#This Row],[customerSKU]]="","",_xlfn.XLOOKUP(Table26[[#This Row],[customerSKU]],customerSKU!G:G,customerSKU!A:A,"",0,1))</f>
        <v/>
      </c>
      <c r="K1907" s="203">
        <v>45831</v>
      </c>
      <c r="L1907" s="49" t="str">
        <f>IF(Table26[[#This Row],[customerSKU]]="","",_xlfn.XLOOKUP(Table26[[#This Row],[customerSKU]],customerSKU!G:G,customerSKU!B:B,"",0,1))</f>
        <v/>
      </c>
      <c r="M1907" s="4"/>
      <c r="N1907" s="4" t="str">
        <f>Table26[[#This Row],[po_number]]&amp;"-"&amp;Table26[[#This Row],[po_line]]</f>
        <v>-3</v>
      </c>
      <c r="O1907" s="4">
        <v>3</v>
      </c>
      <c r="P1907" s="50"/>
      <c r="Q1907" s="22" t="s">
        <v>3405</v>
      </c>
      <c r="R1907" s="22" t="s">
        <v>532</v>
      </c>
      <c r="S1907" s="90" t="str">
        <f>IF(Table26[[#This Row],[customerSKU]]="","",_xlfn.XLOOKUP(Table26[[#This Row],[customerSKU]],customerSKU!G:G,customerSKU!N:N,"NOT FOUND",0,1))</f>
        <v>NOT FOUND</v>
      </c>
      <c r="T1907" s="20">
        <v>45623</v>
      </c>
      <c r="U1907" s="94">
        <v>12</v>
      </c>
      <c r="V1907" s="22" t="str">
        <f>IF(ISBLANK(Table26[[#This Row],[customerSKU]]),"",_xlfn.XLOOKUP(Table26[[#This Row],[customerSKU]],Table27[customer_SKU],Table27[case_size],"",0,1))</f>
        <v/>
      </c>
      <c r="W1907" s="117" t="str">
        <f t="shared" si="77"/>
        <v/>
      </c>
      <c r="X1907" s="22" t="str">
        <f t="shared" si="76"/>
        <v/>
      </c>
      <c r="Y1907" s="25" t="str">
        <f>IF(Table26[[#This Row],[customerSKU]]="","",_xlfn.XLOOKUP(Table26[[#This Row],[customerSKU]],Table27[customer_SKU],Table27[product_GTIN],"",0,1))</f>
        <v/>
      </c>
      <c r="Z1907" s="25" t="s">
        <v>3535</v>
      </c>
      <c r="AA1907" s="18" t="str" cm="1">
        <f t="array" ref="AA1907">IF(P1907="", "", _xlfn.XLOOKUP(P1907,#REF!,#REF!,NA,0,-1))</f>
        <v/>
      </c>
      <c r="AB1907" s="22"/>
      <c r="AC1907" s="23" t="s">
        <v>3598</v>
      </c>
      <c r="AD1907" s="259" t="str">
        <f>IF($AC1907="","",_xlfn.XLOOKUP($AC1907,'Client Info'!$C$2:$C$2497,'Client Info'!$D$2:$D$2497,"",0,1))</f>
        <v/>
      </c>
      <c r="AE1907" s="259" t="str">
        <f>IF($AC1907="","",_xlfn.XLOOKUP($AC1907,'Client Info'!$C$2:$C$2677,'Client Info'!$E$2:$E$2677,"",))</f>
        <v/>
      </c>
      <c r="AF1907" s="259" t="str">
        <f>IF($AC1907="","",_xlfn.XLOOKUP($AC1907,'Client Info'!$C$2:$C$2677,'Client Info'!$F$2:$F$2677,"",0,1))</f>
        <v/>
      </c>
      <c r="AG1907" s="259" t="s">
        <v>3598</v>
      </c>
      <c r="AH1907" s="26" t="str">
        <f>_xlfn.XLOOKUP(Table26[[#This Row],[customerSKU]],customerSKU!G:G,customerSKU!K:K,"NA",0,1)</f>
        <v>NA</v>
      </c>
      <c r="AI1907" s="43" t="str">
        <f>_xlfn.XLOOKUP(Table26[[#This Row],[customerSKU]],customerSKU!G:G,customerSKU!O:O,"not found",0,1)</f>
        <v>not found</v>
      </c>
      <c r="AJ1907" s="22" t="e">
        <f>Table26[[#This Row],[unitprice]]*Table26[[#This Row],[quantity_unit]]</f>
        <v>#VALUE!</v>
      </c>
      <c r="AK1907" s="227" t="e" cm="1">
        <f t="array" ref="AK19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7" s="227"/>
    </row>
    <row r="1908" spans="1:38" ht="24.6" customHeight="1">
      <c r="A1908" s="42">
        <v>349</v>
      </c>
      <c r="B1908" s="42" t="s">
        <v>3520</v>
      </c>
      <c r="C1908" s="53" t="s">
        <v>3488</v>
      </c>
      <c r="E1908" s="20"/>
      <c r="F19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8" s="93"/>
      <c r="I1908" s="203">
        <v>45831</v>
      </c>
      <c r="J1908" s="90" t="str">
        <f>IF(Table26[[#This Row],[customerSKU]]="","",_xlfn.XLOOKUP(Table26[[#This Row],[customerSKU]],customerSKU!G:G,customerSKU!A:A,"",0,1))</f>
        <v/>
      </c>
      <c r="K1908" s="203">
        <v>45831</v>
      </c>
      <c r="L1908" s="49" t="str">
        <f>IF(Table26[[#This Row],[customerSKU]]="","",_xlfn.XLOOKUP(Table26[[#This Row],[customerSKU]],customerSKU!G:G,customerSKU!B:B,"",0,1))</f>
        <v/>
      </c>
      <c r="M1908" s="4"/>
      <c r="N1908" s="4" t="str">
        <f>Table26[[#This Row],[po_number]]&amp;"-"&amp;Table26[[#This Row],[po_line]]</f>
        <v>-1</v>
      </c>
      <c r="O1908" s="4">
        <v>1</v>
      </c>
      <c r="P1908" s="50"/>
      <c r="Q1908" s="22" t="s">
        <v>591</v>
      </c>
      <c r="R1908" s="22" t="s">
        <v>532</v>
      </c>
      <c r="S1908" s="90" t="str">
        <f>IF(Table26[[#This Row],[customerSKU]]="","",_xlfn.XLOOKUP(Table26[[#This Row],[customerSKU]],customerSKU!G:G,customerSKU!N:N,"NOT FOUND",0,1))</f>
        <v>NOT FOUND</v>
      </c>
      <c r="T1908" s="20">
        <v>45783</v>
      </c>
      <c r="U1908" s="94">
        <v>24</v>
      </c>
      <c r="V1908" s="22">
        <v>12</v>
      </c>
      <c r="W1908" s="117">
        <f t="shared" si="77"/>
        <v>2</v>
      </c>
      <c r="X1908" s="22" t="str">
        <f t="shared" si="76"/>
        <v/>
      </c>
      <c r="Y1908" s="25" t="str">
        <f>IF(Table26[[#This Row],[customerSKU]]="","",_xlfn.XLOOKUP(Table26[[#This Row],[customerSKU]],Table27[customer_SKU],Table27[product_GTIN],"",0,1))</f>
        <v/>
      </c>
      <c r="Z1908" s="25" t="s">
        <v>3525</v>
      </c>
      <c r="AA1908" s="18" t="str" cm="1">
        <f t="array" ref="AA1908">IF(P1908="", "", _xlfn.XLOOKUP(P1908,#REF!,#REF!,NA,0,-1))</f>
        <v/>
      </c>
      <c r="AB1908" s="22"/>
      <c r="AC1908" s="23" t="s">
        <v>140</v>
      </c>
      <c r="AD1908" s="23" t="str">
        <f>IF($AC1908="","",_xlfn.XLOOKUP($AC1908,'Client Info'!$C$2:$C$2497,'Client Info'!$D$2:$D$2497,"",0,1))</f>
        <v/>
      </c>
      <c r="AE1908" s="23" t="str">
        <f>IF($AC1908="","",_xlfn.XLOOKUP($AC1908,'Client Info'!$C$2:$C$2677,'Client Info'!$E$2:$E$2677,"",))</f>
        <v/>
      </c>
      <c r="AF1908" s="23" t="str">
        <f>IF($AC1908="","",_xlfn.XLOOKUP($AC1908,'Client Info'!$C$2:$C$2677,'Client Info'!$F$2:$F$2677,"",0,1))</f>
        <v/>
      </c>
      <c r="AG1908" s="23" t="s">
        <v>140</v>
      </c>
      <c r="AH1908" s="26" t="str">
        <f>_xlfn.XLOOKUP(Table26[[#This Row],[customerSKU]],customerSKU!G:G,customerSKU!K:K,"NA",0,1)</f>
        <v>NA</v>
      </c>
      <c r="AI1908" s="43" t="str">
        <f>_xlfn.XLOOKUP(Table26[[#This Row],[customerSKU]],customerSKU!G:G,customerSKU!O:O,"not found",0,1)</f>
        <v>not found</v>
      </c>
      <c r="AJ1908" s="22" t="e">
        <f>Table26[[#This Row],[unitprice]]*Table26[[#This Row],[quantity_unit]]</f>
        <v>#VALUE!</v>
      </c>
      <c r="AK1908" s="227" t="e" cm="1">
        <f t="array" ref="AK19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8" s="227"/>
    </row>
    <row r="1909" spans="1:38" ht="24.6" customHeight="1">
      <c r="A1909" s="42">
        <v>350</v>
      </c>
      <c r="B1909" s="42" t="s">
        <v>3520</v>
      </c>
      <c r="C1909" s="53" t="s">
        <v>3488</v>
      </c>
      <c r="E1909" s="20"/>
      <c r="F19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09" s="93"/>
      <c r="I1909" s="203">
        <v>45831</v>
      </c>
      <c r="J1909" s="90" t="str">
        <f>IF(Table26[[#This Row],[customerSKU]]="","",_xlfn.XLOOKUP(Table26[[#This Row],[customerSKU]],customerSKU!G:G,customerSKU!A:A,"",0,1))</f>
        <v/>
      </c>
      <c r="K1909" s="203">
        <v>45831</v>
      </c>
      <c r="L1909" s="49" t="str">
        <f>IF(Table26[[#This Row],[customerSKU]]="","",_xlfn.XLOOKUP(Table26[[#This Row],[customerSKU]],customerSKU!G:G,customerSKU!B:B,"",0,1))</f>
        <v/>
      </c>
      <c r="M1909" s="4"/>
      <c r="N1909" s="4" t="str">
        <f>Table26[[#This Row],[po_number]]&amp;"-"&amp;Table26[[#This Row],[po_line]]</f>
        <v>-2</v>
      </c>
      <c r="O1909" s="4">
        <v>2</v>
      </c>
      <c r="P1909" s="50"/>
      <c r="Q1909" s="22" t="s">
        <v>574</v>
      </c>
      <c r="R1909" s="22" t="s">
        <v>532</v>
      </c>
      <c r="S1909" s="90" t="str">
        <f>IF(Table26[[#This Row],[customerSKU]]="","",_xlfn.XLOOKUP(Table26[[#This Row],[customerSKU]],customerSKU!G:G,customerSKU!N:N,"NOT FOUND",0,1))</f>
        <v>NOT FOUND</v>
      </c>
      <c r="T1909" s="20">
        <v>45818</v>
      </c>
      <c r="U1909" s="94">
        <v>12</v>
      </c>
      <c r="V1909" s="22" t="str">
        <f>IF(ISBLANK(Table26[[#This Row],[customerSKU]]),"",_xlfn.XLOOKUP(Table26[[#This Row],[customerSKU]],Table27[customer_SKU],Table27[case_size],"",0,1))</f>
        <v/>
      </c>
      <c r="W1909" s="117" t="str">
        <f t="shared" si="77"/>
        <v/>
      </c>
      <c r="X1909" s="22" t="str">
        <f t="shared" si="76"/>
        <v/>
      </c>
      <c r="Y1909" s="25" t="str">
        <f>IF(Table26[[#This Row],[customerSKU]]="","",_xlfn.XLOOKUP(Table26[[#This Row],[customerSKU]],Table27[customer_SKU],Table27[product_GTIN],"",0,1))</f>
        <v/>
      </c>
      <c r="Z1909" s="25" t="s">
        <v>3530</v>
      </c>
      <c r="AA1909" s="18" t="str" cm="1">
        <f t="array" ref="AA1909">IF(P1909="", "", _xlfn.XLOOKUP(P1909,#REF!,#REF!,NA,0,-1))</f>
        <v/>
      </c>
      <c r="AB1909" s="22"/>
      <c r="AC1909" s="23" t="s">
        <v>140</v>
      </c>
      <c r="AD1909" s="23" t="str">
        <f>IF($AC1909="","",_xlfn.XLOOKUP($AC1909,'Client Info'!$C$2:$C$2497,'Client Info'!$D$2:$D$2497,"",0,1))</f>
        <v/>
      </c>
      <c r="AE1909" s="23" t="str">
        <f>IF($AC1909="","",_xlfn.XLOOKUP($AC1909,'Client Info'!$C$2:$C$2677,'Client Info'!$E$2:$E$2677,"",))</f>
        <v/>
      </c>
      <c r="AF1909" s="23" t="str">
        <f>IF($AC1909="","",_xlfn.XLOOKUP($AC1909,'Client Info'!$C$2:$C$2677,'Client Info'!$F$2:$F$2677,"",0,1))</f>
        <v/>
      </c>
      <c r="AG1909" s="23" t="s">
        <v>140</v>
      </c>
      <c r="AH1909" s="26" t="str">
        <f>_xlfn.XLOOKUP(Table26[[#This Row],[customerSKU]],customerSKU!G:G,customerSKU!K:K,"NA",0,1)</f>
        <v>NA</v>
      </c>
      <c r="AI1909" s="43" t="str">
        <f>_xlfn.XLOOKUP(Table26[[#This Row],[customerSKU]],customerSKU!G:G,customerSKU!O:O,"not found",0,1)</f>
        <v>not found</v>
      </c>
      <c r="AJ1909" s="22" t="e">
        <f>Table26[[#This Row],[unitprice]]*Table26[[#This Row],[quantity_unit]]</f>
        <v>#VALUE!</v>
      </c>
      <c r="AK1909" s="227" t="e" cm="1">
        <f t="array" ref="AK19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09" s="227"/>
    </row>
    <row r="1910" spans="1:38" ht="24.6" customHeight="1">
      <c r="A1910" s="42">
        <v>351</v>
      </c>
      <c r="B1910" s="42" t="s">
        <v>3520</v>
      </c>
      <c r="C1910" s="53" t="s">
        <v>3488</v>
      </c>
      <c r="E1910" s="20"/>
      <c r="F19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0" s="93"/>
      <c r="I1910" s="203">
        <v>45831</v>
      </c>
      <c r="J1910" s="90" t="str">
        <f>IF(Table26[[#This Row],[customerSKU]]="","",_xlfn.XLOOKUP(Table26[[#This Row],[customerSKU]],customerSKU!G:G,customerSKU!A:A,"",0,1))</f>
        <v/>
      </c>
      <c r="K1910" s="203">
        <v>45831</v>
      </c>
      <c r="L1910" s="49" t="str">
        <f>IF(Table26[[#This Row],[customerSKU]]="","",_xlfn.XLOOKUP(Table26[[#This Row],[customerSKU]],customerSKU!G:G,customerSKU!B:B,"",0,1))</f>
        <v/>
      </c>
      <c r="M1910" s="22"/>
      <c r="N1910" s="15" t="str">
        <f>Table26[[#This Row],[po_number]]&amp;"-"&amp;Table26[[#This Row],[po_line]]</f>
        <v>-3</v>
      </c>
      <c r="O1910" s="15">
        <v>3</v>
      </c>
      <c r="P1910" s="50"/>
      <c r="Q1910" s="22" t="s">
        <v>1823</v>
      </c>
      <c r="R1910" s="22" t="s">
        <v>532</v>
      </c>
      <c r="S1910" s="90" t="str">
        <f>IF(Table26[[#This Row],[customerSKU]]="","",_xlfn.XLOOKUP(Table26[[#This Row],[customerSKU]],customerSKU!G:G,customerSKU!N:N,"NOT FOUND",0,1))</f>
        <v>NOT FOUND</v>
      </c>
      <c r="T1910" s="20">
        <v>45831</v>
      </c>
      <c r="U1910" s="94">
        <v>24</v>
      </c>
      <c r="V1910" s="22">
        <v>12</v>
      </c>
      <c r="W1910" s="117">
        <f t="shared" si="77"/>
        <v>2</v>
      </c>
      <c r="X1910" s="22" t="str">
        <f t="shared" si="76"/>
        <v/>
      </c>
      <c r="Y1910" s="25" t="str">
        <f>IF(Table26[[#This Row],[customerSKU]]="","",_xlfn.XLOOKUP(Table26[[#This Row],[customerSKU]],Table27[customer_SKU],Table27[product_GTIN],"",0,1))</f>
        <v/>
      </c>
      <c r="Z1910" s="25" t="s">
        <v>3690</v>
      </c>
      <c r="AA1910" s="18" t="str" cm="1">
        <f t="array" ref="AA1910">IF(P1910="", "", _xlfn.XLOOKUP(P1910,#REF!,#REF!,NA,0,-1))</f>
        <v/>
      </c>
      <c r="AB1910" s="22"/>
      <c r="AC1910" s="23" t="s">
        <v>140</v>
      </c>
      <c r="AD1910" s="23" t="str">
        <f>IF($AC1910="","",_xlfn.XLOOKUP($AC1910,'Client Info'!$C$2:$C$2497,'Client Info'!$D$2:$D$2497,"",0,1))</f>
        <v/>
      </c>
      <c r="AE1910" s="23" t="str">
        <f>IF($AC1910="","",_xlfn.XLOOKUP($AC1910,'Client Info'!$C$2:$C$2677,'Client Info'!$E$2:$E$2677,"",))</f>
        <v/>
      </c>
      <c r="AF1910" s="23" t="str">
        <f>IF($AC1910="","",_xlfn.XLOOKUP($AC1910,'Client Info'!$C$2:$C$2677,'Client Info'!$F$2:$F$2677,"",0,1))</f>
        <v/>
      </c>
      <c r="AG1910" s="23" t="s">
        <v>140</v>
      </c>
      <c r="AH1910" s="26" t="str">
        <f>_xlfn.XLOOKUP(Table26[[#This Row],[customerSKU]],customerSKU!G:G,customerSKU!K:K,"NA",0,1)</f>
        <v>NA</v>
      </c>
      <c r="AI1910" s="43" t="str">
        <f>_xlfn.XLOOKUP(Table26[[#This Row],[customerSKU]],customerSKU!G:G,customerSKU!O:O,"not found",0,1)</f>
        <v>not found</v>
      </c>
      <c r="AJ1910" s="22" t="e">
        <f>Table26[[#This Row],[unitprice]]*Table26[[#This Row],[quantity_unit]]</f>
        <v>#VALUE!</v>
      </c>
      <c r="AK1910" s="227" t="e" cm="1">
        <f t="array" ref="AK19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0" s="227"/>
    </row>
    <row r="1911" spans="1:38" ht="24.6" customHeight="1">
      <c r="A1911" s="42">
        <v>352</v>
      </c>
      <c r="B1911" s="42" t="s">
        <v>3520</v>
      </c>
      <c r="C1911" s="53" t="s">
        <v>3488</v>
      </c>
      <c r="E1911" s="20"/>
      <c r="F19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1" s="93"/>
      <c r="I1911" s="203">
        <v>45831</v>
      </c>
      <c r="J1911" s="90" t="str">
        <f>IF(Table26[[#This Row],[customerSKU]]="","",_xlfn.XLOOKUP(Table26[[#This Row],[customerSKU]],customerSKU!G:G,customerSKU!A:A,"",0,1))</f>
        <v/>
      </c>
      <c r="K1911" s="203">
        <v>45831</v>
      </c>
      <c r="L1911" s="49" t="str">
        <f>IF(Table26[[#This Row],[customerSKU]]="","",_xlfn.XLOOKUP(Table26[[#This Row],[customerSKU]],customerSKU!G:G,customerSKU!B:B,"",0,1))</f>
        <v/>
      </c>
      <c r="M1911" s="22"/>
      <c r="N1911" s="15" t="str">
        <f>Table26[[#This Row],[po_number]]&amp;"-"&amp;Table26[[#This Row],[po_line]]</f>
        <v>-1</v>
      </c>
      <c r="O1911" s="15">
        <v>1</v>
      </c>
      <c r="P1911" s="50"/>
      <c r="Q1911" s="22" t="s">
        <v>595</v>
      </c>
      <c r="R1911" s="22" t="s">
        <v>532</v>
      </c>
      <c r="S1911" s="90" t="str">
        <f>IF(Table26[[#This Row],[customerSKU]]="","",_xlfn.XLOOKUP(Table26[[#This Row],[customerSKU]],customerSKU!G:G,customerSKU!N:N,"NOT FOUND",0,1))</f>
        <v>NOT FOUND</v>
      </c>
      <c r="T1911" s="20">
        <v>45786</v>
      </c>
      <c r="U1911" s="94">
        <v>36</v>
      </c>
      <c r="V1911" s="22">
        <v>12</v>
      </c>
      <c r="W1911" s="117">
        <f t="shared" si="77"/>
        <v>3</v>
      </c>
      <c r="X1911" s="22" t="str">
        <f t="shared" si="76"/>
        <v/>
      </c>
      <c r="Y1911" s="25" t="str">
        <f>IF(Table26[[#This Row],[customerSKU]]="","",_xlfn.XLOOKUP(Table26[[#This Row],[customerSKU]],Table27[customer_SKU],Table27[product_GTIN],"",0,1))</f>
        <v/>
      </c>
      <c r="Z1911" s="25" t="s">
        <v>3691</v>
      </c>
      <c r="AA1911" s="18" t="str" cm="1">
        <f t="array" ref="AA1911">IF(P1911="", "", _xlfn.XLOOKUP(P1911,#REF!,#REF!,NA,0,-1))</f>
        <v/>
      </c>
      <c r="AB1911" s="22"/>
      <c r="AC1911" s="23" t="str">
        <f>IF(Table26[[#This Row],[customerSKU]]="","",_xlfn.XLOOKUP(Table26[[#This Row],[customerSKU]],customerSKU!G:G,customerSKU!C:C,"",0,1))</f>
        <v/>
      </c>
      <c r="AD1911" s="23" t="str">
        <f>IF($AC1911="","",_xlfn.XLOOKUP($AC1911,'Client Info'!$C$2:$C$2497,'Client Info'!$D$2:$D$2497,"",0,1))</f>
        <v/>
      </c>
      <c r="AE1911" s="23" t="str">
        <f>IF($AC1911="","",_xlfn.XLOOKUP($AC1911,'Client Info'!$C$2:$C$2677,'Client Info'!$E$2:$E$2677,"",))</f>
        <v/>
      </c>
      <c r="AF1911" s="23" t="str">
        <f>IF($AC1911="","",_xlfn.XLOOKUP($AC1911,'Client Info'!$C$2:$C$2677,'Client Info'!$F$2:$F$2677,"",0,1))</f>
        <v/>
      </c>
      <c r="AG1911" s="23" t="str">
        <f>IF(ISBLANK(Table26[[#This Row],[customerSKU]]),"",_xlfn.XLOOKUP(Table26[[#This Row],[customerSKU]],Table27[customer_SKU],Table27[billto],"",0,1))</f>
        <v/>
      </c>
      <c r="AH1911" s="26" t="str">
        <f>_xlfn.XLOOKUP(Table26[[#This Row],[customerSKU]],customerSKU!G:G,customerSKU!K:K,"NA",0,1)</f>
        <v>NA</v>
      </c>
      <c r="AI1911" s="43" t="str">
        <f>_xlfn.XLOOKUP(Table26[[#This Row],[customerSKU]],customerSKU!G:G,customerSKU!O:O,"not found",0,1)</f>
        <v>not found</v>
      </c>
      <c r="AJ1911" s="22" t="e">
        <f>Table26[[#This Row],[unitprice]]*Table26[[#This Row],[quantity_unit]]</f>
        <v>#VALUE!</v>
      </c>
      <c r="AK1911" s="227" t="e" cm="1">
        <f t="array" ref="AK19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1" s="227"/>
    </row>
    <row r="1912" spans="1:38" ht="24.6" customHeight="1">
      <c r="A1912" s="42">
        <v>336</v>
      </c>
      <c r="B1912" s="42" t="s">
        <v>3520</v>
      </c>
      <c r="C1912" s="53" t="s">
        <v>3488</v>
      </c>
      <c r="E1912" s="20"/>
      <c r="F19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2" s="93"/>
      <c r="I1912" s="203">
        <v>45820</v>
      </c>
      <c r="J1912" s="90" t="str">
        <f>IF(Table26[[#This Row],[customerSKU]]="","",_xlfn.XLOOKUP(Table26[[#This Row],[customerSKU]],customerSKU!G:G,customerSKU!A:A,"",0,1))</f>
        <v/>
      </c>
      <c r="K1912" s="232">
        <v>45832</v>
      </c>
      <c r="L1912" s="49" t="str">
        <f>IF(Table26[[#This Row],[customerSKU]]="","",_xlfn.XLOOKUP(Table26[[#This Row],[customerSKU]],customerSKU!G:G,customerSKU!B:B,"",0,1))</f>
        <v/>
      </c>
      <c r="M1912" s="22"/>
      <c r="N1912" s="15" t="str">
        <f>Table26[[#This Row],[po_number]]&amp;"-"&amp;Table26[[#This Row],[po_line]]</f>
        <v>-1</v>
      </c>
      <c r="O1912" s="15">
        <v>1</v>
      </c>
      <c r="P1912" s="50"/>
      <c r="Q1912" s="22" t="s">
        <v>659</v>
      </c>
      <c r="R1912" s="22" t="s">
        <v>221</v>
      </c>
      <c r="S1912" s="90" t="str">
        <f>IF(Table26[[#This Row],[customerSKU]]="","",_xlfn.XLOOKUP(Table26[[#This Row],[customerSKU]],customerSKU!G:G,customerSKU!N:N,"NOT FOUND",0,1))</f>
        <v>NOT FOUND</v>
      </c>
      <c r="T1912" s="20">
        <v>45828</v>
      </c>
      <c r="U1912" s="94">
        <v>120</v>
      </c>
      <c r="V1912" s="22" t="str">
        <f>IF(ISBLANK(Table26[[#This Row],[customerSKU]]),"",_xlfn.XLOOKUP(Table26[[#This Row],[customerSKU]],Table27[customer_SKU],Table27[case_size],"",0,1))</f>
        <v/>
      </c>
      <c r="W1912" s="117" t="str">
        <f t="shared" si="77"/>
        <v/>
      </c>
      <c r="X1912" s="22" t="str">
        <f t="shared" si="76"/>
        <v/>
      </c>
      <c r="Y1912" s="25" t="str">
        <f>IF(Table26[[#This Row],[customerSKU]]="","",_xlfn.XLOOKUP(Table26[[#This Row],[customerSKU]],Table27[customer_SKU],Table27[product_GTIN],"",0,1))</f>
        <v/>
      </c>
      <c r="Z1912" s="25" t="s">
        <v>3663</v>
      </c>
      <c r="AA1912" s="18" t="str" cm="1">
        <f t="array" ref="AA1912">IF(P1912="", "", _xlfn.XLOOKUP(P1912,#REF!,#REF!,NA,0,-1))</f>
        <v/>
      </c>
      <c r="AB1912" s="22"/>
      <c r="AC1912" s="55" t="str">
        <f>IF(Table26[[#This Row],[customerSKU]]="","",_xlfn.XLOOKUP(Table26[[#This Row],[customerSKU]],customerSKU!G:G,customerSKU!C:C,"",0,1))</f>
        <v/>
      </c>
      <c r="AD1912" s="55" t="str">
        <f>IF($AC1912="","",_xlfn.XLOOKUP($AC1912,'Client Info'!$C$2:$C$2497,'Client Info'!$D$2:$D$2497,"",0,1))</f>
        <v/>
      </c>
      <c r="AE1912" s="55" t="str">
        <f>IF($AC1912="","",_xlfn.XLOOKUP($AC1912,'Client Info'!$C$2:$C$2677,'Client Info'!$E$2:$E$2677,"",))</f>
        <v/>
      </c>
      <c r="AF1912" s="55" t="str">
        <f>IF($AC1912="","",_xlfn.XLOOKUP($AC1912,'Client Info'!$C$2:$C$2677,'Client Info'!$F$2:$F$2677,"",0,1))</f>
        <v/>
      </c>
      <c r="AG1912" s="55" t="str">
        <f>IF(ISBLANK(Table26[[#This Row],[customerSKU]]),"",_xlfn.XLOOKUP(Table26[[#This Row],[customerSKU]],Table27[customer_SKU],Table27[billto],"",0,1))</f>
        <v/>
      </c>
      <c r="AH1912" s="26" t="str">
        <f>_xlfn.XLOOKUP(Table26[[#This Row],[customerSKU]],customerSKU!G:G,customerSKU!K:K,"NA",0,1)</f>
        <v>NA</v>
      </c>
      <c r="AI1912" s="43" t="str">
        <f>_xlfn.XLOOKUP(Table26[[#This Row],[customerSKU]],customerSKU!G:G,customerSKU!O:O,"not found",0,1)</f>
        <v>not found</v>
      </c>
      <c r="AJ1912" s="22" t="e">
        <f>Table26[[#This Row],[unitprice]]*Table26[[#This Row],[quantity_unit]]</f>
        <v>#VALUE!</v>
      </c>
      <c r="AK1912" s="227" t="e" cm="1">
        <f t="array" ref="AK19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2" s="227"/>
    </row>
    <row r="1913" spans="1:38" ht="18" customHeight="1">
      <c r="A1913" s="42">
        <v>337</v>
      </c>
      <c r="B1913" s="42" t="s">
        <v>3520</v>
      </c>
      <c r="C1913" s="53" t="s">
        <v>3488</v>
      </c>
      <c r="E1913" s="20"/>
      <c r="F19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3" s="93"/>
      <c r="I1913" s="232">
        <v>45827</v>
      </c>
      <c r="J1913" s="90" t="str">
        <f>IF(Table26[[#This Row],[customerSKU]]="","",_xlfn.XLOOKUP(Table26[[#This Row],[customerSKU]],customerSKU!G:G,customerSKU!A:A,"",0,1))</f>
        <v/>
      </c>
      <c r="K1913" s="232">
        <v>45832</v>
      </c>
      <c r="L1913" s="49" t="str">
        <f>IF(Table26[[#This Row],[customerSKU]]="","",_xlfn.XLOOKUP(Table26[[#This Row],[customerSKU]],customerSKU!G:G,customerSKU!B:B,"",0,1))</f>
        <v/>
      </c>
      <c r="M1913" s="22"/>
      <c r="N1913" s="15" t="str">
        <f>Table26[[#This Row],[po_number]]&amp;"-"&amp;Table26[[#This Row],[po_line]]</f>
        <v>-1</v>
      </c>
      <c r="O1913" s="15">
        <v>1</v>
      </c>
      <c r="P1913" s="50"/>
      <c r="Q1913" s="22" t="s">
        <v>591</v>
      </c>
      <c r="R1913" s="22" t="s">
        <v>221</v>
      </c>
      <c r="S1913" s="90" t="str">
        <f>IF(Table26[[#This Row],[customerSKU]]="","",_xlfn.XLOOKUP(Table26[[#This Row],[customerSKU]],customerSKU!G:G,customerSKU!N:N,"NOT FOUND",0,1))</f>
        <v>NOT FOUND</v>
      </c>
      <c r="T1913" s="20">
        <v>45821</v>
      </c>
      <c r="U1913" s="94">
        <v>240</v>
      </c>
      <c r="V1913" s="22" t="str">
        <f>IF(ISBLANK(Table26[[#This Row],[customerSKU]]),"",_xlfn.XLOOKUP(Table26[[#This Row],[customerSKU]],Table27[customer_SKU],Table27[case_size],"",0,1))</f>
        <v/>
      </c>
      <c r="W1913" s="117" t="str">
        <f t="shared" si="77"/>
        <v/>
      </c>
      <c r="X1913" s="22" t="str">
        <f t="shared" si="76"/>
        <v/>
      </c>
      <c r="Y1913" s="25" t="str">
        <f>IF(Table26[[#This Row],[customerSKU]]="","",_xlfn.XLOOKUP(Table26[[#This Row],[customerSKU]],Table27[customer_SKU],Table27[product_GTIN],"",0,1))</f>
        <v/>
      </c>
      <c r="Z1913" s="25" t="s">
        <v>3282</v>
      </c>
      <c r="AA1913" s="18" t="str" cm="1">
        <f t="array" ref="AA1913">IF(P1913="", "", _xlfn.XLOOKUP(P1913,#REF!,#REF!,NA,0,-1))</f>
        <v/>
      </c>
      <c r="AB1913" s="22"/>
      <c r="AC1913" s="23" t="str">
        <f>IF(Table26[[#This Row],[customerSKU]]="","",_xlfn.XLOOKUP(Table26[[#This Row],[customerSKU]],customerSKU!G:G,customerSKU!C:C,"",0,1))</f>
        <v/>
      </c>
      <c r="AD1913" s="23" t="str">
        <f>IF($AC1913="","",_xlfn.XLOOKUP($AC1913,'Client Info'!$C$2:$C$2497,'Client Info'!$D$2:$D$2497,"",0,1))</f>
        <v/>
      </c>
      <c r="AE1913" s="23" t="str">
        <f>IF($AC1913="","",_xlfn.XLOOKUP($AC1913,'Client Info'!$C$2:$C$2677,'Client Info'!$E$2:$E$2677,"",))</f>
        <v/>
      </c>
      <c r="AF1913" s="23" t="str">
        <f>IF($AC1913="","",_xlfn.XLOOKUP($AC1913,'Client Info'!$C$2:$C$2677,'Client Info'!$F$2:$F$2677,"",0,1))</f>
        <v/>
      </c>
      <c r="AG1913" s="23" t="str">
        <f>IF(ISBLANK(Table26[[#This Row],[customerSKU]]),"",_xlfn.XLOOKUP(Table26[[#This Row],[customerSKU]],Table27[customer_SKU],Table27[billto],"",0,1))</f>
        <v/>
      </c>
      <c r="AH1913" s="26" t="str">
        <f>_xlfn.XLOOKUP(Table26[[#This Row],[customerSKU]],customerSKU!G:G,customerSKU!K:K,"NA",0,1)</f>
        <v>NA</v>
      </c>
      <c r="AI1913" s="43" t="str">
        <f>_xlfn.XLOOKUP(Table26[[#This Row],[customerSKU]],customerSKU!G:G,customerSKU!O:O,"not found",0,1)</f>
        <v>not found</v>
      </c>
      <c r="AJ1913" s="22" t="e">
        <f>Table26[[#This Row],[unitprice]]*Table26[[#This Row],[quantity_unit]]</f>
        <v>#VALUE!</v>
      </c>
      <c r="AK1913" s="227" t="e" cm="1">
        <f t="array" ref="AK19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3" s="227"/>
    </row>
    <row r="1914" spans="1:38" ht="18" customHeight="1">
      <c r="A1914" s="42">
        <v>338</v>
      </c>
      <c r="B1914" s="42" t="s">
        <v>3520</v>
      </c>
      <c r="C1914" s="53" t="s">
        <v>3488</v>
      </c>
      <c r="E1914" s="20"/>
      <c r="F19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4" s="93"/>
      <c r="I1914" s="203">
        <v>45832</v>
      </c>
      <c r="J1914" s="90" t="str">
        <f>IF(Table26[[#This Row],[customerSKU]]="","",_xlfn.XLOOKUP(Table26[[#This Row],[customerSKU]],customerSKU!G:G,customerSKU!A:A,"",0,1))</f>
        <v/>
      </c>
      <c r="K1914" s="203">
        <v>45832</v>
      </c>
      <c r="L1914" s="49" t="str">
        <f>IF(Table26[[#This Row],[customerSKU]]="","",_xlfn.XLOOKUP(Table26[[#This Row],[customerSKU]],customerSKU!G:G,customerSKU!B:B,"",0,1))</f>
        <v/>
      </c>
      <c r="M1914" s="22"/>
      <c r="N1914" s="15" t="str">
        <f>Table26[[#This Row],[po_number]]&amp;"-"&amp;Table26[[#This Row],[po_line]]</f>
        <v>-1</v>
      </c>
      <c r="O1914" s="15">
        <v>1</v>
      </c>
      <c r="P1914" s="50"/>
      <c r="Q1914" s="22" t="s">
        <v>1862</v>
      </c>
      <c r="R1914" s="22" t="s">
        <v>3559</v>
      </c>
      <c r="S1914" s="90" t="s">
        <v>3344</v>
      </c>
      <c r="T1914" s="20">
        <v>45618</v>
      </c>
      <c r="U1914" s="94">
        <v>1</v>
      </c>
      <c r="V1914" s="22" t="str">
        <f>IF(ISBLANK(Table26[[#This Row],[customerSKU]]),"",_xlfn.XLOOKUP(Table26[[#This Row],[customerSKU]],Table27[customer_SKU],Table27[case_size],"",0,1))</f>
        <v/>
      </c>
      <c r="W1914" s="117" t="str">
        <f t="shared" si="77"/>
        <v/>
      </c>
      <c r="X1914" s="22" t="str">
        <f t="shared" si="76"/>
        <v/>
      </c>
      <c r="Y1914" s="25" t="str">
        <f>IF(Table26[[#This Row],[customerSKU]]="","",_xlfn.XLOOKUP(Table26[[#This Row],[customerSKU]],Table27[customer_SKU],Table27[product_GTIN],"",0,1))</f>
        <v/>
      </c>
      <c r="Z1914" s="25" t="s">
        <v>3660</v>
      </c>
      <c r="AA1914" s="18" t="str" cm="1">
        <f t="array" ref="AA1914">IF(P1914="", "", _xlfn.XLOOKUP(P1914,#REF!,#REF!,NA,0,-1))</f>
        <v/>
      </c>
      <c r="AB1914" s="22"/>
      <c r="AC1914" s="23" t="s">
        <v>94</v>
      </c>
      <c r="AD1914" s="23" t="str">
        <f>IF($AC1914="","",_xlfn.XLOOKUP($AC1914,'Client Info'!$C$2:$C$2497,'Client Info'!$D$2:$D$2497,"",0,1))</f>
        <v/>
      </c>
      <c r="AE1914" s="23" t="str">
        <f>IF($AC1914="","",_xlfn.XLOOKUP($AC1914,'Client Info'!$C$2:$C$2677,'Client Info'!$E$2:$E$2677,"",))</f>
        <v/>
      </c>
      <c r="AF1914" s="23" t="str">
        <f>IF($AC1914="","",_xlfn.XLOOKUP($AC1914,'Client Info'!$C$2:$C$2677,'Client Info'!$F$2:$F$2677,"",0,1))</f>
        <v/>
      </c>
      <c r="AG1914" s="23" t="s">
        <v>94</v>
      </c>
      <c r="AH1914" s="26" t="str">
        <f>_xlfn.XLOOKUP(Table26[[#This Row],[customerSKU]],customerSKU!G:G,customerSKU!K:K,"NA",0,1)</f>
        <v>NA</v>
      </c>
      <c r="AI1914" s="43" t="str">
        <f>_xlfn.XLOOKUP(Table26[[#This Row],[customerSKU]],customerSKU!G:G,customerSKU!O:O,"not found",0,1)</f>
        <v>not found</v>
      </c>
      <c r="AJ1914" s="22" t="e">
        <f>Table26[[#This Row],[unitprice]]*Table26[[#This Row],[quantity_unit]]</f>
        <v>#VALUE!</v>
      </c>
      <c r="AK1914" s="227" t="e" cm="1">
        <f t="array" ref="AK19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4" s="227"/>
    </row>
    <row r="1915" spans="1:38" ht="18" customHeight="1">
      <c r="A1915" s="42">
        <v>339</v>
      </c>
      <c r="B1915" s="42" t="s">
        <v>3520</v>
      </c>
      <c r="C1915" s="53" t="s">
        <v>3488</v>
      </c>
      <c r="E1915" s="20"/>
      <c r="F19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5" s="93"/>
      <c r="I1915" s="203">
        <v>45832</v>
      </c>
      <c r="J1915" s="90" t="str">
        <f>IF(Table26[[#This Row],[customerSKU]]="","",_xlfn.XLOOKUP(Table26[[#This Row],[customerSKU]],customerSKU!G:G,customerSKU!A:A,"",0,1))</f>
        <v/>
      </c>
      <c r="K1915" s="203">
        <v>45832</v>
      </c>
      <c r="L1915" s="49" t="str">
        <f>IF(Table26[[#This Row],[customerSKU]]="","",_xlfn.XLOOKUP(Table26[[#This Row],[customerSKU]],customerSKU!G:G,customerSKU!B:B,"",0,1))</f>
        <v/>
      </c>
      <c r="M1915" s="22"/>
      <c r="N1915" s="15" t="str">
        <f>Table26[[#This Row],[po_number]]&amp;"-"&amp;Table26[[#This Row],[po_line]]</f>
        <v>-2</v>
      </c>
      <c r="O1915" s="15">
        <v>2</v>
      </c>
      <c r="P1915" s="50"/>
      <c r="Q1915" s="22" t="s">
        <v>2096</v>
      </c>
      <c r="R1915" s="22" t="s">
        <v>3559</v>
      </c>
      <c r="S1915" s="90" t="s">
        <v>3344</v>
      </c>
      <c r="T1915" s="20">
        <v>45569</v>
      </c>
      <c r="U1915" s="94">
        <v>1</v>
      </c>
      <c r="V1915" s="22" t="str">
        <f>IF(ISBLANK(Table26[[#This Row],[customerSKU]]),"",_xlfn.XLOOKUP(Table26[[#This Row],[customerSKU]],Table27[customer_SKU],Table27[case_size],"",0,1))</f>
        <v/>
      </c>
      <c r="W1915" s="117" t="str">
        <f t="shared" si="77"/>
        <v/>
      </c>
      <c r="X1915" s="22" t="str">
        <f t="shared" si="76"/>
        <v/>
      </c>
      <c r="Y1915" s="25" t="str">
        <f>IF(Table26[[#This Row],[customerSKU]]="","",_xlfn.XLOOKUP(Table26[[#This Row],[customerSKU]],Table27[customer_SKU],Table27[product_GTIN],"",0,1))</f>
        <v/>
      </c>
      <c r="Z1915" s="25" t="s">
        <v>3660</v>
      </c>
      <c r="AA1915" s="18" t="str" cm="1">
        <f t="array" ref="AA1915">IF(P1915="", "", _xlfn.XLOOKUP(P1915,#REF!,#REF!,NA,0,-1))</f>
        <v/>
      </c>
      <c r="AB1915" s="22"/>
      <c r="AC1915" s="23" t="s">
        <v>94</v>
      </c>
      <c r="AD1915" s="23" t="str">
        <f>IF($AC1915="","",_xlfn.XLOOKUP($AC1915,'Client Info'!$C$2:$C$2497,'Client Info'!$D$2:$D$2497,"",0,1))</f>
        <v/>
      </c>
      <c r="AE1915" s="23" t="str">
        <f>IF($AC1915="","",_xlfn.XLOOKUP($AC1915,'Client Info'!$C$2:$C$2677,'Client Info'!$E$2:$E$2677,"",))</f>
        <v/>
      </c>
      <c r="AF1915" s="23" t="str">
        <f>IF($AC1915="","",_xlfn.XLOOKUP($AC1915,'Client Info'!$C$2:$C$2677,'Client Info'!$F$2:$F$2677,"",0,1))</f>
        <v/>
      </c>
      <c r="AG1915" s="23" t="s">
        <v>94</v>
      </c>
      <c r="AH1915" s="26" t="str">
        <f>_xlfn.XLOOKUP(Table26[[#This Row],[customerSKU]],customerSKU!G:G,customerSKU!K:K,"NA",0,1)</f>
        <v>NA</v>
      </c>
      <c r="AI1915" s="43" t="str">
        <f>_xlfn.XLOOKUP(Table26[[#This Row],[customerSKU]],customerSKU!G:G,customerSKU!O:O,"not found",0,1)</f>
        <v>not found</v>
      </c>
      <c r="AJ1915" s="22" t="e">
        <f>Table26[[#This Row],[unitprice]]*Table26[[#This Row],[quantity_unit]]</f>
        <v>#VALUE!</v>
      </c>
      <c r="AK1915" s="227" t="e" cm="1">
        <f t="array" ref="AK19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5" s="227"/>
    </row>
    <row r="1916" spans="1:38" ht="18" customHeight="1">
      <c r="A1916" s="42">
        <v>330</v>
      </c>
      <c r="B1916" s="42" t="s">
        <v>3520</v>
      </c>
      <c r="C1916" s="53" t="s">
        <v>3488</v>
      </c>
      <c r="E1916" s="20"/>
      <c r="F19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6" s="93"/>
      <c r="I1916" s="203">
        <v>45833</v>
      </c>
      <c r="J1916" s="90" t="str">
        <f>IF(Table26[[#This Row],[customerSKU]]="","",_xlfn.XLOOKUP(Table26[[#This Row],[customerSKU]],customerSKU!G:G,customerSKU!A:A,"",0,1))</f>
        <v/>
      </c>
      <c r="K1916" s="203">
        <v>45833</v>
      </c>
      <c r="L1916" s="49" t="str">
        <f>IF(Table26[[#This Row],[customerSKU]]="","",_xlfn.XLOOKUP(Table26[[#This Row],[customerSKU]],customerSKU!G:G,customerSKU!B:B,"",0,1))</f>
        <v/>
      </c>
      <c r="M1916" s="22"/>
      <c r="N1916" s="15" t="str">
        <f>Table26[[#This Row],[po_number]]&amp;"-"&amp;Table26[[#This Row],[po_line]]</f>
        <v>-1</v>
      </c>
      <c r="O1916" s="15">
        <v>1</v>
      </c>
      <c r="P1916" s="50"/>
      <c r="Q1916" s="22" t="s">
        <v>3284</v>
      </c>
      <c r="R1916" s="22" t="s">
        <v>532</v>
      </c>
      <c r="S1916" s="90" t="str">
        <f>IF(Table26[[#This Row],[customerSKU]]="","",_xlfn.XLOOKUP(Table26[[#This Row],[customerSKU]],customerSKU!G:G,customerSKU!N:N,"NOT FOUND",0,1))</f>
        <v>NOT FOUND</v>
      </c>
      <c r="T1916" s="20">
        <v>45763</v>
      </c>
      <c r="U1916" s="94">
        <v>12</v>
      </c>
      <c r="V1916" s="22" t="str">
        <f>IF(ISBLANK(Table26[[#This Row],[customerSKU]]),"",_xlfn.XLOOKUP(Table26[[#This Row],[customerSKU]],Table27[customer_SKU],Table27[case_size],"",0,1))</f>
        <v/>
      </c>
      <c r="W1916" s="117" t="str">
        <f t="shared" si="77"/>
        <v/>
      </c>
      <c r="X1916" s="22" t="str">
        <f t="shared" si="76"/>
        <v/>
      </c>
      <c r="Y1916" s="25" t="str">
        <f>IF(Table26[[#This Row],[customerSKU]]="","",_xlfn.XLOOKUP(Table26[[#This Row],[customerSKU]],Table27[customer_SKU],Table27[product_GTIN],"",0,1))</f>
        <v/>
      </c>
      <c r="Z1916" s="25" t="s">
        <v>3522</v>
      </c>
      <c r="AA1916" s="18" t="str" cm="1">
        <f t="array" ref="AA1916">IF(P1916="", "", _xlfn.XLOOKUP(P1916,#REF!,#REF!,NA,0,-1))</f>
        <v/>
      </c>
      <c r="AB1916" s="22"/>
      <c r="AC1916" s="23" t="s">
        <v>3692</v>
      </c>
      <c r="AD1916" s="23" t="str">
        <f>IF($AC1916="","",_xlfn.XLOOKUP($AC1916,'Client Info'!$C$2:$C$2497,'Client Info'!$D$2:$D$2497,"",0,1))</f>
        <v/>
      </c>
      <c r="AE1916" s="23" t="str">
        <f>IF($AC1916="","",_xlfn.XLOOKUP($AC1916,'Client Info'!$C$2:$C$2677,'Client Info'!$E$2:$E$2677,"",))</f>
        <v/>
      </c>
      <c r="AF1916" s="23" t="str">
        <f>IF($AC1916="","",_xlfn.XLOOKUP($AC1916,'Client Info'!$C$2:$C$2677,'Client Info'!$F$2:$F$2677,"",0,1))</f>
        <v/>
      </c>
      <c r="AG1916" s="23" t="s">
        <v>3692</v>
      </c>
      <c r="AH1916" s="26" t="str">
        <f>_xlfn.XLOOKUP(Table26[[#This Row],[customerSKU]],customerSKU!G:G,customerSKU!K:K,"NA",0,1)</f>
        <v>NA</v>
      </c>
      <c r="AI1916" s="43" t="str">
        <f>_xlfn.XLOOKUP(Table26[[#This Row],[customerSKU]],customerSKU!G:G,customerSKU!O:O,"not found",0,1)</f>
        <v>not found</v>
      </c>
      <c r="AJ1916" s="22" t="e">
        <f>Table26[[#This Row],[unitprice]]*Table26[[#This Row],[quantity_unit]]</f>
        <v>#VALUE!</v>
      </c>
      <c r="AK1916" s="227" t="e" cm="1">
        <f t="array" ref="AK19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6" s="227"/>
    </row>
    <row r="1917" spans="1:38" ht="18" customHeight="1">
      <c r="A1917" s="42">
        <v>331</v>
      </c>
      <c r="B1917" s="42" t="s">
        <v>3520</v>
      </c>
      <c r="C1917" s="53" t="s">
        <v>3488</v>
      </c>
      <c r="E1917" s="20"/>
      <c r="F19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7" s="93"/>
      <c r="I1917" s="203">
        <v>45833</v>
      </c>
      <c r="J1917" s="90" t="str">
        <f>IF(Table26[[#This Row],[customerSKU]]="","",_xlfn.XLOOKUP(Table26[[#This Row],[customerSKU]],customerSKU!G:G,customerSKU!A:A,"",0,1))</f>
        <v/>
      </c>
      <c r="K1917" s="203">
        <v>45833</v>
      </c>
      <c r="L1917" s="49" t="str">
        <f>IF(Table26[[#This Row],[customerSKU]]="","",_xlfn.XLOOKUP(Table26[[#This Row],[customerSKU]],customerSKU!G:G,customerSKU!B:B,"",0,1))</f>
        <v/>
      </c>
      <c r="M1917" s="22"/>
      <c r="N1917" s="15" t="str">
        <f>Table26[[#This Row],[po_number]]&amp;"-"&amp;Table26[[#This Row],[po_line]]</f>
        <v>-2</v>
      </c>
      <c r="O1917" s="15">
        <v>2</v>
      </c>
      <c r="P1917" s="50"/>
      <c r="Q1917" s="22" t="s">
        <v>574</v>
      </c>
      <c r="R1917" s="22" t="s">
        <v>532</v>
      </c>
      <c r="S1917" s="90" t="str">
        <f>IF(Table26[[#This Row],[customerSKU]]="","",_xlfn.XLOOKUP(Table26[[#This Row],[customerSKU]],customerSKU!G:G,customerSKU!N:N,"NOT FOUND",0,1))</f>
        <v>NOT FOUND</v>
      </c>
      <c r="T1917" s="20">
        <v>45818</v>
      </c>
      <c r="U1917" s="94">
        <v>12</v>
      </c>
      <c r="V1917" s="22" t="str">
        <f>IF(ISBLANK(Table26[[#This Row],[customerSKU]]),"",_xlfn.XLOOKUP(Table26[[#This Row],[customerSKU]],Table27[customer_SKU],Table27[case_size],"",0,1))</f>
        <v/>
      </c>
      <c r="W1917" s="117" t="str">
        <f t="shared" si="77"/>
        <v/>
      </c>
      <c r="X1917" s="22" t="str">
        <f t="shared" si="76"/>
        <v/>
      </c>
      <c r="Y1917" s="25" t="str">
        <f>IF(Table26[[#This Row],[customerSKU]]="","",_xlfn.XLOOKUP(Table26[[#This Row],[customerSKU]],Table27[customer_SKU],Table27[product_GTIN],"",0,1))</f>
        <v/>
      </c>
      <c r="Z1917" s="25" t="s">
        <v>3530</v>
      </c>
      <c r="AA1917" s="18" t="str" cm="1">
        <f t="array" ref="AA1917">IF(P1917="", "", _xlfn.XLOOKUP(P1917,#REF!,#REF!,NA,0,-1))</f>
        <v/>
      </c>
      <c r="AB1917" s="22"/>
      <c r="AC1917" s="23" t="s">
        <v>3692</v>
      </c>
      <c r="AD1917" s="23" t="str">
        <f>IF($AC1917="","",_xlfn.XLOOKUP($AC1917,'Client Info'!$C$2:$C$2497,'Client Info'!$D$2:$D$2497,"",0,1))</f>
        <v/>
      </c>
      <c r="AE1917" s="23" t="str">
        <f>IF($AC1917="","",_xlfn.XLOOKUP($AC1917,'Client Info'!$C$2:$C$2677,'Client Info'!$E$2:$E$2677,"",))</f>
        <v/>
      </c>
      <c r="AF1917" s="23" t="str">
        <f>IF($AC1917="","",_xlfn.XLOOKUP($AC1917,'Client Info'!$C$2:$C$2677,'Client Info'!$F$2:$F$2677,"",0,1))</f>
        <v/>
      </c>
      <c r="AG1917" s="23" t="s">
        <v>3692</v>
      </c>
      <c r="AH1917" s="26" t="str">
        <f>_xlfn.XLOOKUP(Table26[[#This Row],[customerSKU]],customerSKU!G:G,customerSKU!K:K,"NA",0,1)</f>
        <v>NA</v>
      </c>
      <c r="AI1917" s="43" t="str">
        <f>_xlfn.XLOOKUP(Table26[[#This Row],[customerSKU]],customerSKU!G:G,customerSKU!O:O,"not found",0,1)</f>
        <v>not found</v>
      </c>
      <c r="AJ1917" s="22" t="e">
        <f>Table26[[#This Row],[unitprice]]*Table26[[#This Row],[quantity_unit]]</f>
        <v>#VALUE!</v>
      </c>
      <c r="AK1917" s="227" t="e" cm="1">
        <f t="array" ref="AK19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7" s="227"/>
    </row>
    <row r="1918" spans="1:38" ht="18" customHeight="1">
      <c r="A1918" s="42">
        <v>332</v>
      </c>
      <c r="B1918" s="42" t="s">
        <v>3520</v>
      </c>
      <c r="C1918" s="53" t="s">
        <v>3488</v>
      </c>
      <c r="E1918" s="20"/>
      <c r="F19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8" s="93"/>
      <c r="I1918" s="203">
        <v>45833</v>
      </c>
      <c r="J1918" s="90" t="str">
        <f>IF(Table26[[#This Row],[customerSKU]]="","",_xlfn.XLOOKUP(Table26[[#This Row],[customerSKU]],customerSKU!G:G,customerSKU!A:A,"",0,1))</f>
        <v/>
      </c>
      <c r="K1918" s="203">
        <v>45833</v>
      </c>
      <c r="L1918" s="49" t="str">
        <f>IF(Table26[[#This Row],[customerSKU]]="","",_xlfn.XLOOKUP(Table26[[#This Row],[customerSKU]],customerSKU!G:G,customerSKU!B:B,"",0,1))</f>
        <v/>
      </c>
      <c r="M1918" s="22"/>
      <c r="N1918" s="15" t="str">
        <f>Table26[[#This Row],[po_number]]&amp;"-"&amp;Table26[[#This Row],[po_line]]</f>
        <v>-3</v>
      </c>
      <c r="O1918" s="15">
        <v>3</v>
      </c>
      <c r="P1918" s="50"/>
      <c r="Q1918" s="22" t="s">
        <v>543</v>
      </c>
      <c r="R1918" s="22" t="s">
        <v>532</v>
      </c>
      <c r="S1918" s="90" t="str">
        <f>IF(Table26[[#This Row],[customerSKU]]="","",_xlfn.XLOOKUP(Table26[[#This Row],[customerSKU]],customerSKU!G:G,customerSKU!N:N,"NOT FOUND",0,1))</f>
        <v>NOT FOUND</v>
      </c>
      <c r="T1918" s="20">
        <v>45793</v>
      </c>
      <c r="U1918" s="94">
        <v>6</v>
      </c>
      <c r="V1918" s="22" t="str">
        <f>IF(ISBLANK(Table26[[#This Row],[customerSKU]]),"",_xlfn.XLOOKUP(Table26[[#This Row],[customerSKU]],Table27[customer_SKU],Table27[case_size],"",0,1))</f>
        <v/>
      </c>
      <c r="W1918" s="117" t="str">
        <f t="shared" si="77"/>
        <v/>
      </c>
      <c r="X1918" s="22" t="str">
        <f t="shared" si="76"/>
        <v/>
      </c>
      <c r="Y1918" s="25" t="str">
        <f>IF(Table26[[#This Row],[customerSKU]]="","",_xlfn.XLOOKUP(Table26[[#This Row],[customerSKU]],Table27[customer_SKU],Table27[product_GTIN],"",0,1))</f>
        <v/>
      </c>
      <c r="Z1918" s="25" t="s">
        <v>3599</v>
      </c>
      <c r="AA1918" s="18" t="str" cm="1">
        <f t="array" ref="AA1918">IF(P1918="", "", _xlfn.XLOOKUP(P1918,#REF!,#REF!,NA,0,-1))</f>
        <v/>
      </c>
      <c r="AB1918" s="22"/>
      <c r="AC1918" s="23" t="s">
        <v>3692</v>
      </c>
      <c r="AD1918" s="23" t="str">
        <f>IF($AC1918="","",_xlfn.XLOOKUP($AC1918,'Client Info'!$C$2:$C$2497,'Client Info'!$D$2:$D$2497,"",0,1))</f>
        <v/>
      </c>
      <c r="AE1918" s="23" t="str">
        <f>IF($AC1918="","",_xlfn.XLOOKUP($AC1918,'Client Info'!$C$2:$C$2677,'Client Info'!$E$2:$E$2677,"",))</f>
        <v/>
      </c>
      <c r="AF1918" s="23" t="str">
        <f>IF($AC1918="","",_xlfn.XLOOKUP($AC1918,'Client Info'!$C$2:$C$2677,'Client Info'!$F$2:$F$2677,"",0,1))</f>
        <v/>
      </c>
      <c r="AG1918" s="23" t="s">
        <v>3692</v>
      </c>
      <c r="AH1918" s="26" t="str">
        <f>_xlfn.XLOOKUP(Table26[[#This Row],[customerSKU]],customerSKU!G:G,customerSKU!K:K,"NA",0,1)</f>
        <v>NA</v>
      </c>
      <c r="AI1918" s="43" t="str">
        <f>_xlfn.XLOOKUP(Table26[[#This Row],[customerSKU]],customerSKU!G:G,customerSKU!O:O,"not found",0,1)</f>
        <v>not found</v>
      </c>
      <c r="AJ1918" s="22" t="e">
        <f>Table26[[#This Row],[unitprice]]*Table26[[#This Row],[quantity_unit]]</f>
        <v>#VALUE!</v>
      </c>
      <c r="AK1918" s="227" t="e" cm="1">
        <f t="array" ref="AK19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8" s="227"/>
    </row>
    <row r="1919" spans="1:38" ht="18" customHeight="1">
      <c r="A1919" s="42">
        <v>333</v>
      </c>
      <c r="B1919" s="42" t="s">
        <v>3520</v>
      </c>
      <c r="C1919" s="53" t="s">
        <v>3488</v>
      </c>
      <c r="E1919" s="20"/>
      <c r="F19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19" s="93"/>
      <c r="I1919" s="203">
        <v>45833</v>
      </c>
      <c r="J1919" s="90" t="str">
        <f>IF(Table26[[#This Row],[customerSKU]]="","",_xlfn.XLOOKUP(Table26[[#This Row],[customerSKU]],customerSKU!G:G,customerSKU!A:A,"",0,1))</f>
        <v/>
      </c>
      <c r="K1919" s="203">
        <v>45833</v>
      </c>
      <c r="L1919" s="49" t="str">
        <f>IF(Table26[[#This Row],[customerSKU]]="","",_xlfn.XLOOKUP(Table26[[#This Row],[customerSKU]],customerSKU!G:G,customerSKU!B:B,"",0,1))</f>
        <v/>
      </c>
      <c r="M1919" s="22"/>
      <c r="N1919" s="15" t="str">
        <f>Table26[[#This Row],[po_number]]&amp;"-"&amp;Table26[[#This Row],[po_line]]</f>
        <v>-4</v>
      </c>
      <c r="O1919" s="15">
        <v>4</v>
      </c>
      <c r="P1919" s="50"/>
      <c r="Q1919" s="389" t="s">
        <v>1823</v>
      </c>
      <c r="R1919" s="22" t="s">
        <v>532</v>
      </c>
      <c r="S1919" s="90" t="str">
        <f>IF(Table26[[#This Row],[customerSKU]]="","",_xlfn.XLOOKUP(Table26[[#This Row],[customerSKU]],customerSKU!G:G,customerSKU!N:N,"NOT FOUND",0,1))</f>
        <v>NOT FOUND</v>
      </c>
      <c r="T1919" s="20">
        <v>45831</v>
      </c>
      <c r="U1919" s="94">
        <v>12</v>
      </c>
      <c r="V1919" s="22" t="str">
        <f>IF(ISBLANK(Table26[[#This Row],[customerSKU]]),"",_xlfn.XLOOKUP(Table26[[#This Row],[customerSKU]],Table27[customer_SKU],Table27[case_size],"",0,1))</f>
        <v/>
      </c>
      <c r="W1919" s="117" t="str">
        <f t="shared" si="77"/>
        <v/>
      </c>
      <c r="X1919" s="22" t="str">
        <f t="shared" si="76"/>
        <v/>
      </c>
      <c r="Y1919" s="25" t="str">
        <f>IF(Table26[[#This Row],[customerSKU]]="","",_xlfn.XLOOKUP(Table26[[#This Row],[customerSKU]],Table27[customer_SKU],Table27[product_GTIN],"",0,1))</f>
        <v/>
      </c>
      <c r="Z1919" s="25" t="s">
        <v>3690</v>
      </c>
      <c r="AA1919" s="18" t="str" cm="1">
        <f t="array" ref="AA1919">IF(P1919="", "", _xlfn.XLOOKUP(P1919,#REF!,#REF!,NA,0,-1))</f>
        <v/>
      </c>
      <c r="AB1919" s="22"/>
      <c r="AC1919" s="23" t="s">
        <v>3692</v>
      </c>
      <c r="AD1919" s="23" t="str">
        <f>IF($AC1919="","",_xlfn.XLOOKUP($AC1919,'Client Info'!$C$2:$C$2497,'Client Info'!$D$2:$D$2497,"",0,1))</f>
        <v/>
      </c>
      <c r="AE1919" s="23" t="str">
        <f>IF($AC1919="","",_xlfn.XLOOKUP($AC1919,'Client Info'!$C$2:$C$2677,'Client Info'!$E$2:$E$2677,"",))</f>
        <v/>
      </c>
      <c r="AF1919" s="23" t="str">
        <f>IF($AC1919="","",_xlfn.XLOOKUP($AC1919,'Client Info'!$C$2:$C$2677,'Client Info'!$F$2:$F$2677,"",0,1))</f>
        <v/>
      </c>
      <c r="AG1919" s="23" t="s">
        <v>3692</v>
      </c>
      <c r="AH1919" s="26" t="str">
        <f>_xlfn.XLOOKUP(Table26[[#This Row],[customerSKU]],customerSKU!G:G,customerSKU!K:K,"NA",0,1)</f>
        <v>NA</v>
      </c>
      <c r="AI1919" s="43" t="str">
        <f>_xlfn.XLOOKUP(Table26[[#This Row],[customerSKU]],customerSKU!G:G,customerSKU!O:O,"not found",0,1)</f>
        <v>not found</v>
      </c>
      <c r="AJ1919" s="22" t="e">
        <f>Table26[[#This Row],[unitprice]]*Table26[[#This Row],[quantity_unit]]</f>
        <v>#VALUE!</v>
      </c>
      <c r="AK1919" s="227" t="e" cm="1">
        <f t="array" ref="AK19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19" s="227"/>
    </row>
    <row r="1920" spans="1:38" ht="18" customHeight="1">
      <c r="A1920" s="42">
        <v>334</v>
      </c>
      <c r="B1920" s="42" t="s">
        <v>3520</v>
      </c>
      <c r="C1920" s="53" t="s">
        <v>3488</v>
      </c>
      <c r="E1920" s="20"/>
      <c r="F19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0" s="93"/>
      <c r="I1920" s="203">
        <v>45833</v>
      </c>
      <c r="J1920" s="90" t="str">
        <f>IF(Table26[[#This Row],[customerSKU]]="","",_xlfn.XLOOKUP(Table26[[#This Row],[customerSKU]],customerSKU!G:G,customerSKU!A:A,"",0,1))</f>
        <v/>
      </c>
      <c r="K1920" s="203">
        <v>45833</v>
      </c>
      <c r="L1920" s="49" t="str">
        <f>IF(Table26[[#This Row],[customerSKU]]="","",_xlfn.XLOOKUP(Table26[[#This Row],[customerSKU]],customerSKU!G:G,customerSKU!B:B,"",0,1))</f>
        <v/>
      </c>
      <c r="M1920" s="22"/>
      <c r="N1920" s="15" t="str">
        <f>Table26[[#This Row],[po_number]]&amp;"-"&amp;Table26[[#This Row],[po_line]]</f>
        <v>-5</v>
      </c>
      <c r="O1920" s="15">
        <v>5</v>
      </c>
      <c r="P1920" s="50"/>
      <c r="Q1920" s="22" t="s">
        <v>1825</v>
      </c>
      <c r="R1920" s="22" t="s">
        <v>532</v>
      </c>
      <c r="S1920" s="90" t="str">
        <f>IF(Table26[[#This Row],[customerSKU]]="","",_xlfn.XLOOKUP(Table26[[#This Row],[customerSKU]],customerSKU!G:G,customerSKU!N:N,"NOT FOUND",0,1))</f>
        <v>NOT FOUND</v>
      </c>
      <c r="T1920" s="20">
        <v>45833</v>
      </c>
      <c r="U1920" s="94">
        <v>12</v>
      </c>
      <c r="V1920" s="22" t="str">
        <f>IF(ISBLANK(Table26[[#This Row],[customerSKU]]),"",_xlfn.XLOOKUP(Table26[[#This Row],[customerSKU]],Table27[customer_SKU],Table27[case_size],"",0,1))</f>
        <v/>
      </c>
      <c r="W1920" s="117" t="str">
        <f t="shared" si="77"/>
        <v/>
      </c>
      <c r="X1920" s="22" t="str">
        <f t="shared" si="76"/>
        <v/>
      </c>
      <c r="Y1920" s="25" t="str">
        <f>IF(Table26[[#This Row],[customerSKU]]="","",_xlfn.XLOOKUP(Table26[[#This Row],[customerSKU]],Table27[customer_SKU],Table27[product_GTIN],"",0,1))</f>
        <v/>
      </c>
      <c r="Z1920" s="25" t="s">
        <v>3693</v>
      </c>
      <c r="AA1920" s="18" t="str" cm="1">
        <f t="array" ref="AA1920">IF(P1920="", "", _xlfn.XLOOKUP(P1920,#REF!,#REF!,NA,0,-1))</f>
        <v/>
      </c>
      <c r="AB1920" s="22"/>
      <c r="AC1920" s="23" t="s">
        <v>3692</v>
      </c>
      <c r="AD1920" s="23" t="str">
        <f>IF($AC1920="","",_xlfn.XLOOKUP($AC1920,'Client Info'!$C$2:$C$2497,'Client Info'!$D$2:$D$2497,"",0,1))</f>
        <v/>
      </c>
      <c r="AE1920" s="23" t="str">
        <f>IF($AC1920="","",_xlfn.XLOOKUP($AC1920,'Client Info'!$C$2:$C$2677,'Client Info'!$E$2:$E$2677,"",))</f>
        <v/>
      </c>
      <c r="AF1920" s="23" t="str">
        <f>IF($AC1920="","",_xlfn.XLOOKUP($AC1920,'Client Info'!$C$2:$C$2677,'Client Info'!$F$2:$F$2677,"",0,1))</f>
        <v/>
      </c>
      <c r="AG1920" s="23" t="s">
        <v>3692</v>
      </c>
      <c r="AH1920" s="26" t="str">
        <f>_xlfn.XLOOKUP(Table26[[#This Row],[customerSKU]],customerSKU!G:G,customerSKU!K:K,"NA",0,1)</f>
        <v>NA</v>
      </c>
      <c r="AI1920" s="43" t="str">
        <f>_xlfn.XLOOKUP(Table26[[#This Row],[customerSKU]],customerSKU!G:G,customerSKU!O:O,"not found",0,1)</f>
        <v>not found</v>
      </c>
      <c r="AJ1920" s="22" t="e">
        <f>Table26[[#This Row],[unitprice]]*Table26[[#This Row],[quantity_unit]]</f>
        <v>#VALUE!</v>
      </c>
      <c r="AK1920" s="227" t="e" cm="1">
        <f t="array" ref="AK19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0" s="227"/>
    </row>
    <row r="1921" spans="1:38" ht="18" customHeight="1">
      <c r="A1921" s="42">
        <v>335</v>
      </c>
      <c r="B1921" s="42" t="s">
        <v>3520</v>
      </c>
      <c r="C1921" s="53" t="s">
        <v>3488</v>
      </c>
      <c r="E1921" s="20"/>
      <c r="F19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1" s="93"/>
      <c r="I1921" s="203">
        <v>45833</v>
      </c>
      <c r="J1921" s="90" t="str">
        <f>IF(Table26[[#This Row],[customerSKU]]="","",_xlfn.XLOOKUP(Table26[[#This Row],[customerSKU]],customerSKU!G:G,customerSKU!A:A,"",0,1))</f>
        <v/>
      </c>
      <c r="K1921" s="203">
        <v>45833</v>
      </c>
      <c r="L1921" s="49" t="str">
        <f>IF(Table26[[#This Row],[customerSKU]]="","",_xlfn.XLOOKUP(Table26[[#This Row],[customerSKU]],customerSKU!G:G,customerSKU!B:B,"",0,1))</f>
        <v/>
      </c>
      <c r="M1921" s="22"/>
      <c r="N1921" s="15" t="str">
        <f>Table26[[#This Row],[po_number]]&amp;"-"&amp;Table26[[#This Row],[po_line]]</f>
        <v>-1</v>
      </c>
      <c r="O1921" s="15">
        <v>1</v>
      </c>
      <c r="P1921" s="50"/>
      <c r="Q1921" s="22" t="s">
        <v>574</v>
      </c>
      <c r="R1921" s="22" t="s">
        <v>532</v>
      </c>
      <c r="S1921" s="90" t="str">
        <f>IF(Table26[[#This Row],[customerSKU]]="","",_xlfn.XLOOKUP(Table26[[#This Row],[customerSKU]],customerSKU!G:G,customerSKU!N:N,"NOT FOUND",0,1))</f>
        <v>NOT FOUND</v>
      </c>
      <c r="T1921" s="20">
        <v>45818</v>
      </c>
      <c r="U1921" s="94">
        <f>12*13</f>
        <v>156</v>
      </c>
      <c r="V1921" s="22" t="str">
        <f>IF(ISBLANK(Table26[[#This Row],[customerSKU]]),"",_xlfn.XLOOKUP(Table26[[#This Row],[customerSKU]],Table27[customer_SKU],Table27[case_size],"",0,1))</f>
        <v/>
      </c>
      <c r="W1921" s="117" t="str">
        <f t="shared" si="77"/>
        <v/>
      </c>
      <c r="X1921" s="22" t="str">
        <f t="shared" si="76"/>
        <v/>
      </c>
      <c r="Y1921" s="25" t="str">
        <f>IF(Table26[[#This Row],[customerSKU]]="","",_xlfn.XLOOKUP(Table26[[#This Row],[customerSKU]],Table27[customer_SKU],Table27[product_GTIN],"",0,1))</f>
        <v/>
      </c>
      <c r="Z1921" s="25" t="s">
        <v>3530</v>
      </c>
      <c r="AA1921" s="18" t="str" cm="1">
        <f t="array" ref="AA1921">IF(P1921="", "", _xlfn.XLOOKUP(P1921,#REF!,#REF!,NA,0,-1))</f>
        <v/>
      </c>
      <c r="AB1921" s="22"/>
      <c r="AC1921" s="23" t="s">
        <v>3531</v>
      </c>
      <c r="AD1921" s="23" t="str">
        <f>IF($AC1921="","",_xlfn.XLOOKUP($AC1921,'Client Info'!$C$2:$C$2497,'Client Info'!$D$2:$D$2497,"",0,1))</f>
        <v/>
      </c>
      <c r="AE1921" s="23" t="str">
        <f>IF($AC1921="","",_xlfn.XLOOKUP($AC1921,'Client Info'!$C$2:$C$2677,'Client Info'!$E$2:$E$2677,"",))</f>
        <v/>
      </c>
      <c r="AF1921" s="23" t="str">
        <f>IF($AC1921="","",_xlfn.XLOOKUP($AC1921,'Client Info'!$C$2:$C$2677,'Client Info'!$F$2:$F$2677,"",0,1))</f>
        <v/>
      </c>
      <c r="AG1921" s="23" t="s">
        <v>3531</v>
      </c>
      <c r="AH1921" s="26" t="str">
        <f>_xlfn.XLOOKUP(Table26[[#This Row],[customerSKU]],customerSKU!G:G,customerSKU!K:K,"NA",0,1)</f>
        <v>NA</v>
      </c>
      <c r="AI1921" s="43" t="str">
        <f>_xlfn.XLOOKUP(Table26[[#This Row],[customerSKU]],customerSKU!G:G,customerSKU!O:O,"not found",0,1)</f>
        <v>not found</v>
      </c>
      <c r="AJ1921" s="22" t="e">
        <f>Table26[[#This Row],[unitprice]]*Table26[[#This Row],[quantity_unit]]</f>
        <v>#VALUE!</v>
      </c>
      <c r="AK1921" s="227" t="e" cm="1">
        <f t="array" ref="AK19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1" s="227"/>
    </row>
    <row r="1922" spans="1:38" ht="18" customHeight="1">
      <c r="A1922" s="42">
        <v>322</v>
      </c>
      <c r="B1922" s="42" t="s">
        <v>3520</v>
      </c>
      <c r="C1922" s="53" t="s">
        <v>3488</v>
      </c>
      <c r="E1922" s="20"/>
      <c r="F19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2" s="93"/>
      <c r="I1922" s="203">
        <v>45833</v>
      </c>
      <c r="J1922" s="90" t="str">
        <f>IF(Table26[[#This Row],[customerSKU]]="","",_xlfn.XLOOKUP(Table26[[#This Row],[customerSKU]],customerSKU!G:G,customerSKU!A:A,"",0,1))</f>
        <v/>
      </c>
      <c r="K1922" s="232">
        <v>45834</v>
      </c>
      <c r="L1922" s="49" t="str">
        <f>IF(Table26[[#This Row],[customerSKU]]="","",_xlfn.XLOOKUP(Table26[[#This Row],[customerSKU]],customerSKU!G:G,customerSKU!B:B,"",0,1))</f>
        <v/>
      </c>
      <c r="M1922" s="22"/>
      <c r="N1922" s="15" t="str">
        <f>Table26[[#This Row],[po_number]]&amp;"-"&amp;Table26[[#This Row],[po_line]]</f>
        <v>-1</v>
      </c>
      <c r="O1922" s="15">
        <v>1</v>
      </c>
      <c r="P1922" s="50"/>
      <c r="Q1922" s="4" t="s">
        <v>1827</v>
      </c>
      <c r="R1922" s="22" t="s">
        <v>221</v>
      </c>
      <c r="S1922" s="90" t="str">
        <f>IF(Table26[[#This Row],[customerSKU]]="","",_xlfn.XLOOKUP(Table26[[#This Row],[customerSKU]],customerSKU!G:G,customerSKU!N:N,"NOT FOUND",0,1))</f>
        <v>NOT FOUND</v>
      </c>
      <c r="T1922" s="20">
        <v>45825</v>
      </c>
      <c r="U1922" s="94">
        <v>12</v>
      </c>
      <c r="V1922" s="22" t="str">
        <f>IF(ISBLANK(Table26[[#This Row],[customerSKU]]),"",_xlfn.XLOOKUP(Table26[[#This Row],[customerSKU]],Table27[customer_SKU],Table27[case_size],"",0,1))</f>
        <v/>
      </c>
      <c r="W1922" s="117" t="str">
        <f t="shared" si="77"/>
        <v/>
      </c>
      <c r="X1922" s="22" t="str">
        <f t="shared" si="76"/>
        <v/>
      </c>
      <c r="Y1922" s="25" t="str">
        <f>IF(Table26[[#This Row],[customerSKU]]="","",_xlfn.XLOOKUP(Table26[[#This Row],[customerSKU]],Table27[customer_SKU],Table27[product_GTIN],"",0,1))</f>
        <v/>
      </c>
      <c r="Z1922" s="25" t="s">
        <v>3603</v>
      </c>
      <c r="AA1922" s="18" t="str" cm="1">
        <f t="array" ref="AA1922">IF(P1922="", "", _xlfn.XLOOKUP(P1922,#REF!,#REF!,NA,0,-1))</f>
        <v/>
      </c>
      <c r="AB1922" s="22"/>
      <c r="AC1922" s="23" t="s">
        <v>190</v>
      </c>
      <c r="AD1922" s="23" t="str">
        <f>IF($AC1922="","",_xlfn.XLOOKUP($AC1922,'Client Info'!$C$2:$C$2497,'Client Info'!$D$2:$D$2497,"",0,1))</f>
        <v/>
      </c>
      <c r="AE1922" s="23" t="str">
        <f>IF($AC1922="","",_xlfn.XLOOKUP($AC1922,'Client Info'!$C$2:$C$2677,'Client Info'!$E$2:$E$2677,"",))</f>
        <v/>
      </c>
      <c r="AF1922" s="23" t="str">
        <f>IF($AC1922="","",_xlfn.XLOOKUP($AC1922,'Client Info'!$C$2:$C$2677,'Client Info'!$F$2:$F$2677,"",0,1))</f>
        <v/>
      </c>
      <c r="AG1922" s="23" t="s">
        <v>190</v>
      </c>
      <c r="AH1922" s="26" t="str">
        <f>_xlfn.XLOOKUP(Table26[[#This Row],[customerSKU]],customerSKU!G:G,customerSKU!K:K,"NA",0,1)</f>
        <v>NA</v>
      </c>
      <c r="AI1922" s="43" t="str">
        <f>_xlfn.XLOOKUP(Table26[[#This Row],[customerSKU]],customerSKU!G:G,customerSKU!O:O,"not found",0,1)</f>
        <v>not found</v>
      </c>
      <c r="AJ1922" s="22" t="e">
        <f>Table26[[#This Row],[unitprice]]*Table26[[#This Row],[quantity_unit]]</f>
        <v>#VALUE!</v>
      </c>
      <c r="AK1922" s="227" t="e" cm="1">
        <f t="array" ref="AK19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2" s="227"/>
    </row>
    <row r="1923" spans="1:38" ht="18" customHeight="1">
      <c r="A1923" s="42">
        <v>323</v>
      </c>
      <c r="B1923" s="42" t="s">
        <v>3520</v>
      </c>
      <c r="C1923" s="53" t="s">
        <v>3488</v>
      </c>
      <c r="E1923" s="20"/>
      <c r="F19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3" s="93"/>
      <c r="I1923" s="203">
        <v>45833</v>
      </c>
      <c r="J1923" s="90" t="str">
        <f>IF(Table26[[#This Row],[customerSKU]]="","",_xlfn.XLOOKUP(Table26[[#This Row],[customerSKU]],customerSKU!G:G,customerSKU!A:A,"",0,1))</f>
        <v/>
      </c>
      <c r="K1923" s="232">
        <v>45834</v>
      </c>
      <c r="L1923" s="49" t="str">
        <f>IF(Table26[[#This Row],[customerSKU]]="","",_xlfn.XLOOKUP(Table26[[#This Row],[customerSKU]],customerSKU!G:G,customerSKU!B:B,"",0,1))</f>
        <v/>
      </c>
      <c r="M1923" s="22"/>
      <c r="N1923" s="15" t="str">
        <f>Table26[[#This Row],[po_number]]&amp;"-"&amp;Table26[[#This Row],[po_line]]</f>
        <v>-2</v>
      </c>
      <c r="O1923" s="15">
        <v>2</v>
      </c>
      <c r="P1923" s="50"/>
      <c r="Q1923" s="22" t="s">
        <v>587</v>
      </c>
      <c r="R1923" s="22" t="s">
        <v>532</v>
      </c>
      <c r="S1923" s="90" t="str">
        <f>IF(Table26[[#This Row],[customerSKU]]="","",_xlfn.XLOOKUP(Table26[[#This Row],[customerSKU]],customerSKU!G:G,customerSKU!N:N,"NOT FOUND",0,1))</f>
        <v>NOT FOUND</v>
      </c>
      <c r="T1923" s="20">
        <v>45742</v>
      </c>
      <c r="U1923" s="94">
        <v>12</v>
      </c>
      <c r="V1923" s="22" t="str">
        <f>IF(ISBLANK(Table26[[#This Row],[customerSKU]]),"",_xlfn.XLOOKUP(Table26[[#This Row],[customerSKU]],Table27[customer_SKU],Table27[case_size],"",0,1))</f>
        <v/>
      </c>
      <c r="W1923" s="117" t="str">
        <f t="shared" si="77"/>
        <v/>
      </c>
      <c r="X1923" s="22" t="str">
        <f t="shared" si="76"/>
        <v/>
      </c>
      <c r="Y1923" s="25" t="str">
        <f>IF(Table26[[#This Row],[customerSKU]]="","",_xlfn.XLOOKUP(Table26[[#This Row],[customerSKU]],Table27[customer_SKU],Table27[product_GTIN],"",0,1))</f>
        <v/>
      </c>
      <c r="Z1923" s="25" t="s">
        <v>3550</v>
      </c>
      <c r="AA1923" s="18" t="str" cm="1">
        <f t="array" ref="AA1923">IF(P1923="", "", _xlfn.XLOOKUP(P1923,#REF!,#REF!,NA,0,-1))</f>
        <v/>
      </c>
      <c r="AB1923" s="22"/>
      <c r="AC1923" s="23" t="s">
        <v>190</v>
      </c>
      <c r="AD1923" s="23" t="str">
        <f>IF($AC1923="","",_xlfn.XLOOKUP($AC1923,'Client Info'!$C$2:$C$2497,'Client Info'!$D$2:$D$2497,"",0,1))</f>
        <v/>
      </c>
      <c r="AE1923" s="23" t="str">
        <f>IF($AC1923="","",_xlfn.XLOOKUP($AC1923,'Client Info'!$C$2:$C$2677,'Client Info'!$E$2:$E$2677,"",))</f>
        <v/>
      </c>
      <c r="AF1923" s="23" t="str">
        <f>IF($AC1923="","",_xlfn.XLOOKUP($AC1923,'Client Info'!$C$2:$C$2677,'Client Info'!$F$2:$F$2677,"",0,1))</f>
        <v/>
      </c>
      <c r="AG1923" s="23" t="s">
        <v>190</v>
      </c>
      <c r="AH1923" s="26" t="str">
        <f>_xlfn.XLOOKUP(Table26[[#This Row],[customerSKU]],customerSKU!G:G,customerSKU!K:K,"NA",0,1)</f>
        <v>NA</v>
      </c>
      <c r="AI1923" s="43" t="str">
        <f>_xlfn.XLOOKUP(Table26[[#This Row],[customerSKU]],customerSKU!G:G,customerSKU!O:O,"not found",0,1)</f>
        <v>not found</v>
      </c>
      <c r="AJ1923" s="22" t="e">
        <f>Table26[[#This Row],[unitprice]]*Table26[[#This Row],[quantity_unit]]</f>
        <v>#VALUE!</v>
      </c>
      <c r="AK1923" s="227" t="e" cm="1">
        <f t="array" ref="AK19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3" s="227"/>
    </row>
    <row r="1924" spans="1:38" ht="18" customHeight="1">
      <c r="A1924" s="42">
        <v>324</v>
      </c>
      <c r="B1924" s="42" t="s">
        <v>3520</v>
      </c>
      <c r="C1924" s="53" t="s">
        <v>3488</v>
      </c>
      <c r="E1924" s="20"/>
      <c r="F19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4" s="93"/>
      <c r="I1924" s="203">
        <v>45833</v>
      </c>
      <c r="J1924" s="90" t="str">
        <f>IF(Table26[[#This Row],[customerSKU]]="","",_xlfn.XLOOKUP(Table26[[#This Row],[customerSKU]],customerSKU!G:G,customerSKU!A:A,"",0,1))</f>
        <v/>
      </c>
      <c r="K1924" s="232">
        <v>45834</v>
      </c>
      <c r="L1924" s="49" t="str">
        <f>IF(Table26[[#This Row],[customerSKU]]="","",_xlfn.XLOOKUP(Table26[[#This Row],[customerSKU]],customerSKU!G:G,customerSKU!B:B,"",0,1))</f>
        <v/>
      </c>
      <c r="M1924" s="22"/>
      <c r="N1924" s="15" t="str">
        <f>Table26[[#This Row],[po_number]]&amp;"-"&amp;Table26[[#This Row],[po_line]]</f>
        <v>-3</v>
      </c>
      <c r="O1924" s="15">
        <v>3</v>
      </c>
      <c r="P1924" s="50"/>
      <c r="Q1924" s="22" t="s">
        <v>1807</v>
      </c>
      <c r="R1924" s="22" t="s">
        <v>532</v>
      </c>
      <c r="S1924" s="90" t="str">
        <f>IF(Table26[[#This Row],[customerSKU]]="","",_xlfn.XLOOKUP(Table26[[#This Row],[customerSKU]],customerSKU!G:G,customerSKU!N:N,"NOT FOUND",0,1))</f>
        <v>NOT FOUND</v>
      </c>
      <c r="T1924" s="20">
        <v>45804</v>
      </c>
      <c r="U1924" s="94">
        <v>12</v>
      </c>
      <c r="V1924" s="22" t="str">
        <f>IF(ISBLANK(Table26[[#This Row],[customerSKU]]),"",_xlfn.XLOOKUP(Table26[[#This Row],[customerSKU]],Table27[customer_SKU],Table27[case_size],"",0,1))</f>
        <v/>
      </c>
      <c r="W1924" s="117" t="str">
        <f t="shared" si="77"/>
        <v/>
      </c>
      <c r="X1924" s="22" t="str">
        <f t="shared" si="76"/>
        <v/>
      </c>
      <c r="Y1924" s="25" t="str">
        <f>IF(Table26[[#This Row],[customerSKU]]="","",_xlfn.XLOOKUP(Table26[[#This Row],[customerSKU]],Table27[customer_SKU],Table27[product_GTIN],"",0,1))</f>
        <v/>
      </c>
      <c r="Z1924" s="25" t="s">
        <v>3650</v>
      </c>
      <c r="AA1924" s="18" t="str" cm="1">
        <f t="array" ref="AA1924">IF(P1924="", "", _xlfn.XLOOKUP(P1924,#REF!,#REF!,NA,0,-1))</f>
        <v/>
      </c>
      <c r="AB1924" s="22"/>
      <c r="AC1924" s="23" t="s">
        <v>190</v>
      </c>
      <c r="AD1924" s="23" t="str">
        <f>IF($AC1924="","",_xlfn.XLOOKUP($AC1924,'Client Info'!$C$2:$C$2497,'Client Info'!$D$2:$D$2497,"",0,1))</f>
        <v/>
      </c>
      <c r="AE1924" s="23" t="str">
        <f>IF($AC1924="","",_xlfn.XLOOKUP($AC1924,'Client Info'!$C$2:$C$2677,'Client Info'!$E$2:$E$2677,"",))</f>
        <v/>
      </c>
      <c r="AF1924" s="23" t="str">
        <f>IF($AC1924="","",_xlfn.XLOOKUP($AC1924,'Client Info'!$C$2:$C$2677,'Client Info'!$F$2:$F$2677,"",0,1))</f>
        <v/>
      </c>
      <c r="AG1924" s="23" t="s">
        <v>190</v>
      </c>
      <c r="AH1924" s="26" t="str">
        <f>_xlfn.XLOOKUP(Table26[[#This Row],[customerSKU]],customerSKU!G:G,customerSKU!K:K,"NA",0,1)</f>
        <v>NA</v>
      </c>
      <c r="AI1924" s="43" t="str">
        <f>_xlfn.XLOOKUP(Table26[[#This Row],[customerSKU]],customerSKU!G:G,customerSKU!O:O,"not found",0,1)</f>
        <v>not found</v>
      </c>
      <c r="AJ1924" s="22" t="e">
        <f>Table26[[#This Row],[unitprice]]*Table26[[#This Row],[quantity_unit]]</f>
        <v>#VALUE!</v>
      </c>
      <c r="AK1924" s="227" t="e" cm="1">
        <f t="array" ref="AK19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4" s="227"/>
    </row>
    <row r="1925" spans="1:38" ht="18" customHeight="1">
      <c r="A1925" s="42">
        <v>325</v>
      </c>
      <c r="B1925" s="42" t="s">
        <v>3520</v>
      </c>
      <c r="C1925" s="53" t="s">
        <v>203</v>
      </c>
      <c r="E1925" s="20"/>
      <c r="F19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5" s="93"/>
      <c r="I1925" s="203">
        <v>45833</v>
      </c>
      <c r="J1925" s="90" t="str">
        <f>IF(Table26[[#This Row],[customerSKU]]="","",_xlfn.XLOOKUP(Table26[[#This Row],[customerSKU]],customerSKU!G:G,customerSKU!A:A,"",0,1))</f>
        <v/>
      </c>
      <c r="K1925" s="232">
        <v>45834</v>
      </c>
      <c r="L1925" s="49" t="str">
        <f>IF(Table26[[#This Row],[customerSKU]]="","",_xlfn.XLOOKUP(Table26[[#This Row],[customerSKU]],customerSKU!G:G,customerSKU!B:B,"",0,1))</f>
        <v/>
      </c>
      <c r="M1925" s="22"/>
      <c r="N1925" s="15" t="str">
        <f>Table26[[#This Row],[po_number]]&amp;"-"&amp;Table26[[#This Row],[po_line]]</f>
        <v>-4</v>
      </c>
      <c r="O1925" s="15">
        <v>4</v>
      </c>
      <c r="P1925" s="50"/>
      <c r="Q1925" s="22" t="s">
        <v>1783</v>
      </c>
      <c r="R1925" s="22" t="s">
        <v>532</v>
      </c>
      <c r="S1925" s="90" t="str">
        <f>IF(Table26[[#This Row],[customerSKU]]="","",_xlfn.XLOOKUP(Table26[[#This Row],[customerSKU]],customerSKU!G:G,customerSKU!N:N,"NOT FOUND",0,1))</f>
        <v>NOT FOUND</v>
      </c>
      <c r="T1925" s="20">
        <v>45800</v>
      </c>
      <c r="U1925" s="94">
        <v>12</v>
      </c>
      <c r="V1925" s="22" t="str">
        <f>IF(ISBLANK(Table26[[#This Row],[customerSKU]]),"",_xlfn.XLOOKUP(Table26[[#This Row],[customerSKU]],Table27[customer_SKU],Table27[case_size],"",0,1))</f>
        <v/>
      </c>
      <c r="W1925" s="117" t="str">
        <f t="shared" si="77"/>
        <v/>
      </c>
      <c r="X1925" s="22" t="str">
        <f t="shared" si="76"/>
        <v/>
      </c>
      <c r="Y1925" s="25" t="str">
        <f>IF(Table26[[#This Row],[customerSKU]]="","",_xlfn.XLOOKUP(Table26[[#This Row],[customerSKU]],Table27[customer_SKU],Table27[product_GTIN],"",0,1))</f>
        <v/>
      </c>
      <c r="Z1925" s="25" t="s">
        <v>3651</v>
      </c>
      <c r="AA1925" s="18" t="str" cm="1">
        <f t="array" ref="AA1925">IF(P1925="", "", _xlfn.XLOOKUP(P1925,#REF!,#REF!,NA,0,-1))</f>
        <v/>
      </c>
      <c r="AB1925" s="22"/>
      <c r="AC1925" s="23" t="s">
        <v>190</v>
      </c>
      <c r="AD1925" s="23" t="str">
        <f>IF($AC1925="","",_xlfn.XLOOKUP($AC1925,'Client Info'!$C$2:$C$2497,'Client Info'!$D$2:$D$2497,"",0,1))</f>
        <v/>
      </c>
      <c r="AE1925" s="23" t="str">
        <f>IF($AC1925="","",_xlfn.XLOOKUP($AC1925,'Client Info'!$C$2:$C$2677,'Client Info'!$E$2:$E$2677,"",))</f>
        <v/>
      </c>
      <c r="AF1925" s="23" t="str">
        <f>IF($AC1925="","",_xlfn.XLOOKUP($AC1925,'Client Info'!$C$2:$C$2677,'Client Info'!$F$2:$F$2677,"",0,1))</f>
        <v/>
      </c>
      <c r="AG1925" s="23" t="s">
        <v>190</v>
      </c>
      <c r="AH1925" s="26" t="str">
        <f>_xlfn.XLOOKUP(Table26[[#This Row],[customerSKU]],customerSKU!G:G,customerSKU!K:K,"NA",0,1)</f>
        <v>NA</v>
      </c>
      <c r="AI1925" s="43" t="str">
        <f>_xlfn.XLOOKUP(Table26[[#This Row],[customerSKU]],customerSKU!G:G,customerSKU!O:O,"not found",0,1)</f>
        <v>not found</v>
      </c>
      <c r="AJ1925" s="22" t="e">
        <f>Table26[[#This Row],[unitprice]]*Table26[[#This Row],[quantity_unit]]</f>
        <v>#VALUE!</v>
      </c>
      <c r="AK1925" s="227" t="e" cm="1">
        <f t="array" ref="AK19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5" s="227"/>
    </row>
    <row r="1926" spans="1:38" ht="18" customHeight="1">
      <c r="A1926" s="42">
        <v>326</v>
      </c>
      <c r="B1926" s="42" t="s">
        <v>3520</v>
      </c>
      <c r="C1926" s="53" t="s">
        <v>3488</v>
      </c>
      <c r="E1926" s="20"/>
      <c r="F19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6" s="93"/>
      <c r="I1926" s="203">
        <v>45833</v>
      </c>
      <c r="J1926" s="90" t="str">
        <f>IF(Table26[[#This Row],[customerSKU]]="","",_xlfn.XLOOKUP(Table26[[#This Row],[customerSKU]],customerSKU!G:G,customerSKU!A:A,"",0,1))</f>
        <v/>
      </c>
      <c r="K1926" s="232">
        <v>45834</v>
      </c>
      <c r="L1926" s="49" t="str">
        <f>IF(Table26[[#This Row],[customerSKU]]="","",_xlfn.XLOOKUP(Table26[[#This Row],[customerSKU]],customerSKU!G:G,customerSKU!B:B,"",0,1))</f>
        <v/>
      </c>
      <c r="M1926" s="22"/>
      <c r="N1926" s="15" t="str">
        <f>Table26[[#This Row],[po_number]]&amp;"-"&amp;Table26[[#This Row],[po_line]]</f>
        <v>-5</v>
      </c>
      <c r="O1926" s="15">
        <v>5</v>
      </c>
      <c r="P1926" s="50"/>
      <c r="Q1926" s="22" t="s">
        <v>1312</v>
      </c>
      <c r="R1926" s="22" t="s">
        <v>532</v>
      </c>
      <c r="S1926" s="90" t="str">
        <f>IF(Table26[[#This Row],[customerSKU]]="","",_xlfn.XLOOKUP(Table26[[#This Row],[customerSKU]],customerSKU!G:G,customerSKU!N:N,"NOT FOUND",0,1))</f>
        <v>NOT FOUND</v>
      </c>
      <c r="T1926" s="20">
        <v>45660</v>
      </c>
      <c r="U1926" s="94">
        <v>12</v>
      </c>
      <c r="V1926" s="22" t="str">
        <f>IF(ISBLANK(Table26[[#This Row],[customerSKU]]),"",_xlfn.XLOOKUP(Table26[[#This Row],[customerSKU]],Table27[customer_SKU],Table27[case_size],"",0,1))</f>
        <v/>
      </c>
      <c r="W1926" s="117" t="str">
        <f t="shared" si="77"/>
        <v/>
      </c>
      <c r="X1926" s="22" t="str">
        <f t="shared" ref="X1926:X1989" si="78">IFERROR($AA1926*$U1926, "")</f>
        <v/>
      </c>
      <c r="Y1926" s="25" t="str">
        <f>IF(Table26[[#This Row],[customerSKU]]="","",_xlfn.XLOOKUP(Table26[[#This Row],[customerSKU]],Table27[customer_SKU],Table27[product_GTIN],"",0,1))</f>
        <v/>
      </c>
      <c r="Z1926" s="25" t="s">
        <v>3605</v>
      </c>
      <c r="AA1926" s="18" t="str" cm="1">
        <f t="array" ref="AA1926">IF(P1926="", "", _xlfn.XLOOKUP(P1926,#REF!,#REF!,NA,0,-1))</f>
        <v/>
      </c>
      <c r="AB1926" s="22"/>
      <c r="AC1926" s="23" t="s">
        <v>190</v>
      </c>
      <c r="AD1926" s="23" t="str">
        <f>IF($AC1926="","",_xlfn.XLOOKUP($AC1926,'Client Info'!$C$2:$C$2497,'Client Info'!$D$2:$D$2497,"",0,1))</f>
        <v/>
      </c>
      <c r="AE1926" s="23" t="str">
        <f>IF($AC1926="","",_xlfn.XLOOKUP($AC1926,'Client Info'!$C$2:$C$2677,'Client Info'!$E$2:$E$2677,"",))</f>
        <v/>
      </c>
      <c r="AF1926" s="23" t="str">
        <f>IF($AC1926="","",_xlfn.XLOOKUP($AC1926,'Client Info'!$C$2:$C$2677,'Client Info'!$F$2:$F$2677,"",0,1))</f>
        <v/>
      </c>
      <c r="AG1926" s="23" t="s">
        <v>190</v>
      </c>
      <c r="AH1926" s="26" t="str">
        <f>_xlfn.XLOOKUP(Table26[[#This Row],[customerSKU]],customerSKU!G:G,customerSKU!K:K,"NA",0,1)</f>
        <v>NA</v>
      </c>
      <c r="AI1926" s="43" t="str">
        <f>_xlfn.XLOOKUP(Table26[[#This Row],[customerSKU]],customerSKU!G:G,customerSKU!O:O,"not found",0,1)</f>
        <v>not found</v>
      </c>
      <c r="AJ1926" s="22" t="e">
        <f>Table26[[#This Row],[unitprice]]*Table26[[#This Row],[quantity_unit]]</f>
        <v>#VALUE!</v>
      </c>
      <c r="AK1926" s="227" t="e" cm="1">
        <f t="array" ref="AK19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6" s="227"/>
    </row>
    <row r="1927" spans="1:38" ht="18" customHeight="1">
      <c r="A1927" s="42">
        <v>327</v>
      </c>
      <c r="B1927" s="42" t="s">
        <v>3520</v>
      </c>
      <c r="C1927" s="53" t="s">
        <v>3488</v>
      </c>
      <c r="E1927" s="20"/>
      <c r="F19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7" s="93"/>
      <c r="I1927" s="203">
        <v>45833</v>
      </c>
      <c r="J1927" s="90" t="str">
        <f>IF(Table26[[#This Row],[customerSKU]]="","",_xlfn.XLOOKUP(Table26[[#This Row],[customerSKU]],customerSKU!G:G,customerSKU!A:A,"",0,1))</f>
        <v/>
      </c>
      <c r="K1927" s="232">
        <v>45834</v>
      </c>
      <c r="L1927" s="49" t="str">
        <f>IF(Table26[[#This Row],[customerSKU]]="","",_xlfn.XLOOKUP(Table26[[#This Row],[customerSKU]],customerSKU!G:G,customerSKU!B:B,"",0,1))</f>
        <v/>
      </c>
      <c r="M1927" s="22"/>
      <c r="N1927" s="15" t="str">
        <f>Table26[[#This Row],[po_number]]&amp;"-"&amp;Table26[[#This Row],[po_line]]</f>
        <v>-6</v>
      </c>
      <c r="O1927" s="15">
        <v>6</v>
      </c>
      <c r="P1927" s="50"/>
      <c r="Q1927" s="22" t="s">
        <v>574</v>
      </c>
      <c r="R1927" s="22" t="s">
        <v>532</v>
      </c>
      <c r="S1927" s="90" t="str">
        <f>IF(Table26[[#This Row],[customerSKU]]="","",_xlfn.XLOOKUP(Table26[[#This Row],[customerSKU]],customerSKU!G:G,customerSKU!N:N,"NOT FOUND",0,1))</f>
        <v>NOT FOUND</v>
      </c>
      <c r="T1927" s="20">
        <v>45818</v>
      </c>
      <c r="U1927" s="94">
        <v>12</v>
      </c>
      <c r="V1927" s="22" t="str">
        <f>IF(ISBLANK(Table26[[#This Row],[customerSKU]]),"",_xlfn.XLOOKUP(Table26[[#This Row],[customerSKU]],Table27[customer_SKU],Table27[case_size],"",0,1))</f>
        <v/>
      </c>
      <c r="W1927" s="117" t="str">
        <f t="shared" si="77"/>
        <v/>
      </c>
      <c r="X1927" s="22" t="str">
        <f t="shared" si="78"/>
        <v/>
      </c>
      <c r="Y1927" s="25" t="str">
        <f>IF(Table26[[#This Row],[customerSKU]]="","",_xlfn.XLOOKUP(Table26[[#This Row],[customerSKU]],Table27[customer_SKU],Table27[product_GTIN],"",0,1))</f>
        <v/>
      </c>
      <c r="Z1927" s="25" t="s">
        <v>3530</v>
      </c>
      <c r="AA1927" s="18" t="str" cm="1">
        <f t="array" ref="AA1927">IF(P1927="", "", _xlfn.XLOOKUP(P1927,#REF!,#REF!,NA,0,-1))</f>
        <v/>
      </c>
      <c r="AB1927" s="22"/>
      <c r="AC1927" s="23" t="s">
        <v>190</v>
      </c>
      <c r="AD1927" s="23" t="str">
        <f>IF($AC1927="","",_xlfn.XLOOKUP($AC1927,'Client Info'!$C$2:$C$2497,'Client Info'!$D$2:$D$2497,"",0,1))</f>
        <v/>
      </c>
      <c r="AE1927" s="23" t="str">
        <f>IF($AC1927="","",_xlfn.XLOOKUP($AC1927,'Client Info'!$C$2:$C$2677,'Client Info'!$E$2:$E$2677,"",))</f>
        <v/>
      </c>
      <c r="AF1927" s="23" t="str">
        <f>IF($AC1927="","",_xlfn.XLOOKUP($AC1927,'Client Info'!$C$2:$C$2677,'Client Info'!$F$2:$F$2677,"",0,1))</f>
        <v/>
      </c>
      <c r="AG1927" s="23" t="s">
        <v>190</v>
      </c>
      <c r="AH1927" s="26" t="str">
        <f>_xlfn.XLOOKUP(Table26[[#This Row],[customerSKU]],customerSKU!G:G,customerSKU!K:K,"NA",0,1)</f>
        <v>NA</v>
      </c>
      <c r="AI1927" s="43" t="str">
        <f>_xlfn.XLOOKUP(Table26[[#This Row],[customerSKU]],customerSKU!G:G,customerSKU!O:O,"not found",0,1)</f>
        <v>not found</v>
      </c>
      <c r="AJ1927" s="22" t="e">
        <f>Table26[[#This Row],[unitprice]]*Table26[[#This Row],[quantity_unit]]</f>
        <v>#VALUE!</v>
      </c>
      <c r="AK1927" s="227" t="e" cm="1">
        <f t="array" ref="AK19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7" s="227"/>
    </row>
    <row r="1928" spans="1:38" ht="18" customHeight="1">
      <c r="A1928" s="42">
        <v>328</v>
      </c>
      <c r="B1928" s="42" t="s">
        <v>3520</v>
      </c>
      <c r="C1928" s="53" t="s">
        <v>3488</v>
      </c>
      <c r="E1928" s="20"/>
      <c r="F19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8" s="93"/>
      <c r="I1928" s="203">
        <v>45833</v>
      </c>
      <c r="J1928" s="90" t="str">
        <f>IF(Table26[[#This Row],[customerSKU]]="","",_xlfn.XLOOKUP(Table26[[#This Row],[customerSKU]],customerSKU!G:G,customerSKU!A:A,"",0,1))</f>
        <v/>
      </c>
      <c r="K1928" s="232">
        <v>45834</v>
      </c>
      <c r="L1928" s="49" t="str">
        <f>IF(Table26[[#This Row],[customerSKU]]="","",_xlfn.XLOOKUP(Table26[[#This Row],[customerSKU]],customerSKU!G:G,customerSKU!B:B,"",0,1))</f>
        <v/>
      </c>
      <c r="M1928" s="22"/>
      <c r="N1928" s="15" t="str">
        <f>Table26[[#This Row],[po_number]]&amp;"-"&amp;Table26[[#This Row],[po_line]]</f>
        <v>-7</v>
      </c>
      <c r="O1928" s="15">
        <v>7</v>
      </c>
      <c r="P1928" s="50"/>
      <c r="Q1928" s="22" t="s">
        <v>3405</v>
      </c>
      <c r="R1928" s="22" t="s">
        <v>532</v>
      </c>
      <c r="S1928" s="90" t="str">
        <f>IF(Table26[[#This Row],[customerSKU]]="","",_xlfn.XLOOKUP(Table26[[#This Row],[customerSKU]],customerSKU!G:G,customerSKU!N:N,"NOT FOUND",0,1))</f>
        <v>NOT FOUND</v>
      </c>
      <c r="T1928" s="20">
        <v>45623</v>
      </c>
      <c r="U1928" s="94">
        <v>24</v>
      </c>
      <c r="V1928" s="22" t="str">
        <f>IF(ISBLANK(Table26[[#This Row],[customerSKU]]),"",_xlfn.XLOOKUP(Table26[[#This Row],[customerSKU]],Table27[customer_SKU],Table27[case_size],"",0,1))</f>
        <v/>
      </c>
      <c r="W1928" s="117" t="str">
        <f t="shared" si="77"/>
        <v/>
      </c>
      <c r="X1928" s="22" t="str">
        <f t="shared" si="78"/>
        <v/>
      </c>
      <c r="Y1928" s="25" t="str">
        <f>IF(Table26[[#This Row],[customerSKU]]="","",_xlfn.XLOOKUP(Table26[[#This Row],[customerSKU]],Table27[customer_SKU],Table27[product_GTIN],"",0,1))</f>
        <v/>
      </c>
      <c r="Z1928" s="25" t="s">
        <v>3535</v>
      </c>
      <c r="AA1928" s="18" t="str" cm="1">
        <f t="array" ref="AA1928">IF(P1928="", "", _xlfn.XLOOKUP(P1928,#REF!,#REF!,NA,0,-1))</f>
        <v/>
      </c>
      <c r="AB1928" s="22"/>
      <c r="AC1928" s="23" t="s">
        <v>190</v>
      </c>
      <c r="AD1928" s="23" t="str">
        <f>IF($AC1928="","",_xlfn.XLOOKUP($AC1928,'Client Info'!$C$2:$C$2497,'Client Info'!$D$2:$D$2497,"",0,1))</f>
        <v/>
      </c>
      <c r="AE1928" s="23" t="str">
        <f>IF($AC1928="","",_xlfn.XLOOKUP($AC1928,'Client Info'!$C$2:$C$2677,'Client Info'!$E$2:$E$2677,"",))</f>
        <v/>
      </c>
      <c r="AF1928" s="23" t="str">
        <f>IF($AC1928="","",_xlfn.XLOOKUP($AC1928,'Client Info'!$C$2:$C$2677,'Client Info'!$F$2:$F$2677,"",0,1))</f>
        <v/>
      </c>
      <c r="AG1928" s="23" t="s">
        <v>190</v>
      </c>
      <c r="AH1928" s="26" t="str">
        <f>_xlfn.XLOOKUP(Table26[[#This Row],[customerSKU]],customerSKU!G:G,customerSKU!K:K,"NA",0,1)</f>
        <v>NA</v>
      </c>
      <c r="AI1928" s="43" t="str">
        <f>_xlfn.XLOOKUP(Table26[[#This Row],[customerSKU]],customerSKU!G:G,customerSKU!O:O,"not found",0,1)</f>
        <v>not found</v>
      </c>
      <c r="AJ1928" s="22" t="e">
        <f>Table26[[#This Row],[unitprice]]*Table26[[#This Row],[quantity_unit]]</f>
        <v>#VALUE!</v>
      </c>
      <c r="AK1928" s="227" t="e" cm="1">
        <f t="array" ref="AK19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8" s="227"/>
    </row>
    <row r="1929" spans="1:38" ht="18" customHeight="1">
      <c r="A1929" s="42">
        <v>329</v>
      </c>
      <c r="B1929" s="42" t="s">
        <v>3520</v>
      </c>
      <c r="C1929" s="53" t="s">
        <v>3488</v>
      </c>
      <c r="E1929" s="20"/>
      <c r="F19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29" s="93"/>
      <c r="I1929" s="203">
        <v>45833</v>
      </c>
      <c r="J1929" s="90" t="str">
        <f>IF(Table26[[#This Row],[customerSKU]]="","",_xlfn.XLOOKUP(Table26[[#This Row],[customerSKU]],customerSKU!G:G,customerSKU!A:A,"",0,1))</f>
        <v/>
      </c>
      <c r="K1929" s="232">
        <v>45834</v>
      </c>
      <c r="L1929" s="49" t="str">
        <f>IF(Table26[[#This Row],[customerSKU]]="","",_xlfn.XLOOKUP(Table26[[#This Row],[customerSKU]],customerSKU!G:G,customerSKU!B:B,"",0,1))</f>
        <v/>
      </c>
      <c r="M1929" s="22"/>
      <c r="N1929" s="15" t="str">
        <f>Table26[[#This Row],[po_number]]&amp;"-"&amp;Table26[[#This Row],[po_line]]</f>
        <v>-8</v>
      </c>
      <c r="O1929" s="15">
        <v>8</v>
      </c>
      <c r="P1929" s="50"/>
      <c r="Q1929" s="22" t="s">
        <v>1823</v>
      </c>
      <c r="R1929" s="22" t="s">
        <v>532</v>
      </c>
      <c r="S1929" s="90" t="str">
        <f>IF(Table26[[#This Row],[customerSKU]]="","",_xlfn.XLOOKUP(Table26[[#This Row],[customerSKU]],customerSKU!G:G,customerSKU!N:N,"NOT FOUND",0,1))</f>
        <v>NOT FOUND</v>
      </c>
      <c r="T1929" s="20">
        <v>45831</v>
      </c>
      <c r="U1929" s="94">
        <v>12</v>
      </c>
      <c r="V1929" s="22" t="str">
        <f>IF(ISBLANK(Table26[[#This Row],[customerSKU]]),"",_xlfn.XLOOKUP(Table26[[#This Row],[customerSKU]],Table27[customer_SKU],Table27[case_size],"",0,1))</f>
        <v/>
      </c>
      <c r="W1929" s="117" t="str">
        <f t="shared" si="77"/>
        <v/>
      </c>
      <c r="X1929" s="22" t="str">
        <f t="shared" si="78"/>
        <v/>
      </c>
      <c r="Y1929" s="25" t="str">
        <f>IF(Table26[[#This Row],[customerSKU]]="","",_xlfn.XLOOKUP(Table26[[#This Row],[customerSKU]],Table27[customer_SKU],Table27[product_GTIN],"",0,1))</f>
        <v/>
      </c>
      <c r="Z1929" s="25" t="s">
        <v>3690</v>
      </c>
      <c r="AA1929" s="18" t="str" cm="1">
        <f t="array" ref="AA1929">IF(P1929="", "", _xlfn.XLOOKUP(P1929,#REF!,#REF!,NA,0,-1))</f>
        <v/>
      </c>
      <c r="AB1929" s="22"/>
      <c r="AC1929" s="23" t="s">
        <v>190</v>
      </c>
      <c r="AD1929" s="23" t="str">
        <f>IF($AC1929="","",_xlfn.XLOOKUP($AC1929,'Client Info'!$C$2:$C$2497,'Client Info'!$D$2:$D$2497,"",0,1))</f>
        <v/>
      </c>
      <c r="AE1929" s="23" t="str">
        <f>IF($AC1929="","",_xlfn.XLOOKUP($AC1929,'Client Info'!$C$2:$C$2677,'Client Info'!$E$2:$E$2677,"",))</f>
        <v/>
      </c>
      <c r="AF1929" s="23" t="str">
        <f>IF($AC1929="","",_xlfn.XLOOKUP($AC1929,'Client Info'!$C$2:$C$2677,'Client Info'!$F$2:$F$2677,"",0,1))</f>
        <v/>
      </c>
      <c r="AG1929" s="23" t="s">
        <v>190</v>
      </c>
      <c r="AH1929" s="26" t="str">
        <f>_xlfn.XLOOKUP(Table26[[#This Row],[customerSKU]],customerSKU!G:G,customerSKU!K:K,"NA",0,1)</f>
        <v>NA</v>
      </c>
      <c r="AI1929" s="43" t="str">
        <f>_xlfn.XLOOKUP(Table26[[#This Row],[customerSKU]],customerSKU!G:G,customerSKU!O:O,"not found",0,1)</f>
        <v>not found</v>
      </c>
      <c r="AJ1929" s="22" t="e">
        <f>Table26[[#This Row],[unitprice]]*Table26[[#This Row],[quantity_unit]]</f>
        <v>#VALUE!</v>
      </c>
      <c r="AK1929" s="227" t="e" cm="1">
        <f t="array" ref="AK19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29" s="227"/>
    </row>
    <row r="1930" spans="1:38" ht="18" customHeight="1">
      <c r="A1930" s="42">
        <v>321</v>
      </c>
      <c r="B1930" s="42" t="s">
        <v>3357</v>
      </c>
      <c r="C1930" s="53" t="s">
        <v>3488</v>
      </c>
      <c r="D1930" s="20">
        <v>45834</v>
      </c>
      <c r="E1930" s="20"/>
      <c r="F19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0" s="93"/>
      <c r="I1930" s="20">
        <v>45834</v>
      </c>
      <c r="J1930" s="90" t="str">
        <f>IF(Table26[[#This Row],[customerSKU]]="","",_xlfn.XLOOKUP(Table26[[#This Row],[customerSKU]],customerSKU!G:G,customerSKU!A:A,"",0,1))</f>
        <v/>
      </c>
      <c r="K1930" s="20">
        <v>45835</v>
      </c>
      <c r="L1930" s="49" t="str">
        <f>IF(Table26[[#This Row],[customerSKU]]="","",_xlfn.XLOOKUP(Table26[[#This Row],[customerSKU]],customerSKU!G:G,customerSKU!B:B,"",0,1))</f>
        <v/>
      </c>
      <c r="M1930" s="22"/>
      <c r="N1930" s="15" t="str">
        <f>Table26[[#This Row],[po_number]]&amp;"-"&amp;Table26[[#This Row],[po_line]]</f>
        <v>-1</v>
      </c>
      <c r="O1930" s="15">
        <v>1</v>
      </c>
      <c r="P1930" s="50"/>
      <c r="Q1930" s="22" t="s">
        <v>591</v>
      </c>
      <c r="R1930" s="22" t="s">
        <v>532</v>
      </c>
      <c r="S1930" s="90" t="str">
        <f>IF(Table26[[#This Row],[customerSKU]]="","",_xlfn.XLOOKUP(Table26[[#This Row],[customerSKU]],customerSKU!G:G,customerSKU!N:N,"NOT FOUND",0,1))</f>
        <v>NOT FOUND</v>
      </c>
      <c r="T1930" s="20">
        <v>45821</v>
      </c>
      <c r="U1930" s="94">
        <v>240</v>
      </c>
      <c r="V1930" s="22" t="str">
        <f>IF(ISBLANK(Table26[[#This Row],[customerSKU]]),"",_xlfn.XLOOKUP(Table26[[#This Row],[customerSKU]],Table27[customer_SKU],Table27[case_size],"",0,1))</f>
        <v/>
      </c>
      <c r="W1930" s="117" t="str">
        <f t="shared" si="77"/>
        <v/>
      </c>
      <c r="X1930" s="22" t="str">
        <f t="shared" si="78"/>
        <v/>
      </c>
      <c r="Y1930" s="25" t="str">
        <f>IF(Table26[[#This Row],[customerSKU]]="","",_xlfn.XLOOKUP(Table26[[#This Row],[customerSKU]],Table27[customer_SKU],Table27[product_GTIN],"",0,1))</f>
        <v/>
      </c>
      <c r="Z1930" s="25" t="s">
        <v>3442</v>
      </c>
      <c r="AA1930" s="18" t="str" cm="1">
        <f t="array" ref="AA1930">IF(P1930="", "", _xlfn.XLOOKUP(P1930,#REF!,#REF!,NA,0,-1))</f>
        <v/>
      </c>
      <c r="AB1930" s="22"/>
      <c r="AC1930" s="23" t="str">
        <f>IF(Table26[[#This Row],[customerSKU]]="","",_xlfn.XLOOKUP(Table26[[#This Row],[customerSKU]],customerSKU!G:G,customerSKU!C:C,"",0,1))</f>
        <v/>
      </c>
      <c r="AD1930" s="23" t="str">
        <f>IF($AC1930="","",_xlfn.XLOOKUP($AC1930,'Client Info'!$C$2:$C$2497,'Client Info'!$D$2:$D$2497,"",0,1))</f>
        <v/>
      </c>
      <c r="AE1930" s="23" t="str">
        <f>IF($AC1930="","",_xlfn.XLOOKUP($AC1930,'Client Info'!$C$2:$C$2677,'Client Info'!$E$2:$E$2677,"",))</f>
        <v/>
      </c>
      <c r="AF1930" s="23" t="str">
        <f>IF($AC1930="","",_xlfn.XLOOKUP($AC1930,'Client Info'!$C$2:$C$2677,'Client Info'!$F$2:$F$2677,"",0,1))</f>
        <v/>
      </c>
      <c r="AG1930" s="23" t="str">
        <f>IF(ISBLANK(Table26[[#This Row],[customerSKU]]),"",_xlfn.XLOOKUP(Table26[[#This Row],[customerSKU]],Table27[customer_SKU],Table27[billto],"",0,1))</f>
        <v/>
      </c>
      <c r="AH1930" s="26" t="str">
        <f>_xlfn.XLOOKUP(Table26[[#This Row],[customerSKU]],customerSKU!G:G,customerSKU!K:K,"NA",0,1)</f>
        <v>NA</v>
      </c>
      <c r="AI1930" s="43" t="str">
        <f>_xlfn.XLOOKUP(Table26[[#This Row],[customerSKU]],customerSKU!G:G,customerSKU!O:O,"not found",0,1)</f>
        <v>not found</v>
      </c>
      <c r="AJ1930" s="22" t="e">
        <f>Table26[[#This Row],[unitprice]]*Table26[[#This Row],[quantity_unit]]</f>
        <v>#VALUE!</v>
      </c>
      <c r="AK1930" s="227" t="e" cm="1">
        <f t="array" ref="AK19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0" s="227"/>
    </row>
    <row r="1931" spans="1:38" ht="18" customHeight="1">
      <c r="A1931" s="42">
        <v>313</v>
      </c>
      <c r="B1931" s="42" t="s">
        <v>3520</v>
      </c>
      <c r="C1931" s="53" t="s">
        <v>3488</v>
      </c>
      <c r="E1931" s="20"/>
      <c r="F19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1" s="93"/>
      <c r="I1931" s="203">
        <v>45833</v>
      </c>
      <c r="J1931" s="90" t="str">
        <f>IF(Table26[[#This Row],[customerSKU]]="","",_xlfn.XLOOKUP(Table26[[#This Row],[customerSKU]],customerSKU!G:G,customerSKU!A:A,"",0,1))</f>
        <v/>
      </c>
      <c r="K1931" s="232">
        <v>45838</v>
      </c>
      <c r="L1931" s="49" t="str">
        <f>IF(Table26[[#This Row],[customerSKU]]="","",_xlfn.XLOOKUP(Table26[[#This Row],[customerSKU]],customerSKU!G:G,customerSKU!B:B,"",0,1))</f>
        <v/>
      </c>
      <c r="M1931" s="22"/>
      <c r="N1931" s="15" t="str">
        <f>Table26[[#This Row],[po_number]]&amp;"-"&amp;Table26[[#This Row],[po_line]]</f>
        <v>-1</v>
      </c>
      <c r="O1931" s="15">
        <v>1</v>
      </c>
      <c r="P1931" s="50"/>
      <c r="Q1931" s="22" t="s">
        <v>3648</v>
      </c>
      <c r="R1931" s="22" t="s">
        <v>532</v>
      </c>
      <c r="S1931" s="90" t="str">
        <f>IF(Table26[[#This Row],[customerSKU]]="","",_xlfn.XLOOKUP(Table26[[#This Row],[customerSKU]],customerSKU!G:G,customerSKU!N:N,"NOT FOUND",0,1))</f>
        <v>NOT FOUND</v>
      </c>
      <c r="T1931" s="20">
        <v>45649</v>
      </c>
      <c r="U1931" s="94">
        <v>12</v>
      </c>
      <c r="V1931" s="22" t="str">
        <f>IF(ISBLANK(Table26[[#This Row],[customerSKU]]),"",_xlfn.XLOOKUP(Table26[[#This Row],[customerSKU]],Table27[customer_SKU],Table27[case_size],"",0,1))</f>
        <v/>
      </c>
      <c r="W1931" s="117" t="str">
        <f t="shared" ref="W1931:W1994" si="79">IFERROR(U1931/V1931, "")</f>
        <v/>
      </c>
      <c r="X1931" s="22" t="str">
        <f t="shared" si="78"/>
        <v/>
      </c>
      <c r="Y1931" s="25" t="str">
        <f>IF(Table26[[#This Row],[customerSKU]]="","",_xlfn.XLOOKUP(Table26[[#This Row],[customerSKU]],Table27[customer_SKU],Table27[product_GTIN],"",0,1))</f>
        <v/>
      </c>
      <c r="Z1931" s="25" t="s">
        <v>3649</v>
      </c>
      <c r="AA1931" s="18" t="str" cm="1">
        <f t="array" ref="AA1931">IF(P1931="", "", _xlfn.XLOOKUP(P1931,#REF!,#REF!,NA,0,-1))</f>
        <v/>
      </c>
      <c r="AB1931" s="22"/>
      <c r="AC1931" s="23" t="s">
        <v>191</v>
      </c>
      <c r="AD1931" s="23" t="str">
        <f>IF($AC1931="","",_xlfn.XLOOKUP($AC1931,'Client Info'!$C$2:$C$2497,'Client Info'!$D$2:$D$2497,"",0,1))</f>
        <v/>
      </c>
      <c r="AE1931" s="23" t="str">
        <f>IF($AC1931="","",_xlfn.XLOOKUP($AC1931,'Client Info'!$C$2:$C$2677,'Client Info'!$E$2:$E$2677,"",))</f>
        <v/>
      </c>
      <c r="AF1931" s="23" t="str">
        <f>IF($AC1931="","",_xlfn.XLOOKUP($AC1931,'Client Info'!$C$2:$C$2677,'Client Info'!$F$2:$F$2677,"",0,1))</f>
        <v/>
      </c>
      <c r="AG1931" s="23" t="s">
        <v>27</v>
      </c>
      <c r="AH1931" s="26" t="str">
        <f>_xlfn.XLOOKUP(Table26[[#This Row],[customerSKU]],customerSKU!G:G,customerSKU!K:K,"NA",0,1)</f>
        <v>NA</v>
      </c>
      <c r="AI1931" s="43" t="str">
        <f>_xlfn.XLOOKUP(Table26[[#This Row],[customerSKU]],customerSKU!G:G,customerSKU!O:O,"not found",0,1)</f>
        <v>not found</v>
      </c>
      <c r="AJ1931" s="22" t="e">
        <f>Table26[[#This Row],[unitprice]]*Table26[[#This Row],[quantity_unit]]</f>
        <v>#VALUE!</v>
      </c>
      <c r="AK1931" s="227" t="e" cm="1">
        <f t="array" ref="AK19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1" s="227"/>
    </row>
    <row r="1932" spans="1:38" ht="18" customHeight="1">
      <c r="A1932" s="42">
        <v>314</v>
      </c>
      <c r="B1932" s="42" t="s">
        <v>3520</v>
      </c>
      <c r="C1932" s="53" t="s">
        <v>3488</v>
      </c>
      <c r="E1932" s="20"/>
      <c r="F19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2" s="93"/>
      <c r="I1932" s="203">
        <v>45833</v>
      </c>
      <c r="J1932" s="90" t="str">
        <f>IF(Table26[[#This Row],[customerSKU]]="","",_xlfn.XLOOKUP(Table26[[#This Row],[customerSKU]],customerSKU!G:G,customerSKU!A:A,"",0,1))</f>
        <v/>
      </c>
      <c r="K1932" s="232">
        <v>45838</v>
      </c>
      <c r="L1932" s="49" t="str">
        <f>IF(Table26[[#This Row],[customerSKU]]="","",_xlfn.XLOOKUP(Table26[[#This Row],[customerSKU]],customerSKU!G:G,customerSKU!B:B,"",0,1))</f>
        <v/>
      </c>
      <c r="M1932" s="22"/>
      <c r="N1932" s="15" t="str">
        <f>Table26[[#This Row],[po_number]]&amp;"-"&amp;Table26[[#This Row],[po_line]]</f>
        <v>-2</v>
      </c>
      <c r="O1932" s="15">
        <v>2</v>
      </c>
      <c r="P1932" s="50"/>
      <c r="Q1932" s="22" t="s">
        <v>578</v>
      </c>
      <c r="R1932" s="22" t="s">
        <v>532</v>
      </c>
      <c r="S1932" s="90" t="str">
        <f>IF(Table26[[#This Row],[customerSKU]]="","",_xlfn.XLOOKUP(Table26[[#This Row],[customerSKU]],customerSKU!G:G,customerSKU!N:N,"NOT FOUND",0,1))</f>
        <v>NOT FOUND</v>
      </c>
      <c r="T1932" s="20">
        <v>45700</v>
      </c>
      <c r="U1932" s="94">
        <v>12</v>
      </c>
      <c r="V1932" s="22" t="str">
        <f>IF(ISBLANK(Table26[[#This Row],[customerSKU]]),"",_xlfn.XLOOKUP(Table26[[#This Row],[customerSKU]],Table27[customer_SKU],Table27[case_size],"",0,1))</f>
        <v/>
      </c>
      <c r="W1932" s="117" t="str">
        <f t="shared" si="79"/>
        <v/>
      </c>
      <c r="X1932" s="22" t="str">
        <f t="shared" si="78"/>
        <v/>
      </c>
      <c r="Y1932" s="25" t="str">
        <f>IF(Table26[[#This Row],[customerSKU]]="","",_xlfn.XLOOKUP(Table26[[#This Row],[customerSKU]],Table27[customer_SKU],Table27[product_GTIN],"",0,1))</f>
        <v/>
      </c>
      <c r="Z1932" s="25" t="s">
        <v>3451</v>
      </c>
      <c r="AA1932" s="18" t="str" cm="1">
        <f t="array" ref="AA1932">IF(P1932="", "", _xlfn.XLOOKUP(P1932,#REF!,#REF!,NA,0,-1))</f>
        <v/>
      </c>
      <c r="AB1932" s="22"/>
      <c r="AC1932" s="23" t="s">
        <v>191</v>
      </c>
      <c r="AD1932" s="23" t="str">
        <f>IF($AC1932="","",_xlfn.XLOOKUP($AC1932,'Client Info'!$C$2:$C$2497,'Client Info'!$D$2:$D$2497,"",0,1))</f>
        <v/>
      </c>
      <c r="AE1932" s="23" t="str">
        <f>IF($AC1932="","",_xlfn.XLOOKUP($AC1932,'Client Info'!$C$2:$C$2677,'Client Info'!$E$2:$E$2677,"",))</f>
        <v/>
      </c>
      <c r="AF1932" s="23" t="str">
        <f>IF($AC1932="","",_xlfn.XLOOKUP($AC1932,'Client Info'!$C$2:$C$2677,'Client Info'!$F$2:$F$2677,"",0,1))</f>
        <v/>
      </c>
      <c r="AG1932" s="23" t="s">
        <v>27</v>
      </c>
      <c r="AH1932" s="26" t="str">
        <f>_xlfn.XLOOKUP(Table26[[#This Row],[customerSKU]],customerSKU!G:G,customerSKU!K:K,"NA",0,1)</f>
        <v>NA</v>
      </c>
      <c r="AI1932" s="43" t="str">
        <f>_xlfn.XLOOKUP(Table26[[#This Row],[customerSKU]],customerSKU!G:G,customerSKU!O:O,"not found",0,1)</f>
        <v>not found</v>
      </c>
      <c r="AJ1932" s="22" t="e">
        <f>Table26[[#This Row],[unitprice]]*Table26[[#This Row],[quantity_unit]]</f>
        <v>#VALUE!</v>
      </c>
      <c r="AK1932" s="227" t="e" cm="1">
        <f t="array" ref="AK19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2" s="227"/>
    </row>
    <row r="1933" spans="1:38" ht="18" customHeight="1">
      <c r="A1933" s="42">
        <v>315</v>
      </c>
      <c r="B1933" s="42" t="s">
        <v>3520</v>
      </c>
      <c r="C1933" s="53" t="s">
        <v>3488</v>
      </c>
      <c r="E1933" s="20"/>
      <c r="F19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3" s="93"/>
      <c r="I1933" s="203">
        <v>45833</v>
      </c>
      <c r="J1933" s="90" t="str">
        <f>IF(Table26[[#This Row],[customerSKU]]="","",_xlfn.XLOOKUP(Table26[[#This Row],[customerSKU]],customerSKU!G:G,customerSKU!A:A,"",0,1))</f>
        <v/>
      </c>
      <c r="K1933" s="232">
        <v>45838</v>
      </c>
      <c r="L1933" s="49" t="str">
        <f>IF(Table26[[#This Row],[customerSKU]]="","",_xlfn.XLOOKUP(Table26[[#This Row],[customerSKU]],customerSKU!G:G,customerSKU!B:B,"",0,1))</f>
        <v/>
      </c>
      <c r="M1933" s="22"/>
      <c r="N1933" s="15" t="str">
        <f>Table26[[#This Row],[po_number]]&amp;"-"&amp;Table26[[#This Row],[po_line]]</f>
        <v>-3</v>
      </c>
      <c r="O1933" s="15">
        <v>3</v>
      </c>
      <c r="P1933" s="50"/>
      <c r="Q1933" s="22" t="s">
        <v>1306</v>
      </c>
      <c r="R1933" s="22" t="s">
        <v>532</v>
      </c>
      <c r="S1933" s="90" t="str">
        <f>IF(Table26[[#This Row],[customerSKU]]="","",_xlfn.XLOOKUP(Table26[[#This Row],[customerSKU]],customerSKU!G:G,customerSKU!N:N,"NOT FOUND",0,1))</f>
        <v>NOT FOUND</v>
      </c>
      <c r="T1933" s="20">
        <v>45576</v>
      </c>
      <c r="U1933" s="94">
        <v>12</v>
      </c>
      <c r="V1933" s="22" t="str">
        <f>IF(ISBLANK(Table26[[#This Row],[customerSKU]]),"",_xlfn.XLOOKUP(Table26[[#This Row],[customerSKU]],Table27[customer_SKU],Table27[case_size],"",0,1))</f>
        <v/>
      </c>
      <c r="W1933" s="117" t="str">
        <f t="shared" si="79"/>
        <v/>
      </c>
      <c r="X1933" s="22" t="str">
        <f t="shared" si="78"/>
        <v/>
      </c>
      <c r="Y1933" s="25" t="str">
        <f>IF(Table26[[#This Row],[customerSKU]]="","",_xlfn.XLOOKUP(Table26[[#This Row],[customerSKU]],Table27[customer_SKU],Table27[product_GTIN],"",0,1))</f>
        <v/>
      </c>
      <c r="Z1933" s="25" t="s">
        <v>3694</v>
      </c>
      <c r="AA1933" s="18" t="str" cm="1">
        <f t="array" ref="AA1933">IF(P1933="", "", _xlfn.XLOOKUP(P1933,#REF!,#REF!,NA,0,-1))</f>
        <v/>
      </c>
      <c r="AB1933" s="22"/>
      <c r="AC1933" s="23" t="s">
        <v>191</v>
      </c>
      <c r="AD1933" s="23" t="str">
        <f>IF($AC1933="","",_xlfn.XLOOKUP($AC1933,'Client Info'!$C$2:$C$2497,'Client Info'!$D$2:$D$2497,"",0,1))</f>
        <v/>
      </c>
      <c r="AE1933" s="23" t="str">
        <f>IF($AC1933="","",_xlfn.XLOOKUP($AC1933,'Client Info'!$C$2:$C$2677,'Client Info'!$E$2:$E$2677,"",))</f>
        <v/>
      </c>
      <c r="AF1933" s="23" t="str">
        <f>IF($AC1933="","",_xlfn.XLOOKUP($AC1933,'Client Info'!$C$2:$C$2677,'Client Info'!$F$2:$F$2677,"",0,1))</f>
        <v/>
      </c>
      <c r="AG1933" s="23" t="s">
        <v>27</v>
      </c>
      <c r="AH1933" s="26" t="str">
        <f>_xlfn.XLOOKUP(Table26[[#This Row],[customerSKU]],customerSKU!G:G,customerSKU!K:K,"NA",0,1)</f>
        <v>NA</v>
      </c>
      <c r="AI1933" s="43" t="str">
        <f>_xlfn.XLOOKUP(Table26[[#This Row],[customerSKU]],customerSKU!G:G,customerSKU!O:O,"not found",0,1)</f>
        <v>not found</v>
      </c>
      <c r="AJ1933" s="22" t="e">
        <f>Table26[[#This Row],[unitprice]]*Table26[[#This Row],[quantity_unit]]</f>
        <v>#VALUE!</v>
      </c>
      <c r="AK1933" s="227" t="e" cm="1">
        <f t="array" ref="AK19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3" s="227"/>
    </row>
    <row r="1934" spans="1:38" ht="18" customHeight="1">
      <c r="A1934" s="42">
        <v>316</v>
      </c>
      <c r="B1934" s="42" t="s">
        <v>3520</v>
      </c>
      <c r="C1934" s="53" t="s">
        <v>3427</v>
      </c>
      <c r="E1934" s="20"/>
      <c r="F19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4" s="93"/>
      <c r="I1934" s="203">
        <v>45838</v>
      </c>
      <c r="J1934" s="90" t="str">
        <f>IF(Table26[[#This Row],[customerSKU]]="","",_xlfn.XLOOKUP(Table26[[#This Row],[customerSKU]],customerSKU!G:G,customerSKU!A:A,"",0,1))</f>
        <v/>
      </c>
      <c r="K1934" s="203">
        <v>45838</v>
      </c>
      <c r="L1934" s="49" t="str">
        <f>IF(Table26[[#This Row],[customerSKU]]="","",_xlfn.XLOOKUP(Table26[[#This Row],[customerSKU]],customerSKU!G:G,customerSKU!B:B,"",0,1))</f>
        <v/>
      </c>
      <c r="M1934" s="22"/>
      <c r="N1934" s="15" t="str">
        <f>Table26[[#This Row],[po_number]]&amp;"-"&amp;Table26[[#This Row],[po_line]]</f>
        <v>-1</v>
      </c>
      <c r="O1934" s="15">
        <v>1</v>
      </c>
      <c r="P1934" s="50"/>
      <c r="Q1934" s="22" t="s">
        <v>591</v>
      </c>
      <c r="R1934" s="22" t="s">
        <v>532</v>
      </c>
      <c r="S1934" s="90" t="str">
        <f>IF(Table26[[#This Row],[customerSKU]]="","",_xlfn.XLOOKUP(Table26[[#This Row],[customerSKU]],customerSKU!G:G,customerSKU!N:N,"NOT FOUND",0,1))</f>
        <v>NOT FOUND</v>
      </c>
      <c r="T1934" s="20">
        <v>45821</v>
      </c>
      <c r="U1934" s="94">
        <v>24</v>
      </c>
      <c r="V1934" s="22" t="str">
        <f>IF(ISBLANK(Table26[[#This Row],[customerSKU]]),"",_xlfn.XLOOKUP(Table26[[#This Row],[customerSKU]],Table27[customer_SKU],Table27[case_size],"",0,1))</f>
        <v/>
      </c>
      <c r="W1934" s="117" t="str">
        <f t="shared" si="79"/>
        <v/>
      </c>
      <c r="X1934" s="22" t="str">
        <f t="shared" si="78"/>
        <v/>
      </c>
      <c r="Y1934" s="25" t="str">
        <f>IF(Table26[[#This Row],[customerSKU]]="","",_xlfn.XLOOKUP(Table26[[#This Row],[customerSKU]],Table27[customer_SKU],Table27[product_GTIN],"",0,1))</f>
        <v/>
      </c>
      <c r="Z1934" s="25" t="s">
        <v>3525</v>
      </c>
      <c r="AA1934" s="18" t="str" cm="1">
        <f t="array" ref="AA1934">IF(P1934="", "", _xlfn.XLOOKUP(P1934,#REF!,#REF!,NA,0,-1))</f>
        <v/>
      </c>
      <c r="AB1934" s="22"/>
      <c r="AC1934" s="23" t="s">
        <v>111</v>
      </c>
      <c r="AD1934" s="23" t="str">
        <f>IF($AC1934="","",_xlfn.XLOOKUP($AC1934,'Client Info'!$C$2:$C$2497,'Client Info'!$D$2:$D$2497,"",0,1))</f>
        <v/>
      </c>
      <c r="AE1934" s="23" t="str">
        <f>IF($AC1934="","",_xlfn.XLOOKUP($AC1934,'Client Info'!$C$2:$C$2677,'Client Info'!$E$2:$E$2677,"",))</f>
        <v/>
      </c>
      <c r="AF1934" s="23" t="str">
        <f>IF($AC1934="","",_xlfn.XLOOKUP($AC1934,'Client Info'!$C$2:$C$2677,'Client Info'!$F$2:$F$2677,"",0,1))</f>
        <v/>
      </c>
      <c r="AG1934" s="23" t="s">
        <v>111</v>
      </c>
      <c r="AH1934" s="26" t="str">
        <f>_xlfn.XLOOKUP(Table26[[#This Row],[customerSKU]],customerSKU!G:G,customerSKU!K:K,"NA",0,1)</f>
        <v>NA</v>
      </c>
      <c r="AI1934" s="43" t="str">
        <f>_xlfn.XLOOKUP(Table26[[#This Row],[customerSKU]],customerSKU!G:G,customerSKU!O:O,"not found",0,1)</f>
        <v>not found</v>
      </c>
      <c r="AJ1934" s="22" t="e">
        <f>Table26[[#This Row],[unitprice]]*Table26[[#This Row],[quantity_unit]]</f>
        <v>#VALUE!</v>
      </c>
      <c r="AK1934" s="227" t="e" cm="1">
        <f t="array" ref="AK19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4" s="227"/>
    </row>
    <row r="1935" spans="1:38" ht="18" customHeight="1">
      <c r="A1935" s="42">
        <v>317</v>
      </c>
      <c r="B1935" s="42" t="s">
        <v>3520</v>
      </c>
      <c r="C1935" s="53" t="s">
        <v>3427</v>
      </c>
      <c r="E1935" s="20"/>
      <c r="F19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5" s="93"/>
      <c r="I1935" s="203">
        <v>45838</v>
      </c>
      <c r="J1935" s="90" t="str">
        <f>IF(Table26[[#This Row],[customerSKU]]="","",_xlfn.XLOOKUP(Table26[[#This Row],[customerSKU]],customerSKU!G:G,customerSKU!A:A,"",0,1))</f>
        <v/>
      </c>
      <c r="K1935" s="203">
        <v>45838</v>
      </c>
      <c r="L1935" s="49" t="str">
        <f>IF(Table26[[#This Row],[customerSKU]]="","",_xlfn.XLOOKUP(Table26[[#This Row],[customerSKU]],customerSKU!G:G,customerSKU!B:B,"",0,1))</f>
        <v/>
      </c>
      <c r="M1935" s="22"/>
      <c r="N1935" s="15" t="str">
        <f>Table26[[#This Row],[po_number]]&amp;"-"&amp;Table26[[#This Row],[po_line]]</f>
        <v>-2</v>
      </c>
      <c r="O1935" s="15">
        <v>2</v>
      </c>
      <c r="P1935" s="50"/>
      <c r="Q1935" s="24" t="s">
        <v>3284</v>
      </c>
      <c r="R1935" s="22" t="s">
        <v>221</v>
      </c>
      <c r="S1935" s="90" t="str">
        <f>IF(Table26[[#This Row],[customerSKU]]="","",_xlfn.XLOOKUP(Table26[[#This Row],[customerSKU]],customerSKU!G:G,customerSKU!N:N,"NOT FOUND",0,1))</f>
        <v>NOT FOUND</v>
      </c>
      <c r="T1935" s="20">
        <v>45763</v>
      </c>
      <c r="U1935" s="94">
        <v>10</v>
      </c>
      <c r="V1935" s="22" t="str">
        <f>IF(ISBLANK(Table26[[#This Row],[customerSKU]]),"",_xlfn.XLOOKUP(Table26[[#This Row],[customerSKU]],Table27[customer_SKU],Table27[case_size],"",0,1))</f>
        <v/>
      </c>
      <c r="W1935" s="117" t="str">
        <f t="shared" si="79"/>
        <v/>
      </c>
      <c r="X1935" s="22" t="str">
        <f t="shared" si="78"/>
        <v/>
      </c>
      <c r="Y1935" s="25" t="str">
        <f>IF(Table26[[#This Row],[customerSKU]]="","",_xlfn.XLOOKUP(Table26[[#This Row],[customerSKU]],Table27[customer_SKU],Table27[product_GTIN],"",0,1))</f>
        <v/>
      </c>
      <c r="Z1935" s="25" t="s">
        <v>3522</v>
      </c>
      <c r="AA1935" s="18" t="str" cm="1">
        <f t="array" ref="AA1935">IF(P1935="", "", _xlfn.XLOOKUP(P1935,#REF!,#REF!,NA,0,-1))</f>
        <v/>
      </c>
      <c r="AB1935" s="22"/>
      <c r="AC1935" s="23" t="s">
        <v>111</v>
      </c>
      <c r="AD1935" s="23" t="str">
        <f>IF($AC1935="","",_xlfn.XLOOKUP($AC1935,'Client Info'!$C$2:$C$2497,'Client Info'!$D$2:$D$2497,"",0,1))</f>
        <v/>
      </c>
      <c r="AE1935" s="23" t="str">
        <f>IF($AC1935="","",_xlfn.XLOOKUP($AC1935,'Client Info'!$C$2:$C$2677,'Client Info'!$E$2:$E$2677,"",))</f>
        <v/>
      </c>
      <c r="AF1935" s="23" t="str">
        <f>IF($AC1935="","",_xlfn.XLOOKUP($AC1935,'Client Info'!$C$2:$C$2677,'Client Info'!$F$2:$F$2677,"",0,1))</f>
        <v/>
      </c>
      <c r="AG1935" s="23" t="s">
        <v>111</v>
      </c>
      <c r="AH1935" s="26" t="str">
        <f>_xlfn.XLOOKUP(Table26[[#This Row],[customerSKU]],customerSKU!G:G,customerSKU!K:K,"NA",0,1)</f>
        <v>NA</v>
      </c>
      <c r="AI1935" s="43" t="str">
        <f>_xlfn.XLOOKUP(Table26[[#This Row],[customerSKU]],customerSKU!G:G,customerSKU!O:O,"not found",0,1)</f>
        <v>not found</v>
      </c>
      <c r="AJ1935" s="22" t="e">
        <f>Table26[[#This Row],[unitprice]]*Table26[[#This Row],[quantity_unit]]</f>
        <v>#VALUE!</v>
      </c>
      <c r="AK1935" s="227" t="e" cm="1">
        <f t="array" ref="AK19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5" s="227"/>
    </row>
    <row r="1936" spans="1:38" ht="18" customHeight="1">
      <c r="A1936" s="42">
        <v>318</v>
      </c>
      <c r="B1936" s="42" t="s">
        <v>3520</v>
      </c>
      <c r="C1936" s="53" t="s">
        <v>3427</v>
      </c>
      <c r="E1936" s="20"/>
      <c r="F19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6" s="93"/>
      <c r="I1936" s="203">
        <v>45838</v>
      </c>
      <c r="J1936" s="90" t="str">
        <f>IF(Table26[[#This Row],[customerSKU]]="","",_xlfn.XLOOKUP(Table26[[#This Row],[customerSKU]],customerSKU!G:G,customerSKU!A:A,"",0,1))</f>
        <v/>
      </c>
      <c r="K1936" s="203">
        <v>45838</v>
      </c>
      <c r="L1936" s="49" t="str">
        <f>IF(Table26[[#This Row],[customerSKU]]="","",_xlfn.XLOOKUP(Table26[[#This Row],[customerSKU]],customerSKU!G:G,customerSKU!B:B,"",0,1))</f>
        <v/>
      </c>
      <c r="M1936" s="22"/>
      <c r="N1936" s="15" t="str">
        <f>Table26[[#This Row],[po_number]]&amp;"-"&amp;Table26[[#This Row],[po_line]]</f>
        <v>-3</v>
      </c>
      <c r="O1936" s="15">
        <v>3</v>
      </c>
      <c r="P1936" s="50"/>
      <c r="Q1936" s="22" t="s">
        <v>1829</v>
      </c>
      <c r="R1936" s="22" t="s">
        <v>221</v>
      </c>
      <c r="S1936" s="90" t="str">
        <f>IF(Table26[[#This Row],[customerSKU]]="","",_xlfn.XLOOKUP(Table26[[#This Row],[customerSKU]],customerSKU!G:G,customerSKU!N:N,"NOT FOUND",0,1))</f>
        <v>NOT FOUND</v>
      </c>
      <c r="T1936" s="20">
        <v>45826</v>
      </c>
      <c r="U1936" s="94">
        <v>2</v>
      </c>
      <c r="V1936" s="22" t="str">
        <f>IF(ISBLANK(Table26[[#This Row],[customerSKU]]),"",_xlfn.XLOOKUP(Table26[[#This Row],[customerSKU]],Table27[customer_SKU],Table27[case_size],"",0,1))</f>
        <v/>
      </c>
      <c r="W1936" s="117" t="str">
        <f t="shared" si="79"/>
        <v/>
      </c>
      <c r="X1936" s="22" t="str">
        <f t="shared" si="78"/>
        <v/>
      </c>
      <c r="Y1936" s="25" t="str">
        <f>IF(Table26[[#This Row],[customerSKU]]="","",_xlfn.XLOOKUP(Table26[[#This Row],[customerSKU]],Table27[customer_SKU],Table27[product_GTIN],"",0,1))</f>
        <v/>
      </c>
      <c r="Z1936" s="25" t="s">
        <v>3522</v>
      </c>
      <c r="AA1936" s="18" t="str" cm="1">
        <f t="array" ref="AA1936">IF(P1936="", "", _xlfn.XLOOKUP(P1936,#REF!,#REF!,NA,0,-1))</f>
        <v/>
      </c>
      <c r="AB1936" s="22"/>
      <c r="AC1936" s="23" t="s">
        <v>111</v>
      </c>
      <c r="AD1936" s="23" t="str">
        <f>IF($AC1936="","",_xlfn.XLOOKUP($AC1936,'Client Info'!$C$2:$C$2497,'Client Info'!$D$2:$D$2497,"",0,1))</f>
        <v/>
      </c>
      <c r="AE1936" s="23" t="str">
        <f>IF($AC1936="","",_xlfn.XLOOKUP($AC1936,'Client Info'!$C$2:$C$2677,'Client Info'!$E$2:$E$2677,"",))</f>
        <v/>
      </c>
      <c r="AF1936" s="23" t="str">
        <f>IF($AC1936="","",_xlfn.XLOOKUP($AC1936,'Client Info'!$C$2:$C$2677,'Client Info'!$F$2:$F$2677,"",0,1))</f>
        <v/>
      </c>
      <c r="AG1936" s="23" t="s">
        <v>111</v>
      </c>
      <c r="AH1936" s="26" t="str">
        <f>_xlfn.XLOOKUP(Table26[[#This Row],[customerSKU]],customerSKU!G:G,customerSKU!K:K,"NA",0,1)</f>
        <v>NA</v>
      </c>
      <c r="AI1936" s="43" t="str">
        <f>_xlfn.XLOOKUP(Table26[[#This Row],[customerSKU]],customerSKU!G:G,customerSKU!O:O,"not found",0,1)</f>
        <v>not found</v>
      </c>
      <c r="AJ1936" s="22" t="e">
        <f>Table26[[#This Row],[unitprice]]*Table26[[#This Row],[quantity_unit]]</f>
        <v>#VALUE!</v>
      </c>
      <c r="AK1936" s="227" t="e" cm="1">
        <f t="array" ref="AK19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6" s="227"/>
    </row>
    <row r="1937" spans="1:38" ht="18" customHeight="1">
      <c r="A1937" s="42">
        <v>319</v>
      </c>
      <c r="B1937" s="42" t="s">
        <v>3520</v>
      </c>
      <c r="C1937" s="53" t="s">
        <v>3427</v>
      </c>
      <c r="E1937" s="20"/>
      <c r="F19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7" s="93"/>
      <c r="I1937" s="203">
        <v>45838</v>
      </c>
      <c r="J1937" s="90" t="str">
        <f>IF(Table26[[#This Row],[customerSKU]]="","",_xlfn.XLOOKUP(Table26[[#This Row],[customerSKU]],customerSKU!G:G,customerSKU!A:A,"",0,1))</f>
        <v/>
      </c>
      <c r="K1937" s="203">
        <v>45838</v>
      </c>
      <c r="L1937" s="49" t="str">
        <f>IF(Table26[[#This Row],[customerSKU]]="","",_xlfn.XLOOKUP(Table26[[#This Row],[customerSKU]],customerSKU!G:G,customerSKU!B:B,"",0,1))</f>
        <v/>
      </c>
      <c r="M1937" s="22"/>
      <c r="N1937" s="15" t="str">
        <f>Table26[[#This Row],[po_number]]&amp;"-"&amp;Table26[[#This Row],[po_line]]</f>
        <v>-4</v>
      </c>
      <c r="O1937" s="15">
        <v>4</v>
      </c>
      <c r="P1937" s="50"/>
      <c r="Q1937" s="22" t="s">
        <v>574</v>
      </c>
      <c r="R1937" s="22" t="s">
        <v>532</v>
      </c>
      <c r="S1937" s="90" t="s">
        <v>13</v>
      </c>
      <c r="T1937" s="20">
        <v>45818</v>
      </c>
      <c r="U1937" s="94">
        <v>60</v>
      </c>
      <c r="V1937" s="22" t="str">
        <f>IF(ISBLANK(Table26[[#This Row],[customerSKU]]),"",_xlfn.XLOOKUP(Table26[[#This Row],[customerSKU]],Table27[customer_SKU],Table27[case_size],"",0,1))</f>
        <v/>
      </c>
      <c r="W1937" s="117" t="str">
        <f t="shared" si="79"/>
        <v/>
      </c>
      <c r="X1937" s="22" t="str">
        <f t="shared" si="78"/>
        <v/>
      </c>
      <c r="Y1937" s="25" t="str">
        <f>IF(Table26[[#This Row],[customerSKU]]="","",_xlfn.XLOOKUP(Table26[[#This Row],[customerSKU]],Table27[customer_SKU],Table27[product_GTIN],"",0,1))</f>
        <v/>
      </c>
      <c r="Z1937" s="25" t="s">
        <v>3530</v>
      </c>
      <c r="AA1937" s="18" t="str" cm="1">
        <f t="array" ref="AA1937">IF(P1937="", "", _xlfn.XLOOKUP(P1937,#REF!,#REF!,NA,0,-1))</f>
        <v/>
      </c>
      <c r="AB1937" s="22"/>
      <c r="AC1937" s="23" t="s">
        <v>111</v>
      </c>
      <c r="AD1937" s="23" t="str">
        <f>IF($AC1937="","",_xlfn.XLOOKUP($AC1937,'Client Info'!$C$2:$C$2497,'Client Info'!$D$2:$D$2497,"",0,1))</f>
        <v/>
      </c>
      <c r="AE1937" s="23" t="str">
        <f>IF($AC1937="","",_xlfn.XLOOKUP($AC1937,'Client Info'!$C$2:$C$2677,'Client Info'!$E$2:$E$2677,"",))</f>
        <v/>
      </c>
      <c r="AF1937" s="23" t="str">
        <f>IF($AC1937="","",_xlfn.XLOOKUP($AC1937,'Client Info'!$C$2:$C$2677,'Client Info'!$F$2:$F$2677,"",0,1))</f>
        <v/>
      </c>
      <c r="AG1937" s="23" t="s">
        <v>111</v>
      </c>
      <c r="AH1937" s="26" t="str">
        <f>_xlfn.XLOOKUP(Table26[[#This Row],[customerSKU]],customerSKU!G:G,customerSKU!K:K,"NA",0,1)</f>
        <v>NA</v>
      </c>
      <c r="AI1937" s="43" t="str">
        <f>_xlfn.XLOOKUP(Table26[[#This Row],[customerSKU]],customerSKU!G:G,customerSKU!O:O,"not found",0,1)</f>
        <v>not found</v>
      </c>
      <c r="AJ1937" s="22" t="e">
        <f>Table26[[#This Row],[unitprice]]*Table26[[#This Row],[quantity_unit]]</f>
        <v>#VALUE!</v>
      </c>
      <c r="AK1937" s="227" t="e" cm="1">
        <f t="array" ref="AK19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7" s="227"/>
    </row>
    <row r="1938" spans="1:38" ht="18" customHeight="1">
      <c r="A1938" s="42">
        <v>320</v>
      </c>
      <c r="B1938" s="42" t="s">
        <v>3520</v>
      </c>
      <c r="C1938" s="53" t="s">
        <v>3427</v>
      </c>
      <c r="E1938" s="20"/>
      <c r="F19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8" s="93"/>
      <c r="I1938" s="203">
        <v>45838</v>
      </c>
      <c r="J1938" s="90" t="str">
        <f>IF(Table26[[#This Row],[customerSKU]]="","",_xlfn.XLOOKUP(Table26[[#This Row],[customerSKU]],customerSKU!G:G,customerSKU!A:A,"",0,1))</f>
        <v/>
      </c>
      <c r="K1938" s="203">
        <v>45838</v>
      </c>
      <c r="L1938" s="49" t="str">
        <f>IF(Table26[[#This Row],[customerSKU]]="","",_xlfn.XLOOKUP(Table26[[#This Row],[customerSKU]],customerSKU!G:G,customerSKU!B:B,"",0,1))</f>
        <v/>
      </c>
      <c r="M1938" s="22"/>
      <c r="N1938" s="15" t="str">
        <f>Table26[[#This Row],[po_number]]&amp;"-"&amp;Table26[[#This Row],[po_line]]</f>
        <v>-5</v>
      </c>
      <c r="O1938" s="15">
        <v>5</v>
      </c>
      <c r="P1938" s="50"/>
      <c r="Q1938" s="22" t="s">
        <v>1825</v>
      </c>
      <c r="R1938" s="22" t="s">
        <v>532</v>
      </c>
      <c r="S1938" s="90" t="str">
        <f>IF(Table26[[#This Row],[customerSKU]]="","",_xlfn.XLOOKUP(Table26[[#This Row],[customerSKU]],customerSKU!G:G,customerSKU!N:N,"NOT FOUND",0,1))</f>
        <v>NOT FOUND</v>
      </c>
      <c r="T1938" s="20">
        <v>45833</v>
      </c>
      <c r="U1938" s="94">
        <v>12</v>
      </c>
      <c r="V1938" s="22" t="str">
        <f>IF(ISBLANK(Table26[[#This Row],[customerSKU]]),"",_xlfn.XLOOKUP(Table26[[#This Row],[customerSKU]],Table27[customer_SKU],Table27[case_size],"",0,1))</f>
        <v/>
      </c>
      <c r="W1938" s="117" t="str">
        <f t="shared" si="79"/>
        <v/>
      </c>
      <c r="X1938" s="22" t="str">
        <f t="shared" si="78"/>
        <v/>
      </c>
      <c r="Y1938" s="25" t="str">
        <f>IF(Table26[[#This Row],[customerSKU]]="","",_xlfn.XLOOKUP(Table26[[#This Row],[customerSKU]],Table27[customer_SKU],Table27[product_GTIN],"",0,1))</f>
        <v/>
      </c>
      <c r="Z1938" s="25" t="s">
        <v>3693</v>
      </c>
      <c r="AA1938" s="18" t="str" cm="1">
        <f t="array" ref="AA1938">IF(P1938="", "", _xlfn.XLOOKUP(P1938,#REF!,#REF!,NA,0,-1))</f>
        <v/>
      </c>
      <c r="AB1938" s="22"/>
      <c r="AC1938" s="23" t="s">
        <v>111</v>
      </c>
      <c r="AD1938" s="23" t="str">
        <f>IF($AC1938="","",_xlfn.XLOOKUP($AC1938,'Client Info'!$C$2:$C$2497,'Client Info'!$D$2:$D$2497,"",0,1))</f>
        <v/>
      </c>
      <c r="AE1938" s="23" t="str">
        <f>IF($AC1938="","",_xlfn.XLOOKUP($AC1938,'Client Info'!$C$2:$C$2677,'Client Info'!$E$2:$E$2677,"",))</f>
        <v/>
      </c>
      <c r="AF1938" s="23" t="str">
        <f>IF($AC1938="","",_xlfn.XLOOKUP($AC1938,'Client Info'!$C$2:$C$2677,'Client Info'!$F$2:$F$2677,"",0,1))</f>
        <v/>
      </c>
      <c r="AG1938" s="23" t="s">
        <v>111</v>
      </c>
      <c r="AH1938" s="26" t="str">
        <f>_xlfn.XLOOKUP(Table26[[#This Row],[customerSKU]],customerSKU!G:G,customerSKU!K:K,"NA",0,1)</f>
        <v>NA</v>
      </c>
      <c r="AI1938" s="43" t="str">
        <f>_xlfn.XLOOKUP(Table26[[#This Row],[customerSKU]],customerSKU!G:G,customerSKU!O:O,"not found",0,1)</f>
        <v>not found</v>
      </c>
      <c r="AJ1938" s="22" t="e">
        <f>Table26[[#This Row],[unitprice]]*Table26[[#This Row],[quantity_unit]]</f>
        <v>#VALUE!</v>
      </c>
      <c r="AK1938" s="227" t="e" cm="1">
        <f t="array" ref="AK19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8" s="227"/>
    </row>
    <row r="1939" spans="1:38" ht="18" customHeight="1">
      <c r="A1939" s="42">
        <v>308</v>
      </c>
      <c r="B1939" s="42" t="s">
        <v>3520</v>
      </c>
      <c r="C1939" s="53" t="s">
        <v>3488</v>
      </c>
      <c r="E1939" s="20"/>
      <c r="F19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39" s="93"/>
      <c r="I1939" s="203">
        <v>45831</v>
      </c>
      <c r="J1939" s="90" t="str">
        <f>IF(Table26[[#This Row],[customerSKU]]="","",_xlfn.XLOOKUP(Table26[[#This Row],[customerSKU]],customerSKU!G:G,customerSKU!A:A,"",0,1))</f>
        <v/>
      </c>
      <c r="K1939" s="232">
        <v>45840</v>
      </c>
      <c r="L1939" s="49" t="str">
        <f>IF(Table26[[#This Row],[customerSKU]]="","",_xlfn.XLOOKUP(Table26[[#This Row],[customerSKU]],customerSKU!G:G,customerSKU!B:B,"",0,1))</f>
        <v/>
      </c>
      <c r="M1939" s="22"/>
      <c r="N1939" s="15" t="str">
        <f>Table26[[#This Row],[po_number]]&amp;"-"&amp;Table26[[#This Row],[po_line]]</f>
        <v>-1</v>
      </c>
      <c r="O1939" s="15">
        <v>1</v>
      </c>
      <c r="P1939" s="50"/>
      <c r="Q1939" s="22" t="s">
        <v>3686</v>
      </c>
      <c r="R1939" s="22" t="s">
        <v>532</v>
      </c>
      <c r="S1939" s="90" t="str">
        <f>IF(Table26[[#This Row],[customerSKU]]="","",_xlfn.XLOOKUP(Table26[[#This Row],[customerSKU]],customerSKU!G:G,customerSKU!N:N,"NOT FOUND",0,1))</f>
        <v>NOT FOUND</v>
      </c>
      <c r="T1939" s="20">
        <v>45838</v>
      </c>
      <c r="U1939" s="94">
        <v>360</v>
      </c>
      <c r="V1939" s="22" t="str">
        <f>IF(ISBLANK(Table26[[#This Row],[customerSKU]]),"",_xlfn.XLOOKUP(Table26[[#This Row],[customerSKU]],Table27[customer_SKU],Table27[case_size],"",0,1))</f>
        <v/>
      </c>
      <c r="W1939" s="117" t="str">
        <f t="shared" si="79"/>
        <v/>
      </c>
      <c r="X1939" s="22" t="str">
        <f t="shared" si="78"/>
        <v/>
      </c>
      <c r="Y1939" s="25" t="str">
        <f>IF(Table26[[#This Row],[customerSKU]]="","",_xlfn.XLOOKUP(Table26[[#This Row],[customerSKU]],Table27[customer_SKU],Table27[product_GTIN],"",0,1))</f>
        <v/>
      </c>
      <c r="Z1939" s="25" t="s">
        <v>3687</v>
      </c>
      <c r="AA1939" s="18" t="str" cm="1">
        <f t="array" ref="AA1939">IF(P1939="", "", _xlfn.XLOOKUP(P1939,#REF!,#REF!,NA,0,-1))</f>
        <v/>
      </c>
      <c r="AB1939" s="22"/>
      <c r="AC1939" s="23" t="str">
        <f>IF(Table26[[#This Row],[customerSKU]]="","",_xlfn.XLOOKUP(Table26[[#This Row],[customerSKU]],customerSKU!G:G,customerSKU!C:C,"",0,1))</f>
        <v/>
      </c>
      <c r="AD1939" s="23" t="str">
        <f>IF($AC1939="","",_xlfn.XLOOKUP($AC1939,'Client Info'!$C$2:$C$2497,'Client Info'!$D$2:$D$2497,"",0,1))</f>
        <v/>
      </c>
      <c r="AE1939" s="23" t="str">
        <f>IF($AC1939="","",_xlfn.XLOOKUP($AC1939,'Client Info'!$C$2:$C$2677,'Client Info'!$E$2:$E$2677,"",))</f>
        <v/>
      </c>
      <c r="AF1939" s="23" t="str">
        <f>IF($AC1939="","",_xlfn.XLOOKUP($AC1939,'Client Info'!$C$2:$C$2677,'Client Info'!$F$2:$F$2677,"",0,1))</f>
        <v/>
      </c>
      <c r="AG1939" s="23" t="str">
        <f>IF(ISBLANK(Table26[[#This Row],[customerSKU]]),"",_xlfn.XLOOKUP(Table26[[#This Row],[customerSKU]],Table27[customer_SKU],Table27[billto],"",0,1))</f>
        <v/>
      </c>
      <c r="AH1939" s="26" t="str">
        <f>_xlfn.XLOOKUP(Table26[[#This Row],[customerSKU]],customerSKU!G:G,customerSKU!K:K,"NA",0,1)</f>
        <v>NA</v>
      </c>
      <c r="AI1939" s="43" t="str">
        <f>_xlfn.XLOOKUP(Table26[[#This Row],[customerSKU]],customerSKU!G:G,customerSKU!O:O,"not found",0,1)</f>
        <v>not found</v>
      </c>
      <c r="AJ1939" s="22" t="e">
        <f>Table26[[#This Row],[unitprice]]*Table26[[#This Row],[quantity_unit]]</f>
        <v>#VALUE!</v>
      </c>
      <c r="AK1939" s="227" t="e" cm="1">
        <f t="array" ref="AK19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39" s="227"/>
    </row>
    <row r="1940" spans="1:38" ht="18" customHeight="1">
      <c r="A1940" s="42">
        <v>309</v>
      </c>
      <c r="B1940" s="42" t="s">
        <v>3520</v>
      </c>
      <c r="C1940" s="53" t="s">
        <v>3488</v>
      </c>
      <c r="E1940" s="20"/>
      <c r="F19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0" s="93"/>
      <c r="I1940" s="203">
        <v>45839</v>
      </c>
      <c r="J1940" s="90" t="str">
        <f>IF(Table26[[#This Row],[customerSKU]]="","",_xlfn.XLOOKUP(Table26[[#This Row],[customerSKU]],customerSKU!G:G,customerSKU!A:A,"",0,1))</f>
        <v/>
      </c>
      <c r="K1940" s="232">
        <v>45840</v>
      </c>
      <c r="L1940" s="49" t="str">
        <f>IF(Table26[[#This Row],[customerSKU]]="","",_xlfn.XLOOKUP(Table26[[#This Row],[customerSKU]],customerSKU!G:G,customerSKU!B:B,"",0,1))</f>
        <v/>
      </c>
      <c r="M1940" s="22"/>
      <c r="N1940" s="15" t="str">
        <f>Table26[[#This Row],[po_number]]&amp;"-"&amp;Table26[[#This Row],[po_line]]</f>
        <v>-1</v>
      </c>
      <c r="O1940" s="15">
        <v>1</v>
      </c>
      <c r="P1940" s="50"/>
      <c r="Q1940" s="22" t="s">
        <v>591</v>
      </c>
      <c r="R1940" s="22" t="s">
        <v>532</v>
      </c>
      <c r="S1940" s="90" t="str">
        <f>IF(Table26[[#This Row],[customerSKU]]="","",_xlfn.XLOOKUP(Table26[[#This Row],[customerSKU]],customerSKU!G:G,customerSKU!N:N,"NOT FOUND",0,1))</f>
        <v>NOT FOUND</v>
      </c>
      <c r="T1940" s="20">
        <v>45821</v>
      </c>
      <c r="U1940" s="94">
        <v>24</v>
      </c>
      <c r="V1940" s="22" t="str">
        <f>IF(ISBLANK(Table26[[#This Row],[customerSKU]]),"",_xlfn.XLOOKUP(Table26[[#This Row],[customerSKU]],Table27[customer_SKU],Table27[case_size],"",0,1))</f>
        <v/>
      </c>
      <c r="W1940" s="117" t="str">
        <f t="shared" si="79"/>
        <v/>
      </c>
      <c r="X1940" s="22" t="str">
        <f t="shared" si="78"/>
        <v/>
      </c>
      <c r="Y1940" s="25" t="str">
        <f>IF(Table26[[#This Row],[customerSKU]]="","",_xlfn.XLOOKUP(Table26[[#This Row],[customerSKU]],Table27[customer_SKU],Table27[product_GTIN],"",0,1))</f>
        <v/>
      </c>
      <c r="Z1940" s="25" t="s">
        <v>3525</v>
      </c>
      <c r="AA1940" s="18" t="str" cm="1">
        <f t="array" ref="AA1940">IF(P1940="", "", _xlfn.XLOOKUP(P1940,#REF!,#REF!,NA,0,-1))</f>
        <v/>
      </c>
      <c r="AB1940" s="22"/>
      <c r="AC1940" s="23" t="s">
        <v>189</v>
      </c>
      <c r="AD1940" s="23" t="str">
        <f>IF($AC1940="","",_xlfn.XLOOKUP($AC1940,'Client Info'!$C$2:$C$2497,'Client Info'!$D$2:$D$2497,"",0,1))</f>
        <v/>
      </c>
      <c r="AE1940" s="23" t="str">
        <f>IF($AC1940="","",_xlfn.XLOOKUP($AC1940,'Client Info'!$C$2:$C$2677,'Client Info'!$E$2:$E$2677,"",))</f>
        <v/>
      </c>
      <c r="AF1940" s="23" t="str">
        <f>IF($AC1940="","",_xlfn.XLOOKUP($AC1940,'Client Info'!$C$2:$C$2677,'Client Info'!$F$2:$F$2677,"",0,1))</f>
        <v/>
      </c>
      <c r="AG1940" s="23" t="s">
        <v>189</v>
      </c>
      <c r="AH1940" s="26" t="str">
        <f>_xlfn.XLOOKUP(Table26[[#This Row],[customerSKU]],customerSKU!G:G,customerSKU!K:K,"NA",0,1)</f>
        <v>NA</v>
      </c>
      <c r="AI1940" s="43" t="str">
        <f>_xlfn.XLOOKUP(Table26[[#This Row],[customerSKU]],customerSKU!G:G,customerSKU!O:O,"not found",0,1)</f>
        <v>not found</v>
      </c>
      <c r="AJ1940" s="22" t="e">
        <f>Table26[[#This Row],[unitprice]]*Table26[[#This Row],[quantity_unit]]</f>
        <v>#VALUE!</v>
      </c>
      <c r="AK1940" s="227" t="e" cm="1">
        <f t="array" ref="AK19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0" s="227"/>
    </row>
    <row r="1941" spans="1:38" ht="18" customHeight="1">
      <c r="A1941" s="42">
        <v>310</v>
      </c>
      <c r="B1941" s="42" t="s">
        <v>3520</v>
      </c>
      <c r="C1941" s="53" t="s">
        <v>3488</v>
      </c>
      <c r="E1941" s="20"/>
      <c r="F19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1" s="93"/>
      <c r="I1941" s="203">
        <v>45839</v>
      </c>
      <c r="J1941" s="90" t="str">
        <f>IF(Table26[[#This Row],[customerSKU]]="","",_xlfn.XLOOKUP(Table26[[#This Row],[customerSKU]],customerSKU!G:G,customerSKU!A:A,"",0,1))</f>
        <v/>
      </c>
      <c r="K1941" s="232">
        <v>45840</v>
      </c>
      <c r="L1941" s="49" t="str">
        <f>IF(Table26[[#This Row],[customerSKU]]="","",_xlfn.XLOOKUP(Table26[[#This Row],[customerSKU]],customerSKU!G:G,customerSKU!B:B,"",0,1))</f>
        <v/>
      </c>
      <c r="M1941" s="22"/>
      <c r="N1941" s="15" t="str">
        <f>Table26[[#This Row],[po_number]]&amp;"-"&amp;Table26[[#This Row],[po_line]]</f>
        <v>-2</v>
      </c>
      <c r="O1941" s="15">
        <v>2</v>
      </c>
      <c r="P1941" s="50"/>
      <c r="Q1941" s="22" t="s">
        <v>1807</v>
      </c>
      <c r="R1941" s="22" t="s">
        <v>532</v>
      </c>
      <c r="S1941" s="90" t="str">
        <f>IF(Table26[[#This Row],[customerSKU]]="","",_xlfn.XLOOKUP(Table26[[#This Row],[customerSKU]],customerSKU!G:G,customerSKU!N:N,"NOT FOUND",0,1))</f>
        <v>NOT FOUND</v>
      </c>
      <c r="T1941" s="20">
        <v>45804</v>
      </c>
      <c r="U1941" s="94">
        <v>12</v>
      </c>
      <c r="V1941" s="22" t="str">
        <f>IF(ISBLANK(Table26[[#This Row],[customerSKU]]),"",_xlfn.XLOOKUP(Table26[[#This Row],[customerSKU]],Table27[customer_SKU],Table27[case_size],"",0,1))</f>
        <v/>
      </c>
      <c r="W1941" s="117" t="str">
        <f t="shared" si="79"/>
        <v/>
      </c>
      <c r="X1941" s="22" t="str">
        <f t="shared" si="78"/>
        <v/>
      </c>
      <c r="Y1941" s="25" t="str">
        <f>IF(Table26[[#This Row],[customerSKU]]="","",_xlfn.XLOOKUP(Table26[[#This Row],[customerSKU]],Table27[customer_SKU],Table27[product_GTIN],"",0,1))</f>
        <v/>
      </c>
      <c r="Z1941" s="25" t="s">
        <v>3650</v>
      </c>
      <c r="AA1941" s="18" t="str" cm="1">
        <f t="array" ref="AA1941">IF(P1941="", "", _xlfn.XLOOKUP(P1941,#REF!,#REF!,NA,0,-1))</f>
        <v/>
      </c>
      <c r="AB1941" s="22"/>
      <c r="AC1941" s="23" t="s">
        <v>189</v>
      </c>
      <c r="AD1941" s="23" t="str">
        <f>IF($AC1941="","",_xlfn.XLOOKUP($AC1941,'Client Info'!$C$2:$C$2497,'Client Info'!$D$2:$D$2497,"",0,1))</f>
        <v/>
      </c>
      <c r="AE1941" s="23" t="str">
        <f>IF($AC1941="","",_xlfn.XLOOKUP($AC1941,'Client Info'!$C$2:$C$2677,'Client Info'!$E$2:$E$2677,"",))</f>
        <v/>
      </c>
      <c r="AF1941" s="23" t="str">
        <f>IF($AC1941="","",_xlfn.XLOOKUP($AC1941,'Client Info'!$C$2:$C$2677,'Client Info'!$F$2:$F$2677,"",0,1))</f>
        <v/>
      </c>
      <c r="AG1941" s="23" t="s">
        <v>189</v>
      </c>
      <c r="AH1941" s="26" t="str">
        <f>_xlfn.XLOOKUP(Table26[[#This Row],[customerSKU]],customerSKU!G:G,customerSKU!K:K,"NA",0,1)</f>
        <v>NA</v>
      </c>
      <c r="AI1941" s="43" t="str">
        <f>_xlfn.XLOOKUP(Table26[[#This Row],[customerSKU]],customerSKU!G:G,customerSKU!O:O,"not found",0,1)</f>
        <v>not found</v>
      </c>
      <c r="AJ1941" s="22" t="e">
        <f>Table26[[#This Row],[unitprice]]*Table26[[#This Row],[quantity_unit]]</f>
        <v>#VALUE!</v>
      </c>
      <c r="AK1941" s="227" t="e" cm="1">
        <f t="array" ref="AK19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1" s="227"/>
    </row>
    <row r="1942" spans="1:38" ht="18" customHeight="1">
      <c r="A1942" s="42">
        <v>311</v>
      </c>
      <c r="B1942" s="42" t="s">
        <v>3520</v>
      </c>
      <c r="C1942" s="53" t="s">
        <v>3488</v>
      </c>
      <c r="E1942" s="20"/>
      <c r="F19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2" s="93"/>
      <c r="I1942" s="203">
        <v>45839</v>
      </c>
      <c r="J1942" s="90" t="str">
        <f>IF(Table26[[#This Row],[customerSKU]]="","",_xlfn.XLOOKUP(Table26[[#This Row],[customerSKU]],customerSKU!G:G,customerSKU!A:A,"",0,1))</f>
        <v/>
      </c>
      <c r="K1942" s="232">
        <v>45840</v>
      </c>
      <c r="L1942" s="49" t="str">
        <f>IF(Table26[[#This Row],[customerSKU]]="","",_xlfn.XLOOKUP(Table26[[#This Row],[customerSKU]],customerSKU!G:G,customerSKU!B:B,"",0,1))</f>
        <v/>
      </c>
      <c r="M1942" s="22"/>
      <c r="N1942" s="15" t="str">
        <f>Table26[[#This Row],[po_number]]&amp;"-"&amp;Table26[[#This Row],[po_line]]</f>
        <v>-3</v>
      </c>
      <c r="O1942" s="15">
        <v>3</v>
      </c>
      <c r="P1942" s="50"/>
      <c r="Q1942" s="22" t="s">
        <v>574</v>
      </c>
      <c r="R1942" s="22" t="s">
        <v>532</v>
      </c>
      <c r="S1942" s="90" t="str">
        <f>IF(Table26[[#This Row],[customerSKU]]="","",_xlfn.XLOOKUP(Table26[[#This Row],[customerSKU]],customerSKU!G:G,customerSKU!N:N,"NOT FOUND",0,1))</f>
        <v>NOT FOUND</v>
      </c>
      <c r="T1942" s="20">
        <v>45818</v>
      </c>
      <c r="U1942" s="94">
        <v>24</v>
      </c>
      <c r="V1942" s="22" t="str">
        <f>IF(ISBLANK(Table26[[#This Row],[customerSKU]]),"",_xlfn.XLOOKUP(Table26[[#This Row],[customerSKU]],Table27[customer_SKU],Table27[case_size],"",0,1))</f>
        <v/>
      </c>
      <c r="W1942" s="117" t="str">
        <f t="shared" si="79"/>
        <v/>
      </c>
      <c r="X1942" s="22" t="str">
        <f t="shared" si="78"/>
        <v/>
      </c>
      <c r="Y1942" s="25" t="str">
        <f>IF(Table26[[#This Row],[customerSKU]]="","",_xlfn.XLOOKUP(Table26[[#This Row],[customerSKU]],Table27[customer_SKU],Table27[product_GTIN],"",0,1))</f>
        <v/>
      </c>
      <c r="Z1942" s="25" t="s">
        <v>3530</v>
      </c>
      <c r="AA1942" s="18" t="str" cm="1">
        <f t="array" ref="AA1942">IF(P1942="", "", _xlfn.XLOOKUP(P1942,#REF!,#REF!,NA,0,-1))</f>
        <v/>
      </c>
      <c r="AB1942" s="22"/>
      <c r="AC1942" s="23" t="s">
        <v>189</v>
      </c>
      <c r="AD1942" s="23" t="str">
        <f>IF($AC1942="","",_xlfn.XLOOKUP($AC1942,'Client Info'!$C$2:$C$2497,'Client Info'!$D$2:$D$2497,"",0,1))</f>
        <v/>
      </c>
      <c r="AE1942" s="23" t="str">
        <f>IF($AC1942="","",_xlfn.XLOOKUP($AC1942,'Client Info'!$C$2:$C$2677,'Client Info'!$E$2:$E$2677,"",))</f>
        <v/>
      </c>
      <c r="AF1942" s="23" t="str">
        <f>IF($AC1942="","",_xlfn.XLOOKUP($AC1942,'Client Info'!$C$2:$C$2677,'Client Info'!$F$2:$F$2677,"",0,1))</f>
        <v/>
      </c>
      <c r="AG1942" s="23" t="s">
        <v>189</v>
      </c>
      <c r="AH1942" s="26" t="str">
        <f>_xlfn.XLOOKUP(Table26[[#This Row],[customerSKU]],customerSKU!G:G,customerSKU!K:K,"NA",0,1)</f>
        <v>NA</v>
      </c>
      <c r="AI1942" s="43" t="str">
        <f>_xlfn.XLOOKUP(Table26[[#This Row],[customerSKU]],customerSKU!G:G,customerSKU!O:O,"not found",0,1)</f>
        <v>not found</v>
      </c>
      <c r="AJ1942" s="22" t="e">
        <f>Table26[[#This Row],[unitprice]]*Table26[[#This Row],[quantity_unit]]</f>
        <v>#VALUE!</v>
      </c>
      <c r="AK1942" s="227" t="e" cm="1">
        <f t="array" ref="AK19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2" s="227"/>
    </row>
    <row r="1943" spans="1:38" ht="18" customHeight="1">
      <c r="A1943" s="42">
        <v>312</v>
      </c>
      <c r="B1943" s="42" t="s">
        <v>3520</v>
      </c>
      <c r="C1943" s="53" t="s">
        <v>3488</v>
      </c>
      <c r="E1943" s="20"/>
      <c r="F19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3" s="93"/>
      <c r="I1943" s="203">
        <v>45839</v>
      </c>
      <c r="J1943" s="90" t="str">
        <f>IF(Table26[[#This Row],[customerSKU]]="","",_xlfn.XLOOKUP(Table26[[#This Row],[customerSKU]],customerSKU!G:G,customerSKU!A:A,"",0,1))</f>
        <v/>
      </c>
      <c r="K1943" s="232">
        <v>45840</v>
      </c>
      <c r="L1943" s="49" t="str">
        <f>IF(Table26[[#This Row],[customerSKU]]="","",_xlfn.XLOOKUP(Table26[[#This Row],[customerSKU]],customerSKU!G:G,customerSKU!B:B,"",0,1))</f>
        <v/>
      </c>
      <c r="M1943" s="22"/>
      <c r="N1943" s="15" t="str">
        <f>Table26[[#This Row],[po_number]]&amp;"-"&amp;Table26[[#This Row],[po_line]]</f>
        <v>-4</v>
      </c>
      <c r="O1943" s="15">
        <v>4</v>
      </c>
      <c r="P1943" s="50"/>
      <c r="Q1943" s="22" t="s">
        <v>1825</v>
      </c>
      <c r="R1943" s="22" t="s">
        <v>532</v>
      </c>
      <c r="S1943" s="90" t="str">
        <f>IF(Table26[[#This Row],[customerSKU]]="","",_xlfn.XLOOKUP(Table26[[#This Row],[customerSKU]],customerSKU!G:G,customerSKU!N:N,"NOT FOUND",0,1))</f>
        <v>NOT FOUND</v>
      </c>
      <c r="T1943" s="20">
        <v>45833</v>
      </c>
      <c r="U1943" s="94">
        <v>24</v>
      </c>
      <c r="V1943" s="22" t="str">
        <f>IF(ISBLANK(Table26[[#This Row],[customerSKU]]),"",_xlfn.XLOOKUP(Table26[[#This Row],[customerSKU]],Table27[customer_SKU],Table27[case_size],"",0,1))</f>
        <v/>
      </c>
      <c r="W1943" s="117" t="str">
        <f t="shared" si="79"/>
        <v/>
      </c>
      <c r="X1943" s="22" t="str">
        <f t="shared" si="78"/>
        <v/>
      </c>
      <c r="Y1943" s="25" t="str">
        <f>IF(Table26[[#This Row],[customerSKU]]="","",_xlfn.XLOOKUP(Table26[[#This Row],[customerSKU]],Table27[customer_SKU],Table27[product_GTIN],"",0,1))</f>
        <v/>
      </c>
      <c r="Z1943" s="25" t="s">
        <v>3693</v>
      </c>
      <c r="AA1943" s="18" t="str" cm="1">
        <f t="array" ref="AA1943">IF(P1943="", "", _xlfn.XLOOKUP(P1943,#REF!,#REF!,NA,0,-1))</f>
        <v/>
      </c>
      <c r="AB1943" s="22"/>
      <c r="AC1943" s="23" t="s">
        <v>189</v>
      </c>
      <c r="AD1943" s="23" t="str">
        <f>IF($AC1943="","",_xlfn.XLOOKUP($AC1943,'Client Info'!$C$2:$C$2497,'Client Info'!$D$2:$D$2497,"",0,1))</f>
        <v/>
      </c>
      <c r="AE1943" s="23" t="str">
        <f>IF($AC1943="","",_xlfn.XLOOKUP($AC1943,'Client Info'!$C$2:$C$2677,'Client Info'!$E$2:$E$2677,"",))</f>
        <v/>
      </c>
      <c r="AF1943" s="23" t="str">
        <f>IF($AC1943="","",_xlfn.XLOOKUP($AC1943,'Client Info'!$C$2:$C$2677,'Client Info'!$F$2:$F$2677,"",0,1))</f>
        <v/>
      </c>
      <c r="AG1943" s="23" t="s">
        <v>189</v>
      </c>
      <c r="AH1943" s="26" t="str">
        <f>_xlfn.XLOOKUP(Table26[[#This Row],[customerSKU]],customerSKU!G:G,customerSKU!K:K,"NA",0,1)</f>
        <v>NA</v>
      </c>
      <c r="AI1943" s="43" t="str">
        <f>_xlfn.XLOOKUP(Table26[[#This Row],[customerSKU]],customerSKU!G:G,customerSKU!O:O,"not found",0,1)</f>
        <v>not found</v>
      </c>
      <c r="AJ1943" s="22" t="e">
        <f>Table26[[#This Row],[unitprice]]*Table26[[#This Row],[quantity_unit]]</f>
        <v>#VALUE!</v>
      </c>
      <c r="AK1943" s="227" t="e" cm="1">
        <f t="array" ref="AK19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3" s="227"/>
    </row>
    <row r="1944" spans="1:38" ht="18" customHeight="1">
      <c r="A1944" s="42">
        <v>277</v>
      </c>
      <c r="B1944" s="42" t="s">
        <v>3520</v>
      </c>
      <c r="C1944" s="53" t="s">
        <v>3427</v>
      </c>
      <c r="E1944" s="20"/>
      <c r="F19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4" s="93"/>
      <c r="I1944" s="203">
        <v>45838</v>
      </c>
      <c r="J1944" s="90" t="str">
        <f>IF(Table26[[#This Row],[customerSKU]]="","",_xlfn.XLOOKUP(Table26[[#This Row],[customerSKU]],customerSKU!G:G,customerSKU!A:A,"",0,1))</f>
        <v/>
      </c>
      <c r="K1944" s="232">
        <v>45841</v>
      </c>
      <c r="L1944" s="49" t="str">
        <f>IF(Table26[[#This Row],[customerSKU]]="","",_xlfn.XLOOKUP(Table26[[#This Row],[customerSKU]],customerSKU!G:G,customerSKU!B:B,"",0,1))</f>
        <v/>
      </c>
      <c r="M1944" s="22"/>
      <c r="N1944" s="15" t="str">
        <f>Table26[[#This Row],[po_number]]&amp;"-"&amp;Table26[[#This Row],[po_line]]</f>
        <v>-1</v>
      </c>
      <c r="O1944" s="15">
        <v>1</v>
      </c>
      <c r="P1944" s="50"/>
      <c r="Q1944" s="22" t="s">
        <v>559</v>
      </c>
      <c r="R1944" s="22" t="s">
        <v>532</v>
      </c>
      <c r="S1944" s="90" t="s">
        <v>13</v>
      </c>
      <c r="T1944" s="20">
        <v>45772</v>
      </c>
      <c r="U1944" s="94">
        <v>12</v>
      </c>
      <c r="V1944" s="22" t="str">
        <f>IF(ISBLANK(Table26[[#This Row],[customerSKU]]),"",_xlfn.XLOOKUP(Table26[[#This Row],[customerSKU]],Table27[customer_SKU],Table27[case_size],"",0,1))</f>
        <v/>
      </c>
      <c r="W1944" s="117" t="str">
        <f t="shared" si="79"/>
        <v/>
      </c>
      <c r="X1944" s="22" t="str">
        <f t="shared" si="78"/>
        <v/>
      </c>
      <c r="Y1944" s="25" t="str">
        <f>IF(Table26[[#This Row],[customerSKU]]="","",_xlfn.XLOOKUP(Table26[[#This Row],[customerSKU]],Table27[customer_SKU],Table27[product_GTIN],"",0,1))</f>
        <v/>
      </c>
      <c r="Z1944" s="25" t="s">
        <v>3527</v>
      </c>
      <c r="AA1944" s="18" t="str" cm="1">
        <f t="array" ref="AA1944">IF(P1944="", "", _xlfn.XLOOKUP(P1944,#REF!,#REF!,NA,0,-1))</f>
        <v/>
      </c>
      <c r="AB1944" s="22"/>
      <c r="AC1944" s="23" t="s">
        <v>68</v>
      </c>
      <c r="AD1944" s="23" t="str">
        <f>IF($AC1944="","",_xlfn.XLOOKUP($AC1944,'Client Info'!$C$2:$C$2497,'Client Info'!$D$2:$D$2497,"",0,1))</f>
        <v/>
      </c>
      <c r="AE1944" s="23" t="str">
        <f>IF($AC1944="","",_xlfn.XLOOKUP($AC1944,'Client Info'!$C$2:$C$2677,'Client Info'!$E$2:$E$2677,"",))</f>
        <v/>
      </c>
      <c r="AF1944" s="23" t="str">
        <f>IF($AC1944="","",_xlfn.XLOOKUP($AC1944,'Client Info'!$C$2:$C$2677,'Client Info'!$F$2:$F$2677,"",0,1))</f>
        <v/>
      </c>
      <c r="AG1944" s="23" t="s">
        <v>68</v>
      </c>
      <c r="AH1944" s="26" t="str">
        <f>_xlfn.XLOOKUP(Table26[[#This Row],[customerSKU]],customerSKU!G:G,customerSKU!K:K,"NA",0,1)</f>
        <v>NA</v>
      </c>
      <c r="AI1944" s="43" t="str">
        <f>_xlfn.XLOOKUP(Table26[[#This Row],[customerSKU]],customerSKU!G:G,customerSKU!O:O,"not found",0,1)</f>
        <v>not found</v>
      </c>
      <c r="AJ1944" s="22" t="e">
        <f>Table26[[#This Row],[unitprice]]*Table26[[#This Row],[quantity_unit]]</f>
        <v>#VALUE!</v>
      </c>
      <c r="AK1944" s="227" t="e" cm="1">
        <f t="array" ref="AK19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4" s="227"/>
    </row>
    <row r="1945" spans="1:38" ht="18" customHeight="1">
      <c r="A1945" s="42">
        <v>278</v>
      </c>
      <c r="B1945" s="42" t="s">
        <v>3520</v>
      </c>
      <c r="C1945" s="53" t="s">
        <v>3427</v>
      </c>
      <c r="E1945" s="20"/>
      <c r="F19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5" s="93"/>
      <c r="I1945" s="203">
        <v>45838</v>
      </c>
      <c r="J1945" s="90" t="str">
        <f>IF(Table26[[#This Row],[customerSKU]]="","",_xlfn.XLOOKUP(Table26[[#This Row],[customerSKU]],customerSKU!G:G,customerSKU!A:A,"",0,1))</f>
        <v/>
      </c>
      <c r="K1945" s="232">
        <v>45841</v>
      </c>
      <c r="L1945" s="49" t="str">
        <f>IF(Table26[[#This Row],[customerSKU]]="","",_xlfn.XLOOKUP(Table26[[#This Row],[customerSKU]],customerSKU!G:G,customerSKU!B:B,"",0,1))</f>
        <v/>
      </c>
      <c r="M1945" s="22"/>
      <c r="N1945" s="15" t="str">
        <f>Table26[[#This Row],[po_number]]&amp;"-"&amp;Table26[[#This Row],[po_line]]</f>
        <v>-1</v>
      </c>
      <c r="O1945" s="15">
        <v>1</v>
      </c>
      <c r="P1945" s="50"/>
      <c r="Q1945" s="22" t="s">
        <v>659</v>
      </c>
      <c r="R1945" s="22" t="s">
        <v>532</v>
      </c>
      <c r="S1945" s="90" t="s">
        <v>13</v>
      </c>
      <c r="T1945" s="20">
        <v>45638</v>
      </c>
      <c r="U1945" s="94">
        <v>12</v>
      </c>
      <c r="V1945" s="22" t="str">
        <f>IF(ISBLANK(Table26[[#This Row],[customerSKU]]),"",_xlfn.XLOOKUP(Table26[[#This Row],[customerSKU]],Table27[customer_SKU],Table27[case_size],"",0,1))</f>
        <v/>
      </c>
      <c r="W1945" s="117" t="str">
        <f t="shared" si="79"/>
        <v/>
      </c>
      <c r="X1945" s="22" t="str">
        <f t="shared" si="78"/>
        <v/>
      </c>
      <c r="Y1945" s="25" t="str">
        <f>IF(Table26[[#This Row],[customerSKU]]="","",_xlfn.XLOOKUP(Table26[[#This Row],[customerSKU]],Table27[customer_SKU],Table27[product_GTIN],"",0,1))</f>
        <v/>
      </c>
      <c r="Z1945" s="25" t="s">
        <v>3600</v>
      </c>
      <c r="AA1945" s="18" t="str" cm="1">
        <f t="array" ref="AA1945">IF(P1945="", "", _xlfn.XLOOKUP(P1945,#REF!,#REF!,NA,0,-1))</f>
        <v/>
      </c>
      <c r="AB1945" s="22"/>
      <c r="AC1945" s="23" t="s">
        <v>68</v>
      </c>
      <c r="AD1945" s="23" t="str">
        <f>IF($AC1945="","",_xlfn.XLOOKUP($AC1945,'Client Info'!$C$2:$C$2497,'Client Info'!$D$2:$D$2497,"",0,1))</f>
        <v/>
      </c>
      <c r="AE1945" s="23" t="str">
        <f>IF($AC1945="","",_xlfn.XLOOKUP($AC1945,'Client Info'!$C$2:$C$2677,'Client Info'!$E$2:$E$2677,"",))</f>
        <v/>
      </c>
      <c r="AF1945" s="23" t="str">
        <f>IF($AC1945="","",_xlfn.XLOOKUP($AC1945,'Client Info'!$C$2:$C$2677,'Client Info'!$F$2:$F$2677,"",0,1))</f>
        <v/>
      </c>
      <c r="AG1945" s="23" t="s">
        <v>68</v>
      </c>
      <c r="AH1945" s="26" t="str">
        <f>_xlfn.XLOOKUP(Table26[[#This Row],[customerSKU]],customerSKU!G:G,customerSKU!K:K,"NA",0,1)</f>
        <v>NA</v>
      </c>
      <c r="AI1945" s="43" t="str">
        <f>_xlfn.XLOOKUP(Table26[[#This Row],[customerSKU]],customerSKU!G:G,customerSKU!O:O,"not found",0,1)</f>
        <v>not found</v>
      </c>
      <c r="AJ1945" s="22" t="e">
        <f>Table26[[#This Row],[unitprice]]*Table26[[#This Row],[quantity_unit]]</f>
        <v>#VALUE!</v>
      </c>
      <c r="AK1945" s="227" t="e" cm="1">
        <f t="array" ref="AK19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5" s="227"/>
    </row>
    <row r="1946" spans="1:38" ht="18" customHeight="1">
      <c r="A1946" s="42">
        <v>279</v>
      </c>
      <c r="B1946" s="42" t="s">
        <v>3520</v>
      </c>
      <c r="C1946" s="53" t="s">
        <v>3427</v>
      </c>
      <c r="E1946" s="20"/>
      <c r="F19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6" s="93"/>
      <c r="I1946" s="203">
        <v>45838</v>
      </c>
      <c r="J1946" s="90" t="str">
        <f>IF(Table26[[#This Row],[customerSKU]]="","",_xlfn.XLOOKUP(Table26[[#This Row],[customerSKU]],customerSKU!G:G,customerSKU!A:A,"",0,1))</f>
        <v/>
      </c>
      <c r="K1946" s="232">
        <v>45841</v>
      </c>
      <c r="L1946" s="49" t="str">
        <f>IF(Table26[[#This Row],[customerSKU]]="","",_xlfn.XLOOKUP(Table26[[#This Row],[customerSKU]],customerSKU!G:G,customerSKU!B:B,"",0,1))</f>
        <v/>
      </c>
      <c r="M1946" s="22"/>
      <c r="N1946" s="15" t="str">
        <f>Table26[[#This Row],[po_number]]&amp;"-"&amp;Table26[[#This Row],[po_line]]</f>
        <v>-2</v>
      </c>
      <c r="O1946" s="15">
        <v>2</v>
      </c>
      <c r="P1946" s="50"/>
      <c r="Q1946" s="22" t="s">
        <v>1575</v>
      </c>
      <c r="R1946" s="22" t="s">
        <v>532</v>
      </c>
      <c r="S1946" s="90" t="s">
        <v>13</v>
      </c>
      <c r="T1946" s="20">
        <v>45742</v>
      </c>
      <c r="U1946" s="94">
        <v>24</v>
      </c>
      <c r="V1946" s="22" t="str">
        <f>IF(ISBLANK(Table26[[#This Row],[customerSKU]]),"",_xlfn.XLOOKUP(Table26[[#This Row],[customerSKU]],Table27[customer_SKU],Table27[case_size],"",0,1))</f>
        <v/>
      </c>
      <c r="W1946" s="117" t="str">
        <f t="shared" si="79"/>
        <v/>
      </c>
      <c r="X1946" s="22" t="str">
        <f t="shared" si="78"/>
        <v/>
      </c>
      <c r="Y1946" s="25" t="str">
        <f>IF(Table26[[#This Row],[customerSKU]]="","",_xlfn.XLOOKUP(Table26[[#This Row],[customerSKU]],Table27[customer_SKU],Table27[product_GTIN],"",0,1))</f>
        <v/>
      </c>
      <c r="Z1946" s="25" t="s">
        <v>3609</v>
      </c>
      <c r="AA1946" s="18" t="str" cm="1">
        <f t="array" ref="AA1946">IF(P1946="", "", _xlfn.XLOOKUP(P1946,#REF!,#REF!,NA,0,-1))</f>
        <v/>
      </c>
      <c r="AB1946" s="22"/>
      <c r="AC1946" s="23" t="s">
        <v>68</v>
      </c>
      <c r="AD1946" s="23" t="str">
        <f>IF($AC1946="","",_xlfn.XLOOKUP($AC1946,'Client Info'!$C$2:$C$2497,'Client Info'!$D$2:$D$2497,"",0,1))</f>
        <v/>
      </c>
      <c r="AE1946" s="23" t="str">
        <f>IF($AC1946="","",_xlfn.XLOOKUP($AC1946,'Client Info'!$C$2:$C$2677,'Client Info'!$E$2:$E$2677,"",))</f>
        <v/>
      </c>
      <c r="AF1946" s="23" t="str">
        <f>IF($AC1946="","",_xlfn.XLOOKUP($AC1946,'Client Info'!$C$2:$C$2677,'Client Info'!$F$2:$F$2677,"",0,1))</f>
        <v/>
      </c>
      <c r="AG1946" s="23" t="s">
        <v>68</v>
      </c>
      <c r="AH1946" s="26" t="str">
        <f>_xlfn.XLOOKUP(Table26[[#This Row],[customerSKU]],customerSKU!G:G,customerSKU!K:K,"NA",0,1)</f>
        <v>NA</v>
      </c>
      <c r="AI1946" s="43" t="str">
        <f>_xlfn.XLOOKUP(Table26[[#This Row],[customerSKU]],customerSKU!G:G,customerSKU!O:O,"not found",0,1)</f>
        <v>not found</v>
      </c>
      <c r="AJ1946" s="22" t="e">
        <f>Table26[[#This Row],[unitprice]]*Table26[[#This Row],[quantity_unit]]</f>
        <v>#VALUE!</v>
      </c>
      <c r="AK1946" s="227" t="e" cm="1">
        <f t="array" ref="AK19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6" s="227"/>
    </row>
    <row r="1947" spans="1:38" ht="24.6" customHeight="1">
      <c r="A1947" s="42">
        <v>280</v>
      </c>
      <c r="B1947" s="42" t="s">
        <v>3520</v>
      </c>
      <c r="C1947" s="53" t="s">
        <v>3427</v>
      </c>
      <c r="E1947" s="20"/>
      <c r="F19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7" s="93"/>
      <c r="I1947" s="203">
        <v>45838</v>
      </c>
      <c r="J1947" s="90" t="str">
        <f>IF(Table26[[#This Row],[customerSKU]]="","",_xlfn.XLOOKUP(Table26[[#This Row],[customerSKU]],customerSKU!G:G,customerSKU!A:A,"",0,1))</f>
        <v/>
      </c>
      <c r="K1947" s="232">
        <v>45841</v>
      </c>
      <c r="L1947" s="49" t="str">
        <f>IF(Table26[[#This Row],[customerSKU]]="","",_xlfn.XLOOKUP(Table26[[#This Row],[customerSKU]],customerSKU!G:G,customerSKU!B:B,"",0,1))</f>
        <v/>
      </c>
      <c r="M1947" s="22"/>
      <c r="N1947" s="15" t="str">
        <f>Table26[[#This Row],[po_number]]&amp;"-"&amp;Table26[[#This Row],[po_line]]</f>
        <v>-3</v>
      </c>
      <c r="O1947" s="15">
        <v>3</v>
      </c>
      <c r="P1947" s="50"/>
      <c r="Q1947" s="22" t="s">
        <v>582</v>
      </c>
      <c r="R1947" s="22" t="s">
        <v>532</v>
      </c>
      <c r="S1947" s="90" t="s">
        <v>13</v>
      </c>
      <c r="T1947" s="20">
        <v>45778</v>
      </c>
      <c r="U1947" s="94">
        <v>24</v>
      </c>
      <c r="V1947" s="22" t="str">
        <f>IF(ISBLANK(Table26[[#This Row],[customerSKU]]),"",_xlfn.XLOOKUP(Table26[[#This Row],[customerSKU]],Table27[customer_SKU],Table27[case_size],"",0,1))</f>
        <v/>
      </c>
      <c r="W1947" s="117" t="str">
        <f t="shared" si="79"/>
        <v/>
      </c>
      <c r="X1947" s="22" t="str">
        <f t="shared" si="78"/>
        <v/>
      </c>
      <c r="Y1947" s="25" t="str">
        <f>IF(Table26[[#This Row],[customerSKU]]="","",_xlfn.XLOOKUP(Table26[[#This Row],[customerSKU]],Table27[customer_SKU],Table27[product_GTIN],"",0,1))</f>
        <v/>
      </c>
      <c r="Z1947" s="25" t="s">
        <v>3519</v>
      </c>
      <c r="AA1947" s="18" t="str" cm="1">
        <f t="array" ref="AA1947">IF(P1947="", "", _xlfn.XLOOKUP(P1947,#REF!,#REF!,NA,0,-1))</f>
        <v/>
      </c>
      <c r="AB1947" s="22"/>
      <c r="AC1947" s="23" t="s">
        <v>68</v>
      </c>
      <c r="AD1947" s="23" t="str">
        <f>IF($AC1947="","",_xlfn.XLOOKUP($AC1947,'Client Info'!$C$2:$C$2497,'Client Info'!$D$2:$D$2497,"",0,1))</f>
        <v/>
      </c>
      <c r="AE1947" s="23" t="str">
        <f>IF($AC1947="","",_xlfn.XLOOKUP($AC1947,'Client Info'!$C$2:$C$2677,'Client Info'!$E$2:$E$2677,"",))</f>
        <v/>
      </c>
      <c r="AF1947" s="23" t="str">
        <f>IF($AC1947="","",_xlfn.XLOOKUP($AC1947,'Client Info'!$C$2:$C$2677,'Client Info'!$F$2:$F$2677,"",0,1))</f>
        <v/>
      </c>
      <c r="AG1947" s="23" t="s">
        <v>68</v>
      </c>
      <c r="AH1947" s="26" t="str">
        <f>_xlfn.XLOOKUP(Table26[[#This Row],[customerSKU]],customerSKU!G:G,customerSKU!K:K,"NA",0,1)</f>
        <v>NA</v>
      </c>
      <c r="AI1947" s="43" t="str">
        <f>_xlfn.XLOOKUP(Table26[[#This Row],[customerSKU]],customerSKU!G:G,customerSKU!O:O,"not found",0,1)</f>
        <v>not found</v>
      </c>
      <c r="AJ1947" s="22" t="e">
        <f>Table26[[#This Row],[unitprice]]*Table26[[#This Row],[quantity_unit]]</f>
        <v>#VALUE!</v>
      </c>
      <c r="AK1947" s="227" t="e" cm="1">
        <f t="array" ref="AK19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7" s="227"/>
    </row>
    <row r="1948" spans="1:38" ht="18" customHeight="1">
      <c r="A1948" s="42">
        <v>281</v>
      </c>
      <c r="B1948" s="42" t="s">
        <v>3520</v>
      </c>
      <c r="C1948" s="53" t="s">
        <v>3427</v>
      </c>
      <c r="E1948" s="20"/>
      <c r="F19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8" s="93"/>
      <c r="I1948" s="203">
        <v>45838</v>
      </c>
      <c r="J1948" s="90" t="str">
        <f>IF(Table26[[#This Row],[customerSKU]]="","",_xlfn.XLOOKUP(Table26[[#This Row],[customerSKU]],customerSKU!G:G,customerSKU!A:A,"",0,1))</f>
        <v/>
      </c>
      <c r="K1948" s="232">
        <v>45841</v>
      </c>
      <c r="L1948" s="49" t="str">
        <f>IF(Table26[[#This Row],[customerSKU]]="","",_xlfn.XLOOKUP(Table26[[#This Row],[customerSKU]],customerSKU!G:G,customerSKU!B:B,"",0,1))</f>
        <v/>
      </c>
      <c r="M1948" s="22"/>
      <c r="N1948" s="15" t="str">
        <f>Table26[[#This Row],[po_number]]&amp;"-"&amp;Table26[[#This Row],[po_line]]</f>
        <v>-4</v>
      </c>
      <c r="O1948" s="15">
        <v>4</v>
      </c>
      <c r="P1948" s="50"/>
      <c r="Q1948" s="22" t="s">
        <v>828</v>
      </c>
      <c r="R1948" s="22" t="s">
        <v>532</v>
      </c>
      <c r="S1948" s="90" t="s">
        <v>13</v>
      </c>
      <c r="T1948" s="20">
        <v>45735</v>
      </c>
      <c r="U1948" s="94">
        <v>24</v>
      </c>
      <c r="V1948" s="22" t="str">
        <f>IF(ISBLANK(Table26[[#This Row],[customerSKU]]),"",_xlfn.XLOOKUP(Table26[[#This Row],[customerSKU]],Table27[customer_SKU],Table27[case_size],"",0,1))</f>
        <v/>
      </c>
      <c r="W1948" s="117" t="str">
        <f t="shared" si="79"/>
        <v/>
      </c>
      <c r="X1948" s="22" t="str">
        <f t="shared" si="78"/>
        <v/>
      </c>
      <c r="Y1948" s="25" t="str">
        <f>IF(Table26[[#This Row],[customerSKU]]="","",_xlfn.XLOOKUP(Table26[[#This Row],[customerSKU]],Table27[customer_SKU],Table27[product_GTIN],"",0,1))</f>
        <v/>
      </c>
      <c r="Z1948" s="25" t="s">
        <v>3602</v>
      </c>
      <c r="AA1948" s="18" t="str" cm="1">
        <f t="array" ref="AA1948">IF(P1948="", "", _xlfn.XLOOKUP(P1948,#REF!,#REF!,NA,0,-1))</f>
        <v/>
      </c>
      <c r="AB1948" s="22"/>
      <c r="AC1948" s="23" t="s">
        <v>68</v>
      </c>
      <c r="AD1948" s="23" t="str">
        <f>IF($AC1948="","",_xlfn.XLOOKUP($AC1948,'Client Info'!$C$2:$C$2497,'Client Info'!$D$2:$D$2497,"",0,1))</f>
        <v/>
      </c>
      <c r="AE1948" s="23" t="str">
        <f>IF($AC1948="","",_xlfn.XLOOKUP($AC1948,'Client Info'!$C$2:$C$2677,'Client Info'!$E$2:$E$2677,"",))</f>
        <v/>
      </c>
      <c r="AF1948" s="23" t="str">
        <f>IF($AC1948="","",_xlfn.XLOOKUP($AC1948,'Client Info'!$C$2:$C$2677,'Client Info'!$F$2:$F$2677,"",0,1))</f>
        <v/>
      </c>
      <c r="AG1948" s="23" t="s">
        <v>68</v>
      </c>
      <c r="AH1948" s="26" t="str">
        <f>_xlfn.XLOOKUP(Table26[[#This Row],[customerSKU]],customerSKU!G:G,customerSKU!K:K,"NA",0,1)</f>
        <v>NA</v>
      </c>
      <c r="AI1948" s="43" t="str">
        <f>_xlfn.XLOOKUP(Table26[[#This Row],[customerSKU]],customerSKU!G:G,customerSKU!O:O,"not found",0,1)</f>
        <v>not found</v>
      </c>
      <c r="AJ1948" s="22" t="e">
        <f>Table26[[#This Row],[unitprice]]*Table26[[#This Row],[quantity_unit]]</f>
        <v>#VALUE!</v>
      </c>
      <c r="AK1948" s="227" t="e" cm="1">
        <f t="array" ref="AK19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8" s="227"/>
    </row>
    <row r="1949" spans="1:38" ht="18" customHeight="1">
      <c r="A1949" s="42">
        <v>282</v>
      </c>
      <c r="B1949" s="42" t="s">
        <v>3520</v>
      </c>
      <c r="C1949" s="53" t="s">
        <v>3427</v>
      </c>
      <c r="E1949" s="20"/>
      <c r="F19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49" s="93"/>
      <c r="I1949" s="203">
        <v>45838</v>
      </c>
      <c r="J1949" s="90" t="str">
        <f>IF(Table26[[#This Row],[customerSKU]]="","",_xlfn.XLOOKUP(Table26[[#This Row],[customerSKU]],customerSKU!G:G,customerSKU!A:A,"",0,1))</f>
        <v/>
      </c>
      <c r="K1949" s="232">
        <v>45841</v>
      </c>
      <c r="L1949" s="49" t="str">
        <f>IF(Table26[[#This Row],[customerSKU]]="","",_xlfn.XLOOKUP(Table26[[#This Row],[customerSKU]],customerSKU!G:G,customerSKU!B:B,"",0,1))</f>
        <v/>
      </c>
      <c r="M1949" s="22"/>
      <c r="N1949" s="15" t="str">
        <f>Table26[[#This Row],[po_number]]&amp;"-"&amp;Table26[[#This Row],[po_line]]</f>
        <v>-5</v>
      </c>
      <c r="O1949" s="15">
        <v>5</v>
      </c>
      <c r="P1949" s="50"/>
      <c r="Q1949" s="22" t="s">
        <v>587</v>
      </c>
      <c r="R1949" s="22" t="s">
        <v>532</v>
      </c>
      <c r="S1949" s="90" t="s">
        <v>13</v>
      </c>
      <c r="T1949" s="20">
        <v>45841</v>
      </c>
      <c r="U1949" s="94">
        <v>20</v>
      </c>
      <c r="V1949" s="22" t="str">
        <f>IF(ISBLANK(Table26[[#This Row],[customerSKU]]),"",_xlfn.XLOOKUP(Table26[[#This Row],[customerSKU]],Table27[customer_SKU],Table27[case_size],"",0,1))</f>
        <v/>
      </c>
      <c r="W1949" s="117" t="str">
        <f t="shared" si="79"/>
        <v/>
      </c>
      <c r="X1949" s="22" t="str">
        <f t="shared" si="78"/>
        <v/>
      </c>
      <c r="Y1949" s="25" t="str">
        <f>IF(Table26[[#This Row],[customerSKU]]="","",_xlfn.XLOOKUP(Table26[[#This Row],[customerSKU]],Table27[customer_SKU],Table27[product_GTIN],"",0,1))</f>
        <v/>
      </c>
      <c r="Z1949" s="25" t="s">
        <v>3550</v>
      </c>
      <c r="AA1949" s="18" t="str" cm="1">
        <f t="array" ref="AA1949">IF(P1949="", "", _xlfn.XLOOKUP(P1949,#REF!,#REF!,NA,0,-1))</f>
        <v/>
      </c>
      <c r="AB1949" s="22"/>
      <c r="AC1949" s="23" t="s">
        <v>68</v>
      </c>
      <c r="AD1949" s="23" t="str">
        <f>IF($AC1949="","",_xlfn.XLOOKUP($AC1949,'Client Info'!$C$2:$C$2497,'Client Info'!$D$2:$D$2497,"",0,1))</f>
        <v/>
      </c>
      <c r="AE1949" s="23" t="str">
        <f>IF($AC1949="","",_xlfn.XLOOKUP($AC1949,'Client Info'!$C$2:$C$2677,'Client Info'!$E$2:$E$2677,"",))</f>
        <v/>
      </c>
      <c r="AF1949" s="23" t="str">
        <f>IF($AC1949="","",_xlfn.XLOOKUP($AC1949,'Client Info'!$C$2:$C$2677,'Client Info'!$F$2:$F$2677,"",0,1))</f>
        <v/>
      </c>
      <c r="AG1949" s="23" t="s">
        <v>68</v>
      </c>
      <c r="AH1949" s="26" t="str">
        <f>_xlfn.XLOOKUP(Table26[[#This Row],[customerSKU]],customerSKU!G:G,customerSKU!K:K,"NA",0,1)</f>
        <v>NA</v>
      </c>
      <c r="AI1949" s="43" t="str">
        <f>_xlfn.XLOOKUP(Table26[[#This Row],[customerSKU]],customerSKU!G:G,customerSKU!O:O,"not found",0,1)</f>
        <v>not found</v>
      </c>
      <c r="AJ1949" s="22" t="e">
        <f>Table26[[#This Row],[unitprice]]*Table26[[#This Row],[quantity_unit]]</f>
        <v>#VALUE!</v>
      </c>
      <c r="AK1949" s="227" t="e" cm="1">
        <f t="array" ref="AK19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49" s="227"/>
    </row>
    <row r="1950" spans="1:38" ht="18" customHeight="1">
      <c r="A1950" s="42">
        <v>283</v>
      </c>
      <c r="B1950" s="42" t="s">
        <v>3520</v>
      </c>
      <c r="C1950" s="53" t="s">
        <v>3427</v>
      </c>
      <c r="E1950" s="20"/>
      <c r="F19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0" s="93"/>
      <c r="I1950" s="203">
        <v>45838</v>
      </c>
      <c r="J1950" s="90" t="str">
        <f>IF(Table26[[#This Row],[customerSKU]]="","",_xlfn.XLOOKUP(Table26[[#This Row],[customerSKU]],customerSKU!G:G,customerSKU!A:A,"",0,1))</f>
        <v/>
      </c>
      <c r="K1950" s="232">
        <v>45841</v>
      </c>
      <c r="L1950" s="49" t="str">
        <f>IF(Table26[[#This Row],[customerSKU]]="","",_xlfn.XLOOKUP(Table26[[#This Row],[customerSKU]],customerSKU!G:G,customerSKU!B:B,"",0,1))</f>
        <v/>
      </c>
      <c r="M1950" s="22"/>
      <c r="N1950" s="15" t="str">
        <f>Table26[[#This Row],[po_number]]&amp;"-"&amp;Table26[[#This Row],[po_line]]</f>
        <v>-6</v>
      </c>
      <c r="O1950" s="15">
        <v>6</v>
      </c>
      <c r="P1950" s="50"/>
      <c r="Q1950" s="22" t="s">
        <v>551</v>
      </c>
      <c r="R1950" s="22" t="s">
        <v>532</v>
      </c>
      <c r="S1950" s="90" t="s">
        <v>13</v>
      </c>
      <c r="T1950" s="20">
        <v>45841</v>
      </c>
      <c r="U1950" s="94">
        <v>2</v>
      </c>
      <c r="V1950" s="22" t="str">
        <f>IF(ISBLANK(Table26[[#This Row],[customerSKU]]),"",_xlfn.XLOOKUP(Table26[[#This Row],[customerSKU]],Table27[customer_SKU],Table27[case_size],"",0,1))</f>
        <v/>
      </c>
      <c r="W1950" s="117" t="str">
        <f t="shared" si="79"/>
        <v/>
      </c>
      <c r="X1950" s="22" t="str">
        <f t="shared" si="78"/>
        <v/>
      </c>
      <c r="Y1950" s="25" t="str">
        <f>IF(Table26[[#This Row],[customerSKU]]="","",_xlfn.XLOOKUP(Table26[[#This Row],[customerSKU]],Table27[customer_SKU],Table27[product_GTIN],"",0,1))</f>
        <v/>
      </c>
      <c r="Z1950" s="25" t="s">
        <v>3550</v>
      </c>
      <c r="AA1950" s="18" t="str" cm="1">
        <f t="array" ref="AA1950">IF(P1950="", "", _xlfn.XLOOKUP(P1950,#REF!,#REF!,NA,0,-1))</f>
        <v/>
      </c>
      <c r="AB1950" s="22"/>
      <c r="AC1950" s="23" t="s">
        <v>68</v>
      </c>
      <c r="AD1950" s="23" t="str">
        <f>IF($AC1950="","",_xlfn.XLOOKUP($AC1950,'Client Info'!$C$2:$C$2497,'Client Info'!$D$2:$D$2497,"",0,1))</f>
        <v/>
      </c>
      <c r="AE1950" s="23" t="str">
        <f>IF($AC1950="","",_xlfn.XLOOKUP($AC1950,'Client Info'!$C$2:$C$2677,'Client Info'!$E$2:$E$2677,"",))</f>
        <v/>
      </c>
      <c r="AF1950" s="23" t="str">
        <f>IF($AC1950="","",_xlfn.XLOOKUP($AC1950,'Client Info'!$C$2:$C$2677,'Client Info'!$F$2:$F$2677,"",0,1))</f>
        <v/>
      </c>
      <c r="AG1950" s="23" t="s">
        <v>68</v>
      </c>
      <c r="AH1950" s="26" t="str">
        <f>_xlfn.XLOOKUP(Table26[[#This Row],[customerSKU]],customerSKU!G:G,customerSKU!K:K,"NA",0,1)</f>
        <v>NA</v>
      </c>
      <c r="AI1950" s="43" t="str">
        <f>_xlfn.XLOOKUP(Table26[[#This Row],[customerSKU]],customerSKU!G:G,customerSKU!O:O,"not found",0,1)</f>
        <v>not found</v>
      </c>
      <c r="AJ1950" s="22" t="e">
        <f>Table26[[#This Row],[unitprice]]*Table26[[#This Row],[quantity_unit]]</f>
        <v>#VALUE!</v>
      </c>
      <c r="AK1950" s="227" t="e" cm="1">
        <f t="array" ref="AK19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0" s="227"/>
    </row>
    <row r="1951" spans="1:38" ht="18" customHeight="1">
      <c r="A1951" s="42">
        <v>284</v>
      </c>
      <c r="B1951" s="42" t="s">
        <v>3520</v>
      </c>
      <c r="C1951" s="53" t="s">
        <v>3427</v>
      </c>
      <c r="E1951" s="20"/>
      <c r="F19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1" s="93"/>
      <c r="I1951" s="203">
        <v>45838</v>
      </c>
      <c r="J1951" s="90" t="str">
        <f>IF(Table26[[#This Row],[customerSKU]]="","",_xlfn.XLOOKUP(Table26[[#This Row],[customerSKU]],customerSKU!G:G,customerSKU!A:A,"",0,1))</f>
        <v/>
      </c>
      <c r="K1951" s="232">
        <v>45841</v>
      </c>
      <c r="L1951" s="49" t="str">
        <f>IF(Table26[[#This Row],[customerSKU]]="","",_xlfn.XLOOKUP(Table26[[#This Row],[customerSKU]],customerSKU!G:G,customerSKU!B:B,"",0,1))</f>
        <v/>
      </c>
      <c r="M1951" s="22"/>
      <c r="N1951" s="15" t="str">
        <f>Table26[[#This Row],[po_number]]&amp;"-"&amp;Table26[[#This Row],[po_line]]</f>
        <v>-7</v>
      </c>
      <c r="O1951" s="15">
        <v>7</v>
      </c>
      <c r="P1951" s="50"/>
      <c r="Q1951" s="22" t="s">
        <v>587</v>
      </c>
      <c r="R1951" s="22" t="s">
        <v>532</v>
      </c>
      <c r="S1951" s="90" t="s">
        <v>13</v>
      </c>
      <c r="T1951" s="20">
        <v>45742</v>
      </c>
      <c r="U1951" s="94">
        <v>2</v>
      </c>
      <c r="V1951" s="22" t="str">
        <f>IF(ISBLANK(Table26[[#This Row],[customerSKU]]),"",_xlfn.XLOOKUP(Table26[[#This Row],[customerSKU]],Table27[customer_SKU],Table27[case_size],"",0,1))</f>
        <v/>
      </c>
      <c r="W1951" s="117" t="str">
        <f t="shared" si="79"/>
        <v/>
      </c>
      <c r="X1951" s="22" t="str">
        <f t="shared" si="78"/>
        <v/>
      </c>
      <c r="Y1951" s="25" t="str">
        <f>IF(Table26[[#This Row],[customerSKU]]="","",_xlfn.XLOOKUP(Table26[[#This Row],[customerSKU]],Table27[customer_SKU],Table27[product_GTIN],"",0,1))</f>
        <v/>
      </c>
      <c r="Z1951" s="25" t="s">
        <v>3550</v>
      </c>
      <c r="AA1951" s="18" t="str" cm="1">
        <f t="array" ref="AA1951">IF(P1951="", "", _xlfn.XLOOKUP(P1951,#REF!,#REF!,NA,0,-1))</f>
        <v/>
      </c>
      <c r="AB1951" s="22"/>
      <c r="AC1951" s="23" t="s">
        <v>68</v>
      </c>
      <c r="AD1951" s="23" t="str">
        <f>IF($AC1951="","",_xlfn.XLOOKUP($AC1951,'Client Info'!$C$2:$C$2497,'Client Info'!$D$2:$D$2497,"",0,1))</f>
        <v/>
      </c>
      <c r="AE1951" s="23" t="str">
        <f>IF($AC1951="","",_xlfn.XLOOKUP($AC1951,'Client Info'!$C$2:$C$2677,'Client Info'!$E$2:$E$2677,"",))</f>
        <v/>
      </c>
      <c r="AF1951" s="23" t="str">
        <f>IF($AC1951="","",_xlfn.XLOOKUP($AC1951,'Client Info'!$C$2:$C$2677,'Client Info'!$F$2:$F$2677,"",0,1))</f>
        <v/>
      </c>
      <c r="AG1951" s="23" t="s">
        <v>68</v>
      </c>
      <c r="AH1951" s="26" t="str">
        <f>_xlfn.XLOOKUP(Table26[[#This Row],[customerSKU]],customerSKU!G:G,customerSKU!K:K,"NA",0,1)</f>
        <v>NA</v>
      </c>
      <c r="AI1951" s="43" t="str">
        <f>_xlfn.XLOOKUP(Table26[[#This Row],[customerSKU]],customerSKU!G:G,customerSKU!O:O,"not found",0,1)</f>
        <v>not found</v>
      </c>
      <c r="AJ1951" s="22" t="e">
        <f>Table26[[#This Row],[unitprice]]*Table26[[#This Row],[quantity_unit]]</f>
        <v>#VALUE!</v>
      </c>
      <c r="AK1951" s="227" t="e" cm="1">
        <f t="array" ref="AK19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1" s="227"/>
    </row>
    <row r="1952" spans="1:38" ht="18" customHeight="1">
      <c r="A1952" s="42">
        <v>285</v>
      </c>
      <c r="B1952" s="42" t="s">
        <v>3520</v>
      </c>
      <c r="C1952" s="53" t="s">
        <v>3427</v>
      </c>
      <c r="E1952" s="20"/>
      <c r="F19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2" s="93"/>
      <c r="I1952" s="203">
        <v>45838</v>
      </c>
      <c r="J1952" s="90" t="str">
        <f>IF(Table26[[#This Row],[customerSKU]]="","",_xlfn.XLOOKUP(Table26[[#This Row],[customerSKU]],customerSKU!G:G,customerSKU!A:A,"",0,1))</f>
        <v/>
      </c>
      <c r="K1952" s="232">
        <v>45841</v>
      </c>
      <c r="L1952" s="49" t="str">
        <f>IF(Table26[[#This Row],[customerSKU]]="","",_xlfn.XLOOKUP(Table26[[#This Row],[customerSKU]],customerSKU!G:G,customerSKU!B:B,"",0,1))</f>
        <v/>
      </c>
      <c r="M1952" s="22"/>
      <c r="N1952" s="15" t="str">
        <f>Table26[[#This Row],[po_number]]&amp;"-"&amp;Table26[[#This Row],[po_line]]</f>
        <v>-8</v>
      </c>
      <c r="O1952" s="15">
        <v>8</v>
      </c>
      <c r="P1952" s="50"/>
      <c r="Q1952" s="22" t="s">
        <v>869</v>
      </c>
      <c r="R1952" s="22" t="s">
        <v>532</v>
      </c>
      <c r="S1952" s="90" t="s">
        <v>13</v>
      </c>
      <c r="T1952" s="20">
        <v>45841</v>
      </c>
      <c r="U1952" s="94">
        <v>24</v>
      </c>
      <c r="V1952" s="22" t="str">
        <f>IF(ISBLANK(Table26[[#This Row],[customerSKU]]),"",_xlfn.XLOOKUP(Table26[[#This Row],[customerSKU]],Table27[customer_SKU],Table27[case_size],"",0,1))</f>
        <v/>
      </c>
      <c r="W1952" s="117" t="str">
        <f t="shared" si="79"/>
        <v/>
      </c>
      <c r="X1952" s="22" t="str">
        <f t="shared" si="78"/>
        <v/>
      </c>
      <c r="Y1952" s="25" t="str">
        <f>IF(Table26[[#This Row],[customerSKU]]="","",_xlfn.XLOOKUP(Table26[[#This Row],[customerSKU]],Table27[customer_SKU],Table27[product_GTIN],"",0,1))</f>
        <v/>
      </c>
      <c r="Z1952" s="25" t="s">
        <v>3610</v>
      </c>
      <c r="AA1952" s="18" t="str" cm="1">
        <f t="array" ref="AA1952">IF(P1952="", "", _xlfn.XLOOKUP(P1952,#REF!,#REF!,NA,0,-1))</f>
        <v/>
      </c>
      <c r="AB1952" s="22"/>
      <c r="AC1952" s="23" t="s">
        <v>68</v>
      </c>
      <c r="AD1952" s="23" t="str">
        <f>IF($AC1952="","",_xlfn.XLOOKUP($AC1952,'Client Info'!$C$2:$C$2497,'Client Info'!$D$2:$D$2497,"",0,1))</f>
        <v/>
      </c>
      <c r="AE1952" s="23" t="str">
        <f>IF($AC1952="","",_xlfn.XLOOKUP($AC1952,'Client Info'!$C$2:$C$2677,'Client Info'!$E$2:$E$2677,"",))</f>
        <v/>
      </c>
      <c r="AF1952" s="23" t="str">
        <f>IF($AC1952="","",_xlfn.XLOOKUP($AC1952,'Client Info'!$C$2:$C$2677,'Client Info'!$F$2:$F$2677,"",0,1))</f>
        <v/>
      </c>
      <c r="AG1952" s="23" t="s">
        <v>68</v>
      </c>
      <c r="AH1952" s="26" t="str">
        <f>_xlfn.XLOOKUP(Table26[[#This Row],[customerSKU]],customerSKU!G:G,customerSKU!K:K,"NA",0,1)</f>
        <v>NA</v>
      </c>
      <c r="AI1952" s="43" t="str">
        <f>_xlfn.XLOOKUP(Table26[[#This Row],[customerSKU]],customerSKU!G:G,customerSKU!O:O,"not found",0,1)</f>
        <v>not found</v>
      </c>
      <c r="AJ1952" s="22" t="e">
        <f>Table26[[#This Row],[unitprice]]*Table26[[#This Row],[quantity_unit]]</f>
        <v>#VALUE!</v>
      </c>
      <c r="AK1952" s="227" t="e" cm="1">
        <f t="array" ref="AK19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2" s="227"/>
    </row>
    <row r="1953" spans="1:38" ht="18" customHeight="1">
      <c r="A1953" s="42">
        <v>286</v>
      </c>
      <c r="B1953" s="42" t="s">
        <v>3520</v>
      </c>
      <c r="C1953" s="53" t="s">
        <v>3427</v>
      </c>
      <c r="E1953" s="20"/>
      <c r="F19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3" s="93"/>
      <c r="I1953" s="203">
        <v>45838</v>
      </c>
      <c r="J1953" s="90" t="str">
        <f>IF(Table26[[#This Row],[customerSKU]]="","",_xlfn.XLOOKUP(Table26[[#This Row],[customerSKU]],customerSKU!G:G,customerSKU!A:A,"",0,1))</f>
        <v/>
      </c>
      <c r="K1953" s="232">
        <v>45841</v>
      </c>
      <c r="L1953" s="49" t="str">
        <f>IF(Table26[[#This Row],[customerSKU]]="","",_xlfn.XLOOKUP(Table26[[#This Row],[customerSKU]],customerSKU!G:G,customerSKU!B:B,"",0,1))</f>
        <v/>
      </c>
      <c r="M1953" s="22"/>
      <c r="N1953" s="15" t="str">
        <f>Table26[[#This Row],[po_number]]&amp;"-"&amp;Table26[[#This Row],[po_line]]</f>
        <v>-9</v>
      </c>
      <c r="O1953" s="15">
        <v>9</v>
      </c>
      <c r="P1953" s="50"/>
      <c r="Q1953" s="22" t="s">
        <v>591</v>
      </c>
      <c r="R1953" s="22" t="s">
        <v>532</v>
      </c>
      <c r="S1953" s="90" t="s">
        <v>13</v>
      </c>
      <c r="T1953" s="20">
        <v>45821</v>
      </c>
      <c r="U1953" s="94">
        <v>12</v>
      </c>
      <c r="V1953" s="22" t="str">
        <f>IF(ISBLANK(Table26[[#This Row],[customerSKU]]),"",_xlfn.XLOOKUP(Table26[[#This Row],[customerSKU]],Table27[customer_SKU],Table27[case_size],"",0,1))</f>
        <v/>
      </c>
      <c r="W1953" s="117" t="str">
        <f t="shared" si="79"/>
        <v/>
      </c>
      <c r="X1953" s="22" t="str">
        <f t="shared" si="78"/>
        <v/>
      </c>
      <c r="Y1953" s="25" t="str">
        <f>IF(Table26[[#This Row],[customerSKU]]="","",_xlfn.XLOOKUP(Table26[[#This Row],[customerSKU]],Table27[customer_SKU],Table27[product_GTIN],"",0,1))</f>
        <v/>
      </c>
      <c r="Z1953" s="25" t="s">
        <v>3525</v>
      </c>
      <c r="AA1953" s="18" t="str" cm="1">
        <f t="array" ref="AA1953">IF(P1953="", "", _xlfn.XLOOKUP(P1953,#REF!,#REF!,NA,0,-1))</f>
        <v/>
      </c>
      <c r="AB1953" s="22"/>
      <c r="AC1953" s="23" t="s">
        <v>68</v>
      </c>
      <c r="AD1953" s="23" t="str">
        <f>IF($AC1953="","",_xlfn.XLOOKUP($AC1953,'Client Info'!$C$2:$C$2497,'Client Info'!$D$2:$D$2497,"",0,1))</f>
        <v/>
      </c>
      <c r="AE1953" s="23" t="str">
        <f>IF($AC1953="","",_xlfn.XLOOKUP($AC1953,'Client Info'!$C$2:$C$2677,'Client Info'!$E$2:$E$2677,"",))</f>
        <v/>
      </c>
      <c r="AF1953" s="23" t="str">
        <f>IF($AC1953="","",_xlfn.XLOOKUP($AC1953,'Client Info'!$C$2:$C$2677,'Client Info'!$F$2:$F$2677,"",0,1))</f>
        <v/>
      </c>
      <c r="AG1953" s="23" t="s">
        <v>68</v>
      </c>
      <c r="AH1953" s="26" t="str">
        <f>_xlfn.XLOOKUP(Table26[[#This Row],[customerSKU]],customerSKU!G:G,customerSKU!K:K,"NA",0,1)</f>
        <v>NA</v>
      </c>
      <c r="AI1953" s="43" t="str">
        <f>_xlfn.XLOOKUP(Table26[[#This Row],[customerSKU]],customerSKU!G:G,customerSKU!O:O,"not found",0,1)</f>
        <v>not found</v>
      </c>
      <c r="AJ1953" s="22" t="e">
        <f>Table26[[#This Row],[unitprice]]*Table26[[#This Row],[quantity_unit]]</f>
        <v>#VALUE!</v>
      </c>
      <c r="AK1953" s="227" t="e" cm="1">
        <f t="array" ref="AK19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3" s="227"/>
    </row>
    <row r="1954" spans="1:38" ht="18" customHeight="1">
      <c r="A1954" s="42">
        <v>287</v>
      </c>
      <c r="B1954" s="42" t="s">
        <v>3520</v>
      </c>
      <c r="C1954" s="53" t="s">
        <v>3427</v>
      </c>
      <c r="E1954" s="20"/>
      <c r="F19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4" s="93"/>
      <c r="I1954" s="203">
        <v>45838</v>
      </c>
      <c r="J1954" s="90" t="str">
        <f>IF(Table26[[#This Row],[customerSKU]]="","",_xlfn.XLOOKUP(Table26[[#This Row],[customerSKU]],customerSKU!G:G,customerSKU!A:A,"",0,1))</f>
        <v/>
      </c>
      <c r="K1954" s="232">
        <v>45841</v>
      </c>
      <c r="L1954" s="49" t="str">
        <f>IF(Table26[[#This Row],[customerSKU]]="","",_xlfn.XLOOKUP(Table26[[#This Row],[customerSKU]],customerSKU!G:G,customerSKU!B:B,"",0,1))</f>
        <v/>
      </c>
      <c r="M1954" s="22"/>
      <c r="N1954" s="15" t="str">
        <f>Table26[[#This Row],[po_number]]&amp;"-"&amp;Table26[[#This Row],[po_line]]</f>
        <v>-10</v>
      </c>
      <c r="O1954" s="15">
        <v>10</v>
      </c>
      <c r="P1954" s="50"/>
      <c r="Q1954" s="22" t="s">
        <v>1829</v>
      </c>
      <c r="R1954" s="22" t="s">
        <v>532</v>
      </c>
      <c r="S1954" s="90" t="s">
        <v>13</v>
      </c>
      <c r="T1954" s="20">
        <v>45826</v>
      </c>
      <c r="U1954" s="94">
        <v>12</v>
      </c>
      <c r="V1954" s="22" t="str">
        <f>IF(ISBLANK(Table26[[#This Row],[customerSKU]]),"",_xlfn.XLOOKUP(Table26[[#This Row],[customerSKU]],Table27[customer_SKU],Table27[case_size],"",0,1))</f>
        <v/>
      </c>
      <c r="W1954" s="117" t="str">
        <f t="shared" si="79"/>
        <v/>
      </c>
      <c r="X1954" s="22" t="str">
        <f t="shared" si="78"/>
        <v/>
      </c>
      <c r="Y1954" s="25" t="str">
        <f>IF(Table26[[#This Row],[customerSKU]]="","",_xlfn.XLOOKUP(Table26[[#This Row],[customerSKU]],Table27[customer_SKU],Table27[product_GTIN],"",0,1))</f>
        <v/>
      </c>
      <c r="Z1954" s="25" t="s">
        <v>3522</v>
      </c>
      <c r="AA1954" s="18" t="str" cm="1">
        <f t="array" ref="AA1954">IF(P1954="", "", _xlfn.XLOOKUP(P1954,#REF!,#REF!,NA,0,-1))</f>
        <v/>
      </c>
      <c r="AB1954" s="22"/>
      <c r="AC1954" s="23" t="s">
        <v>68</v>
      </c>
      <c r="AD1954" s="23" t="str">
        <f>IF($AC1954="","",_xlfn.XLOOKUP($AC1954,'Client Info'!$C$2:$C$2497,'Client Info'!$D$2:$D$2497,"",0,1))</f>
        <v/>
      </c>
      <c r="AE1954" s="23" t="str">
        <f>IF($AC1954="","",_xlfn.XLOOKUP($AC1954,'Client Info'!$C$2:$C$2677,'Client Info'!$E$2:$E$2677,"",))</f>
        <v/>
      </c>
      <c r="AF1954" s="23" t="str">
        <f>IF($AC1954="","",_xlfn.XLOOKUP($AC1954,'Client Info'!$C$2:$C$2677,'Client Info'!$F$2:$F$2677,"",0,1))</f>
        <v/>
      </c>
      <c r="AG1954" s="23" t="s">
        <v>68</v>
      </c>
      <c r="AH1954" s="26" t="str">
        <f>_xlfn.XLOOKUP(Table26[[#This Row],[customerSKU]],customerSKU!G:G,customerSKU!K:K,"NA",0,1)</f>
        <v>NA</v>
      </c>
      <c r="AI1954" s="43" t="str">
        <f>_xlfn.XLOOKUP(Table26[[#This Row],[customerSKU]],customerSKU!G:G,customerSKU!O:O,"not found",0,1)</f>
        <v>not found</v>
      </c>
      <c r="AJ1954" s="22" t="e">
        <f>Table26[[#This Row],[unitprice]]*Table26[[#This Row],[quantity_unit]]</f>
        <v>#VALUE!</v>
      </c>
      <c r="AK1954" s="227" t="e" cm="1">
        <f t="array" ref="AK19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4" s="227"/>
    </row>
    <row r="1955" spans="1:38" ht="18" customHeight="1">
      <c r="A1955" s="42">
        <v>288</v>
      </c>
      <c r="B1955" s="42" t="s">
        <v>3520</v>
      </c>
      <c r="C1955" s="53" t="s">
        <v>3427</v>
      </c>
      <c r="E1955" s="20"/>
      <c r="F19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5" s="93"/>
      <c r="I1955" s="203">
        <v>45838</v>
      </c>
      <c r="J1955" s="90" t="str">
        <f>IF(Table26[[#This Row],[customerSKU]]="","",_xlfn.XLOOKUP(Table26[[#This Row],[customerSKU]],customerSKU!G:G,customerSKU!A:A,"",0,1))</f>
        <v/>
      </c>
      <c r="K1955" s="232">
        <v>45841</v>
      </c>
      <c r="L1955" s="49" t="str">
        <f>IF(Table26[[#This Row],[customerSKU]]="","",_xlfn.XLOOKUP(Table26[[#This Row],[customerSKU]],customerSKU!G:G,customerSKU!B:B,"",0,1))</f>
        <v/>
      </c>
      <c r="M1955" s="22"/>
      <c r="N1955" s="15" t="str">
        <f>Table26[[#This Row],[po_number]]&amp;"-"&amp;Table26[[#This Row],[po_line]]</f>
        <v>-11</v>
      </c>
      <c r="O1955" s="15">
        <v>11</v>
      </c>
      <c r="P1955" s="50"/>
      <c r="Q1955" s="22" t="s">
        <v>531</v>
      </c>
      <c r="R1955" s="22" t="s">
        <v>532</v>
      </c>
      <c r="S1955" s="90" t="s">
        <v>13</v>
      </c>
      <c r="T1955" s="20">
        <v>45841</v>
      </c>
      <c r="U1955" s="94">
        <v>12</v>
      </c>
      <c r="V1955" s="22" t="str">
        <f>IF(ISBLANK(Table26[[#This Row],[customerSKU]]),"",_xlfn.XLOOKUP(Table26[[#This Row],[customerSKU]],Table27[customer_SKU],Table27[case_size],"",0,1))</f>
        <v/>
      </c>
      <c r="W1955" s="117" t="str">
        <f t="shared" si="79"/>
        <v/>
      </c>
      <c r="X1955" s="22" t="str">
        <f t="shared" si="78"/>
        <v/>
      </c>
      <c r="Y1955" s="25" t="str">
        <f>IF(Table26[[#This Row],[customerSKU]]="","",_xlfn.XLOOKUP(Table26[[#This Row],[customerSKU]],Table27[customer_SKU],Table27[product_GTIN],"",0,1))</f>
        <v/>
      </c>
      <c r="Z1955" s="25" t="s">
        <v>3597</v>
      </c>
      <c r="AA1955" s="18" t="str" cm="1">
        <f t="array" ref="AA1955">IF(P1955="", "", _xlfn.XLOOKUP(P1955,#REF!,#REF!,NA,0,-1))</f>
        <v/>
      </c>
      <c r="AB1955" s="22" t="s">
        <v>18</v>
      </c>
      <c r="AC1955" s="23" t="s">
        <v>68</v>
      </c>
      <c r="AD1955" s="23" t="str">
        <f>IF($AC1955="","",_xlfn.XLOOKUP($AC1955,'Client Info'!$C$2:$C$2497,'Client Info'!$D$2:$D$2497,"",0,1))</f>
        <v/>
      </c>
      <c r="AE1955" s="23" t="str">
        <f>IF($AC1955="","",_xlfn.XLOOKUP($AC1955,'Client Info'!$C$2:$C$2677,'Client Info'!$E$2:$E$2677,"",))</f>
        <v/>
      </c>
      <c r="AF1955" s="23" t="str">
        <f>IF($AC1955="","",_xlfn.XLOOKUP($AC1955,'Client Info'!$C$2:$C$2677,'Client Info'!$F$2:$F$2677,"",0,1))</f>
        <v/>
      </c>
      <c r="AG1955" s="23" t="s">
        <v>68</v>
      </c>
      <c r="AH1955" s="26" t="str">
        <f>_xlfn.XLOOKUP(Table26[[#This Row],[customerSKU]],customerSKU!G:G,customerSKU!K:K,"NA",0,1)</f>
        <v>NA</v>
      </c>
      <c r="AI1955" s="43" t="str">
        <f>_xlfn.XLOOKUP(Table26[[#This Row],[customerSKU]],customerSKU!G:G,customerSKU!O:O,"not found",0,1)</f>
        <v>not found</v>
      </c>
      <c r="AJ1955" s="22" t="e">
        <f>Table26[[#This Row],[unitprice]]*Table26[[#This Row],[quantity_unit]]</f>
        <v>#VALUE!</v>
      </c>
      <c r="AK1955" s="227" t="e" cm="1">
        <f t="array" ref="AK19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5" s="227"/>
    </row>
    <row r="1956" spans="1:38" ht="18" customHeight="1">
      <c r="A1956" s="42">
        <v>289</v>
      </c>
      <c r="B1956" s="42" t="s">
        <v>3520</v>
      </c>
      <c r="C1956" s="53" t="s">
        <v>3427</v>
      </c>
      <c r="E1956" s="20"/>
      <c r="F19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6" s="93"/>
      <c r="I1956" s="203">
        <v>45838</v>
      </c>
      <c r="J1956" s="90" t="str">
        <f>IF(Table26[[#This Row],[customerSKU]]="","",_xlfn.XLOOKUP(Table26[[#This Row],[customerSKU]],customerSKU!G:G,customerSKU!A:A,"",0,1))</f>
        <v/>
      </c>
      <c r="K1956" s="232">
        <v>45841</v>
      </c>
      <c r="L1956" s="49" t="str">
        <f>IF(Table26[[#This Row],[customerSKU]]="","",_xlfn.XLOOKUP(Table26[[#This Row],[customerSKU]],customerSKU!G:G,customerSKU!B:B,"",0,1))</f>
        <v/>
      </c>
      <c r="M1956" s="22"/>
      <c r="N1956" s="15" t="str">
        <f>Table26[[#This Row],[po_number]]&amp;"-"&amp;Table26[[#This Row],[po_line]]</f>
        <v>-12</v>
      </c>
      <c r="O1956" s="15">
        <v>12</v>
      </c>
      <c r="P1956" s="50"/>
      <c r="Q1956" s="22" t="s">
        <v>574</v>
      </c>
      <c r="R1956" s="22" t="s">
        <v>532</v>
      </c>
      <c r="S1956" s="90" t="s">
        <v>13</v>
      </c>
      <c r="T1956" s="20">
        <v>45818</v>
      </c>
      <c r="U1956" s="94">
        <v>12</v>
      </c>
      <c r="V1956" s="22" t="str">
        <f>IF(ISBLANK(Table26[[#This Row],[customerSKU]]),"",_xlfn.XLOOKUP(Table26[[#This Row],[customerSKU]],Table27[customer_SKU],Table27[case_size],"",0,1))</f>
        <v/>
      </c>
      <c r="W1956" s="117" t="str">
        <f t="shared" si="79"/>
        <v/>
      </c>
      <c r="X1956" s="22" t="str">
        <f t="shared" si="78"/>
        <v/>
      </c>
      <c r="Y1956" s="25" t="str">
        <f>IF(Table26[[#This Row],[customerSKU]]="","",_xlfn.XLOOKUP(Table26[[#This Row],[customerSKU]],Table27[customer_SKU],Table27[product_GTIN],"",0,1))</f>
        <v/>
      </c>
      <c r="Z1956" s="25" t="s">
        <v>3530</v>
      </c>
      <c r="AA1956" s="18" t="str" cm="1">
        <f t="array" ref="AA1956">IF(P1956="", "", _xlfn.XLOOKUP(P1956,#REF!,#REF!,NA,0,-1))</f>
        <v/>
      </c>
      <c r="AB1956" s="22"/>
      <c r="AC1956" s="23" t="s">
        <v>68</v>
      </c>
      <c r="AD1956" s="23" t="str">
        <f>IF($AC1956="","",_xlfn.XLOOKUP($AC1956,'Client Info'!$C$2:$C$2497,'Client Info'!$D$2:$D$2497,"",0,1))</f>
        <v/>
      </c>
      <c r="AE1956" s="23" t="str">
        <f>IF($AC1956="","",_xlfn.XLOOKUP($AC1956,'Client Info'!$C$2:$C$2677,'Client Info'!$E$2:$E$2677,"",))</f>
        <v/>
      </c>
      <c r="AF1956" s="23" t="str">
        <f>IF($AC1956="","",_xlfn.XLOOKUP($AC1956,'Client Info'!$C$2:$C$2677,'Client Info'!$F$2:$F$2677,"",0,1))</f>
        <v/>
      </c>
      <c r="AG1956" s="23" t="s">
        <v>68</v>
      </c>
      <c r="AH1956" s="26" t="str">
        <f>_xlfn.XLOOKUP(Table26[[#This Row],[customerSKU]],customerSKU!G:G,customerSKU!K:K,"NA",0,1)</f>
        <v>NA</v>
      </c>
      <c r="AI1956" s="43" t="str">
        <f>_xlfn.XLOOKUP(Table26[[#This Row],[customerSKU]],customerSKU!G:G,customerSKU!O:O,"not found",0,1)</f>
        <v>not found</v>
      </c>
      <c r="AJ1956" s="22" t="e">
        <f>Table26[[#This Row],[unitprice]]*Table26[[#This Row],[quantity_unit]]</f>
        <v>#VALUE!</v>
      </c>
      <c r="AK1956" s="227" t="e" cm="1">
        <f t="array" ref="AK19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6" s="227"/>
    </row>
    <row r="1957" spans="1:38" ht="18" customHeight="1">
      <c r="A1957" s="42">
        <v>290</v>
      </c>
      <c r="B1957" s="42" t="s">
        <v>3520</v>
      </c>
      <c r="C1957" s="53" t="s">
        <v>3427</v>
      </c>
      <c r="E1957" s="20"/>
      <c r="F19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7" s="93"/>
      <c r="I1957" s="203">
        <v>45838</v>
      </c>
      <c r="J1957" s="90" t="str">
        <f>IF(Table26[[#This Row],[customerSKU]]="","",_xlfn.XLOOKUP(Table26[[#This Row],[customerSKU]],customerSKU!G:G,customerSKU!A:A,"",0,1))</f>
        <v/>
      </c>
      <c r="K1957" s="232">
        <v>45841</v>
      </c>
      <c r="L1957" s="49" t="str">
        <f>IF(Table26[[#This Row],[customerSKU]]="","",_xlfn.XLOOKUP(Table26[[#This Row],[customerSKU]],customerSKU!G:G,customerSKU!B:B,"",0,1))</f>
        <v/>
      </c>
      <c r="M1957" s="22"/>
      <c r="N1957" s="15" t="str">
        <f>Table26[[#This Row],[po_number]]&amp;"-"&amp;Table26[[#This Row],[po_line]]</f>
        <v>-13</v>
      </c>
      <c r="O1957" s="15">
        <v>13</v>
      </c>
      <c r="P1957" s="50"/>
      <c r="Q1957" s="22" t="s">
        <v>905</v>
      </c>
      <c r="R1957" s="22" t="s">
        <v>532</v>
      </c>
      <c r="S1957" s="90" t="s">
        <v>13</v>
      </c>
      <c r="T1957" s="20">
        <v>45575</v>
      </c>
      <c r="U1957" s="94">
        <v>12</v>
      </c>
      <c r="V1957" s="22" t="str">
        <f>IF(ISBLANK(Table26[[#This Row],[customerSKU]]),"",_xlfn.XLOOKUP(Table26[[#This Row],[customerSKU]],Table27[customer_SKU],Table27[case_size],"",0,1))</f>
        <v/>
      </c>
      <c r="W1957" s="117" t="str">
        <f t="shared" si="79"/>
        <v/>
      </c>
      <c r="X1957" s="22" t="str">
        <f t="shared" si="78"/>
        <v/>
      </c>
      <c r="Y1957" s="25" t="str">
        <f>IF(Table26[[#This Row],[customerSKU]]="","",_xlfn.XLOOKUP(Table26[[#This Row],[customerSKU]],Table27[customer_SKU],Table27[product_GTIN],"",0,1))</f>
        <v/>
      </c>
      <c r="Z1957" s="25" t="s">
        <v>3534</v>
      </c>
      <c r="AA1957" s="18" t="str" cm="1">
        <f t="array" ref="AA1957">IF(P1957="", "", _xlfn.XLOOKUP(P1957,#REF!,#REF!,NA,0,-1))</f>
        <v/>
      </c>
      <c r="AB1957" s="22"/>
      <c r="AC1957" s="23" t="s">
        <v>68</v>
      </c>
      <c r="AD1957" s="23" t="str">
        <f>IF($AC1957="","",_xlfn.XLOOKUP($AC1957,'Client Info'!$C$2:$C$2497,'Client Info'!$D$2:$D$2497,"",0,1))</f>
        <v/>
      </c>
      <c r="AE1957" s="23" t="str">
        <f>IF($AC1957="","",_xlfn.XLOOKUP($AC1957,'Client Info'!$C$2:$C$2677,'Client Info'!$E$2:$E$2677,"",))</f>
        <v/>
      </c>
      <c r="AF1957" s="23" t="str">
        <f>IF($AC1957="","",_xlfn.XLOOKUP($AC1957,'Client Info'!$C$2:$C$2677,'Client Info'!$F$2:$F$2677,"",0,1))</f>
        <v/>
      </c>
      <c r="AG1957" s="23" t="s">
        <v>68</v>
      </c>
      <c r="AH1957" s="26" t="str">
        <f>_xlfn.XLOOKUP(Table26[[#This Row],[customerSKU]],customerSKU!G:G,customerSKU!K:K,"NA",0,1)</f>
        <v>NA</v>
      </c>
      <c r="AI1957" s="43" t="str">
        <f>_xlfn.XLOOKUP(Table26[[#This Row],[customerSKU]],customerSKU!G:G,customerSKU!O:O,"not found",0,1)</f>
        <v>not found</v>
      </c>
      <c r="AJ1957" s="22" t="e">
        <f>Table26[[#This Row],[unitprice]]*Table26[[#This Row],[quantity_unit]]</f>
        <v>#VALUE!</v>
      </c>
      <c r="AK1957" s="227" t="e" cm="1">
        <f t="array" ref="AK19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7" s="227"/>
    </row>
    <row r="1958" spans="1:38" ht="24.6" customHeight="1">
      <c r="A1958" s="42">
        <v>291</v>
      </c>
      <c r="B1958" s="42" t="s">
        <v>3520</v>
      </c>
      <c r="C1958" s="53" t="s">
        <v>3427</v>
      </c>
      <c r="E1958" s="20"/>
      <c r="F19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8" s="93"/>
      <c r="I1958" s="203">
        <v>45838</v>
      </c>
      <c r="J1958" s="90" t="str">
        <f>IF(Table26[[#This Row],[customerSKU]]="","",_xlfn.XLOOKUP(Table26[[#This Row],[customerSKU]],customerSKU!G:G,customerSKU!A:A,"",0,1))</f>
        <v/>
      </c>
      <c r="K1958" s="232">
        <v>45841</v>
      </c>
      <c r="L1958" s="49" t="str">
        <f>IF(Table26[[#This Row],[customerSKU]]="","",_xlfn.XLOOKUP(Table26[[#This Row],[customerSKU]],customerSKU!G:G,customerSKU!B:B,"",0,1))</f>
        <v/>
      </c>
      <c r="M1958" s="22"/>
      <c r="N1958" s="15" t="str">
        <f>Table26[[#This Row],[po_number]]&amp;"-"&amp;Table26[[#This Row],[po_line]]</f>
        <v>-14</v>
      </c>
      <c r="O1958" s="15">
        <v>14</v>
      </c>
      <c r="P1958" s="50"/>
      <c r="Q1958" s="22" t="s">
        <v>3405</v>
      </c>
      <c r="R1958" s="22" t="s">
        <v>532</v>
      </c>
      <c r="S1958" s="90" t="s">
        <v>13</v>
      </c>
      <c r="T1958" s="20">
        <v>45623</v>
      </c>
      <c r="U1958" s="94">
        <v>12</v>
      </c>
      <c r="V1958" s="22" t="str">
        <f>IF(ISBLANK(Table26[[#This Row],[customerSKU]]),"",_xlfn.XLOOKUP(Table26[[#This Row],[customerSKU]],Table27[customer_SKU],Table27[case_size],"",0,1))</f>
        <v/>
      </c>
      <c r="W1958" s="117" t="str">
        <f t="shared" si="79"/>
        <v/>
      </c>
      <c r="X1958" s="22" t="str">
        <f t="shared" si="78"/>
        <v/>
      </c>
      <c r="Y1958" s="25" t="str">
        <f>IF(Table26[[#This Row],[customerSKU]]="","",_xlfn.XLOOKUP(Table26[[#This Row],[customerSKU]],Table27[customer_SKU],Table27[product_GTIN],"",0,1))</f>
        <v/>
      </c>
      <c r="Z1958" s="25" t="s">
        <v>3535</v>
      </c>
      <c r="AA1958" s="18" t="str" cm="1">
        <f t="array" ref="AA1958">IF(P1958="", "", _xlfn.XLOOKUP(P1958,#REF!,#REF!,NA,0,-1))</f>
        <v/>
      </c>
      <c r="AB1958" s="22"/>
      <c r="AC1958" s="23" t="s">
        <v>68</v>
      </c>
      <c r="AD1958" s="23" t="str">
        <f>IF($AC1958="","",_xlfn.XLOOKUP($AC1958,'Client Info'!$C$2:$C$2497,'Client Info'!$D$2:$D$2497,"",0,1))</f>
        <v/>
      </c>
      <c r="AE1958" s="23" t="str">
        <f>IF($AC1958="","",_xlfn.XLOOKUP($AC1958,'Client Info'!$C$2:$C$2677,'Client Info'!$E$2:$E$2677,"",))</f>
        <v/>
      </c>
      <c r="AF1958" s="23" t="str">
        <f>IF($AC1958="","",_xlfn.XLOOKUP($AC1958,'Client Info'!$C$2:$C$2677,'Client Info'!$F$2:$F$2677,"",0,1))</f>
        <v/>
      </c>
      <c r="AG1958" s="23" t="s">
        <v>68</v>
      </c>
      <c r="AH1958" s="26" t="str">
        <f>_xlfn.XLOOKUP(Table26[[#This Row],[customerSKU]],customerSKU!G:G,customerSKU!K:K,"NA",0,1)</f>
        <v>NA</v>
      </c>
      <c r="AI1958" s="43" t="str">
        <f>_xlfn.XLOOKUP(Table26[[#This Row],[customerSKU]],customerSKU!G:G,customerSKU!O:O,"not found",0,1)</f>
        <v>not found</v>
      </c>
      <c r="AJ1958" s="22" t="e">
        <f>Table26[[#This Row],[unitprice]]*Table26[[#This Row],[quantity_unit]]</f>
        <v>#VALUE!</v>
      </c>
      <c r="AK1958" s="227" t="e" cm="1">
        <f t="array" ref="AK19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8" s="227"/>
    </row>
    <row r="1959" spans="1:38" ht="24.6" customHeight="1">
      <c r="A1959" s="42">
        <v>292</v>
      </c>
      <c r="B1959" s="42" t="s">
        <v>3520</v>
      </c>
      <c r="C1959" s="53" t="s">
        <v>3427</v>
      </c>
      <c r="E1959" s="20"/>
      <c r="F19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59" s="93"/>
      <c r="I1959" s="203">
        <v>45838</v>
      </c>
      <c r="J1959" s="90" t="str">
        <f>IF(Table26[[#This Row],[customerSKU]]="","",_xlfn.XLOOKUP(Table26[[#This Row],[customerSKU]],customerSKU!G:G,customerSKU!A:A,"",0,1))</f>
        <v/>
      </c>
      <c r="K1959" s="232">
        <v>45841</v>
      </c>
      <c r="L1959" s="49" t="str">
        <f>IF(Table26[[#This Row],[customerSKU]]="","",_xlfn.XLOOKUP(Table26[[#This Row],[customerSKU]],customerSKU!G:G,customerSKU!B:B,"",0,1))</f>
        <v/>
      </c>
      <c r="M1959" s="22"/>
      <c r="N1959" s="15" t="str">
        <f>Table26[[#This Row],[po_number]]&amp;"-"&amp;Table26[[#This Row],[po_line]]</f>
        <v>-15</v>
      </c>
      <c r="O1959" s="15">
        <v>15</v>
      </c>
      <c r="P1959" s="50"/>
      <c r="Q1959" s="22" t="s">
        <v>1309</v>
      </c>
      <c r="R1959" s="22" t="s">
        <v>532</v>
      </c>
      <c r="S1959" s="90" t="s">
        <v>13</v>
      </c>
      <c r="T1959" s="20">
        <v>45697</v>
      </c>
      <c r="U1959" s="94">
        <v>12</v>
      </c>
      <c r="V1959" s="22" t="str">
        <f>IF(ISBLANK(Table26[[#This Row],[customerSKU]]),"",_xlfn.XLOOKUP(Table26[[#This Row],[customerSKU]],Table27[customer_SKU],Table27[case_size],"",0,1))</f>
        <v/>
      </c>
      <c r="W1959" s="117" t="str">
        <f t="shared" si="79"/>
        <v/>
      </c>
      <c r="X1959" s="22" t="str">
        <f t="shared" si="78"/>
        <v/>
      </c>
      <c r="Y1959" s="25" t="str">
        <f>IF(Table26[[#This Row],[customerSKU]]="","",_xlfn.XLOOKUP(Table26[[#This Row],[customerSKU]],Table27[customer_SKU],Table27[product_GTIN],"",0,1))</f>
        <v/>
      </c>
      <c r="Z1959" s="25" t="s">
        <v>3536</v>
      </c>
      <c r="AA1959" s="18" t="str" cm="1">
        <f t="array" ref="AA1959">IF(P1959="", "", _xlfn.XLOOKUP(P1959,#REF!,#REF!,NA,0,-1))</f>
        <v/>
      </c>
      <c r="AB1959" s="22"/>
      <c r="AC1959" s="23" t="s">
        <v>68</v>
      </c>
      <c r="AD1959" s="23" t="str">
        <f>IF($AC1959="","",_xlfn.XLOOKUP($AC1959,'Client Info'!$C$2:$C$2497,'Client Info'!$D$2:$D$2497,"",0,1))</f>
        <v/>
      </c>
      <c r="AE1959" s="23" t="str">
        <f>IF($AC1959="","",_xlfn.XLOOKUP($AC1959,'Client Info'!$C$2:$C$2677,'Client Info'!$E$2:$E$2677,"",))</f>
        <v/>
      </c>
      <c r="AF1959" s="23" t="str">
        <f>IF($AC1959="","",_xlfn.XLOOKUP($AC1959,'Client Info'!$C$2:$C$2677,'Client Info'!$F$2:$F$2677,"",0,1))</f>
        <v/>
      </c>
      <c r="AG1959" s="23" t="s">
        <v>68</v>
      </c>
      <c r="AH1959" s="26" t="str">
        <f>_xlfn.XLOOKUP(Table26[[#This Row],[customerSKU]],customerSKU!G:G,customerSKU!K:K,"NA",0,1)</f>
        <v>NA</v>
      </c>
      <c r="AI1959" s="43" t="str">
        <f>_xlfn.XLOOKUP(Table26[[#This Row],[customerSKU]],customerSKU!G:G,customerSKU!O:O,"not found",0,1)</f>
        <v>not found</v>
      </c>
      <c r="AJ1959" s="22" t="e">
        <f>Table26[[#This Row],[unitprice]]*Table26[[#This Row],[quantity_unit]]</f>
        <v>#VALUE!</v>
      </c>
      <c r="AK1959" s="227" t="e" cm="1">
        <f t="array" ref="AK19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59" s="227"/>
    </row>
    <row r="1960" spans="1:38" ht="24.6" customHeight="1">
      <c r="A1960" s="42">
        <v>293</v>
      </c>
      <c r="B1960" s="42" t="s">
        <v>3520</v>
      </c>
      <c r="C1960" s="53" t="s">
        <v>3427</v>
      </c>
      <c r="E1960" s="20"/>
      <c r="F19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0" s="93"/>
      <c r="I1960" s="203">
        <v>45838</v>
      </c>
      <c r="J1960" s="90" t="str">
        <f>IF(Table26[[#This Row],[customerSKU]]="","",_xlfn.XLOOKUP(Table26[[#This Row],[customerSKU]],customerSKU!G:G,customerSKU!A:A,"",0,1))</f>
        <v/>
      </c>
      <c r="K1960" s="232">
        <v>45841</v>
      </c>
      <c r="L1960" s="49" t="str">
        <f>IF(Table26[[#This Row],[customerSKU]]="","",_xlfn.XLOOKUP(Table26[[#This Row],[customerSKU]],customerSKU!G:G,customerSKU!B:B,"",0,1))</f>
        <v/>
      </c>
      <c r="M1960" s="22"/>
      <c r="N1960" s="15" t="str">
        <f>Table26[[#This Row],[po_number]]&amp;"-"&amp;Table26[[#This Row],[po_line]]</f>
        <v>-16</v>
      </c>
      <c r="O1960" s="15">
        <v>16</v>
      </c>
      <c r="P1960" s="50"/>
      <c r="Q1960" s="22" t="s">
        <v>1315</v>
      </c>
      <c r="R1960" s="22" t="s">
        <v>532</v>
      </c>
      <c r="S1960" s="90" t="s">
        <v>13</v>
      </c>
      <c r="T1960" s="20">
        <v>45555</v>
      </c>
      <c r="U1960" s="94">
        <v>12</v>
      </c>
      <c r="V1960" s="22" t="str">
        <f>IF(ISBLANK(Table26[[#This Row],[customerSKU]]),"",_xlfn.XLOOKUP(Table26[[#This Row],[customerSKU]],Table27[customer_SKU],Table27[case_size],"",0,1))</f>
        <v/>
      </c>
      <c r="W1960" s="117" t="str">
        <f t="shared" si="79"/>
        <v/>
      </c>
      <c r="X1960" s="22" t="str">
        <f t="shared" si="78"/>
        <v/>
      </c>
      <c r="Y1960" s="25" t="str">
        <f>IF(Table26[[#This Row],[customerSKU]]="","",_xlfn.XLOOKUP(Table26[[#This Row],[customerSKU]],Table27[customer_SKU],Table27[product_GTIN],"",0,1))</f>
        <v/>
      </c>
      <c r="Z1960" s="25" t="s">
        <v>3719</v>
      </c>
      <c r="AA1960" s="18" t="str" cm="1">
        <f t="array" ref="AA1960">IF(P1960="", "", _xlfn.XLOOKUP(P1960,#REF!,#REF!,NA,0,-1))</f>
        <v/>
      </c>
      <c r="AB1960" s="22"/>
      <c r="AC1960" s="23" t="s">
        <v>68</v>
      </c>
      <c r="AD1960" s="23" t="str">
        <f>IF($AC1960="","",_xlfn.XLOOKUP($AC1960,'Client Info'!$C$2:$C$2497,'Client Info'!$D$2:$D$2497,"",0,1))</f>
        <v/>
      </c>
      <c r="AE1960" s="23" t="str">
        <f>IF($AC1960="","",_xlfn.XLOOKUP($AC1960,'Client Info'!$C$2:$C$2677,'Client Info'!$E$2:$E$2677,"",))</f>
        <v/>
      </c>
      <c r="AF1960" s="23" t="str">
        <f>IF($AC1960="","",_xlfn.XLOOKUP($AC1960,'Client Info'!$C$2:$C$2677,'Client Info'!$F$2:$F$2677,"",0,1))</f>
        <v/>
      </c>
      <c r="AG1960" s="23" t="s">
        <v>68</v>
      </c>
      <c r="AH1960" s="26" t="str">
        <f>_xlfn.XLOOKUP(Table26[[#This Row],[customerSKU]],customerSKU!G:G,customerSKU!K:K,"NA",0,1)</f>
        <v>NA</v>
      </c>
      <c r="AI1960" s="43" t="str">
        <f>_xlfn.XLOOKUP(Table26[[#This Row],[customerSKU]],customerSKU!G:G,customerSKU!O:O,"not found",0,1)</f>
        <v>not found</v>
      </c>
      <c r="AJ1960" s="22" t="e">
        <f>Table26[[#This Row],[unitprice]]*Table26[[#This Row],[quantity_unit]]</f>
        <v>#VALUE!</v>
      </c>
      <c r="AK1960" s="227" t="e" cm="1">
        <f t="array" ref="AK19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0" s="227"/>
    </row>
    <row r="1961" spans="1:38" ht="24.6" customHeight="1">
      <c r="A1961" s="42">
        <v>294</v>
      </c>
      <c r="B1961" s="42" t="s">
        <v>3520</v>
      </c>
      <c r="C1961" s="53" t="s">
        <v>3427</v>
      </c>
      <c r="E1961" s="20"/>
      <c r="F19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1" s="93"/>
      <c r="I1961" s="203">
        <v>45838</v>
      </c>
      <c r="J1961" s="90" t="str">
        <f>IF(Table26[[#This Row],[customerSKU]]="","",_xlfn.XLOOKUP(Table26[[#This Row],[customerSKU]],customerSKU!G:G,customerSKU!A:A,"",0,1))</f>
        <v/>
      </c>
      <c r="K1961" s="232">
        <v>45841</v>
      </c>
      <c r="L1961" s="49" t="str">
        <f>IF(Table26[[#This Row],[customerSKU]]="","",_xlfn.XLOOKUP(Table26[[#This Row],[customerSKU]],customerSKU!G:G,customerSKU!B:B,"",0,1))</f>
        <v/>
      </c>
      <c r="M1961" s="22"/>
      <c r="N1961" s="15" t="str">
        <f>Table26[[#This Row],[po_number]]&amp;"-"&amp;Table26[[#This Row],[po_line]]</f>
        <v>-17</v>
      </c>
      <c r="O1961" s="15">
        <v>17</v>
      </c>
      <c r="P1961" s="50"/>
      <c r="Q1961" s="22" t="s">
        <v>622</v>
      </c>
      <c r="R1961" s="22" t="s">
        <v>532</v>
      </c>
      <c r="S1961" s="90" t="s">
        <v>13</v>
      </c>
      <c r="T1961" s="20">
        <v>45603</v>
      </c>
      <c r="U1961" s="94">
        <v>12</v>
      </c>
      <c r="V1961" s="22" t="str">
        <f>IF(ISBLANK(Table26[[#This Row],[customerSKU]]),"",_xlfn.XLOOKUP(Table26[[#This Row],[customerSKU]],Table27[customer_SKU],Table27[case_size],"",0,1))</f>
        <v/>
      </c>
      <c r="W1961" s="117" t="str">
        <f t="shared" si="79"/>
        <v/>
      </c>
      <c r="X1961" s="22" t="str">
        <f t="shared" si="78"/>
        <v/>
      </c>
      <c r="Y1961" s="25" t="str">
        <f>IF(Table26[[#This Row],[customerSKU]]="","",_xlfn.XLOOKUP(Table26[[#This Row],[customerSKU]],Table27[customer_SKU],Table27[product_GTIN],"",0,1))</f>
        <v/>
      </c>
      <c r="Z1961" s="25" t="s">
        <v>3612</v>
      </c>
      <c r="AA1961" s="18" t="str" cm="1">
        <f t="array" ref="AA1961">IF(P1961="", "", _xlfn.XLOOKUP(P1961,#REF!,#REF!,NA,0,-1))</f>
        <v/>
      </c>
      <c r="AB1961" s="22"/>
      <c r="AC1961" s="23" t="s">
        <v>68</v>
      </c>
      <c r="AD1961" s="23" t="str">
        <f>IF($AC1961="","",_xlfn.XLOOKUP($AC1961,'Client Info'!$C$2:$C$2497,'Client Info'!$D$2:$D$2497,"",0,1))</f>
        <v/>
      </c>
      <c r="AE1961" s="23" t="str">
        <f>IF($AC1961="","",_xlfn.XLOOKUP($AC1961,'Client Info'!$C$2:$C$2677,'Client Info'!$E$2:$E$2677,"",))</f>
        <v/>
      </c>
      <c r="AF1961" s="23" t="str">
        <f>IF($AC1961="","",_xlfn.XLOOKUP($AC1961,'Client Info'!$C$2:$C$2677,'Client Info'!$F$2:$F$2677,"",0,1))</f>
        <v/>
      </c>
      <c r="AG1961" s="23" t="s">
        <v>68</v>
      </c>
      <c r="AH1961" s="26" t="str">
        <f>_xlfn.XLOOKUP(Table26[[#This Row],[customerSKU]],customerSKU!G:G,customerSKU!K:K,"NA",0,1)</f>
        <v>NA</v>
      </c>
      <c r="AI1961" s="43" t="str">
        <f>_xlfn.XLOOKUP(Table26[[#This Row],[customerSKU]],customerSKU!G:G,customerSKU!O:O,"not found",0,1)</f>
        <v>not found</v>
      </c>
      <c r="AJ1961" s="22" t="e">
        <f>Table26[[#This Row],[unitprice]]*Table26[[#This Row],[quantity_unit]]</f>
        <v>#VALUE!</v>
      </c>
      <c r="AK1961" s="227" t="e" cm="1">
        <f t="array" ref="AK19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1" s="227"/>
    </row>
    <row r="1962" spans="1:38" ht="24.6" customHeight="1">
      <c r="A1962" s="42">
        <v>295</v>
      </c>
      <c r="B1962" s="42" t="s">
        <v>3520</v>
      </c>
      <c r="C1962" s="53" t="s">
        <v>3427</v>
      </c>
      <c r="E1962" s="20"/>
      <c r="F19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2" s="93"/>
      <c r="I1962" s="203">
        <v>45838</v>
      </c>
      <c r="J1962" s="90" t="str">
        <f>IF(Table26[[#This Row],[customerSKU]]="","",_xlfn.XLOOKUP(Table26[[#This Row],[customerSKU]],customerSKU!G:G,customerSKU!A:A,"",0,1))</f>
        <v/>
      </c>
      <c r="K1962" s="232">
        <v>45841</v>
      </c>
      <c r="L1962" s="49" t="str">
        <f>IF(Table26[[#This Row],[customerSKU]]="","",_xlfn.XLOOKUP(Table26[[#This Row],[customerSKU]],customerSKU!G:G,customerSKU!B:B,"",0,1))</f>
        <v/>
      </c>
      <c r="M1962" s="22"/>
      <c r="N1962" s="15" t="str">
        <f>Table26[[#This Row],[po_number]]&amp;"-"&amp;Table26[[#This Row],[po_line]]</f>
        <v>-18</v>
      </c>
      <c r="O1962" s="15">
        <v>18</v>
      </c>
      <c r="P1962" s="50"/>
      <c r="Q1962" s="22" t="s">
        <v>543</v>
      </c>
      <c r="R1962" s="22" t="s">
        <v>532</v>
      </c>
      <c r="S1962" s="90" t="s">
        <v>13</v>
      </c>
      <c r="T1962" s="20">
        <v>45793</v>
      </c>
      <c r="U1962" s="94">
        <v>6</v>
      </c>
      <c r="V1962" s="22" t="str">
        <f>IF(ISBLANK(Table26[[#This Row],[customerSKU]]),"",_xlfn.XLOOKUP(Table26[[#This Row],[customerSKU]],Table27[customer_SKU],Table27[case_size],"",0,1))</f>
        <v/>
      </c>
      <c r="W1962" s="117" t="str">
        <f t="shared" si="79"/>
        <v/>
      </c>
      <c r="X1962" s="22" t="str">
        <f t="shared" si="78"/>
        <v/>
      </c>
      <c r="Y1962" s="25" t="str">
        <f>IF(Table26[[#This Row],[customerSKU]]="","",_xlfn.XLOOKUP(Table26[[#This Row],[customerSKU]],Table27[customer_SKU],Table27[product_GTIN],"",0,1))</f>
        <v/>
      </c>
      <c r="Z1962" s="25" t="s">
        <v>3599</v>
      </c>
      <c r="AA1962" s="18" t="str" cm="1">
        <f t="array" ref="AA1962">IF(P1962="", "", _xlfn.XLOOKUP(P1962,#REF!,#REF!,NA,0,-1))</f>
        <v/>
      </c>
      <c r="AB1962" s="22"/>
      <c r="AC1962" s="23" t="s">
        <v>68</v>
      </c>
      <c r="AD1962" s="23" t="str">
        <f>IF($AC1962="","",_xlfn.XLOOKUP($AC1962,'Client Info'!$C$2:$C$2497,'Client Info'!$D$2:$D$2497,"",0,1))</f>
        <v/>
      </c>
      <c r="AE1962" s="23" t="str">
        <f>IF($AC1962="","",_xlfn.XLOOKUP($AC1962,'Client Info'!$C$2:$C$2677,'Client Info'!$E$2:$E$2677,"",))</f>
        <v/>
      </c>
      <c r="AF1962" s="23" t="str">
        <f>IF($AC1962="","",_xlfn.XLOOKUP($AC1962,'Client Info'!$C$2:$C$2677,'Client Info'!$F$2:$F$2677,"",0,1))</f>
        <v/>
      </c>
      <c r="AG1962" s="23" t="s">
        <v>68</v>
      </c>
      <c r="AH1962" s="26" t="str">
        <f>_xlfn.XLOOKUP(Table26[[#This Row],[customerSKU]],customerSKU!G:G,customerSKU!K:K,"NA",0,1)</f>
        <v>NA</v>
      </c>
      <c r="AI1962" s="43" t="str">
        <f>_xlfn.XLOOKUP(Table26[[#This Row],[customerSKU]],customerSKU!G:G,customerSKU!O:O,"not found",0,1)</f>
        <v>not found</v>
      </c>
      <c r="AJ1962" s="22" t="e">
        <f>Table26[[#This Row],[unitprice]]*Table26[[#This Row],[quantity_unit]]</f>
        <v>#VALUE!</v>
      </c>
      <c r="AK1962" s="227" t="e" cm="1">
        <f t="array" ref="AK19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2" s="227"/>
    </row>
    <row r="1963" spans="1:38" ht="24.6" customHeight="1">
      <c r="A1963" s="42">
        <v>296</v>
      </c>
      <c r="B1963" s="42" t="s">
        <v>3520</v>
      </c>
      <c r="C1963" s="53" t="s">
        <v>3427</v>
      </c>
      <c r="E1963" s="20"/>
      <c r="F19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3" s="93"/>
      <c r="I1963" s="203">
        <v>45838</v>
      </c>
      <c r="J1963" s="90" t="str">
        <f>IF(Table26[[#This Row],[customerSKU]]="","",_xlfn.XLOOKUP(Table26[[#This Row],[customerSKU]],customerSKU!G:G,customerSKU!A:A,"",0,1))</f>
        <v/>
      </c>
      <c r="K1963" s="232">
        <v>45841</v>
      </c>
      <c r="L1963" s="49" t="str">
        <f>IF(Table26[[#This Row],[customerSKU]]="","",_xlfn.XLOOKUP(Table26[[#This Row],[customerSKU]],customerSKU!G:G,customerSKU!B:B,"",0,1))</f>
        <v/>
      </c>
      <c r="M1963" s="22"/>
      <c r="N1963" s="15" t="str">
        <f>Table26[[#This Row],[po_number]]&amp;"-"&amp;Table26[[#This Row],[po_line]]</f>
        <v>-19</v>
      </c>
      <c r="O1963" s="15">
        <v>19</v>
      </c>
      <c r="P1963" s="50"/>
      <c r="Q1963" s="22" t="s">
        <v>574</v>
      </c>
      <c r="R1963" s="22" t="s">
        <v>532</v>
      </c>
      <c r="S1963" s="90" t="s">
        <v>13</v>
      </c>
      <c r="T1963" s="20">
        <v>45818</v>
      </c>
      <c r="U1963" s="94">
        <v>12</v>
      </c>
      <c r="V1963" s="22" t="str">
        <f>IF(ISBLANK(Table26[[#This Row],[customerSKU]]),"",_xlfn.XLOOKUP(Table26[[#This Row],[customerSKU]],Table27[customer_SKU],Table27[case_size],"",0,1))</f>
        <v/>
      </c>
      <c r="W1963" s="117" t="str">
        <f t="shared" si="79"/>
        <v/>
      </c>
      <c r="X1963" s="22" t="str">
        <f t="shared" si="78"/>
        <v/>
      </c>
      <c r="Y1963" s="25" t="str">
        <f>IF(Table26[[#This Row],[customerSKU]]="","",_xlfn.XLOOKUP(Table26[[#This Row],[customerSKU]],Table27[customer_SKU],Table27[product_GTIN],"",0,1))</f>
        <v/>
      </c>
      <c r="Z1963" s="25" t="s">
        <v>3690</v>
      </c>
      <c r="AA1963" s="18" t="str" cm="1">
        <f t="array" ref="AA1963">IF(P1963="", "", _xlfn.XLOOKUP(P1963,#REF!,#REF!,NA,0,-1))</f>
        <v/>
      </c>
      <c r="AB1963" s="22"/>
      <c r="AC1963" s="23" t="s">
        <v>68</v>
      </c>
      <c r="AD1963" s="23" t="str">
        <f>IF($AC1963="","",_xlfn.XLOOKUP($AC1963,'Client Info'!$C$2:$C$2497,'Client Info'!$D$2:$D$2497,"",0,1))</f>
        <v/>
      </c>
      <c r="AE1963" s="23" t="str">
        <f>IF($AC1963="","",_xlfn.XLOOKUP($AC1963,'Client Info'!$C$2:$C$2677,'Client Info'!$E$2:$E$2677,"",))</f>
        <v/>
      </c>
      <c r="AF1963" s="23" t="str">
        <f>IF($AC1963="","",_xlfn.XLOOKUP($AC1963,'Client Info'!$C$2:$C$2677,'Client Info'!$F$2:$F$2677,"",0,1))</f>
        <v/>
      </c>
      <c r="AG1963" s="23" t="s">
        <v>68</v>
      </c>
      <c r="AH1963" s="26" t="str">
        <f>_xlfn.XLOOKUP(Table26[[#This Row],[customerSKU]],customerSKU!G:G,customerSKU!K:K,"NA",0,1)</f>
        <v>NA</v>
      </c>
      <c r="AI1963" s="43" t="str">
        <f>_xlfn.XLOOKUP(Table26[[#This Row],[customerSKU]],customerSKU!G:G,customerSKU!O:O,"not found",0,1)</f>
        <v>not found</v>
      </c>
      <c r="AJ1963" s="22" t="e">
        <f>Table26[[#This Row],[unitprice]]*Table26[[#This Row],[quantity_unit]]</f>
        <v>#VALUE!</v>
      </c>
      <c r="AK1963" s="227" t="e" cm="1">
        <f t="array" ref="AK19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3" s="227"/>
    </row>
    <row r="1964" spans="1:38" ht="24.6" customHeight="1">
      <c r="A1964" s="42">
        <v>297</v>
      </c>
      <c r="B1964" s="42" t="s">
        <v>3520</v>
      </c>
      <c r="C1964" s="53" t="s">
        <v>3427</v>
      </c>
      <c r="E1964" s="20"/>
      <c r="F19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4" s="93"/>
      <c r="I1964" s="203">
        <v>45838</v>
      </c>
      <c r="J1964" s="90" t="str">
        <f>IF(Table26[[#This Row],[customerSKU]]="","",_xlfn.XLOOKUP(Table26[[#This Row],[customerSKU]],customerSKU!G:G,customerSKU!A:A,"",0,1))</f>
        <v/>
      </c>
      <c r="K1964" s="232">
        <v>45841</v>
      </c>
      <c r="L1964" s="49" t="str">
        <f>IF(Table26[[#This Row],[customerSKU]]="","",_xlfn.XLOOKUP(Table26[[#This Row],[customerSKU]],customerSKU!G:G,customerSKU!B:B,"",0,1))</f>
        <v/>
      </c>
      <c r="M1964" s="22"/>
      <c r="N1964" s="15" t="str">
        <f>Table26[[#This Row],[po_number]]&amp;"-"&amp;Table26[[#This Row],[po_line]]</f>
        <v>-20</v>
      </c>
      <c r="O1964" s="15">
        <v>20</v>
      </c>
      <c r="P1964" s="50"/>
      <c r="Q1964" s="22" t="s">
        <v>1825</v>
      </c>
      <c r="R1964" s="22" t="s">
        <v>532</v>
      </c>
      <c r="S1964" s="90" t="s">
        <v>13</v>
      </c>
      <c r="T1964" s="20">
        <v>45833</v>
      </c>
      <c r="U1964" s="94">
        <v>24</v>
      </c>
      <c r="V1964" s="22" t="str">
        <f>IF(ISBLANK(Table26[[#This Row],[customerSKU]]),"",_xlfn.XLOOKUP(Table26[[#This Row],[customerSKU]],Table27[customer_SKU],Table27[case_size],"",0,1))</f>
        <v/>
      </c>
      <c r="W1964" s="117" t="str">
        <f t="shared" si="79"/>
        <v/>
      </c>
      <c r="X1964" s="22" t="str">
        <f t="shared" si="78"/>
        <v/>
      </c>
      <c r="Y1964" s="25" t="str">
        <f>IF(Table26[[#This Row],[customerSKU]]="","",_xlfn.XLOOKUP(Table26[[#This Row],[customerSKU]],Table27[customer_SKU],Table27[product_GTIN],"",0,1))</f>
        <v/>
      </c>
      <c r="Z1964" s="25" t="s">
        <v>3693</v>
      </c>
      <c r="AA1964" s="18" t="str" cm="1">
        <f t="array" ref="AA1964">IF(P1964="", "", _xlfn.XLOOKUP(P1964,#REF!,#REF!,NA,0,-1))</f>
        <v/>
      </c>
      <c r="AB1964" s="22"/>
      <c r="AC1964" s="23" t="s">
        <v>68</v>
      </c>
      <c r="AD1964" s="23" t="str">
        <f>IF($AC1964="","",_xlfn.XLOOKUP($AC1964,'Client Info'!$C$2:$C$2497,'Client Info'!$D$2:$D$2497,"",0,1))</f>
        <v/>
      </c>
      <c r="AE1964" s="23" t="str">
        <f>IF($AC1964="","",_xlfn.XLOOKUP($AC1964,'Client Info'!$C$2:$C$2677,'Client Info'!$E$2:$E$2677,"",))</f>
        <v/>
      </c>
      <c r="AF1964" s="23" t="str">
        <f>IF($AC1964="","",_xlfn.XLOOKUP($AC1964,'Client Info'!$C$2:$C$2677,'Client Info'!$F$2:$F$2677,"",0,1))</f>
        <v/>
      </c>
      <c r="AG1964" s="23" t="s">
        <v>68</v>
      </c>
      <c r="AH1964" s="26" t="str">
        <f>_xlfn.XLOOKUP(Table26[[#This Row],[customerSKU]],customerSKU!G:G,customerSKU!K:K,"NA",0,1)</f>
        <v>NA</v>
      </c>
      <c r="AI1964" s="43" t="str">
        <f>_xlfn.XLOOKUP(Table26[[#This Row],[customerSKU]],customerSKU!G:G,customerSKU!O:O,"not found",0,1)</f>
        <v>not found</v>
      </c>
      <c r="AJ1964" s="22" t="e">
        <f>Table26[[#This Row],[unitprice]]*Table26[[#This Row],[quantity_unit]]</f>
        <v>#VALUE!</v>
      </c>
      <c r="AK1964" s="227" t="e" cm="1">
        <f t="array" ref="AK19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4" s="227"/>
    </row>
    <row r="1965" spans="1:38" ht="24.6" customHeight="1">
      <c r="A1965" s="42">
        <v>298</v>
      </c>
      <c r="B1965" s="42" t="s">
        <v>3520</v>
      </c>
      <c r="C1965" s="53" t="s">
        <v>3360</v>
      </c>
      <c r="E1965" s="20"/>
      <c r="F19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5" s="93"/>
      <c r="I1965" s="203">
        <v>45838</v>
      </c>
      <c r="J1965" s="90" t="str">
        <f>IF(Table26[[#This Row],[customerSKU]]="","",_xlfn.XLOOKUP(Table26[[#This Row],[customerSKU]],customerSKU!G:G,customerSKU!A:A,"",0,1))</f>
        <v/>
      </c>
      <c r="K1965" s="232">
        <v>45841</v>
      </c>
      <c r="L1965" s="49" t="str">
        <f>IF(Table26[[#This Row],[customerSKU]]="","",_xlfn.XLOOKUP(Table26[[#This Row],[customerSKU]],customerSKU!G:G,customerSKU!B:B,"",0,1))</f>
        <v/>
      </c>
      <c r="M1965" s="22"/>
      <c r="N1965" s="15" t="str">
        <f>Table26[[#This Row],[po_number]]&amp;"-"&amp;Table26[[#This Row],[po_line]]</f>
        <v>-1</v>
      </c>
      <c r="O1965" s="15">
        <v>1</v>
      </c>
      <c r="P1965" s="50"/>
      <c r="S1965" s="90" t="str">
        <f>IF(Table26[[#This Row],[customerSKU]]="","",_xlfn.XLOOKUP(Table26[[#This Row],[customerSKU]],customerSKU!G:G,customerSKU!N:N,"NOT FOUND",0,1))</f>
        <v>NOT FOUND</v>
      </c>
      <c r="T1965" s="20"/>
      <c r="U1965" s="94">
        <v>12</v>
      </c>
      <c r="V1965" s="22" t="str">
        <f>IF(ISBLANK(Table26[[#This Row],[customerSKU]]),"",_xlfn.XLOOKUP(Table26[[#This Row],[customerSKU]],Table27[customer_SKU],Table27[case_size],"",0,1))</f>
        <v/>
      </c>
      <c r="W1965" s="117" t="str">
        <f t="shared" si="79"/>
        <v/>
      </c>
      <c r="X1965" s="22" t="str">
        <f t="shared" si="78"/>
        <v/>
      </c>
      <c r="Y1965" s="25" t="str">
        <f>IF(Table26[[#This Row],[customerSKU]]="","",_xlfn.XLOOKUP(Table26[[#This Row],[customerSKU]],Table27[customer_SKU],Table27[product_GTIN],"",0,1))</f>
        <v/>
      </c>
      <c r="Z1965" s="25" t="s">
        <v>3546</v>
      </c>
      <c r="AA1965" s="18" t="str" cm="1">
        <f t="array" ref="AA1965">IF(P1965="", "", _xlfn.XLOOKUP(P1965,#REF!,#REF!,NA,0,-1))</f>
        <v/>
      </c>
      <c r="AB1965" s="22"/>
      <c r="AC1965" s="23" t="str">
        <f>IF(Table26[[#This Row],[customerSKU]]="","",_xlfn.XLOOKUP(Table26[[#This Row],[customerSKU]],customerSKU!G:G,customerSKU!C:C,"",0,1))</f>
        <v/>
      </c>
      <c r="AD1965" s="23" t="str">
        <f>IF($AC1965="","",_xlfn.XLOOKUP($AC1965,'Client Info'!$C$2:$C$2497,'Client Info'!$D$2:$D$2497,"",0,1))</f>
        <v/>
      </c>
      <c r="AE1965" s="23" t="str">
        <f>IF($AC1965="","",_xlfn.XLOOKUP($AC1965,'Client Info'!$C$2:$C$2677,'Client Info'!$E$2:$E$2677,"",))</f>
        <v/>
      </c>
      <c r="AF1965" s="23" t="str">
        <f>IF($AC1965="","",_xlfn.XLOOKUP($AC1965,'Client Info'!$C$2:$C$2677,'Client Info'!$F$2:$F$2677,"",0,1))</f>
        <v/>
      </c>
      <c r="AG1965" s="23" t="str">
        <f>IF(ISBLANK(Table26[[#This Row],[customerSKU]]),"",_xlfn.XLOOKUP(Table26[[#This Row],[customerSKU]],Table27[customer_SKU],Table27[billto],"",0,1))</f>
        <v/>
      </c>
      <c r="AH1965" s="26" t="str">
        <f>_xlfn.XLOOKUP(Table26[[#This Row],[customerSKU]],customerSKU!G:G,customerSKU!K:K,"NA",0,1)</f>
        <v>NA</v>
      </c>
      <c r="AI1965" s="43" t="str">
        <f>_xlfn.XLOOKUP(Table26[[#This Row],[customerSKU]],customerSKU!G:G,customerSKU!O:O,"not found",0,1)</f>
        <v>not found</v>
      </c>
      <c r="AJ1965" s="22" t="e">
        <f>Table26[[#This Row],[unitprice]]*Table26[[#This Row],[quantity_unit]]</f>
        <v>#VALUE!</v>
      </c>
      <c r="AK1965" s="227" t="e" cm="1">
        <f t="array" ref="AK19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5" s="227"/>
    </row>
    <row r="1966" spans="1:38" ht="24.6" customHeight="1">
      <c r="A1966" s="42">
        <v>299</v>
      </c>
      <c r="B1966" s="42" t="s">
        <v>3520</v>
      </c>
      <c r="C1966" s="53" t="s">
        <v>3360</v>
      </c>
      <c r="E1966" s="20"/>
      <c r="F19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6" s="93"/>
      <c r="I1966" s="203">
        <v>45838</v>
      </c>
      <c r="J1966" s="90" t="str">
        <f>IF(Table26[[#This Row],[customerSKU]]="","",_xlfn.XLOOKUP(Table26[[#This Row],[customerSKU]],customerSKU!G:G,customerSKU!A:A,"",0,1))</f>
        <v/>
      </c>
      <c r="K1966" s="232">
        <v>45841</v>
      </c>
      <c r="L1966" s="49" t="str">
        <f>IF(Table26[[#This Row],[customerSKU]]="","",_xlfn.XLOOKUP(Table26[[#This Row],[customerSKU]],customerSKU!G:G,customerSKU!B:B,"",0,1))</f>
        <v/>
      </c>
      <c r="M1966" s="22"/>
      <c r="N1966" s="15" t="str">
        <f>Table26[[#This Row],[po_number]]&amp;"-"&amp;Table26[[#This Row],[po_line]]</f>
        <v>-1</v>
      </c>
      <c r="O1966" s="15">
        <v>1</v>
      </c>
      <c r="P1966" s="50"/>
      <c r="S1966" s="90" t="str">
        <f>IF(Table26[[#This Row],[customerSKU]]="","",_xlfn.XLOOKUP(Table26[[#This Row],[customerSKU]],customerSKU!G:G,customerSKU!N:N,"NOT FOUND",0,1))</f>
        <v>NOT FOUND</v>
      </c>
      <c r="T1966" s="20"/>
      <c r="U1966" s="94">
        <v>12</v>
      </c>
      <c r="V1966" s="22" t="str">
        <f>IF(ISBLANK(Table26[[#This Row],[customerSKU]]),"",_xlfn.XLOOKUP(Table26[[#This Row],[customerSKU]],Table27[customer_SKU],Table27[case_size],"",0,1))</f>
        <v/>
      </c>
      <c r="W1966" s="117" t="str">
        <f t="shared" si="79"/>
        <v/>
      </c>
      <c r="X1966" s="22" t="str">
        <f t="shared" si="78"/>
        <v/>
      </c>
      <c r="Y1966" s="25" t="str">
        <f>IF(Table26[[#This Row],[customerSKU]]="","",_xlfn.XLOOKUP(Table26[[#This Row],[customerSKU]],Table27[customer_SKU],Table27[product_GTIN],"",0,1))</f>
        <v/>
      </c>
      <c r="Z1966" s="25" t="s">
        <v>3721</v>
      </c>
      <c r="AA1966" s="18" t="str" cm="1">
        <f t="array" ref="AA1966">IF(P1966="", "", _xlfn.XLOOKUP(P1966,#REF!,#REF!,NA,0,-1))</f>
        <v/>
      </c>
      <c r="AB1966" s="22"/>
      <c r="AC1966" s="23" t="s">
        <v>192</v>
      </c>
      <c r="AD1966" s="23" t="str">
        <f>IF($AC1966="","",_xlfn.XLOOKUP($AC1966,'Client Info'!$C$2:$C$2497,'Client Info'!$D$2:$D$2497,"",0,1))</f>
        <v/>
      </c>
      <c r="AE1966" s="23" t="str">
        <f>IF($AC1966="","",_xlfn.XLOOKUP($AC1966,'Client Info'!$C$2:$C$2677,'Client Info'!$E$2:$E$2677,"",))</f>
        <v/>
      </c>
      <c r="AF1966" s="23" t="str">
        <f>IF($AC1966="","",_xlfn.XLOOKUP($AC1966,'Client Info'!$C$2:$C$2677,'Client Info'!$F$2:$F$2677,"",0,1))</f>
        <v/>
      </c>
      <c r="AG1966" s="23" t="str">
        <f>IF(ISBLANK(Table26[[#This Row],[customerSKU]]),"",_xlfn.XLOOKUP(Table26[[#This Row],[customerSKU]],Table27[customer_SKU],Table27[billto],"",0,1))</f>
        <v/>
      </c>
      <c r="AH1966" s="26" t="str">
        <f>_xlfn.XLOOKUP(Table26[[#This Row],[customerSKU]],customerSKU!G:G,customerSKU!K:K,"NA",0,1)</f>
        <v>NA</v>
      </c>
      <c r="AI1966" s="43" t="str">
        <f>_xlfn.XLOOKUP(Table26[[#This Row],[customerSKU]],customerSKU!G:G,customerSKU!O:O,"not found",0,1)</f>
        <v>not found</v>
      </c>
      <c r="AJ1966" s="22" t="e">
        <f>Table26[[#This Row],[unitprice]]*Table26[[#This Row],[quantity_unit]]</f>
        <v>#VALUE!</v>
      </c>
      <c r="AK1966" s="227" t="e" cm="1">
        <f t="array" ref="AK19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6" s="227"/>
    </row>
    <row r="1967" spans="1:38" ht="18" customHeight="1">
      <c r="A1967" s="42">
        <v>300</v>
      </c>
      <c r="B1967" s="42" t="s">
        <v>3520</v>
      </c>
      <c r="C1967" s="53" t="s">
        <v>3360</v>
      </c>
      <c r="E1967" s="20"/>
      <c r="F19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7" s="93"/>
      <c r="I1967" s="203">
        <v>45838</v>
      </c>
      <c r="J1967" s="90" t="str">
        <f>IF(Table26[[#This Row],[customerSKU]]="","",_xlfn.XLOOKUP(Table26[[#This Row],[customerSKU]],customerSKU!G:G,customerSKU!A:A,"",0,1))</f>
        <v/>
      </c>
      <c r="K1967" s="232">
        <v>45841</v>
      </c>
      <c r="L1967" s="49" t="str">
        <f>IF(Table26[[#This Row],[customerSKU]]="","",_xlfn.XLOOKUP(Table26[[#This Row],[customerSKU]],customerSKU!G:G,customerSKU!B:B,"",0,1))</f>
        <v/>
      </c>
      <c r="M1967" s="22"/>
      <c r="N1967" s="15" t="str">
        <f>Table26[[#This Row],[po_number]]&amp;"-"&amp;Table26[[#This Row],[po_line]]</f>
        <v>-1</v>
      </c>
      <c r="O1967" s="15">
        <v>1</v>
      </c>
      <c r="P1967" s="50"/>
      <c r="S1967" s="90" t="str">
        <f>IF(Table26[[#This Row],[customerSKU]]="","",_xlfn.XLOOKUP(Table26[[#This Row],[customerSKU]],customerSKU!G:G,customerSKU!N:N,"NOT FOUND",0,1))</f>
        <v>NOT FOUND</v>
      </c>
      <c r="T1967" s="20"/>
      <c r="U1967" s="94">
        <v>12</v>
      </c>
      <c r="V1967" s="22" t="str">
        <f>IF(ISBLANK(Table26[[#This Row],[customerSKU]]),"",_xlfn.XLOOKUP(Table26[[#This Row],[customerSKU]],Table27[customer_SKU],Table27[case_size],"",0,1))</f>
        <v/>
      </c>
      <c r="W1967" s="117" t="str">
        <f t="shared" si="79"/>
        <v/>
      </c>
      <c r="X1967" s="22" t="str">
        <f t="shared" si="78"/>
        <v/>
      </c>
      <c r="Y1967" s="25" t="str">
        <f>IF(Table26[[#This Row],[customerSKU]]="","",_xlfn.XLOOKUP(Table26[[#This Row],[customerSKU]],Table27[customer_SKU],Table27[product_GTIN],"",0,1))</f>
        <v/>
      </c>
      <c r="Z1967" s="25" t="s">
        <v>3529</v>
      </c>
      <c r="AA1967" s="18" t="str" cm="1">
        <f t="array" ref="AA1967">IF(P1967="", "", _xlfn.XLOOKUP(P1967,#REF!,#REF!,NA,0,-1))</f>
        <v/>
      </c>
      <c r="AB1967" s="22"/>
      <c r="AC1967" s="23" t="str">
        <f>IF(Table26[[#This Row],[customerSKU]]="","",_xlfn.XLOOKUP(Table26[[#This Row],[customerSKU]],customerSKU!G:G,customerSKU!C:C,"",0,1))</f>
        <v/>
      </c>
      <c r="AD1967" s="23" t="str">
        <f>IF($AC1967="","",_xlfn.XLOOKUP($AC1967,'Client Info'!$C$2:$C$2497,'Client Info'!$D$2:$D$2497,"",0,1))</f>
        <v/>
      </c>
      <c r="AE1967" s="23" t="str">
        <f>IF($AC1967="","",_xlfn.XLOOKUP($AC1967,'Client Info'!$C$2:$C$2677,'Client Info'!$E$2:$E$2677,"",))</f>
        <v/>
      </c>
      <c r="AF1967" s="23" t="str">
        <f>IF($AC1967="","",_xlfn.XLOOKUP($AC1967,'Client Info'!$C$2:$C$2677,'Client Info'!$F$2:$F$2677,"",0,1))</f>
        <v/>
      </c>
      <c r="AG1967" s="23" t="str">
        <f>IF(ISBLANK(Table26[[#This Row],[customerSKU]]),"",_xlfn.XLOOKUP(Table26[[#This Row],[customerSKU]],Table27[customer_SKU],Table27[billto],"",0,1))</f>
        <v/>
      </c>
      <c r="AH1967" s="26" t="str">
        <f>_xlfn.XLOOKUP(Table26[[#This Row],[customerSKU]],customerSKU!G:G,customerSKU!K:K,"NA",0,1)</f>
        <v>NA</v>
      </c>
      <c r="AI1967" s="43" t="str">
        <f>_xlfn.XLOOKUP(Table26[[#This Row],[customerSKU]],customerSKU!G:G,customerSKU!O:O,"not found",0,1)</f>
        <v>not found</v>
      </c>
      <c r="AJ1967" s="22" t="e">
        <f>Table26[[#This Row],[unitprice]]*Table26[[#This Row],[quantity_unit]]</f>
        <v>#VALUE!</v>
      </c>
      <c r="AK1967" s="227" t="e" cm="1">
        <f t="array" ref="AK19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7" s="227"/>
    </row>
    <row r="1968" spans="1:38" ht="18" customHeight="1">
      <c r="A1968" s="42">
        <v>301</v>
      </c>
      <c r="B1968" s="42" t="s">
        <v>3520</v>
      </c>
      <c r="C1968" s="53" t="s">
        <v>3488</v>
      </c>
      <c r="E1968" s="20"/>
      <c r="F19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8" s="93"/>
      <c r="I1968" s="203">
        <v>45838</v>
      </c>
      <c r="J1968" s="90" t="str">
        <f>IF(Table26[[#This Row],[customerSKU]]="","",_xlfn.XLOOKUP(Table26[[#This Row],[customerSKU]],customerSKU!G:G,customerSKU!A:A,"",0,1))</f>
        <v/>
      </c>
      <c r="K1968" s="232">
        <v>45841</v>
      </c>
      <c r="L1968" s="49" t="str">
        <f>IF(Table26[[#This Row],[customerSKU]]="","",_xlfn.XLOOKUP(Table26[[#This Row],[customerSKU]],customerSKU!G:G,customerSKU!B:B,"",0,1))</f>
        <v/>
      </c>
      <c r="M1968" s="22"/>
      <c r="N1968" s="15" t="str">
        <f>Table26[[#This Row],[po_number]]&amp;"-"&amp;Table26[[#This Row],[po_line]]</f>
        <v>-1</v>
      </c>
      <c r="O1968" s="15">
        <v>1</v>
      </c>
      <c r="P1968" s="50"/>
      <c r="Q1968" s="22" t="s">
        <v>3722</v>
      </c>
      <c r="R1968" s="22" t="s">
        <v>532</v>
      </c>
      <c r="S1968" s="90" t="str">
        <f>IF(Table26[[#This Row],[customerSKU]]="","",_xlfn.XLOOKUP(Table26[[#This Row],[customerSKU]],customerSKU!G:G,customerSKU!N:N,"NOT FOUND",0,1))</f>
        <v>NOT FOUND</v>
      </c>
      <c r="T1968" s="20">
        <v>45832</v>
      </c>
      <c r="U1968" s="94">
        <f>12*16</f>
        <v>192</v>
      </c>
      <c r="V1968" s="22" t="str">
        <f>IF(ISBLANK(Table26[[#This Row],[customerSKU]]),"",_xlfn.XLOOKUP(Table26[[#This Row],[customerSKU]],Table27[customer_SKU],Table27[case_size],"",0,1))</f>
        <v/>
      </c>
      <c r="W1968" s="117" t="str">
        <f t="shared" si="79"/>
        <v/>
      </c>
      <c r="X1968" s="22" t="str">
        <f t="shared" si="78"/>
        <v/>
      </c>
      <c r="Y1968" s="25" t="str">
        <f>IF(Table26[[#This Row],[customerSKU]]="","",_xlfn.XLOOKUP(Table26[[#This Row],[customerSKU]],Table27[customer_SKU],Table27[product_GTIN],"",0,1))</f>
        <v/>
      </c>
      <c r="Z1968" s="25" t="s">
        <v>3723</v>
      </c>
      <c r="AA1968" s="18" t="str" cm="1">
        <f t="array" ref="AA1968">IF(P1968="", "", _xlfn.XLOOKUP(P1968,#REF!,#REF!,NA,0,-1))</f>
        <v/>
      </c>
      <c r="AB1968" s="22"/>
      <c r="AC1968" s="23" t="str">
        <f>IF(Table26[[#This Row],[customerSKU]]="","",_xlfn.XLOOKUP(Table26[[#This Row],[customerSKU]],customerSKU!G:G,customerSKU!C:C,"",0,1))</f>
        <v/>
      </c>
      <c r="AD1968" s="23" t="str">
        <f>IF($AC1968="","",_xlfn.XLOOKUP($AC1968,'Client Info'!$C$2:$C$2497,'Client Info'!$D$2:$D$2497,"",0,1))</f>
        <v/>
      </c>
      <c r="AE1968" s="23" t="str">
        <f>IF($AC1968="","",_xlfn.XLOOKUP($AC1968,'Client Info'!$C$2:$C$2677,'Client Info'!$E$2:$E$2677,"",))</f>
        <v/>
      </c>
      <c r="AF1968" s="23" t="str">
        <f>IF($AC1968="","",_xlfn.XLOOKUP($AC1968,'Client Info'!$C$2:$C$2677,'Client Info'!$F$2:$F$2677,"",0,1))</f>
        <v/>
      </c>
      <c r="AG1968" s="23" t="str">
        <f>IF(ISBLANK(Table26[[#This Row],[customerSKU]]),"",_xlfn.XLOOKUP(Table26[[#This Row],[customerSKU]],Table27[customer_SKU],Table27[billto],"",0,1))</f>
        <v/>
      </c>
      <c r="AH1968" s="26" t="str">
        <f>_xlfn.XLOOKUP(Table26[[#This Row],[customerSKU]],customerSKU!G:G,customerSKU!K:K,"NA",0,1)</f>
        <v>NA</v>
      </c>
      <c r="AI1968" s="43" t="str">
        <f>_xlfn.XLOOKUP(Table26[[#This Row],[customerSKU]],customerSKU!G:G,customerSKU!O:O,"not found",0,1)</f>
        <v>not found</v>
      </c>
      <c r="AJ1968" s="22" t="e">
        <f>Table26[[#This Row],[unitprice]]*Table26[[#This Row],[quantity_unit]]</f>
        <v>#VALUE!</v>
      </c>
      <c r="AK1968" s="227" t="e" cm="1">
        <f t="array" ref="AK19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8" s="227"/>
    </row>
    <row r="1969" spans="1:38" ht="18" customHeight="1">
      <c r="A1969" s="42">
        <v>302</v>
      </c>
      <c r="B1969" s="42" t="s">
        <v>3520</v>
      </c>
      <c r="C1969" s="53" t="s">
        <v>3488</v>
      </c>
      <c r="E1969" s="20"/>
      <c r="F19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69" s="93"/>
      <c r="I1969" s="203">
        <v>45838</v>
      </c>
      <c r="J1969" s="90" t="str">
        <f>IF(Table26[[#This Row],[customerSKU]]="","",_xlfn.XLOOKUP(Table26[[#This Row],[customerSKU]],customerSKU!G:G,customerSKU!A:A,"",0,1))</f>
        <v/>
      </c>
      <c r="K1969" s="232">
        <v>45841</v>
      </c>
      <c r="L1969" s="49" t="str">
        <f>IF(Table26[[#This Row],[customerSKU]]="","",_xlfn.XLOOKUP(Table26[[#This Row],[customerSKU]],customerSKU!G:G,customerSKU!B:B,"",0,1))</f>
        <v/>
      </c>
      <c r="M1969" s="22"/>
      <c r="N1969" s="15" t="str">
        <f>Table26[[#This Row],[po_number]]&amp;"-"&amp;Table26[[#This Row],[po_line]]</f>
        <v>-2</v>
      </c>
      <c r="O1969" s="15">
        <v>2</v>
      </c>
      <c r="P1969" s="50"/>
      <c r="Q1969" s="22" t="s">
        <v>3724</v>
      </c>
      <c r="R1969" s="22" t="s">
        <v>532</v>
      </c>
      <c r="S1969" s="90" t="str">
        <f>IF(Table26[[#This Row],[customerSKU]]="","",_xlfn.XLOOKUP(Table26[[#This Row],[customerSKU]],customerSKU!G:G,customerSKU!N:N,"NOT FOUND",0,1))</f>
        <v>NOT FOUND</v>
      </c>
      <c r="T1969" s="20">
        <v>45832</v>
      </c>
      <c r="U1969" s="94">
        <f>25*12</f>
        <v>300</v>
      </c>
      <c r="V1969" s="22" t="str">
        <f>IF(ISBLANK(Table26[[#This Row],[customerSKU]]),"",_xlfn.XLOOKUP(Table26[[#This Row],[customerSKU]],Table27[customer_SKU],Table27[case_size],"",0,1))</f>
        <v/>
      </c>
      <c r="W1969" s="117" t="str">
        <f t="shared" si="79"/>
        <v/>
      </c>
      <c r="X1969" s="22" t="str">
        <f t="shared" si="78"/>
        <v/>
      </c>
      <c r="Y1969" s="25" t="str">
        <f>IF(Table26[[#This Row],[customerSKU]]="","",_xlfn.XLOOKUP(Table26[[#This Row],[customerSKU]],Table27[customer_SKU],Table27[product_GTIN],"",0,1))</f>
        <v/>
      </c>
      <c r="Z1969" s="25" t="s">
        <v>3725</v>
      </c>
      <c r="AA1969" s="18" t="str" cm="1">
        <f t="array" ref="AA1969">IF(P1969="", "", _xlfn.XLOOKUP(P1969,#REF!,#REF!,NA,0,-1))</f>
        <v/>
      </c>
      <c r="AB1969" s="22"/>
      <c r="AC1969" s="23" t="str">
        <f>IF(Table26[[#This Row],[customerSKU]]="","",_xlfn.XLOOKUP(Table26[[#This Row],[customerSKU]],customerSKU!G:G,customerSKU!C:C,"",0,1))</f>
        <v/>
      </c>
      <c r="AD1969" s="23" t="str">
        <f>IF($AC1969="","",_xlfn.XLOOKUP($AC1969,'Client Info'!$C$2:$C$2497,'Client Info'!$D$2:$D$2497,"",0,1))</f>
        <v/>
      </c>
      <c r="AE1969" s="23" t="str">
        <f>IF($AC1969="","",_xlfn.XLOOKUP($AC1969,'Client Info'!$C$2:$C$2677,'Client Info'!$E$2:$E$2677,"",))</f>
        <v/>
      </c>
      <c r="AF1969" s="23" t="str">
        <f>IF($AC1969="","",_xlfn.XLOOKUP($AC1969,'Client Info'!$C$2:$C$2677,'Client Info'!$F$2:$F$2677,"",0,1))</f>
        <v/>
      </c>
      <c r="AG1969" s="23" t="str">
        <f>IF(ISBLANK(Table26[[#This Row],[customerSKU]]),"",_xlfn.XLOOKUP(Table26[[#This Row],[customerSKU]],Table27[customer_SKU],Table27[billto],"",0,1))</f>
        <v/>
      </c>
      <c r="AH1969" s="26" t="str">
        <f>_xlfn.XLOOKUP(Table26[[#This Row],[customerSKU]],customerSKU!G:G,customerSKU!K:K,"NA",0,1)</f>
        <v>NA</v>
      </c>
      <c r="AI1969" s="43" t="str">
        <f>_xlfn.XLOOKUP(Table26[[#This Row],[customerSKU]],customerSKU!G:G,customerSKU!O:O,"not found",0,1)</f>
        <v>not found</v>
      </c>
      <c r="AJ1969" s="22" t="e">
        <f>Table26[[#This Row],[unitprice]]*Table26[[#This Row],[quantity_unit]]</f>
        <v>#VALUE!</v>
      </c>
      <c r="AK1969" s="227" t="e" cm="1">
        <f t="array" ref="AK19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69" s="227"/>
    </row>
    <row r="1970" spans="1:38" ht="18" customHeight="1">
      <c r="A1970" s="42">
        <v>303</v>
      </c>
      <c r="B1970" s="42" t="s">
        <v>3520</v>
      </c>
      <c r="C1970" s="53" t="s">
        <v>3488</v>
      </c>
      <c r="E1970" s="20"/>
      <c r="F19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0" s="93"/>
      <c r="I1970" s="203">
        <v>45840</v>
      </c>
      <c r="J1970" s="90" t="str">
        <f>IF(Table26[[#This Row],[customerSKU]]="","",_xlfn.XLOOKUP(Table26[[#This Row],[customerSKU]],customerSKU!G:G,customerSKU!A:A,"",0,1))</f>
        <v/>
      </c>
      <c r="K1970" s="232">
        <v>45841</v>
      </c>
      <c r="L1970" s="49" t="str">
        <f>IF(Table26[[#This Row],[customerSKU]]="","",_xlfn.XLOOKUP(Table26[[#This Row],[customerSKU]],customerSKU!G:G,customerSKU!B:B,"",0,1))</f>
        <v/>
      </c>
      <c r="M1970" s="22"/>
      <c r="N1970" s="15" t="str">
        <f>Table26[[#This Row],[po_number]]&amp;"-"&amp;Table26[[#This Row],[po_line]]</f>
        <v>-1</v>
      </c>
      <c r="O1970" s="15">
        <v>1</v>
      </c>
      <c r="P1970" s="50"/>
      <c r="Q1970" s="22" t="s">
        <v>591</v>
      </c>
      <c r="R1970" s="22" t="s">
        <v>532</v>
      </c>
      <c r="S1970" s="90" t="str">
        <f>IF(Table26[[#This Row],[customerSKU]]="","",_xlfn.XLOOKUP(Table26[[#This Row],[customerSKU]],customerSKU!G:G,customerSKU!N:N,"NOT FOUND",0,1))</f>
        <v>NOT FOUND</v>
      </c>
      <c r="T1970" s="20">
        <v>45821</v>
      </c>
      <c r="U1970" s="94">
        <v>24</v>
      </c>
      <c r="V1970" s="22" t="str">
        <f>IF(ISBLANK(Table26[[#This Row],[customerSKU]]),"",_xlfn.XLOOKUP(Table26[[#This Row],[customerSKU]],Table27[customer_SKU],Table27[case_size],"",0,1))</f>
        <v/>
      </c>
      <c r="W1970" s="117" t="str">
        <f t="shared" si="79"/>
        <v/>
      </c>
      <c r="X1970" s="22" t="str">
        <f t="shared" si="78"/>
        <v/>
      </c>
      <c r="Y1970" s="25" t="str">
        <f>IF(Table26[[#This Row],[customerSKU]]="","",_xlfn.XLOOKUP(Table26[[#This Row],[customerSKU]],Table27[customer_SKU],Table27[product_GTIN],"",0,1))</f>
        <v/>
      </c>
      <c r="Z1970" s="25" t="s">
        <v>3525</v>
      </c>
      <c r="AA1970" s="18" t="str" cm="1">
        <f t="array" ref="AA1970">IF(P1970="", "", _xlfn.XLOOKUP(P1970,#REF!,#REF!,NA,0,-1))</f>
        <v/>
      </c>
      <c r="AB1970" s="22"/>
      <c r="AC1970" s="23" t="s">
        <v>188</v>
      </c>
      <c r="AD1970" s="23" t="str">
        <f>IF($AC1970="","",_xlfn.XLOOKUP($AC1970,'Client Info'!$C$2:$C$2497,'Client Info'!$D$2:$D$2497,"",0,1))</f>
        <v/>
      </c>
      <c r="AE1970" s="23" t="str">
        <f>IF($AC1970="","",_xlfn.XLOOKUP($AC1970,'Client Info'!$C$2:$C$2677,'Client Info'!$E$2:$E$2677,"",))</f>
        <v/>
      </c>
      <c r="AF1970" s="23" t="str">
        <f>IF($AC1970="","",_xlfn.XLOOKUP($AC1970,'Client Info'!$C$2:$C$2677,'Client Info'!$F$2:$F$2677,"",0,1))</f>
        <v/>
      </c>
      <c r="AG1970" s="23" t="s">
        <v>188</v>
      </c>
      <c r="AH1970" s="26" t="str">
        <f>_xlfn.XLOOKUP(Table26[[#This Row],[customerSKU]],customerSKU!G:G,customerSKU!K:K,"NA",0,1)</f>
        <v>NA</v>
      </c>
      <c r="AI1970" s="43" t="str">
        <f>_xlfn.XLOOKUP(Table26[[#This Row],[customerSKU]],customerSKU!G:G,customerSKU!O:O,"not found",0,1)</f>
        <v>not found</v>
      </c>
      <c r="AJ1970" s="22" t="e">
        <f>Table26[[#This Row],[unitprice]]*Table26[[#This Row],[quantity_unit]]</f>
        <v>#VALUE!</v>
      </c>
      <c r="AK1970" s="227" t="e" cm="1">
        <f t="array" ref="AK19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0" s="227"/>
    </row>
    <row r="1971" spans="1:38" ht="18" customHeight="1">
      <c r="A1971" s="42">
        <v>304</v>
      </c>
      <c r="B1971" s="42" t="s">
        <v>3520</v>
      </c>
      <c r="C1971" s="53" t="s">
        <v>3488</v>
      </c>
      <c r="E1971" s="20"/>
      <c r="F19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1" s="93"/>
      <c r="I1971" s="203">
        <v>45840</v>
      </c>
      <c r="J1971" s="90" t="str">
        <f>IF(Table26[[#This Row],[customerSKU]]="","",_xlfn.XLOOKUP(Table26[[#This Row],[customerSKU]],customerSKU!G:G,customerSKU!A:A,"",0,1))</f>
        <v/>
      </c>
      <c r="K1971" s="232">
        <v>45841</v>
      </c>
      <c r="L1971" s="49" t="str">
        <f>IF(Table26[[#This Row],[customerSKU]]="","",_xlfn.XLOOKUP(Table26[[#This Row],[customerSKU]],customerSKU!G:G,customerSKU!B:B,"",0,1))</f>
        <v/>
      </c>
      <c r="M1971" s="22"/>
      <c r="N1971" s="15" t="str">
        <f>Table26[[#This Row],[po_number]]&amp;"-"&amp;Table26[[#This Row],[po_line]]</f>
        <v>-2</v>
      </c>
      <c r="O1971" s="15">
        <v>2</v>
      </c>
      <c r="P1971" s="50"/>
      <c r="Q1971" s="22" t="s">
        <v>1829</v>
      </c>
      <c r="R1971" s="22" t="s">
        <v>532</v>
      </c>
      <c r="S1971" s="90" t="str">
        <f>IF(Table26[[#This Row],[customerSKU]]="","",_xlfn.XLOOKUP(Table26[[#This Row],[customerSKU]],customerSKU!G:G,customerSKU!N:N,"NOT FOUND",0,1))</f>
        <v>NOT FOUND</v>
      </c>
      <c r="T1971" s="20">
        <v>45826</v>
      </c>
      <c r="U1971" s="94">
        <v>12</v>
      </c>
      <c r="V1971" s="22" t="str">
        <f>IF(ISBLANK(Table26[[#This Row],[customerSKU]]),"",_xlfn.XLOOKUP(Table26[[#This Row],[customerSKU]],Table27[customer_SKU],Table27[case_size],"",0,1))</f>
        <v/>
      </c>
      <c r="W1971" s="117" t="str">
        <f t="shared" si="79"/>
        <v/>
      </c>
      <c r="X1971" s="22" t="str">
        <f t="shared" si="78"/>
        <v/>
      </c>
      <c r="Y1971" s="25" t="str">
        <f>IF(Table26[[#This Row],[customerSKU]]="","",_xlfn.XLOOKUP(Table26[[#This Row],[customerSKU]],Table27[customer_SKU],Table27[product_GTIN],"",0,1))</f>
        <v/>
      </c>
      <c r="Z1971" s="25" t="s">
        <v>3522</v>
      </c>
      <c r="AA1971" s="18" t="str" cm="1">
        <f t="array" ref="AA1971">IF(P1971="", "", _xlfn.XLOOKUP(P1971,#REF!,#REF!,NA,0,-1))</f>
        <v/>
      </c>
      <c r="AB1971" s="22"/>
      <c r="AC1971" s="23" t="s">
        <v>188</v>
      </c>
      <c r="AD1971" s="23" t="str">
        <f>IF($AC1971="","",_xlfn.XLOOKUP($AC1971,'Client Info'!$C$2:$C$2497,'Client Info'!$D$2:$D$2497,"",0,1))</f>
        <v/>
      </c>
      <c r="AE1971" s="23" t="str">
        <f>IF($AC1971="","",_xlfn.XLOOKUP($AC1971,'Client Info'!$C$2:$C$2677,'Client Info'!$E$2:$E$2677,"",))</f>
        <v/>
      </c>
      <c r="AF1971" s="23" t="str">
        <f>IF($AC1971="","",_xlfn.XLOOKUP($AC1971,'Client Info'!$C$2:$C$2677,'Client Info'!$F$2:$F$2677,"",0,1))</f>
        <v/>
      </c>
      <c r="AG1971" s="23" t="s">
        <v>188</v>
      </c>
      <c r="AH1971" s="26" t="str">
        <f>_xlfn.XLOOKUP(Table26[[#This Row],[customerSKU]],customerSKU!G:G,customerSKU!K:K,"NA",0,1)</f>
        <v>NA</v>
      </c>
      <c r="AI1971" s="43" t="str">
        <f>_xlfn.XLOOKUP(Table26[[#This Row],[customerSKU]],customerSKU!G:G,customerSKU!O:O,"not found",0,1)</f>
        <v>not found</v>
      </c>
      <c r="AJ1971" s="22" t="e">
        <f>Table26[[#This Row],[unitprice]]*Table26[[#This Row],[quantity_unit]]</f>
        <v>#VALUE!</v>
      </c>
      <c r="AK1971" s="227" t="e" cm="1">
        <f t="array" ref="AK19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1" s="227"/>
    </row>
    <row r="1972" spans="1:38" ht="18" customHeight="1">
      <c r="A1972" s="42">
        <v>305</v>
      </c>
      <c r="B1972" s="42" t="s">
        <v>3520</v>
      </c>
      <c r="C1972" s="53" t="s">
        <v>3488</v>
      </c>
      <c r="E1972" s="20"/>
      <c r="F19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2" s="93"/>
      <c r="I1972" s="203">
        <v>45841</v>
      </c>
      <c r="J1972" s="90" t="str">
        <f>IF(Table26[[#This Row],[customerSKU]]="","",_xlfn.XLOOKUP(Table26[[#This Row],[customerSKU]],customerSKU!G:G,customerSKU!A:A,"",0,1))</f>
        <v/>
      </c>
      <c r="K1972" s="232">
        <v>45841</v>
      </c>
      <c r="L1972" s="49" t="str">
        <f>IF(Table26[[#This Row],[customerSKU]]="","",_xlfn.XLOOKUP(Table26[[#This Row],[customerSKU]],customerSKU!G:G,customerSKU!B:B,"",0,1))</f>
        <v/>
      </c>
      <c r="M1972" s="22"/>
      <c r="N1972" s="15" t="str">
        <f>Table26[[#This Row],[po_number]]&amp;"-"&amp;Table26[[#This Row],[po_line]]</f>
        <v>-1</v>
      </c>
      <c r="O1972" s="15">
        <v>1</v>
      </c>
      <c r="P1972" s="50"/>
      <c r="Q1972" s="22" t="s">
        <v>531</v>
      </c>
      <c r="R1972" s="22" t="s">
        <v>532</v>
      </c>
      <c r="S1972" s="90" t="str">
        <f>IF(Table26[[#This Row],[customerSKU]]="","",_xlfn.XLOOKUP(Table26[[#This Row],[customerSKU]],customerSKU!G:G,customerSKU!N:N,"NOT FOUND",0,1))</f>
        <v>NOT FOUND</v>
      </c>
      <c r="T1972" s="20">
        <v>45841</v>
      </c>
      <c r="U1972" s="94">
        <v>6</v>
      </c>
      <c r="V1972" s="22" t="str">
        <f>IF(ISBLANK(Table26[[#This Row],[customerSKU]]),"",_xlfn.XLOOKUP(Table26[[#This Row],[customerSKU]],Table27[customer_SKU],Table27[case_size],"",0,1))</f>
        <v/>
      </c>
      <c r="W1972" s="117" t="str">
        <f t="shared" si="79"/>
        <v/>
      </c>
      <c r="X1972" s="22" t="str">
        <f t="shared" si="78"/>
        <v/>
      </c>
      <c r="Y1972" s="25" t="str">
        <f>IF(Table26[[#This Row],[customerSKU]]="","",_xlfn.XLOOKUP(Table26[[#This Row],[customerSKU]],Table27[customer_SKU],Table27[product_GTIN],"",0,1))</f>
        <v/>
      </c>
      <c r="Z1972" s="25" t="s">
        <v>3597</v>
      </c>
      <c r="AA1972" s="18" t="str" cm="1">
        <f t="array" ref="AA1972">IF(P1972="", "", _xlfn.XLOOKUP(P1972,#REF!,#REF!,NA,0,-1))</f>
        <v/>
      </c>
      <c r="AB1972" s="22" t="s">
        <v>18</v>
      </c>
      <c r="AC1972" s="351" t="s">
        <v>97</v>
      </c>
      <c r="AD1972" s="23" t="str">
        <f>IF($AC1972="","",_xlfn.XLOOKUP($AC1972,'Client Info'!$C$2:$C$2497,'Client Info'!$D$2:$D$2497,"",0,1))</f>
        <v/>
      </c>
      <c r="AE1972" s="23" t="str">
        <f>IF($AC1972="","",_xlfn.XLOOKUP($AC1972,'Client Info'!$C$2:$C$2677,'Client Info'!$E$2:$E$2677,"",))</f>
        <v/>
      </c>
      <c r="AF1972" s="23" t="str">
        <f>IF($AC1972="","",_xlfn.XLOOKUP($AC1972,'Client Info'!$C$2:$C$2677,'Client Info'!$F$2:$F$2677,"",0,1))</f>
        <v/>
      </c>
      <c r="AG1972" s="351" t="s">
        <v>97</v>
      </c>
      <c r="AH1972" s="26" t="str">
        <f>_xlfn.XLOOKUP(Table26[[#This Row],[customerSKU]],customerSKU!G:G,customerSKU!K:K,"NA",0,1)</f>
        <v>NA</v>
      </c>
      <c r="AI1972" s="43" t="str">
        <f>_xlfn.XLOOKUP(Table26[[#This Row],[customerSKU]],customerSKU!G:G,customerSKU!O:O,"not found",0,1)</f>
        <v>not found</v>
      </c>
      <c r="AJ1972" s="22" t="e">
        <f>Table26[[#This Row],[unitprice]]*Table26[[#This Row],[quantity_unit]]</f>
        <v>#VALUE!</v>
      </c>
      <c r="AK1972" s="227" t="e" cm="1">
        <f t="array" ref="AK19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2" s="227"/>
    </row>
    <row r="1973" spans="1:38" ht="18" customHeight="1">
      <c r="A1973" s="42">
        <v>306</v>
      </c>
      <c r="B1973" s="42" t="s">
        <v>3520</v>
      </c>
      <c r="C1973" s="53" t="s">
        <v>3488</v>
      </c>
      <c r="E1973" s="20"/>
      <c r="F19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3" s="93"/>
      <c r="I1973" s="203">
        <v>45841</v>
      </c>
      <c r="J1973" s="90" t="str">
        <f>IF(Table26[[#This Row],[customerSKU]]="","",_xlfn.XLOOKUP(Table26[[#This Row],[customerSKU]],customerSKU!G:G,customerSKU!A:A,"",0,1))</f>
        <v/>
      </c>
      <c r="K1973" s="232">
        <v>45841</v>
      </c>
      <c r="L1973" s="49" t="str">
        <f>IF(Table26[[#This Row],[customerSKU]]="","",_xlfn.XLOOKUP(Table26[[#This Row],[customerSKU]],customerSKU!G:G,customerSKU!B:B,"",0,1))</f>
        <v/>
      </c>
      <c r="M1973" s="22"/>
      <c r="N1973" s="15" t="str">
        <f>Table26[[#This Row],[po_number]]&amp;"-"&amp;Table26[[#This Row],[po_line]]</f>
        <v>-2</v>
      </c>
      <c r="O1973" s="15">
        <v>2</v>
      </c>
      <c r="P1973" s="50"/>
      <c r="Q1973" s="22" t="s">
        <v>574</v>
      </c>
      <c r="R1973" s="22" t="s">
        <v>532</v>
      </c>
      <c r="S1973" s="90" t="str">
        <f>IF(Table26[[#This Row],[customerSKU]]="","",_xlfn.XLOOKUP(Table26[[#This Row],[customerSKU]],customerSKU!G:G,customerSKU!N:N,"NOT FOUND",0,1))</f>
        <v>NOT FOUND</v>
      </c>
      <c r="T1973" s="20">
        <v>45818</v>
      </c>
      <c r="U1973" s="94">
        <v>12</v>
      </c>
      <c r="V1973" s="22" t="str">
        <f>IF(ISBLANK(Table26[[#This Row],[customerSKU]]),"",_xlfn.XLOOKUP(Table26[[#This Row],[customerSKU]],Table27[customer_SKU],Table27[case_size],"",0,1))</f>
        <v/>
      </c>
      <c r="W1973" s="117" t="str">
        <f t="shared" si="79"/>
        <v/>
      </c>
      <c r="X1973" s="22" t="str">
        <f t="shared" si="78"/>
        <v/>
      </c>
      <c r="Y1973" s="25" t="str">
        <f>IF(Table26[[#This Row],[customerSKU]]="","",_xlfn.XLOOKUP(Table26[[#This Row],[customerSKU]],Table27[customer_SKU],Table27[product_GTIN],"",0,1))</f>
        <v/>
      </c>
      <c r="Z1973" s="25" t="s">
        <v>3530</v>
      </c>
      <c r="AA1973" s="18" t="str" cm="1">
        <f t="array" ref="AA1973">IF(P1973="", "", _xlfn.XLOOKUP(P1973,#REF!,#REF!,NA,0,-1))</f>
        <v/>
      </c>
      <c r="AB1973" s="22"/>
      <c r="AC1973" s="351" t="s">
        <v>97</v>
      </c>
      <c r="AD1973" s="23" t="str">
        <f>IF($AC1973="","",_xlfn.XLOOKUP($AC1973,'Client Info'!$C$2:$C$2497,'Client Info'!$D$2:$D$2497,"",0,1))</f>
        <v/>
      </c>
      <c r="AE1973" s="23" t="str">
        <f>IF($AC1973="","",_xlfn.XLOOKUP($AC1973,'Client Info'!$C$2:$C$2677,'Client Info'!$E$2:$E$2677,"",))</f>
        <v/>
      </c>
      <c r="AF1973" s="23" t="str">
        <f>IF($AC1973="","",_xlfn.XLOOKUP($AC1973,'Client Info'!$C$2:$C$2677,'Client Info'!$F$2:$F$2677,"",0,1))</f>
        <v/>
      </c>
      <c r="AG1973" s="351" t="s">
        <v>97</v>
      </c>
      <c r="AH1973" s="26" t="str">
        <f>_xlfn.XLOOKUP(Table26[[#This Row],[customerSKU]],customerSKU!G:G,customerSKU!K:K,"NA",0,1)</f>
        <v>NA</v>
      </c>
      <c r="AI1973" s="43" t="str">
        <f>_xlfn.XLOOKUP(Table26[[#This Row],[customerSKU]],customerSKU!G:G,customerSKU!O:O,"not found",0,1)</f>
        <v>not found</v>
      </c>
      <c r="AJ1973" s="22" t="e">
        <f>Table26[[#This Row],[unitprice]]*Table26[[#This Row],[quantity_unit]]</f>
        <v>#VALUE!</v>
      </c>
      <c r="AK1973" s="227" t="e" cm="1">
        <f t="array" ref="AK19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3" s="227"/>
    </row>
    <row r="1974" spans="1:38" ht="18" customHeight="1">
      <c r="A1974" s="42">
        <v>307</v>
      </c>
      <c r="B1974" s="42" t="s">
        <v>3520</v>
      </c>
      <c r="C1974" s="53" t="s">
        <v>3488</v>
      </c>
      <c r="E1974" s="20"/>
      <c r="F19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4" s="93"/>
      <c r="I1974" s="203">
        <v>45841</v>
      </c>
      <c r="J1974" s="90" t="str">
        <f>IF(Table26[[#This Row],[customerSKU]]="","",_xlfn.XLOOKUP(Table26[[#This Row],[customerSKU]],customerSKU!G:G,customerSKU!A:A,"",0,1))</f>
        <v/>
      </c>
      <c r="K1974" s="232">
        <v>45841</v>
      </c>
      <c r="L1974" s="49" t="str">
        <f>IF(Table26[[#This Row],[customerSKU]]="","",_xlfn.XLOOKUP(Table26[[#This Row],[customerSKU]],customerSKU!G:G,customerSKU!B:B,"",0,1))</f>
        <v/>
      </c>
      <c r="M1974" s="22"/>
      <c r="N1974" s="15" t="str">
        <f>Table26[[#This Row],[po_number]]&amp;"-"&amp;Table26[[#This Row],[po_line]]</f>
        <v>-3</v>
      </c>
      <c r="O1974" s="15">
        <v>3</v>
      </c>
      <c r="P1974" s="50"/>
      <c r="Q1974" s="22" t="s">
        <v>543</v>
      </c>
      <c r="R1974" s="22" t="s">
        <v>532</v>
      </c>
      <c r="S1974" s="90" t="str">
        <f>IF(Table26[[#This Row],[customerSKU]]="","",_xlfn.XLOOKUP(Table26[[#This Row],[customerSKU]],customerSKU!G:G,customerSKU!N:N,"NOT FOUND",0,1))</f>
        <v>NOT FOUND</v>
      </c>
      <c r="T1974" s="20">
        <v>45732</v>
      </c>
      <c r="U1974" s="94">
        <v>6</v>
      </c>
      <c r="V1974" s="22" t="str">
        <f>IF(ISBLANK(Table26[[#This Row],[customerSKU]]),"",_xlfn.XLOOKUP(Table26[[#This Row],[customerSKU]],Table27[customer_SKU],Table27[case_size],"",0,1))</f>
        <v/>
      </c>
      <c r="W1974" s="117" t="str">
        <f t="shared" si="79"/>
        <v/>
      </c>
      <c r="X1974" s="22" t="str">
        <f t="shared" si="78"/>
        <v/>
      </c>
      <c r="Y1974" s="25" t="str">
        <f>IF(Table26[[#This Row],[customerSKU]]="","",_xlfn.XLOOKUP(Table26[[#This Row],[customerSKU]],Table27[customer_SKU],Table27[product_GTIN],"",0,1))</f>
        <v/>
      </c>
      <c r="Z1974" s="25" t="s">
        <v>3599</v>
      </c>
      <c r="AA1974" s="18" t="str" cm="1">
        <f t="array" ref="AA1974">IF(P1974="", "", _xlfn.XLOOKUP(P1974,#REF!,#REF!,NA,0,-1))</f>
        <v/>
      </c>
      <c r="AB1974" s="22"/>
      <c r="AC1974" s="351" t="s">
        <v>97</v>
      </c>
      <c r="AD1974" s="23" t="str">
        <f>IF($AC1974="","",_xlfn.XLOOKUP($AC1974,'Client Info'!$C$2:$C$2497,'Client Info'!$D$2:$D$2497,"",0,1))</f>
        <v/>
      </c>
      <c r="AE1974" s="23" t="str">
        <f>IF($AC1974="","",_xlfn.XLOOKUP($AC1974,'Client Info'!$C$2:$C$2677,'Client Info'!$E$2:$E$2677,"",))</f>
        <v/>
      </c>
      <c r="AF1974" s="23" t="str">
        <f>IF($AC1974="","",_xlfn.XLOOKUP($AC1974,'Client Info'!$C$2:$C$2677,'Client Info'!$F$2:$F$2677,"",0,1))</f>
        <v/>
      </c>
      <c r="AG1974" s="351" t="s">
        <v>97</v>
      </c>
      <c r="AH1974" s="26" t="str">
        <f>_xlfn.XLOOKUP(Table26[[#This Row],[customerSKU]],customerSKU!G:G,customerSKU!K:K,"NA",0,1)</f>
        <v>NA</v>
      </c>
      <c r="AI1974" s="43" t="str">
        <f>_xlfn.XLOOKUP(Table26[[#This Row],[customerSKU]],customerSKU!G:G,customerSKU!O:O,"not found",0,1)</f>
        <v>not found</v>
      </c>
      <c r="AJ1974" s="22" t="e">
        <f>Table26[[#This Row],[unitprice]]*Table26[[#This Row],[quantity_unit]]</f>
        <v>#VALUE!</v>
      </c>
      <c r="AK1974" s="227" t="e" cm="1">
        <f t="array" ref="AK19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4" s="227"/>
    </row>
    <row r="1975" spans="1:38" ht="18" customHeight="1">
      <c r="A1975" s="42">
        <v>251</v>
      </c>
      <c r="B1975" s="42" t="s">
        <v>3520</v>
      </c>
      <c r="C1975" s="53" t="s">
        <v>3427</v>
      </c>
      <c r="E1975" s="20"/>
      <c r="F19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5" s="93"/>
      <c r="I1975" s="203">
        <v>45819</v>
      </c>
      <c r="J1975" s="90" t="str">
        <f>IF(Table26[[#This Row],[customerSKU]]="","",_xlfn.XLOOKUP(Table26[[#This Row],[customerSKU]],customerSKU!G:G,customerSKU!A:A,"",0,1))</f>
        <v/>
      </c>
      <c r="K1975" s="232">
        <v>45842</v>
      </c>
      <c r="L1975" s="49" t="str">
        <f>IF(Table26[[#This Row],[customerSKU]]="","",_xlfn.XLOOKUP(Table26[[#This Row],[customerSKU]],customerSKU!G:G,customerSKU!B:B,"",0,1))</f>
        <v/>
      </c>
      <c r="M1975" s="22"/>
      <c r="N1975" s="15" t="str">
        <f>Table26[[#This Row],[po_number]]&amp;"-"&amp;Table26[[#This Row],[po_line]]</f>
        <v>-1</v>
      </c>
      <c r="O1975" s="15">
        <v>1</v>
      </c>
      <c r="P1975" s="50"/>
      <c r="Q1975" s="22" t="s">
        <v>1832</v>
      </c>
      <c r="R1975" s="22" t="s">
        <v>532</v>
      </c>
      <c r="S1975" s="90" t="str">
        <f>IF(Table26[[#This Row],[customerSKU]]="","",_xlfn.XLOOKUP(Table26[[#This Row],[customerSKU]],customerSKU!G:G,customerSKU!N:N,"NOT FOUND",0,1))</f>
        <v>NOT FOUND</v>
      </c>
      <c r="T1975" s="20">
        <v>45840</v>
      </c>
      <c r="U1975" s="94">
        <f>125*6</f>
        <v>750</v>
      </c>
      <c r="V1975" s="22" t="str">
        <f>IF(ISBLANK(Table26[[#This Row],[customerSKU]]),"",_xlfn.XLOOKUP(Table26[[#This Row],[customerSKU]],Table27[customer_SKU],Table27[case_size],"",0,1))</f>
        <v/>
      </c>
      <c r="W1975" s="117" t="str">
        <f t="shared" si="79"/>
        <v/>
      </c>
      <c r="X1975" s="22" t="str">
        <f t="shared" si="78"/>
        <v/>
      </c>
      <c r="Y1975" s="25" t="str">
        <f>IF(Table26[[#This Row],[customerSKU]]="","",_xlfn.XLOOKUP(Table26[[#This Row],[customerSKU]],Table27[customer_SKU],Table27[product_GTIN],"",0,1))</f>
        <v/>
      </c>
      <c r="Z1975" s="25" t="s">
        <v>3659</v>
      </c>
      <c r="AA1975" s="18" t="str" cm="1">
        <f t="array" ref="AA1975">IF(P1975="", "", _xlfn.XLOOKUP(P1975,#REF!,#REF!,NA,0,-1))</f>
        <v/>
      </c>
      <c r="AB1975" s="22"/>
      <c r="AC1975" s="55" t="str">
        <f>IF(Table26[[#This Row],[customerSKU]]="","",_xlfn.XLOOKUP(Table26[[#This Row],[customerSKU]],customerSKU!G:G,customerSKU!C:C,"",0,1))</f>
        <v/>
      </c>
      <c r="AD1975" s="55" t="str">
        <f>IF($AC1975="","",_xlfn.XLOOKUP($AC1975,'Client Info'!$C$2:$C$2497,'Client Info'!$D$2:$D$2497,"",0,1))</f>
        <v/>
      </c>
      <c r="AE1975" s="55" t="str">
        <f>IF($AC1975="","",_xlfn.XLOOKUP($AC1975,'Client Info'!$C$2:$C$2677,'Client Info'!$E$2:$E$2677,"",))</f>
        <v/>
      </c>
      <c r="AF1975" s="55" t="str">
        <f>IF($AC1975="","",_xlfn.XLOOKUP($AC1975,'Client Info'!$C$2:$C$2677,'Client Info'!$F$2:$F$2677,"",0,1))</f>
        <v/>
      </c>
      <c r="AG1975" s="55" t="str">
        <f>IF(ISBLANK(Table26[[#This Row],[customerSKU]]),"",_xlfn.XLOOKUP(Table26[[#This Row],[customerSKU]],Table27[customer_SKU],Table27[billto],"",0,1))</f>
        <v/>
      </c>
      <c r="AH1975" s="26" t="str">
        <f>_xlfn.XLOOKUP(Table26[[#This Row],[customerSKU]],customerSKU!G:G,customerSKU!K:K,"NA",0,1)</f>
        <v>NA</v>
      </c>
      <c r="AI1975" s="43" t="str">
        <f>_xlfn.XLOOKUP(Table26[[#This Row],[customerSKU]],customerSKU!G:G,customerSKU!O:O,"not found",0,1)</f>
        <v>not found</v>
      </c>
      <c r="AJ1975" s="22" t="e">
        <f>Table26[[#This Row],[unitprice]]*Table26[[#This Row],[quantity_unit]]</f>
        <v>#VALUE!</v>
      </c>
      <c r="AK1975" s="227" t="e" cm="1">
        <f t="array" ref="AK19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5" s="227"/>
    </row>
    <row r="1976" spans="1:38" ht="18" customHeight="1">
      <c r="A1976" s="42">
        <v>252</v>
      </c>
      <c r="B1976" s="42" t="s">
        <v>3520</v>
      </c>
      <c r="C1976" s="53" t="s">
        <v>3427</v>
      </c>
      <c r="E1976" s="20"/>
      <c r="F19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6" s="93"/>
      <c r="I1976" s="203">
        <v>45835</v>
      </c>
      <c r="J1976" s="90" t="str">
        <f>IF(Table26[[#This Row],[customerSKU]]="","",_xlfn.XLOOKUP(Table26[[#This Row],[customerSKU]],customerSKU!G:G,customerSKU!A:A,"",0,1))</f>
        <v/>
      </c>
      <c r="K1976" s="232">
        <v>45842</v>
      </c>
      <c r="L1976" s="49" t="str">
        <f>IF(Table26[[#This Row],[customerSKU]]="","",_xlfn.XLOOKUP(Table26[[#This Row],[customerSKU]],customerSKU!G:G,customerSKU!B:B,"",0,1))</f>
        <v/>
      </c>
      <c r="M1976" s="22"/>
      <c r="N1976" s="15" t="str">
        <f>Table26[[#This Row],[po_number]]&amp;"-"&amp;Table26[[#This Row],[po_line]]</f>
        <v>-1</v>
      </c>
      <c r="O1976" s="15">
        <v>1</v>
      </c>
      <c r="P1976" s="50"/>
      <c r="Q1976" s="22" t="s">
        <v>659</v>
      </c>
      <c r="R1976" s="22" t="s">
        <v>569</v>
      </c>
      <c r="S1976" s="90" t="str">
        <f>IF(Table26[[#This Row],[customerSKU]]="","",_xlfn.XLOOKUP(Table26[[#This Row],[customerSKU]],customerSKU!G:G,customerSKU!N:N,"NOT FOUND",0,1))</f>
        <v>NOT FOUND</v>
      </c>
      <c r="T1976" s="20">
        <v>45638</v>
      </c>
      <c r="U1976" s="94">
        <v>36</v>
      </c>
      <c r="V1976" s="22" t="str">
        <f>IF(ISBLANK(Table26[[#This Row],[customerSKU]]),"",_xlfn.XLOOKUP(Table26[[#This Row],[customerSKU]],Table27[customer_SKU],Table27[case_size],"",0,1))</f>
        <v/>
      </c>
      <c r="W1976" s="117" t="str">
        <f t="shared" si="79"/>
        <v/>
      </c>
      <c r="X1976" s="22" t="str">
        <f t="shared" si="78"/>
        <v/>
      </c>
      <c r="Y1976" s="25" t="str">
        <f>IF(Table26[[#This Row],[customerSKU]]="","",_xlfn.XLOOKUP(Table26[[#This Row],[customerSKU]],Table27[customer_SKU],Table27[product_GTIN],"",0,1))</f>
        <v/>
      </c>
      <c r="Z1976" s="25" t="s">
        <v>3703</v>
      </c>
      <c r="AA1976" s="18" t="str" cm="1">
        <f t="array" ref="AA1976">IF(P1976="", "", _xlfn.XLOOKUP(P1976,#REF!,#REF!,NA,0,-1))</f>
        <v/>
      </c>
      <c r="AB1976" s="22"/>
      <c r="AC1976" s="23" t="str">
        <f>IF(Table26[[#This Row],[customerSKU]]="","",_xlfn.XLOOKUP(Table26[[#This Row],[customerSKU]],customerSKU!G:G,customerSKU!C:C,"",0,1))</f>
        <v/>
      </c>
      <c r="AD1976" s="23" t="str">
        <f>IF($AC1976="","",_xlfn.XLOOKUP($AC1976,'Client Info'!$C$2:$C$2497,'Client Info'!$D$2:$D$2497,"",0,1))</f>
        <v/>
      </c>
      <c r="AE1976" s="23" t="str">
        <f>IF($AC1976="","",_xlfn.XLOOKUP($AC1976,'Client Info'!$C$2:$C$2677,'Client Info'!$E$2:$E$2677,"",))</f>
        <v/>
      </c>
      <c r="AF1976" s="23" t="str">
        <f>IF($AC1976="","",_xlfn.XLOOKUP($AC1976,'Client Info'!$C$2:$C$2677,'Client Info'!$F$2:$F$2677,"",0,1))</f>
        <v/>
      </c>
      <c r="AG1976" s="23" t="str">
        <f>IF(ISBLANK(Table26[[#This Row],[customerSKU]]),"",_xlfn.XLOOKUP(Table26[[#This Row],[customerSKU]],Table27[customer_SKU],Table27[billto],"",0,1))</f>
        <v/>
      </c>
      <c r="AH1976" s="26" t="str">
        <f>_xlfn.XLOOKUP(Table26[[#This Row],[customerSKU]],customerSKU!G:G,customerSKU!K:K,"NA",0,1)</f>
        <v>NA</v>
      </c>
      <c r="AI1976" s="43" t="str">
        <f>_xlfn.XLOOKUP(Table26[[#This Row],[customerSKU]],customerSKU!G:G,customerSKU!O:O,"not found",0,1)</f>
        <v>not found</v>
      </c>
      <c r="AJ1976" s="22" t="e">
        <f>Table26[[#This Row],[unitprice]]*Table26[[#This Row],[quantity_unit]]</f>
        <v>#VALUE!</v>
      </c>
      <c r="AK1976" s="227" t="e" cm="1">
        <f t="array" ref="AK19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6" s="227"/>
    </row>
    <row r="1977" spans="1:38" ht="18" customHeight="1">
      <c r="A1977" s="42">
        <v>253</v>
      </c>
      <c r="B1977" s="42" t="s">
        <v>3520</v>
      </c>
      <c r="C1977" s="53" t="s">
        <v>3427</v>
      </c>
      <c r="E1977" s="20"/>
      <c r="F19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7" s="93"/>
      <c r="I1977" s="203">
        <v>45835</v>
      </c>
      <c r="J1977" s="90" t="str">
        <f>IF(Table26[[#This Row],[customerSKU]]="","",_xlfn.XLOOKUP(Table26[[#This Row],[customerSKU]],customerSKU!G:G,customerSKU!A:A,"",0,1))</f>
        <v/>
      </c>
      <c r="K1977" s="232">
        <v>45842</v>
      </c>
      <c r="L1977" s="49" t="str">
        <f>IF(Table26[[#This Row],[customerSKU]]="","",_xlfn.XLOOKUP(Table26[[#This Row],[customerSKU]],customerSKU!G:G,customerSKU!B:B,"",0,1))</f>
        <v/>
      </c>
      <c r="M1977" s="22"/>
      <c r="N1977" s="15" t="str">
        <f>Table26[[#This Row],[po_number]]&amp;"-"&amp;Table26[[#This Row],[po_line]]</f>
        <v>-2</v>
      </c>
      <c r="O1977" s="15">
        <v>2</v>
      </c>
      <c r="P1977" s="50"/>
      <c r="Q1977" s="22" t="s">
        <v>1827</v>
      </c>
      <c r="R1977" s="22" t="s">
        <v>221</v>
      </c>
      <c r="S1977" s="90" t="str">
        <f>IF(Table26[[#This Row],[customerSKU]]="","",_xlfn.XLOOKUP(Table26[[#This Row],[customerSKU]],customerSKU!G:G,customerSKU!N:N,"NOT FOUND",0,1))</f>
        <v>NOT FOUND</v>
      </c>
      <c r="T1977" s="20">
        <v>45825</v>
      </c>
      <c r="U1977" s="94">
        <f>12*9</f>
        <v>108</v>
      </c>
      <c r="V1977" s="22" t="str">
        <f>IF(ISBLANK(Table26[[#This Row],[customerSKU]]),"",_xlfn.XLOOKUP(Table26[[#This Row],[customerSKU]],Table27[customer_SKU],Table27[case_size],"",0,1))</f>
        <v/>
      </c>
      <c r="W1977" s="117" t="str">
        <f t="shared" si="79"/>
        <v/>
      </c>
      <c r="X1977" s="22" t="str">
        <f t="shared" si="78"/>
        <v/>
      </c>
      <c r="Y1977" s="25" t="str">
        <f>IF(Table26[[#This Row],[customerSKU]]="","",_xlfn.XLOOKUP(Table26[[#This Row],[customerSKU]],Table27[customer_SKU],Table27[product_GTIN],"",0,1))</f>
        <v/>
      </c>
      <c r="Z1977" s="25" t="s">
        <v>3704</v>
      </c>
      <c r="AA1977" s="18" t="str" cm="1">
        <f t="array" ref="AA1977">IF(P1977="", "", _xlfn.XLOOKUP(P1977,#REF!,#REF!,NA,0,-1))</f>
        <v/>
      </c>
      <c r="AB1977" s="22"/>
      <c r="AC1977" s="23" t="str">
        <f>IF(Table26[[#This Row],[customerSKU]]="","",_xlfn.XLOOKUP(Table26[[#This Row],[customerSKU]],customerSKU!G:G,customerSKU!C:C,"",0,1))</f>
        <v/>
      </c>
      <c r="AD1977" s="23" t="str">
        <f>IF($AC1977="","",_xlfn.XLOOKUP($AC1977,'Client Info'!$C$2:$C$2497,'Client Info'!$D$2:$D$2497,"",0,1))</f>
        <v/>
      </c>
      <c r="AE1977" s="23" t="str">
        <f>IF($AC1977="","",_xlfn.XLOOKUP($AC1977,'Client Info'!$C$2:$C$2677,'Client Info'!$E$2:$E$2677,"",))</f>
        <v/>
      </c>
      <c r="AF1977" s="23" t="str">
        <f>IF($AC1977="","",_xlfn.XLOOKUP($AC1977,'Client Info'!$C$2:$C$2677,'Client Info'!$F$2:$F$2677,"",0,1))</f>
        <v/>
      </c>
      <c r="AG1977" s="23" t="str">
        <f>IF(ISBLANK(Table26[[#This Row],[customerSKU]]),"",_xlfn.XLOOKUP(Table26[[#This Row],[customerSKU]],Table27[customer_SKU],Table27[billto],"",0,1))</f>
        <v/>
      </c>
      <c r="AH1977" s="26" t="str">
        <f>_xlfn.XLOOKUP(Table26[[#This Row],[customerSKU]],customerSKU!G:G,customerSKU!K:K,"NA",0,1)</f>
        <v>NA</v>
      </c>
      <c r="AI1977" s="43" t="str">
        <f>_xlfn.XLOOKUP(Table26[[#This Row],[customerSKU]],customerSKU!G:G,customerSKU!O:O,"not found",0,1)</f>
        <v>not found</v>
      </c>
      <c r="AJ1977" s="22" t="e">
        <f>Table26[[#This Row],[unitprice]]*Table26[[#This Row],[quantity_unit]]</f>
        <v>#VALUE!</v>
      </c>
      <c r="AK1977" s="227" t="e" cm="1">
        <f t="array" ref="AK19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7" s="227"/>
    </row>
    <row r="1978" spans="1:38" ht="18" customHeight="1">
      <c r="A1978" s="42">
        <v>254</v>
      </c>
      <c r="B1978" s="42" t="s">
        <v>3520</v>
      </c>
      <c r="C1978" s="53" t="s">
        <v>3427</v>
      </c>
      <c r="E1978" s="20"/>
      <c r="F19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8" s="93"/>
      <c r="I1978" s="203">
        <v>45835</v>
      </c>
      <c r="J1978" s="90" t="str">
        <f>IF(Table26[[#This Row],[customerSKU]]="","",_xlfn.XLOOKUP(Table26[[#This Row],[customerSKU]],customerSKU!G:G,customerSKU!A:A,"",0,1))</f>
        <v/>
      </c>
      <c r="K1978" s="232">
        <v>45842</v>
      </c>
      <c r="L1978" s="49" t="str">
        <f>IF(Table26[[#This Row],[customerSKU]]="","",_xlfn.XLOOKUP(Table26[[#This Row],[customerSKU]],customerSKU!G:G,customerSKU!B:B,"",0,1))</f>
        <v/>
      </c>
      <c r="M1978" s="22"/>
      <c r="N1978" s="15" t="str">
        <f>Table26[[#This Row],[po_number]]&amp;"-"&amp;Table26[[#This Row],[po_line]]</f>
        <v>-3</v>
      </c>
      <c r="O1978" s="15">
        <v>3</v>
      </c>
      <c r="P1978" s="50"/>
      <c r="Q1978" s="22" t="s">
        <v>582</v>
      </c>
      <c r="R1978" s="22" t="s">
        <v>532</v>
      </c>
      <c r="S1978" s="90" t="str">
        <f>IF(Table26[[#This Row],[customerSKU]]="","",_xlfn.XLOOKUP(Table26[[#This Row],[customerSKU]],customerSKU!G:G,customerSKU!N:N,"NOT FOUND",0,1))</f>
        <v>NOT FOUND</v>
      </c>
      <c r="T1978" s="20">
        <v>45778</v>
      </c>
      <c r="U1978" s="94">
        <v>12</v>
      </c>
      <c r="V1978" s="22" t="str">
        <f>IF(ISBLANK(Table26[[#This Row],[customerSKU]]),"",_xlfn.XLOOKUP(Table26[[#This Row],[customerSKU]],Table27[customer_SKU],Table27[case_size],"",0,1))</f>
        <v/>
      </c>
      <c r="W1978" s="117" t="str">
        <f t="shared" si="79"/>
        <v/>
      </c>
      <c r="X1978" s="22" t="str">
        <f t="shared" si="78"/>
        <v/>
      </c>
      <c r="Y1978" s="25" t="str">
        <f>IF(Table26[[#This Row],[customerSKU]]="","",_xlfn.XLOOKUP(Table26[[#This Row],[customerSKU]],Table27[customer_SKU],Table27[product_GTIN],"",0,1))</f>
        <v/>
      </c>
      <c r="Z1978" s="25" t="s">
        <v>3705</v>
      </c>
      <c r="AA1978" s="18" t="str" cm="1">
        <f t="array" ref="AA1978">IF(P1978="", "", _xlfn.XLOOKUP(P1978,#REF!,#REF!,NA,0,-1))</f>
        <v/>
      </c>
      <c r="AB1978" s="22"/>
      <c r="AC1978" s="23" t="str">
        <f>IF(Table26[[#This Row],[customerSKU]]="","",_xlfn.XLOOKUP(Table26[[#This Row],[customerSKU]],customerSKU!G:G,customerSKU!C:C,"",0,1))</f>
        <v/>
      </c>
      <c r="AD1978" s="23" t="str">
        <f>IF($AC1978="","",_xlfn.XLOOKUP($AC1978,'Client Info'!$C$2:$C$2497,'Client Info'!$D$2:$D$2497,"",0,1))</f>
        <v/>
      </c>
      <c r="AE1978" s="23" t="str">
        <f>IF($AC1978="","",_xlfn.XLOOKUP($AC1978,'Client Info'!$C$2:$C$2677,'Client Info'!$E$2:$E$2677,"",))</f>
        <v/>
      </c>
      <c r="AF1978" s="23" t="str">
        <f>IF($AC1978="","",_xlfn.XLOOKUP($AC1978,'Client Info'!$C$2:$C$2677,'Client Info'!$F$2:$F$2677,"",0,1))</f>
        <v/>
      </c>
      <c r="AG1978" s="23" t="str">
        <f>IF(ISBLANK(Table26[[#This Row],[customerSKU]]),"",_xlfn.XLOOKUP(Table26[[#This Row],[customerSKU]],Table27[customer_SKU],Table27[billto],"",0,1))</f>
        <v/>
      </c>
      <c r="AH1978" s="26" t="str">
        <f>_xlfn.XLOOKUP(Table26[[#This Row],[customerSKU]],customerSKU!G:G,customerSKU!K:K,"NA",0,1)</f>
        <v>NA</v>
      </c>
      <c r="AI1978" s="43" t="str">
        <f>_xlfn.XLOOKUP(Table26[[#This Row],[customerSKU]],customerSKU!G:G,customerSKU!O:O,"not found",0,1)</f>
        <v>not found</v>
      </c>
      <c r="AJ1978" s="22" t="e">
        <f>Table26[[#This Row],[unitprice]]*Table26[[#This Row],[quantity_unit]]</f>
        <v>#VALUE!</v>
      </c>
      <c r="AK1978" s="227" t="e" cm="1">
        <f t="array" ref="AK19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8" s="227"/>
    </row>
    <row r="1979" spans="1:38" ht="18" customHeight="1">
      <c r="A1979" s="42">
        <v>255</v>
      </c>
      <c r="B1979" s="42" t="s">
        <v>3520</v>
      </c>
      <c r="C1979" s="53" t="s">
        <v>3427</v>
      </c>
      <c r="E1979" s="20"/>
      <c r="F19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79" s="93"/>
      <c r="I1979" s="203">
        <v>45835</v>
      </c>
      <c r="J1979" s="90" t="str">
        <f>IF(Table26[[#This Row],[customerSKU]]="","",_xlfn.XLOOKUP(Table26[[#This Row],[customerSKU]],customerSKU!G:G,customerSKU!A:A,"",0,1))</f>
        <v/>
      </c>
      <c r="K1979" s="232">
        <v>45842</v>
      </c>
      <c r="L1979" s="49" t="str">
        <f>IF(Table26[[#This Row],[customerSKU]]="","",_xlfn.XLOOKUP(Table26[[#This Row],[customerSKU]],customerSKU!G:G,customerSKU!B:B,"",0,1))</f>
        <v/>
      </c>
      <c r="M1979" s="22"/>
      <c r="N1979" s="15" t="str">
        <f>Table26[[#This Row],[po_number]]&amp;"-"&amp;Table26[[#This Row],[po_line]]</f>
        <v>-4</v>
      </c>
      <c r="O1979" s="15">
        <v>4</v>
      </c>
      <c r="P1979" s="50"/>
      <c r="Q1979" s="347" t="s">
        <v>591</v>
      </c>
      <c r="R1979" s="22" t="s">
        <v>532</v>
      </c>
      <c r="S1979" s="90" t="str">
        <f>IF(Table26[[#This Row],[customerSKU]]="","",_xlfn.XLOOKUP(Table26[[#This Row],[customerSKU]],customerSKU!G:G,customerSKU!N:N,"NOT FOUND",0,1))</f>
        <v>NOT FOUND</v>
      </c>
      <c r="T1979" s="20">
        <v>45841</v>
      </c>
      <c r="U1979" s="94">
        <v>96</v>
      </c>
      <c r="V1979" s="22" t="str">
        <f>IF(ISBLANK(Table26[[#This Row],[customerSKU]]),"",_xlfn.XLOOKUP(Table26[[#This Row],[customerSKU]],Table27[customer_SKU],Table27[case_size],"",0,1))</f>
        <v/>
      </c>
      <c r="W1979" s="117" t="str">
        <f t="shared" si="79"/>
        <v/>
      </c>
      <c r="X1979" s="22" t="str">
        <f t="shared" si="78"/>
        <v/>
      </c>
      <c r="Y1979" s="25" t="str">
        <f>IF(Table26[[#This Row],[customerSKU]]="","",_xlfn.XLOOKUP(Table26[[#This Row],[customerSKU]],Table27[customer_SKU],Table27[product_GTIN],"",0,1))</f>
        <v/>
      </c>
      <c r="Z1979" s="25" t="s">
        <v>3706</v>
      </c>
      <c r="AA1979" s="18" t="str" cm="1">
        <f t="array" ref="AA1979">IF(P1979="", "", _xlfn.XLOOKUP(P1979,#REF!,#REF!,NA,0,-1))</f>
        <v/>
      </c>
      <c r="AB1979" s="22"/>
      <c r="AC1979" s="23" t="str">
        <f>IF(Table26[[#This Row],[customerSKU]]="","",_xlfn.XLOOKUP(Table26[[#This Row],[customerSKU]],customerSKU!G:G,customerSKU!C:C,"",0,1))</f>
        <v/>
      </c>
      <c r="AD1979" s="23" t="str">
        <f>IF($AC1979="","",_xlfn.XLOOKUP($AC1979,'Client Info'!$C$2:$C$2497,'Client Info'!$D$2:$D$2497,"",0,1))</f>
        <v/>
      </c>
      <c r="AE1979" s="23" t="str">
        <f>IF($AC1979="","",_xlfn.XLOOKUP($AC1979,'Client Info'!$C$2:$C$2677,'Client Info'!$E$2:$E$2677,"",))</f>
        <v/>
      </c>
      <c r="AF1979" s="23" t="str">
        <f>IF($AC1979="","",_xlfn.XLOOKUP($AC1979,'Client Info'!$C$2:$C$2677,'Client Info'!$F$2:$F$2677,"",0,1))</f>
        <v/>
      </c>
      <c r="AG1979" s="23" t="str">
        <f>IF(ISBLANK(Table26[[#This Row],[customerSKU]]),"",_xlfn.XLOOKUP(Table26[[#This Row],[customerSKU]],Table27[customer_SKU],Table27[billto],"",0,1))</f>
        <v/>
      </c>
      <c r="AH1979" s="26" t="str">
        <f>_xlfn.XLOOKUP(Table26[[#This Row],[customerSKU]],customerSKU!G:G,customerSKU!K:K,"NA",0,1)</f>
        <v>NA</v>
      </c>
      <c r="AI1979" s="43" t="str">
        <f>_xlfn.XLOOKUP(Table26[[#This Row],[customerSKU]],customerSKU!G:G,customerSKU!O:O,"not found",0,1)</f>
        <v>not found</v>
      </c>
      <c r="AJ1979" s="22" t="e">
        <f>Table26[[#This Row],[unitprice]]*Table26[[#This Row],[quantity_unit]]</f>
        <v>#VALUE!</v>
      </c>
      <c r="AK1979" s="227" t="e" cm="1">
        <f t="array" ref="AK19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79" s="227"/>
    </row>
    <row r="1980" spans="1:38" ht="18" customHeight="1">
      <c r="A1980" s="42">
        <v>256</v>
      </c>
      <c r="B1980" s="42" t="s">
        <v>3520</v>
      </c>
      <c r="C1980" s="53" t="s">
        <v>3427</v>
      </c>
      <c r="E1980" s="20"/>
      <c r="F19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0" s="93"/>
      <c r="I1980" s="203">
        <v>45835</v>
      </c>
      <c r="J1980" s="90" t="str">
        <f>IF(Table26[[#This Row],[customerSKU]]="","",_xlfn.XLOOKUP(Table26[[#This Row],[customerSKU]],customerSKU!G:G,customerSKU!A:A,"",0,1))</f>
        <v/>
      </c>
      <c r="K1980" s="232">
        <v>45842</v>
      </c>
      <c r="L1980" s="49" t="str">
        <f>IF(Table26[[#This Row],[customerSKU]]="","",_xlfn.XLOOKUP(Table26[[#This Row],[customerSKU]],customerSKU!G:G,customerSKU!B:B,"",0,1))</f>
        <v/>
      </c>
      <c r="M1980" s="22"/>
      <c r="N1980" s="15" t="str">
        <f>Table26[[#This Row],[po_number]]&amp;"-"&amp;Table26[[#This Row],[po_line]]</f>
        <v>-5</v>
      </c>
      <c r="O1980" s="15">
        <v>5</v>
      </c>
      <c r="P1980" s="50"/>
      <c r="Q1980" s="22" t="s">
        <v>1829</v>
      </c>
      <c r="R1980" s="22" t="s">
        <v>532</v>
      </c>
      <c r="S1980" s="90" t="str">
        <f>IF(Table26[[#This Row],[customerSKU]]="","",_xlfn.XLOOKUP(Table26[[#This Row],[customerSKU]],customerSKU!G:G,customerSKU!N:N,"NOT FOUND",0,1))</f>
        <v>NOT FOUND</v>
      </c>
      <c r="T1980" s="20">
        <v>45826</v>
      </c>
      <c r="U1980" s="94">
        <v>60</v>
      </c>
      <c r="V1980" s="22" t="str">
        <f>IF(ISBLANK(Table26[[#This Row],[customerSKU]]),"",_xlfn.XLOOKUP(Table26[[#This Row],[customerSKU]],Table27[customer_SKU],Table27[case_size],"",0,1))</f>
        <v/>
      </c>
      <c r="W1980" s="117" t="str">
        <f t="shared" si="79"/>
        <v/>
      </c>
      <c r="X1980" s="22" t="str">
        <f t="shared" si="78"/>
        <v/>
      </c>
      <c r="Y1980" s="25" t="str">
        <f>IF(Table26[[#This Row],[customerSKU]]="","",_xlfn.XLOOKUP(Table26[[#This Row],[customerSKU]],Table27[customer_SKU],Table27[product_GTIN],"",0,1))</f>
        <v/>
      </c>
      <c r="Z1980" s="25" t="s">
        <v>3707</v>
      </c>
      <c r="AA1980" s="18" t="str" cm="1">
        <f t="array" ref="AA1980">IF(P1980="", "", _xlfn.XLOOKUP(P1980,#REF!,#REF!,NA,0,-1))</f>
        <v/>
      </c>
      <c r="AB1980" s="22"/>
      <c r="AC1980" s="23" t="str">
        <f>IF(Table26[[#This Row],[customerSKU]]="","",_xlfn.XLOOKUP(Table26[[#This Row],[customerSKU]],customerSKU!G:G,customerSKU!C:C,"",0,1))</f>
        <v/>
      </c>
      <c r="AD1980" s="23" t="str">
        <f>IF($AC1980="","",_xlfn.XLOOKUP($AC1980,'Client Info'!$C$2:$C$2497,'Client Info'!$D$2:$D$2497,"",0,1))</f>
        <v/>
      </c>
      <c r="AE1980" s="23" t="str">
        <f>IF($AC1980="","",_xlfn.XLOOKUP($AC1980,'Client Info'!$C$2:$C$2677,'Client Info'!$E$2:$E$2677,"",))</f>
        <v/>
      </c>
      <c r="AF1980" s="23" t="str">
        <f>IF($AC1980="","",_xlfn.XLOOKUP($AC1980,'Client Info'!$C$2:$C$2677,'Client Info'!$F$2:$F$2677,"",0,1))</f>
        <v/>
      </c>
      <c r="AG1980" s="23" t="str">
        <f>IF(ISBLANK(Table26[[#This Row],[customerSKU]]),"",_xlfn.XLOOKUP(Table26[[#This Row],[customerSKU]],Table27[customer_SKU],Table27[billto],"",0,1))</f>
        <v/>
      </c>
      <c r="AH1980" s="26" t="str">
        <f>_xlfn.XLOOKUP(Table26[[#This Row],[customerSKU]],customerSKU!G:G,customerSKU!K:K,"NA",0,1)</f>
        <v>NA</v>
      </c>
      <c r="AI1980" s="43" t="str">
        <f>_xlfn.XLOOKUP(Table26[[#This Row],[customerSKU]],customerSKU!G:G,customerSKU!O:O,"not found",0,1)</f>
        <v>not found</v>
      </c>
      <c r="AJ1980" s="22" t="e">
        <f>Table26[[#This Row],[unitprice]]*Table26[[#This Row],[quantity_unit]]</f>
        <v>#VALUE!</v>
      </c>
      <c r="AK1980" s="227" t="e" cm="1">
        <f t="array" ref="AK19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0" s="227"/>
    </row>
    <row r="1981" spans="1:38" ht="18" customHeight="1">
      <c r="A1981" s="42">
        <v>257</v>
      </c>
      <c r="B1981" s="42" t="s">
        <v>3520</v>
      </c>
      <c r="C1981" s="53" t="s">
        <v>3427</v>
      </c>
      <c r="E1981" s="20"/>
      <c r="F19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1" s="93"/>
      <c r="I1981" s="203">
        <v>45835</v>
      </c>
      <c r="J1981" s="90" t="str">
        <f>IF(Table26[[#This Row],[customerSKU]]="","",_xlfn.XLOOKUP(Table26[[#This Row],[customerSKU]],customerSKU!G:G,customerSKU!A:A,"",0,1))</f>
        <v/>
      </c>
      <c r="K1981" s="232">
        <v>45842</v>
      </c>
      <c r="L1981" s="49" t="str">
        <f>IF(Table26[[#This Row],[customerSKU]]="","",_xlfn.XLOOKUP(Table26[[#This Row],[customerSKU]],customerSKU!G:G,customerSKU!B:B,"",0,1))</f>
        <v/>
      </c>
      <c r="M1981" s="22"/>
      <c r="N1981" s="15" t="str">
        <f>Table26[[#This Row],[po_number]]&amp;"-"&amp;Table26[[#This Row],[po_line]]</f>
        <v>-6</v>
      </c>
      <c r="O1981" s="15">
        <v>6</v>
      </c>
      <c r="P1981" s="50"/>
      <c r="Q1981" s="22" t="s">
        <v>3284</v>
      </c>
      <c r="R1981" s="22" t="s">
        <v>532</v>
      </c>
      <c r="S1981" s="90" t="str">
        <f>IF(Table26[[#This Row],[customerSKU]]="","",_xlfn.XLOOKUP(Table26[[#This Row],[customerSKU]],customerSKU!G:G,customerSKU!N:N,"NOT FOUND",0,1))</f>
        <v>NOT FOUND</v>
      </c>
      <c r="T1981" s="20">
        <v>45763</v>
      </c>
      <c r="U1981" s="94">
        <v>24</v>
      </c>
      <c r="V1981" s="22" t="str">
        <f>IF(ISBLANK(Table26[[#This Row],[customerSKU]]),"",_xlfn.XLOOKUP(Table26[[#This Row],[customerSKU]],Table27[customer_SKU],Table27[case_size],"",0,1))</f>
        <v/>
      </c>
      <c r="W1981" s="117" t="str">
        <f t="shared" si="79"/>
        <v/>
      </c>
      <c r="X1981" s="22" t="str">
        <f t="shared" si="78"/>
        <v/>
      </c>
      <c r="Y1981" s="25" t="str">
        <f>IF(Table26[[#This Row],[customerSKU]]="","",_xlfn.XLOOKUP(Table26[[#This Row],[customerSKU]],Table27[customer_SKU],Table27[product_GTIN],"",0,1))</f>
        <v/>
      </c>
      <c r="Z1981" s="25" t="s">
        <v>3707</v>
      </c>
      <c r="AA1981" s="18" t="str" cm="1">
        <f t="array" ref="AA1981">IF(P1981="", "", _xlfn.XLOOKUP(P1981,#REF!,#REF!,NA,0,-1))</f>
        <v/>
      </c>
      <c r="AB1981" s="22"/>
      <c r="AC1981" s="23" t="str">
        <f>IF(Table26[[#This Row],[customerSKU]]="","",_xlfn.XLOOKUP(Table26[[#This Row],[customerSKU]],customerSKU!G:G,customerSKU!C:C,"",0,1))</f>
        <v/>
      </c>
      <c r="AD1981" s="23" t="str">
        <f>IF($AC1981="","",_xlfn.XLOOKUP($AC1981,'Client Info'!$C$2:$C$2497,'Client Info'!$D$2:$D$2497,"",0,1))</f>
        <v/>
      </c>
      <c r="AE1981" s="23" t="str">
        <f>IF($AC1981="","",_xlfn.XLOOKUP($AC1981,'Client Info'!$C$2:$C$2677,'Client Info'!$E$2:$E$2677,"",))</f>
        <v/>
      </c>
      <c r="AF1981" s="23" t="str">
        <f>IF($AC1981="","",_xlfn.XLOOKUP($AC1981,'Client Info'!$C$2:$C$2677,'Client Info'!$F$2:$F$2677,"",0,1))</f>
        <v/>
      </c>
      <c r="AG1981" s="23" t="str">
        <f>IF(ISBLANK(Table26[[#This Row],[customerSKU]]),"",_xlfn.XLOOKUP(Table26[[#This Row],[customerSKU]],Table27[customer_SKU],Table27[billto],"",0,1))</f>
        <v/>
      </c>
      <c r="AH1981" s="26" t="str">
        <f>_xlfn.XLOOKUP(Table26[[#This Row],[customerSKU]],customerSKU!G:G,customerSKU!K:K,"NA",0,1)</f>
        <v>NA</v>
      </c>
      <c r="AI1981" s="43" t="str">
        <f>_xlfn.XLOOKUP(Table26[[#This Row],[customerSKU]],customerSKU!G:G,customerSKU!O:O,"not found",0,1)</f>
        <v>not found</v>
      </c>
      <c r="AJ1981" s="22" t="e">
        <f>Table26[[#This Row],[unitprice]]*Table26[[#This Row],[quantity_unit]]</f>
        <v>#VALUE!</v>
      </c>
      <c r="AK1981" s="227" t="e" cm="1">
        <f t="array" ref="AK19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1" s="227"/>
    </row>
    <row r="1982" spans="1:38" ht="18" customHeight="1">
      <c r="A1982" s="42">
        <v>258</v>
      </c>
      <c r="B1982" s="42" t="s">
        <v>3520</v>
      </c>
      <c r="C1982" s="53" t="s">
        <v>3427</v>
      </c>
      <c r="E1982" s="20"/>
      <c r="F19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2" s="93"/>
      <c r="I1982" s="203">
        <v>45835</v>
      </c>
      <c r="J1982" s="90" t="str">
        <f>IF(Table26[[#This Row],[customerSKU]]="","",_xlfn.XLOOKUP(Table26[[#This Row],[customerSKU]],customerSKU!G:G,customerSKU!A:A,"",0,1))</f>
        <v/>
      </c>
      <c r="K1982" s="232">
        <v>45842</v>
      </c>
      <c r="L1982" s="49" t="str">
        <f>IF(Table26[[#This Row],[customerSKU]]="","",_xlfn.XLOOKUP(Table26[[#This Row],[customerSKU]],customerSKU!G:G,customerSKU!B:B,"",0,1))</f>
        <v/>
      </c>
      <c r="M1982" s="22"/>
      <c r="N1982" s="15" t="str">
        <f>Table26[[#This Row],[po_number]]&amp;"-"&amp;Table26[[#This Row],[po_line]]</f>
        <v>-7</v>
      </c>
      <c r="O1982" s="15">
        <v>7</v>
      </c>
      <c r="P1982" s="50"/>
      <c r="Q1982" s="22" t="s">
        <v>1807</v>
      </c>
      <c r="R1982" s="22" t="s">
        <v>532</v>
      </c>
      <c r="S1982" s="90" t="str">
        <f>IF(Table26[[#This Row],[customerSKU]]="","",_xlfn.XLOOKUP(Table26[[#This Row],[customerSKU]],customerSKU!G:G,customerSKU!N:N,"NOT FOUND",0,1))</f>
        <v>NOT FOUND</v>
      </c>
      <c r="T1982" s="20">
        <v>45804</v>
      </c>
      <c r="U1982" s="94">
        <v>60</v>
      </c>
      <c r="V1982" s="22" t="str">
        <f>IF(ISBLANK(Table26[[#This Row],[customerSKU]]),"",_xlfn.XLOOKUP(Table26[[#This Row],[customerSKU]],Table27[customer_SKU],Table27[case_size],"",0,1))</f>
        <v/>
      </c>
      <c r="W1982" s="117" t="str">
        <f t="shared" si="79"/>
        <v/>
      </c>
      <c r="X1982" s="22" t="str">
        <f t="shared" si="78"/>
        <v/>
      </c>
      <c r="Y1982" s="25" t="str">
        <f>IF(Table26[[#This Row],[customerSKU]]="","",_xlfn.XLOOKUP(Table26[[#This Row],[customerSKU]],Table27[customer_SKU],Table27[product_GTIN],"",0,1))</f>
        <v/>
      </c>
      <c r="Z1982" s="25" t="s">
        <v>3414</v>
      </c>
      <c r="AA1982" s="18" t="str" cm="1">
        <f t="array" ref="AA1982">IF(P1982="", "", _xlfn.XLOOKUP(P1982,#REF!,#REF!,NA,0,-1))</f>
        <v/>
      </c>
      <c r="AB1982" s="22"/>
      <c r="AC1982" s="23" t="str">
        <f>IF(Table26[[#This Row],[customerSKU]]="","",_xlfn.XLOOKUP(Table26[[#This Row],[customerSKU]],customerSKU!G:G,customerSKU!C:C,"",0,1))</f>
        <v/>
      </c>
      <c r="AD1982" s="23" t="str">
        <f>IF($AC1982="","",_xlfn.XLOOKUP($AC1982,'Client Info'!$C$2:$C$2497,'Client Info'!$D$2:$D$2497,"",0,1))</f>
        <v/>
      </c>
      <c r="AE1982" s="23" t="str">
        <f>IF($AC1982="","",_xlfn.XLOOKUP($AC1982,'Client Info'!$C$2:$C$2677,'Client Info'!$E$2:$E$2677,"",))</f>
        <v/>
      </c>
      <c r="AF1982" s="23" t="str">
        <f>IF($AC1982="","",_xlfn.XLOOKUP($AC1982,'Client Info'!$C$2:$C$2677,'Client Info'!$F$2:$F$2677,"",0,1))</f>
        <v/>
      </c>
      <c r="AG1982" s="23" t="str">
        <f>IF(ISBLANK(Table26[[#This Row],[customerSKU]]),"",_xlfn.XLOOKUP(Table26[[#This Row],[customerSKU]],Table27[customer_SKU],Table27[billto],"",0,1))</f>
        <v/>
      </c>
      <c r="AH1982" s="26" t="str">
        <f>_xlfn.XLOOKUP(Table26[[#This Row],[customerSKU]],customerSKU!G:G,customerSKU!K:K,"NA",0,1)</f>
        <v>NA</v>
      </c>
      <c r="AI1982" s="43" t="str">
        <f>_xlfn.XLOOKUP(Table26[[#This Row],[customerSKU]],customerSKU!G:G,customerSKU!O:O,"not found",0,1)</f>
        <v>not found</v>
      </c>
      <c r="AJ1982" s="22" t="e">
        <f>Table26[[#This Row],[unitprice]]*Table26[[#This Row],[quantity_unit]]</f>
        <v>#VALUE!</v>
      </c>
      <c r="AK1982" s="227" t="e" cm="1">
        <f t="array" ref="AK19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2" s="227"/>
    </row>
    <row r="1983" spans="1:38" ht="18" customHeight="1">
      <c r="A1983" s="42">
        <v>259</v>
      </c>
      <c r="B1983" s="42" t="s">
        <v>3520</v>
      </c>
      <c r="C1983" s="53" t="s">
        <v>203</v>
      </c>
      <c r="E1983" s="20"/>
      <c r="F19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3" s="93"/>
      <c r="I1983" s="203">
        <v>45835</v>
      </c>
      <c r="J1983" s="90" t="str">
        <f>IF(Table26[[#This Row],[customerSKU]]="","",_xlfn.XLOOKUP(Table26[[#This Row],[customerSKU]],customerSKU!G:G,customerSKU!A:A,"",0,1))</f>
        <v/>
      </c>
      <c r="K1983" s="232">
        <v>45842</v>
      </c>
      <c r="L1983" s="49" t="str">
        <f>IF(Table26[[#This Row],[customerSKU]]="","",_xlfn.XLOOKUP(Table26[[#This Row],[customerSKU]],customerSKU!G:G,customerSKU!B:B,"",0,1))</f>
        <v/>
      </c>
      <c r="M1983" s="22"/>
      <c r="N1983" s="15" t="str">
        <f>Table26[[#This Row],[po_number]]&amp;"-"&amp;Table26[[#This Row],[po_line]]</f>
        <v>-8</v>
      </c>
      <c r="O1983" s="15">
        <v>8</v>
      </c>
      <c r="P1983" s="50"/>
      <c r="Q1983" s="22" t="s">
        <v>1783</v>
      </c>
      <c r="R1983" s="22" t="s">
        <v>532</v>
      </c>
      <c r="S1983" s="90" t="str">
        <f>IF(Table26[[#This Row],[customerSKU]]="","",_xlfn.XLOOKUP(Table26[[#This Row],[customerSKU]],customerSKU!G:G,customerSKU!N:N,"NOT FOUND",0,1))</f>
        <v>NOT FOUND</v>
      </c>
      <c r="T1983" s="20">
        <v>45800</v>
      </c>
      <c r="U1983" s="94">
        <v>60</v>
      </c>
      <c r="V1983" s="22" t="str">
        <f>IF(ISBLANK(Table26[[#This Row],[customerSKU]]),"",_xlfn.XLOOKUP(Table26[[#This Row],[customerSKU]],Table27[customer_SKU],Table27[case_size],"",0,1))</f>
        <v/>
      </c>
      <c r="W1983" s="117" t="str">
        <f t="shared" si="79"/>
        <v/>
      </c>
      <c r="X1983" s="22" t="str">
        <f t="shared" si="78"/>
        <v/>
      </c>
      <c r="Y1983" s="25" t="str">
        <f>IF(Table26[[#This Row],[customerSKU]]="","",_xlfn.XLOOKUP(Table26[[#This Row],[customerSKU]],Table27[customer_SKU],Table27[product_GTIN],"",0,1))</f>
        <v/>
      </c>
      <c r="Z1983" s="25" t="s">
        <v>3708</v>
      </c>
      <c r="AA1983" s="18" t="str" cm="1">
        <f t="array" ref="AA1983">IF(P1983="", "", _xlfn.XLOOKUP(P1983,#REF!,#REF!,NA,0,-1))</f>
        <v/>
      </c>
      <c r="AB1983" s="22"/>
      <c r="AC1983" s="23" t="str">
        <f>IF(Table26[[#This Row],[customerSKU]]="","",_xlfn.XLOOKUP(Table26[[#This Row],[customerSKU]],customerSKU!G:G,customerSKU!C:C,"",0,1))</f>
        <v/>
      </c>
      <c r="AD1983" s="23" t="str">
        <f>IF($AC1983="","",_xlfn.XLOOKUP($AC1983,'Client Info'!$C$2:$C$2497,'Client Info'!$D$2:$D$2497,"",0,1))</f>
        <v/>
      </c>
      <c r="AE1983" s="23" t="str">
        <f>IF($AC1983="","",_xlfn.XLOOKUP($AC1983,'Client Info'!$C$2:$C$2677,'Client Info'!$E$2:$E$2677,"",))</f>
        <v/>
      </c>
      <c r="AF1983" s="23" t="str">
        <f>IF($AC1983="","",_xlfn.XLOOKUP($AC1983,'Client Info'!$C$2:$C$2677,'Client Info'!$F$2:$F$2677,"",0,1))</f>
        <v/>
      </c>
      <c r="AG1983" s="23" t="str">
        <f>IF(ISBLANK(Table26[[#This Row],[customerSKU]]),"",_xlfn.XLOOKUP(Table26[[#This Row],[customerSKU]],Table27[customer_SKU],Table27[billto],"",0,1))</f>
        <v/>
      </c>
      <c r="AH1983" s="26" t="str">
        <f>_xlfn.XLOOKUP(Table26[[#This Row],[customerSKU]],customerSKU!G:G,customerSKU!K:K,"NA",0,1)</f>
        <v>NA</v>
      </c>
      <c r="AI1983" s="43" t="str">
        <f>_xlfn.XLOOKUP(Table26[[#This Row],[customerSKU]],customerSKU!G:G,customerSKU!O:O,"not found",0,1)</f>
        <v>not found</v>
      </c>
      <c r="AJ1983" s="22" t="e">
        <f>Table26[[#This Row],[unitprice]]*Table26[[#This Row],[quantity_unit]]</f>
        <v>#VALUE!</v>
      </c>
      <c r="AK1983" s="227" t="e" cm="1">
        <f t="array" ref="AK19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3" s="227"/>
    </row>
    <row r="1984" spans="1:38" ht="18" customHeight="1">
      <c r="A1984" s="42">
        <v>260</v>
      </c>
      <c r="B1984" s="42" t="s">
        <v>3520</v>
      </c>
      <c r="C1984" s="53" t="s">
        <v>3427</v>
      </c>
      <c r="E1984" s="20"/>
      <c r="F19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4" s="93"/>
      <c r="I1984" s="203">
        <v>45835</v>
      </c>
      <c r="J1984" s="90" t="str">
        <f>IF(Table26[[#This Row],[customerSKU]]="","",_xlfn.XLOOKUP(Table26[[#This Row],[customerSKU]],customerSKU!G:G,customerSKU!A:A,"",0,1))</f>
        <v/>
      </c>
      <c r="K1984" s="232">
        <v>45842</v>
      </c>
      <c r="L1984" s="49" t="str">
        <f>IF(Table26[[#This Row],[customerSKU]]="","",_xlfn.XLOOKUP(Table26[[#This Row],[customerSKU]],customerSKU!G:G,customerSKU!B:B,"",0,1))</f>
        <v/>
      </c>
      <c r="M1984" s="22"/>
      <c r="N1984" s="15" t="str">
        <f>Table26[[#This Row],[po_number]]&amp;"-"&amp;Table26[[#This Row],[po_line]]</f>
        <v>-9</v>
      </c>
      <c r="O1984" s="15">
        <v>9</v>
      </c>
      <c r="P1984" s="50"/>
      <c r="Q1984" s="22" t="s">
        <v>1312</v>
      </c>
      <c r="R1984" s="22" t="s">
        <v>532</v>
      </c>
      <c r="S1984" s="90" t="str">
        <f>IF(Table26[[#This Row],[customerSKU]]="","",_xlfn.XLOOKUP(Table26[[#This Row],[customerSKU]],customerSKU!G:G,customerSKU!N:N,"NOT FOUND",0,1))</f>
        <v>NOT FOUND</v>
      </c>
      <c r="T1984" s="20">
        <v>45660</v>
      </c>
      <c r="U1984" s="94">
        <v>60</v>
      </c>
      <c r="V1984" s="22" t="str">
        <f>IF(ISBLANK(Table26[[#This Row],[customerSKU]]),"",_xlfn.XLOOKUP(Table26[[#This Row],[customerSKU]],Table27[customer_SKU],Table27[case_size],"",0,1))</f>
        <v/>
      </c>
      <c r="W1984" s="117" t="str">
        <f t="shared" si="79"/>
        <v/>
      </c>
      <c r="X1984" s="22" t="str">
        <f t="shared" si="78"/>
        <v/>
      </c>
      <c r="Y1984" s="25" t="str">
        <f>IF(Table26[[#This Row],[customerSKU]]="","",_xlfn.XLOOKUP(Table26[[#This Row],[customerSKU]],Table27[customer_SKU],Table27[product_GTIN],"",0,1))</f>
        <v/>
      </c>
      <c r="Z1984" s="25" t="s">
        <v>3709</v>
      </c>
      <c r="AA1984" s="18" t="str" cm="1">
        <f t="array" ref="AA1984">IF(P1984="", "", _xlfn.XLOOKUP(P1984,#REF!,#REF!,NA,0,-1))</f>
        <v/>
      </c>
      <c r="AB1984" s="22"/>
      <c r="AC1984" s="23" t="str">
        <f>IF(Table26[[#This Row],[customerSKU]]="","",_xlfn.XLOOKUP(Table26[[#This Row],[customerSKU]],customerSKU!G:G,customerSKU!C:C,"",0,1))</f>
        <v/>
      </c>
      <c r="AD1984" s="23" t="str">
        <f>IF($AC1984="","",_xlfn.XLOOKUP($AC1984,'Client Info'!$C$2:$C$2497,'Client Info'!$D$2:$D$2497,"",0,1))</f>
        <v/>
      </c>
      <c r="AE1984" s="23" t="str">
        <f>IF($AC1984="","",_xlfn.XLOOKUP($AC1984,'Client Info'!$C$2:$C$2677,'Client Info'!$E$2:$E$2677,"",))</f>
        <v/>
      </c>
      <c r="AF1984" s="23" t="str">
        <f>IF($AC1984="","",_xlfn.XLOOKUP($AC1984,'Client Info'!$C$2:$C$2677,'Client Info'!$F$2:$F$2677,"",0,1))</f>
        <v/>
      </c>
      <c r="AG1984" s="23" t="str">
        <f>IF(ISBLANK(Table26[[#This Row],[customerSKU]]),"",_xlfn.XLOOKUP(Table26[[#This Row],[customerSKU]],Table27[customer_SKU],Table27[billto],"",0,1))</f>
        <v/>
      </c>
      <c r="AH1984" s="26" t="str">
        <f>_xlfn.XLOOKUP(Table26[[#This Row],[customerSKU]],customerSKU!G:G,customerSKU!K:K,"NA",0,1)</f>
        <v>NA</v>
      </c>
      <c r="AI1984" s="43" t="str">
        <f>_xlfn.XLOOKUP(Table26[[#This Row],[customerSKU]],customerSKU!G:G,customerSKU!O:O,"not found",0,1)</f>
        <v>not found</v>
      </c>
      <c r="AJ1984" s="22" t="e">
        <f>Table26[[#This Row],[unitprice]]*Table26[[#This Row],[quantity_unit]]</f>
        <v>#VALUE!</v>
      </c>
      <c r="AK1984" s="227" t="e" cm="1">
        <f t="array" ref="AK19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4" s="227"/>
    </row>
    <row r="1985" spans="1:38" ht="18" customHeight="1">
      <c r="A1985" s="42">
        <v>261</v>
      </c>
      <c r="B1985" s="42" t="s">
        <v>3520</v>
      </c>
      <c r="C1985" s="53" t="s">
        <v>3427</v>
      </c>
      <c r="E1985" s="20"/>
      <c r="F19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5" s="93"/>
      <c r="I1985" s="203">
        <v>45835</v>
      </c>
      <c r="J1985" s="90" t="str">
        <f>IF(Table26[[#This Row],[customerSKU]]="","",_xlfn.XLOOKUP(Table26[[#This Row],[customerSKU]],customerSKU!G:G,customerSKU!A:A,"",0,1))</f>
        <v/>
      </c>
      <c r="K1985" s="232">
        <v>45842</v>
      </c>
      <c r="L1985" s="49" t="str">
        <f>IF(Table26[[#This Row],[customerSKU]]="","",_xlfn.XLOOKUP(Table26[[#This Row],[customerSKU]],customerSKU!G:G,customerSKU!B:B,"",0,1))</f>
        <v/>
      </c>
      <c r="M1985" s="22"/>
      <c r="N1985" s="15" t="str">
        <f>Table26[[#This Row],[po_number]]&amp;"-"&amp;Table26[[#This Row],[po_line]]</f>
        <v>-10</v>
      </c>
      <c r="O1985" s="15">
        <v>10</v>
      </c>
      <c r="P1985" s="50"/>
      <c r="Q1985" s="22" t="s">
        <v>905</v>
      </c>
      <c r="R1985" s="22" t="s">
        <v>532</v>
      </c>
      <c r="S1985" s="90" t="str">
        <f>IF(Table26[[#This Row],[customerSKU]]="","",_xlfn.XLOOKUP(Table26[[#This Row],[customerSKU]],customerSKU!G:G,customerSKU!N:N,"NOT FOUND",0,1))</f>
        <v>NOT FOUND</v>
      </c>
      <c r="T1985" s="20">
        <v>45575</v>
      </c>
      <c r="U1985" s="94">
        <v>60</v>
      </c>
      <c r="V1985" s="22" t="str">
        <f>IF(ISBLANK(Table26[[#This Row],[customerSKU]]),"",_xlfn.XLOOKUP(Table26[[#This Row],[customerSKU]],Table27[customer_SKU],Table27[case_size],"",0,1))</f>
        <v/>
      </c>
      <c r="W1985" s="117" t="str">
        <f t="shared" si="79"/>
        <v/>
      </c>
      <c r="X1985" s="22" t="str">
        <f t="shared" si="78"/>
        <v/>
      </c>
      <c r="Y1985" s="25" t="str">
        <f>IF(Table26[[#This Row],[customerSKU]]="","",_xlfn.XLOOKUP(Table26[[#This Row],[customerSKU]],Table27[customer_SKU],Table27[product_GTIN],"",0,1))</f>
        <v/>
      </c>
      <c r="Z1985" s="25" t="s">
        <v>3710</v>
      </c>
      <c r="AA1985" s="18" t="str" cm="1">
        <f t="array" ref="AA1985">IF(P1985="", "", _xlfn.XLOOKUP(P1985,#REF!,#REF!,NA,0,-1))</f>
        <v/>
      </c>
      <c r="AB1985" s="22"/>
      <c r="AC1985" s="23" t="str">
        <f>IF(Table26[[#This Row],[customerSKU]]="","",_xlfn.XLOOKUP(Table26[[#This Row],[customerSKU]],customerSKU!G:G,customerSKU!C:C,"",0,1))</f>
        <v/>
      </c>
      <c r="AD1985" s="23" t="str">
        <f>IF($AC1985="","",_xlfn.XLOOKUP($AC1985,'Client Info'!$C$2:$C$2497,'Client Info'!$D$2:$D$2497,"",0,1))</f>
        <v/>
      </c>
      <c r="AE1985" s="23" t="str">
        <f>IF($AC1985="","",_xlfn.XLOOKUP($AC1985,'Client Info'!$C$2:$C$2677,'Client Info'!$E$2:$E$2677,"",))</f>
        <v/>
      </c>
      <c r="AF1985" s="23" t="str">
        <f>IF($AC1985="","",_xlfn.XLOOKUP($AC1985,'Client Info'!$C$2:$C$2677,'Client Info'!$F$2:$F$2677,"",0,1))</f>
        <v/>
      </c>
      <c r="AG1985" s="23" t="str">
        <f>IF(ISBLANK(Table26[[#This Row],[customerSKU]]),"",_xlfn.XLOOKUP(Table26[[#This Row],[customerSKU]],Table27[customer_SKU],Table27[billto],"",0,1))</f>
        <v/>
      </c>
      <c r="AH1985" s="26" t="str">
        <f>_xlfn.XLOOKUP(Table26[[#This Row],[customerSKU]],customerSKU!G:G,customerSKU!K:K,"NA",0,1)</f>
        <v>NA</v>
      </c>
      <c r="AI1985" s="43" t="str">
        <f>_xlfn.XLOOKUP(Table26[[#This Row],[customerSKU]],customerSKU!G:G,customerSKU!O:O,"not found",0,1)</f>
        <v>not found</v>
      </c>
      <c r="AJ1985" s="22" t="e">
        <f>Table26[[#This Row],[unitprice]]*Table26[[#This Row],[quantity_unit]]</f>
        <v>#VALUE!</v>
      </c>
      <c r="AK1985" s="227" t="e" cm="1">
        <f t="array" ref="AK19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5" s="227"/>
    </row>
    <row r="1986" spans="1:38" ht="18" customHeight="1">
      <c r="A1986" s="42">
        <v>262</v>
      </c>
      <c r="B1986" s="42" t="s">
        <v>3520</v>
      </c>
      <c r="C1986" s="53" t="s">
        <v>3427</v>
      </c>
      <c r="E1986" s="20"/>
      <c r="F19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6" s="93"/>
      <c r="I1986" s="203">
        <v>45835</v>
      </c>
      <c r="J1986" s="90" t="str">
        <f>IF(Table26[[#This Row],[customerSKU]]="","",_xlfn.XLOOKUP(Table26[[#This Row],[customerSKU]],customerSKU!G:G,customerSKU!A:A,"",0,1))</f>
        <v/>
      </c>
      <c r="K1986" s="232">
        <v>45842</v>
      </c>
      <c r="L1986" s="49" t="str">
        <f>IF(Table26[[#This Row],[customerSKU]]="","",_xlfn.XLOOKUP(Table26[[#This Row],[customerSKU]],customerSKU!G:G,customerSKU!B:B,"",0,1))</f>
        <v/>
      </c>
      <c r="M1986" s="22"/>
      <c r="N1986" s="15" t="str">
        <f>Table26[[#This Row],[po_number]]&amp;"-"&amp;Table26[[#This Row],[po_line]]</f>
        <v>-11</v>
      </c>
      <c r="O1986" s="15">
        <v>11</v>
      </c>
      <c r="P1986" s="50"/>
      <c r="Q1986" s="22" t="s">
        <v>656</v>
      </c>
      <c r="R1986" s="22" t="s">
        <v>532</v>
      </c>
      <c r="S1986" s="90" t="str">
        <f>IF(Table26[[#This Row],[customerSKU]]="","",_xlfn.XLOOKUP(Table26[[#This Row],[customerSKU]],customerSKU!G:G,customerSKU!N:N,"NOT FOUND",0,1))</f>
        <v>NOT FOUND</v>
      </c>
      <c r="T1986" s="20">
        <v>45756</v>
      </c>
      <c r="U1986" s="94">
        <v>48</v>
      </c>
      <c r="V1986" s="22" t="str">
        <f>IF(ISBLANK(Table26[[#This Row],[customerSKU]]),"",_xlfn.XLOOKUP(Table26[[#This Row],[customerSKU]],Table27[customer_SKU],Table27[case_size],"",0,1))</f>
        <v/>
      </c>
      <c r="W1986" s="117" t="str">
        <f t="shared" si="79"/>
        <v/>
      </c>
      <c r="X1986" s="22" t="str">
        <f t="shared" si="78"/>
        <v/>
      </c>
      <c r="Y1986" s="25" t="str">
        <f>IF(Table26[[#This Row],[customerSKU]]="","",_xlfn.XLOOKUP(Table26[[#This Row],[customerSKU]],Table27[customer_SKU],Table27[product_GTIN],"",0,1))</f>
        <v/>
      </c>
      <c r="Z1986" s="25" t="s">
        <v>3711</v>
      </c>
      <c r="AA1986" s="18" t="str" cm="1">
        <f t="array" ref="AA1986">IF(P1986="", "", _xlfn.XLOOKUP(P1986,#REF!,#REF!,NA,0,-1))</f>
        <v/>
      </c>
      <c r="AB1986" s="22"/>
      <c r="AC1986" s="23" t="str">
        <f>IF(Table26[[#This Row],[customerSKU]]="","",_xlfn.XLOOKUP(Table26[[#This Row],[customerSKU]],customerSKU!G:G,customerSKU!C:C,"",0,1))</f>
        <v/>
      </c>
      <c r="AD1986" s="23" t="str">
        <f>IF($AC1986="","",_xlfn.XLOOKUP($AC1986,'Client Info'!$C$2:$C$2497,'Client Info'!$D$2:$D$2497,"",0,1))</f>
        <v/>
      </c>
      <c r="AE1986" s="23" t="str">
        <f>IF($AC1986="","",_xlfn.XLOOKUP($AC1986,'Client Info'!$C$2:$C$2677,'Client Info'!$E$2:$E$2677,"",))</f>
        <v/>
      </c>
      <c r="AF1986" s="23" t="str">
        <f>IF($AC1986="","",_xlfn.XLOOKUP($AC1986,'Client Info'!$C$2:$C$2677,'Client Info'!$F$2:$F$2677,"",0,1))</f>
        <v/>
      </c>
      <c r="AG1986" s="23" t="str">
        <f>IF(ISBLANK(Table26[[#This Row],[customerSKU]]),"",_xlfn.XLOOKUP(Table26[[#This Row],[customerSKU]],Table27[customer_SKU],Table27[billto],"",0,1))</f>
        <v/>
      </c>
      <c r="AH1986" s="26" t="str">
        <f>_xlfn.XLOOKUP(Table26[[#This Row],[customerSKU]],customerSKU!G:G,customerSKU!K:K,"NA",0,1)</f>
        <v>NA</v>
      </c>
      <c r="AI1986" s="43" t="str">
        <f>_xlfn.XLOOKUP(Table26[[#This Row],[customerSKU]],customerSKU!G:G,customerSKU!O:O,"not found",0,1)</f>
        <v>not found</v>
      </c>
      <c r="AJ1986" s="22" t="e">
        <f>Table26[[#This Row],[unitprice]]*Table26[[#This Row],[quantity_unit]]</f>
        <v>#VALUE!</v>
      </c>
      <c r="AK1986" s="227" t="e" cm="1">
        <f t="array" ref="AK19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6" s="227"/>
    </row>
    <row r="1987" spans="1:38" ht="18" customHeight="1">
      <c r="A1987" s="42">
        <v>263</v>
      </c>
      <c r="B1987" s="42" t="s">
        <v>3520</v>
      </c>
      <c r="C1987" s="53" t="s">
        <v>3427</v>
      </c>
      <c r="E1987" s="20"/>
      <c r="F19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7" s="93"/>
      <c r="I1987" s="203">
        <v>45835</v>
      </c>
      <c r="J1987" s="90" t="str">
        <f>IF(Table26[[#This Row],[customerSKU]]="","",_xlfn.XLOOKUP(Table26[[#This Row],[customerSKU]],customerSKU!G:G,customerSKU!A:A,"",0,1))</f>
        <v/>
      </c>
      <c r="K1987" s="232">
        <v>45842</v>
      </c>
      <c r="L1987" s="49" t="str">
        <f>IF(Table26[[#This Row],[customerSKU]]="","",_xlfn.XLOOKUP(Table26[[#This Row],[customerSKU]],customerSKU!G:G,customerSKU!B:B,"",0,1))</f>
        <v/>
      </c>
      <c r="M1987" s="22"/>
      <c r="N1987" s="15" t="str">
        <f>Table26[[#This Row],[po_number]]&amp;"-"&amp;Table26[[#This Row],[po_line]]</f>
        <v>-12</v>
      </c>
      <c r="O1987" s="15">
        <v>12</v>
      </c>
      <c r="P1987" s="50"/>
      <c r="Q1987" s="22" t="s">
        <v>1309</v>
      </c>
      <c r="R1987" s="22" t="s">
        <v>532</v>
      </c>
      <c r="S1987" s="90" t="str">
        <f>IF(Table26[[#This Row],[customerSKU]]="","",_xlfn.XLOOKUP(Table26[[#This Row],[customerSKU]],customerSKU!G:G,customerSKU!N:N,"NOT FOUND",0,1))</f>
        <v>NOT FOUND</v>
      </c>
      <c r="T1987" s="20">
        <v>45623</v>
      </c>
      <c r="U1987" s="94">
        <v>24</v>
      </c>
      <c r="V1987" s="22" t="str">
        <f>IF(ISBLANK(Table26[[#This Row],[customerSKU]]),"",_xlfn.XLOOKUP(Table26[[#This Row],[customerSKU]],Table27[customer_SKU],Table27[case_size],"",0,1))</f>
        <v/>
      </c>
      <c r="W1987" s="117" t="str">
        <f t="shared" si="79"/>
        <v/>
      </c>
      <c r="X1987" s="22" t="str">
        <f t="shared" si="78"/>
        <v/>
      </c>
      <c r="Y1987" s="25" t="str">
        <f>IF(Table26[[#This Row],[customerSKU]]="","",_xlfn.XLOOKUP(Table26[[#This Row],[customerSKU]],Table27[customer_SKU],Table27[product_GTIN],"",0,1))</f>
        <v/>
      </c>
      <c r="Z1987" s="25" t="s">
        <v>3712</v>
      </c>
      <c r="AA1987" s="18" t="str" cm="1">
        <f t="array" ref="AA1987">IF(P1987="", "", _xlfn.XLOOKUP(P1987,#REF!,#REF!,NA,0,-1))</f>
        <v/>
      </c>
      <c r="AB1987" s="22"/>
      <c r="AC1987" s="23" t="str">
        <f>IF(Table26[[#This Row],[customerSKU]]="","",_xlfn.XLOOKUP(Table26[[#This Row],[customerSKU]],customerSKU!G:G,customerSKU!C:C,"",0,1))</f>
        <v/>
      </c>
      <c r="AD1987" s="23" t="str">
        <f>IF($AC1987="","",_xlfn.XLOOKUP($AC1987,'Client Info'!$C$2:$C$2497,'Client Info'!$D$2:$D$2497,"",0,1))</f>
        <v/>
      </c>
      <c r="AE1987" s="23" t="str">
        <f>IF($AC1987="","",_xlfn.XLOOKUP($AC1987,'Client Info'!$C$2:$C$2677,'Client Info'!$E$2:$E$2677,"",))</f>
        <v/>
      </c>
      <c r="AF1987" s="23" t="str">
        <f>IF($AC1987="","",_xlfn.XLOOKUP($AC1987,'Client Info'!$C$2:$C$2677,'Client Info'!$F$2:$F$2677,"",0,1))</f>
        <v/>
      </c>
      <c r="AG1987" s="23" t="str">
        <f>IF(ISBLANK(Table26[[#This Row],[customerSKU]]),"",_xlfn.XLOOKUP(Table26[[#This Row],[customerSKU]],Table27[customer_SKU],Table27[billto],"",0,1))</f>
        <v/>
      </c>
      <c r="AH1987" s="26" t="str">
        <f>_xlfn.XLOOKUP(Table26[[#This Row],[customerSKU]],customerSKU!G:G,customerSKU!K:K,"NA",0,1)</f>
        <v>NA</v>
      </c>
      <c r="AI1987" s="43" t="str">
        <f>_xlfn.XLOOKUP(Table26[[#This Row],[customerSKU]],customerSKU!G:G,customerSKU!O:O,"not found",0,1)</f>
        <v>not found</v>
      </c>
      <c r="AJ1987" s="22" t="e">
        <f>Table26[[#This Row],[unitprice]]*Table26[[#This Row],[quantity_unit]]</f>
        <v>#VALUE!</v>
      </c>
      <c r="AK1987" s="227" t="e" cm="1">
        <f t="array" ref="AK19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7" s="227"/>
    </row>
    <row r="1988" spans="1:38" ht="18" customHeight="1">
      <c r="A1988" s="42">
        <v>264</v>
      </c>
      <c r="B1988" s="42" t="s">
        <v>3520</v>
      </c>
      <c r="C1988" s="53" t="s">
        <v>3427</v>
      </c>
      <c r="E1988" s="20"/>
      <c r="F19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8" s="93"/>
      <c r="I1988" s="203">
        <v>45835</v>
      </c>
      <c r="J1988" s="90" t="str">
        <f>IF(Table26[[#This Row],[customerSKU]]="","",_xlfn.XLOOKUP(Table26[[#This Row],[customerSKU]],customerSKU!G:G,customerSKU!A:A,"",0,1))</f>
        <v/>
      </c>
      <c r="K1988" s="232">
        <v>45842</v>
      </c>
      <c r="L1988" s="49" t="str">
        <f>IF(Table26[[#This Row],[customerSKU]]="","",_xlfn.XLOOKUP(Table26[[#This Row],[customerSKU]],customerSKU!G:G,customerSKU!B:B,"",0,1))</f>
        <v/>
      </c>
      <c r="M1988" s="22"/>
      <c r="N1988" s="15" t="str">
        <f>Table26[[#This Row],[po_number]]&amp;"-"&amp;Table26[[#This Row],[po_line]]</f>
        <v>-13</v>
      </c>
      <c r="O1988" s="15">
        <v>13</v>
      </c>
      <c r="P1988" s="50"/>
      <c r="Q1988" s="22" t="s">
        <v>1309</v>
      </c>
      <c r="R1988" s="22" t="s">
        <v>532</v>
      </c>
      <c r="S1988" s="90" t="str">
        <f>IF(Table26[[#This Row],[customerSKU]]="","",_xlfn.XLOOKUP(Table26[[#This Row],[customerSKU]],customerSKU!G:G,customerSKU!N:N,"NOT FOUND",0,1))</f>
        <v>NOT FOUND</v>
      </c>
      <c r="T1988" s="20">
        <v>45697</v>
      </c>
      <c r="U1988" s="94">
        <v>24</v>
      </c>
      <c r="V1988" s="22" t="str">
        <f>IF(ISBLANK(Table26[[#This Row],[customerSKU]]),"",_xlfn.XLOOKUP(Table26[[#This Row],[customerSKU]],Table27[customer_SKU],Table27[case_size],"",0,1))</f>
        <v/>
      </c>
      <c r="W1988" s="117" t="str">
        <f t="shared" si="79"/>
        <v/>
      </c>
      <c r="X1988" s="22" t="str">
        <f t="shared" si="78"/>
        <v/>
      </c>
      <c r="Y1988" s="25" t="str">
        <f>IF(Table26[[#This Row],[customerSKU]]="","",_xlfn.XLOOKUP(Table26[[#This Row],[customerSKU]],Table27[customer_SKU],Table27[product_GTIN],"",0,1))</f>
        <v/>
      </c>
      <c r="Z1988" s="25" t="s">
        <v>3712</v>
      </c>
      <c r="AA1988" s="18" t="str" cm="1">
        <f t="array" ref="AA1988">IF(P1988="", "", _xlfn.XLOOKUP(P1988,#REF!,#REF!,NA,0,-1))</f>
        <v/>
      </c>
      <c r="AB1988" s="22"/>
      <c r="AC1988" s="23" t="str">
        <f>IF(Table26[[#This Row],[customerSKU]]="","",_xlfn.XLOOKUP(Table26[[#This Row],[customerSKU]],customerSKU!G:G,customerSKU!C:C,"",0,1))</f>
        <v/>
      </c>
      <c r="AD1988" s="23" t="str">
        <f>IF($AC1988="","",_xlfn.XLOOKUP($AC1988,'Client Info'!$C$2:$C$2497,'Client Info'!$D$2:$D$2497,"",0,1))</f>
        <v/>
      </c>
      <c r="AE1988" s="23" t="str">
        <f>IF($AC1988="","",_xlfn.XLOOKUP($AC1988,'Client Info'!$C$2:$C$2677,'Client Info'!$E$2:$E$2677,"",))</f>
        <v/>
      </c>
      <c r="AF1988" s="23" t="str">
        <f>IF($AC1988="","",_xlfn.XLOOKUP($AC1988,'Client Info'!$C$2:$C$2677,'Client Info'!$F$2:$F$2677,"",0,1))</f>
        <v/>
      </c>
      <c r="AG1988" s="23" t="str">
        <f>IF(ISBLANK(Table26[[#This Row],[customerSKU]]),"",_xlfn.XLOOKUP(Table26[[#This Row],[customerSKU]],Table27[customer_SKU],Table27[billto],"",0,1))</f>
        <v/>
      </c>
      <c r="AH1988" s="26" t="str">
        <f>_xlfn.XLOOKUP(Table26[[#This Row],[customerSKU]],customerSKU!G:G,customerSKU!K:K,"NA",0,1)</f>
        <v>NA</v>
      </c>
      <c r="AI1988" s="43" t="str">
        <f>_xlfn.XLOOKUP(Table26[[#This Row],[customerSKU]],customerSKU!G:G,customerSKU!O:O,"not found",0,1)</f>
        <v>not found</v>
      </c>
      <c r="AJ1988" s="22" t="e">
        <f>Table26[[#This Row],[unitprice]]*Table26[[#This Row],[quantity_unit]]</f>
        <v>#VALUE!</v>
      </c>
      <c r="AK1988" s="227" t="e" cm="1">
        <f t="array" ref="AK19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8" s="227"/>
    </row>
    <row r="1989" spans="1:38" ht="18" customHeight="1">
      <c r="A1989" s="42">
        <v>265</v>
      </c>
      <c r="B1989" s="42" t="s">
        <v>3520</v>
      </c>
      <c r="C1989" s="53" t="s">
        <v>3427</v>
      </c>
      <c r="E1989" s="20"/>
      <c r="F19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89" s="93"/>
      <c r="I1989" s="203">
        <v>45835</v>
      </c>
      <c r="J1989" s="90" t="str">
        <f>IF(Table26[[#This Row],[customerSKU]]="","",_xlfn.XLOOKUP(Table26[[#This Row],[customerSKU]],customerSKU!G:G,customerSKU!A:A,"",0,1))</f>
        <v/>
      </c>
      <c r="K1989" s="232">
        <v>45842</v>
      </c>
      <c r="L1989" s="49" t="str">
        <f>IF(Table26[[#This Row],[customerSKU]]="","",_xlfn.XLOOKUP(Table26[[#This Row],[customerSKU]],customerSKU!G:G,customerSKU!B:B,"",0,1))</f>
        <v/>
      </c>
      <c r="M1989" s="22"/>
      <c r="N1989" s="15" t="str">
        <f>Table26[[#This Row],[po_number]]&amp;"-"&amp;Table26[[#This Row],[po_line]]</f>
        <v>-14</v>
      </c>
      <c r="O1989" s="15">
        <v>14</v>
      </c>
      <c r="P1989" s="50"/>
      <c r="Q1989" s="22" t="s">
        <v>625</v>
      </c>
      <c r="R1989" s="22" t="s">
        <v>532</v>
      </c>
      <c r="S1989" s="90" t="str">
        <f>IF(Table26[[#This Row],[customerSKU]]="","",_xlfn.XLOOKUP(Table26[[#This Row],[customerSKU]],customerSKU!G:G,customerSKU!N:N,"NOT FOUND",0,1))</f>
        <v>NOT FOUND</v>
      </c>
      <c r="T1989" s="20">
        <v>45707</v>
      </c>
      <c r="U1989" s="94">
        <v>12</v>
      </c>
      <c r="V1989" s="22" t="str">
        <f>IF(ISBLANK(Table26[[#This Row],[customerSKU]]),"",_xlfn.XLOOKUP(Table26[[#This Row],[customerSKU]],Table27[customer_SKU],Table27[case_size],"",0,1))</f>
        <v/>
      </c>
      <c r="W1989" s="117" t="str">
        <f t="shared" si="79"/>
        <v/>
      </c>
      <c r="X1989" s="22" t="str">
        <f t="shared" si="78"/>
        <v/>
      </c>
      <c r="Y1989" s="25" t="str">
        <f>IF(Table26[[#This Row],[customerSKU]]="","",_xlfn.XLOOKUP(Table26[[#This Row],[customerSKU]],Table27[customer_SKU],Table27[product_GTIN],"",0,1))</f>
        <v/>
      </c>
      <c r="Z1989" s="25" t="s">
        <v>3713</v>
      </c>
      <c r="AA1989" s="18" t="str" cm="1">
        <f t="array" ref="AA1989">IF(P1989="", "", _xlfn.XLOOKUP(P1989,#REF!,#REF!,NA,0,-1))</f>
        <v/>
      </c>
      <c r="AB1989" s="22"/>
      <c r="AC1989" s="23" t="str">
        <f>IF(Table26[[#This Row],[customerSKU]]="","",_xlfn.XLOOKUP(Table26[[#This Row],[customerSKU]],customerSKU!G:G,customerSKU!C:C,"",0,1))</f>
        <v/>
      </c>
      <c r="AD1989" s="23" t="str">
        <f>IF($AC1989="","",_xlfn.XLOOKUP($AC1989,'Client Info'!$C$2:$C$2497,'Client Info'!$D$2:$D$2497,"",0,1))</f>
        <v/>
      </c>
      <c r="AE1989" s="23" t="str">
        <f>IF($AC1989="","",_xlfn.XLOOKUP($AC1989,'Client Info'!$C$2:$C$2677,'Client Info'!$E$2:$E$2677,"",))</f>
        <v/>
      </c>
      <c r="AF1989" s="23" t="str">
        <f>IF($AC1989="","",_xlfn.XLOOKUP($AC1989,'Client Info'!$C$2:$C$2677,'Client Info'!$F$2:$F$2677,"",0,1))</f>
        <v/>
      </c>
      <c r="AG1989" s="23" t="str">
        <f>IF(ISBLANK(Table26[[#This Row],[customerSKU]]),"",_xlfn.XLOOKUP(Table26[[#This Row],[customerSKU]],Table27[customer_SKU],Table27[billto],"",0,1))</f>
        <v/>
      </c>
      <c r="AH1989" s="26" t="str">
        <f>_xlfn.XLOOKUP(Table26[[#This Row],[customerSKU]],customerSKU!G:G,customerSKU!K:K,"NA",0,1)</f>
        <v>NA</v>
      </c>
      <c r="AI1989" s="43" t="str">
        <f>_xlfn.XLOOKUP(Table26[[#This Row],[customerSKU]],customerSKU!G:G,customerSKU!O:O,"not found",0,1)</f>
        <v>not found</v>
      </c>
      <c r="AJ1989" s="22" t="e">
        <f>Table26[[#This Row],[unitprice]]*Table26[[#This Row],[quantity_unit]]</f>
        <v>#VALUE!</v>
      </c>
      <c r="AK1989" s="227" t="e" cm="1">
        <f t="array" ref="AK19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89" s="227"/>
    </row>
    <row r="1990" spans="1:38" ht="18" customHeight="1">
      <c r="A1990" s="42">
        <v>266</v>
      </c>
      <c r="B1990" s="42" t="s">
        <v>3520</v>
      </c>
      <c r="C1990" s="53" t="s">
        <v>3427</v>
      </c>
      <c r="E1990" s="20"/>
      <c r="F19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0" s="93"/>
      <c r="I1990" s="203">
        <v>45835</v>
      </c>
      <c r="J1990" s="90" t="str">
        <f>IF(Table26[[#This Row],[customerSKU]]="","",_xlfn.XLOOKUP(Table26[[#This Row],[customerSKU]],customerSKU!G:G,customerSKU!A:A,"",0,1))</f>
        <v/>
      </c>
      <c r="K1990" s="232">
        <v>45842</v>
      </c>
      <c r="L1990" s="49" t="str">
        <f>IF(Table26[[#This Row],[customerSKU]]="","",_xlfn.XLOOKUP(Table26[[#This Row],[customerSKU]],customerSKU!G:G,customerSKU!B:B,"",0,1))</f>
        <v/>
      </c>
      <c r="M1990" s="22"/>
      <c r="N1990" s="15" t="str">
        <f>Table26[[#This Row],[po_number]]&amp;"-"&amp;Table26[[#This Row],[po_line]]</f>
        <v>-15</v>
      </c>
      <c r="O1990" s="15">
        <v>15</v>
      </c>
      <c r="P1990" s="50"/>
      <c r="Q1990" s="22" t="s">
        <v>1315</v>
      </c>
      <c r="R1990" s="22" t="s">
        <v>532</v>
      </c>
      <c r="S1990" s="90" t="str">
        <f>IF(Table26[[#This Row],[customerSKU]]="","",_xlfn.XLOOKUP(Table26[[#This Row],[customerSKU]],customerSKU!G:G,customerSKU!N:N,"NOT FOUND",0,1))</f>
        <v>NOT FOUND</v>
      </c>
      <c r="T1990" s="20">
        <v>45555</v>
      </c>
      <c r="U1990" s="94">
        <v>12</v>
      </c>
      <c r="V1990" s="22" t="str">
        <f>IF(ISBLANK(Table26[[#This Row],[customerSKU]]),"",_xlfn.XLOOKUP(Table26[[#This Row],[customerSKU]],Table27[customer_SKU],Table27[case_size],"",0,1))</f>
        <v/>
      </c>
      <c r="W1990" s="117" t="str">
        <f t="shared" si="79"/>
        <v/>
      </c>
      <c r="X1990" s="22" t="str">
        <f t="shared" ref="X1990:X2054" si="80">IFERROR($AA1990*$U1990, "")</f>
        <v/>
      </c>
      <c r="Y1990" s="25" t="str">
        <f>IF(Table26[[#This Row],[customerSKU]]="","",_xlfn.XLOOKUP(Table26[[#This Row],[customerSKU]],Table27[customer_SKU],Table27[product_GTIN],"",0,1))</f>
        <v/>
      </c>
      <c r="Z1990" s="25" t="s">
        <v>3714</v>
      </c>
      <c r="AA1990" s="18" t="str" cm="1">
        <f t="array" ref="AA1990">IF(P1990="", "", _xlfn.XLOOKUP(P1990,#REF!,#REF!,NA,0,-1))</f>
        <v/>
      </c>
      <c r="AB1990" s="22"/>
      <c r="AC1990" s="23" t="str">
        <f>IF(Table26[[#This Row],[customerSKU]]="","",_xlfn.XLOOKUP(Table26[[#This Row],[customerSKU]],customerSKU!G:G,customerSKU!C:C,"",0,1))</f>
        <v/>
      </c>
      <c r="AD1990" s="23" t="str">
        <f>IF($AC1990="","",_xlfn.XLOOKUP($AC1990,'Client Info'!$C$2:$C$2497,'Client Info'!$D$2:$D$2497,"",0,1))</f>
        <v/>
      </c>
      <c r="AE1990" s="23" t="str">
        <f>IF($AC1990="","",_xlfn.XLOOKUP($AC1990,'Client Info'!$C$2:$C$2677,'Client Info'!$E$2:$E$2677,"",))</f>
        <v/>
      </c>
      <c r="AF1990" s="23" t="str">
        <f>IF($AC1990="","",_xlfn.XLOOKUP($AC1990,'Client Info'!$C$2:$C$2677,'Client Info'!$F$2:$F$2677,"",0,1))</f>
        <v/>
      </c>
      <c r="AG1990" s="23" t="str">
        <f>IF(ISBLANK(Table26[[#This Row],[customerSKU]]),"",_xlfn.XLOOKUP(Table26[[#This Row],[customerSKU]],Table27[customer_SKU],Table27[billto],"",0,1))</f>
        <v/>
      </c>
      <c r="AH1990" s="26" t="str">
        <f>_xlfn.XLOOKUP(Table26[[#This Row],[customerSKU]],customerSKU!G:G,customerSKU!K:K,"NA",0,1)</f>
        <v>NA</v>
      </c>
      <c r="AI1990" s="43" t="str">
        <f>_xlfn.XLOOKUP(Table26[[#This Row],[customerSKU]],customerSKU!G:G,customerSKU!O:O,"not found",0,1)</f>
        <v>not found</v>
      </c>
      <c r="AJ1990" s="22" t="e">
        <f>Table26[[#This Row],[unitprice]]*Table26[[#This Row],[quantity_unit]]</f>
        <v>#VALUE!</v>
      </c>
      <c r="AK1990" s="227" t="e" cm="1">
        <f t="array" ref="AK19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0" s="227"/>
    </row>
    <row r="1991" spans="1:38" ht="18" customHeight="1">
      <c r="A1991" s="42">
        <v>267</v>
      </c>
      <c r="B1991" s="42" t="s">
        <v>3520</v>
      </c>
      <c r="C1991" s="53" t="s">
        <v>3427</v>
      </c>
      <c r="E1991" s="20"/>
      <c r="F19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1" s="93"/>
      <c r="I1991" s="203">
        <v>45835</v>
      </c>
      <c r="J1991" s="90" t="str">
        <f>IF(Table26[[#This Row],[customerSKU]]="","",_xlfn.XLOOKUP(Table26[[#This Row],[customerSKU]],customerSKU!G:G,customerSKU!A:A,"",0,1))</f>
        <v/>
      </c>
      <c r="K1991" s="232">
        <v>45842</v>
      </c>
      <c r="L1991" s="49" t="str">
        <f>IF(Table26[[#This Row],[customerSKU]]="","",_xlfn.XLOOKUP(Table26[[#This Row],[customerSKU]],customerSKU!G:G,customerSKU!B:B,"",0,1))</f>
        <v/>
      </c>
      <c r="M1991" s="22"/>
      <c r="N1991" s="15" t="str">
        <f>Table26[[#This Row],[po_number]]&amp;"-"&amp;Table26[[#This Row],[po_line]]</f>
        <v>-16</v>
      </c>
      <c r="O1991" s="15">
        <v>16</v>
      </c>
      <c r="P1991" s="50"/>
      <c r="Q1991" s="22" t="s">
        <v>3715</v>
      </c>
      <c r="R1991" s="22" t="s">
        <v>532</v>
      </c>
      <c r="S1991" s="90" t="str">
        <f>IF(Table26[[#This Row],[customerSKU]]="","",_xlfn.XLOOKUP(Table26[[#This Row],[customerSKU]],customerSKU!G:G,customerSKU!N:N,"NOT FOUND",0,1))</f>
        <v>NOT FOUND</v>
      </c>
      <c r="T1991" s="20">
        <v>45594</v>
      </c>
      <c r="U1991" s="94">
        <v>12</v>
      </c>
      <c r="V1991" s="22" t="str">
        <f>IF(ISBLANK(Table26[[#This Row],[customerSKU]]),"",_xlfn.XLOOKUP(Table26[[#This Row],[customerSKU]],Table27[customer_SKU],Table27[case_size],"",0,1))</f>
        <v/>
      </c>
      <c r="W1991" s="117" t="str">
        <f t="shared" si="79"/>
        <v/>
      </c>
      <c r="X1991" s="22" t="str">
        <f t="shared" si="80"/>
        <v/>
      </c>
      <c r="Y1991" s="25" t="str">
        <f>IF(Table26[[#This Row],[customerSKU]]="","",_xlfn.XLOOKUP(Table26[[#This Row],[customerSKU]],Table27[customer_SKU],Table27[product_GTIN],"",0,1))</f>
        <v/>
      </c>
      <c r="Z1991" s="25" t="s">
        <v>3716</v>
      </c>
      <c r="AA1991" s="18" t="str" cm="1">
        <f t="array" ref="AA1991">IF(P1991="", "", _xlfn.XLOOKUP(P1991,#REF!,#REF!,NA,0,-1))</f>
        <v/>
      </c>
      <c r="AB1991" s="22"/>
      <c r="AC1991" s="23" t="str">
        <f>IF(Table26[[#This Row],[customerSKU]]="","",_xlfn.XLOOKUP(Table26[[#This Row],[customerSKU]],customerSKU!G:G,customerSKU!C:C,"",0,1))</f>
        <v/>
      </c>
      <c r="AD1991" s="23" t="str">
        <f>IF($AC1991="","",_xlfn.XLOOKUP($AC1991,'Client Info'!$C$2:$C$2497,'Client Info'!$D$2:$D$2497,"",0,1))</f>
        <v/>
      </c>
      <c r="AE1991" s="23" t="str">
        <f>IF($AC1991="","",_xlfn.XLOOKUP($AC1991,'Client Info'!$C$2:$C$2677,'Client Info'!$E$2:$E$2677,"",))</f>
        <v/>
      </c>
      <c r="AF1991" s="23" t="str">
        <f>IF($AC1991="","",_xlfn.XLOOKUP($AC1991,'Client Info'!$C$2:$C$2677,'Client Info'!$F$2:$F$2677,"",0,1))</f>
        <v/>
      </c>
      <c r="AG1991" s="23" t="str">
        <f>IF(ISBLANK(Table26[[#This Row],[customerSKU]]),"",_xlfn.XLOOKUP(Table26[[#This Row],[customerSKU]],Table27[customer_SKU],Table27[billto],"",0,1))</f>
        <v/>
      </c>
      <c r="AH1991" s="26" t="str">
        <f>_xlfn.XLOOKUP(Table26[[#This Row],[customerSKU]],customerSKU!G:G,customerSKU!K:K,"NA",0,1)</f>
        <v>NA</v>
      </c>
      <c r="AI1991" s="43" t="str">
        <f>_xlfn.XLOOKUP(Table26[[#This Row],[customerSKU]],customerSKU!G:G,customerSKU!O:O,"not found",0,1)</f>
        <v>not found</v>
      </c>
      <c r="AJ1991" s="22" t="e">
        <f>Table26[[#This Row],[unitprice]]*Table26[[#This Row],[quantity_unit]]</f>
        <v>#VALUE!</v>
      </c>
      <c r="AK1991" s="227" t="e" cm="1">
        <f t="array" ref="AK19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1" s="227"/>
    </row>
    <row r="1992" spans="1:38" ht="18" customHeight="1">
      <c r="A1992" s="42">
        <v>268</v>
      </c>
      <c r="B1992" s="42" t="s">
        <v>3520</v>
      </c>
      <c r="C1992" s="53" t="s">
        <v>3427</v>
      </c>
      <c r="E1992" s="20"/>
      <c r="F19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2" s="93"/>
      <c r="I1992" s="203">
        <v>45835</v>
      </c>
      <c r="J1992" s="90" t="str">
        <f>IF(Table26[[#This Row],[customerSKU]]="","",_xlfn.XLOOKUP(Table26[[#This Row],[customerSKU]],customerSKU!G:G,customerSKU!A:A,"",0,1))</f>
        <v/>
      </c>
      <c r="K1992" s="232">
        <v>45842</v>
      </c>
      <c r="L1992" s="49" t="str">
        <f>IF(Table26[[#This Row],[customerSKU]]="","",_xlfn.XLOOKUP(Table26[[#This Row],[customerSKU]],customerSKU!G:G,customerSKU!B:B,"",0,1))</f>
        <v/>
      </c>
      <c r="M1992" s="22"/>
      <c r="N1992" s="15" t="str">
        <f>Table26[[#This Row],[po_number]]&amp;"-"&amp;Table26[[#This Row],[po_line]]</f>
        <v>-17</v>
      </c>
      <c r="O1992" s="15">
        <v>17</v>
      </c>
      <c r="P1992" s="50"/>
      <c r="Q1992" s="22" t="s">
        <v>622</v>
      </c>
      <c r="R1992" s="22" t="s">
        <v>532</v>
      </c>
      <c r="S1992" s="90" t="str">
        <f>IF(Table26[[#This Row],[customerSKU]]="","",_xlfn.XLOOKUP(Table26[[#This Row],[customerSKU]],customerSKU!G:G,customerSKU!N:N,"NOT FOUND",0,1))</f>
        <v>NOT FOUND</v>
      </c>
      <c r="T1992" s="20">
        <v>45603</v>
      </c>
      <c r="U1992" s="94">
        <v>24</v>
      </c>
      <c r="V1992" s="22" t="str">
        <f>IF(ISBLANK(Table26[[#This Row],[customerSKU]]),"",_xlfn.XLOOKUP(Table26[[#This Row],[customerSKU]],Table27[customer_SKU],Table27[case_size],"",0,1))</f>
        <v/>
      </c>
      <c r="W1992" s="117" t="str">
        <f t="shared" si="79"/>
        <v/>
      </c>
      <c r="X1992" s="22" t="str">
        <f t="shared" si="80"/>
        <v/>
      </c>
      <c r="Y1992" s="25" t="str">
        <f>IF(Table26[[#This Row],[customerSKU]]="","",_xlfn.XLOOKUP(Table26[[#This Row],[customerSKU]],Table27[customer_SKU],Table27[product_GTIN],"",0,1))</f>
        <v/>
      </c>
      <c r="Z1992" s="25" t="s">
        <v>3717</v>
      </c>
      <c r="AA1992" s="18" t="str" cm="1">
        <f t="array" ref="AA1992">IF(P1992="", "", _xlfn.XLOOKUP(P1992,#REF!,#REF!,NA,0,-1))</f>
        <v/>
      </c>
      <c r="AB1992" s="22"/>
      <c r="AC1992" s="23" t="str">
        <f>IF(Table26[[#This Row],[customerSKU]]="","",_xlfn.XLOOKUP(Table26[[#This Row],[customerSKU]],customerSKU!G:G,customerSKU!C:C,"",0,1))</f>
        <v/>
      </c>
      <c r="AD1992" s="23" t="str">
        <f>IF($AC1992="","",_xlfn.XLOOKUP($AC1992,'Client Info'!$C$2:$C$2497,'Client Info'!$D$2:$D$2497,"",0,1))</f>
        <v/>
      </c>
      <c r="AE1992" s="23" t="str">
        <f>IF($AC1992="","",_xlfn.XLOOKUP($AC1992,'Client Info'!$C$2:$C$2677,'Client Info'!$E$2:$E$2677,"",))</f>
        <v/>
      </c>
      <c r="AF1992" s="23" t="str">
        <f>IF($AC1992="","",_xlfn.XLOOKUP($AC1992,'Client Info'!$C$2:$C$2677,'Client Info'!$F$2:$F$2677,"",0,1))</f>
        <v/>
      </c>
      <c r="AG1992" s="23" t="str">
        <f>IF(ISBLANK(Table26[[#This Row],[customerSKU]]),"",_xlfn.XLOOKUP(Table26[[#This Row],[customerSKU]],Table27[customer_SKU],Table27[billto],"",0,1))</f>
        <v/>
      </c>
      <c r="AH1992" s="26" t="str">
        <f>_xlfn.XLOOKUP(Table26[[#This Row],[customerSKU]],customerSKU!G:G,customerSKU!K:K,"NA",0,1)</f>
        <v>NA</v>
      </c>
      <c r="AI1992" s="43" t="str">
        <f>_xlfn.XLOOKUP(Table26[[#This Row],[customerSKU]],customerSKU!G:G,customerSKU!O:O,"not found",0,1)</f>
        <v>not found</v>
      </c>
      <c r="AJ1992" s="22" t="e">
        <f>Table26[[#This Row],[unitprice]]*Table26[[#This Row],[quantity_unit]]</f>
        <v>#VALUE!</v>
      </c>
      <c r="AK1992" s="227" t="e" cm="1">
        <f t="array" ref="AK19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2" s="227"/>
    </row>
    <row r="1993" spans="1:38" ht="18" customHeight="1">
      <c r="A1993" s="42">
        <v>269</v>
      </c>
      <c r="B1993" s="42" t="s">
        <v>3520</v>
      </c>
      <c r="C1993" s="53" t="s">
        <v>3427</v>
      </c>
      <c r="E1993" s="20"/>
      <c r="F19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3" s="93"/>
      <c r="I1993" s="203">
        <v>45835</v>
      </c>
      <c r="J1993" s="90" t="str">
        <f>IF(Table26[[#This Row],[customerSKU]]="","",_xlfn.XLOOKUP(Table26[[#This Row],[customerSKU]],customerSKU!G:G,customerSKU!A:A,"",0,1))</f>
        <v/>
      </c>
      <c r="K1993" s="232">
        <v>45842</v>
      </c>
      <c r="L1993" s="49" t="str">
        <f>IF(Table26[[#This Row],[customerSKU]]="","",_xlfn.XLOOKUP(Table26[[#This Row],[customerSKU]],customerSKU!G:G,customerSKU!B:B,"",0,1))</f>
        <v/>
      </c>
      <c r="M1993" s="22"/>
      <c r="N1993" s="15" t="str">
        <f>Table26[[#This Row],[po_number]]&amp;"-"&amp;Table26[[#This Row],[po_line]]</f>
        <v>-18</v>
      </c>
      <c r="O1993" s="15">
        <v>18</v>
      </c>
      <c r="P1993" s="50"/>
      <c r="Q1993" s="22" t="s">
        <v>622</v>
      </c>
      <c r="R1993" s="22" t="s">
        <v>532</v>
      </c>
      <c r="S1993" s="90" t="str">
        <f>IF(Table26[[#This Row],[customerSKU]]="","",_xlfn.XLOOKUP(Table26[[#This Row],[customerSKU]],customerSKU!G:G,customerSKU!N:N,"NOT FOUND",0,1))</f>
        <v>NOT FOUND</v>
      </c>
      <c r="T1993" s="20">
        <v>45603</v>
      </c>
      <c r="U1993" s="94">
        <v>24</v>
      </c>
      <c r="V1993" s="22" t="str">
        <f>IF(ISBLANK(Table26[[#This Row],[customerSKU]]),"",_xlfn.XLOOKUP(Table26[[#This Row],[customerSKU]],Table27[customer_SKU],Table27[case_size],"",0,1))</f>
        <v/>
      </c>
      <c r="W1993" s="117" t="str">
        <f t="shared" si="79"/>
        <v/>
      </c>
      <c r="X1993" s="22" t="str">
        <f t="shared" si="80"/>
        <v/>
      </c>
      <c r="Y1993" s="25" t="str">
        <f>IF(Table26[[#This Row],[customerSKU]]="","",_xlfn.XLOOKUP(Table26[[#This Row],[customerSKU]],Table27[customer_SKU],Table27[product_GTIN],"",0,1))</f>
        <v/>
      </c>
      <c r="Z1993" s="25" t="s">
        <v>3717</v>
      </c>
      <c r="AA1993" s="18" t="str" cm="1">
        <f t="array" ref="AA1993">IF(P1993="", "", _xlfn.XLOOKUP(P1993,#REF!,#REF!,NA,0,-1))</f>
        <v/>
      </c>
      <c r="AB1993" s="22"/>
      <c r="AC1993" s="23" t="str">
        <f>IF(Table26[[#This Row],[customerSKU]]="","",_xlfn.XLOOKUP(Table26[[#This Row],[customerSKU]],customerSKU!G:G,customerSKU!C:C,"",0,1))</f>
        <v/>
      </c>
      <c r="AD1993" s="23" t="str">
        <f>IF($AC1993="","",_xlfn.XLOOKUP($AC1993,'Client Info'!$C$2:$C$2497,'Client Info'!$D$2:$D$2497,"",0,1))</f>
        <v/>
      </c>
      <c r="AE1993" s="23" t="str">
        <f>IF($AC1993="","",_xlfn.XLOOKUP($AC1993,'Client Info'!$C$2:$C$2677,'Client Info'!$E$2:$E$2677,"",))</f>
        <v/>
      </c>
      <c r="AF1993" s="23" t="str">
        <f>IF($AC1993="","",_xlfn.XLOOKUP($AC1993,'Client Info'!$C$2:$C$2677,'Client Info'!$F$2:$F$2677,"",0,1))</f>
        <v/>
      </c>
      <c r="AG1993" s="23" t="str">
        <f>IF(ISBLANK(Table26[[#This Row],[customerSKU]]),"",_xlfn.XLOOKUP(Table26[[#This Row],[customerSKU]],Table27[customer_SKU],Table27[billto],"",0,1))</f>
        <v/>
      </c>
      <c r="AH1993" s="26" t="str">
        <f>_xlfn.XLOOKUP(Table26[[#This Row],[customerSKU]],customerSKU!G:G,customerSKU!K:K,"NA",0,1)</f>
        <v>NA</v>
      </c>
      <c r="AI1993" s="43" t="str">
        <f>_xlfn.XLOOKUP(Table26[[#This Row],[customerSKU]],customerSKU!G:G,customerSKU!O:O,"not found",0,1)</f>
        <v>not found</v>
      </c>
      <c r="AJ1993" s="22" t="e">
        <f>Table26[[#This Row],[unitprice]]*Table26[[#This Row],[quantity_unit]]</f>
        <v>#VALUE!</v>
      </c>
      <c r="AK1993" s="227" t="e" cm="1">
        <f t="array" ref="AK19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3" s="227"/>
    </row>
    <row r="1994" spans="1:38" ht="18" customHeight="1">
      <c r="A1994" s="42">
        <v>270</v>
      </c>
      <c r="B1994" s="42" t="s">
        <v>3520</v>
      </c>
      <c r="C1994" s="53" t="s">
        <v>3427</v>
      </c>
      <c r="E1994" s="20"/>
      <c r="F19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4" s="93"/>
      <c r="I1994" s="203">
        <v>45835</v>
      </c>
      <c r="J1994" s="90" t="str">
        <f>IF(Table26[[#This Row],[customerSKU]]="","",_xlfn.XLOOKUP(Table26[[#This Row],[customerSKU]],customerSKU!G:G,customerSKU!A:A,"",0,1))</f>
        <v/>
      </c>
      <c r="K1994" s="232">
        <v>45842</v>
      </c>
      <c r="L1994" s="49" t="str">
        <f>IF(Table26[[#This Row],[customerSKU]]="","",_xlfn.XLOOKUP(Table26[[#This Row],[customerSKU]],customerSKU!G:G,customerSKU!B:B,"",0,1))</f>
        <v/>
      </c>
      <c r="M1994" s="22"/>
      <c r="N1994" s="15" t="str">
        <f>Table26[[#This Row],[po_number]]&amp;"-"&amp;Table26[[#This Row],[po_line]]</f>
        <v>-19</v>
      </c>
      <c r="O1994" s="15">
        <v>19</v>
      </c>
      <c r="P1994" s="50"/>
      <c r="Q1994" s="22" t="s">
        <v>3378</v>
      </c>
      <c r="R1994" s="22" t="s">
        <v>532</v>
      </c>
      <c r="S1994" s="90" t="str">
        <f>IF(Table26[[#This Row],[customerSKU]]="","",_xlfn.XLOOKUP(Table26[[#This Row],[customerSKU]],customerSKU!G:G,customerSKU!N:N,"NOT FOUND",0,1))</f>
        <v>NOT FOUND</v>
      </c>
      <c r="T1994" s="20">
        <v>45742</v>
      </c>
      <c r="U1994" s="94">
        <v>12</v>
      </c>
      <c r="V1994" s="22" t="str">
        <f>IF(ISBLANK(Table26[[#This Row],[customerSKU]]),"",_xlfn.XLOOKUP(Table26[[#This Row],[customerSKU]],Table27[customer_SKU],Table27[case_size],"",0,1))</f>
        <v/>
      </c>
      <c r="W1994" s="117" t="str">
        <f t="shared" si="79"/>
        <v/>
      </c>
      <c r="X1994" s="22" t="str">
        <f t="shared" si="80"/>
        <v/>
      </c>
      <c r="Y1994" s="25" t="str">
        <f>IF(Table26[[#This Row],[customerSKU]]="","",_xlfn.XLOOKUP(Table26[[#This Row],[customerSKU]],Table27[customer_SKU],Table27[product_GTIN],"",0,1))</f>
        <v/>
      </c>
      <c r="Z1994" s="25" t="s">
        <v>3718</v>
      </c>
      <c r="AA1994" s="18" t="str" cm="1">
        <f t="array" ref="AA1994">IF(P1994="", "", _xlfn.XLOOKUP(P1994,#REF!,#REF!,NA,0,-1))</f>
        <v/>
      </c>
      <c r="AB1994" s="22"/>
      <c r="AC1994" s="23" t="str">
        <f>IF(Table26[[#This Row],[customerSKU]]="","",_xlfn.XLOOKUP(Table26[[#This Row],[customerSKU]],customerSKU!G:G,customerSKU!C:C,"",0,1))</f>
        <v/>
      </c>
      <c r="AD1994" s="23" t="str">
        <f>IF($AC1994="","",_xlfn.XLOOKUP($AC1994,'Client Info'!$C$2:$C$2497,'Client Info'!$D$2:$D$2497,"",0,1))</f>
        <v/>
      </c>
      <c r="AE1994" s="23" t="str">
        <f>IF($AC1994="","",_xlfn.XLOOKUP($AC1994,'Client Info'!$C$2:$C$2677,'Client Info'!$E$2:$E$2677,"",))</f>
        <v/>
      </c>
      <c r="AF1994" s="23" t="str">
        <f>IF($AC1994="","",_xlfn.XLOOKUP($AC1994,'Client Info'!$C$2:$C$2677,'Client Info'!$F$2:$F$2677,"",0,1))</f>
        <v/>
      </c>
      <c r="AG1994" s="23" t="str">
        <f>IF(ISBLANK(Table26[[#This Row],[customerSKU]]),"",_xlfn.XLOOKUP(Table26[[#This Row],[customerSKU]],Table27[customer_SKU],Table27[billto],"",0,1))</f>
        <v/>
      </c>
      <c r="AH1994" s="26" t="str">
        <f>_xlfn.XLOOKUP(Table26[[#This Row],[customerSKU]],customerSKU!G:G,customerSKU!K:K,"NA",0,1)</f>
        <v>NA</v>
      </c>
      <c r="AI1994" s="43" t="str">
        <f>_xlfn.XLOOKUP(Table26[[#This Row],[customerSKU]],customerSKU!G:G,customerSKU!O:O,"not found",0,1)</f>
        <v>not found</v>
      </c>
      <c r="AJ1994" s="22" t="e">
        <f>Table26[[#This Row],[unitprice]]*Table26[[#This Row],[quantity_unit]]</f>
        <v>#VALUE!</v>
      </c>
      <c r="AK1994" s="227" t="e" cm="1">
        <f t="array" ref="AK19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4" s="227"/>
    </row>
    <row r="1995" spans="1:38" ht="18" customHeight="1">
      <c r="A1995" s="42">
        <v>271</v>
      </c>
      <c r="B1995" s="42" t="s">
        <v>3520</v>
      </c>
      <c r="C1995" s="53" t="s">
        <v>3427</v>
      </c>
      <c r="E1995" s="20"/>
      <c r="F19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5" s="93"/>
      <c r="I1995" s="203">
        <v>45838</v>
      </c>
      <c r="J1995" s="90" t="str">
        <f>IF(Table26[[#This Row],[customerSKU]]="","",_xlfn.XLOOKUP(Table26[[#This Row],[customerSKU]],customerSKU!G:G,customerSKU!A:A,"",0,1))</f>
        <v/>
      </c>
      <c r="K1995" s="232">
        <v>45842</v>
      </c>
      <c r="L1995" s="49" t="str">
        <f>IF(Table26[[#This Row],[customerSKU]]="","",_xlfn.XLOOKUP(Table26[[#This Row],[customerSKU]],customerSKU!G:G,customerSKU!B:B,"",0,1))</f>
        <v/>
      </c>
      <c r="M1995" s="22"/>
      <c r="N1995" s="15" t="str">
        <f>Table26[[#This Row],[po_number]]&amp;"-"&amp;Table26[[#This Row],[po_line]]</f>
        <v>-1</v>
      </c>
      <c r="O1995" s="15">
        <v>1</v>
      </c>
      <c r="P1995" s="50"/>
      <c r="Q1995" s="22" t="s">
        <v>1827</v>
      </c>
      <c r="R1995" s="22" t="s">
        <v>532</v>
      </c>
      <c r="S1995" s="90" t="str">
        <f>IF(Table26[[#This Row],[customerSKU]]="","",_xlfn.XLOOKUP(Table26[[#This Row],[customerSKU]],customerSKU!G:G,customerSKU!N:N,"NOT FOUND",0,1))</f>
        <v>NOT FOUND</v>
      </c>
      <c r="T1995" s="20">
        <v>45825</v>
      </c>
      <c r="U1995" s="94">
        <v>12</v>
      </c>
      <c r="V1995" s="22" t="str">
        <f>IF(ISBLANK(Table26[[#This Row],[customerSKU]]),"",_xlfn.XLOOKUP(Table26[[#This Row],[customerSKU]],Table27[customer_SKU],Table27[case_size],"",0,1))</f>
        <v/>
      </c>
      <c r="W1995" s="117" t="str">
        <f t="shared" ref="W1995:W2058" si="81">IFERROR(U1995/V1995, "")</f>
        <v/>
      </c>
      <c r="X1995" s="22" t="str">
        <f t="shared" si="80"/>
        <v/>
      </c>
      <c r="Y1995" s="25" t="str">
        <f>IF(Table26[[#This Row],[customerSKU]]="","",_xlfn.XLOOKUP(Table26[[#This Row],[customerSKU]],Table27[customer_SKU],Table27[product_GTIN],"",0,1))</f>
        <v/>
      </c>
      <c r="Z1995" s="25" t="s">
        <v>3720</v>
      </c>
      <c r="AA1995" s="18" t="str" cm="1">
        <f t="array" ref="AA1995">IF(P1995="", "", _xlfn.XLOOKUP(P1995,#REF!,#REF!,NA,0,-1))</f>
        <v/>
      </c>
      <c r="AB1995" s="22"/>
      <c r="AC1995" s="23" t="s">
        <v>149</v>
      </c>
      <c r="AD1995" s="23" t="str">
        <f>IF($AC1995="","",_xlfn.XLOOKUP($AC1995,'Client Info'!$C$2:$C$2497,'Client Info'!$D$2:$D$2497,"",0,1))</f>
        <v/>
      </c>
      <c r="AE1995" s="23" t="str">
        <f>IF($AC1995="","",_xlfn.XLOOKUP($AC1995,'Client Info'!$C$2:$C$2677,'Client Info'!$E$2:$E$2677,"",))</f>
        <v/>
      </c>
      <c r="AF1995" s="23" t="str">
        <f>IF($AC1995="","",_xlfn.XLOOKUP($AC1995,'Client Info'!$C$2:$C$2677,'Client Info'!$F$2:$F$2677,"",0,1))</f>
        <v/>
      </c>
      <c r="AG1995" s="23" t="str">
        <f>IF(ISBLANK(Table26[[#This Row],[customerSKU]]),"",_xlfn.XLOOKUP(Table26[[#This Row],[customerSKU]],Table27[customer_SKU],Table27[billto],"",0,1))</f>
        <v/>
      </c>
      <c r="AH1995" s="26" t="str">
        <f>_xlfn.XLOOKUP(Table26[[#This Row],[customerSKU]],customerSKU!G:G,customerSKU!K:K,"NA",0,1)</f>
        <v>NA</v>
      </c>
      <c r="AI1995" s="43" t="str">
        <f>_xlfn.XLOOKUP(Table26[[#This Row],[customerSKU]],customerSKU!G:G,customerSKU!O:O,"not found",0,1)</f>
        <v>not found</v>
      </c>
      <c r="AJ1995" s="22" t="e">
        <f>Table26[[#This Row],[unitprice]]*Table26[[#This Row],[quantity_unit]]</f>
        <v>#VALUE!</v>
      </c>
      <c r="AK1995" s="227" t="e" cm="1">
        <f t="array" ref="AK19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5" s="227"/>
    </row>
    <row r="1996" spans="1:38" ht="18" customHeight="1">
      <c r="A1996" s="42">
        <v>272</v>
      </c>
      <c r="B1996" s="42" t="s">
        <v>3520</v>
      </c>
      <c r="C1996" s="53" t="s">
        <v>3488</v>
      </c>
      <c r="E1996" s="20"/>
      <c r="F19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6" s="93"/>
      <c r="I1996" s="203">
        <v>45840</v>
      </c>
      <c r="J1996" s="90" t="str">
        <f>IF(Table26[[#This Row],[customerSKU]]="","",_xlfn.XLOOKUP(Table26[[#This Row],[customerSKU]],customerSKU!G:G,customerSKU!A:A,"",0,1))</f>
        <v/>
      </c>
      <c r="K1996" s="232">
        <v>45842</v>
      </c>
      <c r="L1996" s="49" t="str">
        <f>IF(Table26[[#This Row],[customerSKU]]="","",_xlfn.XLOOKUP(Table26[[#This Row],[customerSKU]],customerSKU!G:G,customerSKU!B:B,"",0,1))</f>
        <v/>
      </c>
      <c r="M1996" s="22"/>
      <c r="N1996" s="15" t="str">
        <f>Table26[[#This Row],[po_number]]&amp;"-"&amp;Table26[[#This Row],[po_line]]</f>
        <v>-1</v>
      </c>
      <c r="O1996" s="15">
        <v>1</v>
      </c>
      <c r="P1996" s="50"/>
      <c r="Q1996" s="22" t="s">
        <v>1827</v>
      </c>
      <c r="R1996" s="22" t="s">
        <v>532</v>
      </c>
      <c r="S1996" s="90" t="str">
        <f>IF(Table26[[#This Row],[customerSKU]]="","",_xlfn.XLOOKUP(Table26[[#This Row],[customerSKU]],customerSKU!G:G,customerSKU!N:N,"NOT FOUND",0,1))</f>
        <v>NOT FOUND</v>
      </c>
      <c r="T1996" s="20">
        <v>45825</v>
      </c>
      <c r="U1996" s="94">
        <v>12</v>
      </c>
      <c r="V1996" s="22" t="str">
        <f>IF(ISBLANK(Table26[[#This Row],[customerSKU]]),"",_xlfn.XLOOKUP(Table26[[#This Row],[customerSKU]],Table27[customer_SKU],Table27[case_size],"",0,1))</f>
        <v/>
      </c>
      <c r="W1996" s="117" t="str">
        <f t="shared" si="81"/>
        <v/>
      </c>
      <c r="X1996" s="22" t="str">
        <f t="shared" si="80"/>
        <v/>
      </c>
      <c r="Y1996" s="25" t="str">
        <f>IF(Table26[[#This Row],[customerSKU]]="","",_xlfn.XLOOKUP(Table26[[#This Row],[customerSKU]],Table27[customer_SKU],Table27[product_GTIN],"",0,1))</f>
        <v/>
      </c>
      <c r="Z1996" s="25" t="s">
        <v>3720</v>
      </c>
      <c r="AA1996" s="18" t="str" cm="1">
        <f t="array" ref="AA1996">IF(P1996="", "", _xlfn.XLOOKUP(P1996,#REF!,#REF!,NA,0,-1))</f>
        <v/>
      </c>
      <c r="AB1996" s="22"/>
      <c r="AC1996" s="23" t="s">
        <v>64</v>
      </c>
      <c r="AD1996" s="23" t="str">
        <f>IF($AC1996="","",_xlfn.XLOOKUP($AC1996,'Client Info'!$C$2:$C$2497,'Client Info'!$D$2:$D$2497,"",0,1))</f>
        <v/>
      </c>
      <c r="AE1996" s="23" t="str">
        <f>IF($AC1996="","",_xlfn.XLOOKUP($AC1996,'Client Info'!$C$2:$C$2677,'Client Info'!$E$2:$E$2677,"",))</f>
        <v/>
      </c>
      <c r="AF1996" s="23" t="str">
        <f>IF($AC1996="","",_xlfn.XLOOKUP($AC1996,'Client Info'!$C$2:$C$2677,'Client Info'!$F$2:$F$2677,"",0,1))</f>
        <v/>
      </c>
      <c r="AG1996" s="23" t="str">
        <f>IF(ISBLANK(Table26[[#This Row],[customerSKU]]),"",_xlfn.XLOOKUP(Table26[[#This Row],[customerSKU]],Table27[customer_SKU],Table27[billto],"",0,1))</f>
        <v/>
      </c>
      <c r="AH1996" s="26" t="str">
        <f>_xlfn.XLOOKUP(Table26[[#This Row],[customerSKU]],customerSKU!G:G,customerSKU!K:K,"NA",0,1)</f>
        <v>NA</v>
      </c>
      <c r="AI1996" s="43" t="str">
        <f>_xlfn.XLOOKUP(Table26[[#This Row],[customerSKU]],customerSKU!G:G,customerSKU!O:O,"not found",0,1)</f>
        <v>not found</v>
      </c>
      <c r="AJ1996" s="22" t="e">
        <f>Table26[[#This Row],[unitprice]]*Table26[[#This Row],[quantity_unit]]</f>
        <v>#VALUE!</v>
      </c>
      <c r="AK1996" s="227" t="e" cm="1">
        <f t="array" ref="AK19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6" s="227"/>
    </row>
    <row r="1997" spans="1:38" ht="18" customHeight="1">
      <c r="A1997" s="42">
        <v>273</v>
      </c>
      <c r="B1997" s="42" t="s">
        <v>3520</v>
      </c>
      <c r="C1997" s="53" t="s">
        <v>3360</v>
      </c>
      <c r="E1997" s="20"/>
      <c r="F19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7" s="93"/>
      <c r="I1997" s="203">
        <v>45841</v>
      </c>
      <c r="J1997" s="90" t="str">
        <f>IF(Table26[[#This Row],[customerSKU]]="","",_xlfn.XLOOKUP(Table26[[#This Row],[customerSKU]],customerSKU!G:G,customerSKU!A:A,"",0,1))</f>
        <v/>
      </c>
      <c r="K1997" s="203">
        <v>45842</v>
      </c>
      <c r="L1997" s="49" t="str">
        <f>IF(Table26[[#This Row],[customerSKU]]="","",_xlfn.XLOOKUP(Table26[[#This Row],[customerSKU]],customerSKU!G:G,customerSKU!B:B,"",0,1))</f>
        <v/>
      </c>
      <c r="M1997" s="22"/>
      <c r="N1997" s="15" t="str">
        <f>Table26[[#This Row],[po_number]]&amp;"-"&amp;Table26[[#This Row],[po_line]]</f>
        <v>-1</v>
      </c>
      <c r="O1997" s="15">
        <v>1</v>
      </c>
      <c r="P1997" s="50"/>
      <c r="S1997" s="90" t="str">
        <f>IF(Table26[[#This Row],[customerSKU]]="","",_xlfn.XLOOKUP(Table26[[#This Row],[customerSKU]],customerSKU!G:G,customerSKU!N:N,"NOT FOUND",0,1))</f>
        <v>NOT FOUND</v>
      </c>
      <c r="T1997" s="20"/>
      <c r="U1997" s="94">
        <v>12</v>
      </c>
      <c r="V1997" s="22" t="str">
        <f>IF(ISBLANK(Table26[[#This Row],[customerSKU]]),"",_xlfn.XLOOKUP(Table26[[#This Row],[customerSKU]],Table27[customer_SKU],Table27[case_size],"",0,1))</f>
        <v/>
      </c>
      <c r="W1997" s="117" t="str">
        <f t="shared" si="81"/>
        <v/>
      </c>
      <c r="X1997" s="22" t="str">
        <f t="shared" si="80"/>
        <v/>
      </c>
      <c r="Y1997" s="25" t="str">
        <f>IF(Table26[[#This Row],[customerSKU]]="","",_xlfn.XLOOKUP(Table26[[#This Row],[customerSKU]],Table27[customer_SKU],Table27[product_GTIN],"",0,1))</f>
        <v/>
      </c>
      <c r="Z1997" s="25" t="s">
        <v>3380</v>
      </c>
      <c r="AA1997" s="18" t="str" cm="1">
        <f t="array" ref="AA1997">IF(P1997="", "", _xlfn.XLOOKUP(P1997,#REF!,#REF!,NA,0,-1))</f>
        <v/>
      </c>
      <c r="AB1997" s="22"/>
      <c r="AC1997" s="23" t="str">
        <f>IF(Table26[[#This Row],[customerSKU]]="","",_xlfn.XLOOKUP(Table26[[#This Row],[customerSKU]],customerSKU!G:G,customerSKU!C:C,"",0,1))</f>
        <v/>
      </c>
      <c r="AD1997" s="23" t="str">
        <f>IF($AC1997="","",_xlfn.XLOOKUP($AC1997,'Client Info'!$C$2:$C$2497,'Client Info'!$D$2:$D$2497,"",0,1))</f>
        <v/>
      </c>
      <c r="AE1997" s="23" t="str">
        <f>IF($AC1997="","",_xlfn.XLOOKUP($AC1997,'Client Info'!$C$2:$C$2677,'Client Info'!$E$2:$E$2677,"",))</f>
        <v/>
      </c>
      <c r="AF1997" s="23" t="str">
        <f>IF($AC1997="","",_xlfn.XLOOKUP($AC1997,'Client Info'!$C$2:$C$2677,'Client Info'!$F$2:$F$2677,"",0,1))</f>
        <v/>
      </c>
      <c r="AG1997" s="23" t="str">
        <f>IF(ISBLANK(Table26[[#This Row],[customerSKU]]),"",_xlfn.XLOOKUP(Table26[[#This Row],[customerSKU]],Table27[customer_SKU],Table27[billto],"",0,1))</f>
        <v/>
      </c>
      <c r="AH1997" s="26" t="str">
        <f>_xlfn.XLOOKUP(Table26[[#This Row],[customerSKU]],customerSKU!G:G,customerSKU!K:K,"NA",0,1)</f>
        <v>NA</v>
      </c>
      <c r="AI1997" s="43" t="str">
        <f>_xlfn.XLOOKUP(Table26[[#This Row],[customerSKU]],customerSKU!G:G,customerSKU!O:O,"not found",0,1)</f>
        <v>not found</v>
      </c>
      <c r="AJ1997" s="22" t="e">
        <f>Table26[[#This Row],[unitprice]]*Table26[[#This Row],[quantity_unit]]</f>
        <v>#VALUE!</v>
      </c>
      <c r="AK1997" s="227" t="e" cm="1">
        <f t="array" ref="AK19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7" s="227"/>
    </row>
    <row r="1998" spans="1:38" ht="18" customHeight="1">
      <c r="A1998" s="42">
        <v>274</v>
      </c>
      <c r="B1998" s="42" t="s">
        <v>3520</v>
      </c>
      <c r="C1998" s="53" t="s">
        <v>3360</v>
      </c>
      <c r="E1998" s="20"/>
      <c r="F19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8" s="93"/>
      <c r="I1998" s="203">
        <v>45842</v>
      </c>
      <c r="J1998" s="90" t="str">
        <f>IF(Table26[[#This Row],[customerSKU]]="","",_xlfn.XLOOKUP(Table26[[#This Row],[customerSKU]],customerSKU!G:G,customerSKU!A:A,"",0,1))</f>
        <v/>
      </c>
      <c r="K1998" s="203">
        <v>45842</v>
      </c>
      <c r="L1998" s="49" t="str">
        <f>IF(Table26[[#This Row],[customerSKU]]="","",_xlfn.XLOOKUP(Table26[[#This Row],[customerSKU]],customerSKU!G:G,customerSKU!B:B,"",0,1))</f>
        <v/>
      </c>
      <c r="M1998" s="22"/>
      <c r="N1998" s="15" t="str">
        <f>Table26[[#This Row],[po_number]]&amp;"-"&amp;Table26[[#This Row],[po_line]]</f>
        <v>-1</v>
      </c>
      <c r="O1998" s="15">
        <v>1</v>
      </c>
      <c r="P1998" s="50"/>
      <c r="S1998" s="90" t="str">
        <f>IF(Table26[[#This Row],[customerSKU]]="","",_xlfn.XLOOKUP(Table26[[#This Row],[customerSKU]],customerSKU!G:G,customerSKU!N:N,"NOT FOUND",0,1))</f>
        <v>NOT FOUND</v>
      </c>
      <c r="T1998" s="20"/>
      <c r="U1998" s="94">
        <v>12</v>
      </c>
      <c r="V1998" s="22" t="str">
        <f>IF(ISBLANK(Table26[[#This Row],[customerSKU]]),"",_xlfn.XLOOKUP(Table26[[#This Row],[customerSKU]],Table27[customer_SKU],Table27[case_size],"",0,1))</f>
        <v/>
      </c>
      <c r="W1998" s="117" t="str">
        <f t="shared" si="81"/>
        <v/>
      </c>
      <c r="X1998" s="22" t="str">
        <f t="shared" si="80"/>
        <v/>
      </c>
      <c r="Y1998" s="25" t="str">
        <f>IF(Table26[[#This Row],[customerSKU]]="","",_xlfn.XLOOKUP(Table26[[#This Row],[customerSKU]],Table27[customer_SKU],Table27[product_GTIN],"",0,1))</f>
        <v/>
      </c>
      <c r="Z1998" s="25" t="s">
        <v>3528</v>
      </c>
      <c r="AA1998" s="18" t="str" cm="1">
        <f t="array" ref="AA1998">IF(P1998="", "", _xlfn.XLOOKUP(P1998,#REF!,#REF!,NA,0,-1))</f>
        <v/>
      </c>
      <c r="AB1998" s="22"/>
      <c r="AC1998" s="23" t="str">
        <f>IF(Table26[[#This Row],[customerSKU]]="","",_xlfn.XLOOKUP(Table26[[#This Row],[customerSKU]],customerSKU!G:G,customerSKU!C:C,"",0,1))</f>
        <v/>
      </c>
      <c r="AD1998" s="23" t="str">
        <f>IF($AC1998="","",_xlfn.XLOOKUP($AC1998,'Client Info'!$C$2:$C$2497,'Client Info'!$D$2:$D$2497,"",0,1))</f>
        <v/>
      </c>
      <c r="AE1998" s="23" t="str">
        <f>IF($AC1998="","",_xlfn.XLOOKUP($AC1998,'Client Info'!$C$2:$C$2677,'Client Info'!$E$2:$E$2677,"",))</f>
        <v/>
      </c>
      <c r="AF1998" s="23" t="str">
        <f>IF($AC1998="","",_xlfn.XLOOKUP($AC1998,'Client Info'!$C$2:$C$2677,'Client Info'!$F$2:$F$2677,"",0,1))</f>
        <v/>
      </c>
      <c r="AG1998" s="23" t="str">
        <f>IF(ISBLANK(Table26[[#This Row],[customerSKU]]),"",_xlfn.XLOOKUP(Table26[[#This Row],[customerSKU]],Table27[customer_SKU],Table27[billto],"",0,1))</f>
        <v/>
      </c>
      <c r="AH1998" s="26" t="str">
        <f>_xlfn.XLOOKUP(Table26[[#This Row],[customerSKU]],customerSKU!G:G,customerSKU!K:K,"NA",0,1)</f>
        <v>NA</v>
      </c>
      <c r="AI1998" s="43" t="str">
        <f>_xlfn.XLOOKUP(Table26[[#This Row],[customerSKU]],customerSKU!G:G,customerSKU!O:O,"not found",0,1)</f>
        <v>not found</v>
      </c>
      <c r="AJ1998" s="22" t="e">
        <f>Table26[[#This Row],[unitprice]]*Table26[[#This Row],[quantity_unit]]</f>
        <v>#VALUE!</v>
      </c>
      <c r="AK1998" s="227" t="e" cm="1">
        <f t="array" ref="AK19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8" s="227"/>
    </row>
    <row r="1999" spans="1:38" ht="18" customHeight="1">
      <c r="A1999" s="42">
        <v>275</v>
      </c>
      <c r="B1999" s="42" t="s">
        <v>3520</v>
      </c>
      <c r="C1999" s="53" t="s">
        <v>3360</v>
      </c>
      <c r="E1999" s="20"/>
      <c r="F19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1999" s="93"/>
      <c r="I1999" s="203">
        <v>45842</v>
      </c>
      <c r="J1999" s="90" t="str">
        <f>IF(Table26[[#This Row],[customerSKU]]="","",_xlfn.XLOOKUP(Table26[[#This Row],[customerSKU]],customerSKU!G:G,customerSKU!A:A,"",0,1))</f>
        <v/>
      </c>
      <c r="K1999" s="203">
        <v>45842</v>
      </c>
      <c r="L1999" s="49" t="str">
        <f>IF(Table26[[#This Row],[customerSKU]]="","",_xlfn.XLOOKUP(Table26[[#This Row],[customerSKU]],customerSKU!G:G,customerSKU!B:B,"",0,1))</f>
        <v/>
      </c>
      <c r="M1999" s="22"/>
      <c r="N1999" s="15" t="str">
        <f>Table26[[#This Row],[po_number]]&amp;"-"&amp;Table26[[#This Row],[po_line]]</f>
        <v>-1</v>
      </c>
      <c r="O1999" s="15">
        <v>1</v>
      </c>
      <c r="P1999" s="50"/>
      <c r="S1999" s="90" t="str">
        <f>IF(Table26[[#This Row],[customerSKU]]="","",_xlfn.XLOOKUP(Table26[[#This Row],[customerSKU]],customerSKU!G:G,customerSKU!N:N,"NOT FOUND",0,1))</f>
        <v>NOT FOUND</v>
      </c>
      <c r="T1999" s="20"/>
      <c r="U1999" s="94">
        <v>24</v>
      </c>
      <c r="V1999" s="22" t="str">
        <f>IF(ISBLANK(Table26[[#This Row],[customerSKU]]),"",_xlfn.XLOOKUP(Table26[[#This Row],[customerSKU]],Table27[customer_SKU],Table27[case_size],"",0,1))</f>
        <v/>
      </c>
      <c r="W1999" s="117" t="str">
        <f t="shared" si="81"/>
        <v/>
      </c>
      <c r="X1999" s="22" t="str">
        <f t="shared" si="80"/>
        <v/>
      </c>
      <c r="Y1999" s="25" t="str">
        <f>IF(Table26[[#This Row],[customerSKU]]="","",_xlfn.XLOOKUP(Table26[[#This Row],[customerSKU]],Table27[customer_SKU],Table27[product_GTIN],"",0,1))</f>
        <v/>
      </c>
      <c r="Z1999" s="25" t="s">
        <v>3625</v>
      </c>
      <c r="AA1999" s="18" t="str" cm="1">
        <f t="array" ref="AA1999">IF(P1999="", "", _xlfn.XLOOKUP(P1999,#REF!,#REF!,NA,0,-1))</f>
        <v/>
      </c>
      <c r="AB1999" s="22"/>
      <c r="AC1999" s="23" t="str">
        <f>IF(Table26[[#This Row],[customerSKU]]="","",_xlfn.XLOOKUP(Table26[[#This Row],[customerSKU]],customerSKU!G:G,customerSKU!C:C,"",0,1))</f>
        <v/>
      </c>
      <c r="AD1999" s="23" t="str">
        <f>IF($AC1999="","",_xlfn.XLOOKUP($AC1999,'Client Info'!$C$2:$C$2497,'Client Info'!$D$2:$D$2497,"",0,1))</f>
        <v/>
      </c>
      <c r="AE1999" s="23" t="str">
        <f>IF($AC1999="","",_xlfn.XLOOKUP($AC1999,'Client Info'!$C$2:$C$2677,'Client Info'!$E$2:$E$2677,"",))</f>
        <v/>
      </c>
      <c r="AF1999" s="23" t="str">
        <f>IF($AC1999="","",_xlfn.XLOOKUP($AC1999,'Client Info'!$C$2:$C$2677,'Client Info'!$F$2:$F$2677,"",0,1))</f>
        <v/>
      </c>
      <c r="AG1999" s="23" t="str">
        <f>IF(ISBLANK(Table26[[#This Row],[customerSKU]]),"",_xlfn.XLOOKUP(Table26[[#This Row],[customerSKU]],Table27[customer_SKU],Table27[billto],"",0,1))</f>
        <v/>
      </c>
      <c r="AH1999" s="26" t="str">
        <f>_xlfn.XLOOKUP(Table26[[#This Row],[customerSKU]],customerSKU!G:G,customerSKU!K:K,"NA",0,1)</f>
        <v>NA</v>
      </c>
      <c r="AI1999" s="43" t="str">
        <f>_xlfn.XLOOKUP(Table26[[#This Row],[customerSKU]],customerSKU!G:G,customerSKU!O:O,"not found",0,1)</f>
        <v>not found</v>
      </c>
      <c r="AJ1999" s="22" t="e">
        <f>Table26[[#This Row],[unitprice]]*Table26[[#This Row],[quantity_unit]]</f>
        <v>#VALUE!</v>
      </c>
      <c r="AK1999" s="227" t="e" cm="1">
        <f t="array" ref="AK19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1999" s="227"/>
    </row>
    <row r="2000" spans="1:38" ht="18" customHeight="1">
      <c r="A2000" s="42">
        <v>276</v>
      </c>
      <c r="B2000" s="42" t="s">
        <v>3520</v>
      </c>
      <c r="C2000" s="53" t="s">
        <v>3360</v>
      </c>
      <c r="E2000" s="20"/>
      <c r="F20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0" s="93"/>
      <c r="I2000" s="203">
        <v>45842</v>
      </c>
      <c r="J2000" s="90" t="str">
        <f>IF(Table26[[#This Row],[customerSKU]]="","",_xlfn.XLOOKUP(Table26[[#This Row],[customerSKU]],customerSKU!G:G,customerSKU!A:A,"",0,1))</f>
        <v/>
      </c>
      <c r="K2000" s="203">
        <v>45842</v>
      </c>
      <c r="L2000" s="49" t="str">
        <f>IF(Table26[[#This Row],[customerSKU]]="","",_xlfn.XLOOKUP(Table26[[#This Row],[customerSKU]],customerSKU!G:G,customerSKU!B:B,"",0,1))</f>
        <v/>
      </c>
      <c r="M2000" s="22"/>
      <c r="N2000" s="15" t="str">
        <f>Table26[[#This Row],[po_number]]&amp;"-"&amp;Table26[[#This Row],[po_line]]</f>
        <v>-1</v>
      </c>
      <c r="O2000" s="15">
        <v>1</v>
      </c>
      <c r="P2000" s="50"/>
      <c r="S2000" s="90" t="str">
        <f>IF(Table26[[#This Row],[customerSKU]]="","",_xlfn.XLOOKUP(Table26[[#This Row],[customerSKU]],customerSKU!G:G,customerSKU!N:N,"NOT FOUND",0,1))</f>
        <v>NOT FOUND</v>
      </c>
      <c r="T2000" s="20"/>
      <c r="U2000" s="94">
        <v>12</v>
      </c>
      <c r="V2000" s="22" t="str">
        <f>IF(ISBLANK(Table26[[#This Row],[customerSKU]]),"",_xlfn.XLOOKUP(Table26[[#This Row],[customerSKU]],Table27[customer_SKU],Table27[case_size],"",0,1))</f>
        <v/>
      </c>
      <c r="W2000" s="117" t="str">
        <f t="shared" si="81"/>
        <v/>
      </c>
      <c r="X2000" s="22" t="str">
        <f t="shared" si="80"/>
        <v/>
      </c>
      <c r="Y2000" s="25" t="str">
        <f>IF(Table26[[#This Row],[customerSKU]]="","",_xlfn.XLOOKUP(Table26[[#This Row],[customerSKU]],Table27[customer_SKU],Table27[product_GTIN],"",0,1))</f>
        <v/>
      </c>
      <c r="Z2000" s="25" t="s">
        <v>3669</v>
      </c>
      <c r="AA2000" s="18" t="str" cm="1">
        <f t="array" ref="AA2000">IF(P2000="", "", _xlfn.XLOOKUP(P2000,#REF!,#REF!,NA,0,-1))</f>
        <v/>
      </c>
      <c r="AB2000" s="22"/>
      <c r="AC2000" s="23" t="str">
        <f>IF(Table26[[#This Row],[customerSKU]]="","",_xlfn.XLOOKUP(Table26[[#This Row],[customerSKU]],customerSKU!G:G,customerSKU!C:C,"",0,1))</f>
        <v/>
      </c>
      <c r="AD2000" s="23" t="str">
        <f>IF($AC2000="","",_xlfn.XLOOKUP($AC2000,'Client Info'!$C$2:$C$2497,'Client Info'!$D$2:$D$2497,"",0,1))</f>
        <v/>
      </c>
      <c r="AE2000" s="23" t="str">
        <f>IF($AC2000="","",_xlfn.XLOOKUP($AC2000,'Client Info'!$C$2:$C$2677,'Client Info'!$E$2:$E$2677,"",))</f>
        <v/>
      </c>
      <c r="AF2000" s="23" t="str">
        <f>IF($AC2000="","",_xlfn.XLOOKUP($AC2000,'Client Info'!$C$2:$C$2677,'Client Info'!$F$2:$F$2677,"",0,1))</f>
        <v/>
      </c>
      <c r="AG2000" s="23" t="str">
        <f>IF(ISBLANK(Table26[[#This Row],[customerSKU]]),"",_xlfn.XLOOKUP(Table26[[#This Row],[customerSKU]],Table27[customer_SKU],Table27[billto],"",0,1))</f>
        <v/>
      </c>
      <c r="AH2000" s="26" t="str">
        <f>_xlfn.XLOOKUP(Table26[[#This Row],[customerSKU]],customerSKU!G:G,customerSKU!K:K,"NA",0,1)</f>
        <v>NA</v>
      </c>
      <c r="AI2000" s="43" t="str">
        <f>_xlfn.XLOOKUP(Table26[[#This Row],[customerSKU]],customerSKU!G:G,customerSKU!O:O,"not found",0,1)</f>
        <v>not found</v>
      </c>
      <c r="AJ2000" s="22" t="e">
        <f>Table26[[#This Row],[unitprice]]*Table26[[#This Row],[quantity_unit]]</f>
        <v>#VALUE!</v>
      </c>
      <c r="AK2000" s="227" t="e" cm="1">
        <f t="array" ref="AK20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0" s="227"/>
    </row>
    <row r="2001" spans="1:38" ht="18" customHeight="1">
      <c r="A2001" s="42">
        <v>242</v>
      </c>
      <c r="B2001" s="42" t="s">
        <v>3520</v>
      </c>
      <c r="C2001" s="53" t="s">
        <v>3427</v>
      </c>
      <c r="E2001" s="20"/>
      <c r="F20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1" s="93"/>
      <c r="I2001" s="203">
        <v>45844</v>
      </c>
      <c r="J2001" s="90" t="str">
        <f>IF(Table26[[#This Row],[customerSKU]]="","",_xlfn.XLOOKUP(Table26[[#This Row],[customerSKU]],customerSKU!G:G,customerSKU!A:A,"",0,1))</f>
        <v/>
      </c>
      <c r="K2001" s="19">
        <v>45846</v>
      </c>
      <c r="L2001" s="49" t="str">
        <f>IF(Table26[[#This Row],[customerSKU]]="","",_xlfn.XLOOKUP(Table26[[#This Row],[customerSKU]],customerSKU!G:G,customerSKU!B:B,"",0,1))</f>
        <v/>
      </c>
      <c r="M2001" s="22"/>
      <c r="N2001" s="15" t="str">
        <f>Table26[[#This Row],[po_number]]&amp;"-"&amp;Table26[[#This Row],[po_line]]</f>
        <v>-1</v>
      </c>
      <c r="O2001" s="15">
        <v>1</v>
      </c>
      <c r="P2001" s="50"/>
      <c r="Q2001" s="22" t="s">
        <v>659</v>
      </c>
      <c r="R2001" s="22" t="s">
        <v>532</v>
      </c>
      <c r="S2001" s="90" t="str">
        <f>IF(Table26[[#This Row],[customerSKU]]="","",_xlfn.XLOOKUP(Table26[[#This Row],[customerSKU]],customerSKU!G:G,customerSKU!N:N,"NOT FOUND",0,1))</f>
        <v>NOT FOUND</v>
      </c>
      <c r="T2001" s="20">
        <v>45638</v>
      </c>
      <c r="U2001" s="94">
        <v>12</v>
      </c>
      <c r="V2001" s="22" t="str">
        <f>IF(ISBLANK(Table26[[#This Row],[customerSKU]]),"",_xlfn.XLOOKUP(Table26[[#This Row],[customerSKU]],Table27[customer_SKU],Table27[case_size],"",0,1))</f>
        <v/>
      </c>
      <c r="W2001" s="117" t="str">
        <f t="shared" si="81"/>
        <v/>
      </c>
      <c r="X2001" s="22" t="str">
        <f t="shared" si="80"/>
        <v/>
      </c>
      <c r="Y2001" s="25" t="str">
        <f>IF(Table26[[#This Row],[customerSKU]]="","",_xlfn.XLOOKUP(Table26[[#This Row],[customerSKU]],Table27[customer_SKU],Table27[product_GTIN],"",0,1))</f>
        <v/>
      </c>
      <c r="Z2001" s="25" t="s">
        <v>3600</v>
      </c>
      <c r="AA2001" s="18" t="str" cm="1">
        <f t="array" ref="AA2001">IF(P2001="", "", _xlfn.XLOOKUP(P2001,#REF!,#REF!,NA,0,-1))</f>
        <v/>
      </c>
      <c r="AB2001" s="22"/>
      <c r="AC2001" s="23" t="s">
        <v>190</v>
      </c>
      <c r="AD2001" s="23" t="str">
        <f>IF($AC2001="","",_xlfn.XLOOKUP($AC2001,'Client Info'!$C$2:$C$2497,'Client Info'!$D$2:$D$2497,"",0,1))</f>
        <v/>
      </c>
      <c r="AE2001" s="23" t="str">
        <f>IF($AC2001="","",_xlfn.XLOOKUP($AC2001,'Client Info'!$C$2:$C$2677,'Client Info'!$E$2:$E$2677,"",))</f>
        <v/>
      </c>
      <c r="AF2001" s="23" t="str">
        <f>IF($AC2001="","",_xlfn.XLOOKUP($AC2001,'Client Info'!$C$2:$C$2677,'Client Info'!$F$2:$F$2677,"",0,1))</f>
        <v/>
      </c>
      <c r="AG2001" s="23" t="str">
        <f>IF(ISBLANK(Table26[[#This Row],[customerSKU]]),"",_xlfn.XLOOKUP(Table26[[#This Row],[customerSKU]],Table27[customer_SKU],Table27[billto],"",0,1))</f>
        <v/>
      </c>
      <c r="AH2001" s="26" t="str">
        <f>_xlfn.XLOOKUP(Table26[[#This Row],[customerSKU]],customerSKU!G:G,customerSKU!K:K,"NA",0,1)</f>
        <v>NA</v>
      </c>
      <c r="AI2001" s="43" t="str">
        <f>_xlfn.XLOOKUP(Table26[[#This Row],[customerSKU]],customerSKU!G:G,customerSKU!O:O,"not found",0,1)</f>
        <v>not found</v>
      </c>
      <c r="AJ2001" s="22" t="e">
        <f>Table26[[#This Row],[unitprice]]*Table26[[#This Row],[quantity_unit]]</f>
        <v>#VALUE!</v>
      </c>
      <c r="AK2001" s="227" t="e" cm="1">
        <f t="array" ref="AK20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1" s="227"/>
    </row>
    <row r="2002" spans="1:38" ht="24.6" customHeight="1">
      <c r="A2002" s="42">
        <v>243</v>
      </c>
      <c r="B2002" s="42" t="s">
        <v>3520</v>
      </c>
      <c r="C2002" s="53" t="s">
        <v>3427</v>
      </c>
      <c r="E2002" s="20"/>
      <c r="F20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2" s="93"/>
      <c r="I2002" s="203">
        <v>45844</v>
      </c>
      <c r="J2002" s="90" t="str">
        <f>IF(Table26[[#This Row],[customerSKU]]="","",_xlfn.XLOOKUP(Table26[[#This Row],[customerSKU]],customerSKU!G:G,customerSKU!A:A,"",0,1))</f>
        <v/>
      </c>
      <c r="K2002" s="19">
        <v>45846</v>
      </c>
      <c r="L2002" s="49" t="str">
        <f>IF(Table26[[#This Row],[customerSKU]]="","",_xlfn.XLOOKUP(Table26[[#This Row],[customerSKU]],customerSKU!G:G,customerSKU!B:B,"",0,1))</f>
        <v/>
      </c>
      <c r="M2002" s="22"/>
      <c r="N2002" s="15" t="str">
        <f>Table26[[#This Row],[po_number]]&amp;"-"&amp;Table26[[#This Row],[po_line]]</f>
        <v>-2</v>
      </c>
      <c r="O2002" s="15">
        <v>2</v>
      </c>
      <c r="P2002" s="50"/>
      <c r="Q2002" s="22" t="s">
        <v>1807</v>
      </c>
      <c r="R2002" s="22" t="s">
        <v>532</v>
      </c>
      <c r="S2002" s="90" t="str">
        <f>IF(Table26[[#This Row],[customerSKU]]="","",_xlfn.XLOOKUP(Table26[[#This Row],[customerSKU]],customerSKU!G:G,customerSKU!N:N,"NOT FOUND",0,1))</f>
        <v>NOT FOUND</v>
      </c>
      <c r="T2002" s="20">
        <v>45804</v>
      </c>
      <c r="U2002" s="94">
        <v>12</v>
      </c>
      <c r="V2002" s="22" t="str">
        <f>IF(ISBLANK(Table26[[#This Row],[customerSKU]]),"",_xlfn.XLOOKUP(Table26[[#This Row],[customerSKU]],Table27[customer_SKU],Table27[case_size],"",0,1))</f>
        <v/>
      </c>
      <c r="W2002" s="117" t="str">
        <f t="shared" si="81"/>
        <v/>
      </c>
      <c r="X2002" s="22" t="str">
        <f t="shared" si="80"/>
        <v/>
      </c>
      <c r="Y2002" s="25" t="str">
        <f>IF(Table26[[#This Row],[customerSKU]]="","",_xlfn.XLOOKUP(Table26[[#This Row],[customerSKU]],Table27[customer_SKU],Table27[product_GTIN],"",0,1))</f>
        <v/>
      </c>
      <c r="Z2002" s="25" t="s">
        <v>3650</v>
      </c>
      <c r="AA2002" s="18" t="str" cm="1">
        <f t="array" ref="AA2002">IF(P2002="", "", _xlfn.XLOOKUP(P2002,#REF!,#REF!,NA,0,-1))</f>
        <v/>
      </c>
      <c r="AB2002" s="22"/>
      <c r="AC2002" s="23" t="s">
        <v>190</v>
      </c>
      <c r="AD2002" s="23" t="str">
        <f>IF($AC2002="","",_xlfn.XLOOKUP($AC2002,'Client Info'!$C$2:$C$2497,'Client Info'!$D$2:$D$2497,"",0,1))</f>
        <v/>
      </c>
      <c r="AE2002" s="23" t="str">
        <f>IF($AC2002="","",_xlfn.XLOOKUP($AC2002,'Client Info'!$C$2:$C$2677,'Client Info'!$E$2:$E$2677,"",))</f>
        <v/>
      </c>
      <c r="AF2002" s="23" t="str">
        <f>IF($AC2002="","",_xlfn.XLOOKUP($AC2002,'Client Info'!$C$2:$C$2677,'Client Info'!$F$2:$F$2677,"",0,1))</f>
        <v/>
      </c>
      <c r="AG2002" s="23" t="str">
        <f>IF(ISBLANK(Table26[[#This Row],[customerSKU]]),"",_xlfn.XLOOKUP(Table26[[#This Row],[customerSKU]],Table27[customer_SKU],Table27[billto],"",0,1))</f>
        <v/>
      </c>
      <c r="AH2002" s="26" t="str">
        <f>_xlfn.XLOOKUP(Table26[[#This Row],[customerSKU]],customerSKU!G:G,customerSKU!K:K,"NA",0,1)</f>
        <v>NA</v>
      </c>
      <c r="AI2002" s="43" t="str">
        <f>_xlfn.XLOOKUP(Table26[[#This Row],[customerSKU]],customerSKU!G:G,customerSKU!O:O,"not found",0,1)</f>
        <v>not found</v>
      </c>
      <c r="AJ2002" s="22" t="e">
        <f>Table26[[#This Row],[unitprice]]*Table26[[#This Row],[quantity_unit]]</f>
        <v>#VALUE!</v>
      </c>
      <c r="AK2002" s="227" t="e" cm="1">
        <f t="array" ref="AK20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2" s="227"/>
    </row>
    <row r="2003" spans="1:38" ht="24.6" customHeight="1">
      <c r="A2003" s="42">
        <v>244</v>
      </c>
      <c r="B2003" s="42" t="s">
        <v>3520</v>
      </c>
      <c r="C2003" s="53" t="s">
        <v>203</v>
      </c>
      <c r="E2003" s="20"/>
      <c r="F20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3" s="93"/>
      <c r="I2003" s="203">
        <v>45844</v>
      </c>
      <c r="J2003" s="90" t="str">
        <f>IF(Table26[[#This Row],[customerSKU]]="","",_xlfn.XLOOKUP(Table26[[#This Row],[customerSKU]],customerSKU!G:G,customerSKU!A:A,"",0,1))</f>
        <v/>
      </c>
      <c r="K2003" s="19">
        <v>45846</v>
      </c>
      <c r="L2003" s="49" t="str">
        <f>IF(Table26[[#This Row],[customerSKU]]="","",_xlfn.XLOOKUP(Table26[[#This Row],[customerSKU]],customerSKU!G:G,customerSKU!B:B,"",0,1))</f>
        <v/>
      </c>
      <c r="M2003" s="22"/>
      <c r="N2003" s="15" t="str">
        <f>Table26[[#This Row],[po_number]]&amp;"-"&amp;Table26[[#This Row],[po_line]]</f>
        <v>-3</v>
      </c>
      <c r="O2003" s="15">
        <v>3</v>
      </c>
      <c r="P2003" s="50"/>
      <c r="Q2003" s="22" t="s">
        <v>1783</v>
      </c>
      <c r="R2003" s="22" t="s">
        <v>532</v>
      </c>
      <c r="S2003" s="90" t="str">
        <f>IF(Table26[[#This Row],[customerSKU]]="","",_xlfn.XLOOKUP(Table26[[#This Row],[customerSKU]],customerSKU!G:G,customerSKU!N:N,"NOT FOUND",0,1))</f>
        <v>NOT FOUND</v>
      </c>
      <c r="T2003" s="20">
        <v>45739</v>
      </c>
      <c r="U2003" s="94">
        <v>12</v>
      </c>
      <c r="V2003" s="22" t="str">
        <f>IF(ISBLANK(Table26[[#This Row],[customerSKU]]),"",_xlfn.XLOOKUP(Table26[[#This Row],[customerSKU]],Table27[customer_SKU],Table27[case_size],"",0,1))</f>
        <v/>
      </c>
      <c r="W2003" s="117" t="str">
        <f t="shared" si="81"/>
        <v/>
      </c>
      <c r="X2003" s="22" t="str">
        <f t="shared" si="80"/>
        <v/>
      </c>
      <c r="Y2003" s="25" t="str">
        <f>IF(Table26[[#This Row],[customerSKU]]="","",_xlfn.XLOOKUP(Table26[[#This Row],[customerSKU]],Table27[customer_SKU],Table27[product_GTIN],"",0,1))</f>
        <v/>
      </c>
      <c r="Z2003" s="25" t="s">
        <v>3651</v>
      </c>
      <c r="AA2003" s="18" t="str" cm="1">
        <f t="array" ref="AA2003">IF(P2003="", "", _xlfn.XLOOKUP(P2003,#REF!,#REF!,NA,0,-1))</f>
        <v/>
      </c>
      <c r="AB2003" s="22"/>
      <c r="AC2003" s="23" t="s">
        <v>190</v>
      </c>
      <c r="AD2003" s="23" t="str">
        <f>IF($AC2003="","",_xlfn.XLOOKUP($AC2003,'Client Info'!$C$2:$C$2497,'Client Info'!$D$2:$D$2497,"",0,1))</f>
        <v/>
      </c>
      <c r="AE2003" s="23" t="str">
        <f>IF($AC2003="","",_xlfn.XLOOKUP($AC2003,'Client Info'!$C$2:$C$2677,'Client Info'!$E$2:$E$2677,"",))</f>
        <v/>
      </c>
      <c r="AF2003" s="23" t="str">
        <f>IF($AC2003="","",_xlfn.XLOOKUP($AC2003,'Client Info'!$C$2:$C$2677,'Client Info'!$F$2:$F$2677,"",0,1))</f>
        <v/>
      </c>
      <c r="AG2003" s="23" t="str">
        <f>IF(ISBLANK(Table26[[#This Row],[customerSKU]]),"",_xlfn.XLOOKUP(Table26[[#This Row],[customerSKU]],Table27[customer_SKU],Table27[billto],"",0,1))</f>
        <v/>
      </c>
      <c r="AH2003" s="26" t="str">
        <f>_xlfn.XLOOKUP(Table26[[#This Row],[customerSKU]],customerSKU!G:G,customerSKU!K:K,"NA",0,1)</f>
        <v>NA</v>
      </c>
      <c r="AI2003" s="43" t="str">
        <f>_xlfn.XLOOKUP(Table26[[#This Row],[customerSKU]],customerSKU!G:G,customerSKU!O:O,"not found",0,1)</f>
        <v>not found</v>
      </c>
      <c r="AJ2003" s="22" t="e">
        <f>Table26[[#This Row],[unitprice]]*Table26[[#This Row],[quantity_unit]]</f>
        <v>#VALUE!</v>
      </c>
      <c r="AK2003" s="227" t="e" cm="1">
        <f t="array" ref="AK20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3" s="227"/>
    </row>
    <row r="2004" spans="1:38" ht="24.6" customHeight="1">
      <c r="A2004" s="42">
        <v>245</v>
      </c>
      <c r="B2004" s="42" t="s">
        <v>3520</v>
      </c>
      <c r="C2004" s="53" t="s">
        <v>3427</v>
      </c>
      <c r="E2004" s="20"/>
      <c r="F20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4" s="93"/>
      <c r="I2004" s="203">
        <v>45844</v>
      </c>
      <c r="J2004" s="90" t="str">
        <f>IF(Table26[[#This Row],[customerSKU]]="","",_xlfn.XLOOKUP(Table26[[#This Row],[customerSKU]],customerSKU!G:G,customerSKU!A:A,"",0,1))</f>
        <v/>
      </c>
      <c r="K2004" s="19">
        <v>45846</v>
      </c>
      <c r="L2004" s="49" t="str">
        <f>IF(Table26[[#This Row],[customerSKU]]="","",_xlfn.XLOOKUP(Table26[[#This Row],[customerSKU]],customerSKU!G:G,customerSKU!B:B,"",0,1))</f>
        <v/>
      </c>
      <c r="M2004" s="22"/>
      <c r="N2004" s="15" t="str">
        <f>Table26[[#This Row],[po_number]]&amp;"-"&amp;Table26[[#This Row],[po_line]]</f>
        <v>-4</v>
      </c>
      <c r="O2004" s="15">
        <v>4</v>
      </c>
      <c r="P2004" s="50"/>
      <c r="Q2004" s="22" t="s">
        <v>1312</v>
      </c>
      <c r="R2004" s="22" t="s">
        <v>532</v>
      </c>
      <c r="S2004" s="90" t="str">
        <f>IF(Table26[[#This Row],[customerSKU]]="","",_xlfn.XLOOKUP(Table26[[#This Row],[customerSKU]],customerSKU!G:G,customerSKU!N:N,"NOT FOUND",0,1))</f>
        <v>NOT FOUND</v>
      </c>
      <c r="T2004" s="20">
        <v>45660</v>
      </c>
      <c r="U2004" s="94">
        <v>12</v>
      </c>
      <c r="V2004" s="22" t="str">
        <f>IF(ISBLANK(Table26[[#This Row],[customerSKU]]),"",_xlfn.XLOOKUP(Table26[[#This Row],[customerSKU]],Table27[customer_SKU],Table27[case_size],"",0,1))</f>
        <v/>
      </c>
      <c r="W2004" s="117" t="str">
        <f t="shared" si="81"/>
        <v/>
      </c>
      <c r="X2004" s="22" t="str">
        <f t="shared" si="80"/>
        <v/>
      </c>
      <c r="Y2004" s="25" t="str">
        <f>IF(Table26[[#This Row],[customerSKU]]="","",_xlfn.XLOOKUP(Table26[[#This Row],[customerSKU]],Table27[customer_SKU],Table27[product_GTIN],"",0,1))</f>
        <v/>
      </c>
      <c r="Z2004" s="25" t="s">
        <v>3605</v>
      </c>
      <c r="AA2004" s="18" t="str" cm="1">
        <f t="array" ref="AA2004">IF(P2004="", "", _xlfn.XLOOKUP(P2004,#REF!,#REF!,NA,0,-1))</f>
        <v/>
      </c>
      <c r="AB2004" s="22"/>
      <c r="AC2004" s="23" t="s">
        <v>190</v>
      </c>
      <c r="AD2004" s="23" t="str">
        <f>IF($AC2004="","",_xlfn.XLOOKUP($AC2004,'Client Info'!$C$2:$C$2497,'Client Info'!$D$2:$D$2497,"",0,1))</f>
        <v/>
      </c>
      <c r="AE2004" s="23" t="str">
        <f>IF($AC2004="","",_xlfn.XLOOKUP($AC2004,'Client Info'!$C$2:$C$2677,'Client Info'!$E$2:$E$2677,"",))</f>
        <v/>
      </c>
      <c r="AF2004" s="23" t="str">
        <f>IF($AC2004="","",_xlfn.XLOOKUP($AC2004,'Client Info'!$C$2:$C$2677,'Client Info'!$F$2:$F$2677,"",0,1))</f>
        <v/>
      </c>
      <c r="AG2004" s="23" t="str">
        <f>IF(ISBLANK(Table26[[#This Row],[customerSKU]]),"",_xlfn.XLOOKUP(Table26[[#This Row],[customerSKU]],Table27[customer_SKU],Table27[billto],"",0,1))</f>
        <v/>
      </c>
      <c r="AH2004" s="26" t="str">
        <f>_xlfn.XLOOKUP(Table26[[#This Row],[customerSKU]],customerSKU!G:G,customerSKU!K:K,"NA",0,1)</f>
        <v>NA</v>
      </c>
      <c r="AI2004" s="43" t="str">
        <f>_xlfn.XLOOKUP(Table26[[#This Row],[customerSKU]],customerSKU!G:G,customerSKU!O:O,"not found",0,1)</f>
        <v>not found</v>
      </c>
      <c r="AJ2004" s="22" t="e">
        <f>Table26[[#This Row],[unitprice]]*Table26[[#This Row],[quantity_unit]]</f>
        <v>#VALUE!</v>
      </c>
      <c r="AK2004" s="227" t="e" cm="1">
        <f t="array" ref="AK20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4" s="227"/>
    </row>
    <row r="2005" spans="1:38" ht="24.6" customHeight="1">
      <c r="A2005" s="42">
        <v>246</v>
      </c>
      <c r="B2005" s="42" t="s">
        <v>3520</v>
      </c>
      <c r="C2005" s="53" t="s">
        <v>3427</v>
      </c>
      <c r="E2005" s="20"/>
      <c r="F20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5" s="93"/>
      <c r="I2005" s="203">
        <v>45844</v>
      </c>
      <c r="J2005" s="90" t="str">
        <f>IF(Table26[[#This Row],[customerSKU]]="","",_xlfn.XLOOKUP(Table26[[#This Row],[customerSKU]],customerSKU!G:G,customerSKU!A:A,"",0,1))</f>
        <v/>
      </c>
      <c r="K2005" s="19">
        <v>45846</v>
      </c>
      <c r="L2005" s="49" t="str">
        <f>IF(Table26[[#This Row],[customerSKU]]="","",_xlfn.XLOOKUP(Table26[[#This Row],[customerSKU]],customerSKU!G:G,customerSKU!B:B,"",0,1))</f>
        <v/>
      </c>
      <c r="M2005" s="22"/>
      <c r="N2005" s="15" t="str">
        <f>Table26[[#This Row],[po_number]]&amp;"-"&amp;Table26[[#This Row],[po_line]]</f>
        <v>-5</v>
      </c>
      <c r="O2005" s="15">
        <v>5</v>
      </c>
      <c r="P2005" s="50"/>
      <c r="Q2005" s="22" t="s">
        <v>905</v>
      </c>
      <c r="R2005" s="22" t="s">
        <v>532</v>
      </c>
      <c r="S2005" s="90" t="str">
        <f>IF(Table26[[#This Row],[customerSKU]]="","",_xlfn.XLOOKUP(Table26[[#This Row],[customerSKU]],customerSKU!G:G,customerSKU!N:N,"NOT FOUND",0,1))</f>
        <v>NOT FOUND</v>
      </c>
      <c r="T2005" s="20">
        <v>45575</v>
      </c>
      <c r="U2005" s="94">
        <v>12</v>
      </c>
      <c r="V2005" s="22" t="str">
        <f>IF(ISBLANK(Table26[[#This Row],[customerSKU]]),"",_xlfn.XLOOKUP(Table26[[#This Row],[customerSKU]],Table27[customer_SKU],Table27[case_size],"",0,1))</f>
        <v/>
      </c>
      <c r="W2005" s="117" t="str">
        <f t="shared" si="81"/>
        <v/>
      </c>
      <c r="X2005" s="22" t="str">
        <f t="shared" si="80"/>
        <v/>
      </c>
      <c r="Y2005" s="25" t="str">
        <f>IF(Table26[[#This Row],[customerSKU]]="","",_xlfn.XLOOKUP(Table26[[#This Row],[customerSKU]],Table27[customer_SKU],Table27[product_GTIN],"",0,1))</f>
        <v/>
      </c>
      <c r="Z2005" s="25" t="s">
        <v>3534</v>
      </c>
      <c r="AA2005" s="18" t="str" cm="1">
        <f t="array" ref="AA2005">IF(P2005="", "", _xlfn.XLOOKUP(P2005,#REF!,#REF!,NA,0,-1))</f>
        <v/>
      </c>
      <c r="AB2005" s="22"/>
      <c r="AC2005" s="23" t="s">
        <v>190</v>
      </c>
      <c r="AD2005" s="23" t="str">
        <f>IF($AC2005="","",_xlfn.XLOOKUP($AC2005,'Client Info'!$C$2:$C$2497,'Client Info'!$D$2:$D$2497,"",0,1))</f>
        <v/>
      </c>
      <c r="AE2005" s="23" t="str">
        <f>IF($AC2005="","",_xlfn.XLOOKUP($AC2005,'Client Info'!$C$2:$C$2677,'Client Info'!$E$2:$E$2677,"",))</f>
        <v/>
      </c>
      <c r="AF2005" s="23" t="str">
        <f>IF($AC2005="","",_xlfn.XLOOKUP($AC2005,'Client Info'!$C$2:$C$2677,'Client Info'!$F$2:$F$2677,"",0,1))</f>
        <v/>
      </c>
      <c r="AG2005" s="23" t="str">
        <f>IF(ISBLANK(Table26[[#This Row],[customerSKU]]),"",_xlfn.XLOOKUP(Table26[[#This Row],[customerSKU]],Table27[customer_SKU],Table27[billto],"",0,1))</f>
        <v/>
      </c>
      <c r="AH2005" s="26" t="str">
        <f>_xlfn.XLOOKUP(Table26[[#This Row],[customerSKU]],customerSKU!G:G,customerSKU!K:K,"NA",0,1)</f>
        <v>NA</v>
      </c>
      <c r="AI2005" s="43" t="str">
        <f>_xlfn.XLOOKUP(Table26[[#This Row],[customerSKU]],customerSKU!G:G,customerSKU!O:O,"not found",0,1)</f>
        <v>not found</v>
      </c>
      <c r="AJ2005" s="22" t="e">
        <f>Table26[[#This Row],[unitprice]]*Table26[[#This Row],[quantity_unit]]</f>
        <v>#VALUE!</v>
      </c>
      <c r="AK2005" s="227" t="e" cm="1">
        <f t="array" ref="AK20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5" s="227"/>
    </row>
    <row r="2006" spans="1:38" ht="24.6" customHeight="1">
      <c r="A2006" s="42">
        <v>247</v>
      </c>
      <c r="B2006" s="42" t="s">
        <v>3520</v>
      </c>
      <c r="C2006" s="53" t="s">
        <v>3488</v>
      </c>
      <c r="E2006" s="20"/>
      <c r="F20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6" s="93"/>
      <c r="I2006" s="203">
        <v>45845</v>
      </c>
      <c r="J2006" s="90" t="str">
        <f>IF(Table26[[#This Row],[customerSKU]]="","",_xlfn.XLOOKUP(Table26[[#This Row],[customerSKU]],customerSKU!G:G,customerSKU!A:A,"",0,1))</f>
        <v/>
      </c>
      <c r="K2006" s="19">
        <v>45846</v>
      </c>
      <c r="L2006" s="49" t="str">
        <f>IF(Table26[[#This Row],[customerSKU]]="","",_xlfn.XLOOKUP(Table26[[#This Row],[customerSKU]],customerSKU!G:G,customerSKU!B:B,"",0,1))</f>
        <v/>
      </c>
      <c r="M2006" s="22"/>
      <c r="N2006" s="15" t="str">
        <f>Table26[[#This Row],[po_number]]&amp;"-"&amp;Table26[[#This Row],[po_line]]</f>
        <v>-1</v>
      </c>
      <c r="O2006" s="15">
        <v>1</v>
      </c>
      <c r="P2006" s="50"/>
      <c r="Q2006" s="22" t="s">
        <v>3726</v>
      </c>
      <c r="R2006" s="22" t="s">
        <v>532</v>
      </c>
      <c r="S2006" s="90" t="str">
        <f>IF(Table26[[#This Row],[customerSKU]]="","",_xlfn.XLOOKUP(Table26[[#This Row],[customerSKU]],customerSKU!G:G,customerSKU!N:N,"NOT FOUND",0,1))</f>
        <v>NOT FOUND</v>
      </c>
      <c r="T2006" s="20">
        <v>45842</v>
      </c>
      <c r="U2006" s="94">
        <f>241*12</f>
        <v>2892</v>
      </c>
      <c r="V2006" s="22" t="str">
        <f>IF(ISBLANK(Table26[[#This Row],[customerSKU]]),"",_xlfn.XLOOKUP(Table26[[#This Row],[customerSKU]],Table27[customer_SKU],Table27[case_size],"",0,1))</f>
        <v/>
      </c>
      <c r="W2006" s="117" t="str">
        <f t="shared" si="81"/>
        <v/>
      </c>
      <c r="X2006" s="22" t="str">
        <f t="shared" si="80"/>
        <v/>
      </c>
      <c r="Y2006" s="25" t="str">
        <f>IF(Table26[[#This Row],[customerSKU]]="","",_xlfn.XLOOKUP(Table26[[#This Row],[customerSKU]],Table27[customer_SKU],Table27[product_GTIN],"",0,1))</f>
        <v/>
      </c>
      <c r="Z2006" s="25" t="s">
        <v>3637</v>
      </c>
      <c r="AA2006" s="18" t="str" cm="1">
        <f t="array" ref="AA2006">IF(P2006="", "", _xlfn.XLOOKUP(P2006,#REF!,#REF!,NA,0,-1))</f>
        <v/>
      </c>
      <c r="AB2006" s="22"/>
      <c r="AC2006" s="23" t="str">
        <f>IF(Table26[[#This Row],[customerSKU]]="","",_xlfn.XLOOKUP(Table26[[#This Row],[customerSKU]],customerSKU!G:G,customerSKU!C:C,"",0,1))</f>
        <v/>
      </c>
      <c r="AD2006" s="23" t="str">
        <f>IF($AC2006="","",_xlfn.XLOOKUP($AC2006,'Client Info'!$C$2:$C$2497,'Client Info'!$D$2:$D$2497,"",0,1))</f>
        <v/>
      </c>
      <c r="AE2006" s="23" t="str">
        <f>IF($AC2006="","",_xlfn.XLOOKUP($AC2006,'Client Info'!$C$2:$C$2677,'Client Info'!$E$2:$E$2677,"",))</f>
        <v/>
      </c>
      <c r="AF2006" s="23" t="str">
        <f>IF($AC2006="","",_xlfn.XLOOKUP($AC2006,'Client Info'!$C$2:$C$2677,'Client Info'!$F$2:$F$2677,"",0,1))</f>
        <v/>
      </c>
      <c r="AG2006" s="23" t="str">
        <f>IF(ISBLANK(Table26[[#This Row],[customerSKU]]),"",_xlfn.XLOOKUP(Table26[[#This Row],[customerSKU]],Table27[customer_SKU],Table27[billto],"",0,1))</f>
        <v/>
      </c>
      <c r="AH2006" s="26" t="str">
        <f>_xlfn.XLOOKUP(Table26[[#This Row],[customerSKU]],customerSKU!G:G,customerSKU!K:K,"NA",0,1)</f>
        <v>NA</v>
      </c>
      <c r="AI2006" s="43" t="str">
        <f>_xlfn.XLOOKUP(Table26[[#This Row],[customerSKU]],customerSKU!G:G,customerSKU!O:O,"not found",0,1)</f>
        <v>not found</v>
      </c>
      <c r="AJ2006" s="22" t="e">
        <f>Table26[[#This Row],[unitprice]]*Table26[[#This Row],[quantity_unit]]</f>
        <v>#VALUE!</v>
      </c>
      <c r="AK2006" s="227" t="e" cm="1">
        <f t="array" ref="AK20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6" s="227"/>
    </row>
    <row r="2007" spans="1:38" ht="24.6" customHeight="1">
      <c r="A2007" s="42">
        <v>248</v>
      </c>
      <c r="B2007" s="42" t="s">
        <v>3520</v>
      </c>
      <c r="C2007" s="53" t="s">
        <v>3360</v>
      </c>
      <c r="E2007" s="20"/>
      <c r="F20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7" s="93"/>
      <c r="I2007" s="203">
        <v>45845</v>
      </c>
      <c r="J2007" s="90" t="str">
        <f>IF(Table26[[#This Row],[customerSKU]]="","",_xlfn.XLOOKUP(Table26[[#This Row],[customerSKU]],customerSKU!G:G,customerSKU!A:A,"",0,1))</f>
        <v/>
      </c>
      <c r="K2007" s="19">
        <v>45846</v>
      </c>
      <c r="L2007" s="49" t="str">
        <f>IF(Table26[[#This Row],[customerSKU]]="","",_xlfn.XLOOKUP(Table26[[#This Row],[customerSKU]],customerSKU!G:G,customerSKU!B:B,"",0,1))</f>
        <v/>
      </c>
      <c r="M2007" s="22"/>
      <c r="N2007" s="15" t="str">
        <f>Table26[[#This Row],[po_number]]&amp;"-"&amp;Table26[[#This Row],[po_line]]</f>
        <v>-1</v>
      </c>
      <c r="O2007" s="15">
        <v>1</v>
      </c>
      <c r="P2007" s="50"/>
      <c r="S2007" s="90" t="str">
        <f>IF(Table26[[#This Row],[customerSKU]]="","",_xlfn.XLOOKUP(Table26[[#This Row],[customerSKU]],customerSKU!G:G,customerSKU!N:N,"NOT FOUND",0,1))</f>
        <v>NOT FOUND</v>
      </c>
      <c r="T2007" s="20"/>
      <c r="U2007" s="94">
        <v>12</v>
      </c>
      <c r="V2007" s="22" t="str">
        <f>IF(ISBLANK(Table26[[#This Row],[customerSKU]]),"",_xlfn.XLOOKUP(Table26[[#This Row],[customerSKU]],Table27[customer_SKU],Table27[case_size],"",0,1))</f>
        <v/>
      </c>
      <c r="W2007" s="117" t="str">
        <f t="shared" si="81"/>
        <v/>
      </c>
      <c r="X2007" s="22" t="str">
        <f t="shared" si="80"/>
        <v/>
      </c>
      <c r="Y2007" s="25" t="str">
        <f>IF(Table26[[#This Row],[customerSKU]]="","",_xlfn.XLOOKUP(Table26[[#This Row],[customerSKU]],Table27[customer_SKU],Table27[product_GTIN],"",0,1))</f>
        <v/>
      </c>
      <c r="Z2007" s="25" t="s">
        <v>3529</v>
      </c>
      <c r="AA2007" s="18" t="str" cm="1">
        <f t="array" ref="AA2007">IF(P2007="", "", _xlfn.XLOOKUP(P2007,#REF!,#REF!,NA,0,-1))</f>
        <v/>
      </c>
      <c r="AB2007" s="22"/>
      <c r="AC2007" s="23" t="str">
        <f>IF(Table26[[#This Row],[customerSKU]]="","",_xlfn.XLOOKUP(Table26[[#This Row],[customerSKU]],customerSKU!G:G,customerSKU!C:C,"",0,1))</f>
        <v/>
      </c>
      <c r="AD2007" s="23" t="str">
        <f>IF($AC2007="","",_xlfn.XLOOKUP($AC2007,'Client Info'!$C$2:$C$2497,'Client Info'!$D$2:$D$2497,"",0,1))</f>
        <v/>
      </c>
      <c r="AE2007" s="23" t="str">
        <f>IF($AC2007="","",_xlfn.XLOOKUP($AC2007,'Client Info'!$C$2:$C$2677,'Client Info'!$E$2:$E$2677,"",))</f>
        <v/>
      </c>
      <c r="AF2007" s="23" t="str">
        <f>IF($AC2007="","",_xlfn.XLOOKUP($AC2007,'Client Info'!$C$2:$C$2677,'Client Info'!$F$2:$F$2677,"",0,1))</f>
        <v/>
      </c>
      <c r="AG2007" s="23" t="str">
        <f>IF(ISBLANK(Table26[[#This Row],[customerSKU]]),"",_xlfn.XLOOKUP(Table26[[#This Row],[customerSKU]],Table27[customer_SKU],Table27[billto],"",0,1))</f>
        <v/>
      </c>
      <c r="AH2007" s="26" t="str">
        <f>_xlfn.XLOOKUP(Table26[[#This Row],[customerSKU]],customerSKU!G:G,customerSKU!K:K,"NA",0,1)</f>
        <v>NA</v>
      </c>
      <c r="AI2007" s="43" t="str">
        <f>_xlfn.XLOOKUP(Table26[[#This Row],[customerSKU]],customerSKU!G:G,customerSKU!O:O,"not found",0,1)</f>
        <v>not found</v>
      </c>
      <c r="AJ2007" s="22" t="e">
        <f>Table26[[#This Row],[unitprice]]*Table26[[#This Row],[quantity_unit]]</f>
        <v>#VALUE!</v>
      </c>
      <c r="AK2007" s="227" t="e" cm="1">
        <f t="array" ref="AK20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7" s="227"/>
    </row>
    <row r="2008" spans="1:38" ht="24.6" customHeight="1">
      <c r="A2008" s="42">
        <v>249</v>
      </c>
      <c r="B2008" s="42" t="s">
        <v>3520</v>
      </c>
      <c r="C2008" s="53" t="s">
        <v>3360</v>
      </c>
      <c r="E2008" s="20"/>
      <c r="F20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8" s="93"/>
      <c r="I2008" s="203">
        <v>45846</v>
      </c>
      <c r="J2008" s="90" t="str">
        <f>IF(Table26[[#This Row],[customerSKU]]="","",_xlfn.XLOOKUP(Table26[[#This Row],[customerSKU]],customerSKU!G:G,customerSKU!A:A,"",0,1))</f>
        <v/>
      </c>
      <c r="K2008" s="19">
        <v>45846</v>
      </c>
      <c r="L2008" s="49" t="str">
        <f>IF(Table26[[#This Row],[customerSKU]]="","",_xlfn.XLOOKUP(Table26[[#This Row],[customerSKU]],customerSKU!G:G,customerSKU!B:B,"",0,1))</f>
        <v/>
      </c>
      <c r="M2008" s="22"/>
      <c r="N2008" s="15" t="str">
        <f>Table26[[#This Row],[po_number]]&amp;"-"&amp;Table26[[#This Row],[po_line]]</f>
        <v>-1</v>
      </c>
      <c r="O2008" s="15">
        <v>1</v>
      </c>
      <c r="P2008" s="50"/>
      <c r="S2008" s="90" t="str">
        <f>IF(Table26[[#This Row],[customerSKU]]="","",_xlfn.XLOOKUP(Table26[[#This Row],[customerSKU]],customerSKU!G:G,customerSKU!N:N,"NOT FOUND",0,1))</f>
        <v>NOT FOUND</v>
      </c>
      <c r="T2008" s="20"/>
      <c r="U2008" s="94">
        <v>12</v>
      </c>
      <c r="V2008" s="22" t="str">
        <f>IF(ISBLANK(Table26[[#This Row],[customerSKU]]),"",_xlfn.XLOOKUP(Table26[[#This Row],[customerSKU]],Table27[customer_SKU],Table27[case_size],"",0,1))</f>
        <v/>
      </c>
      <c r="W2008" s="117" t="str">
        <f t="shared" si="81"/>
        <v/>
      </c>
      <c r="X2008" s="22" t="str">
        <f t="shared" si="80"/>
        <v/>
      </c>
      <c r="Y2008" s="25" t="str">
        <f>IF(Table26[[#This Row],[customerSKU]]="","",_xlfn.XLOOKUP(Table26[[#This Row],[customerSKU]],Table27[customer_SKU],Table27[product_GTIN],"",0,1))</f>
        <v/>
      </c>
      <c r="Z2008" s="25" t="s">
        <v>3669</v>
      </c>
      <c r="AA2008" s="18" t="str" cm="1">
        <f t="array" ref="AA2008">IF(P2008="", "", _xlfn.XLOOKUP(P2008,#REF!,#REF!,NA,0,-1))</f>
        <v/>
      </c>
      <c r="AB2008" s="22"/>
      <c r="AC2008" s="23" t="str">
        <f>IF(Table26[[#This Row],[customerSKU]]="","",_xlfn.XLOOKUP(Table26[[#This Row],[customerSKU]],customerSKU!G:G,customerSKU!C:C,"",0,1))</f>
        <v/>
      </c>
      <c r="AD2008" s="23" t="str">
        <f>IF($AC2008="","",_xlfn.XLOOKUP($AC2008,'Client Info'!$C$2:$C$2497,'Client Info'!$D$2:$D$2497,"",0,1))</f>
        <v/>
      </c>
      <c r="AE2008" s="23" t="str">
        <f>IF($AC2008="","",_xlfn.XLOOKUP($AC2008,'Client Info'!$C$2:$C$2677,'Client Info'!$E$2:$E$2677,"",))</f>
        <v/>
      </c>
      <c r="AF2008" s="23" t="str">
        <f>IF($AC2008="","",_xlfn.XLOOKUP($AC2008,'Client Info'!$C$2:$C$2677,'Client Info'!$F$2:$F$2677,"",0,1))</f>
        <v/>
      </c>
      <c r="AG2008" s="23" t="str">
        <f>IF(ISBLANK(Table26[[#This Row],[customerSKU]]),"",_xlfn.XLOOKUP(Table26[[#This Row],[customerSKU]],Table27[customer_SKU],Table27[billto],"",0,1))</f>
        <v/>
      </c>
      <c r="AH2008" s="26" t="str">
        <f>_xlfn.XLOOKUP(Table26[[#This Row],[customerSKU]],customerSKU!G:G,customerSKU!K:K,"NA",0,1)</f>
        <v>NA</v>
      </c>
      <c r="AI2008" s="43" t="str">
        <f>_xlfn.XLOOKUP(Table26[[#This Row],[customerSKU]],customerSKU!G:G,customerSKU!O:O,"not found",0,1)</f>
        <v>not found</v>
      </c>
      <c r="AJ2008" s="22" t="e">
        <f>Table26[[#This Row],[unitprice]]*Table26[[#This Row],[quantity_unit]]</f>
        <v>#VALUE!</v>
      </c>
      <c r="AK2008" s="227" t="e" cm="1">
        <f t="array" ref="AK20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8" s="227"/>
    </row>
    <row r="2009" spans="1:38" ht="24.6" customHeight="1">
      <c r="A2009" s="42">
        <v>250</v>
      </c>
      <c r="B2009" s="42" t="s">
        <v>3520</v>
      </c>
      <c r="C2009" s="53" t="s">
        <v>3360</v>
      </c>
      <c r="E2009" s="20"/>
      <c r="F20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09" s="93"/>
      <c r="I2009" s="203">
        <v>45846</v>
      </c>
      <c r="J2009" s="90" t="str">
        <f>IF(Table26[[#This Row],[customerSKU]]="","",_xlfn.XLOOKUP(Table26[[#This Row],[customerSKU]],customerSKU!G:G,customerSKU!A:A,"",0,1))</f>
        <v/>
      </c>
      <c r="K2009" s="19">
        <v>45846</v>
      </c>
      <c r="L2009" s="49" t="str">
        <f>IF(Table26[[#This Row],[customerSKU]]="","",_xlfn.XLOOKUP(Table26[[#This Row],[customerSKU]],customerSKU!G:G,customerSKU!B:B,"",0,1))</f>
        <v/>
      </c>
      <c r="M2009" s="22"/>
      <c r="N2009" s="15" t="str">
        <f>Table26[[#This Row],[po_number]]&amp;"-"&amp;Table26[[#This Row],[po_line]]</f>
        <v>-2</v>
      </c>
      <c r="O2009" s="15">
        <v>2</v>
      </c>
      <c r="P2009" s="50"/>
      <c r="S2009" s="90" t="str">
        <f>IF(Table26[[#This Row],[customerSKU]]="","",_xlfn.XLOOKUP(Table26[[#This Row],[customerSKU]],customerSKU!G:G,customerSKU!N:N,"NOT FOUND",0,1))</f>
        <v>NOT FOUND</v>
      </c>
      <c r="T2009" s="20"/>
      <c r="U2009" s="94">
        <v>12</v>
      </c>
      <c r="V2009" s="22" t="str">
        <f>IF(ISBLANK(Table26[[#This Row],[customerSKU]]),"",_xlfn.XLOOKUP(Table26[[#This Row],[customerSKU]],Table27[customer_SKU],Table27[case_size],"",0,1))</f>
        <v/>
      </c>
      <c r="W2009" s="117" t="str">
        <f t="shared" si="81"/>
        <v/>
      </c>
      <c r="X2009" s="22" t="str">
        <f t="shared" si="80"/>
        <v/>
      </c>
      <c r="Y2009" s="25" t="str">
        <f>IF(Table26[[#This Row],[customerSKU]]="","",_xlfn.XLOOKUP(Table26[[#This Row],[customerSKU]],Table27[customer_SKU],Table27[product_GTIN],"",0,1))</f>
        <v/>
      </c>
      <c r="Z2009" s="25" t="s">
        <v>3654</v>
      </c>
      <c r="AA2009" s="18" t="str" cm="1">
        <f t="array" ref="AA2009">IF(P2009="", "", _xlfn.XLOOKUP(P2009,#REF!,#REF!,NA,0,-1))</f>
        <v/>
      </c>
      <c r="AB2009" s="22"/>
      <c r="AC2009" s="23" t="str">
        <f>IF(Table26[[#This Row],[customerSKU]]="","",_xlfn.XLOOKUP(Table26[[#This Row],[customerSKU]],customerSKU!G:G,customerSKU!C:C,"",0,1))</f>
        <v/>
      </c>
      <c r="AD2009" s="23" t="str">
        <f>IF($AC2009="","",_xlfn.XLOOKUP($AC2009,'Client Info'!$C$2:$C$2497,'Client Info'!$D$2:$D$2497,"",0,1))</f>
        <v/>
      </c>
      <c r="AE2009" s="23" t="str">
        <f>IF($AC2009="","",_xlfn.XLOOKUP($AC2009,'Client Info'!$C$2:$C$2677,'Client Info'!$E$2:$E$2677,"",))</f>
        <v/>
      </c>
      <c r="AF2009" s="23" t="str">
        <f>IF($AC2009="","",_xlfn.XLOOKUP($AC2009,'Client Info'!$C$2:$C$2677,'Client Info'!$F$2:$F$2677,"",0,1))</f>
        <v/>
      </c>
      <c r="AG2009" s="23" t="str">
        <f>IF(ISBLANK(Table26[[#This Row],[customerSKU]]),"",_xlfn.XLOOKUP(Table26[[#This Row],[customerSKU]],Table27[customer_SKU],Table27[billto],"",0,1))</f>
        <v/>
      </c>
      <c r="AH2009" s="26" t="str">
        <f>_xlfn.XLOOKUP(Table26[[#This Row],[customerSKU]],customerSKU!G:G,customerSKU!K:K,"NA",0,1)</f>
        <v>NA</v>
      </c>
      <c r="AI2009" s="43" t="str">
        <f>_xlfn.XLOOKUP(Table26[[#This Row],[customerSKU]],customerSKU!G:G,customerSKU!O:O,"not found",0,1)</f>
        <v>not found</v>
      </c>
      <c r="AJ2009" s="22" t="e">
        <f>Table26[[#This Row],[unitprice]]*Table26[[#This Row],[quantity_unit]]</f>
        <v>#VALUE!</v>
      </c>
      <c r="AK2009" s="227" t="e" cm="1">
        <f t="array" ref="AK20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09" s="227"/>
    </row>
    <row r="2010" spans="1:38" ht="24.6" customHeight="1">
      <c r="A2010" s="42">
        <v>239</v>
      </c>
      <c r="B2010" s="42" t="s">
        <v>3520</v>
      </c>
      <c r="C2010" s="53" t="s">
        <v>3360</v>
      </c>
      <c r="E2010" s="20"/>
      <c r="F20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0" s="93"/>
      <c r="I2010" s="203">
        <v>45846</v>
      </c>
      <c r="J2010" s="90" t="str">
        <f>IF(Table26[[#This Row],[customerSKU]]="","",_xlfn.XLOOKUP(Table26[[#This Row],[customerSKU]],customerSKU!G:G,customerSKU!A:A,"",0,1))</f>
        <v/>
      </c>
      <c r="K2010" s="19">
        <v>45847</v>
      </c>
      <c r="L2010" s="49" t="str">
        <f>IF(Table26[[#This Row],[customerSKU]]="","",_xlfn.XLOOKUP(Table26[[#This Row],[customerSKU]],customerSKU!G:G,customerSKU!B:B,"",0,1))</f>
        <v/>
      </c>
      <c r="M2010" s="22"/>
      <c r="N2010" s="15" t="str">
        <f>Table26[[#This Row],[po_number]]&amp;"-"&amp;Table26[[#This Row],[po_line]]</f>
        <v>-1</v>
      </c>
      <c r="O2010" s="15">
        <v>1</v>
      </c>
      <c r="P2010" s="50"/>
      <c r="S2010" s="90" t="str">
        <f>IF(Table26[[#This Row],[customerSKU]]="","",_xlfn.XLOOKUP(Table26[[#This Row],[customerSKU]],customerSKU!G:G,customerSKU!N:N,"NOT FOUND",0,1))</f>
        <v>NOT FOUND</v>
      </c>
      <c r="T2010" s="20"/>
      <c r="U2010" s="94">
        <v>12</v>
      </c>
      <c r="V2010" s="22" t="str">
        <f>IF(ISBLANK(Table26[[#This Row],[customerSKU]]),"",_xlfn.XLOOKUP(Table26[[#This Row],[customerSKU]],Table27[customer_SKU],Table27[case_size],"",0,1))</f>
        <v/>
      </c>
      <c r="W2010" s="117" t="str">
        <f t="shared" si="81"/>
        <v/>
      </c>
      <c r="X2010" s="22" t="str">
        <f t="shared" si="80"/>
        <v/>
      </c>
      <c r="Y2010" s="25" t="str">
        <f>IF(Table26[[#This Row],[customerSKU]]="","",_xlfn.XLOOKUP(Table26[[#This Row],[customerSKU]],Table27[customer_SKU],Table27[product_GTIN],"",0,1))</f>
        <v/>
      </c>
      <c r="Z2010" s="25" t="s">
        <v>3529</v>
      </c>
      <c r="AA2010" s="18" t="str" cm="1">
        <f t="array" ref="AA2010">IF(P2010="", "", _xlfn.XLOOKUP(P2010,#REF!,#REF!,NA,0,-1))</f>
        <v/>
      </c>
      <c r="AB2010" s="22"/>
      <c r="AC2010" s="23" t="str">
        <f>IF(Table26[[#This Row],[customerSKU]]="","",_xlfn.XLOOKUP(Table26[[#This Row],[customerSKU]],customerSKU!G:G,customerSKU!C:C,"",0,1))</f>
        <v/>
      </c>
      <c r="AD2010" s="23" t="str">
        <f>IF($AC2010="","",_xlfn.XLOOKUP($AC2010,'Client Info'!$C$2:$C$2497,'Client Info'!$D$2:$D$2497,"",0,1))</f>
        <v/>
      </c>
      <c r="AE2010" s="23" t="str">
        <f>IF($AC2010="","",_xlfn.XLOOKUP($AC2010,'Client Info'!$C$2:$C$2677,'Client Info'!$E$2:$E$2677,"",))</f>
        <v/>
      </c>
      <c r="AF2010" s="23" t="str">
        <f>IF($AC2010="","",_xlfn.XLOOKUP($AC2010,'Client Info'!$C$2:$C$2677,'Client Info'!$F$2:$F$2677,"",0,1))</f>
        <v/>
      </c>
      <c r="AG2010" s="23" t="str">
        <f>IF(ISBLANK(Table26[[#This Row],[customerSKU]]),"",_xlfn.XLOOKUP(Table26[[#This Row],[customerSKU]],Table27[customer_SKU],Table27[billto],"",0,1))</f>
        <v/>
      </c>
      <c r="AH2010" s="26" t="str">
        <f>_xlfn.XLOOKUP(Table26[[#This Row],[customerSKU]],customerSKU!G:G,customerSKU!K:K,"NA",0,1)</f>
        <v>NA</v>
      </c>
      <c r="AI2010" s="43" t="str">
        <f>_xlfn.XLOOKUP(Table26[[#This Row],[customerSKU]],customerSKU!G:G,customerSKU!O:O,"not found",0,1)</f>
        <v>not found</v>
      </c>
      <c r="AJ2010" s="22" t="e">
        <f>Table26[[#This Row],[unitprice]]*Table26[[#This Row],[quantity_unit]]</f>
        <v>#VALUE!</v>
      </c>
      <c r="AK2010" s="227" t="e" cm="1">
        <f t="array" ref="AK20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0" s="227"/>
    </row>
    <row r="2011" spans="1:38" ht="24.6" customHeight="1">
      <c r="A2011" s="42">
        <v>240</v>
      </c>
      <c r="B2011" s="42" t="s">
        <v>3520</v>
      </c>
      <c r="C2011" s="53" t="s">
        <v>3488</v>
      </c>
      <c r="E2011" s="20"/>
      <c r="F20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1" s="93"/>
      <c r="I2011" s="203">
        <v>45846</v>
      </c>
      <c r="J2011" s="90" t="str">
        <f>IF(Table26[[#This Row],[customerSKU]]="","",_xlfn.XLOOKUP(Table26[[#This Row],[customerSKU]],customerSKU!G:G,customerSKU!A:A,"",0,1))</f>
        <v/>
      </c>
      <c r="K2011" s="19">
        <v>45847</v>
      </c>
      <c r="L2011" s="49" t="str">
        <f>IF(Table26[[#This Row],[customerSKU]]="","",_xlfn.XLOOKUP(Table26[[#This Row],[customerSKU]],customerSKU!G:G,customerSKU!B:B,"",0,1))</f>
        <v/>
      </c>
      <c r="M2011" s="22"/>
      <c r="N2011" s="15" t="str">
        <f>Table26[[#This Row],[po_number]]&amp;"-"&amp;Table26[[#This Row],[po_line]]</f>
        <v>-1</v>
      </c>
      <c r="O2011" s="15">
        <v>1</v>
      </c>
      <c r="P2011" s="50"/>
      <c r="Q2011" s="22" t="s">
        <v>1827</v>
      </c>
      <c r="R2011" s="22" t="s">
        <v>532</v>
      </c>
      <c r="S2011" s="90" t="str">
        <f>IF(Table26[[#This Row],[customerSKU]]="","",_xlfn.XLOOKUP(Table26[[#This Row],[customerSKU]],customerSKU!G:G,customerSKU!N:N,"NOT FOUND",0,1))</f>
        <v>NOT FOUND</v>
      </c>
      <c r="T2011" s="20">
        <v>45825</v>
      </c>
      <c r="U2011" s="94">
        <v>12</v>
      </c>
      <c r="V2011" s="22" t="str">
        <f>IF(ISBLANK(Table26[[#This Row],[customerSKU]]),"",_xlfn.XLOOKUP(Table26[[#This Row],[customerSKU]],Table27[customer_SKU],Table27[case_size],"",0,1))</f>
        <v/>
      </c>
      <c r="W2011" s="117" t="str">
        <f t="shared" si="81"/>
        <v/>
      </c>
      <c r="X2011" s="22" t="str">
        <f t="shared" si="80"/>
        <v/>
      </c>
      <c r="Y2011" s="25" t="str">
        <f>IF(Table26[[#This Row],[customerSKU]]="","",_xlfn.XLOOKUP(Table26[[#This Row],[customerSKU]],Table27[customer_SKU],Table27[product_GTIN],"",0,1))</f>
        <v/>
      </c>
      <c r="Z2011" s="25" t="s">
        <v>3720</v>
      </c>
      <c r="AA2011" s="18" t="str" cm="1">
        <f t="array" ref="AA2011">IF(P2011="", "", _xlfn.XLOOKUP(P2011,#REF!,#REF!,NA,0,-1))</f>
        <v/>
      </c>
      <c r="AB2011" s="22"/>
      <c r="AC2011" s="23" t="str">
        <f>IF(Table26[[#This Row],[customerSKU]]="","",_xlfn.XLOOKUP(Table26[[#This Row],[customerSKU]],customerSKU!G:G,customerSKU!C:C,"",0,1))</f>
        <v/>
      </c>
      <c r="AD2011" s="23" t="str">
        <f>IF($AC2011="","",_xlfn.XLOOKUP($AC2011,'Client Info'!$C$2:$C$2497,'Client Info'!$D$2:$D$2497,"",0,1))</f>
        <v/>
      </c>
      <c r="AE2011" s="23" t="str">
        <f>IF($AC2011="","",_xlfn.XLOOKUP($AC2011,'Client Info'!$C$2:$C$2677,'Client Info'!$E$2:$E$2677,"",))</f>
        <v/>
      </c>
      <c r="AF2011" s="23" t="str">
        <f>IF($AC2011="","",_xlfn.XLOOKUP($AC2011,'Client Info'!$C$2:$C$2677,'Client Info'!$F$2:$F$2677,"",0,1))</f>
        <v/>
      </c>
      <c r="AG2011" s="23" t="str">
        <f>IF(ISBLANK(Table26[[#This Row],[customerSKU]]),"",_xlfn.XLOOKUP(Table26[[#This Row],[customerSKU]],Table27[customer_SKU],Table27[billto],"",0,1))</f>
        <v/>
      </c>
      <c r="AH2011" s="26" t="str">
        <f>_xlfn.XLOOKUP(Table26[[#This Row],[customerSKU]],customerSKU!G:G,customerSKU!K:K,"NA",0,1)</f>
        <v>NA</v>
      </c>
      <c r="AI2011" s="43" t="str">
        <f>_xlfn.XLOOKUP(Table26[[#This Row],[customerSKU]],customerSKU!G:G,customerSKU!O:O,"not found",0,1)</f>
        <v>not found</v>
      </c>
      <c r="AJ2011" s="22" t="e">
        <f>Table26[[#This Row],[unitprice]]*Table26[[#This Row],[quantity_unit]]</f>
        <v>#VALUE!</v>
      </c>
      <c r="AK2011" s="227" t="e" cm="1">
        <f t="array" ref="AK20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1" s="227"/>
    </row>
    <row r="2012" spans="1:38" ht="24.6" customHeight="1">
      <c r="A2012" s="42">
        <v>241</v>
      </c>
      <c r="B2012" s="42" t="s">
        <v>3520</v>
      </c>
      <c r="C2012" s="53" t="s">
        <v>3488</v>
      </c>
      <c r="E2012" s="20"/>
      <c r="F20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2" s="93"/>
      <c r="I2012" s="203">
        <v>45847</v>
      </c>
      <c r="J2012" s="90" t="str">
        <f>IF(Table26[[#This Row],[customerSKU]]="","",_xlfn.XLOOKUP(Table26[[#This Row],[customerSKU]],customerSKU!G:G,customerSKU!A:A,"",0,1))</f>
        <v/>
      </c>
      <c r="K2012" s="19">
        <v>45847</v>
      </c>
      <c r="L2012" s="49" t="str">
        <f>IF(Table26[[#This Row],[customerSKU]]="","",_xlfn.XLOOKUP(Table26[[#This Row],[customerSKU]],customerSKU!G:G,customerSKU!B:B,"",0,1))</f>
        <v/>
      </c>
      <c r="M2012" s="22"/>
      <c r="N2012" s="15" t="str">
        <f>Table26[[#This Row],[po_number]]&amp;"-"&amp;Table26[[#This Row],[po_line]]</f>
        <v>-1</v>
      </c>
      <c r="O2012" s="15">
        <v>1</v>
      </c>
      <c r="P2012" s="50"/>
      <c r="Q2012" s="22" t="s">
        <v>1306</v>
      </c>
      <c r="R2012" s="22" t="s">
        <v>532</v>
      </c>
      <c r="S2012" s="90" t="str">
        <f>IF(Table26[[#This Row],[customerSKU]]="","",_xlfn.XLOOKUP(Table26[[#This Row],[customerSKU]],customerSKU!G:G,customerSKU!N:N,"NOT FOUND",0,1))</f>
        <v>NOT FOUND</v>
      </c>
      <c r="T2012" s="20">
        <v>45576</v>
      </c>
      <c r="U2012" s="94">
        <v>48</v>
      </c>
      <c r="V2012" s="22" t="str">
        <f>IF(ISBLANK(Table26[[#This Row],[customerSKU]]),"",_xlfn.XLOOKUP(Table26[[#This Row],[customerSKU]],Table27[customer_SKU],Table27[case_size],"",0,1))</f>
        <v/>
      </c>
      <c r="W2012" s="117" t="str">
        <f t="shared" si="81"/>
        <v/>
      </c>
      <c r="X2012" s="22" t="str">
        <f t="shared" si="80"/>
        <v/>
      </c>
      <c r="Y2012" s="25" t="str">
        <f>IF(Table26[[#This Row],[customerSKU]]="","",_xlfn.XLOOKUP(Table26[[#This Row],[customerSKU]],Table27[customer_SKU],Table27[product_GTIN],"",0,1))</f>
        <v/>
      </c>
      <c r="Z2012" s="25" t="s">
        <v>3727</v>
      </c>
      <c r="AA2012" s="18" t="str" cm="1">
        <f t="array" ref="AA2012">IF(P2012="", "", _xlfn.XLOOKUP(P2012,#REF!,#REF!,NA,0,-1))</f>
        <v/>
      </c>
      <c r="AB2012" s="22"/>
      <c r="AC2012" s="23" t="s">
        <v>140</v>
      </c>
      <c r="AD2012" s="23" t="str">
        <f>IF($AC2012="","",_xlfn.XLOOKUP($AC2012,'Client Info'!$C$2:$C$2497,'Client Info'!$D$2:$D$2497,"",0,1))</f>
        <v/>
      </c>
      <c r="AE2012" s="23" t="str">
        <f>IF($AC2012="","",_xlfn.XLOOKUP($AC2012,'Client Info'!$C$2:$C$2677,'Client Info'!$E$2:$E$2677,"",))</f>
        <v/>
      </c>
      <c r="AF2012" s="23" t="str">
        <f>IF($AC2012="","",_xlfn.XLOOKUP($AC2012,'Client Info'!$C$2:$C$2677,'Client Info'!$F$2:$F$2677,"",0,1))</f>
        <v/>
      </c>
      <c r="AG2012" s="23" t="s">
        <v>140</v>
      </c>
      <c r="AH2012" s="26" t="str">
        <f>_xlfn.XLOOKUP(Table26[[#This Row],[customerSKU]],customerSKU!G:G,customerSKU!K:K,"NA",0,1)</f>
        <v>NA</v>
      </c>
      <c r="AI2012" s="43" t="str">
        <f>_xlfn.XLOOKUP(Table26[[#This Row],[customerSKU]],customerSKU!G:G,customerSKU!O:O,"not found",0,1)</f>
        <v>not found</v>
      </c>
      <c r="AJ2012" s="22" t="e">
        <f>Table26[[#This Row],[unitprice]]*Table26[[#This Row],[quantity_unit]]</f>
        <v>#VALUE!</v>
      </c>
      <c r="AK2012" s="227" t="e" cm="1">
        <f t="array" ref="AK20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2" s="227"/>
    </row>
    <row r="2013" spans="1:38" ht="24.6" customHeight="1">
      <c r="A2013" s="42">
        <v>224</v>
      </c>
      <c r="B2013" s="42" t="s">
        <v>3520</v>
      </c>
      <c r="C2013" s="53" t="s">
        <v>203</v>
      </c>
      <c r="D2013" s="20">
        <v>45848</v>
      </c>
      <c r="E2013" s="20"/>
      <c r="F20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3" s="93"/>
      <c r="I2013" s="232">
        <v>45827</v>
      </c>
      <c r="J2013" s="90" t="str">
        <f>IF(Table26[[#This Row],[customerSKU]]="","",_xlfn.XLOOKUP(Table26[[#This Row],[customerSKU]],customerSKU!G:G,customerSKU!A:A,"",0,1))</f>
        <v/>
      </c>
      <c r="K2013" s="20">
        <v>45848</v>
      </c>
      <c r="L2013" s="49" t="str">
        <f>IF(Table26[[#This Row],[customerSKU]]="","",_xlfn.XLOOKUP(Table26[[#This Row],[customerSKU]],customerSKU!G:G,customerSKU!B:B,"",0,1))</f>
        <v/>
      </c>
      <c r="M2013" s="22"/>
      <c r="N2013" s="15" t="str">
        <f>Table26[[#This Row],[po_number]]&amp;"-"&amp;Table26[[#This Row],[po_line]]</f>
        <v>-1</v>
      </c>
      <c r="O2013" s="15">
        <v>1</v>
      </c>
      <c r="P2013" s="50"/>
      <c r="Q2013" s="22" t="s">
        <v>1811</v>
      </c>
      <c r="R2013" s="22" t="s">
        <v>532</v>
      </c>
      <c r="S2013" s="90" t="str">
        <f>IF(Table26[[#This Row],[customerSKU]]="","",_xlfn.XLOOKUP(Table26[[#This Row],[customerSKU]],customerSKU!G:G,customerSKU!N:N,"NOT FOUND",0,1))</f>
        <v>NOT FOUND</v>
      </c>
      <c r="T2013" s="20">
        <v>45805</v>
      </c>
      <c r="U2013" s="94">
        <v>60</v>
      </c>
      <c r="V2013" s="22" t="str">
        <f>IF(ISBLANK(Table26[[#This Row],[customerSKU]]),"",_xlfn.XLOOKUP(Table26[[#This Row],[customerSKU]],Table27[customer_SKU],Table27[case_size],"",0,1))</f>
        <v/>
      </c>
      <c r="W2013" s="117" t="str">
        <f t="shared" si="81"/>
        <v/>
      </c>
      <c r="X2013" s="22" t="str">
        <f t="shared" si="80"/>
        <v/>
      </c>
      <c r="Y2013" s="25" t="str">
        <f>IF(Table26[[#This Row],[customerSKU]]="","",_xlfn.XLOOKUP(Table26[[#This Row],[customerSKU]],Table27[customer_SKU],Table27[product_GTIN],"",0,1))</f>
        <v/>
      </c>
      <c r="Z2013" s="25" t="s">
        <v>3613</v>
      </c>
      <c r="AA2013" s="18" t="str" cm="1">
        <f t="array" ref="AA2013">IF(P2013="", "", _xlfn.XLOOKUP(P2013,#REF!,#REF!,NA,0,-1))</f>
        <v/>
      </c>
      <c r="AB2013" s="22"/>
      <c r="AC2013" s="23"/>
      <c r="AD2013" s="23" t="str">
        <f>IF($AC2013="","",_xlfn.XLOOKUP($AC2013,'[2]Client Info'!$C$2:$C$2535,'[2]Client Info'!$D$2:$D$2535))</f>
        <v/>
      </c>
      <c r="AE2013" s="397"/>
      <c r="AF2013" s="397"/>
      <c r="AG2013" s="23"/>
      <c r="AH2013" s="26">
        <v>23</v>
      </c>
      <c r="AI2013" s="72"/>
      <c r="AJ2013" s="22">
        <f>Table26[[#This Row],[unitprice]]*Table26[[#This Row],[quantity_unit]]</f>
        <v>1380</v>
      </c>
      <c r="AK2013" s="22" t="e" cm="1">
        <f t="array" ref="AK201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013" s="227"/>
    </row>
    <row r="2014" spans="1:38" ht="24.6" customHeight="1">
      <c r="A2014" s="42">
        <v>225</v>
      </c>
      <c r="B2014" s="42" t="s">
        <v>3520</v>
      </c>
      <c r="C2014" s="53" t="s">
        <v>3360</v>
      </c>
      <c r="D2014" s="20">
        <v>45848</v>
      </c>
      <c r="E2014" s="20"/>
      <c r="F20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4" s="93"/>
      <c r="I2014" s="232">
        <v>45827</v>
      </c>
      <c r="J2014" s="90" t="str">
        <f>IF(Table26[[#This Row],[customerSKU]]="","",_xlfn.XLOOKUP(Table26[[#This Row],[customerSKU]],customerSKU!G:G,customerSKU!A:A,"",0,1))</f>
        <v/>
      </c>
      <c r="K2014" s="20">
        <v>45848</v>
      </c>
      <c r="L2014" s="49" t="str">
        <f>IF(Table26[[#This Row],[customerSKU]]="","",_xlfn.XLOOKUP(Table26[[#This Row],[customerSKU]],customerSKU!G:G,customerSKU!B:B,"",0,1))</f>
        <v/>
      </c>
      <c r="M2014" s="22"/>
      <c r="N2014" s="15" t="str">
        <f>Table26[[#This Row],[po_number]]&amp;"-"&amp;Table26[[#This Row],[po_line]]</f>
        <v>-1</v>
      </c>
      <c r="O2014" s="15">
        <v>1</v>
      </c>
      <c r="P2014" s="50"/>
      <c r="Q2014" s="22" t="s">
        <v>1811</v>
      </c>
      <c r="R2014" s="22" t="s">
        <v>532</v>
      </c>
      <c r="S2014" s="90" t="str">
        <f>IF(Table26[[#This Row],[customerSKU]]="","",_xlfn.XLOOKUP(Table26[[#This Row],[customerSKU]],customerSKU!G:G,customerSKU!N:N,"NOT FOUND",0,1))</f>
        <v>NOT FOUND</v>
      </c>
      <c r="T2014" s="20">
        <v>45805</v>
      </c>
      <c r="U2014" s="94">
        <v>48</v>
      </c>
      <c r="V2014" s="22" t="str">
        <f>IF(ISBLANK(Table26[[#This Row],[customerSKU]]),"",_xlfn.XLOOKUP(Table26[[#This Row],[customerSKU]],Table27[customer_SKU],Table27[case_size],"",0,1))</f>
        <v/>
      </c>
      <c r="W2014" s="117" t="str">
        <f t="shared" si="81"/>
        <v/>
      </c>
      <c r="X2014" s="22" t="str">
        <f t="shared" si="80"/>
        <v/>
      </c>
      <c r="Y2014" s="25" t="str">
        <f>IF(Table26[[#This Row],[customerSKU]]="","",_xlfn.XLOOKUP(Table26[[#This Row],[customerSKU]],Table27[customer_SKU],Table27[product_GTIN],"",0,1))</f>
        <v/>
      </c>
      <c r="Z2014" s="25" t="s">
        <v>3613</v>
      </c>
      <c r="AA2014" s="18" t="str" cm="1">
        <f t="array" ref="AA2014">IF(P2014="", "", _xlfn.XLOOKUP(P2014,#REF!,#REF!,NA,0,-1))</f>
        <v/>
      </c>
      <c r="AB2014" s="22"/>
      <c r="AC2014" s="23" t="str">
        <f>IF(Table26[[#This Row],[customerSKU]]="","",_xlfn.XLOOKUP(Table26[[#This Row],[customerSKU]],customerSKU!G:G,customerSKU!C:C,"",0,1))</f>
        <v/>
      </c>
      <c r="AD2014" s="23" t="str">
        <f>IF($AC2014="","",_xlfn.XLOOKUP($AC2014,'Client Info'!$C$2:$C$2497,'Client Info'!$D$2:$D$2497,"",0,1))</f>
        <v/>
      </c>
      <c r="AE2014" s="23" t="str">
        <f>IF($AC2014="","",_xlfn.XLOOKUP($AC2014,'Client Info'!$C$2:$C$2677,'Client Info'!$E$2:$E$2677,"",))</f>
        <v/>
      </c>
      <c r="AF2014" s="23" t="str">
        <f>IF($AC2014="","",_xlfn.XLOOKUP($AC2014,'Client Info'!$C$2:$C$2677,'Client Info'!$F$2:$F$2677,"",0,1))</f>
        <v/>
      </c>
      <c r="AG2014" s="23" t="str">
        <f>IF(ISBLANK(Table26[[#This Row],[customerSKU]]),"",_xlfn.XLOOKUP(Table26[[#This Row],[customerSKU]],Table27[customer_SKU],Table27[billto],"",0,1))</f>
        <v/>
      </c>
      <c r="AH2014" s="26" t="str">
        <f>_xlfn.XLOOKUP(Table26[[#This Row],[customerSKU]],customerSKU!G:G,customerSKU!K:K,"NA",0,1)</f>
        <v>NA</v>
      </c>
      <c r="AI2014" s="43" t="str">
        <f>_xlfn.XLOOKUP(Table26[[#This Row],[customerSKU]],customerSKU!G:G,customerSKU!O:O,"not found",0,1)</f>
        <v>not found</v>
      </c>
      <c r="AJ2014" s="22" t="e">
        <f>Table26[[#This Row],[unitprice]]*Table26[[#This Row],[quantity_unit]]</f>
        <v>#VALUE!</v>
      </c>
      <c r="AK2014" s="227" t="e" cm="1">
        <f t="array" ref="AK20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4" s="227"/>
    </row>
    <row r="2015" spans="1:38" ht="24.6" customHeight="1">
      <c r="A2015" s="42">
        <v>226</v>
      </c>
      <c r="B2015" s="42" t="s">
        <v>3520</v>
      </c>
      <c r="C2015" s="53" t="s">
        <v>3360</v>
      </c>
      <c r="D2015" s="20">
        <v>45848</v>
      </c>
      <c r="E2015" s="20"/>
      <c r="F20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5" s="93"/>
      <c r="I2015" s="203">
        <v>45835</v>
      </c>
      <c r="J2015" s="90" t="str">
        <f>IF(Table26[[#This Row],[customerSKU]]="","",_xlfn.XLOOKUP(Table26[[#This Row],[customerSKU]],customerSKU!G:G,customerSKU!A:A,"",0,1))</f>
        <v/>
      </c>
      <c r="K2015" s="20">
        <v>45848</v>
      </c>
      <c r="L2015" s="49" t="str">
        <f>IF(Table26[[#This Row],[customerSKU]]="","",_xlfn.XLOOKUP(Table26[[#This Row],[customerSKU]],customerSKU!G:G,customerSKU!B:B,"",0,1))</f>
        <v/>
      </c>
      <c r="M2015" s="22"/>
      <c r="N2015" s="15" t="str">
        <f>Table26[[#This Row],[po_number]]&amp;"-"&amp;Table26[[#This Row],[po_line]]</f>
        <v>-1</v>
      </c>
      <c r="O2015" s="15">
        <v>1</v>
      </c>
      <c r="P2015" s="50"/>
      <c r="Q2015" s="22" t="s">
        <v>1811</v>
      </c>
      <c r="R2015" s="22" t="s">
        <v>532</v>
      </c>
      <c r="S2015" s="90" t="str">
        <f>IF(Table26[[#This Row],[customerSKU]]="","",_xlfn.XLOOKUP(Table26[[#This Row],[customerSKU]],customerSKU!G:G,customerSKU!N:N,"NOT FOUND",0,1))</f>
        <v>NOT FOUND</v>
      </c>
      <c r="T2015" s="20">
        <v>45805</v>
      </c>
      <c r="U2015" s="94">
        <v>12</v>
      </c>
      <c r="V2015" s="22" t="str">
        <f>IF(ISBLANK(Table26[[#This Row],[customerSKU]]),"",_xlfn.XLOOKUP(Table26[[#This Row],[customerSKU]],Table27[customer_SKU],Table27[case_size],"",0,1))</f>
        <v/>
      </c>
      <c r="W2015" s="117" t="str">
        <f t="shared" si="81"/>
        <v/>
      </c>
      <c r="X2015" s="22" t="str">
        <f t="shared" si="80"/>
        <v/>
      </c>
      <c r="Y2015" s="25" t="str">
        <f>IF(Table26[[#This Row],[customerSKU]]="","",_xlfn.XLOOKUP(Table26[[#This Row],[customerSKU]],Table27[customer_SKU],Table27[product_GTIN],"",0,1))</f>
        <v/>
      </c>
      <c r="Z2015" s="25" t="s">
        <v>3613</v>
      </c>
      <c r="AA2015" s="18" t="str" cm="1">
        <f t="array" ref="AA2015">IF(P2015="", "", _xlfn.XLOOKUP(P2015,#REF!,#REF!,NA,0,-1))</f>
        <v/>
      </c>
      <c r="AB2015" s="22"/>
      <c r="AC2015" s="23" t="str">
        <f>IF(Table26[[#This Row],[customerSKU]]="","",_xlfn.XLOOKUP(Table26[[#This Row],[customerSKU]],customerSKU!G:G,customerSKU!C:C,"",0,1))</f>
        <v/>
      </c>
      <c r="AD2015" s="23" t="str">
        <f>IF($AC2015="","",_xlfn.XLOOKUP($AC2015,'Client Info'!$C$2:$C$2497,'Client Info'!$D$2:$D$2497,"",0,1))</f>
        <v/>
      </c>
      <c r="AE2015" s="23" t="str">
        <f>IF($AC2015="","",_xlfn.XLOOKUP($AC2015,'Client Info'!$C$2:$C$2677,'Client Info'!$E$2:$E$2677,"",))</f>
        <v/>
      </c>
      <c r="AF2015" s="23" t="str">
        <f>IF($AC2015="","",_xlfn.XLOOKUP($AC2015,'Client Info'!$C$2:$C$2677,'Client Info'!$F$2:$F$2677,"",0,1))</f>
        <v/>
      </c>
      <c r="AG2015" s="23" t="str">
        <f>IF(ISBLANK(Table26[[#This Row],[customerSKU]]),"",_xlfn.XLOOKUP(Table26[[#This Row],[customerSKU]],Table27[customer_SKU],Table27[billto],"",0,1))</f>
        <v/>
      </c>
      <c r="AH2015" s="26" t="str">
        <f>_xlfn.XLOOKUP(Table26[[#This Row],[customerSKU]],customerSKU!G:G,customerSKU!K:K,"NA",0,1)</f>
        <v>NA</v>
      </c>
      <c r="AI2015" s="43" t="str">
        <f>_xlfn.XLOOKUP(Table26[[#This Row],[customerSKU]],customerSKU!G:G,customerSKU!O:O,"not found",0,1)</f>
        <v>not found</v>
      </c>
      <c r="AJ2015" s="22" t="e">
        <f>Table26[[#This Row],[unitprice]]*Table26[[#This Row],[quantity_unit]]</f>
        <v>#VALUE!</v>
      </c>
      <c r="AK2015" s="227" t="e" cm="1">
        <f t="array" ref="AK20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5" s="227"/>
    </row>
    <row r="2016" spans="1:38" ht="24.6" customHeight="1">
      <c r="A2016" s="42">
        <v>227</v>
      </c>
      <c r="B2016" s="42" t="s">
        <v>3520</v>
      </c>
      <c r="C2016" s="53" t="s">
        <v>3488</v>
      </c>
      <c r="E2016" s="20"/>
      <c r="F20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6" s="93"/>
      <c r="I2016" s="203">
        <v>45838</v>
      </c>
      <c r="J2016" s="90" t="str">
        <f>IF(Table26[[#This Row],[customerSKU]]="","",_xlfn.XLOOKUP(Table26[[#This Row],[customerSKU]],customerSKU!G:G,customerSKU!A:A,"",0,1))</f>
        <v/>
      </c>
      <c r="K2016" s="19">
        <v>45848</v>
      </c>
      <c r="L2016" s="49" t="str">
        <f>IF(Table26[[#This Row],[customerSKU]]="","",_xlfn.XLOOKUP(Table26[[#This Row],[customerSKU]],customerSKU!G:G,customerSKU!B:B,"",0,1))</f>
        <v/>
      </c>
      <c r="M2016" s="22"/>
      <c r="N2016" s="15" t="str">
        <f>Table26[[#This Row],[po_number]]&amp;"-"&amp;Table26[[#This Row],[po_line]]</f>
        <v>-1</v>
      </c>
      <c r="O2016" s="15">
        <v>1</v>
      </c>
      <c r="P2016" s="50"/>
      <c r="Q2016" s="22" t="s">
        <v>934</v>
      </c>
      <c r="S2016" s="90" t="str">
        <f>IF(Table26[[#This Row],[customerSKU]]="","",_xlfn.XLOOKUP(Table26[[#This Row],[customerSKU]],customerSKU!G:G,customerSKU!N:N,"NOT FOUND",0,1))</f>
        <v>NOT FOUND</v>
      </c>
      <c r="T2016" s="20">
        <v>45848</v>
      </c>
      <c r="U2016" s="94">
        <v>12</v>
      </c>
      <c r="V2016" s="22" t="str">
        <f>IF(ISBLANK(Table26[[#This Row],[customerSKU]]),"",_xlfn.XLOOKUP(Table26[[#This Row],[customerSKU]],Table27[customer_SKU],Table27[case_size],"",0,1))</f>
        <v/>
      </c>
      <c r="W2016" s="117" t="str">
        <f t="shared" si="81"/>
        <v/>
      </c>
      <c r="X2016" s="22" t="str">
        <f t="shared" si="80"/>
        <v/>
      </c>
      <c r="Y2016" s="25" t="str">
        <f>IF(Table26[[#This Row],[customerSKU]]="","",_xlfn.XLOOKUP(Table26[[#This Row],[customerSKU]],Table27[customer_SKU],Table27[product_GTIN],"",0,1))</f>
        <v/>
      </c>
      <c r="Z2016" s="25" t="s">
        <v>3547</v>
      </c>
      <c r="AA2016" s="18" t="str" cm="1">
        <f t="array" ref="AA2016">IF(P2016="", "", _xlfn.XLOOKUP(P2016,#REF!,#REF!,NA,0,-1))</f>
        <v/>
      </c>
      <c r="AB2016" s="22"/>
      <c r="AC2016" s="23" t="s">
        <v>68</v>
      </c>
      <c r="AD2016" s="23" t="str">
        <f>IF($AC2016="","",_xlfn.XLOOKUP($AC2016,'Client Info'!$C$2:$C$2497,'Client Info'!$D$2:$D$2497,"",0,1))</f>
        <v/>
      </c>
      <c r="AE2016" s="23" t="str">
        <f>IF($AC2016="","",_xlfn.XLOOKUP($AC2016,'Client Info'!$C$2:$C$2677,'Client Info'!$E$2:$E$2677,"",))</f>
        <v/>
      </c>
      <c r="AF2016" s="23" t="str">
        <f>IF($AC2016="","",_xlfn.XLOOKUP($AC2016,'Client Info'!$C$2:$C$2677,'Client Info'!$F$2:$F$2677,"",0,1))</f>
        <v/>
      </c>
      <c r="AG2016" s="23" t="s">
        <v>68</v>
      </c>
      <c r="AH2016" s="26" t="str">
        <f>_xlfn.XLOOKUP(Table26[[#This Row],[customerSKU]],customerSKU!G:G,customerSKU!K:K,"NA",0,1)</f>
        <v>NA</v>
      </c>
      <c r="AI2016" s="43" t="str">
        <f>_xlfn.XLOOKUP(Table26[[#This Row],[customerSKU]],customerSKU!G:G,customerSKU!O:O,"not found",0,1)</f>
        <v>not found</v>
      </c>
      <c r="AJ2016" s="22" t="e">
        <f>Table26[[#This Row],[unitprice]]*Table26[[#This Row],[quantity_unit]]</f>
        <v>#VALUE!</v>
      </c>
      <c r="AK2016" s="227" t="e" cm="1">
        <f t="array" ref="AK20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6" s="227"/>
    </row>
    <row r="2017" spans="1:38" ht="24.6" customHeight="1">
      <c r="A2017" s="42">
        <v>228</v>
      </c>
      <c r="B2017" s="42" t="s">
        <v>3520</v>
      </c>
      <c r="C2017" s="53" t="s">
        <v>3488</v>
      </c>
      <c r="E2017" s="20"/>
      <c r="F20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7" s="93"/>
      <c r="I2017" s="203">
        <v>45847</v>
      </c>
      <c r="J2017" s="90" t="str">
        <f>IF(Table26[[#This Row],[customerSKU]]="","",_xlfn.XLOOKUP(Table26[[#This Row],[customerSKU]],customerSKU!G:G,customerSKU!A:A,"",0,1))</f>
        <v/>
      </c>
      <c r="K2017" s="19">
        <v>45848</v>
      </c>
      <c r="L2017" s="49" t="str">
        <f>IF(Table26[[#This Row],[customerSKU]]="","",_xlfn.XLOOKUP(Table26[[#This Row],[customerSKU]],customerSKU!G:G,customerSKU!B:B,"",0,1))</f>
        <v/>
      </c>
      <c r="M2017" s="22"/>
      <c r="N2017" s="15" t="str">
        <f>Table26[[#This Row],[po_number]]&amp;"-"&amp;Table26[[#This Row],[po_line]]</f>
        <v>-1</v>
      </c>
      <c r="O2017" s="15">
        <v>1</v>
      </c>
      <c r="P2017" s="50"/>
      <c r="Q2017" s="22" t="s">
        <v>3548</v>
      </c>
      <c r="S2017" s="90" t="str">
        <f>IF(Table26[[#This Row],[customerSKU]]="","",_xlfn.XLOOKUP(Table26[[#This Row],[customerSKU]],customerSKU!G:G,customerSKU!N:N,"NOT FOUND",0,1))</f>
        <v>NOT FOUND</v>
      </c>
      <c r="T2017" s="20">
        <v>45777</v>
      </c>
      <c r="U2017" s="94">
        <v>12</v>
      </c>
      <c r="V2017" s="22" t="str">
        <f>IF(ISBLANK(Table26[[#This Row],[customerSKU]]),"",_xlfn.XLOOKUP(Table26[[#This Row],[customerSKU]],Table27[customer_SKU],Table27[case_size],"",0,1))</f>
        <v/>
      </c>
      <c r="W2017" s="117" t="str">
        <f t="shared" si="81"/>
        <v/>
      </c>
      <c r="X2017" s="22" t="str">
        <f t="shared" si="80"/>
        <v/>
      </c>
      <c r="Y2017" s="25" t="str">
        <f>IF(Table26[[#This Row],[customerSKU]]="","",_xlfn.XLOOKUP(Table26[[#This Row],[customerSKU]],Table27[customer_SKU],Table27[product_GTIN],"",0,1))</f>
        <v/>
      </c>
      <c r="Z2017" s="25" t="s">
        <v>3549</v>
      </c>
      <c r="AA2017" s="18" t="str" cm="1">
        <f t="array" ref="AA2017">IF(P2017="", "", _xlfn.XLOOKUP(P2017,#REF!,#REF!,NA,0,-1))</f>
        <v/>
      </c>
      <c r="AB2017" s="22"/>
      <c r="AC2017" s="23" t="s">
        <v>104</v>
      </c>
      <c r="AD2017" s="23" t="str">
        <f>IF($AC2017="","",_xlfn.XLOOKUP($AC2017,'Client Info'!$C$2:$C$2497,'Client Info'!$D$2:$D$2497,"",0,1))</f>
        <v/>
      </c>
      <c r="AE2017" s="23" t="str">
        <f>IF($AC2017="","",_xlfn.XLOOKUP($AC2017,'Client Info'!$C$2:$C$2677,'Client Info'!$E$2:$E$2677,"",))</f>
        <v/>
      </c>
      <c r="AF2017" s="23" t="str">
        <f>IF($AC2017="","",_xlfn.XLOOKUP($AC2017,'Client Info'!$C$2:$C$2677,'Client Info'!$F$2:$F$2677,"",0,1))</f>
        <v/>
      </c>
      <c r="AG2017" s="23" t="str">
        <f>IF(ISBLANK(Table26[[#This Row],[customerSKU]]),"",_xlfn.XLOOKUP(Table26[[#This Row],[customerSKU]],Table27[customer_SKU],Table27[billto],"",0,1))</f>
        <v/>
      </c>
      <c r="AH2017" s="26" t="str">
        <f>_xlfn.XLOOKUP(Table26[[#This Row],[customerSKU]],customerSKU!G:G,customerSKU!K:K,"NA",0,1)</f>
        <v>NA</v>
      </c>
      <c r="AI2017" s="43" t="str">
        <f>_xlfn.XLOOKUP(Table26[[#This Row],[customerSKU]],customerSKU!G:G,customerSKU!O:O,"not found",0,1)</f>
        <v>not found</v>
      </c>
      <c r="AJ2017" s="22" t="e">
        <f>Table26[[#This Row],[unitprice]]*Table26[[#This Row],[quantity_unit]]</f>
        <v>#VALUE!</v>
      </c>
      <c r="AK2017" s="227" t="e" cm="1">
        <f t="array" ref="AK20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7" s="227"/>
    </row>
    <row r="2018" spans="1:38" ht="15.45" customHeight="1">
      <c r="A2018" s="42">
        <v>229</v>
      </c>
      <c r="B2018" s="42" t="s">
        <v>3520</v>
      </c>
      <c r="C2018" s="53" t="s">
        <v>3488</v>
      </c>
      <c r="E2018" s="20"/>
      <c r="F20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8" s="93"/>
      <c r="I2018" s="203">
        <v>45847</v>
      </c>
      <c r="J2018" s="90" t="str">
        <f>IF(Table26[[#This Row],[customerSKU]]="","",_xlfn.XLOOKUP(Table26[[#This Row],[customerSKU]],customerSKU!G:G,customerSKU!A:A,"",0,1))</f>
        <v/>
      </c>
      <c r="K2018" s="19">
        <v>45848</v>
      </c>
      <c r="L2018" s="49" t="str">
        <f>IF(Table26[[#This Row],[customerSKU]]="","",_xlfn.XLOOKUP(Table26[[#This Row],[customerSKU]],customerSKU!G:G,customerSKU!B:B,"",0,1))</f>
        <v/>
      </c>
      <c r="M2018" s="22"/>
      <c r="N2018" s="15" t="str">
        <f>Table26[[#This Row],[po_number]]&amp;"-"&amp;Table26[[#This Row],[po_line]]</f>
        <v>-2</v>
      </c>
      <c r="O2018" s="15">
        <v>2</v>
      </c>
      <c r="P2018" s="50"/>
      <c r="Q2018" s="22" t="s">
        <v>574</v>
      </c>
      <c r="R2018" s="22" t="s">
        <v>532</v>
      </c>
      <c r="S2018" s="90" t="str">
        <f>IF(Table26[[#This Row],[customerSKU]]="","",_xlfn.XLOOKUP(Table26[[#This Row],[customerSKU]],customerSKU!G:G,customerSKU!N:N,"NOT FOUND",0,1))</f>
        <v>NOT FOUND</v>
      </c>
      <c r="T2018" s="20">
        <v>45848</v>
      </c>
      <c r="U2018" s="94">
        <v>132</v>
      </c>
      <c r="V2018" s="22" t="str">
        <f>IF(ISBLANK(Table26[[#This Row],[customerSKU]]),"",_xlfn.XLOOKUP(Table26[[#This Row],[customerSKU]],Table27[customer_SKU],Table27[case_size],"",0,1))</f>
        <v/>
      </c>
      <c r="W2018" s="117" t="str">
        <f t="shared" si="81"/>
        <v/>
      </c>
      <c r="X2018" s="22" t="str">
        <f t="shared" si="80"/>
        <v/>
      </c>
      <c r="Y2018" s="25" t="str">
        <f>IF(Table26[[#This Row],[customerSKU]]="","",_xlfn.XLOOKUP(Table26[[#This Row],[customerSKU]],Table27[customer_SKU],Table27[product_GTIN],"",0,1))</f>
        <v/>
      </c>
      <c r="Z2018" s="25" t="s">
        <v>3530</v>
      </c>
      <c r="AA2018" s="18" t="str" cm="1">
        <f t="array" ref="AA2018">IF(P2018="", "", _xlfn.XLOOKUP(P2018,#REF!,#REF!,NA,0,-1))</f>
        <v/>
      </c>
      <c r="AB2018" s="22"/>
      <c r="AC2018" s="23" t="s">
        <v>104</v>
      </c>
      <c r="AD2018" s="23" t="str">
        <f>IF($AC2018="","",_xlfn.XLOOKUP($AC2018,'Client Info'!$C$2:$C$2497,'Client Info'!$D$2:$D$2497,"",0,1))</f>
        <v/>
      </c>
      <c r="AE2018" s="23" t="str">
        <f>IF($AC2018="","",_xlfn.XLOOKUP($AC2018,'Client Info'!$C$2:$C$2677,'Client Info'!$E$2:$E$2677,"",))</f>
        <v/>
      </c>
      <c r="AF2018" s="23" t="str">
        <f>IF($AC2018="","",_xlfn.XLOOKUP($AC2018,'Client Info'!$C$2:$C$2677,'Client Info'!$F$2:$F$2677,"",0,1))</f>
        <v/>
      </c>
      <c r="AG2018" s="23" t="str">
        <f>IF(ISBLANK(Table26[[#This Row],[customerSKU]]),"",_xlfn.XLOOKUP(Table26[[#This Row],[customerSKU]],Table27[customer_SKU],Table27[billto],"",0,1))</f>
        <v/>
      </c>
      <c r="AH2018" s="26" t="str">
        <f>_xlfn.XLOOKUP(Table26[[#This Row],[customerSKU]],customerSKU!G:G,customerSKU!K:K,"NA",0,1)</f>
        <v>NA</v>
      </c>
      <c r="AI2018" s="43" t="str">
        <f>_xlfn.XLOOKUP(Table26[[#This Row],[customerSKU]],customerSKU!G:G,customerSKU!O:O,"not found",0,1)</f>
        <v>not found</v>
      </c>
      <c r="AJ2018" s="22" t="e">
        <f>Table26[[#This Row],[unitprice]]*Table26[[#This Row],[quantity_unit]]</f>
        <v>#VALUE!</v>
      </c>
      <c r="AK2018" s="227" t="e" cm="1">
        <f t="array" ref="AK20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8" s="227"/>
    </row>
    <row r="2019" spans="1:38" ht="15.45" customHeight="1">
      <c r="A2019" s="42">
        <v>230</v>
      </c>
      <c r="B2019" s="42" t="s">
        <v>3520</v>
      </c>
      <c r="C2019" s="53" t="s">
        <v>3488</v>
      </c>
      <c r="E2019" s="20"/>
      <c r="F20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19" s="93"/>
      <c r="I2019" s="203">
        <v>45847</v>
      </c>
      <c r="J2019" s="90" t="str">
        <f>IF(Table26[[#This Row],[customerSKU]]="","",_xlfn.XLOOKUP(Table26[[#This Row],[customerSKU]],customerSKU!G:G,customerSKU!A:A,"",0,1))</f>
        <v/>
      </c>
      <c r="K2019" s="19">
        <v>45848</v>
      </c>
      <c r="L2019" s="49" t="str">
        <f>IF(Table26[[#This Row],[customerSKU]]="","",_xlfn.XLOOKUP(Table26[[#This Row],[customerSKU]],customerSKU!G:G,customerSKU!B:B,"",0,1))</f>
        <v/>
      </c>
      <c r="M2019" s="22"/>
      <c r="N2019" s="15" t="str">
        <f>Table26[[#This Row],[po_number]]&amp;"-"&amp;Table26[[#This Row],[po_line]]</f>
        <v>-3</v>
      </c>
      <c r="O2019" s="15">
        <v>3</v>
      </c>
      <c r="P2019" s="50"/>
      <c r="Q2019" s="22" t="s">
        <v>1823</v>
      </c>
      <c r="R2019" s="22" t="s">
        <v>532</v>
      </c>
      <c r="S2019" s="90" t="str">
        <f>IF(Table26[[#This Row],[customerSKU]]="","",_xlfn.XLOOKUP(Table26[[#This Row],[customerSKU]],customerSKU!G:G,customerSKU!N:N,"NOT FOUND",0,1))</f>
        <v>NOT FOUND</v>
      </c>
      <c r="T2019" s="20">
        <v>45821</v>
      </c>
      <c r="U2019" s="94">
        <v>24</v>
      </c>
      <c r="V2019" s="22" t="str">
        <f>IF(ISBLANK(Table26[[#This Row],[customerSKU]]),"",_xlfn.XLOOKUP(Table26[[#This Row],[customerSKU]],Table27[customer_SKU],Table27[case_size],"",0,1))</f>
        <v/>
      </c>
      <c r="W2019" s="117" t="str">
        <f t="shared" si="81"/>
        <v/>
      </c>
      <c r="X2019" s="22" t="str">
        <f t="shared" si="80"/>
        <v/>
      </c>
      <c r="Y2019" s="25" t="str">
        <f>IF(Table26[[#This Row],[customerSKU]]="","",_xlfn.XLOOKUP(Table26[[#This Row],[customerSKU]],Table27[customer_SKU],Table27[product_GTIN],"",0,1))</f>
        <v/>
      </c>
      <c r="Z2019" s="25" t="s">
        <v>3690</v>
      </c>
      <c r="AA2019" s="18" t="str" cm="1">
        <f t="array" ref="AA2019">IF(P2019="", "", _xlfn.XLOOKUP(P2019,#REF!,#REF!,NA,0,-1))</f>
        <v/>
      </c>
      <c r="AB2019" s="22"/>
      <c r="AC2019" s="23" t="s">
        <v>104</v>
      </c>
      <c r="AD2019" s="23" t="str">
        <f>IF($AC2019="","",_xlfn.XLOOKUP($AC2019,'Client Info'!$C$2:$C$2497,'Client Info'!$D$2:$D$2497,"",0,1))</f>
        <v/>
      </c>
      <c r="AE2019" s="23" t="str">
        <f>IF($AC2019="","",_xlfn.XLOOKUP($AC2019,'Client Info'!$C$2:$C$2677,'Client Info'!$E$2:$E$2677,"",))</f>
        <v/>
      </c>
      <c r="AF2019" s="23" t="str">
        <f>IF($AC2019="","",_xlfn.XLOOKUP($AC2019,'Client Info'!$C$2:$C$2677,'Client Info'!$F$2:$F$2677,"",0,1))</f>
        <v/>
      </c>
      <c r="AG2019" s="23" t="str">
        <f>IF(ISBLANK(Table26[[#This Row],[customerSKU]]),"",_xlfn.XLOOKUP(Table26[[#This Row],[customerSKU]],Table27[customer_SKU],Table27[billto],"",0,1))</f>
        <v/>
      </c>
      <c r="AH2019" s="26" t="str">
        <f>_xlfn.XLOOKUP(Table26[[#This Row],[customerSKU]],customerSKU!G:G,customerSKU!K:K,"NA",0,1)</f>
        <v>NA</v>
      </c>
      <c r="AI2019" s="43" t="str">
        <f>_xlfn.XLOOKUP(Table26[[#This Row],[customerSKU]],customerSKU!G:G,customerSKU!O:O,"not found",0,1)</f>
        <v>not found</v>
      </c>
      <c r="AJ2019" s="22" t="e">
        <f>Table26[[#This Row],[unitprice]]*Table26[[#This Row],[quantity_unit]]</f>
        <v>#VALUE!</v>
      </c>
      <c r="AK2019" s="227" t="e" cm="1">
        <f t="array" ref="AK20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19" s="227"/>
    </row>
    <row r="2020" spans="1:38" ht="15.45" customHeight="1">
      <c r="A2020" s="42">
        <v>231</v>
      </c>
      <c r="B2020" s="42" t="s">
        <v>3520</v>
      </c>
      <c r="C2020" s="53" t="s">
        <v>3488</v>
      </c>
      <c r="E2020" s="20"/>
      <c r="F20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0" s="93"/>
      <c r="I2020" s="203">
        <v>45847</v>
      </c>
      <c r="J2020" s="90" t="str">
        <f>IF(Table26[[#This Row],[customerSKU]]="","",_xlfn.XLOOKUP(Table26[[#This Row],[customerSKU]],customerSKU!G:G,customerSKU!A:A,"",0,1))</f>
        <v/>
      </c>
      <c r="K2020" s="19">
        <v>45848</v>
      </c>
      <c r="L2020" s="49" t="str">
        <f>IF(Table26[[#This Row],[customerSKU]]="","",_xlfn.XLOOKUP(Table26[[#This Row],[customerSKU]],customerSKU!G:G,customerSKU!B:B,"",0,1))</f>
        <v/>
      </c>
      <c r="M2020" s="22"/>
      <c r="N2020" s="15" t="str">
        <f>Table26[[#This Row],[po_number]]&amp;"-"&amp;Table26[[#This Row],[po_line]]</f>
        <v>-4</v>
      </c>
      <c r="O2020" s="15">
        <v>4</v>
      </c>
      <c r="P2020" s="50"/>
      <c r="Q2020" s="22" t="s">
        <v>1306</v>
      </c>
      <c r="R2020" s="22" t="s">
        <v>532</v>
      </c>
      <c r="S2020" s="90" t="str">
        <f>IF(Table26[[#This Row],[customerSKU]]="","",_xlfn.XLOOKUP(Table26[[#This Row],[customerSKU]],customerSKU!G:G,customerSKU!N:N,"NOT FOUND",0,1))</f>
        <v>NOT FOUND</v>
      </c>
      <c r="T2020" s="20">
        <v>45576</v>
      </c>
      <c r="U2020" s="94">
        <v>12</v>
      </c>
      <c r="V2020" s="22" t="str">
        <f>IF(ISBLANK(Table26[[#This Row],[customerSKU]]),"",_xlfn.XLOOKUP(Table26[[#This Row],[customerSKU]],Table27[customer_SKU],Table27[case_size],"",0,1))</f>
        <v/>
      </c>
      <c r="W2020" s="117" t="str">
        <f t="shared" si="81"/>
        <v/>
      </c>
      <c r="X2020" s="22" t="str">
        <f t="shared" si="80"/>
        <v/>
      </c>
      <c r="Y2020" s="25" t="str">
        <f>IF(Table26[[#This Row],[customerSKU]]="","",_xlfn.XLOOKUP(Table26[[#This Row],[customerSKU]],Table27[customer_SKU],Table27[product_GTIN],"",0,1))</f>
        <v/>
      </c>
      <c r="Z2020" s="25" t="s">
        <v>3727</v>
      </c>
      <c r="AA2020" s="18" t="str" cm="1">
        <f t="array" ref="AA2020">IF(P2020="", "", _xlfn.XLOOKUP(P2020,#REF!,#REF!,NA,0,-1))</f>
        <v/>
      </c>
      <c r="AB2020" s="22"/>
      <c r="AC2020" s="23" t="s">
        <v>104</v>
      </c>
      <c r="AD2020" s="23" t="str">
        <f>IF($AC2020="","",_xlfn.XLOOKUP($AC2020,'Client Info'!$C$2:$C$2497,'Client Info'!$D$2:$D$2497,"",0,1))</f>
        <v/>
      </c>
      <c r="AE2020" s="23" t="str">
        <f>IF($AC2020="","",_xlfn.XLOOKUP($AC2020,'Client Info'!$C$2:$C$2677,'Client Info'!$E$2:$E$2677,"",))</f>
        <v/>
      </c>
      <c r="AF2020" s="23" t="str">
        <f>IF($AC2020="","",_xlfn.XLOOKUP($AC2020,'Client Info'!$C$2:$C$2677,'Client Info'!$F$2:$F$2677,"",0,1))</f>
        <v/>
      </c>
      <c r="AG2020" s="23" t="str">
        <f>IF(ISBLANK(Table26[[#This Row],[customerSKU]]),"",_xlfn.XLOOKUP(Table26[[#This Row],[customerSKU]],Table27[customer_SKU],Table27[billto],"",0,1))</f>
        <v/>
      </c>
      <c r="AH2020" s="26" t="str">
        <f>_xlfn.XLOOKUP(Table26[[#This Row],[customerSKU]],customerSKU!G:G,customerSKU!K:K,"NA",0,1)</f>
        <v>NA</v>
      </c>
      <c r="AI2020" s="43" t="str">
        <f>_xlfn.XLOOKUP(Table26[[#This Row],[customerSKU]],customerSKU!G:G,customerSKU!O:O,"not found",0,1)</f>
        <v>not found</v>
      </c>
      <c r="AJ2020" s="22" t="e">
        <f>Table26[[#This Row],[unitprice]]*Table26[[#This Row],[quantity_unit]]</f>
        <v>#VALUE!</v>
      </c>
      <c r="AK2020" s="227" t="e" cm="1">
        <f t="array" ref="AK20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0" s="227"/>
    </row>
    <row r="2021" spans="1:38" ht="24.6" customHeight="1">
      <c r="A2021" s="42">
        <v>232</v>
      </c>
      <c r="B2021" s="42" t="s">
        <v>3520</v>
      </c>
      <c r="C2021" s="53" t="s">
        <v>3488</v>
      </c>
      <c r="E2021" s="20"/>
      <c r="F20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1" s="93"/>
      <c r="I2021" s="203">
        <v>45847</v>
      </c>
      <c r="J2021" s="90" t="str">
        <f>IF(Table26[[#This Row],[customerSKU]]="","",_xlfn.XLOOKUP(Table26[[#This Row],[customerSKU]],customerSKU!G:G,customerSKU!A:A,"",0,1))</f>
        <v/>
      </c>
      <c r="K2021" s="19">
        <v>45848</v>
      </c>
      <c r="L2021" s="49" t="str">
        <f>IF(Table26[[#This Row],[customerSKU]]="","",_xlfn.XLOOKUP(Table26[[#This Row],[customerSKU]],customerSKU!G:G,customerSKU!B:B,"",0,1))</f>
        <v/>
      </c>
      <c r="M2021" s="22"/>
      <c r="N2021" s="15" t="str">
        <f>Table26[[#This Row],[po_number]]&amp;"-"&amp;Table26[[#This Row],[po_line]]</f>
        <v>-5</v>
      </c>
      <c r="O2021" s="15">
        <v>5</v>
      </c>
      <c r="P2021" s="50"/>
      <c r="Q2021" s="22" t="s">
        <v>3362</v>
      </c>
      <c r="R2021" s="22" t="s">
        <v>532</v>
      </c>
      <c r="S2021" s="90" t="str">
        <f>IF(Table26[[#This Row],[customerSKU]]="","",_xlfn.XLOOKUP(Table26[[#This Row],[customerSKU]],customerSKU!G:G,customerSKU!N:N,"NOT FOUND",0,1))</f>
        <v>NOT FOUND</v>
      </c>
      <c r="T2021" s="20">
        <v>45624</v>
      </c>
      <c r="U2021" s="94">
        <v>12</v>
      </c>
      <c r="V2021" s="22" t="str">
        <f>IF(ISBLANK(Table26[[#This Row],[customerSKU]]),"",_xlfn.XLOOKUP(Table26[[#This Row],[customerSKU]],Table27[customer_SKU],Table27[case_size],"",0,1))</f>
        <v/>
      </c>
      <c r="W2021" s="117" t="str">
        <f t="shared" si="81"/>
        <v/>
      </c>
      <c r="X2021" s="22" t="str">
        <f t="shared" si="80"/>
        <v/>
      </c>
      <c r="Y2021" s="25" t="str">
        <f>IF(Table26[[#This Row],[customerSKU]]="","",_xlfn.XLOOKUP(Table26[[#This Row],[customerSKU]],Table27[customer_SKU],Table27[product_GTIN],"",0,1))</f>
        <v/>
      </c>
      <c r="Z2021" s="25" t="s">
        <v>3728</v>
      </c>
      <c r="AA2021" s="18" t="str" cm="1">
        <f t="array" ref="AA2021">IF(P2021="", "", _xlfn.XLOOKUP(P2021,#REF!,#REF!,NA,0,-1))</f>
        <v/>
      </c>
      <c r="AB2021" s="22"/>
      <c r="AC2021" s="23" t="s">
        <v>104</v>
      </c>
      <c r="AD2021" s="23" t="str">
        <f>IF($AC2021="","",_xlfn.XLOOKUP($AC2021,'Client Info'!$C$2:$C$2497,'Client Info'!$D$2:$D$2497,"",0,1))</f>
        <v/>
      </c>
      <c r="AE2021" s="23" t="str">
        <f>IF($AC2021="","",_xlfn.XLOOKUP($AC2021,'Client Info'!$C$2:$C$2677,'Client Info'!$E$2:$E$2677,"",))</f>
        <v/>
      </c>
      <c r="AF2021" s="23" t="str">
        <f>IF($AC2021="","",_xlfn.XLOOKUP($AC2021,'Client Info'!$C$2:$C$2677,'Client Info'!$F$2:$F$2677,"",0,1))</f>
        <v/>
      </c>
      <c r="AG2021" s="23" t="str">
        <f>IF(ISBLANK(Table26[[#This Row],[customerSKU]]),"",_xlfn.XLOOKUP(Table26[[#This Row],[customerSKU]],Table27[customer_SKU],Table27[billto],"",0,1))</f>
        <v/>
      </c>
      <c r="AH2021" s="26" t="str">
        <f>_xlfn.XLOOKUP(Table26[[#This Row],[customerSKU]],customerSKU!G:G,customerSKU!K:K,"NA",0,1)</f>
        <v>NA</v>
      </c>
      <c r="AI2021" s="43" t="str">
        <f>_xlfn.XLOOKUP(Table26[[#This Row],[customerSKU]],customerSKU!G:G,customerSKU!O:O,"not found",0,1)</f>
        <v>not found</v>
      </c>
      <c r="AJ2021" s="22" t="e">
        <f>Table26[[#This Row],[unitprice]]*Table26[[#This Row],[quantity_unit]]</f>
        <v>#VALUE!</v>
      </c>
      <c r="AK2021" s="227" t="e" cm="1">
        <f t="array" ref="AK20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1" s="227"/>
    </row>
    <row r="2022" spans="1:38" ht="24.6" customHeight="1">
      <c r="A2022" s="42">
        <v>233</v>
      </c>
      <c r="B2022" s="42" t="s">
        <v>3520</v>
      </c>
      <c r="C2022" s="53" t="s">
        <v>3488</v>
      </c>
      <c r="E2022" s="20"/>
      <c r="F20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2" s="93"/>
      <c r="I2022" s="203">
        <v>45847</v>
      </c>
      <c r="J2022" s="90" t="str">
        <f>IF(Table26[[#This Row],[customerSKU]]="","",_xlfn.XLOOKUP(Table26[[#This Row],[customerSKU]],customerSKU!G:G,customerSKU!A:A,"",0,1))</f>
        <v/>
      </c>
      <c r="K2022" s="19">
        <v>45848</v>
      </c>
      <c r="L2022" s="49" t="str">
        <f>IF(Table26[[#This Row],[customerSKU]]="","",_xlfn.XLOOKUP(Table26[[#This Row],[customerSKU]],customerSKU!G:G,customerSKU!B:B,"",0,1))</f>
        <v/>
      </c>
      <c r="M2022" s="22"/>
      <c r="N2022" s="15" t="str">
        <f>Table26[[#This Row],[po_number]]&amp;"-"&amp;Table26[[#This Row],[po_line]]</f>
        <v>-6</v>
      </c>
      <c r="O2022" s="15">
        <v>6</v>
      </c>
      <c r="P2022" s="50"/>
      <c r="Q2022" s="22" t="s">
        <v>559</v>
      </c>
      <c r="R2022" s="22" t="s">
        <v>532</v>
      </c>
      <c r="S2022" s="90" t="str">
        <f>IF(Table26[[#This Row],[customerSKU]]="","",_xlfn.XLOOKUP(Table26[[#This Row],[customerSKU]],customerSKU!G:G,customerSKU!N:N,"NOT FOUND",0,1))</f>
        <v>NOT FOUND</v>
      </c>
      <c r="T2022" s="20">
        <v>45772</v>
      </c>
      <c r="U2022" s="94">
        <v>12</v>
      </c>
      <c r="V2022" s="22" t="str">
        <f>IF(ISBLANK(Table26[[#This Row],[customerSKU]]),"",_xlfn.XLOOKUP(Table26[[#This Row],[customerSKU]],Table27[customer_SKU],Table27[case_size],"",0,1))</f>
        <v/>
      </c>
      <c r="W2022" s="117" t="str">
        <f t="shared" si="81"/>
        <v/>
      </c>
      <c r="X2022" s="22" t="str">
        <f t="shared" si="80"/>
        <v/>
      </c>
      <c r="Y2022" s="25" t="str">
        <f>IF(Table26[[#This Row],[customerSKU]]="","",_xlfn.XLOOKUP(Table26[[#This Row],[customerSKU]],Table27[customer_SKU],Table27[product_GTIN],"",0,1))</f>
        <v/>
      </c>
      <c r="Z2022" s="25" t="s">
        <v>3527</v>
      </c>
      <c r="AA2022" s="18" t="str" cm="1">
        <f t="array" ref="AA2022">IF(P2022="", "", _xlfn.XLOOKUP(P2022,#REF!,#REF!,NA,0,-1))</f>
        <v/>
      </c>
      <c r="AB2022" s="22"/>
      <c r="AC2022" s="23" t="s">
        <v>104</v>
      </c>
      <c r="AD2022" s="23" t="str">
        <f>IF($AC2022="","",_xlfn.XLOOKUP($AC2022,'Client Info'!$C$2:$C$2497,'Client Info'!$D$2:$D$2497,"",0,1))</f>
        <v/>
      </c>
      <c r="AE2022" s="23" t="str">
        <f>IF($AC2022="","",_xlfn.XLOOKUP($AC2022,'Client Info'!$C$2:$C$2677,'Client Info'!$E$2:$E$2677,"",))</f>
        <v/>
      </c>
      <c r="AF2022" s="23" t="str">
        <f>IF($AC2022="","",_xlfn.XLOOKUP($AC2022,'Client Info'!$C$2:$C$2677,'Client Info'!$F$2:$F$2677,"",0,1))</f>
        <v/>
      </c>
      <c r="AG2022" s="23" t="str">
        <f>IF(ISBLANK(Table26[[#This Row],[customerSKU]]),"",_xlfn.XLOOKUP(Table26[[#This Row],[customerSKU]],Table27[customer_SKU],Table27[billto],"",0,1))</f>
        <v/>
      </c>
      <c r="AH2022" s="26" t="str">
        <f>_xlfn.XLOOKUP(Table26[[#This Row],[customerSKU]],customerSKU!G:G,customerSKU!K:K,"NA",0,1)</f>
        <v>NA</v>
      </c>
      <c r="AI2022" s="43" t="str">
        <f>_xlfn.XLOOKUP(Table26[[#This Row],[customerSKU]],customerSKU!G:G,customerSKU!O:O,"not found",0,1)</f>
        <v>not found</v>
      </c>
      <c r="AJ2022" s="22" t="e">
        <f>Table26[[#This Row],[unitprice]]*Table26[[#This Row],[quantity_unit]]</f>
        <v>#VALUE!</v>
      </c>
      <c r="AK2022" s="227" t="e" cm="1">
        <f t="array" ref="AK20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2" s="227"/>
    </row>
    <row r="2023" spans="1:38" ht="24.6" customHeight="1">
      <c r="A2023" s="42">
        <v>234</v>
      </c>
      <c r="B2023" s="42" t="s">
        <v>3520</v>
      </c>
      <c r="C2023" s="53" t="s">
        <v>203</v>
      </c>
      <c r="E2023" s="20"/>
      <c r="F20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3" s="93"/>
      <c r="I2023" s="203">
        <v>45848</v>
      </c>
      <c r="J2023" s="90" t="str">
        <f>IF(Table26[[#This Row],[customerSKU]]="","",_xlfn.XLOOKUP(Table26[[#This Row],[customerSKU]],customerSKU!G:G,customerSKU!A:A,"",0,1))</f>
        <v/>
      </c>
      <c r="K2023" s="203">
        <v>45848</v>
      </c>
      <c r="L2023" s="49" t="str">
        <f>IF(Table26[[#This Row],[customerSKU]]="","",_xlfn.XLOOKUP(Table26[[#This Row],[customerSKU]],customerSKU!G:G,customerSKU!B:B,"",0,1))</f>
        <v/>
      </c>
      <c r="M2023" s="22"/>
      <c r="N2023" s="15" t="str">
        <f>Table26[[#This Row],[po_number]]&amp;"-"&amp;Table26[[#This Row],[po_line]]</f>
        <v>-1</v>
      </c>
      <c r="O2023" s="15">
        <v>1</v>
      </c>
      <c r="P2023" s="50"/>
      <c r="Q2023" s="22" t="s">
        <v>1806</v>
      </c>
      <c r="R2023" s="22" t="s">
        <v>532</v>
      </c>
      <c r="S2023" s="90" t="str">
        <f>IF(Table26[[#This Row],[customerSKU]]="","",_xlfn.XLOOKUP(Table26[[#This Row],[customerSKU]],customerSKU!G:G,customerSKU!N:N,"NOT FOUND",0,1))</f>
        <v>NOT FOUND</v>
      </c>
      <c r="T2023" s="20">
        <v>45826</v>
      </c>
      <c r="U2023" s="94">
        <v>12</v>
      </c>
      <c r="V2023" s="22" t="str">
        <f>IF(ISBLANK(Table26[[#This Row],[customerSKU]]),"",_xlfn.XLOOKUP(Table26[[#This Row],[customerSKU]],Table27[customer_SKU],Table27[case_size],"",0,1))</f>
        <v/>
      </c>
      <c r="W2023" s="117" t="str">
        <f t="shared" si="81"/>
        <v/>
      </c>
      <c r="X2023" s="22" t="str">
        <f t="shared" si="80"/>
        <v/>
      </c>
      <c r="Y2023" s="25" t="str">
        <f>IF(Table26[[#This Row],[customerSKU]]="","",_xlfn.XLOOKUP(Table26[[#This Row],[customerSKU]],Table27[customer_SKU],Table27[product_GTIN],"",0,1))</f>
        <v/>
      </c>
      <c r="Z2023" s="25" t="s">
        <v>3519</v>
      </c>
      <c r="AA2023" s="18" t="str" cm="1">
        <f t="array" ref="AA2023">IF(P2023="", "", _xlfn.XLOOKUP(P2023,#REF!,#REF!,NA,0,-1))</f>
        <v/>
      </c>
      <c r="AB2023" s="22"/>
      <c r="AC2023" s="32" t="s">
        <v>3735</v>
      </c>
      <c r="AD2023" s="23" t="str">
        <f>IF($AC2023="","",_xlfn.XLOOKUP($AC2023,'Client Info'!$C$2:$C$2497,'Client Info'!$D$2:$D$2497,"",0,1))</f>
        <v/>
      </c>
      <c r="AE2023" s="23" t="str">
        <f>IF($AC2023="","",_xlfn.XLOOKUP($AC2023,'Client Info'!$C$2:$C$2677,'Client Info'!$E$2:$E$2677,"",))</f>
        <v/>
      </c>
      <c r="AF2023" s="23" t="str">
        <f>IF($AC2023="","",_xlfn.XLOOKUP($AC2023,'Client Info'!$C$2:$C$2677,'Client Info'!$F$2:$F$2677,"",0,1))</f>
        <v/>
      </c>
      <c r="AG2023" s="32" t="s">
        <v>3735</v>
      </c>
      <c r="AH2023" s="26" t="str">
        <f>_xlfn.XLOOKUP(Table26[[#This Row],[customerSKU]],customerSKU!G:G,customerSKU!K:K,"NA",0,1)</f>
        <v>NA</v>
      </c>
      <c r="AI2023" s="43" t="str">
        <f>_xlfn.XLOOKUP(Table26[[#This Row],[customerSKU]],customerSKU!G:G,customerSKU!O:O,"not found",0,1)</f>
        <v>not found</v>
      </c>
      <c r="AJ2023" s="22" t="e">
        <f>Table26[[#This Row],[unitprice]]*Table26[[#This Row],[quantity_unit]]</f>
        <v>#VALUE!</v>
      </c>
      <c r="AK2023" s="227" t="e" cm="1">
        <f t="array" ref="AK20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3" s="227"/>
    </row>
    <row r="2024" spans="1:38" ht="24.6" customHeight="1">
      <c r="A2024" s="42">
        <v>235</v>
      </c>
      <c r="B2024" s="42" t="s">
        <v>3520</v>
      </c>
      <c r="C2024" s="53" t="s">
        <v>203</v>
      </c>
      <c r="E2024" s="20"/>
      <c r="F20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4" s="93"/>
      <c r="I2024" s="203">
        <v>45848</v>
      </c>
      <c r="J2024" s="90" t="str">
        <f>IF(Table26[[#This Row],[customerSKU]]="","",_xlfn.XLOOKUP(Table26[[#This Row],[customerSKU]],customerSKU!G:G,customerSKU!A:A,"",0,1))</f>
        <v/>
      </c>
      <c r="K2024" s="203">
        <v>45848</v>
      </c>
      <c r="L2024" s="49" t="str">
        <f>IF(Table26[[#This Row],[customerSKU]]="","",_xlfn.XLOOKUP(Table26[[#This Row],[customerSKU]],customerSKU!G:G,customerSKU!B:B,"",0,1))</f>
        <v/>
      </c>
      <c r="M2024" s="22"/>
      <c r="N2024" s="15" t="str">
        <f>Table26[[#This Row],[po_number]]&amp;"-"&amp;Table26[[#This Row],[po_line]]</f>
        <v>-2</v>
      </c>
      <c r="O2024" s="15">
        <v>2</v>
      </c>
      <c r="P2024" s="50"/>
      <c r="Q2024" s="22" t="s">
        <v>1306</v>
      </c>
      <c r="R2024" s="22" t="s">
        <v>532</v>
      </c>
      <c r="S2024" s="90" t="str">
        <f>IF(Table26[[#This Row],[customerSKU]]="","",_xlfn.XLOOKUP(Table26[[#This Row],[customerSKU]],customerSKU!G:G,customerSKU!N:N,"NOT FOUND",0,1))</f>
        <v>NOT FOUND</v>
      </c>
      <c r="T2024" s="20">
        <v>45941</v>
      </c>
      <c r="U2024" s="94">
        <v>24</v>
      </c>
      <c r="V2024" s="22" t="str">
        <f>IF(ISBLANK(Table26[[#This Row],[customerSKU]]),"",_xlfn.XLOOKUP(Table26[[#This Row],[customerSKU]],Table27[customer_SKU],Table27[case_size],"",0,1))</f>
        <v/>
      </c>
      <c r="W2024" s="117" t="str">
        <f t="shared" si="81"/>
        <v/>
      </c>
      <c r="X2024" s="22" t="str">
        <f t="shared" si="80"/>
        <v/>
      </c>
      <c r="Y2024" s="25" t="str">
        <f>IF(Table26[[#This Row],[customerSKU]]="","",_xlfn.XLOOKUP(Table26[[#This Row],[customerSKU]],Table27[customer_SKU],Table27[product_GTIN],"",0,1))</f>
        <v/>
      </c>
      <c r="Z2024" s="25" t="s">
        <v>3727</v>
      </c>
      <c r="AA2024" s="18" t="str" cm="1">
        <f t="array" ref="AA2024">IF(P2024="", "", _xlfn.XLOOKUP(P2024,#REF!,#REF!,NA,0,-1))</f>
        <v/>
      </c>
      <c r="AB2024" s="22"/>
      <c r="AC2024" s="32" t="s">
        <v>3735</v>
      </c>
      <c r="AD2024" s="23" t="str">
        <f>IF($AC2024="","",_xlfn.XLOOKUP($AC2024,'Client Info'!$C$2:$C$2497,'Client Info'!$D$2:$D$2497,"",0,1))</f>
        <v/>
      </c>
      <c r="AE2024" s="23" t="str">
        <f>IF($AC2024="","",_xlfn.XLOOKUP($AC2024,'Client Info'!$C$2:$C$2677,'Client Info'!$E$2:$E$2677,"",))</f>
        <v/>
      </c>
      <c r="AF2024" s="23" t="str">
        <f>IF($AC2024="","",_xlfn.XLOOKUP($AC2024,'Client Info'!$C$2:$C$2677,'Client Info'!$F$2:$F$2677,"",0,1))</f>
        <v/>
      </c>
      <c r="AG2024" s="32" t="s">
        <v>3735</v>
      </c>
      <c r="AH2024" s="26" t="str">
        <f>_xlfn.XLOOKUP(Table26[[#This Row],[customerSKU]],customerSKU!G:G,customerSKU!K:K,"NA",0,1)</f>
        <v>NA</v>
      </c>
      <c r="AI2024" s="43" t="str">
        <f>_xlfn.XLOOKUP(Table26[[#This Row],[customerSKU]],customerSKU!G:G,customerSKU!O:O,"not found",0,1)</f>
        <v>not found</v>
      </c>
      <c r="AJ2024" s="22" t="e">
        <f>Table26[[#This Row],[unitprice]]*Table26[[#This Row],[quantity_unit]]</f>
        <v>#VALUE!</v>
      </c>
      <c r="AK2024" s="227" t="e" cm="1">
        <f t="array" ref="AK20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4" s="227"/>
    </row>
    <row r="2025" spans="1:38" ht="24.6" customHeight="1">
      <c r="A2025" s="42">
        <v>236</v>
      </c>
      <c r="B2025" s="42" t="s">
        <v>3520</v>
      </c>
      <c r="C2025" s="53" t="s">
        <v>203</v>
      </c>
      <c r="E2025" s="20"/>
      <c r="F20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5" s="93"/>
      <c r="I2025" s="203">
        <v>45848</v>
      </c>
      <c r="J2025" s="90" t="str">
        <f>IF(Table26[[#This Row],[customerSKU]]="","",_xlfn.XLOOKUP(Table26[[#This Row],[customerSKU]],customerSKU!G:G,customerSKU!A:A,"",0,1))</f>
        <v/>
      </c>
      <c r="K2025" s="203">
        <v>45848</v>
      </c>
      <c r="L2025" s="49" t="str">
        <f>IF(Table26[[#This Row],[customerSKU]]="","",_xlfn.XLOOKUP(Table26[[#This Row],[customerSKU]],customerSKU!G:G,customerSKU!B:B,"",0,1))</f>
        <v/>
      </c>
      <c r="M2025" s="22"/>
      <c r="N2025" s="15" t="str">
        <f>Table26[[#This Row],[po_number]]&amp;"-"&amp;Table26[[#This Row],[po_line]]</f>
        <v>-3</v>
      </c>
      <c r="O2025" s="15">
        <v>3</v>
      </c>
      <c r="P2025" s="50"/>
      <c r="Q2025" s="22" t="s">
        <v>1774</v>
      </c>
      <c r="R2025" s="22" t="s">
        <v>532</v>
      </c>
      <c r="S2025" s="90" t="str">
        <f>IF(Table26[[#This Row],[customerSKU]]="","",_xlfn.XLOOKUP(Table26[[#This Row],[customerSKU]],customerSKU!G:G,customerSKU!N:N,"NOT FOUND",0,1))</f>
        <v>NOT FOUND</v>
      </c>
      <c r="T2025" s="20">
        <v>45790</v>
      </c>
      <c r="U2025" s="94">
        <v>24</v>
      </c>
      <c r="V2025" s="22" t="str">
        <f>IF(ISBLANK(Table26[[#This Row],[customerSKU]]),"",_xlfn.XLOOKUP(Table26[[#This Row],[customerSKU]],Table27[customer_SKU],Table27[case_size],"",0,1))</f>
        <v/>
      </c>
      <c r="W2025" s="117" t="str">
        <f t="shared" si="81"/>
        <v/>
      </c>
      <c r="X2025" s="22" t="str">
        <f t="shared" si="80"/>
        <v/>
      </c>
      <c r="Y2025" s="25" t="str">
        <f>IF(Table26[[#This Row],[customerSKU]]="","",_xlfn.XLOOKUP(Table26[[#This Row],[customerSKU]],Table27[customer_SKU],Table27[product_GTIN],"",0,1))</f>
        <v/>
      </c>
      <c r="Z2025" s="25" t="s">
        <v>3389</v>
      </c>
      <c r="AA2025" s="18" t="str" cm="1">
        <f t="array" ref="AA2025">IF(P2025="", "", _xlfn.XLOOKUP(P2025,#REF!,#REF!,NA,0,-1))</f>
        <v/>
      </c>
      <c r="AB2025" s="22"/>
      <c r="AC2025" s="32" t="s">
        <v>3735</v>
      </c>
      <c r="AD2025" s="23" t="str">
        <f>IF($AC2025="","",_xlfn.XLOOKUP($AC2025,'Client Info'!$C$2:$C$2497,'Client Info'!$D$2:$D$2497,"",0,1))</f>
        <v/>
      </c>
      <c r="AE2025" s="23" t="str">
        <f>IF($AC2025="","",_xlfn.XLOOKUP($AC2025,'Client Info'!$C$2:$C$2677,'Client Info'!$E$2:$E$2677,"",))</f>
        <v/>
      </c>
      <c r="AF2025" s="23" t="str">
        <f>IF($AC2025="","",_xlfn.XLOOKUP($AC2025,'Client Info'!$C$2:$C$2677,'Client Info'!$F$2:$F$2677,"",0,1))</f>
        <v/>
      </c>
      <c r="AG2025" s="32" t="s">
        <v>3735</v>
      </c>
      <c r="AH2025" s="26" t="str">
        <f>_xlfn.XLOOKUP(Table26[[#This Row],[customerSKU]],customerSKU!G:G,customerSKU!K:K,"NA",0,1)</f>
        <v>NA</v>
      </c>
      <c r="AI2025" s="43" t="str">
        <f>_xlfn.XLOOKUP(Table26[[#This Row],[customerSKU]],customerSKU!G:G,customerSKU!O:O,"not found",0,1)</f>
        <v>not found</v>
      </c>
      <c r="AJ2025" s="22" t="e">
        <f>Table26[[#This Row],[unitprice]]*Table26[[#This Row],[quantity_unit]]</f>
        <v>#VALUE!</v>
      </c>
      <c r="AK2025" s="227" t="e" cm="1">
        <f t="array" ref="AK20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5" s="227"/>
    </row>
    <row r="2026" spans="1:38" ht="24.6" customHeight="1">
      <c r="A2026" s="42">
        <v>237</v>
      </c>
      <c r="B2026" s="42" t="s">
        <v>3520</v>
      </c>
      <c r="C2026" s="53" t="s">
        <v>203</v>
      </c>
      <c r="E2026" s="20"/>
      <c r="F20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6" s="93"/>
      <c r="I2026" s="203">
        <v>45848</v>
      </c>
      <c r="J2026" s="90" t="str">
        <f>IF(Table26[[#This Row],[customerSKU]]="","",_xlfn.XLOOKUP(Table26[[#This Row],[customerSKU]],customerSKU!G:G,customerSKU!A:A,"",0,1))</f>
        <v/>
      </c>
      <c r="K2026" s="203">
        <v>45848</v>
      </c>
      <c r="L2026" s="49" t="str">
        <f>IF(Table26[[#This Row],[customerSKU]]="","",_xlfn.XLOOKUP(Table26[[#This Row],[customerSKU]],customerSKU!G:G,customerSKU!B:B,"",0,1))</f>
        <v/>
      </c>
      <c r="M2026" s="22"/>
      <c r="N2026" s="15" t="str">
        <f>Table26[[#This Row],[po_number]]&amp;"-"&amp;Table26[[#This Row],[po_line]]</f>
        <v>-4</v>
      </c>
      <c r="O2026" s="15">
        <v>4</v>
      </c>
      <c r="P2026" s="50"/>
      <c r="Q2026" s="22" t="s">
        <v>578</v>
      </c>
      <c r="R2026" s="22" t="s">
        <v>532</v>
      </c>
      <c r="S2026" s="90" t="str">
        <f>IF(Table26[[#This Row],[customerSKU]]="","",_xlfn.XLOOKUP(Table26[[#This Row],[customerSKU]],customerSKU!G:G,customerSKU!N:N,"NOT FOUND",0,1))</f>
        <v>NOT FOUND</v>
      </c>
      <c r="T2026" s="20">
        <v>45700</v>
      </c>
      <c r="U2026" s="94">
        <v>24</v>
      </c>
      <c r="V2026" s="22" t="str">
        <f>IF(ISBLANK(Table26[[#This Row],[customerSKU]]),"",_xlfn.XLOOKUP(Table26[[#This Row],[customerSKU]],Table27[customer_SKU],Table27[case_size],"",0,1))</f>
        <v/>
      </c>
      <c r="W2026" s="117" t="str">
        <f t="shared" si="81"/>
        <v/>
      </c>
      <c r="X2026" s="22" t="str">
        <f t="shared" si="80"/>
        <v/>
      </c>
      <c r="Y2026" s="25" t="str">
        <f>IF(Table26[[#This Row],[customerSKU]]="","",_xlfn.XLOOKUP(Table26[[#This Row],[customerSKU]],Table27[customer_SKU],Table27[product_GTIN],"",0,1))</f>
        <v/>
      </c>
      <c r="Z2026" s="25" t="s">
        <v>3728</v>
      </c>
      <c r="AA2026" s="18" t="str" cm="1">
        <f t="array" ref="AA2026">IF(P2026="", "", _xlfn.XLOOKUP(P2026,#REF!,#REF!,NA,0,-1))</f>
        <v/>
      </c>
      <c r="AB2026" s="22"/>
      <c r="AC2026" s="23" t="s">
        <v>3735</v>
      </c>
      <c r="AD2026" s="23" t="str">
        <f>IF($AC2026="","",_xlfn.XLOOKUP($AC2026,'Client Info'!$C$2:$C$2497,'Client Info'!$D$2:$D$2497,"",0,1))</f>
        <v/>
      </c>
      <c r="AE2026" s="23" t="str">
        <f>IF($AC2026="","",_xlfn.XLOOKUP($AC2026,'Client Info'!$C$2:$C$2677,'Client Info'!$E$2:$E$2677,"",))</f>
        <v/>
      </c>
      <c r="AF2026" s="23" t="str">
        <f>IF($AC2026="","",_xlfn.XLOOKUP($AC2026,'Client Info'!$C$2:$C$2677,'Client Info'!$F$2:$F$2677,"",0,1))</f>
        <v/>
      </c>
      <c r="AG2026" s="23" t="s">
        <v>3735</v>
      </c>
      <c r="AH2026" s="26" t="str">
        <f>_xlfn.XLOOKUP(Table26[[#This Row],[customerSKU]],customerSKU!G:G,customerSKU!K:K,"NA",0,1)</f>
        <v>NA</v>
      </c>
      <c r="AI2026" s="43" t="str">
        <f>_xlfn.XLOOKUP(Table26[[#This Row],[customerSKU]],customerSKU!G:G,customerSKU!O:O,"not found",0,1)</f>
        <v>not found</v>
      </c>
      <c r="AJ2026" s="22" t="e">
        <f>Table26[[#This Row],[unitprice]]*Table26[[#This Row],[quantity_unit]]</f>
        <v>#VALUE!</v>
      </c>
      <c r="AK2026" s="227" t="e" cm="1">
        <f t="array" ref="AK20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6" s="227"/>
    </row>
    <row r="2027" spans="1:38" ht="24.6" customHeight="1">
      <c r="A2027" s="42">
        <v>238</v>
      </c>
      <c r="B2027" s="42" t="s">
        <v>3520</v>
      </c>
      <c r="C2027" s="53" t="s">
        <v>203</v>
      </c>
      <c r="E2027" s="20"/>
      <c r="F20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7" s="93"/>
      <c r="I2027" s="203">
        <v>45848</v>
      </c>
      <c r="J2027" s="90" t="str">
        <f>IF(Table26[[#This Row],[customerSKU]]="","",_xlfn.XLOOKUP(Table26[[#This Row],[customerSKU]],customerSKU!G:G,customerSKU!A:A,"",0,1))</f>
        <v/>
      </c>
      <c r="K2027" s="203">
        <v>45848</v>
      </c>
      <c r="L2027" s="49" t="str">
        <f>IF(Table26[[#This Row],[customerSKU]]="","",_xlfn.XLOOKUP(Table26[[#This Row],[customerSKU]],customerSKU!G:G,customerSKU!B:B,"",0,1))</f>
        <v/>
      </c>
      <c r="M2027" s="22"/>
      <c r="N2027" s="15" t="str">
        <f>Table26[[#This Row],[po_number]]&amp;"-"&amp;Table26[[#This Row],[po_line]]</f>
        <v>-5</v>
      </c>
      <c r="O2027" s="15">
        <v>5</v>
      </c>
      <c r="P2027" s="50"/>
      <c r="Q2027" s="22" t="s">
        <v>1825</v>
      </c>
      <c r="R2027" s="22" t="s">
        <v>532</v>
      </c>
      <c r="S2027" s="90" t="str">
        <f>IF(Table26[[#This Row],[customerSKU]]="","",_xlfn.XLOOKUP(Table26[[#This Row],[customerSKU]],customerSKU!G:G,customerSKU!N:N,"NOT FOUND",0,1))</f>
        <v>NOT FOUND</v>
      </c>
      <c r="T2027" s="20">
        <v>45833</v>
      </c>
      <c r="U2027" s="94">
        <v>12</v>
      </c>
      <c r="V2027" s="22" t="str">
        <f>IF(ISBLANK(Table26[[#This Row],[customerSKU]]),"",_xlfn.XLOOKUP(Table26[[#This Row],[customerSKU]],Table27[customer_SKU],Table27[case_size],"",0,1))</f>
        <v/>
      </c>
      <c r="W2027" s="117" t="str">
        <f t="shared" si="81"/>
        <v/>
      </c>
      <c r="X2027" s="22" t="str">
        <f t="shared" si="80"/>
        <v/>
      </c>
      <c r="Y2027" s="25" t="str">
        <f>IF(Table26[[#This Row],[customerSKU]]="","",_xlfn.XLOOKUP(Table26[[#This Row],[customerSKU]],Table27[customer_SKU],Table27[product_GTIN],"",0,1))</f>
        <v/>
      </c>
      <c r="Z2027" s="25" t="s">
        <v>3693</v>
      </c>
      <c r="AA2027" s="18" t="str" cm="1">
        <f t="array" ref="AA2027">IF(P2027="", "", _xlfn.XLOOKUP(P2027,#REF!,#REF!,NA,0,-1))</f>
        <v/>
      </c>
      <c r="AB2027" s="22"/>
      <c r="AC2027" s="23" t="s">
        <v>3735</v>
      </c>
      <c r="AD2027" s="23" t="str">
        <f>IF($AC2027="","",_xlfn.XLOOKUP($AC2027,'Client Info'!$C$2:$C$2497,'Client Info'!$D$2:$D$2497,"",0,1))</f>
        <v/>
      </c>
      <c r="AE2027" s="23" t="str">
        <f>IF($AC2027="","",_xlfn.XLOOKUP($AC2027,'Client Info'!$C$2:$C$2677,'Client Info'!$E$2:$E$2677,"",))</f>
        <v/>
      </c>
      <c r="AF2027" s="23" t="str">
        <f>IF($AC2027="","",_xlfn.XLOOKUP($AC2027,'Client Info'!$C$2:$C$2677,'Client Info'!$F$2:$F$2677,"",0,1))</f>
        <v/>
      </c>
      <c r="AG2027" s="23" t="s">
        <v>3735</v>
      </c>
      <c r="AH2027" s="26" t="str">
        <f>_xlfn.XLOOKUP(Table26[[#This Row],[customerSKU]],customerSKU!G:G,customerSKU!K:K,"NA",0,1)</f>
        <v>NA</v>
      </c>
      <c r="AI2027" s="43" t="str">
        <f>_xlfn.XLOOKUP(Table26[[#This Row],[customerSKU]],customerSKU!G:G,customerSKU!O:O,"not found",0,1)</f>
        <v>not found</v>
      </c>
      <c r="AJ2027" s="22" t="e">
        <f>Table26[[#This Row],[unitprice]]*Table26[[#This Row],[quantity_unit]]</f>
        <v>#VALUE!</v>
      </c>
      <c r="AK2027" s="227" t="e" cm="1">
        <f t="array" ref="AK20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7" s="227"/>
    </row>
    <row r="2028" spans="1:38" ht="24.6" customHeight="1">
      <c r="A2028" s="42">
        <v>222</v>
      </c>
      <c r="B2028" s="42" t="s">
        <v>3520</v>
      </c>
      <c r="C2028" s="53" t="s">
        <v>3360</v>
      </c>
      <c r="E2028" s="20"/>
      <c r="F20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8" s="93"/>
      <c r="I2028" s="203">
        <v>45848</v>
      </c>
      <c r="J2028" s="90" t="str">
        <f>IF(Table26[[#This Row],[customerSKU]]="","",_xlfn.XLOOKUP(Table26[[#This Row],[customerSKU]],customerSKU!G:G,customerSKU!A:A,"",0,1))</f>
        <v/>
      </c>
      <c r="K2028" s="19">
        <v>45849</v>
      </c>
      <c r="L2028" s="49" t="str">
        <f>IF(Table26[[#This Row],[customerSKU]]="","",_xlfn.XLOOKUP(Table26[[#This Row],[customerSKU]],customerSKU!G:G,customerSKU!B:B,"",0,1))</f>
        <v/>
      </c>
      <c r="M2028" s="22"/>
      <c r="N2028" s="15" t="str">
        <f>Table26[[#This Row],[po_number]]&amp;"-"&amp;Table26[[#This Row],[po_line]]</f>
        <v>-1</v>
      </c>
      <c r="O2028" s="15">
        <v>1</v>
      </c>
      <c r="P2028" s="50"/>
      <c r="S2028" s="90" t="str">
        <f>IF(Table26[[#This Row],[customerSKU]]="","",_xlfn.XLOOKUP(Table26[[#This Row],[customerSKU]],customerSKU!G:G,customerSKU!N:N,"NOT FOUND",0,1))</f>
        <v>NOT FOUND</v>
      </c>
      <c r="T2028" s="20"/>
      <c r="U2028" s="94">
        <v>12</v>
      </c>
      <c r="V2028" s="22" t="str">
        <f>IF(ISBLANK(Table26[[#This Row],[customerSKU]]),"",_xlfn.XLOOKUP(Table26[[#This Row],[customerSKU]],Table27[customer_SKU],Table27[case_size],"",0,1))</f>
        <v/>
      </c>
      <c r="W2028" s="117" t="str">
        <f t="shared" si="81"/>
        <v/>
      </c>
      <c r="X2028" s="22" t="str">
        <f t="shared" si="80"/>
        <v/>
      </c>
      <c r="Y2028" s="25" t="str">
        <f>IF(Table26[[#This Row],[customerSKU]]="","",_xlfn.XLOOKUP(Table26[[#This Row],[customerSKU]],Table27[customer_SKU],Table27[product_GTIN],"",0,1))</f>
        <v/>
      </c>
      <c r="Z2028" s="25" t="s">
        <v>3669</v>
      </c>
      <c r="AA2028" s="18" t="str" cm="1">
        <f t="array" ref="AA2028">IF(P2028="", "", _xlfn.XLOOKUP(P2028,#REF!,#REF!,NA,0,-1))</f>
        <v/>
      </c>
      <c r="AB2028" s="22"/>
      <c r="AC2028" s="23" t="str">
        <f>IF(Table26[[#This Row],[customerSKU]]="","",_xlfn.XLOOKUP(Table26[[#This Row],[customerSKU]],customerSKU!G:G,customerSKU!C:C,"",0,1))</f>
        <v/>
      </c>
      <c r="AD2028" s="23" t="str">
        <f>IF($AC2028="","",_xlfn.XLOOKUP($AC2028,'Client Info'!$C$2:$C$2497,'Client Info'!$D$2:$D$2497,"",0,1))</f>
        <v/>
      </c>
      <c r="AE2028" s="23" t="str">
        <f>IF($AC2028="","",_xlfn.XLOOKUP($AC2028,'Client Info'!$C$2:$C$2677,'Client Info'!$E$2:$E$2677,"",))</f>
        <v/>
      </c>
      <c r="AF2028" s="23" t="str">
        <f>IF($AC2028="","",_xlfn.XLOOKUP($AC2028,'Client Info'!$C$2:$C$2677,'Client Info'!$F$2:$F$2677,"",0,1))</f>
        <v/>
      </c>
      <c r="AG2028" s="23" t="str">
        <f>IF(ISBLANK(Table26[[#This Row],[customerSKU]]),"",_xlfn.XLOOKUP(Table26[[#This Row],[customerSKU]],Table27[customer_SKU],Table27[billto],"",0,1))</f>
        <v/>
      </c>
      <c r="AH2028" s="26" t="str">
        <f>_xlfn.XLOOKUP(Table26[[#This Row],[customerSKU]],customerSKU!G:G,customerSKU!K:K,"NA",0,1)</f>
        <v>NA</v>
      </c>
      <c r="AI2028" s="43" t="str">
        <f>_xlfn.XLOOKUP(Table26[[#This Row],[customerSKU]],customerSKU!G:G,customerSKU!O:O,"not found",0,1)</f>
        <v>not found</v>
      </c>
      <c r="AJ2028" s="22" t="e">
        <f>Table26[[#This Row],[unitprice]]*Table26[[#This Row],[quantity_unit]]</f>
        <v>#VALUE!</v>
      </c>
      <c r="AK2028" s="227" t="e" cm="1">
        <f t="array" ref="AK20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8" s="227"/>
    </row>
    <row r="2029" spans="1:38" ht="24.6" customHeight="1">
      <c r="A2029" s="42">
        <v>223</v>
      </c>
      <c r="B2029" s="42" t="s">
        <v>3520</v>
      </c>
      <c r="C2029" s="53" t="s">
        <v>3360</v>
      </c>
      <c r="E2029" s="20"/>
      <c r="F20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29" s="93"/>
      <c r="I2029" s="203">
        <v>45848</v>
      </c>
      <c r="J2029" s="90" t="str">
        <f>IF(Table26[[#This Row],[customerSKU]]="","",_xlfn.XLOOKUP(Table26[[#This Row],[customerSKU]],customerSKU!G:G,customerSKU!A:A,"",0,1))</f>
        <v/>
      </c>
      <c r="K2029" s="19">
        <v>45849</v>
      </c>
      <c r="L2029" s="49" t="str">
        <f>IF(Table26[[#This Row],[customerSKU]]="","",_xlfn.XLOOKUP(Table26[[#This Row],[customerSKU]],customerSKU!G:G,customerSKU!B:B,"",0,1))</f>
        <v/>
      </c>
      <c r="M2029" s="22"/>
      <c r="N2029" s="15" t="str">
        <f>Table26[[#This Row],[po_number]]&amp;"-"&amp;Table26[[#This Row],[po_line]]</f>
        <v>-2</v>
      </c>
      <c r="O2029" s="15">
        <v>2</v>
      </c>
      <c r="P2029" s="50"/>
      <c r="S2029" s="90" t="str">
        <f>IF(Table26[[#This Row],[customerSKU]]="","",_xlfn.XLOOKUP(Table26[[#This Row],[customerSKU]],customerSKU!G:G,customerSKU!N:N,"NOT FOUND",0,1))</f>
        <v>NOT FOUND</v>
      </c>
      <c r="T2029" s="20"/>
      <c r="U2029" s="94">
        <v>12</v>
      </c>
      <c r="V2029" s="22" t="str">
        <f>IF(ISBLANK(Table26[[#This Row],[customerSKU]]),"",_xlfn.XLOOKUP(Table26[[#This Row],[customerSKU]],Table27[customer_SKU],Table27[case_size],"",0,1))</f>
        <v/>
      </c>
      <c r="W2029" s="117" t="str">
        <f t="shared" si="81"/>
        <v/>
      </c>
      <c r="X2029" s="22" t="str">
        <f t="shared" si="80"/>
        <v/>
      </c>
      <c r="Y2029" s="25" t="str">
        <f>IF(Table26[[#This Row],[customerSKU]]="","",_xlfn.XLOOKUP(Table26[[#This Row],[customerSKU]],Table27[customer_SKU],Table27[product_GTIN],"",0,1))</f>
        <v/>
      </c>
      <c r="Z2029" s="25" t="s">
        <v>3626</v>
      </c>
      <c r="AA2029" s="18" t="str" cm="1">
        <f t="array" ref="AA2029">IF(P2029="", "", _xlfn.XLOOKUP(P2029,#REF!,#REF!,NA,0,-1))</f>
        <v/>
      </c>
      <c r="AB2029" s="22"/>
      <c r="AC2029" s="23" t="str">
        <f>IF(Table26[[#This Row],[customerSKU]]="","",_xlfn.XLOOKUP(Table26[[#This Row],[customerSKU]],customerSKU!G:G,customerSKU!C:C,"",0,1))</f>
        <v/>
      </c>
      <c r="AD2029" s="23" t="str">
        <f>IF($AC2029="","",_xlfn.XLOOKUP($AC2029,'Client Info'!$C$2:$C$2497,'Client Info'!$D$2:$D$2497,"",0,1))</f>
        <v/>
      </c>
      <c r="AE2029" s="23" t="str">
        <f>IF($AC2029="","",_xlfn.XLOOKUP($AC2029,'Client Info'!$C$2:$C$2677,'Client Info'!$E$2:$E$2677,"",))</f>
        <v/>
      </c>
      <c r="AF2029" s="23" t="str">
        <f>IF($AC2029="","",_xlfn.XLOOKUP($AC2029,'Client Info'!$C$2:$C$2677,'Client Info'!$F$2:$F$2677,"",0,1))</f>
        <v/>
      </c>
      <c r="AG2029" s="23" t="str">
        <f>IF(ISBLANK(Table26[[#This Row],[customerSKU]]),"",_xlfn.XLOOKUP(Table26[[#This Row],[customerSKU]],Table27[customer_SKU],Table27[billto],"",0,1))</f>
        <v/>
      </c>
      <c r="AH2029" s="26" t="str">
        <f>_xlfn.XLOOKUP(Table26[[#This Row],[customerSKU]],customerSKU!G:G,customerSKU!K:K,"NA",0,1)</f>
        <v>NA</v>
      </c>
      <c r="AI2029" s="43" t="str">
        <f>_xlfn.XLOOKUP(Table26[[#This Row],[customerSKU]],customerSKU!G:G,customerSKU!O:O,"not found",0,1)</f>
        <v>not found</v>
      </c>
      <c r="AJ2029" s="22" t="e">
        <f>Table26[[#This Row],[unitprice]]*Table26[[#This Row],[quantity_unit]]</f>
        <v>#VALUE!</v>
      </c>
      <c r="AK2029" s="227" t="e" cm="1">
        <f t="array" ref="AK20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29" s="227"/>
    </row>
    <row r="2030" spans="1:38" ht="24.6" customHeight="1">
      <c r="A2030" s="42">
        <v>206</v>
      </c>
      <c r="B2030" s="42" t="s">
        <v>3520</v>
      </c>
      <c r="C2030" s="53" t="s">
        <v>3488</v>
      </c>
      <c r="E2030" s="20"/>
      <c r="F20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0" s="93"/>
      <c r="I2030" s="203">
        <v>45835</v>
      </c>
      <c r="J2030" s="90" t="str">
        <f>IF(Table26[[#This Row],[customerSKU]]="","",_xlfn.XLOOKUP(Table26[[#This Row],[customerSKU]],customerSKU!G:G,customerSKU!A:A,"",0,1))</f>
        <v/>
      </c>
      <c r="K2030" s="232">
        <v>45852</v>
      </c>
      <c r="L2030" s="49" t="str">
        <f>IF(Table26[[#This Row],[customerSKU]]="","",_xlfn.XLOOKUP(Table26[[#This Row],[customerSKU]],customerSKU!G:G,customerSKU!B:B,"",0,1))</f>
        <v/>
      </c>
      <c r="M2030" s="22"/>
      <c r="N2030" s="15" t="str">
        <f>Table26[[#This Row],[po_number]]&amp;"-"&amp;Table26[[#This Row],[po_line]]</f>
        <v>-1</v>
      </c>
      <c r="O2030" s="15">
        <v>1</v>
      </c>
      <c r="P2030" s="50"/>
      <c r="Q2030" s="22" t="s">
        <v>659</v>
      </c>
      <c r="R2030" s="22" t="s">
        <v>3559</v>
      </c>
      <c r="S2030" s="90" t="str">
        <f>IF(Table26[[#This Row],[customerSKU]]="","",_xlfn.XLOOKUP(Table26[[#This Row],[customerSKU]],customerSKU!G:G,customerSKU!N:N,"NOT FOUND",0,1))</f>
        <v>NOT FOUND</v>
      </c>
      <c r="T2030" s="20">
        <v>45638</v>
      </c>
      <c r="U2030" s="94">
        <v>120</v>
      </c>
      <c r="V2030" s="22" t="str">
        <f>IF(ISBLANK(Table26[[#This Row],[customerSKU]]),"",_xlfn.XLOOKUP(Table26[[#This Row],[customerSKU]],Table27[customer_SKU],Table27[case_size],"",0,1))</f>
        <v/>
      </c>
      <c r="W2030" s="117" t="str">
        <f t="shared" si="81"/>
        <v/>
      </c>
      <c r="X2030" s="22" t="str">
        <f t="shared" si="80"/>
        <v/>
      </c>
      <c r="Y2030" s="25" t="str">
        <f>IF(Table26[[#This Row],[customerSKU]]="","",_xlfn.XLOOKUP(Table26[[#This Row],[customerSKU]],Table27[customer_SKU],Table27[product_GTIN],"",0,1))</f>
        <v/>
      </c>
      <c r="Z2030" s="25" t="s">
        <v>3560</v>
      </c>
      <c r="AA2030" s="18" t="str" cm="1">
        <f t="array" ref="AA2030">IF(P2030="", "", _xlfn.XLOOKUP(P2030,#REF!,#REF!,NA,0,-1))</f>
        <v/>
      </c>
      <c r="AB2030" s="22"/>
      <c r="AC2030" s="23" t="str">
        <f>IF(Table26[[#This Row],[customerSKU]]="","",_xlfn.XLOOKUP(Table26[[#This Row],[customerSKU]],customerSKU!G:G,customerSKU!C:C,"",0,1))</f>
        <v/>
      </c>
      <c r="AD2030" s="23" t="str">
        <f>IF($AC2030="","",_xlfn.XLOOKUP($AC2030,'Client Info'!$C$2:$C$2497,'Client Info'!$D$2:$D$2497,"",0,1))</f>
        <v/>
      </c>
      <c r="AE2030" s="23" t="str">
        <f>IF($AC2030="","",_xlfn.XLOOKUP($AC2030,'Client Info'!$C$2:$C$2677,'Client Info'!$E$2:$E$2677,"",))</f>
        <v/>
      </c>
      <c r="AF2030" s="23" t="str">
        <f>IF($AC2030="","",_xlfn.XLOOKUP($AC2030,'Client Info'!$C$2:$C$2677,'Client Info'!$F$2:$F$2677,"",0,1))</f>
        <v/>
      </c>
      <c r="AG2030" s="23" t="str">
        <f>IF(ISBLANK(Table26[[#This Row],[customerSKU]]),"",_xlfn.XLOOKUP(Table26[[#This Row],[customerSKU]],Table27[customer_SKU],Table27[billto],"",0,1))</f>
        <v/>
      </c>
      <c r="AH2030" s="26" t="str">
        <f>_xlfn.XLOOKUP(Table26[[#This Row],[customerSKU]],customerSKU!G:G,customerSKU!K:K,"NA",0,1)</f>
        <v>NA</v>
      </c>
      <c r="AI2030" s="43" t="str">
        <f>_xlfn.XLOOKUP(Table26[[#This Row],[customerSKU]],customerSKU!G:G,customerSKU!O:O,"not found",0,1)</f>
        <v>not found</v>
      </c>
      <c r="AJ2030" s="22" t="e">
        <f>Table26[[#This Row],[unitprice]]*Table26[[#This Row],[quantity_unit]]</f>
        <v>#VALUE!</v>
      </c>
      <c r="AK2030" s="227" t="e" cm="1">
        <f t="array" ref="AK20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0" s="227"/>
    </row>
    <row r="2031" spans="1:38" ht="24.6" customHeight="1">
      <c r="A2031" s="42">
        <v>207</v>
      </c>
      <c r="B2031" s="42" t="s">
        <v>3520</v>
      </c>
      <c r="C2031" s="53" t="s">
        <v>3488</v>
      </c>
      <c r="E2031" s="20"/>
      <c r="F20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1" s="93"/>
      <c r="I2031" s="203">
        <v>45835</v>
      </c>
      <c r="J2031" s="90" t="str">
        <f>IF(Table26[[#This Row],[customerSKU]]="","",_xlfn.XLOOKUP(Table26[[#This Row],[customerSKU]],customerSKU!G:G,customerSKU!A:A,"",0,1))</f>
        <v/>
      </c>
      <c r="K2031" s="232">
        <v>45852</v>
      </c>
      <c r="L2031" s="49" t="str">
        <f>IF(Table26[[#This Row],[customerSKU]]="","",_xlfn.XLOOKUP(Table26[[#This Row],[customerSKU]],customerSKU!G:G,customerSKU!B:B,"",0,1))</f>
        <v/>
      </c>
      <c r="M2031" s="22"/>
      <c r="N2031" s="15" t="str">
        <f>Table26[[#This Row],[po_number]]&amp;"-"&amp;Table26[[#This Row],[po_line]]</f>
        <v>-2</v>
      </c>
      <c r="O2031" s="15">
        <v>2</v>
      </c>
      <c r="P2031" s="50"/>
      <c r="Q2031" s="22" t="s">
        <v>1856</v>
      </c>
      <c r="R2031" s="22" t="s">
        <v>3559</v>
      </c>
      <c r="S2031" s="90" t="str">
        <f>IF(Table26[[#This Row],[customerSKU]]="","",_xlfn.XLOOKUP(Table26[[#This Row],[customerSKU]],customerSKU!G:G,customerSKU!N:N,"NOT FOUND",0,1))</f>
        <v>NOT FOUND</v>
      </c>
      <c r="T2031" s="20">
        <v>45847</v>
      </c>
      <c r="U2031" s="94">
        <v>180</v>
      </c>
      <c r="V2031" s="22" t="str">
        <f>IF(ISBLANK(Table26[[#This Row],[customerSKU]]),"",_xlfn.XLOOKUP(Table26[[#This Row],[customerSKU]],Table27[customer_SKU],Table27[case_size],"",0,1))</f>
        <v/>
      </c>
      <c r="W2031" s="117" t="str">
        <f t="shared" si="81"/>
        <v/>
      </c>
      <c r="X2031" s="22" t="str">
        <f t="shared" si="80"/>
        <v/>
      </c>
      <c r="Y2031" s="25" t="str">
        <f>IF(Table26[[#This Row],[customerSKU]]="","",_xlfn.XLOOKUP(Table26[[#This Row],[customerSKU]],Table27[customer_SKU],Table27[product_GTIN],"",0,1))</f>
        <v/>
      </c>
      <c r="Z2031" s="25" t="s">
        <v>3695</v>
      </c>
      <c r="AA2031" s="18" t="str" cm="1">
        <f t="array" ref="AA2031">IF(P2031="", "", _xlfn.XLOOKUP(P2031,#REF!,#REF!,NA,0,-1))</f>
        <v/>
      </c>
      <c r="AB2031" s="22"/>
      <c r="AC2031" s="23" t="str">
        <f>IF(Table26[[#This Row],[customerSKU]]="","",_xlfn.XLOOKUP(Table26[[#This Row],[customerSKU]],customerSKU!G:G,customerSKU!C:C,"",0,1))</f>
        <v/>
      </c>
      <c r="AD2031" s="23" t="str">
        <f>IF($AC2031="","",_xlfn.XLOOKUP($AC2031,'Client Info'!$C$2:$C$2497,'Client Info'!$D$2:$D$2497,"",0,1))</f>
        <v/>
      </c>
      <c r="AE2031" s="23" t="str">
        <f>IF($AC2031="","",_xlfn.XLOOKUP($AC2031,'Client Info'!$C$2:$C$2677,'Client Info'!$E$2:$E$2677,"",))</f>
        <v/>
      </c>
      <c r="AF2031" s="23" t="str">
        <f>IF($AC2031="","",_xlfn.XLOOKUP($AC2031,'Client Info'!$C$2:$C$2677,'Client Info'!$F$2:$F$2677,"",0,1))</f>
        <v/>
      </c>
      <c r="AG2031" s="23" t="str">
        <f>IF(ISBLANK(Table26[[#This Row],[customerSKU]]),"",_xlfn.XLOOKUP(Table26[[#This Row],[customerSKU]],Table27[customer_SKU],Table27[billto],"",0,1))</f>
        <v/>
      </c>
      <c r="AH2031" s="26" t="str">
        <f>_xlfn.XLOOKUP(Table26[[#This Row],[customerSKU]],customerSKU!G:G,customerSKU!K:K,"NA",0,1)</f>
        <v>NA</v>
      </c>
      <c r="AI2031" s="43" t="str">
        <f>_xlfn.XLOOKUP(Table26[[#This Row],[customerSKU]],customerSKU!G:G,customerSKU!O:O,"not found",0,1)</f>
        <v>not found</v>
      </c>
      <c r="AJ2031" s="22" t="e">
        <f>Table26[[#This Row],[unitprice]]*Table26[[#This Row],[quantity_unit]]</f>
        <v>#VALUE!</v>
      </c>
      <c r="AK2031" s="227" t="e" cm="1">
        <f t="array" ref="AK20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1" s="227"/>
    </row>
    <row r="2032" spans="1:38" ht="24.6" customHeight="1">
      <c r="A2032" s="42">
        <v>208</v>
      </c>
      <c r="B2032" s="42" t="s">
        <v>3520</v>
      </c>
      <c r="C2032" s="53" t="s">
        <v>3488</v>
      </c>
      <c r="E2032" s="20"/>
      <c r="F20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2" s="93"/>
      <c r="I2032" s="203">
        <v>45835</v>
      </c>
      <c r="J2032" s="90" t="str">
        <f>IF(Table26[[#This Row],[customerSKU]]="","",_xlfn.XLOOKUP(Table26[[#This Row],[customerSKU]],customerSKU!G:G,customerSKU!A:A,"",0,1))</f>
        <v/>
      </c>
      <c r="K2032" s="232">
        <v>45852</v>
      </c>
      <c r="L2032" s="49" t="str">
        <f>IF(Table26[[#This Row],[customerSKU]]="","",_xlfn.XLOOKUP(Table26[[#This Row],[customerSKU]],customerSKU!G:G,customerSKU!B:B,"",0,1))</f>
        <v/>
      </c>
      <c r="M2032" s="22"/>
      <c r="N2032" s="15" t="str">
        <f>Table26[[#This Row],[po_number]]&amp;"-"&amp;Table26[[#This Row],[po_line]]</f>
        <v>-3</v>
      </c>
      <c r="O2032" s="15">
        <v>3</v>
      </c>
      <c r="P2032" s="50"/>
      <c r="Q2032" s="22" t="s">
        <v>1811</v>
      </c>
      <c r="R2032" s="22" t="s">
        <v>3559</v>
      </c>
      <c r="S2032" s="90" t="str">
        <f>IF(Table26[[#This Row],[customerSKU]]="","",_xlfn.XLOOKUP(Table26[[#This Row],[customerSKU]],customerSKU!G:G,customerSKU!N:N,"NOT FOUND",0,1))</f>
        <v>NOT FOUND</v>
      </c>
      <c r="T2032" s="20">
        <v>45805</v>
      </c>
      <c r="U2032" s="94">
        <v>240</v>
      </c>
      <c r="V2032" s="22" t="str">
        <f>IF(ISBLANK(Table26[[#This Row],[customerSKU]]),"",_xlfn.XLOOKUP(Table26[[#This Row],[customerSKU]],Table27[customer_SKU],Table27[case_size],"",0,1))</f>
        <v/>
      </c>
      <c r="W2032" s="117" t="str">
        <f t="shared" si="81"/>
        <v/>
      </c>
      <c r="X2032" s="22" t="str">
        <f t="shared" si="80"/>
        <v/>
      </c>
      <c r="Y2032" s="25" t="str">
        <f>IF(Table26[[#This Row],[customerSKU]]="","",_xlfn.XLOOKUP(Table26[[#This Row],[customerSKU]],Table27[customer_SKU],Table27[product_GTIN],"",0,1))</f>
        <v/>
      </c>
      <c r="Z2032" s="25" t="s">
        <v>3561</v>
      </c>
      <c r="AA2032" s="18" t="str" cm="1">
        <f t="array" ref="AA2032">IF(P2032="", "", _xlfn.XLOOKUP(P2032,#REF!,#REF!,NA,0,-1))</f>
        <v/>
      </c>
      <c r="AB2032" s="22"/>
      <c r="AC2032" s="23" t="str">
        <f>IF(Table26[[#This Row],[customerSKU]]="","",_xlfn.XLOOKUP(Table26[[#This Row],[customerSKU]],customerSKU!G:G,customerSKU!C:C,"",0,1))</f>
        <v/>
      </c>
      <c r="AD2032" s="23" t="str">
        <f>IF($AC2032="","",_xlfn.XLOOKUP($AC2032,'Client Info'!$C$2:$C$2497,'Client Info'!$D$2:$D$2497,"",0,1))</f>
        <v/>
      </c>
      <c r="AE2032" s="23" t="str">
        <f>IF($AC2032="","",_xlfn.XLOOKUP($AC2032,'Client Info'!$C$2:$C$2677,'Client Info'!$E$2:$E$2677,"",))</f>
        <v/>
      </c>
      <c r="AF2032" s="23" t="str">
        <f>IF($AC2032="","",_xlfn.XLOOKUP($AC2032,'Client Info'!$C$2:$C$2677,'Client Info'!$F$2:$F$2677,"",0,1))</f>
        <v/>
      </c>
      <c r="AG2032" s="23" t="str">
        <f>IF(ISBLANK(Table26[[#This Row],[customerSKU]]),"",_xlfn.XLOOKUP(Table26[[#This Row],[customerSKU]],Table27[customer_SKU],Table27[billto],"",0,1))</f>
        <v/>
      </c>
      <c r="AH2032" s="26" t="str">
        <f>_xlfn.XLOOKUP(Table26[[#This Row],[customerSKU]],customerSKU!G:G,customerSKU!K:K,"NA",0,1)</f>
        <v>NA</v>
      </c>
      <c r="AI2032" s="43" t="str">
        <f>_xlfn.XLOOKUP(Table26[[#This Row],[customerSKU]],customerSKU!G:G,customerSKU!O:O,"not found",0,1)</f>
        <v>not found</v>
      </c>
      <c r="AJ2032" s="22" t="e">
        <f>Table26[[#This Row],[unitprice]]*Table26[[#This Row],[quantity_unit]]</f>
        <v>#VALUE!</v>
      </c>
      <c r="AK2032" s="227" t="e" cm="1">
        <f t="array" ref="AK20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2" s="227"/>
    </row>
    <row r="2033" spans="1:38" ht="24.6" customHeight="1">
      <c r="A2033" s="42">
        <v>209</v>
      </c>
      <c r="B2033" s="42" t="s">
        <v>3520</v>
      </c>
      <c r="C2033" s="53" t="s">
        <v>3488</v>
      </c>
      <c r="E2033" s="20"/>
      <c r="F20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3" s="93"/>
      <c r="I2033" s="203">
        <v>45835</v>
      </c>
      <c r="J2033" s="90" t="str">
        <f>IF(Table26[[#This Row],[customerSKU]]="","",_xlfn.XLOOKUP(Table26[[#This Row],[customerSKU]],customerSKU!G:G,customerSKU!A:A,"",0,1))</f>
        <v/>
      </c>
      <c r="K2033" s="232">
        <v>45852</v>
      </c>
      <c r="L2033" s="49" t="str">
        <f>IF(Table26[[#This Row],[customerSKU]]="","",_xlfn.XLOOKUP(Table26[[#This Row],[customerSKU]],customerSKU!G:G,customerSKU!B:B,"",0,1))</f>
        <v/>
      </c>
      <c r="M2033" s="22"/>
      <c r="N2033" s="15" t="str">
        <f>Table26[[#This Row],[po_number]]&amp;"-"&amp;Table26[[#This Row],[po_line]]</f>
        <v>-4</v>
      </c>
      <c r="O2033" s="15">
        <v>4</v>
      </c>
      <c r="P2033" s="50"/>
      <c r="Q2033" s="22" t="s">
        <v>1829</v>
      </c>
      <c r="R2033" s="22" t="s">
        <v>3559</v>
      </c>
      <c r="S2033" s="90" t="str">
        <f>IF(Table26[[#This Row],[customerSKU]]="","",_xlfn.XLOOKUP(Table26[[#This Row],[customerSKU]],customerSKU!G:G,customerSKU!N:N,"NOT FOUND",0,1))</f>
        <v>NOT FOUND</v>
      </c>
      <c r="T2033" s="20">
        <v>45826</v>
      </c>
      <c r="U2033" s="94">
        <v>120</v>
      </c>
      <c r="V2033" s="22" t="str">
        <f>IF(ISBLANK(Table26[[#This Row],[customerSKU]]),"",_xlfn.XLOOKUP(Table26[[#This Row],[customerSKU]],Table27[customer_SKU],Table27[case_size],"",0,1))</f>
        <v/>
      </c>
      <c r="W2033" s="117" t="str">
        <f t="shared" si="81"/>
        <v/>
      </c>
      <c r="X2033" s="22" t="str">
        <f t="shared" si="80"/>
        <v/>
      </c>
      <c r="Y2033" s="25" t="str">
        <f>IF(Table26[[#This Row],[customerSKU]]="","",_xlfn.XLOOKUP(Table26[[#This Row],[customerSKU]],Table27[customer_SKU],Table27[product_GTIN],"",0,1))</f>
        <v/>
      </c>
      <c r="Z2033" s="25" t="s">
        <v>3696</v>
      </c>
      <c r="AA2033" s="18" t="str" cm="1">
        <f t="array" ref="AA2033">IF(P2033="", "", _xlfn.XLOOKUP(P2033,#REF!,#REF!,NA,0,-1))</f>
        <v/>
      </c>
      <c r="AB2033" s="22"/>
      <c r="AC2033" s="23" t="str">
        <f>IF(Table26[[#This Row],[customerSKU]]="","",_xlfn.XLOOKUP(Table26[[#This Row],[customerSKU]],customerSKU!G:G,customerSKU!C:C,"",0,1))</f>
        <v/>
      </c>
      <c r="AD2033" s="23" t="str">
        <f>IF($AC2033="","",_xlfn.XLOOKUP($AC2033,'Client Info'!$C$2:$C$2497,'Client Info'!$D$2:$D$2497,"",0,1))</f>
        <v/>
      </c>
      <c r="AE2033" s="23" t="str">
        <f>IF($AC2033="","",_xlfn.XLOOKUP($AC2033,'Client Info'!$C$2:$C$2677,'Client Info'!$E$2:$E$2677,"",))</f>
        <v/>
      </c>
      <c r="AF2033" s="23" t="str">
        <f>IF($AC2033="","",_xlfn.XLOOKUP($AC2033,'Client Info'!$C$2:$C$2677,'Client Info'!$F$2:$F$2677,"",0,1))</f>
        <v/>
      </c>
      <c r="AG2033" s="23" t="str">
        <f>IF(ISBLANK(Table26[[#This Row],[customerSKU]]),"",_xlfn.XLOOKUP(Table26[[#This Row],[customerSKU]],Table27[customer_SKU],Table27[billto],"",0,1))</f>
        <v/>
      </c>
      <c r="AH2033" s="26" t="str">
        <f>_xlfn.XLOOKUP(Table26[[#This Row],[customerSKU]],customerSKU!G:G,customerSKU!K:K,"NA",0,1)</f>
        <v>NA</v>
      </c>
      <c r="AI2033" s="43" t="str">
        <f>_xlfn.XLOOKUP(Table26[[#This Row],[customerSKU]],customerSKU!G:G,customerSKU!O:O,"not found",0,1)</f>
        <v>not found</v>
      </c>
      <c r="AJ2033" s="22" t="e">
        <f>Table26[[#This Row],[unitprice]]*Table26[[#This Row],[quantity_unit]]</f>
        <v>#VALUE!</v>
      </c>
      <c r="AK2033" s="227" t="e" cm="1">
        <f t="array" ref="AK20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3" s="227"/>
    </row>
    <row r="2034" spans="1:38" ht="24.6" customHeight="1">
      <c r="A2034" s="42">
        <v>210</v>
      </c>
      <c r="B2034" s="42" t="s">
        <v>3520</v>
      </c>
      <c r="C2034" s="53" t="s">
        <v>3488</v>
      </c>
      <c r="E2034" s="20"/>
      <c r="F20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4" s="93"/>
      <c r="I2034" s="203">
        <v>45835</v>
      </c>
      <c r="J2034" s="90" t="str">
        <f>IF(Table26[[#This Row],[customerSKU]]="","",_xlfn.XLOOKUP(Table26[[#This Row],[customerSKU]],customerSKU!G:G,customerSKU!A:A,"",0,1))</f>
        <v/>
      </c>
      <c r="K2034" s="232">
        <v>45852</v>
      </c>
      <c r="L2034" s="49" t="str">
        <f>IF(Table26[[#This Row],[customerSKU]]="","",_xlfn.XLOOKUP(Table26[[#This Row],[customerSKU]],customerSKU!G:G,customerSKU!B:B,"",0,1))</f>
        <v/>
      </c>
      <c r="M2034" s="22"/>
      <c r="N2034" s="15" t="str">
        <f>Table26[[#This Row],[po_number]]&amp;"-"&amp;Table26[[#This Row],[po_line]]</f>
        <v>-5</v>
      </c>
      <c r="O2034" s="15">
        <v>5</v>
      </c>
      <c r="P2034" s="50"/>
      <c r="Q2034" s="22" t="s">
        <v>656</v>
      </c>
      <c r="R2034" s="22" t="s">
        <v>3559</v>
      </c>
      <c r="S2034" s="90" t="str">
        <f>IF(Table26[[#This Row],[customerSKU]]="","",_xlfn.XLOOKUP(Table26[[#This Row],[customerSKU]],customerSKU!G:G,customerSKU!N:N,"NOT FOUND",0,1))</f>
        <v>NOT FOUND</v>
      </c>
      <c r="T2034" s="20">
        <v>45756</v>
      </c>
      <c r="U2034" s="94">
        <v>120</v>
      </c>
      <c r="V2034" s="22" t="str">
        <f>IF(ISBLANK(Table26[[#This Row],[customerSKU]]),"",_xlfn.XLOOKUP(Table26[[#This Row],[customerSKU]],Table27[customer_SKU],Table27[case_size],"",0,1))</f>
        <v/>
      </c>
      <c r="W2034" s="117" t="str">
        <f t="shared" si="81"/>
        <v/>
      </c>
      <c r="X2034" s="22" t="str">
        <f t="shared" si="80"/>
        <v/>
      </c>
      <c r="Y2034" s="25" t="str">
        <f>IF(Table26[[#This Row],[customerSKU]]="","",_xlfn.XLOOKUP(Table26[[#This Row],[customerSKU]],Table27[customer_SKU],Table27[product_GTIN],"",0,1))</f>
        <v/>
      </c>
      <c r="Z2034" s="25" t="s">
        <v>3697</v>
      </c>
      <c r="AA2034" s="18" t="str" cm="1">
        <f t="array" ref="AA2034">IF(P2034="", "", _xlfn.XLOOKUP(P2034,#REF!,#REF!,NA,0,-1))</f>
        <v/>
      </c>
      <c r="AB2034" s="22"/>
      <c r="AC2034" s="23" t="str">
        <f>IF(Table26[[#This Row],[customerSKU]]="","",_xlfn.XLOOKUP(Table26[[#This Row],[customerSKU]],customerSKU!G:G,customerSKU!C:C,"",0,1))</f>
        <v/>
      </c>
      <c r="AD2034" s="23" t="str">
        <f>IF($AC2034="","",_xlfn.XLOOKUP($AC2034,'Client Info'!$C$2:$C$2497,'Client Info'!$D$2:$D$2497,"",0,1))</f>
        <v/>
      </c>
      <c r="AE2034" s="23" t="str">
        <f>IF($AC2034="","",_xlfn.XLOOKUP($AC2034,'Client Info'!$C$2:$C$2677,'Client Info'!$E$2:$E$2677,"",))</f>
        <v/>
      </c>
      <c r="AF2034" s="23" t="str">
        <f>IF($AC2034="","",_xlfn.XLOOKUP($AC2034,'Client Info'!$C$2:$C$2677,'Client Info'!$F$2:$F$2677,"",0,1))</f>
        <v/>
      </c>
      <c r="AG2034" s="23" t="str">
        <f>IF(ISBLANK(Table26[[#This Row],[customerSKU]]),"",_xlfn.XLOOKUP(Table26[[#This Row],[customerSKU]],Table27[customer_SKU],Table27[billto],"",0,1))</f>
        <v/>
      </c>
      <c r="AH2034" s="26" t="str">
        <f>_xlfn.XLOOKUP(Table26[[#This Row],[customerSKU]],customerSKU!G:G,customerSKU!K:K,"NA",0,1)</f>
        <v>NA</v>
      </c>
      <c r="AI2034" s="43" t="str">
        <f>_xlfn.XLOOKUP(Table26[[#This Row],[customerSKU]],customerSKU!G:G,customerSKU!O:O,"not found",0,1)</f>
        <v>not found</v>
      </c>
      <c r="AJ2034" s="22" t="e">
        <f>Table26[[#This Row],[unitprice]]*Table26[[#This Row],[quantity_unit]]</f>
        <v>#VALUE!</v>
      </c>
      <c r="AK2034" s="227" t="e" cm="1">
        <f t="array" ref="AK20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4" s="227"/>
    </row>
    <row r="2035" spans="1:38" ht="24.6" customHeight="1">
      <c r="A2035" s="42">
        <v>211</v>
      </c>
      <c r="B2035" s="42" t="s">
        <v>3520</v>
      </c>
      <c r="C2035" s="53" t="s">
        <v>3488</v>
      </c>
      <c r="E2035" s="20"/>
      <c r="F20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5" s="93"/>
      <c r="I2035" s="203">
        <v>45835</v>
      </c>
      <c r="J2035" s="90" t="str">
        <f>IF(Table26[[#This Row],[customerSKU]]="","",_xlfn.XLOOKUP(Table26[[#This Row],[customerSKU]],customerSKU!G:G,customerSKU!A:A,"",0,1))</f>
        <v/>
      </c>
      <c r="K2035" s="232">
        <v>45852</v>
      </c>
      <c r="L2035" s="49" t="str">
        <f>IF(Table26[[#This Row],[customerSKU]]="","",_xlfn.XLOOKUP(Table26[[#This Row],[customerSKU]],customerSKU!G:G,customerSKU!B:B,"",0,1))</f>
        <v/>
      </c>
      <c r="M2035" s="22"/>
      <c r="N2035" s="15" t="str">
        <f>Table26[[#This Row],[po_number]]&amp;"-"&amp;Table26[[#This Row],[po_line]]</f>
        <v>-6</v>
      </c>
      <c r="O2035" s="15">
        <v>6</v>
      </c>
      <c r="P2035" s="50"/>
      <c r="Q2035" s="22" t="s">
        <v>1309</v>
      </c>
      <c r="R2035" s="22" t="s">
        <v>3559</v>
      </c>
      <c r="S2035" s="90" t="str">
        <f>IF(Table26[[#This Row],[customerSKU]]="","",_xlfn.XLOOKUP(Table26[[#This Row],[customerSKU]],customerSKU!G:G,customerSKU!N:N,"NOT FOUND",0,1))</f>
        <v>NOT FOUND</v>
      </c>
      <c r="T2035" s="20">
        <v>45697</v>
      </c>
      <c r="U2035" s="94">
        <v>120</v>
      </c>
      <c r="V2035" s="22" t="str">
        <f>IF(ISBLANK(Table26[[#This Row],[customerSKU]]),"",_xlfn.XLOOKUP(Table26[[#This Row],[customerSKU]],Table27[customer_SKU],Table27[case_size],"",0,1))</f>
        <v/>
      </c>
      <c r="W2035" s="117" t="str">
        <f t="shared" si="81"/>
        <v/>
      </c>
      <c r="X2035" s="22" t="str">
        <f t="shared" si="80"/>
        <v/>
      </c>
      <c r="Y2035" s="25" t="str">
        <f>IF(Table26[[#This Row],[customerSKU]]="","",_xlfn.XLOOKUP(Table26[[#This Row],[customerSKU]],Table27[customer_SKU],Table27[product_GTIN],"",0,1))</f>
        <v/>
      </c>
      <c r="Z2035" s="25" t="s">
        <v>3698</v>
      </c>
      <c r="AA2035" s="18" t="str" cm="1">
        <f t="array" ref="AA2035">IF(P2035="", "", _xlfn.XLOOKUP(P2035,#REF!,#REF!,NA,0,-1))</f>
        <v/>
      </c>
      <c r="AB2035" s="22"/>
      <c r="AC2035" s="23" t="str">
        <f>IF(Table26[[#This Row],[customerSKU]]="","",_xlfn.XLOOKUP(Table26[[#This Row],[customerSKU]],customerSKU!G:G,customerSKU!C:C,"",0,1))</f>
        <v/>
      </c>
      <c r="AD2035" s="23" t="str">
        <f>IF($AC2035="","",_xlfn.XLOOKUP($AC2035,'Client Info'!$C$2:$C$2497,'Client Info'!$D$2:$D$2497,"",0,1))</f>
        <v/>
      </c>
      <c r="AE2035" s="23" t="str">
        <f>IF($AC2035="","",_xlfn.XLOOKUP($AC2035,'Client Info'!$C$2:$C$2677,'Client Info'!$E$2:$E$2677,"",))</f>
        <v/>
      </c>
      <c r="AF2035" s="23" t="str">
        <f>IF($AC2035="","",_xlfn.XLOOKUP($AC2035,'Client Info'!$C$2:$C$2677,'Client Info'!$F$2:$F$2677,"",0,1))</f>
        <v/>
      </c>
      <c r="AG2035" s="23" t="str">
        <f>IF(ISBLANK(Table26[[#This Row],[customerSKU]]),"",_xlfn.XLOOKUP(Table26[[#This Row],[customerSKU]],Table27[customer_SKU],Table27[billto],"",0,1))</f>
        <v/>
      </c>
      <c r="AH2035" s="26" t="str">
        <f>_xlfn.XLOOKUP(Table26[[#This Row],[customerSKU]],customerSKU!G:G,customerSKU!K:K,"NA",0,1)</f>
        <v>NA</v>
      </c>
      <c r="AI2035" s="43" t="str">
        <f>_xlfn.XLOOKUP(Table26[[#This Row],[customerSKU]],customerSKU!G:G,customerSKU!O:O,"not found",0,1)</f>
        <v>not found</v>
      </c>
      <c r="AJ2035" s="22" t="e">
        <f>Table26[[#This Row],[unitprice]]*Table26[[#This Row],[quantity_unit]]</f>
        <v>#VALUE!</v>
      </c>
      <c r="AK2035" s="227" t="e" cm="1">
        <f t="array" ref="AK20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5" s="227"/>
    </row>
    <row r="2036" spans="1:38" ht="15.45" customHeight="1">
      <c r="A2036" s="42">
        <v>212</v>
      </c>
      <c r="B2036" s="42" t="s">
        <v>3520</v>
      </c>
      <c r="C2036" s="53" t="s">
        <v>3488</v>
      </c>
      <c r="E2036" s="20"/>
      <c r="F20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6" s="93"/>
      <c r="I2036" s="203">
        <v>45835</v>
      </c>
      <c r="J2036" s="90" t="str">
        <f>IF(Table26[[#This Row],[customerSKU]]="","",_xlfn.XLOOKUP(Table26[[#This Row],[customerSKU]],customerSKU!G:G,customerSKU!A:A,"",0,1))</f>
        <v/>
      </c>
      <c r="K2036" s="232">
        <v>45852</v>
      </c>
      <c r="L2036" s="49" t="str">
        <f>IF(Table26[[#This Row],[customerSKU]]="","",_xlfn.XLOOKUP(Table26[[#This Row],[customerSKU]],customerSKU!G:G,customerSKU!B:B,"",0,1))</f>
        <v/>
      </c>
      <c r="M2036" s="22"/>
      <c r="N2036" s="15" t="str">
        <f>Table26[[#This Row],[po_number]]&amp;"-"&amp;Table26[[#This Row],[po_line]]</f>
        <v>-7</v>
      </c>
      <c r="O2036" s="15">
        <v>7</v>
      </c>
      <c r="P2036" s="50"/>
      <c r="Q2036" s="22" t="s">
        <v>3378</v>
      </c>
      <c r="R2036" s="22" t="s">
        <v>3559</v>
      </c>
      <c r="S2036" s="90" t="str">
        <f>IF(Table26[[#This Row],[customerSKU]]="","",_xlfn.XLOOKUP(Table26[[#This Row],[customerSKU]],customerSKU!G:G,customerSKU!N:N,"NOT FOUND",0,1))</f>
        <v>NOT FOUND</v>
      </c>
      <c r="T2036" s="20">
        <v>45742</v>
      </c>
      <c r="U2036" s="94">
        <v>120</v>
      </c>
      <c r="V2036" s="22" t="str">
        <f>IF(ISBLANK(Table26[[#This Row],[customerSKU]]),"",_xlfn.XLOOKUP(Table26[[#This Row],[customerSKU]],Table27[customer_SKU],Table27[case_size],"",0,1))</f>
        <v/>
      </c>
      <c r="W2036" s="117" t="str">
        <f t="shared" si="81"/>
        <v/>
      </c>
      <c r="X2036" s="22" t="str">
        <f t="shared" si="80"/>
        <v/>
      </c>
      <c r="Y2036" s="25" t="str">
        <f>IF(Table26[[#This Row],[customerSKU]]="","",_xlfn.XLOOKUP(Table26[[#This Row],[customerSKU]],Table27[customer_SKU],Table27[product_GTIN],"",0,1))</f>
        <v/>
      </c>
      <c r="Z2036" s="25" t="s">
        <v>3699</v>
      </c>
      <c r="AA2036" s="18" t="str" cm="1">
        <f t="array" ref="AA2036">IF(P2036="", "", _xlfn.XLOOKUP(P2036,#REF!,#REF!,NA,0,-1))</f>
        <v/>
      </c>
      <c r="AB2036" s="22"/>
      <c r="AC2036" s="23" t="str">
        <f>IF(Table26[[#This Row],[customerSKU]]="","",_xlfn.XLOOKUP(Table26[[#This Row],[customerSKU]],customerSKU!G:G,customerSKU!C:C,"",0,1))</f>
        <v/>
      </c>
      <c r="AD2036" s="23" t="str">
        <f>IF($AC2036="","",_xlfn.XLOOKUP($AC2036,'Client Info'!$C$2:$C$2497,'Client Info'!$D$2:$D$2497,"",0,1))</f>
        <v/>
      </c>
      <c r="AE2036" s="23" t="str">
        <f>IF($AC2036="","",_xlfn.XLOOKUP($AC2036,'Client Info'!$C$2:$C$2677,'Client Info'!$E$2:$E$2677,"",))</f>
        <v/>
      </c>
      <c r="AF2036" s="23" t="str">
        <f>IF($AC2036="","",_xlfn.XLOOKUP($AC2036,'Client Info'!$C$2:$C$2677,'Client Info'!$F$2:$F$2677,"",0,1))</f>
        <v/>
      </c>
      <c r="AG2036" s="23" t="str">
        <f>IF(ISBLANK(Table26[[#This Row],[customerSKU]]),"",_xlfn.XLOOKUP(Table26[[#This Row],[customerSKU]],Table27[customer_SKU],Table27[billto],"",0,1))</f>
        <v/>
      </c>
      <c r="AH2036" s="26" t="str">
        <f>_xlfn.XLOOKUP(Table26[[#This Row],[customerSKU]],customerSKU!G:G,customerSKU!K:K,"NA",0,1)</f>
        <v>NA</v>
      </c>
      <c r="AI2036" s="43" t="str">
        <f>_xlfn.XLOOKUP(Table26[[#This Row],[customerSKU]],customerSKU!G:G,customerSKU!O:O,"not found",0,1)</f>
        <v>not found</v>
      </c>
      <c r="AJ2036" s="22" t="e">
        <f>Table26[[#This Row],[unitprice]]*Table26[[#This Row],[quantity_unit]]</f>
        <v>#VALUE!</v>
      </c>
      <c r="AK2036" s="227" t="e" cm="1">
        <f t="array" ref="AK20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6" s="227"/>
    </row>
    <row r="2037" spans="1:38" ht="15.45" customHeight="1">
      <c r="A2037" s="42">
        <v>213</v>
      </c>
      <c r="B2037" s="42" t="s">
        <v>3520</v>
      </c>
      <c r="C2037" s="53" t="s">
        <v>3488</v>
      </c>
      <c r="E2037" s="20"/>
      <c r="F20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7" s="93"/>
      <c r="I2037" s="203">
        <v>45835</v>
      </c>
      <c r="J2037" s="90" t="str">
        <f>IF(Table26[[#This Row],[customerSKU]]="","",_xlfn.XLOOKUP(Table26[[#This Row],[customerSKU]],customerSKU!G:G,customerSKU!A:A,"",0,1))</f>
        <v/>
      </c>
      <c r="K2037" s="232">
        <v>45852</v>
      </c>
      <c r="L2037" s="49" t="str">
        <f>IF(Table26[[#This Row],[customerSKU]]="","",_xlfn.XLOOKUP(Table26[[#This Row],[customerSKU]],customerSKU!G:G,customerSKU!B:B,"",0,1))</f>
        <v/>
      </c>
      <c r="M2037" s="22"/>
      <c r="N2037" s="15" t="str">
        <f>Table26[[#This Row],[po_number]]&amp;"-"&amp;Table26[[#This Row],[po_line]]</f>
        <v>-8</v>
      </c>
      <c r="O2037" s="15">
        <v>8</v>
      </c>
      <c r="P2037" s="50"/>
      <c r="Q2037" s="22" t="s">
        <v>1324</v>
      </c>
      <c r="R2037" s="22" t="s">
        <v>3559</v>
      </c>
      <c r="S2037" s="90" t="str">
        <f>IF(Table26[[#This Row],[customerSKU]]="","",_xlfn.XLOOKUP(Table26[[#This Row],[customerSKU]],customerSKU!G:G,customerSKU!N:N,"NOT FOUND",0,1))</f>
        <v>NOT FOUND</v>
      </c>
      <c r="T2037" s="20">
        <v>45629</v>
      </c>
      <c r="U2037" s="94">
        <v>12</v>
      </c>
      <c r="V2037" s="22" t="str">
        <f>IF(ISBLANK(Table26[[#This Row],[customerSKU]]),"",_xlfn.XLOOKUP(Table26[[#This Row],[customerSKU]],Table27[customer_SKU],Table27[case_size],"",0,1))</f>
        <v/>
      </c>
      <c r="W2037" s="117" t="str">
        <f t="shared" si="81"/>
        <v/>
      </c>
      <c r="X2037" s="22" t="str">
        <f t="shared" si="80"/>
        <v/>
      </c>
      <c r="Y2037" s="25" t="str">
        <f>IF(Table26[[#This Row],[customerSKU]]="","",_xlfn.XLOOKUP(Table26[[#This Row],[customerSKU]],Table27[customer_SKU],Table27[product_GTIN],"",0,1))</f>
        <v/>
      </c>
      <c r="Z2037" s="25" t="s">
        <v>3700</v>
      </c>
      <c r="AA2037" s="18" t="str" cm="1">
        <f t="array" ref="AA2037">IF(P2037="", "", _xlfn.XLOOKUP(P2037,#REF!,#REF!,NA,0,-1))</f>
        <v/>
      </c>
      <c r="AB2037" s="22"/>
      <c r="AC2037" s="23" t="str">
        <f>IF(Table26[[#This Row],[customerSKU]]="","",_xlfn.XLOOKUP(Table26[[#This Row],[customerSKU]],customerSKU!G:G,customerSKU!C:C,"",0,1))</f>
        <v/>
      </c>
      <c r="AD2037" s="23" t="str">
        <f>IF($AC2037="","",_xlfn.XLOOKUP($AC2037,'Client Info'!$C$2:$C$2497,'Client Info'!$D$2:$D$2497,"",0,1))</f>
        <v/>
      </c>
      <c r="AE2037" s="23" t="str">
        <f>IF($AC2037="","",_xlfn.XLOOKUP($AC2037,'Client Info'!$C$2:$C$2677,'Client Info'!$E$2:$E$2677,"",))</f>
        <v/>
      </c>
      <c r="AF2037" s="23" t="str">
        <f>IF($AC2037="","",_xlfn.XLOOKUP($AC2037,'Client Info'!$C$2:$C$2677,'Client Info'!$F$2:$F$2677,"",0,1))</f>
        <v/>
      </c>
      <c r="AG2037" s="23" t="str">
        <f>IF(ISBLANK(Table26[[#This Row],[customerSKU]]),"",_xlfn.XLOOKUP(Table26[[#This Row],[customerSKU]],Table27[customer_SKU],Table27[billto],"",0,1))</f>
        <v/>
      </c>
      <c r="AH2037" s="26" t="str">
        <f>_xlfn.XLOOKUP(Table26[[#This Row],[customerSKU]],customerSKU!G:G,customerSKU!K:K,"NA",0,1)</f>
        <v>NA</v>
      </c>
      <c r="AI2037" s="43" t="str">
        <f>_xlfn.XLOOKUP(Table26[[#This Row],[customerSKU]],customerSKU!G:G,customerSKU!O:O,"not found",0,1)</f>
        <v>not found</v>
      </c>
      <c r="AJ2037" s="22" t="e">
        <f>Table26[[#This Row],[unitprice]]*Table26[[#This Row],[quantity_unit]]</f>
        <v>#VALUE!</v>
      </c>
      <c r="AK2037" s="227" t="e" cm="1">
        <f t="array" ref="AK20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7" s="227"/>
    </row>
    <row r="2038" spans="1:38" ht="15.45" customHeight="1">
      <c r="A2038" s="42">
        <v>214</v>
      </c>
      <c r="B2038" s="42" t="s">
        <v>3520</v>
      </c>
      <c r="C2038" s="53" t="s">
        <v>3488</v>
      </c>
      <c r="E2038" s="20"/>
      <c r="F20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8" s="93"/>
      <c r="I2038" s="203">
        <v>45835</v>
      </c>
      <c r="J2038" s="90" t="str">
        <f>IF(Table26[[#This Row],[customerSKU]]="","",_xlfn.XLOOKUP(Table26[[#This Row],[customerSKU]],customerSKU!G:G,customerSKU!A:A,"",0,1))</f>
        <v/>
      </c>
      <c r="K2038" s="232">
        <v>45852</v>
      </c>
      <c r="L2038" s="49" t="str">
        <f>IF(Table26[[#This Row],[customerSKU]]="","",_xlfn.XLOOKUP(Table26[[#This Row],[customerSKU]],customerSKU!G:G,customerSKU!B:B,"",0,1))</f>
        <v/>
      </c>
      <c r="M2038" s="22"/>
      <c r="N2038" s="15" t="str">
        <f>Table26[[#This Row],[po_number]]&amp;"-"&amp;Table26[[#This Row],[po_line]]</f>
        <v>-9</v>
      </c>
      <c r="O2038" s="15">
        <v>9</v>
      </c>
      <c r="P2038" s="50"/>
      <c r="Q2038" s="22" t="s">
        <v>3701</v>
      </c>
      <c r="R2038" s="22" t="s">
        <v>3559</v>
      </c>
      <c r="S2038" s="90" t="str">
        <f>IF(Table26[[#This Row],[customerSKU]]="","",_xlfn.XLOOKUP(Table26[[#This Row],[customerSKU]],customerSKU!G:G,customerSKU!N:N,"NOT FOUND",0,1))</f>
        <v>NOT FOUND</v>
      </c>
      <c r="T2038" s="20">
        <v>45630</v>
      </c>
      <c r="U2038" s="94">
        <f>32*6</f>
        <v>192</v>
      </c>
      <c r="V2038" s="22" t="str">
        <f>IF(ISBLANK(Table26[[#This Row],[customerSKU]]),"",_xlfn.XLOOKUP(Table26[[#This Row],[customerSKU]],Table27[customer_SKU],Table27[case_size],"",0,1))</f>
        <v/>
      </c>
      <c r="W2038" s="117" t="str">
        <f t="shared" si="81"/>
        <v/>
      </c>
      <c r="X2038" s="22" t="str">
        <f t="shared" si="80"/>
        <v/>
      </c>
      <c r="Y2038" s="25" t="str">
        <f>IF(Table26[[#This Row],[customerSKU]]="","",_xlfn.XLOOKUP(Table26[[#This Row],[customerSKU]],Table27[customer_SKU],Table27[product_GTIN],"",0,1))</f>
        <v/>
      </c>
      <c r="Z2038" s="25" t="s">
        <v>3700</v>
      </c>
      <c r="AA2038" s="18" t="str" cm="1">
        <f t="array" ref="AA2038">IF(P2038="", "", _xlfn.XLOOKUP(P2038,#REF!,#REF!,NA,0,-1))</f>
        <v/>
      </c>
      <c r="AB2038" s="22"/>
      <c r="AC2038" s="23" t="str">
        <f>IF(Table26[[#This Row],[customerSKU]]="","",_xlfn.XLOOKUP(Table26[[#This Row],[customerSKU]],customerSKU!G:G,customerSKU!C:C,"",0,1))</f>
        <v/>
      </c>
      <c r="AD2038" s="23" t="str">
        <f>IF($AC2038="","",_xlfn.XLOOKUP($AC2038,'Client Info'!$C$2:$C$2497,'Client Info'!$D$2:$D$2497,"",0,1))</f>
        <v/>
      </c>
      <c r="AE2038" s="23" t="str">
        <f>IF($AC2038="","",_xlfn.XLOOKUP($AC2038,'Client Info'!$C$2:$C$2677,'Client Info'!$E$2:$E$2677,"",))</f>
        <v/>
      </c>
      <c r="AF2038" s="23" t="str">
        <f>IF($AC2038="","",_xlfn.XLOOKUP($AC2038,'Client Info'!$C$2:$C$2677,'Client Info'!$F$2:$F$2677,"",0,1))</f>
        <v/>
      </c>
      <c r="AG2038" s="23" t="str">
        <f>IF(ISBLANK(Table26[[#This Row],[customerSKU]]),"",_xlfn.XLOOKUP(Table26[[#This Row],[customerSKU]],Table27[customer_SKU],Table27[billto],"",0,1))</f>
        <v/>
      </c>
      <c r="AH2038" s="26" t="str">
        <f>_xlfn.XLOOKUP(Table26[[#This Row],[customerSKU]],customerSKU!G:G,customerSKU!K:K,"NA",0,1)</f>
        <v>NA</v>
      </c>
      <c r="AI2038" s="43" t="str">
        <f>_xlfn.XLOOKUP(Table26[[#This Row],[customerSKU]],customerSKU!G:G,customerSKU!O:O,"not found",0,1)</f>
        <v>not found</v>
      </c>
      <c r="AJ2038" s="22" t="e">
        <f>Table26[[#This Row],[unitprice]]*Table26[[#This Row],[quantity_unit]]</f>
        <v>#VALUE!</v>
      </c>
      <c r="AK2038" s="227" t="e" cm="1">
        <f t="array" ref="AK20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8" s="227"/>
    </row>
    <row r="2039" spans="1:38" ht="15.45" customHeight="1">
      <c r="A2039" s="42">
        <v>215</v>
      </c>
      <c r="B2039" s="42" t="s">
        <v>3520</v>
      </c>
      <c r="C2039" s="53" t="s">
        <v>3488</v>
      </c>
      <c r="E2039" s="20"/>
      <c r="F20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39" s="93"/>
      <c r="I2039" s="203">
        <v>45835</v>
      </c>
      <c r="J2039" s="90" t="str">
        <f>IF(Table26[[#This Row],[customerSKU]]="","",_xlfn.XLOOKUP(Table26[[#This Row],[customerSKU]],customerSKU!G:G,customerSKU!A:A,"",0,1))</f>
        <v/>
      </c>
      <c r="K2039" s="232">
        <v>45852</v>
      </c>
      <c r="L2039" s="49" t="str">
        <f>IF(Table26[[#This Row],[customerSKU]]="","",_xlfn.XLOOKUP(Table26[[#This Row],[customerSKU]],customerSKU!G:G,customerSKU!B:B,"",0,1))</f>
        <v/>
      </c>
      <c r="M2039" s="22"/>
      <c r="N2039" s="15" t="str">
        <f>Table26[[#This Row],[po_number]]&amp;"-"&amp;Table26[[#This Row],[po_line]]</f>
        <v>-10</v>
      </c>
      <c r="O2039" s="15">
        <v>10</v>
      </c>
      <c r="P2039" s="50"/>
      <c r="Q2039" s="22" t="s">
        <v>3701</v>
      </c>
      <c r="R2039" s="22" t="s">
        <v>3559</v>
      </c>
      <c r="S2039" s="90" t="str">
        <f>IF(Table26[[#This Row],[customerSKU]]="","",_xlfn.XLOOKUP(Table26[[#This Row],[customerSKU]],customerSKU!G:G,customerSKU!N:N,"NOT FOUND",0,1))</f>
        <v>NOT FOUND</v>
      </c>
      <c r="T2039" s="20">
        <v>45735</v>
      </c>
      <c r="U2039" s="94">
        <v>36</v>
      </c>
      <c r="V2039" s="22" t="str">
        <f>IF(ISBLANK(Table26[[#This Row],[customerSKU]]),"",_xlfn.XLOOKUP(Table26[[#This Row],[customerSKU]],Table27[customer_SKU],Table27[case_size],"",0,1))</f>
        <v/>
      </c>
      <c r="W2039" s="117" t="str">
        <f t="shared" si="81"/>
        <v/>
      </c>
      <c r="X2039" s="22" t="str">
        <f t="shared" si="80"/>
        <v/>
      </c>
      <c r="Y2039" s="25" t="str">
        <f>IF(Table26[[#This Row],[customerSKU]]="","",_xlfn.XLOOKUP(Table26[[#This Row],[customerSKU]],Table27[customer_SKU],Table27[product_GTIN],"",0,1))</f>
        <v/>
      </c>
      <c r="Z2039" s="25" t="s">
        <v>3700</v>
      </c>
      <c r="AA2039" s="18" t="str" cm="1">
        <f t="array" ref="AA2039">IF(P2039="", "", _xlfn.XLOOKUP(P2039,#REF!,#REF!,NA,0,-1))</f>
        <v/>
      </c>
      <c r="AB2039" s="22"/>
      <c r="AC2039" s="23" t="str">
        <f>IF(Table26[[#This Row],[customerSKU]]="","",_xlfn.XLOOKUP(Table26[[#This Row],[customerSKU]],customerSKU!G:G,customerSKU!C:C,"",0,1))</f>
        <v/>
      </c>
      <c r="AD2039" s="23" t="str">
        <f>IF($AC2039="","",_xlfn.XLOOKUP($AC2039,'Client Info'!$C$2:$C$2497,'Client Info'!$D$2:$D$2497,"",0,1))</f>
        <v/>
      </c>
      <c r="AE2039" s="23" t="str">
        <f>IF($AC2039="","",_xlfn.XLOOKUP($AC2039,'Client Info'!$C$2:$C$2677,'Client Info'!$E$2:$E$2677,"",))</f>
        <v/>
      </c>
      <c r="AF2039" s="23" t="str">
        <f>IF($AC2039="","",_xlfn.XLOOKUP($AC2039,'Client Info'!$C$2:$C$2677,'Client Info'!$F$2:$F$2677,"",0,1))</f>
        <v/>
      </c>
      <c r="AG2039" s="23" t="str">
        <f>IF(ISBLANK(Table26[[#This Row],[customerSKU]]),"",_xlfn.XLOOKUP(Table26[[#This Row],[customerSKU]],Table27[customer_SKU],Table27[billto],"",0,1))</f>
        <v/>
      </c>
      <c r="AH2039" s="26" t="str">
        <f>_xlfn.XLOOKUP(Table26[[#This Row],[customerSKU]],customerSKU!G:G,customerSKU!K:K,"NA",0,1)</f>
        <v>NA</v>
      </c>
      <c r="AI2039" s="43" t="str">
        <f>_xlfn.XLOOKUP(Table26[[#This Row],[customerSKU]],customerSKU!G:G,customerSKU!O:O,"not found",0,1)</f>
        <v>not found</v>
      </c>
      <c r="AJ2039" s="22" t="e">
        <f>Table26[[#This Row],[unitprice]]*Table26[[#This Row],[quantity_unit]]</f>
        <v>#VALUE!</v>
      </c>
      <c r="AK2039" s="227" t="e" cm="1">
        <f t="array" ref="AK20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39" s="227"/>
    </row>
    <row r="2040" spans="1:38" ht="15.45" customHeight="1">
      <c r="A2040" s="42">
        <v>216</v>
      </c>
      <c r="B2040" s="42" t="s">
        <v>3520</v>
      </c>
      <c r="C2040" s="22" t="s">
        <v>203</v>
      </c>
      <c r="E2040" s="20"/>
      <c r="F20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0" s="93"/>
      <c r="I2040" s="203">
        <v>45848</v>
      </c>
      <c r="J2040" s="90" t="str">
        <f>IF(Table26[[#This Row],[customerSKU]]="","",_xlfn.XLOOKUP(Table26[[#This Row],[customerSKU]],customerSKU!G:G,customerSKU!A:A,"",0,1))</f>
        <v/>
      </c>
      <c r="K2040" s="19">
        <v>45852</v>
      </c>
      <c r="L2040" s="49" t="str">
        <f>IF(Table26[[#This Row],[customerSKU]]="","",_xlfn.XLOOKUP(Table26[[#This Row],[customerSKU]],customerSKU!G:G,customerSKU!B:B,"",0,1))</f>
        <v/>
      </c>
      <c r="M2040" s="22"/>
      <c r="N2040" s="15" t="str">
        <f>Table26[[#This Row],[po_number]]&amp;"-"&amp;Table26[[#This Row],[po_line]]</f>
        <v>-1</v>
      </c>
      <c r="O2040" s="15">
        <v>1</v>
      </c>
      <c r="P2040" s="50"/>
      <c r="Q2040" s="22" t="s">
        <v>3686</v>
      </c>
      <c r="R2040" s="22" t="s">
        <v>532</v>
      </c>
      <c r="S2040" s="90" t="str">
        <f>IF(Table26[[#This Row],[customerSKU]]="","",_xlfn.XLOOKUP(Table26[[#This Row],[customerSKU]],customerSKU!G:G,customerSKU!N:N,"NOT FOUND",0,1))</f>
        <v>NOT FOUND</v>
      </c>
      <c r="T2040" s="20">
        <v>45838</v>
      </c>
      <c r="U2040" s="94">
        <v>360</v>
      </c>
      <c r="V2040" s="22" t="str">
        <f>IF(ISBLANK(Table26[[#This Row],[customerSKU]]),"",_xlfn.XLOOKUP(Table26[[#This Row],[customerSKU]],Table27[customer_SKU],Table27[case_size],"",0,1))</f>
        <v/>
      </c>
      <c r="W2040" s="117" t="str">
        <f t="shared" si="81"/>
        <v/>
      </c>
      <c r="X2040" s="22" t="str">
        <f t="shared" si="80"/>
        <v/>
      </c>
      <c r="Y2040" s="25" t="str">
        <f>IF(Table26[[#This Row],[customerSKU]]="","",_xlfn.XLOOKUP(Table26[[#This Row],[customerSKU]],Table27[customer_SKU],Table27[product_GTIN],"",0,1))</f>
        <v/>
      </c>
      <c r="Z2040" s="25" t="s">
        <v>3734</v>
      </c>
      <c r="AA2040" s="18" t="str" cm="1">
        <f t="array" ref="AA2040">IF(P2040="", "", _xlfn.XLOOKUP(P2040,#REF!,#REF!,NA,0,-1))</f>
        <v/>
      </c>
      <c r="AB2040" s="22"/>
      <c r="AC2040" s="23" t="s">
        <v>22</v>
      </c>
      <c r="AD2040" s="23" t="str">
        <f>IF($AC2040="","",_xlfn.XLOOKUP($AC2040,'Client Info'!$C$2:$C$2497,'Client Info'!$D$2:$D$2497,"",0,1))</f>
        <v/>
      </c>
      <c r="AE2040" s="23" t="str">
        <f>IF($AC2040="","",_xlfn.XLOOKUP($AC2040,'Client Info'!$C$2:$C$2677,'Client Info'!$E$2:$E$2677,"",))</f>
        <v/>
      </c>
      <c r="AF2040" s="23" t="str">
        <f>IF($AC2040="","",_xlfn.XLOOKUP($AC2040,'Client Info'!$C$2:$C$2677,'Client Info'!$F$2:$F$2677,"",0,1))</f>
        <v/>
      </c>
      <c r="AG2040" s="23" t="str">
        <f>IF(ISBLANK(Table26[[#This Row],[customerSKU]]),"",_xlfn.XLOOKUP(Table26[[#This Row],[customerSKU]],Table27[customer_SKU],Table27[billto],"",0,1))</f>
        <v/>
      </c>
      <c r="AH2040" s="26" t="str">
        <f>_xlfn.XLOOKUP(Table26[[#This Row],[customerSKU]],customerSKU!G:G,customerSKU!K:K,"NA",0,1)</f>
        <v>NA</v>
      </c>
      <c r="AI2040" s="43" t="str">
        <f>_xlfn.XLOOKUP(Table26[[#This Row],[customerSKU]],customerSKU!G:G,customerSKU!O:O,"not found",0,1)</f>
        <v>not found</v>
      </c>
      <c r="AJ2040" s="22" t="e">
        <f>Table26[[#This Row],[unitprice]]*Table26[[#This Row],[quantity_unit]]</f>
        <v>#VALUE!</v>
      </c>
      <c r="AK2040" s="227" t="e" cm="1">
        <f t="array" ref="AK20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0" s="227"/>
    </row>
    <row r="2041" spans="1:38" ht="15.45" customHeight="1">
      <c r="A2041" s="42">
        <v>217</v>
      </c>
      <c r="B2041" s="42" t="s">
        <v>3520</v>
      </c>
      <c r="C2041" s="53" t="s">
        <v>3488</v>
      </c>
      <c r="E2041" s="20"/>
      <c r="F20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1" s="93"/>
      <c r="I2041" s="203">
        <v>45852</v>
      </c>
      <c r="J2041" s="90" t="str">
        <f>IF(Table26[[#This Row],[customerSKU]]="","",_xlfn.XLOOKUP(Table26[[#This Row],[customerSKU]],customerSKU!G:G,customerSKU!A:A,"",0,1))</f>
        <v/>
      </c>
      <c r="K2041" s="19">
        <v>45852</v>
      </c>
      <c r="L2041" s="49" t="str">
        <f>IF(Table26[[#This Row],[customerSKU]]="","",_xlfn.XLOOKUP(Table26[[#This Row],[customerSKU]],customerSKU!G:G,customerSKU!B:B,"",0,1))</f>
        <v/>
      </c>
      <c r="M2041" s="22"/>
      <c r="N2041" s="15" t="str">
        <f>Table26[[#This Row],[po_number]]&amp;"-"&amp;Table26[[#This Row],[po_line]]</f>
        <v>-1</v>
      </c>
      <c r="O2041" s="15">
        <v>1</v>
      </c>
      <c r="P2041" s="50"/>
      <c r="Q2041" s="22" t="s">
        <v>574</v>
      </c>
      <c r="R2041" s="22" t="s">
        <v>532</v>
      </c>
      <c r="S2041" s="90" t="str">
        <f>IF(Table26[[#This Row],[customerSKU]]="","",_xlfn.XLOOKUP(Table26[[#This Row],[customerSKU]],customerSKU!G:G,customerSKU!N:N,"NOT FOUND",0,1))</f>
        <v>NOT FOUND</v>
      </c>
      <c r="T2041" s="20">
        <v>45818</v>
      </c>
      <c r="U2041" s="94">
        <v>24</v>
      </c>
      <c r="V2041" s="22" t="str">
        <f>IF(ISBLANK(Table26[[#This Row],[customerSKU]]),"",_xlfn.XLOOKUP(Table26[[#This Row],[customerSKU]],Table27[customer_SKU],Table27[case_size],"",0,1))</f>
        <v/>
      </c>
      <c r="W2041" s="117" t="str">
        <f t="shared" si="81"/>
        <v/>
      </c>
      <c r="X2041" s="22" t="str">
        <f t="shared" si="80"/>
        <v/>
      </c>
      <c r="Y2041" s="25" t="str">
        <f>IF(Table26[[#This Row],[customerSKU]]="","",_xlfn.XLOOKUP(Table26[[#This Row],[customerSKU]],Table27[customer_SKU],Table27[product_GTIN],"",0,1))</f>
        <v/>
      </c>
      <c r="Z2041" s="25" t="s">
        <v>3530</v>
      </c>
      <c r="AA2041" s="18" t="str" cm="1">
        <f t="array" ref="AA2041">IF(P2041="", "", _xlfn.XLOOKUP(P2041,#REF!,#REF!,NA,0,-1))</f>
        <v/>
      </c>
      <c r="AB2041" s="22"/>
      <c r="AC2041" s="23" t="s">
        <v>188</v>
      </c>
      <c r="AD2041" s="23" t="str">
        <f>IF($AC2041="","",_xlfn.XLOOKUP($AC2041,'Client Info'!$C$2:$C$2497,'Client Info'!$D$2:$D$2497,"",0,1))</f>
        <v/>
      </c>
      <c r="AE2041" s="23" t="str">
        <f>IF($AC2041="","",_xlfn.XLOOKUP($AC2041,'Client Info'!$C$2:$C$2677,'Client Info'!$E$2:$E$2677,"",))</f>
        <v/>
      </c>
      <c r="AF2041" s="23" t="str">
        <f>IF($AC2041="","",_xlfn.XLOOKUP($AC2041,'Client Info'!$C$2:$C$2677,'Client Info'!$F$2:$F$2677,"",0,1))</f>
        <v/>
      </c>
      <c r="AG2041" s="23" t="s">
        <v>188</v>
      </c>
      <c r="AH2041" s="26" t="str">
        <f>_xlfn.XLOOKUP(Table26[[#This Row],[customerSKU]],customerSKU!G:G,customerSKU!K:K,"NA",0,1)</f>
        <v>NA</v>
      </c>
      <c r="AI2041" s="43" t="str">
        <f>_xlfn.XLOOKUP(Table26[[#This Row],[customerSKU]],customerSKU!G:G,customerSKU!O:O,"not found",0,1)</f>
        <v>not found</v>
      </c>
      <c r="AJ2041" s="22" t="e">
        <f>Table26[[#This Row],[unitprice]]*Table26[[#This Row],[quantity_unit]]</f>
        <v>#VALUE!</v>
      </c>
      <c r="AK2041" s="227" t="e" cm="1">
        <f t="array" ref="AK20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1" s="227"/>
    </row>
    <row r="2042" spans="1:38" ht="24.6" customHeight="1">
      <c r="A2042" s="42">
        <v>218</v>
      </c>
      <c r="B2042" s="42" t="s">
        <v>3520</v>
      </c>
      <c r="C2042" s="53" t="s">
        <v>3488</v>
      </c>
      <c r="E2042" s="20"/>
      <c r="F20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2" s="93"/>
      <c r="I2042" s="203">
        <v>45852</v>
      </c>
      <c r="J2042" s="90" t="str">
        <f>IF(Table26[[#This Row],[customerSKU]]="","",_xlfn.XLOOKUP(Table26[[#This Row],[customerSKU]],customerSKU!G:G,customerSKU!A:A,"",0,1))</f>
        <v/>
      </c>
      <c r="K2042" s="19">
        <v>45852</v>
      </c>
      <c r="L2042" s="49" t="str">
        <f>IF(Table26[[#This Row],[customerSKU]]="","",_xlfn.XLOOKUP(Table26[[#This Row],[customerSKU]],customerSKU!G:G,customerSKU!B:B,"",0,1))</f>
        <v/>
      </c>
      <c r="M2042" s="22"/>
      <c r="N2042" s="15" t="str">
        <f>Table26[[#This Row],[po_number]]&amp;"-"&amp;Table26[[#This Row],[po_line]]</f>
        <v>-2</v>
      </c>
      <c r="O2042" s="15">
        <v>2</v>
      </c>
      <c r="P2042" s="50"/>
      <c r="Q2042" s="22" t="s">
        <v>1823</v>
      </c>
      <c r="R2042" s="22" t="s">
        <v>532</v>
      </c>
      <c r="S2042" s="90" t="str">
        <f>IF(Table26[[#This Row],[customerSKU]]="","",_xlfn.XLOOKUP(Table26[[#This Row],[customerSKU]],customerSKU!G:G,customerSKU!N:N,"NOT FOUND",0,1))</f>
        <v>NOT FOUND</v>
      </c>
      <c r="T2042" s="20">
        <v>45831</v>
      </c>
      <c r="U2042" s="94">
        <v>24</v>
      </c>
      <c r="V2042" s="22" t="str">
        <f>IF(ISBLANK(Table26[[#This Row],[customerSKU]]),"",_xlfn.XLOOKUP(Table26[[#This Row],[customerSKU]],Table27[customer_SKU],Table27[case_size],"",0,1))</f>
        <v/>
      </c>
      <c r="W2042" s="117" t="str">
        <f t="shared" si="81"/>
        <v/>
      </c>
      <c r="X2042" s="22" t="str">
        <f t="shared" si="80"/>
        <v/>
      </c>
      <c r="Y2042" s="25" t="str">
        <f>IF(Table26[[#This Row],[customerSKU]]="","",_xlfn.XLOOKUP(Table26[[#This Row],[customerSKU]],Table27[customer_SKU],Table27[product_GTIN],"",0,1))</f>
        <v/>
      </c>
      <c r="Z2042" s="25" t="s">
        <v>3690</v>
      </c>
      <c r="AA2042" s="18" t="str" cm="1">
        <f t="array" ref="AA2042">IF(P2042="", "", _xlfn.XLOOKUP(P2042,#REF!,#REF!,NA,0,-1))</f>
        <v/>
      </c>
      <c r="AB2042" s="22"/>
      <c r="AC2042" s="23" t="s">
        <v>188</v>
      </c>
      <c r="AD2042" s="23" t="str">
        <f>IF($AC2042="","",_xlfn.XLOOKUP($AC2042,'Client Info'!$C$2:$C$2497,'Client Info'!$D$2:$D$2497,"",0,1))</f>
        <v/>
      </c>
      <c r="AE2042" s="23" t="str">
        <f>IF($AC2042="","",_xlfn.XLOOKUP($AC2042,'Client Info'!$C$2:$C$2677,'Client Info'!$E$2:$E$2677,"",))</f>
        <v/>
      </c>
      <c r="AF2042" s="23" t="str">
        <f>IF($AC2042="","",_xlfn.XLOOKUP($AC2042,'Client Info'!$C$2:$C$2677,'Client Info'!$F$2:$F$2677,"",0,1))</f>
        <v/>
      </c>
      <c r="AG2042" s="23" t="s">
        <v>188</v>
      </c>
      <c r="AH2042" s="26" t="str">
        <f>_xlfn.XLOOKUP(Table26[[#This Row],[customerSKU]],customerSKU!G:G,customerSKU!K:K,"NA",0,1)</f>
        <v>NA</v>
      </c>
      <c r="AI2042" s="43" t="str">
        <f>_xlfn.XLOOKUP(Table26[[#This Row],[customerSKU]],customerSKU!G:G,customerSKU!O:O,"not found",0,1)</f>
        <v>not found</v>
      </c>
      <c r="AJ2042" s="22" t="e">
        <f>Table26[[#This Row],[unitprice]]*Table26[[#This Row],[quantity_unit]]</f>
        <v>#VALUE!</v>
      </c>
      <c r="AK2042" s="227" t="e" cm="1">
        <f t="array" ref="AK20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2" s="227"/>
    </row>
    <row r="2043" spans="1:38" ht="24.6" customHeight="1">
      <c r="A2043" s="42">
        <v>219</v>
      </c>
      <c r="B2043" s="42" t="s">
        <v>3520</v>
      </c>
      <c r="C2043" s="53" t="s">
        <v>3488</v>
      </c>
      <c r="E2043" s="20"/>
      <c r="F20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3" s="93"/>
      <c r="I2043" s="203">
        <v>45852</v>
      </c>
      <c r="J2043" s="90" t="str">
        <f>IF(Table26[[#This Row],[customerSKU]]="","",_xlfn.XLOOKUP(Table26[[#This Row],[customerSKU]],customerSKU!G:G,customerSKU!A:A,"",0,1))</f>
        <v/>
      </c>
      <c r="K2043" s="19">
        <v>45852</v>
      </c>
      <c r="L2043" s="49" t="str">
        <f>IF(Table26[[#This Row],[customerSKU]]="","",_xlfn.XLOOKUP(Table26[[#This Row],[customerSKU]],customerSKU!G:G,customerSKU!B:B,"",0,1))</f>
        <v/>
      </c>
      <c r="M2043" s="22"/>
      <c r="N2043" s="15" t="str">
        <f>Table26[[#This Row],[po_number]]&amp;"-"&amp;Table26[[#This Row],[po_line]]</f>
        <v>-1</v>
      </c>
      <c r="O2043" s="15">
        <v>1</v>
      </c>
      <c r="P2043" s="50"/>
      <c r="Q2043" s="22" t="s">
        <v>1575</v>
      </c>
      <c r="R2043" s="22" t="s">
        <v>532</v>
      </c>
      <c r="S2043" s="90" t="str">
        <f>IF(Table26[[#This Row],[customerSKU]]="","",_xlfn.XLOOKUP(Table26[[#This Row],[customerSKU]],customerSKU!G:G,customerSKU!N:N,"NOT FOUND",0,1))</f>
        <v>NOT FOUND</v>
      </c>
      <c r="T2043" s="20">
        <v>45742</v>
      </c>
      <c r="U2043" s="94">
        <v>24</v>
      </c>
      <c r="V2043" s="22" t="str">
        <f>IF(ISBLANK(Table26[[#This Row],[customerSKU]]),"",_xlfn.XLOOKUP(Table26[[#This Row],[customerSKU]],Table27[customer_SKU],Table27[case_size],"",0,1))</f>
        <v/>
      </c>
      <c r="W2043" s="117" t="str">
        <f t="shared" si="81"/>
        <v/>
      </c>
      <c r="X2043" s="22" t="str">
        <f t="shared" si="80"/>
        <v/>
      </c>
      <c r="Y2043" s="25" t="str">
        <f>IF(Table26[[#This Row],[customerSKU]]="","",_xlfn.XLOOKUP(Table26[[#This Row],[customerSKU]],Table27[customer_SKU],Table27[product_GTIN],"",0,1))</f>
        <v/>
      </c>
      <c r="Z2043" s="25" t="s">
        <v>3609</v>
      </c>
      <c r="AA2043" s="18" t="str" cm="1">
        <f t="array" ref="AA2043">IF(P2043="", "", _xlfn.XLOOKUP(P2043,#REF!,#REF!,NA,0,-1))</f>
        <v/>
      </c>
      <c r="AB2043" s="22"/>
      <c r="AC2043" s="23" t="s">
        <v>3604</v>
      </c>
      <c r="AD2043" s="23" t="str">
        <f>IF($AC2043="","",_xlfn.XLOOKUP($AC2043,'Client Info'!$C$2:$C$2497,'Client Info'!$D$2:$D$2497,"",0,1))</f>
        <v/>
      </c>
      <c r="AE2043" s="23" t="str">
        <f>IF($AC2043="","",_xlfn.XLOOKUP($AC2043,'Client Info'!$C$2:$C$2677,'Client Info'!$E$2:$E$2677,"",))</f>
        <v/>
      </c>
      <c r="AF2043" s="23" t="str">
        <f>IF($AC2043="","",_xlfn.XLOOKUP($AC2043,'Client Info'!$C$2:$C$2677,'Client Info'!$F$2:$F$2677,"",0,1))</f>
        <v/>
      </c>
      <c r="AG2043" s="23" t="s">
        <v>3604</v>
      </c>
      <c r="AH2043" s="26" t="str">
        <f>_xlfn.XLOOKUP(Table26[[#This Row],[customerSKU]],customerSKU!G:G,customerSKU!K:K,"NA",0,1)</f>
        <v>NA</v>
      </c>
      <c r="AI2043" s="43" t="str">
        <f>_xlfn.XLOOKUP(Table26[[#This Row],[customerSKU]],customerSKU!G:G,customerSKU!O:O,"not found",0,1)</f>
        <v>not found</v>
      </c>
      <c r="AJ2043" s="22" t="e">
        <f>Table26[[#This Row],[unitprice]]*Table26[[#This Row],[quantity_unit]]</f>
        <v>#VALUE!</v>
      </c>
      <c r="AK2043" s="227" t="e" cm="1">
        <f t="array" ref="AK20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3" s="227"/>
    </row>
    <row r="2044" spans="1:38" ht="24.6" customHeight="1">
      <c r="A2044" s="42">
        <v>220</v>
      </c>
      <c r="B2044" s="42" t="s">
        <v>3520</v>
      </c>
      <c r="C2044" s="53" t="s">
        <v>3488</v>
      </c>
      <c r="E2044" s="20"/>
      <c r="F20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4" s="93"/>
      <c r="I2044" s="203">
        <v>45852</v>
      </c>
      <c r="J2044" s="90" t="str">
        <f>IF(Table26[[#This Row],[customerSKU]]="","",_xlfn.XLOOKUP(Table26[[#This Row],[customerSKU]],customerSKU!G:G,customerSKU!A:A,"",0,1))</f>
        <v/>
      </c>
      <c r="K2044" s="19">
        <v>45852</v>
      </c>
      <c r="L2044" s="49" t="str">
        <f>IF(Table26[[#This Row],[customerSKU]]="","",_xlfn.XLOOKUP(Table26[[#This Row],[customerSKU]],customerSKU!G:G,customerSKU!B:B,"",0,1))</f>
        <v/>
      </c>
      <c r="M2044" s="22"/>
      <c r="N2044" s="15" t="str">
        <f>Table26[[#This Row],[po_number]]&amp;"-"&amp;Table26[[#This Row],[po_line]]</f>
        <v>-2</v>
      </c>
      <c r="O2044" s="15">
        <v>2</v>
      </c>
      <c r="P2044" s="50"/>
      <c r="Q2044" s="22" t="s">
        <v>591</v>
      </c>
      <c r="R2044" s="22" t="s">
        <v>532</v>
      </c>
      <c r="S2044" s="90" t="str">
        <f>IF(Table26[[#This Row],[customerSKU]]="","",_xlfn.XLOOKUP(Table26[[#This Row],[customerSKU]],customerSKU!G:G,customerSKU!N:N,"NOT FOUND",0,1))</f>
        <v>NOT FOUND</v>
      </c>
      <c r="T2044" s="20">
        <v>45821</v>
      </c>
      <c r="U2044" s="94">
        <v>1</v>
      </c>
      <c r="V2044" s="22" t="str">
        <f>IF(ISBLANK(Table26[[#This Row],[customerSKU]]),"",_xlfn.XLOOKUP(Table26[[#This Row],[customerSKU]],Table27[customer_SKU],Table27[case_size],"",0,1))</f>
        <v/>
      </c>
      <c r="W2044" s="117" t="str">
        <f t="shared" si="81"/>
        <v/>
      </c>
      <c r="X2044" s="22" t="str">
        <f t="shared" si="80"/>
        <v/>
      </c>
      <c r="Y2044" s="25" t="str">
        <f>IF(Table26[[#This Row],[customerSKU]]="","",_xlfn.XLOOKUP(Table26[[#This Row],[customerSKU]],Table27[customer_SKU],Table27[product_GTIN],"",0,1))</f>
        <v/>
      </c>
      <c r="Z2044" s="25" t="s">
        <v>3525</v>
      </c>
      <c r="AA2044" s="18" t="str" cm="1">
        <f t="array" ref="AA2044">IF(P2044="", "", _xlfn.XLOOKUP(P2044,#REF!,#REF!,NA,0,-1))</f>
        <v/>
      </c>
      <c r="AB2044" s="22"/>
      <c r="AC2044" s="23" t="s">
        <v>3604</v>
      </c>
      <c r="AD2044" s="23" t="str">
        <f>IF($AC2044="","",_xlfn.XLOOKUP($AC2044,'Client Info'!$C$2:$C$2497,'Client Info'!$D$2:$D$2497,"",0,1))</f>
        <v/>
      </c>
      <c r="AE2044" s="23" t="str">
        <f>IF($AC2044="","",_xlfn.XLOOKUP($AC2044,'Client Info'!$C$2:$C$2677,'Client Info'!$E$2:$E$2677,"",))</f>
        <v/>
      </c>
      <c r="AF2044" s="23" t="str">
        <f>IF($AC2044="","",_xlfn.XLOOKUP($AC2044,'Client Info'!$C$2:$C$2677,'Client Info'!$F$2:$F$2677,"",0,1))</f>
        <v/>
      </c>
      <c r="AG2044" s="23" t="s">
        <v>3604</v>
      </c>
      <c r="AH2044" s="26" t="str">
        <f>_xlfn.XLOOKUP(Table26[[#This Row],[customerSKU]],customerSKU!G:G,customerSKU!K:K,"NA",0,1)</f>
        <v>NA</v>
      </c>
      <c r="AI2044" s="43" t="str">
        <f>_xlfn.XLOOKUP(Table26[[#This Row],[customerSKU]],customerSKU!G:G,customerSKU!O:O,"not found",0,1)</f>
        <v>not found</v>
      </c>
      <c r="AJ2044" s="22" t="e">
        <f>Table26[[#This Row],[unitprice]]*Table26[[#This Row],[quantity_unit]]</f>
        <v>#VALUE!</v>
      </c>
      <c r="AK2044" s="227" t="e" cm="1">
        <f t="array" ref="AK20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4" s="227"/>
    </row>
    <row r="2045" spans="1:38" ht="24.6" customHeight="1">
      <c r="A2045" s="42">
        <v>221</v>
      </c>
      <c r="B2045" s="42" t="s">
        <v>3520</v>
      </c>
      <c r="C2045" s="53" t="s">
        <v>3488</v>
      </c>
      <c r="E2045" s="20"/>
      <c r="F20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5" s="93"/>
      <c r="I2045" s="203">
        <v>45852</v>
      </c>
      <c r="J2045" s="90" t="str">
        <f>IF(Table26[[#This Row],[customerSKU]]="","",_xlfn.XLOOKUP(Table26[[#This Row],[customerSKU]],customerSKU!G:G,customerSKU!A:A,"",0,1))</f>
        <v/>
      </c>
      <c r="K2045" s="19">
        <v>45852</v>
      </c>
      <c r="L2045" s="49" t="str">
        <f>IF(Table26[[#This Row],[customerSKU]]="","",_xlfn.XLOOKUP(Table26[[#This Row],[customerSKU]],customerSKU!G:G,customerSKU!B:B,"",0,1))</f>
        <v/>
      </c>
      <c r="M2045" s="22"/>
      <c r="N2045" s="15" t="str">
        <f>Table26[[#This Row],[po_number]]&amp;"-"&amp;Table26[[#This Row],[po_line]]</f>
        <v>-3</v>
      </c>
      <c r="O2045" s="15">
        <v>3</v>
      </c>
      <c r="P2045" s="50"/>
      <c r="Q2045" s="22" t="s">
        <v>591</v>
      </c>
      <c r="R2045" s="22" t="s">
        <v>532</v>
      </c>
      <c r="S2045" s="90" t="str">
        <f>IF(Table26[[#This Row],[customerSKU]]="","",_xlfn.XLOOKUP(Table26[[#This Row],[customerSKU]],customerSKU!G:G,customerSKU!N:N,"NOT FOUND",0,1))</f>
        <v>NOT FOUND</v>
      </c>
      <c r="T2045" s="20">
        <v>45841</v>
      </c>
      <c r="U2045" s="94">
        <v>23</v>
      </c>
      <c r="V2045" s="22" t="str">
        <f>IF(ISBLANK(Table26[[#This Row],[customerSKU]]),"",_xlfn.XLOOKUP(Table26[[#This Row],[customerSKU]],Table27[customer_SKU],Table27[case_size],"",0,1))</f>
        <v/>
      </c>
      <c r="W2045" s="117" t="str">
        <f t="shared" si="81"/>
        <v/>
      </c>
      <c r="X2045" s="22" t="str">
        <f t="shared" si="80"/>
        <v/>
      </c>
      <c r="Y2045" s="25" t="str">
        <f>IF(Table26[[#This Row],[customerSKU]]="","",_xlfn.XLOOKUP(Table26[[#This Row],[customerSKU]],Table27[customer_SKU],Table27[product_GTIN],"",0,1))</f>
        <v/>
      </c>
      <c r="Z2045" s="25" t="s">
        <v>3525</v>
      </c>
      <c r="AA2045" s="18" t="str" cm="1">
        <f t="array" ref="AA2045">IF(P2045="", "", _xlfn.XLOOKUP(P2045,#REF!,#REF!,NA,0,-1))</f>
        <v/>
      </c>
      <c r="AB2045" s="22"/>
      <c r="AC2045" s="23" t="s">
        <v>3604</v>
      </c>
      <c r="AD2045" s="23" t="str">
        <f>IF($AC2045="","",_xlfn.XLOOKUP($AC2045,'Client Info'!$C$2:$C$2497,'Client Info'!$D$2:$D$2497,"",0,1))</f>
        <v/>
      </c>
      <c r="AE2045" s="23" t="str">
        <f>IF($AC2045="","",_xlfn.XLOOKUP($AC2045,'Client Info'!$C$2:$C$2677,'Client Info'!$E$2:$E$2677,"",))</f>
        <v/>
      </c>
      <c r="AF2045" s="23" t="str">
        <f>IF($AC2045="","",_xlfn.XLOOKUP($AC2045,'Client Info'!$C$2:$C$2677,'Client Info'!$F$2:$F$2677,"",0,1))</f>
        <v/>
      </c>
      <c r="AG2045" s="23" t="s">
        <v>3604</v>
      </c>
      <c r="AH2045" s="26" t="str">
        <f>_xlfn.XLOOKUP(Table26[[#This Row],[customerSKU]],customerSKU!G:G,customerSKU!K:K,"NA",0,1)</f>
        <v>NA</v>
      </c>
      <c r="AI2045" s="43" t="str">
        <f>_xlfn.XLOOKUP(Table26[[#This Row],[customerSKU]],customerSKU!G:G,customerSKU!O:O,"not found",0,1)</f>
        <v>not found</v>
      </c>
      <c r="AJ2045" s="22" t="e">
        <f>Table26[[#This Row],[unitprice]]*Table26[[#This Row],[quantity_unit]]</f>
        <v>#VALUE!</v>
      </c>
      <c r="AK2045" s="227" t="e" cm="1">
        <f t="array" ref="AK20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5" s="227"/>
    </row>
    <row r="2046" spans="1:38" ht="24.6" customHeight="1">
      <c r="A2046" s="42">
        <v>197</v>
      </c>
      <c r="B2046" s="42" t="s">
        <v>3520</v>
      </c>
      <c r="C2046" s="22" t="s">
        <v>3360</v>
      </c>
      <c r="E2046" s="20"/>
      <c r="F20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6" s="93"/>
      <c r="I2046" s="203">
        <v>45853</v>
      </c>
      <c r="J2046" s="90" t="str">
        <f>IF(Table26[[#This Row],[customerSKU]]="","",_xlfn.XLOOKUP(Table26[[#This Row],[customerSKU]],customerSKU!G:G,customerSKU!A:A,"",0,1))</f>
        <v/>
      </c>
      <c r="K2046" s="203">
        <v>45853</v>
      </c>
      <c r="L2046" s="49" t="str">
        <f>IF(Table26[[#This Row],[customerSKU]]="","",_xlfn.XLOOKUP(Table26[[#This Row],[customerSKU]],customerSKU!G:G,customerSKU!B:B,"",0,1))</f>
        <v/>
      </c>
      <c r="M2046" s="22"/>
      <c r="N2046" s="15" t="str">
        <f>Table26[[#This Row],[po_number]]&amp;"-"&amp;Table26[[#This Row],[po_line]]</f>
        <v>-1</v>
      </c>
      <c r="O2046" s="15">
        <v>1</v>
      </c>
      <c r="P2046" s="50"/>
      <c r="S2046" s="90" t="str">
        <f>IF(Table26[[#This Row],[customerSKU]]="","",_xlfn.XLOOKUP(Table26[[#This Row],[customerSKU]],customerSKU!G:G,customerSKU!N:N,"NOT FOUND",0,1))</f>
        <v>NOT FOUND</v>
      </c>
      <c r="T2046" s="20"/>
      <c r="U2046" s="94">
        <v>12</v>
      </c>
      <c r="V2046" s="22" t="str">
        <f>IF(ISBLANK(Table26[[#This Row],[customerSKU]]),"",_xlfn.XLOOKUP(Table26[[#This Row],[customerSKU]],Table27[customer_SKU],Table27[case_size],"",0,1))</f>
        <v/>
      </c>
      <c r="W2046" s="117" t="str">
        <f t="shared" si="81"/>
        <v/>
      </c>
      <c r="X2046" s="22" t="str">
        <f t="shared" si="80"/>
        <v/>
      </c>
      <c r="Y2046" s="25" t="str">
        <f>IF(Table26[[#This Row],[customerSKU]]="","",_xlfn.XLOOKUP(Table26[[#This Row],[customerSKU]],Table27[customer_SKU],Table27[product_GTIN],"",0,1))</f>
        <v/>
      </c>
      <c r="Z2046" s="25" t="s">
        <v>3529</v>
      </c>
      <c r="AA2046" s="18" t="str" cm="1">
        <f t="array" ref="AA2046">IF(P2046="", "", _xlfn.XLOOKUP(P2046,#REF!,#REF!,NA,0,-1))</f>
        <v/>
      </c>
      <c r="AB2046" s="22"/>
      <c r="AC2046" s="23" t="str">
        <f>IF(Table26[[#This Row],[customerSKU]]="","",_xlfn.XLOOKUP(Table26[[#This Row],[customerSKU]],customerSKU!G:G,customerSKU!C:C,"",0,1))</f>
        <v/>
      </c>
      <c r="AD2046" s="23" t="str">
        <f>IF($AC2046="","",_xlfn.XLOOKUP($AC2046,'Client Info'!$C$2:$C$2497,'Client Info'!$D$2:$D$2497,"",0,1))</f>
        <v/>
      </c>
      <c r="AE2046" s="23" t="str">
        <f>IF($AC2046="","",_xlfn.XLOOKUP($AC2046,'Client Info'!$C$2:$C$2677,'Client Info'!$E$2:$E$2677,"",))</f>
        <v/>
      </c>
      <c r="AF2046" s="23" t="str">
        <f>IF($AC2046="","",_xlfn.XLOOKUP($AC2046,'Client Info'!$C$2:$C$2677,'Client Info'!$F$2:$F$2677,"",0,1))</f>
        <v/>
      </c>
      <c r="AG2046" s="23" t="str">
        <f>IF(ISBLANK(Table26[[#This Row],[customerSKU]]),"",_xlfn.XLOOKUP(Table26[[#This Row],[customerSKU]],Table27[customer_SKU],Table27[billto],"",0,1))</f>
        <v/>
      </c>
      <c r="AH2046" s="26" t="str">
        <f>_xlfn.XLOOKUP(Table26[[#This Row],[customerSKU]],customerSKU!G:G,customerSKU!K:K,"NA",0,1)</f>
        <v>NA</v>
      </c>
      <c r="AI2046" s="43" t="str">
        <f>_xlfn.XLOOKUP(Table26[[#This Row],[customerSKU]],customerSKU!G:G,customerSKU!O:O,"not found",0,1)</f>
        <v>not found</v>
      </c>
      <c r="AJ2046" s="22" t="e">
        <f>Table26[[#This Row],[unitprice]]*Table26[[#This Row],[quantity_unit]]</f>
        <v>#VALUE!</v>
      </c>
      <c r="AK2046" s="227" t="e" cm="1">
        <f t="array" ref="AK20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6" s="227"/>
    </row>
    <row r="2047" spans="1:38" ht="24.6" customHeight="1">
      <c r="A2047" s="42">
        <v>198</v>
      </c>
      <c r="B2047" s="42" t="s">
        <v>3520</v>
      </c>
      <c r="C2047" s="22" t="s">
        <v>3360</v>
      </c>
      <c r="E2047" s="20"/>
      <c r="F20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7" s="93"/>
      <c r="I2047" s="203">
        <v>45853</v>
      </c>
      <c r="J2047" s="90" t="str">
        <f>IF(Table26[[#This Row],[customerSKU]]="","",_xlfn.XLOOKUP(Table26[[#This Row],[customerSKU]],customerSKU!G:G,customerSKU!A:A,"",0,1))</f>
        <v/>
      </c>
      <c r="K2047" s="203">
        <v>45853</v>
      </c>
      <c r="L2047" s="49" t="str">
        <f>IF(Table26[[#This Row],[customerSKU]]="","",_xlfn.XLOOKUP(Table26[[#This Row],[customerSKU]],customerSKU!G:G,customerSKU!B:B,"",0,1))</f>
        <v/>
      </c>
      <c r="M2047" s="22"/>
      <c r="N2047" s="15" t="str">
        <f>Table26[[#This Row],[po_number]]&amp;"-"&amp;Table26[[#This Row],[po_line]]</f>
        <v>-1</v>
      </c>
      <c r="O2047" s="15">
        <v>1</v>
      </c>
      <c r="P2047" s="50"/>
      <c r="S2047" s="90" t="str">
        <f>IF(Table26[[#This Row],[customerSKU]]="","",_xlfn.XLOOKUP(Table26[[#This Row],[customerSKU]],customerSKU!G:G,customerSKU!N:N,"NOT FOUND",0,1))</f>
        <v>NOT FOUND</v>
      </c>
      <c r="T2047" s="20"/>
      <c r="U2047" s="94">
        <v>12</v>
      </c>
      <c r="V2047" s="22" t="str">
        <f>IF(ISBLANK(Table26[[#This Row],[customerSKU]]),"",_xlfn.XLOOKUP(Table26[[#This Row],[customerSKU]],Table27[customer_SKU],Table27[case_size],"",0,1))</f>
        <v/>
      </c>
      <c r="W2047" s="117" t="str">
        <f t="shared" si="81"/>
        <v/>
      </c>
      <c r="X2047" s="22" t="str">
        <f t="shared" si="80"/>
        <v/>
      </c>
      <c r="Y2047" s="25" t="str">
        <f>IF(Table26[[#This Row],[customerSKU]]="","",_xlfn.XLOOKUP(Table26[[#This Row],[customerSKU]],Table27[customer_SKU],Table27[product_GTIN],"",0,1))</f>
        <v/>
      </c>
      <c r="Z2047" s="25" t="s">
        <v>3654</v>
      </c>
      <c r="AA2047" s="18" t="str" cm="1">
        <f t="array" ref="AA2047">IF(P2047="", "", _xlfn.XLOOKUP(P2047,#REF!,#REF!,NA,0,-1))</f>
        <v/>
      </c>
      <c r="AB2047" s="22"/>
      <c r="AC2047" s="23" t="str">
        <f>IF(Table26[[#This Row],[customerSKU]]="","",_xlfn.XLOOKUP(Table26[[#This Row],[customerSKU]],customerSKU!G:G,customerSKU!C:C,"",0,1))</f>
        <v/>
      </c>
      <c r="AD2047" s="23" t="str">
        <f>IF($AC2047="","",_xlfn.XLOOKUP($AC2047,'Client Info'!$C$2:$C$2497,'Client Info'!$D$2:$D$2497,"",0,1))</f>
        <v/>
      </c>
      <c r="AE2047" s="23" t="str">
        <f>IF($AC2047="","",_xlfn.XLOOKUP($AC2047,'Client Info'!$C$2:$C$2677,'Client Info'!$E$2:$E$2677,"",))</f>
        <v/>
      </c>
      <c r="AF2047" s="23" t="str">
        <f>IF($AC2047="","",_xlfn.XLOOKUP($AC2047,'Client Info'!$C$2:$C$2677,'Client Info'!$F$2:$F$2677,"",0,1))</f>
        <v/>
      </c>
      <c r="AG2047" s="23" t="str">
        <f>IF(ISBLANK(Table26[[#This Row],[customerSKU]]),"",_xlfn.XLOOKUP(Table26[[#This Row],[customerSKU]],Table27[customer_SKU],Table27[billto],"",0,1))</f>
        <v/>
      </c>
      <c r="AH2047" s="26" t="str">
        <f>_xlfn.XLOOKUP(Table26[[#This Row],[customerSKU]],customerSKU!G:G,customerSKU!K:K,"NA",0,1)</f>
        <v>NA</v>
      </c>
      <c r="AI2047" s="43" t="str">
        <f>_xlfn.XLOOKUP(Table26[[#This Row],[customerSKU]],customerSKU!G:G,customerSKU!O:O,"not found",0,1)</f>
        <v>not found</v>
      </c>
      <c r="AJ2047" s="22" t="e">
        <f>Table26[[#This Row],[unitprice]]*Table26[[#This Row],[quantity_unit]]</f>
        <v>#VALUE!</v>
      </c>
      <c r="AK2047" s="227" t="e" cm="1">
        <f t="array" ref="AK20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7" s="227"/>
    </row>
    <row r="2048" spans="1:38" ht="15.45" customHeight="1">
      <c r="A2048" s="42">
        <v>199</v>
      </c>
      <c r="B2048" s="42" t="s">
        <v>3520</v>
      </c>
      <c r="C2048" s="22" t="s">
        <v>3360</v>
      </c>
      <c r="E2048" s="20"/>
      <c r="F20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8" s="93"/>
      <c r="I2048" s="203">
        <v>45853</v>
      </c>
      <c r="J2048" s="90" t="str">
        <f>IF(Table26[[#This Row],[customerSKU]]="","",_xlfn.XLOOKUP(Table26[[#This Row],[customerSKU]],customerSKU!G:G,customerSKU!A:A,"",0,1))</f>
        <v/>
      </c>
      <c r="K2048" s="203">
        <v>45853</v>
      </c>
      <c r="L2048" s="49" t="str">
        <f>IF(Table26[[#This Row],[customerSKU]]="","",_xlfn.XLOOKUP(Table26[[#This Row],[customerSKU]],customerSKU!G:G,customerSKU!B:B,"",0,1))</f>
        <v/>
      </c>
      <c r="M2048" s="22"/>
      <c r="N2048" s="15" t="str">
        <f>Table26[[#This Row],[po_number]]&amp;"-"&amp;Table26[[#This Row],[po_line]]</f>
        <v>-1</v>
      </c>
      <c r="O2048" s="15">
        <v>1</v>
      </c>
      <c r="P2048" s="50"/>
      <c r="S2048" s="90" t="str">
        <f>IF(Table26[[#This Row],[customerSKU]]="","",_xlfn.XLOOKUP(Table26[[#This Row],[customerSKU]],customerSKU!G:G,customerSKU!N:N,"NOT FOUND",0,1))</f>
        <v>NOT FOUND</v>
      </c>
      <c r="T2048" s="20"/>
      <c r="U2048" s="94">
        <v>12</v>
      </c>
      <c r="V2048" s="22" t="str">
        <f>IF(ISBLANK(Table26[[#This Row],[customerSKU]]),"",_xlfn.XLOOKUP(Table26[[#This Row],[customerSKU]],Table27[customer_SKU],Table27[case_size],"",0,1))</f>
        <v/>
      </c>
      <c r="W2048" s="117" t="str">
        <f t="shared" si="81"/>
        <v/>
      </c>
      <c r="X2048" s="22" t="str">
        <f t="shared" si="80"/>
        <v/>
      </c>
      <c r="Y2048" s="25" t="str">
        <f>IF(Table26[[#This Row],[customerSKU]]="","",_xlfn.XLOOKUP(Table26[[#This Row],[customerSKU]],Table27[customer_SKU],Table27[product_GTIN],"",0,1))</f>
        <v/>
      </c>
      <c r="Z2048" s="25" t="s">
        <v>3529</v>
      </c>
      <c r="AA2048" s="18" t="str" cm="1">
        <f t="array" ref="AA2048">IF(P2048="", "", _xlfn.XLOOKUP(P2048,#REF!,#REF!,NA,0,-1))</f>
        <v/>
      </c>
      <c r="AB2048" s="22"/>
      <c r="AC2048" s="23" t="str">
        <f>IF(Table26[[#This Row],[customerSKU]]="","",_xlfn.XLOOKUP(Table26[[#This Row],[customerSKU]],customerSKU!G:G,customerSKU!C:C,"",0,1))</f>
        <v/>
      </c>
      <c r="AD2048" s="23" t="str">
        <f>IF($AC2048="","",_xlfn.XLOOKUP($AC2048,'Client Info'!$C$2:$C$2497,'Client Info'!$D$2:$D$2497,"",0,1))</f>
        <v/>
      </c>
      <c r="AE2048" s="23" t="str">
        <f>IF($AC2048="","",_xlfn.XLOOKUP($AC2048,'Client Info'!$C$2:$C$2677,'Client Info'!$E$2:$E$2677,"",))</f>
        <v/>
      </c>
      <c r="AF2048" s="23" t="str">
        <f>IF($AC2048="","",_xlfn.XLOOKUP($AC2048,'Client Info'!$C$2:$C$2677,'Client Info'!$F$2:$F$2677,"",0,1))</f>
        <v/>
      </c>
      <c r="AG2048" s="23" t="str">
        <f>IF(ISBLANK(Table26[[#This Row],[customerSKU]]),"",_xlfn.XLOOKUP(Table26[[#This Row],[customerSKU]],Table27[customer_SKU],Table27[billto],"",0,1))</f>
        <v/>
      </c>
      <c r="AH2048" s="26" t="str">
        <f>_xlfn.XLOOKUP(Table26[[#This Row],[customerSKU]],customerSKU!G:G,customerSKU!K:K,"NA",0,1)</f>
        <v>NA</v>
      </c>
      <c r="AI2048" s="43" t="str">
        <f>_xlfn.XLOOKUP(Table26[[#This Row],[customerSKU]],customerSKU!G:G,customerSKU!O:O,"not found",0,1)</f>
        <v>not found</v>
      </c>
      <c r="AJ2048" s="22" t="e">
        <f>Table26[[#This Row],[unitprice]]*Table26[[#This Row],[quantity_unit]]</f>
        <v>#VALUE!</v>
      </c>
      <c r="AK2048" s="227" t="e" cm="1">
        <f t="array" ref="AK20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8" s="227"/>
    </row>
    <row r="2049" spans="1:38" ht="15.45" customHeight="1">
      <c r="A2049" s="42">
        <v>200</v>
      </c>
      <c r="B2049" s="42" t="s">
        <v>3520</v>
      </c>
      <c r="C2049" s="53" t="s">
        <v>3488</v>
      </c>
      <c r="E2049" s="20"/>
      <c r="F20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49" s="93"/>
      <c r="J2049" s="90" t="str">
        <f>IF(Table26[[#This Row],[customerSKU]]="","",_xlfn.XLOOKUP(Table26[[#This Row],[customerSKU]],customerSKU!G:G,customerSKU!A:A,"",0,1))</f>
        <v/>
      </c>
      <c r="K2049" s="232">
        <v>45853</v>
      </c>
      <c r="L2049" s="49" t="str">
        <f>IF(Table26[[#This Row],[customerSKU]]="","",_xlfn.XLOOKUP(Table26[[#This Row],[customerSKU]],customerSKU!G:G,customerSKU!B:B,"",0,1))</f>
        <v/>
      </c>
      <c r="M2049" s="22"/>
      <c r="N2049" s="15" t="str">
        <f>Table26[[#This Row],[po_number]]&amp;"-"&amp;Table26[[#This Row],[po_line]]</f>
        <v>-1</v>
      </c>
      <c r="O2049" s="15">
        <v>1</v>
      </c>
      <c r="P2049" s="50"/>
      <c r="Q2049" s="22" t="s">
        <v>1827</v>
      </c>
      <c r="R2049" s="22" t="s">
        <v>532</v>
      </c>
      <c r="S2049" s="90" t="str">
        <f>IF(Table26[[#This Row],[customerSKU]]="","",_xlfn.XLOOKUP(Table26[[#This Row],[customerSKU]],customerSKU!G:G,customerSKU!N:N,"NOT FOUND",0,1))</f>
        <v>NOT FOUND</v>
      </c>
      <c r="T2049" s="20">
        <v>45825</v>
      </c>
      <c r="U2049" s="94">
        <f>13*12</f>
        <v>156</v>
      </c>
      <c r="V2049" s="22" t="str">
        <f>IF(ISBLANK(Table26[[#This Row],[customerSKU]]),"",_xlfn.XLOOKUP(Table26[[#This Row],[customerSKU]],Table27[customer_SKU],Table27[case_size],"",0,1))</f>
        <v/>
      </c>
      <c r="W2049" s="117" t="str">
        <f t="shared" si="81"/>
        <v/>
      </c>
      <c r="X2049" s="22" t="str">
        <f t="shared" si="80"/>
        <v/>
      </c>
      <c r="Y2049" s="25" t="str">
        <f>IF(Table26[[#This Row],[customerSKU]]="","",_xlfn.XLOOKUP(Table26[[#This Row],[customerSKU]],Table27[customer_SKU],Table27[product_GTIN],"",0,1))</f>
        <v/>
      </c>
      <c r="Z2049" s="25" t="s">
        <v>3736</v>
      </c>
      <c r="AA2049" s="18" t="str" cm="1">
        <f t="array" ref="AA2049">IF(P2049="", "", _xlfn.XLOOKUP(P2049,#REF!,#REF!,NA,0,-1))</f>
        <v/>
      </c>
      <c r="AB2049" s="22"/>
      <c r="AC2049" s="23" t="str">
        <f>IF(Table26[[#This Row],[customerSKU]]="","",_xlfn.XLOOKUP(Table26[[#This Row],[customerSKU]],customerSKU!G:G,customerSKU!C:C,"",0,1))</f>
        <v/>
      </c>
      <c r="AD2049" s="23" t="str">
        <f>IF($AC2049="","",_xlfn.XLOOKUP($AC2049,'Client Info'!$C$2:$C$2497,'Client Info'!$D$2:$D$2497,"",0,1))</f>
        <v/>
      </c>
      <c r="AE2049" s="23" t="str">
        <f>IF($AC2049="","",_xlfn.XLOOKUP($AC2049,'Client Info'!$C$2:$C$2677,'Client Info'!$E$2:$E$2677,"",))</f>
        <v/>
      </c>
      <c r="AF2049" s="23" t="str">
        <f>IF($AC2049="","",_xlfn.XLOOKUP($AC2049,'Client Info'!$C$2:$C$2677,'Client Info'!$F$2:$F$2677,"",0,1))</f>
        <v/>
      </c>
      <c r="AG2049" s="23" t="str">
        <f>IF(ISBLANK(Table26[[#This Row],[customerSKU]]),"",_xlfn.XLOOKUP(Table26[[#This Row],[customerSKU]],Table27[customer_SKU],Table27[billto],"",0,1))</f>
        <v/>
      </c>
      <c r="AH2049" s="26" t="str">
        <f>_xlfn.XLOOKUP(Table26[[#This Row],[customerSKU]],customerSKU!G:G,customerSKU!K:K,"NA",0,1)</f>
        <v>NA</v>
      </c>
      <c r="AI2049" s="43" t="str">
        <f>_xlfn.XLOOKUP(Table26[[#This Row],[customerSKU]],customerSKU!G:G,customerSKU!O:O,"not found",0,1)</f>
        <v>not found</v>
      </c>
      <c r="AJ2049" s="22" t="e">
        <f>Table26[[#This Row],[unitprice]]*Table26[[#This Row],[quantity_unit]]</f>
        <v>#VALUE!</v>
      </c>
      <c r="AK2049" s="227" t="e" cm="1">
        <f t="array" ref="AK20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49" s="227"/>
    </row>
    <row r="2050" spans="1:38" ht="15.45" customHeight="1">
      <c r="A2050" s="42">
        <v>201</v>
      </c>
      <c r="B2050" s="42" t="s">
        <v>3520</v>
      </c>
      <c r="C2050" s="53" t="s">
        <v>3488</v>
      </c>
      <c r="E2050" s="20"/>
      <c r="F20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0" s="93"/>
      <c r="J2050" s="90" t="str">
        <f>IF(Table26[[#This Row],[customerSKU]]="","",_xlfn.XLOOKUP(Table26[[#This Row],[customerSKU]],customerSKU!G:G,customerSKU!A:A,"",0,1))</f>
        <v/>
      </c>
      <c r="K2050" s="232">
        <v>45853</v>
      </c>
      <c r="L2050" s="49" t="str">
        <f>IF(Table26[[#This Row],[customerSKU]]="","",_xlfn.XLOOKUP(Table26[[#This Row],[customerSKU]],customerSKU!G:G,customerSKU!B:B,"",0,1))</f>
        <v/>
      </c>
      <c r="M2050" s="22"/>
      <c r="N2050" s="15" t="str">
        <f>Table26[[#This Row],[po_number]]&amp;"-"&amp;Table26[[#This Row],[po_line]]</f>
        <v>-2</v>
      </c>
      <c r="O2050" s="15">
        <v>2</v>
      </c>
      <c r="P2050" s="50"/>
      <c r="Q2050" s="22" t="s">
        <v>1842</v>
      </c>
      <c r="R2050" s="22" t="s">
        <v>532</v>
      </c>
      <c r="S2050" s="90" t="str">
        <f>IF(Table26[[#This Row],[customerSKU]]="","",_xlfn.XLOOKUP(Table26[[#This Row],[customerSKU]],customerSKU!G:G,customerSKU!N:N,"NOT FOUND",0,1))</f>
        <v>NOT FOUND</v>
      </c>
      <c r="T2050" s="20">
        <v>45846</v>
      </c>
      <c r="U2050" s="94">
        <f>600-156</f>
        <v>444</v>
      </c>
      <c r="V2050" s="22" t="str">
        <f>IF(ISBLANK(Table26[[#This Row],[customerSKU]]),"",_xlfn.XLOOKUP(Table26[[#This Row],[customerSKU]],Table27[customer_SKU],Table27[case_size],"",0,1))</f>
        <v/>
      </c>
      <c r="W2050" s="117" t="str">
        <f t="shared" si="81"/>
        <v/>
      </c>
      <c r="X2050" s="22" t="str">
        <f t="shared" si="80"/>
        <v/>
      </c>
      <c r="Y2050" s="25" t="str">
        <f>IF(Table26[[#This Row],[customerSKU]]="","",_xlfn.XLOOKUP(Table26[[#This Row],[customerSKU]],Table27[customer_SKU],Table27[product_GTIN],"",0,1))</f>
        <v/>
      </c>
      <c r="Z2050" s="25" t="s">
        <v>3736</v>
      </c>
      <c r="AA2050" s="18" t="str" cm="1">
        <f t="array" ref="AA2050">IF(P2050="", "", _xlfn.XLOOKUP(P2050,#REF!,#REF!,NA,0,-1))</f>
        <v/>
      </c>
      <c r="AB2050" s="22"/>
      <c r="AC2050" s="23" t="str">
        <f>IF(Table26[[#This Row],[customerSKU]]="","",_xlfn.XLOOKUP(Table26[[#This Row],[customerSKU]],customerSKU!G:G,customerSKU!C:C,"",0,1))</f>
        <v/>
      </c>
      <c r="AD2050" s="23" t="str">
        <f>IF($AC2050="","",_xlfn.XLOOKUP($AC2050,'Client Info'!$C$2:$C$2497,'Client Info'!$D$2:$D$2497,"",0,1))</f>
        <v/>
      </c>
      <c r="AE2050" s="23" t="str">
        <f>IF($AC2050="","",_xlfn.XLOOKUP($AC2050,'Client Info'!$C$2:$C$2677,'Client Info'!$E$2:$E$2677,"",))</f>
        <v/>
      </c>
      <c r="AF2050" s="23" t="str">
        <f>IF($AC2050="","",_xlfn.XLOOKUP($AC2050,'Client Info'!$C$2:$C$2677,'Client Info'!$F$2:$F$2677,"",0,1))</f>
        <v/>
      </c>
      <c r="AG2050" s="23" t="str">
        <f>IF(ISBLANK(Table26[[#This Row],[customerSKU]]),"",_xlfn.XLOOKUP(Table26[[#This Row],[customerSKU]],Table27[customer_SKU],Table27[billto],"",0,1))</f>
        <v/>
      </c>
      <c r="AH2050" s="26" t="str">
        <f>_xlfn.XLOOKUP(Table26[[#This Row],[customerSKU]],customerSKU!G:G,customerSKU!K:K,"NA",0,1)</f>
        <v>NA</v>
      </c>
      <c r="AI2050" s="43" t="str">
        <f>_xlfn.XLOOKUP(Table26[[#This Row],[customerSKU]],customerSKU!G:G,customerSKU!O:O,"not found",0,1)</f>
        <v>not found</v>
      </c>
      <c r="AJ2050" s="22" t="e">
        <f>Table26[[#This Row],[unitprice]]*Table26[[#This Row],[quantity_unit]]</f>
        <v>#VALUE!</v>
      </c>
      <c r="AK2050" s="227" t="e" cm="1">
        <f t="array" ref="AK20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0" s="227"/>
    </row>
    <row r="2051" spans="1:38" ht="15.45" customHeight="1">
      <c r="A2051" s="42">
        <v>202</v>
      </c>
      <c r="B2051" s="42" t="s">
        <v>3520</v>
      </c>
      <c r="C2051" s="53" t="s">
        <v>3488</v>
      </c>
      <c r="E2051" s="20"/>
      <c r="F20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1" s="93"/>
      <c r="J2051" s="90" t="str">
        <f>IF(Table26[[#This Row],[customerSKU]]="","",_xlfn.XLOOKUP(Table26[[#This Row],[customerSKU]],customerSKU!G:G,customerSKU!A:A,"",0,1))</f>
        <v/>
      </c>
      <c r="K2051" s="232">
        <v>45853</v>
      </c>
      <c r="L2051" s="49" t="str">
        <f>IF(Table26[[#This Row],[customerSKU]]="","",_xlfn.XLOOKUP(Table26[[#This Row],[customerSKU]],customerSKU!G:G,customerSKU!B:B,"",0,1))</f>
        <v/>
      </c>
      <c r="M2051" s="22"/>
      <c r="N2051" s="15" t="str">
        <f>Table26[[#This Row],[po_number]]&amp;"-"&amp;Table26[[#This Row],[po_line]]</f>
        <v>-3</v>
      </c>
      <c r="O2051" s="15">
        <v>3</v>
      </c>
      <c r="P2051" s="50"/>
      <c r="Q2051" s="22" t="s">
        <v>1806</v>
      </c>
      <c r="R2051" s="22" t="s">
        <v>532</v>
      </c>
      <c r="S2051" s="90" t="str">
        <f>IF(Table26[[#This Row],[customerSKU]]="","",_xlfn.XLOOKUP(Table26[[#This Row],[customerSKU]],customerSKU!G:G,customerSKU!N:N,"NOT FOUND",0,1))</f>
        <v>NOT FOUND</v>
      </c>
      <c r="T2051" s="20">
        <v>45826</v>
      </c>
      <c r="U2051" s="94">
        <v>120</v>
      </c>
      <c r="V2051" s="22" t="str">
        <f>IF(ISBLANK(Table26[[#This Row],[customerSKU]]),"",_xlfn.XLOOKUP(Table26[[#This Row],[customerSKU]],Table27[customer_SKU],Table27[case_size],"",0,1))</f>
        <v/>
      </c>
      <c r="W2051" s="117" t="str">
        <f t="shared" si="81"/>
        <v/>
      </c>
      <c r="X2051" s="22" t="str">
        <f t="shared" si="80"/>
        <v/>
      </c>
      <c r="Y2051" s="25" t="str">
        <f>IF(Table26[[#This Row],[customerSKU]]="","",_xlfn.XLOOKUP(Table26[[#This Row],[customerSKU]],Table27[customer_SKU],Table27[product_GTIN],"",0,1))</f>
        <v/>
      </c>
      <c r="Z2051" s="25" t="s">
        <v>3286</v>
      </c>
      <c r="AA2051" s="18" t="str" cm="1">
        <f t="array" ref="AA2051">IF(P2051="", "", _xlfn.XLOOKUP(P2051,#REF!,#REF!,NA,0,-1))</f>
        <v/>
      </c>
      <c r="AB2051" s="22"/>
      <c r="AC2051" s="23" t="str">
        <f>IF(Table26[[#This Row],[customerSKU]]="","",_xlfn.XLOOKUP(Table26[[#This Row],[customerSKU]],customerSKU!G:G,customerSKU!C:C,"",0,1))</f>
        <v/>
      </c>
      <c r="AD2051" s="23" t="str">
        <f>IF($AC2051="","",_xlfn.XLOOKUP($AC2051,'Client Info'!$C$2:$C$2497,'Client Info'!$D$2:$D$2497,"",0,1))</f>
        <v/>
      </c>
      <c r="AE2051" s="23" t="str">
        <f>IF($AC2051="","",_xlfn.XLOOKUP($AC2051,'Client Info'!$C$2:$C$2677,'Client Info'!$E$2:$E$2677,"",))</f>
        <v/>
      </c>
      <c r="AF2051" s="23" t="str">
        <f>IF($AC2051="","",_xlfn.XLOOKUP($AC2051,'Client Info'!$C$2:$C$2677,'Client Info'!$F$2:$F$2677,"",0,1))</f>
        <v/>
      </c>
      <c r="AG2051" s="23" t="str">
        <f>IF(ISBLANK(Table26[[#This Row],[customerSKU]]),"",_xlfn.XLOOKUP(Table26[[#This Row],[customerSKU]],Table27[customer_SKU],Table27[billto],"",0,1))</f>
        <v/>
      </c>
      <c r="AH2051" s="26" t="str">
        <f>_xlfn.XLOOKUP(Table26[[#This Row],[customerSKU]],customerSKU!G:G,customerSKU!K:K,"NA",0,1)</f>
        <v>NA</v>
      </c>
      <c r="AI2051" s="43" t="str">
        <f>_xlfn.XLOOKUP(Table26[[#This Row],[customerSKU]],customerSKU!G:G,customerSKU!O:O,"not found",0,1)</f>
        <v>not found</v>
      </c>
      <c r="AJ2051" s="22" t="e">
        <f>Table26[[#This Row],[unitprice]]*Table26[[#This Row],[quantity_unit]]</f>
        <v>#VALUE!</v>
      </c>
      <c r="AK2051" s="227" t="e" cm="1">
        <f t="array" ref="AK20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1" s="227"/>
    </row>
    <row r="2052" spans="1:38" ht="15.45" customHeight="1">
      <c r="A2052" s="42">
        <v>203</v>
      </c>
      <c r="B2052" s="42" t="s">
        <v>3520</v>
      </c>
      <c r="C2052" s="53" t="s">
        <v>3488</v>
      </c>
      <c r="E2052" s="20"/>
      <c r="F20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2" s="93"/>
      <c r="J2052" s="90" t="str">
        <f>IF(Table26[[#This Row],[customerSKU]]="","",_xlfn.XLOOKUP(Table26[[#This Row],[customerSKU]],customerSKU!G:G,customerSKU!A:A,"",0,1))</f>
        <v/>
      </c>
      <c r="K2052" s="232">
        <v>45853</v>
      </c>
      <c r="L2052" s="49" t="str">
        <f>IF(Table26[[#This Row],[customerSKU]]="","",_xlfn.XLOOKUP(Table26[[#This Row],[customerSKU]],customerSKU!G:G,customerSKU!B:B,"",0,1))</f>
        <v/>
      </c>
      <c r="M2052" s="22"/>
      <c r="N2052" s="15" t="str">
        <f>Table26[[#This Row],[po_number]]&amp;"-"&amp;Table26[[#This Row],[po_line]]</f>
        <v>-4</v>
      </c>
      <c r="O2052" s="15">
        <v>4</v>
      </c>
      <c r="P2052" s="50"/>
      <c r="Q2052" s="22" t="s">
        <v>1845</v>
      </c>
      <c r="R2052" s="22" t="s">
        <v>532</v>
      </c>
      <c r="S2052" s="90" t="str">
        <f>IF(Table26[[#This Row],[customerSKU]]="","",_xlfn.XLOOKUP(Table26[[#This Row],[customerSKU]],customerSKU!G:G,customerSKU!N:N,"NOT FOUND",0,1))</f>
        <v>NOT FOUND</v>
      </c>
      <c r="T2052" s="20">
        <v>45846</v>
      </c>
      <c r="U2052" s="94">
        <v>600</v>
      </c>
      <c r="V2052" s="22" t="str">
        <f>IF(ISBLANK(Table26[[#This Row],[customerSKU]]),"",_xlfn.XLOOKUP(Table26[[#This Row],[customerSKU]],Table27[customer_SKU],Table27[case_size],"",0,1))</f>
        <v/>
      </c>
      <c r="W2052" s="117" t="str">
        <f t="shared" si="81"/>
        <v/>
      </c>
      <c r="X2052" s="22" t="str">
        <f t="shared" si="80"/>
        <v/>
      </c>
      <c r="Y2052" s="25" t="str">
        <f>IF(Table26[[#This Row],[customerSKU]]="","",_xlfn.XLOOKUP(Table26[[#This Row],[customerSKU]],Table27[customer_SKU],Table27[product_GTIN],"",0,1))</f>
        <v/>
      </c>
      <c r="Z2052" s="25" t="s">
        <v>3283</v>
      </c>
      <c r="AA2052" s="18" t="str" cm="1">
        <f t="array" ref="AA2052">IF(P2052="", "", _xlfn.XLOOKUP(P2052,#REF!,#REF!,NA,0,-1))</f>
        <v/>
      </c>
      <c r="AB2052" s="22"/>
      <c r="AC2052" s="23" t="str">
        <f>IF(Table26[[#This Row],[customerSKU]]="","",_xlfn.XLOOKUP(Table26[[#This Row],[customerSKU]],customerSKU!G:G,customerSKU!C:C,"",0,1))</f>
        <v/>
      </c>
      <c r="AD2052" s="23" t="str">
        <f>IF($AC2052="","",_xlfn.XLOOKUP($AC2052,'Client Info'!$C$2:$C$2497,'Client Info'!$D$2:$D$2497,"",0,1))</f>
        <v/>
      </c>
      <c r="AE2052" s="23" t="str">
        <f>IF($AC2052="","",_xlfn.XLOOKUP($AC2052,'Client Info'!$C$2:$C$2677,'Client Info'!$E$2:$E$2677,"",))</f>
        <v/>
      </c>
      <c r="AF2052" s="23" t="str">
        <f>IF($AC2052="","",_xlfn.XLOOKUP($AC2052,'Client Info'!$C$2:$C$2677,'Client Info'!$F$2:$F$2677,"",0,1))</f>
        <v/>
      </c>
      <c r="AG2052" s="23" t="str">
        <f>IF(ISBLANK(Table26[[#This Row],[customerSKU]]),"",_xlfn.XLOOKUP(Table26[[#This Row],[customerSKU]],Table27[customer_SKU],Table27[billto],"",0,1))</f>
        <v/>
      </c>
      <c r="AH2052" s="26" t="str">
        <f>_xlfn.XLOOKUP(Table26[[#This Row],[customerSKU]],customerSKU!G:G,customerSKU!K:K,"NA",0,1)</f>
        <v>NA</v>
      </c>
      <c r="AI2052" s="43" t="str">
        <f>_xlfn.XLOOKUP(Table26[[#This Row],[customerSKU]],customerSKU!G:G,customerSKU!O:O,"not found",0,1)</f>
        <v>not found</v>
      </c>
      <c r="AJ2052" s="22" t="e">
        <f>Table26[[#This Row],[unitprice]]*Table26[[#This Row],[quantity_unit]]</f>
        <v>#VALUE!</v>
      </c>
      <c r="AK2052" s="227" t="e" cm="1">
        <f t="array" ref="AK20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2" s="227"/>
    </row>
    <row r="2053" spans="1:38" ht="15.45" customHeight="1">
      <c r="A2053" s="42">
        <v>204</v>
      </c>
      <c r="B2053" s="42" t="s">
        <v>3520</v>
      </c>
      <c r="C2053" s="53" t="s">
        <v>3488</v>
      </c>
      <c r="E2053" s="20"/>
      <c r="F20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3" s="93"/>
      <c r="J2053" s="90" t="str">
        <f>IF(Table26[[#This Row],[customerSKU]]="","",_xlfn.XLOOKUP(Table26[[#This Row],[customerSKU]],customerSKU!G:G,customerSKU!A:A,"",0,1))</f>
        <v/>
      </c>
      <c r="K2053" s="232">
        <v>45853</v>
      </c>
      <c r="L2053" s="49" t="str">
        <f>IF(Table26[[#This Row],[customerSKU]]="","",_xlfn.XLOOKUP(Table26[[#This Row],[customerSKU]],customerSKU!G:G,customerSKU!B:B,"",0,1))</f>
        <v/>
      </c>
      <c r="M2053" s="22"/>
      <c r="N2053" s="15" t="str">
        <f>Table26[[#This Row],[po_number]]&amp;"-"&amp;Table26[[#This Row],[po_line]]</f>
        <v>-5</v>
      </c>
      <c r="O2053" s="15">
        <v>5</v>
      </c>
      <c r="P2053" s="50"/>
      <c r="Q2053" s="22" t="s">
        <v>574</v>
      </c>
      <c r="R2053" s="22" t="s">
        <v>532</v>
      </c>
      <c r="S2053" s="90" t="str">
        <f>IF(Table26[[#This Row],[customerSKU]]="","",_xlfn.XLOOKUP(Table26[[#This Row],[customerSKU]],customerSKU!G:G,customerSKU!N:N,"NOT FOUND",0,1))</f>
        <v>NOT FOUND</v>
      </c>
      <c r="T2053" s="20">
        <v>45848</v>
      </c>
      <c r="U2053" s="94">
        <v>600</v>
      </c>
      <c r="V2053" s="22" t="str">
        <f>IF(ISBLANK(Table26[[#This Row],[customerSKU]]),"",_xlfn.XLOOKUP(Table26[[#This Row],[customerSKU]],Table27[customer_SKU],Table27[case_size],"",0,1))</f>
        <v/>
      </c>
      <c r="W2053" s="117" t="str">
        <f t="shared" si="81"/>
        <v/>
      </c>
      <c r="X2053" s="22" t="str">
        <f t="shared" si="80"/>
        <v/>
      </c>
      <c r="Y2053" s="25" t="str">
        <f>IF(Table26[[#This Row],[customerSKU]]="","",_xlfn.XLOOKUP(Table26[[#This Row],[customerSKU]],Table27[customer_SKU],Table27[product_GTIN],"",0,1))</f>
        <v/>
      </c>
      <c r="Z2053" s="25" t="s">
        <v>3631</v>
      </c>
      <c r="AA2053" s="18" t="str" cm="1">
        <f t="array" ref="AA2053">IF(P2053="", "", _xlfn.XLOOKUP(P2053,#REF!,#REF!,NA,0,-1))</f>
        <v/>
      </c>
      <c r="AB2053" s="22"/>
      <c r="AC2053" s="23" t="str">
        <f>IF(Table26[[#This Row],[customerSKU]]="","",_xlfn.XLOOKUP(Table26[[#This Row],[customerSKU]],customerSKU!G:G,customerSKU!C:C,"",0,1))</f>
        <v/>
      </c>
      <c r="AD2053" s="23" t="str">
        <f>IF($AC2053="","",_xlfn.XLOOKUP($AC2053,'Client Info'!$C$2:$C$2497,'Client Info'!$D$2:$D$2497,"",0,1))</f>
        <v/>
      </c>
      <c r="AE2053" s="23" t="str">
        <f>IF($AC2053="","",_xlfn.XLOOKUP($AC2053,'Client Info'!$C$2:$C$2677,'Client Info'!$E$2:$E$2677,"",))</f>
        <v/>
      </c>
      <c r="AF2053" s="23" t="str">
        <f>IF($AC2053="","",_xlfn.XLOOKUP($AC2053,'Client Info'!$C$2:$C$2677,'Client Info'!$F$2:$F$2677,"",0,1))</f>
        <v/>
      </c>
      <c r="AG2053" s="23" t="str">
        <f>IF(ISBLANK(Table26[[#This Row],[customerSKU]]),"",_xlfn.XLOOKUP(Table26[[#This Row],[customerSKU]],Table27[customer_SKU],Table27[billto],"",0,1))</f>
        <v/>
      </c>
      <c r="AH2053" s="26" t="str">
        <f>_xlfn.XLOOKUP(Table26[[#This Row],[customerSKU]],customerSKU!G:G,customerSKU!K:K,"NA",0,1)</f>
        <v>NA</v>
      </c>
      <c r="AI2053" s="43" t="str">
        <f>_xlfn.XLOOKUP(Table26[[#This Row],[customerSKU]],customerSKU!G:G,customerSKU!O:O,"not found",0,1)</f>
        <v>not found</v>
      </c>
      <c r="AJ2053" s="22" t="e">
        <f>Table26[[#This Row],[unitprice]]*Table26[[#This Row],[quantity_unit]]</f>
        <v>#VALUE!</v>
      </c>
      <c r="AK2053" s="227" t="e" cm="1">
        <f t="array" ref="AK20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3" s="227"/>
    </row>
    <row r="2054" spans="1:38" ht="15.45" customHeight="1">
      <c r="A2054" s="42">
        <v>205</v>
      </c>
      <c r="B2054" s="42" t="s">
        <v>3520</v>
      </c>
      <c r="C2054" s="53" t="s">
        <v>3488</v>
      </c>
      <c r="E2054" s="20"/>
      <c r="F20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4" s="93"/>
      <c r="J2054" s="90" t="str">
        <f>IF(Table26[[#This Row],[customerSKU]]="","",_xlfn.XLOOKUP(Table26[[#This Row],[customerSKU]],customerSKU!G:G,customerSKU!A:A,"",0,1))</f>
        <v/>
      </c>
      <c r="K2054" s="232">
        <v>45853</v>
      </c>
      <c r="L2054" s="49" t="str">
        <f>IF(Table26[[#This Row],[customerSKU]]="","",_xlfn.XLOOKUP(Table26[[#This Row],[customerSKU]],customerSKU!G:G,customerSKU!B:B,"",0,1))</f>
        <v/>
      </c>
      <c r="M2054" s="22"/>
      <c r="N2054" s="15" t="str">
        <f>Table26[[#This Row],[po_number]]&amp;"-"&amp;Table26[[#This Row],[po_line]]</f>
        <v>-6</v>
      </c>
      <c r="O2054" s="15">
        <v>6</v>
      </c>
      <c r="P2054" s="50"/>
      <c r="Q2054" s="22" t="s">
        <v>1867</v>
      </c>
      <c r="R2054" s="22" t="s">
        <v>221</v>
      </c>
      <c r="S2054" s="90" t="str">
        <f>IF(Table26[[#This Row],[customerSKU]]="","",_xlfn.XLOOKUP(Table26[[#This Row],[customerSKU]],customerSKU!G:G,customerSKU!N:N,"NOT FOUND",0,1))</f>
        <v>NOT FOUND</v>
      </c>
      <c r="T2054" s="20">
        <v>45849</v>
      </c>
      <c r="U2054" s="94">
        <v>900</v>
      </c>
      <c r="V2054" s="22" t="str">
        <f>IF(ISBLANK(Table26[[#This Row],[customerSKU]]),"",_xlfn.XLOOKUP(Table26[[#This Row],[customerSKU]],Table27[customer_SKU],Table27[case_size],"",0,1))</f>
        <v/>
      </c>
      <c r="W2054" s="117" t="str">
        <f t="shared" si="81"/>
        <v/>
      </c>
      <c r="X2054" s="22" t="str">
        <f t="shared" si="80"/>
        <v/>
      </c>
      <c r="Y2054" s="25" t="str">
        <f>IF(Table26[[#This Row],[customerSKU]]="","",_xlfn.XLOOKUP(Table26[[#This Row],[customerSKU]],Table27[customer_SKU],Table27[product_GTIN],"",0,1))</f>
        <v/>
      </c>
      <c r="Z2054" s="25" t="s">
        <v>4167</v>
      </c>
      <c r="AA2054" s="18" t="str" cm="1">
        <f t="array" ref="AA2054">IF(P2054="", "", _xlfn.XLOOKUP(P2054,#REF!,#REF!,NA,0,-1))</f>
        <v/>
      </c>
      <c r="AB2054" s="22"/>
      <c r="AC2054" s="23" t="str">
        <f>IF(Table26[[#This Row],[customerSKU]]="","",_xlfn.XLOOKUP(Table26[[#This Row],[customerSKU]],customerSKU!G:G,customerSKU!C:C,"",0,1))</f>
        <v/>
      </c>
      <c r="AD2054" s="23" t="str">
        <f>IF($AC2054="","",_xlfn.XLOOKUP($AC2054,'Client Info'!$C$2:$C$2497,'Client Info'!$D$2:$D$2497,"",0,1))</f>
        <v/>
      </c>
      <c r="AE2054" s="23" t="str">
        <f>IF($AC2054="","",_xlfn.XLOOKUP($AC2054,'Client Info'!$C$2:$C$2677,'Client Info'!$E$2:$E$2677,"",))</f>
        <v/>
      </c>
      <c r="AF2054" s="23" t="str">
        <f>IF($AC2054="","",_xlfn.XLOOKUP($AC2054,'Client Info'!$C$2:$C$2677,'Client Info'!$F$2:$F$2677,"",0,1))</f>
        <v/>
      </c>
      <c r="AG2054" s="23" t="str">
        <f>IF(ISBLANK(Table26[[#This Row],[customerSKU]]),"",_xlfn.XLOOKUP(Table26[[#This Row],[customerSKU]],Table27[customer_SKU],Table27[billto],"",0,1))</f>
        <v/>
      </c>
      <c r="AH2054" s="26" t="str">
        <f>_xlfn.XLOOKUP(Table26[[#This Row],[customerSKU]],customerSKU!G:G,customerSKU!K:K,"NA",0,1)</f>
        <v>NA</v>
      </c>
      <c r="AI2054" s="43" t="str">
        <f>_xlfn.XLOOKUP(Table26[[#This Row],[customerSKU]],customerSKU!G:G,customerSKU!O:O,"not found",0,1)</f>
        <v>not found</v>
      </c>
      <c r="AJ2054" s="22" t="e">
        <f>Table26[[#This Row],[unitprice]]*Table26[[#This Row],[quantity_unit]]</f>
        <v>#VALUE!</v>
      </c>
      <c r="AK2054" s="227" t="e" cm="1">
        <f t="array" ref="AK20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4" s="227"/>
    </row>
    <row r="2055" spans="1:38" ht="15.45" customHeight="1">
      <c r="A2055" s="42">
        <v>195</v>
      </c>
      <c r="B2055" s="42" t="s">
        <v>3520</v>
      </c>
      <c r="C2055" s="22" t="s">
        <v>203</v>
      </c>
      <c r="E2055" s="20"/>
      <c r="F20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5" s="93"/>
      <c r="I2055" s="203">
        <v>45854</v>
      </c>
      <c r="J2055" s="90" t="str">
        <f>IF(Table26[[#This Row],[customerSKU]]="","",_xlfn.XLOOKUP(Table26[[#This Row],[customerSKU]],customerSKU!G:G,customerSKU!A:A,"",0,1))</f>
        <v/>
      </c>
      <c r="K2055" s="203">
        <v>45854</v>
      </c>
      <c r="L2055" s="49" t="s">
        <v>201</v>
      </c>
      <c r="M2055" s="22"/>
      <c r="N2055" s="15" t="str">
        <f>Table26[[#This Row],[po_number]]&amp;"-"&amp;Table26[[#This Row],[po_line]]</f>
        <v>-1</v>
      </c>
      <c r="O2055" s="15">
        <v>1</v>
      </c>
      <c r="P2055" s="50"/>
      <c r="Q2055" s="22" t="s">
        <v>1774</v>
      </c>
      <c r="R2055" s="22" t="s">
        <v>532</v>
      </c>
      <c r="S2055" s="90" t="str">
        <f>IF(Table26[[#This Row],[customerSKU]]="","",_xlfn.XLOOKUP(Table26[[#This Row],[customerSKU]],customerSKU!G:G,customerSKU!N:N,"NOT FOUND",0,1))</f>
        <v>NOT FOUND</v>
      </c>
      <c r="T2055" s="20">
        <v>45790</v>
      </c>
      <c r="U2055" s="94">
        <f>14*12</f>
        <v>168</v>
      </c>
      <c r="V2055" s="22" t="str">
        <f>IF(ISBLANK(Table26[[#This Row],[customerSKU]]),"",_xlfn.XLOOKUP(Table26[[#This Row],[customerSKU]],Table27[customer_SKU],Table27[case_size],"",0,1))</f>
        <v/>
      </c>
      <c r="W2055" s="117" t="str">
        <f t="shared" si="81"/>
        <v/>
      </c>
      <c r="X2055" s="22" t="str">
        <f>IFERROR($AA2055*$U2054, "")</f>
        <v/>
      </c>
      <c r="Y2055" s="25" t="str">
        <f>IF(Table26[[#This Row],[customerSKU]]="","",_xlfn.XLOOKUP(Table26[[#This Row],[customerSKU]],Table27[customer_SKU],Table27[product_GTIN],"",0,1))</f>
        <v/>
      </c>
      <c r="Z2055" s="25" t="s">
        <v>3694</v>
      </c>
      <c r="AA2055" s="18" t="str" cm="1">
        <f t="array" ref="AA2055">IF(P2055="", "", _xlfn.XLOOKUP(P2055,#REF!,#REF!,NA,0,-1))</f>
        <v/>
      </c>
      <c r="AB2055" s="22"/>
      <c r="AC2055" s="23" t="s">
        <v>165</v>
      </c>
      <c r="AD2055" s="23" t="str">
        <f>IF($AC2055="","",_xlfn.XLOOKUP($AC2055,'Client Info'!$C$2:$C$2497,'Client Info'!$D$2:$D$2497,"",0,1))</f>
        <v/>
      </c>
      <c r="AE2055" s="23" t="str">
        <f>IF($AC2055="","",_xlfn.XLOOKUP($AC2055,'Client Info'!$C$2:$C$2677,'Client Info'!$E$2:$E$2677,"",))</f>
        <v/>
      </c>
      <c r="AF2055" s="23" t="str">
        <f>IF($AC2055="","",_xlfn.XLOOKUP($AC2055,'Client Info'!$C$2:$C$2677,'Client Info'!$F$2:$F$2677,"",0,1))</f>
        <v/>
      </c>
      <c r="AG2055" s="23" t="s">
        <v>55</v>
      </c>
      <c r="AH2055" s="26" t="str">
        <f>_xlfn.XLOOKUP(Table26[[#This Row],[customerSKU]],customerSKU!G:G,customerSKU!K:K,"NA",0,1)</f>
        <v>NA</v>
      </c>
      <c r="AI2055" s="43" t="str">
        <f>_xlfn.XLOOKUP(Table26[[#This Row],[customerSKU]],customerSKU!G:G,customerSKU!O:O,"not found",0,1)</f>
        <v>not found</v>
      </c>
      <c r="AJ2055" s="22" t="e">
        <f>Table26[[#This Row],[unitprice]]*Table26[[#This Row],[quantity_unit]]</f>
        <v>#VALUE!</v>
      </c>
      <c r="AK2055" s="227" t="e" cm="1">
        <f t="array" ref="AK20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5" s="227"/>
    </row>
    <row r="2056" spans="1:38" ht="15.45" customHeight="1">
      <c r="A2056" s="42">
        <v>196</v>
      </c>
      <c r="B2056" s="42" t="s">
        <v>3520</v>
      </c>
      <c r="C2056" s="22" t="s">
        <v>203</v>
      </c>
      <c r="E2056" s="20"/>
      <c r="F20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6" s="93"/>
      <c r="I2056" s="203">
        <v>45854</v>
      </c>
      <c r="J2056" s="90" t="s">
        <v>533</v>
      </c>
      <c r="K2056" s="203">
        <v>45854</v>
      </c>
      <c r="L2056" s="49" t="s">
        <v>201</v>
      </c>
      <c r="M2056" s="22"/>
      <c r="N2056" s="15" t="str">
        <f>Table26[[#This Row],[po_number]]&amp;"-"&amp;Table26[[#This Row],[po_line]]</f>
        <v>-2</v>
      </c>
      <c r="O2056" s="15">
        <v>2</v>
      </c>
      <c r="P2056" s="50"/>
      <c r="Q2056" s="22" t="s">
        <v>578</v>
      </c>
      <c r="R2056" s="22" t="s">
        <v>532</v>
      </c>
      <c r="S2056" s="90" t="s">
        <v>21</v>
      </c>
      <c r="T2056" s="20">
        <v>45700</v>
      </c>
      <c r="U2056" s="94">
        <v>48</v>
      </c>
      <c r="V2056" s="22">
        <v>12</v>
      </c>
      <c r="W2056" s="117">
        <f t="shared" si="81"/>
        <v>4</v>
      </c>
      <c r="X2056" s="22" t="str">
        <f>IFERROR($AA2056*$U2055, "")</f>
        <v/>
      </c>
      <c r="Y2056" s="25" t="str">
        <f>IF(Table26[[#This Row],[customerSKU]]="","",_xlfn.XLOOKUP(Table26[[#This Row],[customerSKU]],Table27[customer_SKU],Table27[product_GTIN],"",0,1))</f>
        <v/>
      </c>
      <c r="Z2056" s="25" t="s">
        <v>3546</v>
      </c>
      <c r="AA2056" s="18" t="str" cm="1">
        <f t="array" ref="AA2056">IF(P2056="", "", _xlfn.XLOOKUP(P2056,#REF!,#REF!,NA,0,-1))</f>
        <v/>
      </c>
      <c r="AB2056" s="22"/>
      <c r="AC2056" s="23" t="s">
        <v>165</v>
      </c>
      <c r="AD2056" s="23" t="str">
        <f>IF($AC2056="","",_xlfn.XLOOKUP($AC2056,'Client Info'!$C$2:$C$2497,'Client Info'!$D$2:$D$2497,"",0,1))</f>
        <v/>
      </c>
      <c r="AE2056" s="23" t="str">
        <f>IF($AC2056="","",_xlfn.XLOOKUP($AC2056,'Client Info'!$C$2:$C$2677,'Client Info'!$E$2:$E$2677,"",))</f>
        <v/>
      </c>
      <c r="AF2056" s="23" t="str">
        <f>IF($AC2056="","",_xlfn.XLOOKUP($AC2056,'Client Info'!$C$2:$C$2677,'Client Info'!$F$2:$F$2677,"",0,1))</f>
        <v/>
      </c>
      <c r="AG2056" s="23" t="s">
        <v>55</v>
      </c>
      <c r="AH2056" s="26" t="str">
        <f>_xlfn.XLOOKUP(Table26[[#This Row],[customerSKU]],customerSKU!G:G,customerSKU!K:K,"NA",0,1)</f>
        <v>NA</v>
      </c>
      <c r="AI2056" s="43" t="str">
        <f>_xlfn.XLOOKUP(Table26[[#This Row],[customerSKU]],customerSKU!G:G,customerSKU!O:O,"not found",0,1)</f>
        <v>not found</v>
      </c>
      <c r="AJ2056" s="22" t="e">
        <f>Table26[[#This Row],[unitprice]]*Table26[[#This Row],[quantity_unit]]</f>
        <v>#VALUE!</v>
      </c>
      <c r="AK2056" s="227" t="e" cm="1">
        <f t="array" ref="AK20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056" s="227"/>
    </row>
    <row r="2057" spans="1:38" ht="15.45" customHeight="1">
      <c r="A2057" s="42">
        <v>194</v>
      </c>
      <c r="B2057" s="42" t="s">
        <v>3520</v>
      </c>
      <c r="C2057" s="22" t="s">
        <v>203</v>
      </c>
      <c r="E2057" s="20"/>
      <c r="F20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7" s="93"/>
      <c r="I2057" s="203">
        <v>45855</v>
      </c>
      <c r="J2057" s="90" t="str">
        <f>IF(Table26[[#This Row],[customerSKU]]="","",_xlfn.XLOOKUP(Table26[[#This Row],[customerSKU]],customerSKU!G:G,customerSKU!A:A,"",0,1))</f>
        <v/>
      </c>
      <c r="K2057" s="19">
        <v>45855</v>
      </c>
      <c r="L2057" s="49" t="str">
        <f>IF(Table26[[#This Row],[customerSKU]]="","",_xlfn.XLOOKUP(Table26[[#This Row],[customerSKU]],customerSKU!G:G,customerSKU!B:B,"",0,1))</f>
        <v/>
      </c>
      <c r="M2057" s="22"/>
      <c r="N2057" s="15" t="str">
        <f>Table26[[#This Row],[po_number]]&amp;"-"&amp;Table26[[#This Row],[po_line]]</f>
        <v>-1</v>
      </c>
      <c r="O2057" s="15">
        <v>1</v>
      </c>
      <c r="P2057" s="50"/>
      <c r="Q2057" s="22" t="s">
        <v>3739</v>
      </c>
      <c r="R2057" s="22" t="s">
        <v>532</v>
      </c>
      <c r="S2057" s="90" t="str">
        <f>IF(Table26[[#This Row],[customerSKU]]="","",_xlfn.XLOOKUP(Table26[[#This Row],[customerSKU]],customerSKU!G:G,customerSKU!N:N,"NOT FOUND",0,1))</f>
        <v>NOT FOUND</v>
      </c>
      <c r="T2057" s="20">
        <v>45849</v>
      </c>
      <c r="U2057" s="94">
        <f>141*12</f>
        <v>1692</v>
      </c>
      <c r="V2057" s="22" t="str">
        <f>IF(ISBLANK(Table26[[#This Row],[customerSKU]]),"",_xlfn.XLOOKUP(Table26[[#This Row],[customerSKU]],Table27[customer_SKU],Table27[case_size],"",0,1))</f>
        <v/>
      </c>
      <c r="W2057" s="117" t="str">
        <f t="shared" si="81"/>
        <v/>
      </c>
      <c r="X2057" s="22" t="str">
        <f t="shared" ref="X2057:X2088" si="82">IFERROR($AA2057*$U2057, "")</f>
        <v/>
      </c>
      <c r="Y2057" s="25" t="str">
        <f>IF(Table26[[#This Row],[customerSKU]]="","",_xlfn.XLOOKUP(Table26[[#This Row],[customerSKU]],Table27[customer_SKU],Table27[product_GTIN],"",0,1))</f>
        <v/>
      </c>
      <c r="Z2057" s="25" t="s">
        <v>3617</v>
      </c>
      <c r="AA2057" s="18" t="str" cm="1">
        <f t="array" ref="AA2057">IF(P2057="", "", _xlfn.XLOOKUP(P2057,#REF!,#REF!,NA,0,-1))</f>
        <v/>
      </c>
      <c r="AB2057" s="22"/>
      <c r="AC2057" s="23" t="str">
        <f>IF(Table26[[#This Row],[customerSKU]]="","",_xlfn.XLOOKUP(Table26[[#This Row],[customerSKU]],customerSKU!G:G,customerSKU!C:C,"",0,1))</f>
        <v/>
      </c>
      <c r="AD2057" s="23" t="str">
        <f>IF($AC2057="","",_xlfn.XLOOKUP($AC2057,'Client Info'!$C$2:$C$2497,'Client Info'!$D$2:$D$2497,"",0,1))</f>
        <v/>
      </c>
      <c r="AE2057" s="23" t="str">
        <f>IF($AC2057="","",_xlfn.XLOOKUP($AC2057,'Client Info'!$C$2:$C$2677,'Client Info'!$E$2:$E$2677,"",))</f>
        <v/>
      </c>
      <c r="AF2057" s="23" t="str">
        <f>IF($AC2057="","",_xlfn.XLOOKUP($AC2057,'Client Info'!$C$2:$C$2677,'Client Info'!$F$2:$F$2677,"",0,1))</f>
        <v/>
      </c>
      <c r="AG2057" s="23" t="str">
        <f>IF(ISBLANK(Table26[[#This Row],[customerSKU]]),"",_xlfn.XLOOKUP(Table26[[#This Row],[customerSKU]],Table27[customer_SKU],Table27[billto],"",0,1))</f>
        <v/>
      </c>
      <c r="AH2057" s="26" t="str">
        <f>_xlfn.XLOOKUP(Table26[[#This Row],[customerSKU]],customerSKU!G:G,customerSKU!K:K,"NA",0,1)</f>
        <v>NA</v>
      </c>
      <c r="AI2057" s="43" t="str">
        <f>_xlfn.XLOOKUP(Table26[[#This Row],[customerSKU]],customerSKU!G:G,customerSKU!O:O,"not found",0,1)</f>
        <v>not found</v>
      </c>
      <c r="AJ2057" s="22" t="e">
        <f>Table26[[#This Row],[unitprice]]*Table26[[#This Row],[quantity_unit]]</f>
        <v>#VALUE!</v>
      </c>
      <c r="AK2057" s="227" t="e" cm="1">
        <f t="array" ref="AK20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7" s="227"/>
    </row>
    <row r="2058" spans="1:38" ht="15.45" customHeight="1">
      <c r="A2058" s="42">
        <v>184</v>
      </c>
      <c r="B2058" s="42" t="s">
        <v>3520</v>
      </c>
      <c r="C2058" s="53" t="s">
        <v>203</v>
      </c>
      <c r="E2058" s="20"/>
      <c r="F20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8" s="93"/>
      <c r="I2058" s="203">
        <v>45848</v>
      </c>
      <c r="J2058" s="90" t="str">
        <f>IF(Table26[[#This Row],[customerSKU]]="","",_xlfn.XLOOKUP(Table26[[#This Row],[customerSKU]],customerSKU!G:G,customerSKU!A:A,"",0,1))</f>
        <v/>
      </c>
      <c r="K2058" s="19">
        <v>45856</v>
      </c>
      <c r="L2058" s="49" t="str">
        <f>IF(Table26[[#This Row],[customerSKU]]="","",_xlfn.XLOOKUP(Table26[[#This Row],[customerSKU]],customerSKU!G:G,customerSKU!B:B,"",0,1))</f>
        <v/>
      </c>
      <c r="M2058" s="22"/>
      <c r="N2058" s="15" t="str">
        <f>Table26[[#This Row],[po_number]]&amp;"-"&amp;Table26[[#This Row],[po_line]]</f>
        <v>-1</v>
      </c>
      <c r="O2058" s="15">
        <v>1</v>
      </c>
      <c r="P2058" s="50"/>
      <c r="Q2058" s="22" t="s">
        <v>1842</v>
      </c>
      <c r="R2058" s="22" t="s">
        <v>532</v>
      </c>
      <c r="S2058" s="90" t="str">
        <f>IF(Table26[[#This Row],[customerSKU]]="","",_xlfn.XLOOKUP(Table26[[#This Row],[customerSKU]],customerSKU!G:G,customerSKU!N:N,"NOT FOUND",0,1))</f>
        <v>NOT FOUND</v>
      </c>
      <c r="T2058" s="20">
        <v>45846</v>
      </c>
      <c r="U2058" s="94">
        <v>48</v>
      </c>
      <c r="V2058" s="22" t="str">
        <f>IF(ISBLANK(Table26[[#This Row],[customerSKU]]),"",_xlfn.XLOOKUP(Table26[[#This Row],[customerSKU]],Table27[customer_SKU],Table27[case_size],"",0,1))</f>
        <v/>
      </c>
      <c r="W2058" s="117" t="str">
        <f t="shared" si="81"/>
        <v/>
      </c>
      <c r="X2058" s="22" t="str">
        <f t="shared" si="82"/>
        <v/>
      </c>
      <c r="Y2058" s="25" t="str">
        <f>IF(Table26[[#This Row],[customerSKU]]="","",_xlfn.XLOOKUP(Table26[[#This Row],[customerSKU]],Table27[customer_SKU],Table27[product_GTIN],"",0,1))</f>
        <v/>
      </c>
      <c r="Z2058" s="25" t="s">
        <v>3643</v>
      </c>
      <c r="AA2058" s="18" t="str" cm="1">
        <f t="array" ref="AA2058">IF(P2058="", "", _xlfn.XLOOKUP(P2058,#REF!,#REF!,NA,0,-1))</f>
        <v/>
      </c>
      <c r="AB2058" s="22"/>
      <c r="AC2058" s="23" t="str">
        <f>IF(Table26[[#This Row],[customerSKU]]="","",_xlfn.XLOOKUP(Table26[[#This Row],[customerSKU]],customerSKU!G:G,customerSKU!C:C,"",0,1))</f>
        <v/>
      </c>
      <c r="AD2058" s="23" t="str">
        <f>IF($AC2058="","",_xlfn.XLOOKUP($AC2058,'Client Info'!$C$2:$C$2497,'Client Info'!$D$2:$D$2497,"",0,1))</f>
        <v/>
      </c>
      <c r="AE2058" s="23" t="str">
        <f>IF($AC2058="","",_xlfn.XLOOKUP($AC2058,'Client Info'!$C$2:$C$2677,'Client Info'!$E$2:$E$2677,"",))</f>
        <v/>
      </c>
      <c r="AF2058" s="23" t="str">
        <f>IF($AC2058="","",_xlfn.XLOOKUP($AC2058,'Client Info'!$C$2:$C$2677,'Client Info'!$F$2:$F$2677,"",0,1))</f>
        <v/>
      </c>
      <c r="AG2058" s="23" t="str">
        <f>IF(ISBLANK(Table26[[#This Row],[customerSKU]]),"",_xlfn.XLOOKUP(Table26[[#This Row],[customerSKU]],Table27[customer_SKU],Table27[billto],"",0,1))</f>
        <v/>
      </c>
      <c r="AH2058" s="26" t="str">
        <f>_xlfn.XLOOKUP(Table26[[#This Row],[customerSKU]],customerSKU!G:G,customerSKU!K:K,"NA",0,1)</f>
        <v>NA</v>
      </c>
      <c r="AI2058" s="43" t="str">
        <f>_xlfn.XLOOKUP(Table26[[#This Row],[customerSKU]],customerSKU!G:G,customerSKU!O:O,"not found",0,1)</f>
        <v>not found</v>
      </c>
      <c r="AJ2058" s="22" t="e">
        <f>Table26[[#This Row],[unitprice]]*Table26[[#This Row],[quantity_unit]]</f>
        <v>#VALUE!</v>
      </c>
      <c r="AK2058" s="227" t="e" cm="1">
        <f t="array" ref="AK20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8" s="227"/>
    </row>
    <row r="2059" spans="1:38" ht="15.45" customHeight="1">
      <c r="A2059" s="42">
        <v>185</v>
      </c>
      <c r="B2059" s="42" t="s">
        <v>3520</v>
      </c>
      <c r="C2059" s="53" t="s">
        <v>203</v>
      </c>
      <c r="E2059" s="20"/>
      <c r="F20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59" s="93"/>
      <c r="I2059" s="203">
        <v>45848</v>
      </c>
      <c r="J2059" s="90" t="str">
        <f>IF(Table26[[#This Row],[customerSKU]]="","",_xlfn.XLOOKUP(Table26[[#This Row],[customerSKU]],customerSKU!G:G,customerSKU!A:A,"",0,1))</f>
        <v/>
      </c>
      <c r="K2059" s="19">
        <v>45856</v>
      </c>
      <c r="L2059" s="49" t="str">
        <f>IF(Table26[[#This Row],[customerSKU]]="","",_xlfn.XLOOKUP(Table26[[#This Row],[customerSKU]],customerSKU!G:G,customerSKU!B:B,"",0,1))</f>
        <v/>
      </c>
      <c r="M2059" s="22"/>
      <c r="N2059" s="15" t="str">
        <f>Table26[[#This Row],[po_number]]&amp;"-"&amp;Table26[[#This Row],[po_line]]</f>
        <v>-2</v>
      </c>
      <c r="O2059" s="15">
        <v>2</v>
      </c>
      <c r="P2059" s="50"/>
      <c r="Q2059" s="22" t="s">
        <v>1856</v>
      </c>
      <c r="R2059" s="22" t="s">
        <v>532</v>
      </c>
      <c r="S2059" s="90" t="str">
        <f>IF(Table26[[#This Row],[customerSKU]]="","",_xlfn.XLOOKUP(Table26[[#This Row],[customerSKU]],customerSKU!G:G,customerSKU!N:N,"NOT FOUND",0,1))</f>
        <v>NOT FOUND</v>
      </c>
      <c r="T2059" s="20">
        <v>45847</v>
      </c>
      <c r="U2059" s="94">
        <v>36</v>
      </c>
      <c r="V2059" s="22" t="str">
        <f>IF(ISBLANK(Table26[[#This Row],[customerSKU]]),"",_xlfn.XLOOKUP(Table26[[#This Row],[customerSKU]],Table27[customer_SKU],Table27[case_size],"",0,1))</f>
        <v/>
      </c>
      <c r="W2059" s="117" t="str">
        <f t="shared" ref="W2059:W2122" si="83">IFERROR(U2059/V2059, "")</f>
        <v/>
      </c>
      <c r="X2059" s="22" t="str">
        <f t="shared" si="82"/>
        <v/>
      </c>
      <c r="Y2059" s="25" t="str">
        <f>IF(Table26[[#This Row],[customerSKU]]="","",_xlfn.XLOOKUP(Table26[[#This Row],[customerSKU]],Table27[customer_SKU],Table27[product_GTIN],"",0,1))</f>
        <v/>
      </c>
      <c r="Z2059" s="25" t="s">
        <v>3729</v>
      </c>
      <c r="AA2059" s="18" t="str" cm="1">
        <f t="array" ref="AA2059">IF(P2059="", "", _xlfn.XLOOKUP(P2059,#REF!,#REF!,NA,0,-1))</f>
        <v/>
      </c>
      <c r="AB2059" s="22"/>
      <c r="AC2059" s="23" t="str">
        <f>IF(Table26[[#This Row],[customerSKU]]="","",_xlfn.XLOOKUP(Table26[[#This Row],[customerSKU]],customerSKU!G:G,customerSKU!C:C,"",0,1))</f>
        <v/>
      </c>
      <c r="AD2059" s="23" t="str">
        <f>IF($AC2059="","",_xlfn.XLOOKUP($AC2059,'Client Info'!$C$2:$C$2497,'Client Info'!$D$2:$D$2497,"",0,1))</f>
        <v/>
      </c>
      <c r="AE2059" s="23" t="str">
        <f>IF($AC2059="","",_xlfn.XLOOKUP($AC2059,'Client Info'!$C$2:$C$2677,'Client Info'!$E$2:$E$2677,"",))</f>
        <v/>
      </c>
      <c r="AF2059" s="23" t="str">
        <f>IF($AC2059="","",_xlfn.XLOOKUP($AC2059,'Client Info'!$C$2:$C$2677,'Client Info'!$F$2:$F$2677,"",0,1))</f>
        <v/>
      </c>
      <c r="AG2059" s="23" t="str">
        <f>IF(ISBLANK(Table26[[#This Row],[customerSKU]]),"",_xlfn.XLOOKUP(Table26[[#This Row],[customerSKU]],Table27[customer_SKU],Table27[billto],"",0,1))</f>
        <v/>
      </c>
      <c r="AH2059" s="26" t="str">
        <f>_xlfn.XLOOKUP(Table26[[#This Row],[customerSKU]],customerSKU!G:G,customerSKU!K:K,"NA",0,1)</f>
        <v>NA</v>
      </c>
      <c r="AI2059" s="43" t="str">
        <f>_xlfn.XLOOKUP(Table26[[#This Row],[customerSKU]],customerSKU!G:G,customerSKU!O:O,"not found",0,1)</f>
        <v>not found</v>
      </c>
      <c r="AJ2059" s="22" t="e">
        <f>Table26[[#This Row],[unitprice]]*Table26[[#This Row],[quantity_unit]]</f>
        <v>#VALUE!</v>
      </c>
      <c r="AK2059" s="227" t="e" cm="1">
        <f t="array" ref="AK20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59" s="227"/>
    </row>
    <row r="2060" spans="1:38" ht="15.45" customHeight="1">
      <c r="A2060" s="42">
        <v>186</v>
      </c>
      <c r="B2060" s="42" t="s">
        <v>3520</v>
      </c>
      <c r="C2060" s="53" t="s">
        <v>203</v>
      </c>
      <c r="E2060" s="20"/>
      <c r="F20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0" s="93"/>
      <c r="I2060" s="203">
        <v>45848</v>
      </c>
      <c r="J2060" s="90" t="str">
        <f>IF(Table26[[#This Row],[customerSKU]]="","",_xlfn.XLOOKUP(Table26[[#This Row],[customerSKU]],customerSKU!G:G,customerSKU!A:A,"",0,1))</f>
        <v/>
      </c>
      <c r="K2060" s="19">
        <v>45856</v>
      </c>
      <c r="L2060" s="49" t="str">
        <f>IF(Table26[[#This Row],[customerSKU]]="","",_xlfn.XLOOKUP(Table26[[#This Row],[customerSKU]],customerSKU!G:G,customerSKU!B:B,"",0,1))</f>
        <v/>
      </c>
      <c r="M2060" s="22"/>
      <c r="N2060" s="15" t="str">
        <f>Table26[[#This Row],[po_number]]&amp;"-"&amp;Table26[[#This Row],[po_line]]</f>
        <v>-3</v>
      </c>
      <c r="O2060" s="15">
        <v>3</v>
      </c>
      <c r="P2060" s="50"/>
      <c r="Q2060" s="22" t="s">
        <v>1847</v>
      </c>
      <c r="R2060" s="22" t="s">
        <v>532</v>
      </c>
      <c r="S2060" s="90" t="str">
        <f>IF(Table26[[#This Row],[customerSKU]]="","",_xlfn.XLOOKUP(Table26[[#This Row],[customerSKU]],customerSKU!G:G,customerSKU!N:N,"NOT FOUND",0,1))</f>
        <v>NOT FOUND</v>
      </c>
      <c r="T2060" s="20">
        <v>45852</v>
      </c>
      <c r="U2060" s="94">
        <v>60</v>
      </c>
      <c r="V2060" s="22" t="str">
        <f>IF(ISBLANK(Table26[[#This Row],[customerSKU]]),"",_xlfn.XLOOKUP(Table26[[#This Row],[customerSKU]],Table27[customer_SKU],Table27[case_size],"",0,1))</f>
        <v/>
      </c>
      <c r="W2060" s="117" t="str">
        <f t="shared" si="83"/>
        <v/>
      </c>
      <c r="X2060" s="22" t="str">
        <f t="shared" si="82"/>
        <v/>
      </c>
      <c r="Y2060" s="25" t="str">
        <f>IF(Table26[[#This Row],[customerSKU]]="","",_xlfn.XLOOKUP(Table26[[#This Row],[customerSKU]],Table27[customer_SKU],Table27[product_GTIN],"",0,1))</f>
        <v/>
      </c>
      <c r="Z2060" s="25" t="s">
        <v>3730</v>
      </c>
      <c r="AA2060" s="18" t="str" cm="1">
        <f t="array" ref="AA2060">IF(P2060="", "", _xlfn.XLOOKUP(P2060,#REF!,#REF!,NA,0,-1))</f>
        <v/>
      </c>
      <c r="AB2060" s="22"/>
      <c r="AC2060" s="23" t="str">
        <f>IF(Table26[[#This Row],[customerSKU]]="","",_xlfn.XLOOKUP(Table26[[#This Row],[customerSKU]],customerSKU!G:G,customerSKU!C:C,"",0,1))</f>
        <v/>
      </c>
      <c r="AD2060" s="23" t="str">
        <f>IF($AC2060="","",_xlfn.XLOOKUP($AC2060,'Client Info'!$C$2:$C$2497,'Client Info'!$D$2:$D$2497,"",0,1))</f>
        <v/>
      </c>
      <c r="AE2060" s="23" t="str">
        <f>IF($AC2060="","",_xlfn.XLOOKUP($AC2060,'Client Info'!$C$2:$C$2677,'Client Info'!$E$2:$E$2677,"",))</f>
        <v/>
      </c>
      <c r="AF2060" s="23" t="str">
        <f>IF($AC2060="","",_xlfn.XLOOKUP($AC2060,'Client Info'!$C$2:$C$2677,'Client Info'!$F$2:$F$2677,"",0,1))</f>
        <v/>
      </c>
      <c r="AG2060" s="23" t="str">
        <f>IF(ISBLANK(Table26[[#This Row],[customerSKU]]),"",_xlfn.XLOOKUP(Table26[[#This Row],[customerSKU]],Table27[customer_SKU],Table27[billto],"",0,1))</f>
        <v/>
      </c>
      <c r="AH2060" s="26" t="str">
        <f>_xlfn.XLOOKUP(Table26[[#This Row],[customerSKU]],customerSKU!G:G,customerSKU!K:K,"NA",0,1)</f>
        <v>NA</v>
      </c>
      <c r="AI2060" s="43" t="str">
        <f>_xlfn.XLOOKUP(Table26[[#This Row],[customerSKU]],customerSKU!G:G,customerSKU!O:O,"not found",0,1)</f>
        <v>not found</v>
      </c>
      <c r="AJ2060" s="22" t="e">
        <f>Table26[[#This Row],[unitprice]]*Table26[[#This Row],[quantity_unit]]</f>
        <v>#VALUE!</v>
      </c>
      <c r="AK2060" s="227" t="e" cm="1">
        <f t="array" ref="AK20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0" s="227"/>
    </row>
    <row r="2061" spans="1:38" ht="15.45" customHeight="1">
      <c r="A2061" s="42">
        <v>187</v>
      </c>
      <c r="B2061" s="42" t="s">
        <v>3520</v>
      </c>
      <c r="C2061" s="53" t="s">
        <v>203</v>
      </c>
      <c r="E2061" s="20"/>
      <c r="F20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1" s="93"/>
      <c r="I2061" s="203">
        <v>45848</v>
      </c>
      <c r="J2061" s="90" t="str">
        <f>IF(Table26[[#This Row],[customerSKU]]="","",_xlfn.XLOOKUP(Table26[[#This Row],[customerSKU]],customerSKU!G:G,customerSKU!A:A,"",0,1))</f>
        <v/>
      </c>
      <c r="K2061" s="19">
        <v>45856</v>
      </c>
      <c r="L2061" s="49" t="str">
        <f>IF(Table26[[#This Row],[customerSKU]]="","",_xlfn.XLOOKUP(Table26[[#This Row],[customerSKU]],customerSKU!G:G,customerSKU!B:B,"",0,1))</f>
        <v/>
      </c>
      <c r="M2061" s="22"/>
      <c r="N2061" s="15" t="str">
        <f>Table26[[#This Row],[po_number]]&amp;"-"&amp;Table26[[#This Row],[po_line]]</f>
        <v>-4</v>
      </c>
      <c r="O2061" s="15">
        <v>4</v>
      </c>
      <c r="P2061" s="50"/>
      <c r="Q2061" s="22" t="s">
        <v>591</v>
      </c>
      <c r="R2061" s="22" t="s">
        <v>532</v>
      </c>
      <c r="S2061" s="90" t="str">
        <f>IF(Table26[[#This Row],[customerSKU]]="","",_xlfn.XLOOKUP(Table26[[#This Row],[customerSKU]],customerSKU!G:G,customerSKU!N:N,"NOT FOUND",0,1))</f>
        <v>NOT FOUND</v>
      </c>
      <c r="T2061" s="20">
        <v>45821</v>
      </c>
      <c r="U2061" s="94">
        <v>12</v>
      </c>
      <c r="V2061" s="22" t="str">
        <f>IF(ISBLANK(Table26[[#This Row],[customerSKU]]),"",_xlfn.XLOOKUP(Table26[[#This Row],[customerSKU]],Table27[customer_SKU],Table27[case_size],"",0,1))</f>
        <v/>
      </c>
      <c r="W2061" s="117" t="str">
        <f t="shared" si="83"/>
        <v/>
      </c>
      <c r="X2061" s="22" t="str">
        <f t="shared" si="82"/>
        <v/>
      </c>
      <c r="Y2061" s="25" t="str">
        <f>IF(Table26[[#This Row],[customerSKU]]="","",_xlfn.XLOOKUP(Table26[[#This Row],[customerSKU]],Table27[customer_SKU],Table27[product_GTIN],"",0,1))</f>
        <v/>
      </c>
      <c r="Z2061" s="25" t="s">
        <v>3644</v>
      </c>
      <c r="AA2061" s="18" t="str" cm="1">
        <f t="array" ref="AA2061">IF(P2061="", "", _xlfn.XLOOKUP(P2061,#REF!,#REF!,NA,0,-1))</f>
        <v/>
      </c>
      <c r="AB2061" s="22"/>
      <c r="AC2061" s="23" t="str">
        <f>IF(Table26[[#This Row],[customerSKU]]="","",_xlfn.XLOOKUP(Table26[[#This Row],[customerSKU]],customerSKU!G:G,customerSKU!C:C,"",0,1))</f>
        <v/>
      </c>
      <c r="AD2061" s="23" t="str">
        <f>IF($AC2061="","",_xlfn.XLOOKUP($AC2061,'Client Info'!$C$2:$C$2497,'Client Info'!$D$2:$D$2497,"",0,1))</f>
        <v/>
      </c>
      <c r="AE2061" s="23" t="str">
        <f>IF($AC2061="","",_xlfn.XLOOKUP($AC2061,'Client Info'!$C$2:$C$2677,'Client Info'!$E$2:$E$2677,"",))</f>
        <v/>
      </c>
      <c r="AF2061" s="23" t="str">
        <f>IF($AC2061="","",_xlfn.XLOOKUP($AC2061,'Client Info'!$C$2:$C$2677,'Client Info'!$F$2:$F$2677,"",0,1))</f>
        <v/>
      </c>
      <c r="AG2061" s="23" t="str">
        <f>IF(ISBLANK(Table26[[#This Row],[customerSKU]]),"",_xlfn.XLOOKUP(Table26[[#This Row],[customerSKU]],Table27[customer_SKU],Table27[billto],"",0,1))</f>
        <v/>
      </c>
      <c r="AH2061" s="26" t="str">
        <f>_xlfn.XLOOKUP(Table26[[#This Row],[customerSKU]],customerSKU!G:G,customerSKU!K:K,"NA",0,1)</f>
        <v>NA</v>
      </c>
      <c r="AI2061" s="43" t="str">
        <f>_xlfn.XLOOKUP(Table26[[#This Row],[customerSKU]],customerSKU!G:G,customerSKU!O:O,"not found",0,1)</f>
        <v>not found</v>
      </c>
      <c r="AJ2061" s="22" t="e">
        <f>Table26[[#This Row],[unitprice]]*Table26[[#This Row],[quantity_unit]]</f>
        <v>#VALUE!</v>
      </c>
      <c r="AK2061" s="227" t="e" cm="1">
        <f t="array" ref="AK20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1" s="227"/>
    </row>
    <row r="2062" spans="1:38" ht="15.45" customHeight="1">
      <c r="A2062" s="42">
        <v>188</v>
      </c>
      <c r="B2062" s="42" t="s">
        <v>3520</v>
      </c>
      <c r="C2062" s="53" t="s">
        <v>203</v>
      </c>
      <c r="E2062" s="20"/>
      <c r="F20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2" s="93"/>
      <c r="I2062" s="203">
        <v>45848</v>
      </c>
      <c r="J2062" s="90" t="str">
        <f>IF(Table26[[#This Row],[customerSKU]]="","",_xlfn.XLOOKUP(Table26[[#This Row],[customerSKU]],customerSKU!G:G,customerSKU!A:A,"",0,1))</f>
        <v/>
      </c>
      <c r="K2062" s="19">
        <v>45856</v>
      </c>
      <c r="L2062" s="49" t="str">
        <f>IF(Table26[[#This Row],[customerSKU]]="","",_xlfn.XLOOKUP(Table26[[#This Row],[customerSKU]],customerSKU!G:G,customerSKU!B:B,"",0,1))</f>
        <v/>
      </c>
      <c r="M2062" s="22"/>
      <c r="N2062" s="15" t="str">
        <f>Table26[[#This Row],[po_number]]&amp;"-"&amp;Table26[[#This Row],[po_line]]</f>
        <v>-5</v>
      </c>
      <c r="O2062" s="15">
        <v>5</v>
      </c>
      <c r="P2062" s="50"/>
      <c r="Q2062" s="22" t="s">
        <v>591</v>
      </c>
      <c r="R2062" s="22" t="s">
        <v>532</v>
      </c>
      <c r="S2062" s="90" t="str">
        <f>IF(Table26[[#This Row],[customerSKU]]="","",_xlfn.XLOOKUP(Table26[[#This Row],[customerSKU]],customerSKU!G:G,customerSKU!N:N,"NOT FOUND",0,1))</f>
        <v>NOT FOUND</v>
      </c>
      <c r="T2062" s="20">
        <v>45841</v>
      </c>
      <c r="U2062" s="94">
        <v>12</v>
      </c>
      <c r="V2062" s="22" t="str">
        <f>IF(ISBLANK(Table26[[#This Row],[customerSKU]]),"",_xlfn.XLOOKUP(Table26[[#This Row],[customerSKU]],Table27[customer_SKU],Table27[case_size],"",0,1))</f>
        <v/>
      </c>
      <c r="W2062" s="117" t="str">
        <f t="shared" si="83"/>
        <v/>
      </c>
      <c r="X2062" s="22" t="str">
        <f t="shared" si="82"/>
        <v/>
      </c>
      <c r="Y2062" s="25" t="str">
        <f>IF(Table26[[#This Row],[customerSKU]]="","",_xlfn.XLOOKUP(Table26[[#This Row],[customerSKU]],Table27[customer_SKU],Table27[product_GTIN],"",0,1))</f>
        <v/>
      </c>
      <c r="Z2062" s="25" t="s">
        <v>3644</v>
      </c>
      <c r="AA2062" s="18" t="str" cm="1">
        <f t="array" ref="AA2062">IF(P2062="", "", _xlfn.XLOOKUP(P2062,#REF!,#REF!,NA,0,-1))</f>
        <v/>
      </c>
      <c r="AB2062" s="22"/>
      <c r="AC2062" s="23" t="str">
        <f>IF(Table26[[#This Row],[customerSKU]]="","",_xlfn.XLOOKUP(Table26[[#This Row],[customerSKU]],customerSKU!G:G,customerSKU!C:C,"",0,1))</f>
        <v/>
      </c>
      <c r="AD2062" s="23" t="str">
        <f>IF($AC2062="","",_xlfn.XLOOKUP($AC2062,'Client Info'!$C$2:$C$2497,'Client Info'!$D$2:$D$2497,"",0,1))</f>
        <v/>
      </c>
      <c r="AE2062" s="23" t="str">
        <f>IF($AC2062="","",_xlfn.XLOOKUP($AC2062,'Client Info'!$C$2:$C$2677,'Client Info'!$E$2:$E$2677,"",))</f>
        <v/>
      </c>
      <c r="AF2062" s="23" t="str">
        <f>IF($AC2062="","",_xlfn.XLOOKUP($AC2062,'Client Info'!$C$2:$C$2677,'Client Info'!$F$2:$F$2677,"",0,1))</f>
        <v/>
      </c>
      <c r="AG2062" s="23" t="str">
        <f>IF(ISBLANK(Table26[[#This Row],[customerSKU]]),"",_xlfn.XLOOKUP(Table26[[#This Row],[customerSKU]],Table27[customer_SKU],Table27[billto],"",0,1))</f>
        <v/>
      </c>
      <c r="AH2062" s="26" t="str">
        <f>_xlfn.XLOOKUP(Table26[[#This Row],[customerSKU]],customerSKU!G:G,customerSKU!K:K,"NA",0,1)</f>
        <v>NA</v>
      </c>
      <c r="AI2062" s="43" t="str">
        <f>_xlfn.XLOOKUP(Table26[[#This Row],[customerSKU]],customerSKU!G:G,customerSKU!O:O,"not found",0,1)</f>
        <v>not found</v>
      </c>
      <c r="AJ2062" s="22" t="e">
        <f>Table26[[#This Row],[unitprice]]*Table26[[#This Row],[quantity_unit]]</f>
        <v>#VALUE!</v>
      </c>
      <c r="AK2062" s="227" t="e" cm="1">
        <f t="array" ref="AK20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2" s="227"/>
    </row>
    <row r="2063" spans="1:38" ht="15.45" customHeight="1">
      <c r="A2063" s="42">
        <v>189</v>
      </c>
      <c r="B2063" s="42" t="s">
        <v>3520</v>
      </c>
      <c r="C2063" s="53" t="s">
        <v>203</v>
      </c>
      <c r="E2063" s="20"/>
      <c r="F20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3" s="93"/>
      <c r="I2063" s="203">
        <v>45848</v>
      </c>
      <c r="J2063" s="90" t="str">
        <f>IF(Table26[[#This Row],[customerSKU]]="","",_xlfn.XLOOKUP(Table26[[#This Row],[customerSKU]],customerSKU!G:G,customerSKU!A:A,"",0,1))</f>
        <v/>
      </c>
      <c r="K2063" s="19">
        <v>45856</v>
      </c>
      <c r="L2063" s="49" t="str">
        <f>IF(Table26[[#This Row],[customerSKU]]="","",_xlfn.XLOOKUP(Table26[[#This Row],[customerSKU]],customerSKU!G:G,customerSKU!B:B,"",0,1))</f>
        <v/>
      </c>
      <c r="M2063" s="22"/>
      <c r="N2063" s="15" t="str">
        <f>Table26[[#This Row],[po_number]]&amp;"-"&amp;Table26[[#This Row],[po_line]]</f>
        <v>-6</v>
      </c>
      <c r="O2063" s="15">
        <v>6</v>
      </c>
      <c r="P2063" s="50"/>
      <c r="Q2063" s="22" t="s">
        <v>1807</v>
      </c>
      <c r="R2063" s="22" t="s">
        <v>532</v>
      </c>
      <c r="S2063" s="90" t="str">
        <f>IF(Table26[[#This Row],[customerSKU]]="","",_xlfn.XLOOKUP(Table26[[#This Row],[customerSKU]],customerSKU!G:G,customerSKU!N:N,"NOT FOUND",0,1))</f>
        <v>NOT FOUND</v>
      </c>
      <c r="T2063" s="20">
        <v>45804</v>
      </c>
      <c r="U2063" s="94">
        <f>12*15</f>
        <v>180</v>
      </c>
      <c r="V2063" s="22" t="str">
        <f>IF(ISBLANK(Table26[[#This Row],[customerSKU]]),"",_xlfn.XLOOKUP(Table26[[#This Row],[customerSKU]],Table27[customer_SKU],Table27[case_size],"",0,1))</f>
        <v/>
      </c>
      <c r="W2063" s="117" t="str">
        <f t="shared" si="83"/>
        <v/>
      </c>
      <c r="X2063" s="22" t="str">
        <f t="shared" si="82"/>
        <v/>
      </c>
      <c r="Y2063" s="25" t="str">
        <f>IF(Table26[[#This Row],[customerSKU]]="","",_xlfn.XLOOKUP(Table26[[#This Row],[customerSKU]],Table27[customer_SKU],Table27[product_GTIN],"",0,1))</f>
        <v/>
      </c>
      <c r="Z2063" s="25" t="s">
        <v>3574</v>
      </c>
      <c r="AA2063" s="18" t="str" cm="1">
        <f t="array" ref="AA2063">IF(P2063="", "", _xlfn.XLOOKUP(P2063,#REF!,#REF!,NA,0,-1))</f>
        <v/>
      </c>
      <c r="AB2063" s="22"/>
      <c r="AC2063" s="23" t="str">
        <f>IF(Table26[[#This Row],[customerSKU]]="","",_xlfn.XLOOKUP(Table26[[#This Row],[customerSKU]],customerSKU!G:G,customerSKU!C:C,"",0,1))</f>
        <v/>
      </c>
      <c r="AD2063" s="23" t="str">
        <f>IF($AC2063="","",_xlfn.XLOOKUP($AC2063,'Client Info'!$C$2:$C$2497,'Client Info'!$D$2:$D$2497,"",0,1))</f>
        <v/>
      </c>
      <c r="AE2063" s="23" t="str">
        <f>IF($AC2063="","",_xlfn.XLOOKUP($AC2063,'Client Info'!$C$2:$C$2677,'Client Info'!$E$2:$E$2677,"",))</f>
        <v/>
      </c>
      <c r="AF2063" s="23" t="str">
        <f>IF($AC2063="","",_xlfn.XLOOKUP($AC2063,'Client Info'!$C$2:$C$2677,'Client Info'!$F$2:$F$2677,"",0,1))</f>
        <v/>
      </c>
      <c r="AG2063" s="23" t="str">
        <f>IF(ISBLANK(Table26[[#This Row],[customerSKU]]),"",_xlfn.XLOOKUP(Table26[[#This Row],[customerSKU]],Table27[customer_SKU],Table27[billto],"",0,1))</f>
        <v/>
      </c>
      <c r="AH2063" s="26" t="str">
        <f>_xlfn.XLOOKUP(Table26[[#This Row],[customerSKU]],customerSKU!G:G,customerSKU!K:K,"NA",0,1)</f>
        <v>NA</v>
      </c>
      <c r="AI2063" s="43" t="str">
        <f>_xlfn.XLOOKUP(Table26[[#This Row],[customerSKU]],customerSKU!G:G,customerSKU!O:O,"not found",0,1)</f>
        <v>not found</v>
      </c>
      <c r="AJ2063" s="22" t="e">
        <f>Table26[[#This Row],[unitprice]]*Table26[[#This Row],[quantity_unit]]</f>
        <v>#VALUE!</v>
      </c>
      <c r="AK2063" s="227" t="e" cm="1">
        <f t="array" ref="AK20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3" s="227"/>
    </row>
    <row r="2064" spans="1:38" ht="15.45" customHeight="1">
      <c r="A2064" s="42">
        <v>190</v>
      </c>
      <c r="B2064" s="42" t="s">
        <v>3520</v>
      </c>
      <c r="C2064" s="53" t="s">
        <v>203</v>
      </c>
      <c r="E2064" s="20"/>
      <c r="F20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4" s="93"/>
      <c r="I2064" s="203">
        <v>45848</v>
      </c>
      <c r="J2064" s="90" t="str">
        <f>IF(Table26[[#This Row],[customerSKU]]="","",_xlfn.XLOOKUP(Table26[[#This Row],[customerSKU]],customerSKU!G:G,customerSKU!A:A,"",0,1))</f>
        <v/>
      </c>
      <c r="K2064" s="19">
        <v>45856</v>
      </c>
      <c r="L2064" s="49" t="str">
        <f>IF(Table26[[#This Row],[customerSKU]]="","",_xlfn.XLOOKUP(Table26[[#This Row],[customerSKU]],customerSKU!G:G,customerSKU!B:B,"",0,1))</f>
        <v/>
      </c>
      <c r="M2064" s="22"/>
      <c r="N2064" s="15" t="str">
        <f>Table26[[#This Row],[po_number]]&amp;"-"&amp;Table26[[#This Row],[po_line]]</f>
        <v>-7</v>
      </c>
      <c r="O2064" s="15">
        <v>7</v>
      </c>
      <c r="P2064" s="50"/>
      <c r="Q2064" s="22" t="s">
        <v>1783</v>
      </c>
      <c r="R2064" s="22" t="s">
        <v>532</v>
      </c>
      <c r="S2064" s="90" t="str">
        <f>IF(Table26[[#This Row],[customerSKU]]="","",_xlfn.XLOOKUP(Table26[[#This Row],[customerSKU]],customerSKU!G:G,customerSKU!N:N,"NOT FOUND",0,1))</f>
        <v>NOT FOUND</v>
      </c>
      <c r="T2064" s="20">
        <v>45800</v>
      </c>
      <c r="U2064" s="94">
        <v>48</v>
      </c>
      <c r="V2064" s="22" t="str">
        <f>IF(ISBLANK(Table26[[#This Row],[customerSKU]]),"",_xlfn.XLOOKUP(Table26[[#This Row],[customerSKU]],Table27[customer_SKU],Table27[case_size],"",0,1))</f>
        <v/>
      </c>
      <c r="W2064" s="117" t="str">
        <f t="shared" si="83"/>
        <v/>
      </c>
      <c r="X2064" s="22" t="str">
        <f t="shared" si="82"/>
        <v/>
      </c>
      <c r="Y2064" s="25" t="str">
        <f>IF(Table26[[#This Row],[customerSKU]]="","",_xlfn.XLOOKUP(Table26[[#This Row],[customerSKU]],Table27[customer_SKU],Table27[product_GTIN],"",0,1))</f>
        <v/>
      </c>
      <c r="Z2064" s="25" t="s">
        <v>3575</v>
      </c>
      <c r="AA2064" s="18" t="str" cm="1">
        <f t="array" ref="AA2064">IF(P2064="", "", _xlfn.XLOOKUP(P2064,#REF!,#REF!,NA,0,-1))</f>
        <v/>
      </c>
      <c r="AB2064" s="22"/>
      <c r="AC2064" s="23" t="str">
        <f>IF(Table26[[#This Row],[customerSKU]]="","",_xlfn.XLOOKUP(Table26[[#This Row],[customerSKU]],customerSKU!G:G,customerSKU!C:C,"",0,1))</f>
        <v/>
      </c>
      <c r="AD2064" s="23" t="str">
        <f>IF($AC2064="","",_xlfn.XLOOKUP($AC2064,'Client Info'!$C$2:$C$2497,'Client Info'!$D$2:$D$2497,"",0,1))</f>
        <v/>
      </c>
      <c r="AE2064" s="23" t="str">
        <f>IF($AC2064="","",_xlfn.XLOOKUP($AC2064,'Client Info'!$C$2:$C$2677,'Client Info'!$E$2:$E$2677,"",))</f>
        <v/>
      </c>
      <c r="AF2064" s="23" t="str">
        <f>IF($AC2064="","",_xlfn.XLOOKUP($AC2064,'Client Info'!$C$2:$C$2677,'Client Info'!$F$2:$F$2677,"",0,1))</f>
        <v/>
      </c>
      <c r="AG2064" s="23" t="str">
        <f>IF(ISBLANK(Table26[[#This Row],[customerSKU]]),"",_xlfn.XLOOKUP(Table26[[#This Row],[customerSKU]],Table27[customer_SKU],Table27[billto],"",0,1))</f>
        <v/>
      </c>
      <c r="AH2064" s="26" t="str">
        <f>_xlfn.XLOOKUP(Table26[[#This Row],[customerSKU]],customerSKU!G:G,customerSKU!K:K,"NA",0,1)</f>
        <v>NA</v>
      </c>
      <c r="AI2064" s="43" t="str">
        <f>_xlfn.XLOOKUP(Table26[[#This Row],[customerSKU]],customerSKU!G:G,customerSKU!O:O,"not found",0,1)</f>
        <v>not found</v>
      </c>
      <c r="AJ2064" s="22" t="e">
        <f>Table26[[#This Row],[unitprice]]*Table26[[#This Row],[quantity_unit]]</f>
        <v>#VALUE!</v>
      </c>
      <c r="AK2064" s="227" t="e" cm="1">
        <f t="array" ref="AK20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4" s="227"/>
    </row>
    <row r="2065" spans="1:38" ht="15.45" customHeight="1">
      <c r="A2065" s="42">
        <v>191</v>
      </c>
      <c r="B2065" s="42" t="s">
        <v>3520</v>
      </c>
      <c r="C2065" s="53" t="s">
        <v>203</v>
      </c>
      <c r="E2065" s="20"/>
      <c r="F20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5" s="93"/>
      <c r="I2065" s="203">
        <v>45848</v>
      </c>
      <c r="J2065" s="90" t="str">
        <f>IF(Table26[[#This Row],[customerSKU]]="","",_xlfn.XLOOKUP(Table26[[#This Row],[customerSKU]],customerSKU!G:G,customerSKU!A:A,"",0,1))</f>
        <v/>
      </c>
      <c r="K2065" s="19">
        <v>45856</v>
      </c>
      <c r="L2065" s="49" t="str">
        <f>IF(Table26[[#This Row],[customerSKU]]="","",_xlfn.XLOOKUP(Table26[[#This Row],[customerSKU]],customerSKU!G:G,customerSKU!B:B,"",0,1))</f>
        <v/>
      </c>
      <c r="M2065" s="22"/>
      <c r="N2065" s="15" t="str">
        <f>Table26[[#This Row],[po_number]]&amp;"-"&amp;Table26[[#This Row],[po_line]]</f>
        <v>-8</v>
      </c>
      <c r="O2065" s="15">
        <v>8</v>
      </c>
      <c r="P2065" s="50"/>
      <c r="Q2065" s="22" t="s">
        <v>1312</v>
      </c>
      <c r="R2065" s="22" t="s">
        <v>532</v>
      </c>
      <c r="S2065" s="90" t="str">
        <f>IF(Table26[[#This Row],[customerSKU]]="","",_xlfn.XLOOKUP(Table26[[#This Row],[customerSKU]],customerSKU!G:G,customerSKU!N:N,"NOT FOUND",0,1))</f>
        <v>NOT FOUND</v>
      </c>
      <c r="T2065" s="20">
        <v>45660</v>
      </c>
      <c r="U2065" s="94">
        <v>12</v>
      </c>
      <c r="V2065" s="22" t="str">
        <f>IF(ISBLANK(Table26[[#This Row],[customerSKU]]),"",_xlfn.XLOOKUP(Table26[[#This Row],[customerSKU]],Table27[customer_SKU],Table27[case_size],"",0,1))</f>
        <v/>
      </c>
      <c r="W2065" s="117" t="str">
        <f t="shared" si="83"/>
        <v/>
      </c>
      <c r="X2065" s="22" t="str">
        <f t="shared" si="82"/>
        <v/>
      </c>
      <c r="Y2065" s="25" t="str">
        <f>IF(Table26[[#This Row],[customerSKU]]="","",_xlfn.XLOOKUP(Table26[[#This Row],[customerSKU]],Table27[customer_SKU],Table27[product_GTIN],"",0,1))</f>
        <v/>
      </c>
      <c r="Z2065" s="25" t="s">
        <v>3645</v>
      </c>
      <c r="AA2065" s="18" t="str" cm="1">
        <f t="array" ref="AA2065">IF(P2065="", "", _xlfn.XLOOKUP(P2065,#REF!,#REF!,NA,0,-1))</f>
        <v/>
      </c>
      <c r="AB2065" s="22"/>
      <c r="AC2065" s="23" t="str">
        <f>IF(Table26[[#This Row],[customerSKU]]="","",_xlfn.XLOOKUP(Table26[[#This Row],[customerSKU]],customerSKU!G:G,customerSKU!C:C,"",0,1))</f>
        <v/>
      </c>
      <c r="AD2065" s="23" t="str">
        <f>IF($AC2065="","",_xlfn.XLOOKUP($AC2065,'Client Info'!$C$2:$C$2497,'Client Info'!$D$2:$D$2497,"",0,1))</f>
        <v/>
      </c>
      <c r="AE2065" s="23" t="str">
        <f>IF($AC2065="","",_xlfn.XLOOKUP($AC2065,'Client Info'!$C$2:$C$2677,'Client Info'!$E$2:$E$2677,"",))</f>
        <v/>
      </c>
      <c r="AF2065" s="23" t="str">
        <f>IF($AC2065="","",_xlfn.XLOOKUP($AC2065,'Client Info'!$C$2:$C$2677,'Client Info'!$F$2:$F$2677,"",0,1))</f>
        <v/>
      </c>
      <c r="AG2065" s="23" t="str">
        <f>IF(ISBLANK(Table26[[#This Row],[customerSKU]]),"",_xlfn.XLOOKUP(Table26[[#This Row],[customerSKU]],Table27[customer_SKU],Table27[billto],"",0,1))</f>
        <v/>
      </c>
      <c r="AH2065" s="26" t="str">
        <f>_xlfn.XLOOKUP(Table26[[#This Row],[customerSKU]],customerSKU!G:G,customerSKU!K:K,"NA",0,1)</f>
        <v>NA</v>
      </c>
      <c r="AI2065" s="43" t="str">
        <f>_xlfn.XLOOKUP(Table26[[#This Row],[customerSKU]],customerSKU!G:G,customerSKU!O:O,"not found",0,1)</f>
        <v>not found</v>
      </c>
      <c r="AJ2065" s="22" t="e">
        <f>Table26[[#This Row],[unitprice]]*Table26[[#This Row],[quantity_unit]]</f>
        <v>#VALUE!</v>
      </c>
      <c r="AK2065" s="227" t="e" cm="1">
        <f t="array" ref="AK20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5" s="227"/>
    </row>
    <row r="2066" spans="1:38" ht="15.45" customHeight="1">
      <c r="A2066" s="42">
        <v>192</v>
      </c>
      <c r="B2066" s="42" t="s">
        <v>3520</v>
      </c>
      <c r="C2066" s="53" t="s">
        <v>203</v>
      </c>
      <c r="E2066" s="20"/>
      <c r="F20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6" s="93"/>
      <c r="I2066" s="203">
        <v>45848</v>
      </c>
      <c r="J2066" s="90" t="str">
        <f>IF(Table26[[#This Row],[customerSKU]]="","",_xlfn.XLOOKUP(Table26[[#This Row],[customerSKU]],customerSKU!G:G,customerSKU!A:A,"",0,1))</f>
        <v/>
      </c>
      <c r="K2066" s="19">
        <v>45856</v>
      </c>
      <c r="L2066" s="49" t="str">
        <f>IF(Table26[[#This Row],[customerSKU]]="","",_xlfn.XLOOKUP(Table26[[#This Row],[customerSKU]],customerSKU!G:G,customerSKU!B:B,"",0,1))</f>
        <v/>
      </c>
      <c r="M2066" s="22"/>
      <c r="N2066" s="15" t="str">
        <f>Table26[[#This Row],[po_number]]&amp;"-"&amp;Table26[[#This Row],[po_line]]</f>
        <v>-9</v>
      </c>
      <c r="O2066" s="15">
        <v>9</v>
      </c>
      <c r="P2066" s="50"/>
      <c r="Q2066" s="22" t="s">
        <v>1312</v>
      </c>
      <c r="R2066" s="22" t="s">
        <v>532</v>
      </c>
      <c r="S2066" s="90" t="str">
        <f>IF(Table26[[#This Row],[customerSKU]]="","",_xlfn.XLOOKUP(Table26[[#This Row],[customerSKU]],customerSKU!G:G,customerSKU!N:N,"NOT FOUND",0,1))</f>
        <v>NOT FOUND</v>
      </c>
      <c r="T2066" s="20">
        <v>45854</v>
      </c>
      <c r="U2066" s="94">
        <v>36</v>
      </c>
      <c r="V2066" s="22" t="str">
        <f>IF(ISBLANK(Table26[[#This Row],[customerSKU]]),"",_xlfn.XLOOKUP(Table26[[#This Row],[customerSKU]],Table27[customer_SKU],Table27[case_size],"",0,1))</f>
        <v/>
      </c>
      <c r="W2066" s="117" t="str">
        <f t="shared" si="83"/>
        <v/>
      </c>
      <c r="X2066" s="22" t="str">
        <f t="shared" si="82"/>
        <v/>
      </c>
      <c r="Y2066" s="25" t="str">
        <f>IF(Table26[[#This Row],[customerSKU]]="","",_xlfn.XLOOKUP(Table26[[#This Row],[customerSKU]],Table27[customer_SKU],Table27[product_GTIN],"",0,1))</f>
        <v/>
      </c>
      <c r="Z2066" s="25" t="s">
        <v>3645</v>
      </c>
      <c r="AA2066" s="18" t="str" cm="1">
        <f t="array" ref="AA2066">IF(P2066="", "", _xlfn.XLOOKUP(P2066,#REF!,#REF!,NA,0,-1))</f>
        <v/>
      </c>
      <c r="AB2066" s="22"/>
      <c r="AC2066" s="23" t="str">
        <f>IF(Table26[[#This Row],[customerSKU]]="","",_xlfn.XLOOKUP(Table26[[#This Row],[customerSKU]],customerSKU!G:G,customerSKU!C:C,"",0,1))</f>
        <v/>
      </c>
      <c r="AD2066" s="23" t="str">
        <f>IF($AC2066="","",_xlfn.XLOOKUP($AC2066,'Client Info'!$C$2:$C$2497,'Client Info'!$D$2:$D$2497,"",0,1))</f>
        <v/>
      </c>
      <c r="AE2066" s="23" t="str">
        <f>IF($AC2066="","",_xlfn.XLOOKUP($AC2066,'Client Info'!$C$2:$C$2677,'Client Info'!$E$2:$E$2677,"",))</f>
        <v/>
      </c>
      <c r="AF2066" s="23" t="str">
        <f>IF($AC2066="","",_xlfn.XLOOKUP($AC2066,'Client Info'!$C$2:$C$2677,'Client Info'!$F$2:$F$2677,"",0,1))</f>
        <v/>
      </c>
      <c r="AG2066" s="23" t="str">
        <f>IF(ISBLANK(Table26[[#This Row],[customerSKU]]),"",_xlfn.XLOOKUP(Table26[[#This Row],[customerSKU]],Table27[customer_SKU],Table27[billto],"",0,1))</f>
        <v/>
      </c>
      <c r="AH2066" s="26" t="str">
        <f>_xlfn.XLOOKUP(Table26[[#This Row],[customerSKU]],customerSKU!G:G,customerSKU!K:K,"NA",0,1)</f>
        <v>NA</v>
      </c>
      <c r="AI2066" s="43" t="str">
        <f>_xlfn.XLOOKUP(Table26[[#This Row],[customerSKU]],customerSKU!G:G,customerSKU!O:O,"not found",0,1)</f>
        <v>not found</v>
      </c>
      <c r="AJ2066" s="22" t="e">
        <f>Table26[[#This Row],[unitprice]]*Table26[[#This Row],[quantity_unit]]</f>
        <v>#VALUE!</v>
      </c>
      <c r="AK2066" s="227" t="e" cm="1">
        <f t="array" ref="AK20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6" s="227"/>
    </row>
    <row r="2067" spans="1:38" ht="15.45" customHeight="1">
      <c r="A2067" s="42">
        <v>193</v>
      </c>
      <c r="B2067" s="42" t="s">
        <v>3520</v>
      </c>
      <c r="C2067" s="53" t="s">
        <v>203</v>
      </c>
      <c r="E2067" s="20"/>
      <c r="F20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7" s="93"/>
      <c r="I2067" s="203">
        <v>45848</v>
      </c>
      <c r="J2067" s="90" t="str">
        <f>IF(Table26[[#This Row],[customerSKU]]="","",_xlfn.XLOOKUP(Table26[[#This Row],[customerSKU]],customerSKU!G:G,customerSKU!A:A,"",0,1))</f>
        <v/>
      </c>
      <c r="K2067" s="19">
        <v>45856</v>
      </c>
      <c r="L2067" s="49" t="str">
        <f>IF(Table26[[#This Row],[customerSKU]]="","",_xlfn.XLOOKUP(Table26[[#This Row],[customerSKU]],customerSKU!G:G,customerSKU!B:B,"",0,1))</f>
        <v/>
      </c>
      <c r="M2067" s="22"/>
      <c r="N2067" s="15" t="str">
        <f>Table26[[#This Row],[po_number]]&amp;"-"&amp;Table26[[#This Row],[po_line]]</f>
        <v>-10</v>
      </c>
      <c r="O2067" s="15">
        <v>10</v>
      </c>
      <c r="P2067" s="50"/>
      <c r="Q2067" s="22" t="s">
        <v>3378</v>
      </c>
      <c r="R2067" s="22" t="s">
        <v>532</v>
      </c>
      <c r="S2067" s="90" t="str">
        <f>IF(Table26[[#This Row],[customerSKU]]="","",_xlfn.XLOOKUP(Table26[[#This Row],[customerSKU]],customerSKU!G:G,customerSKU!N:N,"NOT FOUND",0,1))</f>
        <v>NOT FOUND</v>
      </c>
      <c r="T2067" s="20">
        <v>45742</v>
      </c>
      <c r="U2067" s="94">
        <v>12</v>
      </c>
      <c r="V2067" s="22" t="str">
        <f>IF(ISBLANK(Table26[[#This Row],[customerSKU]]),"",_xlfn.XLOOKUP(Table26[[#This Row],[customerSKU]],Table27[customer_SKU],Table27[case_size],"",0,1))</f>
        <v/>
      </c>
      <c r="W2067" s="117" t="str">
        <f t="shared" si="83"/>
        <v/>
      </c>
      <c r="X2067" s="22" t="str">
        <f t="shared" si="82"/>
        <v/>
      </c>
      <c r="Y2067" s="25" t="str">
        <f>IF(Table26[[#This Row],[customerSKU]]="","",_xlfn.XLOOKUP(Table26[[#This Row],[customerSKU]],Table27[customer_SKU],Table27[product_GTIN],"",0,1))</f>
        <v/>
      </c>
      <c r="Z2067" s="25" t="s">
        <v>3731</v>
      </c>
      <c r="AA2067" s="18" t="str" cm="1">
        <f t="array" ref="AA2067">IF(P2067="", "", _xlfn.XLOOKUP(P2067,#REF!,#REF!,NA,0,-1))</f>
        <v/>
      </c>
      <c r="AB2067" s="22"/>
      <c r="AC2067" s="23" t="str">
        <f>IF(Table26[[#This Row],[customerSKU]]="","",_xlfn.XLOOKUP(Table26[[#This Row],[customerSKU]],customerSKU!G:G,customerSKU!C:C,"",0,1))</f>
        <v/>
      </c>
      <c r="AD2067" s="23" t="str">
        <f>IF($AC2067="","",_xlfn.XLOOKUP($AC2067,'Client Info'!$C$2:$C$2497,'Client Info'!$D$2:$D$2497,"",0,1))</f>
        <v/>
      </c>
      <c r="AE2067" s="23" t="str">
        <f>IF($AC2067="","",_xlfn.XLOOKUP($AC2067,'Client Info'!$C$2:$C$2677,'Client Info'!$E$2:$E$2677,"",))</f>
        <v/>
      </c>
      <c r="AF2067" s="23" t="str">
        <f>IF($AC2067="","",_xlfn.XLOOKUP($AC2067,'Client Info'!$C$2:$C$2677,'Client Info'!$F$2:$F$2677,"",0,1))</f>
        <v/>
      </c>
      <c r="AG2067" s="23" t="str">
        <f>IF(ISBLANK(Table26[[#This Row],[customerSKU]]),"",_xlfn.XLOOKUP(Table26[[#This Row],[customerSKU]],Table27[customer_SKU],Table27[billto],"",0,1))</f>
        <v/>
      </c>
      <c r="AH2067" s="26" t="str">
        <f>_xlfn.XLOOKUP(Table26[[#This Row],[customerSKU]],customerSKU!G:G,customerSKU!K:K,"NA",0,1)</f>
        <v>NA</v>
      </c>
      <c r="AI2067" s="43" t="str">
        <f>_xlfn.XLOOKUP(Table26[[#This Row],[customerSKU]],customerSKU!G:G,customerSKU!O:O,"not found",0,1)</f>
        <v>not found</v>
      </c>
      <c r="AJ2067" s="22" t="e">
        <f>Table26[[#This Row],[unitprice]]*Table26[[#This Row],[quantity_unit]]</f>
        <v>#VALUE!</v>
      </c>
      <c r="AK2067" s="227" t="e" cm="1">
        <f t="array" ref="AK20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7" s="227"/>
    </row>
    <row r="2068" spans="1:38" ht="15.45" customHeight="1">
      <c r="A2068" s="42">
        <v>182</v>
      </c>
      <c r="B2068" s="42" t="s">
        <v>3520</v>
      </c>
      <c r="C2068" s="53" t="s">
        <v>203</v>
      </c>
      <c r="E2068" s="20"/>
      <c r="F20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8" s="93"/>
      <c r="I2068" s="203">
        <v>45848</v>
      </c>
      <c r="J2068" s="90" t="str">
        <f>IF(Table26[[#This Row],[customerSKU]]="","",_xlfn.XLOOKUP(Table26[[#This Row],[customerSKU]],customerSKU!G:G,customerSKU!A:A,"",0,1))</f>
        <v/>
      </c>
      <c r="K2068" s="19">
        <v>45859</v>
      </c>
      <c r="L2068" s="49" t="str">
        <f>IF(Table26[[#This Row],[customerSKU]]="","",_xlfn.XLOOKUP(Table26[[#This Row],[customerSKU]],customerSKU!G:G,customerSKU!B:B,"",0,1))</f>
        <v/>
      </c>
      <c r="M2068" s="22"/>
      <c r="N2068" s="15" t="str">
        <f>Table26[[#This Row],[po_number]]&amp;"-"&amp;Table26[[#This Row],[po_line]]</f>
        <v>-1</v>
      </c>
      <c r="O2068" s="15">
        <v>1</v>
      </c>
      <c r="P2068" s="50"/>
      <c r="Q2068" s="22" t="s">
        <v>3615</v>
      </c>
      <c r="R2068" s="22" t="s">
        <v>532</v>
      </c>
      <c r="S2068" s="90" t="str">
        <f>IF(Table26[[#This Row],[customerSKU]]="","",_xlfn.XLOOKUP(Table26[[#This Row],[customerSKU]],customerSKU!G:G,customerSKU!N:N,"NOT FOUND",0,1))</f>
        <v>NOT FOUND</v>
      </c>
      <c r="T2068" s="20">
        <v>45744</v>
      </c>
      <c r="U2068" s="94">
        <v>300</v>
      </c>
      <c r="V2068" s="22" t="str">
        <f>IF(ISBLANK(Table26[[#This Row],[customerSKU]]),"",_xlfn.XLOOKUP(Table26[[#This Row],[customerSKU]],Table27[customer_SKU],Table27[case_size],"",0,1))</f>
        <v/>
      </c>
      <c r="W2068" s="117" t="str">
        <f t="shared" si="83"/>
        <v/>
      </c>
      <c r="X2068" s="22" t="str">
        <f t="shared" si="82"/>
        <v/>
      </c>
      <c r="Y2068" s="25" t="str">
        <f>IF(Table26[[#This Row],[customerSKU]]="","",_xlfn.XLOOKUP(Table26[[#This Row],[customerSKU]],Table27[customer_SKU],Table27[product_GTIN],"",0,1))</f>
        <v/>
      </c>
      <c r="Z2068" s="25" t="s">
        <v>3732</v>
      </c>
      <c r="AA2068" s="18" t="str" cm="1">
        <f t="array" ref="AA2068">IF(P2068="", "", _xlfn.XLOOKUP(P2068,#REF!,#REF!,NA,0,-1))</f>
        <v/>
      </c>
      <c r="AB2068" s="22"/>
      <c r="AC2068" s="23" t="s">
        <v>22</v>
      </c>
      <c r="AD2068" s="23" t="str">
        <f>IF($AC2068="","",_xlfn.XLOOKUP($AC2068,'Client Info'!$C$2:$C$2497,'Client Info'!$D$2:$D$2497,"",0,1))</f>
        <v/>
      </c>
      <c r="AE2068" s="23" t="str">
        <f>IF($AC2068="","",_xlfn.XLOOKUP($AC2068,'Client Info'!$C$2:$C$2677,'Client Info'!$E$2:$E$2677,"",))</f>
        <v/>
      </c>
      <c r="AF2068" s="23" t="str">
        <f>IF($AC2068="","",_xlfn.XLOOKUP($AC2068,'Client Info'!$C$2:$C$2677,'Client Info'!$F$2:$F$2677,"",0,1))</f>
        <v/>
      </c>
      <c r="AG2068" s="23" t="str">
        <f>IF(ISBLANK(Table26[[#This Row],[customerSKU]]),"",_xlfn.XLOOKUP(Table26[[#This Row],[customerSKU]],Table27[customer_SKU],Table27[billto],"",0,1))</f>
        <v/>
      </c>
      <c r="AH2068" s="26" t="str">
        <f>_xlfn.XLOOKUP(Table26[[#This Row],[customerSKU]],customerSKU!G:G,customerSKU!K:K,"NA",0,1)</f>
        <v>NA</v>
      </c>
      <c r="AI2068" s="43" t="str">
        <f>_xlfn.XLOOKUP(Table26[[#This Row],[customerSKU]],customerSKU!G:G,customerSKU!O:O,"not found",0,1)</f>
        <v>not found</v>
      </c>
      <c r="AJ2068" s="22" t="e">
        <f>Table26[[#This Row],[unitprice]]*Table26[[#This Row],[quantity_unit]]</f>
        <v>#VALUE!</v>
      </c>
      <c r="AK2068" s="227" t="e" cm="1">
        <f t="array" ref="AK20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8" s="227"/>
    </row>
    <row r="2069" spans="1:38" ht="15.45" customHeight="1">
      <c r="A2069" s="42">
        <v>183</v>
      </c>
      <c r="B2069" s="42" t="s">
        <v>3520</v>
      </c>
      <c r="C2069" s="53" t="s">
        <v>203</v>
      </c>
      <c r="E2069" s="20"/>
      <c r="F20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69" s="93"/>
      <c r="I2069" s="203">
        <v>45848</v>
      </c>
      <c r="J2069" s="90" t="str">
        <f>IF(Table26[[#This Row],[customerSKU]]="","",_xlfn.XLOOKUP(Table26[[#This Row],[customerSKU]],customerSKU!G:G,customerSKU!A:A,"",0,1))</f>
        <v/>
      </c>
      <c r="K2069" s="19">
        <v>45859</v>
      </c>
      <c r="L2069" s="49" t="str">
        <f>IF(Table26[[#This Row],[customerSKU]]="","",_xlfn.XLOOKUP(Table26[[#This Row],[customerSKU]],customerSKU!G:G,customerSKU!B:B,"",0,1))</f>
        <v/>
      </c>
      <c r="M2069" s="22"/>
      <c r="N2069" s="15" t="str">
        <f>Table26[[#This Row],[po_number]]&amp;"-"&amp;Table26[[#This Row],[po_line]]</f>
        <v>-2</v>
      </c>
      <c r="O2069" s="15">
        <v>2</v>
      </c>
      <c r="P2069" s="50"/>
      <c r="Q2069" s="22" t="s">
        <v>3733</v>
      </c>
      <c r="R2069" s="22" t="s">
        <v>532</v>
      </c>
      <c r="S2069" s="90" t="str">
        <f>IF(Table26[[#This Row],[customerSKU]]="","",_xlfn.XLOOKUP(Table26[[#This Row],[customerSKU]],customerSKU!G:G,customerSKU!N:N,"NOT FOUND",0,1))</f>
        <v>NOT FOUND</v>
      </c>
      <c r="T2069" s="20">
        <v>45846</v>
      </c>
      <c r="U2069" s="94">
        <v>180</v>
      </c>
      <c r="V2069" s="22" t="str">
        <f>IF(ISBLANK(Table26[[#This Row],[customerSKU]]),"",_xlfn.XLOOKUP(Table26[[#This Row],[customerSKU]],Table27[customer_SKU],Table27[case_size],"",0,1))</f>
        <v/>
      </c>
      <c r="W2069" s="117" t="str">
        <f t="shared" si="83"/>
        <v/>
      </c>
      <c r="X2069" s="22" t="str">
        <f t="shared" si="82"/>
        <v/>
      </c>
      <c r="Y2069" s="25" t="str">
        <f>IF(Table26[[#This Row],[customerSKU]]="","",_xlfn.XLOOKUP(Table26[[#This Row],[customerSKU]],Table27[customer_SKU],Table27[product_GTIN],"",0,1))</f>
        <v/>
      </c>
      <c r="Z2069" s="25" t="s">
        <v>3732</v>
      </c>
      <c r="AA2069" s="18" t="str" cm="1">
        <f t="array" ref="AA2069">IF(P2069="", "", _xlfn.XLOOKUP(P2069,#REF!,#REF!,NA,0,-1))</f>
        <v/>
      </c>
      <c r="AB2069" s="22"/>
      <c r="AC2069" s="23" t="s">
        <v>22</v>
      </c>
      <c r="AD2069" s="23" t="str">
        <f>IF($AC2069="","",_xlfn.XLOOKUP($AC2069,'Client Info'!$C$2:$C$2497,'Client Info'!$D$2:$D$2497,"",0,1))</f>
        <v/>
      </c>
      <c r="AE2069" s="23" t="str">
        <f>IF($AC2069="","",_xlfn.XLOOKUP($AC2069,'Client Info'!$C$2:$C$2677,'Client Info'!$E$2:$E$2677,"",))</f>
        <v/>
      </c>
      <c r="AF2069" s="23" t="str">
        <f>IF($AC2069="","",_xlfn.XLOOKUP($AC2069,'Client Info'!$C$2:$C$2677,'Client Info'!$F$2:$F$2677,"",0,1))</f>
        <v/>
      </c>
      <c r="AG2069" s="23" t="str">
        <f>IF(ISBLANK(Table26[[#This Row],[customerSKU]]),"",_xlfn.XLOOKUP(Table26[[#This Row],[customerSKU]],Table27[customer_SKU],Table27[billto],"",0,1))</f>
        <v/>
      </c>
      <c r="AH2069" s="26" t="str">
        <f>_xlfn.XLOOKUP(Table26[[#This Row],[customerSKU]],customerSKU!G:G,customerSKU!K:K,"NA",0,1)</f>
        <v>NA</v>
      </c>
      <c r="AI2069" s="43" t="str">
        <f>_xlfn.XLOOKUP(Table26[[#This Row],[customerSKU]],customerSKU!G:G,customerSKU!O:O,"not found",0,1)</f>
        <v>not found</v>
      </c>
      <c r="AJ2069" s="22" t="e">
        <f>Table26[[#This Row],[unitprice]]*Table26[[#This Row],[quantity_unit]]</f>
        <v>#VALUE!</v>
      </c>
      <c r="AK2069" s="227" t="e" cm="1">
        <f t="array" ref="AK20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69" s="227"/>
    </row>
    <row r="2070" spans="1:38" ht="15.45" customHeight="1">
      <c r="A2070" s="42">
        <v>181</v>
      </c>
      <c r="B2070" s="42" t="s">
        <v>3520</v>
      </c>
      <c r="C2070" s="22" t="s">
        <v>3360</v>
      </c>
      <c r="E2070" s="20"/>
      <c r="F20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0" s="93"/>
      <c r="I2070" s="203">
        <v>45855</v>
      </c>
      <c r="J2070" s="90" t="str">
        <f>IF(Table26[[#This Row],[customerSKU]]="","",_xlfn.XLOOKUP(Table26[[#This Row],[customerSKU]],customerSKU!G:G,customerSKU!A:A,"",0,1))</f>
        <v/>
      </c>
      <c r="K2070" s="19">
        <v>45860</v>
      </c>
      <c r="L2070" s="49" t="str">
        <f>IF(Table26[[#This Row],[customerSKU]]="","",_xlfn.XLOOKUP(Table26[[#This Row],[customerSKU]],customerSKU!G:G,customerSKU!B:B,"",0,1))</f>
        <v/>
      </c>
      <c r="M2070" s="22"/>
      <c r="N2070" s="15" t="str">
        <f>Table26[[#This Row],[po_number]]&amp;"-"&amp;Table26[[#This Row],[po_line]]</f>
        <v>-1</v>
      </c>
      <c r="O2070" s="15">
        <v>1</v>
      </c>
      <c r="P2070" s="50"/>
      <c r="Q2070" s="22" t="s">
        <v>1774</v>
      </c>
      <c r="R2070" s="22" t="s">
        <v>532</v>
      </c>
      <c r="S2070" s="90" t="str">
        <f>IF(Table26[[#This Row],[customerSKU]]="","",_xlfn.XLOOKUP(Table26[[#This Row],[customerSKU]],customerSKU!G:G,customerSKU!N:N,"NOT FOUND",0,1))</f>
        <v>NOT FOUND</v>
      </c>
      <c r="T2070" s="20">
        <v>45790</v>
      </c>
      <c r="U2070" s="94">
        <v>96</v>
      </c>
      <c r="V2070" s="22" t="str">
        <f>IF(ISBLANK(Table26[[#This Row],[customerSKU]]),"",_xlfn.XLOOKUP(Table26[[#This Row],[customerSKU]],Table27[customer_SKU],Table27[case_size],"",0,1))</f>
        <v/>
      </c>
      <c r="W2070" s="117" t="str">
        <f t="shared" si="83"/>
        <v/>
      </c>
      <c r="X2070" s="22" t="str">
        <f t="shared" si="82"/>
        <v/>
      </c>
      <c r="Y2070" s="25" t="str">
        <f>IF(Table26[[#This Row],[customerSKU]]="","",_xlfn.XLOOKUP(Table26[[#This Row],[customerSKU]],Table27[customer_SKU],Table27[product_GTIN],"",0,1))</f>
        <v/>
      </c>
      <c r="Z2070" s="25" t="s">
        <v>3542</v>
      </c>
      <c r="AA2070" s="18" t="str" cm="1">
        <f t="array" ref="AA2070">IF(P2070="", "", _xlfn.XLOOKUP(P2070,#REF!,#REF!,NA,0,-1))</f>
        <v/>
      </c>
      <c r="AB2070" s="22"/>
      <c r="AC2070" s="23" t="str">
        <f>IF(Table26[[#This Row],[customerSKU]]="","",_xlfn.XLOOKUP(Table26[[#This Row],[customerSKU]],customerSKU!G:G,customerSKU!C:C,"",0,1))</f>
        <v/>
      </c>
      <c r="AD2070" s="23" t="str">
        <f>IF($AC2070="","",_xlfn.XLOOKUP($AC2070,'Client Info'!$C$2:$C$2497,'Client Info'!$D$2:$D$2497,"",0,1))</f>
        <v/>
      </c>
      <c r="AE2070" s="23" t="str">
        <f>IF($AC2070="","",_xlfn.XLOOKUP($AC2070,'Client Info'!$C$2:$C$2677,'Client Info'!$E$2:$E$2677,"",))</f>
        <v/>
      </c>
      <c r="AF2070" s="23" t="str">
        <f>IF($AC2070="","",_xlfn.XLOOKUP($AC2070,'Client Info'!$C$2:$C$2677,'Client Info'!$F$2:$F$2677,"",0,1))</f>
        <v/>
      </c>
      <c r="AG2070" s="23" t="str">
        <f>IF(ISBLANK(Table26[[#This Row],[customerSKU]]),"",_xlfn.XLOOKUP(Table26[[#This Row],[customerSKU]],Table27[customer_SKU],Table27[billto],"",0,1))</f>
        <v/>
      </c>
      <c r="AH2070" s="26" t="str">
        <f>_xlfn.XLOOKUP(Table26[[#This Row],[customerSKU]],customerSKU!G:G,customerSKU!K:K,"NA",0,1)</f>
        <v>NA</v>
      </c>
      <c r="AI2070" s="43" t="str">
        <f>_xlfn.XLOOKUP(Table26[[#This Row],[customerSKU]],customerSKU!G:G,customerSKU!O:O,"not found",0,1)</f>
        <v>not found</v>
      </c>
      <c r="AJ2070" s="22" t="e">
        <f>Table26[[#This Row],[unitprice]]*Table26[[#This Row],[quantity_unit]]</f>
        <v>#VALUE!</v>
      </c>
      <c r="AK2070" s="227" t="e" cm="1">
        <f t="array" ref="AK20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0" s="227"/>
    </row>
    <row r="2071" spans="1:38" ht="15.45" customHeight="1">
      <c r="A2071" s="42">
        <v>156</v>
      </c>
      <c r="B2071" s="42" t="s">
        <v>3520</v>
      </c>
      <c r="C2071" s="53" t="s">
        <v>3488</v>
      </c>
      <c r="E2071" s="20"/>
      <c r="F20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1" s="93"/>
      <c r="I2071" s="203">
        <v>45848</v>
      </c>
      <c r="J2071" s="90" t="str">
        <f>IF(Table26[[#This Row],[customerSKU]]="","",_xlfn.XLOOKUP(Table26[[#This Row],[customerSKU]],customerSKU!G:G,customerSKU!A:A,"",0,1))</f>
        <v/>
      </c>
      <c r="K2071" s="19">
        <v>45861</v>
      </c>
      <c r="L2071" s="49" t="str">
        <f>IF(Table26[[#This Row],[customerSKU]]="","",_xlfn.XLOOKUP(Table26[[#This Row],[customerSKU]],customerSKU!G:G,customerSKU!B:B,"",0,1))</f>
        <v/>
      </c>
      <c r="M2071" s="22"/>
      <c r="N2071" s="15" t="str">
        <f>Table26[[#This Row],[po_number]]&amp;"-"&amp;Table26[[#This Row],[po_line]]</f>
        <v>-1</v>
      </c>
      <c r="O2071" s="15">
        <v>1</v>
      </c>
      <c r="P2071" s="50"/>
      <c r="Q2071" s="22" t="s">
        <v>1842</v>
      </c>
      <c r="R2071" s="22" t="s">
        <v>532</v>
      </c>
      <c r="S2071" s="90" t="str">
        <f>IF(Table26[[#This Row],[customerSKU]]="","",_xlfn.XLOOKUP(Table26[[#This Row],[customerSKU]],customerSKU!G:G,customerSKU!N:N,"NOT FOUND",0,1))</f>
        <v>NOT FOUND</v>
      </c>
      <c r="T2071" s="20">
        <v>45854</v>
      </c>
      <c r="U2071" s="94">
        <v>300</v>
      </c>
      <c r="V2071" s="22" t="str">
        <f>IF(ISBLANK(Table26[[#This Row],[customerSKU]]),"",_xlfn.XLOOKUP(Table26[[#This Row],[customerSKU]],Table27[customer_SKU],Table27[case_size],"",0,1))</f>
        <v/>
      </c>
      <c r="W2071" s="117" t="str">
        <f t="shared" si="83"/>
        <v/>
      </c>
      <c r="X2071" s="22" t="str">
        <f t="shared" si="82"/>
        <v/>
      </c>
      <c r="Y2071" s="25" t="str">
        <f>IF(Table26[[#This Row],[customerSKU]]="","",_xlfn.XLOOKUP(Table26[[#This Row],[customerSKU]],Table27[customer_SKU],Table27[product_GTIN],"",0,1))</f>
        <v/>
      </c>
      <c r="Z2071" s="25" t="s">
        <v>3736</v>
      </c>
      <c r="AA2071" s="18" t="str" cm="1">
        <f t="array" ref="AA2071">IF(P2071="", "", _xlfn.XLOOKUP(P2071,#REF!,#REF!,NA,0,-1))</f>
        <v/>
      </c>
      <c r="AB2071" s="22"/>
      <c r="AC2071" s="23" t="str">
        <f>IF(Table26[[#This Row],[customerSKU]]="","",_xlfn.XLOOKUP(Table26[[#This Row],[customerSKU]],customerSKU!G:G,customerSKU!C:C,"",0,1))</f>
        <v/>
      </c>
      <c r="AD2071" s="23" t="str">
        <f>IF($AC2071="","",_xlfn.XLOOKUP($AC2071,'Client Info'!$C$2:$C$2497,'Client Info'!$D$2:$D$2497,"",0,1))</f>
        <v/>
      </c>
      <c r="AE2071" s="23" t="str">
        <f>IF($AC2071="","",_xlfn.XLOOKUP($AC2071,'Client Info'!$C$2:$C$2677,'Client Info'!$E$2:$E$2677,"",))</f>
        <v/>
      </c>
      <c r="AF2071" s="23" t="str">
        <f>IF($AC2071="","",_xlfn.XLOOKUP($AC2071,'Client Info'!$C$2:$C$2677,'Client Info'!$F$2:$F$2677,"",0,1))</f>
        <v/>
      </c>
      <c r="AG2071" s="23" t="str">
        <f>IF(ISBLANK(Table26[[#This Row],[customerSKU]]),"",_xlfn.XLOOKUP(Table26[[#This Row],[customerSKU]],Table27[customer_SKU],Table27[billto],"",0,1))</f>
        <v/>
      </c>
      <c r="AH2071" s="26" t="str">
        <f>_xlfn.XLOOKUP(Table26[[#This Row],[customerSKU]],customerSKU!G:G,customerSKU!K:K,"NA",0,1)</f>
        <v>NA</v>
      </c>
      <c r="AI2071" s="43" t="str">
        <f>_xlfn.XLOOKUP(Table26[[#This Row],[customerSKU]],customerSKU!G:G,customerSKU!O:O,"not found",0,1)</f>
        <v>not found</v>
      </c>
      <c r="AJ2071" s="22" t="e">
        <f>Table26[[#This Row],[unitprice]]*Table26[[#This Row],[quantity_unit]]</f>
        <v>#VALUE!</v>
      </c>
      <c r="AK2071" s="227" t="e" cm="1">
        <f t="array" ref="AK20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1" s="227"/>
    </row>
    <row r="2072" spans="1:38" ht="15.45" customHeight="1">
      <c r="A2072" s="42">
        <v>157</v>
      </c>
      <c r="B2072" s="42" t="s">
        <v>3520</v>
      </c>
      <c r="C2072" s="53" t="s">
        <v>3488</v>
      </c>
      <c r="E2072" s="20"/>
      <c r="F20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2" s="93"/>
      <c r="I2072" s="203">
        <v>45848</v>
      </c>
      <c r="J2072" s="90" t="str">
        <f>IF(Table26[[#This Row],[customerSKU]]="","",_xlfn.XLOOKUP(Table26[[#This Row],[customerSKU]],customerSKU!G:G,customerSKU!A:A,"",0,1))</f>
        <v/>
      </c>
      <c r="K2072" s="19">
        <v>45861</v>
      </c>
      <c r="L2072" s="49" t="str">
        <f>IF(Table26[[#This Row],[customerSKU]]="","",_xlfn.XLOOKUP(Table26[[#This Row],[customerSKU]],customerSKU!G:G,customerSKU!B:B,"",0,1))</f>
        <v/>
      </c>
      <c r="M2072" s="22"/>
      <c r="N2072" s="15" t="str">
        <f>Table26[[#This Row],[po_number]]&amp;"-"&amp;Table26[[#This Row],[po_line]]</f>
        <v>-2</v>
      </c>
      <c r="O2072" s="15">
        <v>2</v>
      </c>
      <c r="P2072" s="50"/>
      <c r="Q2072" s="22" t="s">
        <v>591</v>
      </c>
      <c r="R2072" s="22" t="s">
        <v>532</v>
      </c>
      <c r="S2072" s="90" t="str">
        <f>IF(Table26[[#This Row],[customerSKU]]="","",_xlfn.XLOOKUP(Table26[[#This Row],[customerSKU]],customerSKU!G:G,customerSKU!N:N,"NOT FOUND",0,1))</f>
        <v>NOT FOUND</v>
      </c>
      <c r="T2072" s="20">
        <v>45841</v>
      </c>
      <c r="U2072" s="94">
        <v>120</v>
      </c>
      <c r="V2072" s="22" t="str">
        <f>IF(ISBLANK(Table26[[#This Row],[customerSKU]]),"",_xlfn.XLOOKUP(Table26[[#This Row],[customerSKU]],Table27[customer_SKU],Table27[case_size],"",0,1))</f>
        <v/>
      </c>
      <c r="W2072" s="117" t="str">
        <f t="shared" si="83"/>
        <v/>
      </c>
      <c r="X2072" s="22" t="str">
        <f t="shared" si="82"/>
        <v/>
      </c>
      <c r="Y2072" s="25" t="str">
        <f>IF(Table26[[#This Row],[customerSKU]]="","",_xlfn.XLOOKUP(Table26[[#This Row],[customerSKU]],Table27[customer_SKU],Table27[product_GTIN],"",0,1))</f>
        <v/>
      </c>
      <c r="Z2072" s="25" t="s">
        <v>3282</v>
      </c>
      <c r="AA2072" s="18" t="str" cm="1">
        <f t="array" ref="AA2072">IF(P2072="", "", _xlfn.XLOOKUP(P2072,#REF!,#REF!,NA,0,-1))</f>
        <v/>
      </c>
      <c r="AB2072" s="22"/>
      <c r="AC2072" s="23" t="str">
        <f>IF(Table26[[#This Row],[customerSKU]]="","",_xlfn.XLOOKUP(Table26[[#This Row],[customerSKU]],customerSKU!G:G,customerSKU!C:C,"",0,1))</f>
        <v/>
      </c>
      <c r="AD2072" s="23" t="str">
        <f>IF($AC2072="","",_xlfn.XLOOKUP($AC2072,'Client Info'!$C$2:$C$2497,'Client Info'!$D$2:$D$2497,"",0,1))</f>
        <v/>
      </c>
      <c r="AE2072" s="23" t="str">
        <f>IF($AC2072="","",_xlfn.XLOOKUP($AC2072,'Client Info'!$C$2:$C$2677,'Client Info'!$E$2:$E$2677,"",))</f>
        <v/>
      </c>
      <c r="AF2072" s="23" t="str">
        <f>IF($AC2072="","",_xlfn.XLOOKUP($AC2072,'Client Info'!$C$2:$C$2677,'Client Info'!$F$2:$F$2677,"",0,1))</f>
        <v/>
      </c>
      <c r="AG2072" s="23" t="str">
        <f>IF(ISBLANK(Table26[[#This Row],[customerSKU]]),"",_xlfn.XLOOKUP(Table26[[#This Row],[customerSKU]],Table27[customer_SKU],Table27[billto],"",0,1))</f>
        <v/>
      </c>
      <c r="AH2072" s="26" t="str">
        <f>_xlfn.XLOOKUP(Table26[[#This Row],[customerSKU]],customerSKU!G:G,customerSKU!K:K,"NA",0,1)</f>
        <v>NA</v>
      </c>
      <c r="AI2072" s="43" t="str">
        <f>_xlfn.XLOOKUP(Table26[[#This Row],[customerSKU]],customerSKU!G:G,customerSKU!O:O,"not found",0,1)</f>
        <v>not found</v>
      </c>
      <c r="AJ2072" s="22" t="e">
        <f>Table26[[#This Row],[unitprice]]*Table26[[#This Row],[quantity_unit]]</f>
        <v>#VALUE!</v>
      </c>
      <c r="AK2072" s="227" t="e" cm="1">
        <f t="array" ref="AK20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2" s="227"/>
    </row>
    <row r="2073" spans="1:38" ht="24.6" customHeight="1">
      <c r="A2073" s="42">
        <v>158</v>
      </c>
      <c r="B2073" s="42" t="s">
        <v>3520</v>
      </c>
      <c r="C2073" s="53" t="s">
        <v>3488</v>
      </c>
      <c r="E2073" s="20"/>
      <c r="F20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3" s="93"/>
      <c r="I2073" s="203">
        <v>45848</v>
      </c>
      <c r="J2073" s="90" t="str">
        <f>IF(Table26[[#This Row],[customerSKU]]="","",_xlfn.XLOOKUP(Table26[[#This Row],[customerSKU]],customerSKU!G:G,customerSKU!A:A,"",0,1))</f>
        <v/>
      </c>
      <c r="K2073" s="19">
        <v>45861</v>
      </c>
      <c r="L2073" s="49" t="str">
        <f>IF(Table26[[#This Row],[customerSKU]]="","",_xlfn.XLOOKUP(Table26[[#This Row],[customerSKU]],customerSKU!G:G,customerSKU!B:B,"",0,1))</f>
        <v/>
      </c>
      <c r="M2073" s="22"/>
      <c r="N2073" s="15" t="str">
        <f>Table26[[#This Row],[po_number]]&amp;"-"&amp;Table26[[#This Row],[po_line]]</f>
        <v>-3</v>
      </c>
      <c r="O2073" s="15">
        <v>3</v>
      </c>
      <c r="P2073" s="50"/>
      <c r="Q2073" s="22" t="s">
        <v>1845</v>
      </c>
      <c r="R2073" s="22" t="s">
        <v>532</v>
      </c>
      <c r="S2073" s="90" t="str">
        <f>IF(Table26[[#This Row],[customerSKU]]="","",_xlfn.XLOOKUP(Table26[[#This Row],[customerSKU]],customerSKU!G:G,customerSKU!N:N,"NOT FOUND",0,1))</f>
        <v>NOT FOUND</v>
      </c>
      <c r="T2073" s="20">
        <v>45859</v>
      </c>
      <c r="U2073" s="94">
        <v>540</v>
      </c>
      <c r="V2073" s="22" t="str">
        <f>IF(ISBLANK(Table26[[#This Row],[customerSKU]]),"",_xlfn.XLOOKUP(Table26[[#This Row],[customerSKU]],Table27[customer_SKU],Table27[case_size],"",0,1))</f>
        <v/>
      </c>
      <c r="W2073" s="117" t="str">
        <f t="shared" si="83"/>
        <v/>
      </c>
      <c r="X2073" s="22" t="str">
        <f t="shared" si="82"/>
        <v/>
      </c>
      <c r="Y2073" s="25" t="str">
        <f>IF(Table26[[#This Row],[customerSKU]]="","",_xlfn.XLOOKUP(Table26[[#This Row],[customerSKU]],Table27[customer_SKU],Table27[product_GTIN],"",0,1))</f>
        <v/>
      </c>
      <c r="Z2073" s="25" t="s">
        <v>3283</v>
      </c>
      <c r="AA2073" s="18" t="str" cm="1">
        <f t="array" ref="AA2073">IF(P2073="", "", _xlfn.XLOOKUP(P2073,#REF!,#REF!,NA,0,-1))</f>
        <v/>
      </c>
      <c r="AB2073" s="22"/>
      <c r="AC2073" s="23" t="str">
        <f>IF(Table26[[#This Row],[customerSKU]]="","",_xlfn.XLOOKUP(Table26[[#This Row],[customerSKU]],customerSKU!G:G,customerSKU!C:C,"",0,1))</f>
        <v/>
      </c>
      <c r="AD2073" s="23" t="str">
        <f>IF($AC2073="","",_xlfn.XLOOKUP($AC2073,'Client Info'!$C$2:$C$2497,'Client Info'!$D$2:$D$2497,"",0,1))</f>
        <v/>
      </c>
      <c r="AE2073" s="23" t="str">
        <f>IF($AC2073="","",_xlfn.XLOOKUP($AC2073,'Client Info'!$C$2:$C$2677,'Client Info'!$E$2:$E$2677,"",))</f>
        <v/>
      </c>
      <c r="AF2073" s="23" t="str">
        <f>IF($AC2073="","",_xlfn.XLOOKUP($AC2073,'Client Info'!$C$2:$C$2677,'Client Info'!$F$2:$F$2677,"",0,1))</f>
        <v/>
      </c>
      <c r="AG2073" s="23" t="str">
        <f>IF(ISBLANK(Table26[[#This Row],[customerSKU]]),"",_xlfn.XLOOKUP(Table26[[#This Row],[customerSKU]],Table27[customer_SKU],Table27[billto],"",0,1))</f>
        <v/>
      </c>
      <c r="AH2073" s="26" t="str">
        <f>_xlfn.XLOOKUP(Table26[[#This Row],[customerSKU]],customerSKU!G:G,customerSKU!K:K,"NA",0,1)</f>
        <v>NA</v>
      </c>
      <c r="AI2073" s="43" t="str">
        <f>_xlfn.XLOOKUP(Table26[[#This Row],[customerSKU]],customerSKU!G:G,customerSKU!O:O,"not found",0,1)</f>
        <v>not found</v>
      </c>
      <c r="AJ2073" s="22" t="e">
        <f>Table26[[#This Row],[unitprice]]*Table26[[#This Row],[quantity_unit]]</f>
        <v>#VALUE!</v>
      </c>
      <c r="AK2073" s="227" t="e" cm="1">
        <f t="array" ref="AK20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3" s="227"/>
    </row>
    <row r="2074" spans="1:38" ht="24.6" customHeight="1">
      <c r="A2074" s="42">
        <v>159</v>
      </c>
      <c r="B2074" s="42" t="s">
        <v>3520</v>
      </c>
      <c r="C2074" s="53" t="s">
        <v>3427</v>
      </c>
      <c r="E2074" s="93"/>
      <c r="F2074" s="22"/>
      <c r="G2074" s="203"/>
      <c r="H2074" s="90"/>
      <c r="I2074" s="203">
        <v>45849</v>
      </c>
      <c r="J2074" s="90" t="str">
        <f>IF(Table26[[#This Row],[customerSKU]]="","",_xlfn.XLOOKUP(Table26[[#This Row],[customerSKU]],customerSKU!G:G,customerSKU!A:A,"",0,1))</f>
        <v/>
      </c>
      <c r="K2074" s="19">
        <v>45861</v>
      </c>
      <c r="L2074" s="49" t="str">
        <f>IF(Table26[[#This Row],[customerSKU]]="","",_xlfn.XLOOKUP(Table26[[#This Row],[customerSKU]],customerSKU!G:G,customerSKU!B:B,"",0,1))</f>
        <v/>
      </c>
      <c r="M2074" s="22"/>
      <c r="N2074" s="15" t="str">
        <f>Table26[[#This Row],[po_number]]&amp;"-"&amp;Table26[[#This Row],[po_line]]</f>
        <v>-1</v>
      </c>
      <c r="O2074" s="15">
        <v>1</v>
      </c>
      <c r="P2074" s="50"/>
      <c r="Q2074" s="22" t="s">
        <v>1832</v>
      </c>
      <c r="R2074" s="22" t="s">
        <v>532</v>
      </c>
      <c r="S2074" s="90" t="str">
        <f>IF(Table26[[#This Row],[customerSKU]]="","",_xlfn.XLOOKUP(Table26[[#This Row],[customerSKU]],customerSKU!G:G,customerSKU!N:N,"NOT FOUND",0,1))</f>
        <v>NOT FOUND</v>
      </c>
      <c r="T2074" s="20">
        <v>45840</v>
      </c>
      <c r="U2074" s="94">
        <v>54</v>
      </c>
      <c r="V2074" s="22" t="str">
        <f>IF(ISBLANK(Table26[[#This Row],[customerSKU]]),"",_xlfn.XLOOKUP(Table26[[#This Row],[customerSKU]],Table27[customer_SKU],Table27[case_size],"",0,1))</f>
        <v/>
      </c>
      <c r="W2074" s="117" t="str">
        <f t="shared" si="83"/>
        <v/>
      </c>
      <c r="X2074" s="22" t="str">
        <f t="shared" si="82"/>
        <v/>
      </c>
      <c r="Y2074" s="25" t="str">
        <f>IF(Table26[[#This Row],[customerSKU]]="","",_xlfn.XLOOKUP(Table26[[#This Row],[customerSKU]],Table27[customer_SKU],Table27[product_GTIN],"",0,1))</f>
        <v/>
      </c>
      <c r="Z2074" s="25" t="s">
        <v>3659</v>
      </c>
      <c r="AA2074" s="18" t="str" cm="1">
        <f t="array" ref="AA2074">IF(P2074="", "", _xlfn.XLOOKUP(P2074,#REF!,#REF!,NA,0,-1))</f>
        <v/>
      </c>
      <c r="AB2074" s="22"/>
      <c r="AC2074" s="23" t="str">
        <f>IF(Table26[[#This Row],[customerSKU]]="","",_xlfn.XLOOKUP(Table26[[#This Row],[customerSKU]],customerSKU!G:G,customerSKU!C:C,"",0,1))</f>
        <v/>
      </c>
      <c r="AD2074" s="23" t="str">
        <f>IF($AC2074="","",_xlfn.XLOOKUP($AC2074,'Client Info'!$C$2:$C$2497,'Client Info'!$D$2:$D$2497,"",0,1))</f>
        <v/>
      </c>
      <c r="AE2074" s="23" t="str">
        <f>IF($AC2074="","",_xlfn.XLOOKUP($AC2074,'Client Info'!$C$2:$C$2677,'Client Info'!$E$2:$E$2677,"",))</f>
        <v/>
      </c>
      <c r="AF2074" s="23" t="str">
        <f>IF($AC2074="","",_xlfn.XLOOKUP($AC2074,'Client Info'!$C$2:$C$2677,'Client Info'!$F$2:$F$2677,"",0,1))</f>
        <v/>
      </c>
      <c r="AG2074" s="23" t="str">
        <f>IF(ISBLANK(Table26[[#This Row],[customerSKU]]),"",_xlfn.XLOOKUP(Table26[[#This Row],[customerSKU]],Table27[customer_SKU],Table27[billto],"",0,1))</f>
        <v/>
      </c>
      <c r="AH2074" s="26" t="str">
        <f>_xlfn.XLOOKUP(Table26[[#This Row],[customerSKU]],customerSKU!G:G,customerSKU!K:K,"NA",0,1)</f>
        <v>NA</v>
      </c>
      <c r="AI2074" s="43" t="str">
        <f>_xlfn.XLOOKUP(Table26[[#This Row],[customerSKU]],customerSKU!G:G,customerSKU!O:O,"not found",0,1)</f>
        <v>not found</v>
      </c>
      <c r="AJ2074" s="22" t="e">
        <f>Table26[[#This Row],[unitprice]]*Table26[[#This Row],[quantity_unit]]</f>
        <v>#VALUE!</v>
      </c>
      <c r="AK2074" s="227" t="e" cm="1">
        <f t="array" ref="AK20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4" s="227"/>
    </row>
    <row r="2075" spans="1:38" ht="15.45" customHeight="1">
      <c r="A2075" s="42">
        <v>160</v>
      </c>
      <c r="B2075" s="42" t="s">
        <v>3520</v>
      </c>
      <c r="C2075" s="53" t="s">
        <v>3427</v>
      </c>
      <c r="E2075" s="203"/>
      <c r="F2075" s="90"/>
      <c r="G2075" s="93"/>
      <c r="I2075" s="203">
        <v>45849</v>
      </c>
      <c r="J2075" s="90" t="str">
        <f>IF(Table26[[#This Row],[customerSKU]]="","",_xlfn.XLOOKUP(Table26[[#This Row],[customerSKU]],customerSKU!G:G,customerSKU!A:A,"",0,1))</f>
        <v/>
      </c>
      <c r="K2075" s="19">
        <v>45861</v>
      </c>
      <c r="L2075" s="49" t="str">
        <f>IF(Table26[[#This Row],[customerSKU]]="","",_xlfn.XLOOKUP(Table26[[#This Row],[customerSKU]],customerSKU!G:G,customerSKU!B:B,"",0,1))</f>
        <v/>
      </c>
      <c r="M2075" s="22"/>
      <c r="N2075" s="15" t="str">
        <f>Table26[[#This Row],[po_number]]&amp;"-"&amp;Table26[[#This Row],[po_line]]</f>
        <v>-2</v>
      </c>
      <c r="O2075" s="15">
        <v>2</v>
      </c>
      <c r="P2075" s="50"/>
      <c r="Q2075" s="22" t="s">
        <v>1832</v>
      </c>
      <c r="R2075" s="22" t="s">
        <v>532</v>
      </c>
      <c r="S2075" s="90" t="str">
        <f>IF(Table26[[#This Row],[customerSKU]]="","",_xlfn.XLOOKUP(Table26[[#This Row],[customerSKU]],customerSKU!G:G,customerSKU!N:N,"NOT FOUND",0,1))</f>
        <v>NOT FOUND</v>
      </c>
      <c r="T2075" s="20">
        <v>45856</v>
      </c>
      <c r="U2075" s="94">
        <f>750-U2074-U2076</f>
        <v>504</v>
      </c>
      <c r="V2075" s="22" t="str">
        <f>IF(ISBLANK(Table26[[#This Row],[customerSKU]]),"",_xlfn.XLOOKUP(Table26[[#This Row],[customerSKU]],Table27[customer_SKU],Table27[case_size],"",0,1))</f>
        <v/>
      </c>
      <c r="W2075" s="117" t="str">
        <f t="shared" si="83"/>
        <v/>
      </c>
      <c r="X2075" s="22" t="str">
        <f t="shared" si="82"/>
        <v/>
      </c>
      <c r="Y2075" s="25" t="str">
        <f>IF(Table26[[#This Row],[customerSKU]]="","",_xlfn.XLOOKUP(Table26[[#This Row],[customerSKU]],Table27[customer_SKU],Table27[product_GTIN],"",0,1))</f>
        <v/>
      </c>
      <c r="Z2075" s="25" t="s">
        <v>3659</v>
      </c>
      <c r="AA2075" s="18" t="str" cm="1">
        <f t="array" ref="AA2075">IF(P2075="", "", _xlfn.XLOOKUP(P2075,#REF!,#REF!,NA,0,-1))</f>
        <v/>
      </c>
      <c r="AB2075" s="259"/>
      <c r="AC2075" s="23" t="str">
        <f>IF(Table26[[#This Row],[customerSKU]]="","",_xlfn.XLOOKUP(Table26[[#This Row],[customerSKU]],customerSKU!G:G,customerSKU!C:C,"",0,1))</f>
        <v/>
      </c>
      <c r="AD2075" s="23" t="str">
        <f>IF($AC2075="","",_xlfn.XLOOKUP($AC2075,'Client Info'!$C$2:$C$2497,'Client Info'!$D$2:$D$2497,"",0,1))</f>
        <v/>
      </c>
      <c r="AE2075" s="23" t="str">
        <f>IF($AC2075="","",_xlfn.XLOOKUP($AC2075,'Client Info'!$C$2:$C$2677,'Client Info'!$E$2:$E$2677,"",))</f>
        <v/>
      </c>
      <c r="AF2075" s="23" t="str">
        <f>IF($AC2075="","",_xlfn.XLOOKUP($AC2075,'Client Info'!$C$2:$C$2677,'Client Info'!$F$2:$F$2677,"",0,1))</f>
        <v/>
      </c>
      <c r="AG2075" s="23" t="str">
        <f>IF(ISBLANK(Table26[[#This Row],[customerSKU]]),"",_xlfn.XLOOKUP(Table26[[#This Row],[customerSKU]],Table27[customer_SKU],Table27[billto],"",0,1))</f>
        <v/>
      </c>
      <c r="AH2075" s="26" t="str">
        <f>_xlfn.XLOOKUP(Table26[[#This Row],[customerSKU]],customerSKU!G:G,customerSKU!K:K,"NA",0,1)</f>
        <v>NA</v>
      </c>
      <c r="AI2075" s="43" t="str">
        <f>_xlfn.XLOOKUP(Table26[[#This Row],[customerSKU]],customerSKU!G:G,customerSKU!O:O,"not found",0,1)</f>
        <v>not found</v>
      </c>
      <c r="AJ2075" s="22" t="e">
        <f>Table26[[#This Row],[unitprice]]*Table26[[#This Row],[quantity_unit]]</f>
        <v>#VALUE!</v>
      </c>
      <c r="AK2075" s="227" t="e" cm="1">
        <f t="array" ref="AK20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5" s="227"/>
    </row>
    <row r="2076" spans="1:38" ht="15.45" customHeight="1">
      <c r="A2076" s="42">
        <v>161</v>
      </c>
      <c r="B2076" s="42" t="s">
        <v>3520</v>
      </c>
      <c r="C2076" s="53" t="s">
        <v>3427</v>
      </c>
      <c r="E2076" s="20"/>
      <c r="F20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6" s="93"/>
      <c r="I2076" s="203">
        <v>45849</v>
      </c>
      <c r="J2076" s="90" t="str">
        <f>IF(Table26[[#This Row],[customerSKU]]="","",_xlfn.XLOOKUP(Table26[[#This Row],[customerSKU]],customerSKU!G:G,customerSKU!A:A,"",0,1))</f>
        <v/>
      </c>
      <c r="K2076" s="19">
        <v>45861</v>
      </c>
      <c r="L2076" s="49" t="str">
        <f>IF(Table26[[#This Row],[customerSKU]]="","",_xlfn.XLOOKUP(Table26[[#This Row],[customerSKU]],customerSKU!G:G,customerSKU!B:B,"",0,1))</f>
        <v/>
      </c>
      <c r="M2076" s="22"/>
      <c r="N2076" s="15" t="str">
        <f>Table26[[#This Row],[po_number]]&amp;"-"&amp;Table26[[#This Row],[po_line]]</f>
        <v>-3</v>
      </c>
      <c r="O2076" s="15">
        <v>3</v>
      </c>
      <c r="P2076" s="50"/>
      <c r="Q2076" s="22" t="s">
        <v>3737</v>
      </c>
      <c r="R2076" s="22" t="s">
        <v>532</v>
      </c>
      <c r="S2076" s="90" t="str">
        <f>IF(Table26[[#This Row],[customerSKU]]="","",_xlfn.XLOOKUP(Table26[[#This Row],[customerSKU]],customerSKU!G:G,customerSKU!N:N,"NOT FOUND",0,1))</f>
        <v>NOT FOUND</v>
      </c>
      <c r="T2076" s="20">
        <v>45856</v>
      </c>
      <c r="U2076" s="94">
        <f>32*6</f>
        <v>192</v>
      </c>
      <c r="V2076" s="22" t="str">
        <f>IF(ISBLANK(Table26[[#This Row],[customerSKU]]),"",_xlfn.XLOOKUP(Table26[[#This Row],[customerSKU]],Table27[customer_SKU],Table27[case_size],"",0,1))</f>
        <v/>
      </c>
      <c r="W2076" s="117" t="str">
        <f t="shared" si="83"/>
        <v/>
      </c>
      <c r="X2076" s="22" t="str">
        <f t="shared" si="82"/>
        <v/>
      </c>
      <c r="Y2076" s="25" t="str">
        <f>IF(Table26[[#This Row],[customerSKU]]="","",_xlfn.XLOOKUP(Table26[[#This Row],[customerSKU]],Table27[customer_SKU],Table27[product_GTIN],"",0,1))</f>
        <v/>
      </c>
      <c r="Z2076" s="25" t="s">
        <v>3659</v>
      </c>
      <c r="AA2076" s="18" t="str" cm="1">
        <f t="array" ref="AA2076">IF(P2076="", "", _xlfn.XLOOKUP(P2076,#REF!,#REF!,NA,0,-1))</f>
        <v/>
      </c>
      <c r="AB2076" s="22"/>
      <c r="AC2076" s="23" t="str">
        <f>IF(Table26[[#This Row],[customerSKU]]="","",_xlfn.XLOOKUP(Table26[[#This Row],[customerSKU]],customerSKU!G:G,customerSKU!C:C,"",0,1))</f>
        <v/>
      </c>
      <c r="AD2076" s="23" t="str">
        <f>IF($AC2076="","",_xlfn.XLOOKUP($AC2076,'Client Info'!$C$2:$C$2497,'Client Info'!$D$2:$D$2497,"",0,1))</f>
        <v/>
      </c>
      <c r="AE2076" s="23" t="str">
        <f>IF($AC2076="","",_xlfn.XLOOKUP($AC2076,'Client Info'!$C$2:$C$2677,'Client Info'!$E$2:$E$2677,"",))</f>
        <v/>
      </c>
      <c r="AF2076" s="23" t="str">
        <f>IF($AC2076="","",_xlfn.XLOOKUP($AC2076,'Client Info'!$C$2:$C$2677,'Client Info'!$F$2:$F$2677,"",0,1))</f>
        <v/>
      </c>
      <c r="AG2076" s="23" t="str">
        <f>IF(ISBLANK(Table26[[#This Row],[customerSKU]]),"",_xlfn.XLOOKUP(Table26[[#This Row],[customerSKU]],Table27[customer_SKU],Table27[billto],"",0,1))</f>
        <v/>
      </c>
      <c r="AH2076" s="26" t="str">
        <f>_xlfn.XLOOKUP(Table26[[#This Row],[customerSKU]],customerSKU!G:G,customerSKU!K:K,"NA",0,1)</f>
        <v>NA</v>
      </c>
      <c r="AI2076" s="43" t="str">
        <f>_xlfn.XLOOKUP(Table26[[#This Row],[customerSKU]],customerSKU!G:G,customerSKU!O:O,"not found",0,1)</f>
        <v>not found</v>
      </c>
      <c r="AJ2076" s="22" t="e">
        <f>Table26[[#This Row],[unitprice]]*Table26[[#This Row],[quantity_unit]]</f>
        <v>#VALUE!</v>
      </c>
      <c r="AK2076" s="227" t="e" cm="1">
        <f t="array" ref="AK20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6" s="227"/>
    </row>
    <row r="2077" spans="1:38" ht="15.45" customHeight="1">
      <c r="A2077" s="42">
        <v>162</v>
      </c>
      <c r="B2077" s="42" t="s">
        <v>3520</v>
      </c>
      <c r="C2077" s="53" t="s">
        <v>3488</v>
      </c>
      <c r="E2077" s="20"/>
      <c r="F20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7" s="93"/>
      <c r="I2077" s="203">
        <v>45854</v>
      </c>
      <c r="J2077" s="90" t="str">
        <f>IF(Table26[[#This Row],[customerSKU]]="","",_xlfn.XLOOKUP(Table26[[#This Row],[customerSKU]],customerSKU!G:G,customerSKU!A:A,"",0,1))</f>
        <v/>
      </c>
      <c r="K2077" s="19">
        <v>45861</v>
      </c>
      <c r="L2077" s="49" t="str">
        <f>IF(Table26[[#This Row],[customerSKU]]="","",_xlfn.XLOOKUP(Table26[[#This Row],[customerSKU]],customerSKU!G:G,customerSKU!B:B,"",0,1))</f>
        <v/>
      </c>
      <c r="M2077" s="22"/>
      <c r="N2077" s="15" t="str">
        <f>Table26[[#This Row],[po_number]]&amp;"-"&amp;Table26[[#This Row],[po_line]]</f>
        <v>-1</v>
      </c>
      <c r="O2077" s="15">
        <v>1</v>
      </c>
      <c r="P2077" s="50"/>
      <c r="Q2077" s="22" t="s">
        <v>3284</v>
      </c>
      <c r="R2077" s="22" t="s">
        <v>532</v>
      </c>
      <c r="S2077" s="90" t="str">
        <f>IF(Table26[[#This Row],[customerSKU]]="","",_xlfn.XLOOKUP(Table26[[#This Row],[customerSKU]],customerSKU!G:G,customerSKU!N:N,"NOT FOUND",0,1))</f>
        <v>NOT FOUND</v>
      </c>
      <c r="T2077" s="20">
        <v>45849</v>
      </c>
      <c r="U2077" s="94">
        <v>120</v>
      </c>
      <c r="V2077" s="22" t="str">
        <f>IF(ISBLANK(Table26[[#This Row],[customerSKU]]),"",_xlfn.XLOOKUP(Table26[[#This Row],[customerSKU]],Table27[customer_SKU],Table27[case_size],"",0,1))</f>
        <v/>
      </c>
      <c r="W2077" s="117" t="str">
        <f t="shared" si="83"/>
        <v/>
      </c>
      <c r="X2077" s="22" t="str">
        <f t="shared" si="82"/>
        <v/>
      </c>
      <c r="Y2077" s="25" t="str">
        <f>IF(Table26[[#This Row],[customerSKU]]="","",_xlfn.XLOOKUP(Table26[[#This Row],[customerSKU]],Table27[customer_SKU],Table27[product_GTIN],"",0,1))</f>
        <v/>
      </c>
      <c r="Z2077" s="25" t="s">
        <v>3285</v>
      </c>
      <c r="AA2077" s="18" t="str" cm="1">
        <f t="array" ref="AA2077">IF(P2077="", "", _xlfn.XLOOKUP(P2077,#REF!,#REF!,NA,0,-1))</f>
        <v/>
      </c>
      <c r="AB2077" s="22"/>
      <c r="AC2077" s="23" t="str">
        <f>IF(Table26[[#This Row],[customerSKU]]="","",_xlfn.XLOOKUP(Table26[[#This Row],[customerSKU]],customerSKU!G:G,customerSKU!C:C,"",0,1))</f>
        <v/>
      </c>
      <c r="AD2077" s="23" t="str">
        <f>IF($AC2077="","",_xlfn.XLOOKUP($AC2077,'Client Info'!$C$2:$C$2497,'Client Info'!$D$2:$D$2497,"",0,1))</f>
        <v/>
      </c>
      <c r="AE2077" s="23" t="str">
        <f>IF($AC2077="","",_xlfn.XLOOKUP($AC2077,'Client Info'!$C$2:$C$2677,'Client Info'!$E$2:$E$2677,"",))</f>
        <v/>
      </c>
      <c r="AF2077" s="23" t="str">
        <f>IF($AC2077="","",_xlfn.XLOOKUP($AC2077,'Client Info'!$C$2:$C$2677,'Client Info'!$F$2:$F$2677,"",0,1))</f>
        <v/>
      </c>
      <c r="AG2077" s="23" t="str">
        <f>IF(ISBLANK(Table26[[#This Row],[customerSKU]]),"",_xlfn.XLOOKUP(Table26[[#This Row],[customerSKU]],Table27[customer_SKU],Table27[billto],"",0,1))</f>
        <v/>
      </c>
      <c r="AH2077" s="26" t="str">
        <f>_xlfn.XLOOKUP(Table26[[#This Row],[customerSKU]],customerSKU!G:G,customerSKU!K:K,"NA",0,1)</f>
        <v>NA</v>
      </c>
      <c r="AI2077" s="43" t="str">
        <f>_xlfn.XLOOKUP(Table26[[#This Row],[customerSKU]],customerSKU!G:G,customerSKU!O:O,"not found",0,1)</f>
        <v>not found</v>
      </c>
      <c r="AJ2077" s="22" t="e">
        <f>Table26[[#This Row],[unitprice]]*Table26[[#This Row],[quantity_unit]]</f>
        <v>#VALUE!</v>
      </c>
      <c r="AK2077" s="227" t="e" cm="1">
        <f t="array" ref="AK20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7" s="227"/>
    </row>
    <row r="2078" spans="1:38" ht="15.45" customHeight="1">
      <c r="A2078" s="42">
        <v>163</v>
      </c>
      <c r="B2078" s="42" t="s">
        <v>3520</v>
      </c>
      <c r="C2078" s="53" t="s">
        <v>3488</v>
      </c>
      <c r="E2078" s="20"/>
      <c r="F20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8" s="93"/>
      <c r="I2078" s="203">
        <v>45854</v>
      </c>
      <c r="J2078" s="90" t="str">
        <f>IF(Table26[[#This Row],[customerSKU]]="","",_xlfn.XLOOKUP(Table26[[#This Row],[customerSKU]],customerSKU!G:G,customerSKU!A:A,"",0,1))</f>
        <v/>
      </c>
      <c r="K2078" s="19">
        <v>45861</v>
      </c>
      <c r="L2078" s="49" t="str">
        <f>IF(Table26[[#This Row],[customerSKU]]="","",_xlfn.XLOOKUP(Table26[[#This Row],[customerSKU]],customerSKU!G:G,customerSKU!B:B,"",0,1))</f>
        <v/>
      </c>
      <c r="M2078" s="22"/>
      <c r="N2078" s="15" t="str">
        <f>Table26[[#This Row],[po_number]]&amp;"-"&amp;Table26[[#This Row],[po_line]]</f>
        <v>-2</v>
      </c>
      <c r="O2078" s="15">
        <v>2</v>
      </c>
      <c r="P2078" s="50"/>
      <c r="Q2078" s="22" t="s">
        <v>1807</v>
      </c>
      <c r="R2078" s="22" t="s">
        <v>532</v>
      </c>
      <c r="S2078" s="90" t="str">
        <f>IF(Table26[[#This Row],[customerSKU]]="","",_xlfn.XLOOKUP(Table26[[#This Row],[customerSKU]],customerSKU!G:G,customerSKU!N:N,"NOT FOUND",0,1))</f>
        <v>NOT FOUND</v>
      </c>
      <c r="T2078" s="20">
        <v>45804</v>
      </c>
      <c r="U2078" s="94">
        <v>120</v>
      </c>
      <c r="V2078" s="22" t="str">
        <f>IF(ISBLANK(Table26[[#This Row],[customerSKU]]),"",_xlfn.XLOOKUP(Table26[[#This Row],[customerSKU]],Table27[customer_SKU],Table27[case_size],"",0,1))</f>
        <v/>
      </c>
      <c r="W2078" s="117" t="str">
        <f t="shared" si="83"/>
        <v/>
      </c>
      <c r="X2078" s="22" t="str">
        <f t="shared" si="82"/>
        <v/>
      </c>
      <c r="Y2078" s="25" t="str">
        <f>IF(Table26[[#This Row],[customerSKU]]="","",_xlfn.XLOOKUP(Table26[[#This Row],[customerSKU]],Table27[customer_SKU],Table27[product_GTIN],"",0,1))</f>
        <v/>
      </c>
      <c r="Z2078" s="25" t="s">
        <v>3283</v>
      </c>
      <c r="AA2078" s="18" t="str" cm="1">
        <f t="array" ref="AA2078">IF(P2078="", "", _xlfn.XLOOKUP(P2078,#REF!,#REF!,NA,0,-1))</f>
        <v/>
      </c>
      <c r="AB2078" s="22"/>
      <c r="AC2078" s="23" t="str">
        <f>IF(Table26[[#This Row],[customerSKU]]="","",_xlfn.XLOOKUP(Table26[[#This Row],[customerSKU]],customerSKU!G:G,customerSKU!C:C,"",0,1))</f>
        <v/>
      </c>
      <c r="AD2078" s="23" t="str">
        <f>IF($AC2078="","",_xlfn.XLOOKUP($AC2078,'Client Info'!$C$2:$C$2497,'Client Info'!$D$2:$D$2497,"",0,1))</f>
        <v/>
      </c>
      <c r="AE2078" s="23" t="str">
        <f>IF($AC2078="","",_xlfn.XLOOKUP($AC2078,'Client Info'!$C$2:$C$2677,'Client Info'!$E$2:$E$2677,"",))</f>
        <v/>
      </c>
      <c r="AF2078" s="23" t="str">
        <f>IF($AC2078="","",_xlfn.XLOOKUP($AC2078,'Client Info'!$C$2:$C$2677,'Client Info'!$F$2:$F$2677,"",0,1))</f>
        <v/>
      </c>
      <c r="AG2078" s="23" t="str">
        <f>IF(ISBLANK(Table26[[#This Row],[customerSKU]]),"",_xlfn.XLOOKUP(Table26[[#This Row],[customerSKU]],Table27[customer_SKU],Table27[billto],"",0,1))</f>
        <v/>
      </c>
      <c r="AH2078" s="26" t="str">
        <f>_xlfn.XLOOKUP(Table26[[#This Row],[customerSKU]],customerSKU!G:G,customerSKU!K:K,"NA",0,1)</f>
        <v>NA</v>
      </c>
      <c r="AI2078" s="43" t="str">
        <f>_xlfn.XLOOKUP(Table26[[#This Row],[customerSKU]],customerSKU!G:G,customerSKU!O:O,"not found",0,1)</f>
        <v>not found</v>
      </c>
      <c r="AJ2078" s="22" t="e">
        <f>Table26[[#This Row],[unitprice]]*Table26[[#This Row],[quantity_unit]]</f>
        <v>#VALUE!</v>
      </c>
      <c r="AK2078" s="227" t="e" cm="1">
        <f t="array" ref="AK20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8" s="227"/>
    </row>
    <row r="2079" spans="1:38" ht="15.45" customHeight="1">
      <c r="A2079" s="42">
        <v>164</v>
      </c>
      <c r="B2079" s="42" t="s">
        <v>3520</v>
      </c>
      <c r="C2079" s="53" t="s">
        <v>3488</v>
      </c>
      <c r="E2079" s="20"/>
      <c r="F20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79" s="93"/>
      <c r="I2079" s="203">
        <v>45854</v>
      </c>
      <c r="J2079" s="90" t="str">
        <f>IF(Table26[[#This Row],[customerSKU]]="","",_xlfn.XLOOKUP(Table26[[#This Row],[customerSKU]],customerSKU!G:G,customerSKU!A:A,"",0,1))</f>
        <v/>
      </c>
      <c r="K2079" s="19">
        <v>45861</v>
      </c>
      <c r="L2079" s="49" t="str">
        <f>IF(Table26[[#This Row],[customerSKU]]="","",_xlfn.XLOOKUP(Table26[[#This Row],[customerSKU]],customerSKU!G:G,customerSKU!B:B,"",0,1))</f>
        <v/>
      </c>
      <c r="M2079" s="22"/>
      <c r="N2079" s="15" t="str">
        <f>Table26[[#This Row],[po_number]]&amp;"-"&amp;Table26[[#This Row],[po_line]]</f>
        <v>-3</v>
      </c>
      <c r="O2079" s="15">
        <v>3</v>
      </c>
      <c r="P2079" s="50"/>
      <c r="Q2079" s="22" t="s">
        <v>1845</v>
      </c>
      <c r="R2079" s="22" t="s">
        <v>532</v>
      </c>
      <c r="S2079" s="90" t="str">
        <f>IF(Table26[[#This Row],[customerSKU]]="","",_xlfn.XLOOKUP(Table26[[#This Row],[customerSKU]],customerSKU!G:G,customerSKU!N:N,"NOT FOUND",0,1))</f>
        <v>NOT FOUND</v>
      </c>
      <c r="T2079" s="20">
        <v>45846</v>
      </c>
      <c r="U2079" s="94">
        <v>96</v>
      </c>
      <c r="V2079" s="22" t="str">
        <f>IF(ISBLANK(Table26[[#This Row],[customerSKU]]),"",_xlfn.XLOOKUP(Table26[[#This Row],[customerSKU]],Table27[customer_SKU],Table27[case_size],"",0,1))</f>
        <v/>
      </c>
      <c r="W2079" s="117" t="str">
        <f t="shared" si="83"/>
        <v/>
      </c>
      <c r="X2079" s="22" t="str">
        <f t="shared" si="82"/>
        <v/>
      </c>
      <c r="Y2079" s="25" t="str">
        <f>IF(Table26[[#This Row],[customerSKU]]="","",_xlfn.XLOOKUP(Table26[[#This Row],[customerSKU]],Table27[customer_SKU],Table27[product_GTIN],"",0,1))</f>
        <v/>
      </c>
      <c r="Z2079" s="25" t="s">
        <v>3283</v>
      </c>
      <c r="AA2079" s="18" t="str" cm="1">
        <f t="array" ref="AA2079">IF(P2079="", "", _xlfn.XLOOKUP(P2079,#REF!,#REF!,NA,0,-1))</f>
        <v/>
      </c>
      <c r="AB2079" s="22"/>
      <c r="AC2079" s="23" t="str">
        <f>IF(Table26[[#This Row],[customerSKU]]="","",_xlfn.XLOOKUP(Table26[[#This Row],[customerSKU]],customerSKU!G:G,customerSKU!C:C,"",0,1))</f>
        <v/>
      </c>
      <c r="AD2079" s="23" t="str">
        <f>IF($AC2079="","",_xlfn.XLOOKUP($AC2079,'Client Info'!$C$2:$C$2497,'Client Info'!$D$2:$D$2497,"",0,1))</f>
        <v/>
      </c>
      <c r="AE2079" s="23" t="str">
        <f>IF($AC2079="","",_xlfn.XLOOKUP($AC2079,'Client Info'!$C$2:$C$2677,'Client Info'!$E$2:$E$2677,"",))</f>
        <v/>
      </c>
      <c r="AF2079" s="23" t="str">
        <f>IF($AC2079="","",_xlfn.XLOOKUP($AC2079,'Client Info'!$C$2:$C$2677,'Client Info'!$F$2:$F$2677,"",0,1))</f>
        <v/>
      </c>
      <c r="AG2079" s="23" t="str">
        <f>IF(ISBLANK(Table26[[#This Row],[customerSKU]]),"",_xlfn.XLOOKUP(Table26[[#This Row],[customerSKU]],Table27[customer_SKU],Table27[billto],"",0,1))</f>
        <v/>
      </c>
      <c r="AH2079" s="26" t="str">
        <f>_xlfn.XLOOKUP(Table26[[#This Row],[customerSKU]],customerSKU!G:G,customerSKU!K:K,"NA",0,1)</f>
        <v>NA</v>
      </c>
      <c r="AI2079" s="43" t="str">
        <f>_xlfn.XLOOKUP(Table26[[#This Row],[customerSKU]],customerSKU!G:G,customerSKU!O:O,"not found",0,1)</f>
        <v>not found</v>
      </c>
      <c r="AJ2079" s="22" t="e">
        <f>Table26[[#This Row],[unitprice]]*Table26[[#This Row],[quantity_unit]]</f>
        <v>#VALUE!</v>
      </c>
      <c r="AK2079" s="227" t="e" cm="1">
        <f t="array" ref="AK20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79" s="227"/>
    </row>
    <row r="2080" spans="1:38" ht="15.45" customHeight="1">
      <c r="A2080" s="42">
        <v>165</v>
      </c>
      <c r="B2080" s="42" t="s">
        <v>3520</v>
      </c>
      <c r="C2080" s="53" t="s">
        <v>3488</v>
      </c>
      <c r="E2080" s="20"/>
      <c r="F20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0" s="93"/>
      <c r="I2080" s="203">
        <v>45854</v>
      </c>
      <c r="J2080" s="90" t="str">
        <f>IF(Table26[[#This Row],[customerSKU]]="","",_xlfn.XLOOKUP(Table26[[#This Row],[customerSKU]],customerSKU!G:G,customerSKU!A:A,"",0,1))</f>
        <v/>
      </c>
      <c r="K2080" s="19">
        <v>45861</v>
      </c>
      <c r="L2080" s="49" t="str">
        <f>IF(Table26[[#This Row],[customerSKU]]="","",_xlfn.XLOOKUP(Table26[[#This Row],[customerSKU]],customerSKU!G:G,customerSKU!B:B,"",0,1))</f>
        <v/>
      </c>
      <c r="M2080" s="22"/>
      <c r="N2080" s="15" t="str">
        <f>Table26[[#This Row],[po_number]]&amp;"-"&amp;Table26[[#This Row],[po_line]]</f>
        <v>-4</v>
      </c>
      <c r="O2080" s="15">
        <v>4</v>
      </c>
      <c r="P2080" s="50"/>
      <c r="Q2080" s="22" t="s">
        <v>1845</v>
      </c>
      <c r="R2080" s="22" t="s">
        <v>532</v>
      </c>
      <c r="S2080" s="90" t="str">
        <f>IF(Table26[[#This Row],[customerSKU]]="","",_xlfn.XLOOKUP(Table26[[#This Row],[customerSKU]],customerSKU!G:G,customerSKU!N:N,"NOT FOUND",0,1))</f>
        <v>NOT FOUND</v>
      </c>
      <c r="T2080" s="20">
        <v>45859</v>
      </c>
      <c r="U2080" s="94">
        <f>120-96</f>
        <v>24</v>
      </c>
      <c r="V2080" s="22" t="str">
        <f>IF(ISBLANK(Table26[[#This Row],[customerSKU]]),"",_xlfn.XLOOKUP(Table26[[#This Row],[customerSKU]],Table27[customer_SKU],Table27[case_size],"",0,1))</f>
        <v/>
      </c>
      <c r="W2080" s="117" t="str">
        <f t="shared" si="83"/>
        <v/>
      </c>
      <c r="X2080" s="22" t="str">
        <f t="shared" si="82"/>
        <v/>
      </c>
      <c r="Y2080" s="25" t="str">
        <f>IF(Table26[[#This Row],[customerSKU]]="","",_xlfn.XLOOKUP(Table26[[#This Row],[customerSKU]],Table27[customer_SKU],Table27[product_GTIN],"",0,1))</f>
        <v/>
      </c>
      <c r="Z2080" s="25" t="s">
        <v>3283</v>
      </c>
      <c r="AA2080" s="18" t="str" cm="1">
        <f t="array" ref="AA2080">IF(P2080="", "", _xlfn.XLOOKUP(P2080,#REF!,#REF!,NA,0,-1))</f>
        <v/>
      </c>
      <c r="AB2080" s="22"/>
      <c r="AC2080" s="23" t="str">
        <f>IF(Table26[[#This Row],[customerSKU]]="","",_xlfn.XLOOKUP(Table26[[#This Row],[customerSKU]],customerSKU!G:G,customerSKU!C:C,"",0,1))</f>
        <v/>
      </c>
      <c r="AD2080" s="23" t="str">
        <f>IF($AC2080="","",_xlfn.XLOOKUP($AC2080,'Client Info'!$C$2:$C$2497,'Client Info'!$D$2:$D$2497,"",0,1))</f>
        <v/>
      </c>
      <c r="AE2080" s="23" t="str">
        <f>IF($AC2080="","",_xlfn.XLOOKUP($AC2080,'Client Info'!$C$2:$C$2677,'Client Info'!$E$2:$E$2677,"",))</f>
        <v/>
      </c>
      <c r="AF2080" s="23" t="str">
        <f>IF($AC2080="","",_xlfn.XLOOKUP($AC2080,'Client Info'!$C$2:$C$2677,'Client Info'!$F$2:$F$2677,"",0,1))</f>
        <v/>
      </c>
      <c r="AG2080" s="23" t="str">
        <f>IF(ISBLANK(Table26[[#This Row],[customerSKU]]),"",_xlfn.XLOOKUP(Table26[[#This Row],[customerSKU]],Table27[customer_SKU],Table27[billto],"",0,1))</f>
        <v/>
      </c>
      <c r="AH2080" s="26" t="str">
        <f>_xlfn.XLOOKUP(Table26[[#This Row],[customerSKU]],customerSKU!G:G,customerSKU!K:K,"NA",0,1)</f>
        <v>NA</v>
      </c>
      <c r="AI2080" s="43" t="str">
        <f>_xlfn.XLOOKUP(Table26[[#This Row],[customerSKU]],customerSKU!G:G,customerSKU!O:O,"not found",0,1)</f>
        <v>not found</v>
      </c>
      <c r="AJ2080" s="22" t="e">
        <f>Table26[[#This Row],[unitprice]]*Table26[[#This Row],[quantity_unit]]</f>
        <v>#VALUE!</v>
      </c>
      <c r="AK2080" s="227" t="e" cm="1">
        <f t="array" ref="AK20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0" s="227"/>
    </row>
    <row r="2081" spans="1:38" ht="15.45" customHeight="1">
      <c r="A2081" s="42">
        <v>166</v>
      </c>
      <c r="B2081" s="42" t="s">
        <v>3520</v>
      </c>
      <c r="C2081" s="53" t="s">
        <v>3488</v>
      </c>
      <c r="E2081" s="20"/>
      <c r="F20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1" s="93"/>
      <c r="I2081" s="203">
        <v>45854</v>
      </c>
      <c r="J2081" s="90" t="str">
        <f>IF(Table26[[#This Row],[customerSKU]]="","",_xlfn.XLOOKUP(Table26[[#This Row],[customerSKU]],customerSKU!G:G,customerSKU!A:A,"",0,1))</f>
        <v/>
      </c>
      <c r="K2081" s="19">
        <v>45861</v>
      </c>
      <c r="L2081" s="49" t="str">
        <f>IF(Table26[[#This Row],[customerSKU]]="","",_xlfn.XLOOKUP(Table26[[#This Row],[customerSKU]],customerSKU!G:G,customerSKU!B:B,"",0,1))</f>
        <v/>
      </c>
      <c r="M2081" s="22"/>
      <c r="N2081" s="15" t="str">
        <f>Table26[[#This Row],[po_number]]&amp;"-"&amp;Table26[[#This Row],[po_line]]</f>
        <v>-5</v>
      </c>
      <c r="O2081" s="15">
        <v>5</v>
      </c>
      <c r="P2081" s="50"/>
      <c r="Q2081" s="22" t="s">
        <v>574</v>
      </c>
      <c r="R2081" s="22" t="s">
        <v>532</v>
      </c>
      <c r="S2081" s="90" t="str">
        <f>IF(Table26[[#This Row],[customerSKU]]="","",_xlfn.XLOOKUP(Table26[[#This Row],[customerSKU]],customerSKU!G:G,customerSKU!N:N,"NOT FOUND",0,1))</f>
        <v>NOT FOUND</v>
      </c>
      <c r="T2081" s="20">
        <v>45818</v>
      </c>
      <c r="U2081" s="94">
        <v>384</v>
      </c>
      <c r="V2081" s="22" t="str">
        <f>IF(ISBLANK(Table26[[#This Row],[customerSKU]]),"",_xlfn.XLOOKUP(Table26[[#This Row],[customerSKU]],Table27[customer_SKU],Table27[case_size],"",0,1))</f>
        <v/>
      </c>
      <c r="W2081" s="117" t="str">
        <f t="shared" si="83"/>
        <v/>
      </c>
      <c r="X2081" s="22" t="str">
        <f t="shared" si="82"/>
        <v/>
      </c>
      <c r="Y2081" s="25" t="str">
        <f>IF(Table26[[#This Row],[customerSKU]]="","",_xlfn.XLOOKUP(Table26[[#This Row],[customerSKU]],Table27[customer_SKU],Table27[product_GTIN],"",0,1))</f>
        <v/>
      </c>
      <c r="Z2081" s="25" t="s">
        <v>3631</v>
      </c>
      <c r="AA2081" s="18" t="str" cm="1">
        <f t="array" ref="AA2081">IF(P2081="", "", _xlfn.XLOOKUP(P2081,#REF!,#REF!,NA,0,-1))</f>
        <v/>
      </c>
      <c r="AB2081" s="22"/>
      <c r="AC2081" s="23" t="str">
        <f>IF(Table26[[#This Row],[customerSKU]]="","",_xlfn.XLOOKUP(Table26[[#This Row],[customerSKU]],customerSKU!G:G,customerSKU!C:C,"",0,1))</f>
        <v/>
      </c>
      <c r="AD2081" s="23" t="str">
        <f>IF($AC2081="","",_xlfn.XLOOKUP($AC2081,'Client Info'!$C$2:$C$2497,'Client Info'!$D$2:$D$2497,"",0,1))</f>
        <v/>
      </c>
      <c r="AE2081" s="23" t="str">
        <f>IF($AC2081="","",_xlfn.XLOOKUP($AC2081,'Client Info'!$C$2:$C$2677,'Client Info'!$E$2:$E$2677,"",))</f>
        <v/>
      </c>
      <c r="AF2081" s="23" t="str">
        <f>IF($AC2081="","",_xlfn.XLOOKUP($AC2081,'Client Info'!$C$2:$C$2677,'Client Info'!$F$2:$F$2677,"",0,1))</f>
        <v/>
      </c>
      <c r="AG2081" s="23" t="str">
        <f>IF(ISBLANK(Table26[[#This Row],[customerSKU]]),"",_xlfn.XLOOKUP(Table26[[#This Row],[customerSKU]],Table27[customer_SKU],Table27[billto],"",0,1))</f>
        <v/>
      </c>
      <c r="AH2081" s="26" t="str">
        <f>_xlfn.XLOOKUP(Table26[[#This Row],[customerSKU]],customerSKU!G:G,customerSKU!K:K,"NA",0,1)</f>
        <v>NA</v>
      </c>
      <c r="AI2081" s="43" t="str">
        <f>_xlfn.XLOOKUP(Table26[[#This Row],[customerSKU]],customerSKU!G:G,customerSKU!O:O,"not found",0,1)</f>
        <v>not found</v>
      </c>
      <c r="AJ2081" s="22" t="e">
        <f>Table26[[#This Row],[unitprice]]*Table26[[#This Row],[quantity_unit]]</f>
        <v>#VALUE!</v>
      </c>
      <c r="AK2081" s="227" t="e" cm="1">
        <f t="array" ref="AK20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1" s="227"/>
    </row>
    <row r="2082" spans="1:38" ht="15.45" customHeight="1">
      <c r="A2082" s="42">
        <v>167</v>
      </c>
      <c r="B2082" s="42" t="s">
        <v>3520</v>
      </c>
      <c r="C2082" s="53" t="s">
        <v>3488</v>
      </c>
      <c r="E2082" s="20"/>
      <c r="F20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2" s="93"/>
      <c r="I2082" s="203">
        <v>45854</v>
      </c>
      <c r="J2082" s="90" t="str">
        <f>IF(Table26[[#This Row],[customerSKU]]="","",_xlfn.XLOOKUP(Table26[[#This Row],[customerSKU]],customerSKU!G:G,customerSKU!A:A,"",0,1))</f>
        <v/>
      </c>
      <c r="K2082" s="19">
        <v>45861</v>
      </c>
      <c r="L2082" s="49" t="str">
        <f>IF(Table26[[#This Row],[customerSKU]]="","",_xlfn.XLOOKUP(Table26[[#This Row],[customerSKU]],customerSKU!G:G,customerSKU!B:B,"",0,1))</f>
        <v/>
      </c>
      <c r="M2082" s="22"/>
      <c r="N2082" s="15" t="str">
        <f>Table26[[#This Row],[po_number]]&amp;"-"&amp;Table26[[#This Row],[po_line]]</f>
        <v>-6</v>
      </c>
      <c r="O2082" s="15">
        <v>6</v>
      </c>
      <c r="P2082" s="50"/>
      <c r="Q2082" s="22" t="s">
        <v>574</v>
      </c>
      <c r="R2082" s="22" t="s">
        <v>532</v>
      </c>
      <c r="S2082" s="90" t="str">
        <f>IF(Table26[[#This Row],[customerSKU]]="","",_xlfn.XLOOKUP(Table26[[#This Row],[customerSKU]],customerSKU!G:G,customerSKU!N:N,"NOT FOUND",0,1))</f>
        <v>NOT FOUND</v>
      </c>
      <c r="T2082" s="20">
        <v>45848</v>
      </c>
      <c r="U2082" s="94">
        <f>600-384</f>
        <v>216</v>
      </c>
      <c r="V2082" s="22" t="str">
        <f>IF(ISBLANK(Table26[[#This Row],[customerSKU]]),"",_xlfn.XLOOKUP(Table26[[#This Row],[customerSKU]],Table27[customer_SKU],Table27[case_size],"",0,1))</f>
        <v/>
      </c>
      <c r="W2082" s="117" t="str">
        <f t="shared" si="83"/>
        <v/>
      </c>
      <c r="X2082" s="22" t="str">
        <f t="shared" si="82"/>
        <v/>
      </c>
      <c r="Y2082" s="25" t="str">
        <f>IF(Table26[[#This Row],[customerSKU]]="","",_xlfn.XLOOKUP(Table26[[#This Row],[customerSKU]],Table27[customer_SKU],Table27[product_GTIN],"",0,1))</f>
        <v/>
      </c>
      <c r="Z2082" s="25" t="s">
        <v>3631</v>
      </c>
      <c r="AA2082" s="18" t="str" cm="1">
        <f t="array" ref="AA2082">IF(P2082="", "", _xlfn.XLOOKUP(P2082,#REF!,#REF!,NA,0,-1))</f>
        <v/>
      </c>
      <c r="AB2082" s="22"/>
      <c r="AC2082" s="23" t="str">
        <f>IF(Table26[[#This Row],[customerSKU]]="","",_xlfn.XLOOKUP(Table26[[#This Row],[customerSKU]],customerSKU!G:G,customerSKU!C:C,"",0,1))</f>
        <v/>
      </c>
      <c r="AD2082" s="23" t="str">
        <f>IF($AC2082="","",_xlfn.XLOOKUP($AC2082,'Client Info'!$C$2:$C$2497,'Client Info'!$D$2:$D$2497,"",0,1))</f>
        <v/>
      </c>
      <c r="AE2082" s="23" t="str">
        <f>IF($AC2082="","",_xlfn.XLOOKUP($AC2082,'Client Info'!$C$2:$C$2677,'Client Info'!$E$2:$E$2677,"",))</f>
        <v/>
      </c>
      <c r="AF2082" s="23" t="str">
        <f>IF($AC2082="","",_xlfn.XLOOKUP($AC2082,'Client Info'!$C$2:$C$2677,'Client Info'!$F$2:$F$2677,"",0,1))</f>
        <v/>
      </c>
      <c r="AG2082" s="23" t="str">
        <f>IF(ISBLANK(Table26[[#This Row],[customerSKU]]),"",_xlfn.XLOOKUP(Table26[[#This Row],[customerSKU]],Table27[customer_SKU],Table27[billto],"",0,1))</f>
        <v/>
      </c>
      <c r="AH2082" s="26" t="str">
        <f>_xlfn.XLOOKUP(Table26[[#This Row],[customerSKU]],customerSKU!G:G,customerSKU!K:K,"NA",0,1)</f>
        <v>NA</v>
      </c>
      <c r="AI2082" s="43" t="str">
        <f>_xlfn.XLOOKUP(Table26[[#This Row],[customerSKU]],customerSKU!G:G,customerSKU!O:O,"not found",0,1)</f>
        <v>not found</v>
      </c>
      <c r="AJ2082" s="22" t="e">
        <f>Table26[[#This Row],[unitprice]]*Table26[[#This Row],[quantity_unit]]</f>
        <v>#VALUE!</v>
      </c>
      <c r="AK2082" s="227" t="e" cm="1">
        <f t="array" ref="AK20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2" s="227"/>
    </row>
    <row r="2083" spans="1:38" ht="15.45" customHeight="1">
      <c r="A2083" s="42">
        <v>168</v>
      </c>
      <c r="B2083" s="42" t="s">
        <v>3520</v>
      </c>
      <c r="C2083" s="53" t="s">
        <v>3427</v>
      </c>
      <c r="E2083" s="20"/>
      <c r="F20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3" s="93"/>
      <c r="I2083" s="203">
        <v>45855</v>
      </c>
      <c r="J2083" s="90" t="str">
        <f>IF(Table26[[#This Row],[customerSKU]]="","",_xlfn.XLOOKUP(Table26[[#This Row],[customerSKU]],customerSKU!G:G,customerSKU!A:A,"",0,1))</f>
        <v/>
      </c>
      <c r="K2083" s="19">
        <v>45861</v>
      </c>
      <c r="L2083" s="49" t="str">
        <f>IF(Table26[[#This Row],[customerSKU]]="","",_xlfn.XLOOKUP(Table26[[#This Row],[customerSKU]],customerSKU!G:G,customerSKU!B:B,"",0,1))</f>
        <v/>
      </c>
      <c r="M2083" s="22"/>
      <c r="N2083" s="15" t="str">
        <f>Table26[[#This Row],[po_number]]&amp;"-"&amp;Table26[[#This Row],[po_line]]</f>
        <v>-1</v>
      </c>
      <c r="O2083" s="15">
        <v>1</v>
      </c>
      <c r="P2083" s="50"/>
      <c r="Q2083" s="22" t="s">
        <v>1811</v>
      </c>
      <c r="R2083" s="22" t="s">
        <v>532</v>
      </c>
      <c r="S2083" s="90" t="str">
        <f>IF(Table26[[#This Row],[customerSKU]]="","",_xlfn.XLOOKUP(Table26[[#This Row],[customerSKU]],customerSKU!G:G,customerSKU!N:N,"NOT FOUND",0,1))</f>
        <v>NOT FOUND</v>
      </c>
      <c r="T2083" s="20">
        <v>45805</v>
      </c>
      <c r="U2083" s="94">
        <f>12*35</f>
        <v>420</v>
      </c>
      <c r="V2083" s="22" t="str">
        <f>IF(ISBLANK(Table26[[#This Row],[customerSKU]]),"",_xlfn.XLOOKUP(Table26[[#This Row],[customerSKU]],Table27[customer_SKU],Table27[case_size],"",0,1))</f>
        <v/>
      </c>
      <c r="W2083" s="117" t="str">
        <f t="shared" si="83"/>
        <v/>
      </c>
      <c r="X2083" s="22" t="str">
        <f t="shared" si="82"/>
        <v/>
      </c>
      <c r="Y2083" s="25" t="str">
        <f>IF(Table26[[#This Row],[customerSKU]]="","",_xlfn.XLOOKUP(Table26[[#This Row],[customerSKU]],Table27[customer_SKU],Table27[product_GTIN],"",0,1))</f>
        <v/>
      </c>
      <c r="Z2083" s="25" t="s">
        <v>288</v>
      </c>
      <c r="AA2083" s="18" t="str" cm="1">
        <f t="array" ref="AA2083">IF(P2083="", "", _xlfn.XLOOKUP(P2083,#REF!,#REF!,NA,0,-1))</f>
        <v/>
      </c>
      <c r="AB2083" s="22"/>
      <c r="AC2083" s="23" t="str">
        <f>IF(Table26[[#This Row],[customerSKU]]="","",_xlfn.XLOOKUP(Table26[[#This Row],[customerSKU]],customerSKU!G:G,customerSKU!C:C,"",0,1))</f>
        <v/>
      </c>
      <c r="AD2083" s="23" t="str">
        <f>IF($AC2083="","",_xlfn.XLOOKUP($AC2083,'Client Info'!$C$2:$C$2497,'Client Info'!$D$2:$D$2497,"",0,1))</f>
        <v/>
      </c>
      <c r="AE2083" s="23" t="str">
        <f>IF($AC2083="","",_xlfn.XLOOKUP($AC2083,'Client Info'!$C$2:$C$2677,'Client Info'!$E$2:$E$2677,"",))</f>
        <v/>
      </c>
      <c r="AF2083" s="23" t="str">
        <f>IF($AC2083="","",_xlfn.XLOOKUP($AC2083,'Client Info'!$C$2:$C$2677,'Client Info'!$F$2:$F$2677,"",0,1))</f>
        <v/>
      </c>
      <c r="AG2083" s="23" t="str">
        <f>IF(ISBLANK(Table26[[#This Row],[customerSKU]]),"",_xlfn.XLOOKUP(Table26[[#This Row],[customerSKU]],Table27[customer_SKU],Table27[billto],"",0,1))</f>
        <v/>
      </c>
      <c r="AH2083" s="26" t="str">
        <f>_xlfn.XLOOKUP(Table26[[#This Row],[customerSKU]],customerSKU!G:G,customerSKU!K:K,"NA",0,1)</f>
        <v>NA</v>
      </c>
      <c r="AI2083" s="43" t="str">
        <f>_xlfn.XLOOKUP(Table26[[#This Row],[customerSKU]],customerSKU!G:G,customerSKU!O:O,"not found",0,1)</f>
        <v>not found</v>
      </c>
      <c r="AJ2083" s="22" t="e">
        <f>Table26[[#This Row],[unitprice]]*Table26[[#This Row],[quantity_unit]]</f>
        <v>#VALUE!</v>
      </c>
      <c r="AK2083" s="227" t="e" cm="1">
        <f t="array" ref="AK20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3" s="227"/>
    </row>
    <row r="2084" spans="1:38" ht="15.45" customHeight="1">
      <c r="A2084" s="42">
        <v>169</v>
      </c>
      <c r="B2084" s="42" t="s">
        <v>3520</v>
      </c>
      <c r="C2084" s="53" t="s">
        <v>3427</v>
      </c>
      <c r="E2084" s="20"/>
      <c r="F20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4" s="93"/>
      <c r="I2084" s="203">
        <v>45860</v>
      </c>
      <c r="J2084" s="90" t="str">
        <f>IF(Table26[[#This Row],[customerSKU]]="","",_xlfn.XLOOKUP(Table26[[#This Row],[customerSKU]],customerSKU!G:G,customerSKU!A:A,"",0,1))</f>
        <v/>
      </c>
      <c r="K2084" s="19">
        <v>45861</v>
      </c>
      <c r="L2084" s="49" t="str">
        <f>IF(Table26[[#This Row],[customerSKU]]="","",_xlfn.XLOOKUP(Table26[[#This Row],[customerSKU]],customerSKU!G:G,customerSKU!B:B,"",0,1))</f>
        <v/>
      </c>
      <c r="M2084" s="22"/>
      <c r="N2084" s="15" t="str">
        <f>Table26[[#This Row],[po_number]]&amp;"-"&amp;Table26[[#This Row],[po_line]]</f>
        <v>-1</v>
      </c>
      <c r="O2084" s="15">
        <v>1</v>
      </c>
      <c r="P2084" s="50"/>
      <c r="Q2084" s="22" t="s">
        <v>3548</v>
      </c>
      <c r="R2084" s="22" t="s">
        <v>3552</v>
      </c>
      <c r="S2084" s="90" t="str">
        <f>IF(Table26[[#This Row],[customerSKU]]="","",_xlfn.XLOOKUP(Table26[[#This Row],[customerSKU]],customerSKU!G:G,customerSKU!N:N,"NOT FOUND",0,1))</f>
        <v>NOT FOUND</v>
      </c>
      <c r="T2084" s="20">
        <v>45777</v>
      </c>
      <c r="U2084" s="94">
        <v>12</v>
      </c>
      <c r="V2084" s="22" t="str">
        <f>IF(ISBLANK(Table26[[#This Row],[customerSKU]]),"",_xlfn.XLOOKUP(Table26[[#This Row],[customerSKU]],Table27[customer_SKU],Table27[case_size],"",0,1))</f>
        <v/>
      </c>
      <c r="W2084" s="117" t="str">
        <f t="shared" si="83"/>
        <v/>
      </c>
      <c r="X2084" s="22" t="str">
        <f t="shared" si="82"/>
        <v/>
      </c>
      <c r="Y2084" s="25" t="str">
        <f>IF(Table26[[#This Row],[customerSKU]]="","",_xlfn.XLOOKUP(Table26[[#This Row],[customerSKU]],Table27[customer_SKU],Table27[product_GTIN],"",0,1))</f>
        <v/>
      </c>
      <c r="Z2084" s="25" t="s">
        <v>3549</v>
      </c>
      <c r="AA2084" s="18" t="str" cm="1">
        <f t="array" ref="AA2084">IF(P2084="", "", _xlfn.XLOOKUP(P2084,#REF!,#REF!,NA,0,-1))</f>
        <v/>
      </c>
      <c r="AB2084" s="22"/>
      <c r="AC2084" s="23" t="s">
        <v>3742</v>
      </c>
      <c r="AD2084" s="23" t="str">
        <f>IF($AC2084="","",_xlfn.XLOOKUP($AC2084,'Client Info'!$C$2:$C$2497,'Client Info'!$D$2:$D$2497,"",0,1))</f>
        <v/>
      </c>
      <c r="AE2084" s="23" t="str">
        <f>IF($AC2084="","",_xlfn.XLOOKUP($AC2084,'Client Info'!$C$2:$C$2677,'Client Info'!$E$2:$E$2677,"",))</f>
        <v/>
      </c>
      <c r="AF2084" s="23" t="str">
        <f>IF($AC2084="","",_xlfn.XLOOKUP($AC2084,'Client Info'!$C$2:$C$2677,'Client Info'!$F$2:$F$2677,"",0,1))</f>
        <v/>
      </c>
      <c r="AG2084" s="23" t="s">
        <v>3742</v>
      </c>
      <c r="AH2084" s="26" t="str">
        <f>_xlfn.XLOOKUP(Table26[[#This Row],[customerSKU]],customerSKU!G:G,customerSKU!K:K,"NA",0,1)</f>
        <v>NA</v>
      </c>
      <c r="AI2084" s="43" t="str">
        <f>_xlfn.XLOOKUP(Table26[[#This Row],[customerSKU]],customerSKU!G:G,customerSKU!O:O,"not found",0,1)</f>
        <v>not found</v>
      </c>
      <c r="AJ2084" s="22" t="e">
        <f>Table26[[#This Row],[unitprice]]*Table26[[#This Row],[quantity_unit]]</f>
        <v>#VALUE!</v>
      </c>
      <c r="AK2084" s="227" t="e" cm="1">
        <f t="array" ref="AK20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4" s="227"/>
    </row>
    <row r="2085" spans="1:38" ht="24.6" customHeight="1">
      <c r="A2085" s="42">
        <v>170</v>
      </c>
      <c r="B2085" s="42" t="s">
        <v>3520</v>
      </c>
      <c r="C2085" s="53" t="s">
        <v>3427</v>
      </c>
      <c r="E2085" s="20"/>
      <c r="F20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5" s="93"/>
      <c r="I2085" s="203">
        <v>45860</v>
      </c>
      <c r="J2085" s="90" t="str">
        <f>IF(Table26[[#This Row],[customerSKU]]="","",_xlfn.XLOOKUP(Table26[[#This Row],[customerSKU]],customerSKU!G:G,customerSKU!A:A,"",0,1))</f>
        <v/>
      </c>
      <c r="K2085" s="19">
        <v>45861</v>
      </c>
      <c r="L2085" s="49" t="str">
        <f>IF(Table26[[#This Row],[customerSKU]]="","",_xlfn.XLOOKUP(Table26[[#This Row],[customerSKU]],customerSKU!G:G,customerSKU!B:B,"",0,1))</f>
        <v/>
      </c>
      <c r="M2085" s="22"/>
      <c r="N2085" s="15" t="str">
        <f>Table26[[#This Row],[po_number]]&amp;"-"&amp;Table26[[#This Row],[po_line]]</f>
        <v>-2</v>
      </c>
      <c r="O2085" s="15">
        <v>2</v>
      </c>
      <c r="P2085" s="50"/>
      <c r="Q2085" s="22" t="s">
        <v>591</v>
      </c>
      <c r="R2085" s="22" t="s">
        <v>221</v>
      </c>
      <c r="S2085" s="90" t="str">
        <f>IF(Table26[[#This Row],[customerSKU]]="","",_xlfn.XLOOKUP(Table26[[#This Row],[customerSKU]],customerSKU!G:G,customerSKU!N:N,"NOT FOUND",0,1))</f>
        <v>NOT FOUND</v>
      </c>
      <c r="T2085" s="20">
        <v>45859</v>
      </c>
      <c r="U2085" s="94">
        <v>12</v>
      </c>
      <c r="V2085" s="22" t="str">
        <f>IF(ISBLANK(Table26[[#This Row],[customerSKU]]),"",_xlfn.XLOOKUP(Table26[[#This Row],[customerSKU]],Table27[customer_SKU],Table27[case_size],"",0,1))</f>
        <v/>
      </c>
      <c r="W2085" s="117" t="str">
        <f t="shared" si="83"/>
        <v/>
      </c>
      <c r="X2085" s="22" t="str">
        <f t="shared" si="82"/>
        <v/>
      </c>
      <c r="Y2085" s="25" t="str">
        <f>IF(Table26[[#This Row],[customerSKU]]="","",_xlfn.XLOOKUP(Table26[[#This Row],[customerSKU]],Table27[customer_SKU],Table27[product_GTIN],"",0,1))</f>
        <v/>
      </c>
      <c r="Z2085" s="25" t="s">
        <v>3525</v>
      </c>
      <c r="AA2085" s="18" t="str" cm="1">
        <f t="array" ref="AA2085">IF(P2085="", "", _xlfn.XLOOKUP(P2085,#REF!,#REF!,NA,0,-1))</f>
        <v/>
      </c>
      <c r="AB2085" s="22"/>
      <c r="AC2085" s="23" t="s">
        <v>3742</v>
      </c>
      <c r="AD2085" s="23" t="str">
        <f>IF($AC2085="","",_xlfn.XLOOKUP($AC2085,'Client Info'!$C$2:$C$2497,'Client Info'!$D$2:$D$2497,"",0,1))</f>
        <v/>
      </c>
      <c r="AE2085" s="23" t="str">
        <f>IF($AC2085="","",_xlfn.XLOOKUP($AC2085,'Client Info'!$C$2:$C$2677,'Client Info'!$E$2:$E$2677,"",))</f>
        <v/>
      </c>
      <c r="AF2085" s="23" t="str">
        <f>IF($AC2085="","",_xlfn.XLOOKUP($AC2085,'Client Info'!$C$2:$C$2677,'Client Info'!$F$2:$F$2677,"",0,1))</f>
        <v/>
      </c>
      <c r="AG2085" s="23" t="s">
        <v>3742</v>
      </c>
      <c r="AH2085" s="26" t="str">
        <f>_xlfn.XLOOKUP(Table26[[#This Row],[customerSKU]],customerSKU!G:G,customerSKU!K:K,"NA",0,1)</f>
        <v>NA</v>
      </c>
      <c r="AI2085" s="43" t="str">
        <f>_xlfn.XLOOKUP(Table26[[#This Row],[customerSKU]],customerSKU!G:G,customerSKU!O:O,"not found",0,1)</f>
        <v>not found</v>
      </c>
      <c r="AJ2085" s="22" t="e">
        <f>Table26[[#This Row],[unitprice]]*Table26[[#This Row],[quantity_unit]]</f>
        <v>#VALUE!</v>
      </c>
      <c r="AK2085" s="227" t="e" cm="1">
        <f t="array" ref="AK20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5" s="227"/>
    </row>
    <row r="2086" spans="1:38" ht="24.6" customHeight="1">
      <c r="A2086" s="42">
        <v>171</v>
      </c>
      <c r="B2086" s="42" t="s">
        <v>3520</v>
      </c>
      <c r="C2086" s="53" t="s">
        <v>3427</v>
      </c>
      <c r="E2086" s="20"/>
      <c r="F20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6" s="93"/>
      <c r="I2086" s="203">
        <v>45860</v>
      </c>
      <c r="J2086" s="90" t="str">
        <f>IF(Table26[[#This Row],[customerSKU]]="","",_xlfn.XLOOKUP(Table26[[#This Row],[customerSKU]],customerSKU!G:G,customerSKU!A:A,"",0,1))</f>
        <v/>
      </c>
      <c r="K2086" s="19">
        <v>45861</v>
      </c>
      <c r="L2086" s="49" t="str">
        <f>IF(Table26[[#This Row],[customerSKU]]="","",_xlfn.XLOOKUP(Table26[[#This Row],[customerSKU]],customerSKU!G:G,customerSKU!B:B,"",0,1))</f>
        <v/>
      </c>
      <c r="M2086" s="22"/>
      <c r="N2086" s="15" t="str">
        <f>Table26[[#This Row],[po_number]]&amp;"-"&amp;Table26[[#This Row],[po_line]]</f>
        <v>-1</v>
      </c>
      <c r="O2086" s="15">
        <v>1</v>
      </c>
      <c r="P2086" s="50"/>
      <c r="Q2086" s="22" t="s">
        <v>1842</v>
      </c>
      <c r="R2086" s="22" t="s">
        <v>221</v>
      </c>
      <c r="S2086" s="90" t="str">
        <f>IF(Table26[[#This Row],[customerSKU]]="","",_xlfn.XLOOKUP(Table26[[#This Row],[customerSKU]],customerSKU!G:G,customerSKU!N:N,"NOT FOUND",0,1))</f>
        <v>NOT FOUND</v>
      </c>
      <c r="T2086" s="20">
        <v>45846</v>
      </c>
      <c r="U2086" s="94">
        <v>2</v>
      </c>
      <c r="V2086" s="22" t="str">
        <f>IF(ISBLANK(Table26[[#This Row],[customerSKU]]),"",_xlfn.XLOOKUP(Table26[[#This Row],[customerSKU]],Table27[customer_SKU],Table27[case_size],"",0,1))</f>
        <v/>
      </c>
      <c r="W2086" s="117" t="str">
        <f t="shared" si="83"/>
        <v/>
      </c>
      <c r="X2086" s="22" t="str">
        <f t="shared" si="82"/>
        <v/>
      </c>
      <c r="Y2086" s="25" t="str">
        <f>IF(Table26[[#This Row],[customerSKU]]="","",_xlfn.XLOOKUP(Table26[[#This Row],[customerSKU]],Table27[customer_SKU],Table27[product_GTIN],"",0,1))</f>
        <v/>
      </c>
      <c r="Z2086" s="25" t="s">
        <v>3603</v>
      </c>
      <c r="AA2086" s="18" t="str" cm="1">
        <f t="array" ref="AA2086">IF(P2086="", "", _xlfn.XLOOKUP(P2086,#REF!,#REF!,NA,0,-1))</f>
        <v/>
      </c>
      <c r="AB2086" s="22"/>
      <c r="AC2086" s="23" t="s">
        <v>194</v>
      </c>
      <c r="AD2086" s="23" t="str">
        <f>IF($AC2086="","",_xlfn.XLOOKUP($AC2086,'Client Info'!$C$2:$C$2497,'Client Info'!$D$2:$D$2497,"",0,1))</f>
        <v/>
      </c>
      <c r="AE2086" s="23" t="str">
        <f>IF($AC2086="","",_xlfn.XLOOKUP($AC2086,'Client Info'!$C$2:$C$2677,'Client Info'!$E$2:$E$2677,"",))</f>
        <v/>
      </c>
      <c r="AF2086" s="23" t="str">
        <f>IF($AC2086="","",_xlfn.XLOOKUP($AC2086,'Client Info'!$C$2:$C$2677,'Client Info'!$F$2:$F$2677,"",0,1))</f>
        <v/>
      </c>
      <c r="AG2086" s="23" t="s">
        <v>194</v>
      </c>
      <c r="AH2086" s="26" t="str">
        <f>_xlfn.XLOOKUP(Table26[[#This Row],[customerSKU]],customerSKU!G:G,customerSKU!K:K,"NA",0,1)</f>
        <v>NA</v>
      </c>
      <c r="AI2086" s="43" t="str">
        <f>_xlfn.XLOOKUP(Table26[[#This Row],[customerSKU]],customerSKU!G:G,customerSKU!O:O,"not found",0,1)</f>
        <v>not found</v>
      </c>
      <c r="AJ2086" s="22" t="e">
        <f>Table26[[#This Row],[unitprice]]*Table26[[#This Row],[quantity_unit]]</f>
        <v>#VALUE!</v>
      </c>
      <c r="AK2086" s="227" t="e" cm="1">
        <f t="array" ref="AK20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6" s="227"/>
    </row>
    <row r="2087" spans="1:38" ht="24.6" customHeight="1">
      <c r="A2087" s="42">
        <v>172</v>
      </c>
      <c r="B2087" s="42" t="s">
        <v>3520</v>
      </c>
      <c r="C2087" s="53" t="s">
        <v>3427</v>
      </c>
      <c r="E2087" s="20"/>
      <c r="F20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7" s="93"/>
      <c r="I2087" s="203">
        <v>45860</v>
      </c>
      <c r="J2087" s="90" t="str">
        <f>IF(Table26[[#This Row],[customerSKU]]="","",_xlfn.XLOOKUP(Table26[[#This Row],[customerSKU]],customerSKU!G:G,customerSKU!A:A,"",0,1))</f>
        <v/>
      </c>
      <c r="K2087" s="19">
        <v>45861</v>
      </c>
      <c r="L2087" s="49" t="str">
        <f>IF(Table26[[#This Row],[customerSKU]]="","",_xlfn.XLOOKUP(Table26[[#This Row],[customerSKU]],customerSKU!G:G,customerSKU!B:B,"",0,1))</f>
        <v/>
      </c>
      <c r="M2087" s="22"/>
      <c r="N2087" s="15" t="str">
        <f>Table26[[#This Row],[po_number]]&amp;"-"&amp;Table26[[#This Row],[po_line]]</f>
        <v>-2</v>
      </c>
      <c r="O2087" s="15">
        <v>2</v>
      </c>
      <c r="P2087" s="50"/>
      <c r="Q2087" s="22" t="s">
        <v>1842</v>
      </c>
      <c r="R2087" s="22" t="s">
        <v>221</v>
      </c>
      <c r="S2087" s="90" t="str">
        <f>IF(Table26[[#This Row],[customerSKU]]="","",_xlfn.XLOOKUP(Table26[[#This Row],[customerSKU]],customerSKU!G:G,customerSKU!N:N,"NOT FOUND",0,1))</f>
        <v>NOT FOUND</v>
      </c>
      <c r="T2087" s="20">
        <v>45854</v>
      </c>
      <c r="U2087" s="94">
        <v>10</v>
      </c>
      <c r="V2087" s="22" t="str">
        <f>IF(ISBLANK(Table26[[#This Row],[customerSKU]]),"",_xlfn.XLOOKUP(Table26[[#This Row],[customerSKU]],Table27[customer_SKU],Table27[case_size],"",0,1))</f>
        <v/>
      </c>
      <c r="W2087" s="117" t="str">
        <f t="shared" si="83"/>
        <v/>
      </c>
      <c r="X2087" s="22" t="str">
        <f t="shared" si="82"/>
        <v/>
      </c>
      <c r="Y2087" s="25" t="str">
        <f>IF(Table26[[#This Row],[customerSKU]]="","",_xlfn.XLOOKUP(Table26[[#This Row],[customerSKU]],Table27[customer_SKU],Table27[product_GTIN],"",0,1))</f>
        <v/>
      </c>
      <c r="Z2087" s="25" t="s">
        <v>3603</v>
      </c>
      <c r="AA2087" s="18" t="str" cm="1">
        <f t="array" ref="AA2087">IF(P2087="", "", _xlfn.XLOOKUP(P2087,#REF!,#REF!,NA,0,-1))</f>
        <v/>
      </c>
      <c r="AB2087" s="22"/>
      <c r="AC2087" s="23" t="s">
        <v>194</v>
      </c>
      <c r="AD2087" s="23" t="str">
        <f>IF($AC2087="","",_xlfn.XLOOKUP($AC2087,'Client Info'!$C$2:$C$2497,'Client Info'!$D$2:$D$2497,"",0,1))</f>
        <v/>
      </c>
      <c r="AE2087" s="23" t="str">
        <f>IF($AC2087="","",_xlfn.XLOOKUP($AC2087,'Client Info'!$C$2:$C$2677,'Client Info'!$E$2:$E$2677,"",))</f>
        <v/>
      </c>
      <c r="AF2087" s="23" t="str">
        <f>IF($AC2087="","",_xlfn.XLOOKUP($AC2087,'Client Info'!$C$2:$C$2677,'Client Info'!$F$2:$F$2677,"",0,1))</f>
        <v/>
      </c>
      <c r="AG2087" s="23" t="s">
        <v>194</v>
      </c>
      <c r="AH2087" s="26" t="str">
        <f>_xlfn.XLOOKUP(Table26[[#This Row],[customerSKU]],customerSKU!G:G,customerSKU!K:K,"NA",0,1)</f>
        <v>NA</v>
      </c>
      <c r="AI2087" s="43" t="str">
        <f>_xlfn.XLOOKUP(Table26[[#This Row],[customerSKU]],customerSKU!G:G,customerSKU!O:O,"not found",0,1)</f>
        <v>not found</v>
      </c>
      <c r="AJ2087" s="22" t="e">
        <f>Table26[[#This Row],[unitprice]]*Table26[[#This Row],[quantity_unit]]</f>
        <v>#VALUE!</v>
      </c>
      <c r="AK2087" s="227" t="e" cm="1">
        <f t="array" ref="AK20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7" s="227"/>
    </row>
    <row r="2088" spans="1:38" ht="24.6" customHeight="1">
      <c r="A2088" s="42">
        <v>173</v>
      </c>
      <c r="B2088" s="42" t="s">
        <v>3520</v>
      </c>
      <c r="C2088" s="53" t="s">
        <v>3427</v>
      </c>
      <c r="E2088" s="20"/>
      <c r="F20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8" s="93"/>
      <c r="I2088" s="203">
        <v>45860</v>
      </c>
      <c r="J2088" s="90" t="str">
        <f>IF(Table26[[#This Row],[customerSKU]]="","",_xlfn.XLOOKUP(Table26[[#This Row],[customerSKU]],customerSKU!G:G,customerSKU!A:A,"",0,1))</f>
        <v/>
      </c>
      <c r="K2088" s="19">
        <v>45861</v>
      </c>
      <c r="L2088" s="49" t="str">
        <f>IF(Table26[[#This Row],[customerSKU]]="","",_xlfn.XLOOKUP(Table26[[#This Row],[customerSKU]],customerSKU!G:G,customerSKU!B:B,"",0,1))</f>
        <v/>
      </c>
      <c r="M2088" s="22"/>
      <c r="N2088" s="15" t="str">
        <f>Table26[[#This Row],[po_number]]&amp;"-"&amp;Table26[[#This Row],[po_line]]</f>
        <v>-3</v>
      </c>
      <c r="O2088" s="15">
        <v>3</v>
      </c>
      <c r="P2088" s="50"/>
      <c r="Q2088" s="22" t="s">
        <v>582</v>
      </c>
      <c r="R2088" s="22" t="s">
        <v>221</v>
      </c>
      <c r="S2088" s="90" t="str">
        <f>IF(Table26[[#This Row],[customerSKU]]="","",_xlfn.XLOOKUP(Table26[[#This Row],[customerSKU]],customerSKU!G:G,customerSKU!N:N,"NOT FOUND",0,1))</f>
        <v>NOT FOUND</v>
      </c>
      <c r="T2088" s="20">
        <v>45778</v>
      </c>
      <c r="U2088" s="94">
        <v>12</v>
      </c>
      <c r="V2088" s="22" t="str">
        <f>IF(ISBLANK(Table26[[#This Row],[customerSKU]]),"",_xlfn.XLOOKUP(Table26[[#This Row],[customerSKU]],Table27[customer_SKU],Table27[case_size],"",0,1))</f>
        <v/>
      </c>
      <c r="W2088" s="117" t="str">
        <f t="shared" si="83"/>
        <v/>
      </c>
      <c r="X2088" s="22" t="str">
        <f t="shared" si="82"/>
        <v/>
      </c>
      <c r="Y2088" s="25" t="str">
        <f>IF(Table26[[#This Row],[customerSKU]]="","",_xlfn.XLOOKUP(Table26[[#This Row],[customerSKU]],Table27[customer_SKU],Table27[product_GTIN],"",0,1))</f>
        <v/>
      </c>
      <c r="Z2088" s="25" t="s">
        <v>3519</v>
      </c>
      <c r="AA2088" s="18" t="str" cm="1">
        <f t="array" ref="AA2088">IF(P2088="", "", _xlfn.XLOOKUP(P2088,#REF!,#REF!,NA,0,-1))</f>
        <v/>
      </c>
      <c r="AB2088" s="22"/>
      <c r="AC2088" s="23" t="s">
        <v>194</v>
      </c>
      <c r="AD2088" s="23" t="str">
        <f>IF($AC2088="","",_xlfn.XLOOKUP($AC2088,'Client Info'!$C$2:$C$2497,'Client Info'!$D$2:$D$2497,"",0,1))</f>
        <v/>
      </c>
      <c r="AE2088" s="23" t="str">
        <f>IF($AC2088="","",_xlfn.XLOOKUP($AC2088,'Client Info'!$C$2:$C$2677,'Client Info'!$E$2:$E$2677,"",))</f>
        <v/>
      </c>
      <c r="AF2088" s="23" t="str">
        <f>IF($AC2088="","",_xlfn.XLOOKUP($AC2088,'Client Info'!$C$2:$C$2677,'Client Info'!$F$2:$F$2677,"",0,1))</f>
        <v/>
      </c>
      <c r="AG2088" s="23" t="s">
        <v>194</v>
      </c>
      <c r="AH2088" s="26" t="str">
        <f>_xlfn.XLOOKUP(Table26[[#This Row],[customerSKU]],customerSKU!G:G,customerSKU!K:K,"NA",0,1)</f>
        <v>NA</v>
      </c>
      <c r="AI2088" s="43" t="str">
        <f>_xlfn.XLOOKUP(Table26[[#This Row],[customerSKU]],customerSKU!G:G,customerSKU!O:O,"not found",0,1)</f>
        <v>not found</v>
      </c>
      <c r="AJ2088" s="22" t="e">
        <f>Table26[[#This Row],[unitprice]]*Table26[[#This Row],[quantity_unit]]</f>
        <v>#VALUE!</v>
      </c>
      <c r="AK2088" s="227" t="e" cm="1">
        <f t="array" ref="AK20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8" s="227"/>
    </row>
    <row r="2089" spans="1:38" ht="24.6" customHeight="1">
      <c r="A2089" s="42">
        <v>174</v>
      </c>
      <c r="B2089" s="42" t="s">
        <v>3520</v>
      </c>
      <c r="C2089" s="53" t="s">
        <v>203</v>
      </c>
      <c r="E2089" s="20"/>
      <c r="F20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89" s="93"/>
      <c r="I2089" s="203">
        <v>45860</v>
      </c>
      <c r="J2089" s="90" t="str">
        <f>IF(Table26[[#This Row],[customerSKU]]="","",_xlfn.XLOOKUP(Table26[[#This Row],[customerSKU]],customerSKU!G:G,customerSKU!A:A,"",0,1))</f>
        <v/>
      </c>
      <c r="K2089" s="19">
        <v>45861</v>
      </c>
      <c r="L2089" s="49" t="str">
        <f>IF(Table26[[#This Row],[customerSKU]]="","",_xlfn.XLOOKUP(Table26[[#This Row],[customerSKU]],customerSKU!G:G,customerSKU!B:B,"",0,1))</f>
        <v/>
      </c>
      <c r="M2089" s="22"/>
      <c r="N2089" s="15" t="str">
        <f>Table26[[#This Row],[po_number]]&amp;"-"&amp;Table26[[#This Row],[po_line]]</f>
        <v>-4</v>
      </c>
      <c r="O2089" s="15">
        <v>4</v>
      </c>
      <c r="P2089" s="50"/>
      <c r="Q2089" s="22" t="s">
        <v>1783</v>
      </c>
      <c r="R2089" s="22" t="s">
        <v>221</v>
      </c>
      <c r="S2089" s="90" t="str">
        <f>IF(Table26[[#This Row],[customerSKU]]="","",_xlfn.XLOOKUP(Table26[[#This Row],[customerSKU]],customerSKU!G:G,customerSKU!N:N,"NOT FOUND",0,1))</f>
        <v>NOT FOUND</v>
      </c>
      <c r="T2089" s="20">
        <v>45800</v>
      </c>
      <c r="U2089" s="94">
        <v>12</v>
      </c>
      <c r="V2089" s="22" t="str">
        <f>IF(ISBLANK(Table26[[#This Row],[customerSKU]]),"",_xlfn.XLOOKUP(Table26[[#This Row],[customerSKU]],Table27[customer_SKU],Table27[case_size],"",0,1))</f>
        <v/>
      </c>
      <c r="W2089" s="117" t="str">
        <f t="shared" si="83"/>
        <v/>
      </c>
      <c r="X2089" s="22" t="str">
        <f t="shared" ref="X2089:X2120" si="84">IFERROR($AA2089*$U2089, "")</f>
        <v/>
      </c>
      <c r="Y2089" s="25" t="str">
        <f>IF(Table26[[#This Row],[customerSKU]]="","",_xlfn.XLOOKUP(Table26[[#This Row],[customerSKU]],Table27[customer_SKU],Table27[product_GTIN],"",0,1))</f>
        <v/>
      </c>
      <c r="Z2089" s="25" t="s">
        <v>3651</v>
      </c>
      <c r="AA2089" s="18" t="str" cm="1">
        <f t="array" ref="AA2089">IF(P2089="", "", _xlfn.XLOOKUP(P2089,#REF!,#REF!,NA,0,-1))</f>
        <v/>
      </c>
      <c r="AB2089" s="22"/>
      <c r="AC2089" s="23" t="s">
        <v>194</v>
      </c>
      <c r="AD2089" s="23" t="str">
        <f>IF($AC2089="","",_xlfn.XLOOKUP($AC2089,'Client Info'!$C$2:$C$2497,'Client Info'!$D$2:$D$2497,"",0,1))</f>
        <v/>
      </c>
      <c r="AE2089" s="23" t="str">
        <f>IF($AC2089="","",_xlfn.XLOOKUP($AC2089,'Client Info'!$C$2:$C$2677,'Client Info'!$E$2:$E$2677,"",))</f>
        <v/>
      </c>
      <c r="AF2089" s="23" t="str">
        <f>IF($AC2089="","",_xlfn.XLOOKUP($AC2089,'Client Info'!$C$2:$C$2677,'Client Info'!$F$2:$F$2677,"",0,1))</f>
        <v/>
      </c>
      <c r="AG2089" s="23" t="s">
        <v>194</v>
      </c>
      <c r="AH2089" s="26" t="str">
        <f>_xlfn.XLOOKUP(Table26[[#This Row],[customerSKU]],customerSKU!G:G,customerSKU!K:K,"NA",0,1)</f>
        <v>NA</v>
      </c>
      <c r="AI2089" s="43" t="str">
        <f>_xlfn.XLOOKUP(Table26[[#This Row],[customerSKU]],customerSKU!G:G,customerSKU!O:O,"not found",0,1)</f>
        <v>not found</v>
      </c>
      <c r="AJ2089" s="22" t="e">
        <f>Table26[[#This Row],[unitprice]]*Table26[[#This Row],[quantity_unit]]</f>
        <v>#VALUE!</v>
      </c>
      <c r="AK2089" s="227" t="e" cm="1">
        <f t="array" ref="AK20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89" s="227"/>
    </row>
    <row r="2090" spans="1:38" ht="15.45" customHeight="1">
      <c r="A2090" s="42">
        <v>175</v>
      </c>
      <c r="B2090" s="42" t="s">
        <v>3520</v>
      </c>
      <c r="C2090" s="53" t="s">
        <v>3427</v>
      </c>
      <c r="E2090" s="20"/>
      <c r="F20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0" s="93"/>
      <c r="I2090" s="203">
        <v>45860</v>
      </c>
      <c r="J2090" s="90" t="str">
        <f>IF(Table26[[#This Row],[customerSKU]]="","",_xlfn.XLOOKUP(Table26[[#This Row],[customerSKU]],customerSKU!G:G,customerSKU!A:A,"",0,1))</f>
        <v/>
      </c>
      <c r="K2090" s="19">
        <v>45861</v>
      </c>
      <c r="L2090" s="49" t="str">
        <f>IF(Table26[[#This Row],[customerSKU]]="","",_xlfn.XLOOKUP(Table26[[#This Row],[customerSKU]],customerSKU!G:G,customerSKU!B:B,"",0,1))</f>
        <v/>
      </c>
      <c r="M2090" s="22"/>
      <c r="N2090" s="15" t="str">
        <f>Table26[[#This Row],[po_number]]&amp;"-"&amp;Table26[[#This Row],[po_line]]</f>
        <v>-5</v>
      </c>
      <c r="O2090" s="15">
        <v>5</v>
      </c>
      <c r="P2090" s="50"/>
      <c r="Q2090" s="22" t="s">
        <v>1823</v>
      </c>
      <c r="R2090" s="22" t="s">
        <v>221</v>
      </c>
      <c r="S2090" s="90" t="str">
        <f>IF(Table26[[#This Row],[customerSKU]]="","",_xlfn.XLOOKUP(Table26[[#This Row],[customerSKU]],customerSKU!G:G,customerSKU!N:N,"NOT FOUND",0,1))</f>
        <v>NOT FOUND</v>
      </c>
      <c r="T2090" s="20">
        <v>45831</v>
      </c>
      <c r="U2090" s="94">
        <v>12</v>
      </c>
      <c r="V2090" s="22" t="str">
        <f>IF(ISBLANK(Table26[[#This Row],[customerSKU]]),"",_xlfn.XLOOKUP(Table26[[#This Row],[customerSKU]],Table27[customer_SKU],Table27[case_size],"",0,1))</f>
        <v/>
      </c>
      <c r="W2090" s="117" t="str">
        <f t="shared" si="83"/>
        <v/>
      </c>
      <c r="X2090" s="22" t="str">
        <f t="shared" si="84"/>
        <v/>
      </c>
      <c r="Y2090" s="25" t="str">
        <f>IF(Table26[[#This Row],[customerSKU]]="","",_xlfn.XLOOKUP(Table26[[#This Row],[customerSKU]],Table27[customer_SKU],Table27[product_GTIN],"",0,1))</f>
        <v/>
      </c>
      <c r="Z2090" s="25" t="s">
        <v>3690</v>
      </c>
      <c r="AA2090" s="18" t="str" cm="1">
        <f t="array" ref="AA2090">IF(P2090="", "", _xlfn.XLOOKUP(P2090,#REF!,#REF!,NA,0,-1))</f>
        <v/>
      </c>
      <c r="AB2090" s="22"/>
      <c r="AC2090" s="23" t="s">
        <v>194</v>
      </c>
      <c r="AD2090" s="23" t="str">
        <f>IF($AC2090="","",_xlfn.XLOOKUP($AC2090,'Client Info'!$C$2:$C$2497,'Client Info'!$D$2:$D$2497,"",0,1))</f>
        <v/>
      </c>
      <c r="AE2090" s="23" t="str">
        <f>IF($AC2090="","",_xlfn.XLOOKUP($AC2090,'Client Info'!$C$2:$C$2677,'Client Info'!$E$2:$E$2677,"",))</f>
        <v/>
      </c>
      <c r="AF2090" s="23" t="str">
        <f>IF($AC2090="","",_xlfn.XLOOKUP($AC2090,'Client Info'!$C$2:$C$2677,'Client Info'!$F$2:$F$2677,"",0,1))</f>
        <v/>
      </c>
      <c r="AG2090" s="23" t="s">
        <v>194</v>
      </c>
      <c r="AH2090" s="26" t="str">
        <f>_xlfn.XLOOKUP(Table26[[#This Row],[customerSKU]],customerSKU!G:G,customerSKU!K:K,"NA",0,1)</f>
        <v>NA</v>
      </c>
      <c r="AI2090" s="43" t="str">
        <f>_xlfn.XLOOKUP(Table26[[#This Row],[customerSKU]],customerSKU!G:G,customerSKU!O:O,"not found",0,1)</f>
        <v>not found</v>
      </c>
      <c r="AJ2090" s="22" t="e">
        <f>Table26[[#This Row],[unitprice]]*Table26[[#This Row],[quantity_unit]]</f>
        <v>#VALUE!</v>
      </c>
      <c r="AK2090" s="227" t="e" cm="1">
        <f t="array" ref="AK20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0" s="227"/>
    </row>
    <row r="2091" spans="1:38" ht="15.45" customHeight="1">
      <c r="A2091" s="42">
        <v>176</v>
      </c>
      <c r="B2091" s="42" t="s">
        <v>3520</v>
      </c>
      <c r="C2091" s="53" t="s">
        <v>3427</v>
      </c>
      <c r="E2091" s="20"/>
      <c r="F20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1" s="93"/>
      <c r="I2091" s="203">
        <v>45860</v>
      </c>
      <c r="J2091" s="90" t="str">
        <f>IF(Table26[[#This Row],[customerSKU]]="","",_xlfn.XLOOKUP(Table26[[#This Row],[customerSKU]],customerSKU!G:G,customerSKU!A:A,"",0,1))</f>
        <v/>
      </c>
      <c r="K2091" s="19">
        <v>45861</v>
      </c>
      <c r="L2091" s="49" t="str">
        <f>IF(Table26[[#This Row],[customerSKU]]="","",_xlfn.XLOOKUP(Table26[[#This Row],[customerSKU]],customerSKU!G:G,customerSKU!B:B,"",0,1))</f>
        <v/>
      </c>
      <c r="M2091" s="22"/>
      <c r="N2091" s="15" t="str">
        <f>Table26[[#This Row],[po_number]]&amp;"-"&amp;Table26[[#This Row],[po_line]]</f>
        <v>-1</v>
      </c>
      <c r="O2091" s="15">
        <v>1</v>
      </c>
      <c r="P2091" s="50"/>
      <c r="Q2091" s="22" t="s">
        <v>1842</v>
      </c>
      <c r="R2091" s="22" t="s">
        <v>221</v>
      </c>
      <c r="S2091" s="90" t="str">
        <f>IF(Table26[[#This Row],[customerSKU]]="","",_xlfn.XLOOKUP(Table26[[#This Row],[customerSKU]],customerSKU!G:G,customerSKU!N:N,"NOT FOUND",0,1))</f>
        <v>NOT FOUND</v>
      </c>
      <c r="T2091" s="20">
        <v>45846</v>
      </c>
      <c r="U2091" s="94">
        <v>12</v>
      </c>
      <c r="V2091" s="22" t="str">
        <f>IF(ISBLANK(Table26[[#This Row],[customerSKU]]),"",_xlfn.XLOOKUP(Table26[[#This Row],[customerSKU]],Table27[customer_SKU],Table27[case_size],"",0,1))</f>
        <v/>
      </c>
      <c r="W2091" s="117" t="str">
        <f t="shared" si="83"/>
        <v/>
      </c>
      <c r="X2091" s="22" t="str">
        <f t="shared" si="84"/>
        <v/>
      </c>
      <c r="Y2091" s="25" t="str">
        <f>IF(Table26[[#This Row],[customerSKU]]="","",_xlfn.XLOOKUP(Table26[[#This Row],[customerSKU]],Table27[customer_SKU],Table27[product_GTIN],"",0,1))</f>
        <v/>
      </c>
      <c r="Z2091" s="25" t="s">
        <v>3603</v>
      </c>
      <c r="AA2091" s="18" t="str" cm="1">
        <f t="array" ref="AA2091">IF(P2091="", "", _xlfn.XLOOKUP(P2091,#REF!,#REF!,NA,0,-1))</f>
        <v/>
      </c>
      <c r="AB2091" s="22"/>
      <c r="AC2091" s="23" t="s">
        <v>189</v>
      </c>
      <c r="AD2091" s="23" t="str">
        <f>IF($AC2091="","",_xlfn.XLOOKUP($AC2091,'Client Info'!$C$2:$C$2497,'Client Info'!$D$2:$D$2497,"",0,1))</f>
        <v/>
      </c>
      <c r="AE2091" s="23" t="str">
        <f>IF($AC2091="","",_xlfn.XLOOKUP($AC2091,'Client Info'!$C$2:$C$2677,'Client Info'!$E$2:$E$2677,"",))</f>
        <v/>
      </c>
      <c r="AF2091" s="23" t="str">
        <f>IF($AC2091="","",_xlfn.XLOOKUP($AC2091,'Client Info'!$C$2:$C$2677,'Client Info'!$F$2:$F$2677,"",0,1))</f>
        <v/>
      </c>
      <c r="AG2091" s="23" t="s">
        <v>189</v>
      </c>
      <c r="AH2091" s="26" t="str">
        <f>_xlfn.XLOOKUP(Table26[[#This Row],[customerSKU]],customerSKU!G:G,customerSKU!K:K,"NA",0,1)</f>
        <v>NA</v>
      </c>
      <c r="AI2091" s="43" t="str">
        <f>_xlfn.XLOOKUP(Table26[[#This Row],[customerSKU]],customerSKU!G:G,customerSKU!O:O,"not found",0,1)</f>
        <v>not found</v>
      </c>
      <c r="AJ2091" s="22" t="e">
        <f>Table26[[#This Row],[unitprice]]*Table26[[#This Row],[quantity_unit]]</f>
        <v>#VALUE!</v>
      </c>
      <c r="AK2091" s="227" t="e" cm="1">
        <f t="array" ref="AK20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1" s="227"/>
    </row>
    <row r="2092" spans="1:38" ht="15.45" customHeight="1">
      <c r="A2092" s="42">
        <v>177</v>
      </c>
      <c r="B2092" s="42" t="s">
        <v>3520</v>
      </c>
      <c r="C2092" s="53" t="s">
        <v>3427</v>
      </c>
      <c r="E2092" s="20"/>
      <c r="F20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2" s="93"/>
      <c r="I2092" s="203">
        <v>45860</v>
      </c>
      <c r="J2092" s="90" t="str">
        <f>IF(Table26[[#This Row],[customerSKU]]="","",_xlfn.XLOOKUP(Table26[[#This Row],[customerSKU]],customerSKU!G:G,customerSKU!A:A,"",0,1))</f>
        <v/>
      </c>
      <c r="K2092" s="19">
        <v>45861</v>
      </c>
      <c r="L2092" s="49" t="str">
        <f>IF(Table26[[#This Row],[customerSKU]]="","",_xlfn.XLOOKUP(Table26[[#This Row],[customerSKU]],customerSKU!G:G,customerSKU!B:B,"",0,1))</f>
        <v/>
      </c>
      <c r="M2092" s="22"/>
      <c r="N2092" s="15" t="str">
        <f>Table26[[#This Row],[po_number]]&amp;"-"&amp;Table26[[#This Row],[po_line]]</f>
        <v>-2</v>
      </c>
      <c r="O2092" s="15">
        <v>2</v>
      </c>
      <c r="P2092" s="50"/>
      <c r="Q2092" s="22" t="s">
        <v>591</v>
      </c>
      <c r="R2092" s="22" t="s">
        <v>221</v>
      </c>
      <c r="S2092" s="90" t="str">
        <f>IF(Table26[[#This Row],[customerSKU]]="","",_xlfn.XLOOKUP(Table26[[#This Row],[customerSKU]],customerSKU!G:G,customerSKU!N:N,"NOT FOUND",0,1))</f>
        <v>NOT FOUND</v>
      </c>
      <c r="T2092" s="20">
        <v>45859</v>
      </c>
      <c r="U2092" s="94">
        <v>12</v>
      </c>
      <c r="V2092" s="22" t="str">
        <f>IF(ISBLANK(Table26[[#This Row],[customerSKU]]),"",_xlfn.XLOOKUP(Table26[[#This Row],[customerSKU]],Table27[customer_SKU],Table27[case_size],"",0,1))</f>
        <v/>
      </c>
      <c r="W2092" s="117" t="str">
        <f t="shared" si="83"/>
        <v/>
      </c>
      <c r="X2092" s="22" t="str">
        <f t="shared" si="84"/>
        <v/>
      </c>
      <c r="Y2092" s="25" t="str">
        <f>IF(Table26[[#This Row],[customerSKU]]="","",_xlfn.XLOOKUP(Table26[[#This Row],[customerSKU]],Table27[customer_SKU],Table27[product_GTIN],"",0,1))</f>
        <v/>
      </c>
      <c r="Z2092" s="25" t="s">
        <v>3525</v>
      </c>
      <c r="AA2092" s="18" t="str" cm="1">
        <f t="array" ref="AA2092">IF(P2092="", "", _xlfn.XLOOKUP(P2092,#REF!,#REF!,NA,0,-1))</f>
        <v/>
      </c>
      <c r="AB2092" s="22"/>
      <c r="AC2092" s="23" t="s">
        <v>189</v>
      </c>
      <c r="AD2092" s="23" t="str">
        <f>IF($AC2092="","",_xlfn.XLOOKUP($AC2092,'Client Info'!$C$2:$C$2497,'Client Info'!$D$2:$D$2497,"",0,1))</f>
        <v/>
      </c>
      <c r="AE2092" s="23" t="str">
        <f>IF($AC2092="","",_xlfn.XLOOKUP($AC2092,'Client Info'!$C$2:$C$2677,'Client Info'!$E$2:$E$2677,"",))</f>
        <v/>
      </c>
      <c r="AF2092" s="23" t="str">
        <f>IF($AC2092="","",_xlfn.XLOOKUP($AC2092,'Client Info'!$C$2:$C$2677,'Client Info'!$F$2:$F$2677,"",0,1))</f>
        <v/>
      </c>
      <c r="AG2092" s="23" t="s">
        <v>189</v>
      </c>
      <c r="AH2092" s="26" t="str">
        <f>_xlfn.XLOOKUP(Table26[[#This Row],[customerSKU]],customerSKU!G:G,customerSKU!K:K,"NA",0,1)</f>
        <v>NA</v>
      </c>
      <c r="AI2092" s="43" t="str">
        <f>_xlfn.XLOOKUP(Table26[[#This Row],[customerSKU]],customerSKU!G:G,customerSKU!O:O,"not found",0,1)</f>
        <v>not found</v>
      </c>
      <c r="AJ2092" s="22" t="e">
        <f>Table26[[#This Row],[unitprice]]*Table26[[#This Row],[quantity_unit]]</f>
        <v>#VALUE!</v>
      </c>
      <c r="AK2092" s="227" t="e" cm="1">
        <f t="array" ref="AK20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2" s="227"/>
    </row>
    <row r="2093" spans="1:38" ht="15.45" customHeight="1">
      <c r="A2093" s="42">
        <v>178</v>
      </c>
      <c r="B2093" s="42" t="s">
        <v>3520</v>
      </c>
      <c r="C2093" s="53" t="s">
        <v>3427</v>
      </c>
      <c r="E2093" s="20"/>
      <c r="F20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3" s="93"/>
      <c r="I2093" s="203">
        <v>45860</v>
      </c>
      <c r="J2093" s="90" t="str">
        <f>IF(Table26[[#This Row],[customerSKU]]="","",_xlfn.XLOOKUP(Table26[[#This Row],[customerSKU]],customerSKU!G:G,customerSKU!A:A,"",0,1))</f>
        <v/>
      </c>
      <c r="K2093" s="19">
        <v>45861</v>
      </c>
      <c r="L2093" s="49" t="str">
        <f>IF(Table26[[#This Row],[customerSKU]]="","",_xlfn.XLOOKUP(Table26[[#This Row],[customerSKU]],customerSKU!G:G,customerSKU!B:B,"",0,1))</f>
        <v/>
      </c>
      <c r="M2093" s="22"/>
      <c r="N2093" s="15" t="str">
        <f>Table26[[#This Row],[po_number]]&amp;"-"&amp;Table26[[#This Row],[po_line]]</f>
        <v>-3</v>
      </c>
      <c r="O2093" s="15">
        <v>3</v>
      </c>
      <c r="P2093" s="50"/>
      <c r="Q2093" s="22" t="s">
        <v>574</v>
      </c>
      <c r="R2093" s="22" t="s">
        <v>221</v>
      </c>
      <c r="S2093" s="90" t="str">
        <f>IF(Table26[[#This Row],[customerSKU]]="","",_xlfn.XLOOKUP(Table26[[#This Row],[customerSKU]],customerSKU!G:G,customerSKU!N:N,"NOT FOUND",0,1))</f>
        <v>NOT FOUND</v>
      </c>
      <c r="T2093" s="20">
        <v>45848</v>
      </c>
      <c r="U2093" s="94">
        <v>12</v>
      </c>
      <c r="V2093" s="22" t="str">
        <f>IF(ISBLANK(Table26[[#This Row],[customerSKU]]),"",_xlfn.XLOOKUP(Table26[[#This Row],[customerSKU]],Table27[customer_SKU],Table27[case_size],"",0,1))</f>
        <v/>
      </c>
      <c r="W2093" s="117" t="str">
        <f t="shared" si="83"/>
        <v/>
      </c>
      <c r="X2093" s="22" t="str">
        <f t="shared" si="84"/>
        <v/>
      </c>
      <c r="Y2093" s="25" t="str">
        <f>IF(Table26[[#This Row],[customerSKU]]="","",_xlfn.XLOOKUP(Table26[[#This Row],[customerSKU]],Table27[customer_SKU],Table27[product_GTIN],"",0,1))</f>
        <v/>
      </c>
      <c r="Z2093" s="25" t="s">
        <v>3530</v>
      </c>
      <c r="AA2093" s="18" t="str" cm="1">
        <f t="array" ref="AA2093">IF(P2093="", "", _xlfn.XLOOKUP(P2093,#REF!,#REF!,NA,0,-1))</f>
        <v/>
      </c>
      <c r="AB2093" s="22"/>
      <c r="AC2093" s="23" t="s">
        <v>189</v>
      </c>
      <c r="AD2093" s="23" t="str">
        <f>IF($AC2093="","",_xlfn.XLOOKUP($AC2093,'Client Info'!$C$2:$C$2497,'Client Info'!$D$2:$D$2497,"",0,1))</f>
        <v/>
      </c>
      <c r="AE2093" s="23" t="str">
        <f>IF($AC2093="","",_xlfn.XLOOKUP($AC2093,'Client Info'!$C$2:$C$2677,'Client Info'!$E$2:$E$2677,"",))</f>
        <v/>
      </c>
      <c r="AF2093" s="23" t="str">
        <f>IF($AC2093="","",_xlfn.XLOOKUP($AC2093,'Client Info'!$C$2:$C$2677,'Client Info'!$F$2:$F$2677,"",0,1))</f>
        <v/>
      </c>
      <c r="AG2093" s="23" t="s">
        <v>189</v>
      </c>
      <c r="AH2093" s="26" t="str">
        <f>_xlfn.XLOOKUP(Table26[[#This Row],[customerSKU]],customerSKU!G:G,customerSKU!K:K,"NA",0,1)</f>
        <v>NA</v>
      </c>
      <c r="AI2093" s="43" t="str">
        <f>_xlfn.XLOOKUP(Table26[[#This Row],[customerSKU]],customerSKU!G:G,customerSKU!O:O,"not found",0,1)</f>
        <v>not found</v>
      </c>
      <c r="AJ2093" s="22" t="e">
        <f>Table26[[#This Row],[unitprice]]*Table26[[#This Row],[quantity_unit]]</f>
        <v>#VALUE!</v>
      </c>
      <c r="AK2093" s="227" t="e" cm="1">
        <f t="array" ref="AK20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3" s="227"/>
    </row>
    <row r="2094" spans="1:38" ht="15.45" customHeight="1">
      <c r="A2094" s="42">
        <v>179</v>
      </c>
      <c r="B2094" s="42" t="s">
        <v>3520</v>
      </c>
      <c r="C2094" s="53" t="s">
        <v>3427</v>
      </c>
      <c r="E2094" s="20"/>
      <c r="F20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4" s="93"/>
      <c r="I2094" s="203">
        <v>45860</v>
      </c>
      <c r="J2094" s="90" t="str">
        <f>IF(Table26[[#This Row],[customerSKU]]="","",_xlfn.XLOOKUP(Table26[[#This Row],[customerSKU]],customerSKU!G:G,customerSKU!A:A,"",0,1))</f>
        <v/>
      </c>
      <c r="K2094" s="19">
        <v>45861</v>
      </c>
      <c r="L2094" s="49" t="str">
        <f>IF(Table26[[#This Row],[customerSKU]]="","",_xlfn.XLOOKUP(Table26[[#This Row],[customerSKU]],customerSKU!G:G,customerSKU!B:B,"",0,1))</f>
        <v/>
      </c>
      <c r="M2094" s="22"/>
      <c r="N2094" s="15" t="str">
        <f>Table26[[#This Row],[po_number]]&amp;"-"&amp;Table26[[#This Row],[po_line]]</f>
        <v>-4</v>
      </c>
      <c r="O2094" s="15">
        <v>4</v>
      </c>
      <c r="P2094" s="50"/>
      <c r="Q2094" s="22" t="s">
        <v>3738</v>
      </c>
      <c r="R2094" s="22" t="s">
        <v>221</v>
      </c>
      <c r="S2094" s="90" t="str">
        <f>IF(Table26[[#This Row],[customerSKU]]="","",_xlfn.XLOOKUP(Table26[[#This Row],[customerSKU]],customerSKU!G:G,customerSKU!N:N,"NOT FOUND",0,1))</f>
        <v>NOT FOUND</v>
      </c>
      <c r="T2094" s="20">
        <v>45625</v>
      </c>
      <c r="U2094" s="94">
        <v>12</v>
      </c>
      <c r="V2094" s="22" t="str">
        <f>IF(ISBLANK(Table26[[#This Row],[customerSKU]]),"",_xlfn.XLOOKUP(Table26[[#This Row],[customerSKU]],Table27[customer_SKU],Table27[case_size],"",0,1))</f>
        <v/>
      </c>
      <c r="W2094" s="117" t="str">
        <f t="shared" si="83"/>
        <v/>
      </c>
      <c r="X2094" s="22" t="str">
        <f t="shared" si="84"/>
        <v/>
      </c>
      <c r="Y2094" s="25" t="str">
        <f>IF(Table26[[#This Row],[customerSKU]]="","",_xlfn.XLOOKUP(Table26[[#This Row],[customerSKU]],Table27[customer_SKU],Table27[product_GTIN],"",0,1))</f>
        <v/>
      </c>
      <c r="Z2094" s="25" t="s">
        <v>3719</v>
      </c>
      <c r="AA2094" s="18" t="str" cm="1">
        <f t="array" ref="AA2094">IF(P2094="", "", _xlfn.XLOOKUP(P2094,#REF!,#REF!,NA,0,-1))</f>
        <v/>
      </c>
      <c r="AB2094" s="22"/>
      <c r="AC2094" s="23" t="s">
        <v>189</v>
      </c>
      <c r="AD2094" s="23" t="str">
        <f>IF($AC2094="","",_xlfn.XLOOKUP($AC2094,'Client Info'!$C$2:$C$2497,'Client Info'!$D$2:$D$2497,"",0,1))</f>
        <v/>
      </c>
      <c r="AE2094" s="23" t="str">
        <f>IF($AC2094="","",_xlfn.XLOOKUP($AC2094,'Client Info'!$C$2:$C$2677,'Client Info'!$E$2:$E$2677,"",))</f>
        <v/>
      </c>
      <c r="AF2094" s="23" t="str">
        <f>IF($AC2094="","",_xlfn.XLOOKUP($AC2094,'Client Info'!$C$2:$C$2677,'Client Info'!$F$2:$F$2677,"",0,1))</f>
        <v/>
      </c>
      <c r="AG2094" s="23" t="s">
        <v>189</v>
      </c>
      <c r="AH2094" s="26" t="str">
        <f>_xlfn.XLOOKUP(Table26[[#This Row],[customerSKU]],customerSKU!G:G,customerSKU!K:K,"NA",0,1)</f>
        <v>NA</v>
      </c>
      <c r="AI2094" s="43" t="str">
        <f>_xlfn.XLOOKUP(Table26[[#This Row],[customerSKU]],customerSKU!G:G,customerSKU!O:O,"not found",0,1)</f>
        <v>not found</v>
      </c>
      <c r="AJ2094" s="22" t="e">
        <f>Table26[[#This Row],[unitprice]]*Table26[[#This Row],[quantity_unit]]</f>
        <v>#VALUE!</v>
      </c>
      <c r="AK2094" s="227" t="e" cm="1">
        <f t="array" ref="AK20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4" s="227"/>
    </row>
    <row r="2095" spans="1:38" ht="15.45" customHeight="1">
      <c r="A2095" s="42">
        <v>180</v>
      </c>
      <c r="B2095" s="42" t="s">
        <v>3520</v>
      </c>
      <c r="C2095" s="22" t="s">
        <v>203</v>
      </c>
      <c r="E2095" s="20"/>
      <c r="F20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5" s="93"/>
      <c r="I2095" s="19">
        <v>45861</v>
      </c>
      <c r="J2095" s="90" t="str">
        <f>IF(Table26[[#This Row],[customerSKU]]="","",_xlfn.XLOOKUP(Table26[[#This Row],[customerSKU]],customerSKU!G:G,customerSKU!A:A,"",0,1))</f>
        <v/>
      </c>
      <c r="K2095" s="19">
        <v>45861</v>
      </c>
      <c r="L2095" s="49" t="str">
        <f>IF(Table26[[#This Row],[customerSKU]]="","",_xlfn.XLOOKUP(Table26[[#This Row],[customerSKU]],customerSKU!G:G,customerSKU!B:B,"",0,1))</f>
        <v/>
      </c>
      <c r="M2095" s="22"/>
      <c r="N2095" s="15" t="str">
        <f>Table26[[#This Row],[po_number]]&amp;"-"&amp;Table26[[#This Row],[po_line]]</f>
        <v>-1</v>
      </c>
      <c r="O2095" s="15">
        <v>1</v>
      </c>
      <c r="P2095" s="50"/>
      <c r="Q2095" s="22" t="s">
        <v>3655</v>
      </c>
      <c r="R2095" s="22" t="s">
        <v>532</v>
      </c>
      <c r="S2095" s="90" t="str">
        <f>IF(Table26[[#This Row],[customerSKU]]="","",_xlfn.XLOOKUP(Table26[[#This Row],[customerSKU]],customerSKU!G:G,customerSKU!N:N,"NOT FOUND",0,1))</f>
        <v>NOT FOUND</v>
      </c>
      <c r="T2095" s="20">
        <v>45721</v>
      </c>
      <c r="U2095" s="94">
        <v>84</v>
      </c>
      <c r="V2095" s="22" t="str">
        <f>IF(ISBLANK(Table26[[#This Row],[customerSKU]]),"",_xlfn.XLOOKUP(Table26[[#This Row],[customerSKU]],Table27[customer_SKU],Table27[case_size],"",0,1))</f>
        <v/>
      </c>
      <c r="W2095" s="117" t="str">
        <f t="shared" si="83"/>
        <v/>
      </c>
      <c r="X2095" s="22" t="str">
        <f t="shared" si="84"/>
        <v/>
      </c>
      <c r="Y2095" s="25" t="str">
        <f>IF(Table26[[#This Row],[customerSKU]]="","",_xlfn.XLOOKUP(Table26[[#This Row],[customerSKU]],Table27[customer_SKU],Table27[product_GTIN],"",0,1))</f>
        <v/>
      </c>
      <c r="Z2095" s="25" t="s">
        <v>3656</v>
      </c>
      <c r="AA2095" s="18" t="str" cm="1">
        <f t="array" ref="AA2095">IF(P2095="", "", _xlfn.XLOOKUP(P2095,#REF!,#REF!,NA,0,-1))</f>
        <v/>
      </c>
      <c r="AB2095" s="22"/>
      <c r="AC2095" s="23" t="str">
        <f>IF(Table26[[#This Row],[customerSKU]]="","",_xlfn.XLOOKUP(Table26[[#This Row],[customerSKU]],customerSKU!G:G,customerSKU!C:C,"",0,1))</f>
        <v/>
      </c>
      <c r="AD2095" s="23" t="str">
        <f>IF($AC2095="","",_xlfn.XLOOKUP($AC2095,'Client Info'!$C$2:$C$2497,'Client Info'!$D$2:$D$2497,"",0,1))</f>
        <v/>
      </c>
      <c r="AE2095" s="23" t="str">
        <f>IF($AC2095="","",_xlfn.XLOOKUP($AC2095,'Client Info'!$C$2:$C$2677,'Client Info'!$E$2:$E$2677,"",))</f>
        <v/>
      </c>
      <c r="AF2095" s="23" t="str">
        <f>IF($AC2095="","",_xlfn.XLOOKUP($AC2095,'Client Info'!$C$2:$C$2677,'Client Info'!$F$2:$F$2677,"",0,1))</f>
        <v/>
      </c>
      <c r="AG2095" s="23" t="str">
        <f>IF(ISBLANK(Table26[[#This Row],[customerSKU]]),"",_xlfn.XLOOKUP(Table26[[#This Row],[customerSKU]],Table27[customer_SKU],Table27[billto],"",0,1))</f>
        <v/>
      </c>
      <c r="AH2095" s="26" t="str">
        <f>_xlfn.XLOOKUP(Table26[[#This Row],[customerSKU]],customerSKU!G:G,customerSKU!K:K,"NA",0,1)</f>
        <v>NA</v>
      </c>
      <c r="AI2095" s="43" t="str">
        <f>_xlfn.XLOOKUP(Table26[[#This Row],[customerSKU]],customerSKU!G:G,customerSKU!O:O,"not found",0,1)</f>
        <v>not found</v>
      </c>
      <c r="AJ2095" s="22" t="e">
        <f>Table26[[#This Row],[unitprice]]*Table26[[#This Row],[quantity_unit]]</f>
        <v>#VALUE!</v>
      </c>
      <c r="AK2095" s="227" t="e" cm="1">
        <f t="array" ref="AK20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5" s="227"/>
    </row>
    <row r="2096" spans="1:38" ht="15.45" customHeight="1">
      <c r="A2096" s="42">
        <v>153</v>
      </c>
      <c r="B2096" s="42" t="s">
        <v>3520</v>
      </c>
      <c r="C2096" s="22" t="s">
        <v>203</v>
      </c>
      <c r="E2096" s="20"/>
      <c r="F20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6" s="93"/>
      <c r="I2096" s="203">
        <v>45861</v>
      </c>
      <c r="J2096" s="90" t="str">
        <f>IF(Table26[[#This Row],[customerSKU]]="","",_xlfn.XLOOKUP(Table26[[#This Row],[customerSKU]],customerSKU!G:G,customerSKU!A:A,"",0,1))</f>
        <v/>
      </c>
      <c r="K2096" s="203">
        <v>45862</v>
      </c>
      <c r="L2096" s="49" t="str">
        <f>IF(Table26[[#This Row],[customerSKU]]="","",_xlfn.XLOOKUP(Table26[[#This Row],[customerSKU]],customerSKU!G:G,customerSKU!B:B,"",0,1))</f>
        <v/>
      </c>
      <c r="M2096" s="22"/>
      <c r="N2096" s="15" t="str">
        <f>Table26[[#This Row],[po_number]]&amp;"-"&amp;Table26[[#This Row],[po_line]]</f>
        <v>-1</v>
      </c>
      <c r="O2096" s="15">
        <v>1</v>
      </c>
      <c r="P2096" s="50"/>
      <c r="Q2096" s="22" t="s">
        <v>591</v>
      </c>
      <c r="R2096" s="22" t="s">
        <v>532</v>
      </c>
      <c r="S2096" s="90" t="str">
        <f>IF(Table26[[#This Row],[customerSKU]]="","",_xlfn.XLOOKUP(Table26[[#This Row],[customerSKU]],customerSKU!G:G,customerSKU!N:N,"NOT FOUND",0,1))</f>
        <v>NOT FOUND</v>
      </c>
      <c r="T2096" s="20">
        <v>45841</v>
      </c>
      <c r="U2096" s="94">
        <v>7</v>
      </c>
      <c r="V2096" s="22" t="str">
        <f>IF(ISBLANK(Table26[[#This Row],[customerSKU]]),"",_xlfn.XLOOKUP(Table26[[#This Row],[customerSKU]],Table27[customer_SKU],Table27[case_size],"",0,1))</f>
        <v/>
      </c>
      <c r="W2096" s="117" t="str">
        <f t="shared" si="83"/>
        <v/>
      </c>
      <c r="X2096" s="22" t="str">
        <f t="shared" si="84"/>
        <v/>
      </c>
      <c r="Y2096" s="25" t="str">
        <f>IF(Table26[[#This Row],[customerSKU]]="","",_xlfn.XLOOKUP(Table26[[#This Row],[customerSKU]],Table27[customer_SKU],Table27[product_GTIN],"",0,1))</f>
        <v/>
      </c>
      <c r="Z2096" s="25" t="s">
        <v>3525</v>
      </c>
      <c r="AA2096" s="18" t="str" cm="1">
        <f t="array" ref="AA2096">IF(P2096="", "", _xlfn.XLOOKUP(P2096,#REF!,#REF!,NA,0,-1))</f>
        <v/>
      </c>
      <c r="AB2096" s="22"/>
      <c r="AC2096" s="23" t="s">
        <v>188</v>
      </c>
      <c r="AD2096" s="23" t="str">
        <f>IF($AC2096="","",_xlfn.XLOOKUP($AC2096,'Client Info'!$C$2:$C$2497,'Client Info'!$D$2:$D$2497,"",0,1))</f>
        <v/>
      </c>
      <c r="AE2096" s="23" t="str">
        <f>IF($AC2096="","",_xlfn.XLOOKUP($AC2096,'Client Info'!$C$2:$C$2677,'Client Info'!$E$2:$E$2677,"",))</f>
        <v/>
      </c>
      <c r="AF2096" s="23" t="str">
        <f>IF($AC2096="","",_xlfn.XLOOKUP($AC2096,'Client Info'!$C$2:$C$2677,'Client Info'!$F$2:$F$2677,"",0,1))</f>
        <v/>
      </c>
      <c r="AG2096" s="23" t="s">
        <v>188</v>
      </c>
      <c r="AH2096" s="26" t="str">
        <f>_xlfn.XLOOKUP(Table26[[#This Row],[customerSKU]],customerSKU!G:G,customerSKU!K:K,"NA",0,1)</f>
        <v>NA</v>
      </c>
      <c r="AI2096" s="43" t="str">
        <f>_xlfn.XLOOKUP(Table26[[#This Row],[customerSKU]],customerSKU!G:G,customerSKU!O:O,"not found",0,1)</f>
        <v>not found</v>
      </c>
      <c r="AJ2096" s="22" t="e">
        <f>Table26[[#This Row],[unitprice]]*Table26[[#This Row],[quantity_unit]]</f>
        <v>#VALUE!</v>
      </c>
      <c r="AK2096" s="227" t="e" cm="1">
        <f t="array" ref="AK20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6" s="227"/>
    </row>
    <row r="2097" spans="1:38" ht="15.45" customHeight="1">
      <c r="A2097" s="42">
        <v>154</v>
      </c>
      <c r="B2097" s="42" t="s">
        <v>3520</v>
      </c>
      <c r="C2097" s="22" t="s">
        <v>203</v>
      </c>
      <c r="E2097" s="20"/>
      <c r="F20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7" s="93"/>
      <c r="I2097" s="203">
        <v>45861</v>
      </c>
      <c r="J2097" s="90" t="str">
        <f>IF(Table26[[#This Row],[customerSKU]]="","",_xlfn.XLOOKUP(Table26[[#This Row],[customerSKU]],customerSKU!G:G,customerSKU!A:A,"",0,1))</f>
        <v/>
      </c>
      <c r="K2097" s="203">
        <v>45862</v>
      </c>
      <c r="L2097" s="49" t="str">
        <f>IF(Table26[[#This Row],[customerSKU]]="","",_xlfn.XLOOKUP(Table26[[#This Row],[customerSKU]],customerSKU!G:G,customerSKU!B:B,"",0,1))</f>
        <v/>
      </c>
      <c r="M2097" s="22"/>
      <c r="N2097" s="15" t="str">
        <f>Table26[[#This Row],[po_number]]&amp;"-"&amp;Table26[[#This Row],[po_line]]</f>
        <v>-2</v>
      </c>
      <c r="O2097" s="15">
        <v>2</v>
      </c>
      <c r="P2097" s="50"/>
      <c r="Q2097" s="22" t="s">
        <v>591</v>
      </c>
      <c r="R2097" s="22" t="s">
        <v>532</v>
      </c>
      <c r="S2097" s="90" t="str">
        <f>IF(Table26[[#This Row],[customerSKU]]="","",_xlfn.XLOOKUP(Table26[[#This Row],[customerSKU]],customerSKU!G:G,customerSKU!N:N,"NOT FOUND",0,1))</f>
        <v>NOT FOUND</v>
      </c>
      <c r="T2097" s="20">
        <v>45859</v>
      </c>
      <c r="U2097" s="94">
        <v>17</v>
      </c>
      <c r="V2097" s="22" t="str">
        <f>IF(ISBLANK(Table26[[#This Row],[customerSKU]]),"",_xlfn.XLOOKUP(Table26[[#This Row],[customerSKU]],Table27[customer_SKU],Table27[case_size],"",0,1))</f>
        <v/>
      </c>
      <c r="W2097" s="117" t="str">
        <f t="shared" si="83"/>
        <v/>
      </c>
      <c r="X2097" s="22" t="str">
        <f t="shared" si="84"/>
        <v/>
      </c>
      <c r="Y2097" s="25" t="str">
        <f>IF(Table26[[#This Row],[customerSKU]]="","",_xlfn.XLOOKUP(Table26[[#This Row],[customerSKU]],Table27[customer_SKU],Table27[product_GTIN],"",0,1))</f>
        <v/>
      </c>
      <c r="Z2097" s="25" t="s">
        <v>3525</v>
      </c>
      <c r="AA2097" s="18" t="str" cm="1">
        <f t="array" ref="AA2097">IF(P2097="", "", _xlfn.XLOOKUP(P2097,#REF!,#REF!,NA,0,-1))</f>
        <v/>
      </c>
      <c r="AB2097" s="22"/>
      <c r="AC2097" s="23" t="s">
        <v>188</v>
      </c>
      <c r="AD2097" s="23" t="str">
        <f>IF($AC2097="","",_xlfn.XLOOKUP($AC2097,'Client Info'!$C$2:$C$2497,'Client Info'!$D$2:$D$2497,"",0,1))</f>
        <v/>
      </c>
      <c r="AE2097" s="23" t="str">
        <f>IF($AC2097="","",_xlfn.XLOOKUP($AC2097,'Client Info'!$C$2:$C$2677,'Client Info'!$E$2:$E$2677,"",))</f>
        <v/>
      </c>
      <c r="AF2097" s="23" t="str">
        <f>IF($AC2097="","",_xlfn.XLOOKUP($AC2097,'Client Info'!$C$2:$C$2677,'Client Info'!$F$2:$F$2677,"",0,1))</f>
        <v/>
      </c>
      <c r="AG2097" s="23" t="s">
        <v>188</v>
      </c>
      <c r="AH2097" s="26" t="str">
        <f>_xlfn.XLOOKUP(Table26[[#This Row],[customerSKU]],customerSKU!G:G,customerSKU!K:K,"NA",0,1)</f>
        <v>NA</v>
      </c>
      <c r="AI2097" s="43" t="str">
        <f>_xlfn.XLOOKUP(Table26[[#This Row],[customerSKU]],customerSKU!G:G,customerSKU!O:O,"not found",0,1)</f>
        <v>not found</v>
      </c>
      <c r="AJ2097" s="22" t="e">
        <f>Table26[[#This Row],[unitprice]]*Table26[[#This Row],[quantity_unit]]</f>
        <v>#VALUE!</v>
      </c>
      <c r="AK2097" s="227" t="e" cm="1">
        <f t="array" ref="AK20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7" s="227"/>
    </row>
    <row r="2098" spans="1:38" ht="15.45" customHeight="1">
      <c r="A2098" s="42">
        <v>155</v>
      </c>
      <c r="B2098" s="42" t="s">
        <v>3520</v>
      </c>
      <c r="C2098" s="22" t="s">
        <v>203</v>
      </c>
      <c r="E2098" s="20"/>
      <c r="F20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8" s="93"/>
      <c r="I2098" s="203">
        <v>45861</v>
      </c>
      <c r="J2098" s="90" t="str">
        <f>IF(Table26[[#This Row],[customerSKU]]="","",_xlfn.XLOOKUP(Table26[[#This Row],[customerSKU]],customerSKU!G:G,customerSKU!A:A,"",0,1))</f>
        <v/>
      </c>
      <c r="K2098" s="203">
        <v>45862</v>
      </c>
      <c r="L2098" s="49" t="str">
        <f>IF(Table26[[#This Row],[customerSKU]]="","",_xlfn.XLOOKUP(Table26[[#This Row],[customerSKU]],customerSKU!G:G,customerSKU!B:B,"",0,1))</f>
        <v/>
      </c>
      <c r="M2098" s="22"/>
      <c r="N2098" s="15" t="str">
        <f>Table26[[#This Row],[po_number]]&amp;"-"&amp;Table26[[#This Row],[po_line]]</f>
        <v>-3</v>
      </c>
      <c r="O2098" s="15">
        <v>3</v>
      </c>
      <c r="P2098" s="50"/>
      <c r="Q2098" s="22" t="s">
        <v>1829</v>
      </c>
      <c r="R2098" s="22" t="s">
        <v>532</v>
      </c>
      <c r="S2098" s="90" t="str">
        <f>IF(Table26[[#This Row],[customerSKU]]="","",_xlfn.XLOOKUP(Table26[[#This Row],[customerSKU]],customerSKU!G:G,customerSKU!N:N,"NOT FOUND",0,1))</f>
        <v>NOT FOUND</v>
      </c>
      <c r="T2098" s="20">
        <v>45826</v>
      </c>
      <c r="U2098" s="94">
        <v>12</v>
      </c>
      <c r="V2098" s="22" t="str">
        <f>IF(ISBLANK(Table26[[#This Row],[customerSKU]]),"",_xlfn.XLOOKUP(Table26[[#This Row],[customerSKU]],Table27[customer_SKU],Table27[case_size],"",0,1))</f>
        <v/>
      </c>
      <c r="W2098" s="117" t="str">
        <f t="shared" si="83"/>
        <v/>
      </c>
      <c r="X2098" s="22" t="str">
        <f t="shared" si="84"/>
        <v/>
      </c>
      <c r="Y2098" s="25" t="str">
        <f>IF(Table26[[#This Row],[customerSKU]]="","",_xlfn.XLOOKUP(Table26[[#This Row],[customerSKU]],Table27[customer_SKU],Table27[product_GTIN],"",0,1))</f>
        <v/>
      </c>
      <c r="Z2098" s="25" t="s">
        <v>3522</v>
      </c>
      <c r="AA2098" s="18" t="str" cm="1">
        <f t="array" ref="AA2098">IF(P2098="", "", _xlfn.XLOOKUP(P2098,#REF!,#REF!,NA,0,-1))</f>
        <v/>
      </c>
      <c r="AB2098" s="15"/>
      <c r="AC2098" s="23" t="s">
        <v>188</v>
      </c>
      <c r="AD2098" s="23" t="str">
        <f>IF($AC2098="","",_xlfn.XLOOKUP($AC2098,'Client Info'!$C$2:$C$2497,'Client Info'!$D$2:$D$2497,"",0,1))</f>
        <v/>
      </c>
      <c r="AE2098" s="23" t="str">
        <f>IF($AC2098="","",_xlfn.XLOOKUP($AC2098,'Client Info'!$C$2:$C$2677,'Client Info'!$E$2:$E$2677,"",))</f>
        <v/>
      </c>
      <c r="AF2098" s="23" t="str">
        <f>IF($AC2098="","",_xlfn.XLOOKUP($AC2098,'Client Info'!$C$2:$C$2677,'Client Info'!$F$2:$F$2677,"",0,1))</f>
        <v/>
      </c>
      <c r="AG2098" s="23" t="s">
        <v>188</v>
      </c>
      <c r="AH2098" s="26" t="str">
        <f>_xlfn.XLOOKUP(Table26[[#This Row],[customerSKU]],customerSKU!G:G,customerSKU!K:K,"NA",0,1)</f>
        <v>NA</v>
      </c>
      <c r="AI2098" s="43" t="str">
        <f>_xlfn.XLOOKUP(Table26[[#This Row],[customerSKU]],customerSKU!G:G,customerSKU!O:O,"not found",0,1)</f>
        <v>not found</v>
      </c>
      <c r="AJ2098" s="22" t="e">
        <f>Table26[[#This Row],[unitprice]]*Table26[[#This Row],[quantity_unit]]</f>
        <v>#VALUE!</v>
      </c>
      <c r="AK2098" s="227" t="e" cm="1">
        <f t="array" ref="AK20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8" s="227"/>
    </row>
    <row r="2099" spans="1:38" ht="15.45" customHeight="1">
      <c r="A2099" s="42">
        <v>152</v>
      </c>
      <c r="B2099" s="42" t="s">
        <v>3520</v>
      </c>
      <c r="C2099" s="53" t="s">
        <v>3427</v>
      </c>
      <c r="E2099" s="20"/>
      <c r="F20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099" s="93"/>
      <c r="I2099" s="203">
        <v>45856</v>
      </c>
      <c r="J2099" s="90" t="str">
        <f>IF(Table26[[#This Row],[customerSKU]]="","",_xlfn.XLOOKUP(Table26[[#This Row],[customerSKU]],customerSKU!G:G,customerSKU!A:A,"",0,1))</f>
        <v/>
      </c>
      <c r="K2099" s="19">
        <v>45863</v>
      </c>
      <c r="L2099" s="49" t="str">
        <f>IF(Table26[[#This Row],[customerSKU]]="","",_xlfn.XLOOKUP(Table26[[#This Row],[customerSKU]],customerSKU!G:G,customerSKU!B:B,"",0,1))</f>
        <v/>
      </c>
      <c r="M2099" s="22"/>
      <c r="N2099" s="15" t="str">
        <f>Table26[[#This Row],[po_number]]&amp;"-"&amp;Table26[[#This Row],[po_line]]</f>
        <v>-1</v>
      </c>
      <c r="O2099" s="15">
        <v>1</v>
      </c>
      <c r="P2099" s="50"/>
      <c r="Q2099" s="22" t="s">
        <v>1854</v>
      </c>
      <c r="R2099" s="22" t="s">
        <v>532</v>
      </c>
      <c r="S2099" s="90" t="str">
        <f>IF(Table26[[#This Row],[customerSKU]]="","",_xlfn.XLOOKUP(Table26[[#This Row],[customerSKU]],customerSKU!G:G,customerSKU!N:N,"NOT FOUND",0,1))</f>
        <v>NOT FOUND</v>
      </c>
      <c r="T2099" s="20">
        <v>45861</v>
      </c>
      <c r="U2099" s="94">
        <v>2400</v>
      </c>
      <c r="V2099" s="22" t="str">
        <f>IF(ISBLANK(Table26[[#This Row],[customerSKU]]),"",_xlfn.XLOOKUP(Table26[[#This Row],[customerSKU]],Table27[customer_SKU],Table27[case_size],"",0,1))</f>
        <v/>
      </c>
      <c r="W2099" s="117" t="str">
        <f t="shared" si="83"/>
        <v/>
      </c>
      <c r="X2099" s="22" t="str">
        <f t="shared" si="84"/>
        <v/>
      </c>
      <c r="Y2099" s="25" t="str">
        <f>IF(Table26[[#This Row],[customerSKU]]="","",_xlfn.XLOOKUP(Table26[[#This Row],[customerSKU]],Table27[customer_SKU],Table27[product_GTIN],"",0,1))</f>
        <v/>
      </c>
      <c r="Z2099" s="25" t="s">
        <v>3658</v>
      </c>
      <c r="AA2099" s="18" t="str" cm="1">
        <f t="array" ref="AA2099">IF(P2099="", "", _xlfn.XLOOKUP(P2099,#REF!,#REF!,NA,0,-1))</f>
        <v/>
      </c>
      <c r="AB2099" s="22"/>
      <c r="AC2099" s="23" t="str">
        <f>IF(Table26[[#This Row],[customerSKU]]="","",_xlfn.XLOOKUP(Table26[[#This Row],[customerSKU]],customerSKU!G:G,customerSKU!C:C,"",0,1))</f>
        <v/>
      </c>
      <c r="AD2099" s="23" t="str">
        <f>IF($AC2099="","",_xlfn.XLOOKUP($AC2099,'Client Info'!$C$2:$C$2497,'Client Info'!$D$2:$D$2497,"",0,1))</f>
        <v/>
      </c>
      <c r="AE2099" s="23" t="str">
        <f>IF($AC2099="","",_xlfn.XLOOKUP($AC2099,'Client Info'!$C$2:$C$2677,'Client Info'!$E$2:$E$2677,"",))</f>
        <v/>
      </c>
      <c r="AF2099" s="23" t="str">
        <f>IF($AC2099="","",_xlfn.XLOOKUP($AC2099,'Client Info'!$C$2:$C$2677,'Client Info'!$F$2:$F$2677,"",0,1))</f>
        <v/>
      </c>
      <c r="AG2099" s="23" t="str">
        <f>IF(ISBLANK(Table26[[#This Row],[customerSKU]]),"",_xlfn.XLOOKUP(Table26[[#This Row],[customerSKU]],Table27[customer_SKU],Table27[billto],"",0,1))</f>
        <v/>
      </c>
      <c r="AH2099" s="26" t="str">
        <f>_xlfn.XLOOKUP(Table26[[#This Row],[customerSKU]],customerSKU!G:G,customerSKU!K:K,"NA",0,1)</f>
        <v>NA</v>
      </c>
      <c r="AI2099" s="43" t="str">
        <f>_xlfn.XLOOKUP(Table26[[#This Row],[customerSKU]],customerSKU!G:G,customerSKU!O:O,"not found",0,1)</f>
        <v>not found</v>
      </c>
      <c r="AJ2099" s="22" t="e">
        <f>Table26[[#This Row],[unitprice]]*Table26[[#This Row],[quantity_unit]]</f>
        <v>#VALUE!</v>
      </c>
      <c r="AK2099" s="227" t="e" cm="1">
        <f t="array" ref="AK20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099" s="227"/>
    </row>
    <row r="2100" spans="1:38" ht="24.6" customHeight="1">
      <c r="A2100" s="42">
        <v>151</v>
      </c>
      <c r="B2100" s="42" t="s">
        <v>3520</v>
      </c>
      <c r="C2100" s="53" t="s">
        <v>3427</v>
      </c>
      <c r="E2100" s="20"/>
      <c r="F21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0" s="93"/>
      <c r="I2100" s="203">
        <v>45855</v>
      </c>
      <c r="J2100" s="90" t="str">
        <f>IF(Table26[[#This Row],[customerSKU]]="","",_xlfn.XLOOKUP(Table26[[#This Row],[customerSKU]],customerSKU!G:G,customerSKU!A:A,"",0,1))</f>
        <v/>
      </c>
      <c r="K2100" s="19">
        <v>45866</v>
      </c>
      <c r="L2100" s="49" t="str">
        <f>IF(Table26[[#This Row],[customerSKU]]="","",_xlfn.XLOOKUP(Table26[[#This Row],[customerSKU]],customerSKU!G:G,customerSKU!B:B,"",0,1))</f>
        <v/>
      </c>
      <c r="M2100" s="22"/>
      <c r="N2100" s="15" t="str">
        <f>Table26[[#This Row],[po_number]]&amp;"-"&amp;Table26[[#This Row],[po_line]]</f>
        <v>-1</v>
      </c>
      <c r="O2100" s="15">
        <v>1</v>
      </c>
      <c r="P2100" s="50"/>
      <c r="Q2100" s="22" t="s">
        <v>1854</v>
      </c>
      <c r="R2100" s="22" t="s">
        <v>532</v>
      </c>
      <c r="S2100" s="90" t="s">
        <v>21</v>
      </c>
      <c r="T2100" s="20">
        <v>45861</v>
      </c>
      <c r="U2100" s="94">
        <v>12</v>
      </c>
      <c r="V2100" s="22" t="str">
        <f>IF(ISBLANK(Table26[[#This Row],[customerSKU]]),"",_xlfn.XLOOKUP(Table26[[#This Row],[customerSKU]],Table27[customer_SKU],Table27[case_size],"",0,1))</f>
        <v/>
      </c>
      <c r="W2100" s="117" t="str">
        <f t="shared" si="83"/>
        <v/>
      </c>
      <c r="X2100" s="22" t="str">
        <f t="shared" si="84"/>
        <v/>
      </c>
      <c r="Y2100" s="25" t="str">
        <f>IF(Table26[[#This Row],[customerSKU]]="","",_xlfn.XLOOKUP(Table26[[#This Row],[customerSKU]],Table27[customer_SKU],Table27[product_GTIN],"",0,1))</f>
        <v/>
      </c>
      <c r="Z2100" s="25" t="s">
        <v>3740</v>
      </c>
      <c r="AA2100" s="18" t="str" cm="1">
        <f t="array" ref="AA2100">IF(P2100="", "", _xlfn.XLOOKUP(P2100,#REF!,#REF!,NA,0,-1))</f>
        <v/>
      </c>
      <c r="AB2100" s="22"/>
      <c r="AC2100" s="23" t="s">
        <v>3741</v>
      </c>
      <c r="AD2100" s="23" t="str">
        <f>IF($AC2100="","",_xlfn.XLOOKUP($AC2100,'Client Info'!$C$2:$C$2497,'Client Info'!$D$2:$D$2497,"",0,1))</f>
        <v/>
      </c>
      <c r="AE2100" s="23" t="str">
        <f>IF($AC2100="","",_xlfn.XLOOKUP($AC2100,'Client Info'!$C$2:$C$2677,'Client Info'!$E$2:$E$2677,"",))</f>
        <v/>
      </c>
      <c r="AF2100" s="23" t="str">
        <f>IF($AC2100="","",_xlfn.XLOOKUP($AC2100,'Client Info'!$C$2:$C$2677,'Client Info'!$F$2:$F$2677,"",0,1))</f>
        <v/>
      </c>
      <c r="AG2100" s="23" t="str">
        <f>IF(ISBLANK(Table26[[#This Row],[customerSKU]]),"",_xlfn.XLOOKUP(Table26[[#This Row],[customerSKU]],Table27[customer_SKU],Table27[billto],"",0,1))</f>
        <v/>
      </c>
      <c r="AH2100" s="26" t="str">
        <f>_xlfn.XLOOKUP(Table26[[#This Row],[customerSKU]],customerSKU!G:G,customerSKU!K:K,"NA",0,1)</f>
        <v>NA</v>
      </c>
      <c r="AI2100" s="43" t="str">
        <f>_xlfn.XLOOKUP(Table26[[#This Row],[customerSKU]],customerSKU!G:G,customerSKU!O:O,"not found",0,1)</f>
        <v>not found</v>
      </c>
      <c r="AJ2100" s="22" t="e">
        <f>Table26[[#This Row],[unitprice]]*Table26[[#This Row],[quantity_unit]]</f>
        <v>#VALUE!</v>
      </c>
      <c r="AK2100" s="227" t="e" cm="1">
        <f t="array" ref="AK21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0" s="227"/>
    </row>
    <row r="2101" spans="1:38" ht="24.6" customHeight="1">
      <c r="A2101" s="42">
        <v>130</v>
      </c>
      <c r="B2101" s="42" t="s">
        <v>3520</v>
      </c>
      <c r="C2101" s="53" t="s">
        <v>3427</v>
      </c>
      <c r="E2101" s="20"/>
      <c r="F21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1" s="93"/>
      <c r="I2101" s="203">
        <v>45852</v>
      </c>
      <c r="J2101" s="90" t="str">
        <f>IF(Table26[[#This Row],[customerSKU]]="","",_xlfn.XLOOKUP(Table26[[#This Row],[customerSKU]],customerSKU!G:G,customerSKU!A:A,"",0,1))</f>
        <v/>
      </c>
      <c r="K2101" s="19">
        <v>45867</v>
      </c>
      <c r="L2101" s="49" t="str">
        <f>IF(Table26[[#This Row],[customerSKU]]="","",_xlfn.XLOOKUP(Table26[[#This Row],[customerSKU]],customerSKU!G:G,customerSKU!B:B,"",0,1))</f>
        <v/>
      </c>
      <c r="M2101" s="22"/>
      <c r="N2101" s="15" t="str">
        <f>Table26[[#This Row],[po_number]]&amp;"-"&amp;Table26[[#This Row],[po_line]]</f>
        <v>-1</v>
      </c>
      <c r="O2101" s="15">
        <v>1</v>
      </c>
      <c r="P2101" s="50"/>
      <c r="Q2101" s="22" t="s">
        <v>869</v>
      </c>
      <c r="R2101" s="22" t="s">
        <v>532</v>
      </c>
      <c r="S2101" s="90" t="str">
        <f>IF(Table26[[#This Row],[customerSKU]]="","",_xlfn.XLOOKUP(Table26[[#This Row],[customerSKU]],customerSKU!G:G,customerSKU!N:N,"NOT FOUND",0,1))</f>
        <v>NOT FOUND</v>
      </c>
      <c r="T2101" s="20">
        <v>45742</v>
      </c>
      <c r="U2101" s="94">
        <v>12</v>
      </c>
      <c r="V2101" s="22" t="str">
        <f>IF(ISBLANK(Table26[[#This Row],[customerSKU]]),"",_xlfn.XLOOKUP(Table26[[#This Row],[customerSKU]],Table27[customer_SKU],Table27[case_size],"",0,1))</f>
        <v/>
      </c>
      <c r="W2101" s="117" t="str">
        <f t="shared" si="83"/>
        <v/>
      </c>
      <c r="X2101" s="22" t="str">
        <f t="shared" si="84"/>
        <v/>
      </c>
      <c r="Y2101" s="25" t="str">
        <f>IF(Table26[[#This Row],[customerSKU]]="","",_xlfn.XLOOKUP(Table26[[#This Row],[customerSKU]],Table27[customer_SKU],Table27[product_GTIN],"",0,1))</f>
        <v/>
      </c>
      <c r="Z2101" s="25" t="s">
        <v>3666</v>
      </c>
      <c r="AA2101" s="18" t="str" cm="1">
        <f t="array" ref="AA2101">IF(P2101="", "", _xlfn.XLOOKUP(P2101,#REF!,#REF!,NA,0,-1))</f>
        <v/>
      </c>
      <c r="AB2101" s="22"/>
      <c r="AC2101" s="23" t="s">
        <v>193</v>
      </c>
      <c r="AD2101" s="23" t="str">
        <f>IF($AC2101="","",_xlfn.XLOOKUP($AC2101,'Client Info'!$C$2:$C$2497,'Client Info'!$D$2:$D$2497,"",0,1))</f>
        <v/>
      </c>
      <c r="AE2101" s="23" t="str">
        <f>IF($AC2101="","",_xlfn.XLOOKUP($AC2101,'Client Info'!$C$2:$C$2677,'Client Info'!$E$2:$E$2677,"",))</f>
        <v/>
      </c>
      <c r="AF2101" s="23" t="str">
        <f>IF($AC2101="","",_xlfn.XLOOKUP($AC2101,'Client Info'!$C$2:$C$2677,'Client Info'!$F$2:$F$2677,"",0,1))</f>
        <v/>
      </c>
      <c r="AG2101" s="23" t="str">
        <f>IF(ISBLANK(Table26[[#This Row],[customerSKU]]),"",_xlfn.XLOOKUP(Table26[[#This Row],[customerSKU]],Table27[customer_SKU],Table27[billto],"",0,1))</f>
        <v/>
      </c>
      <c r="AH2101" s="26" t="str">
        <f>_xlfn.XLOOKUP(Table26[[#This Row],[customerSKU]],customerSKU!G:G,customerSKU!K:K,"NA",0,1)</f>
        <v>NA</v>
      </c>
      <c r="AI2101" s="43" t="str">
        <f>_xlfn.XLOOKUP(Table26[[#This Row],[customerSKU]],customerSKU!G:G,customerSKU!O:O,"not found",0,1)</f>
        <v>not found</v>
      </c>
      <c r="AJ2101" s="22" t="e">
        <f>Table26[[#This Row],[unitprice]]*Table26[[#This Row],[quantity_unit]]</f>
        <v>#VALUE!</v>
      </c>
      <c r="AK2101" s="227" t="e" cm="1">
        <f t="array" ref="AK21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1" s="227"/>
    </row>
    <row r="2102" spans="1:38" ht="24.6" customHeight="1">
      <c r="A2102" s="42">
        <v>131</v>
      </c>
      <c r="B2102" s="42" t="s">
        <v>3520</v>
      </c>
      <c r="C2102" s="53" t="s">
        <v>3427</v>
      </c>
      <c r="E2102" s="20"/>
      <c r="F21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2" s="93"/>
      <c r="I2102" s="203">
        <v>45852</v>
      </c>
      <c r="J2102" s="90" t="str">
        <f>IF(Table26[[#This Row],[customerSKU]]="","",_xlfn.XLOOKUP(Table26[[#This Row],[customerSKU]],customerSKU!G:G,customerSKU!A:A,"",0,1))</f>
        <v/>
      </c>
      <c r="K2102" s="19">
        <v>45867</v>
      </c>
      <c r="L2102" s="49" t="str">
        <f>IF(Table26[[#This Row],[customerSKU]]="","",_xlfn.XLOOKUP(Table26[[#This Row],[customerSKU]],customerSKU!G:G,customerSKU!B:B,"",0,1))</f>
        <v/>
      </c>
      <c r="M2102" s="22"/>
      <c r="N2102" s="15" t="str">
        <f>Table26[[#This Row],[po_number]]&amp;"-"&amp;Table26[[#This Row],[po_line]]</f>
        <v>-2</v>
      </c>
      <c r="O2102" s="15">
        <v>2</v>
      </c>
      <c r="P2102" s="50"/>
      <c r="Q2102" s="22" t="s">
        <v>1807</v>
      </c>
      <c r="R2102" s="22" t="s">
        <v>532</v>
      </c>
      <c r="S2102" s="90" t="str">
        <f>IF(Table26[[#This Row],[customerSKU]]="","",_xlfn.XLOOKUP(Table26[[#This Row],[customerSKU]],customerSKU!G:G,customerSKU!N:N,"NOT FOUND",0,1))</f>
        <v>NOT FOUND</v>
      </c>
      <c r="T2102" s="20">
        <v>45804</v>
      </c>
      <c r="U2102" s="94">
        <v>12</v>
      </c>
      <c r="V2102" s="22" t="str">
        <f>IF(ISBLANK(Table26[[#This Row],[customerSKU]]),"",_xlfn.XLOOKUP(Table26[[#This Row],[customerSKU]],Table27[customer_SKU],Table27[case_size],"",0,1))</f>
        <v/>
      </c>
      <c r="W2102" s="117" t="str">
        <f t="shared" si="83"/>
        <v/>
      </c>
      <c r="X2102" s="22" t="str">
        <f t="shared" si="84"/>
        <v/>
      </c>
      <c r="Y2102" s="25" t="str">
        <f>IF(Table26[[#This Row],[customerSKU]]="","",_xlfn.XLOOKUP(Table26[[#This Row],[customerSKU]],Table27[customer_SKU],Table27[product_GTIN],"",0,1))</f>
        <v/>
      </c>
      <c r="Z2102" s="25" t="s">
        <v>3670</v>
      </c>
      <c r="AA2102" s="18" t="str" cm="1">
        <f t="array" ref="AA2102">IF(P2102="", "", _xlfn.XLOOKUP(P2102,#REF!,#REF!,NA,0,-1))</f>
        <v/>
      </c>
      <c r="AB2102" s="22"/>
      <c r="AC2102" s="23" t="s">
        <v>193</v>
      </c>
      <c r="AD2102" s="23" t="str">
        <f>IF($AC2102="","",_xlfn.XLOOKUP($AC2102,'Client Info'!$C$2:$C$2497,'Client Info'!$D$2:$D$2497,"",0,1))</f>
        <v/>
      </c>
      <c r="AE2102" s="23" t="str">
        <f>IF($AC2102="","",_xlfn.XLOOKUP($AC2102,'Client Info'!$C$2:$C$2677,'Client Info'!$E$2:$E$2677,"",))</f>
        <v/>
      </c>
      <c r="AF2102" s="23" t="str">
        <f>IF($AC2102="","",_xlfn.XLOOKUP($AC2102,'Client Info'!$C$2:$C$2677,'Client Info'!$F$2:$F$2677,"",0,1))</f>
        <v/>
      </c>
      <c r="AG2102" s="23" t="str">
        <f>IF(ISBLANK(Table26[[#This Row],[customerSKU]]),"",_xlfn.XLOOKUP(Table26[[#This Row],[customerSKU]],Table27[customer_SKU],Table27[billto],"",0,1))</f>
        <v/>
      </c>
      <c r="AH2102" s="26" t="str">
        <f>_xlfn.XLOOKUP(Table26[[#This Row],[customerSKU]],customerSKU!G:G,customerSKU!K:K,"NA",0,1)</f>
        <v>NA</v>
      </c>
      <c r="AI2102" s="43" t="str">
        <f>_xlfn.XLOOKUP(Table26[[#This Row],[customerSKU]],customerSKU!G:G,customerSKU!O:O,"not found",0,1)</f>
        <v>not found</v>
      </c>
      <c r="AJ2102" s="22" t="e">
        <f>Table26[[#This Row],[unitprice]]*Table26[[#This Row],[quantity_unit]]</f>
        <v>#VALUE!</v>
      </c>
      <c r="AK2102" s="227" t="e" cm="1">
        <f t="array" ref="AK21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2" s="227"/>
    </row>
    <row r="2103" spans="1:38" ht="24.6" customHeight="1">
      <c r="A2103" s="42">
        <v>132</v>
      </c>
      <c r="B2103" s="42" t="s">
        <v>3520</v>
      </c>
      <c r="C2103" s="53" t="s">
        <v>3427</v>
      </c>
      <c r="E2103" s="20"/>
      <c r="F21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3" s="93"/>
      <c r="I2103" s="203">
        <v>45852</v>
      </c>
      <c r="J2103" s="90" t="str">
        <f>IF(Table26[[#This Row],[customerSKU]]="","",_xlfn.XLOOKUP(Table26[[#This Row],[customerSKU]],customerSKU!G:G,customerSKU!A:A,"",0,1))</f>
        <v/>
      </c>
      <c r="K2103" s="19">
        <v>45867</v>
      </c>
      <c r="L2103" s="49" t="str">
        <f>IF(Table26[[#This Row],[customerSKU]]="","",_xlfn.XLOOKUP(Table26[[#This Row],[customerSKU]],customerSKU!G:G,customerSKU!B:B,"",0,1))</f>
        <v/>
      </c>
      <c r="M2103" s="22"/>
      <c r="N2103" s="15" t="str">
        <f>Table26[[#This Row],[po_number]]&amp;"-"&amp;Table26[[#This Row],[po_line]]</f>
        <v>-3</v>
      </c>
      <c r="O2103" s="15">
        <v>3</v>
      </c>
      <c r="P2103" s="50"/>
      <c r="Q2103" s="22" t="s">
        <v>1312</v>
      </c>
      <c r="R2103" s="22" t="s">
        <v>532</v>
      </c>
      <c r="S2103" s="90" t="s">
        <v>21</v>
      </c>
      <c r="T2103" s="20">
        <v>45854</v>
      </c>
      <c r="U2103" s="94">
        <v>12</v>
      </c>
      <c r="V2103" s="22" t="str">
        <f>IF(ISBLANK(Table26[[#This Row],[customerSKU]]),"",_xlfn.XLOOKUP(Table26[[#This Row],[customerSKU]],Table27[customer_SKU],Table27[case_size],"",0,1))</f>
        <v/>
      </c>
      <c r="W2103" s="117" t="str">
        <f t="shared" si="83"/>
        <v/>
      </c>
      <c r="X2103" s="22" t="str">
        <f t="shared" si="84"/>
        <v/>
      </c>
      <c r="Y2103" s="25" t="str">
        <f>IF(Table26[[#This Row],[customerSKU]]="","",_xlfn.XLOOKUP(Table26[[#This Row],[customerSKU]],Table27[customer_SKU],Table27[product_GTIN],"",0,1))</f>
        <v/>
      </c>
      <c r="Z2103" s="25" t="s">
        <v>3528</v>
      </c>
      <c r="AA2103" s="18" t="str" cm="1">
        <f t="array" ref="AA2103">IF(P2103="", "", _xlfn.XLOOKUP(P2103,#REF!,#REF!,NA,0,-1))</f>
        <v/>
      </c>
      <c r="AB2103" s="22"/>
      <c r="AC2103" s="23" t="s">
        <v>193</v>
      </c>
      <c r="AD2103" s="23" t="str">
        <f>IF($AC2103="","",_xlfn.XLOOKUP($AC2103,'Client Info'!$C$2:$C$2497,'Client Info'!$D$2:$D$2497,"",0,1))</f>
        <v/>
      </c>
      <c r="AE2103" s="23" t="str">
        <f>IF($AC2103="","",_xlfn.XLOOKUP($AC2103,'Client Info'!$C$2:$C$2677,'Client Info'!$E$2:$E$2677,"",))</f>
        <v/>
      </c>
      <c r="AF2103" s="23" t="str">
        <f>IF($AC2103="","",_xlfn.XLOOKUP($AC2103,'Client Info'!$C$2:$C$2677,'Client Info'!$F$2:$F$2677,"",0,1))</f>
        <v/>
      </c>
      <c r="AG2103" s="23" t="str">
        <f>IF(ISBLANK(Table26[[#This Row],[customerSKU]]),"",_xlfn.XLOOKUP(Table26[[#This Row],[customerSKU]],Table27[customer_SKU],Table27[billto],"",0,1))</f>
        <v/>
      </c>
      <c r="AH2103" s="26" t="str">
        <f>_xlfn.XLOOKUP(Table26[[#This Row],[customerSKU]],customerSKU!G:G,customerSKU!K:K,"NA",0,1)</f>
        <v>NA</v>
      </c>
      <c r="AI2103" s="43" t="str">
        <f>_xlfn.XLOOKUP(Table26[[#This Row],[customerSKU]],customerSKU!G:G,customerSKU!O:O,"not found",0,1)</f>
        <v>not found</v>
      </c>
      <c r="AJ2103" s="22" t="e">
        <f>Table26[[#This Row],[unitprice]]*Table26[[#This Row],[quantity_unit]]</f>
        <v>#VALUE!</v>
      </c>
      <c r="AK2103" s="227" t="e" cm="1">
        <f t="array" ref="AK21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3" s="227"/>
    </row>
    <row r="2104" spans="1:38" ht="24.6" customHeight="1">
      <c r="A2104" s="42">
        <v>133</v>
      </c>
      <c r="B2104" s="42" t="s">
        <v>3520</v>
      </c>
      <c r="C2104" s="53" t="s">
        <v>3427</v>
      </c>
      <c r="E2104" s="20"/>
      <c r="F21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4" s="93"/>
      <c r="I2104" s="203">
        <v>45852</v>
      </c>
      <c r="J2104" s="90" t="str">
        <f>IF(Table26[[#This Row],[customerSKU]]="","",_xlfn.XLOOKUP(Table26[[#This Row],[customerSKU]],customerSKU!G:G,customerSKU!A:A,"",0,1))</f>
        <v/>
      </c>
      <c r="K2104" s="19">
        <v>45867</v>
      </c>
      <c r="L2104" s="49" t="str">
        <f>IF(Table26[[#This Row],[customerSKU]]="","",_xlfn.XLOOKUP(Table26[[#This Row],[customerSKU]],customerSKU!G:G,customerSKU!B:B,"",0,1))</f>
        <v/>
      </c>
      <c r="M2104" s="22"/>
      <c r="N2104" s="15" t="str">
        <f>Table26[[#This Row],[po_number]]&amp;"-"&amp;Table26[[#This Row],[po_line]]</f>
        <v>-4</v>
      </c>
      <c r="O2104" s="15">
        <v>4</v>
      </c>
      <c r="P2104" s="50"/>
      <c r="Q2104" s="22" t="s">
        <v>535</v>
      </c>
      <c r="R2104" s="22" t="s">
        <v>532</v>
      </c>
      <c r="S2104" s="90" t="str">
        <f>IF(Table26[[#This Row],[customerSKU]]="","",_xlfn.XLOOKUP(Table26[[#This Row],[customerSKU]],customerSKU!G:G,customerSKU!N:N,"NOT FOUND",0,1))</f>
        <v>NOT FOUND</v>
      </c>
      <c r="T2104" s="20">
        <v>45630</v>
      </c>
      <c r="U2104" s="94">
        <v>12</v>
      </c>
      <c r="V2104" s="22" t="str">
        <f>IF(ISBLANK(Table26[[#This Row],[customerSKU]]),"",_xlfn.XLOOKUP(Table26[[#This Row],[customerSKU]],Table27[customer_SKU],Table27[case_size],"",0,1))</f>
        <v/>
      </c>
      <c r="W2104" s="117" t="str">
        <f t="shared" si="83"/>
        <v/>
      </c>
      <c r="X2104" s="22" t="str">
        <f t="shared" si="84"/>
        <v/>
      </c>
      <c r="Y2104" s="25" t="str">
        <f>IF(Table26[[#This Row],[customerSKU]]="","",_xlfn.XLOOKUP(Table26[[#This Row],[customerSKU]],Table27[customer_SKU],Table27[product_GTIN],"",0,1))</f>
        <v/>
      </c>
      <c r="Z2104" s="25" t="s">
        <v>3553</v>
      </c>
      <c r="AA2104" s="18" t="str" cm="1">
        <f t="array" ref="AA2104">IF(P2104="", "", _xlfn.XLOOKUP(P2104,#REF!,#REF!,NA,0,-1))</f>
        <v/>
      </c>
      <c r="AB2104" s="22"/>
      <c r="AC2104" s="23" t="s">
        <v>193</v>
      </c>
      <c r="AD2104" s="23" t="str">
        <f>IF($AC2104="","",_xlfn.XLOOKUP($AC2104,'Client Info'!$C$2:$C$2497,'Client Info'!$D$2:$D$2497,"",0,1))</f>
        <v/>
      </c>
      <c r="AE2104" s="23" t="str">
        <f>IF($AC2104="","",_xlfn.XLOOKUP($AC2104,'Client Info'!$C$2:$C$2677,'Client Info'!$E$2:$E$2677,"",))</f>
        <v/>
      </c>
      <c r="AF2104" s="23" t="str">
        <f>IF($AC2104="","",_xlfn.XLOOKUP($AC2104,'Client Info'!$C$2:$C$2677,'Client Info'!$F$2:$F$2677,"",0,1))</f>
        <v/>
      </c>
      <c r="AG2104" s="23" t="str">
        <f>IF(ISBLANK(Table26[[#This Row],[customerSKU]]),"",_xlfn.XLOOKUP(Table26[[#This Row],[customerSKU]],Table27[customer_SKU],Table27[billto],"",0,1))</f>
        <v/>
      </c>
      <c r="AH2104" s="26" t="str">
        <f>_xlfn.XLOOKUP(Table26[[#This Row],[customerSKU]],customerSKU!G:G,customerSKU!K:K,"NA",0,1)</f>
        <v>NA</v>
      </c>
      <c r="AI2104" s="43" t="str">
        <f>_xlfn.XLOOKUP(Table26[[#This Row],[customerSKU]],customerSKU!G:G,customerSKU!O:O,"not found",0,1)</f>
        <v>not found</v>
      </c>
      <c r="AJ2104" s="22" t="e">
        <f>Table26[[#This Row],[unitprice]]*Table26[[#This Row],[quantity_unit]]</f>
        <v>#VALUE!</v>
      </c>
      <c r="AK2104" s="227" t="e" cm="1">
        <f t="array" ref="AK21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4" s="227"/>
    </row>
    <row r="2105" spans="1:38" ht="24.6" customHeight="1">
      <c r="A2105" s="42">
        <v>134</v>
      </c>
      <c r="B2105" s="42" t="s">
        <v>3520</v>
      </c>
      <c r="C2105" s="53" t="s">
        <v>3427</v>
      </c>
      <c r="E2105" s="20"/>
      <c r="F21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5" s="93"/>
      <c r="I2105" s="203">
        <v>45854</v>
      </c>
      <c r="J2105" s="90" t="str">
        <f>IF(Table26[[#This Row],[customerSKU]]="","",_xlfn.XLOOKUP(Table26[[#This Row],[customerSKU]],customerSKU!G:G,customerSKU!A:A,"",0,1))</f>
        <v/>
      </c>
      <c r="K2105" s="19">
        <v>45867</v>
      </c>
      <c r="L2105" s="49" t="s">
        <v>201</v>
      </c>
      <c r="M2105" s="22"/>
      <c r="N2105" s="15" t="str">
        <f>Table26[[#This Row],[po_number]]&amp;"-"&amp;Table26[[#This Row],[po_line]]</f>
        <v>-1</v>
      </c>
      <c r="O2105" s="15">
        <v>1</v>
      </c>
      <c r="P2105" s="50"/>
      <c r="Q2105" s="22" t="s">
        <v>1842</v>
      </c>
      <c r="R2105" s="22" t="s">
        <v>532</v>
      </c>
      <c r="S2105" s="90" t="s">
        <v>21</v>
      </c>
      <c r="T2105" s="20">
        <v>45854</v>
      </c>
      <c r="U2105" s="94">
        <v>60</v>
      </c>
      <c r="V2105" s="22">
        <v>12</v>
      </c>
      <c r="W2105" s="117">
        <f t="shared" si="83"/>
        <v>5</v>
      </c>
      <c r="X2105" s="22" t="str">
        <f t="shared" si="84"/>
        <v/>
      </c>
      <c r="Y2105" s="25" t="str">
        <f>IF(Table26[[#This Row],[customerSKU]]="","",_xlfn.XLOOKUP(Table26[[#This Row],[customerSKU]],Table27[customer_SKU],Table27[product_GTIN],"",0,1))</f>
        <v/>
      </c>
      <c r="Z2105" s="25" t="s">
        <v>3720</v>
      </c>
      <c r="AA2105" s="18" t="str" cm="1">
        <f t="array" ref="AA2105">IF(P2105="", "", _xlfn.XLOOKUP(P2105,#REF!,#REF!,NA,0,-1))</f>
        <v/>
      </c>
      <c r="AB2105" s="22"/>
      <c r="AC2105" s="23" t="s">
        <v>165</v>
      </c>
      <c r="AD2105" s="23" t="str">
        <f>IF($AC2105="","",_xlfn.XLOOKUP($AC2105,'Client Info'!$C$2:$C$2497,'Client Info'!$D$2:$D$2497,"",0,1))</f>
        <v/>
      </c>
      <c r="AE2105" s="23" t="str">
        <f>IF($AC2105="","",_xlfn.XLOOKUP($AC2105,'Client Info'!$C$2:$C$2677,'Client Info'!$E$2:$E$2677,"",))</f>
        <v/>
      </c>
      <c r="AF2105" s="23" t="str">
        <f>IF($AC2105="","",_xlfn.XLOOKUP($AC2105,'Client Info'!$C$2:$C$2677,'Client Info'!$F$2:$F$2677,"",0,1))</f>
        <v/>
      </c>
      <c r="AG2105" s="23" t="s">
        <v>55</v>
      </c>
      <c r="AH2105" s="26" t="str">
        <f>_xlfn.XLOOKUP(Table26[[#This Row],[customerSKU]],customerSKU!G:G,customerSKU!K:K,"NA",0,1)</f>
        <v>NA</v>
      </c>
      <c r="AI2105" s="43" t="str">
        <f>_xlfn.XLOOKUP(Table26[[#This Row],[customerSKU]],customerSKU!G:G,customerSKU!O:O,"not found",0,1)</f>
        <v>not found</v>
      </c>
      <c r="AJ2105" s="22" t="e">
        <f>Table26[[#This Row],[unitprice]]*Table26[[#This Row],[quantity_unit]]</f>
        <v>#VALUE!</v>
      </c>
      <c r="AK2105" s="227" t="e" cm="1">
        <f t="array" ref="AK21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5" s="227"/>
    </row>
    <row r="2106" spans="1:38" ht="15.45" customHeight="1">
      <c r="A2106" s="42">
        <v>135</v>
      </c>
      <c r="B2106" s="42" t="s">
        <v>3520</v>
      </c>
      <c r="C2106" s="53" t="s">
        <v>3427</v>
      </c>
      <c r="E2106" s="20"/>
      <c r="F21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6" s="93"/>
      <c r="I2106" s="203">
        <v>45854</v>
      </c>
      <c r="J2106" s="90" t="str">
        <f>IF(Table26[[#This Row],[customerSKU]]="","",_xlfn.XLOOKUP(Table26[[#This Row],[customerSKU]],customerSKU!G:G,customerSKU!A:A,"",0,1))</f>
        <v/>
      </c>
      <c r="K2106" s="19">
        <v>45867</v>
      </c>
      <c r="L2106" s="49" t="s">
        <v>201</v>
      </c>
      <c r="M2106" s="22"/>
      <c r="N2106" s="15" t="str">
        <f>Table26[[#This Row],[po_number]]&amp;"-"&amp;Table26[[#This Row],[po_line]]</f>
        <v>-2</v>
      </c>
      <c r="O2106" s="15">
        <v>2</v>
      </c>
      <c r="P2106" s="50"/>
      <c r="Q2106" s="22" t="s">
        <v>1377</v>
      </c>
      <c r="R2106" s="22" t="s">
        <v>532</v>
      </c>
      <c r="S2106" s="90" t="s">
        <v>21</v>
      </c>
      <c r="T2106" s="20">
        <v>45569</v>
      </c>
      <c r="U2106" s="94">
        <v>24</v>
      </c>
      <c r="V2106" s="22">
        <v>12</v>
      </c>
      <c r="W2106" s="117">
        <f t="shared" si="83"/>
        <v>2</v>
      </c>
      <c r="X2106" s="22" t="str">
        <f t="shared" si="84"/>
        <v/>
      </c>
      <c r="Y2106" s="25" t="str">
        <f>IF(Table26[[#This Row],[customerSKU]]="","",_xlfn.XLOOKUP(Table26[[#This Row],[customerSKU]],Table27[customer_SKU],Table27[product_GTIN],"",0,1))</f>
        <v/>
      </c>
      <c r="Z2106" s="25" t="s">
        <v>3721</v>
      </c>
      <c r="AA2106" s="18" t="str" cm="1">
        <f t="array" ref="AA2106">IF(P2106="", "", _xlfn.XLOOKUP(P2106,#REF!,#REF!,NA,0,-1))</f>
        <v/>
      </c>
      <c r="AB2106" s="22"/>
      <c r="AC2106" s="23" t="s">
        <v>165</v>
      </c>
      <c r="AD2106" s="23" t="str">
        <f>IF($AC2106="","",_xlfn.XLOOKUP($AC2106,'Client Info'!$C$2:$C$2497,'Client Info'!$D$2:$D$2497,"",0,1))</f>
        <v/>
      </c>
      <c r="AE2106" s="23" t="str">
        <f>IF($AC2106="","",_xlfn.XLOOKUP($AC2106,'Client Info'!$C$2:$C$2677,'Client Info'!$E$2:$E$2677,"",))</f>
        <v/>
      </c>
      <c r="AF2106" s="23" t="str">
        <f>IF($AC2106="","",_xlfn.XLOOKUP($AC2106,'Client Info'!$C$2:$C$2677,'Client Info'!$F$2:$F$2677,"",0,1))</f>
        <v/>
      </c>
      <c r="AG2106" s="23" t="s">
        <v>55</v>
      </c>
      <c r="AH2106" s="26" t="str">
        <f>_xlfn.XLOOKUP(Table26[[#This Row],[customerSKU]],customerSKU!G:G,customerSKU!K:K,"NA",0,1)</f>
        <v>NA</v>
      </c>
      <c r="AI2106" s="43" t="str">
        <f>_xlfn.XLOOKUP(Table26[[#This Row],[customerSKU]],customerSKU!G:G,customerSKU!O:O,"not found",0,1)</f>
        <v>not found</v>
      </c>
      <c r="AJ2106" s="22" t="e">
        <f>Table26[[#This Row],[unitprice]]*Table26[[#This Row],[quantity_unit]]</f>
        <v>#VALUE!</v>
      </c>
      <c r="AK2106" s="227" t="e" cm="1">
        <f t="array" ref="AK21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6" s="227"/>
    </row>
    <row r="2107" spans="1:38" ht="24.6" customHeight="1">
      <c r="A2107" s="42">
        <v>136</v>
      </c>
      <c r="B2107" s="42" t="s">
        <v>3520</v>
      </c>
      <c r="C2107" s="53" t="s">
        <v>3427</v>
      </c>
      <c r="E2107" s="20"/>
      <c r="F21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7" s="93"/>
      <c r="I2107" s="203">
        <v>45854</v>
      </c>
      <c r="J2107" s="90" t="str">
        <f>IF(Table26[[#This Row],[customerSKU]]="","",_xlfn.XLOOKUP(Table26[[#This Row],[customerSKU]],customerSKU!G:G,customerSKU!A:A,"",0,1))</f>
        <v/>
      </c>
      <c r="K2107" s="19">
        <v>45867</v>
      </c>
      <c r="L2107" s="49" t="s">
        <v>201</v>
      </c>
      <c r="M2107" s="22"/>
      <c r="N2107" s="15" t="str">
        <f>Table26[[#This Row],[po_number]]&amp;"-"&amp;Table26[[#This Row],[po_line]]</f>
        <v>-3</v>
      </c>
      <c r="O2107" s="15">
        <v>3</v>
      </c>
      <c r="P2107" s="50"/>
      <c r="Q2107" s="22" t="s">
        <v>1811</v>
      </c>
      <c r="R2107" s="22" t="s">
        <v>532</v>
      </c>
      <c r="S2107" s="90" t="s">
        <v>21</v>
      </c>
      <c r="T2107" s="20">
        <v>45805</v>
      </c>
      <c r="U2107" s="94">
        <v>180</v>
      </c>
      <c r="V2107" s="22">
        <v>12</v>
      </c>
      <c r="W2107" s="117">
        <f t="shared" si="83"/>
        <v>15</v>
      </c>
      <c r="X2107" s="22" t="str">
        <f t="shared" si="84"/>
        <v/>
      </c>
      <c r="Y2107" s="25" t="str">
        <f>IF(Table26[[#This Row],[customerSKU]]="","",_xlfn.XLOOKUP(Table26[[#This Row],[customerSKU]],Table27[customer_SKU],Table27[product_GTIN],"",0,1))</f>
        <v/>
      </c>
      <c r="Z2107" s="25" t="s">
        <v>3529</v>
      </c>
      <c r="AA2107" s="18" t="str" cm="1">
        <f t="array" ref="AA2107">IF(P2107="", "", _xlfn.XLOOKUP(P2107,#REF!,#REF!,NA,0,-1))</f>
        <v/>
      </c>
      <c r="AB2107" s="22"/>
      <c r="AC2107" s="23" t="s">
        <v>165</v>
      </c>
      <c r="AD2107" s="23" t="str">
        <f>IF($AC2107="","",_xlfn.XLOOKUP($AC2107,'Client Info'!$C$2:$C$2497,'Client Info'!$D$2:$D$2497,"",0,1))</f>
        <v/>
      </c>
      <c r="AE2107" s="23" t="str">
        <f>IF($AC2107="","",_xlfn.XLOOKUP($AC2107,'Client Info'!$C$2:$C$2677,'Client Info'!$E$2:$E$2677,"",))</f>
        <v/>
      </c>
      <c r="AF2107" s="23" t="str">
        <f>IF($AC2107="","",_xlfn.XLOOKUP($AC2107,'Client Info'!$C$2:$C$2677,'Client Info'!$F$2:$F$2677,"",0,1))</f>
        <v/>
      </c>
      <c r="AG2107" s="23" t="s">
        <v>55</v>
      </c>
      <c r="AH2107" s="26" t="str">
        <f>_xlfn.XLOOKUP(Table26[[#This Row],[customerSKU]],customerSKU!G:G,customerSKU!K:K,"NA",0,1)</f>
        <v>NA</v>
      </c>
      <c r="AI2107" s="43" t="str">
        <f>_xlfn.XLOOKUP(Table26[[#This Row],[customerSKU]],customerSKU!G:G,customerSKU!O:O,"not found",0,1)</f>
        <v>not found</v>
      </c>
      <c r="AJ2107" s="22" t="e">
        <f>Table26[[#This Row],[unitprice]]*Table26[[#This Row],[quantity_unit]]</f>
        <v>#VALUE!</v>
      </c>
      <c r="AK2107" s="227" t="e" cm="1">
        <f t="array" ref="AK21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7" s="227"/>
    </row>
    <row r="2108" spans="1:38" ht="15.6" customHeight="1">
      <c r="A2108" s="42">
        <v>137</v>
      </c>
      <c r="B2108" s="42" t="s">
        <v>3520</v>
      </c>
      <c r="C2108" s="53" t="s">
        <v>3427</v>
      </c>
      <c r="E2108" s="20"/>
      <c r="F21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8" s="93"/>
      <c r="I2108" s="203">
        <v>45854</v>
      </c>
      <c r="J2108" s="90" t="str">
        <f>IF(Table26[[#This Row],[customerSKU]]="","",_xlfn.XLOOKUP(Table26[[#This Row],[customerSKU]],customerSKU!G:G,customerSKU!A:A,"",0,1))</f>
        <v/>
      </c>
      <c r="K2108" s="19">
        <v>45867</v>
      </c>
      <c r="L2108" s="49" t="s">
        <v>201</v>
      </c>
      <c r="M2108" s="22"/>
      <c r="N2108" s="15" t="str">
        <f>Table26[[#This Row],[po_number]]&amp;"-"&amp;Table26[[#This Row],[po_line]]</f>
        <v>-4</v>
      </c>
      <c r="O2108" s="15">
        <v>4</v>
      </c>
      <c r="P2108" s="50"/>
      <c r="Q2108" s="22" t="s">
        <v>1312</v>
      </c>
      <c r="R2108" s="22" t="s">
        <v>532</v>
      </c>
      <c r="S2108" s="90" t="s">
        <v>21</v>
      </c>
      <c r="T2108" s="20">
        <v>45854</v>
      </c>
      <c r="U2108" s="94">
        <v>60</v>
      </c>
      <c r="V2108" s="22">
        <v>12</v>
      </c>
      <c r="W2108" s="117">
        <f t="shared" si="83"/>
        <v>5</v>
      </c>
      <c r="X2108" s="22" t="str">
        <f t="shared" si="84"/>
        <v/>
      </c>
      <c r="Y2108" s="25" t="str">
        <f>IF(Table26[[#This Row],[customerSKU]]="","",_xlfn.XLOOKUP(Table26[[#This Row],[customerSKU]],Table27[customer_SKU],Table27[product_GTIN],"",0,1))</f>
        <v/>
      </c>
      <c r="Z2108" s="25" t="s">
        <v>3528</v>
      </c>
      <c r="AA2108" s="18" t="str" cm="1">
        <f t="array" ref="AA2108">IF(P2108="", "", _xlfn.XLOOKUP(P2108,#REF!,#REF!,NA,0,-1))</f>
        <v/>
      </c>
      <c r="AB2108" s="22"/>
      <c r="AC2108" s="23" t="s">
        <v>165</v>
      </c>
      <c r="AD2108" s="23" t="str">
        <f>IF($AC2108="","",_xlfn.XLOOKUP($AC2108,'Client Info'!$C$2:$C$2497,'Client Info'!$D$2:$D$2497,"",0,1))</f>
        <v/>
      </c>
      <c r="AE2108" s="23" t="str">
        <f>IF($AC2108="","",_xlfn.XLOOKUP($AC2108,'Client Info'!$C$2:$C$2677,'Client Info'!$E$2:$E$2677,"",))</f>
        <v/>
      </c>
      <c r="AF2108" s="23" t="str">
        <f>IF($AC2108="","",_xlfn.XLOOKUP($AC2108,'Client Info'!$C$2:$C$2677,'Client Info'!$F$2:$F$2677,"",0,1))</f>
        <v/>
      </c>
      <c r="AG2108" s="23" t="s">
        <v>55</v>
      </c>
      <c r="AH2108" s="26" t="str">
        <f>_xlfn.XLOOKUP(Table26[[#This Row],[customerSKU]],customerSKU!G:G,customerSKU!K:K,"NA",0,1)</f>
        <v>NA</v>
      </c>
      <c r="AI2108" s="43" t="str">
        <f>_xlfn.XLOOKUP(Table26[[#This Row],[customerSKU]],customerSKU!G:G,customerSKU!O:O,"not found",0,1)</f>
        <v>not found</v>
      </c>
      <c r="AJ2108" s="22" t="e">
        <f>Table26[[#This Row],[unitprice]]*Table26[[#This Row],[quantity_unit]]</f>
        <v>#VALUE!</v>
      </c>
      <c r="AK2108" s="227" t="e" cm="1">
        <f t="array" ref="AK21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8" s="227"/>
    </row>
    <row r="2109" spans="1:38" ht="15.6" customHeight="1">
      <c r="A2109" s="42">
        <v>138</v>
      </c>
      <c r="B2109" s="42" t="s">
        <v>3520</v>
      </c>
      <c r="C2109" s="53" t="s">
        <v>3427</v>
      </c>
      <c r="E2109" s="20"/>
      <c r="F21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09" s="93"/>
      <c r="I2109" s="203">
        <v>45854</v>
      </c>
      <c r="J2109" s="90" t="str">
        <f>IF(Table26[[#This Row],[customerSKU]]="","",_xlfn.XLOOKUP(Table26[[#This Row],[customerSKU]],customerSKU!G:G,customerSKU!A:A,"",0,1))</f>
        <v/>
      </c>
      <c r="K2109" s="19">
        <v>45867</v>
      </c>
      <c r="L2109" s="49" t="s">
        <v>201</v>
      </c>
      <c r="M2109" s="22"/>
      <c r="N2109" s="15" t="str">
        <f>Table26[[#This Row],[po_number]]&amp;"-"&amp;Table26[[#This Row],[po_line]]</f>
        <v>-5</v>
      </c>
      <c r="O2109" s="15">
        <v>5</v>
      </c>
      <c r="P2109" s="50"/>
      <c r="Q2109" s="22" t="s">
        <v>3533</v>
      </c>
      <c r="R2109" s="22" t="s">
        <v>532</v>
      </c>
      <c r="S2109" s="90" t="s">
        <v>21</v>
      </c>
      <c r="T2109" s="20">
        <v>45761</v>
      </c>
      <c r="U2109" s="94">
        <v>36</v>
      </c>
      <c r="V2109" s="22">
        <v>12</v>
      </c>
      <c r="W2109" s="117">
        <f t="shared" si="83"/>
        <v>3</v>
      </c>
      <c r="X2109" s="22" t="str">
        <f t="shared" si="84"/>
        <v/>
      </c>
      <c r="Y2109" s="25" t="str">
        <f>IF(Table26[[#This Row],[customerSKU]]="","",_xlfn.XLOOKUP(Table26[[#This Row],[customerSKU]],Table27[customer_SKU],Table27[product_GTIN],"",0,1))</f>
        <v/>
      </c>
      <c r="Z2109" s="25" t="s">
        <v>3380</v>
      </c>
      <c r="AA2109" s="18" t="str" cm="1">
        <f t="array" ref="AA2109">IF(P2109="", "", _xlfn.XLOOKUP(P2109,#REF!,#REF!,NA,0,-1))</f>
        <v/>
      </c>
      <c r="AB2109" s="22"/>
      <c r="AC2109" s="23" t="s">
        <v>165</v>
      </c>
      <c r="AD2109" s="23" t="str">
        <f>IF($AC2109="","",_xlfn.XLOOKUP($AC2109,'Client Info'!$C$2:$C$2497,'Client Info'!$D$2:$D$2497,"",0,1))</f>
        <v/>
      </c>
      <c r="AE2109" s="23" t="str">
        <f>IF($AC2109="","",_xlfn.XLOOKUP($AC2109,'Client Info'!$C$2:$C$2677,'Client Info'!$E$2:$E$2677,"",))</f>
        <v/>
      </c>
      <c r="AF2109" s="23" t="str">
        <f>IF($AC2109="","",_xlfn.XLOOKUP($AC2109,'Client Info'!$C$2:$C$2677,'Client Info'!$F$2:$F$2677,"",0,1))</f>
        <v/>
      </c>
      <c r="AG2109" s="23" t="s">
        <v>55</v>
      </c>
      <c r="AH2109" s="26" t="str">
        <f>_xlfn.XLOOKUP(Table26[[#This Row],[customerSKU]],customerSKU!G:G,customerSKU!K:K,"NA",0,1)</f>
        <v>NA</v>
      </c>
      <c r="AI2109" s="43" t="str">
        <f>_xlfn.XLOOKUP(Table26[[#This Row],[customerSKU]],customerSKU!G:G,customerSKU!O:O,"not found",0,1)</f>
        <v>not found</v>
      </c>
      <c r="AJ2109" s="22" t="e">
        <f>Table26[[#This Row],[unitprice]]*Table26[[#This Row],[quantity_unit]]</f>
        <v>#VALUE!</v>
      </c>
      <c r="AK2109" s="227" t="e" cm="1">
        <f t="array" ref="AK21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09" s="227"/>
    </row>
    <row r="2110" spans="1:38" ht="15.45" customHeight="1">
      <c r="A2110" s="42">
        <v>139</v>
      </c>
      <c r="B2110" s="42" t="s">
        <v>3520</v>
      </c>
      <c r="C2110" s="53" t="s">
        <v>3427</v>
      </c>
      <c r="E2110" s="20"/>
      <c r="F21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0" s="93"/>
      <c r="I2110" s="203">
        <v>45854</v>
      </c>
      <c r="J2110" s="90" t="str">
        <f>IF(Table26[[#This Row],[customerSKU]]="","",_xlfn.XLOOKUP(Table26[[#This Row],[customerSKU]],customerSKU!G:G,customerSKU!A:A,"",0,1))</f>
        <v/>
      </c>
      <c r="K2110" s="19">
        <v>45867</v>
      </c>
      <c r="L2110" s="49" t="s">
        <v>201</v>
      </c>
      <c r="M2110" s="22"/>
      <c r="N2110" s="15" t="str">
        <f>Table26[[#This Row],[po_number]]&amp;"-"&amp;Table26[[#This Row],[po_line]]</f>
        <v>-6</v>
      </c>
      <c r="O2110" s="15">
        <v>6</v>
      </c>
      <c r="P2110" s="50"/>
      <c r="Q2110" s="22" t="s">
        <v>535</v>
      </c>
      <c r="R2110" s="22" t="s">
        <v>532</v>
      </c>
      <c r="S2110" s="90" t="s">
        <v>21</v>
      </c>
      <c r="T2110" s="20">
        <v>45630</v>
      </c>
      <c r="U2110" s="94">
        <v>144</v>
      </c>
      <c r="V2110" s="22">
        <v>12</v>
      </c>
      <c r="W2110" s="117">
        <f t="shared" si="83"/>
        <v>12</v>
      </c>
      <c r="X2110" s="22" t="str">
        <f t="shared" si="84"/>
        <v/>
      </c>
      <c r="Y2110" s="25" t="str">
        <f>IF(Table26[[#This Row],[customerSKU]]="","",_xlfn.XLOOKUP(Table26[[#This Row],[customerSKU]],Table27[customer_SKU],Table27[product_GTIN],"",0,1))</f>
        <v/>
      </c>
      <c r="Z2110" s="25" t="s">
        <v>3553</v>
      </c>
      <c r="AA2110" s="18" t="str" cm="1">
        <f t="array" ref="AA2110">IF(P2110="", "", _xlfn.XLOOKUP(P2110,#REF!,#REF!,NA,0,-1))</f>
        <v/>
      </c>
      <c r="AB2110" s="22"/>
      <c r="AC2110" s="23" t="s">
        <v>165</v>
      </c>
      <c r="AD2110" s="23" t="str">
        <f>IF($AC2110="","",_xlfn.XLOOKUP($AC2110,'Client Info'!$C$2:$C$2497,'Client Info'!$D$2:$D$2497,"",0,1))</f>
        <v/>
      </c>
      <c r="AE2110" s="23" t="str">
        <f>IF($AC2110="","",_xlfn.XLOOKUP($AC2110,'Client Info'!$C$2:$C$2677,'Client Info'!$E$2:$E$2677,"",))</f>
        <v/>
      </c>
      <c r="AF2110" s="23" t="str">
        <f>IF($AC2110="","",_xlfn.XLOOKUP($AC2110,'Client Info'!$C$2:$C$2677,'Client Info'!$F$2:$F$2677,"",0,1))</f>
        <v/>
      </c>
      <c r="AG2110" s="23" t="s">
        <v>55</v>
      </c>
      <c r="AH2110" s="26" t="str">
        <f>_xlfn.XLOOKUP(Table26[[#This Row],[customerSKU]],customerSKU!G:G,customerSKU!K:K,"NA",0,1)</f>
        <v>NA</v>
      </c>
      <c r="AI2110" s="43" t="str">
        <f>_xlfn.XLOOKUP(Table26[[#This Row],[customerSKU]],customerSKU!G:G,customerSKU!O:O,"not found",0,1)</f>
        <v>not found</v>
      </c>
      <c r="AJ2110" s="22" t="e">
        <f>Table26[[#This Row],[unitprice]]*Table26[[#This Row],[quantity_unit]]</f>
        <v>#VALUE!</v>
      </c>
      <c r="AK2110" s="227" t="e" cm="1">
        <f t="array" ref="AK21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0" s="227"/>
    </row>
    <row r="2111" spans="1:38" ht="15.45" customHeight="1">
      <c r="A2111" s="42">
        <v>140</v>
      </c>
      <c r="B2111" s="42" t="s">
        <v>3520</v>
      </c>
      <c r="C2111" s="53" t="s">
        <v>3427</v>
      </c>
      <c r="E2111" s="20"/>
      <c r="F21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1" s="93"/>
      <c r="I2111" s="203">
        <v>45854</v>
      </c>
      <c r="J2111" s="90" t="str">
        <f>IF(Table26[[#This Row],[customerSKU]]="","",_xlfn.XLOOKUP(Table26[[#This Row],[customerSKU]],customerSKU!G:G,customerSKU!A:A,"",0,1))</f>
        <v/>
      </c>
      <c r="K2111" s="19">
        <v>45867</v>
      </c>
      <c r="L2111" s="49" t="s">
        <v>201</v>
      </c>
      <c r="M2111" s="22"/>
      <c r="N2111" s="15" t="str">
        <f>Table26[[#This Row],[po_number]]&amp;"-"&amp;Table26[[#This Row],[po_line]]</f>
        <v>-7</v>
      </c>
      <c r="O2111" s="15">
        <v>7</v>
      </c>
      <c r="P2111" s="50"/>
      <c r="Q2111" s="22" t="s">
        <v>1309</v>
      </c>
      <c r="R2111" s="22" t="s">
        <v>532</v>
      </c>
      <c r="S2111" s="90" t="s">
        <v>21</v>
      </c>
      <c r="T2111" s="20">
        <v>45697</v>
      </c>
      <c r="U2111" s="94">
        <v>60</v>
      </c>
      <c r="V2111" s="22">
        <v>12</v>
      </c>
      <c r="W2111" s="117">
        <f t="shared" si="83"/>
        <v>5</v>
      </c>
      <c r="X2111" s="22" t="str">
        <f t="shared" si="84"/>
        <v/>
      </c>
      <c r="Y2111" s="25" t="str">
        <f>IF(Table26[[#This Row],[customerSKU]]="","",_xlfn.XLOOKUP(Table26[[#This Row],[customerSKU]],Table27[customer_SKU],Table27[product_GTIN],"",0,1))</f>
        <v/>
      </c>
      <c r="Z2111" s="25" t="s">
        <v>3625</v>
      </c>
      <c r="AA2111" s="18" t="str" cm="1">
        <f t="array" ref="AA2111">IF(P2111="", "", _xlfn.XLOOKUP(P2111,#REF!,#REF!,NA,0,-1))</f>
        <v/>
      </c>
      <c r="AB2111" s="22"/>
      <c r="AC2111" s="23" t="s">
        <v>165</v>
      </c>
      <c r="AD2111" s="23" t="str">
        <f>IF($AC2111="","",_xlfn.XLOOKUP($AC2111,'Client Info'!$C$2:$C$2497,'Client Info'!$D$2:$D$2497,"",0,1))</f>
        <v/>
      </c>
      <c r="AE2111" s="23" t="str">
        <f>IF($AC2111="","",_xlfn.XLOOKUP($AC2111,'Client Info'!$C$2:$C$2677,'Client Info'!$E$2:$E$2677,"",))</f>
        <v/>
      </c>
      <c r="AF2111" s="23" t="str">
        <f>IF($AC2111="","",_xlfn.XLOOKUP($AC2111,'Client Info'!$C$2:$C$2677,'Client Info'!$F$2:$F$2677,"",0,1))</f>
        <v/>
      </c>
      <c r="AG2111" s="23" t="s">
        <v>55</v>
      </c>
      <c r="AH2111" s="26" t="str">
        <f>_xlfn.XLOOKUP(Table26[[#This Row],[customerSKU]],customerSKU!G:G,customerSKU!K:K,"NA",0,1)</f>
        <v>NA</v>
      </c>
      <c r="AI2111" s="43" t="str">
        <f>_xlfn.XLOOKUP(Table26[[#This Row],[customerSKU]],customerSKU!G:G,customerSKU!O:O,"not found",0,1)</f>
        <v>not found</v>
      </c>
      <c r="AJ2111" s="22" t="e">
        <f>Table26[[#This Row],[unitprice]]*Table26[[#This Row],[quantity_unit]]</f>
        <v>#VALUE!</v>
      </c>
      <c r="AK2111" s="227" t="e" cm="1">
        <f t="array" ref="AK21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1" s="227"/>
    </row>
    <row r="2112" spans="1:38" ht="15.45" customHeight="1">
      <c r="A2112" s="42">
        <v>141</v>
      </c>
      <c r="B2112" s="42" t="s">
        <v>3520</v>
      </c>
      <c r="C2112" s="53" t="s">
        <v>3427</v>
      </c>
      <c r="E2112" s="20"/>
      <c r="F21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2" s="93"/>
      <c r="I2112" s="203">
        <v>45854</v>
      </c>
      <c r="J2112" s="90" t="str">
        <f>IF(Table26[[#This Row],[customerSKU]]="","",_xlfn.XLOOKUP(Table26[[#This Row],[customerSKU]],customerSKU!G:G,customerSKU!A:A,"",0,1))</f>
        <v/>
      </c>
      <c r="K2112" s="19">
        <v>45867</v>
      </c>
      <c r="L2112" s="49" t="s">
        <v>201</v>
      </c>
      <c r="M2112" s="22"/>
      <c r="N2112" s="15" t="str">
        <f>Table26[[#This Row],[po_number]]&amp;"-"&amp;Table26[[#This Row],[po_line]]</f>
        <v>-8</v>
      </c>
      <c r="O2112" s="15">
        <v>8</v>
      </c>
      <c r="P2112" s="50"/>
      <c r="Q2112" s="22" t="s">
        <v>3738</v>
      </c>
      <c r="R2112" s="22" t="s">
        <v>532</v>
      </c>
      <c r="S2112" s="90" t="s">
        <v>21</v>
      </c>
      <c r="T2112" s="20">
        <v>45859</v>
      </c>
      <c r="U2112" s="94">
        <v>84</v>
      </c>
      <c r="V2112" s="22">
        <v>12</v>
      </c>
      <c r="W2112" s="117">
        <f t="shared" si="83"/>
        <v>7</v>
      </c>
      <c r="X2112" s="22" t="str">
        <f t="shared" si="84"/>
        <v/>
      </c>
      <c r="Y2112" s="25" t="str">
        <f>IF(Table26[[#This Row],[customerSKU]]="","",_xlfn.XLOOKUP(Table26[[#This Row],[customerSKU]],Table27[customer_SKU],Table27[product_GTIN],"",0,1))</f>
        <v/>
      </c>
      <c r="Z2112" s="25" t="s">
        <v>3669</v>
      </c>
      <c r="AA2112" s="18" t="str" cm="1">
        <f t="array" ref="AA2112">IF(P2112="", "", _xlfn.XLOOKUP(P2112,#REF!,#REF!,NA,0,-1))</f>
        <v/>
      </c>
      <c r="AB2112" s="22"/>
      <c r="AC2112" s="23" t="s">
        <v>165</v>
      </c>
      <c r="AD2112" s="23" t="str">
        <f>IF($AC2112="","",_xlfn.XLOOKUP($AC2112,'Client Info'!$C$2:$C$2497,'Client Info'!$D$2:$D$2497,"",0,1))</f>
        <v/>
      </c>
      <c r="AE2112" s="23" t="str">
        <f>IF($AC2112="","",_xlfn.XLOOKUP($AC2112,'Client Info'!$C$2:$C$2677,'Client Info'!$E$2:$E$2677,"",))</f>
        <v/>
      </c>
      <c r="AF2112" s="23" t="str">
        <f>IF($AC2112="","",_xlfn.XLOOKUP($AC2112,'Client Info'!$C$2:$C$2677,'Client Info'!$F$2:$F$2677,"",0,1))</f>
        <v/>
      </c>
      <c r="AG2112" s="23" t="s">
        <v>55</v>
      </c>
      <c r="AH2112" s="26" t="str">
        <f>_xlfn.XLOOKUP(Table26[[#This Row],[customerSKU]],customerSKU!G:G,customerSKU!K:K,"NA",0,1)</f>
        <v>NA</v>
      </c>
      <c r="AI2112" s="43" t="str">
        <f>_xlfn.XLOOKUP(Table26[[#This Row],[customerSKU]],customerSKU!G:G,customerSKU!O:O,"not found",0,1)</f>
        <v>not found</v>
      </c>
      <c r="AJ2112" s="22" t="e">
        <f>Table26[[#This Row],[unitprice]]*Table26[[#This Row],[quantity_unit]]</f>
        <v>#VALUE!</v>
      </c>
      <c r="AK2112" s="227" t="e" cm="1">
        <f t="array" ref="AK21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2" s="227"/>
    </row>
    <row r="2113" spans="1:38" ht="15.45" customHeight="1">
      <c r="A2113" s="42">
        <v>142</v>
      </c>
      <c r="B2113" s="42" t="s">
        <v>3520</v>
      </c>
      <c r="C2113" s="53" t="s">
        <v>3427</v>
      </c>
      <c r="E2113" s="20"/>
      <c r="F21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3" s="93"/>
      <c r="I2113" s="203">
        <v>45854</v>
      </c>
      <c r="J2113" s="90" t="str">
        <f>IF(Table26[[#This Row],[customerSKU]]="","",_xlfn.XLOOKUP(Table26[[#This Row],[customerSKU]],customerSKU!G:G,customerSKU!A:A,"",0,1))</f>
        <v/>
      </c>
      <c r="K2113" s="19">
        <v>45867</v>
      </c>
      <c r="L2113" s="49" t="s">
        <v>201</v>
      </c>
      <c r="M2113" s="22"/>
      <c r="N2113" s="15" t="str">
        <f>Table26[[#This Row],[po_number]]&amp;"-"&amp;Table26[[#This Row],[po_line]]</f>
        <v>-9</v>
      </c>
      <c r="O2113" s="15">
        <v>9</v>
      </c>
      <c r="P2113" s="50"/>
      <c r="Q2113" s="22" t="s">
        <v>1375</v>
      </c>
      <c r="R2113" s="22" t="s">
        <v>532</v>
      </c>
      <c r="S2113" s="90" t="s">
        <v>21</v>
      </c>
      <c r="T2113" s="20">
        <v>45859</v>
      </c>
      <c r="U2113" s="94">
        <v>48</v>
      </c>
      <c r="V2113" s="22">
        <v>12</v>
      </c>
      <c r="W2113" s="117">
        <f t="shared" si="83"/>
        <v>4</v>
      </c>
      <c r="X2113" s="22" t="str">
        <f t="shared" si="84"/>
        <v/>
      </c>
      <c r="Y2113" s="25" t="str">
        <f>IF(Table26[[#This Row],[customerSKU]]="","",_xlfn.XLOOKUP(Table26[[#This Row],[customerSKU]],Table27[customer_SKU],Table27[product_GTIN],"",0,1))</f>
        <v/>
      </c>
      <c r="Z2113" s="25" t="s">
        <v>3626</v>
      </c>
      <c r="AA2113" s="18" t="str" cm="1">
        <f t="array" ref="AA2113">IF(P2113="", "", _xlfn.XLOOKUP(P2113,#REF!,#REF!,NA,0,-1))</f>
        <v/>
      </c>
      <c r="AB2113" s="22"/>
      <c r="AC2113" s="23" t="s">
        <v>165</v>
      </c>
      <c r="AD2113" s="23" t="str">
        <f>IF($AC2113="","",_xlfn.XLOOKUP($AC2113,'Client Info'!$C$2:$C$2497,'Client Info'!$D$2:$D$2497,"",0,1))</f>
        <v/>
      </c>
      <c r="AE2113" s="23" t="str">
        <f>IF($AC2113="","",_xlfn.XLOOKUP($AC2113,'Client Info'!$C$2:$C$2677,'Client Info'!$E$2:$E$2677,"",))</f>
        <v/>
      </c>
      <c r="AF2113" s="23" t="str">
        <f>IF($AC2113="","",_xlfn.XLOOKUP($AC2113,'Client Info'!$C$2:$C$2677,'Client Info'!$F$2:$F$2677,"",0,1))</f>
        <v/>
      </c>
      <c r="AG2113" s="23" t="s">
        <v>55</v>
      </c>
      <c r="AH2113" s="26" t="str">
        <f>_xlfn.XLOOKUP(Table26[[#This Row],[customerSKU]],customerSKU!G:G,customerSKU!K:K,"NA",0,1)</f>
        <v>NA</v>
      </c>
      <c r="AI2113" s="43" t="str">
        <f>_xlfn.XLOOKUP(Table26[[#This Row],[customerSKU]],customerSKU!G:G,customerSKU!O:O,"not found",0,1)</f>
        <v>not found</v>
      </c>
      <c r="AJ2113" s="22" t="e">
        <f>Table26[[#This Row],[unitprice]]*Table26[[#This Row],[quantity_unit]]</f>
        <v>#VALUE!</v>
      </c>
      <c r="AK2113" s="227" t="e" cm="1">
        <f t="array" ref="AK21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3" s="227"/>
    </row>
    <row r="2114" spans="1:38" ht="15.45" customHeight="1">
      <c r="A2114" s="42">
        <v>143</v>
      </c>
      <c r="B2114" s="42" t="s">
        <v>3520</v>
      </c>
      <c r="C2114" s="53" t="s">
        <v>3427</v>
      </c>
      <c r="E2114" s="20"/>
      <c r="F21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4" s="93"/>
      <c r="I2114" s="203">
        <v>45854</v>
      </c>
      <c r="J2114" s="90" t="str">
        <f>IF(Table26[[#This Row],[customerSKU]]="","",_xlfn.XLOOKUP(Table26[[#This Row],[customerSKU]],customerSKU!G:G,customerSKU!A:A,"",0,1))</f>
        <v/>
      </c>
      <c r="K2114" s="19">
        <v>45867</v>
      </c>
      <c r="L2114" s="49" t="s">
        <v>201</v>
      </c>
      <c r="M2114" s="22"/>
      <c r="N2114" s="15" t="str">
        <f>Table26[[#This Row],[po_number]]&amp;"-"&amp;Table26[[#This Row],[po_line]]</f>
        <v>-10</v>
      </c>
      <c r="O2114" s="15">
        <v>10</v>
      </c>
      <c r="P2114" s="50"/>
      <c r="Q2114" s="22" t="s">
        <v>622</v>
      </c>
      <c r="R2114" s="22" t="s">
        <v>532</v>
      </c>
      <c r="S2114" s="90" t="s">
        <v>21</v>
      </c>
      <c r="T2114" s="20">
        <v>45859</v>
      </c>
      <c r="U2114" s="94">
        <v>84</v>
      </c>
      <c r="V2114" s="22">
        <v>12</v>
      </c>
      <c r="W2114" s="117">
        <f t="shared" si="83"/>
        <v>7</v>
      </c>
      <c r="X2114" s="22" t="str">
        <f t="shared" si="84"/>
        <v/>
      </c>
      <c r="Y2114" s="25" t="str">
        <f>IF(Table26[[#This Row],[customerSKU]]="","",_xlfn.XLOOKUP(Table26[[#This Row],[customerSKU]],Table27[customer_SKU],Table27[product_GTIN],"",0,1))</f>
        <v/>
      </c>
      <c r="Z2114" s="25" t="s">
        <v>3654</v>
      </c>
      <c r="AA2114" s="18" t="str" cm="1">
        <f t="array" ref="AA2114">IF(P2114="", "", _xlfn.XLOOKUP(P2114,#REF!,#REF!,NA,0,-1))</f>
        <v/>
      </c>
      <c r="AB2114" s="22"/>
      <c r="AC2114" s="23" t="s">
        <v>165</v>
      </c>
      <c r="AD2114" s="23" t="str">
        <f>IF($AC2114="","",_xlfn.XLOOKUP($AC2114,'Client Info'!$C$2:$C$2497,'Client Info'!$D$2:$D$2497,"",0,1))</f>
        <v/>
      </c>
      <c r="AE2114" s="23" t="str">
        <f>IF($AC2114="","",_xlfn.XLOOKUP($AC2114,'Client Info'!$C$2:$C$2677,'Client Info'!$E$2:$E$2677,"",))</f>
        <v/>
      </c>
      <c r="AF2114" s="23" t="str">
        <f>IF($AC2114="","",_xlfn.XLOOKUP($AC2114,'Client Info'!$C$2:$C$2677,'Client Info'!$F$2:$F$2677,"",0,1))</f>
        <v/>
      </c>
      <c r="AG2114" s="23" t="s">
        <v>55</v>
      </c>
      <c r="AH2114" s="26" t="str">
        <f>_xlfn.XLOOKUP(Table26[[#This Row],[customerSKU]],customerSKU!G:G,customerSKU!K:K,"NA",0,1)</f>
        <v>NA</v>
      </c>
      <c r="AI2114" s="43" t="str">
        <f>_xlfn.XLOOKUP(Table26[[#This Row],[customerSKU]],customerSKU!G:G,customerSKU!O:O,"not found",0,1)</f>
        <v>not found</v>
      </c>
      <c r="AJ2114" s="22" t="e">
        <f>Table26[[#This Row],[unitprice]]*Table26[[#This Row],[quantity_unit]]</f>
        <v>#VALUE!</v>
      </c>
      <c r="AK2114" s="227" t="e" cm="1">
        <f t="array" ref="AK21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4" s="227"/>
    </row>
    <row r="2115" spans="1:38" ht="15.45" customHeight="1">
      <c r="A2115" s="42">
        <v>144</v>
      </c>
      <c r="B2115" s="42" t="s">
        <v>3520</v>
      </c>
      <c r="C2115" s="53" t="s">
        <v>3427</v>
      </c>
      <c r="E2115" s="20"/>
      <c r="F21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5" s="93"/>
      <c r="I2115" s="203">
        <v>45866</v>
      </c>
      <c r="J2115" s="90" t="str">
        <f>IF(Table26[[#This Row],[customerSKU]]="","",_xlfn.XLOOKUP(Table26[[#This Row],[customerSKU]],customerSKU!G:G,customerSKU!A:A,"",0,1))</f>
        <v/>
      </c>
      <c r="K2115" s="19">
        <v>45867</v>
      </c>
      <c r="L2115" s="49" t="str">
        <f>IF(Table26[[#This Row],[customerSKU]]="","",_xlfn.XLOOKUP(Table26[[#This Row],[customerSKU]],customerSKU!G:G,customerSKU!B:B,"",0,1))</f>
        <v/>
      </c>
      <c r="M2115" s="22"/>
      <c r="N2115" s="15" t="str">
        <f>Table26[[#This Row],[po_number]]&amp;"-"&amp;Table26[[#This Row],[po_line]]</f>
        <v>-1</v>
      </c>
      <c r="O2115" s="15">
        <v>1</v>
      </c>
      <c r="P2115" s="50"/>
      <c r="Q2115" s="22" t="s">
        <v>1575</v>
      </c>
      <c r="R2115" s="22" t="s">
        <v>532</v>
      </c>
      <c r="S2115" s="90" t="str">
        <f>IF(Table26[[#This Row],[customerSKU]]="","",_xlfn.XLOOKUP(Table26[[#This Row],[customerSKU]],customerSKU!G:G,customerSKU!N:N,"NOT FOUND",0,1))</f>
        <v>NOT FOUND</v>
      </c>
      <c r="T2115" s="20">
        <v>45728</v>
      </c>
      <c r="U2115" s="94">
        <v>12</v>
      </c>
      <c r="V2115" s="22" t="str">
        <f>IF(ISBLANK(Table26[[#This Row],[customerSKU]]),"",_xlfn.XLOOKUP(Table26[[#This Row],[customerSKU]],Table27[customer_SKU],Table27[case_size],"",0,1))</f>
        <v/>
      </c>
      <c r="W2115" s="117" t="str">
        <f t="shared" si="83"/>
        <v/>
      </c>
      <c r="X2115" s="22" t="str">
        <f t="shared" si="84"/>
        <v/>
      </c>
      <c r="Y2115" s="25" t="str">
        <f>IF(Table26[[#This Row],[customerSKU]]="","",_xlfn.XLOOKUP(Table26[[#This Row],[customerSKU]],Table27[customer_SKU],Table27[product_GTIN],"",0,1))</f>
        <v/>
      </c>
      <c r="Z2115" s="25" t="s">
        <v>3609</v>
      </c>
      <c r="AA2115" s="18" t="str" cm="1">
        <f t="array" ref="AA2115">IF(P2115="", "", _xlfn.XLOOKUP(P2115,#REF!,#REF!,NA,0,-1))</f>
        <v/>
      </c>
      <c r="AB2115" s="22"/>
      <c r="AC2115" s="23" t="s">
        <v>190</v>
      </c>
      <c r="AD2115" s="23" t="str">
        <f>IF($AC2115="","",_xlfn.XLOOKUP($AC2115,'Client Info'!$C$2:$C$2497,'Client Info'!$D$2:$D$2497,"",0,1))</f>
        <v/>
      </c>
      <c r="AE2115" s="23" t="str">
        <f>IF($AC2115="","",_xlfn.XLOOKUP($AC2115,'Client Info'!$C$2:$C$2677,'Client Info'!$E$2:$E$2677,"",))</f>
        <v/>
      </c>
      <c r="AF2115" s="23" t="str">
        <f>IF($AC2115="","",_xlfn.XLOOKUP($AC2115,'Client Info'!$C$2:$C$2677,'Client Info'!$F$2:$F$2677,"",0,1))</f>
        <v/>
      </c>
      <c r="AG2115" s="23" t="s">
        <v>190</v>
      </c>
      <c r="AH2115" s="26" t="str">
        <f>_xlfn.XLOOKUP(Table26[[#This Row],[customerSKU]],customerSKU!G:G,customerSKU!K:K,"NA",0,1)</f>
        <v>NA</v>
      </c>
      <c r="AI2115" s="43" t="str">
        <f>_xlfn.XLOOKUP(Table26[[#This Row],[customerSKU]],customerSKU!G:G,customerSKU!O:O,"not found",0,1)</f>
        <v>not found</v>
      </c>
      <c r="AJ2115" s="22" t="e">
        <f>Table26[[#This Row],[unitprice]]*Table26[[#This Row],[quantity_unit]]</f>
        <v>#VALUE!</v>
      </c>
      <c r="AK2115" s="227" t="e" cm="1">
        <f t="array" ref="AK21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5" s="227"/>
    </row>
    <row r="2116" spans="1:38" ht="15.45" customHeight="1">
      <c r="A2116" s="42">
        <v>145</v>
      </c>
      <c r="B2116" s="42" t="s">
        <v>3520</v>
      </c>
      <c r="C2116" s="53" t="s">
        <v>3427</v>
      </c>
      <c r="E2116" s="20"/>
      <c r="F21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6" s="93"/>
      <c r="I2116" s="203">
        <v>45866</v>
      </c>
      <c r="J2116" s="90" t="str">
        <f>IF(Table26[[#This Row],[customerSKU]]="","",_xlfn.XLOOKUP(Table26[[#This Row],[customerSKU]],customerSKU!G:G,customerSKU!A:A,"",0,1))</f>
        <v/>
      </c>
      <c r="K2116" s="19">
        <v>45867</v>
      </c>
      <c r="L2116" s="49" t="str">
        <f>IF(Table26[[#This Row],[customerSKU]]="","",_xlfn.XLOOKUP(Table26[[#This Row],[customerSKU]],customerSKU!G:G,customerSKU!B:B,"",0,1))</f>
        <v/>
      </c>
      <c r="M2116" s="22"/>
      <c r="N2116" s="15" t="str">
        <f>Table26[[#This Row],[po_number]]&amp;"-"&amp;Table26[[#This Row],[po_line]]</f>
        <v>-2</v>
      </c>
      <c r="O2116" s="15">
        <v>2</v>
      </c>
      <c r="P2116" s="50"/>
      <c r="Q2116" s="22" t="s">
        <v>589</v>
      </c>
      <c r="R2116" s="22" t="s">
        <v>532</v>
      </c>
      <c r="S2116" s="90" t="str">
        <f>IF(Table26[[#This Row],[customerSKU]]="","",_xlfn.XLOOKUP(Table26[[#This Row],[customerSKU]],customerSKU!G:G,customerSKU!N:N,"NOT FOUND",0,1))</f>
        <v>NOT FOUND</v>
      </c>
      <c r="T2116" s="20">
        <v>45581</v>
      </c>
      <c r="U2116" s="94">
        <v>24</v>
      </c>
      <c r="V2116" s="22" t="str">
        <f>IF(ISBLANK(Table26[[#This Row],[customerSKU]]),"",_xlfn.XLOOKUP(Table26[[#This Row],[customerSKU]],Table27[customer_SKU],Table27[case_size],"",0,1))</f>
        <v/>
      </c>
      <c r="W2116" s="117" t="str">
        <f t="shared" si="83"/>
        <v/>
      </c>
      <c r="X2116" s="22" t="str">
        <f t="shared" si="84"/>
        <v/>
      </c>
      <c r="Y2116" s="25" t="str">
        <f>IF(Table26[[#This Row],[customerSKU]]="","",_xlfn.XLOOKUP(Table26[[#This Row],[customerSKU]],Table27[customer_SKU],Table27[product_GTIN],"",0,1))</f>
        <v/>
      </c>
      <c r="Z2116" s="25" t="s">
        <v>3650</v>
      </c>
      <c r="AA2116" s="18" t="str" cm="1">
        <f t="array" ref="AA2116">IF(P2116="", "", _xlfn.XLOOKUP(P2116,#REF!,#REF!,NA,0,-1))</f>
        <v/>
      </c>
      <c r="AB2116" s="22"/>
      <c r="AC2116" s="23" t="s">
        <v>190</v>
      </c>
      <c r="AD2116" s="23" t="str">
        <f>IF($AC2116="","",_xlfn.XLOOKUP($AC2116,'Client Info'!$C$2:$C$2497,'Client Info'!$D$2:$D$2497,"",0,1))</f>
        <v/>
      </c>
      <c r="AE2116" s="23" t="str">
        <f>IF($AC2116="","",_xlfn.XLOOKUP($AC2116,'Client Info'!$C$2:$C$2677,'Client Info'!$E$2:$E$2677,"",))</f>
        <v/>
      </c>
      <c r="AF2116" s="23" t="str">
        <f>IF($AC2116="","",_xlfn.XLOOKUP($AC2116,'Client Info'!$C$2:$C$2677,'Client Info'!$F$2:$F$2677,"",0,1))</f>
        <v/>
      </c>
      <c r="AG2116" s="23" t="s">
        <v>190</v>
      </c>
      <c r="AH2116" s="26" t="str">
        <f>_xlfn.XLOOKUP(Table26[[#This Row],[customerSKU]],customerSKU!G:G,customerSKU!K:K,"NA",0,1)</f>
        <v>NA</v>
      </c>
      <c r="AI2116" s="43" t="str">
        <f>_xlfn.XLOOKUP(Table26[[#This Row],[customerSKU]],customerSKU!G:G,customerSKU!O:O,"not found",0,1)</f>
        <v>not found</v>
      </c>
      <c r="AJ2116" s="22" t="e">
        <f>Table26[[#This Row],[unitprice]]*Table26[[#This Row],[quantity_unit]]</f>
        <v>#VALUE!</v>
      </c>
      <c r="AK2116" s="227" t="e" cm="1">
        <f t="array" ref="AK21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6" s="227"/>
    </row>
    <row r="2117" spans="1:38" ht="15.45" customHeight="1">
      <c r="A2117" s="42">
        <v>146</v>
      </c>
      <c r="B2117" s="42" t="s">
        <v>3520</v>
      </c>
      <c r="C2117" s="53" t="s">
        <v>203</v>
      </c>
      <c r="E2117" s="20"/>
      <c r="F21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7" s="93"/>
      <c r="I2117" s="203">
        <v>45866</v>
      </c>
      <c r="J2117" s="90" t="str">
        <f>IF(Table26[[#This Row],[customerSKU]]="","",_xlfn.XLOOKUP(Table26[[#This Row],[customerSKU]],customerSKU!G:G,customerSKU!A:A,"",0,1))</f>
        <v/>
      </c>
      <c r="K2117" s="19">
        <v>45867</v>
      </c>
      <c r="L2117" s="49" t="str">
        <f>IF(Table26[[#This Row],[customerSKU]]="","",_xlfn.XLOOKUP(Table26[[#This Row],[customerSKU]],customerSKU!G:G,customerSKU!B:B,"",0,1))</f>
        <v/>
      </c>
      <c r="M2117" s="22"/>
      <c r="N2117" s="15" t="str">
        <f>Table26[[#This Row],[po_number]]&amp;"-"&amp;Table26[[#This Row],[po_line]]</f>
        <v>-3</v>
      </c>
      <c r="O2117" s="15">
        <v>3</v>
      </c>
      <c r="P2117" s="50"/>
      <c r="Q2117" s="22" t="s">
        <v>1783</v>
      </c>
      <c r="R2117" s="22" t="s">
        <v>532</v>
      </c>
      <c r="S2117" s="90" t="str">
        <f>IF(Table26[[#This Row],[customerSKU]]="","",_xlfn.XLOOKUP(Table26[[#This Row],[customerSKU]],customerSKU!G:G,customerSKU!N:N,"NOT FOUND",0,1))</f>
        <v>NOT FOUND</v>
      </c>
      <c r="T2117" s="20">
        <v>45800</v>
      </c>
      <c r="U2117" s="94">
        <v>24</v>
      </c>
      <c r="V2117" s="22" t="str">
        <f>IF(ISBLANK(Table26[[#This Row],[customerSKU]]),"",_xlfn.XLOOKUP(Table26[[#This Row],[customerSKU]],Table27[customer_SKU],Table27[case_size],"",0,1))</f>
        <v/>
      </c>
      <c r="W2117" s="117" t="str">
        <f t="shared" si="83"/>
        <v/>
      </c>
      <c r="X2117" s="22" t="str">
        <f t="shared" si="84"/>
        <v/>
      </c>
      <c r="Y2117" s="25" t="str">
        <f>IF(Table26[[#This Row],[customerSKU]]="","",_xlfn.XLOOKUP(Table26[[#This Row],[customerSKU]],Table27[customer_SKU],Table27[product_GTIN],"",0,1))</f>
        <v/>
      </c>
      <c r="Z2117" s="25" t="s">
        <v>3651</v>
      </c>
      <c r="AA2117" s="18" t="str" cm="1">
        <f t="array" ref="AA2117">IF(P2117="", "", _xlfn.XLOOKUP(P2117,#REF!,#REF!,NA,0,-1))</f>
        <v/>
      </c>
      <c r="AB2117" s="22"/>
      <c r="AC2117" s="23" t="s">
        <v>190</v>
      </c>
      <c r="AD2117" s="23" t="str">
        <f>IF($AC2117="","",_xlfn.XLOOKUP($AC2117,'Client Info'!$C$2:$C$2497,'Client Info'!$D$2:$D$2497,"",0,1))</f>
        <v/>
      </c>
      <c r="AE2117" s="23" t="str">
        <f>IF($AC2117="","",_xlfn.XLOOKUP($AC2117,'Client Info'!$C$2:$C$2677,'Client Info'!$E$2:$E$2677,"",))</f>
        <v/>
      </c>
      <c r="AF2117" s="23" t="str">
        <f>IF($AC2117="","",_xlfn.XLOOKUP($AC2117,'Client Info'!$C$2:$C$2677,'Client Info'!$F$2:$F$2677,"",0,1))</f>
        <v/>
      </c>
      <c r="AG2117" s="23" t="s">
        <v>190</v>
      </c>
      <c r="AH2117" s="26" t="str">
        <f>_xlfn.XLOOKUP(Table26[[#This Row],[customerSKU]],customerSKU!G:G,customerSKU!K:K,"NA",0,1)</f>
        <v>NA</v>
      </c>
      <c r="AI2117" s="43" t="str">
        <f>_xlfn.XLOOKUP(Table26[[#This Row],[customerSKU]],customerSKU!G:G,customerSKU!O:O,"not found",0,1)</f>
        <v>not found</v>
      </c>
      <c r="AJ2117" s="22" t="e">
        <f>Table26[[#This Row],[unitprice]]*Table26[[#This Row],[quantity_unit]]</f>
        <v>#VALUE!</v>
      </c>
      <c r="AK2117" s="227" t="e" cm="1">
        <f t="array" ref="AK21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7" s="227"/>
    </row>
    <row r="2118" spans="1:38" ht="15.45" customHeight="1">
      <c r="A2118" s="42">
        <v>147</v>
      </c>
      <c r="B2118" s="42" t="s">
        <v>3520</v>
      </c>
      <c r="C2118" s="53" t="s">
        <v>3427</v>
      </c>
      <c r="E2118" s="20"/>
      <c r="F21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8" s="93"/>
      <c r="I2118" s="203">
        <v>45866</v>
      </c>
      <c r="J2118" s="90" t="str">
        <f>IF(Table26[[#This Row],[customerSKU]]="","",_xlfn.XLOOKUP(Table26[[#This Row],[customerSKU]],customerSKU!G:G,customerSKU!A:A,"",0,1))</f>
        <v/>
      </c>
      <c r="K2118" s="19">
        <v>45867</v>
      </c>
      <c r="L2118" s="49" t="str">
        <f>IF(Table26[[#This Row],[customerSKU]]="","",_xlfn.XLOOKUP(Table26[[#This Row],[customerSKU]],customerSKU!G:G,customerSKU!B:B,"",0,1))</f>
        <v/>
      </c>
      <c r="M2118" s="22"/>
      <c r="N2118" s="15" t="str">
        <f>Table26[[#This Row],[po_number]]&amp;"-"&amp;Table26[[#This Row],[po_line]]</f>
        <v>-4</v>
      </c>
      <c r="O2118" s="15">
        <v>4</v>
      </c>
      <c r="P2118" s="50"/>
      <c r="Q2118" s="22" t="s">
        <v>1312</v>
      </c>
      <c r="R2118" s="22" t="s">
        <v>532</v>
      </c>
      <c r="S2118" s="90" t="str">
        <f>IF(Table26[[#This Row],[customerSKU]]="","",_xlfn.XLOOKUP(Table26[[#This Row],[customerSKU]],customerSKU!G:G,customerSKU!N:N,"NOT FOUND",0,1))</f>
        <v>NOT FOUND</v>
      </c>
      <c r="T2118" s="20">
        <v>45854</v>
      </c>
      <c r="U2118" s="94">
        <v>24</v>
      </c>
      <c r="V2118" s="22" t="str">
        <f>IF(ISBLANK(Table26[[#This Row],[customerSKU]]),"",_xlfn.XLOOKUP(Table26[[#This Row],[customerSKU]],Table27[customer_SKU],Table27[case_size],"",0,1))</f>
        <v/>
      </c>
      <c r="W2118" s="117" t="str">
        <f t="shared" si="83"/>
        <v/>
      </c>
      <c r="X2118" s="22" t="str">
        <f t="shared" si="84"/>
        <v/>
      </c>
      <c r="Y2118" s="25" t="str">
        <f>IF(Table26[[#This Row],[customerSKU]]="","",_xlfn.XLOOKUP(Table26[[#This Row],[customerSKU]],Table27[customer_SKU],Table27[product_GTIN],"",0,1))</f>
        <v/>
      </c>
      <c r="Z2118" s="25" t="s">
        <v>3605</v>
      </c>
      <c r="AA2118" s="18" t="str" cm="1">
        <f t="array" ref="AA2118">IF(P2118="", "", _xlfn.XLOOKUP(P2118,#REF!,#REF!,NA,0,-1))</f>
        <v/>
      </c>
      <c r="AB2118" s="22"/>
      <c r="AC2118" s="23" t="s">
        <v>190</v>
      </c>
      <c r="AD2118" s="23" t="str">
        <f>IF($AC2118="","",_xlfn.XLOOKUP($AC2118,'Client Info'!$C$2:$C$2497,'Client Info'!$D$2:$D$2497,"",0,1))</f>
        <v/>
      </c>
      <c r="AE2118" s="23" t="str">
        <f>IF($AC2118="","",_xlfn.XLOOKUP($AC2118,'Client Info'!$C$2:$C$2677,'Client Info'!$E$2:$E$2677,"",))</f>
        <v/>
      </c>
      <c r="AF2118" s="23" t="str">
        <f>IF($AC2118="","",_xlfn.XLOOKUP($AC2118,'Client Info'!$C$2:$C$2677,'Client Info'!$F$2:$F$2677,"",0,1))</f>
        <v/>
      </c>
      <c r="AG2118" s="23" t="s">
        <v>190</v>
      </c>
      <c r="AH2118" s="26" t="str">
        <f>_xlfn.XLOOKUP(Table26[[#This Row],[customerSKU]],customerSKU!G:G,customerSKU!K:K,"NA",0,1)</f>
        <v>NA</v>
      </c>
      <c r="AI2118" s="43" t="str">
        <f>_xlfn.XLOOKUP(Table26[[#This Row],[customerSKU]],customerSKU!G:G,customerSKU!O:O,"not found",0,1)</f>
        <v>not found</v>
      </c>
      <c r="AJ2118" s="22" t="e">
        <f>Table26[[#This Row],[unitprice]]*Table26[[#This Row],[quantity_unit]]</f>
        <v>#VALUE!</v>
      </c>
      <c r="AK2118" s="227" t="e" cm="1">
        <f t="array" ref="AK21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8" s="227"/>
    </row>
    <row r="2119" spans="1:38" ht="15.45" customHeight="1">
      <c r="A2119" s="42">
        <v>148</v>
      </c>
      <c r="B2119" s="42" t="s">
        <v>3520</v>
      </c>
      <c r="C2119" s="53" t="s">
        <v>3427</v>
      </c>
      <c r="E2119" s="20"/>
      <c r="F21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19" s="93"/>
      <c r="I2119" s="203">
        <v>45866</v>
      </c>
      <c r="J2119" s="90" t="str">
        <f>IF(Table26[[#This Row],[customerSKU]]="","",_xlfn.XLOOKUP(Table26[[#This Row],[customerSKU]],customerSKU!G:G,customerSKU!A:A,"",0,1))</f>
        <v/>
      </c>
      <c r="K2119" s="19">
        <v>45867</v>
      </c>
      <c r="L2119" s="49" t="str">
        <f>IF(Table26[[#This Row],[customerSKU]]="","",_xlfn.XLOOKUP(Table26[[#This Row],[customerSKU]],customerSKU!G:G,customerSKU!B:B,"",0,1))</f>
        <v/>
      </c>
      <c r="M2119" s="22"/>
      <c r="N2119" s="15" t="str">
        <f>Table26[[#This Row],[po_number]]&amp;"-"&amp;Table26[[#This Row],[po_line]]</f>
        <v>-5</v>
      </c>
      <c r="O2119" s="15">
        <v>5</v>
      </c>
      <c r="P2119" s="50"/>
      <c r="Q2119" s="22" t="s">
        <v>574</v>
      </c>
      <c r="R2119" s="22" t="s">
        <v>532</v>
      </c>
      <c r="S2119" s="90" t="str">
        <f>IF(Table26[[#This Row],[customerSKU]]="","",_xlfn.XLOOKUP(Table26[[#This Row],[customerSKU]],customerSKU!G:G,customerSKU!N:N,"NOT FOUND",0,1))</f>
        <v>NOT FOUND</v>
      </c>
      <c r="T2119" s="20">
        <v>45848</v>
      </c>
      <c r="U2119" s="94">
        <v>12</v>
      </c>
      <c r="V2119" s="22" t="str">
        <f>IF(ISBLANK(Table26[[#This Row],[customerSKU]]),"",_xlfn.XLOOKUP(Table26[[#This Row],[customerSKU]],Table27[customer_SKU],Table27[case_size],"",0,1))</f>
        <v/>
      </c>
      <c r="W2119" s="117" t="str">
        <f t="shared" si="83"/>
        <v/>
      </c>
      <c r="X2119" s="22" t="str">
        <f t="shared" si="84"/>
        <v/>
      </c>
      <c r="Y2119" s="25" t="str">
        <f>IF(Table26[[#This Row],[customerSKU]]="","",_xlfn.XLOOKUP(Table26[[#This Row],[customerSKU]],Table27[customer_SKU],Table27[product_GTIN],"",0,1))</f>
        <v/>
      </c>
      <c r="Z2119" s="25" t="s">
        <v>3530</v>
      </c>
      <c r="AA2119" s="18" t="str" cm="1">
        <f t="array" ref="AA2119">IF(P2119="", "", _xlfn.XLOOKUP(P2119,#REF!,#REF!,NA,0,-1))</f>
        <v/>
      </c>
      <c r="AB2119" s="22"/>
      <c r="AC2119" s="23" t="s">
        <v>190</v>
      </c>
      <c r="AD2119" s="23" t="str">
        <f>IF($AC2119="","",_xlfn.XLOOKUP($AC2119,'Client Info'!$C$2:$C$2497,'Client Info'!$D$2:$D$2497,"",0,1))</f>
        <v/>
      </c>
      <c r="AE2119" s="23" t="str">
        <f>IF($AC2119="","",_xlfn.XLOOKUP($AC2119,'Client Info'!$C$2:$C$2677,'Client Info'!$E$2:$E$2677,"",))</f>
        <v/>
      </c>
      <c r="AF2119" s="23" t="str">
        <f>IF($AC2119="","",_xlfn.XLOOKUP($AC2119,'Client Info'!$C$2:$C$2677,'Client Info'!$F$2:$F$2677,"",0,1))</f>
        <v/>
      </c>
      <c r="AG2119" s="23" t="s">
        <v>190</v>
      </c>
      <c r="AH2119" s="26" t="str">
        <f>_xlfn.XLOOKUP(Table26[[#This Row],[customerSKU]],customerSKU!G:G,customerSKU!K:K,"NA",0,1)</f>
        <v>NA</v>
      </c>
      <c r="AI2119" s="43" t="str">
        <f>_xlfn.XLOOKUP(Table26[[#This Row],[customerSKU]],customerSKU!G:G,customerSKU!O:O,"not found",0,1)</f>
        <v>not found</v>
      </c>
      <c r="AJ2119" s="22" t="e">
        <f>Table26[[#This Row],[unitprice]]*Table26[[#This Row],[quantity_unit]]</f>
        <v>#VALUE!</v>
      </c>
      <c r="AK2119" s="227" t="e" cm="1">
        <f t="array" ref="AK21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19" s="227"/>
    </row>
    <row r="2120" spans="1:38" ht="15.45" customHeight="1">
      <c r="A2120" s="42">
        <v>149</v>
      </c>
      <c r="B2120" s="42" t="s">
        <v>3520</v>
      </c>
      <c r="C2120" s="53" t="s">
        <v>3427</v>
      </c>
      <c r="E2120" s="20"/>
      <c r="F21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0" s="93"/>
      <c r="I2120" s="203">
        <v>45866</v>
      </c>
      <c r="J2120" s="90" t="str">
        <f>IF(Table26[[#This Row],[customerSKU]]="","",_xlfn.XLOOKUP(Table26[[#This Row],[customerSKU]],customerSKU!G:G,customerSKU!A:A,"",0,1))</f>
        <v/>
      </c>
      <c r="K2120" s="19">
        <v>45867</v>
      </c>
      <c r="L2120" s="49" t="str">
        <f>IF(Table26[[#This Row],[customerSKU]]="","",_xlfn.XLOOKUP(Table26[[#This Row],[customerSKU]],customerSKU!G:G,customerSKU!B:B,"",0,1))</f>
        <v/>
      </c>
      <c r="M2120" s="22"/>
      <c r="N2120" s="15" t="str">
        <f>Table26[[#This Row],[po_number]]&amp;"-"&amp;Table26[[#This Row],[po_line]]</f>
        <v>-6</v>
      </c>
      <c r="O2120" s="15">
        <v>6</v>
      </c>
      <c r="P2120" s="50"/>
      <c r="Q2120" s="24" t="s">
        <v>1825</v>
      </c>
      <c r="R2120" s="22" t="s">
        <v>532</v>
      </c>
      <c r="S2120" s="90" t="str">
        <f>IF(Table26[[#This Row],[customerSKU]]="","",_xlfn.XLOOKUP(Table26[[#This Row],[customerSKU]],customerSKU!G:G,customerSKU!N:N,"NOT FOUND",0,1))</f>
        <v>NOT FOUND</v>
      </c>
      <c r="T2120" s="20">
        <v>45833</v>
      </c>
      <c r="U2120" s="94">
        <v>12</v>
      </c>
      <c r="V2120" s="22" t="str">
        <f>IF(ISBLANK(Table26[[#This Row],[customerSKU]]),"",_xlfn.XLOOKUP(Table26[[#This Row],[customerSKU]],Table27[customer_SKU],Table27[case_size],"",0,1))</f>
        <v/>
      </c>
      <c r="W2120" s="117" t="str">
        <f t="shared" si="83"/>
        <v/>
      </c>
      <c r="X2120" s="22" t="str">
        <f t="shared" si="84"/>
        <v/>
      </c>
      <c r="Y2120" s="25" t="str">
        <f>IF(Table26[[#This Row],[customerSKU]]="","",_xlfn.XLOOKUP(Table26[[#This Row],[customerSKU]],Table27[customer_SKU],Table27[product_GTIN],"",0,1))</f>
        <v/>
      </c>
      <c r="Z2120" s="25" t="s">
        <v>3693</v>
      </c>
      <c r="AA2120" s="18" t="str" cm="1">
        <f t="array" ref="AA2120">IF(P2120="", "", _xlfn.XLOOKUP(P2120,#REF!,#REF!,NA,0,-1))</f>
        <v/>
      </c>
      <c r="AB2120" s="22"/>
      <c r="AC2120" s="23" t="s">
        <v>190</v>
      </c>
      <c r="AD2120" s="23" t="str">
        <f>IF($AC2120="","",_xlfn.XLOOKUP($AC2120,'Client Info'!$C$2:$C$2497,'Client Info'!$D$2:$D$2497,"",0,1))</f>
        <v/>
      </c>
      <c r="AE2120" s="23" t="str">
        <f>IF($AC2120="","",_xlfn.XLOOKUP($AC2120,'Client Info'!$C$2:$C$2677,'Client Info'!$E$2:$E$2677,"",))</f>
        <v/>
      </c>
      <c r="AF2120" s="23" t="str">
        <f>IF($AC2120="","",_xlfn.XLOOKUP($AC2120,'Client Info'!$C$2:$C$2677,'Client Info'!$F$2:$F$2677,"",0,1))</f>
        <v/>
      </c>
      <c r="AG2120" s="23" t="s">
        <v>190</v>
      </c>
      <c r="AH2120" s="26" t="str">
        <f>_xlfn.XLOOKUP(Table26[[#This Row],[customerSKU]],customerSKU!G:G,customerSKU!K:K,"NA",0,1)</f>
        <v>NA</v>
      </c>
      <c r="AI2120" s="43" t="str">
        <f>_xlfn.XLOOKUP(Table26[[#This Row],[customerSKU]],customerSKU!G:G,customerSKU!O:O,"not found",0,1)</f>
        <v>not found</v>
      </c>
      <c r="AJ2120" s="22" t="e">
        <f>Table26[[#This Row],[unitprice]]*Table26[[#This Row],[quantity_unit]]</f>
        <v>#VALUE!</v>
      </c>
      <c r="AK2120" s="227" t="e" cm="1">
        <f t="array" ref="AK21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0" s="227"/>
    </row>
    <row r="2121" spans="1:38" ht="15.45" customHeight="1">
      <c r="A2121" s="42">
        <v>150</v>
      </c>
      <c r="B2121" s="42" t="s">
        <v>3520</v>
      </c>
      <c r="C2121" s="53" t="s">
        <v>3488</v>
      </c>
      <c r="E2121" s="20"/>
      <c r="F21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1" s="93"/>
      <c r="I2121" s="203">
        <v>45867</v>
      </c>
      <c r="J2121" s="90" t="str">
        <f>IF(Table26[[#This Row],[customerSKU]]="","",_xlfn.XLOOKUP(Table26[[#This Row],[customerSKU]],customerSKU!G:G,customerSKU!A:A,"",0,1))</f>
        <v/>
      </c>
      <c r="K2121" s="19">
        <v>45867</v>
      </c>
      <c r="L2121" s="49" t="str">
        <f>IF(Table26[[#This Row],[customerSKU]]="","",_xlfn.XLOOKUP(Table26[[#This Row],[customerSKU]],customerSKU!G:G,customerSKU!B:B,"",0,1))</f>
        <v/>
      </c>
      <c r="M2121" s="22"/>
      <c r="N2121" s="15" t="str">
        <f>Table26[[#This Row],[po_number]]&amp;"-"&amp;Table26[[#This Row],[po_line]]</f>
        <v>-1</v>
      </c>
      <c r="O2121" s="15">
        <v>1</v>
      </c>
      <c r="P2121" s="50"/>
      <c r="Q2121" s="22" t="s">
        <v>3750</v>
      </c>
      <c r="R2121" s="22" t="s">
        <v>221</v>
      </c>
      <c r="S2121" s="90" t="str">
        <f>IF(Table26[[#This Row],[customerSKU]]="","",_xlfn.XLOOKUP(Table26[[#This Row],[customerSKU]],customerSKU!G:G,customerSKU!N:N,"NOT FOUND",0,1))</f>
        <v>NOT FOUND</v>
      </c>
      <c r="T2121" s="20">
        <v>45709</v>
      </c>
      <c r="U2121" s="94">
        <v>240</v>
      </c>
      <c r="V2121" s="22" t="str">
        <f>IF(ISBLANK(Table26[[#This Row],[customerSKU]]),"",_xlfn.XLOOKUP(Table26[[#This Row],[customerSKU]],Table27[customer_SKU],Table27[case_size],"",0,1))</f>
        <v/>
      </c>
      <c r="W2121" s="117" t="str">
        <f t="shared" si="83"/>
        <v/>
      </c>
      <c r="X2121" s="22" t="str">
        <f t="shared" ref="X2121:X2142" si="85">IFERROR($AA2121*$U2121, "")</f>
        <v/>
      </c>
      <c r="Y2121" s="25" t="str">
        <f>IF(Table26[[#This Row],[customerSKU]]="","",_xlfn.XLOOKUP(Table26[[#This Row],[customerSKU]],Table27[customer_SKU],Table27[product_GTIN],"",0,1))</f>
        <v/>
      </c>
      <c r="Z2121" s="25" t="s">
        <v>3689</v>
      </c>
      <c r="AA2121" s="18" t="str" cm="1">
        <f t="array" ref="AA2121">IF(P2121="", "", _xlfn.XLOOKUP(P2121,#REF!,#REF!,NA,0,-1))</f>
        <v/>
      </c>
      <c r="AB2121" s="22"/>
      <c r="AC2121" s="23" t="str">
        <f>IF(Table26[[#This Row],[customerSKU]]="","",_xlfn.XLOOKUP(Table26[[#This Row],[customerSKU]],customerSKU!G:G,customerSKU!C:C,"",0,1))</f>
        <v/>
      </c>
      <c r="AD2121" s="23" t="str">
        <f>IF($AC2121="","",_xlfn.XLOOKUP($AC2121,'Client Info'!$C$2:$C$2497,'Client Info'!$D$2:$D$2497,"",0,1))</f>
        <v/>
      </c>
      <c r="AE2121" s="23" t="str">
        <f>IF($AC2121="","",_xlfn.XLOOKUP($AC2121,'Client Info'!$C$2:$C$2677,'Client Info'!$E$2:$E$2677,"",))</f>
        <v/>
      </c>
      <c r="AF2121" s="23" t="str">
        <f>IF($AC2121="","",_xlfn.XLOOKUP($AC2121,'Client Info'!$C$2:$C$2677,'Client Info'!$F$2:$F$2677,"",0,1))</f>
        <v/>
      </c>
      <c r="AG2121" s="23" t="str">
        <f>IF(ISBLANK(Table26[[#This Row],[customerSKU]]),"",_xlfn.XLOOKUP(Table26[[#This Row],[customerSKU]],Table27[customer_SKU],Table27[billto],"",0,1))</f>
        <v/>
      </c>
      <c r="AH2121" s="26" t="str">
        <f>_xlfn.XLOOKUP(Table26[[#This Row],[customerSKU]],customerSKU!G:G,customerSKU!K:K,"NA",0,1)</f>
        <v>NA</v>
      </c>
      <c r="AI2121" s="43" t="str">
        <f>_xlfn.XLOOKUP(Table26[[#This Row],[customerSKU]],customerSKU!G:G,customerSKU!O:O,"not found",0,1)</f>
        <v>not found</v>
      </c>
      <c r="AJ2121" s="22" t="e">
        <f>Table26[[#This Row],[unitprice]]*Table26[[#This Row],[quantity_unit]]</f>
        <v>#VALUE!</v>
      </c>
      <c r="AK2121" s="227" t="e" cm="1">
        <f t="array" ref="AK21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1" s="227"/>
    </row>
    <row r="2122" spans="1:38" ht="15.45" customHeight="1">
      <c r="A2122" s="42">
        <v>124</v>
      </c>
      <c r="B2122" s="42" t="s">
        <v>3520</v>
      </c>
      <c r="C2122" s="53" t="s">
        <v>203</v>
      </c>
      <c r="D2122" s="19">
        <v>45868</v>
      </c>
      <c r="E2122" s="20"/>
      <c r="F21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2" s="93"/>
      <c r="I2122" s="203">
        <v>45861</v>
      </c>
      <c r="J2122" s="90" t="str">
        <f>IF(Table26[[#This Row],[customerSKU]]="","",_xlfn.XLOOKUP(Table26[[#This Row],[customerSKU]],customerSKU!G:G,customerSKU!A:A,"",0,1))</f>
        <v/>
      </c>
      <c r="K2122" s="19">
        <v>45868</v>
      </c>
      <c r="L2122" s="49" t="str">
        <f>IF(Table26[[#This Row],[customerSKU]]="","",_xlfn.XLOOKUP(Table26[[#This Row],[customerSKU]],customerSKU!G:G,customerSKU!B:B,"",0,1))</f>
        <v/>
      </c>
      <c r="M2122" s="22"/>
      <c r="N2122" s="15" t="str">
        <f>Table26[[#This Row],[po_number]]&amp;"-"&amp;Table26[[#This Row],[po_line]]</f>
        <v>-1</v>
      </c>
      <c r="O2122" s="15">
        <v>1</v>
      </c>
      <c r="P2122" s="50"/>
      <c r="Q2122" s="22" t="s">
        <v>3744</v>
      </c>
      <c r="R2122" s="22" t="s">
        <v>221</v>
      </c>
      <c r="S2122" s="90" t="str">
        <f>IF(Table26[[#This Row],[customerSKU]]="","",_xlfn.XLOOKUP(Table26[[#This Row],[customerSKU]],customerSKU!G:G,customerSKU!N:N,"NOT FOUND",0,1))</f>
        <v>NOT FOUND</v>
      </c>
      <c r="T2122" s="20">
        <v>45865</v>
      </c>
      <c r="U2122" s="94">
        <v>600</v>
      </c>
      <c r="V2122" s="22" t="str">
        <f>IF(ISBLANK(Table26[[#This Row],[customerSKU]]),"",_xlfn.XLOOKUP(Table26[[#This Row],[customerSKU]],Table27[customer_SKU],Table27[case_size],"",0,1))</f>
        <v/>
      </c>
      <c r="W2122" s="117" t="str">
        <f t="shared" si="83"/>
        <v/>
      </c>
      <c r="X2122" s="22" t="str">
        <f t="shared" si="85"/>
        <v/>
      </c>
      <c r="Y2122" s="25" t="str">
        <f>IF(Table26[[#This Row],[customerSKU]]="","",_xlfn.XLOOKUP(Table26[[#This Row],[customerSKU]],Table27[customer_SKU],Table27[product_GTIN],"",0,1))</f>
        <v/>
      </c>
      <c r="Z2122" s="25" t="s">
        <v>3745</v>
      </c>
      <c r="AA2122" s="18" t="str" cm="1">
        <f t="array" ref="AA2122">IF(P2122="", "", _xlfn.XLOOKUP(P2122,#REF!,#REF!,NA,0,-1))</f>
        <v/>
      </c>
      <c r="AB2122" s="22"/>
      <c r="AC2122" s="23" t="str">
        <f>IF(Table26[[#This Row],[customerSKU]]="","",_xlfn.XLOOKUP(Table26[[#This Row],[customerSKU]],customerSKU!G:G,customerSKU!C:C,"",0,1))</f>
        <v/>
      </c>
      <c r="AD2122" s="23" t="str">
        <f>IF($AC2122="","",_xlfn.XLOOKUP($AC2122,'Client Info'!$C$2:$C$2497,'Client Info'!$D$2:$D$2497,"",0,1))</f>
        <v/>
      </c>
      <c r="AE2122" s="23" t="str">
        <f>IF($AC2122="","",_xlfn.XLOOKUP($AC2122,'Client Info'!$C$2:$C$2677,'Client Info'!$E$2:$E$2677,"",))</f>
        <v/>
      </c>
      <c r="AF2122" s="23" t="str">
        <f>IF($AC2122="","",_xlfn.XLOOKUP($AC2122,'Client Info'!$C$2:$C$2677,'Client Info'!$F$2:$F$2677,"",0,1))</f>
        <v/>
      </c>
      <c r="AG2122" s="23" t="str">
        <f>IF(ISBLANK(Table26[[#This Row],[customerSKU]]),"",_xlfn.XLOOKUP(Table26[[#This Row],[customerSKU]],Table27[customer_SKU],Table27[billto],"",0,1))</f>
        <v/>
      </c>
      <c r="AH2122" s="26" t="str">
        <f>_xlfn.XLOOKUP(Table26[[#This Row],[customerSKU]],customerSKU!G:G,customerSKU!K:K,"NA",0,1)</f>
        <v>NA</v>
      </c>
      <c r="AI2122" s="43" t="str">
        <f>_xlfn.XLOOKUP(Table26[[#This Row],[customerSKU]],customerSKU!G:G,customerSKU!O:O,"not found",0,1)</f>
        <v>not found</v>
      </c>
      <c r="AJ2122" s="22" t="e">
        <f>Table26[[#This Row],[unitprice]]*Table26[[#This Row],[quantity_unit]]</f>
        <v>#VALUE!</v>
      </c>
      <c r="AK2122" s="227" t="e" cm="1">
        <f t="array" ref="AK21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2" s="227"/>
    </row>
    <row r="2123" spans="1:38" ht="15.45" customHeight="1">
      <c r="A2123" s="42">
        <v>125</v>
      </c>
      <c r="B2123" s="42" t="s">
        <v>3520</v>
      </c>
      <c r="C2123" s="53" t="s">
        <v>203</v>
      </c>
      <c r="D2123" s="19">
        <v>45867</v>
      </c>
      <c r="E2123" s="20"/>
      <c r="F21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3" s="93"/>
      <c r="I2123" s="203">
        <v>45867</v>
      </c>
      <c r="J2123" s="90" t="str">
        <f>IF(Table26[[#This Row],[customerSKU]]="","",_xlfn.XLOOKUP(Table26[[#This Row],[customerSKU]],customerSKU!G:G,customerSKU!A:A,"",0,1))</f>
        <v/>
      </c>
      <c r="K2123" s="19">
        <v>45868</v>
      </c>
      <c r="L2123" s="49" t="str">
        <f>IF(Table26[[#This Row],[customerSKU]]="","",_xlfn.XLOOKUP(Table26[[#This Row],[customerSKU]],customerSKU!G:G,customerSKU!B:B,"",0,1))</f>
        <v/>
      </c>
      <c r="M2123" s="22"/>
      <c r="N2123" s="15" t="str">
        <f>Table26[[#This Row],[po_number]]&amp;"-"&amp;Table26[[#This Row],[po_line]]</f>
        <v>-1</v>
      </c>
      <c r="O2123" s="15">
        <v>1</v>
      </c>
      <c r="P2123" s="50"/>
      <c r="Q2123" s="22">
        <v>2021042701</v>
      </c>
      <c r="R2123" s="22" t="s">
        <v>221</v>
      </c>
      <c r="S2123" s="90" t="str">
        <f>IF(Table26[[#This Row],[customerSKU]]="","",_xlfn.XLOOKUP(Table26[[#This Row],[customerSKU]],customerSKU!G:G,customerSKU!N:N,"NOT FOUND",0,1))</f>
        <v>NOT FOUND</v>
      </c>
      <c r="T2123" s="20">
        <v>45868</v>
      </c>
      <c r="U2123" s="94">
        <v>24</v>
      </c>
      <c r="V2123" s="22" t="str">
        <f>IF(ISBLANK(Table26[[#This Row],[customerSKU]]),"",_xlfn.XLOOKUP(Table26[[#This Row],[customerSKU]],Table27[customer_SKU],Table27[case_size],"",0,1))</f>
        <v/>
      </c>
      <c r="W2123" s="117" t="str">
        <f t="shared" ref="W2123:W2142" si="86">IFERROR(U2123/V2123, "")</f>
        <v/>
      </c>
      <c r="X2123" s="22" t="str">
        <f t="shared" si="85"/>
        <v/>
      </c>
      <c r="Y2123" s="25" t="str">
        <f>IF(Table26[[#This Row],[customerSKU]]="","",_xlfn.XLOOKUP(Table26[[#This Row],[customerSKU]],Table27[customer_SKU],Table27[product_GTIN],"",0,1))</f>
        <v/>
      </c>
      <c r="Z2123" s="25" t="s">
        <v>3550</v>
      </c>
      <c r="AA2123" s="18" t="str" cm="1">
        <f t="array" ref="AA2123">IF(P2123="", "", _xlfn.XLOOKUP(P2123,#REF!,#REF!,NA,0,-1))</f>
        <v/>
      </c>
      <c r="AB2123" s="22"/>
      <c r="AC2123" s="23" t="s">
        <v>3604</v>
      </c>
      <c r="AD2123" s="23" t="str">
        <f>IF($AC2123="","",_xlfn.XLOOKUP($AC2123,'Client Info'!$C$2:$C$2497,'Client Info'!$D$2:$D$2497,"",0,1))</f>
        <v/>
      </c>
      <c r="AE2123" s="23" t="str">
        <f>IF($AC2123="","",_xlfn.XLOOKUP($AC2123,'Client Info'!$C$2:$C$2677,'Client Info'!$E$2:$E$2677,"",))</f>
        <v/>
      </c>
      <c r="AF2123" s="23" t="str">
        <f>IF($AC2123="","",_xlfn.XLOOKUP($AC2123,'Client Info'!$C$2:$C$2677,'Client Info'!$F$2:$F$2677,"",0,1))</f>
        <v/>
      </c>
      <c r="AG2123" s="23" t="s">
        <v>3604</v>
      </c>
      <c r="AH2123" s="26" t="str">
        <f>_xlfn.XLOOKUP(Table26[[#This Row],[customerSKU]],customerSKU!G:G,customerSKU!K:K,"NA",0,1)</f>
        <v>NA</v>
      </c>
      <c r="AI2123" s="43" t="str">
        <f>_xlfn.XLOOKUP(Table26[[#This Row],[customerSKU]],customerSKU!G:G,customerSKU!O:O,"not found",0,1)</f>
        <v>not found</v>
      </c>
      <c r="AJ2123" s="22" t="e">
        <f>Table26[[#This Row],[unitprice]]*Table26[[#This Row],[quantity_unit]]</f>
        <v>#VALUE!</v>
      </c>
      <c r="AK2123" s="227" t="e" cm="1">
        <f t="array" ref="AK21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3" s="227"/>
    </row>
    <row r="2124" spans="1:38" ht="15.45" customHeight="1">
      <c r="A2124" s="42">
        <v>126</v>
      </c>
      <c r="B2124" s="42" t="s">
        <v>3520</v>
      </c>
      <c r="C2124" s="53" t="s">
        <v>203</v>
      </c>
      <c r="D2124" s="19">
        <v>45867</v>
      </c>
      <c r="E2124" s="20"/>
      <c r="F21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4" s="93"/>
      <c r="I2124" s="203">
        <v>45867</v>
      </c>
      <c r="J2124" s="90" t="str">
        <f>IF(Table26[[#This Row],[customerSKU]]="","",_xlfn.XLOOKUP(Table26[[#This Row],[customerSKU]],customerSKU!G:G,customerSKU!A:A,"",0,1))</f>
        <v/>
      </c>
      <c r="K2124" s="19">
        <v>45868</v>
      </c>
      <c r="L2124" s="49" t="str">
        <f>IF(Table26[[#This Row],[customerSKU]]="","",_xlfn.XLOOKUP(Table26[[#This Row],[customerSKU]],customerSKU!G:G,customerSKU!B:B,"",0,1))</f>
        <v/>
      </c>
      <c r="M2124" s="22"/>
      <c r="N2124" s="15" t="str">
        <f>Table26[[#This Row],[po_number]]&amp;"-"&amp;Table26[[#This Row],[po_line]]</f>
        <v>-2</v>
      </c>
      <c r="O2124" s="15">
        <v>2</v>
      </c>
      <c r="P2124" s="50"/>
      <c r="Q2124" s="22" t="s">
        <v>3284</v>
      </c>
      <c r="R2124" s="22" t="s">
        <v>221</v>
      </c>
      <c r="S2124" s="90" t="str">
        <f>IF(Table26[[#This Row],[customerSKU]]="","",_xlfn.XLOOKUP(Table26[[#This Row],[customerSKU]],customerSKU!G:G,customerSKU!N:N,"NOT FOUND",0,1))</f>
        <v>NOT FOUND</v>
      </c>
      <c r="T2124" s="20">
        <v>45849</v>
      </c>
      <c r="U2124" s="94">
        <v>24</v>
      </c>
      <c r="V2124" s="22" t="str">
        <f>IF(ISBLANK(Table26[[#This Row],[customerSKU]]),"",_xlfn.XLOOKUP(Table26[[#This Row],[customerSKU]],Table27[customer_SKU],Table27[case_size],"",0,1))</f>
        <v/>
      </c>
      <c r="W2124" s="117" t="str">
        <f t="shared" si="86"/>
        <v/>
      </c>
      <c r="X2124" s="22" t="str">
        <f t="shared" si="85"/>
        <v/>
      </c>
      <c r="Y2124" s="25" t="str">
        <f>IF(Table26[[#This Row],[customerSKU]]="","",_xlfn.XLOOKUP(Table26[[#This Row],[customerSKU]],Table27[customer_SKU],Table27[product_GTIN],"",0,1))</f>
        <v/>
      </c>
      <c r="Z2124" s="25" t="s">
        <v>3522</v>
      </c>
      <c r="AA2124" s="18" t="str" cm="1">
        <f t="array" ref="AA2124">IF(P2124="", "", _xlfn.XLOOKUP(P2124,#REF!,#REF!,NA,0,-1))</f>
        <v/>
      </c>
      <c r="AB2124" s="22"/>
      <c r="AC2124" s="23" t="s">
        <v>3604</v>
      </c>
      <c r="AD2124" s="23" t="str">
        <f>IF($AC2124="","",_xlfn.XLOOKUP($AC2124,'Client Info'!$C$2:$C$2497,'Client Info'!$D$2:$D$2497,"",0,1))</f>
        <v/>
      </c>
      <c r="AE2124" s="23" t="str">
        <f>IF($AC2124="","",_xlfn.XLOOKUP($AC2124,'Client Info'!$C$2:$C$2677,'Client Info'!$E$2:$E$2677,"",))</f>
        <v/>
      </c>
      <c r="AF2124" s="23" t="str">
        <f>IF($AC2124="","",_xlfn.XLOOKUP($AC2124,'Client Info'!$C$2:$C$2677,'Client Info'!$F$2:$F$2677,"",0,1))</f>
        <v/>
      </c>
      <c r="AG2124" s="23" t="s">
        <v>3604</v>
      </c>
      <c r="AH2124" s="26" t="str">
        <f>_xlfn.XLOOKUP(Table26[[#This Row],[customerSKU]],customerSKU!G:G,customerSKU!K:K,"NA",0,1)</f>
        <v>NA</v>
      </c>
      <c r="AI2124" s="43" t="str">
        <f>_xlfn.XLOOKUP(Table26[[#This Row],[customerSKU]],customerSKU!G:G,customerSKU!O:O,"not found",0,1)</f>
        <v>not found</v>
      </c>
      <c r="AJ2124" s="22" t="e">
        <f>Table26[[#This Row],[unitprice]]*Table26[[#This Row],[quantity_unit]]</f>
        <v>#VALUE!</v>
      </c>
      <c r="AK2124" s="227" t="e" cm="1">
        <f t="array" ref="AK21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4" s="227"/>
    </row>
    <row r="2125" spans="1:38" ht="15.45" customHeight="1">
      <c r="A2125" s="42">
        <v>127</v>
      </c>
      <c r="B2125" s="42" t="s">
        <v>3520</v>
      </c>
      <c r="C2125" s="53" t="s">
        <v>203</v>
      </c>
      <c r="D2125" s="19">
        <v>45867</v>
      </c>
      <c r="E2125" s="20"/>
      <c r="F21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5" s="93"/>
      <c r="I2125" s="203">
        <v>45867</v>
      </c>
      <c r="J2125" s="90" t="str">
        <f>IF(Table26[[#This Row],[customerSKU]]="","",_xlfn.XLOOKUP(Table26[[#This Row],[customerSKU]],customerSKU!G:G,customerSKU!A:A,"",0,1))</f>
        <v/>
      </c>
      <c r="K2125" s="19">
        <v>45868</v>
      </c>
      <c r="L2125" s="49" t="str">
        <f>IF(Table26[[#This Row],[customerSKU]]="","",_xlfn.XLOOKUP(Table26[[#This Row],[customerSKU]],customerSKU!G:G,customerSKU!B:B,"",0,1))</f>
        <v/>
      </c>
      <c r="M2125" s="22"/>
      <c r="N2125" s="15" t="str">
        <f>Table26[[#This Row],[po_number]]&amp;"-"&amp;Table26[[#This Row],[po_line]]</f>
        <v>-3</v>
      </c>
      <c r="O2125" s="15">
        <v>3</v>
      </c>
      <c r="P2125" s="50"/>
      <c r="Q2125" s="22" t="s">
        <v>1829</v>
      </c>
      <c r="R2125" s="22" t="s">
        <v>221</v>
      </c>
      <c r="S2125" s="90" t="str">
        <f>IF(Table26[[#This Row],[customerSKU]]="","",_xlfn.XLOOKUP(Table26[[#This Row],[customerSKU]],customerSKU!G:G,customerSKU!N:N,"NOT FOUND",0,1))</f>
        <v>NOT FOUND</v>
      </c>
      <c r="T2125" s="20">
        <v>45826</v>
      </c>
      <c r="U2125" s="94">
        <v>12</v>
      </c>
      <c r="V2125" s="22" t="str">
        <f>IF(ISBLANK(Table26[[#This Row],[customerSKU]]),"",_xlfn.XLOOKUP(Table26[[#This Row],[customerSKU]],Table27[customer_SKU],Table27[case_size],"",0,1))</f>
        <v/>
      </c>
      <c r="W2125" s="117" t="str">
        <f t="shared" si="86"/>
        <v/>
      </c>
      <c r="X2125" s="22" t="str">
        <f t="shared" si="85"/>
        <v/>
      </c>
      <c r="Y2125" s="25" t="str">
        <f>IF(Table26[[#This Row],[customerSKU]]="","",_xlfn.XLOOKUP(Table26[[#This Row],[customerSKU]],Table27[customer_SKU],Table27[product_GTIN],"",0,1))</f>
        <v/>
      </c>
      <c r="Z2125" s="25" t="s">
        <v>3522</v>
      </c>
      <c r="AA2125" s="18" t="str" cm="1">
        <f t="array" ref="AA2125">IF(P2125="", "", _xlfn.XLOOKUP(P2125,#REF!,#REF!,NA,0,-1))</f>
        <v/>
      </c>
      <c r="AB2125" s="22"/>
      <c r="AC2125" s="23" t="s">
        <v>3604</v>
      </c>
      <c r="AD2125" s="23" t="str">
        <f>IF($AC2125="","",_xlfn.XLOOKUP($AC2125,'Client Info'!$C$2:$C$2497,'Client Info'!$D$2:$D$2497,"",0,1))</f>
        <v/>
      </c>
      <c r="AE2125" s="23" t="str">
        <f>IF($AC2125="","",_xlfn.XLOOKUP($AC2125,'Client Info'!$C$2:$C$2677,'Client Info'!$E$2:$E$2677,"",))</f>
        <v/>
      </c>
      <c r="AF2125" s="23" t="str">
        <f>IF($AC2125="","",_xlfn.XLOOKUP($AC2125,'Client Info'!$C$2:$C$2677,'Client Info'!$F$2:$F$2677,"",0,1))</f>
        <v/>
      </c>
      <c r="AG2125" s="23" t="s">
        <v>3604</v>
      </c>
      <c r="AH2125" s="26" t="str">
        <f>_xlfn.XLOOKUP(Table26[[#This Row],[customerSKU]],customerSKU!G:G,customerSKU!K:K,"NA",0,1)</f>
        <v>NA</v>
      </c>
      <c r="AI2125" s="43" t="str">
        <f>_xlfn.XLOOKUP(Table26[[#This Row],[customerSKU]],customerSKU!G:G,customerSKU!O:O,"not found",0,1)</f>
        <v>not found</v>
      </c>
      <c r="AJ2125" s="22" t="e">
        <f>Table26[[#This Row],[unitprice]]*Table26[[#This Row],[quantity_unit]]</f>
        <v>#VALUE!</v>
      </c>
      <c r="AK2125" s="227" t="e" cm="1">
        <f t="array" ref="AK21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5" s="227"/>
    </row>
    <row r="2126" spans="1:38" ht="15.45" customHeight="1">
      <c r="A2126" s="42">
        <v>128</v>
      </c>
      <c r="B2126" s="42" t="s">
        <v>3520</v>
      </c>
      <c r="C2126" s="53" t="s">
        <v>203</v>
      </c>
      <c r="D2126" s="19">
        <v>45867</v>
      </c>
      <c r="E2126" s="20"/>
      <c r="F21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6" s="93"/>
      <c r="I2126" s="203">
        <v>45867</v>
      </c>
      <c r="J2126" s="90" t="str">
        <f>IF(Table26[[#This Row],[customerSKU]]="","",_xlfn.XLOOKUP(Table26[[#This Row],[customerSKU]],customerSKU!G:G,customerSKU!A:A,"",0,1))</f>
        <v/>
      </c>
      <c r="K2126" s="19">
        <v>45868</v>
      </c>
      <c r="L2126" s="49" t="str">
        <f>IF(Table26[[#This Row],[customerSKU]]="","",_xlfn.XLOOKUP(Table26[[#This Row],[customerSKU]],customerSKU!G:G,customerSKU!B:B,"",0,1))</f>
        <v/>
      </c>
      <c r="M2126" s="22"/>
      <c r="N2126" s="15" t="str">
        <f>Table26[[#This Row],[po_number]]&amp;"-"&amp;Table26[[#This Row],[po_line]]</f>
        <v>-4</v>
      </c>
      <c r="O2126" s="15">
        <v>4</v>
      </c>
      <c r="P2126" s="50"/>
      <c r="Q2126" s="24" t="s">
        <v>1825</v>
      </c>
      <c r="R2126" s="22" t="s">
        <v>221</v>
      </c>
      <c r="S2126" s="90" t="str">
        <f>IF(Table26[[#This Row],[customerSKU]]="","",_xlfn.XLOOKUP(Table26[[#This Row],[customerSKU]],customerSKU!G:G,customerSKU!N:N,"NOT FOUND",0,1))</f>
        <v>NOT FOUND</v>
      </c>
      <c r="T2126" s="20">
        <v>45833</v>
      </c>
      <c r="U2126" s="94">
        <v>36</v>
      </c>
      <c r="V2126" s="22" t="str">
        <f>IF(ISBLANK(Table26[[#This Row],[customerSKU]]),"",_xlfn.XLOOKUP(Table26[[#This Row],[customerSKU]],Table27[customer_SKU],Table27[case_size],"",0,1))</f>
        <v/>
      </c>
      <c r="W2126" s="117" t="str">
        <f t="shared" si="86"/>
        <v/>
      </c>
      <c r="X2126" s="22" t="str">
        <f t="shared" si="85"/>
        <v/>
      </c>
      <c r="Y2126" s="25" t="str">
        <f>IF(Table26[[#This Row],[customerSKU]]="","",_xlfn.XLOOKUP(Table26[[#This Row],[customerSKU]],Table27[customer_SKU],Table27[product_GTIN],"",0,1))</f>
        <v/>
      </c>
      <c r="Z2126" s="25" t="s">
        <v>3693</v>
      </c>
      <c r="AA2126" s="18" t="str" cm="1">
        <f t="array" ref="AA2126">IF(P2126="", "", _xlfn.XLOOKUP(P2126,#REF!,#REF!,NA,0,-1))</f>
        <v/>
      </c>
      <c r="AB2126" s="22"/>
      <c r="AC2126" s="23" t="s">
        <v>3604</v>
      </c>
      <c r="AD2126" s="23" t="str">
        <f>IF($AC2126="","",_xlfn.XLOOKUP($AC2126,'Client Info'!$C$2:$C$2497,'Client Info'!$D$2:$D$2497,"",0,1))</f>
        <v/>
      </c>
      <c r="AE2126" s="23" t="str">
        <f>IF($AC2126="","",_xlfn.XLOOKUP($AC2126,'Client Info'!$C$2:$C$2677,'Client Info'!$E$2:$E$2677,"",))</f>
        <v/>
      </c>
      <c r="AF2126" s="23" t="str">
        <f>IF($AC2126="","",_xlfn.XLOOKUP($AC2126,'Client Info'!$C$2:$C$2677,'Client Info'!$F$2:$F$2677,"",0,1))</f>
        <v/>
      </c>
      <c r="AG2126" s="23" t="s">
        <v>3604</v>
      </c>
      <c r="AH2126" s="26" t="str">
        <f>_xlfn.XLOOKUP(Table26[[#This Row],[customerSKU]],customerSKU!G:G,customerSKU!K:K,"NA",0,1)</f>
        <v>NA</v>
      </c>
      <c r="AI2126" s="43" t="str">
        <f>_xlfn.XLOOKUP(Table26[[#This Row],[customerSKU]],customerSKU!G:G,customerSKU!O:O,"not found",0,1)</f>
        <v>not found</v>
      </c>
      <c r="AJ2126" s="22" t="e">
        <f>Table26[[#This Row],[unitprice]]*Table26[[#This Row],[quantity_unit]]</f>
        <v>#VALUE!</v>
      </c>
      <c r="AK2126" s="227" t="e" cm="1">
        <f t="array" ref="AK21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6" s="227"/>
    </row>
    <row r="2127" spans="1:38" ht="15.45" customHeight="1">
      <c r="A2127" s="42">
        <v>129</v>
      </c>
      <c r="B2127" s="42" t="s">
        <v>3520</v>
      </c>
      <c r="C2127" s="53" t="s">
        <v>203</v>
      </c>
      <c r="D2127" s="19">
        <v>45867</v>
      </c>
      <c r="E2127" s="20"/>
      <c r="F21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7" s="93"/>
      <c r="I2127" s="203">
        <v>45867</v>
      </c>
      <c r="J2127" s="90" t="str">
        <f>IF(Table26[[#This Row],[customerSKU]]="","",_xlfn.XLOOKUP(Table26[[#This Row],[customerSKU]],customerSKU!G:G,customerSKU!A:A,"",0,1))</f>
        <v/>
      </c>
      <c r="K2127" s="19">
        <v>45868</v>
      </c>
      <c r="L2127" s="49" t="str">
        <f>IF(Table26[[#This Row],[customerSKU]]="","",_xlfn.XLOOKUP(Table26[[#This Row],[customerSKU]],customerSKU!G:G,customerSKU!B:B,"",0,1))</f>
        <v/>
      </c>
      <c r="M2127" s="22"/>
      <c r="N2127" s="15" t="str">
        <f>Table26[[#This Row],[po_number]]&amp;"-"&amp;Table26[[#This Row],[po_line]]</f>
        <v>-5</v>
      </c>
      <c r="O2127" s="15">
        <v>5</v>
      </c>
      <c r="P2127" s="50"/>
      <c r="Q2127" s="22" t="s">
        <v>559</v>
      </c>
      <c r="R2127" s="22" t="s">
        <v>221</v>
      </c>
      <c r="S2127" s="90" t="str">
        <f>IF(Table26[[#This Row],[customerSKU]]="","",_xlfn.XLOOKUP(Table26[[#This Row],[customerSKU]],customerSKU!G:G,customerSKU!N:N,"NOT FOUND",0,1))</f>
        <v>NOT FOUND</v>
      </c>
      <c r="T2127" s="20">
        <v>45772</v>
      </c>
      <c r="U2127" s="94">
        <v>12</v>
      </c>
      <c r="V2127" s="22" t="str">
        <f>IF(ISBLANK(Table26[[#This Row],[customerSKU]]),"",_xlfn.XLOOKUP(Table26[[#This Row],[customerSKU]],Table27[customer_SKU],Table27[case_size],"",0,1))</f>
        <v/>
      </c>
      <c r="W2127" s="117" t="str">
        <f t="shared" si="86"/>
        <v/>
      </c>
      <c r="X2127" s="22" t="str">
        <f t="shared" si="85"/>
        <v/>
      </c>
      <c r="Y2127" s="25" t="str">
        <f>IF(Table26[[#This Row],[customerSKU]]="","",_xlfn.XLOOKUP(Table26[[#This Row],[customerSKU]],Table27[customer_SKU],Table27[product_GTIN],"",0,1))</f>
        <v/>
      </c>
      <c r="Z2127" s="25" t="s">
        <v>3527</v>
      </c>
      <c r="AA2127" s="18" t="str" cm="1">
        <f t="array" ref="AA2127">IF(P2127="", "", _xlfn.XLOOKUP(P2127,#REF!,#REF!,NA,0,-1))</f>
        <v/>
      </c>
      <c r="AB2127" s="22"/>
      <c r="AC2127" s="23" t="s">
        <v>3604</v>
      </c>
      <c r="AD2127" s="23" t="str">
        <f>IF($AC2127="","",_xlfn.XLOOKUP($AC2127,'Client Info'!$C$2:$C$2497,'Client Info'!$D$2:$D$2497,"",0,1))</f>
        <v/>
      </c>
      <c r="AE2127" s="23" t="str">
        <f>IF($AC2127="","",_xlfn.XLOOKUP($AC2127,'Client Info'!$C$2:$C$2677,'Client Info'!$E$2:$E$2677,"",))</f>
        <v/>
      </c>
      <c r="AF2127" s="23" t="str">
        <f>IF($AC2127="","",_xlfn.XLOOKUP($AC2127,'Client Info'!$C$2:$C$2677,'Client Info'!$F$2:$F$2677,"",0,1))</f>
        <v/>
      </c>
      <c r="AG2127" s="23" t="s">
        <v>3604</v>
      </c>
      <c r="AH2127" s="26" t="str">
        <f>_xlfn.XLOOKUP(Table26[[#This Row],[customerSKU]],customerSKU!G:G,customerSKU!K:K,"NA",0,1)</f>
        <v>NA</v>
      </c>
      <c r="AI2127" s="43" t="str">
        <f>_xlfn.XLOOKUP(Table26[[#This Row],[customerSKU]],customerSKU!G:G,customerSKU!O:O,"not found",0,1)</f>
        <v>not found</v>
      </c>
      <c r="AJ2127" s="22" t="e">
        <f>Table26[[#This Row],[unitprice]]*Table26[[#This Row],[quantity_unit]]</f>
        <v>#VALUE!</v>
      </c>
      <c r="AK2127" s="227" t="e" cm="1">
        <f t="array" ref="AK21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7" s="227"/>
    </row>
    <row r="2128" spans="1:38" ht="15.6" customHeight="1">
      <c r="A2128" s="42">
        <v>115</v>
      </c>
      <c r="B2128" s="42" t="s">
        <v>3520</v>
      </c>
      <c r="C2128" s="22" t="s">
        <v>203</v>
      </c>
      <c r="E2128" s="20"/>
      <c r="F21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8" s="93"/>
      <c r="I2128" s="203">
        <v>45855</v>
      </c>
      <c r="J2128" s="90" t="str">
        <f>IF(Table26[[#This Row],[customerSKU]]="","",_xlfn.XLOOKUP(Table26[[#This Row],[customerSKU]],customerSKU!G:G,customerSKU!A:A,"",0,1))</f>
        <v/>
      </c>
      <c r="K2128" s="19">
        <v>45869</v>
      </c>
      <c r="L2128" s="49" t="str">
        <f>IF(Table26[[#This Row],[customerSKU]]="","",_xlfn.XLOOKUP(Table26[[#This Row],[customerSKU]],customerSKU!G:G,customerSKU!B:B,"",0,1))</f>
        <v/>
      </c>
      <c r="M2128" s="22"/>
      <c r="N2128" s="15" t="str">
        <f>Table26[[#This Row],[po_number]]&amp;"-"&amp;Table26[[#This Row],[po_line]]</f>
        <v>-1</v>
      </c>
      <c r="O2128" s="15">
        <v>1</v>
      </c>
      <c r="P2128" s="50"/>
      <c r="S2128" s="90" t="str">
        <f>IF(Table26[[#This Row],[customerSKU]]="","",_xlfn.XLOOKUP(Table26[[#This Row],[customerSKU]],customerSKU!G:G,customerSKU!N:N,"NOT FOUND",0,1))</f>
        <v>NOT FOUND</v>
      </c>
      <c r="T2128" s="20"/>
      <c r="U2128" s="94">
        <v>12</v>
      </c>
      <c r="V2128" s="22" t="str">
        <f>IF(ISBLANK(Table26[[#This Row],[customerSKU]]),"",_xlfn.XLOOKUP(Table26[[#This Row],[customerSKU]],Table27[customer_SKU],Table27[case_size],"",0,1))</f>
        <v/>
      </c>
      <c r="W2128" s="117" t="str">
        <f t="shared" si="86"/>
        <v/>
      </c>
      <c r="X2128" s="22" t="str">
        <f t="shared" si="85"/>
        <v/>
      </c>
      <c r="Y2128" s="25" t="str">
        <f>IF(Table26[[#This Row],[customerSKU]]="","",_xlfn.XLOOKUP(Table26[[#This Row],[customerSKU]],Table27[customer_SKU],Table27[product_GTIN],"",0,1))</f>
        <v/>
      </c>
      <c r="Z2128" s="25" t="s">
        <v>3529</v>
      </c>
      <c r="AA2128" s="18" t="str" cm="1">
        <f t="array" ref="AA2128">IF(P2128="", "", _xlfn.XLOOKUP(P2128,#REF!,#REF!,NA,0,-1))</f>
        <v/>
      </c>
      <c r="AB2128" s="22"/>
      <c r="AC2128" s="23" t="str">
        <f>IF(Table26[[#This Row],[customerSKU]]="","",_xlfn.XLOOKUP(Table26[[#This Row],[customerSKU]],customerSKU!G:G,customerSKU!C:C,"",0,1))</f>
        <v/>
      </c>
      <c r="AD2128" s="23" t="str">
        <f>IF($AC2128="","",_xlfn.XLOOKUP($AC2128,'Client Info'!$C$2:$C$2497,'Client Info'!$D$2:$D$2497,"",0,1))</f>
        <v/>
      </c>
      <c r="AE2128" s="23" t="str">
        <f>IF($AC2128="","",_xlfn.XLOOKUP($AC2128,'Client Info'!$C$2:$C$2677,'Client Info'!$E$2:$E$2677,"",))</f>
        <v/>
      </c>
      <c r="AF2128" s="23" t="str">
        <f>IF($AC2128="","",_xlfn.XLOOKUP($AC2128,'Client Info'!$C$2:$C$2677,'Client Info'!$F$2:$F$2677,"",0,1))</f>
        <v/>
      </c>
      <c r="AG2128" s="23" t="str">
        <f>IF(ISBLANK(Table26[[#This Row],[customerSKU]]),"",_xlfn.XLOOKUP(Table26[[#This Row],[customerSKU]],Table27[customer_SKU],Table27[billto],"",0,1))</f>
        <v/>
      </c>
      <c r="AH2128" s="26" t="str">
        <f>_xlfn.XLOOKUP(Table26[[#This Row],[customerSKU]],customerSKU!G:G,customerSKU!K:K,"NA",0,1)</f>
        <v>NA</v>
      </c>
      <c r="AI2128" s="43" t="str">
        <f>_xlfn.XLOOKUP(Table26[[#This Row],[customerSKU]],customerSKU!G:G,customerSKU!O:O,"not found",0,1)</f>
        <v>not found</v>
      </c>
      <c r="AJ2128" s="22" t="e">
        <f>Table26[[#This Row],[unitprice]]*Table26[[#This Row],[quantity_unit]]</f>
        <v>#VALUE!</v>
      </c>
      <c r="AK2128" s="227" t="e" cm="1">
        <f t="array" ref="AK21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8" s="227"/>
    </row>
    <row r="2129" spans="1:38" ht="15.45" customHeight="1">
      <c r="A2129" s="42">
        <v>116</v>
      </c>
      <c r="B2129" s="42" t="s">
        <v>3520</v>
      </c>
      <c r="C2129" s="22" t="s">
        <v>203</v>
      </c>
      <c r="E2129" s="20"/>
      <c r="F21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29" s="93"/>
      <c r="I2129" s="203">
        <v>45855</v>
      </c>
      <c r="J2129" s="90" t="str">
        <f>IF(Table26[[#This Row],[customerSKU]]="","",_xlfn.XLOOKUP(Table26[[#This Row],[customerSKU]],customerSKU!G:G,customerSKU!A:A,"",0,1))</f>
        <v/>
      </c>
      <c r="K2129" s="19">
        <v>45869</v>
      </c>
      <c r="L2129" s="49" t="str">
        <f>IF(Table26[[#This Row],[customerSKU]]="","",_xlfn.XLOOKUP(Table26[[#This Row],[customerSKU]],customerSKU!G:G,customerSKU!B:B,"",0,1))</f>
        <v/>
      </c>
      <c r="M2129" s="22"/>
      <c r="N2129" s="15" t="str">
        <f>Table26[[#This Row],[po_number]]&amp;"-"&amp;Table26[[#This Row],[po_line]]</f>
        <v>-1</v>
      </c>
      <c r="O2129" s="15">
        <v>1</v>
      </c>
      <c r="P2129" s="50"/>
      <c r="S2129" s="90" t="str">
        <f>IF(Table26[[#This Row],[customerSKU]]="","",_xlfn.XLOOKUP(Table26[[#This Row],[customerSKU]],customerSKU!G:G,customerSKU!N:N,"NOT FOUND",0,1))</f>
        <v>NOT FOUND</v>
      </c>
      <c r="T2129" s="20"/>
      <c r="U2129" s="94">
        <v>12</v>
      </c>
      <c r="V2129" s="22" t="str">
        <f>IF(ISBLANK(Table26[[#This Row],[customerSKU]]),"",_xlfn.XLOOKUP(Table26[[#This Row],[customerSKU]],Table27[customer_SKU],Table27[case_size],"",0,1))</f>
        <v/>
      </c>
      <c r="W2129" s="117" t="str">
        <f t="shared" si="86"/>
        <v/>
      </c>
      <c r="X2129" s="22" t="str">
        <f t="shared" si="85"/>
        <v/>
      </c>
      <c r="Y2129" s="25" t="str">
        <f>IF(Table26[[#This Row],[customerSKU]]="","",_xlfn.XLOOKUP(Table26[[#This Row],[customerSKU]],Table27[customer_SKU],Table27[product_GTIN],"",0,1))</f>
        <v/>
      </c>
      <c r="Z2129" s="25" t="s">
        <v>3528</v>
      </c>
      <c r="AA2129" s="18" t="str" cm="1">
        <f t="array" ref="AA2129">IF(P2129="", "", _xlfn.XLOOKUP(P2129,#REF!,#REF!,NA,0,-1))</f>
        <v/>
      </c>
      <c r="AB2129" s="22"/>
      <c r="AC2129" s="23" t="str">
        <f>IF(Table26[[#This Row],[customerSKU]]="","",_xlfn.XLOOKUP(Table26[[#This Row],[customerSKU]],customerSKU!G:G,customerSKU!C:C,"",0,1))</f>
        <v/>
      </c>
      <c r="AD2129" s="23" t="str">
        <f>IF($AC2129="","",_xlfn.XLOOKUP($AC2129,'Client Info'!$C$2:$C$2497,'Client Info'!$D$2:$D$2497,"",0,1))</f>
        <v/>
      </c>
      <c r="AE2129" s="23" t="str">
        <f>IF($AC2129="","",_xlfn.XLOOKUP($AC2129,'Client Info'!$C$2:$C$2677,'Client Info'!$E$2:$E$2677,"",))</f>
        <v/>
      </c>
      <c r="AF2129" s="23" t="str">
        <f>IF($AC2129="","",_xlfn.XLOOKUP($AC2129,'Client Info'!$C$2:$C$2677,'Client Info'!$F$2:$F$2677,"",0,1))</f>
        <v/>
      </c>
      <c r="AG2129" s="23" t="str">
        <f>IF(ISBLANK(Table26[[#This Row],[customerSKU]]),"",_xlfn.XLOOKUP(Table26[[#This Row],[customerSKU]],Table27[customer_SKU],Table27[billto],"",0,1))</f>
        <v/>
      </c>
      <c r="AH2129" s="26" t="str">
        <f>_xlfn.XLOOKUP(Table26[[#This Row],[customerSKU]],customerSKU!G:G,customerSKU!K:K,"NA",0,1)</f>
        <v>NA</v>
      </c>
      <c r="AI2129" s="43" t="str">
        <f>_xlfn.XLOOKUP(Table26[[#This Row],[customerSKU]],customerSKU!G:G,customerSKU!O:O,"not found",0,1)</f>
        <v>not found</v>
      </c>
      <c r="AJ2129" s="22" t="e">
        <f>Table26[[#This Row],[unitprice]]*Table26[[#This Row],[quantity_unit]]</f>
        <v>#VALUE!</v>
      </c>
      <c r="AK2129" s="227" t="e" cm="1">
        <f t="array" ref="AK21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29" s="227"/>
    </row>
    <row r="2130" spans="1:38" ht="15.45" customHeight="1">
      <c r="A2130" s="42">
        <v>117</v>
      </c>
      <c r="B2130" s="42" t="s">
        <v>3520</v>
      </c>
      <c r="C2130" s="53" t="s">
        <v>203</v>
      </c>
      <c r="E2130" s="20"/>
      <c r="F21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0" s="93"/>
      <c r="I2130" s="203">
        <v>45861</v>
      </c>
      <c r="J2130" s="90" t="str">
        <f>IF(Table26[[#This Row],[customerSKU]]="","",_xlfn.XLOOKUP(Table26[[#This Row],[customerSKU]],customerSKU!G:G,customerSKU!A:A,"",0,1))</f>
        <v/>
      </c>
      <c r="K2130" s="19">
        <v>45869</v>
      </c>
      <c r="L2130" s="49" t="str">
        <f>IF(Table26[[#This Row],[customerSKU]]="","",_xlfn.XLOOKUP(Table26[[#This Row],[customerSKU]],customerSKU!G:G,customerSKU!B:B,"",0,1))</f>
        <v/>
      </c>
      <c r="M2130" s="22"/>
      <c r="N2130" s="15" t="str">
        <f>Table26[[#This Row],[po_number]]&amp;"-"&amp;Table26[[#This Row],[po_line]]</f>
        <v>-1</v>
      </c>
      <c r="O2130" s="15">
        <v>1</v>
      </c>
      <c r="P2130" s="50"/>
      <c r="S2130" s="90" t="str">
        <f>IF(Table26[[#This Row],[customerSKU]]="","",_xlfn.XLOOKUP(Table26[[#This Row],[customerSKU]],customerSKU!G:G,customerSKU!N:N,"NOT FOUND",0,1))</f>
        <v>NOT FOUND</v>
      </c>
      <c r="T2130" s="20"/>
      <c r="U2130" s="94">
        <v>12</v>
      </c>
      <c r="V2130" s="22" t="str">
        <f>IF(ISBLANK(Table26[[#This Row],[customerSKU]]),"",_xlfn.XLOOKUP(Table26[[#This Row],[customerSKU]],Table27[customer_SKU],Table27[case_size],"",0,1))</f>
        <v/>
      </c>
      <c r="W2130" s="117" t="str">
        <f t="shared" si="86"/>
        <v/>
      </c>
      <c r="X2130" s="22" t="str">
        <f t="shared" si="85"/>
        <v/>
      </c>
      <c r="Y2130" s="25" t="str">
        <f>IF(Table26[[#This Row],[customerSKU]]="","",_xlfn.XLOOKUP(Table26[[#This Row],[customerSKU]],Table27[customer_SKU],Table27[product_GTIN],"",0,1))</f>
        <v/>
      </c>
      <c r="Z2130" s="25" t="s">
        <v>3395</v>
      </c>
      <c r="AA2130" s="18" t="str" cm="1">
        <f t="array" ref="AA2130">IF(P2130="", "", _xlfn.XLOOKUP(P2130,#REF!,#REF!,NA,0,-1))</f>
        <v/>
      </c>
      <c r="AB2130" s="22"/>
      <c r="AC2130" s="23" t="str">
        <f>IF(Table26[[#This Row],[customerSKU]]="","",_xlfn.XLOOKUP(Table26[[#This Row],[customerSKU]],customerSKU!G:G,customerSKU!C:C,"",0,1))</f>
        <v/>
      </c>
      <c r="AD2130" s="23" t="str">
        <f>IF($AC2130="","",_xlfn.XLOOKUP($AC2130,'Client Info'!$C$2:$C$2497,'Client Info'!$D$2:$D$2497,"",0,1))</f>
        <v/>
      </c>
      <c r="AE2130" s="23" t="str">
        <f>IF($AC2130="","",_xlfn.XLOOKUP($AC2130,'Client Info'!$C$2:$C$2677,'Client Info'!$E$2:$E$2677,"",))</f>
        <v/>
      </c>
      <c r="AF2130" s="23" t="str">
        <f>IF($AC2130="","",_xlfn.XLOOKUP($AC2130,'Client Info'!$C$2:$C$2677,'Client Info'!$F$2:$F$2677,"",0,1))</f>
        <v/>
      </c>
      <c r="AG2130" s="23" t="str">
        <f>IF(ISBLANK(Table26[[#This Row],[customerSKU]]),"",_xlfn.XLOOKUP(Table26[[#This Row],[customerSKU]],Table27[customer_SKU],Table27[billto],"",0,1))</f>
        <v/>
      </c>
      <c r="AH2130" s="26" t="str">
        <f>_xlfn.XLOOKUP(Table26[[#This Row],[customerSKU]],customerSKU!G:G,customerSKU!K:K,"NA",0,1)</f>
        <v>NA</v>
      </c>
      <c r="AI2130" s="43" t="str">
        <f>_xlfn.XLOOKUP(Table26[[#This Row],[customerSKU]],customerSKU!G:G,customerSKU!O:O,"not found",0,1)</f>
        <v>not found</v>
      </c>
      <c r="AJ2130" s="22" t="e">
        <f>Table26[[#This Row],[unitprice]]*Table26[[#This Row],[quantity_unit]]</f>
        <v>#VALUE!</v>
      </c>
      <c r="AK2130" s="227" t="e" cm="1">
        <f t="array" ref="AK21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0" s="227"/>
    </row>
    <row r="2131" spans="1:38" ht="15.45" customHeight="1">
      <c r="A2131" s="42">
        <v>118</v>
      </c>
      <c r="B2131" s="42" t="s">
        <v>3520</v>
      </c>
      <c r="C2131" s="22" t="s">
        <v>203</v>
      </c>
      <c r="E2131" s="20"/>
      <c r="F21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1" s="93"/>
      <c r="I2131" s="203">
        <v>45861</v>
      </c>
      <c r="J2131" s="90" t="str">
        <f>IF(Table26[[#This Row],[customerSKU]]="","",_xlfn.XLOOKUP(Table26[[#This Row],[customerSKU]],customerSKU!G:G,customerSKU!A:A,"",0,1))</f>
        <v/>
      </c>
      <c r="K2131" s="19">
        <v>45869</v>
      </c>
      <c r="L2131" s="49" t="str">
        <f>IF(Table26[[#This Row],[customerSKU]]="","",_xlfn.XLOOKUP(Table26[[#This Row],[customerSKU]],customerSKU!G:G,customerSKU!B:B,"",0,1))</f>
        <v/>
      </c>
      <c r="M2131" s="22"/>
      <c r="N2131" s="15" t="str">
        <f>Table26[[#This Row],[po_number]]&amp;"-"&amp;Table26[[#This Row],[po_line]]</f>
        <v>-2</v>
      </c>
      <c r="O2131" s="15">
        <v>2</v>
      </c>
      <c r="P2131" s="50"/>
      <c r="S2131" s="90" t="str">
        <f>IF(Table26[[#This Row],[customerSKU]]="","",_xlfn.XLOOKUP(Table26[[#This Row],[customerSKU]],customerSKU!G:G,customerSKU!N:N,"NOT FOUND",0,1))</f>
        <v>NOT FOUND</v>
      </c>
      <c r="T2131" s="20"/>
      <c r="U2131" s="94">
        <v>12</v>
      </c>
      <c r="V2131" s="22" t="str">
        <f>IF(ISBLANK(Table26[[#This Row],[customerSKU]]),"",_xlfn.XLOOKUP(Table26[[#This Row],[customerSKU]],Table27[customer_SKU],Table27[case_size],"",0,1))</f>
        <v/>
      </c>
      <c r="W2131" s="117" t="str">
        <f t="shared" si="86"/>
        <v/>
      </c>
      <c r="X2131" s="22" t="str">
        <f t="shared" si="85"/>
        <v/>
      </c>
      <c r="Y2131" s="25" t="str">
        <f>IF(Table26[[#This Row],[customerSKU]]="","",_xlfn.XLOOKUP(Table26[[#This Row],[customerSKU]],Table27[customer_SKU],Table27[product_GTIN],"",0,1))</f>
        <v/>
      </c>
      <c r="Z2131" s="25" t="s">
        <v>3654</v>
      </c>
      <c r="AA2131" s="18" t="str" cm="1">
        <f t="array" ref="AA2131">IF(P2131="", "", _xlfn.XLOOKUP(P2131,#REF!,#REF!,NA,0,-1))</f>
        <v/>
      </c>
      <c r="AB2131" s="22"/>
      <c r="AC2131" s="23" t="str">
        <f>IF(Table26[[#This Row],[customerSKU]]="","",_xlfn.XLOOKUP(Table26[[#This Row],[customerSKU]],customerSKU!G:G,customerSKU!C:C,"",0,1))</f>
        <v/>
      </c>
      <c r="AD2131" s="23" t="str">
        <f>IF($AC2131="","",_xlfn.XLOOKUP($AC2131,'Client Info'!$C$2:$C$2497,'Client Info'!$D$2:$D$2497,"",0,1))</f>
        <v/>
      </c>
      <c r="AE2131" s="23" t="str">
        <f>IF($AC2131="","",_xlfn.XLOOKUP($AC2131,'Client Info'!$C$2:$C$2677,'Client Info'!$E$2:$E$2677,"",))</f>
        <v/>
      </c>
      <c r="AF2131" s="23" t="str">
        <f>IF($AC2131="","",_xlfn.XLOOKUP($AC2131,'Client Info'!$C$2:$C$2677,'Client Info'!$F$2:$F$2677,"",0,1))</f>
        <v/>
      </c>
      <c r="AG2131" s="23" t="str">
        <f>IF(ISBLANK(Table26[[#This Row],[customerSKU]]),"",_xlfn.XLOOKUP(Table26[[#This Row],[customerSKU]],Table27[customer_SKU],Table27[billto],"",0,1))</f>
        <v/>
      </c>
      <c r="AH2131" s="26" t="str">
        <f>_xlfn.XLOOKUP(Table26[[#This Row],[customerSKU]],customerSKU!G:G,customerSKU!K:K,"NA",0,1)</f>
        <v>NA</v>
      </c>
      <c r="AI2131" s="43" t="str">
        <f>_xlfn.XLOOKUP(Table26[[#This Row],[customerSKU]],customerSKU!G:G,customerSKU!O:O,"not found",0,1)</f>
        <v>not found</v>
      </c>
      <c r="AJ2131" s="22" t="e">
        <f>Table26[[#This Row],[unitprice]]*Table26[[#This Row],[quantity_unit]]</f>
        <v>#VALUE!</v>
      </c>
      <c r="AK2131" s="227" t="e" cm="1">
        <f t="array" ref="AK21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1" s="227"/>
    </row>
    <row r="2132" spans="1:38" ht="15.45" customHeight="1">
      <c r="A2132" s="42">
        <v>119</v>
      </c>
      <c r="B2132" s="42" t="s">
        <v>3520</v>
      </c>
      <c r="C2132" s="22" t="s">
        <v>203</v>
      </c>
      <c r="E2132" s="20"/>
      <c r="F21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2" s="93"/>
      <c r="I2132" s="203">
        <v>45866</v>
      </c>
      <c r="J2132" s="90" t="str">
        <f>IF(Table26[[#This Row],[customerSKU]]="","",_xlfn.XLOOKUP(Table26[[#This Row],[customerSKU]],customerSKU!G:G,customerSKU!A:A,"",0,1))</f>
        <v/>
      </c>
      <c r="K2132" s="19">
        <v>45869</v>
      </c>
      <c r="L2132" s="49" t="str">
        <f>IF(Table26[[#This Row],[customerSKU]]="","",_xlfn.XLOOKUP(Table26[[#This Row],[customerSKU]],customerSKU!G:G,customerSKU!B:B,"",0,1))</f>
        <v/>
      </c>
      <c r="M2132" s="22"/>
      <c r="N2132" s="15" t="str">
        <f>Table26[[#This Row],[po_number]]&amp;"-"&amp;Table26[[#This Row],[po_line]]</f>
        <v>-1</v>
      </c>
      <c r="O2132" s="15">
        <v>1</v>
      </c>
      <c r="P2132" s="50"/>
      <c r="S2132" s="90" t="str">
        <f>IF(Table26[[#This Row],[customerSKU]]="","",_xlfn.XLOOKUP(Table26[[#This Row],[customerSKU]],customerSKU!G:G,customerSKU!N:N,"NOT FOUND",0,1))</f>
        <v>NOT FOUND</v>
      </c>
      <c r="T2132" s="20"/>
      <c r="U2132" s="94">
        <v>12</v>
      </c>
      <c r="V2132" s="22" t="str">
        <f>IF(ISBLANK(Table26[[#This Row],[customerSKU]]),"",_xlfn.XLOOKUP(Table26[[#This Row],[customerSKU]],Table27[customer_SKU],Table27[case_size],"",0,1))</f>
        <v/>
      </c>
      <c r="W2132" s="117" t="str">
        <f t="shared" si="86"/>
        <v/>
      </c>
      <c r="X2132" s="22" t="str">
        <f t="shared" si="85"/>
        <v/>
      </c>
      <c r="Y2132" s="25" t="str">
        <f>IF(Table26[[#This Row],[customerSKU]]="","",_xlfn.XLOOKUP(Table26[[#This Row],[customerSKU]],Table27[customer_SKU],Table27[product_GTIN],"",0,1))</f>
        <v/>
      </c>
      <c r="Z2132" s="25" t="s">
        <v>3666</v>
      </c>
      <c r="AA2132" s="18" t="str" cm="1">
        <f t="array" ref="AA2132">IF(P2132="", "", _xlfn.XLOOKUP(P2132,#REF!,#REF!,NA,0,-1))</f>
        <v/>
      </c>
      <c r="AB2132" s="22"/>
      <c r="AC2132" s="23" t="str">
        <f>IF(Table26[[#This Row],[customerSKU]]="","",_xlfn.XLOOKUP(Table26[[#This Row],[customerSKU]],customerSKU!G:G,customerSKU!C:C,"",0,1))</f>
        <v/>
      </c>
      <c r="AD2132" s="23" t="str">
        <f>IF($AC2132="","",_xlfn.XLOOKUP($AC2132,'Client Info'!$C$2:$C$2497,'Client Info'!$D$2:$D$2497,"",0,1))</f>
        <v/>
      </c>
      <c r="AE2132" s="23" t="str">
        <f>IF($AC2132="","",_xlfn.XLOOKUP($AC2132,'Client Info'!$C$2:$C$2677,'Client Info'!$E$2:$E$2677,"",))</f>
        <v/>
      </c>
      <c r="AF2132" s="23" t="str">
        <f>IF($AC2132="","",_xlfn.XLOOKUP($AC2132,'Client Info'!$C$2:$C$2677,'Client Info'!$F$2:$F$2677,"",0,1))</f>
        <v/>
      </c>
      <c r="AG2132" s="23" t="str">
        <f>IF(ISBLANK(Table26[[#This Row],[customerSKU]]),"",_xlfn.XLOOKUP(Table26[[#This Row],[customerSKU]],Table27[customer_SKU],Table27[billto],"",0,1))</f>
        <v/>
      </c>
      <c r="AH2132" s="26" t="str">
        <f>_xlfn.XLOOKUP(Table26[[#This Row],[customerSKU]],customerSKU!G:G,customerSKU!K:K,"NA",0,1)</f>
        <v>NA</v>
      </c>
      <c r="AI2132" s="43" t="str">
        <f>_xlfn.XLOOKUP(Table26[[#This Row],[customerSKU]],customerSKU!G:G,customerSKU!O:O,"not found",0,1)</f>
        <v>not found</v>
      </c>
      <c r="AJ2132" s="22" t="e">
        <f>Table26[[#This Row],[unitprice]]*Table26[[#This Row],[quantity_unit]]</f>
        <v>#VALUE!</v>
      </c>
      <c r="AK2132" s="227" t="e" cm="1">
        <f t="array" ref="AK21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2" s="227"/>
    </row>
    <row r="2133" spans="1:38" ht="15.6" customHeight="1">
      <c r="A2133" s="42">
        <v>120</v>
      </c>
      <c r="B2133" s="42" t="s">
        <v>3520</v>
      </c>
      <c r="C2133" s="22" t="s">
        <v>203</v>
      </c>
      <c r="E2133" s="20"/>
      <c r="F21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3" s="93"/>
      <c r="I2133" s="203">
        <v>45867</v>
      </c>
      <c r="J2133" s="90" t="str">
        <f>IF(Table26[[#This Row],[customerSKU]]="","",_xlfn.XLOOKUP(Table26[[#This Row],[customerSKU]],customerSKU!G:G,customerSKU!A:A,"",0,1))</f>
        <v/>
      </c>
      <c r="K2133" s="19">
        <v>45869</v>
      </c>
      <c r="L2133" s="49" t="str">
        <f>IF(Table26[[#This Row],[customerSKU]]="","",_xlfn.XLOOKUP(Table26[[#This Row],[customerSKU]],customerSKU!G:G,customerSKU!B:B,"",0,1))</f>
        <v/>
      </c>
      <c r="M2133" s="22"/>
      <c r="N2133" s="15" t="str">
        <f>Table26[[#This Row],[po_number]]&amp;"-"&amp;Table26[[#This Row],[po_line]]</f>
        <v>-1</v>
      </c>
      <c r="O2133" s="15">
        <v>1</v>
      </c>
      <c r="P2133" s="50"/>
      <c r="S2133" s="90" t="str">
        <f>IF(Table26[[#This Row],[customerSKU]]="","",_xlfn.XLOOKUP(Table26[[#This Row],[customerSKU]],customerSKU!G:G,customerSKU!N:N,"NOT FOUND",0,1))</f>
        <v>NOT FOUND</v>
      </c>
      <c r="T2133" s="20"/>
      <c r="U2133" s="94">
        <v>12</v>
      </c>
      <c r="V2133" s="22" t="str">
        <f>IF(ISBLANK(Table26[[#This Row],[customerSKU]]),"",_xlfn.XLOOKUP(Table26[[#This Row],[customerSKU]],Table27[customer_SKU],Table27[case_size],"",0,1))</f>
        <v/>
      </c>
      <c r="W2133" s="117" t="str">
        <f t="shared" si="86"/>
        <v/>
      </c>
      <c r="X2133" s="22" t="str">
        <f t="shared" si="85"/>
        <v/>
      </c>
      <c r="Y2133" s="25" t="str">
        <f>IF(Table26[[#This Row],[customerSKU]]="","",_xlfn.XLOOKUP(Table26[[#This Row],[customerSKU]],Table27[customer_SKU],Table27[product_GTIN],"",0,1))</f>
        <v/>
      </c>
      <c r="Z2133" s="25" t="s">
        <v>3529</v>
      </c>
      <c r="AA2133" s="18" t="str" cm="1">
        <f t="array" ref="AA2133">IF(P2133="", "", _xlfn.XLOOKUP(P2133,#REF!,#REF!,NA,0,-1))</f>
        <v/>
      </c>
      <c r="AB2133" s="22"/>
      <c r="AC2133" s="23" t="str">
        <f>IF(Table26[[#This Row],[customerSKU]]="","",_xlfn.XLOOKUP(Table26[[#This Row],[customerSKU]],customerSKU!G:G,customerSKU!C:C,"",0,1))</f>
        <v/>
      </c>
      <c r="AD2133" s="23" t="str">
        <f>IF($AC2133="","",_xlfn.XLOOKUP($AC2133,'Client Info'!$C$2:$C$2497,'Client Info'!$D$2:$D$2497,"",0,1))</f>
        <v/>
      </c>
      <c r="AE2133" s="23" t="str">
        <f>IF($AC2133="","",_xlfn.XLOOKUP($AC2133,'Client Info'!$C$2:$C$2677,'Client Info'!$E$2:$E$2677,"",))</f>
        <v/>
      </c>
      <c r="AF2133" s="23" t="str">
        <f>IF($AC2133="","",_xlfn.XLOOKUP($AC2133,'Client Info'!$C$2:$C$2677,'Client Info'!$F$2:$F$2677,"",0,1))</f>
        <v/>
      </c>
      <c r="AG2133" s="23" t="str">
        <f>IF(ISBLANK(Table26[[#This Row],[customerSKU]]),"",_xlfn.XLOOKUP(Table26[[#This Row],[customerSKU]],Table27[customer_SKU],Table27[billto],"",0,1))</f>
        <v/>
      </c>
      <c r="AH2133" s="26" t="str">
        <f>_xlfn.XLOOKUP(Table26[[#This Row],[customerSKU]],customerSKU!G:G,customerSKU!K:K,"NA",0,1)</f>
        <v>NA</v>
      </c>
      <c r="AI2133" s="43" t="str">
        <f>_xlfn.XLOOKUP(Table26[[#This Row],[customerSKU]],customerSKU!G:G,customerSKU!O:O,"not found",0,1)</f>
        <v>not found</v>
      </c>
      <c r="AJ2133" s="22" t="e">
        <f>Table26[[#This Row],[unitprice]]*Table26[[#This Row],[quantity_unit]]</f>
        <v>#VALUE!</v>
      </c>
      <c r="AK2133" s="227" t="e" cm="1">
        <f t="array" ref="AK21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3" s="227"/>
    </row>
    <row r="2134" spans="1:38" ht="15.6" customHeight="1">
      <c r="A2134" s="42">
        <v>121</v>
      </c>
      <c r="B2134" s="42" t="s">
        <v>3520</v>
      </c>
      <c r="C2134" s="53" t="s">
        <v>203</v>
      </c>
      <c r="E2134" s="20"/>
      <c r="F21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4" s="93"/>
      <c r="I2134" s="203">
        <v>45868</v>
      </c>
      <c r="J2134" s="90" t="str">
        <f>IF(Table26[[#This Row],[customerSKU]]="","",_xlfn.XLOOKUP(Table26[[#This Row],[customerSKU]],customerSKU!G:G,customerSKU!A:A,"",0,1))</f>
        <v/>
      </c>
      <c r="K2134" s="203">
        <v>45869</v>
      </c>
      <c r="L2134" s="49" t="str">
        <f>IF(Table26[[#This Row],[customerSKU]]="","",_xlfn.XLOOKUP(Table26[[#This Row],[customerSKU]],customerSKU!G:G,customerSKU!B:B,"",0,1))</f>
        <v/>
      </c>
      <c r="M2134" s="22"/>
      <c r="N2134" s="15" t="str">
        <f>Table26[[#This Row],[po_number]]&amp;"-"&amp;Table26[[#This Row],[po_line]]</f>
        <v>-1</v>
      </c>
      <c r="O2134" s="15">
        <v>1</v>
      </c>
      <c r="P2134" s="50"/>
      <c r="Q2134" s="22" t="s">
        <v>3284</v>
      </c>
      <c r="R2134" s="22" t="s">
        <v>532</v>
      </c>
      <c r="S2134" s="90" t="str">
        <f>IF(Table26[[#This Row],[customerSKU]]="","",_xlfn.XLOOKUP(Table26[[#This Row],[customerSKU]],customerSKU!G:G,customerSKU!N:N,"NOT FOUND",0,1))</f>
        <v>NOT FOUND</v>
      </c>
      <c r="T2134" s="20">
        <v>45849</v>
      </c>
      <c r="U2134" s="94">
        <v>12</v>
      </c>
      <c r="V2134" s="22" t="str">
        <f>IF(ISBLANK(Table26[[#This Row],[customerSKU]]),"",_xlfn.XLOOKUP(Table26[[#This Row],[customerSKU]],Table27[customer_SKU],Table27[case_size],"",0,1))</f>
        <v/>
      </c>
      <c r="W2134" s="117" t="str">
        <f t="shared" si="86"/>
        <v/>
      </c>
      <c r="X2134" s="22" t="str">
        <f t="shared" si="85"/>
        <v/>
      </c>
      <c r="Y2134" s="25" t="str">
        <f>IF(Table26[[#This Row],[customerSKU]]="","",_xlfn.XLOOKUP(Table26[[#This Row],[customerSKU]],Table27[customer_SKU],Table27[product_GTIN],"",0,1))</f>
        <v/>
      </c>
      <c r="Z2134" s="25" t="s">
        <v>3522</v>
      </c>
      <c r="AA2134" s="18" t="str" cm="1">
        <f t="array" ref="AA2134">IF(P2134="", "", _xlfn.XLOOKUP(P2134,#REF!,#REF!,NA,0,-1))</f>
        <v/>
      </c>
      <c r="AB2134" s="22"/>
      <c r="AC2134" s="23" t="s">
        <v>188</v>
      </c>
      <c r="AD2134" s="23" t="str">
        <f>IF($AC2134="","",_xlfn.XLOOKUP($AC2134,'Client Info'!$C$2:$C$2497,'Client Info'!$D$2:$D$2497,"",0,1))</f>
        <v/>
      </c>
      <c r="AE2134" s="23" t="str">
        <f>IF($AC2134="","",_xlfn.XLOOKUP($AC2134,'Client Info'!$C$2:$C$2677,'Client Info'!$E$2:$E$2677,"",))</f>
        <v/>
      </c>
      <c r="AF2134" s="23" t="str">
        <f>IF($AC2134="","",_xlfn.XLOOKUP($AC2134,'Client Info'!$C$2:$C$2677,'Client Info'!$F$2:$F$2677,"",0,1))</f>
        <v/>
      </c>
      <c r="AG2134" s="23" t="s">
        <v>188</v>
      </c>
      <c r="AH2134" s="26" t="str">
        <f>_xlfn.XLOOKUP(Table26[[#This Row],[customerSKU]],customerSKU!G:G,customerSKU!K:K,"NA",0,1)</f>
        <v>NA</v>
      </c>
      <c r="AI2134" s="43" t="str">
        <f>_xlfn.XLOOKUP(Table26[[#This Row],[customerSKU]],customerSKU!G:G,customerSKU!O:O,"not found",0,1)</f>
        <v>not found</v>
      </c>
      <c r="AJ2134" s="22" t="e">
        <f>Table26[[#This Row],[unitprice]]*Table26[[#This Row],[quantity_unit]]</f>
        <v>#VALUE!</v>
      </c>
      <c r="AK2134" s="227" t="e" cm="1">
        <f t="array" ref="AK21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4" s="227"/>
    </row>
    <row r="2135" spans="1:38" ht="15.45" customHeight="1">
      <c r="A2135" s="42">
        <v>122</v>
      </c>
      <c r="B2135" s="42" t="s">
        <v>3520</v>
      </c>
      <c r="C2135" s="53" t="s">
        <v>203</v>
      </c>
      <c r="E2135" s="20"/>
      <c r="F21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5" s="93"/>
      <c r="I2135" s="203">
        <v>45868</v>
      </c>
      <c r="J2135" s="90" t="str">
        <f>IF(Table26[[#This Row],[customerSKU]]="","",_xlfn.XLOOKUP(Table26[[#This Row],[customerSKU]],customerSKU!G:G,customerSKU!A:A,"",0,1))</f>
        <v/>
      </c>
      <c r="K2135" s="203">
        <v>45869</v>
      </c>
      <c r="L2135" s="49" t="str">
        <f>IF(Table26[[#This Row],[customerSKU]]="","",_xlfn.XLOOKUP(Table26[[#This Row],[customerSKU]],customerSKU!G:G,customerSKU!B:B,"",0,1))</f>
        <v/>
      </c>
      <c r="M2135" s="22"/>
      <c r="N2135" s="15" t="str">
        <f>Table26[[#This Row],[po_number]]&amp;"-"&amp;Table26[[#This Row],[po_line]]</f>
        <v>-2</v>
      </c>
      <c r="O2135" s="15">
        <v>2</v>
      </c>
      <c r="P2135" s="50"/>
      <c r="Q2135" s="22" t="s">
        <v>574</v>
      </c>
      <c r="R2135" s="22" t="s">
        <v>532</v>
      </c>
      <c r="S2135" s="90" t="str">
        <f>IF(Table26[[#This Row],[customerSKU]]="","",_xlfn.XLOOKUP(Table26[[#This Row],[customerSKU]],customerSKU!G:G,customerSKU!N:N,"NOT FOUND",0,1))</f>
        <v>NOT FOUND</v>
      </c>
      <c r="T2135" s="20">
        <v>45848</v>
      </c>
      <c r="U2135" s="94">
        <v>12</v>
      </c>
      <c r="V2135" s="22" t="str">
        <f>IF(ISBLANK(Table26[[#This Row],[customerSKU]]),"",_xlfn.XLOOKUP(Table26[[#This Row],[customerSKU]],Table27[customer_SKU],Table27[case_size],"",0,1))</f>
        <v/>
      </c>
      <c r="W2135" s="117" t="str">
        <f t="shared" si="86"/>
        <v/>
      </c>
      <c r="X2135" s="22" t="str">
        <f t="shared" si="85"/>
        <v/>
      </c>
      <c r="Y2135" s="25" t="str">
        <f>IF(Table26[[#This Row],[customerSKU]]="","",_xlfn.XLOOKUP(Table26[[#This Row],[customerSKU]],Table27[customer_SKU],Table27[product_GTIN],"",0,1))</f>
        <v/>
      </c>
      <c r="Z2135" s="25" t="s">
        <v>3530</v>
      </c>
      <c r="AA2135" s="18" t="str" cm="1">
        <f t="array" ref="AA2135">IF(P2135="", "", _xlfn.XLOOKUP(P2135,#REF!,#REF!,NA,0,-1))</f>
        <v/>
      </c>
      <c r="AB2135" s="22"/>
      <c r="AC2135" s="23" t="s">
        <v>188</v>
      </c>
      <c r="AD2135" s="23" t="str">
        <f>IF($AC2135="","",_xlfn.XLOOKUP($AC2135,'Client Info'!$C$2:$C$2497,'Client Info'!$D$2:$D$2497,"",0,1))</f>
        <v/>
      </c>
      <c r="AE2135" s="23" t="str">
        <f>IF($AC2135="","",_xlfn.XLOOKUP($AC2135,'Client Info'!$C$2:$C$2677,'Client Info'!$E$2:$E$2677,"",))</f>
        <v/>
      </c>
      <c r="AF2135" s="23" t="str">
        <f>IF($AC2135="","",_xlfn.XLOOKUP($AC2135,'Client Info'!$C$2:$C$2677,'Client Info'!$F$2:$F$2677,"",0,1))</f>
        <v/>
      </c>
      <c r="AG2135" s="23" t="s">
        <v>188</v>
      </c>
      <c r="AH2135" s="26" t="str">
        <f>_xlfn.XLOOKUP(Table26[[#This Row],[customerSKU]],customerSKU!G:G,customerSKU!K:K,"NA",0,1)</f>
        <v>NA</v>
      </c>
      <c r="AI2135" s="43" t="str">
        <f>_xlfn.XLOOKUP(Table26[[#This Row],[customerSKU]],customerSKU!G:G,customerSKU!O:O,"not found",0,1)</f>
        <v>not found</v>
      </c>
      <c r="AJ2135" s="22" t="e">
        <f>Table26[[#This Row],[unitprice]]*Table26[[#This Row],[quantity_unit]]</f>
        <v>#VALUE!</v>
      </c>
      <c r="AK2135" s="227" t="e" cm="1">
        <f t="array" ref="AK21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5" s="227"/>
    </row>
    <row r="2136" spans="1:38" ht="15.45" customHeight="1">
      <c r="A2136" s="42">
        <v>123</v>
      </c>
      <c r="B2136" s="42" t="s">
        <v>3520</v>
      </c>
      <c r="C2136" s="53" t="s">
        <v>203</v>
      </c>
      <c r="E2136" s="20"/>
      <c r="F21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6" s="93"/>
      <c r="I2136" s="203">
        <v>45868</v>
      </c>
      <c r="J2136" s="90" t="str">
        <f>IF(Table26[[#This Row],[customerSKU]]="","",_xlfn.XLOOKUP(Table26[[#This Row],[customerSKU]],customerSKU!G:G,customerSKU!A:A,"",0,1))</f>
        <v/>
      </c>
      <c r="K2136" s="203">
        <v>45869</v>
      </c>
      <c r="L2136" s="49" t="str">
        <f>IF(Table26[[#This Row],[customerSKU]]="","",_xlfn.XLOOKUP(Table26[[#This Row],[customerSKU]],customerSKU!G:G,customerSKU!B:B,"",0,1))</f>
        <v/>
      </c>
      <c r="M2136" s="22"/>
      <c r="N2136" s="15" t="str">
        <f>Table26[[#This Row],[po_number]]&amp;"-"&amp;Table26[[#This Row],[po_line]]</f>
        <v>-3</v>
      </c>
      <c r="O2136" s="15">
        <v>3</v>
      </c>
      <c r="P2136" s="50"/>
      <c r="Q2136" s="22" t="s">
        <v>1823</v>
      </c>
      <c r="R2136" s="22" t="s">
        <v>532</v>
      </c>
      <c r="S2136" s="90" t="str">
        <f>IF(Table26[[#This Row],[customerSKU]]="","",_xlfn.XLOOKUP(Table26[[#This Row],[customerSKU]],customerSKU!G:G,customerSKU!N:N,"NOT FOUND",0,1))</f>
        <v>NOT FOUND</v>
      </c>
      <c r="T2136" s="20">
        <v>45831</v>
      </c>
      <c r="U2136" s="94">
        <v>12</v>
      </c>
      <c r="V2136" s="22" t="str">
        <f>IF(ISBLANK(Table26[[#This Row],[customerSKU]]),"",_xlfn.XLOOKUP(Table26[[#This Row],[customerSKU]],Table27[customer_SKU],Table27[case_size],"",0,1))</f>
        <v/>
      </c>
      <c r="W2136" s="117" t="str">
        <f t="shared" si="86"/>
        <v/>
      </c>
      <c r="X2136" s="22" t="str">
        <f t="shared" si="85"/>
        <v/>
      </c>
      <c r="Y2136" s="25" t="str">
        <f>IF(Table26[[#This Row],[customerSKU]]="","",_xlfn.XLOOKUP(Table26[[#This Row],[customerSKU]],Table27[customer_SKU],Table27[product_GTIN],"",0,1))</f>
        <v/>
      </c>
      <c r="Z2136" s="25" t="s">
        <v>3690</v>
      </c>
      <c r="AA2136" s="18" t="str" cm="1">
        <f t="array" ref="AA2136">IF(P2136="", "", _xlfn.XLOOKUP(P2136,#REF!,#REF!,NA,0,-1))</f>
        <v/>
      </c>
      <c r="AB2136" s="22"/>
      <c r="AC2136" s="23" t="s">
        <v>188</v>
      </c>
      <c r="AD2136" s="23" t="str">
        <f>IF($AC2136="","",_xlfn.XLOOKUP($AC2136,'Client Info'!$C$2:$C$2497,'Client Info'!$D$2:$D$2497,"",0,1))</f>
        <v/>
      </c>
      <c r="AE2136" s="23" t="str">
        <f>IF($AC2136="","",_xlfn.XLOOKUP($AC2136,'Client Info'!$C$2:$C$2677,'Client Info'!$E$2:$E$2677,"",))</f>
        <v/>
      </c>
      <c r="AF2136" s="23" t="str">
        <f>IF($AC2136="","",_xlfn.XLOOKUP($AC2136,'Client Info'!$C$2:$C$2677,'Client Info'!$F$2:$F$2677,"",0,1))</f>
        <v/>
      </c>
      <c r="AG2136" s="23" t="s">
        <v>188</v>
      </c>
      <c r="AH2136" s="26" t="str">
        <f>_xlfn.XLOOKUP(Table26[[#This Row],[customerSKU]],customerSKU!G:G,customerSKU!K:K,"NA",0,1)</f>
        <v>NA</v>
      </c>
      <c r="AI2136" s="43" t="str">
        <f>_xlfn.XLOOKUP(Table26[[#This Row],[customerSKU]],customerSKU!G:G,customerSKU!O:O,"not found",0,1)</f>
        <v>not found</v>
      </c>
      <c r="AJ2136" s="22" t="e">
        <f>Table26[[#This Row],[unitprice]]*Table26[[#This Row],[quantity_unit]]</f>
        <v>#VALUE!</v>
      </c>
      <c r="AK2136" s="227" t="e" cm="1">
        <f t="array" ref="AK21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6" s="227"/>
    </row>
    <row r="2137" spans="1:38" ht="16.2" customHeight="1">
      <c r="A2137" s="42">
        <v>99</v>
      </c>
      <c r="B2137" s="42" t="s">
        <v>3520</v>
      </c>
      <c r="C2137" s="53" t="s">
        <v>3488</v>
      </c>
      <c r="E2137" s="20"/>
      <c r="F21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7" s="93"/>
      <c r="I2137" s="203">
        <v>45868</v>
      </c>
      <c r="J2137" s="90" t="str">
        <f>IF(Table26[[#This Row],[customerSKU]]="","",_xlfn.XLOOKUP(Table26[[#This Row],[customerSKU]],customerSKU!G:G,customerSKU!A:A,"",0,1))</f>
        <v/>
      </c>
      <c r="K2137" s="19">
        <v>45870</v>
      </c>
      <c r="L2137" s="49" t="str">
        <f>IF(Table26[[#This Row],[customerSKU]]="","",_xlfn.XLOOKUP(Table26[[#This Row],[customerSKU]],customerSKU!G:G,customerSKU!B:B,"",0,1))</f>
        <v/>
      </c>
      <c r="M2137" s="22"/>
      <c r="N2137" s="15" t="str">
        <f>Table26[[#This Row],[po_number]]&amp;"-"&amp;Table26[[#This Row],[po_line]]</f>
        <v>-1</v>
      </c>
      <c r="O2137" s="15">
        <v>1</v>
      </c>
      <c r="P2137" s="50"/>
      <c r="Q2137" s="22" t="s">
        <v>1823</v>
      </c>
      <c r="R2137" s="22" t="s">
        <v>532</v>
      </c>
      <c r="S2137" s="90" t="str">
        <f>IF(Table26[[#This Row],[customerSKU]]="","",_xlfn.XLOOKUP(Table26[[#This Row],[customerSKU]],customerSKU!G:G,customerSKU!N:N,"NOT FOUND",0,1))</f>
        <v>NOT FOUND</v>
      </c>
      <c r="T2137" s="20">
        <v>45831</v>
      </c>
      <c r="U2137" s="94">
        <v>12</v>
      </c>
      <c r="V2137" s="22" t="str">
        <f>IF(ISBLANK(Table26[[#This Row],[customerSKU]]),"",_xlfn.XLOOKUP(Table26[[#This Row],[customerSKU]],Table27[customer_SKU],Table27[case_size],"",0,1))</f>
        <v/>
      </c>
      <c r="W2137" s="117" t="str">
        <f t="shared" si="86"/>
        <v/>
      </c>
      <c r="X2137" s="22" t="str">
        <f t="shared" si="85"/>
        <v/>
      </c>
      <c r="Y2137" s="25" t="str">
        <f>IF(Table26[[#This Row],[customerSKU]]="","",_xlfn.XLOOKUP(Table26[[#This Row],[customerSKU]],Table27[customer_SKU],Table27[product_GTIN],"",0,1))</f>
        <v/>
      </c>
      <c r="Z2137" s="25" t="s">
        <v>3690</v>
      </c>
      <c r="AA2137" s="18" t="str" cm="1">
        <f t="array" ref="AA2137">IF(P2137="", "", _xlfn.XLOOKUP(P2137,#REF!,#REF!,NA,0,-1))</f>
        <v/>
      </c>
      <c r="AB2137" s="22"/>
      <c r="AC2137" s="23" t="str">
        <f>IF(Table26[[#This Row],[customerSKU]]="","",_xlfn.XLOOKUP(Table26[[#This Row],[customerSKU]],customerSKU!G:G,customerSKU!C:C,"",0,1))</f>
        <v/>
      </c>
      <c r="AD2137" s="23" t="str">
        <f>IF($AC2137="","",_xlfn.XLOOKUP($AC2137,'Client Info'!$C$2:$C$2497,'Client Info'!$D$2:$D$2497,"",0,1))</f>
        <v/>
      </c>
      <c r="AE2137" s="23" t="str">
        <f>IF($AC2137="","",_xlfn.XLOOKUP($AC2137,'Client Info'!$C$2:$C$2677,'Client Info'!$E$2:$E$2677,"",))</f>
        <v/>
      </c>
      <c r="AF2137" s="23" t="str">
        <f>IF($AC2137="","",_xlfn.XLOOKUP($AC2137,'Client Info'!$C$2:$C$2677,'Client Info'!$F$2:$F$2677,"",0,1))</f>
        <v/>
      </c>
      <c r="AG2137" s="23" t="str">
        <f>IF(ISBLANK(Table26[[#This Row],[customerSKU]]),"",_xlfn.XLOOKUP(Table26[[#This Row],[customerSKU]],Table27[customer_SKU],Table27[billto],"",0,1))</f>
        <v/>
      </c>
      <c r="AH2137" s="26" t="str">
        <f>_xlfn.XLOOKUP(Table26[[#This Row],[customerSKU]],customerSKU!G:G,customerSKU!K:K,"NA",0,1)</f>
        <v>NA</v>
      </c>
      <c r="AI2137" s="43" t="str">
        <f>_xlfn.XLOOKUP(Table26[[#This Row],[customerSKU]],customerSKU!G:G,customerSKU!O:O,"not found",0,1)</f>
        <v>not found</v>
      </c>
      <c r="AJ2137" s="22" t="e">
        <f>Table26[[#This Row],[unitprice]]*Table26[[#This Row],[quantity_unit]]</f>
        <v>#VALUE!</v>
      </c>
      <c r="AK2137" s="227" t="e" cm="1">
        <f t="array" ref="AK21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7" s="227"/>
    </row>
    <row r="2138" spans="1:38" ht="16.2" customHeight="1">
      <c r="A2138" s="42">
        <v>100</v>
      </c>
      <c r="B2138" s="42" t="s">
        <v>3520</v>
      </c>
      <c r="C2138" s="53" t="s">
        <v>3488</v>
      </c>
      <c r="E2138" s="20"/>
      <c r="F21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8" s="93"/>
      <c r="I2138" s="203">
        <v>45868</v>
      </c>
      <c r="J2138" s="90" t="str">
        <f>IF(Table26[[#This Row],[customerSKU]]="","",_xlfn.XLOOKUP(Table26[[#This Row],[customerSKU]],customerSKU!G:G,customerSKU!A:A,"",0,1))</f>
        <v/>
      </c>
      <c r="K2138" s="19">
        <v>45870</v>
      </c>
      <c r="L2138" s="49" t="str">
        <f>IF(Table26[[#This Row],[customerSKU]]="","",_xlfn.XLOOKUP(Table26[[#This Row],[customerSKU]],customerSKU!G:G,customerSKU!B:B,"",0,1))</f>
        <v/>
      </c>
      <c r="M2138" s="22"/>
      <c r="N2138" s="15" t="str">
        <f>Table26[[#This Row],[po_number]]&amp;"-"&amp;Table26[[#This Row],[po_line]]</f>
        <v>-2</v>
      </c>
      <c r="O2138" s="15">
        <v>2</v>
      </c>
      <c r="P2138" s="50"/>
      <c r="Q2138" s="22" t="s">
        <v>1312</v>
      </c>
      <c r="R2138" s="22" t="s">
        <v>532</v>
      </c>
      <c r="S2138" s="90" t="str">
        <f>IF(Table26[[#This Row],[customerSKU]]="","",_xlfn.XLOOKUP(Table26[[#This Row],[customerSKU]],customerSKU!G:G,customerSKU!N:N,"NOT FOUND",0,1))</f>
        <v>NOT FOUND</v>
      </c>
      <c r="T2138" s="20">
        <v>45854</v>
      </c>
      <c r="U2138" s="94">
        <v>12</v>
      </c>
      <c r="V2138" s="22" t="str">
        <f>IF(ISBLANK(Table26[[#This Row],[customerSKU]]),"",_xlfn.XLOOKUP(Table26[[#This Row],[customerSKU]],Table27[customer_SKU],Table27[case_size],"",0,1))</f>
        <v/>
      </c>
      <c r="W2138" s="117" t="str">
        <f t="shared" si="86"/>
        <v/>
      </c>
      <c r="X2138" s="22" t="str">
        <f t="shared" si="85"/>
        <v/>
      </c>
      <c r="Y2138" s="25" t="str">
        <f>IF(Table26[[#This Row],[customerSKU]]="","",_xlfn.XLOOKUP(Table26[[#This Row],[customerSKU]],Table27[customer_SKU],Table27[product_GTIN],"",0,1))</f>
        <v/>
      </c>
      <c r="Z2138" s="25" t="s">
        <v>3605</v>
      </c>
      <c r="AA2138" s="18" t="str" cm="1">
        <f t="array" ref="AA2138">IF(P2138="", "", _xlfn.XLOOKUP(P2138,#REF!,#REF!,NA,0,-1))</f>
        <v/>
      </c>
      <c r="AB2138" s="22"/>
      <c r="AC2138" s="23" t="str">
        <f>IF(Table26[[#This Row],[customerSKU]]="","",_xlfn.XLOOKUP(Table26[[#This Row],[customerSKU]],customerSKU!G:G,customerSKU!C:C,"",0,1))</f>
        <v/>
      </c>
      <c r="AD2138" s="23" t="str">
        <f>IF($AC2138="","",_xlfn.XLOOKUP($AC2138,'Client Info'!$C$2:$C$2497,'Client Info'!$D$2:$D$2497,"",0,1))</f>
        <v/>
      </c>
      <c r="AE2138" s="23" t="str">
        <f>IF($AC2138="","",_xlfn.XLOOKUP($AC2138,'Client Info'!$C$2:$C$2677,'Client Info'!$E$2:$E$2677,"",))</f>
        <v/>
      </c>
      <c r="AF2138" s="23" t="str">
        <f>IF($AC2138="","",_xlfn.XLOOKUP($AC2138,'Client Info'!$C$2:$C$2677,'Client Info'!$F$2:$F$2677,"",0,1))</f>
        <v/>
      </c>
      <c r="AG2138" s="23" t="str">
        <f>IF(ISBLANK(Table26[[#This Row],[customerSKU]]),"",_xlfn.XLOOKUP(Table26[[#This Row],[customerSKU]],Table27[customer_SKU],Table27[billto],"",0,1))</f>
        <v/>
      </c>
      <c r="AH2138" s="26" t="str">
        <f>_xlfn.XLOOKUP(Table26[[#This Row],[customerSKU]],customerSKU!G:G,customerSKU!K:K,"NA",0,1)</f>
        <v>NA</v>
      </c>
      <c r="AI2138" s="43" t="str">
        <f>_xlfn.XLOOKUP(Table26[[#This Row],[customerSKU]],customerSKU!G:G,customerSKU!O:O,"not found",0,1)</f>
        <v>not found</v>
      </c>
      <c r="AJ2138" s="22" t="e">
        <f>Table26[[#This Row],[unitprice]]*Table26[[#This Row],[quantity_unit]]</f>
        <v>#VALUE!</v>
      </c>
      <c r="AK2138" s="227" t="e" cm="1">
        <f t="array" ref="AK21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8" s="227"/>
    </row>
    <row r="2139" spans="1:38" ht="16.2" customHeight="1">
      <c r="A2139" s="42">
        <v>101</v>
      </c>
      <c r="B2139" s="42" t="s">
        <v>3520</v>
      </c>
      <c r="C2139" s="53" t="s">
        <v>3488</v>
      </c>
      <c r="E2139" s="20"/>
      <c r="F21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39" s="93"/>
      <c r="I2139" s="203">
        <v>45868</v>
      </c>
      <c r="J2139" s="90" t="str">
        <f>IF(Table26[[#This Row],[customerSKU]]="","",_xlfn.XLOOKUP(Table26[[#This Row],[customerSKU]],customerSKU!G:G,customerSKU!A:A,"",0,1))</f>
        <v/>
      </c>
      <c r="K2139" s="19">
        <v>45870</v>
      </c>
      <c r="L2139" s="49" t="str">
        <f>IF(Table26[[#This Row],[customerSKU]]="","",_xlfn.XLOOKUP(Table26[[#This Row],[customerSKU]],customerSKU!G:G,customerSKU!B:B,"",0,1))</f>
        <v/>
      </c>
      <c r="M2139" s="22"/>
      <c r="N2139" s="15" t="str">
        <f>Table26[[#This Row],[po_number]]&amp;"-"&amp;Table26[[#This Row],[po_line]]</f>
        <v>-3</v>
      </c>
      <c r="O2139" s="15">
        <v>3</v>
      </c>
      <c r="P2139" s="50"/>
      <c r="Q2139" s="22" t="s">
        <v>531</v>
      </c>
      <c r="R2139" s="22" t="s">
        <v>532</v>
      </c>
      <c r="S2139" s="90" t="str">
        <f>IF(Table26[[#This Row],[customerSKU]]="","",_xlfn.XLOOKUP(Table26[[#This Row],[customerSKU]],customerSKU!G:G,customerSKU!N:N,"NOT FOUND",0,1))</f>
        <v>NOT FOUND</v>
      </c>
      <c r="T2139" s="20">
        <v>45478</v>
      </c>
      <c r="U2139" s="94">
        <v>6</v>
      </c>
      <c r="V2139" s="22" t="str">
        <f>IF(ISBLANK(Table26[[#This Row],[customerSKU]]),"",_xlfn.XLOOKUP(Table26[[#This Row],[customerSKU]],Table27[customer_SKU],Table27[case_size],"",0,1))</f>
        <v/>
      </c>
      <c r="W2139" s="117" t="str">
        <f t="shared" si="86"/>
        <v/>
      </c>
      <c r="X2139" s="22" t="str">
        <f t="shared" si="85"/>
        <v/>
      </c>
      <c r="Y2139" s="25" t="str">
        <f>IF(Table26[[#This Row],[customerSKU]]="","",_xlfn.XLOOKUP(Table26[[#This Row],[customerSKU]],Table27[customer_SKU],Table27[product_GTIN],"",0,1))</f>
        <v/>
      </c>
      <c r="Z2139" s="25" t="s">
        <v>3597</v>
      </c>
      <c r="AA2139" s="18" t="str" cm="1">
        <f t="array" ref="AA2139">IF(P2139="", "", _xlfn.XLOOKUP(P2139,#REF!,#REF!,NA,0,-1))</f>
        <v/>
      </c>
      <c r="AB2139" s="22" t="s">
        <v>18</v>
      </c>
      <c r="AC2139" s="23" t="str">
        <f>IF(Table26[[#This Row],[customerSKU]]="","",_xlfn.XLOOKUP(Table26[[#This Row],[customerSKU]],customerSKU!G:G,customerSKU!C:C,"",0,1))</f>
        <v/>
      </c>
      <c r="AD2139" s="23" t="str">
        <f>IF($AC2139="","",_xlfn.XLOOKUP($AC2139,'Client Info'!$C$2:$C$2497,'Client Info'!$D$2:$D$2497,"",0,1))</f>
        <v/>
      </c>
      <c r="AE2139" s="23" t="str">
        <f>IF($AC2139="","",_xlfn.XLOOKUP($AC2139,'Client Info'!$C$2:$C$2677,'Client Info'!$E$2:$E$2677,"",))</f>
        <v/>
      </c>
      <c r="AF2139" s="23" t="str">
        <f>IF($AC2139="","",_xlfn.XLOOKUP($AC2139,'Client Info'!$C$2:$C$2677,'Client Info'!$F$2:$F$2677,"",0,1))</f>
        <v/>
      </c>
      <c r="AG2139" s="23" t="str">
        <f>IF(ISBLANK(Table26[[#This Row],[customerSKU]]),"",_xlfn.XLOOKUP(Table26[[#This Row],[customerSKU]],Table27[customer_SKU],Table27[billto],"",0,1))</f>
        <v/>
      </c>
      <c r="AH2139" s="26" t="str">
        <f>_xlfn.XLOOKUP(Table26[[#This Row],[customerSKU]],customerSKU!G:G,customerSKU!K:K,"NA",0,1)</f>
        <v>NA</v>
      </c>
      <c r="AI2139" s="43" t="str">
        <f>_xlfn.XLOOKUP(Table26[[#This Row],[customerSKU]],customerSKU!G:G,customerSKU!O:O,"not found",0,1)</f>
        <v>not found</v>
      </c>
      <c r="AJ2139" s="22" t="e">
        <f>Table26[[#This Row],[unitprice]]*Table26[[#This Row],[quantity_unit]]</f>
        <v>#VALUE!</v>
      </c>
      <c r="AK2139" s="227" t="e" cm="1">
        <f t="array" ref="AK21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39" s="227"/>
    </row>
    <row r="2140" spans="1:38" ht="16.2" customHeight="1">
      <c r="A2140" s="42">
        <v>102</v>
      </c>
      <c r="B2140" s="42" t="s">
        <v>3520</v>
      </c>
      <c r="C2140" s="53" t="s">
        <v>3488</v>
      </c>
      <c r="E2140" s="20"/>
      <c r="F21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0" s="93"/>
      <c r="I2140" s="203">
        <v>45868</v>
      </c>
      <c r="J2140" s="90" t="str">
        <f>IF(Table26[[#This Row],[customerSKU]]="","",_xlfn.XLOOKUP(Table26[[#This Row],[customerSKU]],customerSKU!G:G,customerSKU!A:A,"",0,1))</f>
        <v/>
      </c>
      <c r="K2140" s="19">
        <v>45870</v>
      </c>
      <c r="L2140" s="49" t="str">
        <f>IF(Table26[[#This Row],[customerSKU]]="","",_xlfn.XLOOKUP(Table26[[#This Row],[customerSKU]],customerSKU!G:G,customerSKU!B:B,"",0,1))</f>
        <v/>
      </c>
      <c r="M2140" s="22"/>
      <c r="N2140" s="15" t="str">
        <f>Table26[[#This Row],[po_number]]&amp;"-"&amp;Table26[[#This Row],[po_line]]</f>
        <v>-4</v>
      </c>
      <c r="O2140" s="15">
        <v>4</v>
      </c>
      <c r="P2140" s="50"/>
      <c r="Q2140" s="22" t="s">
        <v>543</v>
      </c>
      <c r="R2140" s="22" t="s">
        <v>532</v>
      </c>
      <c r="S2140" s="90" t="str">
        <f>IF(Table26[[#This Row],[customerSKU]]="","",_xlfn.XLOOKUP(Table26[[#This Row],[customerSKU]],customerSKU!G:G,customerSKU!N:N,"NOT FOUND",0,1))</f>
        <v>NOT FOUND</v>
      </c>
      <c r="T2140" s="20">
        <v>45793</v>
      </c>
      <c r="U2140" s="94">
        <v>6</v>
      </c>
      <c r="V2140" s="22" t="str">
        <f>IF(ISBLANK(Table26[[#This Row],[customerSKU]]),"",_xlfn.XLOOKUP(Table26[[#This Row],[customerSKU]],Table27[customer_SKU],Table27[case_size],"",0,1))</f>
        <v/>
      </c>
      <c r="W2140" s="117" t="str">
        <f t="shared" si="86"/>
        <v/>
      </c>
      <c r="X2140" s="22" t="str">
        <f t="shared" si="85"/>
        <v/>
      </c>
      <c r="Y2140" s="25" t="str">
        <f>IF(Table26[[#This Row],[customerSKU]]="","",_xlfn.XLOOKUP(Table26[[#This Row],[customerSKU]],Table27[customer_SKU],Table27[product_GTIN],"",0,1))</f>
        <v/>
      </c>
      <c r="Z2140" s="25" t="s">
        <v>3599</v>
      </c>
      <c r="AA2140" s="18" t="str" cm="1">
        <f t="array" ref="AA2140">IF(P2140="", "", _xlfn.XLOOKUP(P2140,#REF!,#REF!,NA,0,-1))</f>
        <v/>
      </c>
      <c r="AB2140" s="22"/>
      <c r="AC2140" s="23" t="str">
        <f>IF(Table26[[#This Row],[customerSKU]]="","",_xlfn.XLOOKUP(Table26[[#This Row],[customerSKU]],customerSKU!G:G,customerSKU!C:C,"",0,1))</f>
        <v/>
      </c>
      <c r="AD2140" s="23" t="str">
        <f>IF($AC2140="","",_xlfn.XLOOKUP($AC2140,'Client Info'!$C$2:$C$2497,'Client Info'!$D$2:$D$2497,"",0,1))</f>
        <v/>
      </c>
      <c r="AE2140" s="23" t="str">
        <f>IF($AC2140="","",_xlfn.XLOOKUP($AC2140,'Client Info'!$C$2:$C$2677,'Client Info'!$E$2:$E$2677,"",))</f>
        <v/>
      </c>
      <c r="AF2140" s="23" t="str">
        <f>IF($AC2140="","",_xlfn.XLOOKUP($AC2140,'Client Info'!$C$2:$C$2677,'Client Info'!$F$2:$F$2677,"",0,1))</f>
        <v/>
      </c>
      <c r="AG2140" s="23" t="str">
        <f>IF(ISBLANK(Table26[[#This Row],[customerSKU]]),"",_xlfn.XLOOKUP(Table26[[#This Row],[customerSKU]],Table27[customer_SKU],Table27[billto],"",0,1))</f>
        <v/>
      </c>
      <c r="AH2140" s="26" t="str">
        <f>_xlfn.XLOOKUP(Table26[[#This Row],[customerSKU]],customerSKU!G:G,customerSKU!K:K,"NA",0,1)</f>
        <v>NA</v>
      </c>
      <c r="AI2140" s="43" t="str">
        <f>_xlfn.XLOOKUP(Table26[[#This Row],[customerSKU]],customerSKU!G:G,customerSKU!O:O,"not found",0,1)</f>
        <v>not found</v>
      </c>
      <c r="AJ2140" s="22" t="e">
        <f>Table26[[#This Row],[unitprice]]*Table26[[#This Row],[quantity_unit]]</f>
        <v>#VALUE!</v>
      </c>
      <c r="AK2140" s="227" t="e" cm="1">
        <f t="array" ref="AK21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0" s="227"/>
    </row>
    <row r="2141" spans="1:38" ht="15.45" customHeight="1">
      <c r="A2141" s="42">
        <v>103</v>
      </c>
      <c r="B2141" s="42" t="s">
        <v>3520</v>
      </c>
      <c r="C2141" s="53" t="s">
        <v>3488</v>
      </c>
      <c r="E2141" s="20"/>
      <c r="F21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1" s="93"/>
      <c r="I2141" s="203">
        <v>45868</v>
      </c>
      <c r="J2141" s="90" t="str">
        <f>IF(Table26[[#This Row],[customerSKU]]="","",_xlfn.XLOOKUP(Table26[[#This Row],[customerSKU]],customerSKU!G:G,customerSKU!A:A,"",0,1))</f>
        <v/>
      </c>
      <c r="K2141" s="19">
        <v>45870</v>
      </c>
      <c r="L2141" s="49" t="str">
        <f>IF(Table26[[#This Row],[customerSKU]]="","",_xlfn.XLOOKUP(Table26[[#This Row],[customerSKU]],customerSKU!G:G,customerSKU!B:B,"",0,1))</f>
        <v/>
      </c>
      <c r="M2141" s="22"/>
      <c r="N2141" s="15" t="str">
        <f>Table26[[#This Row],[po_number]]&amp;"-"&amp;Table26[[#This Row],[po_line]]</f>
        <v>-5</v>
      </c>
      <c r="O2141" s="15">
        <v>5</v>
      </c>
      <c r="P2141" s="50"/>
      <c r="Q2141" s="22" t="s">
        <v>3284</v>
      </c>
      <c r="R2141" s="22" t="s">
        <v>532</v>
      </c>
      <c r="S2141" s="90" t="str">
        <f>IF(Table26[[#This Row],[customerSKU]]="","",_xlfn.XLOOKUP(Table26[[#This Row],[customerSKU]],customerSKU!G:G,customerSKU!N:N,"NOT FOUND",0,1))</f>
        <v>NOT FOUND</v>
      </c>
      <c r="T2141" s="20">
        <v>45849</v>
      </c>
      <c r="U2141" s="94">
        <v>12</v>
      </c>
      <c r="V2141" s="22" t="str">
        <f>IF(ISBLANK(Table26[[#This Row],[customerSKU]]),"",_xlfn.XLOOKUP(Table26[[#This Row],[customerSKU]],Table27[customer_SKU],Table27[case_size],"",0,1))</f>
        <v/>
      </c>
      <c r="W2141" s="117" t="str">
        <f t="shared" si="86"/>
        <v/>
      </c>
      <c r="X2141" s="22" t="str">
        <f t="shared" si="85"/>
        <v/>
      </c>
      <c r="Y2141" s="25" t="str">
        <f>IF(Table26[[#This Row],[customerSKU]]="","",_xlfn.XLOOKUP(Table26[[#This Row],[customerSKU]],Table27[customer_SKU],Table27[product_GTIN],"",0,1))</f>
        <v/>
      </c>
      <c r="Z2141" s="25" t="s">
        <v>3522</v>
      </c>
      <c r="AA2141" s="18" t="str" cm="1">
        <f t="array" ref="AA2141">IF(P2141="", "", _xlfn.XLOOKUP(P2141,#REF!,#REF!,NA,0,-1))</f>
        <v/>
      </c>
      <c r="AB2141" s="22"/>
      <c r="AC2141" s="23" t="str">
        <f>IF(Table26[[#This Row],[customerSKU]]="","",_xlfn.XLOOKUP(Table26[[#This Row],[customerSKU]],customerSKU!G:G,customerSKU!C:C,"",0,1))</f>
        <v/>
      </c>
      <c r="AD2141" s="23" t="str">
        <f>IF($AC2141="","",_xlfn.XLOOKUP($AC2141,'Client Info'!$C$2:$C$2497,'Client Info'!$D$2:$D$2497,"",0,1))</f>
        <v/>
      </c>
      <c r="AE2141" s="23" t="str">
        <f>IF($AC2141="","",_xlfn.XLOOKUP($AC2141,'Client Info'!$C$2:$C$2677,'Client Info'!$E$2:$E$2677,"",))</f>
        <v/>
      </c>
      <c r="AF2141" s="23" t="str">
        <f>IF($AC2141="","",_xlfn.XLOOKUP($AC2141,'Client Info'!$C$2:$C$2677,'Client Info'!$F$2:$F$2677,"",0,1))</f>
        <v/>
      </c>
      <c r="AG2141" s="23" t="str">
        <f>IF(ISBLANK(Table26[[#This Row],[customerSKU]]),"",_xlfn.XLOOKUP(Table26[[#This Row],[customerSKU]],Table27[customer_SKU],Table27[billto],"",0,1))</f>
        <v/>
      </c>
      <c r="AH2141" s="26" t="str">
        <f>_xlfn.XLOOKUP(Table26[[#This Row],[customerSKU]],customerSKU!G:G,customerSKU!K:K,"NA",0,1)</f>
        <v>NA</v>
      </c>
      <c r="AI2141" s="43" t="str">
        <f>_xlfn.XLOOKUP(Table26[[#This Row],[customerSKU]],customerSKU!G:G,customerSKU!O:O,"not found",0,1)</f>
        <v>not found</v>
      </c>
      <c r="AJ2141" s="22" t="e">
        <f>Table26[[#This Row],[unitprice]]*Table26[[#This Row],[quantity_unit]]</f>
        <v>#VALUE!</v>
      </c>
      <c r="AK2141" s="227" t="e" cm="1">
        <f t="array" ref="AK21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1" s="227"/>
    </row>
    <row r="2142" spans="1:38" ht="15.45" customHeight="1">
      <c r="A2142" s="42">
        <v>104</v>
      </c>
      <c r="B2142" s="42" t="s">
        <v>3520</v>
      </c>
      <c r="C2142" s="53" t="s">
        <v>3488</v>
      </c>
      <c r="E2142" s="20"/>
      <c r="F21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2" s="93"/>
      <c r="I2142" s="203">
        <v>45868</v>
      </c>
      <c r="J2142" s="90" t="str">
        <f>IF(Table26[[#This Row],[customerSKU]]="","",_xlfn.XLOOKUP(Table26[[#This Row],[customerSKU]],customerSKU!G:G,customerSKU!A:A,"",0,1))</f>
        <v/>
      </c>
      <c r="K2142" s="19">
        <v>45870</v>
      </c>
      <c r="L2142" s="49" t="str">
        <f>IF(Table26[[#This Row],[customerSKU]]="","",_xlfn.XLOOKUP(Table26[[#This Row],[customerSKU]],customerSKU!G:G,customerSKU!B:B,"",0,1))</f>
        <v/>
      </c>
      <c r="M2142" s="22"/>
      <c r="N2142" s="15" t="str">
        <f>Table26[[#This Row],[po_number]]&amp;"-"&amp;Table26[[#This Row],[po_line]]</f>
        <v>-6</v>
      </c>
      <c r="O2142" s="15">
        <v>6</v>
      </c>
      <c r="P2142" s="50"/>
      <c r="Q2142" s="22" t="s">
        <v>574</v>
      </c>
      <c r="R2142" s="22" t="s">
        <v>532</v>
      </c>
      <c r="S2142" s="90" t="str">
        <f>IF(Table26[[#This Row],[customerSKU]]="","",_xlfn.XLOOKUP(Table26[[#This Row],[customerSKU]],customerSKU!G:G,customerSKU!N:N,"NOT FOUND",0,1))</f>
        <v>NOT FOUND</v>
      </c>
      <c r="T2142" s="20">
        <v>45848</v>
      </c>
      <c r="U2142" s="94">
        <v>12</v>
      </c>
      <c r="V2142" s="22" t="str">
        <f>IF(ISBLANK(Table26[[#This Row],[customerSKU]]),"",_xlfn.XLOOKUP(Table26[[#This Row],[customerSKU]],Table27[customer_SKU],Table27[case_size],"",0,1))</f>
        <v/>
      </c>
      <c r="W2142" s="117" t="str">
        <f t="shared" si="86"/>
        <v/>
      </c>
      <c r="X2142" s="22" t="str">
        <f t="shared" si="85"/>
        <v/>
      </c>
      <c r="Y2142" s="25" t="str">
        <f>IF(Table26[[#This Row],[customerSKU]]="","",_xlfn.XLOOKUP(Table26[[#This Row],[customerSKU]],Table27[customer_SKU],Table27[product_GTIN],"",0,1))</f>
        <v/>
      </c>
      <c r="Z2142" s="25" t="s">
        <v>3530</v>
      </c>
      <c r="AA2142" s="18" t="str" cm="1">
        <f t="array" ref="AA2142">IF(P2142="", "", _xlfn.XLOOKUP(P2142,#REF!,#REF!,NA,0,-1))</f>
        <v/>
      </c>
      <c r="AB2142" s="22"/>
      <c r="AC2142" s="23" t="str">
        <f>IF(Table26[[#This Row],[customerSKU]]="","",_xlfn.XLOOKUP(Table26[[#This Row],[customerSKU]],customerSKU!G:G,customerSKU!C:C,"",0,1))</f>
        <v/>
      </c>
      <c r="AD2142" s="23" t="str">
        <f>IF($AC2142="","",_xlfn.XLOOKUP($AC2142,'Client Info'!$C$2:$C$2497,'Client Info'!$D$2:$D$2497,"",0,1))</f>
        <v/>
      </c>
      <c r="AE2142" s="23" t="str">
        <f>IF($AC2142="","",_xlfn.XLOOKUP($AC2142,'Client Info'!$C$2:$C$2677,'Client Info'!$E$2:$E$2677,"",))</f>
        <v/>
      </c>
      <c r="AF2142" s="23" t="str">
        <f>IF($AC2142="","",_xlfn.XLOOKUP($AC2142,'Client Info'!$C$2:$C$2677,'Client Info'!$F$2:$F$2677,"",0,1))</f>
        <v/>
      </c>
      <c r="AG2142" s="23" t="str">
        <f>IF(ISBLANK(Table26[[#This Row],[customerSKU]]),"",_xlfn.XLOOKUP(Table26[[#This Row],[customerSKU]],Table27[customer_SKU],Table27[billto],"",0,1))</f>
        <v/>
      </c>
      <c r="AH2142" s="26" t="str">
        <f>_xlfn.XLOOKUP(Table26[[#This Row],[customerSKU]],customerSKU!G:G,customerSKU!K:K,"NA",0,1)</f>
        <v>NA</v>
      </c>
      <c r="AI2142" s="43" t="str">
        <f>_xlfn.XLOOKUP(Table26[[#This Row],[customerSKU]],customerSKU!G:G,customerSKU!O:O,"not found",0,1)</f>
        <v>not found</v>
      </c>
      <c r="AJ2142" s="22" t="e">
        <f>Table26[[#This Row],[unitprice]]*Table26[[#This Row],[quantity_unit]]</f>
        <v>#VALUE!</v>
      </c>
      <c r="AK2142" s="227" t="e" cm="1">
        <f t="array" ref="AK21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2" s="227"/>
    </row>
    <row r="2143" spans="1:38" ht="15.45" customHeight="1">
      <c r="A2143" s="42">
        <v>105</v>
      </c>
      <c r="B2143" s="42" t="s">
        <v>3520</v>
      </c>
      <c r="C2143" s="53" t="s">
        <v>203</v>
      </c>
      <c r="E2143" s="20"/>
      <c r="F21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3" s="93"/>
      <c r="I2143" s="203">
        <v>45868</v>
      </c>
      <c r="J2143" s="90" t="s">
        <v>601</v>
      </c>
      <c r="K2143" s="19">
        <v>45870</v>
      </c>
      <c r="L2143" s="49" t="s">
        <v>504</v>
      </c>
      <c r="M2143" s="22"/>
      <c r="N2143" s="15" t="str">
        <f>Table26[[#This Row],[po_number]]&amp;"-"&amp;Table26[[#This Row],[po_line]]</f>
        <v>-1</v>
      </c>
      <c r="O2143" s="15">
        <v>1</v>
      </c>
      <c r="P2143" s="50"/>
      <c r="Q2143" s="22" t="s">
        <v>3754</v>
      </c>
      <c r="R2143" s="22" t="s">
        <v>532</v>
      </c>
      <c r="S2143" s="90" t="s">
        <v>13</v>
      </c>
      <c r="T2143" s="20">
        <v>45668</v>
      </c>
      <c r="U2143" s="94">
        <v>60</v>
      </c>
      <c r="V2143" s="22">
        <v>6</v>
      </c>
      <c r="W2143" s="117">
        <v>10</v>
      </c>
      <c r="X2143" s="22">
        <v>60</v>
      </c>
      <c r="Y2143" s="25" t="s">
        <v>3755</v>
      </c>
      <c r="Z2143" s="25"/>
      <c r="AA2143" s="18" t="str" cm="1">
        <f t="array" ref="AA2143">IF(P2143="", "", _xlfn.XLOOKUP(P2143,#REF!,#REF!,NA,0,-1))</f>
        <v/>
      </c>
      <c r="AB2143" s="22"/>
      <c r="AC2143" s="23" t="s">
        <v>111</v>
      </c>
      <c r="AD2143" s="23" t="s">
        <v>3756</v>
      </c>
      <c r="AE2143" s="23" t="s">
        <v>35</v>
      </c>
      <c r="AF2143" s="23" t="s">
        <v>13</v>
      </c>
      <c r="AG2143" s="23" t="s">
        <v>111</v>
      </c>
      <c r="AH2143" s="26" t="str">
        <f>_xlfn.XLOOKUP(Table26[[#This Row],[customerSKU]],customerSKU!G:G,customerSKU!K:K,"NA",0,1)</f>
        <v>NA</v>
      </c>
      <c r="AI2143" s="43" t="e">
        <f>_xlfn.XLOOKUP(Table26[[#This Row],[Product_name]],#REF!,#REF!,"not found",0,1)</f>
        <v>#REF!</v>
      </c>
      <c r="AJ2143" s="22" t="e">
        <f>Table26[[#This Row],[unitprice]]*Table26[[#This Row],[quantity_unit]]</f>
        <v>#VALUE!</v>
      </c>
      <c r="AK2143" s="227" t="e" cm="1">
        <f t="array" ref="AK21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3" s="227"/>
    </row>
    <row r="2144" spans="1:38" ht="15.45" customHeight="1">
      <c r="A2144" s="42">
        <v>106</v>
      </c>
      <c r="B2144" s="42" t="s">
        <v>3520</v>
      </c>
      <c r="C2144" s="53" t="s">
        <v>203</v>
      </c>
      <c r="E2144" s="20"/>
      <c r="F21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4" s="93"/>
      <c r="I2144" s="203">
        <v>45868</v>
      </c>
      <c r="J2144" s="90" t="s">
        <v>601</v>
      </c>
      <c r="K2144" s="19">
        <v>45870</v>
      </c>
      <c r="L2144" s="49" t="s">
        <v>504</v>
      </c>
      <c r="M2144" s="22"/>
      <c r="N2144" s="15" t="str">
        <f>Table26[[#This Row],[po_number]]&amp;"-"&amp;Table26[[#This Row],[po_line]]</f>
        <v>-1</v>
      </c>
      <c r="O2144" s="15">
        <v>1</v>
      </c>
      <c r="P2144" s="50"/>
      <c r="Q2144" s="22" t="s">
        <v>3744</v>
      </c>
      <c r="R2144" s="22" t="s">
        <v>532</v>
      </c>
      <c r="S2144" s="90" t="s">
        <v>13</v>
      </c>
      <c r="T2144" s="20">
        <v>45865</v>
      </c>
      <c r="U2144" s="94">
        <v>6</v>
      </c>
      <c r="V2144" s="22">
        <v>6</v>
      </c>
      <c r="W2144" s="117">
        <v>1</v>
      </c>
      <c r="X2144" s="22">
        <v>6</v>
      </c>
      <c r="Y2144" s="25" t="s">
        <v>3758</v>
      </c>
      <c r="Z2144" s="25"/>
      <c r="AA2144" s="18" t="str" cm="1">
        <f t="array" ref="AA2144">IF(P2144="", "", _xlfn.XLOOKUP(P2144,#REF!,#REF!,NA,0,-1))</f>
        <v/>
      </c>
      <c r="AB2144" s="22"/>
      <c r="AC2144" s="362" t="s">
        <v>202</v>
      </c>
      <c r="AD2144" s="23" t="s">
        <v>195</v>
      </c>
      <c r="AE2144" s="23" t="s">
        <v>107</v>
      </c>
      <c r="AF2144" s="23" t="s">
        <v>13</v>
      </c>
      <c r="AG2144" s="362" t="s">
        <v>202</v>
      </c>
      <c r="AH2144" s="26" t="str">
        <f>_xlfn.XLOOKUP(Table26[[#This Row],[customerSKU]],customerSKU!G:G,customerSKU!K:K,"NA",0,1)</f>
        <v>NA</v>
      </c>
      <c r="AI2144" s="43" t="e">
        <f>_xlfn.XLOOKUP(Table26[[#This Row],[Product_name]],#REF!,#REF!,"not found",0,1)</f>
        <v>#REF!</v>
      </c>
      <c r="AJ2144" s="22" t="e">
        <f>Table26[[#This Row],[unitprice]]*Table26[[#This Row],[quantity_unit]]</f>
        <v>#VALUE!</v>
      </c>
      <c r="AK2144" s="227" t="e" cm="1">
        <f t="array" ref="AK21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4" s="227"/>
    </row>
    <row r="2145" spans="1:38" ht="15.45" customHeight="1">
      <c r="A2145" s="42">
        <v>107</v>
      </c>
      <c r="B2145" s="42" t="s">
        <v>3520</v>
      </c>
      <c r="C2145" s="53" t="s">
        <v>203</v>
      </c>
      <c r="E2145" s="20"/>
      <c r="F21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5" s="93"/>
      <c r="I2145" s="203">
        <v>45868</v>
      </c>
      <c r="J2145" s="90" t="s">
        <v>601</v>
      </c>
      <c r="K2145" s="19">
        <v>45870</v>
      </c>
      <c r="L2145" s="49" t="s">
        <v>504</v>
      </c>
      <c r="M2145" s="22"/>
      <c r="N2145" s="15" t="str">
        <f>Table26[[#This Row],[po_number]]&amp;"-"&amp;Table26[[#This Row],[po_line]]</f>
        <v>-2</v>
      </c>
      <c r="O2145" s="15">
        <v>2</v>
      </c>
      <c r="P2145" s="50"/>
      <c r="Q2145" s="22" t="s">
        <v>3754</v>
      </c>
      <c r="R2145" s="22" t="s">
        <v>532</v>
      </c>
      <c r="S2145" s="90" t="s">
        <v>13</v>
      </c>
      <c r="T2145" s="20">
        <v>45668</v>
      </c>
      <c r="U2145" s="94">
        <v>18</v>
      </c>
      <c r="V2145" s="22">
        <v>6</v>
      </c>
      <c r="W2145" s="117">
        <v>3</v>
      </c>
      <c r="X2145" s="22">
        <v>18</v>
      </c>
      <c r="Y2145" s="25" t="s">
        <v>3755</v>
      </c>
      <c r="Z2145" s="25"/>
      <c r="AA2145" s="18" t="str" cm="1">
        <f t="array" ref="AA2145">IF(P2145="", "", _xlfn.XLOOKUP(P2145,#REF!,#REF!,NA,0,-1))</f>
        <v/>
      </c>
      <c r="AB2145" s="22"/>
      <c r="AC2145" s="362" t="s">
        <v>202</v>
      </c>
      <c r="AD2145" s="23" t="s">
        <v>195</v>
      </c>
      <c r="AE2145" s="23" t="s">
        <v>107</v>
      </c>
      <c r="AF2145" s="23" t="s">
        <v>13</v>
      </c>
      <c r="AG2145" s="362" t="s">
        <v>202</v>
      </c>
      <c r="AH2145" s="26" t="str">
        <f>_xlfn.XLOOKUP(Table26[[#This Row],[customerSKU]],customerSKU!G:G,customerSKU!K:K,"NA",0,1)</f>
        <v>NA</v>
      </c>
      <c r="AI2145" s="43" t="e">
        <f>_xlfn.XLOOKUP(Table26[[#This Row],[Product_name]],#REF!,#REF!,"not found",0,1)</f>
        <v>#REF!</v>
      </c>
      <c r="AJ2145" s="22" t="e">
        <f>Table26[[#This Row],[unitprice]]*Table26[[#This Row],[quantity_unit]]</f>
        <v>#VALUE!</v>
      </c>
      <c r="AK2145" s="227" t="e" cm="1">
        <f t="array" ref="AK21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5" s="227"/>
    </row>
    <row r="2146" spans="1:38" ht="15.45" customHeight="1">
      <c r="A2146" s="42">
        <v>108</v>
      </c>
      <c r="B2146" s="42" t="s">
        <v>3520</v>
      </c>
      <c r="C2146" s="53" t="s">
        <v>203</v>
      </c>
      <c r="E2146" s="20"/>
      <c r="F21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6" s="93"/>
      <c r="I2146" s="203">
        <v>45868</v>
      </c>
      <c r="J2146" s="90" t="s">
        <v>601</v>
      </c>
      <c r="K2146" s="19">
        <v>45870</v>
      </c>
      <c r="L2146" s="49" t="s">
        <v>504</v>
      </c>
      <c r="M2146" s="22"/>
      <c r="N2146" s="15" t="str">
        <f>Table26[[#This Row],[po_number]]&amp;"-"&amp;Table26[[#This Row],[po_line]]</f>
        <v>-3</v>
      </c>
      <c r="O2146" s="15">
        <v>3</v>
      </c>
      <c r="P2146" s="50"/>
      <c r="Q2146" s="22" t="s">
        <v>571</v>
      </c>
      <c r="R2146" s="22" t="s">
        <v>532</v>
      </c>
      <c r="S2146" s="90" t="s">
        <v>13</v>
      </c>
      <c r="T2146" s="20">
        <v>45640</v>
      </c>
      <c r="U2146" s="94">
        <v>6</v>
      </c>
      <c r="V2146" s="22">
        <v>6</v>
      </c>
      <c r="W2146" s="117">
        <v>1</v>
      </c>
      <c r="X2146" s="22">
        <v>164.39999999999998</v>
      </c>
      <c r="Y2146" s="25" t="s">
        <v>3759</v>
      </c>
      <c r="AA2146" s="18" t="str" cm="1">
        <f t="array" ref="AA2146">IF(P2146="", "", _xlfn.XLOOKUP(P2146,#REF!,#REF!,NA,0,-1))</f>
        <v/>
      </c>
      <c r="AB2146" s="22"/>
      <c r="AC2146" s="412" t="s">
        <v>202</v>
      </c>
      <c r="AD2146" s="23" t="s">
        <v>195</v>
      </c>
      <c r="AE2146" s="23" t="s">
        <v>107</v>
      </c>
      <c r="AF2146" s="23" t="s">
        <v>13</v>
      </c>
      <c r="AG2146" s="412" t="s">
        <v>202</v>
      </c>
      <c r="AH2146" s="26" t="str">
        <f>_xlfn.XLOOKUP(Table26[[#This Row],[customerSKU]],customerSKU!G:G,customerSKU!K:K,"NA",0,1)</f>
        <v>NA</v>
      </c>
      <c r="AI2146" s="43" t="e">
        <f>_xlfn.XLOOKUP(Table26[[#This Row],[Product_name]],#REF!,#REF!,"not found",0,1)</f>
        <v>#REF!</v>
      </c>
      <c r="AJ2146" s="22" t="e">
        <f>Table26[[#This Row],[unitprice]]*Table26[[#This Row],[quantity_unit]]</f>
        <v>#VALUE!</v>
      </c>
      <c r="AK2146" s="227" t="e" cm="1">
        <f t="array" ref="AK21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6" s="227"/>
    </row>
    <row r="2147" spans="1:38" ht="15.45" customHeight="1">
      <c r="A2147" s="42">
        <v>109</v>
      </c>
      <c r="B2147" s="42" t="s">
        <v>3520</v>
      </c>
      <c r="C2147" s="53" t="s">
        <v>203</v>
      </c>
      <c r="E2147" s="20"/>
      <c r="F21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7" s="93"/>
      <c r="I2147" s="203">
        <v>45868</v>
      </c>
      <c r="J2147" s="90" t="s">
        <v>601</v>
      </c>
      <c r="K2147" s="19">
        <v>45870</v>
      </c>
      <c r="L2147" s="49" t="s">
        <v>504</v>
      </c>
      <c r="M2147" s="22"/>
      <c r="N2147" s="15" t="str">
        <f>Table26[[#This Row],[po_number]]&amp;"-"&amp;Table26[[#This Row],[po_line]]</f>
        <v>-4</v>
      </c>
      <c r="O2147" s="15">
        <v>4</v>
      </c>
      <c r="P2147" s="50"/>
      <c r="Q2147" s="22" t="s">
        <v>3629</v>
      </c>
      <c r="R2147" s="22" t="s">
        <v>532</v>
      </c>
      <c r="S2147" s="90" t="s">
        <v>13</v>
      </c>
      <c r="T2147" s="20">
        <v>45725</v>
      </c>
      <c r="U2147" s="94">
        <v>6</v>
      </c>
      <c r="V2147" s="22">
        <v>6</v>
      </c>
      <c r="W2147" s="117">
        <v>1</v>
      </c>
      <c r="X2147" s="22">
        <v>165</v>
      </c>
      <c r="Y2147" s="25" t="s">
        <v>222</v>
      </c>
      <c r="Z2147" s="25"/>
      <c r="AA2147" s="18" t="str" cm="1">
        <f t="array" ref="AA2147">IF(P2147="", "", _xlfn.XLOOKUP(P2147,#REF!,#REF!,NA,0,-1))</f>
        <v/>
      </c>
      <c r="AB2147" s="22"/>
      <c r="AC2147" s="362" t="s">
        <v>202</v>
      </c>
      <c r="AD2147" s="23" t="s">
        <v>195</v>
      </c>
      <c r="AE2147" s="23" t="s">
        <v>107</v>
      </c>
      <c r="AF2147" s="23" t="s">
        <v>13</v>
      </c>
      <c r="AG2147" s="362" t="s">
        <v>202</v>
      </c>
      <c r="AH2147" s="26" t="str">
        <f>_xlfn.XLOOKUP(Table26[[#This Row],[customerSKU]],customerSKU!G:G,customerSKU!K:K,"NA",0,1)</f>
        <v>NA</v>
      </c>
      <c r="AI2147" s="43" t="e">
        <f>_xlfn.XLOOKUP(Table26[[#This Row],[Product_name]],#REF!,#REF!,"not found",0,1)</f>
        <v>#REF!</v>
      </c>
      <c r="AJ2147" s="22" t="e">
        <f>Table26[[#This Row],[unitprice]]*Table26[[#This Row],[quantity_unit]]</f>
        <v>#VALUE!</v>
      </c>
      <c r="AK2147" s="227" t="e" cm="1">
        <f t="array" ref="AK21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7" s="227"/>
    </row>
    <row r="2148" spans="1:38" ht="15.45" customHeight="1">
      <c r="A2148" s="42">
        <v>110</v>
      </c>
      <c r="B2148" s="42" t="s">
        <v>3520</v>
      </c>
      <c r="C2148" s="53" t="s">
        <v>3488</v>
      </c>
      <c r="E2148" s="20"/>
      <c r="F21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8" s="93"/>
      <c r="I2148" s="203">
        <v>45869</v>
      </c>
      <c r="J2148" s="90" t="str">
        <f>IF(Table26[[#This Row],[customerSKU]]="","",_xlfn.XLOOKUP(Table26[[#This Row],[customerSKU]],customerSKU!G:G,customerSKU!A:A,"",0,1))</f>
        <v/>
      </c>
      <c r="K2148" s="19">
        <v>45870</v>
      </c>
      <c r="L2148" s="49" t="str">
        <f>IF(Table26[[#This Row],[customerSKU]]="","",_xlfn.XLOOKUP(Table26[[#This Row],[customerSKU]],customerSKU!G:G,customerSKU!B:B,"",0,1))</f>
        <v/>
      </c>
      <c r="M2148" s="22"/>
      <c r="N2148" s="15" t="str">
        <f>Table26[[#This Row],[po_number]]&amp;"-"&amp;Table26[[#This Row],[po_line]]</f>
        <v>-1</v>
      </c>
      <c r="O2148" s="15">
        <v>1</v>
      </c>
      <c r="P2148" s="50"/>
      <c r="Q2148" s="22" t="s">
        <v>543</v>
      </c>
      <c r="R2148" s="22" t="s">
        <v>532</v>
      </c>
      <c r="S2148" s="90" t="str">
        <f>IF(Table26[[#This Row],[customerSKU]]="","",_xlfn.XLOOKUP(Table26[[#This Row],[customerSKU]],customerSKU!G:G,customerSKU!N:N,"NOT FOUND",0,1))</f>
        <v>NOT FOUND</v>
      </c>
      <c r="T2148" s="20">
        <v>45793</v>
      </c>
      <c r="U2148" s="94">
        <v>6</v>
      </c>
      <c r="V2148" s="22" t="str">
        <f>IF(ISBLANK(Table26[[#This Row],[customerSKU]]),"",_xlfn.XLOOKUP(Table26[[#This Row],[customerSKU]],Table27[customer_SKU],Table27[case_size],"",0,1))</f>
        <v/>
      </c>
      <c r="W2148" s="117" t="str">
        <f t="shared" ref="W2148:W2179" si="87">IFERROR(U2148/V2148, "")</f>
        <v/>
      </c>
      <c r="X2148" s="22" t="str">
        <f t="shared" ref="X2148:X2211" si="88">IFERROR($AA2148*$U2148, "")</f>
        <v/>
      </c>
      <c r="Y2148" s="25" t="str">
        <f>IF(Table26[[#This Row],[customerSKU]]="","",_xlfn.XLOOKUP(Table26[[#This Row],[customerSKU]],Table27[customer_SKU],Table27[product_GTIN],"",0,1))</f>
        <v/>
      </c>
      <c r="Z2148" s="25" t="s">
        <v>3599</v>
      </c>
      <c r="AA2148" s="18" t="str" cm="1">
        <f t="array" ref="AA2148">IF(P2148="", "", _xlfn.XLOOKUP(P2148,#REF!,#REF!,NA,0,-1))</f>
        <v/>
      </c>
      <c r="AB2148" s="22"/>
      <c r="AC2148" s="23" t="str">
        <f>IF(Table26[[#This Row],[customerSKU]]="","",_xlfn.XLOOKUP(Table26[[#This Row],[customerSKU]],customerSKU!G:G,customerSKU!C:C,"",0,1))</f>
        <v/>
      </c>
      <c r="AD2148" s="23" t="str">
        <f>IF($AC2148="","",_xlfn.XLOOKUP($AC2148,'Client Info'!$C$2:$C$2497,'Client Info'!$D$2:$D$2497,"",0,1))</f>
        <v/>
      </c>
      <c r="AE2148" s="23" t="str">
        <f>IF($AC2148="","",_xlfn.XLOOKUP($AC2148,'Client Info'!$C$2:$C$2677,'Client Info'!$E$2:$E$2677,"",))</f>
        <v/>
      </c>
      <c r="AF2148" s="23" t="str">
        <f>IF($AC2148="","",_xlfn.XLOOKUP($AC2148,'Client Info'!$C$2:$C$2677,'Client Info'!$F$2:$F$2677,"",0,1))</f>
        <v/>
      </c>
      <c r="AG2148" s="23" t="str">
        <f>IF(ISBLANK(Table26[[#This Row],[customerSKU]]),"",_xlfn.XLOOKUP(Table26[[#This Row],[customerSKU]],Table27[customer_SKU],Table27[billto],"",0,1))</f>
        <v/>
      </c>
      <c r="AH2148" s="26" t="str">
        <f>_xlfn.XLOOKUP(Table26[[#This Row],[customerSKU]],customerSKU!G:G,customerSKU!K:K,"NA",0,1)</f>
        <v>NA</v>
      </c>
      <c r="AI2148" s="43" t="str">
        <f>_xlfn.XLOOKUP(Table26[[#This Row],[customerSKU]],customerSKU!G:G,customerSKU!O:O,"not found",0,1)</f>
        <v>not found</v>
      </c>
      <c r="AJ2148" s="22" t="e">
        <f>Table26[[#This Row],[unitprice]]*Table26[[#This Row],[quantity_unit]]</f>
        <v>#VALUE!</v>
      </c>
      <c r="AK2148" s="227" t="e" cm="1">
        <f t="array" ref="AK21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8" s="227"/>
    </row>
    <row r="2149" spans="1:38" ht="15.45" customHeight="1">
      <c r="A2149" s="42">
        <v>111</v>
      </c>
      <c r="B2149" s="42" t="s">
        <v>3520</v>
      </c>
      <c r="C2149" s="53" t="s">
        <v>3488</v>
      </c>
      <c r="E2149" s="20"/>
      <c r="F21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49" s="93"/>
      <c r="I2149" s="203">
        <v>45869</v>
      </c>
      <c r="J2149" s="90" t="str">
        <f>IF(Table26[[#This Row],[customerSKU]]="","",_xlfn.XLOOKUP(Table26[[#This Row],[customerSKU]],customerSKU!G:G,customerSKU!A:A,"",0,1))</f>
        <v/>
      </c>
      <c r="K2149" s="19">
        <v>45870</v>
      </c>
      <c r="L2149" s="49" t="str">
        <f>IF(Table26[[#This Row],[customerSKU]]="","",_xlfn.XLOOKUP(Table26[[#This Row],[customerSKU]],customerSKU!G:G,customerSKU!B:B,"",0,1))</f>
        <v/>
      </c>
      <c r="M2149" s="22"/>
      <c r="N2149" s="15" t="str">
        <f>Table26[[#This Row],[po_number]]&amp;"-"&amp;Table26[[#This Row],[po_line]]</f>
        <v>-2</v>
      </c>
      <c r="O2149" s="15">
        <v>2</v>
      </c>
      <c r="P2149" s="50"/>
      <c r="Q2149" s="22" t="s">
        <v>578</v>
      </c>
      <c r="R2149" s="22" t="s">
        <v>532</v>
      </c>
      <c r="S2149" s="90" t="str">
        <f>IF(Table26[[#This Row],[customerSKU]]="","",_xlfn.XLOOKUP(Table26[[#This Row],[customerSKU]],customerSKU!G:G,customerSKU!N:N,"NOT FOUND",0,1))</f>
        <v>NOT FOUND</v>
      </c>
      <c r="T2149" s="20">
        <v>45700</v>
      </c>
      <c r="U2149" s="94">
        <v>12</v>
      </c>
      <c r="V2149" s="22" t="str">
        <f>IF(ISBLANK(Table26[[#This Row],[customerSKU]]),"",_xlfn.XLOOKUP(Table26[[#This Row],[customerSKU]],Table27[customer_SKU],Table27[case_size],"",0,1))</f>
        <v/>
      </c>
      <c r="W2149" s="117" t="str">
        <f t="shared" si="87"/>
        <v/>
      </c>
      <c r="X2149" s="22" t="str">
        <f t="shared" si="88"/>
        <v/>
      </c>
      <c r="Y2149" s="25" t="str">
        <f>IF(Table26[[#This Row],[customerSKU]]="","",_xlfn.XLOOKUP(Table26[[#This Row],[customerSKU]],Table27[customer_SKU],Table27[product_GTIN],"",0,1))</f>
        <v/>
      </c>
      <c r="Z2149" s="25" t="s">
        <v>3728</v>
      </c>
      <c r="AA2149" s="18" t="str" cm="1">
        <f t="array" ref="AA2149">IF(P2149="", "", _xlfn.XLOOKUP(P2149,#REF!,#REF!,NA,0,-1))</f>
        <v/>
      </c>
      <c r="AB2149" s="22"/>
      <c r="AC2149" s="23" t="str">
        <f>IF(Table26[[#This Row],[customerSKU]]="","",_xlfn.XLOOKUP(Table26[[#This Row],[customerSKU]],customerSKU!G:G,customerSKU!C:C,"",0,1))</f>
        <v/>
      </c>
      <c r="AD2149" s="23" t="str">
        <f>IF($AC2149="","",_xlfn.XLOOKUP($AC2149,'Client Info'!$C$2:$C$2497,'Client Info'!$D$2:$D$2497,"",0,1))</f>
        <v/>
      </c>
      <c r="AE2149" s="23" t="str">
        <f>IF($AC2149="","",_xlfn.XLOOKUP($AC2149,'Client Info'!$C$2:$C$2677,'Client Info'!$E$2:$E$2677,"",))</f>
        <v/>
      </c>
      <c r="AF2149" s="23" t="str">
        <f>IF($AC2149="","",_xlfn.XLOOKUP($AC2149,'Client Info'!$C$2:$C$2677,'Client Info'!$F$2:$F$2677,"",0,1))</f>
        <v/>
      </c>
      <c r="AG2149" s="23" t="str">
        <f>IF(ISBLANK(Table26[[#This Row],[customerSKU]]),"",_xlfn.XLOOKUP(Table26[[#This Row],[customerSKU]],Table27[customer_SKU],Table27[billto],"",0,1))</f>
        <v/>
      </c>
      <c r="AH2149" s="26" t="str">
        <f>_xlfn.XLOOKUP(Table26[[#This Row],[customerSKU]],customerSKU!G:G,customerSKU!K:K,"NA",0,1)</f>
        <v>NA</v>
      </c>
      <c r="AI2149" s="43" t="str">
        <f>_xlfn.XLOOKUP(Table26[[#This Row],[customerSKU]],customerSKU!G:G,customerSKU!O:O,"not found",0,1)</f>
        <v>not found</v>
      </c>
      <c r="AJ2149" s="22" t="e">
        <f>Table26[[#This Row],[unitprice]]*Table26[[#This Row],[quantity_unit]]</f>
        <v>#VALUE!</v>
      </c>
      <c r="AK2149" s="227" t="e" cm="1">
        <f t="array" ref="AK21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49" s="227"/>
    </row>
    <row r="2150" spans="1:38" ht="15.45" customHeight="1">
      <c r="A2150" s="42">
        <v>112</v>
      </c>
      <c r="B2150" s="42" t="s">
        <v>3520</v>
      </c>
      <c r="C2150" s="53" t="s">
        <v>3488</v>
      </c>
      <c r="E2150" s="20"/>
      <c r="F21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0" s="93"/>
      <c r="I2150" s="203">
        <v>45869</v>
      </c>
      <c r="J2150" s="90" t="str">
        <f>IF(Table26[[#This Row],[customerSKU]]="","",_xlfn.XLOOKUP(Table26[[#This Row],[customerSKU]],customerSKU!G:G,customerSKU!A:A,"",0,1))</f>
        <v/>
      </c>
      <c r="K2150" s="19">
        <v>45870</v>
      </c>
      <c r="L2150" s="49" t="str">
        <f>IF(Table26[[#This Row],[customerSKU]]="","",_xlfn.XLOOKUP(Table26[[#This Row],[customerSKU]],customerSKU!G:G,customerSKU!B:B,"",0,1))</f>
        <v/>
      </c>
      <c r="M2150" s="22"/>
      <c r="N2150" s="15" t="str">
        <f>Table26[[#This Row],[po_number]]&amp;"-"&amp;Table26[[#This Row],[po_line]]</f>
        <v>-3</v>
      </c>
      <c r="O2150" s="15">
        <v>3</v>
      </c>
      <c r="P2150" s="50"/>
      <c r="Q2150" s="22" t="s">
        <v>1306</v>
      </c>
      <c r="R2150" s="22" t="s">
        <v>532</v>
      </c>
      <c r="S2150" s="90" t="str">
        <f>IF(Table26[[#This Row],[customerSKU]]="","",_xlfn.XLOOKUP(Table26[[#This Row],[customerSKU]],customerSKU!G:G,customerSKU!N:N,"NOT FOUND",0,1))</f>
        <v>NOT FOUND</v>
      </c>
      <c r="T2150" s="20">
        <v>45576</v>
      </c>
      <c r="U2150" s="94">
        <v>12</v>
      </c>
      <c r="V2150" s="22" t="str">
        <f>IF(ISBLANK(Table26[[#This Row],[customerSKU]]),"",_xlfn.XLOOKUP(Table26[[#This Row],[customerSKU]],Table27[customer_SKU],Table27[case_size],"",0,1))</f>
        <v/>
      </c>
      <c r="W2150" s="117" t="str">
        <f t="shared" si="87"/>
        <v/>
      </c>
      <c r="X2150" s="22" t="str">
        <f t="shared" si="88"/>
        <v/>
      </c>
      <c r="Y2150" s="25" t="str">
        <f>IF(Table26[[#This Row],[customerSKU]]="","",_xlfn.XLOOKUP(Table26[[#This Row],[customerSKU]],Table27[customer_SKU],Table27[product_GTIN],"",0,1))</f>
        <v/>
      </c>
      <c r="Z2150" s="25" t="s">
        <v>3727</v>
      </c>
      <c r="AA2150" s="18" t="str" cm="1">
        <f t="array" ref="AA2150">IF(P2150="", "", _xlfn.XLOOKUP(P2150,#REF!,#REF!,NA,0,-1))</f>
        <v/>
      </c>
      <c r="AB2150" s="22"/>
      <c r="AC2150" s="23" t="str">
        <f>IF(Table26[[#This Row],[customerSKU]]="","",_xlfn.XLOOKUP(Table26[[#This Row],[customerSKU]],customerSKU!G:G,customerSKU!C:C,"",0,1))</f>
        <v/>
      </c>
      <c r="AD2150" s="23" t="str">
        <f>IF($AC2150="","",_xlfn.XLOOKUP($AC2150,'Client Info'!$C$2:$C$2497,'Client Info'!$D$2:$D$2497,"",0,1))</f>
        <v/>
      </c>
      <c r="AE2150" s="23" t="str">
        <f>IF($AC2150="","",_xlfn.XLOOKUP($AC2150,'Client Info'!$C$2:$C$2677,'Client Info'!$E$2:$E$2677,"",))</f>
        <v/>
      </c>
      <c r="AF2150" s="23" t="str">
        <f>IF($AC2150="","",_xlfn.XLOOKUP($AC2150,'Client Info'!$C$2:$C$2677,'Client Info'!$F$2:$F$2677,"",0,1))</f>
        <v/>
      </c>
      <c r="AG2150" s="23" t="str">
        <f>IF(ISBLANK(Table26[[#This Row],[customerSKU]]),"",_xlfn.XLOOKUP(Table26[[#This Row],[customerSKU]],Table27[customer_SKU],Table27[billto],"",0,1))</f>
        <v/>
      </c>
      <c r="AH2150" s="26" t="str">
        <f>_xlfn.XLOOKUP(Table26[[#This Row],[customerSKU]],customerSKU!G:G,customerSKU!K:K,"NA",0,1)</f>
        <v>NA</v>
      </c>
      <c r="AI2150" s="43" t="str">
        <f>_xlfn.XLOOKUP(Table26[[#This Row],[customerSKU]],customerSKU!G:G,customerSKU!O:O,"not found",0,1)</f>
        <v>not found</v>
      </c>
      <c r="AJ2150" s="22" t="e">
        <f>Table26[[#This Row],[unitprice]]*Table26[[#This Row],[quantity_unit]]</f>
        <v>#VALUE!</v>
      </c>
      <c r="AK2150" s="227" t="e" cm="1">
        <f t="array" ref="AK21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0" s="227"/>
    </row>
    <row r="2151" spans="1:38" ht="15.45" customHeight="1">
      <c r="A2151" s="42">
        <v>113</v>
      </c>
      <c r="B2151" s="42" t="s">
        <v>3520</v>
      </c>
      <c r="C2151" s="53" t="s">
        <v>3488</v>
      </c>
      <c r="E2151" s="20"/>
      <c r="F21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1" s="93"/>
      <c r="I2151" s="203">
        <v>45869</v>
      </c>
      <c r="J2151" s="90" t="str">
        <f>IF(Table26[[#This Row],[customerSKU]]="","",_xlfn.XLOOKUP(Table26[[#This Row],[customerSKU]],customerSKU!G:G,customerSKU!A:A,"",0,1))</f>
        <v/>
      </c>
      <c r="K2151" s="19">
        <v>45870</v>
      </c>
      <c r="L2151" s="49" t="str">
        <f>IF(Table26[[#This Row],[customerSKU]]="","",_xlfn.XLOOKUP(Table26[[#This Row],[customerSKU]],customerSKU!G:G,customerSKU!B:B,"",0,1))</f>
        <v/>
      </c>
      <c r="M2151" s="22"/>
      <c r="N2151" s="15" t="str">
        <f>Table26[[#This Row],[po_number]]&amp;"-"&amp;Table26[[#This Row],[po_line]]</f>
        <v>-4</v>
      </c>
      <c r="O2151" s="15">
        <v>4</v>
      </c>
      <c r="P2151" s="50"/>
      <c r="Q2151" s="22" t="s">
        <v>1774</v>
      </c>
      <c r="R2151" s="22" t="s">
        <v>532</v>
      </c>
      <c r="S2151" s="90" t="str">
        <f>IF(Table26[[#This Row],[customerSKU]]="","",_xlfn.XLOOKUP(Table26[[#This Row],[customerSKU]],customerSKU!G:G,customerSKU!N:N,"NOT FOUND",0,1))</f>
        <v>NOT FOUND</v>
      </c>
      <c r="T2151" s="20">
        <v>45790</v>
      </c>
      <c r="U2151" s="94">
        <v>12</v>
      </c>
      <c r="V2151" s="22" t="str">
        <f>IF(ISBLANK(Table26[[#This Row],[customerSKU]]),"",_xlfn.XLOOKUP(Table26[[#This Row],[customerSKU]],Table27[customer_SKU],Table27[case_size],"",0,1))</f>
        <v/>
      </c>
      <c r="W2151" s="117" t="str">
        <f t="shared" si="87"/>
        <v/>
      </c>
      <c r="X2151" s="22" t="str">
        <f t="shared" si="88"/>
        <v/>
      </c>
      <c r="Y2151" s="25" t="str">
        <f>IF(Table26[[#This Row],[customerSKU]]="","",_xlfn.XLOOKUP(Table26[[#This Row],[customerSKU]],Table27[customer_SKU],Table27[product_GTIN],"",0,1))</f>
        <v/>
      </c>
      <c r="Z2151" s="25" t="s">
        <v>3389</v>
      </c>
      <c r="AA2151" s="18" t="str" cm="1">
        <f t="array" ref="AA2151">IF(P2151="", "", _xlfn.XLOOKUP(P2151,#REF!,#REF!,NA,0,-1))</f>
        <v/>
      </c>
      <c r="AB2151" s="22"/>
      <c r="AC2151" s="23" t="str">
        <f>IF(Table26[[#This Row],[customerSKU]]="","",_xlfn.XLOOKUP(Table26[[#This Row],[customerSKU]],customerSKU!G:G,customerSKU!C:C,"",0,1))</f>
        <v/>
      </c>
      <c r="AD2151" s="23" t="str">
        <f>IF($AC2151="","",_xlfn.XLOOKUP($AC2151,'Client Info'!$C$2:$C$2497,'Client Info'!$D$2:$D$2497,"",0,1))</f>
        <v/>
      </c>
      <c r="AE2151" s="23" t="str">
        <f>IF($AC2151="","",_xlfn.XLOOKUP($AC2151,'Client Info'!$C$2:$C$2677,'Client Info'!$E$2:$E$2677,"",))</f>
        <v/>
      </c>
      <c r="AF2151" s="23" t="str">
        <f>IF($AC2151="","",_xlfn.XLOOKUP($AC2151,'Client Info'!$C$2:$C$2677,'Client Info'!$F$2:$F$2677,"",0,1))</f>
        <v/>
      </c>
      <c r="AG2151" s="23" t="str">
        <f>IF(ISBLANK(Table26[[#This Row],[customerSKU]]),"",_xlfn.XLOOKUP(Table26[[#This Row],[customerSKU]],Table27[customer_SKU],Table27[billto],"",0,1))</f>
        <v/>
      </c>
      <c r="AH2151" s="26" t="str">
        <f>_xlfn.XLOOKUP(Table26[[#This Row],[customerSKU]],customerSKU!G:G,customerSKU!K:K,"NA",0,1)</f>
        <v>NA</v>
      </c>
      <c r="AI2151" s="43" t="str">
        <f>_xlfn.XLOOKUP(Table26[[#This Row],[customerSKU]],customerSKU!G:G,customerSKU!O:O,"not found",0,1)</f>
        <v>not found</v>
      </c>
      <c r="AJ2151" s="22" t="e">
        <f>Table26[[#This Row],[unitprice]]*Table26[[#This Row],[quantity_unit]]</f>
        <v>#VALUE!</v>
      </c>
      <c r="AK2151" s="227" t="e" cm="1">
        <f t="array" ref="AK21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1" s="227"/>
    </row>
    <row r="2152" spans="1:38" ht="16.2" customHeight="1">
      <c r="A2152" s="42">
        <v>114</v>
      </c>
      <c r="B2152" s="42" t="s">
        <v>3520</v>
      </c>
      <c r="C2152" s="53" t="s">
        <v>3488</v>
      </c>
      <c r="E2152" s="20"/>
      <c r="F21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2" s="93"/>
      <c r="I2152" s="203">
        <v>45869</v>
      </c>
      <c r="J2152" s="90" t="str">
        <f>IF(Table26[[#This Row],[customerSKU]]="","",_xlfn.XLOOKUP(Table26[[#This Row],[customerSKU]],customerSKU!G:G,customerSKU!A:A,"",0,1))</f>
        <v/>
      </c>
      <c r="K2152" s="19">
        <v>45870</v>
      </c>
      <c r="L2152" s="49" t="str">
        <f>IF(Table26[[#This Row],[customerSKU]]="","",_xlfn.XLOOKUP(Table26[[#This Row],[customerSKU]],customerSKU!G:G,customerSKU!B:B,"",0,1))</f>
        <v/>
      </c>
      <c r="M2152" s="22"/>
      <c r="N2152" s="15" t="str">
        <f>Table26[[#This Row],[po_number]]&amp;"-"&amp;Table26[[#This Row],[po_line]]</f>
        <v>-5</v>
      </c>
      <c r="O2152" s="15">
        <v>5</v>
      </c>
      <c r="P2152" s="50"/>
      <c r="Q2152" s="22" t="s">
        <v>1825</v>
      </c>
      <c r="R2152" s="22" t="s">
        <v>532</v>
      </c>
      <c r="S2152" s="90" t="str">
        <f>IF(Table26[[#This Row],[customerSKU]]="","",_xlfn.XLOOKUP(Table26[[#This Row],[customerSKU]],customerSKU!G:G,customerSKU!N:N,"NOT FOUND",0,1))</f>
        <v>NOT FOUND</v>
      </c>
      <c r="T2152" s="20">
        <v>45833</v>
      </c>
      <c r="U2152" s="94">
        <v>12</v>
      </c>
      <c r="V2152" s="22" t="str">
        <f>IF(ISBLANK(Table26[[#This Row],[customerSKU]]),"",_xlfn.XLOOKUP(Table26[[#This Row],[customerSKU]],Table27[customer_SKU],Table27[case_size],"",0,1))</f>
        <v/>
      </c>
      <c r="W2152" s="117" t="str">
        <f t="shared" si="87"/>
        <v/>
      </c>
      <c r="X2152" s="22" t="str">
        <f t="shared" si="88"/>
        <v/>
      </c>
      <c r="Y2152" s="25" t="str">
        <f>IF(Table26[[#This Row],[customerSKU]]="","",_xlfn.XLOOKUP(Table26[[#This Row],[customerSKU]],Table27[customer_SKU],Table27[product_GTIN],"",0,1))</f>
        <v/>
      </c>
      <c r="Z2152" s="25" t="s">
        <v>3693</v>
      </c>
      <c r="AA2152" s="18" t="str" cm="1">
        <f t="array" ref="AA2152">IF(P2152="", "", _xlfn.XLOOKUP(P2152,#REF!,#REF!,NA,0,-1))</f>
        <v/>
      </c>
      <c r="AB2152" s="22"/>
      <c r="AC2152" s="23" t="str">
        <f>IF(Table26[[#This Row],[customerSKU]]="","",_xlfn.XLOOKUP(Table26[[#This Row],[customerSKU]],customerSKU!G:G,customerSKU!C:C,"",0,1))</f>
        <v/>
      </c>
      <c r="AD2152" s="23" t="str">
        <f>IF($AC2152="","",_xlfn.XLOOKUP($AC2152,'Client Info'!$C$2:$C$2497,'Client Info'!$D$2:$D$2497,"",0,1))</f>
        <v/>
      </c>
      <c r="AE2152" s="23" t="str">
        <f>IF($AC2152="","",_xlfn.XLOOKUP($AC2152,'Client Info'!$C$2:$C$2677,'Client Info'!$E$2:$E$2677,"",))</f>
        <v/>
      </c>
      <c r="AF2152" s="23" t="str">
        <f>IF($AC2152="","",_xlfn.XLOOKUP($AC2152,'Client Info'!$C$2:$C$2677,'Client Info'!$F$2:$F$2677,"",0,1))</f>
        <v/>
      </c>
      <c r="AG2152" s="23" t="str">
        <f>IF(ISBLANK(Table26[[#This Row],[customerSKU]]),"",_xlfn.XLOOKUP(Table26[[#This Row],[customerSKU]],Table27[customer_SKU],Table27[billto],"",0,1))</f>
        <v/>
      </c>
      <c r="AH2152" s="26" t="str">
        <f>_xlfn.XLOOKUP(Table26[[#This Row],[customerSKU]],customerSKU!G:G,customerSKU!K:K,"NA",0,1)</f>
        <v>NA</v>
      </c>
      <c r="AI2152" s="43" t="str">
        <f>_xlfn.XLOOKUP(Table26[[#This Row],[customerSKU]],customerSKU!G:G,customerSKU!O:O,"not found",0,1)</f>
        <v>not found</v>
      </c>
      <c r="AJ2152" s="22" t="e">
        <f>Table26[[#This Row],[unitprice]]*Table26[[#This Row],[quantity_unit]]</f>
        <v>#VALUE!</v>
      </c>
      <c r="AK2152" s="227" t="e" cm="1">
        <f t="array" ref="AK21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2" s="227"/>
    </row>
    <row r="2153" spans="1:38" ht="16.2" customHeight="1">
      <c r="A2153" s="42">
        <v>74</v>
      </c>
      <c r="B2153" s="42" t="s">
        <v>3520</v>
      </c>
      <c r="C2153" s="22" t="s">
        <v>3360</v>
      </c>
      <c r="E2153" s="20"/>
      <c r="F21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3" s="93"/>
      <c r="I2153" s="203">
        <v>45854</v>
      </c>
      <c r="J2153" s="90" t="str">
        <f>IF(Table26[[#This Row],[customerSKU]]="","",_xlfn.XLOOKUP(Table26[[#This Row],[customerSKU]],customerSKU!G:G,customerSKU!A:A,"",0,1))</f>
        <v/>
      </c>
      <c r="K2153" s="19">
        <v>45874</v>
      </c>
      <c r="L2153" s="49" t="str">
        <f>IF(Table26[[#This Row],[customerSKU]]="","",_xlfn.XLOOKUP(Table26[[#This Row],[customerSKU]],customerSKU!G:G,customerSKU!B:B,"",0,1))</f>
        <v/>
      </c>
      <c r="M2153" s="22"/>
      <c r="N2153" s="15" t="str">
        <f>Table26[[#This Row],[po_number]]&amp;"-"&amp;Table26[[#This Row],[po_line]]</f>
        <v>-1</v>
      </c>
      <c r="O2153" s="15">
        <v>1</v>
      </c>
      <c r="P2153" s="50"/>
      <c r="Q2153" s="347"/>
      <c r="S2153" s="90" t="str">
        <f>IF(Table26[[#This Row],[customerSKU]]="","",_xlfn.XLOOKUP(Table26[[#This Row],[customerSKU]],customerSKU!G:G,customerSKU!N:N,"NOT FOUND",0,1))</f>
        <v>NOT FOUND</v>
      </c>
      <c r="T2153" s="20"/>
      <c r="U2153" s="94">
        <v>24</v>
      </c>
      <c r="V2153" s="22" t="str">
        <f>IF(ISBLANK(Table26[[#This Row],[customerSKU]]),"",_xlfn.XLOOKUP(Table26[[#This Row],[customerSKU]],Table27[customer_SKU],Table27[case_size],"",0,1))</f>
        <v/>
      </c>
      <c r="W2153" s="117" t="str">
        <f t="shared" si="87"/>
        <v/>
      </c>
      <c r="X2153" s="22" t="str">
        <f t="shared" si="88"/>
        <v/>
      </c>
      <c r="Y2153" s="25" t="str">
        <f>IF(Table26[[#This Row],[customerSKU]]="","",_xlfn.XLOOKUP(Table26[[#This Row],[customerSKU]],Table27[customer_SKU],Table27[product_GTIN],"",0,1))</f>
        <v/>
      </c>
      <c r="Z2153" s="25" t="s">
        <v>3670</v>
      </c>
      <c r="AA2153" s="18" t="str" cm="1">
        <f t="array" ref="AA2153">IF(P2153="", "", _xlfn.XLOOKUP(P2153,#REF!,#REF!,NA,0,-1))</f>
        <v/>
      </c>
      <c r="AB2153" s="22"/>
      <c r="AC2153" s="23" t="str">
        <f>IF(Table26[[#This Row],[customerSKU]]="","",_xlfn.XLOOKUP(Table26[[#This Row],[customerSKU]],customerSKU!G:G,customerSKU!C:C,"",0,1))</f>
        <v/>
      </c>
      <c r="AD2153" s="23" t="str">
        <f>IF($AC2153="","",_xlfn.XLOOKUP($AC2153,'Client Info'!$C$2:$C$2497,'Client Info'!$D$2:$D$2497,"",0,1))</f>
        <v/>
      </c>
      <c r="AE2153" s="23" t="str">
        <f>IF($AC2153="","",_xlfn.XLOOKUP($AC2153,'Client Info'!$C$2:$C$2677,'Client Info'!$E$2:$E$2677,"",))</f>
        <v/>
      </c>
      <c r="AF2153" s="23" t="str">
        <f>IF($AC2153="","",_xlfn.XLOOKUP($AC2153,'Client Info'!$C$2:$C$2677,'Client Info'!$F$2:$F$2677,"",0,1))</f>
        <v/>
      </c>
      <c r="AG2153" s="23" t="str">
        <f>IF(ISBLANK(Table26[[#This Row],[customerSKU]]),"",_xlfn.XLOOKUP(Table26[[#This Row],[customerSKU]],Table27[customer_SKU],Table27[billto],"",0,1))</f>
        <v/>
      </c>
      <c r="AH2153" s="26" t="str">
        <f>_xlfn.XLOOKUP(Table26[[#This Row],[customerSKU]],customerSKU!G:G,customerSKU!K:K,"NA",0,1)</f>
        <v>NA</v>
      </c>
      <c r="AI2153" s="43" t="str">
        <f>_xlfn.XLOOKUP(Table26[[#This Row],[customerSKU]],customerSKU!G:G,customerSKU!O:O,"not found",0,1)</f>
        <v>not found</v>
      </c>
      <c r="AJ2153" s="22" t="e">
        <f>Table26[[#This Row],[unitprice]]*Table26[[#This Row],[quantity_unit]]</f>
        <v>#VALUE!</v>
      </c>
      <c r="AK2153" s="227" t="e" cm="1">
        <f t="array" ref="AK21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3" s="227"/>
    </row>
    <row r="2154" spans="1:38" ht="16.2" customHeight="1">
      <c r="A2154" s="42">
        <v>75</v>
      </c>
      <c r="B2154" s="42" t="s">
        <v>3520</v>
      </c>
      <c r="C2154" s="22" t="s">
        <v>3360</v>
      </c>
      <c r="E2154" s="20"/>
      <c r="F21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4" s="93"/>
      <c r="I2154" s="203">
        <v>45854</v>
      </c>
      <c r="J2154" s="90" t="str">
        <f>IF(Table26[[#This Row],[customerSKU]]="","",_xlfn.XLOOKUP(Table26[[#This Row],[customerSKU]],customerSKU!G:G,customerSKU!A:A,"",0,1))</f>
        <v/>
      </c>
      <c r="K2154" s="19">
        <v>45874</v>
      </c>
      <c r="L2154" s="49" t="str">
        <f>IF(Table26[[#This Row],[customerSKU]]="","",_xlfn.XLOOKUP(Table26[[#This Row],[customerSKU]],customerSKU!G:G,customerSKU!B:B,"",0,1))</f>
        <v/>
      </c>
      <c r="M2154" s="22"/>
      <c r="N2154" s="15" t="str">
        <f>Table26[[#This Row],[po_number]]&amp;"-"&amp;Table26[[#This Row],[po_line]]</f>
        <v>-2</v>
      </c>
      <c r="O2154" s="15">
        <v>2</v>
      </c>
      <c r="P2154" s="50"/>
      <c r="S2154" s="90" t="str">
        <f>IF(Table26[[#This Row],[customerSKU]]="","",_xlfn.XLOOKUP(Table26[[#This Row],[customerSKU]],customerSKU!G:G,customerSKU!N:N,"NOT FOUND",0,1))</f>
        <v>NOT FOUND</v>
      </c>
      <c r="T2154" s="20"/>
      <c r="U2154" s="94">
        <v>24</v>
      </c>
      <c r="V2154" s="22" t="str">
        <f>IF(ISBLANK(Table26[[#This Row],[customerSKU]]),"",_xlfn.XLOOKUP(Table26[[#This Row],[customerSKU]],Table27[customer_SKU],Table27[case_size],"",0,1))</f>
        <v/>
      </c>
      <c r="W2154" s="117" t="str">
        <f t="shared" si="87"/>
        <v/>
      </c>
      <c r="X2154" s="22" t="str">
        <f t="shared" si="88"/>
        <v/>
      </c>
      <c r="Y2154" s="25" t="str">
        <f>IF(Table26[[#This Row],[customerSKU]]="","",_xlfn.XLOOKUP(Table26[[#This Row],[customerSKU]],Table27[customer_SKU],Table27[product_GTIN],"",0,1))</f>
        <v/>
      </c>
      <c r="Z2154" s="25" t="s">
        <v>3380</v>
      </c>
      <c r="AA2154" s="18" t="str" cm="1">
        <f t="array" ref="AA2154">IF(P2154="", "", _xlfn.XLOOKUP(P2154,#REF!,#REF!,NA,0,-1))</f>
        <v/>
      </c>
      <c r="AB2154" s="22"/>
      <c r="AC2154" s="23" t="str">
        <f>IF(Table26[[#This Row],[customerSKU]]="","",_xlfn.XLOOKUP(Table26[[#This Row],[customerSKU]],customerSKU!G:G,customerSKU!C:C,"",0,1))</f>
        <v/>
      </c>
      <c r="AD2154" s="23" t="str">
        <f>IF($AC2154="","",_xlfn.XLOOKUP($AC2154,'Client Info'!$C$2:$C$2497,'Client Info'!$D$2:$D$2497,"",0,1))</f>
        <v/>
      </c>
      <c r="AE2154" s="23" t="str">
        <f>IF($AC2154="","",_xlfn.XLOOKUP($AC2154,'Client Info'!$C$2:$C$2677,'Client Info'!$E$2:$E$2677,"",))</f>
        <v/>
      </c>
      <c r="AF2154" s="23" t="str">
        <f>IF($AC2154="","",_xlfn.XLOOKUP($AC2154,'Client Info'!$C$2:$C$2677,'Client Info'!$F$2:$F$2677,"",0,1))</f>
        <v/>
      </c>
      <c r="AG2154" s="23" t="str">
        <f>IF(ISBLANK(Table26[[#This Row],[customerSKU]]),"",_xlfn.XLOOKUP(Table26[[#This Row],[customerSKU]],Table27[customer_SKU],Table27[billto],"",0,1))</f>
        <v/>
      </c>
      <c r="AH2154" s="26" t="str">
        <f>_xlfn.XLOOKUP(Table26[[#This Row],[customerSKU]],customerSKU!G:G,customerSKU!K:K,"NA",0,1)</f>
        <v>NA</v>
      </c>
      <c r="AI2154" s="43" t="str">
        <f>_xlfn.XLOOKUP(Table26[[#This Row],[customerSKU]],customerSKU!G:G,customerSKU!O:O,"not found",0,1)</f>
        <v>not found</v>
      </c>
      <c r="AJ2154" s="22" t="e">
        <f>Table26[[#This Row],[unitprice]]*Table26[[#This Row],[quantity_unit]]</f>
        <v>#VALUE!</v>
      </c>
      <c r="AK2154" s="227" t="e" cm="1">
        <f t="array" ref="AK21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4" s="227"/>
    </row>
    <row r="2155" spans="1:38" ht="16.2" customHeight="1">
      <c r="A2155" s="42">
        <v>76</v>
      </c>
      <c r="B2155" s="42" t="s">
        <v>3520</v>
      </c>
      <c r="C2155" s="22" t="s">
        <v>3360</v>
      </c>
      <c r="E2155" s="20"/>
      <c r="F21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5" s="93"/>
      <c r="I2155" s="203">
        <v>45855</v>
      </c>
      <c r="J2155" s="90" t="str">
        <f>IF(Table26[[#This Row],[customerSKU]]="","",_xlfn.XLOOKUP(Table26[[#This Row],[customerSKU]],customerSKU!G:G,customerSKU!A:A,"",0,1))</f>
        <v/>
      </c>
      <c r="K2155" s="19">
        <v>45874</v>
      </c>
      <c r="L2155" s="49" t="str">
        <f>IF(Table26[[#This Row],[customerSKU]]="","",_xlfn.XLOOKUP(Table26[[#This Row],[customerSKU]],customerSKU!G:G,customerSKU!B:B,"",0,1))</f>
        <v/>
      </c>
      <c r="M2155" s="24"/>
      <c r="N2155" s="305" t="str">
        <f>Table26[[#This Row],[po_number]]&amp;"-"&amp;Table26[[#This Row],[po_line]]</f>
        <v>-1</v>
      </c>
      <c r="O2155" s="305">
        <v>1</v>
      </c>
      <c r="P2155" s="50"/>
      <c r="S2155" s="90" t="str">
        <f>IF(Table26[[#This Row],[customerSKU]]="","",_xlfn.XLOOKUP(Table26[[#This Row],[customerSKU]],customerSKU!G:G,customerSKU!N:N,"NOT FOUND",0,1))</f>
        <v>NOT FOUND</v>
      </c>
      <c r="T2155" s="20"/>
      <c r="U2155" s="94">
        <v>24</v>
      </c>
      <c r="V2155" s="22" t="str">
        <f>IF(ISBLANK(Table26[[#This Row],[customerSKU]]),"",_xlfn.XLOOKUP(Table26[[#This Row],[customerSKU]],Table27[customer_SKU],Table27[case_size],"",0,1))</f>
        <v/>
      </c>
      <c r="W2155" s="117" t="str">
        <f t="shared" si="87"/>
        <v/>
      </c>
      <c r="X2155" s="22" t="str">
        <f t="shared" si="88"/>
        <v/>
      </c>
      <c r="Y2155" s="25" t="str">
        <f>IF(Table26[[#This Row],[customerSKU]]="","",_xlfn.XLOOKUP(Table26[[#This Row],[customerSKU]],Table27[customer_SKU],Table27[product_GTIN],"",0,1))</f>
        <v/>
      </c>
      <c r="Z2155" s="25" t="s">
        <v>3553</v>
      </c>
      <c r="AA2155" s="18" t="str" cm="1">
        <f t="array" ref="AA2155">IF(P2155="", "", _xlfn.XLOOKUP(P2155,#REF!,#REF!,NA,0,-1))</f>
        <v/>
      </c>
      <c r="AB2155" s="22"/>
      <c r="AC2155" s="23" t="str">
        <f>IF(Table26[[#This Row],[customerSKU]]="","",_xlfn.XLOOKUP(Table26[[#This Row],[customerSKU]],customerSKU!G:G,customerSKU!C:C,"",0,1))</f>
        <v/>
      </c>
      <c r="AD2155" s="23" t="str">
        <f>IF($AC2155="","",_xlfn.XLOOKUP($AC2155,'Client Info'!$C$2:$C$2497,'Client Info'!$D$2:$D$2497,"",0,1))</f>
        <v/>
      </c>
      <c r="AE2155" s="23" t="str">
        <f>IF($AC2155="","",_xlfn.XLOOKUP($AC2155,'Client Info'!$C$2:$C$2677,'Client Info'!$E$2:$E$2677,"",))</f>
        <v/>
      </c>
      <c r="AF2155" s="23" t="str">
        <f>IF($AC2155="","",_xlfn.XLOOKUP($AC2155,'Client Info'!$C$2:$C$2677,'Client Info'!$F$2:$F$2677,"",0,1))</f>
        <v/>
      </c>
      <c r="AG2155" s="23" t="str">
        <f>IF(ISBLANK(Table26[[#This Row],[customerSKU]]),"",_xlfn.XLOOKUP(Table26[[#This Row],[customerSKU]],Table27[customer_SKU],Table27[billto],"",0,1))</f>
        <v/>
      </c>
      <c r="AH2155" s="26" t="str">
        <f>_xlfn.XLOOKUP(Table26[[#This Row],[customerSKU]],customerSKU!G:G,customerSKU!K:K,"NA",0,1)</f>
        <v>NA</v>
      </c>
      <c r="AI2155" s="43" t="str">
        <f>_xlfn.XLOOKUP(Table26[[#This Row],[customerSKU]],customerSKU!G:G,customerSKU!O:O,"not found",0,1)</f>
        <v>not found</v>
      </c>
      <c r="AJ2155" s="22" t="e">
        <f>Table26[[#This Row],[unitprice]]*Table26[[#This Row],[quantity_unit]]</f>
        <v>#VALUE!</v>
      </c>
      <c r="AK2155" s="227" t="e" cm="1">
        <f t="array" ref="AK21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5" s="227"/>
    </row>
    <row r="2156" spans="1:38" ht="16.2" customHeight="1">
      <c r="A2156" s="42">
        <v>77</v>
      </c>
      <c r="B2156" s="42" t="s">
        <v>3520</v>
      </c>
      <c r="C2156" s="22" t="s">
        <v>3360</v>
      </c>
      <c r="E2156" s="20"/>
      <c r="F21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6" s="93"/>
      <c r="I2156" s="203">
        <v>45855</v>
      </c>
      <c r="J2156" s="90" t="str">
        <f>IF(Table26[[#This Row],[customerSKU]]="","",_xlfn.XLOOKUP(Table26[[#This Row],[customerSKU]],customerSKU!G:G,customerSKU!A:A,"",0,1))</f>
        <v/>
      </c>
      <c r="K2156" s="19">
        <v>45874</v>
      </c>
      <c r="L2156" s="49" t="str">
        <f>IF(Table26[[#This Row],[customerSKU]]="","",_xlfn.XLOOKUP(Table26[[#This Row],[customerSKU]],customerSKU!G:G,customerSKU!B:B,"",0,1))</f>
        <v/>
      </c>
      <c r="M2156" s="24"/>
      <c r="N2156" s="305" t="str">
        <f>Table26[[#This Row],[po_number]]&amp;"-"&amp;Table26[[#This Row],[po_line]]</f>
        <v>-1</v>
      </c>
      <c r="O2156" s="305">
        <v>1</v>
      </c>
      <c r="P2156" s="50"/>
      <c r="S2156" s="90" t="str">
        <f>IF(Table26[[#This Row],[customerSKU]]="","",_xlfn.XLOOKUP(Table26[[#This Row],[customerSKU]],customerSKU!G:G,customerSKU!N:N,"NOT FOUND",0,1))</f>
        <v>NOT FOUND</v>
      </c>
      <c r="T2156" s="20"/>
      <c r="U2156" s="94">
        <v>12</v>
      </c>
      <c r="V2156" s="22" t="str">
        <f>IF(ISBLANK(Table26[[#This Row],[customerSKU]]),"",_xlfn.XLOOKUP(Table26[[#This Row],[customerSKU]],Table27[customer_SKU],Table27[case_size],"",0,1))</f>
        <v/>
      </c>
      <c r="W2156" s="117" t="str">
        <f t="shared" si="87"/>
        <v/>
      </c>
      <c r="X2156" s="22" t="str">
        <f t="shared" si="88"/>
        <v/>
      </c>
      <c r="Y2156" s="25" t="str">
        <f>IF(Table26[[#This Row],[customerSKU]]="","",_xlfn.XLOOKUP(Table26[[#This Row],[customerSKU]],Table27[customer_SKU],Table27[product_GTIN],"",0,1))</f>
        <v/>
      </c>
      <c r="Z2156" s="25" t="s">
        <v>3626</v>
      </c>
      <c r="AA2156" s="18" t="str" cm="1">
        <f t="array" ref="AA2156">IF(P2156="", "", _xlfn.XLOOKUP(P2156,#REF!,#REF!,NA,0,-1))</f>
        <v/>
      </c>
      <c r="AB2156" s="22"/>
      <c r="AC2156" s="23" t="str">
        <f>IF(Table26[[#This Row],[customerSKU]]="","",_xlfn.XLOOKUP(Table26[[#This Row],[customerSKU]],customerSKU!G:G,customerSKU!C:C,"",0,1))</f>
        <v/>
      </c>
      <c r="AD2156" s="23" t="str">
        <f>IF($AC2156="","",_xlfn.XLOOKUP($AC2156,'Client Info'!$C$2:$C$2497,'Client Info'!$D$2:$D$2497,"",0,1))</f>
        <v/>
      </c>
      <c r="AE2156" s="23" t="str">
        <f>IF($AC2156="","",_xlfn.XLOOKUP($AC2156,'Client Info'!$C$2:$C$2677,'Client Info'!$E$2:$E$2677,"",))</f>
        <v/>
      </c>
      <c r="AF2156" s="23" t="str">
        <f>IF($AC2156="","",_xlfn.XLOOKUP($AC2156,'Client Info'!$C$2:$C$2677,'Client Info'!$F$2:$F$2677,"",0,1))</f>
        <v/>
      </c>
      <c r="AG2156" s="23" t="str">
        <f>IF(ISBLANK(Table26[[#This Row],[customerSKU]]),"",_xlfn.XLOOKUP(Table26[[#This Row],[customerSKU]],Table27[customer_SKU],Table27[billto],"",0,1))</f>
        <v/>
      </c>
      <c r="AH2156" s="26" t="str">
        <f>_xlfn.XLOOKUP(Table26[[#This Row],[customerSKU]],customerSKU!G:G,customerSKU!K:K,"NA",0,1)</f>
        <v>NA</v>
      </c>
      <c r="AI2156" s="43" t="str">
        <f>_xlfn.XLOOKUP(Table26[[#This Row],[customerSKU]],customerSKU!G:G,customerSKU!O:O,"not found",0,1)</f>
        <v>not found</v>
      </c>
      <c r="AJ2156" s="22" t="e">
        <f>Table26[[#This Row],[unitprice]]*Table26[[#This Row],[quantity_unit]]</f>
        <v>#VALUE!</v>
      </c>
      <c r="AK2156" s="227" t="e" cm="1">
        <f t="array" ref="AK21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6" s="227"/>
    </row>
    <row r="2157" spans="1:38" ht="15.45" customHeight="1">
      <c r="A2157" s="42">
        <v>78</v>
      </c>
      <c r="B2157" s="42" t="s">
        <v>3520</v>
      </c>
      <c r="C2157" s="22" t="s">
        <v>3360</v>
      </c>
      <c r="E2157" s="20"/>
      <c r="F21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7" s="93"/>
      <c r="I2157" s="203">
        <v>45861</v>
      </c>
      <c r="J2157" s="90" t="str">
        <f>IF(Table26[[#This Row],[customerSKU]]="","",_xlfn.XLOOKUP(Table26[[#This Row],[customerSKU]],customerSKU!G:G,customerSKU!A:A,"",0,1))</f>
        <v/>
      </c>
      <c r="K2157" s="19">
        <v>45874</v>
      </c>
      <c r="L2157" s="49" t="str">
        <f>IF(Table26[[#This Row],[customerSKU]]="","",_xlfn.XLOOKUP(Table26[[#This Row],[customerSKU]],customerSKU!G:G,customerSKU!B:B,"",0,1))</f>
        <v/>
      </c>
      <c r="M2157" s="24"/>
      <c r="N2157" s="305" t="str">
        <f>Table26[[#This Row],[po_number]]&amp;"-"&amp;Table26[[#This Row],[po_line]]</f>
        <v>-1</v>
      </c>
      <c r="O2157" s="305">
        <v>1</v>
      </c>
      <c r="P2157" s="50"/>
      <c r="S2157" s="90" t="str">
        <f>IF(Table26[[#This Row],[customerSKU]]="","",_xlfn.XLOOKUP(Table26[[#This Row],[customerSKU]],customerSKU!G:G,customerSKU!N:N,"NOT FOUND",0,1))</f>
        <v>NOT FOUND</v>
      </c>
      <c r="T2157" s="20"/>
      <c r="U2157" s="94">
        <v>12</v>
      </c>
      <c r="V2157" s="22" t="str">
        <f>IF(ISBLANK(Table26[[#This Row],[customerSKU]]),"",_xlfn.XLOOKUP(Table26[[#This Row],[customerSKU]],Table27[customer_SKU],Table27[case_size],"",0,1))</f>
        <v/>
      </c>
      <c r="W2157" s="117" t="str">
        <f t="shared" si="87"/>
        <v/>
      </c>
      <c r="X2157" s="22" t="str">
        <f t="shared" si="88"/>
        <v/>
      </c>
      <c r="Y2157" s="25" t="str">
        <f>IF(Table26[[#This Row],[customerSKU]]="","",_xlfn.XLOOKUP(Table26[[#This Row],[customerSKU]],Table27[customer_SKU],Table27[product_GTIN],"",0,1))</f>
        <v/>
      </c>
      <c r="Z2157" s="25" t="s">
        <v>3626</v>
      </c>
      <c r="AA2157" s="18" t="str" cm="1">
        <f t="array" ref="AA2157">IF(P2157="", "", _xlfn.XLOOKUP(P2157,#REF!,#REF!,NA,0,-1))</f>
        <v/>
      </c>
      <c r="AB2157" s="22"/>
      <c r="AC2157" s="23" t="str">
        <f>IF(Table26[[#This Row],[customerSKU]]="","",_xlfn.XLOOKUP(Table26[[#This Row],[customerSKU]],customerSKU!G:G,customerSKU!C:C,"",0,1))</f>
        <v/>
      </c>
      <c r="AD2157" s="23" t="str">
        <f>IF($AC2157="","",_xlfn.XLOOKUP($AC2157,'Client Info'!$C$2:$C$2497,'Client Info'!$D$2:$D$2497,"",0,1))</f>
        <v/>
      </c>
      <c r="AE2157" s="23" t="str">
        <f>IF($AC2157="","",_xlfn.XLOOKUP($AC2157,'Client Info'!$C$2:$C$2677,'Client Info'!$E$2:$E$2677,"",))</f>
        <v/>
      </c>
      <c r="AF2157" s="23" t="str">
        <f>IF($AC2157="","",_xlfn.XLOOKUP($AC2157,'Client Info'!$C$2:$C$2677,'Client Info'!$F$2:$F$2677,"",0,1))</f>
        <v/>
      </c>
      <c r="AG2157" s="23" t="str">
        <f>IF(ISBLANK(Table26[[#This Row],[customerSKU]]),"",_xlfn.XLOOKUP(Table26[[#This Row],[customerSKU]],Table27[customer_SKU],Table27[billto],"",0,1))</f>
        <v/>
      </c>
      <c r="AH2157" s="26" t="str">
        <f>_xlfn.XLOOKUP(Table26[[#This Row],[customerSKU]],customerSKU!G:G,customerSKU!K:K,"NA",0,1)</f>
        <v>NA</v>
      </c>
      <c r="AI2157" s="43" t="str">
        <f>_xlfn.XLOOKUP(Table26[[#This Row],[customerSKU]],customerSKU!G:G,customerSKU!O:O,"not found",0,1)</f>
        <v>not found</v>
      </c>
      <c r="AJ2157" s="22" t="e">
        <f>Table26[[#This Row],[unitprice]]*Table26[[#This Row],[quantity_unit]]</f>
        <v>#VALUE!</v>
      </c>
      <c r="AK2157" s="227" t="e" cm="1">
        <f t="array" ref="AK21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7" s="227"/>
    </row>
    <row r="2158" spans="1:38" ht="15.45" customHeight="1">
      <c r="A2158" s="42">
        <v>79</v>
      </c>
      <c r="B2158" s="42" t="s">
        <v>3520</v>
      </c>
      <c r="C2158" s="53" t="s">
        <v>203</v>
      </c>
      <c r="D2158" s="20">
        <v>45874</v>
      </c>
      <c r="E2158" s="20"/>
      <c r="F21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8" s="93"/>
      <c r="I2158" s="203">
        <v>45866</v>
      </c>
      <c r="J2158" s="90" t="s">
        <v>3129</v>
      </c>
      <c r="K2158" s="20">
        <v>45874</v>
      </c>
      <c r="L2158" s="49" t="s">
        <v>504</v>
      </c>
      <c r="M2158" s="22"/>
      <c r="N2158" s="15" t="str">
        <f>Table26[[#This Row],[po_number]]&amp;"-"&amp;Table26[[#This Row],[po_line]]</f>
        <v>-1</v>
      </c>
      <c r="O2158" s="15">
        <v>1</v>
      </c>
      <c r="P2158" s="50"/>
      <c r="Q2158" s="22" t="s">
        <v>1842</v>
      </c>
      <c r="R2158" s="22" t="s">
        <v>532</v>
      </c>
      <c r="S2158" s="90" t="s">
        <v>14</v>
      </c>
      <c r="T2158" s="20">
        <v>45854</v>
      </c>
      <c r="U2158" s="94">
        <v>36</v>
      </c>
      <c r="V2158" s="22">
        <v>12</v>
      </c>
      <c r="W2158" s="117">
        <f t="shared" si="87"/>
        <v>3</v>
      </c>
      <c r="X2158" s="22" t="str">
        <f t="shared" si="88"/>
        <v/>
      </c>
      <c r="Y2158" s="25" t="str">
        <f>IF(Table26[[#This Row],[customerSKU]]="","",_xlfn.XLOOKUP(Table26[[#This Row],[customerSKU]],Table27[customer_SKU],Table27[product_GTIN],"",0,1))</f>
        <v/>
      </c>
      <c r="Z2158" s="25"/>
      <c r="AA2158" s="18" t="str" cm="1">
        <f t="array" ref="AA2158">IF(P2158="", "", _xlfn.XLOOKUP(P2158,#REF!,#REF!,NA,0,-1))</f>
        <v/>
      </c>
      <c r="AB2158" s="22"/>
      <c r="AC2158" s="23" t="s">
        <v>3748</v>
      </c>
      <c r="AD2158" s="23" t="str">
        <f>IF($AC2158="","",_xlfn.XLOOKUP($AC2158,'Client Info'!$C$2:$C$2497,'Client Info'!$D$2:$D$2497,"",0,1))</f>
        <v/>
      </c>
      <c r="AE2158" s="23" t="str">
        <f>IF($AC2158="","",_xlfn.XLOOKUP($AC2158,'Client Info'!$C$2:$C$2677,'Client Info'!$E$2:$E$2677,"",))</f>
        <v/>
      </c>
      <c r="AF2158" s="23" t="str">
        <f>IF($AC2158="","",_xlfn.XLOOKUP($AC2158,'Client Info'!$C$2:$C$2677,'Client Info'!$F$2:$F$2677,"",0,1))</f>
        <v/>
      </c>
      <c r="AG2158" s="23" t="s">
        <v>3748</v>
      </c>
      <c r="AH2158" s="26" t="str">
        <f>_xlfn.XLOOKUP(Table26[[#This Row],[customerSKU]],customerSKU!G:G,customerSKU!K:K,"NA",0,1)</f>
        <v>NA</v>
      </c>
      <c r="AI2158" s="43" t="str">
        <f>_xlfn.XLOOKUP(Table26[[#This Row],[customerSKU]],customerSKU!G:G,customerSKU!O:O,"not found",0,1)</f>
        <v>not found</v>
      </c>
      <c r="AJ2158" s="22" t="e">
        <f>Table26[[#This Row],[unitprice]]*Table26[[#This Row],[quantity_unit]]</f>
        <v>#VALUE!</v>
      </c>
      <c r="AK2158" s="227" t="e" cm="1">
        <f t="array" ref="AK21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8" s="227"/>
    </row>
    <row r="2159" spans="1:38" ht="15.45" customHeight="1">
      <c r="A2159" s="42">
        <v>80</v>
      </c>
      <c r="B2159" s="42" t="s">
        <v>3520</v>
      </c>
      <c r="C2159" s="53" t="s">
        <v>203</v>
      </c>
      <c r="D2159" s="20">
        <v>45874</v>
      </c>
      <c r="E2159" s="20"/>
      <c r="F21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59" s="93"/>
      <c r="I2159" s="203">
        <v>45866</v>
      </c>
      <c r="J2159" s="90" t="s">
        <v>3129</v>
      </c>
      <c r="K2159" s="20">
        <v>45874</v>
      </c>
      <c r="L2159" s="49" t="s">
        <v>504</v>
      </c>
      <c r="M2159" s="22"/>
      <c r="N2159" s="15" t="str">
        <f>Table26[[#This Row],[po_number]]&amp;"-"&amp;Table26[[#This Row],[po_line]]</f>
        <v>-2</v>
      </c>
      <c r="O2159" s="15">
        <v>2</v>
      </c>
      <c r="P2159" s="50"/>
      <c r="Q2159" s="22" t="s">
        <v>1806</v>
      </c>
      <c r="R2159" s="22" t="s">
        <v>532</v>
      </c>
      <c r="S2159" s="90" t="s">
        <v>14</v>
      </c>
      <c r="T2159" s="20">
        <v>45826</v>
      </c>
      <c r="U2159" s="94">
        <v>60</v>
      </c>
      <c r="V2159" s="22">
        <v>12</v>
      </c>
      <c r="W2159" s="117">
        <f t="shared" si="87"/>
        <v>5</v>
      </c>
      <c r="X2159" s="22" t="str">
        <f t="shared" si="88"/>
        <v/>
      </c>
      <c r="Y2159" s="25" t="str">
        <f>IF(Table26[[#This Row],[customerSKU]]="","",_xlfn.XLOOKUP(Table26[[#This Row],[customerSKU]],Table27[customer_SKU],Table27[product_GTIN],"",0,1))</f>
        <v/>
      </c>
      <c r="Z2159" s="25"/>
      <c r="AA2159" s="18" t="str" cm="1">
        <f t="array" ref="AA2159">IF(P2159="", "", _xlfn.XLOOKUP(P2159,#REF!,#REF!,NA,0,-1))</f>
        <v/>
      </c>
      <c r="AB2159" s="22"/>
      <c r="AC2159" s="23" t="s">
        <v>3748</v>
      </c>
      <c r="AD2159" s="23" t="str">
        <f>IF($AC2159="","",_xlfn.XLOOKUP($AC2159,'Client Info'!$C$2:$C$2497,'Client Info'!$D$2:$D$2497,"",0,1))</f>
        <v/>
      </c>
      <c r="AE2159" s="23" t="str">
        <f>IF($AC2159="","",_xlfn.XLOOKUP($AC2159,'Client Info'!$C$2:$C$2677,'Client Info'!$E$2:$E$2677,"",))</f>
        <v/>
      </c>
      <c r="AF2159" s="23" t="str">
        <f>IF($AC2159="","",_xlfn.XLOOKUP($AC2159,'Client Info'!$C$2:$C$2677,'Client Info'!$F$2:$F$2677,"",0,1))</f>
        <v/>
      </c>
      <c r="AG2159" s="23" t="s">
        <v>3748</v>
      </c>
      <c r="AH2159" s="26" t="str">
        <f>_xlfn.XLOOKUP(Table26[[#This Row],[customerSKU]],customerSKU!G:G,customerSKU!K:K,"NA",0,1)</f>
        <v>NA</v>
      </c>
      <c r="AI2159" s="43" t="str">
        <f>_xlfn.XLOOKUP(Table26[[#This Row],[customerSKU]],customerSKU!G:G,customerSKU!O:O,"not found",0,1)</f>
        <v>not found</v>
      </c>
      <c r="AJ2159" s="22" t="e">
        <f>Table26[[#This Row],[unitprice]]*Table26[[#This Row],[quantity_unit]]</f>
        <v>#VALUE!</v>
      </c>
      <c r="AK2159" s="227" t="e" cm="1">
        <f t="array" ref="AK21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59" s="227"/>
    </row>
    <row r="2160" spans="1:38" ht="15.45" customHeight="1">
      <c r="A2160" s="42">
        <v>81</v>
      </c>
      <c r="B2160" s="42" t="s">
        <v>3520</v>
      </c>
      <c r="C2160" s="53" t="s">
        <v>203</v>
      </c>
      <c r="D2160" s="20">
        <v>45874</v>
      </c>
      <c r="E2160" s="20"/>
      <c r="F21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0" s="93"/>
      <c r="I2160" s="203">
        <v>45866</v>
      </c>
      <c r="J2160" s="90" t="s">
        <v>3129</v>
      </c>
      <c r="K2160" s="20">
        <v>45874</v>
      </c>
      <c r="L2160" s="49" t="s">
        <v>504</v>
      </c>
      <c r="M2160" s="22"/>
      <c r="N2160" s="15" t="str">
        <f>Table26[[#This Row],[po_number]]&amp;"-"&amp;Table26[[#This Row],[po_line]]</f>
        <v>-3</v>
      </c>
      <c r="O2160" s="15">
        <v>3</v>
      </c>
      <c r="P2160" s="50"/>
      <c r="Q2160" s="22" t="s">
        <v>1811</v>
      </c>
      <c r="R2160" s="22" t="s">
        <v>532</v>
      </c>
      <c r="S2160" s="90" t="s">
        <v>14</v>
      </c>
      <c r="T2160" s="20">
        <v>45805</v>
      </c>
      <c r="U2160" s="94">
        <v>72</v>
      </c>
      <c r="V2160" s="22">
        <v>12</v>
      </c>
      <c r="W2160" s="117">
        <f t="shared" si="87"/>
        <v>6</v>
      </c>
      <c r="X2160" s="22" t="str">
        <f t="shared" si="88"/>
        <v/>
      </c>
      <c r="Y2160" s="25" t="str">
        <f>IF(Table26[[#This Row],[customerSKU]]="","",_xlfn.XLOOKUP(Table26[[#This Row],[customerSKU]],Table27[customer_SKU],Table27[product_GTIN],"",0,1))</f>
        <v/>
      </c>
      <c r="Z2160" s="25"/>
      <c r="AA2160" s="18" t="str" cm="1">
        <f t="array" ref="AA2160">IF(P2160="", "", _xlfn.XLOOKUP(P2160,#REF!,#REF!,NA,0,-1))</f>
        <v/>
      </c>
      <c r="AB2160" s="22"/>
      <c r="AC2160" s="23" t="s">
        <v>3748</v>
      </c>
      <c r="AD2160" s="23" t="str">
        <f>IF($AC2160="","",_xlfn.XLOOKUP($AC2160,'Client Info'!$C$2:$C$2497,'Client Info'!$D$2:$D$2497,"",0,1))</f>
        <v/>
      </c>
      <c r="AE2160" s="23" t="str">
        <f>IF($AC2160="","",_xlfn.XLOOKUP($AC2160,'Client Info'!$C$2:$C$2677,'Client Info'!$E$2:$E$2677,"",))</f>
        <v/>
      </c>
      <c r="AF2160" s="23" t="str">
        <f>IF($AC2160="","",_xlfn.XLOOKUP($AC2160,'Client Info'!$C$2:$C$2677,'Client Info'!$F$2:$F$2677,"",0,1))</f>
        <v/>
      </c>
      <c r="AG2160" s="23" t="s">
        <v>3748</v>
      </c>
      <c r="AH2160" s="26" t="str">
        <f>_xlfn.XLOOKUP(Table26[[#This Row],[customerSKU]],customerSKU!G:G,customerSKU!K:K,"NA",0,1)</f>
        <v>NA</v>
      </c>
      <c r="AI2160" s="43" t="str">
        <f>_xlfn.XLOOKUP(Table26[[#This Row],[customerSKU]],customerSKU!G:G,customerSKU!O:O,"not found",0,1)</f>
        <v>not found</v>
      </c>
      <c r="AJ2160" s="22" t="e">
        <f>Table26[[#This Row],[unitprice]]*Table26[[#This Row],[quantity_unit]]</f>
        <v>#VALUE!</v>
      </c>
      <c r="AK2160" s="227" t="e" cm="1">
        <f t="array" ref="AK21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0" s="227"/>
    </row>
    <row r="2161" spans="1:38" ht="15.45" customHeight="1">
      <c r="A2161" s="42">
        <v>82</v>
      </c>
      <c r="B2161" s="42" t="s">
        <v>3520</v>
      </c>
      <c r="C2161" s="53" t="s">
        <v>203</v>
      </c>
      <c r="D2161" s="20">
        <v>45874</v>
      </c>
      <c r="E2161" s="20"/>
      <c r="F21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1" s="93"/>
      <c r="I2161" s="203">
        <v>45866</v>
      </c>
      <c r="J2161" s="90" t="s">
        <v>3129</v>
      </c>
      <c r="K2161" s="20">
        <v>45874</v>
      </c>
      <c r="L2161" s="49" t="s">
        <v>504</v>
      </c>
      <c r="M2161" s="22"/>
      <c r="N2161" s="15" t="str">
        <f>Table26[[#This Row],[po_number]]&amp;"-"&amp;Table26[[#This Row],[po_line]]</f>
        <v>-4</v>
      </c>
      <c r="O2161" s="15">
        <v>4</v>
      </c>
      <c r="P2161" s="50"/>
      <c r="Q2161" s="22" t="s">
        <v>591</v>
      </c>
      <c r="R2161" s="22" t="s">
        <v>532</v>
      </c>
      <c r="S2161" s="90" t="s">
        <v>14</v>
      </c>
      <c r="T2161" s="20">
        <v>45859</v>
      </c>
      <c r="U2161" s="94">
        <v>24</v>
      </c>
      <c r="V2161" s="22">
        <v>12</v>
      </c>
      <c r="W2161" s="117">
        <f t="shared" si="87"/>
        <v>2</v>
      </c>
      <c r="X2161" s="22" t="str">
        <f t="shared" si="88"/>
        <v/>
      </c>
      <c r="Y2161" s="25" t="str">
        <f>IF(Table26[[#This Row],[customerSKU]]="","",_xlfn.XLOOKUP(Table26[[#This Row],[customerSKU]],Table27[customer_SKU],Table27[product_GTIN],"",0,1))</f>
        <v/>
      </c>
      <c r="Z2161" s="25"/>
      <c r="AA2161" s="18" t="str" cm="1">
        <f t="array" ref="AA2161">IF(P2161="", "", _xlfn.XLOOKUP(P2161,#REF!,#REF!,NA,0,-1))</f>
        <v/>
      </c>
      <c r="AB2161" s="22"/>
      <c r="AC2161" s="23" t="s">
        <v>3748</v>
      </c>
      <c r="AD2161" s="23" t="str">
        <f>IF($AC2161="","",_xlfn.XLOOKUP($AC2161,'Client Info'!$C$2:$C$2497,'Client Info'!$D$2:$D$2497,"",0,1))</f>
        <v/>
      </c>
      <c r="AE2161" s="23" t="str">
        <f>IF($AC2161="","",_xlfn.XLOOKUP($AC2161,'Client Info'!$C$2:$C$2677,'Client Info'!$E$2:$E$2677,"",))</f>
        <v/>
      </c>
      <c r="AF2161" s="23" t="str">
        <f>IF($AC2161="","",_xlfn.XLOOKUP($AC2161,'Client Info'!$C$2:$C$2677,'Client Info'!$F$2:$F$2677,"",0,1))</f>
        <v/>
      </c>
      <c r="AG2161" s="23" t="s">
        <v>3748</v>
      </c>
      <c r="AH2161" s="26" t="str">
        <f>_xlfn.XLOOKUP(Table26[[#This Row],[customerSKU]],customerSKU!G:G,customerSKU!K:K,"NA",0,1)</f>
        <v>NA</v>
      </c>
      <c r="AI2161" s="43" t="str">
        <f>_xlfn.XLOOKUP(Table26[[#This Row],[customerSKU]],customerSKU!G:G,customerSKU!O:O,"not found",0,1)</f>
        <v>not found</v>
      </c>
      <c r="AJ2161" s="22" t="e">
        <f>Table26[[#This Row],[unitprice]]*Table26[[#This Row],[quantity_unit]]</f>
        <v>#VALUE!</v>
      </c>
      <c r="AK2161" s="227" t="e" cm="1">
        <f t="array" ref="AK21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1" s="227"/>
    </row>
    <row r="2162" spans="1:38" ht="15.45" customHeight="1">
      <c r="A2162" s="42">
        <v>83</v>
      </c>
      <c r="B2162" s="42" t="s">
        <v>3520</v>
      </c>
      <c r="C2162" s="53" t="s">
        <v>203</v>
      </c>
      <c r="D2162" s="20">
        <v>45874</v>
      </c>
      <c r="E2162" s="20"/>
      <c r="F21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2" s="93"/>
      <c r="I2162" s="203">
        <v>45866</v>
      </c>
      <c r="J2162" s="90" t="s">
        <v>3129</v>
      </c>
      <c r="K2162" s="20">
        <v>45874</v>
      </c>
      <c r="L2162" s="49" t="s">
        <v>504</v>
      </c>
      <c r="M2162" s="22"/>
      <c r="N2162" s="15" t="str">
        <f>Table26[[#This Row],[po_number]]&amp;"-"&amp;Table26[[#This Row],[po_line]]</f>
        <v>-5</v>
      </c>
      <c r="O2162" s="15">
        <v>5</v>
      </c>
      <c r="P2162" s="50"/>
      <c r="Q2162" s="22" t="s">
        <v>589</v>
      </c>
      <c r="R2162" s="22" t="s">
        <v>532</v>
      </c>
      <c r="S2162" s="90" t="s">
        <v>14</v>
      </c>
      <c r="T2162" s="20">
        <v>45581</v>
      </c>
      <c r="U2162" s="94">
        <v>36</v>
      </c>
      <c r="V2162" s="22">
        <v>12</v>
      </c>
      <c r="W2162" s="117">
        <f t="shared" si="87"/>
        <v>3</v>
      </c>
      <c r="X2162" s="22" t="str">
        <f t="shared" si="88"/>
        <v/>
      </c>
      <c r="Y2162" s="25" t="str">
        <f>IF(Table26[[#This Row],[customerSKU]]="","",_xlfn.XLOOKUP(Table26[[#This Row],[customerSKU]],Table27[customer_SKU],Table27[product_GTIN],"",0,1))</f>
        <v/>
      </c>
      <c r="Z2162" s="25"/>
      <c r="AA2162" s="18" t="str" cm="1">
        <f t="array" ref="AA2162">IF(P2162="", "", _xlfn.XLOOKUP(P2162,#REF!,#REF!,NA,0,-1))</f>
        <v/>
      </c>
      <c r="AB2162" s="22"/>
      <c r="AC2162" s="23" t="s">
        <v>3748</v>
      </c>
      <c r="AD2162" s="23" t="str">
        <f>IF($AC2162="","",_xlfn.XLOOKUP($AC2162,'Client Info'!$C$2:$C$2497,'Client Info'!$D$2:$D$2497,"",0,1))</f>
        <v/>
      </c>
      <c r="AE2162" s="23" t="str">
        <f>IF($AC2162="","",_xlfn.XLOOKUP($AC2162,'Client Info'!$C$2:$C$2677,'Client Info'!$E$2:$E$2677,"",))</f>
        <v/>
      </c>
      <c r="AF2162" s="23" t="str">
        <f>IF($AC2162="","",_xlfn.XLOOKUP($AC2162,'Client Info'!$C$2:$C$2677,'Client Info'!$F$2:$F$2677,"",0,1))</f>
        <v/>
      </c>
      <c r="AG2162" s="23" t="s">
        <v>3748</v>
      </c>
      <c r="AH2162" s="26" t="str">
        <f>_xlfn.XLOOKUP(Table26[[#This Row],[customerSKU]],customerSKU!G:G,customerSKU!K:K,"NA",0,1)</f>
        <v>NA</v>
      </c>
      <c r="AI2162" s="43" t="str">
        <f>_xlfn.XLOOKUP(Table26[[#This Row],[customerSKU]],customerSKU!G:G,customerSKU!O:O,"not found",0,1)</f>
        <v>not found</v>
      </c>
      <c r="AJ2162" s="22" t="e">
        <f>Table26[[#This Row],[unitprice]]*Table26[[#This Row],[quantity_unit]]</f>
        <v>#VALUE!</v>
      </c>
      <c r="AK2162" s="227" t="e" cm="1">
        <f t="array" ref="AK21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2" s="227"/>
    </row>
    <row r="2163" spans="1:38" ht="15.45" customHeight="1">
      <c r="A2163" s="42">
        <v>84</v>
      </c>
      <c r="B2163" s="42" t="s">
        <v>3520</v>
      </c>
      <c r="C2163" s="53" t="s">
        <v>203</v>
      </c>
      <c r="D2163" s="20">
        <v>45874</v>
      </c>
      <c r="E2163" s="20"/>
      <c r="F21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3" s="93"/>
      <c r="I2163" s="203">
        <v>45866</v>
      </c>
      <c r="J2163" s="90" t="s">
        <v>3129</v>
      </c>
      <c r="K2163" s="20">
        <v>45874</v>
      </c>
      <c r="L2163" s="49" t="s">
        <v>504</v>
      </c>
      <c r="M2163" s="22"/>
      <c r="N2163" s="15" t="str">
        <f>Table26[[#This Row],[po_number]]&amp;"-"&amp;Table26[[#This Row],[po_line]]</f>
        <v>-6</v>
      </c>
      <c r="O2163" s="15">
        <v>6</v>
      </c>
      <c r="P2163" s="50"/>
      <c r="Q2163" s="22" t="s">
        <v>1783</v>
      </c>
      <c r="R2163" s="22" t="s">
        <v>532</v>
      </c>
      <c r="S2163" s="90" t="s">
        <v>14</v>
      </c>
      <c r="T2163" s="20">
        <v>45800</v>
      </c>
      <c r="U2163" s="94">
        <v>12</v>
      </c>
      <c r="V2163" s="22">
        <v>12</v>
      </c>
      <c r="W2163" s="117">
        <f t="shared" si="87"/>
        <v>1</v>
      </c>
      <c r="X2163" s="22" t="str">
        <f t="shared" si="88"/>
        <v/>
      </c>
      <c r="Y2163" s="25" t="str">
        <f>IF(Table26[[#This Row],[customerSKU]]="","",_xlfn.XLOOKUP(Table26[[#This Row],[customerSKU]],Table27[customer_SKU],Table27[product_GTIN],"",0,1))</f>
        <v/>
      </c>
      <c r="Z2163" s="25"/>
      <c r="AA2163" s="18" t="str" cm="1">
        <f t="array" ref="AA2163">IF(P2163="", "", _xlfn.XLOOKUP(P2163,#REF!,#REF!,NA,0,-1))</f>
        <v/>
      </c>
      <c r="AB2163" s="22"/>
      <c r="AC2163" s="23" t="s">
        <v>3748</v>
      </c>
      <c r="AD2163" s="23" t="str">
        <f>IF($AC2163="","",_xlfn.XLOOKUP($AC2163,'Client Info'!$C$2:$C$2497,'Client Info'!$D$2:$D$2497,"",0,1))</f>
        <v/>
      </c>
      <c r="AE2163" s="23" t="str">
        <f>IF($AC2163="","",_xlfn.XLOOKUP($AC2163,'Client Info'!$C$2:$C$2677,'Client Info'!$E$2:$E$2677,"",))</f>
        <v/>
      </c>
      <c r="AF2163" s="23" t="str">
        <f>IF($AC2163="","",_xlfn.XLOOKUP($AC2163,'Client Info'!$C$2:$C$2677,'Client Info'!$F$2:$F$2677,"",0,1))</f>
        <v/>
      </c>
      <c r="AG2163" s="23" t="s">
        <v>3748</v>
      </c>
      <c r="AH2163" s="26" t="str">
        <f>_xlfn.XLOOKUP(Table26[[#This Row],[customerSKU]],customerSKU!G:G,customerSKU!K:K,"NA",0,1)</f>
        <v>NA</v>
      </c>
      <c r="AI2163" s="43" t="str">
        <f>_xlfn.XLOOKUP(Table26[[#This Row],[customerSKU]],customerSKU!G:G,customerSKU!O:O,"not found",0,1)</f>
        <v>not found</v>
      </c>
      <c r="AJ2163" s="22" t="e">
        <f>Table26[[#This Row],[unitprice]]*Table26[[#This Row],[quantity_unit]]</f>
        <v>#VALUE!</v>
      </c>
      <c r="AK2163" s="227" t="e" cm="1">
        <f t="array" ref="AK21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3" s="227"/>
    </row>
    <row r="2164" spans="1:38" ht="15.45" customHeight="1">
      <c r="A2164" s="42">
        <v>85</v>
      </c>
      <c r="B2164" s="42" t="s">
        <v>3520</v>
      </c>
      <c r="C2164" s="53" t="s">
        <v>203</v>
      </c>
      <c r="D2164" s="20">
        <v>45874</v>
      </c>
      <c r="E2164" s="20"/>
      <c r="F21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4" s="93"/>
      <c r="I2164" s="203">
        <v>45866</v>
      </c>
      <c r="J2164" s="90" t="s">
        <v>3129</v>
      </c>
      <c r="K2164" s="20">
        <v>45874</v>
      </c>
      <c r="L2164" s="49" t="s">
        <v>504</v>
      </c>
      <c r="M2164" s="22"/>
      <c r="N2164" s="15" t="str">
        <f>Table26[[#This Row],[po_number]]&amp;"-"&amp;Table26[[#This Row],[po_line]]</f>
        <v>-7</v>
      </c>
      <c r="O2164" s="15">
        <v>7</v>
      </c>
      <c r="P2164" s="50"/>
      <c r="Q2164" s="22" t="s">
        <v>1312</v>
      </c>
      <c r="R2164" s="22" t="s">
        <v>532</v>
      </c>
      <c r="S2164" s="90" t="s">
        <v>14</v>
      </c>
      <c r="T2164" s="20">
        <v>45854</v>
      </c>
      <c r="U2164" s="94">
        <v>36</v>
      </c>
      <c r="V2164" s="22">
        <v>12</v>
      </c>
      <c r="W2164" s="117">
        <f t="shared" si="87"/>
        <v>3</v>
      </c>
      <c r="X2164" s="22" t="str">
        <f t="shared" si="88"/>
        <v/>
      </c>
      <c r="Y2164" s="25" t="str">
        <f>IF(Table26[[#This Row],[customerSKU]]="","",_xlfn.XLOOKUP(Table26[[#This Row],[customerSKU]],Table27[customer_SKU],Table27[product_GTIN],"",0,1))</f>
        <v/>
      </c>
      <c r="Z2164" s="25"/>
      <c r="AA2164" s="18" t="str" cm="1">
        <f t="array" ref="AA2164">IF(P2164="", "", _xlfn.XLOOKUP(P2164,#REF!,#REF!,NA,0,-1))</f>
        <v/>
      </c>
      <c r="AB2164" s="22"/>
      <c r="AC2164" s="23" t="s">
        <v>3748</v>
      </c>
      <c r="AD2164" s="23" t="str">
        <f>IF($AC2164="","",_xlfn.XLOOKUP($AC2164,'Client Info'!$C$2:$C$2497,'Client Info'!$D$2:$D$2497,"",0,1))</f>
        <v/>
      </c>
      <c r="AE2164" s="23" t="str">
        <f>IF($AC2164="","",_xlfn.XLOOKUP($AC2164,'Client Info'!$C$2:$C$2677,'Client Info'!$E$2:$E$2677,"",))</f>
        <v/>
      </c>
      <c r="AF2164" s="23" t="str">
        <f>IF($AC2164="","",_xlfn.XLOOKUP($AC2164,'Client Info'!$C$2:$C$2677,'Client Info'!$F$2:$F$2677,"",0,1))</f>
        <v/>
      </c>
      <c r="AG2164" s="23" t="s">
        <v>3748</v>
      </c>
      <c r="AH2164" s="26" t="str">
        <f>_xlfn.XLOOKUP(Table26[[#This Row],[customerSKU]],customerSKU!G:G,customerSKU!K:K,"NA",0,1)</f>
        <v>NA</v>
      </c>
      <c r="AI2164" s="43" t="str">
        <f>_xlfn.XLOOKUP(Table26[[#This Row],[customerSKU]],customerSKU!G:G,customerSKU!O:O,"not found",0,1)</f>
        <v>not found</v>
      </c>
      <c r="AJ2164" s="22" t="e">
        <f>Table26[[#This Row],[unitprice]]*Table26[[#This Row],[quantity_unit]]</f>
        <v>#VALUE!</v>
      </c>
      <c r="AK2164" s="227" t="e" cm="1">
        <f t="array" ref="AK21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4" s="227"/>
    </row>
    <row r="2165" spans="1:38" ht="15.45" customHeight="1">
      <c r="A2165" s="42">
        <v>86</v>
      </c>
      <c r="B2165" s="42" t="s">
        <v>3520</v>
      </c>
      <c r="C2165" s="53" t="s">
        <v>203</v>
      </c>
      <c r="D2165" s="20">
        <v>45874</v>
      </c>
      <c r="E2165" s="20"/>
      <c r="F21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5" s="93"/>
      <c r="I2165" s="203">
        <v>45866</v>
      </c>
      <c r="J2165" s="90" t="s">
        <v>3129</v>
      </c>
      <c r="K2165" s="20">
        <v>45874</v>
      </c>
      <c r="L2165" s="49" t="s">
        <v>504</v>
      </c>
      <c r="M2165" s="22"/>
      <c r="N2165" s="15" t="str">
        <f>Table26[[#This Row],[po_number]]&amp;"-"&amp;Table26[[#This Row],[po_line]]</f>
        <v>-8</v>
      </c>
      <c r="O2165" s="15">
        <v>8</v>
      </c>
      <c r="P2165" s="50"/>
      <c r="Q2165" s="22" t="s">
        <v>3749</v>
      </c>
      <c r="R2165" s="22" t="s">
        <v>532</v>
      </c>
      <c r="S2165" s="90" t="s">
        <v>14</v>
      </c>
      <c r="T2165" s="20">
        <v>45870</v>
      </c>
      <c r="U2165" s="94">
        <v>36</v>
      </c>
      <c r="V2165" s="22">
        <v>12</v>
      </c>
      <c r="W2165" s="117">
        <f t="shared" si="87"/>
        <v>3</v>
      </c>
      <c r="X2165" s="22" t="str">
        <f t="shared" si="88"/>
        <v/>
      </c>
      <c r="Y2165" s="25" t="str">
        <f>IF(Table26[[#This Row],[customerSKU]]="","",_xlfn.XLOOKUP(Table26[[#This Row],[customerSKU]],Table27[customer_SKU],Table27[product_GTIN],"",0,1))</f>
        <v/>
      </c>
      <c r="Z2165" s="25"/>
      <c r="AA2165" s="18" t="str" cm="1">
        <f t="array" ref="AA2165">IF(P2165="", "", _xlfn.XLOOKUP(P2165,#REF!,#REF!,NA,0,-1))</f>
        <v/>
      </c>
      <c r="AB2165" s="22"/>
      <c r="AC2165" s="23" t="s">
        <v>3748</v>
      </c>
      <c r="AD2165" s="23" t="str">
        <f>IF($AC2165="","",_xlfn.XLOOKUP($AC2165,'Client Info'!$C$2:$C$2497,'Client Info'!$D$2:$D$2497,"",0,1))</f>
        <v/>
      </c>
      <c r="AE2165" s="23" t="str">
        <f>IF($AC2165="","",_xlfn.XLOOKUP($AC2165,'Client Info'!$C$2:$C$2677,'Client Info'!$E$2:$E$2677,"",))</f>
        <v/>
      </c>
      <c r="AF2165" s="23" t="str">
        <f>IF($AC2165="","",_xlfn.XLOOKUP($AC2165,'Client Info'!$C$2:$C$2677,'Client Info'!$F$2:$F$2677,"",0,1))</f>
        <v/>
      </c>
      <c r="AG2165" s="23" t="s">
        <v>3748</v>
      </c>
      <c r="AH2165" s="26" t="str">
        <f>_xlfn.XLOOKUP(Table26[[#This Row],[customerSKU]],customerSKU!G:G,customerSKU!K:K,"NA",0,1)</f>
        <v>NA</v>
      </c>
      <c r="AI2165" s="43" t="str">
        <f>_xlfn.XLOOKUP(Table26[[#This Row],[customerSKU]],customerSKU!G:G,customerSKU!O:O,"not found",0,1)</f>
        <v>not found</v>
      </c>
      <c r="AJ2165" s="22" t="e">
        <f>Table26[[#This Row],[unitprice]]*Table26[[#This Row],[quantity_unit]]</f>
        <v>#VALUE!</v>
      </c>
      <c r="AK2165" s="227" t="e" cm="1">
        <f t="array" ref="AK21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5" s="227"/>
    </row>
    <row r="2166" spans="1:38" ht="16.2" customHeight="1">
      <c r="A2166" s="42">
        <v>87</v>
      </c>
      <c r="B2166" s="42" t="s">
        <v>3520</v>
      </c>
      <c r="C2166" s="53" t="s">
        <v>203</v>
      </c>
      <c r="D2166" s="20">
        <v>45874</v>
      </c>
      <c r="E2166" s="20"/>
      <c r="F21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6" s="93"/>
      <c r="I2166" s="203">
        <v>45866</v>
      </c>
      <c r="J2166" s="90" t="s">
        <v>3129</v>
      </c>
      <c r="K2166" s="20">
        <v>45874</v>
      </c>
      <c r="L2166" s="49" t="s">
        <v>504</v>
      </c>
      <c r="M2166" s="22"/>
      <c r="N2166" s="15" t="str">
        <f>Table26[[#This Row],[po_number]]&amp;"-"&amp;Table26[[#This Row],[po_line]]</f>
        <v>-9</v>
      </c>
      <c r="O2166" s="15">
        <v>9</v>
      </c>
      <c r="P2166" s="50"/>
      <c r="Q2166" s="22" t="s">
        <v>3378</v>
      </c>
      <c r="R2166" s="22" t="s">
        <v>532</v>
      </c>
      <c r="S2166" s="90" t="s">
        <v>14</v>
      </c>
      <c r="T2166" s="20">
        <v>45742</v>
      </c>
      <c r="U2166" s="94">
        <v>36</v>
      </c>
      <c r="V2166" s="22">
        <v>12</v>
      </c>
      <c r="W2166" s="117">
        <f t="shared" si="87"/>
        <v>3</v>
      </c>
      <c r="X2166" s="22" t="str">
        <f t="shared" si="88"/>
        <v/>
      </c>
      <c r="Y2166" s="25" t="str">
        <f>IF(Table26[[#This Row],[customerSKU]]="","",_xlfn.XLOOKUP(Table26[[#This Row],[customerSKU]],Table27[customer_SKU],Table27[product_GTIN],"",0,1))</f>
        <v/>
      </c>
      <c r="Z2166" s="25"/>
      <c r="AA2166" s="18" t="str" cm="1">
        <f t="array" ref="AA2166">IF(P2166="", "", _xlfn.XLOOKUP(P2166,#REF!,#REF!,NA,0,-1))</f>
        <v/>
      </c>
      <c r="AB2166" s="22"/>
      <c r="AC2166" s="23" t="s">
        <v>3748</v>
      </c>
      <c r="AD2166" s="23" t="str">
        <f>IF($AC2166="","",_xlfn.XLOOKUP($AC2166,'Client Info'!$C$2:$C$2497,'Client Info'!$D$2:$D$2497,"",0,1))</f>
        <v/>
      </c>
      <c r="AE2166" s="23" t="str">
        <f>IF($AC2166="","",_xlfn.XLOOKUP($AC2166,'Client Info'!$C$2:$C$2677,'Client Info'!$E$2:$E$2677,"",))</f>
        <v/>
      </c>
      <c r="AF2166" s="23" t="str">
        <f>IF($AC2166="","",_xlfn.XLOOKUP($AC2166,'Client Info'!$C$2:$C$2677,'Client Info'!$F$2:$F$2677,"",0,1))</f>
        <v/>
      </c>
      <c r="AG2166" s="23" t="s">
        <v>3748</v>
      </c>
      <c r="AH2166" s="26" t="str">
        <f>_xlfn.XLOOKUP(Table26[[#This Row],[customerSKU]],customerSKU!G:G,customerSKU!K:K,"NA",0,1)</f>
        <v>NA</v>
      </c>
      <c r="AI2166" s="43" t="str">
        <f>_xlfn.XLOOKUP(Table26[[#This Row],[customerSKU]],customerSKU!G:G,customerSKU!O:O,"not found",0,1)</f>
        <v>not found</v>
      </c>
      <c r="AJ2166" s="22" t="e">
        <f>Table26[[#This Row],[unitprice]]*Table26[[#This Row],[quantity_unit]]</f>
        <v>#VALUE!</v>
      </c>
      <c r="AK2166" s="227" t="e" cm="1">
        <f t="array" ref="AK21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6" s="227"/>
    </row>
    <row r="2167" spans="1:38" ht="16.2" customHeight="1">
      <c r="A2167" s="42">
        <v>88</v>
      </c>
      <c r="B2167" s="42" t="s">
        <v>3520</v>
      </c>
      <c r="C2167" s="53" t="s">
        <v>203</v>
      </c>
      <c r="D2167" s="20">
        <v>45874</v>
      </c>
      <c r="E2167" s="20"/>
      <c r="F21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7" s="93"/>
      <c r="I2167" s="203">
        <v>45866</v>
      </c>
      <c r="J2167" s="90" t="s">
        <v>3129</v>
      </c>
      <c r="K2167" s="20">
        <v>45874</v>
      </c>
      <c r="L2167" s="49" t="s">
        <v>504</v>
      </c>
      <c r="M2167" s="22"/>
      <c r="N2167" s="15" t="str">
        <f>Table26[[#This Row],[po_number]]&amp;"-"&amp;Table26[[#This Row],[po_line]]</f>
        <v>-10</v>
      </c>
      <c r="O2167" s="15">
        <v>10</v>
      </c>
      <c r="P2167" s="50"/>
      <c r="Q2167" s="22" t="s">
        <v>543</v>
      </c>
      <c r="R2167" s="22" t="s">
        <v>532</v>
      </c>
      <c r="S2167" s="90" t="s">
        <v>14</v>
      </c>
      <c r="T2167" s="20">
        <v>45793</v>
      </c>
      <c r="U2167" s="94">
        <v>48</v>
      </c>
      <c r="V2167" s="22">
        <v>12</v>
      </c>
      <c r="W2167" s="117">
        <f t="shared" si="87"/>
        <v>4</v>
      </c>
      <c r="X2167" s="22" t="str">
        <f t="shared" si="88"/>
        <v/>
      </c>
      <c r="Y2167" s="25" t="str">
        <f>IF(Table26[[#This Row],[customerSKU]]="","",_xlfn.XLOOKUP(Table26[[#This Row],[customerSKU]],Table27[customer_SKU],Table27[product_GTIN],"",0,1))</f>
        <v/>
      </c>
      <c r="Z2167" s="25"/>
      <c r="AA2167" s="18" t="str" cm="1">
        <f t="array" ref="AA2167">IF(P2167="", "", _xlfn.XLOOKUP(P2167,#REF!,#REF!,NA,0,-1))</f>
        <v/>
      </c>
      <c r="AB2167" s="22"/>
      <c r="AC2167" s="23" t="s">
        <v>3748</v>
      </c>
      <c r="AD2167" s="23" t="str">
        <f>IF($AC2167="","",_xlfn.XLOOKUP($AC2167,'Client Info'!$C$2:$C$2497,'Client Info'!$D$2:$D$2497,"",0,1))</f>
        <v/>
      </c>
      <c r="AE2167" s="23" t="str">
        <f>IF($AC2167="","",_xlfn.XLOOKUP($AC2167,'Client Info'!$C$2:$C$2677,'Client Info'!$E$2:$E$2677,"",))</f>
        <v/>
      </c>
      <c r="AF2167" s="23" t="str">
        <f>IF($AC2167="","",_xlfn.XLOOKUP($AC2167,'Client Info'!$C$2:$C$2677,'Client Info'!$F$2:$F$2677,"",0,1))</f>
        <v/>
      </c>
      <c r="AG2167" s="23" t="s">
        <v>3748</v>
      </c>
      <c r="AH2167" s="26" t="str">
        <f>_xlfn.XLOOKUP(Table26[[#This Row],[customerSKU]],customerSKU!G:G,customerSKU!K:K,"NA",0,1)</f>
        <v>NA</v>
      </c>
      <c r="AI2167" s="43" t="str">
        <f>_xlfn.XLOOKUP(Table26[[#This Row],[customerSKU]],customerSKU!G:G,customerSKU!O:O,"not found",0,1)</f>
        <v>not found</v>
      </c>
      <c r="AJ2167" s="22" t="e">
        <f>Table26[[#This Row],[unitprice]]*Table26[[#This Row],[quantity_unit]]</f>
        <v>#VALUE!</v>
      </c>
      <c r="AK2167" s="227" t="e" cm="1">
        <f t="array" ref="AK21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7" s="227"/>
    </row>
    <row r="2168" spans="1:38" ht="15.45" customHeight="1">
      <c r="A2168" s="42">
        <v>89</v>
      </c>
      <c r="B2168" s="42" t="s">
        <v>3520</v>
      </c>
      <c r="C2168" s="53" t="s">
        <v>203</v>
      </c>
      <c r="D2168" s="20">
        <v>45874</v>
      </c>
      <c r="E2168" s="20"/>
      <c r="F21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8" s="93"/>
      <c r="I2168" s="203">
        <v>45866</v>
      </c>
      <c r="J2168" s="90" t="s">
        <v>3129</v>
      </c>
      <c r="K2168" s="20">
        <v>45874</v>
      </c>
      <c r="L2168" s="49" t="s">
        <v>504</v>
      </c>
      <c r="M2168" s="22"/>
      <c r="N2168" s="15" t="str">
        <f>Table26[[#This Row],[po_number]]&amp;"-"&amp;Table26[[#This Row],[po_line]]</f>
        <v>-11</v>
      </c>
      <c r="O2168" s="15">
        <v>11</v>
      </c>
      <c r="P2168" s="50"/>
      <c r="Q2168" s="22" t="s">
        <v>1823</v>
      </c>
      <c r="R2168" s="22" t="s">
        <v>532</v>
      </c>
      <c r="S2168" s="90" t="s">
        <v>14</v>
      </c>
      <c r="T2168" s="20">
        <v>45831</v>
      </c>
      <c r="U2168" s="94">
        <v>24</v>
      </c>
      <c r="V2168" s="22">
        <v>12</v>
      </c>
      <c r="W2168" s="117">
        <f t="shared" si="87"/>
        <v>2</v>
      </c>
      <c r="X2168" s="22" t="str">
        <f t="shared" si="88"/>
        <v/>
      </c>
      <c r="Y2168" s="25" t="str">
        <f>IF(Table26[[#This Row],[customerSKU]]="","",_xlfn.XLOOKUP(Table26[[#This Row],[customerSKU]],Table27[customer_SKU],Table27[product_GTIN],"",0,1))</f>
        <v/>
      </c>
      <c r="Z2168" s="25"/>
      <c r="AA2168" s="18" t="str" cm="1">
        <f t="array" ref="AA2168">IF(P2168="", "", _xlfn.XLOOKUP(P2168,#REF!,#REF!,NA,0,-1))</f>
        <v/>
      </c>
      <c r="AB2168" s="22"/>
      <c r="AC2168" s="23" t="s">
        <v>3748</v>
      </c>
      <c r="AD2168" s="23" t="str">
        <f>IF($AC2168="","",_xlfn.XLOOKUP($AC2168,'Client Info'!$C$2:$C$2497,'Client Info'!$D$2:$D$2497,"",0,1))</f>
        <v/>
      </c>
      <c r="AE2168" s="23" t="str">
        <f>IF($AC2168="","",_xlfn.XLOOKUP($AC2168,'Client Info'!$C$2:$C$2677,'Client Info'!$E$2:$E$2677,"",))</f>
        <v/>
      </c>
      <c r="AF2168" s="23" t="str">
        <f>IF($AC2168="","",_xlfn.XLOOKUP($AC2168,'Client Info'!$C$2:$C$2677,'Client Info'!$F$2:$F$2677,"",0,1))</f>
        <v/>
      </c>
      <c r="AG2168" s="23" t="s">
        <v>3748</v>
      </c>
      <c r="AH2168" s="26" t="str">
        <f>_xlfn.XLOOKUP(Table26[[#This Row],[customerSKU]],customerSKU!G:G,customerSKU!K:K,"NA",0,1)</f>
        <v>NA</v>
      </c>
      <c r="AI2168" s="43" t="str">
        <f>_xlfn.XLOOKUP(Table26[[#This Row],[customerSKU]],customerSKU!G:G,customerSKU!O:O,"not found",0,1)</f>
        <v>not found</v>
      </c>
      <c r="AJ2168" s="22" t="e">
        <f>Table26[[#This Row],[unitprice]]*Table26[[#This Row],[quantity_unit]]</f>
        <v>#VALUE!</v>
      </c>
      <c r="AK2168" s="227" t="e" cm="1">
        <f t="array" ref="AK21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8" s="227"/>
    </row>
    <row r="2169" spans="1:38" ht="15.45" customHeight="1">
      <c r="A2169" s="42">
        <v>90</v>
      </c>
      <c r="B2169" s="42" t="s">
        <v>3520</v>
      </c>
      <c r="C2169" s="53" t="s">
        <v>203</v>
      </c>
      <c r="D2169" s="20">
        <v>45874</v>
      </c>
      <c r="E2169" s="20"/>
      <c r="F21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69" s="93"/>
      <c r="I2169" s="203">
        <v>45866</v>
      </c>
      <c r="J2169" s="90" t="s">
        <v>3129</v>
      </c>
      <c r="K2169" s="20">
        <v>45874</v>
      </c>
      <c r="L2169" s="49" t="s">
        <v>504</v>
      </c>
      <c r="M2169" s="22"/>
      <c r="N2169" s="15" t="str">
        <f>Table26[[#This Row],[po_number]]&amp;"-"&amp;Table26[[#This Row],[po_line]]</f>
        <v>-12</v>
      </c>
      <c r="O2169" s="15">
        <v>12</v>
      </c>
      <c r="P2169" s="50"/>
      <c r="Q2169" s="24" t="s">
        <v>1825</v>
      </c>
      <c r="R2169" s="22" t="s">
        <v>532</v>
      </c>
      <c r="S2169" s="90" t="s">
        <v>14</v>
      </c>
      <c r="T2169" s="20">
        <v>45833</v>
      </c>
      <c r="U2169" s="94">
        <v>96</v>
      </c>
      <c r="V2169" s="22">
        <v>12</v>
      </c>
      <c r="W2169" s="117">
        <f t="shared" si="87"/>
        <v>8</v>
      </c>
      <c r="X2169" s="22" t="str">
        <f t="shared" si="88"/>
        <v/>
      </c>
      <c r="Y2169" s="25" t="str">
        <f>IF(Table26[[#This Row],[customerSKU]]="","",_xlfn.XLOOKUP(Table26[[#This Row],[customerSKU]],Table27[customer_SKU],Table27[product_GTIN],"",0,1))</f>
        <v/>
      </c>
      <c r="Z2169" s="25"/>
      <c r="AA2169" s="18" t="str" cm="1">
        <f t="array" ref="AA2169">IF(P2169="", "", _xlfn.XLOOKUP(P2169,#REF!,#REF!,NA,0,-1))</f>
        <v/>
      </c>
      <c r="AB2169" s="22"/>
      <c r="AC2169" s="23" t="s">
        <v>3748</v>
      </c>
      <c r="AD2169" s="23" t="str">
        <f>IF($AC2169="","",_xlfn.XLOOKUP($AC2169,'Client Info'!$C$2:$C$2497,'Client Info'!$D$2:$D$2497,"",0,1))</f>
        <v/>
      </c>
      <c r="AE2169" s="23" t="str">
        <f>IF($AC2169="","",_xlfn.XLOOKUP($AC2169,'Client Info'!$C$2:$C$2677,'Client Info'!$E$2:$E$2677,"",))</f>
        <v/>
      </c>
      <c r="AF2169" s="23" t="str">
        <f>IF($AC2169="","",_xlfn.XLOOKUP($AC2169,'Client Info'!$C$2:$C$2677,'Client Info'!$F$2:$F$2677,"",0,1))</f>
        <v/>
      </c>
      <c r="AG2169" s="23" t="s">
        <v>3748</v>
      </c>
      <c r="AH2169" s="26" t="str">
        <f>_xlfn.XLOOKUP(Table26[[#This Row],[customerSKU]],customerSKU!G:G,customerSKU!K:K,"NA",0,1)</f>
        <v>NA</v>
      </c>
      <c r="AI2169" s="43" t="str">
        <f>_xlfn.XLOOKUP(Table26[[#This Row],[customerSKU]],customerSKU!G:G,customerSKU!O:O,"not found",0,1)</f>
        <v>not found</v>
      </c>
      <c r="AJ2169" s="22" t="e">
        <f>Table26[[#This Row],[unitprice]]*Table26[[#This Row],[quantity_unit]]</f>
        <v>#VALUE!</v>
      </c>
      <c r="AK2169" s="227" t="e" cm="1">
        <f t="array" ref="AK21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69" s="227"/>
    </row>
    <row r="2170" spans="1:38" ht="15.45" customHeight="1">
      <c r="A2170" s="42">
        <v>91</v>
      </c>
      <c r="B2170" s="42" t="s">
        <v>3520</v>
      </c>
      <c r="C2170" s="53" t="s">
        <v>203</v>
      </c>
      <c r="D2170" s="20">
        <v>45874</v>
      </c>
      <c r="E2170" s="20"/>
      <c r="F21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0" s="93"/>
      <c r="I2170" s="203">
        <v>45866</v>
      </c>
      <c r="J2170" s="90" t="s">
        <v>3129</v>
      </c>
      <c r="K2170" s="20">
        <v>45874</v>
      </c>
      <c r="L2170" s="49" t="s">
        <v>504</v>
      </c>
      <c r="M2170" s="22"/>
      <c r="N2170" s="15" t="str">
        <f>Table26[[#This Row],[po_number]]&amp;"-"&amp;Table26[[#This Row],[po_line]]</f>
        <v>-13</v>
      </c>
      <c r="O2170" s="15">
        <v>13</v>
      </c>
      <c r="P2170" s="50"/>
      <c r="Q2170" s="22" t="s">
        <v>1853</v>
      </c>
      <c r="R2170" s="22" t="s">
        <v>532</v>
      </c>
      <c r="S2170" s="90" t="s">
        <v>14</v>
      </c>
      <c r="T2170" s="20">
        <v>45828</v>
      </c>
      <c r="U2170" s="94">
        <v>48</v>
      </c>
      <c r="V2170" s="22">
        <v>12</v>
      </c>
      <c r="W2170" s="117">
        <f t="shared" si="87"/>
        <v>4</v>
      </c>
      <c r="X2170" s="22" t="str">
        <f t="shared" si="88"/>
        <v/>
      </c>
      <c r="Y2170" s="25" t="str">
        <f>IF(Table26[[#This Row],[customerSKU]]="","",_xlfn.XLOOKUP(Table26[[#This Row],[customerSKU]],Table27[customer_SKU],Table27[product_GTIN],"",0,1))</f>
        <v/>
      </c>
      <c r="Z2170" s="25"/>
      <c r="AA2170" s="18" t="str" cm="1">
        <f t="array" ref="AA2170">IF(P2170="", "", _xlfn.XLOOKUP(P2170,#REF!,#REF!,NA,0,-1))</f>
        <v/>
      </c>
      <c r="AB2170" s="22"/>
      <c r="AC2170" s="23" t="s">
        <v>3748</v>
      </c>
      <c r="AD2170" s="23" t="str">
        <f>IF($AC2170="","",_xlfn.XLOOKUP($AC2170,'Client Info'!$C$2:$C$2497,'Client Info'!$D$2:$D$2497,"",0,1))</f>
        <v/>
      </c>
      <c r="AE2170" s="23" t="str">
        <f>IF($AC2170="","",_xlfn.XLOOKUP($AC2170,'Client Info'!$C$2:$C$2677,'Client Info'!$E$2:$E$2677,"",))</f>
        <v/>
      </c>
      <c r="AF2170" s="23" t="str">
        <f>IF($AC2170="","",_xlfn.XLOOKUP($AC2170,'Client Info'!$C$2:$C$2677,'Client Info'!$F$2:$F$2677,"",0,1))</f>
        <v/>
      </c>
      <c r="AG2170" s="23" t="s">
        <v>3748</v>
      </c>
      <c r="AH2170" s="26" t="str">
        <f>_xlfn.XLOOKUP(Table26[[#This Row],[customerSKU]],customerSKU!G:G,customerSKU!K:K,"NA",0,1)</f>
        <v>NA</v>
      </c>
      <c r="AI2170" s="43" t="str">
        <f>_xlfn.XLOOKUP(Table26[[#This Row],[customerSKU]],customerSKU!G:G,customerSKU!O:O,"not found",0,1)</f>
        <v>not found</v>
      </c>
      <c r="AJ2170" s="22" t="e">
        <f>Table26[[#This Row],[unitprice]]*Table26[[#This Row],[quantity_unit]]</f>
        <v>#VALUE!</v>
      </c>
      <c r="AK2170" s="227" t="e" cm="1">
        <f t="array" ref="AK21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0" s="227"/>
    </row>
    <row r="2171" spans="1:38" ht="15.45" customHeight="1">
      <c r="A2171" s="42">
        <v>92</v>
      </c>
      <c r="B2171" s="42" t="s">
        <v>3520</v>
      </c>
      <c r="C2171" s="22" t="s">
        <v>3360</v>
      </c>
      <c r="E2171" s="20"/>
      <c r="F21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1" s="93"/>
      <c r="I2171" s="203">
        <v>45867</v>
      </c>
      <c r="J2171" s="90" t="str">
        <f>IF(Table26[[#This Row],[customerSKU]]="","",_xlfn.XLOOKUP(Table26[[#This Row],[customerSKU]],customerSKU!G:G,customerSKU!A:A,"",0,1))</f>
        <v/>
      </c>
      <c r="K2171" s="19">
        <v>45874</v>
      </c>
      <c r="L2171" s="49" t="str">
        <f>IF(Table26[[#This Row],[customerSKU]]="","",_xlfn.XLOOKUP(Table26[[#This Row],[customerSKU]],customerSKU!G:G,customerSKU!B:B,"",0,1))</f>
        <v/>
      </c>
      <c r="M2171" s="24"/>
      <c r="N2171" s="305" t="str">
        <f>Table26[[#This Row],[po_number]]&amp;"-"&amp;Table26[[#This Row],[po_line]]</f>
        <v>-1</v>
      </c>
      <c r="O2171" s="305">
        <v>1</v>
      </c>
      <c r="P2171" s="50"/>
      <c r="S2171" s="90" t="str">
        <f>IF(Table26[[#This Row],[customerSKU]]="","",_xlfn.XLOOKUP(Table26[[#This Row],[customerSKU]],customerSKU!G:G,customerSKU!N:N,"NOT FOUND",0,1))</f>
        <v>NOT FOUND</v>
      </c>
      <c r="T2171" s="20"/>
      <c r="U2171" s="94">
        <v>12</v>
      </c>
      <c r="V2171" s="22" t="str">
        <f>IF(ISBLANK(Table26[[#This Row],[customerSKU]]),"",_xlfn.XLOOKUP(Table26[[#This Row],[customerSKU]],Table27[customer_SKU],Table27[case_size],"",0,1))</f>
        <v/>
      </c>
      <c r="W2171" s="117" t="str">
        <f t="shared" si="87"/>
        <v/>
      </c>
      <c r="X2171" s="22" t="str">
        <f t="shared" si="88"/>
        <v/>
      </c>
      <c r="Y2171" s="25" t="str">
        <f>IF(Table26[[#This Row],[customerSKU]]="","",_xlfn.XLOOKUP(Table26[[#This Row],[customerSKU]],Table27[customer_SKU],Table27[product_GTIN],"",0,1))</f>
        <v/>
      </c>
      <c r="Z2171" s="25" t="s">
        <v>3720</v>
      </c>
      <c r="AA2171" s="18" t="str" cm="1">
        <f t="array" ref="AA2171">IF(P2171="", "", _xlfn.XLOOKUP(P2171,#REF!,#REF!,NA,0,-1))</f>
        <v/>
      </c>
      <c r="AB2171" s="22"/>
      <c r="AC2171" s="23" t="str">
        <f>IF(Table26[[#This Row],[customerSKU]]="","",_xlfn.XLOOKUP(Table26[[#This Row],[customerSKU]],customerSKU!G:G,customerSKU!C:C,"",0,1))</f>
        <v/>
      </c>
      <c r="AD2171" s="23" t="str">
        <f>IF($AC2171="","",_xlfn.XLOOKUP($AC2171,'Client Info'!$C$2:$C$2497,'Client Info'!$D$2:$D$2497,"",0,1))</f>
        <v/>
      </c>
      <c r="AE2171" s="23" t="str">
        <f>IF($AC2171="","",_xlfn.XLOOKUP($AC2171,'Client Info'!$C$2:$C$2677,'Client Info'!$E$2:$E$2677,"",))</f>
        <v/>
      </c>
      <c r="AF2171" s="23" t="str">
        <f>IF($AC2171="","",_xlfn.XLOOKUP($AC2171,'Client Info'!$C$2:$C$2677,'Client Info'!$F$2:$F$2677,"",0,1))</f>
        <v/>
      </c>
      <c r="AG2171" s="23" t="str">
        <f>IF(ISBLANK(Table26[[#This Row],[customerSKU]]),"",_xlfn.XLOOKUP(Table26[[#This Row],[customerSKU]],Table27[customer_SKU],Table27[billto],"",0,1))</f>
        <v/>
      </c>
      <c r="AH2171" s="26" t="str">
        <f>_xlfn.XLOOKUP(Table26[[#This Row],[customerSKU]],customerSKU!G:G,customerSKU!K:K,"NA",0,1)</f>
        <v>NA</v>
      </c>
      <c r="AI2171" s="43" t="str">
        <f>_xlfn.XLOOKUP(Table26[[#This Row],[customerSKU]],customerSKU!G:G,customerSKU!O:O,"not found",0,1)</f>
        <v>not found</v>
      </c>
      <c r="AJ2171" s="22" t="e">
        <f>Table26[[#This Row],[unitprice]]*Table26[[#This Row],[quantity_unit]]</f>
        <v>#VALUE!</v>
      </c>
      <c r="AK2171" s="227" t="e" cm="1">
        <f t="array" ref="AK21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1" s="227"/>
    </row>
    <row r="2172" spans="1:38" ht="16.2" customHeight="1">
      <c r="A2172" s="42">
        <v>93</v>
      </c>
      <c r="B2172" s="42" t="s">
        <v>3520</v>
      </c>
      <c r="C2172" s="22" t="s">
        <v>203</v>
      </c>
      <c r="D2172" s="20">
        <v>45874</v>
      </c>
      <c r="E2172" s="20"/>
      <c r="F21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2" s="93"/>
      <c r="I2172" s="203">
        <v>45868</v>
      </c>
      <c r="J2172" s="90" t="str">
        <f>IF(Table26[[#This Row],[customerSKU]]="","",_xlfn.XLOOKUP(Table26[[#This Row],[customerSKU]],customerSKU!G:G,customerSKU!A:A,"",0,1))</f>
        <v/>
      </c>
      <c r="K2172" s="19">
        <v>45874</v>
      </c>
      <c r="L2172" s="49" t="str">
        <f>IF(Table26[[#This Row],[customerSKU]]="","",_xlfn.XLOOKUP(Table26[[#This Row],[customerSKU]],customerSKU!G:G,customerSKU!B:B,"",0,1))</f>
        <v/>
      </c>
      <c r="M2172" s="22"/>
      <c r="N2172" s="15" t="str">
        <f>Table26[[#This Row],[po_number]]&amp;"-"&amp;Table26[[#This Row],[po_line]]</f>
        <v>-1</v>
      </c>
      <c r="O2172" s="15">
        <v>1</v>
      </c>
      <c r="P2172" s="50"/>
      <c r="Q2172" s="347" t="s">
        <v>934</v>
      </c>
      <c r="R2172" s="22" t="s">
        <v>532</v>
      </c>
      <c r="S2172" s="90" t="str">
        <f>IF(Table26[[#This Row],[customerSKU]]="","",_xlfn.XLOOKUP(Table26[[#This Row],[customerSKU]],customerSKU!G:G,customerSKU!N:N,"NOT FOUND",0,1))</f>
        <v>NOT FOUND</v>
      </c>
      <c r="T2172" s="20">
        <v>45596</v>
      </c>
      <c r="U2172" s="94">
        <v>12</v>
      </c>
      <c r="V2172" s="22" t="str">
        <f>IF(ISBLANK(Table26[[#This Row],[customerSKU]]),"",_xlfn.XLOOKUP(Table26[[#This Row],[customerSKU]],Table27[customer_SKU],Table27[case_size],"",0,1))</f>
        <v/>
      </c>
      <c r="W2172" s="117" t="str">
        <f t="shared" si="87"/>
        <v/>
      </c>
      <c r="X2172" s="22" t="str">
        <f t="shared" si="88"/>
        <v/>
      </c>
      <c r="Y2172" s="25" t="str">
        <f>IF(Table26[[#This Row],[customerSKU]]="","",_xlfn.XLOOKUP(Table26[[#This Row],[customerSKU]],Table27[customer_SKU],Table27[product_GTIN],"",0,1))</f>
        <v/>
      </c>
      <c r="Z2172" s="25" t="s">
        <v>3543</v>
      </c>
      <c r="AA2172" s="18" t="str" cm="1">
        <f t="array" ref="AA2172">IF(P2172="", "", _xlfn.XLOOKUP(P2172,#REF!,#REF!,NA,0,-1))</f>
        <v/>
      </c>
      <c r="AB2172" s="22"/>
      <c r="AC2172" s="23" t="str">
        <f>IF(Table26[[#This Row],[customerSKU]]="","",_xlfn.XLOOKUP(Table26[[#This Row],[customerSKU]],customerSKU!G:G,customerSKU!C:C,"",0,1))</f>
        <v/>
      </c>
      <c r="AD2172" s="23" t="str">
        <f>IF($AC2172="","",_xlfn.XLOOKUP($AC2172,'Client Info'!$C$2:$C$2497,'Client Info'!$D$2:$D$2497,"",0,1))</f>
        <v/>
      </c>
      <c r="AE2172" s="23" t="str">
        <f>IF($AC2172="","",_xlfn.XLOOKUP($AC2172,'Client Info'!$C$2:$C$2677,'Client Info'!$E$2:$E$2677,"",))</f>
        <v/>
      </c>
      <c r="AF2172" s="23" t="str">
        <f>IF($AC2172="","",_xlfn.XLOOKUP($AC2172,'Client Info'!$C$2:$C$2677,'Client Info'!$F$2:$F$2677,"",0,1))</f>
        <v/>
      </c>
      <c r="AG2172" s="23" t="str">
        <f>IF(ISBLANK(Table26[[#This Row],[customerSKU]]),"",_xlfn.XLOOKUP(Table26[[#This Row],[customerSKU]],Table27[customer_SKU],Table27[billto],"",0,1))</f>
        <v/>
      </c>
      <c r="AH2172" s="26" t="str">
        <f>_xlfn.XLOOKUP(Table26[[#This Row],[customerSKU]],customerSKU!G:G,customerSKU!K:K,"NA",0,1)</f>
        <v>NA</v>
      </c>
      <c r="AI2172" s="43" t="str">
        <f>_xlfn.XLOOKUP(Table26[[#This Row],[customerSKU]],customerSKU!G:G,customerSKU!O:O,"not found",0,1)</f>
        <v>not found</v>
      </c>
      <c r="AJ2172" s="22" t="e">
        <f>Table26[[#This Row],[unitprice]]*Table26[[#This Row],[quantity_unit]]</f>
        <v>#VALUE!</v>
      </c>
      <c r="AK2172" s="227" t="e" cm="1">
        <f t="array" ref="AK21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2" s="227"/>
    </row>
    <row r="2173" spans="1:38" ht="16.2" customHeight="1">
      <c r="A2173" s="42">
        <v>94</v>
      </c>
      <c r="B2173" s="42" t="s">
        <v>3520</v>
      </c>
      <c r="C2173" s="22" t="s">
        <v>3360</v>
      </c>
      <c r="E2173" s="20"/>
      <c r="F21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3" s="93"/>
      <c r="I2173" s="203">
        <v>45868</v>
      </c>
      <c r="J2173" s="90" t="str">
        <f>IF(Table26[[#This Row],[customerSKU]]="","",_xlfn.XLOOKUP(Table26[[#This Row],[customerSKU]],customerSKU!G:G,customerSKU!A:A,"",0,1))</f>
        <v/>
      </c>
      <c r="K2173" s="19">
        <v>45874</v>
      </c>
      <c r="L2173" s="49" t="str">
        <f>IF(Table26[[#This Row],[customerSKU]]="","",_xlfn.XLOOKUP(Table26[[#This Row],[customerSKU]],customerSKU!G:G,customerSKU!B:B,"",0,1))</f>
        <v/>
      </c>
      <c r="M2173" s="24"/>
      <c r="N2173" s="305" t="str">
        <f>Table26[[#This Row],[po_number]]&amp;"-"&amp;Table26[[#This Row],[po_line]]</f>
        <v>-1</v>
      </c>
      <c r="O2173" s="305">
        <v>1</v>
      </c>
      <c r="P2173" s="50"/>
      <c r="S2173" s="90" t="str">
        <f>IF(Table26[[#This Row],[customerSKU]]="","",_xlfn.XLOOKUP(Table26[[#This Row],[customerSKU]],customerSKU!G:G,customerSKU!N:N,"NOT FOUND",0,1))</f>
        <v>NOT FOUND</v>
      </c>
      <c r="T2173" s="20"/>
      <c r="U2173" s="94">
        <v>12</v>
      </c>
      <c r="V2173" s="22" t="str">
        <f>IF(ISBLANK(Table26[[#This Row],[customerSKU]]),"",_xlfn.XLOOKUP(Table26[[#This Row],[customerSKU]],Table27[customer_SKU],Table27[case_size],"",0,1))</f>
        <v/>
      </c>
      <c r="W2173" s="117" t="str">
        <f t="shared" si="87"/>
        <v/>
      </c>
      <c r="X2173" s="22" t="str">
        <f t="shared" si="88"/>
        <v/>
      </c>
      <c r="Y2173" s="25" t="str">
        <f>IF(Table26[[#This Row],[customerSKU]]="","",_xlfn.XLOOKUP(Table26[[#This Row],[customerSKU]],Table27[customer_SKU],Table27[product_GTIN],"",0,1))</f>
        <v/>
      </c>
      <c r="Z2173" s="25" t="s">
        <v>3626</v>
      </c>
      <c r="AA2173" s="18" t="str" cm="1">
        <f t="array" ref="AA2173">IF(P2173="", "", _xlfn.XLOOKUP(P2173,#REF!,#REF!,NA,0,-1))</f>
        <v/>
      </c>
      <c r="AB2173" s="22"/>
      <c r="AC2173" s="23" t="str">
        <f>IF(Table26[[#This Row],[customerSKU]]="","",_xlfn.XLOOKUP(Table26[[#This Row],[customerSKU]],customerSKU!G:G,customerSKU!C:C,"",0,1))</f>
        <v/>
      </c>
      <c r="AD2173" s="23" t="str">
        <f>IF($AC2173="","",_xlfn.XLOOKUP($AC2173,'Client Info'!$C$2:$C$2497,'Client Info'!$D$2:$D$2497,"",0,1))</f>
        <v/>
      </c>
      <c r="AE2173" s="23" t="str">
        <f>IF($AC2173="","",_xlfn.XLOOKUP($AC2173,'Client Info'!$C$2:$C$2677,'Client Info'!$E$2:$E$2677,"",))</f>
        <v/>
      </c>
      <c r="AF2173" s="23" t="str">
        <f>IF($AC2173="","",_xlfn.XLOOKUP($AC2173,'Client Info'!$C$2:$C$2677,'Client Info'!$F$2:$F$2677,"",0,1))</f>
        <v/>
      </c>
      <c r="AG2173" s="23" t="str">
        <f>IF(ISBLANK(Table26[[#This Row],[customerSKU]]),"",_xlfn.XLOOKUP(Table26[[#This Row],[customerSKU]],Table27[customer_SKU],Table27[billto],"",0,1))</f>
        <v/>
      </c>
      <c r="AH2173" s="26" t="str">
        <f>_xlfn.XLOOKUP(Table26[[#This Row],[customerSKU]],customerSKU!G:G,customerSKU!K:K,"NA",0,1)</f>
        <v>NA</v>
      </c>
      <c r="AI2173" s="43" t="str">
        <f>_xlfn.XLOOKUP(Table26[[#This Row],[customerSKU]],customerSKU!G:G,customerSKU!O:O,"not found",0,1)</f>
        <v>not found</v>
      </c>
      <c r="AJ2173" s="22" t="e">
        <f>Table26[[#This Row],[unitprice]]*Table26[[#This Row],[quantity_unit]]</f>
        <v>#VALUE!</v>
      </c>
      <c r="AK2173" s="227" t="e" cm="1">
        <f t="array" ref="AK21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3" s="227"/>
    </row>
    <row r="2174" spans="1:38" ht="16.2" customHeight="1">
      <c r="A2174" s="42">
        <v>95</v>
      </c>
      <c r="B2174" s="42" t="s">
        <v>3520</v>
      </c>
      <c r="C2174" s="22" t="s">
        <v>3360</v>
      </c>
      <c r="E2174" s="20"/>
      <c r="F21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4" s="93"/>
      <c r="I2174" s="203">
        <v>45870</v>
      </c>
      <c r="J2174" s="90" t="str">
        <f>IF(Table26[[#This Row],[customerSKU]]="","",_xlfn.XLOOKUP(Table26[[#This Row],[customerSKU]],customerSKU!G:G,customerSKU!A:A,"",0,1))</f>
        <v/>
      </c>
      <c r="K2174" s="19">
        <v>45874</v>
      </c>
      <c r="L2174" s="49" t="str">
        <f>IF(Table26[[#This Row],[customerSKU]]="","",_xlfn.XLOOKUP(Table26[[#This Row],[customerSKU]],customerSKU!G:G,customerSKU!B:B,"",0,1))</f>
        <v/>
      </c>
      <c r="M2174" s="24"/>
      <c r="N2174" s="305" t="str">
        <f>Table26[[#This Row],[po_number]]&amp;"-"&amp;Table26[[#This Row],[po_line]]</f>
        <v>-1</v>
      </c>
      <c r="O2174" s="305">
        <v>1</v>
      </c>
      <c r="P2174" s="50"/>
      <c r="S2174" s="90" t="str">
        <f>IF(Table26[[#This Row],[customerSKU]]="","",_xlfn.XLOOKUP(Table26[[#This Row],[customerSKU]],customerSKU!G:G,customerSKU!N:N,"NOT FOUND",0,1))</f>
        <v>NOT FOUND</v>
      </c>
      <c r="T2174" s="20"/>
      <c r="U2174" s="94">
        <v>24</v>
      </c>
      <c r="V2174" s="22" t="str">
        <f>IF(ISBLANK(Table26[[#This Row],[customerSKU]]),"",_xlfn.XLOOKUP(Table26[[#This Row],[customerSKU]],Table27[customer_SKU],Table27[case_size],"",0,1))</f>
        <v/>
      </c>
      <c r="W2174" s="117" t="str">
        <f t="shared" si="87"/>
        <v/>
      </c>
      <c r="X2174" s="22" t="str">
        <f t="shared" si="88"/>
        <v/>
      </c>
      <c r="Y2174" s="25" t="str">
        <f>IF(Table26[[#This Row],[customerSKU]]="","",_xlfn.XLOOKUP(Table26[[#This Row],[customerSKU]],Table27[customer_SKU],Table27[product_GTIN],"",0,1))</f>
        <v/>
      </c>
      <c r="Z2174" s="25" t="s">
        <v>3553</v>
      </c>
      <c r="AA2174" s="18" t="str" cm="1">
        <f t="array" ref="AA2174">IF(P2174="", "", _xlfn.XLOOKUP(P2174,#REF!,#REF!,NA,0,-1))</f>
        <v/>
      </c>
      <c r="AB2174" s="22"/>
      <c r="AC2174" s="23" t="str">
        <f>IF(Table26[[#This Row],[customerSKU]]="","",_xlfn.XLOOKUP(Table26[[#This Row],[customerSKU]],customerSKU!G:G,customerSKU!C:C,"",0,1))</f>
        <v/>
      </c>
      <c r="AD2174" s="23" t="str">
        <f>IF($AC2174="","",_xlfn.XLOOKUP($AC2174,'Client Info'!$C$2:$C$2497,'Client Info'!$D$2:$D$2497,"",0,1))</f>
        <v/>
      </c>
      <c r="AE2174" s="23" t="str">
        <f>IF($AC2174="","",_xlfn.XLOOKUP($AC2174,'Client Info'!$C$2:$C$2677,'Client Info'!$E$2:$E$2677,"",))</f>
        <v/>
      </c>
      <c r="AF2174" s="23" t="str">
        <f>IF($AC2174="","",_xlfn.XLOOKUP($AC2174,'Client Info'!$C$2:$C$2677,'Client Info'!$F$2:$F$2677,"",0,1))</f>
        <v/>
      </c>
      <c r="AG2174" s="23" t="str">
        <f>IF(ISBLANK(Table26[[#This Row],[customerSKU]]),"",_xlfn.XLOOKUP(Table26[[#This Row],[customerSKU]],Table27[customer_SKU],Table27[billto],"",0,1))</f>
        <v/>
      </c>
      <c r="AH2174" s="26" t="str">
        <f>_xlfn.XLOOKUP(Table26[[#This Row],[customerSKU]],customerSKU!G:G,customerSKU!K:K,"NA",0,1)</f>
        <v>NA</v>
      </c>
      <c r="AI2174" s="43" t="str">
        <f>_xlfn.XLOOKUP(Table26[[#This Row],[customerSKU]],customerSKU!G:G,customerSKU!O:O,"not found",0,1)</f>
        <v>not found</v>
      </c>
      <c r="AJ2174" s="22" t="e">
        <f>Table26[[#This Row],[unitprice]]*Table26[[#This Row],[quantity_unit]]</f>
        <v>#VALUE!</v>
      </c>
      <c r="AK2174" s="227" t="e" cm="1">
        <f t="array" ref="AK21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4" s="227"/>
    </row>
    <row r="2175" spans="1:38" ht="16.2" customHeight="1">
      <c r="A2175" s="42">
        <v>96</v>
      </c>
      <c r="B2175" s="42" t="s">
        <v>3520</v>
      </c>
      <c r="C2175" s="22" t="s">
        <v>3360</v>
      </c>
      <c r="E2175" s="20"/>
      <c r="F21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5" s="93"/>
      <c r="I2175" s="203">
        <v>45873</v>
      </c>
      <c r="J2175" s="90" t="str">
        <f>IF(Table26[[#This Row],[customerSKU]]="","",_xlfn.XLOOKUP(Table26[[#This Row],[customerSKU]],customerSKU!G:G,customerSKU!A:A,"",0,1))</f>
        <v/>
      </c>
      <c r="K2175" s="19">
        <v>45874</v>
      </c>
      <c r="L2175" s="49" t="str">
        <f>IF(Table26[[#This Row],[customerSKU]]="","",_xlfn.XLOOKUP(Table26[[#This Row],[customerSKU]],customerSKU!G:G,customerSKU!B:B,"",0,1))</f>
        <v/>
      </c>
      <c r="M2175" s="24"/>
      <c r="N2175" s="305" t="str">
        <f>Table26[[#This Row],[po_number]]&amp;"-"&amp;Table26[[#This Row],[po_line]]</f>
        <v>-1</v>
      </c>
      <c r="O2175" s="305">
        <v>1</v>
      </c>
      <c r="P2175" s="50"/>
      <c r="S2175" s="90" t="str">
        <f>IF(Table26[[#This Row],[customerSKU]]="","",_xlfn.XLOOKUP(Table26[[#This Row],[customerSKU]],customerSKU!G:G,customerSKU!N:N,"NOT FOUND",0,1))</f>
        <v>NOT FOUND</v>
      </c>
      <c r="T2175" s="20"/>
      <c r="U2175" s="94">
        <v>12</v>
      </c>
      <c r="V2175" s="22" t="str">
        <f>IF(ISBLANK(Table26[[#This Row],[customerSKU]]),"",_xlfn.XLOOKUP(Table26[[#This Row],[customerSKU]],Table27[customer_SKU],Table27[case_size],"",0,1))</f>
        <v/>
      </c>
      <c r="W2175" s="117" t="str">
        <f t="shared" si="87"/>
        <v/>
      </c>
      <c r="X2175" s="22" t="str">
        <f t="shared" si="88"/>
        <v/>
      </c>
      <c r="Y2175" s="25" t="str">
        <f>IF(Table26[[#This Row],[customerSKU]]="","",_xlfn.XLOOKUP(Table26[[#This Row],[customerSKU]],Table27[customer_SKU],Table27[product_GTIN],"",0,1))</f>
        <v/>
      </c>
      <c r="Z2175" s="25" t="s">
        <v>3529</v>
      </c>
      <c r="AA2175" s="18" t="str" cm="1">
        <f t="array" ref="AA2175">IF(P2175="", "", _xlfn.XLOOKUP(P2175,#REF!,#REF!,NA,0,-1))</f>
        <v/>
      </c>
      <c r="AB2175" s="22"/>
      <c r="AC2175" s="23" t="str">
        <f>IF(Table26[[#This Row],[customerSKU]]="","",_xlfn.XLOOKUP(Table26[[#This Row],[customerSKU]],customerSKU!G:G,customerSKU!C:C,"",0,1))</f>
        <v/>
      </c>
      <c r="AD2175" s="23" t="str">
        <f>IF($AC2175="","",_xlfn.XLOOKUP($AC2175,'Client Info'!$C$2:$C$2497,'Client Info'!$D$2:$D$2497,"",0,1))</f>
        <v/>
      </c>
      <c r="AE2175" s="23" t="str">
        <f>IF($AC2175="","",_xlfn.XLOOKUP($AC2175,'Client Info'!$C$2:$C$2677,'Client Info'!$E$2:$E$2677,"",))</f>
        <v/>
      </c>
      <c r="AF2175" s="23" t="str">
        <f>IF($AC2175="","",_xlfn.XLOOKUP($AC2175,'Client Info'!$C$2:$C$2677,'Client Info'!$F$2:$F$2677,"",0,1))</f>
        <v/>
      </c>
      <c r="AG2175" s="23" t="str">
        <f>IF(ISBLANK(Table26[[#This Row],[customerSKU]]),"",_xlfn.XLOOKUP(Table26[[#This Row],[customerSKU]],Table27[customer_SKU],Table27[billto],"",0,1))</f>
        <v/>
      </c>
      <c r="AH2175" s="26" t="str">
        <f>_xlfn.XLOOKUP(Table26[[#This Row],[customerSKU]],customerSKU!G:G,customerSKU!K:K,"NA",0,1)</f>
        <v>NA</v>
      </c>
      <c r="AI2175" s="43" t="str">
        <f>_xlfn.XLOOKUP(Table26[[#This Row],[customerSKU]],customerSKU!G:G,customerSKU!O:O,"not found",0,1)</f>
        <v>not found</v>
      </c>
      <c r="AJ2175" s="22" t="e">
        <f>Table26[[#This Row],[unitprice]]*Table26[[#This Row],[quantity_unit]]</f>
        <v>#VALUE!</v>
      </c>
      <c r="AK2175" s="227" t="e" cm="1">
        <f t="array" ref="AK21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5" s="227"/>
    </row>
    <row r="2176" spans="1:38" ht="16.2" customHeight="1">
      <c r="A2176" s="42">
        <v>97</v>
      </c>
      <c r="B2176" s="42" t="s">
        <v>3520</v>
      </c>
      <c r="C2176" s="22" t="s">
        <v>3360</v>
      </c>
      <c r="E2176" s="20"/>
      <c r="F21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6" s="93"/>
      <c r="I2176" s="203">
        <v>45873</v>
      </c>
      <c r="J2176" s="90" t="str">
        <f>IF(Table26[[#This Row],[customerSKU]]="","",_xlfn.XLOOKUP(Table26[[#This Row],[customerSKU]],customerSKU!G:G,customerSKU!A:A,"",0,1))</f>
        <v/>
      </c>
      <c r="K2176" s="19">
        <v>45874</v>
      </c>
      <c r="L2176" s="49" t="str">
        <f>IF(Table26[[#This Row],[customerSKU]]="","",_xlfn.XLOOKUP(Table26[[#This Row],[customerSKU]],customerSKU!G:G,customerSKU!B:B,"",0,1))</f>
        <v/>
      </c>
      <c r="M2176" s="24"/>
      <c r="N2176" s="305" t="str">
        <f>Table26[[#This Row],[po_number]]&amp;"-"&amp;Table26[[#This Row],[po_line]]</f>
        <v>-1</v>
      </c>
      <c r="O2176" s="305">
        <v>1</v>
      </c>
      <c r="P2176" s="50"/>
      <c r="S2176" s="90" t="str">
        <f>IF(Table26[[#This Row],[customerSKU]]="","",_xlfn.XLOOKUP(Table26[[#This Row],[customerSKU]],customerSKU!G:G,customerSKU!N:N,"NOT FOUND",0,1))</f>
        <v>NOT FOUND</v>
      </c>
      <c r="T2176" s="20"/>
      <c r="U2176" s="94">
        <v>24</v>
      </c>
      <c r="V2176" s="22" t="str">
        <f>IF(ISBLANK(Table26[[#This Row],[customerSKU]]),"",_xlfn.XLOOKUP(Table26[[#This Row],[customerSKU]],Table27[customer_SKU],Table27[case_size],"",0,1))</f>
        <v/>
      </c>
      <c r="W2176" s="117" t="str">
        <f t="shared" si="87"/>
        <v/>
      </c>
      <c r="X2176" s="22" t="str">
        <f t="shared" si="88"/>
        <v/>
      </c>
      <c r="Y2176" s="25" t="str">
        <f>IF(Table26[[#This Row],[customerSKU]]="","",_xlfn.XLOOKUP(Table26[[#This Row],[customerSKU]],Table27[customer_SKU],Table27[product_GTIN],"",0,1))</f>
        <v/>
      </c>
      <c r="Z2176" s="25" t="s">
        <v>3380</v>
      </c>
      <c r="AA2176" s="18" t="str" cm="1">
        <f t="array" ref="AA2176">IF(P2176="", "", _xlfn.XLOOKUP(P2176,#REF!,#REF!,NA,0,-1))</f>
        <v/>
      </c>
      <c r="AB2176" s="22"/>
      <c r="AC2176" s="23" t="str">
        <f>IF(Table26[[#This Row],[customerSKU]]="","",_xlfn.XLOOKUP(Table26[[#This Row],[customerSKU]],customerSKU!G:G,customerSKU!C:C,"",0,1))</f>
        <v/>
      </c>
      <c r="AD2176" s="23" t="str">
        <f>IF($AC2176="","",_xlfn.XLOOKUP($AC2176,'Client Info'!$C$2:$C$2497,'Client Info'!$D$2:$D$2497,"",0,1))</f>
        <v/>
      </c>
      <c r="AE2176" s="23" t="str">
        <f>IF($AC2176="","",_xlfn.XLOOKUP($AC2176,'Client Info'!$C$2:$C$2677,'Client Info'!$E$2:$E$2677,"",))</f>
        <v/>
      </c>
      <c r="AF2176" s="23" t="str">
        <f>IF($AC2176="","",_xlfn.XLOOKUP($AC2176,'Client Info'!$C$2:$C$2677,'Client Info'!$F$2:$F$2677,"",0,1))</f>
        <v/>
      </c>
      <c r="AG2176" s="23" t="str">
        <f>IF(ISBLANK(Table26[[#This Row],[customerSKU]]),"",_xlfn.XLOOKUP(Table26[[#This Row],[customerSKU]],Table27[customer_SKU],Table27[billto],"",0,1))</f>
        <v/>
      </c>
      <c r="AH2176" s="26" t="str">
        <f>_xlfn.XLOOKUP(Table26[[#This Row],[customerSKU]],customerSKU!G:G,customerSKU!K:K,"NA",0,1)</f>
        <v>NA</v>
      </c>
      <c r="AI2176" s="43" t="str">
        <f>_xlfn.XLOOKUP(Table26[[#This Row],[customerSKU]],customerSKU!G:G,customerSKU!O:O,"not found",0,1)</f>
        <v>not found</v>
      </c>
      <c r="AJ2176" s="22" t="e">
        <f>Table26[[#This Row],[unitprice]]*Table26[[#This Row],[quantity_unit]]</f>
        <v>#VALUE!</v>
      </c>
      <c r="AK2176" s="227" t="e" cm="1">
        <f t="array" ref="AK21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6" s="227"/>
    </row>
    <row r="2177" spans="1:38" ht="16.2" customHeight="1">
      <c r="A2177" s="42">
        <v>98</v>
      </c>
      <c r="B2177" s="42" t="s">
        <v>3520</v>
      </c>
      <c r="C2177" s="22" t="s">
        <v>3360</v>
      </c>
      <c r="E2177" s="20"/>
      <c r="F21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7" s="93"/>
      <c r="I2177" s="203">
        <v>45873</v>
      </c>
      <c r="J2177" s="90" t="str">
        <f>IF(Table26[[#This Row],[customerSKU]]="","",_xlfn.XLOOKUP(Table26[[#This Row],[customerSKU]],customerSKU!G:G,customerSKU!A:A,"",0,1))</f>
        <v/>
      </c>
      <c r="K2177" s="19">
        <v>45874</v>
      </c>
      <c r="L2177" s="49" t="str">
        <f>IF(Table26[[#This Row],[customerSKU]]="","",_xlfn.XLOOKUP(Table26[[#This Row],[customerSKU]],customerSKU!G:G,customerSKU!B:B,"",0,1))</f>
        <v/>
      </c>
      <c r="M2177" s="24"/>
      <c r="N2177" s="305" t="str">
        <f>Table26[[#This Row],[po_number]]&amp;"-"&amp;Table26[[#This Row],[po_line]]</f>
        <v>-1</v>
      </c>
      <c r="O2177" s="305">
        <v>1</v>
      </c>
      <c r="P2177" s="50"/>
      <c r="S2177" s="90" t="str">
        <f>IF(Table26[[#This Row],[customerSKU]]="","",_xlfn.XLOOKUP(Table26[[#This Row],[customerSKU]],customerSKU!G:G,customerSKU!N:N,"NOT FOUND",0,1))</f>
        <v>NOT FOUND</v>
      </c>
      <c r="T2177" s="20"/>
      <c r="U2177" s="94">
        <v>12</v>
      </c>
      <c r="V2177" s="22" t="str">
        <f>IF(ISBLANK(Table26[[#This Row],[customerSKU]]),"",_xlfn.XLOOKUP(Table26[[#This Row],[customerSKU]],Table27[customer_SKU],Table27[case_size],"",0,1))</f>
        <v/>
      </c>
      <c r="W2177" s="117" t="str">
        <f t="shared" si="87"/>
        <v/>
      </c>
      <c r="X2177" s="22" t="str">
        <f t="shared" si="88"/>
        <v/>
      </c>
      <c r="Y2177" s="25" t="str">
        <f>IF(Table26[[#This Row],[customerSKU]]="","",_xlfn.XLOOKUP(Table26[[#This Row],[customerSKU]],Table27[customer_SKU],Table27[product_GTIN],"",0,1))</f>
        <v/>
      </c>
      <c r="Z2177" s="25" t="s">
        <v>3529</v>
      </c>
      <c r="AA2177" s="18" t="str" cm="1">
        <f t="array" ref="AA2177">IF(P2177="", "", _xlfn.XLOOKUP(P2177,#REF!,#REF!,NA,0,-1))</f>
        <v/>
      </c>
      <c r="AB2177" s="22"/>
      <c r="AC2177" s="23" t="str">
        <f>IF(Table26[[#This Row],[customerSKU]]="","",_xlfn.XLOOKUP(Table26[[#This Row],[customerSKU]],customerSKU!G:G,customerSKU!C:C,"",0,1))</f>
        <v/>
      </c>
      <c r="AD2177" s="23" t="str">
        <f>IF($AC2177="","",_xlfn.XLOOKUP($AC2177,'Client Info'!$C$2:$C$2497,'Client Info'!$D$2:$D$2497,"",0,1))</f>
        <v/>
      </c>
      <c r="AE2177" s="23" t="str">
        <f>IF($AC2177="","",_xlfn.XLOOKUP($AC2177,'Client Info'!$C$2:$C$2677,'Client Info'!$E$2:$E$2677,"",))</f>
        <v/>
      </c>
      <c r="AF2177" s="23" t="str">
        <f>IF($AC2177="","",_xlfn.XLOOKUP($AC2177,'Client Info'!$C$2:$C$2677,'Client Info'!$F$2:$F$2677,"",0,1))</f>
        <v/>
      </c>
      <c r="AG2177" s="23" t="str">
        <f>IF(ISBLANK(Table26[[#This Row],[customerSKU]]),"",_xlfn.XLOOKUP(Table26[[#This Row],[customerSKU]],Table27[customer_SKU],Table27[billto],"",0,1))</f>
        <v/>
      </c>
      <c r="AH2177" s="26" t="str">
        <f>_xlfn.XLOOKUP(Table26[[#This Row],[customerSKU]],customerSKU!G:G,customerSKU!K:K,"NA",0,1)</f>
        <v>NA</v>
      </c>
      <c r="AI2177" s="43" t="str">
        <f>_xlfn.XLOOKUP(Table26[[#This Row],[customerSKU]],customerSKU!G:G,customerSKU!O:O,"not found",0,1)</f>
        <v>not found</v>
      </c>
      <c r="AJ2177" s="22" t="e">
        <f>Table26[[#This Row],[unitprice]]*Table26[[#This Row],[quantity_unit]]</f>
        <v>#VALUE!</v>
      </c>
      <c r="AK2177" s="227" t="e" cm="1">
        <f t="array" ref="AK21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7" s="227"/>
    </row>
    <row r="2178" spans="1:38" ht="15.45" customHeight="1">
      <c r="A2178" s="42">
        <v>60</v>
      </c>
      <c r="B2178" s="42" t="s">
        <v>3520</v>
      </c>
      <c r="C2178" s="53" t="s">
        <v>203</v>
      </c>
      <c r="E2178" s="20"/>
      <c r="F21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8" s="93"/>
      <c r="I2178" s="203">
        <v>45863</v>
      </c>
      <c r="J2178" s="90" t="str">
        <f>IF(Table26[[#This Row],[customerSKU]]="","",_xlfn.XLOOKUP(Table26[[#This Row],[customerSKU]],customerSKU!G:G,customerSKU!A:A,"",0,1))</f>
        <v/>
      </c>
      <c r="K2178" s="19">
        <v>45875</v>
      </c>
      <c r="L2178" s="49" t="str">
        <f>IF(Table26[[#This Row],[customerSKU]]="","",_xlfn.XLOOKUP(Table26[[#This Row],[customerSKU]],customerSKU!G:G,customerSKU!B:B,"",0,1))</f>
        <v/>
      </c>
      <c r="M2178" s="22"/>
      <c r="N2178" s="15" t="str">
        <f>Table26[[#This Row],[po_number]]&amp;"-"&amp;Table26[[#This Row],[po_line]]</f>
        <v>-1</v>
      </c>
      <c r="O2178" s="15">
        <v>1</v>
      </c>
      <c r="P2178" s="50"/>
      <c r="Q2178" s="22" t="s">
        <v>1842</v>
      </c>
      <c r="R2178" s="22" t="s">
        <v>221</v>
      </c>
      <c r="S2178" s="90" t="str">
        <f>IF(Table26[[#This Row],[customerSKU]]="","",_xlfn.XLOOKUP(Table26[[#This Row],[customerSKU]],customerSKU!G:G,customerSKU!N:N,"NOT FOUND",0,1))</f>
        <v>NOT FOUND</v>
      </c>
      <c r="T2178" s="20">
        <v>45854</v>
      </c>
      <c r="U2178" s="94">
        <v>96</v>
      </c>
      <c r="V2178" s="22" t="str">
        <f>IF(ISBLANK(Table26[[#This Row],[customerSKU]]),"",_xlfn.XLOOKUP(Table26[[#This Row],[customerSKU]],Table27[customer_SKU],Table27[case_size],"",0,1))</f>
        <v/>
      </c>
      <c r="W2178" s="117" t="str">
        <f t="shared" si="87"/>
        <v/>
      </c>
      <c r="X2178" s="22" t="str">
        <f t="shared" si="88"/>
        <v/>
      </c>
      <c r="Y2178" s="25" t="str">
        <f>IF(Table26[[#This Row],[customerSKU]]="","",_xlfn.XLOOKUP(Table26[[#This Row],[customerSKU]],Table27[customer_SKU],Table27[product_GTIN],"",0,1))</f>
        <v/>
      </c>
      <c r="Z2178" s="25" t="s">
        <v>3704</v>
      </c>
      <c r="AA2178" s="18" t="str" cm="1">
        <f t="array" ref="AA2178">IF(P2178="", "", _xlfn.XLOOKUP(P2178,#REF!,#REF!,NA,0,-1))</f>
        <v/>
      </c>
      <c r="AB2178" s="22"/>
      <c r="AC2178" s="23" t="str">
        <f>IF(Table26[[#This Row],[customerSKU]]="","",_xlfn.XLOOKUP(Table26[[#This Row],[customerSKU]],customerSKU!G:G,customerSKU!C:C,"",0,1))</f>
        <v/>
      </c>
      <c r="AD2178" s="23" t="str">
        <f>IF($AC2178="","",_xlfn.XLOOKUP($AC2178,'Client Info'!$C$2:$C$2497,'Client Info'!$D$2:$D$2497,"",0,1))</f>
        <v/>
      </c>
      <c r="AE2178" s="23" t="str">
        <f>IF($AC2178="","",_xlfn.XLOOKUP($AC2178,'Client Info'!$C$2:$C$2677,'Client Info'!$E$2:$E$2677,"",))</f>
        <v/>
      </c>
      <c r="AF2178" s="23" t="str">
        <f>IF($AC2178="","",_xlfn.XLOOKUP($AC2178,'Client Info'!$C$2:$C$2677,'Client Info'!$F$2:$F$2677,"",0,1))</f>
        <v/>
      </c>
      <c r="AG2178" s="23" t="str">
        <f>IF(ISBLANK(Table26[[#This Row],[customerSKU]]),"",_xlfn.XLOOKUP(Table26[[#This Row],[customerSKU]],Table27[customer_SKU],Table27[billto],"",0,1))</f>
        <v/>
      </c>
      <c r="AH2178" s="26" t="str">
        <f>_xlfn.XLOOKUP(Table26[[#This Row],[customerSKU]],customerSKU!G:G,customerSKU!K:K,"NA",0,1)</f>
        <v>NA</v>
      </c>
      <c r="AI2178" s="43" t="str">
        <f>_xlfn.XLOOKUP(Table26[[#This Row],[customerSKU]],customerSKU!G:G,customerSKU!O:O,"not found",0,1)</f>
        <v>not found</v>
      </c>
      <c r="AJ2178" s="22" t="e">
        <f>Table26[[#This Row],[unitprice]]*Table26[[#This Row],[quantity_unit]]</f>
        <v>#VALUE!</v>
      </c>
      <c r="AK2178" s="227" t="e" cm="1">
        <f t="array" ref="AK21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8" s="227"/>
    </row>
    <row r="2179" spans="1:38" ht="15.45" customHeight="1">
      <c r="A2179" s="42">
        <v>61</v>
      </c>
      <c r="B2179" s="42" t="s">
        <v>3520</v>
      </c>
      <c r="C2179" s="53" t="s">
        <v>203</v>
      </c>
      <c r="E2179" s="20"/>
      <c r="F21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79" s="93"/>
      <c r="I2179" s="203">
        <v>45863</v>
      </c>
      <c r="J2179" s="90" t="str">
        <f>IF(Table26[[#This Row],[customerSKU]]="","",_xlfn.XLOOKUP(Table26[[#This Row],[customerSKU]],customerSKU!G:G,customerSKU!A:A,"",0,1))</f>
        <v/>
      </c>
      <c r="K2179" s="19">
        <v>45875</v>
      </c>
      <c r="L2179" s="49" t="str">
        <f>IF(Table26[[#This Row],[customerSKU]]="","",_xlfn.XLOOKUP(Table26[[#This Row],[customerSKU]],customerSKU!G:G,customerSKU!B:B,"",0,1))</f>
        <v/>
      </c>
      <c r="M2179" s="22"/>
      <c r="N2179" s="15" t="str">
        <f>Table26[[#This Row],[po_number]]&amp;"-"&amp;Table26[[#This Row],[po_line]]</f>
        <v>-2</v>
      </c>
      <c r="O2179" s="15">
        <v>2</v>
      </c>
      <c r="P2179" s="50"/>
      <c r="Q2179" s="22" t="s">
        <v>1806</v>
      </c>
      <c r="R2179" s="22" t="s">
        <v>221</v>
      </c>
      <c r="S2179" s="90" t="str">
        <f>IF(Table26[[#This Row],[customerSKU]]="","",_xlfn.XLOOKUP(Table26[[#This Row],[customerSKU]],customerSKU!G:G,customerSKU!N:N,"NOT FOUND",0,1))</f>
        <v>NOT FOUND</v>
      </c>
      <c r="T2179" s="20">
        <v>45826</v>
      </c>
      <c r="U2179" s="94">
        <v>120</v>
      </c>
      <c r="V2179" s="22" t="str">
        <f>IF(ISBLANK(Table26[[#This Row],[customerSKU]]),"",_xlfn.XLOOKUP(Table26[[#This Row],[customerSKU]],Table27[customer_SKU],Table27[case_size],"",0,1))</f>
        <v/>
      </c>
      <c r="W2179" s="117" t="str">
        <f t="shared" si="87"/>
        <v/>
      </c>
      <c r="X2179" s="22" t="str">
        <f t="shared" si="88"/>
        <v/>
      </c>
      <c r="Y2179" s="25" t="str">
        <f>IF(Table26[[#This Row],[customerSKU]]="","",_xlfn.XLOOKUP(Table26[[#This Row],[customerSKU]],Table27[customer_SKU],Table27[product_GTIN],"",0,1))</f>
        <v/>
      </c>
      <c r="Z2179" s="25" t="s">
        <v>3705</v>
      </c>
      <c r="AA2179" s="18" t="str" cm="1">
        <f t="array" ref="AA2179">IF(P2179="", "", _xlfn.XLOOKUP(P2179,#REF!,#REF!,NA,0,-1))</f>
        <v/>
      </c>
      <c r="AB2179" s="22"/>
      <c r="AC2179" s="23" t="str">
        <f>IF(Table26[[#This Row],[customerSKU]]="","",_xlfn.XLOOKUP(Table26[[#This Row],[customerSKU]],customerSKU!G:G,customerSKU!C:C,"",0,1))</f>
        <v/>
      </c>
      <c r="AD2179" s="23" t="str">
        <f>IF($AC2179="","",_xlfn.XLOOKUP($AC2179,'Client Info'!$C$2:$C$2497,'Client Info'!$D$2:$D$2497,"",0,1))</f>
        <v/>
      </c>
      <c r="AE2179" s="23" t="str">
        <f>IF($AC2179="","",_xlfn.XLOOKUP($AC2179,'Client Info'!$C$2:$C$2677,'Client Info'!$E$2:$E$2677,"",))</f>
        <v/>
      </c>
      <c r="AF2179" s="23" t="str">
        <f>IF($AC2179="","",_xlfn.XLOOKUP($AC2179,'Client Info'!$C$2:$C$2677,'Client Info'!$F$2:$F$2677,"",0,1))</f>
        <v/>
      </c>
      <c r="AG2179" s="23" t="str">
        <f>IF(ISBLANK(Table26[[#This Row],[customerSKU]]),"",_xlfn.XLOOKUP(Table26[[#This Row],[customerSKU]],Table27[customer_SKU],Table27[billto],"",0,1))</f>
        <v/>
      </c>
      <c r="AH2179" s="26" t="str">
        <f>_xlfn.XLOOKUP(Table26[[#This Row],[customerSKU]],customerSKU!G:G,customerSKU!K:K,"NA",0,1)</f>
        <v>NA</v>
      </c>
      <c r="AI2179" s="43" t="str">
        <f>_xlfn.XLOOKUP(Table26[[#This Row],[customerSKU]],customerSKU!G:G,customerSKU!O:O,"not found",0,1)</f>
        <v>not found</v>
      </c>
      <c r="AJ2179" s="22" t="e">
        <f>Table26[[#This Row],[unitprice]]*Table26[[#This Row],[quantity_unit]]</f>
        <v>#VALUE!</v>
      </c>
      <c r="AK2179" s="227" t="e" cm="1">
        <f t="array" ref="AK21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79" s="227"/>
    </row>
    <row r="2180" spans="1:38" ht="15.45" customHeight="1">
      <c r="A2180" s="42">
        <v>62</v>
      </c>
      <c r="B2180" s="42" t="s">
        <v>3520</v>
      </c>
      <c r="C2180" s="53" t="s">
        <v>203</v>
      </c>
      <c r="E2180" s="20"/>
      <c r="F21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0" s="93"/>
      <c r="I2180" s="203">
        <v>45863</v>
      </c>
      <c r="J2180" s="90" t="str">
        <f>IF(Table26[[#This Row],[customerSKU]]="","",_xlfn.XLOOKUP(Table26[[#This Row],[customerSKU]],customerSKU!G:G,customerSKU!A:A,"",0,1))</f>
        <v/>
      </c>
      <c r="K2180" s="19">
        <v>45875</v>
      </c>
      <c r="L2180" s="49" t="str">
        <f>IF(Table26[[#This Row],[customerSKU]]="","",_xlfn.XLOOKUP(Table26[[#This Row],[customerSKU]],customerSKU!G:G,customerSKU!B:B,"",0,1))</f>
        <v/>
      </c>
      <c r="M2180" s="22"/>
      <c r="N2180" s="15" t="str">
        <f>Table26[[#This Row],[po_number]]&amp;"-"&amp;Table26[[#This Row],[po_line]]</f>
        <v>-3</v>
      </c>
      <c r="O2180" s="15">
        <v>3</v>
      </c>
      <c r="P2180" s="50"/>
      <c r="Q2180" s="22" t="s">
        <v>1783</v>
      </c>
      <c r="R2180" s="22" t="s">
        <v>221</v>
      </c>
      <c r="S2180" s="90" t="str">
        <f>IF(Table26[[#This Row],[customerSKU]]="","",_xlfn.XLOOKUP(Table26[[#This Row],[customerSKU]],customerSKU!G:G,customerSKU!N:N,"NOT FOUND",0,1))</f>
        <v>NOT FOUND</v>
      </c>
      <c r="T2180" s="20">
        <v>45800</v>
      </c>
      <c r="U2180" s="94">
        <f>48+7</f>
        <v>55</v>
      </c>
      <c r="V2180" s="22" t="str">
        <f>IF(ISBLANK(Table26[[#This Row],[customerSKU]]),"",_xlfn.XLOOKUP(Table26[[#This Row],[customerSKU]],Table27[customer_SKU],Table27[case_size],"",0,1))</f>
        <v/>
      </c>
      <c r="W2180" s="117" t="str">
        <f t="shared" ref="W2180:W2211" si="89">IFERROR(U2180/V2180, "")</f>
        <v/>
      </c>
      <c r="X2180" s="22" t="str">
        <f t="shared" si="88"/>
        <v/>
      </c>
      <c r="Y2180" s="25" t="str">
        <f>IF(Table26[[#This Row],[customerSKU]]="","",_xlfn.XLOOKUP(Table26[[#This Row],[customerSKU]],Table27[customer_SKU],Table27[product_GTIN],"",0,1))</f>
        <v/>
      </c>
      <c r="Z2180" s="25" t="s">
        <v>3708</v>
      </c>
      <c r="AA2180" s="18" t="str" cm="1">
        <f t="array" ref="AA2180">IF(P2180="", "", _xlfn.XLOOKUP(P2180,#REF!,#REF!,NA,0,-1))</f>
        <v/>
      </c>
      <c r="AB2180" s="22"/>
      <c r="AC2180" s="23" t="str">
        <f>IF(Table26[[#This Row],[customerSKU]]="","",_xlfn.XLOOKUP(Table26[[#This Row],[customerSKU]],customerSKU!G:G,customerSKU!C:C,"",0,1))</f>
        <v/>
      </c>
      <c r="AD2180" s="23" t="str">
        <f>IF($AC2180="","",_xlfn.XLOOKUP($AC2180,'Client Info'!$C$2:$C$2497,'Client Info'!$D$2:$D$2497,"",0,1))</f>
        <v/>
      </c>
      <c r="AE2180" s="23" t="str">
        <f>IF($AC2180="","",_xlfn.XLOOKUP($AC2180,'Client Info'!$C$2:$C$2677,'Client Info'!$E$2:$E$2677,"",))</f>
        <v/>
      </c>
      <c r="AF2180" s="23" t="str">
        <f>IF($AC2180="","",_xlfn.XLOOKUP($AC2180,'Client Info'!$C$2:$C$2677,'Client Info'!$F$2:$F$2677,"",0,1))</f>
        <v/>
      </c>
      <c r="AG2180" s="23" t="str">
        <f>IF(ISBLANK(Table26[[#This Row],[customerSKU]]),"",_xlfn.XLOOKUP(Table26[[#This Row],[customerSKU]],Table27[customer_SKU],Table27[billto],"",0,1))</f>
        <v/>
      </c>
      <c r="AH2180" s="26" t="str">
        <f>_xlfn.XLOOKUP(Table26[[#This Row],[customerSKU]],customerSKU!G:G,customerSKU!K:K,"NA",0,1)</f>
        <v>NA</v>
      </c>
      <c r="AI2180" s="43" t="str">
        <f>_xlfn.XLOOKUP(Table26[[#This Row],[customerSKU]],customerSKU!G:G,customerSKU!O:O,"not found",0,1)</f>
        <v>not found</v>
      </c>
      <c r="AJ2180" s="22" t="e">
        <f>Table26[[#This Row],[unitprice]]*Table26[[#This Row],[quantity_unit]]</f>
        <v>#VALUE!</v>
      </c>
      <c r="AK2180" s="227" t="e" cm="1">
        <f t="array" ref="AK21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0" s="227"/>
    </row>
    <row r="2181" spans="1:38" ht="15.45" customHeight="1">
      <c r="A2181" s="42">
        <v>63</v>
      </c>
      <c r="B2181" s="42" t="s">
        <v>3520</v>
      </c>
      <c r="C2181" s="53" t="s">
        <v>203</v>
      </c>
      <c r="E2181" s="20"/>
      <c r="F21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1" s="93"/>
      <c r="I2181" s="203">
        <v>45863</v>
      </c>
      <c r="J2181" s="90" t="str">
        <f>IF(Table26[[#This Row],[customerSKU]]="","",_xlfn.XLOOKUP(Table26[[#This Row],[customerSKU]],customerSKU!G:G,customerSKU!A:A,"",0,1))</f>
        <v/>
      </c>
      <c r="K2181" s="19">
        <v>45875</v>
      </c>
      <c r="L2181" s="49" t="str">
        <f>IF(Table26[[#This Row],[customerSKU]]="","",_xlfn.XLOOKUP(Table26[[#This Row],[customerSKU]],customerSKU!G:G,customerSKU!B:B,"",0,1))</f>
        <v/>
      </c>
      <c r="M2181" s="22"/>
      <c r="N2181" s="15" t="str">
        <f>Table26[[#This Row],[po_number]]&amp;"-"&amp;Table26[[#This Row],[po_line]]</f>
        <v>-4</v>
      </c>
      <c r="O2181" s="15">
        <v>4</v>
      </c>
      <c r="P2181" s="50"/>
      <c r="Q2181" s="22" t="s">
        <v>3746</v>
      </c>
      <c r="R2181" s="22" t="s">
        <v>221</v>
      </c>
      <c r="S2181" s="90" t="str">
        <f>IF(Table26[[#This Row],[customerSKU]]="","",_xlfn.XLOOKUP(Table26[[#This Row],[customerSKU]],customerSKU!G:G,customerSKU!N:N,"NOT FOUND",0,1))</f>
        <v>NOT FOUND</v>
      </c>
      <c r="T2181" s="20">
        <v>45870</v>
      </c>
      <c r="U2181" s="94">
        <f>96-55</f>
        <v>41</v>
      </c>
      <c r="V2181" s="22" t="str">
        <f>IF(ISBLANK(Table26[[#This Row],[customerSKU]]),"",_xlfn.XLOOKUP(Table26[[#This Row],[customerSKU]],Table27[customer_SKU],Table27[case_size],"",0,1))</f>
        <v/>
      </c>
      <c r="W2181" s="117" t="str">
        <f t="shared" si="89"/>
        <v/>
      </c>
      <c r="X2181" s="22" t="str">
        <f t="shared" si="88"/>
        <v/>
      </c>
      <c r="Y2181" s="25" t="str">
        <f>IF(Table26[[#This Row],[customerSKU]]="","",_xlfn.XLOOKUP(Table26[[#This Row],[customerSKU]],Table27[customer_SKU],Table27[product_GTIN],"",0,1))</f>
        <v/>
      </c>
      <c r="Z2181" s="25" t="s">
        <v>3708</v>
      </c>
      <c r="AA2181" s="18" t="str" cm="1">
        <f t="array" ref="AA2181">IF(P2181="", "", _xlfn.XLOOKUP(P2181,#REF!,#REF!,NA,0,-1))</f>
        <v/>
      </c>
      <c r="AB2181" s="22"/>
      <c r="AC2181" s="411" t="str">
        <f>IF(Table26[[#This Row],[customerSKU]]="","",_xlfn.XLOOKUP(Table26[[#This Row],[customerSKU]],customerSKU!G:G,customerSKU!C:C,"",0,1))</f>
        <v/>
      </c>
      <c r="AD2181" s="23" t="str">
        <f>IF($AC2181="","",_xlfn.XLOOKUP($AC2181,'Client Info'!$C$2:$C$2497,'Client Info'!$D$2:$D$2497,"",0,1))</f>
        <v/>
      </c>
      <c r="AE2181" s="23" t="str">
        <f>IF($AC2181="","",_xlfn.XLOOKUP($AC2181,'Client Info'!$C$2:$C$2677,'Client Info'!$E$2:$E$2677,"",))</f>
        <v/>
      </c>
      <c r="AF2181" s="23" t="str">
        <f>IF($AC2181="","",_xlfn.XLOOKUP($AC2181,'Client Info'!$C$2:$C$2677,'Client Info'!$F$2:$F$2677,"",0,1))</f>
        <v/>
      </c>
      <c r="AG2181" s="411" t="str">
        <f>IF(ISBLANK(Table26[[#This Row],[customerSKU]]),"",_xlfn.XLOOKUP(Table26[[#This Row],[customerSKU]],Table27[customer_SKU],Table27[billto],"",0,1))</f>
        <v/>
      </c>
      <c r="AH2181" s="26" t="str">
        <f>_xlfn.XLOOKUP(Table26[[#This Row],[customerSKU]],customerSKU!G:G,customerSKU!K:K,"NA",0,1)</f>
        <v>NA</v>
      </c>
      <c r="AI2181" s="43" t="str">
        <f>_xlfn.XLOOKUP(Table26[[#This Row],[customerSKU]],customerSKU!G:G,customerSKU!O:O,"not found",0,1)</f>
        <v>not found</v>
      </c>
      <c r="AJ2181" s="22" t="e">
        <f>Table26[[#This Row],[unitprice]]*Table26[[#This Row],[quantity_unit]]</f>
        <v>#VALUE!</v>
      </c>
      <c r="AK2181" s="227" t="e" cm="1">
        <f t="array" ref="AK21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1" s="227"/>
    </row>
    <row r="2182" spans="1:38" ht="15.45" customHeight="1">
      <c r="A2182" s="42">
        <v>64</v>
      </c>
      <c r="B2182" s="42" t="s">
        <v>3520</v>
      </c>
      <c r="C2182" s="53" t="s">
        <v>203</v>
      </c>
      <c r="E2182" s="20"/>
      <c r="F21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2" s="93"/>
      <c r="I2182" s="203">
        <v>45863</v>
      </c>
      <c r="J2182" s="90" t="str">
        <f>IF(Table26[[#This Row],[customerSKU]]="","",_xlfn.XLOOKUP(Table26[[#This Row],[customerSKU]],customerSKU!G:G,customerSKU!A:A,"",0,1))</f>
        <v/>
      </c>
      <c r="K2182" s="19">
        <v>45875</v>
      </c>
      <c r="L2182" s="49" t="str">
        <f>IF(Table26[[#This Row],[customerSKU]]="","",_xlfn.XLOOKUP(Table26[[#This Row],[customerSKU]],customerSKU!G:G,customerSKU!B:B,"",0,1))</f>
        <v/>
      </c>
      <c r="M2182" s="22"/>
      <c r="N2182" s="15" t="str">
        <f>Table26[[#This Row],[po_number]]&amp;"-"&amp;Table26[[#This Row],[po_line]]</f>
        <v>-5</v>
      </c>
      <c r="O2182" s="15">
        <v>5</v>
      </c>
      <c r="P2182" s="50"/>
      <c r="Q2182" s="22" t="s">
        <v>1312</v>
      </c>
      <c r="R2182" s="22" t="s">
        <v>221</v>
      </c>
      <c r="S2182" s="90" t="str">
        <f>IF(Table26[[#This Row],[customerSKU]]="","",_xlfn.XLOOKUP(Table26[[#This Row],[customerSKU]],customerSKU!G:G,customerSKU!N:N,"NOT FOUND",0,1))</f>
        <v>NOT FOUND</v>
      </c>
      <c r="T2182" s="20">
        <v>45854</v>
      </c>
      <c r="U2182" s="94">
        <v>24</v>
      </c>
      <c r="V2182" s="22" t="str">
        <f>IF(ISBLANK(Table26[[#This Row],[customerSKU]]),"",_xlfn.XLOOKUP(Table26[[#This Row],[customerSKU]],Table27[customer_SKU],Table27[case_size],"",0,1))</f>
        <v/>
      </c>
      <c r="W2182" s="117" t="str">
        <f t="shared" si="89"/>
        <v/>
      </c>
      <c r="X2182" s="22" t="str">
        <f t="shared" si="88"/>
        <v/>
      </c>
      <c r="Y2182" s="25" t="str">
        <f>IF(Table26[[#This Row],[customerSKU]]="","",_xlfn.XLOOKUP(Table26[[#This Row],[customerSKU]],Table27[customer_SKU],Table27[product_GTIN],"",0,1))</f>
        <v/>
      </c>
      <c r="Z2182" s="25" t="s">
        <v>3709</v>
      </c>
      <c r="AA2182" s="18" t="str" cm="1">
        <f t="array" ref="AA2182">IF(P2182="", "", _xlfn.XLOOKUP(P2182,#REF!,#REF!,NA,0,-1))</f>
        <v/>
      </c>
      <c r="AB2182" s="22"/>
      <c r="AC2182" s="411" t="str">
        <f>IF(Table26[[#This Row],[customerSKU]]="","",_xlfn.XLOOKUP(Table26[[#This Row],[customerSKU]],customerSKU!G:G,customerSKU!C:C,"",0,1))</f>
        <v/>
      </c>
      <c r="AD2182" s="23" t="str">
        <f>IF($AC2182="","",_xlfn.XLOOKUP($AC2182,'Client Info'!$C$2:$C$2497,'Client Info'!$D$2:$D$2497,"",0,1))</f>
        <v/>
      </c>
      <c r="AE2182" s="23" t="str">
        <f>IF($AC2182="","",_xlfn.XLOOKUP($AC2182,'Client Info'!$C$2:$C$2677,'Client Info'!$E$2:$E$2677,"",))</f>
        <v/>
      </c>
      <c r="AF2182" s="23" t="str">
        <f>IF($AC2182="","",_xlfn.XLOOKUP($AC2182,'Client Info'!$C$2:$C$2677,'Client Info'!$F$2:$F$2677,"",0,1))</f>
        <v/>
      </c>
      <c r="AG2182" s="411" t="str">
        <f>IF(ISBLANK(Table26[[#This Row],[customerSKU]]),"",_xlfn.XLOOKUP(Table26[[#This Row],[customerSKU]],Table27[customer_SKU],Table27[billto],"",0,1))</f>
        <v/>
      </c>
      <c r="AH2182" s="26" t="str">
        <f>_xlfn.XLOOKUP(Table26[[#This Row],[customerSKU]],customerSKU!G:G,customerSKU!K:K,"NA",0,1)</f>
        <v>NA</v>
      </c>
      <c r="AI2182" s="43" t="str">
        <f>_xlfn.XLOOKUP(Table26[[#This Row],[customerSKU]],customerSKU!G:G,customerSKU!O:O,"not found",0,1)</f>
        <v>not found</v>
      </c>
      <c r="AJ2182" s="22" t="e">
        <f>Table26[[#This Row],[unitprice]]*Table26[[#This Row],[quantity_unit]]</f>
        <v>#VALUE!</v>
      </c>
      <c r="AK2182" s="227" t="e" cm="1">
        <f t="array" ref="AK21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2" s="227"/>
    </row>
    <row r="2183" spans="1:38" ht="15.45" customHeight="1">
      <c r="A2183" s="42">
        <v>65</v>
      </c>
      <c r="B2183" s="42" t="s">
        <v>3520</v>
      </c>
      <c r="C2183" s="53" t="s">
        <v>203</v>
      </c>
      <c r="E2183" s="20"/>
      <c r="F21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3" s="93"/>
      <c r="I2183" s="203">
        <v>45863</v>
      </c>
      <c r="J2183" s="90" t="str">
        <f>IF(Table26[[#This Row],[customerSKU]]="","",_xlfn.XLOOKUP(Table26[[#This Row],[customerSKU]],customerSKU!G:G,customerSKU!A:A,"",0,1))</f>
        <v/>
      </c>
      <c r="K2183" s="19">
        <v>45875</v>
      </c>
      <c r="L2183" s="49" t="str">
        <f>IF(Table26[[#This Row],[customerSKU]]="","",_xlfn.XLOOKUP(Table26[[#This Row],[customerSKU]],customerSKU!G:G,customerSKU!B:B,"",0,1))</f>
        <v/>
      </c>
      <c r="M2183" s="22"/>
      <c r="N2183" s="15" t="str">
        <f>Table26[[#This Row],[po_number]]&amp;"-"&amp;Table26[[#This Row],[po_line]]</f>
        <v>-6</v>
      </c>
      <c r="O2183" s="15">
        <v>6</v>
      </c>
      <c r="P2183" s="50"/>
      <c r="Q2183" s="22" t="s">
        <v>905</v>
      </c>
      <c r="R2183" s="22" t="s">
        <v>221</v>
      </c>
      <c r="S2183" s="90" t="str">
        <f>IF(Table26[[#This Row],[customerSKU]]="","",_xlfn.XLOOKUP(Table26[[#This Row],[customerSKU]],customerSKU!G:G,customerSKU!N:N,"NOT FOUND",0,1))</f>
        <v>NOT FOUND</v>
      </c>
      <c r="T2183" s="20">
        <v>45575</v>
      </c>
      <c r="U2183" s="94">
        <v>48</v>
      </c>
      <c r="V2183" s="22" t="str">
        <f>IF(ISBLANK(Table26[[#This Row],[customerSKU]]),"",_xlfn.XLOOKUP(Table26[[#This Row],[customerSKU]],Table27[customer_SKU],Table27[case_size],"",0,1))</f>
        <v/>
      </c>
      <c r="W2183" s="117" t="str">
        <f t="shared" si="89"/>
        <v/>
      </c>
      <c r="X2183" s="22" t="str">
        <f t="shared" si="88"/>
        <v/>
      </c>
      <c r="Y2183" s="25" t="str">
        <f>IF(Table26[[#This Row],[customerSKU]]="","",_xlfn.XLOOKUP(Table26[[#This Row],[customerSKU]],Table27[customer_SKU],Table27[product_GTIN],"",0,1))</f>
        <v/>
      </c>
      <c r="Z2183" s="25" t="s">
        <v>3710</v>
      </c>
      <c r="AA2183" s="18" t="str" cm="1">
        <f t="array" ref="AA2183">IF(P2183="", "", _xlfn.XLOOKUP(P2183,#REF!,#REF!,NA,0,-1))</f>
        <v/>
      </c>
      <c r="AB2183" s="22"/>
      <c r="AC2183" s="411" t="str">
        <f>IF(Table26[[#This Row],[customerSKU]]="","",_xlfn.XLOOKUP(Table26[[#This Row],[customerSKU]],customerSKU!G:G,customerSKU!C:C,"",0,1))</f>
        <v/>
      </c>
      <c r="AD2183" s="23" t="str">
        <f>IF($AC2183="","",_xlfn.XLOOKUP($AC2183,'Client Info'!$C$2:$C$2497,'Client Info'!$D$2:$D$2497,"",0,1))</f>
        <v/>
      </c>
      <c r="AE2183" s="23" t="str">
        <f>IF($AC2183="","",_xlfn.XLOOKUP($AC2183,'Client Info'!$C$2:$C$2677,'Client Info'!$E$2:$E$2677,"",))</f>
        <v/>
      </c>
      <c r="AF2183" s="23" t="str">
        <f>IF($AC2183="","",_xlfn.XLOOKUP($AC2183,'Client Info'!$C$2:$C$2677,'Client Info'!$F$2:$F$2677,"",0,1))</f>
        <v/>
      </c>
      <c r="AG2183" s="411" t="str">
        <f>IF(ISBLANK(Table26[[#This Row],[customerSKU]]),"",_xlfn.XLOOKUP(Table26[[#This Row],[customerSKU]],Table27[customer_SKU],Table27[billto],"",0,1))</f>
        <v/>
      </c>
      <c r="AH2183" s="26" t="str">
        <f>_xlfn.XLOOKUP(Table26[[#This Row],[customerSKU]],customerSKU!G:G,customerSKU!K:K,"NA",0,1)</f>
        <v>NA</v>
      </c>
      <c r="AI2183" s="43" t="str">
        <f>_xlfn.XLOOKUP(Table26[[#This Row],[customerSKU]],customerSKU!G:G,customerSKU!O:O,"not found",0,1)</f>
        <v>not found</v>
      </c>
      <c r="AJ2183" s="22" t="e">
        <f>Table26[[#This Row],[unitprice]]*Table26[[#This Row],[quantity_unit]]</f>
        <v>#VALUE!</v>
      </c>
      <c r="AK2183" s="227" t="e" cm="1">
        <f t="array" ref="AK21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3" s="227"/>
    </row>
    <row r="2184" spans="1:38" ht="15.45" customHeight="1">
      <c r="A2184" s="42">
        <v>66</v>
      </c>
      <c r="B2184" s="42" t="s">
        <v>3520</v>
      </c>
      <c r="C2184" s="53" t="s">
        <v>203</v>
      </c>
      <c r="E2184" s="20"/>
      <c r="F21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4" s="93"/>
      <c r="I2184" s="203">
        <v>45863</v>
      </c>
      <c r="J2184" s="90" t="str">
        <f>IF(Table26[[#This Row],[customerSKU]]="","",_xlfn.XLOOKUP(Table26[[#This Row],[customerSKU]],customerSKU!G:G,customerSKU!A:A,"",0,1))</f>
        <v/>
      </c>
      <c r="K2184" s="19">
        <v>45875</v>
      </c>
      <c r="L2184" s="49" t="str">
        <f>IF(Table26[[#This Row],[customerSKU]]="","",_xlfn.XLOOKUP(Table26[[#This Row],[customerSKU]],customerSKU!G:G,customerSKU!B:B,"",0,1))</f>
        <v/>
      </c>
      <c r="M2184" s="22"/>
      <c r="N2184" s="15" t="str">
        <f>Table26[[#This Row],[po_number]]&amp;"-"&amp;Table26[[#This Row],[po_line]]</f>
        <v>-7</v>
      </c>
      <c r="O2184" s="15">
        <v>7</v>
      </c>
      <c r="P2184" s="50"/>
      <c r="Q2184" s="22" t="s">
        <v>1871</v>
      </c>
      <c r="R2184" s="22" t="s">
        <v>221</v>
      </c>
      <c r="S2184" s="90" t="str">
        <f>IF(Table26[[#This Row],[customerSKU]]="","",_xlfn.XLOOKUP(Table26[[#This Row],[customerSKU]],customerSKU!G:G,customerSKU!N:N,"NOT FOUND",0,1))</f>
        <v>NOT FOUND</v>
      </c>
      <c r="T2184" s="20">
        <v>45870</v>
      </c>
      <c r="U2184" s="94">
        <v>48</v>
      </c>
      <c r="V2184" s="22" t="str">
        <f>IF(ISBLANK(Table26[[#This Row],[customerSKU]]),"",_xlfn.XLOOKUP(Table26[[#This Row],[customerSKU]],Table27[customer_SKU],Table27[case_size],"",0,1))</f>
        <v/>
      </c>
      <c r="W2184" s="117" t="str">
        <f t="shared" si="89"/>
        <v/>
      </c>
      <c r="X2184" s="22" t="str">
        <f t="shared" si="88"/>
        <v/>
      </c>
      <c r="Y2184" s="25" t="str">
        <f>IF(Table26[[#This Row],[customerSKU]]="","",_xlfn.XLOOKUP(Table26[[#This Row],[customerSKU]],Table27[customer_SKU],Table27[product_GTIN],"",0,1))</f>
        <v/>
      </c>
      <c r="Z2184" s="25" t="s">
        <v>3710</v>
      </c>
      <c r="AA2184" s="18" t="str" cm="1">
        <f t="array" ref="AA2184">IF(P2184="", "", _xlfn.XLOOKUP(P2184,#REF!,#REF!,NA,0,-1))</f>
        <v/>
      </c>
      <c r="AB2184" s="22"/>
      <c r="AC2184" s="23" t="str">
        <f>IF(Table26[[#This Row],[customerSKU]]="","",_xlfn.XLOOKUP(Table26[[#This Row],[customerSKU]],customerSKU!G:G,customerSKU!C:C,"",0,1))</f>
        <v/>
      </c>
      <c r="AD2184" s="23" t="str">
        <f>IF($AC2184="","",_xlfn.XLOOKUP($AC2184,'Client Info'!$C$2:$C$2497,'Client Info'!$D$2:$D$2497,"",0,1))</f>
        <v/>
      </c>
      <c r="AE2184" s="23" t="str">
        <f>IF($AC2184="","",_xlfn.XLOOKUP($AC2184,'Client Info'!$C$2:$C$2677,'Client Info'!$E$2:$E$2677,"",))</f>
        <v/>
      </c>
      <c r="AF2184" s="23" t="str">
        <f>IF($AC2184="","",_xlfn.XLOOKUP($AC2184,'Client Info'!$C$2:$C$2677,'Client Info'!$F$2:$F$2677,"",0,1))</f>
        <v/>
      </c>
      <c r="AG2184" s="23" t="str">
        <f>IF(ISBLANK(Table26[[#This Row],[customerSKU]]),"",_xlfn.XLOOKUP(Table26[[#This Row],[customerSKU]],Table27[customer_SKU],Table27[billto],"",0,1))</f>
        <v/>
      </c>
      <c r="AH2184" s="26" t="str">
        <f>_xlfn.XLOOKUP(Table26[[#This Row],[customerSKU]],customerSKU!G:G,customerSKU!K:K,"NA",0,1)</f>
        <v>NA</v>
      </c>
      <c r="AI2184" s="43" t="str">
        <f>_xlfn.XLOOKUP(Table26[[#This Row],[customerSKU]],customerSKU!G:G,customerSKU!O:O,"not found",0,1)</f>
        <v>not found</v>
      </c>
      <c r="AJ2184" s="22" t="e">
        <f>Table26[[#This Row],[unitprice]]*Table26[[#This Row],[quantity_unit]]</f>
        <v>#VALUE!</v>
      </c>
      <c r="AK2184" s="227" t="e" cm="1">
        <f t="array" ref="AK21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4" s="227"/>
    </row>
    <row r="2185" spans="1:38" ht="15.45" customHeight="1">
      <c r="A2185" s="42">
        <v>67</v>
      </c>
      <c r="B2185" s="42" t="s">
        <v>3520</v>
      </c>
      <c r="C2185" s="53" t="s">
        <v>203</v>
      </c>
      <c r="E2185" s="20"/>
      <c r="F21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5" s="93"/>
      <c r="I2185" s="203">
        <v>45863</v>
      </c>
      <c r="J2185" s="90" t="str">
        <f>IF(Table26[[#This Row],[customerSKU]]="","",_xlfn.XLOOKUP(Table26[[#This Row],[customerSKU]],customerSKU!G:G,customerSKU!A:A,"",0,1))</f>
        <v/>
      </c>
      <c r="K2185" s="19">
        <v>45875</v>
      </c>
      <c r="L2185" s="49" t="str">
        <f>IF(Table26[[#This Row],[customerSKU]]="","",_xlfn.XLOOKUP(Table26[[#This Row],[customerSKU]],customerSKU!G:G,customerSKU!B:B,"",0,1))</f>
        <v/>
      </c>
      <c r="M2185" s="22"/>
      <c r="N2185" s="15" t="str">
        <f>Table26[[#This Row],[po_number]]&amp;"-"&amp;Table26[[#This Row],[po_line]]</f>
        <v>-8</v>
      </c>
      <c r="O2185" s="15">
        <v>8</v>
      </c>
      <c r="P2185" s="50"/>
      <c r="Q2185" s="22" t="s">
        <v>1862</v>
      </c>
      <c r="R2185" s="22" t="s">
        <v>221</v>
      </c>
      <c r="S2185" s="90" t="str">
        <f>IF(Table26[[#This Row],[customerSKU]]="","",_xlfn.XLOOKUP(Table26[[#This Row],[customerSKU]],customerSKU!G:G,customerSKU!N:N,"NOT FOUND",0,1))</f>
        <v>NOT FOUND</v>
      </c>
      <c r="T2185" s="20">
        <v>45594</v>
      </c>
      <c r="U2185" s="94">
        <v>12</v>
      </c>
      <c r="V2185" s="22" t="str">
        <f>IF(ISBLANK(Table26[[#This Row],[customerSKU]]),"",_xlfn.XLOOKUP(Table26[[#This Row],[customerSKU]],Table27[customer_SKU],Table27[case_size],"",0,1))</f>
        <v/>
      </c>
      <c r="W2185" s="117" t="str">
        <f t="shared" si="89"/>
        <v/>
      </c>
      <c r="X2185" s="22" t="str">
        <f t="shared" si="88"/>
        <v/>
      </c>
      <c r="Y2185" s="25" t="str">
        <f>IF(Table26[[#This Row],[customerSKU]]="","",_xlfn.XLOOKUP(Table26[[#This Row],[customerSKU]],Table27[customer_SKU],Table27[product_GTIN],"",0,1))</f>
        <v/>
      </c>
      <c r="Z2185" s="25" t="s">
        <v>3711</v>
      </c>
      <c r="AA2185" s="18" t="str" cm="1">
        <f t="array" ref="AA2185">IF(P2185="", "", _xlfn.XLOOKUP(P2185,#REF!,#REF!,NA,0,-1))</f>
        <v/>
      </c>
      <c r="AB2185" s="22" t="s">
        <v>221</v>
      </c>
      <c r="AC2185" s="23" t="str">
        <f>IF(Table26[[#This Row],[customerSKU]]="","",_xlfn.XLOOKUP(Table26[[#This Row],[customerSKU]],customerSKU!G:G,customerSKU!C:C,"",0,1))</f>
        <v/>
      </c>
      <c r="AD2185" s="23" t="str">
        <f>IF($AC2185="","",_xlfn.XLOOKUP($AC2185,'Client Info'!$C$2:$C$2497,'Client Info'!$D$2:$D$2497,"",0,1))</f>
        <v/>
      </c>
      <c r="AE2185" s="23" t="str">
        <f>IF($AC2185="","",_xlfn.XLOOKUP($AC2185,'Client Info'!$C$2:$C$2677,'Client Info'!$E$2:$E$2677,"",))</f>
        <v/>
      </c>
      <c r="AF2185" s="23" t="str">
        <f>IF($AC2185="","",_xlfn.XLOOKUP($AC2185,'Client Info'!$C$2:$C$2677,'Client Info'!$F$2:$F$2677,"",0,1))</f>
        <v/>
      </c>
      <c r="AG2185" s="23" t="str">
        <f>IF(ISBLANK(Table26[[#This Row],[customerSKU]]),"",_xlfn.XLOOKUP(Table26[[#This Row],[customerSKU]],Table27[customer_SKU],Table27[billto],"",0,1))</f>
        <v/>
      </c>
      <c r="AH2185" s="26" t="str">
        <f>_xlfn.XLOOKUP(Table26[[#This Row],[customerSKU]],customerSKU!G:G,customerSKU!K:K,"NA",0,1)</f>
        <v>NA</v>
      </c>
      <c r="AI2185" s="43" t="str">
        <f>_xlfn.XLOOKUP(Table26[[#This Row],[customerSKU]],customerSKU!G:G,customerSKU!O:O,"not found",0,1)</f>
        <v>not found</v>
      </c>
      <c r="AJ2185" s="22" t="e">
        <f>Table26[[#This Row],[unitprice]]*Table26[[#This Row],[quantity_unit]]</f>
        <v>#VALUE!</v>
      </c>
      <c r="AK2185" s="227" t="e" cm="1">
        <f t="array" ref="AK21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5" s="227"/>
    </row>
    <row r="2186" spans="1:38" ht="15.45" customHeight="1">
      <c r="A2186" s="42">
        <v>68</v>
      </c>
      <c r="B2186" s="42" t="s">
        <v>3520</v>
      </c>
      <c r="C2186" s="53" t="s">
        <v>203</v>
      </c>
      <c r="E2186" s="20"/>
      <c r="F21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6" s="93"/>
      <c r="I2186" s="203">
        <v>45863</v>
      </c>
      <c r="J2186" s="90" t="str">
        <f>IF(Table26[[#This Row],[customerSKU]]="","",_xlfn.XLOOKUP(Table26[[#This Row],[customerSKU]],customerSKU!G:G,customerSKU!A:A,"",0,1))</f>
        <v/>
      </c>
      <c r="K2186" s="19">
        <v>45875</v>
      </c>
      <c r="L2186" s="49" t="str">
        <f>IF(Table26[[#This Row],[customerSKU]]="","",_xlfn.XLOOKUP(Table26[[#This Row],[customerSKU]],customerSKU!G:G,customerSKU!B:B,"",0,1))</f>
        <v/>
      </c>
      <c r="M2186" s="22"/>
      <c r="N2186" s="15" t="str">
        <f>Table26[[#This Row],[po_number]]&amp;"-"&amp;Table26[[#This Row],[po_line]]</f>
        <v>-9</v>
      </c>
      <c r="O2186" s="15">
        <v>9</v>
      </c>
      <c r="P2186" s="50"/>
      <c r="Q2186" s="22" t="s">
        <v>1309</v>
      </c>
      <c r="R2186" s="22" t="s">
        <v>221</v>
      </c>
      <c r="S2186" s="90" t="str">
        <f>IF(Table26[[#This Row],[customerSKU]]="","",_xlfn.XLOOKUP(Table26[[#This Row],[customerSKU]],customerSKU!G:G,customerSKU!N:N,"NOT FOUND",0,1))</f>
        <v>NOT FOUND</v>
      </c>
      <c r="T2186" s="20">
        <v>45697</v>
      </c>
      <c r="U2186" s="94">
        <v>12</v>
      </c>
      <c r="V2186" s="22" t="str">
        <f>IF(ISBLANK(Table26[[#This Row],[customerSKU]]),"",_xlfn.XLOOKUP(Table26[[#This Row],[customerSKU]],Table27[customer_SKU],Table27[case_size],"",0,1))</f>
        <v/>
      </c>
      <c r="W2186" s="117" t="str">
        <f t="shared" si="89"/>
        <v/>
      </c>
      <c r="X2186" s="22" t="str">
        <f t="shared" si="88"/>
        <v/>
      </c>
      <c r="Y2186" s="25" t="str">
        <f>IF(Table26[[#This Row],[customerSKU]]="","",_xlfn.XLOOKUP(Table26[[#This Row],[customerSKU]],Table27[customer_SKU],Table27[product_GTIN],"",0,1))</f>
        <v/>
      </c>
      <c r="Z2186" s="25" t="s">
        <v>3712</v>
      </c>
      <c r="AA2186" s="18" t="str" cm="1">
        <f t="array" ref="AA2186">IF(P2186="", "", _xlfn.XLOOKUP(P2186,#REF!,#REF!,NA,0,-1))</f>
        <v/>
      </c>
      <c r="AB2186" s="22"/>
      <c r="AC2186" s="23" t="str">
        <f>IF(Table26[[#This Row],[customerSKU]]="","",_xlfn.XLOOKUP(Table26[[#This Row],[customerSKU]],customerSKU!G:G,customerSKU!C:C,"",0,1))</f>
        <v/>
      </c>
      <c r="AD2186" s="23" t="str">
        <f>IF($AC2186="","",_xlfn.XLOOKUP($AC2186,'Client Info'!$C$2:$C$2497,'Client Info'!$D$2:$D$2497,"",0,1))</f>
        <v/>
      </c>
      <c r="AE2186" s="23" t="str">
        <f>IF($AC2186="","",_xlfn.XLOOKUP($AC2186,'Client Info'!$C$2:$C$2677,'Client Info'!$E$2:$E$2677,"",))</f>
        <v/>
      </c>
      <c r="AF2186" s="23" t="str">
        <f>IF($AC2186="","",_xlfn.XLOOKUP($AC2186,'Client Info'!$C$2:$C$2677,'Client Info'!$F$2:$F$2677,"",0,1))</f>
        <v/>
      </c>
      <c r="AG2186" s="23" t="str">
        <f>IF(ISBLANK(Table26[[#This Row],[customerSKU]]),"",_xlfn.XLOOKUP(Table26[[#This Row],[customerSKU]],Table27[customer_SKU],Table27[billto],"",0,1))</f>
        <v/>
      </c>
      <c r="AH2186" s="26" t="str">
        <f>_xlfn.XLOOKUP(Table26[[#This Row],[customerSKU]],customerSKU!G:G,customerSKU!K:K,"NA",0,1)</f>
        <v>NA</v>
      </c>
      <c r="AI2186" s="43" t="str">
        <f>_xlfn.XLOOKUP(Table26[[#This Row],[customerSKU]],customerSKU!G:G,customerSKU!O:O,"not found",0,1)</f>
        <v>not found</v>
      </c>
      <c r="AJ2186" s="22" t="e">
        <f>Table26[[#This Row],[unitprice]]*Table26[[#This Row],[quantity_unit]]</f>
        <v>#VALUE!</v>
      </c>
      <c r="AK2186" s="227" t="e" cm="1">
        <f t="array" ref="AK21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6" s="227"/>
    </row>
    <row r="2187" spans="1:38" ht="15.45" customHeight="1">
      <c r="A2187" s="42">
        <v>69</v>
      </c>
      <c r="B2187" s="42" t="s">
        <v>3520</v>
      </c>
      <c r="C2187" s="53" t="s">
        <v>203</v>
      </c>
      <c r="E2187" s="20"/>
      <c r="F21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7" s="93"/>
      <c r="I2187" s="203">
        <v>45863</v>
      </c>
      <c r="J2187" s="90" t="str">
        <f>IF(Table26[[#This Row],[customerSKU]]="","",_xlfn.XLOOKUP(Table26[[#This Row],[customerSKU]],customerSKU!G:G,customerSKU!A:A,"",0,1))</f>
        <v/>
      </c>
      <c r="K2187" s="19">
        <v>45875</v>
      </c>
      <c r="L2187" s="49" t="str">
        <f>IF(Table26[[#This Row],[customerSKU]]="","",_xlfn.XLOOKUP(Table26[[#This Row],[customerSKU]],customerSKU!G:G,customerSKU!B:B,"",0,1))</f>
        <v/>
      </c>
      <c r="M2187" s="22"/>
      <c r="N2187" s="15" t="str">
        <f>Table26[[#This Row],[po_number]]&amp;"-"&amp;Table26[[#This Row],[po_line]]</f>
        <v>-10</v>
      </c>
      <c r="O2187" s="15">
        <v>10</v>
      </c>
      <c r="P2187" s="50"/>
      <c r="Q2187" s="347" t="s">
        <v>3738</v>
      </c>
      <c r="R2187" s="22" t="s">
        <v>221</v>
      </c>
      <c r="S2187" s="90" t="str">
        <f>IF(Table26[[#This Row],[customerSKU]]="","",_xlfn.XLOOKUP(Table26[[#This Row],[customerSKU]],customerSKU!G:G,customerSKU!N:N,"NOT FOUND",0,1))</f>
        <v>NOT FOUND</v>
      </c>
      <c r="T2187" s="20">
        <v>45631</v>
      </c>
      <c r="U2187" s="94">
        <v>12</v>
      </c>
      <c r="V2187" s="22" t="str">
        <f>IF(ISBLANK(Table26[[#This Row],[customerSKU]]),"",_xlfn.XLOOKUP(Table26[[#This Row],[customerSKU]],Table27[customer_SKU],Table27[case_size],"",0,1))</f>
        <v/>
      </c>
      <c r="W2187" s="117" t="str">
        <f t="shared" si="89"/>
        <v/>
      </c>
      <c r="X2187" s="22" t="str">
        <f t="shared" si="88"/>
        <v/>
      </c>
      <c r="Y2187" s="25" t="str">
        <f>IF(Table26[[#This Row],[customerSKU]]="","",_xlfn.XLOOKUP(Table26[[#This Row],[customerSKU]],Table27[customer_SKU],Table27[product_GTIN],"",0,1))</f>
        <v/>
      </c>
      <c r="Z2187" s="25" t="s">
        <v>3714</v>
      </c>
      <c r="AA2187" s="18" t="str" cm="1">
        <f t="array" ref="AA2187">IF(P2187="", "", _xlfn.XLOOKUP(P2187,#REF!,#REF!,NA,0,-1))</f>
        <v/>
      </c>
      <c r="AB2187" s="22" t="s">
        <v>221</v>
      </c>
      <c r="AC2187" s="23" t="str">
        <f>IF(Table26[[#This Row],[customerSKU]]="","",_xlfn.XLOOKUP(Table26[[#This Row],[customerSKU]],customerSKU!G:G,customerSKU!C:C,"",0,1))</f>
        <v/>
      </c>
      <c r="AD2187" s="23" t="str">
        <f>IF($AC2187="","",_xlfn.XLOOKUP($AC2187,'Client Info'!$C$2:$C$2497,'Client Info'!$D$2:$D$2497,"",0,1))</f>
        <v/>
      </c>
      <c r="AE2187" s="23" t="str">
        <f>IF($AC2187="","",_xlfn.XLOOKUP($AC2187,'Client Info'!$C$2:$C$2677,'Client Info'!$E$2:$E$2677,"",))</f>
        <v/>
      </c>
      <c r="AF2187" s="23" t="str">
        <f>IF($AC2187="","",_xlfn.XLOOKUP($AC2187,'Client Info'!$C$2:$C$2677,'Client Info'!$F$2:$F$2677,"",0,1))</f>
        <v/>
      </c>
      <c r="AG2187" s="23" t="str">
        <f>IF(ISBLANK(Table26[[#This Row],[customerSKU]]),"",_xlfn.XLOOKUP(Table26[[#This Row],[customerSKU]],Table27[customer_SKU],Table27[billto],"",0,1))</f>
        <v/>
      </c>
      <c r="AH2187" s="26" t="str">
        <f>_xlfn.XLOOKUP(Table26[[#This Row],[customerSKU]],customerSKU!G:G,customerSKU!K:K,"NA",0,1)</f>
        <v>NA</v>
      </c>
      <c r="AI2187" s="43" t="str">
        <f>_xlfn.XLOOKUP(Table26[[#This Row],[customerSKU]],customerSKU!G:G,customerSKU!O:O,"not found",0,1)</f>
        <v>not found</v>
      </c>
      <c r="AJ2187" s="22" t="e">
        <f>Table26[[#This Row],[unitprice]]*Table26[[#This Row],[quantity_unit]]</f>
        <v>#VALUE!</v>
      </c>
      <c r="AK2187" s="227" t="e" cm="1">
        <f t="array" ref="AK21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7" s="227"/>
    </row>
    <row r="2188" spans="1:38" ht="15.45" customHeight="1">
      <c r="A2188" s="42">
        <v>70</v>
      </c>
      <c r="B2188" s="42" t="s">
        <v>3520</v>
      </c>
      <c r="C2188" s="53" t="s">
        <v>203</v>
      </c>
      <c r="E2188" s="20"/>
      <c r="F21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8" s="93"/>
      <c r="I2188" s="203">
        <v>45863</v>
      </c>
      <c r="J2188" s="90" t="str">
        <f>IF(Table26[[#This Row],[customerSKU]]="","",_xlfn.XLOOKUP(Table26[[#This Row],[customerSKU]],customerSKU!G:G,customerSKU!A:A,"",0,1))</f>
        <v/>
      </c>
      <c r="K2188" s="19">
        <v>45875</v>
      </c>
      <c r="L2188" s="49" t="str">
        <f>IF(Table26[[#This Row],[customerSKU]]="","",_xlfn.XLOOKUP(Table26[[#This Row],[customerSKU]],customerSKU!G:G,customerSKU!B:B,"",0,1))</f>
        <v/>
      </c>
      <c r="M2188" s="22"/>
      <c r="N2188" s="15" t="str">
        <f>Table26[[#This Row],[po_number]]&amp;"-"&amp;Table26[[#This Row],[po_line]]</f>
        <v>-11</v>
      </c>
      <c r="O2188" s="15">
        <v>11</v>
      </c>
      <c r="P2188" s="50"/>
      <c r="Q2188" s="22" t="s">
        <v>622</v>
      </c>
      <c r="R2188" s="22" t="s">
        <v>221</v>
      </c>
      <c r="S2188" s="90" t="str">
        <f>IF(Table26[[#This Row],[customerSKU]]="","",_xlfn.XLOOKUP(Table26[[#This Row],[customerSKU]],customerSKU!G:G,customerSKU!N:N,"NOT FOUND",0,1))</f>
        <v>NOT FOUND</v>
      </c>
      <c r="T2188" s="20">
        <v>45603</v>
      </c>
      <c r="U2188" s="94">
        <v>12</v>
      </c>
      <c r="V2188" s="22" t="str">
        <f>IF(ISBLANK(Table26[[#This Row],[customerSKU]]),"",_xlfn.XLOOKUP(Table26[[#This Row],[customerSKU]],Table27[customer_SKU],Table27[case_size],"",0,1))</f>
        <v/>
      </c>
      <c r="W2188" s="117" t="str">
        <f t="shared" si="89"/>
        <v/>
      </c>
      <c r="X2188" s="22" t="str">
        <f t="shared" si="88"/>
        <v/>
      </c>
      <c r="Y2188" s="25" t="str">
        <f>IF(Table26[[#This Row],[customerSKU]]="","",_xlfn.XLOOKUP(Table26[[#This Row],[customerSKU]],Table27[customer_SKU],Table27[product_GTIN],"",0,1))</f>
        <v/>
      </c>
      <c r="Z2188" s="25" t="s">
        <v>3717</v>
      </c>
      <c r="AA2188" s="18" t="str" cm="1">
        <f t="array" ref="AA2188">IF(P2188="", "", _xlfn.XLOOKUP(P2188,#REF!,#REF!,NA,0,-1))</f>
        <v/>
      </c>
      <c r="AB2188" s="22" t="s">
        <v>221</v>
      </c>
      <c r="AC2188" s="23" t="str">
        <f>IF(Table26[[#This Row],[customerSKU]]="","",_xlfn.XLOOKUP(Table26[[#This Row],[customerSKU]],customerSKU!G:G,customerSKU!C:C,"",0,1))</f>
        <v/>
      </c>
      <c r="AD2188" s="23" t="str">
        <f>IF($AC2188="","",_xlfn.XLOOKUP($AC2188,'Client Info'!$C$2:$C$2497,'Client Info'!$D$2:$D$2497,"",0,1))</f>
        <v/>
      </c>
      <c r="AE2188" s="23" t="str">
        <f>IF($AC2188="","",_xlfn.XLOOKUP($AC2188,'Client Info'!$C$2:$C$2677,'Client Info'!$E$2:$E$2677,"",))</f>
        <v/>
      </c>
      <c r="AF2188" s="23" t="str">
        <f>IF($AC2188="","",_xlfn.XLOOKUP($AC2188,'Client Info'!$C$2:$C$2677,'Client Info'!$F$2:$F$2677,"",0,1))</f>
        <v/>
      </c>
      <c r="AG2188" s="23" t="str">
        <f>IF(ISBLANK(Table26[[#This Row],[customerSKU]]),"",_xlfn.XLOOKUP(Table26[[#This Row],[customerSKU]],Table27[customer_SKU],Table27[billto],"",0,1))</f>
        <v/>
      </c>
      <c r="AH2188" s="26" t="str">
        <f>_xlfn.XLOOKUP(Table26[[#This Row],[customerSKU]],customerSKU!G:G,customerSKU!K:K,"NA",0,1)</f>
        <v>NA</v>
      </c>
      <c r="AI2188" s="43" t="str">
        <f>_xlfn.XLOOKUP(Table26[[#This Row],[customerSKU]],customerSKU!G:G,customerSKU!O:O,"not found",0,1)</f>
        <v>not found</v>
      </c>
      <c r="AJ2188" s="22" t="e">
        <f>Table26[[#This Row],[unitprice]]*Table26[[#This Row],[quantity_unit]]</f>
        <v>#VALUE!</v>
      </c>
      <c r="AK2188" s="227" t="e" cm="1">
        <f t="array" ref="AK21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8" s="227"/>
    </row>
    <row r="2189" spans="1:38" ht="15.45" customHeight="1">
      <c r="A2189" s="42">
        <v>71</v>
      </c>
      <c r="B2189" s="42" t="s">
        <v>3520</v>
      </c>
      <c r="C2189" s="53" t="s">
        <v>203</v>
      </c>
      <c r="E2189" s="20"/>
      <c r="F21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89" s="93"/>
      <c r="I2189" s="203">
        <v>45863</v>
      </c>
      <c r="J2189" s="90" t="str">
        <f>IF(Table26[[#This Row],[customerSKU]]="","",_xlfn.XLOOKUP(Table26[[#This Row],[customerSKU]],customerSKU!G:G,customerSKU!A:A,"",0,1))</f>
        <v/>
      </c>
      <c r="K2189" s="19">
        <v>45875</v>
      </c>
      <c r="L2189" s="49" t="str">
        <f>IF(Table26[[#This Row],[customerSKU]]="","",_xlfn.XLOOKUP(Table26[[#This Row],[customerSKU]],customerSKU!G:G,customerSKU!B:B,"",0,1))</f>
        <v/>
      </c>
      <c r="M2189" s="22"/>
      <c r="N2189" s="15" t="str">
        <f>Table26[[#This Row],[po_number]]&amp;"-"&amp;Table26[[#This Row],[po_line]]</f>
        <v>-12</v>
      </c>
      <c r="O2189" s="15">
        <v>12</v>
      </c>
      <c r="P2189" s="50"/>
      <c r="Q2189" s="22" t="s">
        <v>1867</v>
      </c>
      <c r="R2189" s="22" t="s">
        <v>221</v>
      </c>
      <c r="S2189" s="90" t="str">
        <f>IF(Table26[[#This Row],[customerSKU]]="","",_xlfn.XLOOKUP(Table26[[#This Row],[customerSKU]],customerSKU!G:G,customerSKU!N:N,"NOT FOUND",0,1))</f>
        <v>NOT FOUND</v>
      </c>
      <c r="T2189" s="20">
        <v>45870</v>
      </c>
      <c r="U2189" s="94">
        <v>12</v>
      </c>
      <c r="V2189" s="22" t="str">
        <f>IF(ISBLANK(Table26[[#This Row],[customerSKU]]),"",_xlfn.XLOOKUP(Table26[[#This Row],[customerSKU]],Table27[customer_SKU],Table27[case_size],"",0,1))</f>
        <v/>
      </c>
      <c r="W2189" s="117" t="str">
        <f t="shared" si="89"/>
        <v/>
      </c>
      <c r="X2189" s="22" t="str">
        <f t="shared" si="88"/>
        <v/>
      </c>
      <c r="Y2189" s="25" t="str">
        <f>IF(Table26[[#This Row],[customerSKU]]="","",_xlfn.XLOOKUP(Table26[[#This Row],[customerSKU]],Table27[customer_SKU],Table27[product_GTIN],"",0,1))</f>
        <v/>
      </c>
      <c r="Z2189" s="25" t="s">
        <v>3718</v>
      </c>
      <c r="AA2189" s="18" t="str" cm="1">
        <f t="array" ref="AA2189">IF(P2189="", "", _xlfn.XLOOKUP(P2189,#REF!,#REF!,NA,0,-1))</f>
        <v/>
      </c>
      <c r="AB2189" s="22"/>
      <c r="AC2189" s="23" t="str">
        <f>IF(Table26[[#This Row],[customerSKU]]="","",_xlfn.XLOOKUP(Table26[[#This Row],[customerSKU]],customerSKU!G:G,customerSKU!C:C,"",0,1))</f>
        <v/>
      </c>
      <c r="AD2189" s="23" t="str">
        <f>IF($AC2189="","",_xlfn.XLOOKUP($AC2189,'Client Info'!$C$2:$C$2497,'Client Info'!$D$2:$D$2497,"",0,1))</f>
        <v/>
      </c>
      <c r="AE2189" s="23" t="str">
        <f>IF($AC2189="","",_xlfn.XLOOKUP($AC2189,'Client Info'!$C$2:$C$2677,'Client Info'!$E$2:$E$2677,"",))</f>
        <v/>
      </c>
      <c r="AF2189" s="23" t="str">
        <f>IF($AC2189="","",_xlfn.XLOOKUP($AC2189,'Client Info'!$C$2:$C$2677,'Client Info'!$F$2:$F$2677,"",0,1))</f>
        <v/>
      </c>
      <c r="AG2189" s="23" t="str">
        <f>IF(ISBLANK(Table26[[#This Row],[customerSKU]]),"",_xlfn.XLOOKUP(Table26[[#This Row],[customerSKU]],Table27[customer_SKU],Table27[billto],"",0,1))</f>
        <v/>
      </c>
      <c r="AH2189" s="26" t="str">
        <f>_xlfn.XLOOKUP(Table26[[#This Row],[customerSKU]],customerSKU!G:G,customerSKU!K:K,"NA",0,1)</f>
        <v>NA</v>
      </c>
      <c r="AI2189" s="43" t="str">
        <f>_xlfn.XLOOKUP(Table26[[#This Row],[customerSKU]],customerSKU!G:G,customerSKU!O:O,"not found",0,1)</f>
        <v>not found</v>
      </c>
      <c r="AJ2189" s="22" t="e">
        <f>Table26[[#This Row],[unitprice]]*Table26[[#This Row],[quantity_unit]]</f>
        <v>#VALUE!</v>
      </c>
      <c r="AK2189" s="227" t="e" cm="1">
        <f t="array" ref="AK21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89" s="227"/>
    </row>
    <row r="2190" spans="1:38" ht="15.45" customHeight="1">
      <c r="A2190" s="42">
        <v>72</v>
      </c>
      <c r="B2190" s="42" t="s">
        <v>3520</v>
      </c>
      <c r="C2190" s="53" t="s">
        <v>203</v>
      </c>
      <c r="E2190" s="20"/>
      <c r="F21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0" s="93"/>
      <c r="I2190" s="203">
        <v>45874</v>
      </c>
      <c r="J2190" s="90" t="str">
        <f>IF(Table26[[#This Row],[customerSKU]]="","",_xlfn.XLOOKUP(Table26[[#This Row],[customerSKU]],customerSKU!G:G,customerSKU!A:A,"",0,1))</f>
        <v/>
      </c>
      <c r="K2190" s="19">
        <v>45875</v>
      </c>
      <c r="L2190" s="49" t="str">
        <f>IF(Table26[[#This Row],[customerSKU]]="","",_xlfn.XLOOKUP(Table26[[#This Row],[customerSKU]],customerSKU!G:G,customerSKU!B:B,"",0,1))</f>
        <v/>
      </c>
      <c r="M2190" s="22"/>
      <c r="N2190" s="15" t="str">
        <f>Table26[[#This Row],[po_number]]&amp;"-"&amp;Table26[[#This Row],[po_line]]</f>
        <v>-1</v>
      </c>
      <c r="O2190" s="15">
        <v>1</v>
      </c>
      <c r="P2190" s="50"/>
      <c r="Q2190" s="22" t="s">
        <v>1811</v>
      </c>
      <c r="R2190" s="22" t="s">
        <v>532</v>
      </c>
      <c r="S2190" s="90" t="str">
        <f>IF(Table26[[#This Row],[customerSKU]]="","",_xlfn.XLOOKUP(Table26[[#This Row],[customerSKU]],customerSKU!G:G,customerSKU!N:N,"NOT FOUND",0,1))</f>
        <v>NOT FOUND</v>
      </c>
      <c r="T2190" s="20">
        <v>45805</v>
      </c>
      <c r="U2190" s="94">
        <v>180</v>
      </c>
      <c r="V2190" s="22" t="str">
        <f>IF(ISBLANK(Table26[[#This Row],[customerSKU]]),"",_xlfn.XLOOKUP(Table26[[#This Row],[customerSKU]],Table27[customer_SKU],Table27[case_size],"",0,1))</f>
        <v/>
      </c>
      <c r="W2190" s="117" t="str">
        <f t="shared" si="89"/>
        <v/>
      </c>
      <c r="X2190" s="22" t="str">
        <f t="shared" si="88"/>
        <v/>
      </c>
      <c r="Y2190" s="25" t="str">
        <f>IF(Table26[[#This Row],[customerSKU]]="","",_xlfn.XLOOKUP(Table26[[#This Row],[customerSKU]],Table27[customer_SKU],Table27[product_GTIN],"",0,1))</f>
        <v/>
      </c>
      <c r="Z2190" s="25" t="s">
        <v>3763</v>
      </c>
      <c r="AA2190" s="18" t="str" cm="1">
        <f t="array" ref="AA2190">IF(P2190="", "", _xlfn.XLOOKUP(P2190,#REF!,#REF!,NA,0,-1))</f>
        <v/>
      </c>
      <c r="AB2190" s="22"/>
      <c r="AC2190" s="23" t="str">
        <f>IF(Table26[[#This Row],[customerSKU]]="","",_xlfn.XLOOKUP(Table26[[#This Row],[customerSKU]],customerSKU!G:G,customerSKU!C:C,"",0,1))</f>
        <v/>
      </c>
      <c r="AD2190" s="23" t="str">
        <f>IF($AC2190="","",_xlfn.XLOOKUP($AC2190,'Client Info'!$C$2:$C$2497,'Client Info'!$D$2:$D$2497,"",0,1))</f>
        <v/>
      </c>
      <c r="AE2190" s="23" t="str">
        <f>IF($AC2190="","",_xlfn.XLOOKUP($AC2190,'Client Info'!$C$2:$C$2677,'Client Info'!$E$2:$E$2677,"",))</f>
        <v/>
      </c>
      <c r="AF2190" s="23" t="str">
        <f>IF($AC2190="","",_xlfn.XLOOKUP($AC2190,'Client Info'!$C$2:$C$2677,'Client Info'!$F$2:$F$2677,"",0,1))</f>
        <v/>
      </c>
      <c r="AG2190" s="23" t="str">
        <f>IF(ISBLANK(Table26[[#This Row],[customerSKU]]),"",_xlfn.XLOOKUP(Table26[[#This Row],[customerSKU]],Table27[customer_SKU],Table27[billto],"",0,1))</f>
        <v/>
      </c>
      <c r="AH2190" s="26" t="str">
        <f>_xlfn.XLOOKUP(Table26[[#This Row],[customerSKU]],customerSKU!G:G,customerSKU!K:K,"NA",0,1)</f>
        <v>NA</v>
      </c>
      <c r="AI2190" s="43" t="str">
        <f>_xlfn.XLOOKUP(Table26[[#This Row],[customerSKU]],customerSKU!G:G,customerSKU!O:O,"not found",0,1)</f>
        <v>not found</v>
      </c>
      <c r="AJ2190" s="22" t="e">
        <f>Table26[[#This Row],[unitprice]]*Table26[[#This Row],[quantity_unit]]</f>
        <v>#VALUE!</v>
      </c>
      <c r="AK2190" s="227" t="e" cm="1">
        <f t="array" ref="AK21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0" s="227"/>
    </row>
    <row r="2191" spans="1:38" ht="15.45" customHeight="1">
      <c r="A2191" s="42">
        <v>73</v>
      </c>
      <c r="B2191" s="42" t="s">
        <v>3520</v>
      </c>
      <c r="C2191" s="22" t="s">
        <v>3360</v>
      </c>
      <c r="E2191" s="20"/>
      <c r="F21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1" s="93"/>
      <c r="I2191" s="203">
        <v>45875</v>
      </c>
      <c r="J2191" s="90" t="str">
        <f>IF(Table26[[#This Row],[customerSKU]]="","",_xlfn.XLOOKUP(Table26[[#This Row],[customerSKU]],customerSKU!G:G,customerSKU!A:A,"",0,1))</f>
        <v/>
      </c>
      <c r="K2191" s="203">
        <v>45875</v>
      </c>
      <c r="L2191" s="49" t="str">
        <f>IF(Table26[[#This Row],[customerSKU]]="","",_xlfn.XLOOKUP(Table26[[#This Row],[customerSKU]],customerSKU!G:G,customerSKU!B:B,"",0,1))</f>
        <v/>
      </c>
      <c r="M2191" s="22"/>
      <c r="N2191" s="15" t="str">
        <f>Table26[[#This Row],[po_number]]&amp;"-"&amp;Table26[[#This Row],[po_line]]</f>
        <v>-1</v>
      </c>
      <c r="O2191" s="15">
        <v>1</v>
      </c>
      <c r="P2191" s="50"/>
      <c r="S2191" s="90" t="str">
        <f>IF(Table26[[#This Row],[customerSKU]]="","",_xlfn.XLOOKUP(Table26[[#This Row],[customerSKU]],customerSKU!G:G,customerSKU!N:N,"NOT FOUND",0,1))</f>
        <v>NOT FOUND</v>
      </c>
      <c r="T2191" s="20"/>
      <c r="U2191" s="94">
        <v>1</v>
      </c>
      <c r="V2191" s="22" t="str">
        <f>IF(ISBLANK(Table26[[#This Row],[customerSKU]]),"",_xlfn.XLOOKUP(Table26[[#This Row],[customerSKU]],Table27[customer_SKU],Table27[case_size],"",0,1))</f>
        <v/>
      </c>
      <c r="W2191" s="117" t="str">
        <f t="shared" si="89"/>
        <v/>
      </c>
      <c r="X2191" s="22" t="str">
        <f t="shared" si="88"/>
        <v/>
      </c>
      <c r="Y2191" s="25" t="str">
        <f>IF(Table26[[#This Row],[customerSKU]]="","",_xlfn.XLOOKUP(Table26[[#This Row],[customerSKU]],Table27[customer_SKU],Table27[product_GTIN],"",0,1))</f>
        <v/>
      </c>
      <c r="Z2191" s="25" t="s">
        <v>3546</v>
      </c>
      <c r="AA2191" s="18" t="str" cm="1">
        <f t="array" ref="AA2191">IF(P2191="", "", _xlfn.XLOOKUP(P2191,#REF!,#REF!,NA,0,-1))</f>
        <v/>
      </c>
      <c r="AB2191" s="22"/>
      <c r="AC2191" s="23" t="str">
        <f>IF(Table26[[#This Row],[customerSKU]]="","",_xlfn.XLOOKUP(Table26[[#This Row],[customerSKU]],customerSKU!G:G,customerSKU!C:C,"",0,1))</f>
        <v/>
      </c>
      <c r="AD2191" s="23" t="str">
        <f>IF($AC2191="","",_xlfn.XLOOKUP($AC2191,'Client Info'!$C$2:$C$2497,'Client Info'!$D$2:$D$2497,"",0,1))</f>
        <v/>
      </c>
      <c r="AE2191" s="23" t="str">
        <f>IF($AC2191="","",_xlfn.XLOOKUP($AC2191,'Client Info'!$C$2:$C$2677,'Client Info'!$E$2:$E$2677,"",))</f>
        <v/>
      </c>
      <c r="AF2191" s="23" t="str">
        <f>IF($AC2191="","",_xlfn.XLOOKUP($AC2191,'Client Info'!$C$2:$C$2677,'Client Info'!$F$2:$F$2677,"",0,1))</f>
        <v/>
      </c>
      <c r="AG2191" s="23" t="str">
        <f>IF(ISBLANK(Table26[[#This Row],[customerSKU]]),"",_xlfn.XLOOKUP(Table26[[#This Row],[customerSKU]],Table27[customer_SKU],Table27[billto],"",0,1))</f>
        <v/>
      </c>
      <c r="AH2191" s="26" t="str">
        <f>_xlfn.XLOOKUP(Table26[[#This Row],[customerSKU]],customerSKU!G:G,customerSKU!K:K,"NA",0,1)</f>
        <v>NA</v>
      </c>
      <c r="AI2191" s="43" t="str">
        <f>_xlfn.XLOOKUP(Table26[[#This Row],[customerSKU]],customerSKU!G:G,customerSKU!O:O,"not found",0,1)</f>
        <v>not found</v>
      </c>
      <c r="AJ2191" s="22" t="e">
        <f>Table26[[#This Row],[unitprice]]*Table26[[#This Row],[quantity_unit]]</f>
        <v>#VALUE!</v>
      </c>
      <c r="AK2191" s="227" t="e" cm="1">
        <f t="array" ref="AK21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1" s="227"/>
    </row>
    <row r="2192" spans="1:38" ht="15.45" customHeight="1">
      <c r="A2192" s="42">
        <v>36</v>
      </c>
      <c r="B2192" s="42" t="s">
        <v>3520</v>
      </c>
      <c r="C2192" s="53" t="s">
        <v>203</v>
      </c>
      <c r="D2192" s="20">
        <v>45887</v>
      </c>
      <c r="E2192" s="20"/>
      <c r="F21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2" s="93"/>
      <c r="I2192" s="203">
        <v>45848</v>
      </c>
      <c r="J2192" s="90" t="str">
        <f>IF(Table26[[#This Row],[customerSKU]]="","",_xlfn.XLOOKUP(Table26[[#This Row],[customerSKU]],customerSKU!G:G,customerSKU!A:A,"",0,1))</f>
        <v/>
      </c>
      <c r="K2192" s="19">
        <v>45876</v>
      </c>
      <c r="L2192" s="49" t="str">
        <f>IF(Table26[[#This Row],[customerSKU]]="","",_xlfn.XLOOKUP(Table26[[#This Row],[customerSKU]],customerSKU!G:G,customerSKU!B:B,"",0,1))</f>
        <v/>
      </c>
      <c r="M2192" s="22"/>
      <c r="N2192" s="15" t="str">
        <f>Table26[[#This Row],[po_number]]&amp;"-"&amp;Table26[[#This Row],[po_line]]</f>
        <v>-1</v>
      </c>
      <c r="O2192" s="15">
        <v>1</v>
      </c>
      <c r="P2192" s="50"/>
      <c r="Q2192" s="22" t="s">
        <v>659</v>
      </c>
      <c r="R2192" s="22" t="s">
        <v>532</v>
      </c>
      <c r="S2192" s="90" t="str">
        <f>IF(Table26[[#This Row],[customerSKU]]="","",_xlfn.XLOOKUP(Table26[[#This Row],[customerSKU]],customerSKU!G:G,customerSKU!N:N,"NOT FOUND",0,1))</f>
        <v>NOT FOUND</v>
      </c>
      <c r="T2192" s="20">
        <v>45828</v>
      </c>
      <c r="U2192" s="94">
        <v>12</v>
      </c>
      <c r="V2192" s="22" t="str">
        <f>IF(ISBLANK(Table26[[#This Row],[customerSKU]]),"",_xlfn.XLOOKUP(Table26[[#This Row],[customerSKU]],Table27[customer_SKU],Table27[case_size],"",0,1))</f>
        <v/>
      </c>
      <c r="W2192" s="117" t="str">
        <f t="shared" si="89"/>
        <v/>
      </c>
      <c r="X2192" s="22" t="str">
        <f t="shared" si="88"/>
        <v/>
      </c>
      <c r="Y2192" s="25" t="str">
        <f>IF(Table26[[#This Row],[customerSKU]]="","",_xlfn.XLOOKUP(Table26[[#This Row],[customerSKU]],Table27[customer_SKU],Table27[product_GTIN],"",0,1))</f>
        <v/>
      </c>
      <c r="Z2192" s="25" t="s">
        <v>3544</v>
      </c>
      <c r="AA2192" s="18" t="str" cm="1">
        <f t="array" ref="AA2192">IF(P2192="", "", _xlfn.XLOOKUP(P2192,#REF!,#REF!,NA,0,-1))</f>
        <v/>
      </c>
      <c r="AB2192" s="22"/>
      <c r="AC2192" s="23" t="str">
        <f>IF(Table26[[#This Row],[customerSKU]]="","",_xlfn.XLOOKUP(Table26[[#This Row],[customerSKU]],customerSKU!G:G,customerSKU!C:C,"",0,1))</f>
        <v/>
      </c>
      <c r="AD2192" s="23" t="str">
        <f>IF($AC2192="","",_xlfn.XLOOKUP($AC2192,'Client Info'!$C$2:$C$2497,'Client Info'!$D$2:$D$2497,"",0,1))</f>
        <v/>
      </c>
      <c r="AE2192" s="23" t="str">
        <f>IF($AC2192="","",_xlfn.XLOOKUP($AC2192,'Client Info'!$C$2:$C$2677,'Client Info'!$E$2:$E$2677,"",))</f>
        <v/>
      </c>
      <c r="AF2192" s="23" t="str">
        <f>IF($AC2192="","",_xlfn.XLOOKUP($AC2192,'Client Info'!$C$2:$C$2677,'Client Info'!$F$2:$F$2677,"",0,1))</f>
        <v/>
      </c>
      <c r="AG2192" s="23" t="str">
        <f>IF(ISBLANK(Table26[[#This Row],[customerSKU]]),"",_xlfn.XLOOKUP(Table26[[#This Row],[customerSKU]],Table27[customer_SKU],Table27[billto],"",0,1))</f>
        <v/>
      </c>
      <c r="AH2192" s="26" t="str">
        <f>_xlfn.XLOOKUP(Table26[[#This Row],[customerSKU]],customerSKU!G:G,customerSKU!K:K,"NA",0,1)</f>
        <v>NA</v>
      </c>
      <c r="AI2192" s="43" t="str">
        <f>_xlfn.XLOOKUP(Table26[[#This Row],[customerSKU]],customerSKU!G:G,customerSKU!O:O,"not found",0,1)</f>
        <v>not found</v>
      </c>
      <c r="AJ2192" s="22" t="e">
        <f>Table26[[#This Row],[unitprice]]*Table26[[#This Row],[quantity_unit]]</f>
        <v>#VALUE!</v>
      </c>
      <c r="AK2192" s="227" t="e" cm="1">
        <f t="array" ref="AK21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2" s="227"/>
    </row>
    <row r="2193" spans="1:38" ht="15.45" customHeight="1">
      <c r="A2193" s="42">
        <v>37</v>
      </c>
      <c r="B2193" s="42" t="s">
        <v>3520</v>
      </c>
      <c r="C2193" s="53" t="s">
        <v>203</v>
      </c>
      <c r="D2193" s="20">
        <v>45887</v>
      </c>
      <c r="E2193" s="20"/>
      <c r="F21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3" s="93"/>
      <c r="I2193" s="203">
        <v>45848</v>
      </c>
      <c r="J2193" s="90" t="str">
        <f>IF(Table26[[#This Row],[customerSKU]]="","",_xlfn.XLOOKUP(Table26[[#This Row],[customerSKU]],customerSKU!G:G,customerSKU!A:A,"",0,1))</f>
        <v/>
      </c>
      <c r="K2193" s="19">
        <v>45876</v>
      </c>
      <c r="L2193" s="49" t="str">
        <f>IF(Table26[[#This Row],[customerSKU]]="","",_xlfn.XLOOKUP(Table26[[#This Row],[customerSKU]],customerSKU!G:G,customerSKU!B:B,"",0,1))</f>
        <v/>
      </c>
      <c r="M2193" s="22"/>
      <c r="N2193" s="15" t="str">
        <f>Table26[[#This Row],[po_number]]&amp;"-"&amp;Table26[[#This Row],[po_line]]</f>
        <v>-2</v>
      </c>
      <c r="O2193" s="15">
        <v>2</v>
      </c>
      <c r="P2193" s="50"/>
      <c r="Q2193" s="22" t="s">
        <v>1811</v>
      </c>
      <c r="R2193" s="22" t="s">
        <v>532</v>
      </c>
      <c r="S2193" s="90" t="str">
        <f>IF(Table26[[#This Row],[customerSKU]]="","",_xlfn.XLOOKUP(Table26[[#This Row],[customerSKU]],customerSKU!G:G,customerSKU!N:N,"NOT FOUND",0,1))</f>
        <v>NOT FOUND</v>
      </c>
      <c r="T2193" s="20">
        <v>45805</v>
      </c>
      <c r="U2193" s="94">
        <v>24</v>
      </c>
      <c r="V2193" s="22" t="str">
        <f>IF(ISBLANK(Table26[[#This Row],[customerSKU]]),"",_xlfn.XLOOKUP(Table26[[#This Row],[customerSKU]],Table27[customer_SKU],Table27[case_size],"",0,1))</f>
        <v/>
      </c>
      <c r="W2193" s="117" t="str">
        <f t="shared" si="89"/>
        <v/>
      </c>
      <c r="X2193" s="22" t="str">
        <f t="shared" si="88"/>
        <v/>
      </c>
      <c r="Y2193" s="25" t="str">
        <f>IF(Table26[[#This Row],[customerSKU]]="","",_xlfn.XLOOKUP(Table26[[#This Row],[customerSKU]],Table27[customer_SKU],Table27[product_GTIN],"",0,1))</f>
        <v/>
      </c>
      <c r="Z2193" s="25" t="s">
        <v>3613</v>
      </c>
      <c r="AA2193" s="18" t="str" cm="1">
        <f t="array" ref="AA2193">IF(P2193="", "", _xlfn.XLOOKUP(P2193,#REF!,#REF!,NA,0,-1))</f>
        <v/>
      </c>
      <c r="AB2193" s="22"/>
      <c r="AC2193" s="23" t="str">
        <f>IF(Table26[[#This Row],[customerSKU]]="","",_xlfn.XLOOKUP(Table26[[#This Row],[customerSKU]],customerSKU!G:G,customerSKU!C:C,"",0,1))</f>
        <v/>
      </c>
      <c r="AD2193" s="23" t="str">
        <f>IF($AC2193="","",_xlfn.XLOOKUP($AC2193,'Client Info'!$C$2:$C$2497,'Client Info'!$D$2:$D$2497,"",0,1))</f>
        <v/>
      </c>
      <c r="AE2193" s="23" t="str">
        <f>IF($AC2193="","",_xlfn.XLOOKUP($AC2193,'Client Info'!$C$2:$C$2677,'Client Info'!$E$2:$E$2677,"",))</f>
        <v/>
      </c>
      <c r="AF2193" s="23" t="str">
        <f>IF($AC2193="","",_xlfn.XLOOKUP($AC2193,'Client Info'!$C$2:$C$2677,'Client Info'!$F$2:$F$2677,"",0,1))</f>
        <v/>
      </c>
      <c r="AG2193" s="23" t="str">
        <f>IF(ISBLANK(Table26[[#This Row],[customerSKU]]),"",_xlfn.XLOOKUP(Table26[[#This Row],[customerSKU]],Table27[customer_SKU],Table27[billto],"",0,1))</f>
        <v/>
      </c>
      <c r="AH2193" s="26" t="str">
        <f>_xlfn.XLOOKUP(Table26[[#This Row],[customerSKU]],customerSKU!G:G,customerSKU!K:K,"NA",0,1)</f>
        <v>NA</v>
      </c>
      <c r="AI2193" s="43" t="str">
        <f>_xlfn.XLOOKUP(Table26[[#This Row],[customerSKU]],customerSKU!G:G,customerSKU!O:O,"not found",0,1)</f>
        <v>not found</v>
      </c>
      <c r="AJ2193" s="22" t="e">
        <f>Table26[[#This Row],[unitprice]]*Table26[[#This Row],[quantity_unit]]</f>
        <v>#VALUE!</v>
      </c>
      <c r="AK2193" s="227" t="e" cm="1">
        <f t="array" ref="AK21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3" s="227"/>
    </row>
    <row r="2194" spans="1:38" ht="15.45" customHeight="1">
      <c r="A2194" s="42">
        <v>38</v>
      </c>
      <c r="B2194" s="355" t="s">
        <v>3520</v>
      </c>
      <c r="C2194" s="53" t="s">
        <v>203</v>
      </c>
      <c r="D2194" s="20">
        <v>45887</v>
      </c>
      <c r="E2194" s="20"/>
      <c r="F21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4" s="392"/>
      <c r="H2194" s="356"/>
      <c r="I2194" s="357">
        <v>45848</v>
      </c>
      <c r="J2194" s="358" t="str">
        <f>IF(Table26[[#This Row],[customerSKU]]="","",_xlfn.XLOOKUP(Table26[[#This Row],[customerSKU]],customerSKU!G:G,customerSKU!A:A,"",0,1))</f>
        <v/>
      </c>
      <c r="K2194" s="19">
        <v>45876</v>
      </c>
      <c r="L2194" s="359" t="str">
        <f>IF(Table26[[#This Row],[customerSKU]]="","",_xlfn.XLOOKUP(Table26[[#This Row],[customerSKU]],customerSKU!G:G,customerSKU!B:B,"",0,1))</f>
        <v/>
      </c>
      <c r="M2194" s="356"/>
      <c r="N2194" s="365" t="str">
        <f>Table26[[#This Row],[po_number]]&amp;"-"&amp;Table26[[#This Row],[po_line]]</f>
        <v>-3</v>
      </c>
      <c r="O2194" s="365">
        <v>3</v>
      </c>
      <c r="P2194" s="360"/>
      <c r="Q2194" s="22" t="s">
        <v>1864</v>
      </c>
      <c r="R2194" s="22" t="s">
        <v>532</v>
      </c>
      <c r="S2194" s="90" t="str">
        <f>IF(Table26[[#This Row],[customerSKU]]="","",_xlfn.XLOOKUP(Table26[[#This Row],[customerSKU]],customerSKU!G:G,customerSKU!N:N,"NOT FOUND",0,1))</f>
        <v>NOT FOUND</v>
      </c>
      <c r="T2194" s="20">
        <v>45875</v>
      </c>
      <c r="U2194" s="94">
        <v>84</v>
      </c>
      <c r="V2194" s="22" t="str">
        <f>IF(ISBLANK(Table26[[#This Row],[customerSKU]]),"",_xlfn.XLOOKUP(Table26[[#This Row],[customerSKU]],Table27[customer_SKU],Table27[case_size],"",0,1))</f>
        <v/>
      </c>
      <c r="W2194" s="117" t="str">
        <f t="shared" si="89"/>
        <v/>
      </c>
      <c r="X2194" s="22" t="str">
        <f t="shared" si="88"/>
        <v/>
      </c>
      <c r="Y2194" s="25" t="str">
        <f>IF(Table26[[#This Row],[customerSKU]]="","",_xlfn.XLOOKUP(Table26[[#This Row],[customerSKU]],Table27[customer_SKU],Table27[product_GTIN],"",0,1))</f>
        <v/>
      </c>
      <c r="Z2194" s="25" t="s">
        <v>3542</v>
      </c>
      <c r="AA2194" s="18" t="str" cm="1">
        <f t="array" ref="AA2194">IF(P2194="", "", _xlfn.XLOOKUP(P2194,#REF!,#REF!,NA,0,-1))</f>
        <v/>
      </c>
      <c r="AB2194" s="22"/>
      <c r="AC2194" s="23" t="str">
        <f>IF(Table26[[#This Row],[customerSKU]]="","",_xlfn.XLOOKUP(Table26[[#This Row],[customerSKU]],customerSKU!G:G,customerSKU!C:C,"",0,1))</f>
        <v/>
      </c>
      <c r="AD2194" s="23" t="str">
        <f>IF($AC2194="","",_xlfn.XLOOKUP($AC2194,'Client Info'!$C$2:$C$2497,'Client Info'!$D$2:$D$2497,"",0,1))</f>
        <v/>
      </c>
      <c r="AE2194" s="23" t="str">
        <f>IF($AC2194="","",_xlfn.XLOOKUP($AC2194,'Client Info'!$C$2:$C$2677,'Client Info'!$E$2:$E$2677,"",))</f>
        <v/>
      </c>
      <c r="AF2194" s="23" t="str">
        <f>IF($AC2194="","",_xlfn.XLOOKUP($AC2194,'Client Info'!$C$2:$C$2677,'Client Info'!$F$2:$F$2677,"",0,1))</f>
        <v/>
      </c>
      <c r="AG2194" s="23" t="str">
        <f>IF(ISBLANK(Table26[[#This Row],[customerSKU]]),"",_xlfn.XLOOKUP(Table26[[#This Row],[customerSKU]],Table27[customer_SKU],Table27[billto],"",0,1))</f>
        <v/>
      </c>
      <c r="AH2194" s="26" t="str">
        <f>_xlfn.XLOOKUP(Table26[[#This Row],[customerSKU]],customerSKU!G:G,customerSKU!K:K,"NA",0,1)</f>
        <v>NA</v>
      </c>
      <c r="AI2194" s="43" t="str">
        <f>_xlfn.XLOOKUP(Table26[[#This Row],[customerSKU]],customerSKU!G:G,customerSKU!O:O,"not found",0,1)</f>
        <v>not found</v>
      </c>
      <c r="AJ2194" s="22" t="e">
        <f>Table26[[#This Row],[unitprice]]*Table26[[#This Row],[quantity_unit]]</f>
        <v>#VALUE!</v>
      </c>
      <c r="AK2194" s="227" t="e" cm="1">
        <f t="array" ref="AK21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4" s="227"/>
    </row>
    <row r="2195" spans="1:38" ht="15.45" customHeight="1">
      <c r="A2195" s="42">
        <v>39</v>
      </c>
      <c r="B2195" s="42" t="s">
        <v>3520</v>
      </c>
      <c r="C2195" s="53" t="s">
        <v>203</v>
      </c>
      <c r="D2195" s="20">
        <v>45887</v>
      </c>
      <c r="E2195" s="20"/>
      <c r="F21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5" s="93"/>
      <c r="I2195" s="203">
        <v>45862</v>
      </c>
      <c r="J2195" s="90" t="str">
        <f>IF(Table26[[#This Row],[customerSKU]]="","",_xlfn.XLOOKUP(Table26[[#This Row],[customerSKU]],customerSKU!G:G,customerSKU!A:A,"",0,1))</f>
        <v/>
      </c>
      <c r="K2195" s="19">
        <v>45876</v>
      </c>
      <c r="L2195" s="49" t="str">
        <f>IF(Table26[[#This Row],[customerSKU]]="","",_xlfn.XLOOKUP(Table26[[#This Row],[customerSKU]],customerSKU!G:G,customerSKU!B:B,"",0,1))</f>
        <v/>
      </c>
      <c r="M2195" s="22"/>
      <c r="N2195" s="15" t="str">
        <f>Table26[[#This Row],[po_number]]&amp;"-"&amp;Table26[[#This Row],[po_line]]</f>
        <v>-1</v>
      </c>
      <c r="O2195" s="15">
        <v>1</v>
      </c>
      <c r="P2195" s="50"/>
      <c r="Q2195" s="22" t="s">
        <v>659</v>
      </c>
      <c r="R2195" s="22" t="s">
        <v>532</v>
      </c>
      <c r="S2195" s="90" t="str">
        <f>IF(Table26[[#This Row],[customerSKU]]="","",_xlfn.XLOOKUP(Table26[[#This Row],[customerSKU]],customerSKU!G:G,customerSKU!N:N,"NOT FOUND",0,1))</f>
        <v>NOT FOUND</v>
      </c>
      <c r="T2195" s="20">
        <v>45828</v>
      </c>
      <c r="U2195" s="94">
        <v>12</v>
      </c>
      <c r="V2195" s="22" t="str">
        <f>IF(ISBLANK(Table26[[#This Row],[customerSKU]]),"",_xlfn.XLOOKUP(Table26[[#This Row],[customerSKU]],Table27[customer_SKU],Table27[case_size],"",0,1))</f>
        <v/>
      </c>
      <c r="W2195" s="117" t="str">
        <f t="shared" si="89"/>
        <v/>
      </c>
      <c r="X2195" s="22" t="str">
        <f t="shared" si="88"/>
        <v/>
      </c>
      <c r="Y2195" s="25" t="str">
        <f>IF(Table26[[#This Row],[customerSKU]]="","",_xlfn.XLOOKUP(Table26[[#This Row],[customerSKU]],Table27[customer_SKU],Table27[product_GTIN],"",0,1))</f>
        <v/>
      </c>
      <c r="Z2195" s="25" t="s">
        <v>3544</v>
      </c>
      <c r="AA2195" s="18" t="str" cm="1">
        <f t="array" ref="AA2195">IF(P2195="", "", _xlfn.XLOOKUP(P2195,#REF!,#REF!,NA,0,-1))</f>
        <v/>
      </c>
      <c r="AB2195" s="22"/>
      <c r="AC2195" s="23" t="str">
        <f>IF(Table26[[#This Row],[customerSKU]]="","",_xlfn.XLOOKUP(Table26[[#This Row],[customerSKU]],customerSKU!G:G,customerSKU!C:C,"",0,1))</f>
        <v/>
      </c>
      <c r="AD2195" s="23" t="str">
        <f>IF($AC2195="","",_xlfn.XLOOKUP($AC2195,'Client Info'!$C$2:$C$2497,'Client Info'!$D$2:$D$2497,"",0,1))</f>
        <v/>
      </c>
      <c r="AE2195" s="23" t="str">
        <f>IF($AC2195="","",_xlfn.XLOOKUP($AC2195,'Client Info'!$C$2:$C$2677,'Client Info'!$E$2:$E$2677,"",))</f>
        <v/>
      </c>
      <c r="AF2195" s="23" t="str">
        <f>IF($AC2195="","",_xlfn.XLOOKUP($AC2195,'Client Info'!$C$2:$C$2677,'Client Info'!$F$2:$F$2677,"",0,1))</f>
        <v/>
      </c>
      <c r="AG2195" s="23" t="str">
        <f>IF(ISBLANK(Table26[[#This Row],[customerSKU]]),"",_xlfn.XLOOKUP(Table26[[#This Row],[customerSKU]],Table27[customer_SKU],Table27[billto],"",0,1))</f>
        <v/>
      </c>
      <c r="AH2195" s="26" t="str">
        <f>_xlfn.XLOOKUP(Table26[[#This Row],[customerSKU]],customerSKU!G:G,customerSKU!K:K,"NA",0,1)</f>
        <v>NA</v>
      </c>
      <c r="AI2195" s="43" t="str">
        <f>_xlfn.XLOOKUP(Table26[[#This Row],[customerSKU]],customerSKU!G:G,customerSKU!O:O,"not found",0,1)</f>
        <v>not found</v>
      </c>
      <c r="AJ2195" s="22" t="e">
        <f>Table26[[#This Row],[unitprice]]*Table26[[#This Row],[quantity_unit]]</f>
        <v>#VALUE!</v>
      </c>
      <c r="AK2195" s="227" t="e" cm="1">
        <f t="array" ref="AK21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5" s="227"/>
    </row>
    <row r="2196" spans="1:38" ht="15.45" customHeight="1">
      <c r="A2196" s="42">
        <v>40</v>
      </c>
      <c r="B2196" s="42" t="s">
        <v>3520</v>
      </c>
      <c r="C2196" s="53" t="s">
        <v>203</v>
      </c>
      <c r="D2196" s="20">
        <v>45887</v>
      </c>
      <c r="E2196" s="20"/>
      <c r="F21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6" s="93"/>
      <c r="I2196" s="203">
        <v>45862</v>
      </c>
      <c r="J2196" s="90" t="str">
        <f>IF(Table26[[#This Row],[customerSKU]]="","",_xlfn.XLOOKUP(Table26[[#This Row],[customerSKU]],customerSKU!G:G,customerSKU!A:A,"",0,1))</f>
        <v/>
      </c>
      <c r="K2196" s="19">
        <v>45876</v>
      </c>
      <c r="L2196" s="49" t="str">
        <f>IF(Table26[[#This Row],[customerSKU]]="","",_xlfn.XLOOKUP(Table26[[#This Row],[customerSKU]],customerSKU!G:G,customerSKU!B:B,"",0,1))</f>
        <v/>
      </c>
      <c r="M2196" s="22"/>
      <c r="N2196" s="15" t="str">
        <f>Table26[[#This Row],[po_number]]&amp;"-"&amp;Table26[[#This Row],[po_line]]</f>
        <v>-3</v>
      </c>
      <c r="O2196" s="15">
        <v>3</v>
      </c>
      <c r="P2196" s="50"/>
      <c r="Q2196" s="22" t="s">
        <v>1774</v>
      </c>
      <c r="R2196" s="22" t="s">
        <v>532</v>
      </c>
      <c r="S2196" s="90" t="str">
        <f>IF(Table26[[#This Row],[customerSKU]]="","",_xlfn.XLOOKUP(Table26[[#This Row],[customerSKU]],customerSKU!G:G,customerSKU!N:N,"NOT FOUND",0,1))</f>
        <v>NOT FOUND</v>
      </c>
      <c r="T2196" s="20">
        <v>45790</v>
      </c>
      <c r="U2196" s="94">
        <v>24</v>
      </c>
      <c r="V2196" s="22" t="str">
        <f>IF(ISBLANK(Table26[[#This Row],[customerSKU]]),"",_xlfn.XLOOKUP(Table26[[#This Row],[customerSKU]],Table27[customer_SKU],Table27[case_size],"",0,1))</f>
        <v/>
      </c>
      <c r="W2196" s="117" t="str">
        <f t="shared" si="89"/>
        <v/>
      </c>
      <c r="X2196" s="22" t="str">
        <f t="shared" si="88"/>
        <v/>
      </c>
      <c r="Y2196" s="25" t="str">
        <f>IF(Table26[[#This Row],[customerSKU]]="","",_xlfn.XLOOKUP(Table26[[#This Row],[customerSKU]],Table27[customer_SKU],Table27[product_GTIN],"",0,1))</f>
        <v/>
      </c>
      <c r="Z2196" s="25" t="s">
        <v>3542</v>
      </c>
      <c r="AA2196" s="18" t="str" cm="1">
        <f t="array" ref="AA2196">IF(P2196="", "", _xlfn.XLOOKUP(P2196,#REF!,#REF!,NA,0,-1))</f>
        <v/>
      </c>
      <c r="AB2196" s="22"/>
      <c r="AC2196" s="23" t="str">
        <f>IF(Table26[[#This Row],[customerSKU]]="","",_xlfn.XLOOKUP(Table26[[#This Row],[customerSKU]],customerSKU!G:G,customerSKU!C:C,"",0,1))</f>
        <v/>
      </c>
      <c r="AD2196" s="23" t="str">
        <f>IF($AC2196="","",_xlfn.XLOOKUP($AC2196,'Client Info'!$C$2:$C$2497,'Client Info'!$D$2:$D$2497,"",0,1))</f>
        <v/>
      </c>
      <c r="AE2196" s="23" t="str">
        <f>IF($AC2196="","",_xlfn.XLOOKUP($AC2196,'Client Info'!$C$2:$C$2677,'Client Info'!$E$2:$E$2677,"",))</f>
        <v/>
      </c>
      <c r="AF2196" s="23" t="str">
        <f>IF($AC2196="","",_xlfn.XLOOKUP($AC2196,'Client Info'!$C$2:$C$2677,'Client Info'!$F$2:$F$2677,"",0,1))</f>
        <v/>
      </c>
      <c r="AG2196" s="23" t="str">
        <f>IF(ISBLANK(Table26[[#This Row],[customerSKU]]),"",_xlfn.XLOOKUP(Table26[[#This Row],[customerSKU]],Table27[customer_SKU],Table27[billto],"",0,1))</f>
        <v/>
      </c>
      <c r="AH2196" s="26" t="str">
        <f>_xlfn.XLOOKUP(Table26[[#This Row],[customerSKU]],customerSKU!G:G,customerSKU!K:K,"NA",0,1)</f>
        <v>NA</v>
      </c>
      <c r="AI2196" s="43" t="str">
        <f>_xlfn.XLOOKUP(Table26[[#This Row],[customerSKU]],customerSKU!G:G,customerSKU!O:O,"not found",0,1)</f>
        <v>not found</v>
      </c>
      <c r="AJ2196" s="22" t="e">
        <f>Table26[[#This Row],[unitprice]]*Table26[[#This Row],[quantity_unit]]</f>
        <v>#VALUE!</v>
      </c>
      <c r="AK2196" s="227" t="e" cm="1">
        <f t="array" ref="AK21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6" s="227"/>
    </row>
    <row r="2197" spans="1:38" ht="15.45" customHeight="1">
      <c r="A2197" s="42">
        <v>41</v>
      </c>
      <c r="B2197" s="42" t="s">
        <v>3520</v>
      </c>
      <c r="C2197" s="53" t="s">
        <v>203</v>
      </c>
      <c r="D2197" s="20">
        <v>45887</v>
      </c>
      <c r="E2197" s="20"/>
      <c r="F21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7" s="93"/>
      <c r="I2197" s="203">
        <v>45862</v>
      </c>
      <c r="J2197" s="90" t="str">
        <f>IF(Table26[[#This Row],[customerSKU]]="","",_xlfn.XLOOKUP(Table26[[#This Row],[customerSKU]],customerSKU!G:G,customerSKU!A:A,"",0,1))</f>
        <v/>
      </c>
      <c r="K2197" s="19">
        <v>45876</v>
      </c>
      <c r="L2197" s="49" t="str">
        <f>IF(Table26[[#This Row],[customerSKU]]="","",_xlfn.XLOOKUP(Table26[[#This Row],[customerSKU]],customerSKU!G:G,customerSKU!B:B,"",0,1))</f>
        <v/>
      </c>
      <c r="M2197" s="22"/>
      <c r="N2197" s="15" t="str">
        <f>Table26[[#This Row],[po_number]]&amp;"-"&amp;Table26[[#This Row],[po_line]]</f>
        <v>-4</v>
      </c>
      <c r="O2197" s="15">
        <v>4</v>
      </c>
      <c r="P2197" s="50"/>
      <c r="Q2197" s="22" t="s">
        <v>1864</v>
      </c>
      <c r="R2197" s="22" t="s">
        <v>532</v>
      </c>
      <c r="S2197" s="90" t="str">
        <f>IF(Table26[[#This Row],[customerSKU]]="","",_xlfn.XLOOKUP(Table26[[#This Row],[customerSKU]],customerSKU!G:G,customerSKU!N:N,"NOT FOUND",0,1))</f>
        <v>NOT FOUND</v>
      </c>
      <c r="T2197" s="20">
        <v>45875</v>
      </c>
      <c r="U2197" s="94">
        <v>60</v>
      </c>
      <c r="V2197" s="22" t="str">
        <f>IF(ISBLANK(Table26[[#This Row],[customerSKU]]),"",_xlfn.XLOOKUP(Table26[[#This Row],[customerSKU]],Table27[customer_SKU],Table27[case_size],"",0,1))</f>
        <v/>
      </c>
      <c r="W2197" s="117" t="str">
        <f t="shared" si="89"/>
        <v/>
      </c>
      <c r="X2197" s="22" t="str">
        <f t="shared" si="88"/>
        <v/>
      </c>
      <c r="Y2197" s="25" t="str">
        <f>IF(Table26[[#This Row],[customerSKU]]="","",_xlfn.XLOOKUP(Table26[[#This Row],[customerSKU]],Table27[customer_SKU],Table27[product_GTIN],"",0,1))</f>
        <v/>
      </c>
      <c r="Z2197" s="25" t="s">
        <v>3542</v>
      </c>
      <c r="AA2197" s="18" t="str" cm="1">
        <f t="array" ref="AA2197">IF(P2197="", "", _xlfn.XLOOKUP(P2197,#REF!,#REF!,NA,0,-1))</f>
        <v/>
      </c>
      <c r="AB2197" s="22"/>
      <c r="AC2197" s="23" t="str">
        <f>IF(Table26[[#This Row],[customerSKU]]="","",_xlfn.XLOOKUP(Table26[[#This Row],[customerSKU]],customerSKU!G:G,customerSKU!C:C,"",0,1))</f>
        <v/>
      </c>
      <c r="AD2197" s="23" t="str">
        <f>IF($AC2197="","",_xlfn.XLOOKUP($AC2197,'Client Info'!$C$2:$C$2497,'Client Info'!$D$2:$D$2497,"",0,1))</f>
        <v/>
      </c>
      <c r="AE2197" s="23" t="str">
        <f>IF($AC2197="","",_xlfn.XLOOKUP($AC2197,'Client Info'!$C$2:$C$2677,'Client Info'!$E$2:$E$2677,"",))</f>
        <v/>
      </c>
      <c r="AF2197" s="23" t="str">
        <f>IF($AC2197="","",_xlfn.XLOOKUP($AC2197,'Client Info'!$C$2:$C$2677,'Client Info'!$F$2:$F$2677,"",0,1))</f>
        <v/>
      </c>
      <c r="AG2197" s="23" t="str">
        <f>IF(ISBLANK(Table26[[#This Row],[customerSKU]]),"",_xlfn.XLOOKUP(Table26[[#This Row],[customerSKU]],Table27[customer_SKU],Table27[billto],"",0,1))</f>
        <v/>
      </c>
      <c r="AH2197" s="26" t="str">
        <f>_xlfn.XLOOKUP(Table26[[#This Row],[customerSKU]],customerSKU!G:G,customerSKU!K:K,"NA",0,1)</f>
        <v>NA</v>
      </c>
      <c r="AI2197" s="43" t="str">
        <f>_xlfn.XLOOKUP(Table26[[#This Row],[customerSKU]],customerSKU!G:G,customerSKU!O:O,"not found",0,1)</f>
        <v>not found</v>
      </c>
      <c r="AJ2197" s="22" t="e">
        <f>Table26[[#This Row],[unitprice]]*Table26[[#This Row],[quantity_unit]]</f>
        <v>#VALUE!</v>
      </c>
      <c r="AK2197" s="227" t="e" cm="1">
        <f t="array" ref="AK21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7" s="227"/>
    </row>
    <row r="2198" spans="1:38" ht="15.45" customHeight="1">
      <c r="A2198" s="42">
        <v>42</v>
      </c>
      <c r="B2198" s="42" t="s">
        <v>3520</v>
      </c>
      <c r="C2198" s="53" t="s">
        <v>3427</v>
      </c>
      <c r="E2198" s="20"/>
      <c r="F21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8" s="93"/>
      <c r="I2198" s="203">
        <v>45874</v>
      </c>
      <c r="J2198" s="90" t="str">
        <f>IF(Table26[[#This Row],[customerSKU]]="","",_xlfn.XLOOKUP(Table26[[#This Row],[customerSKU]],customerSKU!G:G,customerSKU!A:A,"",0,1))</f>
        <v/>
      </c>
      <c r="K2198" s="19">
        <v>45876</v>
      </c>
      <c r="L2198" s="49" t="str">
        <f>IF(Table26[[#This Row],[customerSKU]]="","",_xlfn.XLOOKUP(Table26[[#This Row],[customerSKU]],customerSKU!G:G,customerSKU!B:B,"",0,1))</f>
        <v/>
      </c>
      <c r="M2198" s="22"/>
      <c r="N2198" s="15" t="str">
        <f>Table26[[#This Row],[po_number]]&amp;"-"&amp;Table26[[#This Row],[po_line]]</f>
        <v>-1</v>
      </c>
      <c r="O2198" s="15">
        <v>1</v>
      </c>
      <c r="P2198" s="50"/>
      <c r="Q2198" s="22" t="s">
        <v>1825</v>
      </c>
      <c r="R2198" s="22" t="s">
        <v>221</v>
      </c>
      <c r="S2198" s="90" t="str">
        <f>IF(Table26[[#This Row],[customerSKU]]="","",_xlfn.XLOOKUP(Table26[[#This Row],[customerSKU]],customerSKU!G:G,customerSKU!N:N,"NOT FOUND",0,1))</f>
        <v>NOT FOUND</v>
      </c>
      <c r="T2198" s="20">
        <v>45833</v>
      </c>
      <c r="U2198" s="94">
        <v>29</v>
      </c>
      <c r="V2198" s="22" t="str">
        <f>IF(ISBLANK(Table26[[#This Row],[customerSKU]]),"",_xlfn.XLOOKUP(Table26[[#This Row],[customerSKU]],Table27[customer_SKU],Table27[case_size],"",0,1))</f>
        <v/>
      </c>
      <c r="W2198" s="117" t="str">
        <f t="shared" si="89"/>
        <v/>
      </c>
      <c r="X2198" s="22" t="str">
        <f t="shared" si="88"/>
        <v/>
      </c>
      <c r="Y2198" s="25" t="str">
        <f>IF(Table26[[#This Row],[customerSKU]]="","",_xlfn.XLOOKUP(Table26[[#This Row],[customerSKU]],Table27[customer_SKU],Table27[product_GTIN],"",0,1))</f>
        <v/>
      </c>
      <c r="Z2198" s="25" t="s">
        <v>3693</v>
      </c>
      <c r="AA2198" s="18" t="str" cm="1">
        <f t="array" ref="AA2198">IF(P2198="", "", _xlfn.XLOOKUP(P2198,#REF!,#REF!,NA,0,-1))</f>
        <v/>
      </c>
      <c r="AB2198" s="22"/>
      <c r="AC2198" s="23" t="s">
        <v>105</v>
      </c>
      <c r="AD2198" s="23" t="str">
        <f>IF($AC2198="","",_xlfn.XLOOKUP($AC2198,'Client Info'!$C$2:$C$2497,'Client Info'!$D$2:$D$2497,"",0,1))</f>
        <v/>
      </c>
      <c r="AE2198" s="23" t="str">
        <f>IF($AC2198="","",_xlfn.XLOOKUP($AC2198,'Client Info'!$C$2:$C$2677,'Client Info'!$E$2:$E$2677,"",))</f>
        <v/>
      </c>
      <c r="AF2198" s="23" t="str">
        <f>IF($AC2198="","",_xlfn.XLOOKUP($AC2198,'Client Info'!$C$2:$C$2677,'Client Info'!$F$2:$F$2677,"",0,1))</f>
        <v/>
      </c>
      <c r="AG2198" s="23" t="s">
        <v>105</v>
      </c>
      <c r="AH2198" s="26" t="str">
        <f>_xlfn.XLOOKUP(Table26[[#This Row],[customerSKU]],customerSKU!G:G,customerSKU!K:K,"NA",0,1)</f>
        <v>NA</v>
      </c>
      <c r="AI2198" s="43" t="str">
        <f>_xlfn.XLOOKUP(Table26[[#This Row],[customerSKU]],customerSKU!G:G,customerSKU!O:O,"not found",0,1)</f>
        <v>not found</v>
      </c>
      <c r="AJ2198" s="22" t="e">
        <f>Table26[[#This Row],[unitprice]]*Table26[[#This Row],[quantity_unit]]</f>
        <v>#VALUE!</v>
      </c>
      <c r="AK2198" s="227" t="e" cm="1">
        <f t="array" ref="AK21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8" s="227"/>
    </row>
    <row r="2199" spans="1:38" ht="15.45" customHeight="1">
      <c r="A2199" s="42">
        <v>43</v>
      </c>
      <c r="B2199" s="42" t="s">
        <v>3520</v>
      </c>
      <c r="C2199" s="53" t="s">
        <v>3427</v>
      </c>
      <c r="E2199" s="20"/>
      <c r="F21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199" s="93"/>
      <c r="I2199" s="203">
        <v>45874</v>
      </c>
      <c r="J2199" s="90" t="str">
        <f>IF(Table26[[#This Row],[customerSKU]]="","",_xlfn.XLOOKUP(Table26[[#This Row],[customerSKU]],customerSKU!G:G,customerSKU!A:A,"",0,1))</f>
        <v/>
      </c>
      <c r="K2199" s="19">
        <v>45876</v>
      </c>
      <c r="L2199" s="49" t="str">
        <f>IF(Table26[[#This Row],[customerSKU]]="","",_xlfn.XLOOKUP(Table26[[#This Row],[customerSKU]],customerSKU!G:G,customerSKU!B:B,"",0,1))</f>
        <v/>
      </c>
      <c r="M2199" s="22"/>
      <c r="N2199" s="15" t="str">
        <f>Table26[[#This Row],[po_number]]&amp;"-"&amp;Table26[[#This Row],[po_line]]</f>
        <v>-2</v>
      </c>
      <c r="O2199" s="15">
        <v>2</v>
      </c>
      <c r="P2199" s="50"/>
      <c r="Q2199" s="22" t="s">
        <v>1825</v>
      </c>
      <c r="R2199" s="22" t="s">
        <v>221</v>
      </c>
      <c r="S2199" s="90" t="str">
        <f>IF(Table26[[#This Row],[customerSKU]]="","",_xlfn.XLOOKUP(Table26[[#This Row],[customerSKU]],customerSKU!G:G,customerSKU!N:N,"NOT FOUND",0,1))</f>
        <v>NOT FOUND</v>
      </c>
      <c r="T2199" s="20">
        <v>45875</v>
      </c>
      <c r="U2199" s="94">
        <v>19</v>
      </c>
      <c r="V2199" s="22" t="str">
        <f>IF(ISBLANK(Table26[[#This Row],[customerSKU]]),"",_xlfn.XLOOKUP(Table26[[#This Row],[customerSKU]],Table27[customer_SKU],Table27[case_size],"",0,1))</f>
        <v/>
      </c>
      <c r="W2199" s="117" t="str">
        <f t="shared" si="89"/>
        <v/>
      </c>
      <c r="X2199" s="22" t="str">
        <f t="shared" si="88"/>
        <v/>
      </c>
      <c r="Y2199" s="25" t="str">
        <f>IF(Table26[[#This Row],[customerSKU]]="","",_xlfn.XLOOKUP(Table26[[#This Row],[customerSKU]],Table27[customer_SKU],Table27[product_GTIN],"",0,1))</f>
        <v/>
      </c>
      <c r="Z2199" s="25" t="s">
        <v>3693</v>
      </c>
      <c r="AA2199" s="18" t="str" cm="1">
        <f t="array" ref="AA2199">IF(P2199="", "", _xlfn.XLOOKUP(P2199,#REF!,#REF!,NA,0,-1))</f>
        <v/>
      </c>
      <c r="AB2199" s="22"/>
      <c r="AC2199" s="23" t="s">
        <v>105</v>
      </c>
      <c r="AD2199" s="23" t="str">
        <f>IF($AC2199="","",_xlfn.XLOOKUP($AC2199,'Client Info'!$C$2:$C$2497,'Client Info'!$D$2:$D$2497,"",0,1))</f>
        <v/>
      </c>
      <c r="AE2199" s="23" t="str">
        <f>IF($AC2199="","",_xlfn.XLOOKUP($AC2199,'Client Info'!$C$2:$C$2677,'Client Info'!$E$2:$E$2677,"",))</f>
        <v/>
      </c>
      <c r="AF2199" s="23" t="str">
        <f>IF($AC2199="","",_xlfn.XLOOKUP($AC2199,'Client Info'!$C$2:$C$2677,'Client Info'!$F$2:$F$2677,"",0,1))</f>
        <v/>
      </c>
      <c r="AG2199" s="23" t="s">
        <v>105</v>
      </c>
      <c r="AH2199" s="26" t="str">
        <f>_xlfn.XLOOKUP(Table26[[#This Row],[customerSKU]],customerSKU!G:G,customerSKU!K:K,"NA",0,1)</f>
        <v>NA</v>
      </c>
      <c r="AI2199" s="43" t="str">
        <f>_xlfn.XLOOKUP(Table26[[#This Row],[customerSKU]],customerSKU!G:G,customerSKU!O:O,"not found",0,1)</f>
        <v>not found</v>
      </c>
      <c r="AJ2199" s="22" t="e">
        <f>Table26[[#This Row],[unitprice]]*Table26[[#This Row],[quantity_unit]]</f>
        <v>#VALUE!</v>
      </c>
      <c r="AK2199" s="227" t="e" cm="1">
        <f t="array" ref="AK21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199" s="227"/>
    </row>
    <row r="2200" spans="1:38" ht="15.45" customHeight="1">
      <c r="A2200" s="42">
        <v>44</v>
      </c>
      <c r="B2200" s="42" t="s">
        <v>3520</v>
      </c>
      <c r="C2200" s="53" t="s">
        <v>3427</v>
      </c>
      <c r="E2200" s="20"/>
      <c r="F22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0" s="93"/>
      <c r="I2200" s="203">
        <v>45874</v>
      </c>
      <c r="J2200" s="90" t="str">
        <f>IF(Table26[[#This Row],[customerSKU]]="","",_xlfn.XLOOKUP(Table26[[#This Row],[customerSKU]],customerSKU!G:G,customerSKU!A:A,"",0,1))</f>
        <v/>
      </c>
      <c r="K2200" s="19">
        <v>45876</v>
      </c>
      <c r="L2200" s="49" t="str">
        <f>IF(Table26[[#This Row],[customerSKU]]="","",_xlfn.XLOOKUP(Table26[[#This Row],[customerSKU]],customerSKU!G:G,customerSKU!B:B,"",0,1))</f>
        <v/>
      </c>
      <c r="M2200" s="22"/>
      <c r="N2200" s="15" t="str">
        <f>Table26[[#This Row],[po_number]]&amp;"-"&amp;Table26[[#This Row],[po_line]]</f>
        <v>-3</v>
      </c>
      <c r="O2200" s="15">
        <v>3</v>
      </c>
      <c r="P2200" s="50"/>
      <c r="Q2200" s="22" t="s">
        <v>3548</v>
      </c>
      <c r="R2200" s="22" t="s">
        <v>3559</v>
      </c>
      <c r="S2200" s="90" t="str">
        <f>IF(Table26[[#This Row],[customerSKU]]="","",_xlfn.XLOOKUP(Table26[[#This Row],[customerSKU]],customerSKU!G:G,customerSKU!N:N,"NOT FOUND",0,1))</f>
        <v>NOT FOUND</v>
      </c>
      <c r="T2200" s="20">
        <v>45777</v>
      </c>
      <c r="U2200" s="94">
        <v>48</v>
      </c>
      <c r="V2200" s="22" t="str">
        <f>IF(ISBLANK(Table26[[#This Row],[customerSKU]]),"",_xlfn.XLOOKUP(Table26[[#This Row],[customerSKU]],Table27[customer_SKU],Table27[case_size],"",0,1))</f>
        <v/>
      </c>
      <c r="W2200" s="117" t="str">
        <f t="shared" si="89"/>
        <v/>
      </c>
      <c r="X2200" s="22" t="str">
        <f t="shared" si="88"/>
        <v/>
      </c>
      <c r="Y2200" s="25" t="str">
        <f>IF(Table26[[#This Row],[customerSKU]]="","",_xlfn.XLOOKUP(Table26[[#This Row],[customerSKU]],Table27[customer_SKU],Table27[product_GTIN],"",0,1))</f>
        <v/>
      </c>
      <c r="Z2200" s="25" t="s">
        <v>3549</v>
      </c>
      <c r="AA2200" s="18" t="str" cm="1">
        <f t="array" ref="AA2200">IF(P2200="", "", _xlfn.XLOOKUP(P2200,#REF!,#REF!,NA,0,-1))</f>
        <v/>
      </c>
      <c r="AB2200" s="22"/>
      <c r="AC2200" s="23" t="s">
        <v>105</v>
      </c>
      <c r="AD2200" s="23" t="str">
        <f>IF($AC2200="","",_xlfn.XLOOKUP($AC2200,'Client Info'!$C$2:$C$2497,'Client Info'!$D$2:$D$2497,"",0,1))</f>
        <v/>
      </c>
      <c r="AE2200" s="23" t="str">
        <f>IF($AC2200="","",_xlfn.XLOOKUP($AC2200,'Client Info'!$C$2:$C$2677,'Client Info'!$E$2:$E$2677,"",))</f>
        <v/>
      </c>
      <c r="AF2200" s="23" t="str">
        <f>IF($AC2200="","",_xlfn.XLOOKUP($AC2200,'Client Info'!$C$2:$C$2677,'Client Info'!$F$2:$F$2677,"",0,1))</f>
        <v/>
      </c>
      <c r="AG2200" s="23" t="s">
        <v>105</v>
      </c>
      <c r="AH2200" s="26" t="str">
        <f>_xlfn.XLOOKUP(Table26[[#This Row],[customerSKU]],customerSKU!G:G,customerSKU!K:K,"NA",0,1)</f>
        <v>NA</v>
      </c>
      <c r="AI2200" s="43" t="str">
        <f>_xlfn.XLOOKUP(Table26[[#This Row],[customerSKU]],customerSKU!G:G,customerSKU!O:O,"not found",0,1)</f>
        <v>not found</v>
      </c>
      <c r="AJ2200" s="22" t="e">
        <f>Table26[[#This Row],[unitprice]]*Table26[[#This Row],[quantity_unit]]</f>
        <v>#VALUE!</v>
      </c>
      <c r="AK2200" s="227" t="e" cm="1">
        <f t="array" ref="AK22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0" s="227"/>
    </row>
    <row r="2201" spans="1:38" ht="16.2" customHeight="1">
      <c r="A2201" s="42">
        <v>45</v>
      </c>
      <c r="B2201" s="42" t="s">
        <v>3520</v>
      </c>
      <c r="C2201" s="53" t="s">
        <v>203</v>
      </c>
      <c r="E2201" s="20"/>
      <c r="F22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1" s="93"/>
      <c r="I2201" s="203">
        <v>45875</v>
      </c>
      <c r="J2201" s="90" t="str">
        <f>IF(Table26[[#This Row],[customerSKU]]="","",_xlfn.XLOOKUP(Table26[[#This Row],[customerSKU]],customerSKU!G:G,customerSKU!A:A,"",0,1))</f>
        <v/>
      </c>
      <c r="K2201" s="19">
        <v>45876</v>
      </c>
      <c r="L2201" s="49" t="str">
        <f>IF(Table26[[#This Row],[customerSKU]]="","",_xlfn.XLOOKUP(Table26[[#This Row],[customerSKU]],customerSKU!G:G,customerSKU!B:B,"",0,1))</f>
        <v/>
      </c>
      <c r="M2201" s="22"/>
      <c r="N2201" s="15" t="str">
        <f>Table26[[#This Row],[po_number]]&amp;"-"&amp;Table26[[#This Row],[po_line]]</f>
        <v>-1</v>
      </c>
      <c r="O2201" s="15">
        <v>1</v>
      </c>
      <c r="P2201" s="50"/>
      <c r="Q2201" s="22" t="s">
        <v>531</v>
      </c>
      <c r="R2201" s="22" t="s">
        <v>532</v>
      </c>
      <c r="S2201" s="90" t="str">
        <f>IF(Table26[[#This Row],[customerSKU]]="","",_xlfn.XLOOKUP(Table26[[#This Row],[customerSKU]],customerSKU!G:G,customerSKU!N:N,"NOT FOUND",0,1))</f>
        <v>NOT FOUND</v>
      </c>
      <c r="T2201" s="20">
        <v>45478</v>
      </c>
      <c r="U2201" s="94">
        <v>24</v>
      </c>
      <c r="V2201" s="22" t="str">
        <f>IF(ISBLANK(Table26[[#This Row],[customerSKU]]),"",_xlfn.XLOOKUP(Table26[[#This Row],[customerSKU]],Table27[customer_SKU],Table27[case_size],"",0,1))</f>
        <v/>
      </c>
      <c r="W2201" s="117" t="str">
        <f t="shared" si="89"/>
        <v/>
      </c>
      <c r="X2201" s="22" t="str">
        <f t="shared" si="88"/>
        <v/>
      </c>
      <c r="Y2201" s="25" t="str">
        <f>IF(Table26[[#This Row],[customerSKU]]="","",_xlfn.XLOOKUP(Table26[[#This Row],[customerSKU]],Table27[customer_SKU],Table27[product_GTIN],"",0,1))</f>
        <v/>
      </c>
      <c r="Z2201" s="25" t="s">
        <v>3597</v>
      </c>
      <c r="AA2201" s="18" t="str" cm="1">
        <f t="array" ref="AA2201">IF(P2201="", "", _xlfn.XLOOKUP(P2201,#REF!,#REF!,NA,0,-1))</f>
        <v/>
      </c>
      <c r="AB2201" s="22" t="s">
        <v>18</v>
      </c>
      <c r="AC2201" s="23" t="s">
        <v>96</v>
      </c>
      <c r="AD2201" s="23" t="str">
        <f>IF($AC2201="","",_xlfn.XLOOKUP($AC2201,'Client Info'!$C$2:$C$2497,'Client Info'!$D$2:$D$2497,"",0,1))</f>
        <v/>
      </c>
      <c r="AE2201" s="23" t="str">
        <f>IF($AC2201="","",_xlfn.XLOOKUP($AC2201,'Client Info'!$C$2:$C$2677,'Client Info'!$E$2:$E$2677,"",))</f>
        <v/>
      </c>
      <c r="AF2201" s="23" t="str">
        <f>IF($AC2201="","",_xlfn.XLOOKUP($AC2201,'Client Info'!$C$2:$C$2677,'Client Info'!$F$2:$F$2677,"",0,1))</f>
        <v/>
      </c>
      <c r="AG2201" s="23" t="s">
        <v>96</v>
      </c>
      <c r="AH2201" s="26" t="str">
        <f>_xlfn.XLOOKUP(Table26[[#This Row],[customerSKU]],customerSKU!G:G,customerSKU!K:K,"NA",0,1)</f>
        <v>NA</v>
      </c>
      <c r="AI2201" s="43" t="str">
        <f>_xlfn.XLOOKUP(Table26[[#This Row],[customerSKU]],customerSKU!G:G,customerSKU!O:O,"not found",0,1)</f>
        <v>not found</v>
      </c>
      <c r="AJ2201" s="22" t="e">
        <f>Table26[[#This Row],[unitprice]]*Table26[[#This Row],[quantity_unit]]</f>
        <v>#VALUE!</v>
      </c>
      <c r="AK2201" s="227" t="e" cm="1">
        <f t="array" ref="AK22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1" s="227"/>
    </row>
    <row r="2202" spans="1:38" ht="15.45" customHeight="1">
      <c r="A2202" s="42">
        <v>46</v>
      </c>
      <c r="B2202" s="42" t="s">
        <v>3520</v>
      </c>
      <c r="C2202" s="53" t="s">
        <v>203</v>
      </c>
      <c r="E2202" s="20"/>
      <c r="F22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2" s="93"/>
      <c r="I2202" s="203">
        <v>45875</v>
      </c>
      <c r="J2202" s="90" t="str">
        <f>IF(Table26[[#This Row],[customerSKU]]="","",_xlfn.XLOOKUP(Table26[[#This Row],[customerSKU]],customerSKU!G:G,customerSKU!A:A,"",0,1))</f>
        <v/>
      </c>
      <c r="K2202" s="19">
        <v>45876</v>
      </c>
      <c r="L2202" s="49" t="str">
        <f>IF(Table26[[#This Row],[customerSKU]]="","",_xlfn.XLOOKUP(Table26[[#This Row],[customerSKU]],customerSKU!G:G,customerSKU!B:B,"",0,1))</f>
        <v/>
      </c>
      <c r="M2202" s="22"/>
      <c r="N2202" s="15" t="str">
        <f>Table26[[#This Row],[po_number]]&amp;"-"&amp;Table26[[#This Row],[po_line]]</f>
        <v>-2</v>
      </c>
      <c r="O2202" s="15">
        <v>2</v>
      </c>
      <c r="P2202" s="50"/>
      <c r="Q2202" s="22" t="s">
        <v>1842</v>
      </c>
      <c r="R2202" s="22" t="s">
        <v>532</v>
      </c>
      <c r="S2202" s="90" t="str">
        <f>IF(Table26[[#This Row],[customerSKU]]="","",_xlfn.XLOOKUP(Table26[[#This Row],[customerSKU]],customerSKU!G:G,customerSKU!N:N,"NOT FOUND",0,1))</f>
        <v>NOT FOUND</v>
      </c>
      <c r="T2202" s="20">
        <v>45824</v>
      </c>
      <c r="U2202" s="94">
        <v>12</v>
      </c>
      <c r="V2202" s="22" t="str">
        <f>IF(ISBLANK(Table26[[#This Row],[customerSKU]]),"",_xlfn.XLOOKUP(Table26[[#This Row],[customerSKU]],Table27[customer_SKU],Table27[case_size],"",0,1))</f>
        <v/>
      </c>
      <c r="W2202" s="117" t="str">
        <f t="shared" si="89"/>
        <v/>
      </c>
      <c r="X2202" s="22" t="str">
        <f t="shared" si="88"/>
        <v/>
      </c>
      <c r="Y2202" s="25" t="str">
        <f>IF(Table26[[#This Row],[customerSKU]]="","",_xlfn.XLOOKUP(Table26[[#This Row],[customerSKU]],Table27[customer_SKU],Table27[product_GTIN],"",0,1))</f>
        <v/>
      </c>
      <c r="Z2202" s="25" t="s">
        <v>3603</v>
      </c>
      <c r="AA2202" s="18" t="str" cm="1">
        <f t="array" ref="AA2202">IF(P2202="", "", _xlfn.XLOOKUP(P2202,#REF!,#REF!,NA,0,-1))</f>
        <v/>
      </c>
      <c r="AB2202" s="22"/>
      <c r="AC2202" s="23" t="s">
        <v>96</v>
      </c>
      <c r="AD2202" s="23" t="str">
        <f>IF($AC2202="","",_xlfn.XLOOKUP($AC2202,'Client Info'!$C$2:$C$2497,'Client Info'!$D$2:$D$2497,"",0,1))</f>
        <v/>
      </c>
      <c r="AE2202" s="23" t="str">
        <f>IF($AC2202="","",_xlfn.XLOOKUP($AC2202,'Client Info'!$C$2:$C$2677,'Client Info'!$E$2:$E$2677,"",))</f>
        <v/>
      </c>
      <c r="AF2202" s="23" t="str">
        <f>IF($AC2202="","",_xlfn.XLOOKUP($AC2202,'Client Info'!$C$2:$C$2677,'Client Info'!$F$2:$F$2677,"",0,1))</f>
        <v/>
      </c>
      <c r="AG2202" s="23" t="s">
        <v>96</v>
      </c>
      <c r="AH2202" s="26" t="str">
        <f>_xlfn.XLOOKUP(Table26[[#This Row],[customerSKU]],customerSKU!G:G,customerSKU!K:K,"NA",0,1)</f>
        <v>NA</v>
      </c>
      <c r="AI2202" s="43" t="str">
        <f>_xlfn.XLOOKUP(Table26[[#This Row],[customerSKU]],customerSKU!G:G,customerSKU!O:O,"not found",0,1)</f>
        <v>not found</v>
      </c>
      <c r="AJ2202" s="22" t="e">
        <f>Table26[[#This Row],[unitprice]]*Table26[[#This Row],[quantity_unit]]</f>
        <v>#VALUE!</v>
      </c>
      <c r="AK2202" s="227" t="e" cm="1">
        <f t="array" ref="AK22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2" s="227"/>
    </row>
    <row r="2203" spans="1:38" ht="15.45" customHeight="1">
      <c r="A2203" s="42">
        <v>47</v>
      </c>
      <c r="B2203" s="42" t="s">
        <v>3520</v>
      </c>
      <c r="C2203" s="53" t="s">
        <v>203</v>
      </c>
      <c r="E2203" s="20"/>
      <c r="F22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3" s="93"/>
      <c r="I2203" s="203">
        <v>45875</v>
      </c>
      <c r="J2203" s="90" t="str">
        <f>IF(Table26[[#This Row],[customerSKU]]="","",_xlfn.XLOOKUP(Table26[[#This Row],[customerSKU]],customerSKU!G:G,customerSKU!A:A,"",0,1))</f>
        <v/>
      </c>
      <c r="K2203" s="19">
        <v>45876</v>
      </c>
      <c r="L2203" s="49" t="str">
        <f>IF(Table26[[#This Row],[customerSKU]]="","",_xlfn.XLOOKUP(Table26[[#This Row],[customerSKU]],customerSKU!G:G,customerSKU!B:B,"",0,1))</f>
        <v/>
      </c>
      <c r="M2203" s="22"/>
      <c r="N2203" s="15" t="str">
        <f>Table26[[#This Row],[po_number]]&amp;"-"&amp;Table26[[#This Row],[po_line]]</f>
        <v>-3</v>
      </c>
      <c r="O2203" s="15">
        <v>3</v>
      </c>
      <c r="P2203" s="50"/>
      <c r="Q2203" s="22" t="s">
        <v>543</v>
      </c>
      <c r="R2203" s="22" t="s">
        <v>532</v>
      </c>
      <c r="S2203" s="90" t="str">
        <f>IF(Table26[[#This Row],[customerSKU]]="","",_xlfn.XLOOKUP(Table26[[#This Row],[customerSKU]],customerSKU!G:G,customerSKU!N:N,"NOT FOUND",0,1))</f>
        <v>NOT FOUND</v>
      </c>
      <c r="T2203" s="20">
        <v>45793</v>
      </c>
      <c r="U2203" s="94">
        <v>6</v>
      </c>
      <c r="V2203" s="22" t="str">
        <f>IF(ISBLANK(Table26[[#This Row],[customerSKU]]),"",_xlfn.XLOOKUP(Table26[[#This Row],[customerSKU]],Table27[customer_SKU],Table27[case_size],"",0,1))</f>
        <v/>
      </c>
      <c r="W2203" s="117" t="str">
        <f t="shared" si="89"/>
        <v/>
      </c>
      <c r="X2203" s="22" t="str">
        <f t="shared" si="88"/>
        <v/>
      </c>
      <c r="Y2203" s="25" t="str">
        <f>IF(Table26[[#This Row],[customerSKU]]="","",_xlfn.XLOOKUP(Table26[[#This Row],[customerSKU]],Table27[customer_SKU],Table27[product_GTIN],"",0,1))</f>
        <v/>
      </c>
      <c r="Z2203" s="25" t="s">
        <v>3599</v>
      </c>
      <c r="AA2203" s="18" t="str" cm="1">
        <f t="array" ref="AA2203">IF(P2203="", "", _xlfn.XLOOKUP(P2203,#REF!,#REF!,NA,0,-1))</f>
        <v/>
      </c>
      <c r="AB2203" s="22"/>
      <c r="AC2203" s="23" t="s">
        <v>96</v>
      </c>
      <c r="AD2203" s="23" t="str">
        <f>IF($AC2203="","",_xlfn.XLOOKUP($AC2203,'Client Info'!$C$2:$C$2497,'Client Info'!$D$2:$D$2497,"",0,1))</f>
        <v/>
      </c>
      <c r="AE2203" s="23" t="str">
        <f>IF($AC2203="","",_xlfn.XLOOKUP($AC2203,'Client Info'!$C$2:$C$2677,'Client Info'!$E$2:$E$2677,"",))</f>
        <v/>
      </c>
      <c r="AF2203" s="23" t="str">
        <f>IF($AC2203="","",_xlfn.XLOOKUP($AC2203,'Client Info'!$C$2:$C$2677,'Client Info'!$F$2:$F$2677,"",0,1))</f>
        <v/>
      </c>
      <c r="AG2203" s="23" t="s">
        <v>96</v>
      </c>
      <c r="AH2203" s="26" t="str">
        <f>_xlfn.XLOOKUP(Table26[[#This Row],[customerSKU]],customerSKU!G:G,customerSKU!K:K,"NA",0,1)</f>
        <v>NA</v>
      </c>
      <c r="AI2203" s="43" t="str">
        <f>_xlfn.XLOOKUP(Table26[[#This Row],[customerSKU]],customerSKU!G:G,customerSKU!O:O,"not found",0,1)</f>
        <v>not found</v>
      </c>
      <c r="AJ2203" s="22" t="e">
        <f>Table26[[#This Row],[unitprice]]*Table26[[#This Row],[quantity_unit]]</f>
        <v>#VALUE!</v>
      </c>
      <c r="AK2203" s="227" t="e" cm="1">
        <f t="array" ref="AK22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3" s="227"/>
    </row>
    <row r="2204" spans="1:38" ht="16.2" customHeight="1">
      <c r="A2204" s="42">
        <v>48</v>
      </c>
      <c r="B2204" s="42" t="s">
        <v>3520</v>
      </c>
      <c r="C2204" s="53" t="s">
        <v>203</v>
      </c>
      <c r="E2204" s="20"/>
      <c r="F22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4" s="93"/>
      <c r="I2204" s="203">
        <v>45875</v>
      </c>
      <c r="J2204" s="90" t="str">
        <f>IF(Table26[[#This Row],[customerSKU]]="","",_xlfn.XLOOKUP(Table26[[#This Row],[customerSKU]],customerSKU!G:G,customerSKU!A:A,"",0,1))</f>
        <v/>
      </c>
      <c r="K2204" s="19">
        <v>45876</v>
      </c>
      <c r="L2204" s="49" t="str">
        <f>IF(Table26[[#This Row],[customerSKU]]="","",_xlfn.XLOOKUP(Table26[[#This Row],[customerSKU]],customerSKU!G:G,customerSKU!B:B,"",0,1))</f>
        <v/>
      </c>
      <c r="M2204" s="22"/>
      <c r="N2204" s="15" t="str">
        <f>Table26[[#This Row],[po_number]]&amp;"-"&amp;Table26[[#This Row],[po_line]]</f>
        <v>-4</v>
      </c>
      <c r="O2204" s="15">
        <v>4</v>
      </c>
      <c r="P2204" s="50"/>
      <c r="Q2204" s="22" t="s">
        <v>3749</v>
      </c>
      <c r="R2204" s="22" t="s">
        <v>532</v>
      </c>
      <c r="S2204" s="90" t="str">
        <f>IF(Table26[[#This Row],[customerSKU]]="","",_xlfn.XLOOKUP(Table26[[#This Row],[customerSKU]],customerSKU!G:G,customerSKU!N:N,"NOT FOUND",0,1))</f>
        <v>NOT FOUND</v>
      </c>
      <c r="T2204" s="20">
        <v>45870</v>
      </c>
      <c r="U2204" s="94">
        <v>24</v>
      </c>
      <c r="V2204" s="22" t="str">
        <f>IF(ISBLANK(Table26[[#This Row],[customerSKU]]),"",_xlfn.XLOOKUP(Table26[[#This Row],[customerSKU]],Table27[customer_SKU],Table27[case_size],"",0,1))</f>
        <v/>
      </c>
      <c r="W2204" s="117" t="str">
        <f t="shared" si="89"/>
        <v/>
      </c>
      <c r="X2204" s="22" t="str">
        <f t="shared" si="88"/>
        <v/>
      </c>
      <c r="Y2204" s="25" t="str">
        <f>IF(Table26[[#This Row],[customerSKU]]="","",_xlfn.XLOOKUP(Table26[[#This Row],[customerSKU]],Table27[customer_SKU],Table27[product_GTIN],"",0,1))</f>
        <v/>
      </c>
      <c r="Z2204" s="25" t="s">
        <v>3652</v>
      </c>
      <c r="AA2204" s="18" t="str" cm="1">
        <f t="array" ref="AA2204">IF(P2204="", "", _xlfn.XLOOKUP(P2204,#REF!,#REF!,NA,0,-1))</f>
        <v/>
      </c>
      <c r="AB2204" s="22"/>
      <c r="AC2204" s="23" t="s">
        <v>96</v>
      </c>
      <c r="AD2204" s="23" t="str">
        <f>IF($AC2204="","",_xlfn.XLOOKUP($AC2204,'Client Info'!$C$2:$C$2497,'Client Info'!$D$2:$D$2497,"",0,1))</f>
        <v/>
      </c>
      <c r="AE2204" s="23" t="str">
        <f>IF($AC2204="","",_xlfn.XLOOKUP($AC2204,'Client Info'!$C$2:$C$2677,'Client Info'!$E$2:$E$2677,"",))</f>
        <v/>
      </c>
      <c r="AF2204" s="23" t="str">
        <f>IF($AC2204="","",_xlfn.XLOOKUP($AC2204,'Client Info'!$C$2:$C$2677,'Client Info'!$F$2:$F$2677,"",0,1))</f>
        <v/>
      </c>
      <c r="AG2204" s="23" t="s">
        <v>96</v>
      </c>
      <c r="AH2204" s="26" t="str">
        <f>_xlfn.XLOOKUP(Table26[[#This Row],[customerSKU]],customerSKU!G:G,customerSKU!K:K,"NA",0,1)</f>
        <v>NA</v>
      </c>
      <c r="AI2204" s="43" t="str">
        <f>_xlfn.XLOOKUP(Table26[[#This Row],[customerSKU]],customerSKU!G:G,customerSKU!O:O,"not found",0,1)</f>
        <v>not found</v>
      </c>
      <c r="AJ2204" s="22" t="e">
        <f>Table26[[#This Row],[unitprice]]*Table26[[#This Row],[quantity_unit]]</f>
        <v>#VALUE!</v>
      </c>
      <c r="AK2204" s="227" t="e" cm="1">
        <f t="array" ref="AK22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4" s="227"/>
    </row>
    <row r="2205" spans="1:38" ht="16.2" customHeight="1">
      <c r="A2205" s="42">
        <v>49</v>
      </c>
      <c r="B2205" s="42" t="s">
        <v>3520</v>
      </c>
      <c r="C2205" s="53" t="s">
        <v>203</v>
      </c>
      <c r="E2205" s="20"/>
      <c r="F22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5" s="93"/>
      <c r="I2205" s="203">
        <v>45875</v>
      </c>
      <c r="J2205" s="90" t="str">
        <f>IF(Table26[[#This Row],[customerSKU]]="","",_xlfn.XLOOKUP(Table26[[#This Row],[customerSKU]],customerSKU!G:G,customerSKU!A:A,"",0,1))</f>
        <v/>
      </c>
      <c r="K2205" s="19">
        <v>45876</v>
      </c>
      <c r="L2205" s="49" t="str">
        <f>IF(Table26[[#This Row],[customerSKU]]="","",_xlfn.XLOOKUP(Table26[[#This Row],[customerSKU]],customerSKU!G:G,customerSKU!B:B,"",0,1))</f>
        <v/>
      </c>
      <c r="M2205" s="22"/>
      <c r="N2205" s="15" t="str">
        <f>Table26[[#This Row],[po_number]]&amp;"-"&amp;Table26[[#This Row],[po_line]]</f>
        <v>-5</v>
      </c>
      <c r="O2205" s="15">
        <v>5</v>
      </c>
      <c r="P2205" s="50"/>
      <c r="Q2205" s="22" t="s">
        <v>3764</v>
      </c>
      <c r="R2205" s="22" t="s">
        <v>532</v>
      </c>
      <c r="S2205" s="90" t="str">
        <f>IF(Table26[[#This Row],[customerSKU]]="","",_xlfn.XLOOKUP(Table26[[#This Row],[customerSKU]],customerSKU!G:G,customerSKU!N:N,"NOT FOUND",0,1))</f>
        <v>NOT FOUND</v>
      </c>
      <c r="T2205" s="20">
        <v>45870</v>
      </c>
      <c r="U2205" s="94">
        <v>24</v>
      </c>
      <c r="V2205" s="22" t="str">
        <f>IF(ISBLANK(Table26[[#This Row],[customerSKU]]),"",_xlfn.XLOOKUP(Table26[[#This Row],[customerSKU]],Table27[customer_SKU],Table27[case_size],"",0,1))</f>
        <v/>
      </c>
      <c r="W2205" s="117" t="str">
        <f t="shared" si="89"/>
        <v/>
      </c>
      <c r="X2205" s="22" t="str">
        <f t="shared" si="88"/>
        <v/>
      </c>
      <c r="Y2205" s="25" t="str">
        <f>IF(Table26[[#This Row],[customerSKU]]="","",_xlfn.XLOOKUP(Table26[[#This Row],[customerSKU]],Table27[customer_SKU],Table27[product_GTIN],"",0,1))</f>
        <v/>
      </c>
      <c r="Z2205" s="25" t="s">
        <v>3651</v>
      </c>
      <c r="AA2205" s="18" t="str" cm="1">
        <f t="array" ref="AA2205">IF(P2205="", "", _xlfn.XLOOKUP(P2205,#REF!,#REF!,NA,0,-1))</f>
        <v/>
      </c>
      <c r="AB2205" s="22"/>
      <c r="AC2205" s="23" t="s">
        <v>96</v>
      </c>
      <c r="AD2205" s="23" t="str">
        <f>IF($AC2205="","",_xlfn.XLOOKUP($AC2205,'Client Info'!$C$2:$C$2497,'Client Info'!$D$2:$D$2497,"",0,1))</f>
        <v/>
      </c>
      <c r="AE2205" s="23" t="str">
        <f>IF($AC2205="","",_xlfn.XLOOKUP($AC2205,'Client Info'!$C$2:$C$2677,'Client Info'!$E$2:$E$2677,"",))</f>
        <v/>
      </c>
      <c r="AF2205" s="23" t="str">
        <f>IF($AC2205="","",_xlfn.XLOOKUP($AC2205,'Client Info'!$C$2:$C$2677,'Client Info'!$F$2:$F$2677,"",0,1))</f>
        <v/>
      </c>
      <c r="AG2205" s="23" t="s">
        <v>96</v>
      </c>
      <c r="AH2205" s="26" t="str">
        <f>_xlfn.XLOOKUP(Table26[[#This Row],[customerSKU]],customerSKU!G:G,customerSKU!K:K,"NA",0,1)</f>
        <v>NA</v>
      </c>
      <c r="AI2205" s="43" t="str">
        <f>_xlfn.XLOOKUP(Table26[[#This Row],[customerSKU]],customerSKU!G:G,customerSKU!O:O,"not found",0,1)</f>
        <v>not found</v>
      </c>
      <c r="AJ2205" s="22" t="e">
        <f>Table26[[#This Row],[unitprice]]*Table26[[#This Row],[quantity_unit]]</f>
        <v>#VALUE!</v>
      </c>
      <c r="AK2205" s="227" t="e" cm="1">
        <f t="array" ref="AK22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5" s="227"/>
    </row>
    <row r="2206" spans="1:38" ht="16.2" customHeight="1">
      <c r="A2206" s="42">
        <v>50</v>
      </c>
      <c r="B2206" s="42" t="s">
        <v>3520</v>
      </c>
      <c r="C2206" s="53" t="s">
        <v>203</v>
      </c>
      <c r="E2206" s="20"/>
      <c r="F22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6" s="93"/>
      <c r="I2206" s="203">
        <v>45875</v>
      </c>
      <c r="J2206" s="90" t="str">
        <f>IF(Table26[[#This Row],[customerSKU]]="","",_xlfn.XLOOKUP(Table26[[#This Row],[customerSKU]],customerSKU!G:G,customerSKU!A:A,"",0,1))</f>
        <v/>
      </c>
      <c r="K2206" s="19">
        <v>45876</v>
      </c>
      <c r="L2206" s="49" t="str">
        <f>IF(Table26[[#This Row],[customerSKU]]="","",_xlfn.XLOOKUP(Table26[[#This Row],[customerSKU]],customerSKU!G:G,customerSKU!B:B,"",0,1))</f>
        <v/>
      </c>
      <c r="M2206" s="22"/>
      <c r="N2206" s="15" t="str">
        <f>Table26[[#This Row],[po_number]]&amp;"-"&amp;Table26[[#This Row],[po_line]]</f>
        <v>-6</v>
      </c>
      <c r="O2206" s="15">
        <v>6</v>
      </c>
      <c r="P2206" s="50"/>
      <c r="Q2206" s="22" t="s">
        <v>1312</v>
      </c>
      <c r="R2206" s="22" t="s">
        <v>532</v>
      </c>
      <c r="S2206" s="90" t="str">
        <f>IF(Table26[[#This Row],[customerSKU]]="","",_xlfn.XLOOKUP(Table26[[#This Row],[customerSKU]],customerSKU!G:G,customerSKU!N:N,"NOT FOUND",0,1))</f>
        <v>NOT FOUND</v>
      </c>
      <c r="T2206" s="20">
        <v>45854</v>
      </c>
      <c r="U2206" s="94">
        <v>24</v>
      </c>
      <c r="V2206" s="22" t="str">
        <f>IF(ISBLANK(Table26[[#This Row],[customerSKU]]),"",_xlfn.XLOOKUP(Table26[[#This Row],[customerSKU]],Table27[customer_SKU],Table27[case_size],"",0,1))</f>
        <v/>
      </c>
      <c r="W2206" s="117" t="str">
        <f t="shared" si="89"/>
        <v/>
      </c>
      <c r="X2206" s="22" t="str">
        <f t="shared" si="88"/>
        <v/>
      </c>
      <c r="Y2206" s="25" t="str">
        <f>IF(Table26[[#This Row],[customerSKU]]="","",_xlfn.XLOOKUP(Table26[[#This Row],[customerSKU]],Table27[customer_SKU],Table27[product_GTIN],"",0,1))</f>
        <v/>
      </c>
      <c r="Z2206" s="25" t="s">
        <v>3605</v>
      </c>
      <c r="AA2206" s="18" t="str" cm="1">
        <f t="array" ref="AA2206">IF(P2206="", "", _xlfn.XLOOKUP(P2206,#REF!,#REF!,NA,0,-1))</f>
        <v/>
      </c>
      <c r="AB2206" s="22"/>
      <c r="AC2206" s="23" t="s">
        <v>96</v>
      </c>
      <c r="AD2206" s="23" t="str">
        <f>IF($AC2206="","",_xlfn.XLOOKUP($AC2206,'Client Info'!$C$2:$C$2497,'Client Info'!$D$2:$D$2497,"",0,1))</f>
        <v/>
      </c>
      <c r="AE2206" s="23" t="str">
        <f>IF($AC2206="","",_xlfn.XLOOKUP($AC2206,'Client Info'!$C$2:$C$2677,'Client Info'!$E$2:$E$2677,"",))</f>
        <v/>
      </c>
      <c r="AF2206" s="23" t="str">
        <f>IF($AC2206="","",_xlfn.XLOOKUP($AC2206,'Client Info'!$C$2:$C$2677,'Client Info'!$F$2:$F$2677,"",0,1))</f>
        <v/>
      </c>
      <c r="AG2206" s="23" t="s">
        <v>96</v>
      </c>
      <c r="AH2206" s="26" t="str">
        <f>_xlfn.XLOOKUP(Table26[[#This Row],[customerSKU]],customerSKU!G:G,customerSKU!K:K,"NA",0,1)</f>
        <v>NA</v>
      </c>
      <c r="AI2206" s="43" t="str">
        <f>_xlfn.XLOOKUP(Table26[[#This Row],[customerSKU]],customerSKU!G:G,customerSKU!O:O,"not found",0,1)</f>
        <v>not found</v>
      </c>
      <c r="AJ2206" s="22" t="e">
        <f>Table26[[#This Row],[unitprice]]*Table26[[#This Row],[quantity_unit]]</f>
        <v>#VALUE!</v>
      </c>
      <c r="AK2206" s="227" t="e" cm="1">
        <f t="array" ref="AK22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6" s="227"/>
    </row>
    <row r="2207" spans="1:38" ht="16.2" customHeight="1">
      <c r="A2207" s="42">
        <v>51</v>
      </c>
      <c r="B2207" s="42" t="s">
        <v>3520</v>
      </c>
      <c r="C2207" s="53" t="s">
        <v>203</v>
      </c>
      <c r="E2207" s="20"/>
      <c r="F22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7" s="93"/>
      <c r="I2207" s="203">
        <v>45875</v>
      </c>
      <c r="J2207" s="90" t="str">
        <f>IF(Table26[[#This Row],[customerSKU]]="","",_xlfn.XLOOKUP(Table26[[#This Row],[customerSKU]],customerSKU!G:G,customerSKU!A:A,"",0,1))</f>
        <v/>
      </c>
      <c r="K2207" s="19">
        <v>45876</v>
      </c>
      <c r="L2207" s="49" t="str">
        <f>IF(Table26[[#This Row],[customerSKU]]="","",_xlfn.XLOOKUP(Table26[[#This Row],[customerSKU]],customerSKU!G:G,customerSKU!B:B,"",0,1))</f>
        <v/>
      </c>
      <c r="M2207" s="22"/>
      <c r="N2207" s="15" t="str">
        <f>Table26[[#This Row],[po_number]]&amp;"-"&amp;Table26[[#This Row],[po_line]]</f>
        <v>-7</v>
      </c>
      <c r="O2207" s="15">
        <v>7</v>
      </c>
      <c r="P2207" s="50"/>
      <c r="Q2207" s="22" t="s">
        <v>1845</v>
      </c>
      <c r="R2207" s="22" t="s">
        <v>532</v>
      </c>
      <c r="S2207" s="90" t="str">
        <f>IF(Table26[[#This Row],[customerSKU]]="","",_xlfn.XLOOKUP(Table26[[#This Row],[customerSKU]],customerSKU!G:G,customerSKU!N:N,"NOT FOUND",0,1))</f>
        <v>NOT FOUND</v>
      </c>
      <c r="T2207" s="20">
        <v>45859</v>
      </c>
      <c r="U2207" s="94">
        <v>24</v>
      </c>
      <c r="V2207" s="22" t="str">
        <f>IF(ISBLANK(Table26[[#This Row],[customerSKU]]),"",_xlfn.XLOOKUP(Table26[[#This Row],[customerSKU]],Table27[customer_SKU],Table27[case_size],"",0,1))</f>
        <v/>
      </c>
      <c r="W2207" s="117" t="str">
        <f t="shared" si="89"/>
        <v/>
      </c>
      <c r="X2207" s="22" t="str">
        <f t="shared" si="88"/>
        <v/>
      </c>
      <c r="Y2207" s="25" t="str">
        <f>IF(Table26[[#This Row],[customerSKU]]="","",_xlfn.XLOOKUP(Table26[[#This Row],[customerSKU]],Table27[customer_SKU],Table27[product_GTIN],"",0,1))</f>
        <v/>
      </c>
      <c r="Z2207" s="25" t="s">
        <v>3650</v>
      </c>
      <c r="AA2207" s="18" t="str" cm="1">
        <f t="array" ref="AA2207">IF(P2207="", "", _xlfn.XLOOKUP(P2207,#REF!,#REF!,NA,0,-1))</f>
        <v/>
      </c>
      <c r="AB2207" s="22"/>
      <c r="AC2207" s="23" t="s">
        <v>96</v>
      </c>
      <c r="AD2207" s="23" t="str">
        <f>IF($AC2207="","",_xlfn.XLOOKUP($AC2207,'Client Info'!$C$2:$C$2497,'Client Info'!$D$2:$D$2497,"",0,1))</f>
        <v/>
      </c>
      <c r="AE2207" s="23" t="str">
        <f>IF($AC2207="","",_xlfn.XLOOKUP($AC2207,'Client Info'!$C$2:$C$2677,'Client Info'!$E$2:$E$2677,"",))</f>
        <v/>
      </c>
      <c r="AF2207" s="23" t="str">
        <f>IF($AC2207="","",_xlfn.XLOOKUP($AC2207,'Client Info'!$C$2:$C$2677,'Client Info'!$F$2:$F$2677,"",0,1))</f>
        <v/>
      </c>
      <c r="AG2207" s="23" t="s">
        <v>96</v>
      </c>
      <c r="AH2207" s="26" t="str">
        <f>_xlfn.XLOOKUP(Table26[[#This Row],[customerSKU]],customerSKU!G:G,customerSKU!K:K,"NA",0,1)</f>
        <v>NA</v>
      </c>
      <c r="AI2207" s="43" t="str">
        <f>_xlfn.XLOOKUP(Table26[[#This Row],[customerSKU]],customerSKU!G:G,customerSKU!O:O,"not found",0,1)</f>
        <v>not found</v>
      </c>
      <c r="AJ2207" s="22" t="e">
        <f>Table26[[#This Row],[unitprice]]*Table26[[#This Row],[quantity_unit]]</f>
        <v>#VALUE!</v>
      </c>
      <c r="AK2207" s="227" t="e" cm="1">
        <f t="array" ref="AK22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7" s="227"/>
    </row>
    <row r="2208" spans="1:38" ht="16.2" customHeight="1">
      <c r="A2208" s="42">
        <v>52</v>
      </c>
      <c r="B2208" s="42" t="s">
        <v>3520</v>
      </c>
      <c r="C2208" s="53" t="s">
        <v>3488</v>
      </c>
      <c r="E2208" s="20"/>
      <c r="F22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8" s="93"/>
      <c r="I2208" s="203">
        <v>45875</v>
      </c>
      <c r="J2208" s="90" t="str">
        <f>IF(Table26[[#This Row],[customerSKU]]="","",_xlfn.XLOOKUP(Table26[[#This Row],[customerSKU]],customerSKU!G:G,customerSKU!A:A,"",0,1))</f>
        <v/>
      </c>
      <c r="K2208" s="19">
        <v>45876</v>
      </c>
      <c r="L2208" s="49" t="str">
        <f>IF(Table26[[#This Row],[customerSKU]]="","",_xlfn.XLOOKUP(Table26[[#This Row],[customerSKU]],customerSKU!G:G,customerSKU!B:B,"",0,1))</f>
        <v/>
      </c>
      <c r="M2208" s="22"/>
      <c r="N2208" s="15" t="str">
        <f>Table26[[#This Row],[po_number]]&amp;"-"&amp;Table26[[#This Row],[po_line]]</f>
        <v>-1</v>
      </c>
      <c r="O2208" s="15">
        <v>1</v>
      </c>
      <c r="P2208" s="50"/>
      <c r="Q2208" s="22" t="s">
        <v>1306</v>
      </c>
      <c r="R2208" s="22" t="s">
        <v>532</v>
      </c>
      <c r="S2208" s="90" t="str">
        <f>IF(Table26[[#This Row],[customerSKU]]="","",_xlfn.XLOOKUP(Table26[[#This Row],[customerSKU]],customerSKU!G:G,customerSKU!N:N,"NOT FOUND",0,1))</f>
        <v>NOT FOUND</v>
      </c>
      <c r="T2208" s="20">
        <v>45576</v>
      </c>
      <c r="U2208" s="94">
        <v>24</v>
      </c>
      <c r="V2208" s="22" t="str">
        <f>IF(ISBLANK(Table26[[#This Row],[customerSKU]]),"",_xlfn.XLOOKUP(Table26[[#This Row],[customerSKU]],Table27[customer_SKU],Table27[case_size],"",0,1))</f>
        <v/>
      </c>
      <c r="W2208" s="117" t="str">
        <f t="shared" si="89"/>
        <v/>
      </c>
      <c r="X2208" s="22" t="str">
        <f t="shared" si="88"/>
        <v/>
      </c>
      <c r="Y2208" s="25" t="str">
        <f>IF(Table26[[#This Row],[customerSKU]]="","",_xlfn.XLOOKUP(Table26[[#This Row],[customerSKU]],Table27[customer_SKU],Table27[product_GTIN],"",0,1))</f>
        <v/>
      </c>
      <c r="Z2208" s="25" t="s">
        <v>3727</v>
      </c>
      <c r="AA2208" s="18" t="str" cm="1">
        <f t="array" ref="AA2208">IF(P2208="", "", _xlfn.XLOOKUP(P2208,#REF!,#REF!,NA,0,-1))</f>
        <v/>
      </c>
      <c r="AB2208" s="22"/>
      <c r="AC2208" s="23" t="s">
        <v>68</v>
      </c>
      <c r="AD2208" s="23" t="str">
        <f>IF($AC2208="","",_xlfn.XLOOKUP($AC2208,'Client Info'!$C$2:$C$2497,'Client Info'!$D$2:$D$2497,"",0,1))</f>
        <v/>
      </c>
      <c r="AE2208" s="23" t="str">
        <f>IF($AC2208="","",_xlfn.XLOOKUP($AC2208,'Client Info'!$C$2:$C$2677,'Client Info'!$E$2:$E$2677,"",))</f>
        <v/>
      </c>
      <c r="AF2208" s="23" t="str">
        <f>IF($AC2208="","",_xlfn.XLOOKUP($AC2208,'Client Info'!$C$2:$C$2677,'Client Info'!$F$2:$F$2677,"",0,1))</f>
        <v/>
      </c>
      <c r="AG2208" s="23" t="s">
        <v>68</v>
      </c>
      <c r="AH2208" s="26" t="str">
        <f>_xlfn.XLOOKUP(Table26[[#This Row],[customerSKU]],customerSKU!G:G,customerSKU!K:K,"NA",0,1)</f>
        <v>NA</v>
      </c>
      <c r="AI2208" s="43" t="str">
        <f>_xlfn.XLOOKUP(Table26[[#This Row],[customerSKU]],customerSKU!G:G,customerSKU!O:O,"not found",0,1)</f>
        <v>not found</v>
      </c>
      <c r="AJ2208" s="22" t="e">
        <f>Table26[[#This Row],[unitprice]]*Table26[[#This Row],[quantity_unit]]</f>
        <v>#VALUE!</v>
      </c>
      <c r="AK2208" s="227" t="e" cm="1">
        <f t="array" ref="AK22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8" s="227"/>
    </row>
    <row r="2209" spans="1:38" ht="16.2" customHeight="1">
      <c r="A2209" s="42">
        <v>53</v>
      </c>
      <c r="B2209" s="42" t="s">
        <v>3520</v>
      </c>
      <c r="C2209" s="53" t="s">
        <v>3488</v>
      </c>
      <c r="E2209" s="20"/>
      <c r="F22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09" s="93"/>
      <c r="I2209" s="203">
        <v>45875</v>
      </c>
      <c r="J2209" s="90" t="str">
        <f>IF(Table26[[#This Row],[customerSKU]]="","",_xlfn.XLOOKUP(Table26[[#This Row],[customerSKU]],customerSKU!G:G,customerSKU!A:A,"",0,1))</f>
        <v/>
      </c>
      <c r="K2209" s="19">
        <v>45876</v>
      </c>
      <c r="L2209" s="49" t="str">
        <f>IF(Table26[[#This Row],[customerSKU]]="","",_xlfn.XLOOKUP(Table26[[#This Row],[customerSKU]],customerSKU!G:G,customerSKU!B:B,"",0,1))</f>
        <v/>
      </c>
      <c r="M2209" s="22"/>
      <c r="N2209" s="15" t="str">
        <f>Table26[[#This Row],[po_number]]&amp;"-"&amp;Table26[[#This Row],[po_line]]</f>
        <v>-2</v>
      </c>
      <c r="O2209" s="15">
        <v>2</v>
      </c>
      <c r="P2209" s="50"/>
      <c r="Q2209" s="22" t="s">
        <v>1861</v>
      </c>
      <c r="R2209" s="22" t="s">
        <v>532</v>
      </c>
      <c r="S2209" s="90" t="str">
        <f>IF(Table26[[#This Row],[customerSKU]]="","",_xlfn.XLOOKUP(Table26[[#This Row],[customerSKU]],customerSKU!G:G,customerSKU!N:N,"NOT FOUND",0,1))</f>
        <v>NOT FOUND</v>
      </c>
      <c r="T2209" s="20">
        <v>45623</v>
      </c>
      <c r="U2209" s="94">
        <v>12</v>
      </c>
      <c r="V2209" s="22" t="str">
        <f>IF(ISBLANK(Table26[[#This Row],[customerSKU]]),"",_xlfn.XLOOKUP(Table26[[#This Row],[customerSKU]],Table27[customer_SKU],Table27[case_size],"",0,1))</f>
        <v/>
      </c>
      <c r="W2209" s="117" t="str">
        <f t="shared" si="89"/>
        <v/>
      </c>
      <c r="X2209" s="22" t="str">
        <f t="shared" si="88"/>
        <v/>
      </c>
      <c r="Y2209" s="25" t="str">
        <f>IF(Table26[[#This Row],[customerSKU]]="","",_xlfn.XLOOKUP(Table26[[#This Row],[customerSKU]],Table27[customer_SKU],Table27[product_GTIN],"",0,1))</f>
        <v/>
      </c>
      <c r="Z2209" s="25" t="s">
        <v>3536</v>
      </c>
      <c r="AA2209" s="18" t="str" cm="1">
        <f t="array" ref="AA2209">IF(P2209="", "", _xlfn.XLOOKUP(P2209,#REF!,#REF!,NA,0,-1))</f>
        <v/>
      </c>
      <c r="AB2209" s="22"/>
      <c r="AC2209" s="23" t="s">
        <v>68</v>
      </c>
      <c r="AD2209" s="23" t="str">
        <f>IF($AC2209="","",_xlfn.XLOOKUP($AC2209,'Client Info'!$C$2:$C$2497,'Client Info'!$D$2:$D$2497,"",0,1))</f>
        <v/>
      </c>
      <c r="AE2209" s="23" t="str">
        <f>IF($AC2209="","",_xlfn.XLOOKUP($AC2209,'Client Info'!$C$2:$C$2677,'Client Info'!$E$2:$E$2677,"",))</f>
        <v/>
      </c>
      <c r="AF2209" s="23" t="str">
        <f>IF($AC2209="","",_xlfn.XLOOKUP($AC2209,'Client Info'!$C$2:$C$2677,'Client Info'!$F$2:$F$2677,"",0,1))</f>
        <v/>
      </c>
      <c r="AG2209" s="23" t="s">
        <v>68</v>
      </c>
      <c r="AH2209" s="26" t="str">
        <f>_xlfn.XLOOKUP(Table26[[#This Row],[customerSKU]],customerSKU!G:G,customerSKU!K:K,"NA",0,1)</f>
        <v>NA</v>
      </c>
      <c r="AI2209" s="43" t="str">
        <f>_xlfn.XLOOKUP(Table26[[#This Row],[customerSKU]],customerSKU!G:G,customerSKU!O:O,"not found",0,1)</f>
        <v>not found</v>
      </c>
      <c r="AJ2209" s="22" t="e">
        <f>Table26[[#This Row],[unitprice]]*Table26[[#This Row],[quantity_unit]]</f>
        <v>#VALUE!</v>
      </c>
      <c r="AK2209" s="227" t="e" cm="1">
        <f t="array" ref="AK22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09" s="227"/>
    </row>
    <row r="2210" spans="1:38" ht="15.45" customHeight="1">
      <c r="A2210" s="42">
        <v>54</v>
      </c>
      <c r="B2210" s="42" t="s">
        <v>3520</v>
      </c>
      <c r="C2210" s="53" t="s">
        <v>3488</v>
      </c>
      <c r="E2210" s="20"/>
      <c r="F22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0" s="93"/>
      <c r="I2210" s="203">
        <v>45875</v>
      </c>
      <c r="J2210" s="90" t="str">
        <f>IF(Table26[[#This Row],[customerSKU]]="","",_xlfn.XLOOKUP(Table26[[#This Row],[customerSKU]],customerSKU!G:G,customerSKU!A:A,"",0,1))</f>
        <v/>
      </c>
      <c r="K2210" s="19">
        <v>45876</v>
      </c>
      <c r="L2210" s="49" t="str">
        <f>IF(Table26[[#This Row],[customerSKU]]="","",_xlfn.XLOOKUP(Table26[[#This Row],[customerSKU]],customerSKU!G:G,customerSKU!B:B,"",0,1))</f>
        <v/>
      </c>
      <c r="M2210" s="22"/>
      <c r="N2210" s="15" t="str">
        <f>Table26[[#This Row],[po_number]]&amp;"-"&amp;Table26[[#This Row],[po_line]]</f>
        <v>-3</v>
      </c>
      <c r="O2210" s="15">
        <v>3</v>
      </c>
      <c r="P2210" s="50"/>
      <c r="Q2210" s="22" t="s">
        <v>1823</v>
      </c>
      <c r="R2210" s="22" t="s">
        <v>532</v>
      </c>
      <c r="S2210" s="90" t="str">
        <f>IF(Table26[[#This Row],[customerSKU]]="","",_xlfn.XLOOKUP(Table26[[#This Row],[customerSKU]],customerSKU!G:G,customerSKU!N:N,"NOT FOUND",0,1))</f>
        <v>NOT FOUND</v>
      </c>
      <c r="T2210" s="20">
        <v>45831</v>
      </c>
      <c r="U2210" s="94">
        <v>24</v>
      </c>
      <c r="V2210" s="22" t="str">
        <f>IF(ISBLANK(Table26[[#This Row],[customerSKU]]),"",_xlfn.XLOOKUP(Table26[[#This Row],[customerSKU]],Table27[customer_SKU],Table27[case_size],"",0,1))</f>
        <v/>
      </c>
      <c r="W2210" s="117" t="str">
        <f t="shared" si="89"/>
        <v/>
      </c>
      <c r="X2210" s="22" t="str">
        <f t="shared" si="88"/>
        <v/>
      </c>
      <c r="Y2210" s="25" t="str">
        <f>IF(Table26[[#This Row],[customerSKU]]="","",_xlfn.XLOOKUP(Table26[[#This Row],[customerSKU]],Table27[customer_SKU],Table27[product_GTIN],"",0,1))</f>
        <v/>
      </c>
      <c r="Z2210" s="25" t="s">
        <v>3690</v>
      </c>
      <c r="AA2210" s="18" t="str" cm="1">
        <f t="array" ref="AA2210">IF(P2210="", "", _xlfn.XLOOKUP(P2210,#REF!,#REF!,NA,0,-1))</f>
        <v/>
      </c>
      <c r="AB2210" s="22"/>
      <c r="AC2210" s="23" t="s">
        <v>68</v>
      </c>
      <c r="AD2210" s="23" t="str">
        <f>IF($AC2210="","",_xlfn.XLOOKUP($AC2210,'Client Info'!$C$2:$C$2497,'Client Info'!$D$2:$D$2497,"",0,1))</f>
        <v/>
      </c>
      <c r="AE2210" s="23" t="str">
        <f>IF($AC2210="","",_xlfn.XLOOKUP($AC2210,'Client Info'!$C$2:$C$2677,'Client Info'!$E$2:$E$2677,"",))</f>
        <v/>
      </c>
      <c r="AF2210" s="23" t="str">
        <f>IF($AC2210="","",_xlfn.XLOOKUP($AC2210,'Client Info'!$C$2:$C$2677,'Client Info'!$F$2:$F$2677,"",0,1))</f>
        <v/>
      </c>
      <c r="AG2210" s="23" t="s">
        <v>68</v>
      </c>
      <c r="AH2210" s="26" t="str">
        <f>_xlfn.XLOOKUP(Table26[[#This Row],[customerSKU]],customerSKU!G:G,customerSKU!K:K,"NA",0,1)</f>
        <v>NA</v>
      </c>
      <c r="AI2210" s="43" t="str">
        <f>_xlfn.XLOOKUP(Table26[[#This Row],[customerSKU]],customerSKU!G:G,customerSKU!O:O,"not found",0,1)</f>
        <v>not found</v>
      </c>
      <c r="AJ2210" s="22" t="e">
        <f>Table26[[#This Row],[unitprice]]*Table26[[#This Row],[quantity_unit]]</f>
        <v>#VALUE!</v>
      </c>
      <c r="AK2210" s="227" t="e" cm="1">
        <f t="array" ref="AK22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0" s="227"/>
    </row>
    <row r="2211" spans="1:38" ht="15.45" customHeight="1">
      <c r="A2211" s="42">
        <v>55</v>
      </c>
      <c r="B2211" s="42" t="s">
        <v>3520</v>
      </c>
      <c r="C2211" s="53" t="s">
        <v>3488</v>
      </c>
      <c r="E2211" s="20"/>
      <c r="F22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1" s="93"/>
      <c r="I2211" s="203">
        <v>45875</v>
      </c>
      <c r="J2211" s="90" t="str">
        <f>IF(Table26[[#This Row],[customerSKU]]="","",_xlfn.XLOOKUP(Table26[[#This Row],[customerSKU]],customerSKU!G:G,customerSKU!A:A,"",0,1))</f>
        <v/>
      </c>
      <c r="K2211" s="19">
        <v>45876</v>
      </c>
      <c r="L2211" s="49" t="str">
        <f>IF(Table26[[#This Row],[customerSKU]]="","",_xlfn.XLOOKUP(Table26[[#This Row],[customerSKU]],customerSKU!G:G,customerSKU!B:B,"",0,1))</f>
        <v/>
      </c>
      <c r="M2211" s="22"/>
      <c r="N2211" s="15" t="str">
        <f>Table26[[#This Row],[po_number]]&amp;"-"&amp;Table26[[#This Row],[po_line]]</f>
        <v>-4</v>
      </c>
      <c r="O2211" s="15">
        <v>4</v>
      </c>
      <c r="P2211" s="50"/>
      <c r="Q2211" s="22" t="s">
        <v>591</v>
      </c>
      <c r="R2211" s="22" t="s">
        <v>532</v>
      </c>
      <c r="S2211" s="90" t="str">
        <f>IF(Table26[[#This Row],[customerSKU]]="","",_xlfn.XLOOKUP(Table26[[#This Row],[customerSKU]],customerSKU!G:G,customerSKU!N:N,"NOT FOUND",0,1))</f>
        <v>NOT FOUND</v>
      </c>
      <c r="T2211" s="20">
        <v>45859</v>
      </c>
      <c r="U2211" s="94">
        <v>12</v>
      </c>
      <c r="V2211" s="22" t="str">
        <f>IF(ISBLANK(Table26[[#This Row],[customerSKU]]),"",_xlfn.XLOOKUP(Table26[[#This Row],[customerSKU]],Table27[customer_SKU],Table27[case_size],"",0,1))</f>
        <v/>
      </c>
      <c r="W2211" s="117" t="str">
        <f t="shared" si="89"/>
        <v/>
      </c>
      <c r="X2211" s="22" t="str">
        <f t="shared" si="88"/>
        <v/>
      </c>
      <c r="Y2211" s="25" t="str">
        <f>IF(Table26[[#This Row],[customerSKU]]="","",_xlfn.XLOOKUP(Table26[[#This Row],[customerSKU]],Table27[customer_SKU],Table27[product_GTIN],"",0,1))</f>
        <v/>
      </c>
      <c r="Z2211" s="25" t="s">
        <v>3525</v>
      </c>
      <c r="AA2211" s="18" t="str" cm="1">
        <f t="array" ref="AA2211">IF(P2211="", "", _xlfn.XLOOKUP(P2211,#REF!,#REF!,NA,0,-1))</f>
        <v/>
      </c>
      <c r="AB2211" s="22"/>
      <c r="AC2211" s="23" t="s">
        <v>68</v>
      </c>
      <c r="AD2211" s="23" t="str">
        <f>IF($AC2211="","",_xlfn.XLOOKUP($AC2211,'Client Info'!$C$2:$C$2497,'Client Info'!$D$2:$D$2497,"",0,1))</f>
        <v/>
      </c>
      <c r="AE2211" s="23" t="str">
        <f>IF($AC2211="","",_xlfn.XLOOKUP($AC2211,'Client Info'!$C$2:$C$2677,'Client Info'!$E$2:$E$2677,"",))</f>
        <v/>
      </c>
      <c r="AF2211" s="23" t="str">
        <f>IF($AC2211="","",_xlfn.XLOOKUP($AC2211,'Client Info'!$C$2:$C$2677,'Client Info'!$F$2:$F$2677,"",0,1))</f>
        <v/>
      </c>
      <c r="AG2211" s="23" t="s">
        <v>68</v>
      </c>
      <c r="AH2211" s="26" t="str">
        <f>_xlfn.XLOOKUP(Table26[[#This Row],[customerSKU]],customerSKU!G:G,customerSKU!K:K,"NA",0,1)</f>
        <v>NA</v>
      </c>
      <c r="AI2211" s="43" t="str">
        <f>_xlfn.XLOOKUP(Table26[[#This Row],[customerSKU]],customerSKU!G:G,customerSKU!O:O,"not found",0,1)</f>
        <v>not found</v>
      </c>
      <c r="AJ2211" s="22" t="e">
        <f>Table26[[#This Row],[unitprice]]*Table26[[#This Row],[quantity_unit]]</f>
        <v>#VALUE!</v>
      </c>
      <c r="AK2211" s="227" t="e" cm="1">
        <f t="array" ref="AK22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1" s="227"/>
    </row>
    <row r="2212" spans="1:38" ht="15.45" customHeight="1">
      <c r="A2212" s="42">
        <v>56</v>
      </c>
      <c r="B2212" s="42" t="s">
        <v>3520</v>
      </c>
      <c r="C2212" s="53" t="s">
        <v>3488</v>
      </c>
      <c r="E2212" s="20"/>
      <c r="F22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2" s="93"/>
      <c r="I2212" s="203">
        <v>45875</v>
      </c>
      <c r="J2212" s="90" t="str">
        <f>IF(Table26[[#This Row],[customerSKU]]="","",_xlfn.XLOOKUP(Table26[[#This Row],[customerSKU]],customerSKU!G:G,customerSKU!A:A,"",0,1))</f>
        <v/>
      </c>
      <c r="K2212" s="19">
        <v>45876</v>
      </c>
      <c r="L2212" s="49" t="str">
        <f>IF(Table26[[#This Row],[customerSKU]]="","",_xlfn.XLOOKUP(Table26[[#This Row],[customerSKU]],customerSKU!G:G,customerSKU!B:B,"",0,1))</f>
        <v/>
      </c>
      <c r="M2212" s="22"/>
      <c r="N2212" s="15" t="str">
        <f>Table26[[#This Row],[po_number]]&amp;"-"&amp;Table26[[#This Row],[po_line]]</f>
        <v>-5</v>
      </c>
      <c r="O2212" s="15">
        <v>5</v>
      </c>
      <c r="P2212" s="50"/>
      <c r="Q2212" s="22" t="s">
        <v>582</v>
      </c>
      <c r="R2212" s="22" t="s">
        <v>221</v>
      </c>
      <c r="S2212" s="90" t="str">
        <f>IF(Table26[[#This Row],[customerSKU]]="","",_xlfn.XLOOKUP(Table26[[#This Row],[customerSKU]],customerSKU!G:G,customerSKU!N:N,"NOT FOUND",0,1))</f>
        <v>NOT FOUND</v>
      </c>
      <c r="T2212" s="20">
        <v>45778</v>
      </c>
      <c r="U2212" s="94">
        <v>24</v>
      </c>
      <c r="V2212" s="22" t="str">
        <f>IF(ISBLANK(Table26[[#This Row],[customerSKU]]),"",_xlfn.XLOOKUP(Table26[[#This Row],[customerSKU]],Table27[customer_SKU],Table27[case_size],"",0,1))</f>
        <v/>
      </c>
      <c r="W2212" s="117" t="str">
        <f t="shared" ref="W2212:W2223" si="90">IFERROR(U2212/V2212, "")</f>
        <v/>
      </c>
      <c r="X2212" s="22" t="str">
        <f t="shared" ref="X2212:X2255" si="91">IFERROR($AA2212*$U2212, "")</f>
        <v/>
      </c>
      <c r="Y2212" s="25" t="str">
        <f>IF(Table26[[#This Row],[customerSKU]]="","",_xlfn.XLOOKUP(Table26[[#This Row],[customerSKU]],Table27[customer_SKU],Table27[product_GTIN],"",0,1))</f>
        <v/>
      </c>
      <c r="Z2212" s="25" t="s">
        <v>3519</v>
      </c>
      <c r="AA2212" s="18" t="str" cm="1">
        <f t="array" ref="AA2212">IF(P2212="", "", _xlfn.XLOOKUP(P2212,#REF!,#REF!,NA,0,-1))</f>
        <v/>
      </c>
      <c r="AB2212" s="22"/>
      <c r="AC2212" s="23" t="s">
        <v>68</v>
      </c>
      <c r="AD2212" s="23" t="str">
        <f>IF($AC2212="","",_xlfn.XLOOKUP($AC2212,'Client Info'!$C$2:$C$2497,'Client Info'!$D$2:$D$2497,"",0,1))</f>
        <v/>
      </c>
      <c r="AE2212" s="23" t="str">
        <f>IF($AC2212="","",_xlfn.XLOOKUP($AC2212,'Client Info'!$C$2:$C$2677,'Client Info'!$E$2:$E$2677,"",))</f>
        <v/>
      </c>
      <c r="AF2212" s="23" t="str">
        <f>IF($AC2212="","",_xlfn.XLOOKUP($AC2212,'Client Info'!$C$2:$C$2677,'Client Info'!$F$2:$F$2677,"",0,1))</f>
        <v/>
      </c>
      <c r="AG2212" s="23" t="s">
        <v>68</v>
      </c>
      <c r="AH2212" s="26" t="str">
        <f>_xlfn.XLOOKUP(Table26[[#This Row],[customerSKU]],customerSKU!G:G,customerSKU!K:K,"NA",0,1)</f>
        <v>NA</v>
      </c>
      <c r="AI2212" s="43" t="str">
        <f>_xlfn.XLOOKUP(Table26[[#This Row],[customerSKU]],customerSKU!G:G,customerSKU!O:O,"not found",0,1)</f>
        <v>not found</v>
      </c>
      <c r="AJ2212" s="22" t="e">
        <f>Table26[[#This Row],[unitprice]]*Table26[[#This Row],[quantity_unit]]</f>
        <v>#VALUE!</v>
      </c>
      <c r="AK2212" s="227" t="e" cm="1">
        <f t="array" ref="AK22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2" s="227"/>
    </row>
    <row r="2213" spans="1:38" ht="15.45" customHeight="1">
      <c r="A2213" s="42">
        <v>57</v>
      </c>
      <c r="B2213" s="42" t="s">
        <v>3520</v>
      </c>
      <c r="C2213" s="53" t="s">
        <v>3488</v>
      </c>
      <c r="E2213" s="20"/>
      <c r="F22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3" s="93"/>
      <c r="I2213" s="203">
        <v>45875</v>
      </c>
      <c r="J2213" s="90" t="str">
        <f>IF(Table26[[#This Row],[customerSKU]]="","",_xlfn.XLOOKUP(Table26[[#This Row],[customerSKU]],customerSKU!G:G,customerSKU!A:A,"",0,1))</f>
        <v/>
      </c>
      <c r="K2213" s="19">
        <v>45876</v>
      </c>
      <c r="L2213" s="49" t="str">
        <f>IF(Table26[[#This Row],[customerSKU]]="","",_xlfn.XLOOKUP(Table26[[#This Row],[customerSKU]],customerSKU!G:G,customerSKU!B:B,"",0,1))</f>
        <v/>
      </c>
      <c r="M2213" s="22"/>
      <c r="N2213" s="15" t="str">
        <f>Table26[[#This Row],[po_number]]&amp;"-"&amp;Table26[[#This Row],[po_line]]</f>
        <v>-6</v>
      </c>
      <c r="O2213" s="15">
        <v>6</v>
      </c>
      <c r="P2213" s="50"/>
      <c r="Q2213" s="22" t="s">
        <v>1774</v>
      </c>
      <c r="R2213" s="22" t="s">
        <v>221</v>
      </c>
      <c r="S2213" s="90" t="str">
        <f>IF(Table26[[#This Row],[customerSKU]]="","",_xlfn.XLOOKUP(Table26[[#This Row],[customerSKU]],customerSKU!G:G,customerSKU!N:N,"NOT FOUND",0,1))</f>
        <v>NOT FOUND</v>
      </c>
      <c r="T2213" s="20">
        <v>45790</v>
      </c>
      <c r="U2213" s="94">
        <v>24</v>
      </c>
      <c r="V2213" s="22" t="str">
        <f>IF(ISBLANK(Table26[[#This Row],[customerSKU]]),"",_xlfn.XLOOKUP(Table26[[#This Row],[customerSKU]],Table27[customer_SKU],Table27[case_size],"",0,1))</f>
        <v/>
      </c>
      <c r="W2213" s="117" t="str">
        <f t="shared" si="90"/>
        <v/>
      </c>
      <c r="X2213" s="22" t="str">
        <f t="shared" si="91"/>
        <v/>
      </c>
      <c r="Y2213" s="25" t="str">
        <f>IF(Table26[[#This Row],[customerSKU]]="","",_xlfn.XLOOKUP(Table26[[#This Row],[customerSKU]],Table27[customer_SKU],Table27[product_GTIN],"",0,1))</f>
        <v/>
      </c>
      <c r="Z2213" s="25" t="s">
        <v>3389</v>
      </c>
      <c r="AA2213" s="18" t="str" cm="1">
        <f t="array" ref="AA2213">IF(P2213="", "", _xlfn.XLOOKUP(P2213,#REF!,#REF!,NA,0,-1))</f>
        <v/>
      </c>
      <c r="AB2213" s="22"/>
      <c r="AC2213" s="23" t="s">
        <v>68</v>
      </c>
      <c r="AD2213" s="23" t="str">
        <f>IF($AC2213="","",_xlfn.XLOOKUP($AC2213,'Client Info'!$C$2:$C$2497,'Client Info'!$D$2:$D$2497,"",0,1))</f>
        <v/>
      </c>
      <c r="AE2213" s="23" t="str">
        <f>IF($AC2213="","",_xlfn.XLOOKUP($AC2213,'Client Info'!$C$2:$C$2677,'Client Info'!$E$2:$E$2677,"",))</f>
        <v/>
      </c>
      <c r="AF2213" s="23" t="str">
        <f>IF($AC2213="","",_xlfn.XLOOKUP($AC2213,'Client Info'!$C$2:$C$2677,'Client Info'!$F$2:$F$2677,"",0,1))</f>
        <v/>
      </c>
      <c r="AG2213" s="23" t="s">
        <v>68</v>
      </c>
      <c r="AH2213" s="26" t="str">
        <f>_xlfn.XLOOKUP(Table26[[#This Row],[customerSKU]],customerSKU!G:G,customerSKU!K:K,"NA",0,1)</f>
        <v>NA</v>
      </c>
      <c r="AI2213" s="43" t="str">
        <f>_xlfn.XLOOKUP(Table26[[#This Row],[customerSKU]],customerSKU!G:G,customerSKU!O:O,"not found",0,1)</f>
        <v>not found</v>
      </c>
      <c r="AJ2213" s="22" t="e">
        <f>Table26[[#This Row],[unitprice]]*Table26[[#This Row],[quantity_unit]]</f>
        <v>#VALUE!</v>
      </c>
      <c r="AK2213" s="227" t="e" cm="1">
        <f t="array" ref="AK22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3" s="227"/>
    </row>
    <row r="2214" spans="1:38" ht="15.45" customHeight="1">
      <c r="A2214" s="42">
        <v>58</v>
      </c>
      <c r="B2214" s="42" t="s">
        <v>3520</v>
      </c>
      <c r="C2214" s="53" t="s">
        <v>3488</v>
      </c>
      <c r="E2214" s="20"/>
      <c r="F22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4" s="93"/>
      <c r="I2214" s="203">
        <v>45875</v>
      </c>
      <c r="J2214" s="90" t="str">
        <f>IF(Table26[[#This Row],[customerSKU]]="","",_xlfn.XLOOKUP(Table26[[#This Row],[customerSKU]],customerSKU!G:G,customerSKU!A:A,"",0,1))</f>
        <v/>
      </c>
      <c r="K2214" s="19">
        <v>45876</v>
      </c>
      <c r="L2214" s="49" t="str">
        <f>IF(Table26[[#This Row],[customerSKU]]="","",_xlfn.XLOOKUP(Table26[[#This Row],[customerSKU]],customerSKU!G:G,customerSKU!B:B,"",0,1))</f>
        <v/>
      </c>
      <c r="M2214" s="22"/>
      <c r="N2214" s="15" t="str">
        <f>Table26[[#This Row],[po_number]]&amp;"-"&amp;Table26[[#This Row],[po_line]]</f>
        <v>-7</v>
      </c>
      <c r="O2214" s="15">
        <v>7</v>
      </c>
      <c r="P2214" s="50"/>
      <c r="Q2214" s="22" t="s">
        <v>1825</v>
      </c>
      <c r="R2214" s="22" t="s">
        <v>532</v>
      </c>
      <c r="S2214" s="90" t="str">
        <f>IF(Table26[[#This Row],[customerSKU]]="","",_xlfn.XLOOKUP(Table26[[#This Row],[customerSKU]],customerSKU!G:G,customerSKU!N:N,"NOT FOUND",0,1))</f>
        <v>NOT FOUND</v>
      </c>
      <c r="T2214" s="20">
        <v>45875</v>
      </c>
      <c r="U2214" s="94">
        <v>24</v>
      </c>
      <c r="V2214" s="22" t="str">
        <f>IF(ISBLANK(Table26[[#This Row],[customerSKU]]),"",_xlfn.XLOOKUP(Table26[[#This Row],[customerSKU]],Table27[customer_SKU],Table27[case_size],"",0,1))</f>
        <v/>
      </c>
      <c r="W2214" s="117" t="str">
        <f t="shared" si="90"/>
        <v/>
      </c>
      <c r="X2214" s="22" t="str">
        <f t="shared" si="91"/>
        <v/>
      </c>
      <c r="Y2214" s="25" t="str">
        <f>IF(Table26[[#This Row],[customerSKU]]="","",_xlfn.XLOOKUP(Table26[[#This Row],[customerSKU]],Table27[customer_SKU],Table27[product_GTIN],"",0,1))</f>
        <v/>
      </c>
      <c r="Z2214" s="25" t="s">
        <v>3693</v>
      </c>
      <c r="AA2214" s="18" t="str" cm="1">
        <f t="array" ref="AA2214">IF(P2214="", "", _xlfn.XLOOKUP(P2214,#REF!,#REF!,NA,0,-1))</f>
        <v/>
      </c>
      <c r="AB2214" s="22"/>
      <c r="AC2214" s="23" t="s">
        <v>68</v>
      </c>
      <c r="AD2214" s="23" t="str">
        <f>IF($AC2214="","",_xlfn.XLOOKUP($AC2214,'Client Info'!$C$2:$C$2497,'Client Info'!$D$2:$D$2497,"",0,1))</f>
        <v/>
      </c>
      <c r="AE2214" s="23" t="str">
        <f>IF($AC2214="","",_xlfn.XLOOKUP($AC2214,'Client Info'!$C$2:$C$2677,'Client Info'!$E$2:$E$2677,"",))</f>
        <v/>
      </c>
      <c r="AF2214" s="23" t="str">
        <f>IF($AC2214="","",_xlfn.XLOOKUP($AC2214,'Client Info'!$C$2:$C$2677,'Client Info'!$F$2:$F$2677,"",0,1))</f>
        <v/>
      </c>
      <c r="AG2214" s="23" t="s">
        <v>68</v>
      </c>
      <c r="AH2214" s="26" t="str">
        <f>_xlfn.XLOOKUP(Table26[[#This Row],[customerSKU]],customerSKU!G:G,customerSKU!K:K,"NA",0,1)</f>
        <v>NA</v>
      </c>
      <c r="AI2214" s="43" t="str">
        <f>_xlfn.XLOOKUP(Table26[[#This Row],[customerSKU]],customerSKU!G:G,customerSKU!O:O,"not found",0,1)</f>
        <v>not found</v>
      </c>
      <c r="AJ2214" s="22" t="e">
        <f>Table26[[#This Row],[unitprice]]*Table26[[#This Row],[quantity_unit]]</f>
        <v>#VALUE!</v>
      </c>
      <c r="AK2214" s="227" t="e" cm="1">
        <f t="array" ref="AK22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4" s="227"/>
    </row>
    <row r="2215" spans="1:38" ht="15.45" customHeight="1">
      <c r="A2215" s="42">
        <v>59</v>
      </c>
      <c r="B2215" s="42" t="s">
        <v>3520</v>
      </c>
      <c r="C2215" s="53" t="s">
        <v>3488</v>
      </c>
      <c r="E2215" s="20"/>
      <c r="F22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5" s="93"/>
      <c r="I2215" s="203">
        <v>45875</v>
      </c>
      <c r="J2215" s="90" t="str">
        <f>IF(Table26[[#This Row],[customerSKU]]="","",_xlfn.XLOOKUP(Table26[[#This Row],[customerSKU]],customerSKU!G:G,customerSKU!A:A,"",0,1))</f>
        <v/>
      </c>
      <c r="K2215" s="19">
        <v>45876</v>
      </c>
      <c r="L2215" s="49" t="str">
        <f>IF(Table26[[#This Row],[customerSKU]]="","",_xlfn.XLOOKUP(Table26[[#This Row],[customerSKU]],customerSKU!G:G,customerSKU!B:B,"",0,1))</f>
        <v/>
      </c>
      <c r="M2215" s="22"/>
      <c r="N2215" s="15" t="str">
        <f>Table26[[#This Row],[po_number]]&amp;"-"&amp;Table26[[#This Row],[po_line]]</f>
        <v>-8</v>
      </c>
      <c r="O2215" s="15">
        <v>8</v>
      </c>
      <c r="P2215" s="50"/>
      <c r="Q2215" s="22" t="s">
        <v>578</v>
      </c>
      <c r="R2215" s="22" t="s">
        <v>532</v>
      </c>
      <c r="S2215" s="90" t="str">
        <f>IF(Table26[[#This Row],[customerSKU]]="","",_xlfn.XLOOKUP(Table26[[#This Row],[customerSKU]],customerSKU!G:G,customerSKU!N:N,"NOT FOUND",0,1))</f>
        <v>NOT FOUND</v>
      </c>
      <c r="T2215" s="20">
        <v>45700</v>
      </c>
      <c r="U2215" s="94">
        <v>24</v>
      </c>
      <c r="V2215" s="22" t="str">
        <f>IF(ISBLANK(Table26[[#This Row],[customerSKU]]),"",_xlfn.XLOOKUP(Table26[[#This Row],[customerSKU]],Table27[customer_SKU],Table27[case_size],"",0,1))</f>
        <v/>
      </c>
      <c r="W2215" s="117" t="str">
        <f t="shared" si="90"/>
        <v/>
      </c>
      <c r="X2215" s="22" t="str">
        <f t="shared" si="91"/>
        <v/>
      </c>
      <c r="Y2215" s="25" t="str">
        <f>IF(Table26[[#This Row],[customerSKU]]="","",_xlfn.XLOOKUP(Table26[[#This Row],[customerSKU]],Table27[customer_SKU],Table27[product_GTIN],"",0,1))</f>
        <v/>
      </c>
      <c r="Z2215" s="25" t="s">
        <v>3728</v>
      </c>
      <c r="AA2215" s="18" t="str" cm="1">
        <f t="array" ref="AA2215">IF(P2215="", "", _xlfn.XLOOKUP(P2215,#REF!,#REF!,NA,0,-1))</f>
        <v/>
      </c>
      <c r="AB2215" s="22"/>
      <c r="AC2215" s="23" t="s">
        <v>68</v>
      </c>
      <c r="AD2215" s="23" t="str">
        <f>IF($AC2215="","",_xlfn.XLOOKUP($AC2215,'Client Info'!$C$2:$C$2497,'Client Info'!$D$2:$D$2497,"",0,1))</f>
        <v/>
      </c>
      <c r="AE2215" s="23" t="str">
        <f>IF($AC2215="","",_xlfn.XLOOKUP($AC2215,'Client Info'!$C$2:$C$2677,'Client Info'!$E$2:$E$2677,"",))</f>
        <v/>
      </c>
      <c r="AF2215" s="23" t="str">
        <f>IF($AC2215="","",_xlfn.XLOOKUP($AC2215,'Client Info'!$C$2:$C$2677,'Client Info'!$F$2:$F$2677,"",0,1))</f>
        <v/>
      </c>
      <c r="AG2215" s="23" t="s">
        <v>68</v>
      </c>
      <c r="AH2215" s="26" t="str">
        <f>_xlfn.XLOOKUP(Table26[[#This Row],[customerSKU]],customerSKU!G:G,customerSKU!K:K,"NA",0,1)</f>
        <v>NA</v>
      </c>
      <c r="AI2215" s="43" t="str">
        <f>_xlfn.XLOOKUP(Table26[[#This Row],[customerSKU]],customerSKU!G:G,customerSKU!O:O,"not found",0,1)</f>
        <v>not found</v>
      </c>
      <c r="AJ2215" s="22" t="e">
        <f>Table26[[#This Row],[unitprice]]*Table26[[#This Row],[quantity_unit]]</f>
        <v>#VALUE!</v>
      </c>
      <c r="AK2215" s="227" t="e" cm="1">
        <f t="array" ref="AK22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5" s="227"/>
    </row>
    <row r="2216" spans="1:38" ht="15.45" customHeight="1">
      <c r="A2216" s="42">
        <v>31</v>
      </c>
      <c r="B2216" s="42" t="s">
        <v>3520</v>
      </c>
      <c r="C2216" s="53" t="s">
        <v>203</v>
      </c>
      <c r="E2216" s="20"/>
      <c r="F22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6" s="93"/>
      <c r="I2216" s="203">
        <v>45868</v>
      </c>
      <c r="J2216" s="90" t="str">
        <f>IF(Table26[[#This Row],[customerSKU]]="","",_xlfn.XLOOKUP(Table26[[#This Row],[customerSKU]],customerSKU!G:G,customerSKU!A:A,"",0,1))</f>
        <v/>
      </c>
      <c r="K2216" s="19">
        <v>45877</v>
      </c>
      <c r="L2216" s="49" t="str">
        <f>IF(Table26[[#This Row],[customerSKU]]="","",_xlfn.XLOOKUP(Table26[[#This Row],[customerSKU]],customerSKU!G:G,customerSKU!B:B,"",0,1))</f>
        <v/>
      </c>
      <c r="M2216" s="22"/>
      <c r="N2216" s="15" t="str">
        <f>Table26[[#This Row],[po_number]]&amp;"-"&amp;Table26[[#This Row],[po_line]]</f>
        <v>-1</v>
      </c>
      <c r="O2216" s="15">
        <v>1</v>
      </c>
      <c r="P2216" s="50"/>
      <c r="Q2216" s="22" t="s">
        <v>591</v>
      </c>
      <c r="R2216" s="22" t="s">
        <v>532</v>
      </c>
      <c r="S2216" s="90" t="s">
        <v>18</v>
      </c>
      <c r="T2216" s="20">
        <v>45859</v>
      </c>
      <c r="U2216" s="94">
        <v>180</v>
      </c>
      <c r="V2216" s="22" t="str">
        <f>IF(ISBLANK(Table26[[#This Row],[customerSKU]]),"",_xlfn.XLOOKUP(Table26[[#This Row],[customerSKU]],Table27[customer_SKU],Table27[case_size],"",0,1))</f>
        <v/>
      </c>
      <c r="W2216" s="117" t="str">
        <f t="shared" si="90"/>
        <v/>
      </c>
      <c r="X2216" s="22" t="str">
        <f t="shared" si="91"/>
        <v/>
      </c>
      <c r="Y2216" s="25" t="str">
        <f>IF(Table26[[#This Row],[customerSKU]]="","",_xlfn.XLOOKUP(Table26[[#This Row],[customerSKU]],Table27[customer_SKU],Table27[product_GTIN],"",0,1))</f>
        <v/>
      </c>
      <c r="Z2216" s="25" t="s">
        <v>3282</v>
      </c>
      <c r="AA2216" s="18" t="str" cm="1">
        <f t="array" ref="AA2216">IF(P2216="", "", _xlfn.XLOOKUP(P2216,#REF!,#REF!,NA,0,-1))</f>
        <v/>
      </c>
      <c r="AB2216" s="22"/>
      <c r="AC2216" s="23" t="str">
        <f>IF(Table26[[#This Row],[customerSKU]]="","",_xlfn.XLOOKUP(Table26[[#This Row],[customerSKU]],customerSKU!G:G,customerSKU!C:C,"",0,1))</f>
        <v/>
      </c>
      <c r="AD2216" s="23" t="str">
        <f>IF($AC2216="","",_xlfn.XLOOKUP($AC2216,'Client Info'!$C$2:$C$2497,'Client Info'!$D$2:$D$2497,"",0,1))</f>
        <v/>
      </c>
      <c r="AE2216" s="23" t="str">
        <f>IF($AC2216="","",_xlfn.XLOOKUP($AC2216,'Client Info'!$C$2:$C$2677,'Client Info'!$E$2:$E$2677,"",))</f>
        <v/>
      </c>
      <c r="AF2216" s="23" t="str">
        <f>IF($AC2216="","",_xlfn.XLOOKUP($AC2216,'Client Info'!$C$2:$C$2677,'Client Info'!$F$2:$F$2677,"",0,1))</f>
        <v/>
      </c>
      <c r="AG2216" s="23" t="str">
        <f>IF(ISBLANK(Table26[[#This Row],[customerSKU]]),"",_xlfn.XLOOKUP(Table26[[#This Row],[customerSKU]],Table27[customer_SKU],Table27[billto],"",0,1))</f>
        <v/>
      </c>
      <c r="AH2216" s="26" t="str">
        <f>_xlfn.XLOOKUP(Table26[[#This Row],[customerSKU]],customerSKU!G:G,customerSKU!K:K,"NA",0,1)</f>
        <v>NA</v>
      </c>
      <c r="AI2216" s="43" t="str">
        <f>_xlfn.XLOOKUP(Table26[[#This Row],[customerSKU]],customerSKU!G:G,customerSKU!O:O,"not found",0,1)</f>
        <v>not found</v>
      </c>
      <c r="AJ2216" s="22" t="e">
        <f>Table26[[#This Row],[unitprice]]*Table26[[#This Row],[quantity_unit]]</f>
        <v>#VALUE!</v>
      </c>
      <c r="AK2216" s="227" t="e" cm="1">
        <f t="array" ref="AK22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6" s="227"/>
    </row>
    <row r="2217" spans="1:38" ht="15.45" customHeight="1">
      <c r="A2217" s="42">
        <v>32</v>
      </c>
      <c r="B2217" s="42" t="s">
        <v>3520</v>
      </c>
      <c r="C2217" s="53" t="s">
        <v>203</v>
      </c>
      <c r="E2217" s="20"/>
      <c r="F22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7" s="93"/>
      <c r="I2217" s="203">
        <v>45868</v>
      </c>
      <c r="J2217" s="90" t="str">
        <f>IF(Table26[[#This Row],[customerSKU]]="","",_xlfn.XLOOKUP(Table26[[#This Row],[customerSKU]],customerSKU!G:G,customerSKU!A:A,"",0,1))</f>
        <v/>
      </c>
      <c r="K2217" s="19">
        <v>45877</v>
      </c>
      <c r="L2217" s="49" t="str">
        <f>IF(Table26[[#This Row],[customerSKU]]="","",_xlfn.XLOOKUP(Table26[[#This Row],[customerSKU]],customerSKU!G:G,customerSKU!B:B,"",0,1))</f>
        <v/>
      </c>
      <c r="M2217" s="22"/>
      <c r="N2217" s="15" t="str">
        <f>Table26[[#This Row],[po_number]]&amp;"-"&amp;Table26[[#This Row],[po_line]]</f>
        <v>-2</v>
      </c>
      <c r="O2217" s="15">
        <v>2</v>
      </c>
      <c r="P2217" s="50"/>
      <c r="Q2217" s="22" t="s">
        <v>1845</v>
      </c>
      <c r="R2217" s="22" t="s">
        <v>532</v>
      </c>
      <c r="S2217" s="90" t="s">
        <v>18</v>
      </c>
      <c r="T2217" s="20">
        <v>45874</v>
      </c>
      <c r="U2217" s="94">
        <v>300</v>
      </c>
      <c r="V2217" s="22" t="str">
        <f>IF(ISBLANK(Table26[[#This Row],[customerSKU]]),"",_xlfn.XLOOKUP(Table26[[#This Row],[customerSKU]],Table27[customer_SKU],Table27[case_size],"",0,1))</f>
        <v/>
      </c>
      <c r="W2217" s="117" t="str">
        <f t="shared" si="90"/>
        <v/>
      </c>
      <c r="X2217" s="22" t="str">
        <f t="shared" si="91"/>
        <v/>
      </c>
      <c r="Y2217" s="25" t="str">
        <f>IF(Table26[[#This Row],[customerSKU]]="","",_xlfn.XLOOKUP(Table26[[#This Row],[customerSKU]],Table27[customer_SKU],Table27[product_GTIN],"",0,1))</f>
        <v/>
      </c>
      <c r="Z2217" s="25" t="s">
        <v>3283</v>
      </c>
      <c r="AA2217" s="18" t="str" cm="1">
        <f t="array" ref="AA2217">IF(P2217="", "", _xlfn.XLOOKUP(P2217,#REF!,#REF!,NA,0,-1))</f>
        <v/>
      </c>
      <c r="AB2217" s="22"/>
      <c r="AC2217" s="23" t="str">
        <f>IF(Table26[[#This Row],[customerSKU]]="","",_xlfn.XLOOKUP(Table26[[#This Row],[customerSKU]],customerSKU!G:G,customerSKU!C:C,"",0,1))</f>
        <v/>
      </c>
      <c r="AD2217" s="23" t="str">
        <f>IF($AC2217="","",_xlfn.XLOOKUP($AC2217,'Client Info'!$C$2:$C$2497,'Client Info'!$D$2:$D$2497,"",0,1))</f>
        <v/>
      </c>
      <c r="AE2217" s="23" t="str">
        <f>IF($AC2217="","",_xlfn.XLOOKUP($AC2217,'Client Info'!$C$2:$C$2677,'Client Info'!$E$2:$E$2677,"",))</f>
        <v/>
      </c>
      <c r="AF2217" s="23" t="str">
        <f>IF($AC2217="","",_xlfn.XLOOKUP($AC2217,'Client Info'!$C$2:$C$2677,'Client Info'!$F$2:$F$2677,"",0,1))</f>
        <v/>
      </c>
      <c r="AG2217" s="23" t="str">
        <f>IF(ISBLANK(Table26[[#This Row],[customerSKU]]),"",_xlfn.XLOOKUP(Table26[[#This Row],[customerSKU]],Table27[customer_SKU],Table27[billto],"",0,1))</f>
        <v/>
      </c>
      <c r="AH2217" s="26" t="str">
        <f>_xlfn.XLOOKUP(Table26[[#This Row],[customerSKU]],customerSKU!G:G,customerSKU!K:K,"NA",0,1)</f>
        <v>NA</v>
      </c>
      <c r="AI2217" s="43" t="str">
        <f>_xlfn.XLOOKUP(Table26[[#This Row],[customerSKU]],customerSKU!G:G,customerSKU!O:O,"not found",0,1)</f>
        <v>not found</v>
      </c>
      <c r="AJ2217" s="22" t="e">
        <f>Table26[[#This Row],[unitprice]]*Table26[[#This Row],[quantity_unit]]</f>
        <v>#VALUE!</v>
      </c>
      <c r="AK2217" s="227" t="e" cm="1">
        <f t="array" ref="AK22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7" s="227"/>
    </row>
    <row r="2218" spans="1:38" ht="15.45" customHeight="1">
      <c r="A2218" s="42">
        <v>33</v>
      </c>
      <c r="B2218" s="42" t="s">
        <v>3520</v>
      </c>
      <c r="C2218" s="53" t="s">
        <v>203</v>
      </c>
      <c r="E2218" s="20"/>
      <c r="F22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8" s="93"/>
      <c r="I2218" s="203">
        <v>45868</v>
      </c>
      <c r="J2218" s="90" t="str">
        <f>IF(Table26[[#This Row],[customerSKU]]="","",_xlfn.XLOOKUP(Table26[[#This Row],[customerSKU]],customerSKU!G:G,customerSKU!A:A,"",0,1))</f>
        <v/>
      </c>
      <c r="K2218" s="19">
        <v>45877</v>
      </c>
      <c r="L2218" s="49" t="str">
        <f>IF(Table26[[#This Row],[customerSKU]]="","",_xlfn.XLOOKUP(Table26[[#This Row],[customerSKU]],customerSKU!G:G,customerSKU!B:B,"",0,1))</f>
        <v/>
      </c>
      <c r="M2218" s="22"/>
      <c r="N2218" s="15" t="str">
        <f>Table26[[#This Row],[po_number]]&amp;"-"&amp;Table26[[#This Row],[po_line]]</f>
        <v>-3</v>
      </c>
      <c r="O2218" s="15">
        <v>3</v>
      </c>
      <c r="P2218" s="50"/>
      <c r="Q2218" s="22" t="s">
        <v>3284</v>
      </c>
      <c r="R2218" s="22" t="s">
        <v>532</v>
      </c>
      <c r="S2218" s="90" t="s">
        <v>18</v>
      </c>
      <c r="T2218" s="20">
        <v>45849</v>
      </c>
      <c r="U2218" s="94">
        <v>12</v>
      </c>
      <c r="V2218" s="22" t="str">
        <f>IF(ISBLANK(Table26[[#This Row],[customerSKU]]),"",_xlfn.XLOOKUP(Table26[[#This Row],[customerSKU]],Table27[customer_SKU],Table27[case_size],"",0,1))</f>
        <v/>
      </c>
      <c r="W2218" s="117" t="str">
        <f t="shared" si="90"/>
        <v/>
      </c>
      <c r="X2218" s="22" t="str">
        <f t="shared" si="91"/>
        <v/>
      </c>
      <c r="Y2218" s="25" t="str">
        <f>IF(Table26[[#This Row],[customerSKU]]="","",_xlfn.XLOOKUP(Table26[[#This Row],[customerSKU]],Table27[customer_SKU],Table27[product_GTIN],"",0,1))</f>
        <v/>
      </c>
      <c r="Z2218" s="25" t="s">
        <v>3285</v>
      </c>
      <c r="AA2218" s="18" t="str" cm="1">
        <f t="array" ref="AA2218">IF(P2218="", "", _xlfn.XLOOKUP(P2218,#REF!,#REF!,NA,0,-1))</f>
        <v/>
      </c>
      <c r="AB2218" s="22"/>
      <c r="AC2218" s="23" t="str">
        <f>IF(Table26[[#This Row],[customerSKU]]="","",_xlfn.XLOOKUP(Table26[[#This Row],[customerSKU]],customerSKU!G:G,customerSKU!C:C,"",0,1))</f>
        <v/>
      </c>
      <c r="AD2218" s="23" t="str">
        <f>IF($AC2218="","",_xlfn.XLOOKUP($AC2218,'Client Info'!$C$2:$C$2497,'Client Info'!$D$2:$D$2497,"",0,1))</f>
        <v/>
      </c>
      <c r="AE2218" s="23" t="str">
        <f>IF($AC2218="","",_xlfn.XLOOKUP($AC2218,'Client Info'!$C$2:$C$2677,'Client Info'!$E$2:$E$2677,"",))</f>
        <v/>
      </c>
      <c r="AF2218" s="23" t="str">
        <f>IF($AC2218="","",_xlfn.XLOOKUP($AC2218,'Client Info'!$C$2:$C$2677,'Client Info'!$F$2:$F$2677,"",0,1))</f>
        <v/>
      </c>
      <c r="AG2218" s="23" t="str">
        <f>IF(ISBLANK(Table26[[#This Row],[customerSKU]]),"",_xlfn.XLOOKUP(Table26[[#This Row],[customerSKU]],Table27[customer_SKU],Table27[billto],"",0,1))</f>
        <v/>
      </c>
      <c r="AH2218" s="26" t="str">
        <f>_xlfn.XLOOKUP(Table26[[#This Row],[customerSKU]],customerSKU!G:G,customerSKU!K:K,"NA",0,1)</f>
        <v>NA</v>
      </c>
      <c r="AI2218" s="43" t="str">
        <f>_xlfn.XLOOKUP(Table26[[#This Row],[customerSKU]],customerSKU!G:G,customerSKU!O:O,"not found",0,1)</f>
        <v>not found</v>
      </c>
      <c r="AJ2218" s="22" t="e">
        <f>Table26[[#This Row],[unitprice]]*Table26[[#This Row],[quantity_unit]]</f>
        <v>#VALUE!</v>
      </c>
      <c r="AK2218" s="227" t="e" cm="1">
        <f t="array" ref="AK22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8" s="227"/>
    </row>
    <row r="2219" spans="1:38" ht="24.6" customHeight="1">
      <c r="A2219" s="42">
        <v>34</v>
      </c>
      <c r="B2219" s="42" t="s">
        <v>3520</v>
      </c>
      <c r="C2219" s="53" t="s">
        <v>203</v>
      </c>
      <c r="E2219" s="20"/>
      <c r="F22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19" s="93"/>
      <c r="I2219" s="203">
        <v>45868</v>
      </c>
      <c r="J2219" s="90" t="str">
        <f>IF(Table26[[#This Row],[customerSKU]]="","",_xlfn.XLOOKUP(Table26[[#This Row],[customerSKU]],customerSKU!G:G,customerSKU!A:A,"",0,1))</f>
        <v/>
      </c>
      <c r="K2219" s="19">
        <v>45877</v>
      </c>
      <c r="L2219" s="49" t="str">
        <f>IF(Table26[[#This Row],[customerSKU]]="","",_xlfn.XLOOKUP(Table26[[#This Row],[customerSKU]],customerSKU!G:G,customerSKU!B:B,"",0,1))</f>
        <v/>
      </c>
      <c r="M2219" s="22"/>
      <c r="N2219" s="15" t="str">
        <f>Table26[[#This Row],[po_number]]&amp;"-"&amp;Table26[[#This Row],[po_line]]</f>
        <v>-4</v>
      </c>
      <c r="O2219" s="15">
        <v>4</v>
      </c>
      <c r="P2219" s="50"/>
      <c r="Q2219" s="22" t="s">
        <v>3284</v>
      </c>
      <c r="R2219" s="22" t="s">
        <v>532</v>
      </c>
      <c r="S2219" s="90" t="s">
        <v>18</v>
      </c>
      <c r="T2219" s="20">
        <v>45875</v>
      </c>
      <c r="U2219" s="94">
        <v>48</v>
      </c>
      <c r="V2219" s="22" t="str">
        <f>IF(ISBLANK(Table26[[#This Row],[customerSKU]]),"",_xlfn.XLOOKUP(Table26[[#This Row],[customerSKU]],Table27[customer_SKU],Table27[case_size],"",0,1))</f>
        <v/>
      </c>
      <c r="W2219" s="117" t="str">
        <f t="shared" si="90"/>
        <v/>
      </c>
      <c r="X2219" s="22" t="str">
        <f t="shared" si="91"/>
        <v/>
      </c>
      <c r="Y2219" s="25" t="str">
        <f>IF(Table26[[#This Row],[customerSKU]]="","",_xlfn.XLOOKUP(Table26[[#This Row],[customerSKU]],Table27[customer_SKU],Table27[product_GTIN],"",0,1))</f>
        <v/>
      </c>
      <c r="Z2219" s="25" t="s">
        <v>3285</v>
      </c>
      <c r="AA2219" s="18" t="str" cm="1">
        <f t="array" ref="AA2219">IF(P2219="", "", _xlfn.XLOOKUP(P2219,#REF!,#REF!,NA,0,-1))</f>
        <v/>
      </c>
      <c r="AB2219" s="22"/>
      <c r="AC2219" s="23" t="str">
        <f>IF(Table26[[#This Row],[customerSKU]]="","",_xlfn.XLOOKUP(Table26[[#This Row],[customerSKU]],customerSKU!G:G,customerSKU!C:C,"",0,1))</f>
        <v/>
      </c>
      <c r="AD2219" s="23" t="str">
        <f>IF($AC2219="","",_xlfn.XLOOKUP($AC2219,'Client Info'!$C$2:$C$2497,'Client Info'!$D$2:$D$2497,"",0,1))</f>
        <v/>
      </c>
      <c r="AE2219" s="23" t="str">
        <f>IF($AC2219="","",_xlfn.XLOOKUP($AC2219,'Client Info'!$C$2:$C$2677,'Client Info'!$E$2:$E$2677,"",))</f>
        <v/>
      </c>
      <c r="AF2219" s="23" t="str">
        <f>IF($AC2219="","",_xlfn.XLOOKUP($AC2219,'Client Info'!$C$2:$C$2677,'Client Info'!$F$2:$F$2677,"",0,1))</f>
        <v/>
      </c>
      <c r="AG2219" s="23" t="str">
        <f>IF(ISBLANK(Table26[[#This Row],[customerSKU]]),"",_xlfn.XLOOKUP(Table26[[#This Row],[customerSKU]],Table27[customer_SKU],Table27[billto],"",0,1))</f>
        <v/>
      </c>
      <c r="AH2219" s="26" t="str">
        <f>_xlfn.XLOOKUP(Table26[[#This Row],[customerSKU]],customerSKU!G:G,customerSKU!K:K,"NA",0,1)</f>
        <v>NA</v>
      </c>
      <c r="AI2219" s="43" t="str">
        <f>_xlfn.XLOOKUP(Table26[[#This Row],[customerSKU]],customerSKU!G:G,customerSKU!O:O,"not found",0,1)</f>
        <v>not found</v>
      </c>
      <c r="AJ2219" s="22" t="e">
        <f>Table26[[#This Row],[unitprice]]*Table26[[#This Row],[quantity_unit]]</f>
        <v>#VALUE!</v>
      </c>
      <c r="AK2219" s="227" t="e" cm="1">
        <f t="array" ref="AK22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19" s="227"/>
    </row>
    <row r="2220" spans="1:38" ht="24.6" customHeight="1">
      <c r="A2220" s="42">
        <v>35</v>
      </c>
      <c r="B2220" s="42" t="s">
        <v>3520</v>
      </c>
      <c r="C2220" s="53" t="s">
        <v>203</v>
      </c>
      <c r="E2220" s="20"/>
      <c r="F22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0" s="93"/>
      <c r="I2220" s="203">
        <v>45868</v>
      </c>
      <c r="J2220" s="90" t="str">
        <f>IF(Table26[[#This Row],[customerSKU]]="","",_xlfn.XLOOKUP(Table26[[#This Row],[customerSKU]],customerSKU!G:G,customerSKU!A:A,"",0,1))</f>
        <v/>
      </c>
      <c r="K2220" s="19">
        <v>45877</v>
      </c>
      <c r="L2220" s="49" t="str">
        <f>IF(Table26[[#This Row],[customerSKU]]="","",_xlfn.XLOOKUP(Table26[[#This Row],[customerSKU]],customerSKU!G:G,customerSKU!B:B,"",0,1))</f>
        <v/>
      </c>
      <c r="M2220" s="22"/>
      <c r="N2220" s="15" t="str">
        <f>Table26[[#This Row],[po_number]]&amp;"-"&amp;Table26[[#This Row],[po_line]]</f>
        <v>-5</v>
      </c>
      <c r="O2220" s="15">
        <v>5</v>
      </c>
      <c r="P2220" s="50"/>
      <c r="Q2220" s="22" t="s">
        <v>1806</v>
      </c>
      <c r="R2220" s="22" t="s">
        <v>532</v>
      </c>
      <c r="S2220" s="90" t="s">
        <v>18</v>
      </c>
      <c r="T2220" s="20">
        <v>45826</v>
      </c>
      <c r="U2220" s="94">
        <v>60</v>
      </c>
      <c r="V2220" s="22" t="str">
        <f>IF(ISBLANK(Table26[[#This Row],[customerSKU]]),"",_xlfn.XLOOKUP(Table26[[#This Row],[customerSKU]],Table27[customer_SKU],Table27[case_size],"",0,1))</f>
        <v/>
      </c>
      <c r="W2220" s="117" t="str">
        <f t="shared" si="90"/>
        <v/>
      </c>
      <c r="X2220" s="22" t="str">
        <f t="shared" si="91"/>
        <v/>
      </c>
      <c r="Y2220" s="25" t="str">
        <f>IF(Table26[[#This Row],[customerSKU]]="","",_xlfn.XLOOKUP(Table26[[#This Row],[customerSKU]],Table27[customer_SKU],Table27[product_GTIN],"",0,1))</f>
        <v/>
      </c>
      <c r="Z2220" s="25" t="s">
        <v>3286</v>
      </c>
      <c r="AA2220" s="18" t="str" cm="1">
        <f t="array" ref="AA2220">IF(P2220="", "", _xlfn.XLOOKUP(P2220,#REF!,#REF!,NA,0,-1))</f>
        <v/>
      </c>
      <c r="AB2220" s="22"/>
      <c r="AC2220" s="23" t="str">
        <f>IF(Table26[[#This Row],[customerSKU]]="","",_xlfn.XLOOKUP(Table26[[#This Row],[customerSKU]],customerSKU!G:G,customerSKU!C:C,"",0,1))</f>
        <v/>
      </c>
      <c r="AD2220" s="23" t="str">
        <f>IF($AC2220="","",_xlfn.XLOOKUP($AC2220,'Client Info'!$C$2:$C$2497,'Client Info'!$D$2:$D$2497,"",0,1))</f>
        <v/>
      </c>
      <c r="AE2220" s="23" t="str">
        <f>IF($AC2220="","",_xlfn.XLOOKUP($AC2220,'Client Info'!$C$2:$C$2677,'Client Info'!$E$2:$E$2677,"",))</f>
        <v/>
      </c>
      <c r="AF2220" s="23" t="str">
        <f>IF($AC2220="","",_xlfn.XLOOKUP($AC2220,'Client Info'!$C$2:$C$2677,'Client Info'!$F$2:$F$2677,"",0,1))</f>
        <v/>
      </c>
      <c r="AG2220" s="23" t="str">
        <f>IF(ISBLANK(Table26[[#This Row],[customerSKU]]),"",_xlfn.XLOOKUP(Table26[[#This Row],[customerSKU]],Table27[customer_SKU],Table27[billto],"",0,1))</f>
        <v/>
      </c>
      <c r="AH2220" s="26" t="str">
        <f>_xlfn.XLOOKUP(Table26[[#This Row],[customerSKU]],customerSKU!G:G,customerSKU!K:K,"NA",0,1)</f>
        <v>NA</v>
      </c>
      <c r="AI2220" s="43" t="str">
        <f>_xlfn.XLOOKUP(Table26[[#This Row],[customerSKU]],customerSKU!G:G,customerSKU!O:O,"not found",0,1)</f>
        <v>not found</v>
      </c>
      <c r="AJ2220" s="22" t="e">
        <f>Table26[[#This Row],[unitprice]]*Table26[[#This Row],[quantity_unit]]</f>
        <v>#VALUE!</v>
      </c>
      <c r="AK2220" s="227" t="e" cm="1">
        <f t="array" ref="AK22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0" s="227"/>
    </row>
    <row r="2221" spans="1:38" ht="24.6" customHeight="1">
      <c r="A2221" s="42">
        <v>2277</v>
      </c>
      <c r="B2221" s="42" t="s">
        <v>3520</v>
      </c>
      <c r="C2221" s="53" t="s">
        <v>3360</v>
      </c>
      <c r="E2221" s="20"/>
      <c r="F22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1" s="93"/>
      <c r="I2221" s="203">
        <v>45877</v>
      </c>
      <c r="J2221" s="90" t="str">
        <f>IF(Table26[[#This Row],[customerSKU]]="","",_xlfn.XLOOKUP(Table26[[#This Row],[customerSKU]],customerSKU!G:G,customerSKU!A:A,"",0,1))</f>
        <v/>
      </c>
      <c r="K2221" s="405">
        <v>45877</v>
      </c>
      <c r="L2221" s="49" t="str">
        <f>IF(Table26[[#This Row],[customerSKU]]="","",_xlfn.XLOOKUP(Table26[[#This Row],[customerSKU]],customerSKU!G:G,customerSKU!B:B,"",0,1))</f>
        <v/>
      </c>
      <c r="M2221" s="22"/>
      <c r="N2221" s="15" t="str">
        <f>Table26[[#This Row],[po_number]]&amp;"-"&amp;Table26[[#This Row],[po_line]]</f>
        <v>-1</v>
      </c>
      <c r="O2221" s="15">
        <v>1</v>
      </c>
      <c r="P2221" s="50"/>
      <c r="S2221" s="90" t="str">
        <f>IF(Table26[[#This Row],[customerSKU]]="","",_xlfn.XLOOKUP(Table26[[#This Row],[customerSKU]],customerSKU!G:G,customerSKU!N:N,"NOT FOUND",0,1))</f>
        <v>NOT FOUND</v>
      </c>
      <c r="T2221" s="20"/>
      <c r="U2221" s="94">
        <v>12</v>
      </c>
      <c r="V2221" s="22" t="str">
        <f>IF(ISBLANK(Table26[[#This Row],[customerSKU]]),"",_xlfn.XLOOKUP(Table26[[#This Row],[customerSKU]],Table27[customer_SKU],Table27[case_size],"",0,1))</f>
        <v/>
      </c>
      <c r="W2221" s="117" t="str">
        <f t="shared" si="90"/>
        <v/>
      </c>
      <c r="X2221" s="22" t="str">
        <f t="shared" si="91"/>
        <v/>
      </c>
      <c r="Y2221" s="25" t="str">
        <f>IF(Table26[[#This Row],[customerSKU]]="","",_xlfn.XLOOKUP(Table26[[#This Row],[customerSKU]],Table27[customer_SKU],Table27[product_GTIN],"",0,1))</f>
        <v/>
      </c>
      <c r="Z2221" s="25" t="s">
        <v>3546</v>
      </c>
      <c r="AA2221" s="18" t="str" cm="1">
        <f t="array" ref="AA2221">IF(P2221="", "", _xlfn.XLOOKUP(P2221,#REF!,#REF!,NA,0,-1))</f>
        <v/>
      </c>
      <c r="AB2221" s="22"/>
      <c r="AC2221" s="23" t="str">
        <f>IF(Table26[[#This Row],[customerSKU]]="","",_xlfn.XLOOKUP(Table26[[#This Row],[customerSKU]],customerSKU!G:G,customerSKU!C:C,"",0,1))</f>
        <v/>
      </c>
      <c r="AD2221" s="23" t="str">
        <f>IF($AC2221="","",_xlfn.XLOOKUP($AC2221,'Client Info'!$C$2:$C$2497,'Client Info'!$D$2:$D$2497,"",0,1))</f>
        <v/>
      </c>
      <c r="AE2221" s="23" t="str">
        <f>IF($AC2221="","",_xlfn.XLOOKUP($AC2221,'Client Info'!$C$2:$C$2677,'Client Info'!$E$2:$E$2677,"",))</f>
        <v/>
      </c>
      <c r="AF2221" s="23" t="str">
        <f>IF($AC2221="","",_xlfn.XLOOKUP($AC2221,'Client Info'!$C$2:$C$2677,'Client Info'!$F$2:$F$2677,"",0,1))</f>
        <v/>
      </c>
      <c r="AG2221" s="23" t="str">
        <f>IF(ISBLANK(Table26[[#This Row],[customerSKU]]),"",_xlfn.XLOOKUP(Table26[[#This Row],[customerSKU]],Table27[customer_SKU],Table27[billto],"",0,1))</f>
        <v/>
      </c>
      <c r="AH2221" s="26" t="str">
        <f>_xlfn.XLOOKUP(Table26[[#This Row],[customerSKU]],customerSKU!G:G,customerSKU!K:K,"NA",0,1)</f>
        <v>NA</v>
      </c>
      <c r="AI2221" s="43" t="str">
        <f>_xlfn.XLOOKUP(Table26[[#This Row],[customerSKU]],customerSKU!G:G,customerSKU!O:O,"not found",0,1)</f>
        <v>not found</v>
      </c>
      <c r="AJ2221" s="22" t="e">
        <f>Table26[[#This Row],[unitprice]]*Table26[[#This Row],[quantity_unit]]</f>
        <v>#VALUE!</v>
      </c>
      <c r="AK2221" s="227" t="e" cm="1">
        <f t="array" ref="AK22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1" s="227"/>
    </row>
    <row r="2222" spans="1:38" ht="15.45" customHeight="1">
      <c r="A2222" s="42">
        <v>2278</v>
      </c>
      <c r="B2222" s="42" t="s">
        <v>3520</v>
      </c>
      <c r="C2222" s="53" t="s">
        <v>3360</v>
      </c>
      <c r="E2222" s="20"/>
      <c r="F22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2" s="93"/>
      <c r="I2222" s="203">
        <v>45877</v>
      </c>
      <c r="J2222" s="90" t="str">
        <f>IF(Table26[[#This Row],[customerSKU]]="","",_xlfn.XLOOKUP(Table26[[#This Row],[customerSKU]],customerSKU!G:G,customerSKU!A:A,"",0,1))</f>
        <v/>
      </c>
      <c r="K2222" s="203">
        <v>45877</v>
      </c>
      <c r="L2222" s="49" t="str">
        <f>IF(Table26[[#This Row],[customerSKU]]="","",_xlfn.XLOOKUP(Table26[[#This Row],[customerSKU]],customerSKU!G:G,customerSKU!B:B,"",0,1))</f>
        <v/>
      </c>
      <c r="M2222" s="22"/>
      <c r="N2222" s="15" t="str">
        <f>Table26[[#This Row],[po_number]]&amp;"-"&amp;Table26[[#This Row],[po_line]]</f>
        <v>-1</v>
      </c>
      <c r="O2222" s="15">
        <v>1</v>
      </c>
      <c r="P2222" s="50"/>
      <c r="S2222" s="90" t="str">
        <f>IF(Table26[[#This Row],[customerSKU]]="","",_xlfn.XLOOKUP(Table26[[#This Row],[customerSKU]],customerSKU!G:G,customerSKU!N:N,"NOT FOUND",0,1))</f>
        <v>NOT FOUND</v>
      </c>
      <c r="T2222" s="20"/>
      <c r="U2222" s="94">
        <v>12</v>
      </c>
      <c r="V2222" s="22" t="str">
        <f>IF(ISBLANK(Table26[[#This Row],[customerSKU]]),"",_xlfn.XLOOKUP(Table26[[#This Row],[customerSKU]],Table27[customer_SKU],Table27[case_size],"",0,1))</f>
        <v/>
      </c>
      <c r="W2222" s="117" t="str">
        <f t="shared" si="90"/>
        <v/>
      </c>
      <c r="X2222" s="22" t="str">
        <f t="shared" si="91"/>
        <v/>
      </c>
      <c r="Y2222" s="25" t="str">
        <f>IF(Table26[[#This Row],[customerSKU]]="","",_xlfn.XLOOKUP(Table26[[#This Row],[customerSKU]],Table27[customer_SKU],Table27[product_GTIN],"",0,1))</f>
        <v/>
      </c>
      <c r="Z2222" s="25" t="s">
        <v>3528</v>
      </c>
      <c r="AA2222" s="18" t="str" cm="1">
        <f t="array" ref="AA2222">IF(P2222="", "", _xlfn.XLOOKUP(P2222,#REF!,#REF!,NA,0,-1))</f>
        <v/>
      </c>
      <c r="AB2222" s="22"/>
      <c r="AC2222" s="23" t="str">
        <f>IF(Table26[[#This Row],[customerSKU]]="","",_xlfn.XLOOKUP(Table26[[#This Row],[customerSKU]],customerSKU!G:G,customerSKU!C:C,"",0,1))</f>
        <v/>
      </c>
      <c r="AD2222" s="23" t="str">
        <f>IF($AC2222="","",_xlfn.XLOOKUP($AC2222,'Client Info'!$C$2:$C$2497,'Client Info'!$D$2:$D$2497,"",0,1))</f>
        <v/>
      </c>
      <c r="AE2222" s="23" t="str">
        <f>IF($AC2222="","",_xlfn.XLOOKUP($AC2222,'Client Info'!$C$2:$C$2677,'Client Info'!$E$2:$E$2677,"",))</f>
        <v/>
      </c>
      <c r="AF2222" s="23" t="str">
        <f>IF($AC2222="","",_xlfn.XLOOKUP($AC2222,'Client Info'!$C$2:$C$2677,'Client Info'!$F$2:$F$2677,"",0,1))</f>
        <v/>
      </c>
      <c r="AG2222" s="23" t="str">
        <f>IF(ISBLANK(Table26[[#This Row],[customerSKU]]),"",_xlfn.XLOOKUP(Table26[[#This Row],[customerSKU]],Table27[customer_SKU],Table27[billto],"",0,1))</f>
        <v/>
      </c>
      <c r="AH2222" s="26" t="str">
        <f>_xlfn.XLOOKUP(Table26[[#This Row],[customerSKU]],customerSKU!G:G,customerSKU!K:K,"NA",0,1)</f>
        <v>NA</v>
      </c>
      <c r="AI2222" s="43" t="str">
        <f>_xlfn.XLOOKUP(Table26[[#This Row],[customerSKU]],customerSKU!G:G,customerSKU!O:O,"not found",0,1)</f>
        <v>not found</v>
      </c>
      <c r="AJ2222" s="22" t="e">
        <f>Table26[[#This Row],[unitprice]]*Table26[[#This Row],[quantity_unit]]</f>
        <v>#VALUE!</v>
      </c>
      <c r="AK2222" s="227" t="e" cm="1">
        <f t="array" ref="AK22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2" s="227"/>
    </row>
    <row r="2223" spans="1:38" ht="16.2" customHeight="1">
      <c r="A2223" s="42">
        <v>30</v>
      </c>
      <c r="B2223" s="42" t="s">
        <v>3520</v>
      </c>
      <c r="C2223" s="53" t="s">
        <v>3488</v>
      </c>
      <c r="E2223" s="20"/>
      <c r="F22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3" s="93"/>
      <c r="I2223" s="203">
        <v>45876</v>
      </c>
      <c r="J2223" s="90" t="str">
        <f>IF(Table26[[#This Row],[customerSKU]]="","",_xlfn.XLOOKUP(Table26[[#This Row],[customerSKU]],customerSKU!G:G,customerSKU!A:A,"",0,1))</f>
        <v/>
      </c>
      <c r="K2223" s="19">
        <v>45880</v>
      </c>
      <c r="L2223" s="49" t="str">
        <f>IF(Table26[[#This Row],[customerSKU]]="","",_xlfn.XLOOKUP(Table26[[#This Row],[customerSKU]],customerSKU!G:G,customerSKU!B:B,"",0,1))</f>
        <v/>
      </c>
      <c r="M2223" s="22"/>
      <c r="N2223" s="15" t="str">
        <f>Table26[[#This Row],[po_number]]&amp;"-"&amp;Table26[[#This Row],[po_line]]</f>
        <v>-1</v>
      </c>
      <c r="O2223" s="15">
        <v>1</v>
      </c>
      <c r="P2223" s="50"/>
      <c r="S2223" s="90" t="str">
        <f>IF(Table26[[#This Row],[customerSKU]]="","",_xlfn.XLOOKUP(Table26[[#This Row],[customerSKU]],customerSKU!G:G,customerSKU!N:N,"NOT FOUND",0,1))</f>
        <v>NOT FOUND</v>
      </c>
      <c r="T2223" s="20"/>
      <c r="U2223" s="94">
        <v>12</v>
      </c>
      <c r="V2223" s="22" t="str">
        <f>IF(ISBLANK(Table26[[#This Row],[customerSKU]]),"",_xlfn.XLOOKUP(Table26[[#This Row],[customerSKU]],Table27[customer_SKU],Table27[case_size],"",0,1))</f>
        <v/>
      </c>
      <c r="W2223" s="117" t="str">
        <f t="shared" si="90"/>
        <v/>
      </c>
      <c r="X2223" s="22" t="str">
        <f t="shared" si="91"/>
        <v/>
      </c>
      <c r="Y2223" s="25" t="str">
        <f>IF(Table26[[#This Row],[customerSKU]]="","",_xlfn.XLOOKUP(Table26[[#This Row],[customerSKU]],Table27[customer_SKU],Table27[product_GTIN],"",0,1))</f>
        <v/>
      </c>
      <c r="Z2223" s="25" t="s">
        <v>3720</v>
      </c>
      <c r="AA2223" s="18" t="str" cm="1">
        <f t="array" ref="AA2223">IF(P2223="", "", _xlfn.XLOOKUP(P2223,#REF!,#REF!,NA,0,-1))</f>
        <v/>
      </c>
      <c r="AB2223" s="22"/>
      <c r="AC2223" s="23" t="str">
        <f>IF(Table26[[#This Row],[customerSKU]]="","",_xlfn.XLOOKUP(Table26[[#This Row],[customerSKU]],customerSKU!G:G,customerSKU!C:C,"",0,1))</f>
        <v/>
      </c>
      <c r="AD2223" s="23" t="str">
        <f>IF($AC2223="","",_xlfn.XLOOKUP($AC2223,'Client Info'!$C$2:$C$2497,'Client Info'!$D$2:$D$2497,"",0,1))</f>
        <v/>
      </c>
      <c r="AE2223" s="23" t="str">
        <f>IF($AC2223="","",_xlfn.XLOOKUP($AC2223,'Client Info'!$C$2:$C$2677,'Client Info'!$E$2:$E$2677,"",))</f>
        <v/>
      </c>
      <c r="AF2223" s="23" t="str">
        <f>IF($AC2223="","",_xlfn.XLOOKUP($AC2223,'Client Info'!$C$2:$C$2677,'Client Info'!$F$2:$F$2677,"",0,1))</f>
        <v/>
      </c>
      <c r="AG2223" s="23" t="str">
        <f>IF(ISBLANK(Table26[[#This Row],[customerSKU]]),"",_xlfn.XLOOKUP(Table26[[#This Row],[customerSKU]],Table27[customer_SKU],Table27[billto],"",0,1))</f>
        <v/>
      </c>
      <c r="AH2223" s="26" t="str">
        <f>_xlfn.XLOOKUP(Table26[[#This Row],[customerSKU]],customerSKU!G:G,customerSKU!K:K,"NA",0,1)</f>
        <v>NA</v>
      </c>
      <c r="AI2223" s="43" t="str">
        <f>_xlfn.XLOOKUP(Table26[[#This Row],[customerSKU]],customerSKU!G:G,customerSKU!O:O,"not found",0,1)</f>
        <v>not found</v>
      </c>
      <c r="AJ2223" s="22" t="e">
        <f>Table26[[#This Row],[unitprice]]*Table26[[#This Row],[quantity_unit]]</f>
        <v>#VALUE!</v>
      </c>
      <c r="AK2223" s="227" t="e" cm="1">
        <f t="array" ref="AK22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3" s="227"/>
    </row>
    <row r="2224" spans="1:38" ht="16.2" customHeight="1">
      <c r="A2224" s="42">
        <v>2303</v>
      </c>
      <c r="B2224" s="42" t="s">
        <v>3520</v>
      </c>
      <c r="C2224" s="53" t="s">
        <v>3360</v>
      </c>
      <c r="E2224" s="20"/>
      <c r="F2224" s="25"/>
      <c r="G2224" s="93"/>
      <c r="I2224" s="203">
        <v>45880</v>
      </c>
      <c r="J2224" s="90" t="str">
        <f>IF(Table26[[#This Row],[customerSKU]]="","",_xlfn.XLOOKUP(Table26[[#This Row],[customerSKU]],customerSKU!G:G,customerSKU!A:A,"",0,1))</f>
        <v/>
      </c>
      <c r="K2224" s="203">
        <v>45880</v>
      </c>
      <c r="L2224" s="31" t="s">
        <v>490</v>
      </c>
      <c r="M2224" s="22"/>
      <c r="N2224" s="15" t="str">
        <f>Table26[[#This Row],[po_number]]&amp;"-"&amp;Table26[[#This Row],[po_line]]</f>
        <v>-1</v>
      </c>
      <c r="O2224" s="15">
        <v>1</v>
      </c>
      <c r="P2224" s="50"/>
      <c r="S2224" s="90" t="str">
        <f>IF(Table26[[#This Row],[customerSKU]]="","",_xlfn.XLOOKUP(Table26[[#This Row],[customerSKU]],customerSKU!G:G,customerSKU!N:N,"NOT FOUND",0,1))</f>
        <v>NOT FOUND</v>
      </c>
      <c r="T2224" s="20"/>
      <c r="U2224" s="94">
        <v>12</v>
      </c>
      <c r="V2224" s="22">
        <v>12</v>
      </c>
      <c r="W2224" s="117">
        <v>1</v>
      </c>
      <c r="X2224" s="22" t="str">
        <f t="shared" si="91"/>
        <v/>
      </c>
      <c r="Y2224" s="25" t="str">
        <f>IF(Table26[[#This Row],[customerSKU]]="","",_xlfn.XLOOKUP(Table26[[#This Row],[customerSKU]],Table27[customer_SKU],Table27[product_GTIN],"",0,1))</f>
        <v/>
      </c>
      <c r="Z2224" s="25" t="s">
        <v>3721</v>
      </c>
      <c r="AA2224" s="18" t="str" cm="1">
        <f t="array" ref="AA2224">IF(P2224="", "", _xlfn.XLOOKUP(P2224,#REF!,#REF!,NA,0,-1))</f>
        <v/>
      </c>
      <c r="AB2224" s="22"/>
      <c r="AC2224" s="15" t="str">
        <f>IF(Table26[[#This Row],[customerSKU]]="","",_xlfn.XLOOKUP(Table26[[#This Row],[customerSKU]],customerSKU!G:G,customerSKU!C:C,"",0,1))</f>
        <v/>
      </c>
      <c r="AD2224" s="15" t="str">
        <f>IF($AC2224="","",_xlfn.XLOOKUP($AC2224,'Client Info'!$C$2:$C$2497,'Client Info'!$D$2:$D$2497,"",0,1))</f>
        <v/>
      </c>
      <c r="AE2224" s="15" t="str">
        <f>IF($AC2224="","",_xlfn.XLOOKUP($AC2224,'Client Info'!$C$2:$C$2677,'Client Info'!$E$2:$E$2677,"",))</f>
        <v/>
      </c>
      <c r="AF2224" s="15" t="str">
        <f>IF($AC2224="","",_xlfn.XLOOKUP($AC2224,'Client Info'!$C$2:$C$2677,'Client Info'!$F$2:$F$2677,"",0,1))</f>
        <v/>
      </c>
      <c r="AG2224" s="15" t="str">
        <f>IF(ISBLANK(Table26[[#This Row],[customerSKU]]),"",_xlfn.XLOOKUP(Table26[[#This Row],[customerSKU]],Table27[customer_SKU],Table27[billto],"",0,1))</f>
        <v/>
      </c>
      <c r="AH2224" s="26" t="str">
        <f>_xlfn.XLOOKUP(Table26[[#This Row],[customerSKU]],customerSKU!G:G,customerSKU!K:K,"NA",0,1)</f>
        <v>NA</v>
      </c>
      <c r="AI2224" s="43" t="str">
        <f>_xlfn.XLOOKUP(Table26[[#This Row],[customerSKU]],customerSKU!G:G,customerSKU!O:O,"not found",0,1)</f>
        <v>not found</v>
      </c>
      <c r="AJ2224" s="22" t="e">
        <f>Table26[[#This Row],[unitprice]]*Table26[[#This Row],[quantity_unit]]</f>
        <v>#VALUE!</v>
      </c>
      <c r="AK2224" s="22" t="e" cm="1">
        <f t="array" ref="AK222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224" s="227"/>
    </row>
    <row r="2225" spans="1:38" ht="15.45" customHeight="1">
      <c r="A2225" s="42">
        <v>2286</v>
      </c>
      <c r="B2225" s="42" t="s">
        <v>3520</v>
      </c>
      <c r="C2225" s="53" t="s">
        <v>3360</v>
      </c>
      <c r="E2225" s="20"/>
      <c r="F22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5" s="93"/>
      <c r="I2225" s="203">
        <v>45881</v>
      </c>
      <c r="J2225" s="90" t="str">
        <f>IF(Table26[[#This Row],[customerSKU]]="","",_xlfn.XLOOKUP(Table26[[#This Row],[customerSKU]],customerSKU!G:G,customerSKU!A:A,"",0,1))</f>
        <v/>
      </c>
      <c r="K2225" s="203">
        <v>45881</v>
      </c>
      <c r="L2225" s="49" t="str">
        <f>IF(Table26[[#This Row],[customerSKU]]="","",_xlfn.XLOOKUP(Table26[[#This Row],[customerSKU]],customerSKU!G:G,customerSKU!B:B,"",0,1))</f>
        <v/>
      </c>
      <c r="M2225" s="22"/>
      <c r="N2225" s="15" t="str">
        <f>Table26[[#This Row],[po_number]]&amp;"-"&amp;Table26[[#This Row],[po_line]]</f>
        <v>-1</v>
      </c>
      <c r="O2225" s="15">
        <v>1</v>
      </c>
      <c r="P2225" s="50"/>
      <c r="S2225" s="90" t="str">
        <f>IF(Table26[[#This Row],[customerSKU]]="","",_xlfn.XLOOKUP(Table26[[#This Row],[customerSKU]],customerSKU!G:G,customerSKU!N:N,"NOT FOUND",0,1))</f>
        <v>NOT FOUND</v>
      </c>
      <c r="T2225" s="20"/>
      <c r="U2225" s="94">
        <v>24</v>
      </c>
      <c r="V2225" s="22" t="str">
        <f>IF(ISBLANK(Table26[[#This Row],[customerSKU]]),"",_xlfn.XLOOKUP(Table26[[#This Row],[customerSKU]],Table27[customer_SKU],Table27[case_size],"",0,1))</f>
        <v/>
      </c>
      <c r="W2225" s="117" t="str">
        <f t="shared" ref="W2225:W2255" si="92">IFERROR(U2225/V2225, "")</f>
        <v/>
      </c>
      <c r="X2225" s="22" t="str">
        <f t="shared" si="91"/>
        <v/>
      </c>
      <c r="Y2225" s="25" t="str">
        <f>IF(Table26[[#This Row],[customerSKU]]="","",_xlfn.XLOOKUP(Table26[[#This Row],[customerSKU]],Table27[customer_SKU],Table27[product_GTIN],"",0,1))</f>
        <v/>
      </c>
      <c r="Z2225" s="25" t="s">
        <v>3529</v>
      </c>
      <c r="AA2225" s="18" t="str" cm="1">
        <f t="array" ref="AA2225">IF(P2225="", "", _xlfn.XLOOKUP(P2225,#REF!,#REF!,NA,0,-1))</f>
        <v/>
      </c>
      <c r="AB2225" s="22"/>
      <c r="AC2225" s="23" t="str">
        <f>IF(Table26[[#This Row],[customerSKU]]="","",_xlfn.XLOOKUP(Table26[[#This Row],[customerSKU]],customerSKU!G:G,customerSKU!C:C,"",0,1))</f>
        <v/>
      </c>
      <c r="AD2225" s="23" t="str">
        <f>IF($AC2225="","",_xlfn.XLOOKUP($AC2225,'Client Info'!$C$2:$C$2497,'Client Info'!$D$2:$D$2497,"",0,1))</f>
        <v/>
      </c>
      <c r="AE2225" s="23" t="str">
        <f>IF($AC2225="","",_xlfn.XLOOKUP($AC2225,'Client Info'!$C$2:$C$2677,'Client Info'!$E$2:$E$2677,"",))</f>
        <v/>
      </c>
      <c r="AF2225" s="23" t="str">
        <f>IF($AC2225="","",_xlfn.XLOOKUP($AC2225,'Client Info'!$C$2:$C$2677,'Client Info'!$F$2:$F$2677,"",0,1))</f>
        <v/>
      </c>
      <c r="AG2225" s="23" t="str">
        <f>IF(ISBLANK(Table26[[#This Row],[customerSKU]]),"",_xlfn.XLOOKUP(Table26[[#This Row],[customerSKU]],Table27[customer_SKU],Table27[billto],"",0,1))</f>
        <v/>
      </c>
      <c r="AH2225" s="26" t="str">
        <f>_xlfn.XLOOKUP(Table26[[#This Row],[customerSKU]],customerSKU!G:G,customerSKU!K:K,"NA",0,1)</f>
        <v>NA</v>
      </c>
      <c r="AI2225" s="43" t="str">
        <f>_xlfn.XLOOKUP(Table26[[#This Row],[customerSKU]],customerSKU!G:G,customerSKU!O:O,"not found",0,1)</f>
        <v>not found</v>
      </c>
      <c r="AJ2225" s="22" t="e">
        <f>Table26[[#This Row],[unitprice]]*Table26[[#This Row],[quantity_unit]]</f>
        <v>#VALUE!</v>
      </c>
      <c r="AK2225" s="227" t="e" cm="1">
        <f t="array" ref="AK22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5" s="227"/>
    </row>
    <row r="2226" spans="1:38" ht="15.45" customHeight="1">
      <c r="A2226" s="42">
        <v>20</v>
      </c>
      <c r="B2226" s="42" t="s">
        <v>3520</v>
      </c>
      <c r="C2226" s="53" t="s">
        <v>203</v>
      </c>
      <c r="E2226" s="20"/>
      <c r="F22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6" s="93"/>
      <c r="I2226" s="203">
        <v>45877</v>
      </c>
      <c r="J2226" s="90" t="str">
        <f>IF(Table26[[#This Row],[customerSKU]]="","",_xlfn.XLOOKUP(Table26[[#This Row],[customerSKU]],customerSKU!G:G,customerSKU!A:A,"",0,1))</f>
        <v/>
      </c>
      <c r="K2226" s="19">
        <v>45882</v>
      </c>
      <c r="L2226" s="49" t="str">
        <f>IF(Table26[[#This Row],[customerSKU]]="","",_xlfn.XLOOKUP(Table26[[#This Row],[customerSKU]],customerSKU!G:G,customerSKU!B:B,"",0,1))</f>
        <v/>
      </c>
      <c r="M2226" s="22"/>
      <c r="N2226" s="15" t="str">
        <f>Table26[[#This Row],[po_number]]&amp;"-"&amp;Table26[[#This Row],[po_line]]</f>
        <v>-1</v>
      </c>
      <c r="O2226" s="15">
        <v>1</v>
      </c>
      <c r="P2226" s="50"/>
      <c r="Q2226" s="22" t="s">
        <v>3764</v>
      </c>
      <c r="R2226" s="22" t="s">
        <v>532</v>
      </c>
      <c r="S2226" s="90" t="str">
        <f>IF(Table26[[#This Row],[customerSKU]]="","",_xlfn.XLOOKUP(Table26[[#This Row],[customerSKU]],customerSKU!G:G,customerSKU!N:N,"NOT FOUND",0,1))</f>
        <v>NOT FOUND</v>
      </c>
      <c r="T2226" s="20">
        <v>45870</v>
      </c>
      <c r="U2226" s="94">
        <v>12</v>
      </c>
      <c r="V2226" s="22" t="str">
        <f>IF(ISBLANK(Table26[[#This Row],[customerSKU]]),"",_xlfn.XLOOKUP(Table26[[#This Row],[customerSKU]],Table27[customer_SKU],Table27[case_size],"",0,1))</f>
        <v/>
      </c>
      <c r="W2226" s="117" t="str">
        <f t="shared" si="92"/>
        <v/>
      </c>
      <c r="X2226" s="22" t="str">
        <f t="shared" si="91"/>
        <v/>
      </c>
      <c r="Y2226" s="25" t="str">
        <f>IF(Table26[[#This Row],[customerSKU]]="","",_xlfn.XLOOKUP(Table26[[#This Row],[customerSKU]],Table27[customer_SKU],Table27[product_GTIN],"",0,1))</f>
        <v/>
      </c>
      <c r="Z2226" s="25" t="s">
        <v>3575</v>
      </c>
      <c r="AA2226" s="18" t="str" cm="1">
        <f t="array" ref="AA2226">IF(P2226="", "", _xlfn.XLOOKUP(P2226,#REF!,#REF!,NA,0,-1))</f>
        <v/>
      </c>
      <c r="AB2226" s="22"/>
      <c r="AC2226" s="23" t="str">
        <f>IF(Table26[[#This Row],[customerSKU]]="","",_xlfn.XLOOKUP(Table26[[#This Row],[customerSKU]],customerSKU!G:G,customerSKU!C:C,"",0,1))</f>
        <v/>
      </c>
      <c r="AD2226" s="23" t="str">
        <f>IF($AC2226="","",_xlfn.XLOOKUP($AC2226,'Client Info'!$C$2:$C$2497,'Client Info'!$D$2:$D$2497,"",0,1))</f>
        <v/>
      </c>
      <c r="AE2226" s="23" t="str">
        <f>IF($AC2226="","",_xlfn.XLOOKUP($AC2226,'Client Info'!$C$2:$C$2677,'Client Info'!$E$2:$E$2677,"",))</f>
        <v/>
      </c>
      <c r="AF2226" s="23" t="str">
        <f>IF($AC2226="","",_xlfn.XLOOKUP($AC2226,'Client Info'!$C$2:$C$2677,'Client Info'!$F$2:$F$2677,"",0,1))</f>
        <v/>
      </c>
      <c r="AG2226" s="23" t="str">
        <f>IF(ISBLANK(Table26[[#This Row],[customerSKU]]),"",_xlfn.XLOOKUP(Table26[[#This Row],[customerSKU]],Table27[customer_SKU],Table27[billto],"",0,1))</f>
        <v/>
      </c>
      <c r="AH2226" s="26" t="str">
        <f>_xlfn.XLOOKUP(Table26[[#This Row],[customerSKU]],customerSKU!G:G,customerSKU!K:K,"NA",0,1)</f>
        <v>NA</v>
      </c>
      <c r="AI2226" s="43" t="str">
        <f>_xlfn.XLOOKUP(Table26[[#This Row],[customerSKU]],customerSKU!G:G,customerSKU!O:O,"not found",0,1)</f>
        <v>not found</v>
      </c>
      <c r="AJ2226" s="22" t="e">
        <f>Table26[[#This Row],[unitprice]]*Table26[[#This Row],[quantity_unit]]</f>
        <v>#VALUE!</v>
      </c>
      <c r="AK2226" s="227" t="e" cm="1">
        <f t="array" ref="AK22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6" s="227"/>
    </row>
    <row r="2227" spans="1:38" ht="15.45" customHeight="1">
      <c r="A2227" s="42">
        <v>21</v>
      </c>
      <c r="B2227" s="42" t="s">
        <v>3520</v>
      </c>
      <c r="C2227" s="53" t="s">
        <v>3488</v>
      </c>
      <c r="E2227" s="20"/>
      <c r="F22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7" s="93"/>
      <c r="I2227" s="203">
        <v>45877</v>
      </c>
      <c r="J2227" s="90" t="str">
        <f>IF(Table26[[#This Row],[customerSKU]]="","",_xlfn.XLOOKUP(Table26[[#This Row],[customerSKU]],customerSKU!G:G,customerSKU!A:A,"",0,1))</f>
        <v/>
      </c>
      <c r="K2227" s="19">
        <v>45882</v>
      </c>
      <c r="L2227" s="49" t="str">
        <f>IF(Table26[[#This Row],[customerSKU]]="","",_xlfn.XLOOKUP(Table26[[#This Row],[customerSKU]],customerSKU!G:G,customerSKU!B:B,"",0,1))</f>
        <v/>
      </c>
      <c r="M2227" s="22"/>
      <c r="N2227" s="15" t="str">
        <f>Table26[[#This Row],[po_number]]&amp;"-"&amp;Table26[[#This Row],[po_line]]</f>
        <v>-2</v>
      </c>
      <c r="O2227" s="15">
        <v>2</v>
      </c>
      <c r="P2227" s="50"/>
      <c r="Q2227" s="22" t="s">
        <v>1312</v>
      </c>
      <c r="R2227" s="22" t="s">
        <v>532</v>
      </c>
      <c r="S2227" s="90" t="str">
        <f>IF(Table26[[#This Row],[customerSKU]]="","",_xlfn.XLOOKUP(Table26[[#This Row],[customerSKU]],customerSKU!G:G,customerSKU!N:N,"NOT FOUND",0,1))</f>
        <v>NOT FOUND</v>
      </c>
      <c r="T2227" s="20">
        <v>45854</v>
      </c>
      <c r="U2227" s="94">
        <v>12</v>
      </c>
      <c r="V2227" s="22" t="str">
        <f>IF(ISBLANK(Table26[[#This Row],[customerSKU]]),"",_xlfn.XLOOKUP(Table26[[#This Row],[customerSKU]],Table27[customer_SKU],Table27[case_size],"",0,1))</f>
        <v/>
      </c>
      <c r="W2227" s="117" t="str">
        <f t="shared" si="92"/>
        <v/>
      </c>
      <c r="X2227" s="22" t="str">
        <f t="shared" si="91"/>
        <v/>
      </c>
      <c r="Y2227" s="25" t="str">
        <f>IF(Table26[[#This Row],[customerSKU]]="","",_xlfn.XLOOKUP(Table26[[#This Row],[customerSKU]],Table27[customer_SKU],Table27[product_GTIN],"",0,1))</f>
        <v/>
      </c>
      <c r="Z2227" s="25" t="s">
        <v>3645</v>
      </c>
      <c r="AA2227" s="18" t="str" cm="1">
        <f t="array" ref="AA2227">IF(P2227="", "", _xlfn.XLOOKUP(P2227,#REF!,#REF!,NA,0,-1))</f>
        <v/>
      </c>
      <c r="AB2227" s="22"/>
      <c r="AC2227" s="23" t="str">
        <f>IF(Table26[[#This Row],[customerSKU]]="","",_xlfn.XLOOKUP(Table26[[#This Row],[customerSKU]],customerSKU!G:G,customerSKU!C:C,"",0,1))</f>
        <v/>
      </c>
      <c r="AD2227" s="23" t="str">
        <f>IF($AC2227="","",_xlfn.XLOOKUP($AC2227,'Client Info'!$C$2:$C$2497,'Client Info'!$D$2:$D$2497,"",0,1))</f>
        <v/>
      </c>
      <c r="AE2227" s="23" t="str">
        <f>IF($AC2227="","",_xlfn.XLOOKUP($AC2227,'Client Info'!$C$2:$C$2677,'Client Info'!$E$2:$E$2677,"",))</f>
        <v/>
      </c>
      <c r="AF2227" s="23" t="str">
        <f>IF($AC2227="","",_xlfn.XLOOKUP($AC2227,'Client Info'!$C$2:$C$2677,'Client Info'!$F$2:$F$2677,"",0,1))</f>
        <v/>
      </c>
      <c r="AG2227" s="23" t="str">
        <f>IF(ISBLANK(Table26[[#This Row],[customerSKU]]),"",_xlfn.XLOOKUP(Table26[[#This Row],[customerSKU]],Table27[customer_SKU],Table27[billto],"",0,1))</f>
        <v/>
      </c>
      <c r="AH2227" s="26" t="str">
        <f>_xlfn.XLOOKUP(Table26[[#This Row],[customerSKU]],customerSKU!G:G,customerSKU!K:K,"NA",0,1)</f>
        <v>NA</v>
      </c>
      <c r="AI2227" s="43" t="str">
        <f>_xlfn.XLOOKUP(Table26[[#This Row],[customerSKU]],customerSKU!G:G,customerSKU!O:O,"not found",0,1)</f>
        <v>not found</v>
      </c>
      <c r="AJ2227" s="22" t="e">
        <f>Table26[[#This Row],[unitprice]]*Table26[[#This Row],[quantity_unit]]</f>
        <v>#VALUE!</v>
      </c>
      <c r="AK2227" s="227" t="e" cm="1">
        <f t="array" ref="AK22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7" s="227"/>
    </row>
    <row r="2228" spans="1:38" ht="16.2" customHeight="1">
      <c r="A2228" s="42">
        <v>22</v>
      </c>
      <c r="B2228" s="42" t="s">
        <v>3520</v>
      </c>
      <c r="C2228" s="53" t="s">
        <v>3488</v>
      </c>
      <c r="E2228" s="20"/>
      <c r="F22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8" s="93"/>
      <c r="I2228" s="203">
        <v>45877</v>
      </c>
      <c r="J2228" s="90" t="str">
        <f>IF(Table26[[#This Row],[customerSKU]]="","",_xlfn.XLOOKUP(Table26[[#This Row],[customerSKU]],customerSKU!G:G,customerSKU!A:A,"",0,1))</f>
        <v/>
      </c>
      <c r="K2228" s="19">
        <v>45882</v>
      </c>
      <c r="L2228" s="49" t="str">
        <f>IF(Table26[[#This Row],[customerSKU]]="","",_xlfn.XLOOKUP(Table26[[#This Row],[customerSKU]],customerSKU!G:G,customerSKU!B:B,"",0,1))</f>
        <v/>
      </c>
      <c r="M2228" s="22"/>
      <c r="N2228" s="15" t="str">
        <f>Table26[[#This Row],[po_number]]&amp;"-"&amp;Table26[[#This Row],[po_line]]</f>
        <v>-3</v>
      </c>
      <c r="O2228" s="15">
        <v>3</v>
      </c>
      <c r="P2228" s="50"/>
      <c r="Q2228" s="22" t="s">
        <v>1806</v>
      </c>
      <c r="R2228" s="22" t="s">
        <v>532</v>
      </c>
      <c r="S2228" s="90" t="str">
        <f>IF(Table26[[#This Row],[customerSKU]]="","",_xlfn.XLOOKUP(Table26[[#This Row],[customerSKU]],customerSKU!G:G,customerSKU!N:N,"NOT FOUND",0,1))</f>
        <v>NOT FOUND</v>
      </c>
      <c r="T2228" s="20">
        <v>45826</v>
      </c>
      <c r="U2228" s="94">
        <v>12</v>
      </c>
      <c r="V2228" s="22">
        <v>12</v>
      </c>
      <c r="W2228" s="117">
        <f t="shared" si="92"/>
        <v>1</v>
      </c>
      <c r="X2228" s="22" t="str">
        <f t="shared" si="91"/>
        <v/>
      </c>
      <c r="Y2228" s="25" t="str">
        <f>IF(Table26[[#This Row],[customerSKU]]="","",_xlfn.XLOOKUP(Table26[[#This Row],[customerSKU]],Table27[customer_SKU],Table27[product_GTIN],"",0,1))</f>
        <v/>
      </c>
      <c r="Z2228" s="22">
        <v>996058</v>
      </c>
      <c r="AA2228" s="18" t="str" cm="1">
        <f t="array" ref="AA2228">IF(P2228="", "", _xlfn.XLOOKUP(P2228,#REF!,#REF!,NA,0,-1))</f>
        <v/>
      </c>
      <c r="AB2228" s="22"/>
      <c r="AC2228" s="23" t="str">
        <f>IF(Table26[[#This Row],[customerSKU]]="","",_xlfn.XLOOKUP(Table26[[#This Row],[customerSKU]],customerSKU!G:G,customerSKU!C:C,"",0,1))</f>
        <v/>
      </c>
      <c r="AD2228" s="23" t="str">
        <f>IF($AC2228="","",_xlfn.XLOOKUP($AC2228,'Client Info'!$C$2:$C$2497,'Client Info'!$D$2:$D$2497,"",0,1))</f>
        <v/>
      </c>
      <c r="AE2228" s="23" t="str">
        <f>IF($AC2228="","",_xlfn.XLOOKUP($AC2228,'Client Info'!$C$2:$C$2677,'Client Info'!$E$2:$E$2677,"",))</f>
        <v/>
      </c>
      <c r="AF2228" s="23" t="str">
        <f>IF($AC2228="","",_xlfn.XLOOKUP($AC2228,'Client Info'!$C$2:$C$2677,'Client Info'!$F$2:$F$2677,"",0,1))</f>
        <v/>
      </c>
      <c r="AG2228" s="23" t="str">
        <f>IF(ISBLANK(Table26[[#This Row],[customerSKU]]),"",_xlfn.XLOOKUP(Table26[[#This Row],[customerSKU]],Table27[customer_SKU],Table27[billto],"",0,1))</f>
        <v/>
      </c>
      <c r="AH2228" s="26" t="str">
        <f>_xlfn.XLOOKUP(Table26[[#This Row],[customerSKU]],customerSKU!G:G,customerSKU!K:K,"NA",0,1)</f>
        <v>NA</v>
      </c>
      <c r="AI2228" s="43" t="str">
        <f>_xlfn.XLOOKUP(Table26[[#This Row],[customerSKU]],customerSKU!G:G,customerSKU!O:O,"not found",0,1)</f>
        <v>not found</v>
      </c>
      <c r="AJ2228" s="22" t="e">
        <f>Table26[[#This Row],[unitprice]]*Table26[[#This Row],[quantity_unit]]</f>
        <v>#VALUE!</v>
      </c>
      <c r="AK2228" s="227" t="e" cm="1">
        <f t="array" ref="AK22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8" s="227"/>
    </row>
    <row r="2229" spans="1:38" ht="16.2" customHeight="1">
      <c r="A2229" s="42">
        <v>23</v>
      </c>
      <c r="B2229" s="42" t="s">
        <v>3520</v>
      </c>
      <c r="C2229" s="53" t="s">
        <v>3488</v>
      </c>
      <c r="E2229" s="20"/>
      <c r="F22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29" s="93"/>
      <c r="I2229" s="203">
        <v>45877</v>
      </c>
      <c r="J2229" s="90" t="str">
        <f>IF(Table26[[#This Row],[customerSKU]]="","",_xlfn.XLOOKUP(Table26[[#This Row],[customerSKU]],customerSKU!G:G,customerSKU!A:A,"",0,1))</f>
        <v/>
      </c>
      <c r="K2229" s="19">
        <v>45882</v>
      </c>
      <c r="L2229" s="49" t="str">
        <f>IF(Table26[[#This Row],[customerSKU]]="","",_xlfn.XLOOKUP(Table26[[#This Row],[customerSKU]],customerSKU!G:G,customerSKU!B:B,"",0,1))</f>
        <v/>
      </c>
      <c r="M2229" s="22"/>
      <c r="N2229" s="15" t="str">
        <f>Table26[[#This Row],[po_number]]&amp;"-"&amp;Table26[[#This Row],[po_line]]</f>
        <v>-4</v>
      </c>
      <c r="O2229" s="15">
        <v>4</v>
      </c>
      <c r="P2229" s="50"/>
      <c r="Q2229" s="22" t="s">
        <v>1849</v>
      </c>
      <c r="R2229" s="22" t="s">
        <v>532</v>
      </c>
      <c r="S2229" s="90" t="str">
        <f>IF(Table26[[#This Row],[customerSKU]]="","",_xlfn.XLOOKUP(Table26[[#This Row],[customerSKU]],customerSKU!G:G,customerSKU!N:N,"NOT FOUND",0,1))</f>
        <v>NOT FOUND</v>
      </c>
      <c r="T2229" s="20">
        <v>45880</v>
      </c>
      <c r="U2229" s="94">
        <v>12</v>
      </c>
      <c r="V2229" s="22">
        <v>12</v>
      </c>
      <c r="W2229" s="117">
        <f t="shared" si="92"/>
        <v>1</v>
      </c>
      <c r="X2229" s="22" t="str">
        <f t="shared" si="91"/>
        <v/>
      </c>
      <c r="Y2229" s="25" t="str">
        <f>IF(Table26[[#This Row],[customerSKU]]="","",_xlfn.XLOOKUP(Table26[[#This Row],[customerSKU]],Table27[customer_SKU],Table27[product_GTIN],"",0,1))</f>
        <v/>
      </c>
      <c r="Z2229" s="4">
        <v>990828</v>
      </c>
      <c r="AA2229" s="18" t="str" cm="1">
        <f t="array" ref="AA2229">IF(P2229="", "", _xlfn.XLOOKUP(P2229,#REF!,#REF!,NA,0,-1))</f>
        <v/>
      </c>
      <c r="AB2229" s="22"/>
      <c r="AC2229" s="23" t="str">
        <f>IF(Table26[[#This Row],[customerSKU]]="","",_xlfn.XLOOKUP(Table26[[#This Row],[customerSKU]],customerSKU!G:G,customerSKU!C:C,"",0,1))</f>
        <v/>
      </c>
      <c r="AD2229" s="23" t="str">
        <f>IF($AC2229="","",_xlfn.XLOOKUP($AC2229,'Client Info'!$C$2:$C$2497,'Client Info'!$D$2:$D$2497,"",0,1))</f>
        <v/>
      </c>
      <c r="AE2229" s="23" t="str">
        <f>IF($AC2229="","",_xlfn.XLOOKUP($AC2229,'Client Info'!$C$2:$C$2677,'Client Info'!$E$2:$E$2677,"",))</f>
        <v/>
      </c>
      <c r="AF2229" s="23" t="str">
        <f>IF($AC2229="","",_xlfn.XLOOKUP($AC2229,'Client Info'!$C$2:$C$2677,'Client Info'!$F$2:$F$2677,"",0,1))</f>
        <v/>
      </c>
      <c r="AG2229" s="23" t="str">
        <f>IF(ISBLANK(Table26[[#This Row],[customerSKU]]),"",_xlfn.XLOOKUP(Table26[[#This Row],[customerSKU]],Table27[customer_SKU],Table27[billto],"",0,1))</f>
        <v/>
      </c>
      <c r="AH2229" s="26" t="str">
        <f>_xlfn.XLOOKUP(Table26[[#This Row],[customerSKU]],customerSKU!G:G,customerSKU!K:K,"NA",0,1)</f>
        <v>NA</v>
      </c>
      <c r="AI2229" s="43" t="str">
        <f>_xlfn.XLOOKUP(Table26[[#This Row],[customerSKU]],customerSKU!G:G,customerSKU!O:O,"not found",0,1)</f>
        <v>not found</v>
      </c>
      <c r="AJ2229" s="22" t="e">
        <f>Table26[[#This Row],[unitprice]]*Table26[[#This Row],[quantity_unit]]</f>
        <v>#VALUE!</v>
      </c>
      <c r="AK2229" s="227" t="e" cm="1">
        <f t="array" ref="AK22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29" s="227"/>
    </row>
    <row r="2230" spans="1:38" ht="16.2" customHeight="1">
      <c r="A2230" s="42">
        <v>24</v>
      </c>
      <c r="B2230" s="42" t="s">
        <v>3520</v>
      </c>
      <c r="C2230" s="53" t="s">
        <v>3488</v>
      </c>
      <c r="E2230" s="20"/>
      <c r="F22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0" s="93"/>
      <c r="I2230" s="203">
        <v>45877</v>
      </c>
      <c r="J2230" s="90" t="str">
        <f>IF(Table26[[#This Row],[customerSKU]]="","",_xlfn.XLOOKUP(Table26[[#This Row],[customerSKU]],customerSKU!G:G,customerSKU!A:A,"",0,1))</f>
        <v/>
      </c>
      <c r="K2230" s="19">
        <v>45882</v>
      </c>
      <c r="L2230" s="49" t="str">
        <f>IF(Table26[[#This Row],[customerSKU]]="","",_xlfn.XLOOKUP(Table26[[#This Row],[customerSKU]],customerSKU!G:G,customerSKU!B:B,"",0,1))</f>
        <v/>
      </c>
      <c r="M2230" s="22"/>
      <c r="N2230" s="15" t="str">
        <f>Table26[[#This Row],[po_number]]&amp;"-"&amp;Table26[[#This Row],[po_line]]</f>
        <v>-5</v>
      </c>
      <c r="O2230" s="15">
        <v>5</v>
      </c>
      <c r="P2230" s="50"/>
      <c r="Q2230" s="22" t="s">
        <v>981</v>
      </c>
      <c r="R2230" s="22" t="s">
        <v>532</v>
      </c>
      <c r="S2230" s="90" t="str">
        <f>IF(Table26[[#This Row],[customerSKU]]="","",_xlfn.XLOOKUP(Table26[[#This Row],[customerSKU]],customerSKU!G:G,customerSKU!N:N,"NOT FOUND",0,1))</f>
        <v>NOT FOUND</v>
      </c>
      <c r="T2230" s="20">
        <v>45531</v>
      </c>
      <c r="U2230" s="94">
        <v>12</v>
      </c>
      <c r="V2230" s="22" t="str">
        <f>IF(ISBLANK(Table26[[#This Row],[customerSKU]]),"",_xlfn.XLOOKUP(Table26[[#This Row],[customerSKU]],Table27[customer_SKU],Table27[case_size],"",0,1))</f>
        <v/>
      </c>
      <c r="W2230" s="117" t="str">
        <f t="shared" si="92"/>
        <v/>
      </c>
      <c r="X2230" s="22" t="str">
        <f t="shared" si="91"/>
        <v/>
      </c>
      <c r="Y2230" s="25" t="str">
        <f>IF(Table26[[#This Row],[customerSKU]]="","",_xlfn.XLOOKUP(Table26[[#This Row],[customerSKU]],Table27[customer_SKU],Table27[product_GTIN],"",0,1))</f>
        <v/>
      </c>
      <c r="Z2230" s="25" t="s">
        <v>3767</v>
      </c>
      <c r="AA2230" s="18" t="str" cm="1">
        <f t="array" ref="AA2230">IF(P2230="", "", _xlfn.XLOOKUP(P2230,#REF!,#REF!,NA,0,-1))</f>
        <v/>
      </c>
      <c r="AB2230" s="22"/>
      <c r="AC2230" s="23" t="str">
        <f>IF(Table26[[#This Row],[customerSKU]]="","",_xlfn.XLOOKUP(Table26[[#This Row],[customerSKU]],customerSKU!G:G,customerSKU!C:C,"",0,1))</f>
        <v/>
      </c>
      <c r="AD2230" s="23" t="str">
        <f>IF($AC2230="","",_xlfn.XLOOKUP($AC2230,'Client Info'!$C$2:$C$2497,'Client Info'!$D$2:$D$2497,"",0,1))</f>
        <v/>
      </c>
      <c r="AE2230" s="23" t="str">
        <f>IF($AC2230="","",_xlfn.XLOOKUP($AC2230,'Client Info'!$C$2:$C$2677,'Client Info'!$E$2:$E$2677,"",))</f>
        <v/>
      </c>
      <c r="AF2230" s="23" t="str">
        <f>IF($AC2230="","",_xlfn.XLOOKUP($AC2230,'Client Info'!$C$2:$C$2677,'Client Info'!$F$2:$F$2677,"",0,1))</f>
        <v/>
      </c>
      <c r="AG2230" s="23" t="str">
        <f>IF(ISBLANK(Table26[[#This Row],[customerSKU]]),"",_xlfn.XLOOKUP(Table26[[#This Row],[customerSKU]],Table27[customer_SKU],Table27[billto],"",0,1))</f>
        <v/>
      </c>
      <c r="AH2230" s="26" t="str">
        <f>_xlfn.XLOOKUP(Table26[[#This Row],[customerSKU]],customerSKU!G:G,customerSKU!K:K,"NA",0,1)</f>
        <v>NA</v>
      </c>
      <c r="AI2230" s="43" t="str">
        <f>_xlfn.XLOOKUP(Table26[[#This Row],[customerSKU]],customerSKU!G:G,customerSKU!O:O,"not found",0,1)</f>
        <v>not found</v>
      </c>
      <c r="AJ2230" s="22" t="e">
        <f>Table26[[#This Row],[unitprice]]*Table26[[#This Row],[quantity_unit]]</f>
        <v>#VALUE!</v>
      </c>
      <c r="AK2230" s="227" t="e" cm="1">
        <f t="array" ref="AK22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0" s="227"/>
    </row>
    <row r="2231" spans="1:38" ht="15.45" customHeight="1">
      <c r="A2231" s="42">
        <v>25</v>
      </c>
      <c r="B2231" s="42" t="s">
        <v>3520</v>
      </c>
      <c r="C2231" s="53" t="s">
        <v>3488</v>
      </c>
      <c r="E2231" s="20"/>
      <c r="F22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1" s="93"/>
      <c r="I2231" s="203">
        <v>45877</v>
      </c>
      <c r="J2231" s="90" t="str">
        <f>IF(Table26[[#This Row],[customerSKU]]="","",_xlfn.XLOOKUP(Table26[[#This Row],[customerSKU]],customerSKU!G:G,customerSKU!A:A,"",0,1))</f>
        <v/>
      </c>
      <c r="K2231" s="19">
        <v>45882</v>
      </c>
      <c r="L2231" s="49" t="str">
        <f>IF(Table26[[#This Row],[customerSKU]]="","",_xlfn.XLOOKUP(Table26[[#This Row],[customerSKU]],customerSKU!G:G,customerSKU!B:B,"",0,1))</f>
        <v/>
      </c>
      <c r="M2231" s="22"/>
      <c r="N2231" s="15" t="str">
        <f>Table26[[#This Row],[po_number]]&amp;"-"&amp;Table26[[#This Row],[po_line]]</f>
        <v>-6</v>
      </c>
      <c r="O2231" s="15">
        <v>6</v>
      </c>
      <c r="P2231" s="50"/>
      <c r="Q2231" s="22" t="s">
        <v>1842</v>
      </c>
      <c r="R2231" s="22" t="s">
        <v>532</v>
      </c>
      <c r="S2231" s="90" t="str">
        <f>IF(Table26[[#This Row],[customerSKU]]="","",_xlfn.XLOOKUP(Table26[[#This Row],[customerSKU]],customerSKU!G:G,customerSKU!N:N,"NOT FOUND",0,1))</f>
        <v>NOT FOUND</v>
      </c>
      <c r="T2231" s="20">
        <v>45854</v>
      </c>
      <c r="U2231" s="94">
        <v>12</v>
      </c>
      <c r="V2231" s="22" t="str">
        <f>IF(ISBLANK(Table26[[#This Row],[customerSKU]]),"",_xlfn.XLOOKUP(Table26[[#This Row],[customerSKU]],Table27[customer_SKU],Table27[case_size],"",0,1))</f>
        <v/>
      </c>
      <c r="W2231" s="117" t="str">
        <f t="shared" si="92"/>
        <v/>
      </c>
      <c r="X2231" s="22" t="str">
        <f t="shared" si="91"/>
        <v/>
      </c>
      <c r="Y2231" s="25" t="str">
        <f>IF(Table26[[#This Row],[customerSKU]]="","",_xlfn.XLOOKUP(Table26[[#This Row],[customerSKU]],Table27[customer_SKU],Table27[product_GTIN],"",0,1))</f>
        <v/>
      </c>
      <c r="Z2231" s="25" t="s">
        <v>3643</v>
      </c>
      <c r="AA2231" s="18" t="str" cm="1">
        <f t="array" ref="AA2231">IF(P2231="", "", _xlfn.XLOOKUP(P2231,#REF!,#REF!,NA,0,-1))</f>
        <v/>
      </c>
      <c r="AB2231" s="22"/>
      <c r="AC2231" s="23" t="str">
        <f>IF(Table26[[#This Row],[customerSKU]]="","",_xlfn.XLOOKUP(Table26[[#This Row],[customerSKU]],customerSKU!G:G,customerSKU!C:C,"",0,1))</f>
        <v/>
      </c>
      <c r="AD2231" s="23" t="str">
        <f>IF($AC2231="","",_xlfn.XLOOKUP($AC2231,'Client Info'!$C$2:$C$2497,'Client Info'!$D$2:$D$2497,"",0,1))</f>
        <v/>
      </c>
      <c r="AE2231" s="23" t="str">
        <f>IF($AC2231="","",_xlfn.XLOOKUP($AC2231,'Client Info'!$C$2:$C$2677,'Client Info'!$E$2:$E$2677,"",))</f>
        <v/>
      </c>
      <c r="AF2231" s="23" t="str">
        <f>IF($AC2231="","",_xlfn.XLOOKUP($AC2231,'Client Info'!$C$2:$C$2677,'Client Info'!$F$2:$F$2677,"",0,1))</f>
        <v/>
      </c>
      <c r="AG2231" s="23" t="str">
        <f>IF(ISBLANK(Table26[[#This Row],[customerSKU]]),"",_xlfn.XLOOKUP(Table26[[#This Row],[customerSKU]],Table27[customer_SKU],Table27[billto],"",0,1))</f>
        <v/>
      </c>
      <c r="AH2231" s="26" t="str">
        <f>_xlfn.XLOOKUP(Table26[[#This Row],[customerSKU]],customerSKU!G:G,customerSKU!K:K,"NA",0,1)</f>
        <v>NA</v>
      </c>
      <c r="AI2231" s="43" t="str">
        <f>_xlfn.XLOOKUP(Table26[[#This Row],[customerSKU]],customerSKU!G:G,customerSKU!O:O,"not found",0,1)</f>
        <v>not found</v>
      </c>
      <c r="AJ2231" s="22" t="e">
        <f>Table26[[#This Row],[unitprice]]*Table26[[#This Row],[quantity_unit]]</f>
        <v>#VALUE!</v>
      </c>
      <c r="AK2231" s="227" t="e" cm="1">
        <f t="array" ref="AK22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1" s="227"/>
    </row>
    <row r="2232" spans="1:38" ht="15.45" customHeight="1">
      <c r="A2232" s="42">
        <v>26</v>
      </c>
      <c r="B2232" s="42" t="s">
        <v>3520</v>
      </c>
      <c r="C2232" s="53" t="s">
        <v>3488</v>
      </c>
      <c r="E2232" s="20"/>
      <c r="F22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2" s="93"/>
      <c r="I2232" s="203">
        <v>45877</v>
      </c>
      <c r="J2232" s="90" t="str">
        <f>IF(Table26[[#This Row],[customerSKU]]="","",_xlfn.XLOOKUP(Table26[[#This Row],[customerSKU]],customerSKU!G:G,customerSKU!A:A,"",0,1))</f>
        <v/>
      </c>
      <c r="K2232" s="19">
        <v>45882</v>
      </c>
      <c r="L2232" s="49" t="str">
        <f>IF(Table26[[#This Row],[customerSKU]]="","",_xlfn.XLOOKUP(Table26[[#This Row],[customerSKU]],customerSKU!G:G,customerSKU!B:B,"",0,1))</f>
        <v/>
      </c>
      <c r="M2232" s="22"/>
      <c r="N2232" s="15" t="str">
        <f>Table26[[#This Row],[po_number]]&amp;"-"&amp;Table26[[#This Row],[po_line]]</f>
        <v>-7</v>
      </c>
      <c r="O2232" s="15">
        <v>7</v>
      </c>
      <c r="P2232" s="50"/>
      <c r="Q2232" s="22" t="s">
        <v>1842</v>
      </c>
      <c r="R2232" s="22" t="s">
        <v>532</v>
      </c>
      <c r="S2232" s="90" t="str">
        <f>IF(Table26[[#This Row],[customerSKU]]="","",_xlfn.XLOOKUP(Table26[[#This Row],[customerSKU]],customerSKU!G:G,customerSKU!N:N,"NOT FOUND",0,1))</f>
        <v>NOT FOUND</v>
      </c>
      <c r="T2232" s="20">
        <v>45877</v>
      </c>
      <c r="U2232" s="94">
        <v>36</v>
      </c>
      <c r="V2232" s="22" t="str">
        <f>IF(ISBLANK(Table26[[#This Row],[customerSKU]]),"",_xlfn.XLOOKUP(Table26[[#This Row],[customerSKU]],Table27[customer_SKU],Table27[case_size],"",0,1))</f>
        <v/>
      </c>
      <c r="W2232" s="117" t="str">
        <f t="shared" si="92"/>
        <v/>
      </c>
      <c r="X2232" s="22" t="str">
        <f t="shared" si="91"/>
        <v/>
      </c>
      <c r="Y2232" s="25" t="str">
        <f>IF(Table26[[#This Row],[customerSKU]]="","",_xlfn.XLOOKUP(Table26[[#This Row],[customerSKU]],Table27[customer_SKU],Table27[product_GTIN],"",0,1))</f>
        <v/>
      </c>
      <c r="Z2232" s="25" t="s">
        <v>3643</v>
      </c>
      <c r="AA2232" s="18" t="str" cm="1">
        <f t="array" ref="AA2232">IF(P2232="", "", _xlfn.XLOOKUP(P2232,#REF!,#REF!,NA,0,-1))</f>
        <v/>
      </c>
      <c r="AB2232" s="22"/>
      <c r="AC2232" s="23" t="str">
        <f>IF(Table26[[#This Row],[customerSKU]]="","",_xlfn.XLOOKUP(Table26[[#This Row],[customerSKU]],customerSKU!G:G,customerSKU!C:C,"",0,1))</f>
        <v/>
      </c>
      <c r="AD2232" s="23" t="str">
        <f>IF($AC2232="","",_xlfn.XLOOKUP($AC2232,'Client Info'!$C$2:$C$2497,'Client Info'!$D$2:$D$2497,"",0,1))</f>
        <v/>
      </c>
      <c r="AE2232" s="23" t="str">
        <f>IF($AC2232="","",_xlfn.XLOOKUP($AC2232,'Client Info'!$C$2:$C$2677,'Client Info'!$E$2:$E$2677,"",))</f>
        <v/>
      </c>
      <c r="AF2232" s="23" t="str">
        <f>IF($AC2232="","",_xlfn.XLOOKUP($AC2232,'Client Info'!$C$2:$C$2677,'Client Info'!$F$2:$F$2677,"",0,1))</f>
        <v/>
      </c>
      <c r="AG2232" s="23" t="str">
        <f>IF(ISBLANK(Table26[[#This Row],[customerSKU]]),"",_xlfn.XLOOKUP(Table26[[#This Row],[customerSKU]],Table27[customer_SKU],Table27[billto],"",0,1))</f>
        <v/>
      </c>
      <c r="AH2232" s="26" t="str">
        <f>_xlfn.XLOOKUP(Table26[[#This Row],[customerSKU]],customerSKU!G:G,customerSKU!K:K,"NA",0,1)</f>
        <v>NA</v>
      </c>
      <c r="AI2232" s="43" t="str">
        <f>_xlfn.XLOOKUP(Table26[[#This Row],[customerSKU]],customerSKU!G:G,customerSKU!O:O,"not found",0,1)</f>
        <v>not found</v>
      </c>
      <c r="AJ2232" s="22" t="e">
        <f>Table26[[#This Row],[unitprice]]*Table26[[#This Row],[quantity_unit]]</f>
        <v>#VALUE!</v>
      </c>
      <c r="AK2232" s="227" t="e" cm="1">
        <f t="array" ref="AK22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2" s="227"/>
    </row>
    <row r="2233" spans="1:38" ht="15.45" customHeight="1">
      <c r="A2233" s="42">
        <v>27</v>
      </c>
      <c r="B2233" s="42" t="s">
        <v>3520</v>
      </c>
      <c r="C2233" s="53" t="s">
        <v>3488</v>
      </c>
      <c r="E2233" s="20"/>
      <c r="F22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3" s="93"/>
      <c r="I2233" s="203">
        <v>45877</v>
      </c>
      <c r="J2233" s="90" t="str">
        <f>IF(Table26[[#This Row],[customerSKU]]="","",_xlfn.XLOOKUP(Table26[[#This Row],[customerSKU]],customerSKU!G:G,customerSKU!A:A,"",0,1))</f>
        <v/>
      </c>
      <c r="K2233" s="19">
        <v>45882</v>
      </c>
      <c r="L2233" s="49" t="str">
        <f>IF(Table26[[#This Row],[customerSKU]]="","",_xlfn.XLOOKUP(Table26[[#This Row],[customerSKU]],customerSKU!G:G,customerSKU!B:B,"",0,1))</f>
        <v/>
      </c>
      <c r="M2233" s="22"/>
      <c r="N2233" s="15" t="str">
        <f>Table26[[#This Row],[po_number]]&amp;"-"&amp;Table26[[#This Row],[po_line]]</f>
        <v>-8</v>
      </c>
      <c r="O2233" s="15">
        <v>8</v>
      </c>
      <c r="P2233" s="50"/>
      <c r="Q2233" s="22" t="s">
        <v>3378</v>
      </c>
      <c r="R2233" s="22" t="s">
        <v>532</v>
      </c>
      <c r="S2233" s="90" t="str">
        <f>IF(Table26[[#This Row],[customerSKU]]="","",_xlfn.XLOOKUP(Table26[[#This Row],[customerSKU]],customerSKU!G:G,customerSKU!N:N,"NOT FOUND",0,1))</f>
        <v>NOT FOUND</v>
      </c>
      <c r="T2233" s="20">
        <v>45714</v>
      </c>
      <c r="U2233" s="94">
        <v>12</v>
      </c>
      <c r="V2233" s="22" t="str">
        <f>IF(ISBLANK(Table26[[#This Row],[customerSKU]]),"",_xlfn.XLOOKUP(Table26[[#This Row],[customerSKU]],Table27[customer_SKU],Table27[case_size],"",0,1))</f>
        <v/>
      </c>
      <c r="W2233" s="117" t="str">
        <f t="shared" si="92"/>
        <v/>
      </c>
      <c r="X2233" s="22" t="str">
        <f t="shared" si="91"/>
        <v/>
      </c>
      <c r="Y2233" s="25" t="str">
        <f>IF(Table26[[#This Row],[customerSKU]]="","",_xlfn.XLOOKUP(Table26[[#This Row],[customerSKU]],Table27[customer_SKU],Table27[product_GTIN],"",0,1))</f>
        <v/>
      </c>
      <c r="Z2233" s="25" t="s">
        <v>3731</v>
      </c>
      <c r="AA2233" s="18" t="str" cm="1">
        <f t="array" ref="AA2233">IF(P2233="", "", _xlfn.XLOOKUP(P2233,#REF!,#REF!,NA,0,-1))</f>
        <v/>
      </c>
      <c r="AB2233" s="22"/>
      <c r="AC2233" s="23" t="str">
        <f>IF(Table26[[#This Row],[customerSKU]]="","",_xlfn.XLOOKUP(Table26[[#This Row],[customerSKU]],customerSKU!G:G,customerSKU!C:C,"",0,1))</f>
        <v/>
      </c>
      <c r="AD2233" s="23" t="str">
        <f>IF($AC2233="","",_xlfn.XLOOKUP($AC2233,'Client Info'!$C$2:$C$2497,'Client Info'!$D$2:$D$2497,"",0,1))</f>
        <v/>
      </c>
      <c r="AE2233" s="23" t="str">
        <f>IF($AC2233="","",_xlfn.XLOOKUP($AC2233,'Client Info'!$C$2:$C$2677,'Client Info'!$E$2:$E$2677,"",))</f>
        <v/>
      </c>
      <c r="AF2233" s="23" t="str">
        <f>IF($AC2233="","",_xlfn.XLOOKUP($AC2233,'Client Info'!$C$2:$C$2677,'Client Info'!$F$2:$F$2677,"",0,1))</f>
        <v/>
      </c>
      <c r="AG2233" s="23" t="str">
        <f>IF(ISBLANK(Table26[[#This Row],[customerSKU]]),"",_xlfn.XLOOKUP(Table26[[#This Row],[customerSKU]],Table27[customer_SKU],Table27[billto],"",0,1))</f>
        <v/>
      </c>
      <c r="AH2233" s="26" t="str">
        <f>_xlfn.XLOOKUP(Table26[[#This Row],[customerSKU]],customerSKU!G:G,customerSKU!K:K,"NA",0,1)</f>
        <v>NA</v>
      </c>
      <c r="AI2233" s="43" t="str">
        <f>_xlfn.XLOOKUP(Table26[[#This Row],[customerSKU]],customerSKU!G:G,customerSKU!O:O,"not found",0,1)</f>
        <v>not found</v>
      </c>
      <c r="AJ2233" s="22" t="e">
        <f>Table26[[#This Row],[unitprice]]*Table26[[#This Row],[quantity_unit]]</f>
        <v>#VALUE!</v>
      </c>
      <c r="AK2233" s="227" t="e" cm="1">
        <f t="array" ref="AK22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3" s="227"/>
    </row>
    <row r="2234" spans="1:38" ht="16.2" customHeight="1">
      <c r="A2234" s="42">
        <v>2279</v>
      </c>
      <c r="B2234" s="42" t="s">
        <v>3520</v>
      </c>
      <c r="C2234" s="53" t="s">
        <v>203</v>
      </c>
      <c r="E2234" s="20"/>
      <c r="F22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4" s="93"/>
      <c r="I2234" s="203">
        <v>45878</v>
      </c>
      <c r="J2234" s="90" t="str">
        <f>IF(Table26[[#This Row],[customerSKU]]="","",_xlfn.XLOOKUP(Table26[[#This Row],[customerSKU]],customerSKU!G:G,customerSKU!A:A,"",0,1))</f>
        <v/>
      </c>
      <c r="K2234" s="19">
        <v>45882</v>
      </c>
      <c r="L2234" s="49" t="str">
        <f>IF(Table26[[#This Row],[customerSKU]]="","",_xlfn.XLOOKUP(Table26[[#This Row],[customerSKU]],customerSKU!G:G,customerSKU!B:B,"",0,1))</f>
        <v/>
      </c>
      <c r="M2234" s="22"/>
      <c r="N2234" s="15" t="str">
        <f>Table26[[#This Row],[po_number]]&amp;"-"&amp;Table26[[#This Row],[po_line]]</f>
        <v>-1</v>
      </c>
      <c r="O2234" s="15">
        <v>1</v>
      </c>
      <c r="P2234" s="50"/>
      <c r="Q2234" s="22" t="s">
        <v>578</v>
      </c>
      <c r="R2234" s="22" t="s">
        <v>532</v>
      </c>
      <c r="S2234" s="90" t="str">
        <f>IF(Table26[[#This Row],[customerSKU]]="","",_xlfn.XLOOKUP(Table26[[#This Row],[customerSKU]],customerSKU!G:G,customerSKU!N:N,"NOT FOUND",0,1))</f>
        <v>NOT FOUND</v>
      </c>
      <c r="T2234" s="20">
        <v>45700</v>
      </c>
      <c r="U2234" s="94">
        <v>24</v>
      </c>
      <c r="V2234" s="22" t="str">
        <f>IF(ISBLANK(Table26[[#This Row],[customerSKU]]),"",_xlfn.XLOOKUP(Table26[[#This Row],[customerSKU]],Table27[customer_SKU],Table27[case_size],"",0,1))</f>
        <v/>
      </c>
      <c r="W2234" s="117" t="str">
        <f t="shared" si="92"/>
        <v/>
      </c>
      <c r="X2234" s="22" t="str">
        <f t="shared" si="91"/>
        <v/>
      </c>
      <c r="Y2234" s="25" t="str">
        <f>IF(Table26[[#This Row],[customerSKU]]="","",_xlfn.XLOOKUP(Table26[[#This Row],[customerSKU]],Table27[customer_SKU],Table27[product_GTIN],"",0,1))</f>
        <v/>
      </c>
      <c r="Z2234" s="25" t="s">
        <v>3728</v>
      </c>
      <c r="AA2234" s="18" t="str" cm="1">
        <f t="array" ref="AA2234">IF(P2234="", "", _xlfn.XLOOKUP(P2234,#REF!,#REF!,NA,0,-1))</f>
        <v/>
      </c>
      <c r="AB2234" s="22"/>
      <c r="AC2234" s="23" t="s">
        <v>3531</v>
      </c>
      <c r="AD2234" s="23" t="str">
        <f>IF($AC2234="","",_xlfn.XLOOKUP($AC2234,'Client Info'!$C$2:$C$2497,'Client Info'!$D$2:$D$2497,"",0,1))</f>
        <v/>
      </c>
      <c r="AE2234" s="23" t="str">
        <f>IF($AC2234="","",_xlfn.XLOOKUP($AC2234,'Client Info'!$C$2:$C$2677,'Client Info'!$E$2:$E$2677,"",))</f>
        <v/>
      </c>
      <c r="AF2234" s="23" t="str">
        <f>IF($AC2234="","",_xlfn.XLOOKUP($AC2234,'Client Info'!$C$2:$C$2677,'Client Info'!$F$2:$F$2677,"",0,1))</f>
        <v/>
      </c>
      <c r="AG2234" s="23" t="s">
        <v>3531</v>
      </c>
      <c r="AH2234" s="26" t="str">
        <f>_xlfn.XLOOKUP(Table26[[#This Row],[customerSKU]],customerSKU!G:G,customerSKU!K:K,"NA",0,1)</f>
        <v>NA</v>
      </c>
      <c r="AI2234" s="43" t="str">
        <f>_xlfn.XLOOKUP(Table26[[#This Row],[customerSKU]],customerSKU!G:G,customerSKU!O:O,"not found",0,1)</f>
        <v>not found</v>
      </c>
      <c r="AJ2234" s="22" t="e">
        <f>Table26[[#This Row],[unitprice]]*Table26[[#This Row],[quantity_unit]]</f>
        <v>#VALUE!</v>
      </c>
      <c r="AK2234" s="227" t="e" cm="1">
        <f t="array" ref="AK22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4" s="227"/>
    </row>
    <row r="2235" spans="1:38" ht="15.45" customHeight="1">
      <c r="A2235" s="42">
        <v>2280</v>
      </c>
      <c r="B2235" s="42" t="s">
        <v>3520</v>
      </c>
      <c r="C2235" s="53" t="s">
        <v>203</v>
      </c>
      <c r="E2235" s="20"/>
      <c r="F22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5" s="93"/>
      <c r="I2235" s="203">
        <v>45878</v>
      </c>
      <c r="J2235" s="90" t="str">
        <f>IF(Table26[[#This Row],[customerSKU]]="","",_xlfn.XLOOKUP(Table26[[#This Row],[customerSKU]],customerSKU!G:G,customerSKU!A:A,"",0,1))</f>
        <v/>
      </c>
      <c r="K2235" s="404">
        <v>45882</v>
      </c>
      <c r="L2235" s="49" t="str">
        <f>IF(Table26[[#This Row],[customerSKU]]="","",_xlfn.XLOOKUP(Table26[[#This Row],[customerSKU]],customerSKU!G:G,customerSKU!B:B,"",0,1))</f>
        <v/>
      </c>
      <c r="M2235" s="22"/>
      <c r="N2235" s="15" t="str">
        <f>Table26[[#This Row],[po_number]]&amp;"-"&amp;Table26[[#This Row],[po_line]]</f>
        <v>-2</v>
      </c>
      <c r="O2235" s="15">
        <v>2</v>
      </c>
      <c r="P2235" s="50"/>
      <c r="Q2235" s="22" t="s">
        <v>1825</v>
      </c>
      <c r="R2235" s="22" t="s">
        <v>532</v>
      </c>
      <c r="S2235" s="90" t="str">
        <f>IF(Table26[[#This Row],[customerSKU]]="","",_xlfn.XLOOKUP(Table26[[#This Row],[customerSKU]],customerSKU!G:G,customerSKU!N:N,"NOT FOUND",0,1))</f>
        <v>NOT FOUND</v>
      </c>
      <c r="T2235" s="20">
        <v>45875</v>
      </c>
      <c r="U2235" s="94">
        <v>24</v>
      </c>
      <c r="V2235" s="22" t="str">
        <f>IF(ISBLANK(Table26[[#This Row],[customerSKU]]),"",_xlfn.XLOOKUP(Table26[[#This Row],[customerSKU]],Table27[customer_SKU],Table27[case_size],"",0,1))</f>
        <v/>
      </c>
      <c r="W2235" s="117" t="str">
        <f t="shared" si="92"/>
        <v/>
      </c>
      <c r="X2235" s="22" t="str">
        <f t="shared" si="91"/>
        <v/>
      </c>
      <c r="Y2235" s="25" t="str">
        <f>IF(Table26[[#This Row],[customerSKU]]="","",_xlfn.XLOOKUP(Table26[[#This Row],[customerSKU]],Table27[customer_SKU],Table27[product_GTIN],"",0,1))</f>
        <v/>
      </c>
      <c r="Z2235" s="25" t="s">
        <v>3693</v>
      </c>
      <c r="AA2235" s="18" t="str" cm="1">
        <f t="array" ref="AA2235">IF(P2235="", "", _xlfn.XLOOKUP(P2235,#REF!,#REF!,NA,0,-1))</f>
        <v/>
      </c>
      <c r="AB2235" s="22"/>
      <c r="AC2235" s="23" t="s">
        <v>3531</v>
      </c>
      <c r="AD2235" s="23" t="str">
        <f>IF($AC2235="","",_xlfn.XLOOKUP($AC2235,'Client Info'!$C$2:$C$2497,'Client Info'!$D$2:$D$2497,"",0,1))</f>
        <v/>
      </c>
      <c r="AE2235" s="23" t="str">
        <f>IF($AC2235="","",_xlfn.XLOOKUP($AC2235,'Client Info'!$C$2:$C$2677,'Client Info'!$E$2:$E$2677,"",))</f>
        <v/>
      </c>
      <c r="AF2235" s="23" t="str">
        <f>IF($AC2235="","",_xlfn.XLOOKUP($AC2235,'Client Info'!$C$2:$C$2677,'Client Info'!$F$2:$F$2677,"",0,1))</f>
        <v/>
      </c>
      <c r="AG2235" s="23" t="s">
        <v>3531</v>
      </c>
      <c r="AH2235" s="26" t="str">
        <f>_xlfn.XLOOKUP(Table26[[#This Row],[customerSKU]],customerSKU!G:G,customerSKU!K:K,"NA",0,1)</f>
        <v>NA</v>
      </c>
      <c r="AI2235" s="43" t="str">
        <f>_xlfn.XLOOKUP(Table26[[#This Row],[customerSKU]],customerSKU!G:G,customerSKU!O:O,"not found",0,1)</f>
        <v>not found</v>
      </c>
      <c r="AJ2235" s="22" t="e">
        <f>Table26[[#This Row],[unitprice]]*Table26[[#This Row],[quantity_unit]]</f>
        <v>#VALUE!</v>
      </c>
      <c r="AK2235" s="227" t="e" cm="1">
        <f t="array" ref="AK22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5" s="227"/>
    </row>
    <row r="2236" spans="1:38" ht="15.45" customHeight="1">
      <c r="A2236" s="42">
        <v>2281</v>
      </c>
      <c r="B2236" s="42" t="s">
        <v>3520</v>
      </c>
      <c r="C2236" s="53" t="s">
        <v>203</v>
      </c>
      <c r="E2236" s="20"/>
      <c r="F22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6" s="93"/>
      <c r="I2236" s="203">
        <v>45878</v>
      </c>
      <c r="J2236" s="90" t="str">
        <f>IF(Table26[[#This Row],[customerSKU]]="","",_xlfn.XLOOKUP(Table26[[#This Row],[customerSKU]],customerSKU!G:G,customerSKU!A:A,"",0,1))</f>
        <v/>
      </c>
      <c r="K2236" s="19">
        <v>45882</v>
      </c>
      <c r="L2236" s="49" t="str">
        <f>IF(Table26[[#This Row],[customerSKU]]="","",_xlfn.XLOOKUP(Table26[[#This Row],[customerSKU]],customerSKU!G:G,customerSKU!B:B,"",0,1))</f>
        <v/>
      </c>
      <c r="M2236" s="22"/>
      <c r="N2236" s="15" t="str">
        <f>Table26[[#This Row],[po_number]]&amp;"-"&amp;Table26[[#This Row],[po_line]]</f>
        <v>-3</v>
      </c>
      <c r="O2236" s="15">
        <v>3</v>
      </c>
      <c r="P2236" s="50"/>
      <c r="Q2236" s="22" t="s">
        <v>1823</v>
      </c>
      <c r="R2236" s="22" t="s">
        <v>532</v>
      </c>
      <c r="S2236" s="90" t="str">
        <f>IF(Table26[[#This Row],[customerSKU]]="","",_xlfn.XLOOKUP(Table26[[#This Row],[customerSKU]],customerSKU!G:G,customerSKU!N:N,"NOT FOUND",0,1))</f>
        <v>NOT FOUND</v>
      </c>
      <c r="T2236" s="20">
        <v>45831</v>
      </c>
      <c r="U2236" s="94">
        <v>24</v>
      </c>
      <c r="V2236" s="22" t="str">
        <f>IF(ISBLANK(Table26[[#This Row],[customerSKU]]),"",_xlfn.XLOOKUP(Table26[[#This Row],[customerSKU]],Table27[customer_SKU],Table27[case_size],"",0,1))</f>
        <v/>
      </c>
      <c r="W2236" s="117" t="str">
        <f t="shared" si="92"/>
        <v/>
      </c>
      <c r="X2236" s="22" t="str">
        <f t="shared" si="91"/>
        <v/>
      </c>
      <c r="Y2236" s="25" t="str">
        <f>IF(Table26[[#This Row],[customerSKU]]="","",_xlfn.XLOOKUP(Table26[[#This Row],[customerSKU]],Table27[customer_SKU],Table27[product_GTIN],"",0,1))</f>
        <v/>
      </c>
      <c r="Z2236" s="25" t="s">
        <v>3690</v>
      </c>
      <c r="AA2236" s="18" t="str" cm="1">
        <f t="array" ref="AA2236">IF(P2236="", "", _xlfn.XLOOKUP(P2236,#REF!,#REF!,NA,0,-1))</f>
        <v/>
      </c>
      <c r="AB2236" s="22"/>
      <c r="AC2236" s="23" t="s">
        <v>3531</v>
      </c>
      <c r="AD2236" s="23" t="str">
        <f>IF($AC2236="","",_xlfn.XLOOKUP($AC2236,'Client Info'!$C$2:$C$2497,'Client Info'!$D$2:$D$2497,"",0,1))</f>
        <v/>
      </c>
      <c r="AE2236" s="23" t="str">
        <f>IF($AC2236="","",_xlfn.XLOOKUP($AC2236,'Client Info'!$C$2:$C$2677,'Client Info'!$E$2:$E$2677,"",))</f>
        <v/>
      </c>
      <c r="AF2236" s="23" t="str">
        <f>IF($AC2236="","",_xlfn.XLOOKUP($AC2236,'Client Info'!$C$2:$C$2677,'Client Info'!$F$2:$F$2677,"",0,1))</f>
        <v/>
      </c>
      <c r="AG2236" s="23" t="s">
        <v>3531</v>
      </c>
      <c r="AH2236" s="26" t="str">
        <f>_xlfn.XLOOKUP(Table26[[#This Row],[customerSKU]],customerSKU!G:G,customerSKU!K:K,"NA",0,1)</f>
        <v>NA</v>
      </c>
      <c r="AI2236" s="43" t="str">
        <f>_xlfn.XLOOKUP(Table26[[#This Row],[customerSKU]],customerSKU!G:G,customerSKU!O:O,"not found",0,1)</f>
        <v>not found</v>
      </c>
      <c r="AJ2236" s="22" t="e">
        <f>Table26[[#This Row],[unitprice]]*Table26[[#This Row],[quantity_unit]]</f>
        <v>#VALUE!</v>
      </c>
      <c r="AK2236" s="227" t="e" cm="1">
        <f t="array" ref="AK22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6" s="227"/>
    </row>
    <row r="2237" spans="1:38" ht="15.45" customHeight="1">
      <c r="A2237" s="42">
        <v>2282</v>
      </c>
      <c r="B2237" s="42" t="s">
        <v>3520</v>
      </c>
      <c r="C2237" s="53" t="s">
        <v>203</v>
      </c>
      <c r="E2237" s="20"/>
      <c r="F22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7" s="93"/>
      <c r="I2237" s="203">
        <v>45878</v>
      </c>
      <c r="J2237" s="90" t="str">
        <f>IF(Table26[[#This Row],[customerSKU]]="","",_xlfn.XLOOKUP(Table26[[#This Row],[customerSKU]],customerSKU!G:G,customerSKU!A:A,"",0,1))</f>
        <v/>
      </c>
      <c r="K2237" s="19">
        <v>45882</v>
      </c>
      <c r="L2237" s="49" t="str">
        <f>IF(Table26[[#This Row],[customerSKU]]="","",_xlfn.XLOOKUP(Table26[[#This Row],[customerSKU]],customerSKU!G:G,customerSKU!B:B,"",0,1))</f>
        <v/>
      </c>
      <c r="M2237" s="22"/>
      <c r="N2237" s="15" t="str">
        <f>Table26[[#This Row],[po_number]]&amp;"-"&amp;Table26[[#This Row],[po_line]]</f>
        <v>-4</v>
      </c>
      <c r="O2237" s="15">
        <v>4</v>
      </c>
      <c r="P2237" s="50"/>
      <c r="Q2237" s="22" t="s">
        <v>1306</v>
      </c>
      <c r="R2237" s="375" t="s">
        <v>532</v>
      </c>
      <c r="S2237" s="90" t="s">
        <v>13</v>
      </c>
      <c r="T2237" s="20">
        <v>45576</v>
      </c>
      <c r="U2237" s="94">
        <v>24</v>
      </c>
      <c r="V2237" s="22" t="str">
        <f>IF(ISBLANK(Table26[[#This Row],[customerSKU]]),"",_xlfn.XLOOKUP(Table26[[#This Row],[customerSKU]],Table27[customer_SKU],Table27[case_size],"",0,1))</f>
        <v/>
      </c>
      <c r="W2237" s="117" t="str">
        <f t="shared" si="92"/>
        <v/>
      </c>
      <c r="X2237" s="22" t="str">
        <f t="shared" si="91"/>
        <v/>
      </c>
      <c r="Y2237" s="25" t="str">
        <f>IF(Table26[[#This Row],[customerSKU]]="","",_xlfn.XLOOKUP(Table26[[#This Row],[customerSKU]],Table27[customer_SKU],Table27[product_GTIN],"",0,1))</f>
        <v/>
      </c>
      <c r="Z2237" s="25" t="s">
        <v>3727</v>
      </c>
      <c r="AA2237" s="18" t="str" cm="1">
        <f t="array" ref="AA2237">IF(P2237="", "", _xlfn.XLOOKUP(P2237,#REF!,#REF!,NA,0,-1))</f>
        <v/>
      </c>
      <c r="AB2237" s="22"/>
      <c r="AC2237" s="23" t="s">
        <v>3531</v>
      </c>
      <c r="AD2237" s="23" t="str">
        <f>IF($AC2237="","",_xlfn.XLOOKUP($AC2237,'Client Info'!$C$2:$C$2497,'Client Info'!$D$2:$D$2497,"",0,1))</f>
        <v/>
      </c>
      <c r="AE2237" s="23" t="str">
        <f>IF($AC2237="","",_xlfn.XLOOKUP($AC2237,'Client Info'!$C$2:$C$2677,'Client Info'!$E$2:$E$2677,"",))</f>
        <v/>
      </c>
      <c r="AF2237" s="23" t="str">
        <f>IF($AC2237="","",_xlfn.XLOOKUP($AC2237,'Client Info'!$C$2:$C$2677,'Client Info'!$F$2:$F$2677,"",0,1))</f>
        <v/>
      </c>
      <c r="AG2237" s="23" t="s">
        <v>3531</v>
      </c>
      <c r="AH2237" s="26" t="str">
        <f>_xlfn.XLOOKUP(Table26[[#This Row],[customerSKU]],customerSKU!G:G,customerSKU!K:K,"NA",0,1)</f>
        <v>NA</v>
      </c>
      <c r="AI2237" s="43" t="str">
        <f>_xlfn.XLOOKUP(Table26[[#This Row],[customerSKU]],customerSKU!G:G,customerSKU!O:O,"not found",0,1)</f>
        <v>not found</v>
      </c>
      <c r="AJ2237" s="22" t="e">
        <f>Table26[[#This Row],[unitprice]]*Table26[[#This Row],[quantity_unit]]</f>
        <v>#VALUE!</v>
      </c>
      <c r="AK2237" s="227" t="e" cm="1">
        <f t="array" ref="AK22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7" s="227"/>
    </row>
    <row r="2238" spans="1:38" ht="15.45" customHeight="1">
      <c r="A2238" s="42">
        <v>2283</v>
      </c>
      <c r="B2238" s="42" t="s">
        <v>3520</v>
      </c>
      <c r="C2238" s="53" t="s">
        <v>203</v>
      </c>
      <c r="E2238" s="20"/>
      <c r="F22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8" s="93"/>
      <c r="I2238" s="203">
        <v>45878</v>
      </c>
      <c r="J2238" s="90" t="str">
        <f>IF(Table26[[#This Row],[customerSKU]]="","",_xlfn.XLOOKUP(Table26[[#This Row],[customerSKU]],customerSKU!G:G,customerSKU!A:A,"",0,1))</f>
        <v/>
      </c>
      <c r="K2238" s="19">
        <v>45882</v>
      </c>
      <c r="L2238" s="49" t="str">
        <f>IF(Table26[[#This Row],[customerSKU]]="","",_xlfn.XLOOKUP(Table26[[#This Row],[customerSKU]],customerSKU!G:G,customerSKU!B:B,"",0,1))</f>
        <v/>
      </c>
      <c r="M2238" s="22"/>
      <c r="N2238" s="15" t="str">
        <f>Table26[[#This Row],[po_number]]&amp;"-"&amp;Table26[[#This Row],[po_line]]</f>
        <v>-5</v>
      </c>
      <c r="O2238" s="15">
        <v>5</v>
      </c>
      <c r="P2238" s="50"/>
      <c r="Q2238" s="15" t="s">
        <v>3548</v>
      </c>
      <c r="R2238" s="22" t="s">
        <v>3559</v>
      </c>
      <c r="S2238" s="90" t="str">
        <f>IF(Table26[[#This Row],[customerSKU]]="","",_xlfn.XLOOKUP(Table26[[#This Row],[customerSKU]],customerSKU!G:G,customerSKU!N:N,"NOT FOUND",0,1))</f>
        <v>NOT FOUND</v>
      </c>
      <c r="T2238" s="20">
        <v>45777</v>
      </c>
      <c r="U2238" s="94">
        <v>12</v>
      </c>
      <c r="V2238" s="22" t="str">
        <f>IF(ISBLANK(Table26[[#This Row],[customerSKU]]),"",_xlfn.XLOOKUP(Table26[[#This Row],[customerSKU]],Table27[customer_SKU],Table27[case_size],"",0,1))</f>
        <v/>
      </c>
      <c r="W2238" s="117" t="str">
        <f t="shared" si="92"/>
        <v/>
      </c>
      <c r="X2238" s="22" t="str">
        <f t="shared" si="91"/>
        <v/>
      </c>
      <c r="Y2238" s="25" t="str">
        <f>IF(Table26[[#This Row],[customerSKU]]="","",_xlfn.XLOOKUP(Table26[[#This Row],[customerSKU]],Table27[customer_SKU],Table27[product_GTIN],"",0,1))</f>
        <v/>
      </c>
      <c r="Z2238" s="25" t="s">
        <v>3549</v>
      </c>
      <c r="AA2238" s="18" t="str" cm="1">
        <f t="array" ref="AA2238">IF(P2238="", "", _xlfn.XLOOKUP(P2238,#REF!,#REF!,NA,0,-1))</f>
        <v/>
      </c>
      <c r="AB2238" s="22"/>
      <c r="AC2238" s="23" t="s">
        <v>3531</v>
      </c>
      <c r="AD2238" s="23" t="str">
        <f>IF($AC2238="","",_xlfn.XLOOKUP($AC2238,'Client Info'!$C$2:$C$2497,'Client Info'!$D$2:$D$2497,"",0,1))</f>
        <v/>
      </c>
      <c r="AE2238" s="23" t="str">
        <f>IF($AC2238="","",_xlfn.XLOOKUP($AC2238,'Client Info'!$C$2:$C$2677,'Client Info'!$E$2:$E$2677,"",))</f>
        <v/>
      </c>
      <c r="AF2238" s="23" t="str">
        <f>IF($AC2238="","",_xlfn.XLOOKUP($AC2238,'Client Info'!$C$2:$C$2677,'Client Info'!$F$2:$F$2677,"",0,1))</f>
        <v/>
      </c>
      <c r="AG2238" s="23" t="s">
        <v>3531</v>
      </c>
      <c r="AH2238" s="26" t="str">
        <f>_xlfn.XLOOKUP(Table26[[#This Row],[customerSKU]],customerSKU!G:G,customerSKU!K:K,"NA",0,1)</f>
        <v>NA</v>
      </c>
      <c r="AI2238" s="43" t="str">
        <f>_xlfn.XLOOKUP(Table26[[#This Row],[customerSKU]],customerSKU!G:G,customerSKU!O:O,"not found",0,1)</f>
        <v>not found</v>
      </c>
      <c r="AJ2238" s="22" t="e">
        <f>Table26[[#This Row],[unitprice]]*Table26[[#This Row],[quantity_unit]]</f>
        <v>#VALUE!</v>
      </c>
      <c r="AK2238" s="227" t="e" cm="1">
        <f t="array" ref="AK22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8" s="227"/>
    </row>
    <row r="2239" spans="1:38" ht="15.45" customHeight="1">
      <c r="A2239" s="42">
        <v>2284</v>
      </c>
      <c r="B2239" s="42" t="s">
        <v>3520</v>
      </c>
      <c r="C2239" s="53" t="s">
        <v>203</v>
      </c>
      <c r="E2239" s="20"/>
      <c r="F22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39" s="93"/>
      <c r="I2239" s="203">
        <v>45878</v>
      </c>
      <c r="J2239" s="90" t="str">
        <f>IF(Table26[[#This Row],[customerSKU]]="","",_xlfn.XLOOKUP(Table26[[#This Row],[customerSKU]],customerSKU!G:G,customerSKU!A:A,"",0,1))</f>
        <v/>
      </c>
      <c r="K2239" s="19">
        <v>45882</v>
      </c>
      <c r="L2239" s="49" t="str">
        <f>IF(Table26[[#This Row],[customerSKU]]="","",_xlfn.XLOOKUP(Table26[[#This Row],[customerSKU]],customerSKU!G:G,customerSKU!B:B,"",0,1))</f>
        <v/>
      </c>
      <c r="M2239" s="22"/>
      <c r="N2239" s="15" t="str">
        <f>Table26[[#This Row],[po_number]]&amp;"-"&amp;Table26[[#This Row],[po_line]]</f>
        <v>-6</v>
      </c>
      <c r="O2239" s="15">
        <v>6</v>
      </c>
      <c r="P2239" s="50"/>
      <c r="Q2239" s="22" t="s">
        <v>574</v>
      </c>
      <c r="R2239" s="22" t="s">
        <v>532</v>
      </c>
      <c r="S2239" s="90" t="s">
        <v>13</v>
      </c>
      <c r="T2239" s="20">
        <v>45848</v>
      </c>
      <c r="U2239" s="94">
        <v>72</v>
      </c>
      <c r="V2239" s="22" t="str">
        <f>IF(ISBLANK(Table26[[#This Row],[customerSKU]]),"",_xlfn.XLOOKUP(Table26[[#This Row],[customerSKU]],Table27[customer_SKU],Table27[case_size],"",0,1))</f>
        <v/>
      </c>
      <c r="W2239" s="117" t="str">
        <f t="shared" si="92"/>
        <v/>
      </c>
      <c r="X2239" s="22" t="str">
        <f t="shared" si="91"/>
        <v/>
      </c>
      <c r="Y2239" s="25" t="str">
        <f>IF(Table26[[#This Row],[customerSKU]]="","",_xlfn.XLOOKUP(Table26[[#This Row],[customerSKU]],Table27[customer_SKU],Table27[product_GTIN],"",0,1))</f>
        <v/>
      </c>
      <c r="Z2239" s="25" t="s">
        <v>3530</v>
      </c>
      <c r="AA2239" s="18" t="str" cm="1">
        <f t="array" ref="AA2239">IF(P2239="", "", _xlfn.XLOOKUP(P2239,#REF!,#REF!,NA,0,-1))</f>
        <v/>
      </c>
      <c r="AB2239" s="22"/>
      <c r="AC2239" s="23" t="s">
        <v>3531</v>
      </c>
      <c r="AD2239" s="23" t="str">
        <f>IF($AC2239="","",_xlfn.XLOOKUP($AC2239,'Client Info'!$C$2:$C$2497,'Client Info'!$D$2:$D$2497,"",0,1))</f>
        <v/>
      </c>
      <c r="AE2239" s="23" t="str">
        <f>IF($AC2239="","",_xlfn.XLOOKUP($AC2239,'Client Info'!$C$2:$C$2677,'Client Info'!$E$2:$E$2677,"",))</f>
        <v/>
      </c>
      <c r="AF2239" s="23" t="str">
        <f>IF($AC2239="","",_xlfn.XLOOKUP($AC2239,'Client Info'!$C$2:$C$2677,'Client Info'!$F$2:$F$2677,"",0,1))</f>
        <v/>
      </c>
      <c r="AG2239" s="23" t="s">
        <v>3531</v>
      </c>
      <c r="AH2239" s="26" t="str">
        <f>_xlfn.XLOOKUP(Table26[[#This Row],[customerSKU]],customerSKU!G:G,customerSKU!K:K,"NA",0,1)</f>
        <v>NA</v>
      </c>
      <c r="AI2239" s="43" t="str">
        <f>_xlfn.XLOOKUP(Table26[[#This Row],[customerSKU]],customerSKU!G:G,customerSKU!O:O,"not found",0,1)</f>
        <v>not found</v>
      </c>
      <c r="AJ2239" s="22" t="e">
        <f>Table26[[#This Row],[unitprice]]*Table26[[#This Row],[quantity_unit]]</f>
        <v>#VALUE!</v>
      </c>
      <c r="AK2239" s="227" t="e" cm="1">
        <f t="array" ref="AK22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39" s="227"/>
    </row>
    <row r="2240" spans="1:38" ht="15.45" customHeight="1">
      <c r="A2240" s="42">
        <v>16</v>
      </c>
      <c r="B2240" s="42" t="s">
        <v>3520</v>
      </c>
      <c r="C2240" s="53" t="s">
        <v>203</v>
      </c>
      <c r="E2240" s="20"/>
      <c r="F22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0" s="93"/>
      <c r="I2240" s="203">
        <v>45881</v>
      </c>
      <c r="J2240" s="90" t="str">
        <f>IF(Table26[[#This Row],[customerSKU]]="","",_xlfn.XLOOKUP(Table26[[#This Row],[customerSKU]],customerSKU!G:G,customerSKU!A:A,"",0,1))</f>
        <v/>
      </c>
      <c r="K2240" s="19">
        <v>45882</v>
      </c>
      <c r="L2240" s="49" t="str">
        <f>IF(Table26[[#This Row],[customerSKU]]="","",_xlfn.XLOOKUP(Table26[[#This Row],[customerSKU]],customerSKU!G:G,customerSKU!B:B,"",0,1))</f>
        <v/>
      </c>
      <c r="M2240" s="22"/>
      <c r="N2240" s="15" t="str">
        <f>Table26[[#This Row],[po_number]]&amp;"-"&amp;Table26[[#This Row],[po_line]]</f>
        <v>-1</v>
      </c>
      <c r="O2240" s="15">
        <v>1</v>
      </c>
      <c r="P2240" s="50"/>
      <c r="Q2240" s="22" t="s">
        <v>531</v>
      </c>
      <c r="R2240" s="22" t="s">
        <v>532</v>
      </c>
      <c r="S2240" s="90" t="str">
        <f>IF(Table26[[#This Row],[customerSKU]]="","",_xlfn.XLOOKUP(Table26[[#This Row],[customerSKU]],customerSKU!G:G,customerSKU!N:N,"NOT FOUND",0,1))</f>
        <v>NOT FOUND</v>
      </c>
      <c r="T2240" s="20">
        <v>45478</v>
      </c>
      <c r="U2240" s="94">
        <v>6</v>
      </c>
      <c r="V2240" s="22" t="str">
        <f>IF(ISBLANK(Table26[[#This Row],[customerSKU]]),"",_xlfn.XLOOKUP(Table26[[#This Row],[customerSKU]],Table27[customer_SKU],Table27[case_size],"",0,1))</f>
        <v/>
      </c>
      <c r="W2240" s="117" t="str">
        <f t="shared" si="92"/>
        <v/>
      </c>
      <c r="X2240" s="22" t="str">
        <f t="shared" si="91"/>
        <v/>
      </c>
      <c r="Y2240" s="25" t="str">
        <f>IF(Table26[[#This Row],[customerSKU]]="","",_xlfn.XLOOKUP(Table26[[#This Row],[customerSKU]],Table27[customer_SKU],Table27[product_GTIN],"",0,1))</f>
        <v/>
      </c>
      <c r="Z2240" s="25" t="s">
        <v>3597</v>
      </c>
      <c r="AA2240" s="18" t="str" cm="1">
        <f t="array" ref="AA2240">IF(P2240="", "", _xlfn.XLOOKUP(P2240,#REF!,#REF!,NA,0,-1))</f>
        <v/>
      </c>
      <c r="AB2240" s="22"/>
      <c r="AC2240" s="23" t="s">
        <v>4267</v>
      </c>
      <c r="AD2240" s="23" t="str">
        <f>IF($AC2240="","",_xlfn.XLOOKUP($AC2240,'Client Info'!$C$2:$C$2497,'Client Info'!$D$2:$D$2497,"",0,1))</f>
        <v/>
      </c>
      <c r="AE2240" s="23" t="str">
        <f>IF($AC2240="","",_xlfn.XLOOKUP($AC2240,'Client Info'!$C$2:$C$2677,'Client Info'!$E$2:$E$2677,"",))</f>
        <v/>
      </c>
      <c r="AF2240" s="23" t="str">
        <f>IF($AC2240="","",_xlfn.XLOOKUP($AC2240,'Client Info'!$C$2:$C$2677,'Client Info'!$F$2:$F$2677,"",0,1))</f>
        <v/>
      </c>
      <c r="AG2240" s="23" t="s">
        <v>4267</v>
      </c>
      <c r="AH2240" s="26" t="str">
        <f>_xlfn.XLOOKUP(Table26[[#This Row],[customerSKU]],customerSKU!G:G,customerSKU!K:K,"NA",0,1)</f>
        <v>NA</v>
      </c>
      <c r="AI2240" s="43" t="str">
        <f>_xlfn.XLOOKUP(Table26[[#This Row],[customerSKU]],customerSKU!G:G,customerSKU!O:O,"not found",0,1)</f>
        <v>not found</v>
      </c>
      <c r="AJ2240" s="22" t="e">
        <f>Table26[[#This Row],[unitprice]]*Table26[[#This Row],[quantity_unit]]</f>
        <v>#VALUE!</v>
      </c>
      <c r="AK2240" s="227" t="e" cm="1">
        <f t="array" ref="AK22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0" s="227"/>
    </row>
    <row r="2241" spans="1:38" ht="15.45" customHeight="1">
      <c r="A2241" s="42">
        <v>17</v>
      </c>
      <c r="B2241" s="42" t="s">
        <v>3520</v>
      </c>
      <c r="C2241" s="53" t="s">
        <v>203</v>
      </c>
      <c r="E2241" s="20"/>
      <c r="F22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1" s="93"/>
      <c r="I2241" s="203">
        <v>45881</v>
      </c>
      <c r="J2241" s="90" t="str">
        <f>IF(Table26[[#This Row],[customerSKU]]="","",_xlfn.XLOOKUP(Table26[[#This Row],[customerSKU]],customerSKU!G:G,customerSKU!A:A,"",0,1))</f>
        <v/>
      </c>
      <c r="K2241" s="19">
        <v>45882</v>
      </c>
      <c r="L2241" s="49" t="str">
        <f>IF(Table26[[#This Row],[customerSKU]]="","",_xlfn.XLOOKUP(Table26[[#This Row],[customerSKU]],customerSKU!G:G,customerSKU!B:B,"",0,1))</f>
        <v/>
      </c>
      <c r="M2241" s="22"/>
      <c r="N2241" s="15" t="str">
        <f>Table26[[#This Row],[po_number]]&amp;"-"&amp;Table26[[#This Row],[po_line]]</f>
        <v>-2</v>
      </c>
      <c r="O2241" s="15">
        <v>2</v>
      </c>
      <c r="P2241" s="50"/>
      <c r="Q2241" s="22" t="s">
        <v>1806</v>
      </c>
      <c r="R2241" s="22" t="s">
        <v>532</v>
      </c>
      <c r="S2241" s="90" t="str">
        <f>IF(Table26[[#This Row],[customerSKU]]="","",_xlfn.XLOOKUP(Table26[[#This Row],[customerSKU]],customerSKU!G:G,customerSKU!N:N,"NOT FOUND",0,1))</f>
        <v>NOT FOUND</v>
      </c>
      <c r="T2241" s="20">
        <v>45826</v>
      </c>
      <c r="U2241" s="94">
        <v>12</v>
      </c>
      <c r="V2241" s="22" t="str">
        <f>IF(ISBLANK(Table26[[#This Row],[customerSKU]]),"",_xlfn.XLOOKUP(Table26[[#This Row],[customerSKU]],Table27[customer_SKU],Table27[case_size],"",0,1))</f>
        <v/>
      </c>
      <c r="W2241" s="117" t="str">
        <f t="shared" si="92"/>
        <v/>
      </c>
      <c r="X2241" s="22" t="str">
        <f t="shared" si="91"/>
        <v/>
      </c>
      <c r="Y2241" s="25" t="str">
        <f>IF(Table26[[#This Row],[customerSKU]]="","",_xlfn.XLOOKUP(Table26[[#This Row],[customerSKU]],Table27[customer_SKU],Table27[product_GTIN],"",0,1))</f>
        <v/>
      </c>
      <c r="Z2241" s="25" t="s">
        <v>3519</v>
      </c>
      <c r="AA2241" s="18" t="str" cm="1">
        <f t="array" ref="AA2241">IF(P2241="", "", _xlfn.XLOOKUP(P2241,#REF!,#REF!,NA,0,-1))</f>
        <v/>
      </c>
      <c r="AB2241" s="22"/>
      <c r="AC2241" s="23" t="s">
        <v>4267</v>
      </c>
      <c r="AD2241" s="23" t="str">
        <f>IF($AC2241="","",_xlfn.XLOOKUP($AC2241,'Client Info'!$C$2:$C$2497,'Client Info'!$D$2:$D$2497,"",0,1))</f>
        <v/>
      </c>
      <c r="AE2241" s="23" t="str">
        <f>IF($AC2241="","",_xlfn.XLOOKUP($AC2241,'Client Info'!$C$2:$C$2677,'Client Info'!$E$2:$E$2677,"",))</f>
        <v/>
      </c>
      <c r="AF2241" s="23" t="str">
        <f>IF($AC2241="","",_xlfn.XLOOKUP($AC2241,'Client Info'!$C$2:$C$2677,'Client Info'!$F$2:$F$2677,"",0,1))</f>
        <v/>
      </c>
      <c r="AG2241" s="23" t="s">
        <v>4267</v>
      </c>
      <c r="AH2241" s="26" t="str">
        <f>_xlfn.XLOOKUP(Table26[[#This Row],[customerSKU]],customerSKU!G:G,customerSKU!K:K,"NA",0,1)</f>
        <v>NA</v>
      </c>
      <c r="AI2241" s="43" t="str">
        <f>_xlfn.XLOOKUP(Table26[[#This Row],[customerSKU]],customerSKU!G:G,customerSKU!O:O,"not found",0,1)</f>
        <v>not found</v>
      </c>
      <c r="AJ2241" s="22" t="e">
        <f>Table26[[#This Row],[unitprice]]*Table26[[#This Row],[quantity_unit]]</f>
        <v>#VALUE!</v>
      </c>
      <c r="AK2241" s="227" t="e" cm="1">
        <f t="array" ref="AK22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1" s="227"/>
    </row>
    <row r="2242" spans="1:38" ht="15.45" customHeight="1">
      <c r="A2242" s="42">
        <v>18</v>
      </c>
      <c r="B2242" s="42" t="s">
        <v>3520</v>
      </c>
      <c r="C2242" s="53" t="s">
        <v>203</v>
      </c>
      <c r="E2242" s="20"/>
      <c r="F22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2" s="93"/>
      <c r="I2242" s="203">
        <v>45881</v>
      </c>
      <c r="J2242" s="90" t="str">
        <f>IF(Table26[[#This Row],[customerSKU]]="","",_xlfn.XLOOKUP(Table26[[#This Row],[customerSKU]],customerSKU!G:G,customerSKU!A:A,"",0,1))</f>
        <v/>
      </c>
      <c r="K2242" s="19">
        <v>45882</v>
      </c>
      <c r="L2242" s="49" t="str">
        <f>IF(Table26[[#This Row],[customerSKU]]="","",_xlfn.XLOOKUP(Table26[[#This Row],[customerSKU]],customerSKU!G:G,customerSKU!B:B,"",0,1))</f>
        <v/>
      </c>
      <c r="M2242" s="22"/>
      <c r="N2242" s="15" t="str">
        <f>Table26[[#This Row],[po_number]]&amp;"-"&amp;Table26[[#This Row],[po_line]]</f>
        <v>-3</v>
      </c>
      <c r="O2242" s="15">
        <v>3</v>
      </c>
      <c r="P2242" s="50"/>
      <c r="Q2242" s="22" t="s">
        <v>1823</v>
      </c>
      <c r="R2242" s="22" t="s">
        <v>532</v>
      </c>
      <c r="S2242" s="90" t="str">
        <f>IF(Table26[[#This Row],[customerSKU]]="","",_xlfn.XLOOKUP(Table26[[#This Row],[customerSKU]],customerSKU!G:G,customerSKU!N:N,"NOT FOUND",0,1))</f>
        <v>NOT FOUND</v>
      </c>
      <c r="T2242" s="20">
        <v>45880</v>
      </c>
      <c r="U2242" s="94">
        <v>12</v>
      </c>
      <c r="V2242" s="22" t="str">
        <f>IF(ISBLANK(Table26[[#This Row],[customerSKU]]),"",_xlfn.XLOOKUP(Table26[[#This Row],[customerSKU]],Table27[customer_SKU],Table27[case_size],"",0,1))</f>
        <v/>
      </c>
      <c r="W2242" s="117" t="str">
        <f t="shared" si="92"/>
        <v/>
      </c>
      <c r="X2242" s="22" t="str">
        <f t="shared" si="91"/>
        <v/>
      </c>
      <c r="Y2242" s="25" t="str">
        <f>IF(Table26[[#This Row],[customerSKU]]="","",_xlfn.XLOOKUP(Table26[[#This Row],[customerSKU]],Table27[customer_SKU],Table27[product_GTIN],"",0,1))</f>
        <v/>
      </c>
      <c r="Z2242" s="25" t="s">
        <v>3690</v>
      </c>
      <c r="AA2242" s="18" t="str" cm="1">
        <f t="array" ref="AA2242">IF(P2242="", "", _xlfn.XLOOKUP(P2242,#REF!,#REF!,NA,0,-1))</f>
        <v/>
      </c>
      <c r="AB2242" s="22"/>
      <c r="AC2242" s="23" t="s">
        <v>4267</v>
      </c>
      <c r="AD2242" s="23" t="str">
        <f>IF($AC2242="","",_xlfn.XLOOKUP($AC2242,'Client Info'!$C$2:$C$2497,'Client Info'!$D$2:$D$2497,"",0,1))</f>
        <v/>
      </c>
      <c r="AE2242" s="23" t="str">
        <f>IF($AC2242="","",_xlfn.XLOOKUP($AC2242,'Client Info'!$C$2:$C$2677,'Client Info'!$E$2:$E$2677,"",))</f>
        <v/>
      </c>
      <c r="AF2242" s="23" t="str">
        <f>IF($AC2242="","",_xlfn.XLOOKUP($AC2242,'Client Info'!$C$2:$C$2677,'Client Info'!$F$2:$F$2677,"",0,1))</f>
        <v/>
      </c>
      <c r="AG2242" s="23" t="s">
        <v>4267</v>
      </c>
      <c r="AH2242" s="26" t="str">
        <f>_xlfn.XLOOKUP(Table26[[#This Row],[customerSKU]],customerSKU!G:G,customerSKU!K:K,"NA",0,1)</f>
        <v>NA</v>
      </c>
      <c r="AI2242" s="43" t="str">
        <f>_xlfn.XLOOKUP(Table26[[#This Row],[customerSKU]],customerSKU!G:G,customerSKU!O:O,"not found",0,1)</f>
        <v>not found</v>
      </c>
      <c r="AJ2242" s="22" t="e">
        <f>Table26[[#This Row],[unitprice]]*Table26[[#This Row],[quantity_unit]]</f>
        <v>#VALUE!</v>
      </c>
      <c r="AK2242" s="227" t="e" cm="1">
        <f t="array" ref="AK22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2" s="227"/>
    </row>
    <row r="2243" spans="1:38" ht="15.45" customHeight="1">
      <c r="A2243" s="42">
        <v>19</v>
      </c>
      <c r="B2243" s="42" t="s">
        <v>3520</v>
      </c>
      <c r="C2243" s="53" t="s">
        <v>203</v>
      </c>
      <c r="E2243" s="20"/>
      <c r="F22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3" s="93"/>
      <c r="I2243" s="203">
        <v>45881</v>
      </c>
      <c r="J2243" s="90" t="str">
        <f>IF(Table26[[#This Row],[customerSKU]]="","",_xlfn.XLOOKUP(Table26[[#This Row],[customerSKU]],customerSKU!G:G,customerSKU!A:A,"",0,1))</f>
        <v/>
      </c>
      <c r="K2243" s="19">
        <v>45882</v>
      </c>
      <c r="L2243" s="49" t="str">
        <f>IF(Table26[[#This Row],[customerSKU]]="","",_xlfn.XLOOKUP(Table26[[#This Row],[customerSKU]],customerSKU!G:G,customerSKU!B:B,"",0,1))</f>
        <v/>
      </c>
      <c r="M2243" s="22"/>
      <c r="N2243" s="15" t="str">
        <f>Table26[[#This Row],[po_number]]&amp;"-"&amp;Table26[[#This Row],[po_line]]</f>
        <v>-4</v>
      </c>
      <c r="O2243" s="15">
        <v>4</v>
      </c>
      <c r="P2243" s="50"/>
      <c r="Q2243" s="22" t="s">
        <v>574</v>
      </c>
      <c r="R2243" s="22" t="s">
        <v>532</v>
      </c>
      <c r="S2243" s="90" t="str">
        <f>IF(Table26[[#This Row],[customerSKU]]="","",_xlfn.XLOOKUP(Table26[[#This Row],[customerSKU]],customerSKU!G:G,customerSKU!N:N,"NOT FOUND",0,1))</f>
        <v>NOT FOUND</v>
      </c>
      <c r="T2243" s="20">
        <v>45848</v>
      </c>
      <c r="U2243" s="94">
        <v>12</v>
      </c>
      <c r="V2243" s="22" t="str">
        <f>IF(ISBLANK(Table26[[#This Row],[customerSKU]]),"",_xlfn.XLOOKUP(Table26[[#This Row],[customerSKU]],Table27[customer_SKU],Table27[case_size],"",0,1))</f>
        <v/>
      </c>
      <c r="W2243" s="117" t="str">
        <f t="shared" si="92"/>
        <v/>
      </c>
      <c r="X2243" s="22" t="str">
        <f t="shared" si="91"/>
        <v/>
      </c>
      <c r="Y2243" s="25" t="str">
        <f>IF(Table26[[#This Row],[customerSKU]]="","",_xlfn.XLOOKUP(Table26[[#This Row],[customerSKU]],Table27[customer_SKU],Table27[product_GTIN],"",0,1))</f>
        <v/>
      </c>
      <c r="Z2243" s="25" t="s">
        <v>3530</v>
      </c>
      <c r="AA2243" s="18" t="str" cm="1">
        <f t="array" ref="AA2243">IF(P2243="", "", _xlfn.XLOOKUP(P2243,#REF!,#REF!,NA,0,-1))</f>
        <v/>
      </c>
      <c r="AB2243" s="22"/>
      <c r="AC2243" s="23" t="s">
        <v>4267</v>
      </c>
      <c r="AD2243" s="23" t="str">
        <f>IF($AC2243="","",_xlfn.XLOOKUP($AC2243,'Client Info'!$C$2:$C$2497,'Client Info'!$D$2:$D$2497,"",0,1))</f>
        <v/>
      </c>
      <c r="AE2243" s="23" t="str">
        <f>IF($AC2243="","",_xlfn.XLOOKUP($AC2243,'Client Info'!$C$2:$C$2677,'Client Info'!$E$2:$E$2677,"",))</f>
        <v/>
      </c>
      <c r="AF2243" s="23" t="str">
        <f>IF($AC2243="","",_xlfn.XLOOKUP($AC2243,'Client Info'!$C$2:$C$2677,'Client Info'!$F$2:$F$2677,"",0,1))</f>
        <v/>
      </c>
      <c r="AG2243" s="23" t="s">
        <v>4267</v>
      </c>
      <c r="AH2243" s="26" t="str">
        <f>_xlfn.XLOOKUP(Table26[[#This Row],[customerSKU]],customerSKU!G:G,customerSKU!K:K,"NA",0,1)</f>
        <v>NA</v>
      </c>
      <c r="AI2243" s="43" t="str">
        <f>_xlfn.XLOOKUP(Table26[[#This Row],[customerSKU]],customerSKU!G:G,customerSKU!O:O,"not found",0,1)</f>
        <v>not found</v>
      </c>
      <c r="AJ2243" s="22" t="e">
        <f>Table26[[#This Row],[unitprice]]*Table26[[#This Row],[quantity_unit]]</f>
        <v>#VALUE!</v>
      </c>
      <c r="AK2243" s="227" t="e" cm="1">
        <f t="array" ref="AK22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3" s="227"/>
    </row>
    <row r="2244" spans="1:38" ht="15.45" customHeight="1">
      <c r="A2244" s="42">
        <v>29</v>
      </c>
      <c r="B2244" s="42" t="s">
        <v>3520</v>
      </c>
      <c r="C2244" s="53" t="s">
        <v>3360</v>
      </c>
      <c r="E2244" s="20"/>
      <c r="F22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4" s="93"/>
      <c r="I2244" s="203">
        <v>45881</v>
      </c>
      <c r="J2244" s="90" t="str">
        <f>IF(Table26[[#This Row],[customerSKU]]="","",_xlfn.XLOOKUP(Table26[[#This Row],[customerSKU]],customerSKU!G:G,customerSKU!A:A,"",0,1))</f>
        <v/>
      </c>
      <c r="K2244" s="203">
        <v>45882</v>
      </c>
      <c r="L2244" s="49" t="str">
        <f>IF(Table26[[#This Row],[customerSKU]]="","",_xlfn.XLOOKUP(Table26[[#This Row],[customerSKU]],customerSKU!G:G,customerSKU!B:B,"",0,1))</f>
        <v/>
      </c>
      <c r="M2244" s="22"/>
      <c r="N2244" s="15" t="str">
        <f>Table26[[#This Row],[po_number]]&amp;"-"&amp;Table26[[#This Row],[po_line]]</f>
        <v>-1</v>
      </c>
      <c r="O2244" s="15">
        <v>1</v>
      </c>
      <c r="P2244" s="50"/>
      <c r="S2244" s="90" t="str">
        <f>IF(Table26[[#This Row],[customerSKU]]="","",_xlfn.XLOOKUP(Table26[[#This Row],[customerSKU]],customerSKU!G:G,customerSKU!N:N,"NOT FOUND",0,1))</f>
        <v>NOT FOUND</v>
      </c>
      <c r="T2244" s="20"/>
      <c r="U2244" s="94">
        <v>12</v>
      </c>
      <c r="V2244" s="22" t="str">
        <f>IF(ISBLANK(Table26[[#This Row],[customerSKU]]),"",_xlfn.XLOOKUP(Table26[[#This Row],[customerSKU]],Table27[customer_SKU],Table27[case_size],"",0,1))</f>
        <v/>
      </c>
      <c r="W2244" s="117" t="str">
        <f t="shared" si="92"/>
        <v/>
      </c>
      <c r="X2244" s="22" t="str">
        <f t="shared" si="91"/>
        <v/>
      </c>
      <c r="Y2244" s="25" t="str">
        <f>IF(Table26[[#This Row],[customerSKU]]="","",_xlfn.XLOOKUP(Table26[[#This Row],[customerSKU]],Table27[customer_SKU],Table27[product_GTIN],"",0,1))</f>
        <v/>
      </c>
      <c r="Z2244" s="25" t="s">
        <v>3529</v>
      </c>
      <c r="AA2244" s="18" t="str" cm="1">
        <f t="array" ref="AA2244">IF(P2244="", "", _xlfn.XLOOKUP(P2244,#REF!,#REF!,NA,0,-1))</f>
        <v/>
      </c>
      <c r="AB2244" s="22"/>
      <c r="AC2244" s="23" t="str">
        <f>IF(Table26[[#This Row],[customerSKU]]="","",_xlfn.XLOOKUP(Table26[[#This Row],[customerSKU]],customerSKU!G:G,customerSKU!C:C,"",0,1))</f>
        <v/>
      </c>
      <c r="AD2244" s="23" t="str">
        <f>IF($AC2244="","",_xlfn.XLOOKUP($AC2244,'Client Info'!$C$2:$C$2497,'Client Info'!$D$2:$D$2497,"",0,1))</f>
        <v/>
      </c>
      <c r="AE2244" s="23" t="str">
        <f>IF($AC2244="","",_xlfn.XLOOKUP($AC2244,'Client Info'!$C$2:$C$2677,'Client Info'!$E$2:$E$2677,"",))</f>
        <v/>
      </c>
      <c r="AF2244" s="23" t="str">
        <f>IF($AC2244="","",_xlfn.XLOOKUP($AC2244,'Client Info'!$C$2:$C$2677,'Client Info'!$F$2:$F$2677,"",0,1))</f>
        <v/>
      </c>
      <c r="AG2244" s="23" t="str">
        <f>IF(ISBLANK(Table26[[#This Row],[customerSKU]]),"",_xlfn.XLOOKUP(Table26[[#This Row],[customerSKU]],Table27[customer_SKU],Table27[billto],"",0,1))</f>
        <v/>
      </c>
      <c r="AH2244" s="26" t="str">
        <f>_xlfn.XLOOKUP(Table26[[#This Row],[customerSKU]],customerSKU!G:G,customerSKU!K:K,"NA",0,1)</f>
        <v>NA</v>
      </c>
      <c r="AI2244" s="43" t="str">
        <f>_xlfn.XLOOKUP(Table26[[#This Row],[customerSKU]],customerSKU!G:G,customerSKU!O:O,"not found",0,1)</f>
        <v>not found</v>
      </c>
      <c r="AJ2244" s="22" t="e">
        <f>Table26[[#This Row],[unitprice]]*Table26[[#This Row],[quantity_unit]]</f>
        <v>#VALUE!</v>
      </c>
      <c r="AK2244" s="227" t="e" cm="1">
        <f t="array" ref="AK22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4" s="227"/>
    </row>
    <row r="2245" spans="1:38" ht="15.45" customHeight="1">
      <c r="A2245" s="42">
        <v>28</v>
      </c>
      <c r="B2245" s="42" t="s">
        <v>3520</v>
      </c>
      <c r="C2245" s="53" t="s">
        <v>3360</v>
      </c>
      <c r="E2245" s="20"/>
      <c r="F22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5" s="93"/>
      <c r="I2245" s="203">
        <v>45881</v>
      </c>
      <c r="J2245" s="90" t="str">
        <f>IF(Table26[[#This Row],[customerSKU]]="","",_xlfn.XLOOKUP(Table26[[#This Row],[customerSKU]],customerSKU!G:G,customerSKU!A:A,"",0,1))</f>
        <v/>
      </c>
      <c r="K2245" s="19">
        <v>45882</v>
      </c>
      <c r="L2245" s="49" t="str">
        <f>IF(Table26[[#This Row],[customerSKU]]="","",_xlfn.XLOOKUP(Table26[[#This Row],[customerSKU]],customerSKU!G:G,customerSKU!B:B,"",0,1))</f>
        <v/>
      </c>
      <c r="M2245" s="22"/>
      <c r="N2245" s="15" t="str">
        <f>Table26[[#This Row],[po_number]]&amp;"-"&amp;Table26[[#This Row],[po_line]]</f>
        <v>-1</v>
      </c>
      <c r="O2245" s="15">
        <v>1</v>
      </c>
      <c r="P2245" s="50"/>
      <c r="S2245" s="90" t="str">
        <f>IF(Table26[[#This Row],[customerSKU]]="","",_xlfn.XLOOKUP(Table26[[#This Row],[customerSKU]],customerSKU!G:G,customerSKU!N:N,"NOT FOUND",0,1))</f>
        <v>NOT FOUND</v>
      </c>
      <c r="T2245" s="20"/>
      <c r="U2245" s="94">
        <v>12</v>
      </c>
      <c r="V2245" s="22" t="str">
        <f>IF(ISBLANK(Table26[[#This Row],[customerSKU]]),"",_xlfn.XLOOKUP(Table26[[#This Row],[customerSKU]],Table27[customer_SKU],Table27[case_size],"",0,1))</f>
        <v/>
      </c>
      <c r="W2245" s="117" t="str">
        <f t="shared" si="92"/>
        <v/>
      </c>
      <c r="X2245" s="22" t="str">
        <f t="shared" si="91"/>
        <v/>
      </c>
      <c r="Y2245" s="25" t="str">
        <f>IF(Table26[[#This Row],[customerSKU]]="","",_xlfn.XLOOKUP(Table26[[#This Row],[customerSKU]],Table27[customer_SKU],Table27[product_GTIN],"",0,1))</f>
        <v/>
      </c>
      <c r="Z2245" s="25" t="s">
        <v>3528</v>
      </c>
      <c r="AA2245" s="18" t="str" cm="1">
        <f t="array" ref="AA2245">IF(P2245="", "", _xlfn.XLOOKUP(P2245,#REF!,#REF!,NA,0,-1))</f>
        <v/>
      </c>
      <c r="AB2245" s="22"/>
      <c r="AC2245" s="23" t="str">
        <f>IF(Table26[[#This Row],[customerSKU]]="","",_xlfn.XLOOKUP(Table26[[#This Row],[customerSKU]],customerSKU!G:G,customerSKU!C:C,"",0,1))</f>
        <v/>
      </c>
      <c r="AD2245" s="23" t="str">
        <f>IF($AC2245="","",_xlfn.XLOOKUP($AC2245,'Client Info'!$C$2:$C$2497,'Client Info'!$D$2:$D$2497,"",0,1))</f>
        <v/>
      </c>
      <c r="AE2245" s="23" t="str">
        <f>IF($AC2245="","",_xlfn.XLOOKUP($AC2245,'Client Info'!$C$2:$C$2677,'Client Info'!$E$2:$E$2677,"",))</f>
        <v/>
      </c>
      <c r="AF2245" s="23" t="str">
        <f>IF($AC2245="","",_xlfn.XLOOKUP($AC2245,'Client Info'!$C$2:$C$2677,'Client Info'!$F$2:$F$2677,"",0,1))</f>
        <v/>
      </c>
      <c r="AG2245" s="23" t="str">
        <f>IF(ISBLANK(Table26[[#This Row],[customerSKU]]),"",_xlfn.XLOOKUP(Table26[[#This Row],[customerSKU]],Table27[customer_SKU],Table27[billto],"",0,1))</f>
        <v/>
      </c>
      <c r="AH2245" s="26" t="str">
        <f>_xlfn.XLOOKUP(Table26[[#This Row],[customerSKU]],customerSKU!G:G,customerSKU!K:K,"NA",0,1)</f>
        <v>NA</v>
      </c>
      <c r="AI2245" s="43" t="str">
        <f>_xlfn.XLOOKUP(Table26[[#This Row],[customerSKU]],customerSKU!G:G,customerSKU!O:O,"not found",0,1)</f>
        <v>not found</v>
      </c>
      <c r="AJ2245" s="22" t="e">
        <f>Table26[[#This Row],[unitprice]]*Table26[[#This Row],[quantity_unit]]</f>
        <v>#VALUE!</v>
      </c>
      <c r="AK2245" s="227" t="e" cm="1">
        <f t="array" ref="AK22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5" s="227"/>
    </row>
    <row r="2246" spans="1:38" ht="15.45" customHeight="1">
      <c r="A2246" s="42">
        <v>2287</v>
      </c>
      <c r="B2246" s="42" t="s">
        <v>3520</v>
      </c>
      <c r="C2246" s="53" t="s">
        <v>3360</v>
      </c>
      <c r="E2246" s="20"/>
      <c r="F22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6" s="93"/>
      <c r="I2246" s="203">
        <v>45882</v>
      </c>
      <c r="J2246" s="90" t="str">
        <f>IF(Table26[[#This Row],[customerSKU]]="","",_xlfn.XLOOKUP(Table26[[#This Row],[customerSKU]],customerSKU!G:G,customerSKU!A:A,"",0,1))</f>
        <v/>
      </c>
      <c r="K2246" s="203">
        <v>45882</v>
      </c>
      <c r="L2246" s="49" t="str">
        <f>IF(Table26[[#This Row],[customerSKU]]="","",_xlfn.XLOOKUP(Table26[[#This Row],[customerSKU]],customerSKU!G:G,customerSKU!B:B,"",0,1))</f>
        <v/>
      </c>
      <c r="M2246" s="22"/>
      <c r="N2246" s="15" t="str">
        <f>Table26[[#This Row],[po_number]]&amp;"-"&amp;Table26[[#This Row],[po_line]]</f>
        <v>-1</v>
      </c>
      <c r="O2246" s="15">
        <v>1</v>
      </c>
      <c r="P2246" s="50"/>
      <c r="S2246" s="90" t="str">
        <f>IF(Table26[[#This Row],[customerSKU]]="","",_xlfn.XLOOKUP(Table26[[#This Row],[customerSKU]],customerSKU!G:G,customerSKU!N:N,"NOT FOUND",0,1))</f>
        <v>NOT FOUND</v>
      </c>
      <c r="T2246" s="20"/>
      <c r="U2246" s="94">
        <v>12</v>
      </c>
      <c r="V2246" s="22" t="str">
        <f>IF(ISBLANK(Table26[[#This Row],[customerSKU]]),"",_xlfn.XLOOKUP(Table26[[#This Row],[customerSKU]],Table27[customer_SKU],Table27[case_size],"",0,1))</f>
        <v/>
      </c>
      <c r="W2246" s="117" t="str">
        <f t="shared" si="92"/>
        <v/>
      </c>
      <c r="X2246" s="22" t="str">
        <f t="shared" si="91"/>
        <v/>
      </c>
      <c r="Y2246" s="25" t="str">
        <f>IF(Table26[[#This Row],[customerSKU]]="","",_xlfn.XLOOKUP(Table26[[#This Row],[customerSKU]],Table27[customer_SKU],Table27[product_GTIN],"",0,1))</f>
        <v/>
      </c>
      <c r="Z2246" s="25" t="s">
        <v>3529</v>
      </c>
      <c r="AA2246" s="18" t="str" cm="1">
        <f t="array" ref="AA2246">IF(P2246="", "", _xlfn.XLOOKUP(P2246,#REF!,#REF!,NA,0,-1))</f>
        <v/>
      </c>
      <c r="AB2246" s="22"/>
      <c r="AC2246" s="23" t="str">
        <f>IF(Table26[[#This Row],[customerSKU]]="","",_xlfn.XLOOKUP(Table26[[#This Row],[customerSKU]],customerSKU!G:G,customerSKU!C:C,"",0,1))</f>
        <v/>
      </c>
      <c r="AD2246" s="23" t="str">
        <f>IF($AC2246="","",_xlfn.XLOOKUP($AC2246,'Client Info'!$C$2:$C$2497,'Client Info'!$D$2:$D$2497,"",0,1))</f>
        <v/>
      </c>
      <c r="AE2246" s="23" t="str">
        <f>IF($AC2246="","",_xlfn.XLOOKUP($AC2246,'Client Info'!$C$2:$C$2677,'Client Info'!$E$2:$E$2677,"",))</f>
        <v/>
      </c>
      <c r="AF2246" s="23" t="str">
        <f>IF($AC2246="","",_xlfn.XLOOKUP($AC2246,'Client Info'!$C$2:$C$2677,'Client Info'!$F$2:$F$2677,"",0,1))</f>
        <v/>
      </c>
      <c r="AG2246" s="23" t="str">
        <f>IF(ISBLANK(Table26[[#This Row],[customerSKU]]),"",_xlfn.XLOOKUP(Table26[[#This Row],[customerSKU]],Table27[customer_SKU],Table27[billto],"",0,1))</f>
        <v/>
      </c>
      <c r="AH2246" s="26" t="str">
        <f>_xlfn.XLOOKUP(Table26[[#This Row],[customerSKU]],customerSKU!G:G,customerSKU!K:K,"NA",0,1)</f>
        <v>NA</v>
      </c>
      <c r="AI2246" s="43" t="str">
        <f>_xlfn.XLOOKUP(Table26[[#This Row],[customerSKU]],customerSKU!G:G,customerSKU!O:O,"not found",0,1)</f>
        <v>not found</v>
      </c>
      <c r="AJ2246" s="22" t="e">
        <f>Table26[[#This Row],[unitprice]]*Table26[[#This Row],[quantity_unit]]</f>
        <v>#VALUE!</v>
      </c>
      <c r="AK2246" s="227" t="e" cm="1">
        <f t="array" ref="AK22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6" s="227"/>
    </row>
    <row r="2247" spans="1:38" ht="15.45" customHeight="1">
      <c r="A2247" s="42">
        <v>5</v>
      </c>
      <c r="B2247" s="42" t="s">
        <v>3520</v>
      </c>
      <c r="C2247" s="53" t="s">
        <v>203</v>
      </c>
      <c r="E2247" s="20"/>
      <c r="F22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7" s="93"/>
      <c r="I2247" s="203">
        <v>45882</v>
      </c>
      <c r="J2247" s="90" t="str">
        <f>IF(Table26[[#This Row],[customerSKU]]="","",_xlfn.XLOOKUP(Table26[[#This Row],[customerSKU]],customerSKU!G:G,customerSKU!A:A,"",0,1))</f>
        <v/>
      </c>
      <c r="K2247" s="45">
        <v>45883</v>
      </c>
      <c r="L2247" s="49" t="str">
        <f>IF(Table26[[#This Row],[customerSKU]]="","",_xlfn.XLOOKUP(Table26[[#This Row],[customerSKU]],customerSKU!G:G,customerSKU!B:B,"",0,1))</f>
        <v/>
      </c>
      <c r="M2247" s="22"/>
      <c r="N2247" s="15" t="str">
        <f>Table26[[#This Row],[po_number]]&amp;"-"&amp;Table26[[#This Row],[po_line]]</f>
        <v>-1</v>
      </c>
      <c r="O2247" s="15">
        <v>1</v>
      </c>
      <c r="P2247" s="50"/>
      <c r="Q2247" s="22" t="s">
        <v>4261</v>
      </c>
      <c r="R2247" s="22" t="s">
        <v>532</v>
      </c>
      <c r="S2247" s="90" t="str">
        <f>IF(Table26[[#This Row],[customerSKU]]="","",_xlfn.XLOOKUP(Table26[[#This Row],[customerSKU]],customerSKU!G:G,customerSKU!N:N,"NOT FOUND",0,1))</f>
        <v>NOT FOUND</v>
      </c>
      <c r="T2247" s="20">
        <v>45883</v>
      </c>
      <c r="U2247" s="94">
        <v>36</v>
      </c>
      <c r="V2247" s="22" t="str">
        <f>IF(ISBLANK(Table26[[#This Row],[customerSKU]]),"",_xlfn.XLOOKUP(Table26[[#This Row],[customerSKU]],Table27[customer_SKU],Table27[case_size],"",0,1))</f>
        <v/>
      </c>
      <c r="W2247" s="117" t="str">
        <f t="shared" si="92"/>
        <v/>
      </c>
      <c r="X2247" s="22" t="str">
        <f t="shared" si="91"/>
        <v/>
      </c>
      <c r="Y2247" s="25" t="str">
        <f>IF(Table26[[#This Row],[customerSKU]]="","",_xlfn.XLOOKUP(Table26[[#This Row],[customerSKU]],Table27[customer_SKU],Table27[product_GTIN],"",0,1))</f>
        <v/>
      </c>
      <c r="Z2247" s="25" t="s">
        <v>3525</v>
      </c>
      <c r="AA2247" s="18" t="str" cm="1">
        <f t="array" ref="AA2247">IF(P2247="", "", _xlfn.XLOOKUP(P2247,#REF!,#REF!,NA,0,-1))</f>
        <v/>
      </c>
      <c r="AB2247" s="22"/>
      <c r="AC2247" s="23" t="s">
        <v>188</v>
      </c>
      <c r="AD2247" s="23" t="str">
        <f>IF($AC2247="","",_xlfn.XLOOKUP($AC2247,'Client Info'!$C$2:$C$2497,'Client Info'!$D$2:$D$2497,"",0,1))</f>
        <v/>
      </c>
      <c r="AE2247" s="23" t="str">
        <f>IF($AC2247="","",_xlfn.XLOOKUP($AC2247,'Client Info'!$C$2:$C$2677,'Client Info'!$E$2:$E$2677,"",))</f>
        <v/>
      </c>
      <c r="AF2247" s="23" t="str">
        <f>IF($AC2247="","",_xlfn.XLOOKUP($AC2247,'Client Info'!$C$2:$C$2677,'Client Info'!$F$2:$F$2677,"",0,1))</f>
        <v/>
      </c>
      <c r="AG2247" s="23" t="s">
        <v>188</v>
      </c>
      <c r="AH2247" s="26" t="str">
        <f>_xlfn.XLOOKUP(Table26[[#This Row],[customerSKU]],customerSKU!G:G,customerSKU!K:K,"NA",0,1)</f>
        <v>NA</v>
      </c>
      <c r="AI2247" s="43" t="str">
        <f>_xlfn.XLOOKUP(Table26[[#This Row],[customerSKU]],customerSKU!G:G,customerSKU!O:O,"not found",0,1)</f>
        <v>not found</v>
      </c>
      <c r="AJ2247" s="22" t="e">
        <f>Table26[[#This Row],[unitprice]]*Table26[[#This Row],[quantity_unit]]</f>
        <v>#VALUE!</v>
      </c>
      <c r="AK2247" s="227" t="e" cm="1">
        <f t="array" ref="AK22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7" s="227"/>
    </row>
    <row r="2248" spans="1:38" ht="15.45" customHeight="1">
      <c r="A2248" s="42">
        <v>6</v>
      </c>
      <c r="B2248" s="42" t="s">
        <v>3520</v>
      </c>
      <c r="C2248" s="53" t="s">
        <v>203</v>
      </c>
      <c r="E2248" s="20"/>
      <c r="F22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8" s="93"/>
      <c r="I2248" s="203">
        <v>45882</v>
      </c>
      <c r="J2248" s="90" t="str">
        <f>IF(Table26[[#This Row],[customerSKU]]="","",_xlfn.XLOOKUP(Table26[[#This Row],[customerSKU]],customerSKU!G:G,customerSKU!A:A,"",0,1))</f>
        <v/>
      </c>
      <c r="K2248" s="45">
        <v>45883</v>
      </c>
      <c r="L2248" s="49" t="str">
        <f>IF(Table26[[#This Row],[customerSKU]]="","",_xlfn.XLOOKUP(Table26[[#This Row],[customerSKU]],customerSKU!G:G,customerSKU!B:B,"",0,1))</f>
        <v/>
      </c>
      <c r="M2248" s="22"/>
      <c r="N2248" s="15" t="str">
        <f>Table26[[#This Row],[po_number]]&amp;"-"&amp;Table26[[#This Row],[po_line]]</f>
        <v>-2</v>
      </c>
      <c r="O2248" s="15">
        <v>2</v>
      </c>
      <c r="P2248" s="50"/>
      <c r="Q2248" s="22" t="s">
        <v>1306</v>
      </c>
      <c r="R2248" s="22" t="s">
        <v>3428</v>
      </c>
      <c r="S2248" s="90" t="str">
        <f>IF(Table26[[#This Row],[customerSKU]]="","",_xlfn.XLOOKUP(Table26[[#This Row],[customerSKU]],customerSKU!G:G,customerSKU!N:N,"NOT FOUND",0,1))</f>
        <v>NOT FOUND</v>
      </c>
      <c r="T2248" s="20">
        <v>45576</v>
      </c>
      <c r="U2248" s="94">
        <v>12</v>
      </c>
      <c r="V2248" s="22" t="str">
        <f>IF(ISBLANK(Table26[[#This Row],[customerSKU]]),"",_xlfn.XLOOKUP(Table26[[#This Row],[customerSKU]],Table27[customer_SKU],Table27[case_size],"",0,1))</f>
        <v/>
      </c>
      <c r="W2248" s="117" t="str">
        <f t="shared" si="92"/>
        <v/>
      </c>
      <c r="X2248" s="22" t="str">
        <f t="shared" si="91"/>
        <v/>
      </c>
      <c r="Y2248" s="25" t="str">
        <f>IF(Table26[[#This Row],[customerSKU]]="","",_xlfn.XLOOKUP(Table26[[#This Row],[customerSKU]],Table27[customer_SKU],Table27[product_GTIN],"",0,1))</f>
        <v/>
      </c>
      <c r="Z2248" s="25" t="s">
        <v>3727</v>
      </c>
      <c r="AA2248" s="18" t="str" cm="1">
        <f t="array" ref="AA2248">IF(P2248="", "", _xlfn.XLOOKUP(P2248,#REF!,#REF!,NA,0,-1))</f>
        <v/>
      </c>
      <c r="AB2248" s="22"/>
      <c r="AC2248" s="23" t="s">
        <v>188</v>
      </c>
      <c r="AD2248" s="23" t="str">
        <f>IF($AC2248="","",_xlfn.XLOOKUP($AC2248,'Client Info'!$C$2:$C$2497,'Client Info'!$D$2:$D$2497,"",0,1))</f>
        <v/>
      </c>
      <c r="AE2248" s="23" t="str">
        <f>IF($AC2248="","",_xlfn.XLOOKUP($AC2248,'Client Info'!$C$2:$C$2677,'Client Info'!$E$2:$E$2677,"",))</f>
        <v/>
      </c>
      <c r="AF2248" s="23" t="str">
        <f>IF($AC2248="","",_xlfn.XLOOKUP($AC2248,'Client Info'!$C$2:$C$2677,'Client Info'!$F$2:$F$2677,"",0,1))</f>
        <v/>
      </c>
      <c r="AG2248" s="23" t="s">
        <v>188</v>
      </c>
      <c r="AH2248" s="26" t="str">
        <f>_xlfn.XLOOKUP(Table26[[#This Row],[customerSKU]],customerSKU!G:G,customerSKU!K:K,"NA",0,1)</f>
        <v>NA</v>
      </c>
      <c r="AI2248" s="43" t="str">
        <f>_xlfn.XLOOKUP(Table26[[#This Row],[customerSKU]],customerSKU!G:G,customerSKU!O:O,"not found",0,1)</f>
        <v>not found</v>
      </c>
      <c r="AJ2248" s="22" t="e">
        <f>Table26[[#This Row],[unitprice]]*Table26[[#This Row],[quantity_unit]]</f>
        <v>#VALUE!</v>
      </c>
      <c r="AK2248" s="227" t="e" cm="1">
        <f t="array" ref="AK22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8" s="227"/>
    </row>
    <row r="2249" spans="1:38" ht="15.45" customHeight="1">
      <c r="A2249" s="42">
        <v>7</v>
      </c>
      <c r="B2249" s="42" t="s">
        <v>3520</v>
      </c>
      <c r="C2249" s="53" t="s">
        <v>203</v>
      </c>
      <c r="E2249" s="20"/>
      <c r="F22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49" s="93"/>
      <c r="I2249" s="203">
        <v>45882</v>
      </c>
      <c r="J2249" s="90" t="str">
        <f>IF(Table26[[#This Row],[customerSKU]]="","",_xlfn.XLOOKUP(Table26[[#This Row],[customerSKU]],customerSKU!G:G,customerSKU!A:A,"",0,1))</f>
        <v/>
      </c>
      <c r="K2249" s="45">
        <v>45883</v>
      </c>
      <c r="L2249" s="49" t="str">
        <f>IF(Table26[[#This Row],[customerSKU]]="","",_xlfn.XLOOKUP(Table26[[#This Row],[customerSKU]],customerSKU!G:G,customerSKU!B:B,"",0,1))</f>
        <v/>
      </c>
      <c r="M2249" s="22"/>
      <c r="N2249" s="15" t="str">
        <f>Table26[[#This Row],[po_number]]&amp;"-"&amp;Table26[[#This Row],[po_line]]</f>
        <v>-3</v>
      </c>
      <c r="O2249" s="15">
        <v>3</v>
      </c>
      <c r="P2249" s="50"/>
      <c r="Q2249" s="22" t="s">
        <v>1774</v>
      </c>
      <c r="R2249" s="22" t="s">
        <v>3428</v>
      </c>
      <c r="S2249" s="90" t="str">
        <f>IF(Table26[[#This Row],[customerSKU]]="","",_xlfn.XLOOKUP(Table26[[#This Row],[customerSKU]],customerSKU!G:G,customerSKU!N:N,"NOT FOUND",0,1))</f>
        <v>NOT FOUND</v>
      </c>
      <c r="T2249" s="20">
        <v>45790</v>
      </c>
      <c r="U2249" s="94">
        <v>48</v>
      </c>
      <c r="V2249" s="22" t="str">
        <f>IF(ISBLANK(Table26[[#This Row],[customerSKU]]),"",_xlfn.XLOOKUP(Table26[[#This Row],[customerSKU]],Table27[customer_SKU],Table27[case_size],"",0,1))</f>
        <v/>
      </c>
      <c r="W2249" s="117" t="str">
        <f t="shared" si="92"/>
        <v/>
      </c>
      <c r="X2249" s="22" t="str">
        <f t="shared" si="91"/>
        <v/>
      </c>
      <c r="Y2249" s="25" t="str">
        <f>IF(Table26[[#This Row],[customerSKU]]="","",_xlfn.XLOOKUP(Table26[[#This Row],[customerSKU]],Table27[customer_SKU],Table27[product_GTIN],"",0,1))</f>
        <v/>
      </c>
      <c r="Z2249" s="25" t="s">
        <v>3389</v>
      </c>
      <c r="AA2249" s="18" t="str" cm="1">
        <f t="array" ref="AA2249">IF(P2249="", "", _xlfn.XLOOKUP(P2249,#REF!,#REF!,NA,0,-1))</f>
        <v/>
      </c>
      <c r="AB2249" s="22"/>
      <c r="AC2249" s="23" t="s">
        <v>188</v>
      </c>
      <c r="AD2249" s="23" t="str">
        <f>IF($AC2249="","",_xlfn.XLOOKUP($AC2249,'Client Info'!$C$2:$C$2497,'Client Info'!$D$2:$D$2497,"",0,1))</f>
        <v/>
      </c>
      <c r="AE2249" s="23" t="str">
        <f>IF($AC2249="","",_xlfn.XLOOKUP($AC2249,'Client Info'!$C$2:$C$2677,'Client Info'!$E$2:$E$2677,"",))</f>
        <v/>
      </c>
      <c r="AF2249" s="23" t="str">
        <f>IF($AC2249="","",_xlfn.XLOOKUP($AC2249,'Client Info'!$C$2:$C$2677,'Client Info'!$F$2:$F$2677,"",0,1))</f>
        <v/>
      </c>
      <c r="AG2249" s="23" t="s">
        <v>188</v>
      </c>
      <c r="AH2249" s="26" t="str">
        <f>_xlfn.XLOOKUP(Table26[[#This Row],[customerSKU]],customerSKU!G:G,customerSKU!K:K,"NA",0,1)</f>
        <v>NA</v>
      </c>
      <c r="AI2249" s="43" t="str">
        <f>_xlfn.XLOOKUP(Table26[[#This Row],[customerSKU]],customerSKU!G:G,customerSKU!O:O,"not found",0,1)</f>
        <v>not found</v>
      </c>
      <c r="AJ2249" s="22" t="e">
        <f>Table26[[#This Row],[unitprice]]*Table26[[#This Row],[quantity_unit]]</f>
        <v>#VALUE!</v>
      </c>
      <c r="AK2249" s="227" t="e" cm="1">
        <f t="array" ref="AK22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49" s="227"/>
    </row>
    <row r="2250" spans="1:38" ht="15.45" customHeight="1">
      <c r="A2250" s="42">
        <v>8</v>
      </c>
      <c r="B2250" s="42" t="s">
        <v>3520</v>
      </c>
      <c r="C2250" s="53" t="s">
        <v>203</v>
      </c>
      <c r="E2250" s="20"/>
      <c r="F22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0" s="93"/>
      <c r="I2250" s="203">
        <v>45882</v>
      </c>
      <c r="J2250" s="90" t="str">
        <f>IF(Table26[[#This Row],[customerSKU]]="","",_xlfn.XLOOKUP(Table26[[#This Row],[customerSKU]],customerSKU!G:G,customerSKU!A:A,"",0,1))</f>
        <v/>
      </c>
      <c r="K2250" s="45">
        <v>45883</v>
      </c>
      <c r="L2250" s="49" t="str">
        <f>IF(Table26[[#This Row],[customerSKU]]="","",_xlfn.XLOOKUP(Table26[[#This Row],[customerSKU]],customerSKU!G:G,customerSKU!B:B,"",0,1))</f>
        <v/>
      </c>
      <c r="M2250" s="22"/>
      <c r="N2250" s="15" t="str">
        <f>Table26[[#This Row],[po_number]]&amp;"-"&amp;Table26[[#This Row],[po_line]]</f>
        <v>-4</v>
      </c>
      <c r="O2250" s="15">
        <v>4</v>
      </c>
      <c r="P2250" s="50"/>
      <c r="Q2250" s="22" t="s">
        <v>578</v>
      </c>
      <c r="R2250" s="22" t="s">
        <v>3428</v>
      </c>
      <c r="S2250" s="90" t="str">
        <f>IF(Table26[[#This Row],[customerSKU]]="","",_xlfn.XLOOKUP(Table26[[#This Row],[customerSKU]],customerSKU!G:G,customerSKU!N:N,"NOT FOUND",0,1))</f>
        <v>NOT FOUND</v>
      </c>
      <c r="T2250" s="20">
        <v>45700</v>
      </c>
      <c r="U2250" s="94">
        <v>36</v>
      </c>
      <c r="V2250" s="22" t="str">
        <f>IF(ISBLANK(Table26[[#This Row],[customerSKU]]),"",_xlfn.XLOOKUP(Table26[[#This Row],[customerSKU]],Table27[customer_SKU],Table27[case_size],"",0,1))</f>
        <v/>
      </c>
      <c r="W2250" s="117" t="str">
        <f t="shared" si="92"/>
        <v/>
      </c>
      <c r="X2250" s="22" t="str">
        <f t="shared" si="91"/>
        <v/>
      </c>
      <c r="Y2250" s="25" t="str">
        <f>IF(Table26[[#This Row],[customerSKU]]="","",_xlfn.XLOOKUP(Table26[[#This Row],[customerSKU]],Table27[customer_SKU],Table27[product_GTIN],"",0,1))</f>
        <v/>
      </c>
      <c r="Z2250" s="25" t="s">
        <v>3728</v>
      </c>
      <c r="AA2250" s="18" t="str" cm="1">
        <f t="array" ref="AA2250">IF(P2250="", "", _xlfn.XLOOKUP(P2250,#REF!,#REF!,NA,0,-1))</f>
        <v/>
      </c>
      <c r="AB2250" s="22"/>
      <c r="AC2250" s="23" t="s">
        <v>188</v>
      </c>
      <c r="AD2250" s="23" t="str">
        <f>IF($AC2250="","",_xlfn.XLOOKUP($AC2250,'Client Info'!$C$2:$C$2497,'Client Info'!$D$2:$D$2497,"",0,1))</f>
        <v/>
      </c>
      <c r="AE2250" s="23" t="str">
        <f>IF($AC2250="","",_xlfn.XLOOKUP($AC2250,'Client Info'!$C$2:$C$2677,'Client Info'!$E$2:$E$2677,"",))</f>
        <v/>
      </c>
      <c r="AF2250" s="23" t="str">
        <f>IF($AC2250="","",_xlfn.XLOOKUP($AC2250,'Client Info'!$C$2:$C$2677,'Client Info'!$F$2:$F$2677,"",0,1))</f>
        <v/>
      </c>
      <c r="AG2250" s="23" t="s">
        <v>188</v>
      </c>
      <c r="AH2250" s="26" t="str">
        <f>_xlfn.XLOOKUP(Table26[[#This Row],[customerSKU]],customerSKU!G:G,customerSKU!K:K,"NA",0,1)</f>
        <v>NA</v>
      </c>
      <c r="AI2250" s="43" t="str">
        <f>_xlfn.XLOOKUP(Table26[[#This Row],[customerSKU]],customerSKU!G:G,customerSKU!O:O,"not found",0,1)</f>
        <v>not found</v>
      </c>
      <c r="AJ2250" s="22" t="e">
        <f>Table26[[#This Row],[unitprice]]*Table26[[#This Row],[quantity_unit]]</f>
        <v>#VALUE!</v>
      </c>
      <c r="AK2250" s="227" t="e" cm="1">
        <f t="array" ref="AK22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0" s="227"/>
    </row>
    <row r="2251" spans="1:38" ht="15.45" customHeight="1">
      <c r="A2251" s="42">
        <v>2299</v>
      </c>
      <c r="B2251" s="42" t="s">
        <v>3520</v>
      </c>
      <c r="C2251" s="53" t="s">
        <v>3360</v>
      </c>
      <c r="E2251" s="20"/>
      <c r="F22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1" s="93"/>
      <c r="I2251" s="203">
        <v>45883</v>
      </c>
      <c r="J2251" s="90" t="str">
        <f>IF(Table26[[#This Row],[customerSKU]]="","",_xlfn.XLOOKUP(Table26[[#This Row],[customerSKU]],customerSKU!G:G,customerSKU!A:A,"",0,1))</f>
        <v/>
      </c>
      <c r="K2251" s="203">
        <v>45883</v>
      </c>
      <c r="L2251" s="49" t="str">
        <f>IF(Table26[[#This Row],[customerSKU]]="","",_xlfn.XLOOKUP(Table26[[#This Row],[customerSKU]],customerSKU!G:G,customerSKU!B:B,"",0,1))</f>
        <v/>
      </c>
      <c r="M2251" s="22"/>
      <c r="N2251" s="15" t="str">
        <f>Table26[[#This Row],[po_number]]&amp;"-"&amp;Table26[[#This Row],[po_line]]</f>
        <v>-1</v>
      </c>
      <c r="O2251" s="15">
        <v>1</v>
      </c>
      <c r="P2251" s="50"/>
      <c r="S2251" s="90" t="str">
        <f>IF(Table26[[#This Row],[customerSKU]]="","",_xlfn.XLOOKUP(Table26[[#This Row],[customerSKU]],customerSKU!G:G,customerSKU!N:N,"NOT FOUND",0,1))</f>
        <v>NOT FOUND</v>
      </c>
      <c r="T2251" s="20"/>
      <c r="U2251" s="94">
        <v>12</v>
      </c>
      <c r="V2251" s="22" t="str">
        <f>IF(ISBLANK(Table26[[#This Row],[customerSKU]]),"",_xlfn.XLOOKUP(Table26[[#This Row],[customerSKU]],Table27[customer_SKU],Table27[case_size],"",0,1))</f>
        <v/>
      </c>
      <c r="W2251" s="117" t="str">
        <f t="shared" si="92"/>
        <v/>
      </c>
      <c r="X2251" s="22" t="str">
        <f t="shared" si="91"/>
        <v/>
      </c>
      <c r="Y2251" s="25" t="str">
        <f>IF(Table26[[#This Row],[customerSKU]]="","",_xlfn.XLOOKUP(Table26[[#This Row],[customerSKU]],Table27[customer_SKU],Table27[product_GTIN],"",0,1))</f>
        <v/>
      </c>
      <c r="Z2251" s="25" t="s">
        <v>3529</v>
      </c>
      <c r="AA2251" s="18" t="str" cm="1">
        <f t="array" ref="AA2251">IF(P2251="", "", _xlfn.XLOOKUP(P2251,#REF!,#REF!,NA,0,-1))</f>
        <v/>
      </c>
      <c r="AB2251" s="22"/>
      <c r="AC2251" s="23" t="str">
        <f>IF(Table26[[#This Row],[customerSKU]]="","",_xlfn.XLOOKUP(Table26[[#This Row],[customerSKU]],customerSKU!G:G,customerSKU!C:C,"",0,1))</f>
        <v/>
      </c>
      <c r="AD2251" s="23" t="str">
        <f>IF($AC2251="","",_xlfn.XLOOKUP($AC2251,'Client Info'!$C$2:$C$2497,'Client Info'!$D$2:$D$2497,"",0,1))</f>
        <v/>
      </c>
      <c r="AE2251" s="23" t="str">
        <f>IF($AC2251="","",_xlfn.XLOOKUP($AC2251,'Client Info'!$C$2:$C$2677,'Client Info'!$E$2:$E$2677,"",))</f>
        <v/>
      </c>
      <c r="AF2251" s="23" t="str">
        <f>IF($AC2251="","",_xlfn.XLOOKUP($AC2251,'Client Info'!$C$2:$C$2677,'Client Info'!$F$2:$F$2677,"",0,1))</f>
        <v/>
      </c>
      <c r="AG2251" s="23" t="str">
        <f>IF(ISBLANK(Table26[[#This Row],[customerSKU]]),"",_xlfn.XLOOKUP(Table26[[#This Row],[customerSKU]],Table27[customer_SKU],Table27[billto],"",0,1))</f>
        <v/>
      </c>
      <c r="AH2251" s="26" t="str">
        <f>_xlfn.XLOOKUP(Table26[[#This Row],[customerSKU]],customerSKU!G:G,customerSKU!K:K,"NA",0,1)</f>
        <v>NA</v>
      </c>
      <c r="AI2251" s="43" t="str">
        <f>_xlfn.XLOOKUP(Table26[[#This Row],[customerSKU]],customerSKU!G:G,customerSKU!O:O,"not found",0,1)</f>
        <v>not found</v>
      </c>
      <c r="AJ2251" s="22" t="e">
        <f>Table26[[#This Row],[unitprice]]*Table26[[#This Row],[quantity_unit]]</f>
        <v>#VALUE!</v>
      </c>
      <c r="AK2251" s="227" t="e" cm="1">
        <f t="array" ref="AK22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1" s="227"/>
    </row>
    <row r="2252" spans="1:38" ht="15.45" customHeight="1">
      <c r="A2252" s="42">
        <v>2300</v>
      </c>
      <c r="B2252" s="42" t="s">
        <v>3520</v>
      </c>
      <c r="C2252" s="53" t="s">
        <v>3360</v>
      </c>
      <c r="E2252" s="20"/>
      <c r="F22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2" s="93"/>
      <c r="I2252" s="203">
        <v>45883</v>
      </c>
      <c r="J2252" s="90" t="str">
        <f>IF(Table26[[#This Row],[customerSKU]]="","",_xlfn.XLOOKUP(Table26[[#This Row],[customerSKU]],customerSKU!G:G,customerSKU!A:A,"",0,1))</f>
        <v/>
      </c>
      <c r="K2252" s="203">
        <v>45883</v>
      </c>
      <c r="L2252" s="49" t="str">
        <f>IF(Table26[[#This Row],[customerSKU]]="","",_xlfn.XLOOKUP(Table26[[#This Row],[customerSKU]],customerSKU!G:G,customerSKU!B:B,"",0,1))</f>
        <v/>
      </c>
      <c r="M2252" s="22"/>
      <c r="N2252" s="15" t="str">
        <f>Table26[[#This Row],[po_number]]&amp;"-"&amp;Table26[[#This Row],[po_line]]</f>
        <v>-1</v>
      </c>
      <c r="O2252" s="15">
        <v>1</v>
      </c>
      <c r="P2252" s="50"/>
      <c r="S2252" s="90" t="str">
        <f>IF(Table26[[#This Row],[customerSKU]]="","",_xlfn.XLOOKUP(Table26[[#This Row],[customerSKU]],customerSKU!G:G,customerSKU!N:N,"NOT FOUND",0,1))</f>
        <v>NOT FOUND</v>
      </c>
      <c r="T2252" s="20"/>
      <c r="U2252" s="94">
        <v>24</v>
      </c>
      <c r="V2252" s="22" t="str">
        <f>IF(ISBLANK(Table26[[#This Row],[customerSKU]]),"",_xlfn.XLOOKUP(Table26[[#This Row],[customerSKU]],Table27[customer_SKU],Table27[case_size],"",0,1))</f>
        <v/>
      </c>
      <c r="W2252" s="117" t="str">
        <f t="shared" si="92"/>
        <v/>
      </c>
      <c r="X2252" s="22" t="str">
        <f t="shared" si="91"/>
        <v/>
      </c>
      <c r="Y2252" s="25" t="str">
        <f>IF(Table26[[#This Row],[customerSKU]]="","",_xlfn.XLOOKUP(Table26[[#This Row],[customerSKU]],Table27[customer_SKU],Table27[product_GTIN],"",0,1))</f>
        <v/>
      </c>
      <c r="Z2252" s="25" t="s">
        <v>3395</v>
      </c>
      <c r="AA2252" s="18" t="str" cm="1">
        <f t="array" ref="AA2252">IF(P2252="", "", _xlfn.XLOOKUP(P2252,#REF!,#REF!,NA,0,-1))</f>
        <v/>
      </c>
      <c r="AB2252" s="22"/>
      <c r="AC2252" s="23" t="str">
        <f>IF(Table26[[#This Row],[customerSKU]]="","",_xlfn.XLOOKUP(Table26[[#This Row],[customerSKU]],customerSKU!G:G,customerSKU!C:C,"",0,1))</f>
        <v/>
      </c>
      <c r="AD2252" s="23" t="str">
        <f>IF($AC2252="","",_xlfn.XLOOKUP($AC2252,'Client Info'!$C$2:$C$2497,'Client Info'!$D$2:$D$2497,"",0,1))</f>
        <v/>
      </c>
      <c r="AE2252" s="23" t="str">
        <f>IF($AC2252="","",_xlfn.XLOOKUP($AC2252,'Client Info'!$C$2:$C$2677,'Client Info'!$E$2:$E$2677,"",))</f>
        <v/>
      </c>
      <c r="AF2252" s="23" t="str">
        <f>IF($AC2252="","",_xlfn.XLOOKUP($AC2252,'Client Info'!$C$2:$C$2677,'Client Info'!$F$2:$F$2677,"",0,1))</f>
        <v/>
      </c>
      <c r="AG2252" s="23" t="str">
        <f>IF(ISBLANK(Table26[[#This Row],[customerSKU]]),"",_xlfn.XLOOKUP(Table26[[#This Row],[customerSKU]],Table27[customer_SKU],Table27[billto],"",0,1))</f>
        <v/>
      </c>
      <c r="AH2252" s="26" t="str">
        <f>_xlfn.XLOOKUP(Table26[[#This Row],[customerSKU]],customerSKU!G:G,customerSKU!K:K,"NA",0,1)</f>
        <v>NA</v>
      </c>
      <c r="AI2252" s="43" t="str">
        <f>_xlfn.XLOOKUP(Table26[[#This Row],[customerSKU]],customerSKU!G:G,customerSKU!O:O,"not found",0,1)</f>
        <v>not found</v>
      </c>
      <c r="AJ2252" s="22" t="e">
        <f>Table26[[#This Row],[unitprice]]*Table26[[#This Row],[quantity_unit]]</f>
        <v>#VALUE!</v>
      </c>
      <c r="AK2252" s="227" t="e" cm="1">
        <f t="array" ref="AK22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2" s="227"/>
    </row>
    <row r="2253" spans="1:38" ht="15.45" customHeight="1">
      <c r="A2253" s="42">
        <v>2301</v>
      </c>
      <c r="B2253" s="42" t="s">
        <v>3520</v>
      </c>
      <c r="C2253" s="53" t="s">
        <v>3360</v>
      </c>
      <c r="E2253" s="20"/>
      <c r="F22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3" s="93"/>
      <c r="I2253" s="203">
        <v>45883</v>
      </c>
      <c r="J2253" s="90" t="str">
        <f>IF(Table26[[#This Row],[customerSKU]]="","",_xlfn.XLOOKUP(Table26[[#This Row],[customerSKU]],customerSKU!G:G,customerSKU!A:A,"",0,1))</f>
        <v/>
      </c>
      <c r="K2253" s="203">
        <v>45883</v>
      </c>
      <c r="L2253" s="49" t="str">
        <f>IF(Table26[[#This Row],[customerSKU]]="","",_xlfn.XLOOKUP(Table26[[#This Row],[customerSKU]],customerSKU!G:G,customerSKU!B:B,"",0,1))</f>
        <v/>
      </c>
      <c r="M2253" s="22"/>
      <c r="N2253" s="15" t="str">
        <f>Table26[[#This Row],[po_number]]&amp;"-"&amp;Table26[[#This Row],[po_line]]</f>
        <v>-2</v>
      </c>
      <c r="O2253" s="15">
        <v>2</v>
      </c>
      <c r="P2253" s="50"/>
      <c r="S2253" s="90" t="str">
        <f>IF(Table26[[#This Row],[customerSKU]]="","",_xlfn.XLOOKUP(Table26[[#This Row],[customerSKU]],customerSKU!G:G,customerSKU!N:N,"NOT FOUND",0,1))</f>
        <v>NOT FOUND</v>
      </c>
      <c r="T2253" s="20"/>
      <c r="U2253" s="94">
        <v>24</v>
      </c>
      <c r="V2253" s="22" t="str">
        <f>IF(ISBLANK(Table26[[#This Row],[customerSKU]]),"",_xlfn.XLOOKUP(Table26[[#This Row],[customerSKU]],Table27[customer_SKU],Table27[case_size],"",0,1))</f>
        <v/>
      </c>
      <c r="W2253" s="117" t="str">
        <f t="shared" si="92"/>
        <v/>
      </c>
      <c r="X2253" s="22" t="str">
        <f t="shared" si="91"/>
        <v/>
      </c>
      <c r="Y2253" s="25" t="str">
        <f>IF(Table26[[#This Row],[customerSKU]]="","",_xlfn.XLOOKUP(Table26[[#This Row],[customerSKU]],Table27[customer_SKU],Table27[product_GTIN],"",0,1))</f>
        <v/>
      </c>
      <c r="Z2253" s="25" t="s">
        <v>3528</v>
      </c>
      <c r="AA2253" s="18" t="str" cm="1">
        <f t="array" ref="AA2253">IF(P2253="", "", _xlfn.XLOOKUP(P2253,#REF!,#REF!,NA,0,-1))</f>
        <v/>
      </c>
      <c r="AB2253" s="22"/>
      <c r="AC2253" s="23" t="str">
        <f>IF(Table26[[#This Row],[customerSKU]]="","",_xlfn.XLOOKUP(Table26[[#This Row],[customerSKU]],customerSKU!G:G,customerSKU!C:C,"",0,1))</f>
        <v/>
      </c>
      <c r="AD2253" s="23" t="str">
        <f>IF($AC2253="","",_xlfn.XLOOKUP($AC2253,'Client Info'!$C$2:$C$2497,'Client Info'!$D$2:$D$2497,"",0,1))</f>
        <v/>
      </c>
      <c r="AE2253" s="23" t="str">
        <f>IF($AC2253="","",_xlfn.XLOOKUP($AC2253,'Client Info'!$C$2:$C$2677,'Client Info'!$E$2:$E$2677,"",))</f>
        <v/>
      </c>
      <c r="AF2253" s="23" t="str">
        <f>IF($AC2253="","",_xlfn.XLOOKUP($AC2253,'Client Info'!$C$2:$C$2677,'Client Info'!$F$2:$F$2677,"",0,1))</f>
        <v/>
      </c>
      <c r="AG2253" s="23" t="str">
        <f>IF(ISBLANK(Table26[[#This Row],[customerSKU]]),"",_xlfn.XLOOKUP(Table26[[#This Row],[customerSKU]],Table27[customer_SKU],Table27[billto],"",0,1))</f>
        <v/>
      </c>
      <c r="AH2253" s="26" t="str">
        <f>_xlfn.XLOOKUP(Table26[[#This Row],[customerSKU]],customerSKU!G:G,customerSKU!K:K,"NA",0,1)</f>
        <v>NA</v>
      </c>
      <c r="AI2253" s="43" t="str">
        <f>_xlfn.XLOOKUP(Table26[[#This Row],[customerSKU]],customerSKU!G:G,customerSKU!O:O,"not found",0,1)</f>
        <v>not found</v>
      </c>
      <c r="AJ2253" s="22" t="e">
        <f>Table26[[#This Row],[unitprice]]*Table26[[#This Row],[quantity_unit]]</f>
        <v>#VALUE!</v>
      </c>
      <c r="AK2253" s="227" t="e" cm="1">
        <f t="array" ref="AK22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3" s="227"/>
    </row>
    <row r="2254" spans="1:38" ht="15.45" customHeight="1">
      <c r="A2254" s="42">
        <v>2302</v>
      </c>
      <c r="B2254" s="42" t="s">
        <v>3520</v>
      </c>
      <c r="C2254" s="53" t="s">
        <v>3360</v>
      </c>
      <c r="E2254" s="20"/>
      <c r="F22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4" s="93"/>
      <c r="I2254" s="203">
        <v>45883</v>
      </c>
      <c r="J2254" s="90" t="str">
        <f>IF(Table26[[#This Row],[customerSKU]]="","",_xlfn.XLOOKUP(Table26[[#This Row],[customerSKU]],customerSKU!G:G,customerSKU!A:A,"",0,1))</f>
        <v/>
      </c>
      <c r="K2254" s="19">
        <v>45884</v>
      </c>
      <c r="L2254" s="49" t="str">
        <f>IF(Table26[[#This Row],[customerSKU]]="","",_xlfn.XLOOKUP(Table26[[#This Row],[customerSKU]],customerSKU!G:G,customerSKU!B:B,"",0,1))</f>
        <v/>
      </c>
      <c r="M2254" s="22"/>
      <c r="N2254" s="15" t="str">
        <f>Table26[[#This Row],[po_number]]&amp;"-"&amp;Table26[[#This Row],[po_line]]</f>
        <v>-1</v>
      </c>
      <c r="O2254" s="15">
        <v>1</v>
      </c>
      <c r="P2254" s="50"/>
      <c r="S2254" s="90" t="str">
        <f>IF(Table26[[#This Row],[customerSKU]]="","",_xlfn.XLOOKUP(Table26[[#This Row],[customerSKU]],customerSKU!G:G,customerSKU!N:N,"NOT FOUND",0,1))</f>
        <v>NOT FOUND</v>
      </c>
      <c r="T2254" s="20"/>
      <c r="U2254" s="94">
        <v>12</v>
      </c>
      <c r="V2254" s="22" t="str">
        <f>IF(ISBLANK(Table26[[#This Row],[customerSKU]]),"",_xlfn.XLOOKUP(Table26[[#This Row],[customerSKU]],Table27[customer_SKU],Table27[case_size],"",0,1))</f>
        <v/>
      </c>
      <c r="W2254" s="117" t="str">
        <f t="shared" si="92"/>
        <v/>
      </c>
      <c r="X2254" s="22" t="str">
        <f t="shared" si="91"/>
        <v/>
      </c>
      <c r="Y2254" s="25" t="str">
        <f>IF(Table26[[#This Row],[customerSKU]]="","",_xlfn.XLOOKUP(Table26[[#This Row],[customerSKU]],Table27[customer_SKU],Table27[product_GTIN],"",0,1))</f>
        <v/>
      </c>
      <c r="Z2254" s="25" t="s">
        <v>3669</v>
      </c>
      <c r="AA2254" s="18" t="str" cm="1">
        <f t="array" ref="AA2254">IF(P2254="", "", _xlfn.XLOOKUP(P2254,#REF!,#REF!,NA,0,-1))</f>
        <v/>
      </c>
      <c r="AB2254" s="22"/>
      <c r="AC2254" s="23" t="str">
        <f>IF(Table26[[#This Row],[customerSKU]]="","",_xlfn.XLOOKUP(Table26[[#This Row],[customerSKU]],customerSKU!G:G,customerSKU!C:C,"",0,1))</f>
        <v/>
      </c>
      <c r="AD2254" s="23" t="str">
        <f>IF($AC2254="","",_xlfn.XLOOKUP($AC2254,'Client Info'!$C$2:$C$2497,'Client Info'!$D$2:$D$2497,"",0,1))</f>
        <v/>
      </c>
      <c r="AE2254" s="23" t="str">
        <f>IF($AC2254="","",_xlfn.XLOOKUP($AC2254,'Client Info'!$C$2:$C$2677,'Client Info'!$E$2:$E$2677,"",))</f>
        <v/>
      </c>
      <c r="AF2254" s="23" t="str">
        <f>IF($AC2254="","",_xlfn.XLOOKUP($AC2254,'Client Info'!$C$2:$C$2677,'Client Info'!$F$2:$F$2677,"",0,1))</f>
        <v/>
      </c>
      <c r="AG2254" s="23" t="str">
        <f>IF(ISBLANK(Table26[[#This Row],[customerSKU]]),"",_xlfn.XLOOKUP(Table26[[#This Row],[customerSKU]],Table27[customer_SKU],Table27[billto],"",0,1))</f>
        <v/>
      </c>
      <c r="AH2254" s="26" t="str">
        <f>_xlfn.XLOOKUP(Table26[[#This Row],[customerSKU]],customerSKU!G:G,customerSKU!K:K,"NA",0,1)</f>
        <v>NA</v>
      </c>
      <c r="AI2254" s="43" t="str">
        <f>_xlfn.XLOOKUP(Table26[[#This Row],[customerSKU]],customerSKU!G:G,customerSKU!O:O,"not found",0,1)</f>
        <v>not found</v>
      </c>
      <c r="AJ2254" s="22" t="e">
        <f>Table26[[#This Row],[unitprice]]*Table26[[#This Row],[quantity_unit]]</f>
        <v>#VALUE!</v>
      </c>
      <c r="AK2254" s="227" t="e" cm="1">
        <f t="array" ref="AK22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4" s="227"/>
    </row>
    <row r="2255" spans="1:38" ht="15.75" customHeight="1">
      <c r="A2255" s="42">
        <v>2315</v>
      </c>
      <c r="B2255" s="42" t="s">
        <v>3520</v>
      </c>
      <c r="C2255" s="53" t="s">
        <v>3360</v>
      </c>
      <c r="E2255" s="20"/>
      <c r="F22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5" s="93"/>
      <c r="I2255" s="203">
        <v>45884</v>
      </c>
      <c r="J2255" s="90" t="str">
        <f>IF(Table26[[#This Row],[customerSKU]]="","",_xlfn.XLOOKUP(Table26[[#This Row],[customerSKU]],customerSKU!G:G,customerSKU!A:A,"",0,1))</f>
        <v/>
      </c>
      <c r="K2255" s="203">
        <v>45884</v>
      </c>
      <c r="L2255" s="49" t="str">
        <f>IF(Table26[[#This Row],[customerSKU]]="","",_xlfn.XLOOKUP(Table26[[#This Row],[customerSKU]],customerSKU!G:G,customerSKU!B:B,"",0,1))</f>
        <v/>
      </c>
      <c r="M2255" s="22"/>
      <c r="N2255" s="15" t="str">
        <f>Table26[[#This Row],[po_number]]&amp;"-"&amp;Table26[[#This Row],[po_line]]</f>
        <v>-1</v>
      </c>
      <c r="O2255" s="15">
        <v>1</v>
      </c>
      <c r="P2255" s="50"/>
      <c r="S2255" s="90" t="str">
        <f>IF(Table26[[#This Row],[customerSKU]]="","",_xlfn.XLOOKUP(Table26[[#This Row],[customerSKU]],customerSKU!G:G,customerSKU!N:N,"NOT FOUND",0,1))</f>
        <v>NOT FOUND</v>
      </c>
      <c r="T2255" s="20"/>
      <c r="U2255" s="94">
        <v>12</v>
      </c>
      <c r="V2255" s="22" t="str">
        <f>IF(ISBLANK(Table26[[#This Row],[customerSKU]]),"",_xlfn.XLOOKUP(Table26[[#This Row],[customerSKU]],Table27[customer_SKU],Table27[case_size],"",0,1))</f>
        <v/>
      </c>
      <c r="W2255" s="117" t="str">
        <f t="shared" si="92"/>
        <v/>
      </c>
      <c r="X2255" s="22" t="str">
        <f t="shared" si="91"/>
        <v/>
      </c>
      <c r="Y2255" s="25" t="str">
        <f>IF(Table26[[#This Row],[customerSKU]]="","",_xlfn.XLOOKUP(Table26[[#This Row],[customerSKU]],Table27[customer_SKU],Table27[product_GTIN],"",0,1))</f>
        <v/>
      </c>
      <c r="Z2255" s="25" t="s">
        <v>3720</v>
      </c>
      <c r="AA2255" s="18" t="str" cm="1">
        <f t="array" ref="AA2255">IF(P2255="", "", _xlfn.XLOOKUP(P2255,#REF!,#REF!,NA,0,-1))</f>
        <v/>
      </c>
      <c r="AB2255" s="22"/>
      <c r="AC2255" s="23" t="str">
        <f>IF(Table26[[#This Row],[customerSKU]]="","",_xlfn.XLOOKUP(Table26[[#This Row],[customerSKU]],customerSKU!G:G,customerSKU!C:C,"",0,1))</f>
        <v/>
      </c>
      <c r="AD2255" s="23" t="str">
        <f>IF($AC2255="","",_xlfn.XLOOKUP($AC2255,'Client Info'!$C$2:$C$2497,'Client Info'!$D$2:$D$2497,"",0,1))</f>
        <v/>
      </c>
      <c r="AE2255" s="23" t="str">
        <f>IF($AC2255="","",_xlfn.XLOOKUP($AC2255,'Client Info'!$C$2:$C$2677,'Client Info'!$E$2:$E$2677,"",))</f>
        <v/>
      </c>
      <c r="AF2255" s="23" t="str">
        <f>IF($AC2255="","",_xlfn.XLOOKUP($AC2255,'Client Info'!$C$2:$C$2677,'Client Info'!$F$2:$F$2677,"",0,1))</f>
        <v/>
      </c>
      <c r="AG2255" s="23" t="str">
        <f>IF(ISBLANK(Table26[[#This Row],[customerSKU]]),"",_xlfn.XLOOKUP(Table26[[#This Row],[customerSKU]],Table27[customer_SKU],Table27[billto],"",0,1))</f>
        <v/>
      </c>
      <c r="AH2255" s="26" t="str">
        <f>_xlfn.XLOOKUP(Table26[[#This Row],[customerSKU]],customerSKU!G:G,customerSKU!K:K,"NA",0,1)</f>
        <v>NA</v>
      </c>
      <c r="AI2255" s="43" t="str">
        <f>_xlfn.XLOOKUP(Table26[[#This Row],[customerSKU]],customerSKU!G:G,customerSKU!O:O,"not found",0,1)</f>
        <v>not found</v>
      </c>
      <c r="AJ2255" s="22" t="e">
        <f>Table26[[#This Row],[unitprice]]*Table26[[#This Row],[quantity_unit]]</f>
        <v>#VALUE!</v>
      </c>
      <c r="AK2255" s="227" t="e" cm="1">
        <f t="array" ref="AK22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5" s="227"/>
    </row>
    <row r="2256" spans="1:38" ht="15.75" customHeight="1">
      <c r="A2256" s="42">
        <v>1</v>
      </c>
      <c r="B2256" s="42" t="s">
        <v>3520</v>
      </c>
      <c r="C2256" s="53" t="s">
        <v>203</v>
      </c>
      <c r="E2256" s="20"/>
      <c r="F22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6" s="93"/>
      <c r="I2256" s="203">
        <v>45876</v>
      </c>
      <c r="J2256" s="90" t="str">
        <f>IF(Table26[[#This Row],[customerSKU]]="","",_xlfn.XLOOKUP(Table26[[#This Row],[customerSKU]],customerSKU!G:G,customerSKU!A:A,"",0,1))</f>
        <v/>
      </c>
      <c r="K2256" s="19">
        <v>45894</v>
      </c>
      <c r="L2256" s="49" t="str">
        <f>IF(Table26[[#This Row],[customerSKU]]="","",_xlfn.XLOOKUP(Table26[[#This Row],[customerSKU]],customerSKU!G:G,customerSKU!B:B,"",0,1))</f>
        <v/>
      </c>
      <c r="M2256" s="22"/>
      <c r="N2256" s="15" t="str">
        <f>Table26[[#This Row],[po_number]]&amp;"-"&amp;Table26[[#This Row],[po_line]]</f>
        <v>-1</v>
      </c>
      <c r="O2256" s="15">
        <v>1</v>
      </c>
      <c r="P2256" s="50"/>
      <c r="Q2256" s="22" t="s">
        <v>1811</v>
      </c>
      <c r="R2256" s="22" t="s">
        <v>3428</v>
      </c>
      <c r="S2256" s="90" t="str">
        <f>IF(Table26[[#This Row],[customerSKU]]="","",_xlfn.XLOOKUP(Table26[[#This Row],[customerSKU]],customerSKU!G:G,customerSKU!N:N,"NOT FOUND",0,1))</f>
        <v>NOT FOUND</v>
      </c>
      <c r="T2256" s="20">
        <v>45805</v>
      </c>
      <c r="U2256" s="94">
        <v>12</v>
      </c>
      <c r="V2256" s="22" t="str">
        <f>IF(ISBLANK(Table26[[#This Row],[customerSKU]]),"",_xlfn.XLOOKUP(Table26[[#This Row],[customerSKU]],Table27[customer_SKU],Table27[case_size],"",0,1))</f>
        <v/>
      </c>
      <c r="W2256" s="117" t="str">
        <f t="shared" ref="W2256:W2287" si="93">IFERROR(U2256/V2256, "")</f>
        <v/>
      </c>
      <c r="X2256" s="22" t="str">
        <f t="shared" ref="X2256:X2287" si="94">IFERROR($AA2256*$U2256, "")</f>
        <v/>
      </c>
      <c r="Y2256" s="25" t="str">
        <f>IF(Table26[[#This Row],[customerSKU]]="","",_xlfn.XLOOKUP(Table26[[#This Row],[customerSKU]],Table27[customer_SKU],Table27[product_GTIN],"",0,1))</f>
        <v/>
      </c>
      <c r="Z2256" s="25" t="s">
        <v>3613</v>
      </c>
      <c r="AA2256" s="18" t="str" cm="1">
        <f t="array" ref="AA2256">IF(P2256="", "", _xlfn.XLOOKUP(P2256,#REF!,#REF!,NA,0,-1))</f>
        <v/>
      </c>
      <c r="AB2256" s="22"/>
      <c r="AC2256" s="23" t="s">
        <v>137</v>
      </c>
      <c r="AD2256" s="23" t="str">
        <f>IF($AC2256="","",_xlfn.XLOOKUP($AC2256,'Client Info'!$C$2:$C$2497,'Client Info'!$D$2:$D$2497,"",0,1))</f>
        <v/>
      </c>
      <c r="AE2256" s="23" t="str">
        <f>IF($AC2256="","",_xlfn.XLOOKUP($AC2256,'Client Info'!$C$2:$C$2677,'Client Info'!$E$2:$E$2677,"",))</f>
        <v/>
      </c>
      <c r="AF2256" s="23" t="str">
        <f>IF($AC2256="","",_xlfn.XLOOKUP($AC2256,'Client Info'!$C$2:$C$2677,'Client Info'!$F$2:$F$2677,"",0,1))</f>
        <v/>
      </c>
      <c r="AG2256" s="23" t="str">
        <f>IF(ISBLANK(Table26[[#This Row],[customerSKU]]),"",_xlfn.XLOOKUP(Table26[[#This Row],[customerSKU]],Table27[customer_SKU],Table27[billto],"",0,1))</f>
        <v/>
      </c>
      <c r="AH2256" s="26" t="str">
        <f>_xlfn.XLOOKUP(Table26[[#This Row],[customerSKU]],customerSKU!G:G,customerSKU!K:K,"NA",0,1)</f>
        <v>NA</v>
      </c>
      <c r="AI2256" s="43" t="str">
        <f>_xlfn.XLOOKUP(Table26[[#This Row],[customerSKU]],customerSKU!G:G,customerSKU!O:O,"not found",0,1)</f>
        <v>not found</v>
      </c>
      <c r="AJ2256" s="22" t="e">
        <f>Table26[[#This Row],[unitprice]]*Table26[[#This Row],[quantity_unit]]</f>
        <v>#VALUE!</v>
      </c>
      <c r="AK2256" s="227" t="e" cm="1">
        <f t="array" ref="AK22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6" s="227"/>
    </row>
    <row r="2257" spans="1:38" ht="15.75" customHeight="1">
      <c r="A2257" s="42">
        <v>2</v>
      </c>
      <c r="B2257" s="42" t="s">
        <v>3520</v>
      </c>
      <c r="C2257" s="53" t="s">
        <v>203</v>
      </c>
      <c r="E2257" s="20"/>
      <c r="F22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7" s="93"/>
      <c r="I2257" s="203">
        <v>45876</v>
      </c>
      <c r="J2257" s="90" t="str">
        <f>IF(Table26[[#This Row],[customerSKU]]="","",_xlfn.XLOOKUP(Table26[[#This Row],[customerSKU]],customerSKU!G:G,customerSKU!A:A,"",0,1))</f>
        <v/>
      </c>
      <c r="K2257" s="19">
        <v>45894</v>
      </c>
      <c r="L2257" s="49" t="str">
        <f>IF(Table26[[#This Row],[customerSKU]]="","",_xlfn.XLOOKUP(Table26[[#This Row],[customerSKU]],customerSKU!G:G,customerSKU!B:B,"",0,1))</f>
        <v/>
      </c>
      <c r="M2257" s="22"/>
      <c r="N2257" s="15" t="str">
        <f>Table26[[#This Row],[po_number]]&amp;"-"&amp;Table26[[#This Row],[po_line]]</f>
        <v>-2</v>
      </c>
      <c r="O2257" s="15">
        <v>2</v>
      </c>
      <c r="P2257" s="50"/>
      <c r="Q2257" s="22" t="s">
        <v>659</v>
      </c>
      <c r="R2257" s="22" t="s">
        <v>3428</v>
      </c>
      <c r="S2257" s="90" t="str">
        <f>IF(Table26[[#This Row],[customerSKU]]="","",_xlfn.XLOOKUP(Table26[[#This Row],[customerSKU]],customerSKU!G:G,customerSKU!N:N,"NOT FOUND",0,1))</f>
        <v>NOT FOUND</v>
      </c>
      <c r="T2257" s="20">
        <v>45887</v>
      </c>
      <c r="U2257" s="94">
        <v>12</v>
      </c>
      <c r="V2257" s="22" t="str">
        <f>IF(ISBLANK(Table26[[#This Row],[customerSKU]]),"",_xlfn.XLOOKUP(Table26[[#This Row],[customerSKU]],Table27[customer_SKU],Table27[case_size],"",0,1))</f>
        <v/>
      </c>
      <c r="W2257" s="117" t="str">
        <f t="shared" si="93"/>
        <v/>
      </c>
      <c r="X2257" s="22" t="str">
        <f t="shared" si="94"/>
        <v/>
      </c>
      <c r="Y2257" s="25" t="str">
        <f>IF(Table26[[#This Row],[customerSKU]]="","",_xlfn.XLOOKUP(Table26[[#This Row],[customerSKU]],Table27[customer_SKU],Table27[product_GTIN],"",0,1))</f>
        <v/>
      </c>
      <c r="Z2257" s="25" t="s">
        <v>3544</v>
      </c>
      <c r="AA2257" s="18" t="str" cm="1">
        <f t="array" ref="AA2257">IF(P2257="", "", _xlfn.XLOOKUP(P2257,#REF!,#REF!,NA,0,-1))</f>
        <v/>
      </c>
      <c r="AB2257" s="22"/>
      <c r="AC2257" s="23" t="s">
        <v>137</v>
      </c>
      <c r="AD2257" s="23" t="str">
        <f>IF($AC2257="","",_xlfn.XLOOKUP($AC2257,'Client Info'!$C$2:$C$2497,'Client Info'!$D$2:$D$2497,"",0,1))</f>
        <v/>
      </c>
      <c r="AE2257" s="23" t="str">
        <f>IF($AC2257="","",_xlfn.XLOOKUP($AC2257,'Client Info'!$C$2:$C$2677,'Client Info'!$E$2:$E$2677,"",))</f>
        <v/>
      </c>
      <c r="AF2257" s="23" t="str">
        <f>IF($AC2257="","",_xlfn.XLOOKUP($AC2257,'Client Info'!$C$2:$C$2677,'Client Info'!$F$2:$F$2677,"",0,1))</f>
        <v/>
      </c>
      <c r="AG2257" s="23" t="str">
        <f>IF(ISBLANK(Table26[[#This Row],[customerSKU]]),"",_xlfn.XLOOKUP(Table26[[#This Row],[customerSKU]],Table27[customer_SKU],Table27[billto],"",0,1))</f>
        <v/>
      </c>
      <c r="AH2257" s="26" t="str">
        <f>_xlfn.XLOOKUP(Table26[[#This Row],[customerSKU]],customerSKU!G:G,customerSKU!K:K,"NA",0,1)</f>
        <v>NA</v>
      </c>
      <c r="AI2257" s="43" t="str">
        <f>_xlfn.XLOOKUP(Table26[[#This Row],[customerSKU]],customerSKU!G:G,customerSKU!O:O,"not found",0,1)</f>
        <v>not found</v>
      </c>
      <c r="AJ2257" s="22" t="e">
        <f>Table26[[#This Row],[unitprice]]*Table26[[#This Row],[quantity_unit]]</f>
        <v>#VALUE!</v>
      </c>
      <c r="AK2257" s="227" t="e" cm="1">
        <f t="array" ref="AK22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7" s="227"/>
    </row>
    <row r="2258" spans="1:38" ht="15.75" customHeight="1">
      <c r="A2258" s="42">
        <v>2304</v>
      </c>
      <c r="B2258" s="42" t="s">
        <v>3520</v>
      </c>
      <c r="C2258" s="53" t="s">
        <v>203</v>
      </c>
      <c r="E2258" s="20"/>
      <c r="F22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8" s="93"/>
      <c r="I2258" s="203">
        <v>45884</v>
      </c>
      <c r="J2258" s="90" t="str">
        <f>IF(Table26[[#This Row],[customerSKU]]="","",_xlfn.XLOOKUP(Table26[[#This Row],[customerSKU]],customerSKU!G:G,customerSKU!A:A,"",0,1))</f>
        <v/>
      </c>
      <c r="K2258" s="19">
        <v>45894</v>
      </c>
      <c r="L2258" s="49" t="str">
        <f>IF(Table26[[#This Row],[customerSKU]]="","",_xlfn.XLOOKUP(Table26[[#This Row],[customerSKU]],customerSKU!G:G,customerSKU!B:B,"",0,1))</f>
        <v/>
      </c>
      <c r="M2258" s="22"/>
      <c r="N2258" s="15" t="str">
        <f>Table26[[#This Row],[po_number]]&amp;"-"&amp;Table26[[#This Row],[po_line]]</f>
        <v>-1</v>
      </c>
      <c r="O2258" s="15">
        <v>1</v>
      </c>
      <c r="P2258" s="50"/>
      <c r="Q2258" s="22" t="s">
        <v>1811</v>
      </c>
      <c r="R2258" s="22" t="s">
        <v>3428</v>
      </c>
      <c r="S2258" s="90" t="str">
        <f>IF(Table26[[#This Row],[customerSKU]]="","",_xlfn.XLOOKUP(Table26[[#This Row],[customerSKU]],customerSKU!G:G,customerSKU!N:N,"NOT FOUND",0,1))</f>
        <v>NOT FOUND</v>
      </c>
      <c r="T2258" s="20">
        <v>45805</v>
      </c>
      <c r="U2258" s="94">
        <v>36</v>
      </c>
      <c r="V2258" s="22" t="str">
        <f>IF(ISBLANK(Table26[[#This Row],[customerSKU]]),"",_xlfn.XLOOKUP(Table26[[#This Row],[customerSKU]],Table27[customer_SKU],Table27[case_size],"",0,1))</f>
        <v/>
      </c>
      <c r="W2258" s="117" t="str">
        <f t="shared" si="93"/>
        <v/>
      </c>
      <c r="X2258" s="22" t="str">
        <f t="shared" si="94"/>
        <v/>
      </c>
      <c r="Y2258" s="25" t="str">
        <f>IF(Table26[[#This Row],[customerSKU]]="","",_xlfn.XLOOKUP(Table26[[#This Row],[customerSKU]],Table27[customer_SKU],Table27[product_GTIN],"",0,1))</f>
        <v/>
      </c>
      <c r="Z2258" s="25" t="s">
        <v>3613</v>
      </c>
      <c r="AA2258" s="18" t="str" cm="1">
        <f t="array" ref="AA2258">IF(P2258="", "", _xlfn.XLOOKUP(P2258,#REF!,#REF!,NA,0,-1))</f>
        <v/>
      </c>
      <c r="AB2258" s="22"/>
      <c r="AC2258" s="23" t="s">
        <v>137</v>
      </c>
      <c r="AD2258" s="23" t="str">
        <f>IF($AC2258="","",_xlfn.XLOOKUP($AC2258,'Client Info'!$C$2:$C$2497,'Client Info'!$D$2:$D$2497,"",0,1))</f>
        <v/>
      </c>
      <c r="AE2258" s="23" t="str">
        <f>IF($AC2258="","",_xlfn.XLOOKUP($AC2258,'Client Info'!$C$2:$C$2677,'Client Info'!$E$2:$E$2677,"",))</f>
        <v/>
      </c>
      <c r="AF2258" s="23" t="str">
        <f>IF($AC2258="","",_xlfn.XLOOKUP($AC2258,'Client Info'!$C$2:$C$2677,'Client Info'!$F$2:$F$2677,"",0,1))</f>
        <v/>
      </c>
      <c r="AG2258" s="23" t="str">
        <f>IF(ISBLANK(Table26[[#This Row],[customerSKU]]),"",_xlfn.XLOOKUP(Table26[[#This Row],[customerSKU]],Table27[customer_SKU],Table27[billto],"",0,1))</f>
        <v/>
      </c>
      <c r="AH2258" s="26" t="str">
        <f>_xlfn.XLOOKUP(Table26[[#This Row],[customerSKU]],customerSKU!G:G,customerSKU!K:K,"NA",0,1)</f>
        <v>NA</v>
      </c>
      <c r="AI2258" s="43" t="str">
        <f>_xlfn.XLOOKUP(Table26[[#This Row],[customerSKU]],customerSKU!G:G,customerSKU!O:O,"not found",0,1)</f>
        <v>not found</v>
      </c>
      <c r="AJ2258" s="22" t="e">
        <f>Table26[[#This Row],[unitprice]]*Table26[[#This Row],[quantity_unit]]</f>
        <v>#VALUE!</v>
      </c>
      <c r="AK2258" s="227" t="e" cm="1">
        <f t="array" ref="AK22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8" s="227"/>
    </row>
    <row r="2259" spans="1:38" ht="15.75" customHeight="1">
      <c r="A2259" s="42">
        <v>2334</v>
      </c>
      <c r="B2259" s="42" t="s">
        <v>3520</v>
      </c>
      <c r="C2259" s="53" t="s">
        <v>203</v>
      </c>
      <c r="E2259" s="20"/>
      <c r="F22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59" s="93"/>
      <c r="I2259" s="203">
        <v>45888</v>
      </c>
      <c r="J2259" s="90" t="str">
        <f>IF(Table26[[#This Row],[customerSKU]]="","",_xlfn.XLOOKUP(Table26[[#This Row],[customerSKU]],customerSKU!G:G,customerSKU!A:A,"",0,1))</f>
        <v/>
      </c>
      <c r="K2259" s="19">
        <v>45888</v>
      </c>
      <c r="L2259" s="49" t="s">
        <v>201</v>
      </c>
      <c r="M2259" s="22"/>
      <c r="N2259" s="15" t="str">
        <f>Table26[[#This Row],[po_number]]&amp;"-"&amp;Table26[[#This Row],[po_line]]</f>
        <v>-1</v>
      </c>
      <c r="O2259" s="15">
        <v>1</v>
      </c>
      <c r="P2259" s="50"/>
      <c r="Q2259" s="22" t="s">
        <v>4305</v>
      </c>
      <c r="R2259" s="22" t="s">
        <v>532</v>
      </c>
      <c r="S2259" s="90" t="str">
        <f>IF(Table26[[#This Row],[customerSKU]]="","",_xlfn.XLOOKUP(Table26[[#This Row],[customerSKU]],customerSKU!G:G,customerSKU!N:N,"NOT FOUND",0,1))</f>
        <v>NOT FOUND</v>
      </c>
      <c r="T2259" s="20">
        <v>45883</v>
      </c>
      <c r="U2259" s="94">
        <f>303*12</f>
        <v>3636</v>
      </c>
      <c r="V2259" s="22" t="str">
        <f>IF(ISBLANK(Table26[[#This Row],[customerSKU]]),"",_xlfn.XLOOKUP(Table26[[#This Row],[customerSKU]],Table27[customer_SKU],Table27[case_size],"",0,1))</f>
        <v/>
      </c>
      <c r="W2259" s="117" t="str">
        <f t="shared" si="93"/>
        <v/>
      </c>
      <c r="X2259" s="22" t="str">
        <f t="shared" si="94"/>
        <v/>
      </c>
      <c r="Y2259" s="25" t="str">
        <f>IF(Table26[[#This Row],[customerSKU]]="","",_xlfn.XLOOKUP(Table26[[#This Row],[customerSKU]],Table27[customer_SKU],Table27[product_GTIN],"",0,1))</f>
        <v/>
      </c>
      <c r="Z2259" s="25" t="s">
        <v>3637</v>
      </c>
      <c r="AA2259" s="18" t="str" cm="1">
        <f t="array" ref="AA2259">IF(P2259="", "", _xlfn.XLOOKUP(P2259,#REF!,#REF!,NA,0,-1))</f>
        <v/>
      </c>
      <c r="AB2259" s="22"/>
      <c r="AC2259" s="23" t="str">
        <f>IF(Table26[[#This Row],[customerSKU]]="","",_xlfn.XLOOKUP(Table26[[#This Row],[customerSKU]],customerSKU!G:G,customerSKU!C:C,"",0,1))</f>
        <v/>
      </c>
      <c r="AD2259" s="23" t="str">
        <f>IF($AC2259="","",_xlfn.XLOOKUP($AC2259,'Client Info'!$C$2:$C$2497,'Client Info'!$D$2:$D$2497,"",0,1))</f>
        <v/>
      </c>
      <c r="AE2259" s="23" t="str">
        <f>IF($AC2259="","",_xlfn.XLOOKUP($AC2259,'Client Info'!$C$2:$C$2677,'Client Info'!$E$2:$E$2677,"",))</f>
        <v/>
      </c>
      <c r="AF2259" s="23" t="str">
        <f>IF($AC2259="","",_xlfn.XLOOKUP($AC2259,'Client Info'!$C$2:$C$2677,'Client Info'!$F$2:$F$2677,"",0,1))</f>
        <v/>
      </c>
      <c r="AG2259" s="23" t="str">
        <f>IF(ISBLANK(Table26[[#This Row],[customerSKU]]),"",_xlfn.XLOOKUP(Table26[[#This Row],[customerSKU]],Table27[customer_SKU],Table27[billto],"",0,1))</f>
        <v/>
      </c>
      <c r="AH2259" s="26" t="str">
        <f>_xlfn.XLOOKUP(Table26[[#This Row],[customerSKU]],customerSKU!G:G,customerSKU!K:K,"NA",0,1)</f>
        <v>NA</v>
      </c>
      <c r="AI2259" s="43" t="str">
        <f>_xlfn.XLOOKUP(Table26[[#This Row],[customerSKU]],customerSKU!G:G,customerSKU!O:O,"not found",0,1)</f>
        <v>not found</v>
      </c>
      <c r="AJ2259" s="22" t="e">
        <f>Table26[[#This Row],[unitprice]]*Table26[[#This Row],[quantity_unit]]</f>
        <v>#VALUE!</v>
      </c>
      <c r="AK2259" s="227" t="e" cm="1">
        <f t="array" ref="AK22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59" s="227"/>
    </row>
    <row r="2260" spans="1:38" ht="15.75" customHeight="1">
      <c r="A2260" s="42">
        <v>2335</v>
      </c>
      <c r="B2260" s="42" t="s">
        <v>3520</v>
      </c>
      <c r="C2260" s="53" t="s">
        <v>203</v>
      </c>
      <c r="E2260" s="20"/>
      <c r="F22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0" s="93"/>
      <c r="I2260" s="203">
        <v>45888</v>
      </c>
      <c r="J2260" s="90" t="str">
        <f>IF(Table26[[#This Row],[customerSKU]]="","",_xlfn.XLOOKUP(Table26[[#This Row],[customerSKU]],customerSKU!G:G,customerSKU!A:A,"",0,1))</f>
        <v/>
      </c>
      <c r="K2260" s="19">
        <v>45888</v>
      </c>
      <c r="L2260" s="49" t="str">
        <f>IF(Table26[[#This Row],[customerSKU]]="","",_xlfn.XLOOKUP(Table26[[#This Row],[customerSKU]],customerSKU!G:G,customerSKU!B:B,"",0,1))</f>
        <v/>
      </c>
      <c r="M2260" s="22"/>
      <c r="N2260" s="15" t="str">
        <f>Table26[[#This Row],[po_number]]&amp;"-"&amp;Table26[[#This Row],[po_line]]</f>
        <v>-2</v>
      </c>
      <c r="O2260" s="15">
        <v>2</v>
      </c>
      <c r="P2260" s="50"/>
      <c r="Q2260" s="22" t="s">
        <v>4304</v>
      </c>
      <c r="R2260" s="22" t="s">
        <v>532</v>
      </c>
      <c r="S2260" s="90" t="str">
        <f>IF(Table26[[#This Row],[customerSKU]]="","",_xlfn.XLOOKUP(Table26[[#This Row],[customerSKU]],customerSKU!G:G,customerSKU!N:N,"NOT FOUND",0,1))</f>
        <v>NOT FOUND</v>
      </c>
      <c r="T2260" s="20">
        <v>45883</v>
      </c>
      <c r="U2260" s="94">
        <f>289*12</f>
        <v>3468</v>
      </c>
      <c r="V2260" s="22" t="str">
        <f>IF(ISBLANK(Table26[[#This Row],[customerSKU]]),"",_xlfn.XLOOKUP(Table26[[#This Row],[customerSKU]],Table27[customer_SKU],Table27[case_size],"",0,1))</f>
        <v/>
      </c>
      <c r="W2260" s="117" t="str">
        <f t="shared" si="93"/>
        <v/>
      </c>
      <c r="X2260" s="22" t="str">
        <f t="shared" si="94"/>
        <v/>
      </c>
      <c r="Y2260" s="25" t="str">
        <f>IF(Table26[[#This Row],[customerSKU]]="","",_xlfn.XLOOKUP(Table26[[#This Row],[customerSKU]],Table27[customer_SKU],Table27[product_GTIN],"",0,1))</f>
        <v/>
      </c>
      <c r="Z2260" s="25" t="s">
        <v>3617</v>
      </c>
      <c r="AA2260" s="18" t="str" cm="1">
        <f t="array" ref="AA2260">IF(P2260="", "", _xlfn.XLOOKUP(P2260,#REF!,#REF!,NA,0,-1))</f>
        <v/>
      </c>
      <c r="AB2260" s="22"/>
      <c r="AC2260" s="23" t="str">
        <f>IF(Table26[[#This Row],[customerSKU]]="","",_xlfn.XLOOKUP(Table26[[#This Row],[customerSKU]],customerSKU!G:G,customerSKU!C:C,"",0,1))</f>
        <v/>
      </c>
      <c r="AD2260" s="23" t="str">
        <f>IF($AC2260="","",_xlfn.XLOOKUP($AC2260,'Client Info'!$C$2:$C$2497,'Client Info'!$D$2:$D$2497,"",0,1))</f>
        <v/>
      </c>
      <c r="AE2260" s="23" t="str">
        <f>IF($AC2260="","",_xlfn.XLOOKUP($AC2260,'Client Info'!$C$2:$C$2677,'Client Info'!$E$2:$E$2677,"",))</f>
        <v/>
      </c>
      <c r="AF2260" s="23" t="str">
        <f>IF($AC2260="","",_xlfn.XLOOKUP($AC2260,'Client Info'!$C$2:$C$2677,'Client Info'!$F$2:$F$2677,"",0,1))</f>
        <v/>
      </c>
      <c r="AG2260" s="23" t="str">
        <f>IF(ISBLANK(Table26[[#This Row],[customerSKU]]),"",_xlfn.XLOOKUP(Table26[[#This Row],[customerSKU]],Table27[customer_SKU],Table27[billto],"",0,1))</f>
        <v/>
      </c>
      <c r="AH2260" s="26" t="str">
        <f>_xlfn.XLOOKUP(Table26[[#This Row],[customerSKU]],customerSKU!G:G,customerSKU!K:K,"NA",0,1)</f>
        <v>NA</v>
      </c>
      <c r="AI2260" s="43" t="str">
        <f>_xlfn.XLOOKUP(Table26[[#This Row],[customerSKU]],customerSKU!G:G,customerSKU!O:O,"not found",0,1)</f>
        <v>not found</v>
      </c>
      <c r="AJ2260" s="22" t="e">
        <f>Table26[[#This Row],[unitprice]]*Table26[[#This Row],[quantity_unit]]</f>
        <v>#VALUE!</v>
      </c>
      <c r="AK2260" s="227" t="e" cm="1">
        <f t="array" ref="AK22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60" s="227"/>
    </row>
    <row r="2261" spans="1:38" ht="15.75" customHeight="1">
      <c r="A2261" s="42">
        <v>2365</v>
      </c>
      <c r="B2261" s="42" t="s">
        <v>3520</v>
      </c>
      <c r="C2261" s="53" t="s">
        <v>3427</v>
      </c>
      <c r="E2261" s="20"/>
      <c r="F2261" s="22"/>
      <c r="G2261" s="93"/>
      <c r="I2261" s="203">
        <v>45891</v>
      </c>
      <c r="J2261" s="90" t="str">
        <f>IF(Table26[[#This Row],[customerSKU]]="","",_xlfn.XLOOKUP(Table26[[#This Row],[customerSKU]],customerSKU!G:G,customerSKU!A:A,"",0,1))</f>
        <v/>
      </c>
      <c r="K2261" s="203">
        <v>45891</v>
      </c>
      <c r="L2261" s="49" t="str">
        <f>IF(Table26[[#This Row],[customerSKU]]="","",_xlfn.XLOOKUP(Table26[[#This Row],[customerSKU]],customerSKU!G:G,customerSKU!B:B,"",0,1))</f>
        <v/>
      </c>
      <c r="M2261" s="22"/>
      <c r="O2261" s="15">
        <v>1</v>
      </c>
      <c r="P2261" s="50"/>
      <c r="Q2261" s="22" t="s">
        <v>4313</v>
      </c>
      <c r="R2261" s="22" t="s">
        <v>532</v>
      </c>
      <c r="S2261" s="90" t="str">
        <f>IF(Table26[[#This Row],[customerSKU]]="","",_xlfn.XLOOKUP(Table26[[#This Row],[customerSKU]],customerSKU!G:G,customerSKU!N:N,"NOT FOUND",0,1))</f>
        <v>NOT FOUND</v>
      </c>
      <c r="T2261" s="20">
        <v>45876</v>
      </c>
      <c r="U2261" s="94">
        <f>35*12</f>
        <v>420</v>
      </c>
      <c r="V2261" s="22" t="str">
        <f>IF(ISBLANK(Table26[[#This Row],[customerSKU]]),"",_xlfn.XLOOKUP(Table26[[#This Row],[customerSKU]],Table27[customer_SKU],Table27[case_size],"",0,1))</f>
        <v/>
      </c>
      <c r="W2261" s="117" t="str">
        <f t="shared" si="93"/>
        <v/>
      </c>
      <c r="X2261" s="22" t="str">
        <f t="shared" si="94"/>
        <v/>
      </c>
      <c r="Y2261" s="25" t="str">
        <f>IF(Table26[[#This Row],[customerSKU]]="","",_xlfn.XLOOKUP(Table26[[#This Row],[customerSKU]],Table27[customer_SKU],Table27[product_GTIN],"",0,1))</f>
        <v/>
      </c>
      <c r="Z2261" s="25" t="s">
        <v>4314</v>
      </c>
      <c r="AA2261" s="18" t="str" cm="1">
        <f t="array" ref="AA2261">IF(P2261="", "", _xlfn.XLOOKUP(P2261,#REF!,#REF!,NA,0,-1))</f>
        <v/>
      </c>
      <c r="AB2261" s="22"/>
      <c r="AC2261" s="23" t="str">
        <f>IF(Table26[[#This Row],[customerSKU]]="","",_xlfn.XLOOKUP(Table26[[#This Row],[customerSKU]],customerSKU!G:G,customerSKU!C:C,"",0,1))</f>
        <v/>
      </c>
      <c r="AD2261" s="23" t="str">
        <f>IF($AC2261="","",_xlfn.XLOOKUP($AC2261,'Client Info'!$C$2:$C$2497,'Client Info'!$D$2:$D$2497,"",0,1))</f>
        <v/>
      </c>
      <c r="AE2261" s="23" t="str">
        <f>IF($AC2261="","",_xlfn.XLOOKUP($AC2261,'Client Info'!$C$2:$C$2677,'Client Info'!$E$2:$E$2677,"",))</f>
        <v/>
      </c>
      <c r="AF2261" s="23" t="str">
        <f>IF($AC2261="","",_xlfn.XLOOKUP($AC2261,'Client Info'!$C$2:$C$2677,'Client Info'!$F$2:$F$2677,"",0,1))</f>
        <v/>
      </c>
      <c r="AG2261" s="23" t="str">
        <f>IF(ISBLANK(Table26[[#This Row],[customerSKU]]),"",_xlfn.XLOOKUP(Table26[[#This Row],[customerSKU]],Table27[customer_SKU],Table27[billto],"",0,1))</f>
        <v/>
      </c>
      <c r="AH2261" s="26" t="str">
        <f>_xlfn.XLOOKUP(Table26[[#This Row],[customerSKU]],customerSKU!G:G,customerSKU!K:K,"NA",0,1)</f>
        <v>NA</v>
      </c>
      <c r="AI2261" s="43" t="str">
        <f>_xlfn.XLOOKUP(Table26[[#This Row],[customerSKU]],customerSKU!G:G,customerSKU!O:O,"not found",0,1)</f>
        <v>not found</v>
      </c>
      <c r="AJ2261" s="22" t="e">
        <f>Table26[[#This Row],[unitprice]]*Table26[[#This Row],[quantity_unit]]</f>
        <v>#VALUE!</v>
      </c>
      <c r="AK2261" s="227" t="e" cm="1">
        <f t="array" ref="AK22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61" s="227"/>
    </row>
    <row r="2262" spans="1:38" ht="15.75" customHeight="1">
      <c r="A2262" s="42">
        <v>2260</v>
      </c>
      <c r="B2262" s="42" t="s">
        <v>3520</v>
      </c>
      <c r="C2262" s="53" t="s">
        <v>3488</v>
      </c>
      <c r="D2262" s="20">
        <v>45889</v>
      </c>
      <c r="E2262" s="20"/>
      <c r="F22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2" s="93"/>
      <c r="I2262" s="203">
        <v>45868</v>
      </c>
      <c r="J2262" s="53" t="s">
        <v>616</v>
      </c>
      <c r="K2262" s="19">
        <v>45894</v>
      </c>
      <c r="L2262" s="49" t="s">
        <v>490</v>
      </c>
      <c r="M2262" s="22"/>
      <c r="N2262" s="15" t="str">
        <f>Table26[[#This Row],[po_number]]&amp;"-"&amp;Table26[[#This Row],[po_line]]</f>
        <v>-1</v>
      </c>
      <c r="O2262" s="15">
        <v>1</v>
      </c>
      <c r="P2262" s="50"/>
      <c r="Q2262" s="22" t="s">
        <v>1823</v>
      </c>
      <c r="R2262" s="22" t="s">
        <v>532</v>
      </c>
      <c r="S2262" s="90" t="str">
        <f>IF(Table26[[#This Row],[customerSKU]]="","",_xlfn.XLOOKUP(Table26[[#This Row],[customerSKU]],customerSKU!G:G,customerSKU!N:N,"NOT FOUND",0,1))</f>
        <v>NOT FOUND</v>
      </c>
      <c r="T2262" s="20">
        <v>45880</v>
      </c>
      <c r="U2262" s="94">
        <v>300</v>
      </c>
      <c r="V2262" s="22" t="str">
        <f>IF(ISBLANK(Table26[[#This Row],[customerSKU]]),"",_xlfn.XLOOKUP(Table26[[#This Row],[customerSKU]],Table27[customer_SKU],Table27[case_size],"",0,1))</f>
        <v/>
      </c>
      <c r="W2262" s="117" t="str">
        <f t="shared" si="93"/>
        <v/>
      </c>
      <c r="X2262" s="22" t="str">
        <f t="shared" si="94"/>
        <v/>
      </c>
      <c r="Y2262" s="22" t="str">
        <f>IF(Table26[[#This Row],[customerSKU]]="","",_xlfn.XLOOKUP(Table26[[#This Row],[customerSKU]],Table27[customer_SKU],Table27[product_GTIN],"",0,1))</f>
        <v/>
      </c>
      <c r="Z2262" s="25" t="s">
        <v>4235</v>
      </c>
      <c r="AA2262" s="18" t="str" cm="1">
        <f t="array" ref="AA2262">IF(P2262="", "", _xlfn.XLOOKUP(P2262,#REF!,#REF!,NA,0,-1))</f>
        <v/>
      </c>
      <c r="AB2262" s="22"/>
      <c r="AC2262" s="23" t="s">
        <v>31</v>
      </c>
      <c r="AD2262" s="23" t="str">
        <f>IF($AC2262="","",_xlfn.XLOOKUP($AC2262,'Client Info'!$C$2:$C$2497,'Client Info'!$D$2:$D$2497,"",0,1))</f>
        <v/>
      </c>
      <c r="AE2262" s="23" t="str">
        <f>IF($AC2262="","",_xlfn.XLOOKUP($AC2262,'Client Info'!$C$2:$C$2677,'Client Info'!$E$2:$E$2677,"",))</f>
        <v/>
      </c>
      <c r="AF2262" s="23" t="str">
        <f>IF($AC2262="","",_xlfn.XLOOKUP($AC2262,'Client Info'!$C$2:$C$2677,'Client Info'!$F$2:$F$2677,"",0,1))</f>
        <v/>
      </c>
      <c r="AG2262" s="23" t="s">
        <v>31</v>
      </c>
      <c r="AH2262" s="26" t="str">
        <f>_xlfn.XLOOKUP(Table26[[#This Row],[customerSKU]],customerSKU!G:G,customerSKU!K:K,"NA",0,1)</f>
        <v>NA</v>
      </c>
      <c r="AI2262" s="43" t="str">
        <f>_xlfn.XLOOKUP(Table26[[#This Row],[customerSKU]],customerSKU!G:G,customerSKU!O:O,"not found",0,1)</f>
        <v>not found</v>
      </c>
      <c r="AJ2262" s="22" t="e">
        <f>Table26[[#This Row],[unitprice]]*Table26[[#This Row],[quantity_unit]]</f>
        <v>#VALUE!</v>
      </c>
      <c r="AK2262" s="227" t="e" cm="1">
        <f t="array" ref="AK22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2" s="227"/>
    </row>
    <row r="2263" spans="1:38" ht="15.75" customHeight="1">
      <c r="A2263" s="42">
        <v>2261</v>
      </c>
      <c r="B2263" s="42" t="s">
        <v>3520</v>
      </c>
      <c r="C2263" s="53" t="s">
        <v>3488</v>
      </c>
      <c r="D2263" s="20">
        <v>45889</v>
      </c>
      <c r="E2263" s="20"/>
      <c r="F22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3" s="93"/>
      <c r="I2263" s="203">
        <v>45868</v>
      </c>
      <c r="J2263" s="53" t="s">
        <v>616</v>
      </c>
      <c r="K2263" s="19">
        <v>45894</v>
      </c>
      <c r="L2263" s="49" t="s">
        <v>490</v>
      </c>
      <c r="M2263" s="22"/>
      <c r="N2263" s="15" t="str">
        <f>Table26[[#This Row],[po_number]]&amp;"-"&amp;Table26[[#This Row],[po_line]]</f>
        <v>-2</v>
      </c>
      <c r="O2263" s="15">
        <v>2</v>
      </c>
      <c r="P2263" s="50"/>
      <c r="Q2263" s="22" t="s">
        <v>1806</v>
      </c>
      <c r="R2263" s="22" t="s">
        <v>532</v>
      </c>
      <c r="S2263" s="90" t="str">
        <f>IF(Table26[[#This Row],[customerSKU]]="","",_xlfn.XLOOKUP(Table26[[#This Row],[customerSKU]],customerSKU!G:G,customerSKU!N:N,"NOT FOUND",0,1))</f>
        <v>NOT FOUND</v>
      </c>
      <c r="T2263" s="20">
        <v>45826</v>
      </c>
      <c r="U2263" s="94">
        <v>180</v>
      </c>
      <c r="V2263" s="22" t="str">
        <f>IF(ISBLANK(Table26[[#This Row],[customerSKU]]),"",_xlfn.XLOOKUP(Table26[[#This Row],[customerSKU]],Table27[customer_SKU],Table27[case_size],"",0,1))</f>
        <v/>
      </c>
      <c r="W2263" s="117" t="str">
        <f t="shared" si="93"/>
        <v/>
      </c>
      <c r="X2263" s="22" t="str">
        <f t="shared" si="94"/>
        <v/>
      </c>
      <c r="Y2263" s="22" t="str">
        <f>IF(Table26[[#This Row],[customerSKU]]="","",_xlfn.XLOOKUP(Table26[[#This Row],[customerSKU]],Table27[customer_SKU],Table27[product_GTIN],"",0,1))</f>
        <v/>
      </c>
      <c r="Z2263" s="25" t="s">
        <v>4236</v>
      </c>
      <c r="AA2263" s="18" t="str" cm="1">
        <f t="array" ref="AA2263">IF(P2263="", "", _xlfn.XLOOKUP(P2263,#REF!,#REF!,NA,0,-1))</f>
        <v/>
      </c>
      <c r="AB2263" s="22"/>
      <c r="AC2263" s="23" t="s">
        <v>31</v>
      </c>
      <c r="AD2263" s="23" t="str">
        <f>IF($AC2263="","",_xlfn.XLOOKUP($AC2263,'Client Info'!$C$2:$C$2497,'Client Info'!$D$2:$D$2497,"",0,1))</f>
        <v/>
      </c>
      <c r="AE2263" s="23" t="str">
        <f>IF($AC2263="","",_xlfn.XLOOKUP($AC2263,'Client Info'!$C$2:$C$2677,'Client Info'!$E$2:$E$2677,"",))</f>
        <v/>
      </c>
      <c r="AF2263" s="23" t="str">
        <f>IF($AC2263="","",_xlfn.XLOOKUP($AC2263,'Client Info'!$C$2:$C$2677,'Client Info'!$F$2:$F$2677,"",0,1))</f>
        <v/>
      </c>
      <c r="AG2263" s="23" t="s">
        <v>31</v>
      </c>
      <c r="AH2263" s="26" t="str">
        <f>_xlfn.XLOOKUP(Table26[[#This Row],[customerSKU]],customerSKU!G:G,customerSKU!K:K,"NA",0,1)</f>
        <v>NA</v>
      </c>
      <c r="AI2263" s="43" t="str">
        <f>_xlfn.XLOOKUP(Table26[[#This Row],[customerSKU]],customerSKU!G:G,customerSKU!O:O,"not found",0,1)</f>
        <v>not found</v>
      </c>
      <c r="AJ2263" s="22" t="e">
        <f>Table26[[#This Row],[unitprice]]*Table26[[#This Row],[quantity_unit]]</f>
        <v>#VALUE!</v>
      </c>
      <c r="AK2263" s="227" t="e" cm="1">
        <f t="array" ref="AK22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3" s="227"/>
    </row>
    <row r="2264" spans="1:38" ht="15.75" customHeight="1">
      <c r="A2264" s="42">
        <v>2262</v>
      </c>
      <c r="B2264" s="42" t="s">
        <v>3520</v>
      </c>
      <c r="C2264" s="53" t="s">
        <v>3488</v>
      </c>
      <c r="D2264" s="20">
        <v>45889</v>
      </c>
      <c r="E2264" s="20"/>
      <c r="F22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4" s="93"/>
      <c r="I2264" s="203">
        <v>45868</v>
      </c>
      <c r="J2264" s="53" t="s">
        <v>616</v>
      </c>
      <c r="K2264" s="19">
        <v>45894</v>
      </c>
      <c r="L2264" s="49" t="s">
        <v>490</v>
      </c>
      <c r="M2264" s="22"/>
      <c r="N2264" s="15" t="str">
        <f>Table26[[#This Row],[po_number]]&amp;"-"&amp;Table26[[#This Row],[po_line]]</f>
        <v>-3</v>
      </c>
      <c r="O2264" s="15">
        <v>3</v>
      </c>
      <c r="P2264" s="50"/>
      <c r="Q2264" s="22" t="s">
        <v>543</v>
      </c>
      <c r="R2264" s="22" t="s">
        <v>532</v>
      </c>
      <c r="S2264" s="90" t="str">
        <f>IF(Table26[[#This Row],[customerSKU]]="","",_xlfn.XLOOKUP(Table26[[#This Row],[customerSKU]],customerSKU!G:G,customerSKU!N:N,"NOT FOUND",0,1))</f>
        <v>NOT FOUND</v>
      </c>
      <c r="T2264" s="20">
        <v>45793</v>
      </c>
      <c r="U2264" s="94">
        <v>60</v>
      </c>
      <c r="V2264" s="22" t="str">
        <f>IF(ISBLANK(Table26[[#This Row],[customerSKU]]),"",_xlfn.XLOOKUP(Table26[[#This Row],[customerSKU]],Table27[customer_SKU],Table27[case_size],"",0,1))</f>
        <v/>
      </c>
      <c r="W2264" s="117" t="str">
        <f t="shared" si="93"/>
        <v/>
      </c>
      <c r="X2264" s="22" t="str">
        <f t="shared" si="94"/>
        <v/>
      </c>
      <c r="Y2264" s="22" t="str">
        <f>IF(Table26[[#This Row],[customerSKU]]="","",_xlfn.XLOOKUP(Table26[[#This Row],[customerSKU]],Table27[customer_SKU],Table27[product_GTIN],"",0,1))</f>
        <v/>
      </c>
      <c r="Z2264" s="25" t="s">
        <v>4237</v>
      </c>
      <c r="AA2264" s="18" t="str" cm="1">
        <f t="array" ref="AA2264">IF(P2264="", "", _xlfn.XLOOKUP(P2264,#REF!,#REF!,NA,0,-1))</f>
        <v/>
      </c>
      <c r="AB2264" s="22"/>
      <c r="AC2264" s="23" t="s">
        <v>31</v>
      </c>
      <c r="AD2264" s="23" t="str">
        <f>IF($AC2264="","",_xlfn.XLOOKUP($AC2264,'Client Info'!$C$2:$C$2497,'Client Info'!$D$2:$D$2497,"",0,1))</f>
        <v/>
      </c>
      <c r="AE2264" s="23" t="str">
        <f>IF($AC2264="","",_xlfn.XLOOKUP($AC2264,'Client Info'!$C$2:$C$2677,'Client Info'!$E$2:$E$2677,"",))</f>
        <v/>
      </c>
      <c r="AF2264" s="23" t="str">
        <f>IF($AC2264="","",_xlfn.XLOOKUP($AC2264,'Client Info'!$C$2:$C$2677,'Client Info'!$F$2:$F$2677,"",0,1))</f>
        <v/>
      </c>
      <c r="AG2264" s="23" t="s">
        <v>31</v>
      </c>
      <c r="AH2264" s="26" t="str">
        <f>_xlfn.XLOOKUP(Table26[[#This Row],[customerSKU]],customerSKU!G:G,customerSKU!K:K,"NA",0,1)</f>
        <v>NA</v>
      </c>
      <c r="AI2264" s="43" t="str">
        <f>_xlfn.XLOOKUP(Table26[[#This Row],[customerSKU]],customerSKU!G:G,customerSKU!O:O,"not found",0,1)</f>
        <v>not found</v>
      </c>
      <c r="AJ2264" s="22" t="e">
        <f>Table26[[#This Row],[unitprice]]*Table26[[#This Row],[quantity_unit]]</f>
        <v>#VALUE!</v>
      </c>
      <c r="AK2264" s="227" t="e" cm="1">
        <f t="array" ref="AK22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4" s="227"/>
    </row>
    <row r="2265" spans="1:38" ht="15.75" customHeight="1">
      <c r="A2265" s="42">
        <v>2263</v>
      </c>
      <c r="B2265" s="42" t="s">
        <v>3520</v>
      </c>
      <c r="C2265" s="53" t="s">
        <v>3488</v>
      </c>
      <c r="D2265" s="20">
        <v>45889</v>
      </c>
      <c r="E2265" s="20"/>
      <c r="F22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5" s="93"/>
      <c r="I2265" s="203">
        <v>45868</v>
      </c>
      <c r="J2265" s="53" t="s">
        <v>616</v>
      </c>
      <c r="K2265" s="19">
        <v>45894</v>
      </c>
      <c r="L2265" s="49" t="s">
        <v>490</v>
      </c>
      <c r="M2265" s="22"/>
      <c r="N2265" s="15" t="str">
        <f>Table26[[#This Row],[po_number]]&amp;"-"&amp;Table26[[#This Row],[po_line]]</f>
        <v>-4</v>
      </c>
      <c r="O2265" s="15">
        <v>4</v>
      </c>
      <c r="P2265" s="50"/>
      <c r="Q2265" s="22" t="s">
        <v>1853</v>
      </c>
      <c r="R2265" s="22" t="s">
        <v>532</v>
      </c>
      <c r="S2265" s="90" t="str">
        <f>IF(Table26[[#This Row],[customerSKU]]="","",_xlfn.XLOOKUP(Table26[[#This Row],[customerSKU]],customerSKU!G:G,customerSKU!N:N,"NOT FOUND",0,1))</f>
        <v>NOT FOUND</v>
      </c>
      <c r="T2265" s="20">
        <v>45828</v>
      </c>
      <c r="U2265" s="94">
        <v>60</v>
      </c>
      <c r="V2265" s="22" t="str">
        <f>IF(ISBLANK(Table26[[#This Row],[customerSKU]]),"",_xlfn.XLOOKUP(Table26[[#This Row],[customerSKU]],Table27[customer_SKU],Table27[case_size],"",0,1))</f>
        <v/>
      </c>
      <c r="W2265" s="117" t="str">
        <f t="shared" si="93"/>
        <v/>
      </c>
      <c r="X2265" s="22" t="str">
        <f t="shared" si="94"/>
        <v/>
      </c>
      <c r="Y2265" s="22" t="str">
        <f>IF(Table26[[#This Row],[customerSKU]]="","",_xlfn.XLOOKUP(Table26[[#This Row],[customerSKU]],Table27[customer_SKU],Table27[product_GTIN],"",0,1))</f>
        <v/>
      </c>
      <c r="Z2265" s="25" t="s">
        <v>4238</v>
      </c>
      <c r="AA2265" s="18" t="str" cm="1">
        <f t="array" ref="AA2265">IF(P2265="", "", _xlfn.XLOOKUP(P2265,#REF!,#REF!,NA,0,-1))</f>
        <v/>
      </c>
      <c r="AB2265" s="22"/>
      <c r="AC2265" s="23" t="s">
        <v>31</v>
      </c>
      <c r="AD2265" s="23" t="str">
        <f>IF($AC2265="","",_xlfn.XLOOKUP($AC2265,'Client Info'!$C$2:$C$2497,'Client Info'!$D$2:$D$2497,"",0,1))</f>
        <v/>
      </c>
      <c r="AE2265" s="23" t="str">
        <f>IF($AC2265="","",_xlfn.XLOOKUP($AC2265,'Client Info'!$C$2:$C$2677,'Client Info'!$E$2:$E$2677,"",))</f>
        <v/>
      </c>
      <c r="AF2265" s="23" t="str">
        <f>IF($AC2265="","",_xlfn.XLOOKUP($AC2265,'Client Info'!$C$2:$C$2677,'Client Info'!$F$2:$F$2677,"",0,1))</f>
        <v/>
      </c>
      <c r="AG2265" s="23" t="s">
        <v>31</v>
      </c>
      <c r="AH2265" s="26" t="str">
        <f>_xlfn.XLOOKUP(Table26[[#This Row],[customerSKU]],customerSKU!G:G,customerSKU!K:K,"NA",0,1)</f>
        <v>NA</v>
      </c>
      <c r="AI2265" s="43" t="str">
        <f>_xlfn.XLOOKUP(Table26[[#This Row],[customerSKU]],customerSKU!G:G,customerSKU!O:O,"not found",0,1)</f>
        <v>not found</v>
      </c>
      <c r="AJ2265" s="22" t="e">
        <f>Table26[[#This Row],[unitprice]]*Table26[[#This Row],[quantity_unit]]</f>
        <v>#VALUE!</v>
      </c>
      <c r="AK2265" s="227" t="e" cm="1">
        <f t="array" ref="AK22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5" s="227"/>
    </row>
    <row r="2266" spans="1:38" ht="15.75" customHeight="1">
      <c r="A2266" s="42">
        <v>2264</v>
      </c>
      <c r="B2266" s="42" t="s">
        <v>3520</v>
      </c>
      <c r="C2266" s="53" t="s">
        <v>3488</v>
      </c>
      <c r="D2266" s="20">
        <v>45889</v>
      </c>
      <c r="E2266" s="20"/>
      <c r="F22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6" s="93"/>
      <c r="I2266" s="203">
        <v>45868</v>
      </c>
      <c r="J2266" s="53" t="s">
        <v>616</v>
      </c>
      <c r="K2266" s="19">
        <v>45894</v>
      </c>
      <c r="L2266" s="49" t="s">
        <v>490</v>
      </c>
      <c r="M2266" s="22"/>
      <c r="N2266" s="15" t="str">
        <f>Table26[[#This Row],[po_number]]&amp;"-"&amp;Table26[[#This Row],[po_line]]</f>
        <v>-5</v>
      </c>
      <c r="O2266" s="15">
        <v>5</v>
      </c>
      <c r="P2266" s="50"/>
      <c r="Q2266" s="22" t="s">
        <v>3749</v>
      </c>
      <c r="R2266" s="22" t="s">
        <v>532</v>
      </c>
      <c r="S2266" s="90" t="str">
        <f>IF(Table26[[#This Row],[customerSKU]]="","",_xlfn.XLOOKUP(Table26[[#This Row],[customerSKU]],customerSKU!G:G,customerSKU!N:N,"NOT FOUND",0,1))</f>
        <v>NOT FOUND</v>
      </c>
      <c r="T2266" s="20">
        <v>45870</v>
      </c>
      <c r="U2266" s="94">
        <v>120</v>
      </c>
      <c r="V2266" s="22" t="str">
        <f>IF(ISBLANK(Table26[[#This Row],[customerSKU]]),"",_xlfn.XLOOKUP(Table26[[#This Row],[customerSKU]],Table27[customer_SKU],Table27[case_size],"",0,1))</f>
        <v/>
      </c>
      <c r="W2266" s="117" t="str">
        <f t="shared" si="93"/>
        <v/>
      </c>
      <c r="X2266" s="22" t="str">
        <f t="shared" si="94"/>
        <v/>
      </c>
      <c r="Y2266" s="22" t="str">
        <f>IF(Table26[[#This Row],[customerSKU]]="","",_xlfn.XLOOKUP(Table26[[#This Row],[customerSKU]],Table27[customer_SKU],Table27[product_GTIN],"",0,1))</f>
        <v/>
      </c>
      <c r="Z2266" s="60" t="s">
        <v>3831</v>
      </c>
      <c r="AA2266" s="18" t="str" cm="1">
        <f t="array" ref="AA2266">IF(P2266="", "", _xlfn.XLOOKUP(P2266,#REF!,#REF!,NA,0,-1))</f>
        <v/>
      </c>
      <c r="AB2266" s="22"/>
      <c r="AC2266" s="23" t="s">
        <v>31</v>
      </c>
      <c r="AD2266" s="23" t="str">
        <f>IF($AC2266="","",_xlfn.XLOOKUP($AC2266,'Client Info'!$C$2:$C$2497,'Client Info'!$D$2:$D$2497,"",0,1))</f>
        <v/>
      </c>
      <c r="AE2266" s="23" t="str">
        <f>IF($AC2266="","",_xlfn.XLOOKUP($AC2266,'Client Info'!$C$2:$C$2677,'Client Info'!$E$2:$E$2677,"",))</f>
        <v/>
      </c>
      <c r="AF2266" s="23" t="str">
        <f>IF($AC2266="","",_xlfn.XLOOKUP($AC2266,'Client Info'!$C$2:$C$2677,'Client Info'!$F$2:$F$2677,"",0,1))</f>
        <v/>
      </c>
      <c r="AG2266" s="23" t="s">
        <v>31</v>
      </c>
      <c r="AH2266" s="26" t="str">
        <f>_xlfn.XLOOKUP(Table26[[#This Row],[customerSKU]],customerSKU!G:G,customerSKU!K:K,"NA",0,1)</f>
        <v>NA</v>
      </c>
      <c r="AI2266" s="43" t="str">
        <f>_xlfn.XLOOKUP(Table26[[#This Row],[customerSKU]],customerSKU!G:G,customerSKU!O:O,"not found",0,1)</f>
        <v>not found</v>
      </c>
      <c r="AJ2266" s="22" t="e">
        <f>Table26[[#This Row],[unitprice]]*Table26[[#This Row],[quantity_unit]]</f>
        <v>#VALUE!</v>
      </c>
      <c r="AK2266" s="227" t="e" cm="1">
        <f t="array" ref="AK22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6" s="227"/>
    </row>
    <row r="2267" spans="1:38" ht="15.75" customHeight="1">
      <c r="A2267" s="42">
        <v>2265</v>
      </c>
      <c r="B2267" s="42" t="s">
        <v>3520</v>
      </c>
      <c r="C2267" s="53" t="s">
        <v>3488</v>
      </c>
      <c r="D2267" s="20">
        <v>45889</v>
      </c>
      <c r="E2267" s="20"/>
      <c r="F22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7" s="93"/>
      <c r="I2267" s="203">
        <v>45868</v>
      </c>
      <c r="J2267" s="53" t="s">
        <v>616</v>
      </c>
      <c r="K2267" s="19">
        <v>45894</v>
      </c>
      <c r="L2267" s="49" t="s">
        <v>490</v>
      </c>
      <c r="M2267" s="22"/>
      <c r="N2267" s="15" t="str">
        <f>Table26[[#This Row],[po_number]]&amp;"-"&amp;Table26[[#This Row],[po_line]]</f>
        <v>-6</v>
      </c>
      <c r="O2267" s="15">
        <v>6</v>
      </c>
      <c r="P2267" s="50"/>
      <c r="Q2267" s="22" t="s">
        <v>1811</v>
      </c>
      <c r="R2267" s="22" t="s">
        <v>532</v>
      </c>
      <c r="S2267" s="90" t="str">
        <f>IF(Table26[[#This Row],[customerSKU]]="","",_xlfn.XLOOKUP(Table26[[#This Row],[customerSKU]],customerSKU!G:G,customerSKU!N:N,"NOT FOUND",0,1))</f>
        <v>NOT FOUND</v>
      </c>
      <c r="T2267" s="20">
        <v>45805</v>
      </c>
      <c r="U2267" s="94">
        <v>300</v>
      </c>
      <c r="V2267" s="22" t="str">
        <f>IF(ISBLANK(Table26[[#This Row],[customerSKU]]),"",_xlfn.XLOOKUP(Table26[[#This Row],[customerSKU]],Table27[customer_SKU],Table27[case_size],"",0,1))</f>
        <v/>
      </c>
      <c r="W2267" s="117" t="str">
        <f t="shared" si="93"/>
        <v/>
      </c>
      <c r="X2267" s="22" t="str">
        <f t="shared" si="94"/>
        <v/>
      </c>
      <c r="Y2267" s="22" t="str">
        <f>IF(Table26[[#This Row],[customerSKU]]="","",_xlfn.XLOOKUP(Table26[[#This Row],[customerSKU]],Table27[customer_SKU],Table27[product_GTIN],"",0,1))</f>
        <v/>
      </c>
      <c r="Z2267" s="60" t="s">
        <v>3619</v>
      </c>
      <c r="AA2267" s="18" t="str" cm="1">
        <f t="array" ref="AA2267">IF(P2267="", "", _xlfn.XLOOKUP(P2267,#REF!,#REF!,NA,0,-1))</f>
        <v/>
      </c>
      <c r="AB2267" s="22"/>
      <c r="AC2267" s="23" t="s">
        <v>31</v>
      </c>
      <c r="AD2267" s="23" t="str">
        <f>IF($AC2267="","",_xlfn.XLOOKUP($AC2267,'Client Info'!$C$2:$C$2497,'Client Info'!$D$2:$D$2497,"",0,1))</f>
        <v/>
      </c>
      <c r="AE2267" s="23" t="str">
        <f>IF($AC2267="","",_xlfn.XLOOKUP($AC2267,'Client Info'!$C$2:$C$2677,'Client Info'!$E$2:$E$2677,"",))</f>
        <v/>
      </c>
      <c r="AF2267" s="23" t="str">
        <f>IF($AC2267="","",_xlfn.XLOOKUP($AC2267,'Client Info'!$C$2:$C$2677,'Client Info'!$F$2:$F$2677,"",0,1))</f>
        <v/>
      </c>
      <c r="AG2267" s="23" t="s">
        <v>31</v>
      </c>
      <c r="AH2267" s="26" t="str">
        <f>_xlfn.XLOOKUP(Table26[[#This Row],[customerSKU]],customerSKU!G:G,customerSKU!K:K,"NA",0,1)</f>
        <v>NA</v>
      </c>
      <c r="AI2267" s="43" t="str">
        <f>_xlfn.XLOOKUP(Table26[[#This Row],[customerSKU]],customerSKU!G:G,customerSKU!O:O,"not found",0,1)</f>
        <v>not found</v>
      </c>
      <c r="AJ2267" s="22" t="e">
        <f>Table26[[#This Row],[unitprice]]*Table26[[#This Row],[quantity_unit]]</f>
        <v>#VALUE!</v>
      </c>
      <c r="AK2267" s="227" t="e" cm="1">
        <f t="array" ref="AK22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7" s="227"/>
    </row>
    <row r="2268" spans="1:38" ht="15.75" customHeight="1">
      <c r="A2268" s="42">
        <v>2266</v>
      </c>
      <c r="B2268" s="42" t="s">
        <v>3520</v>
      </c>
      <c r="C2268" s="53" t="s">
        <v>3488</v>
      </c>
      <c r="D2268" s="20">
        <v>45889</v>
      </c>
      <c r="E2268" s="20"/>
      <c r="F22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68" s="93"/>
      <c r="I2268" s="203">
        <v>45868</v>
      </c>
      <c r="J2268" s="53" t="s">
        <v>616</v>
      </c>
      <c r="K2268" s="19">
        <v>45894</v>
      </c>
      <c r="L2268" s="49" t="s">
        <v>490</v>
      </c>
      <c r="M2268" s="22"/>
      <c r="N2268" s="15" t="str">
        <f>Table26[[#This Row],[po_number]]&amp;"-"&amp;Table26[[#This Row],[po_line]]</f>
        <v>-7</v>
      </c>
      <c r="O2268" s="15">
        <v>7</v>
      </c>
      <c r="P2268" s="50"/>
      <c r="Q2268" s="22" t="s">
        <v>591</v>
      </c>
      <c r="R2268" s="22" t="s">
        <v>532</v>
      </c>
      <c r="S2268" s="90" t="str">
        <f>IF(Table26[[#This Row],[customerSKU]]="","",_xlfn.XLOOKUP(Table26[[#This Row],[customerSKU]],customerSKU!G:G,customerSKU!N:N,"NOT FOUND",0,1))</f>
        <v>NOT FOUND</v>
      </c>
      <c r="T2268" s="20">
        <v>45877</v>
      </c>
      <c r="U2268" s="94">
        <v>180</v>
      </c>
      <c r="V2268" s="22" t="str">
        <f>IF(ISBLANK(Table26[[#This Row],[customerSKU]]),"",_xlfn.XLOOKUP(Table26[[#This Row],[customerSKU]],Table27[customer_SKU],Table27[case_size],"",0,1))</f>
        <v/>
      </c>
      <c r="W2268" s="117" t="str">
        <f t="shared" si="93"/>
        <v/>
      </c>
      <c r="X2268" s="22" t="str">
        <f t="shared" si="94"/>
        <v/>
      </c>
      <c r="Y2268" s="22" t="str">
        <f>IF(Table26[[#This Row],[customerSKU]]="","",_xlfn.XLOOKUP(Table26[[#This Row],[customerSKU]],Table27[customer_SKU],Table27[product_GTIN],"",0,1))</f>
        <v/>
      </c>
      <c r="Z2268" s="25" t="s">
        <v>3442</v>
      </c>
      <c r="AA2268" s="18" t="str" cm="1">
        <f t="array" ref="AA2268">IF(P2268="", "", _xlfn.XLOOKUP(P2268,#REF!,#REF!,NA,0,-1))</f>
        <v/>
      </c>
      <c r="AB2268" s="22"/>
      <c r="AC2268" s="23" t="s">
        <v>31</v>
      </c>
      <c r="AD2268" s="23" t="str">
        <f>IF($AC2268="","",_xlfn.XLOOKUP($AC2268,'Client Info'!$C$2:$C$2497,'Client Info'!$D$2:$D$2497,"",0,1))</f>
        <v/>
      </c>
      <c r="AE2268" s="23" t="str">
        <f>IF($AC2268="","",_xlfn.XLOOKUP($AC2268,'Client Info'!$C$2:$C$2677,'Client Info'!$E$2:$E$2677,"",))</f>
        <v/>
      </c>
      <c r="AF2268" s="23" t="str">
        <f>IF($AC2268="","",_xlfn.XLOOKUP($AC2268,'Client Info'!$C$2:$C$2677,'Client Info'!$F$2:$F$2677,"",0,1))</f>
        <v/>
      </c>
      <c r="AG2268" s="23" t="s">
        <v>31</v>
      </c>
      <c r="AH2268" s="26" t="str">
        <f>_xlfn.XLOOKUP(Table26[[#This Row],[customerSKU]],customerSKU!G:G,customerSKU!K:K,"NA",0,1)</f>
        <v>NA</v>
      </c>
      <c r="AI2268" s="43" t="str">
        <f>_xlfn.XLOOKUP(Table26[[#This Row],[customerSKU]],customerSKU!G:G,customerSKU!O:O,"not found",0,1)</f>
        <v>not found</v>
      </c>
      <c r="AJ2268" s="22" t="e">
        <f>Table26[[#This Row],[unitprice]]*Table26[[#This Row],[quantity_unit]]</f>
        <v>#VALUE!</v>
      </c>
      <c r="AK2268" s="227" t="e" cm="1">
        <f t="array" ref="AK22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8" s="227"/>
    </row>
    <row r="2269" spans="1:38" ht="15.75" customHeight="1">
      <c r="A2269" s="42">
        <v>2267</v>
      </c>
      <c r="B2269" s="42" t="s">
        <v>3520</v>
      </c>
      <c r="C2269" s="53" t="s">
        <v>3488</v>
      </c>
      <c r="D2269" s="20">
        <v>45889</v>
      </c>
      <c r="E2269" s="20"/>
      <c r="F2269" s="22"/>
      <c r="G2269" s="93"/>
      <c r="I2269" s="203">
        <v>45868</v>
      </c>
      <c r="J2269" s="53" t="s">
        <v>616</v>
      </c>
      <c r="K2269" s="19">
        <v>45894</v>
      </c>
      <c r="L2269" s="49" t="s">
        <v>490</v>
      </c>
      <c r="M2269" s="22"/>
      <c r="N2269" s="15" t="str">
        <f>Table26[[#This Row],[po_number]]&amp;"-"&amp;Table26[[#This Row],[po_line]]</f>
        <v>-8</v>
      </c>
      <c r="O2269" s="15">
        <v>8</v>
      </c>
      <c r="P2269" s="50"/>
      <c r="Q2269" s="22" t="s">
        <v>4261</v>
      </c>
      <c r="R2269" s="22" t="s">
        <v>532</v>
      </c>
      <c r="S2269" s="90" t="str">
        <f>IF(Table26[[#This Row],[customerSKU]]="","",_xlfn.XLOOKUP(Table26[[#This Row],[customerSKU]],customerSKU!G:G,customerSKU!N:N,"NOT FOUND",0,1))</f>
        <v>NOT FOUND</v>
      </c>
      <c r="T2269" s="20">
        <v>45883</v>
      </c>
      <c r="U2269" s="21">
        <v>180</v>
      </c>
      <c r="V2269" s="22" t="str">
        <f>IF(ISBLANK(Table26[[#This Row],[customerSKU]]),"",_xlfn.XLOOKUP(Table26[[#This Row],[customerSKU]],Table27[customer_SKU],Table27[case_size],"",0,1))</f>
        <v/>
      </c>
      <c r="W2269" s="117" t="str">
        <f t="shared" si="93"/>
        <v/>
      </c>
      <c r="X2269" s="22" t="str">
        <f t="shared" si="94"/>
        <v/>
      </c>
      <c r="Y2269" s="22" t="str">
        <f>IF(Table26[[#This Row],[customerSKU]]="","",_xlfn.XLOOKUP(Table26[[#This Row],[customerSKU]],Table27[customer_SKU],Table27[product_GTIN],"",0,1))</f>
        <v/>
      </c>
      <c r="Z2269" s="25" t="s">
        <v>3442</v>
      </c>
      <c r="AA2269" s="18" t="str" cm="1">
        <f t="array" ref="AA2269">IF(P2269="", "", _xlfn.XLOOKUP(P2269,#REF!,#REF!,NA,0,-1))</f>
        <v/>
      </c>
      <c r="AB2269" s="22"/>
      <c r="AC2269" s="23" t="s">
        <v>31</v>
      </c>
      <c r="AD2269" s="23" t="str">
        <f>IF($AC2269="","",_xlfn.XLOOKUP($AC2269,'[2]Client Info'!$C$2:$C$2535,'[2]Client Info'!$D$2:$D$2535))</f>
        <v>Unit C 409 McDonald Street</v>
      </c>
      <c r="AE2269" s="23" t="str">
        <f>IF($AC2269="","",_xlfn.XLOOKUP($AC2269,'Client Info'!$C$2:$C$2677,'Client Info'!$E$2:$E$2677,"",))</f>
        <v/>
      </c>
      <c r="AF2269" s="23" t="str">
        <f>IF($AC2269="","",_xlfn.XLOOKUP($AC2269,'Client Info'!$C$2:$C$2677,'Client Info'!$F$2:$F$2677,"",0,1))</f>
        <v/>
      </c>
      <c r="AG2269" s="23" t="s">
        <v>31</v>
      </c>
      <c r="AH2269" s="26" t="str">
        <f>_xlfn.XLOOKUP(Table26[[#This Row],[customerSKU]],customerSKU!G:G,customerSKU!K:K,"NA",0,1)</f>
        <v>NA</v>
      </c>
      <c r="AI2269" s="43" t="str">
        <f>_xlfn.XLOOKUP(Table26[[#This Row],[customerSKU]],customerSKU!G:G,customerSKU!O:O,"not found",0,1)</f>
        <v>not found</v>
      </c>
      <c r="AJ2269" s="22" t="e">
        <f>Table26[[#This Row],[unitprice]]*Table26[[#This Row],[quantity_unit]]</f>
        <v>#VALUE!</v>
      </c>
      <c r="AK2269" s="227" t="e" cm="1">
        <f t="array" ref="AK22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69" s="227"/>
    </row>
    <row r="2270" spans="1:38" ht="15.75" customHeight="1">
      <c r="A2270" s="42">
        <v>2268</v>
      </c>
      <c r="B2270" s="42" t="s">
        <v>3520</v>
      </c>
      <c r="C2270" s="53" t="s">
        <v>3488</v>
      </c>
      <c r="D2270" s="20">
        <v>45889</v>
      </c>
      <c r="E2270" s="20"/>
      <c r="F22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0" s="93"/>
      <c r="I2270" s="203">
        <v>45868</v>
      </c>
      <c r="J2270" s="53" t="s">
        <v>616</v>
      </c>
      <c r="K2270" s="19">
        <v>45894</v>
      </c>
      <c r="L2270" s="49" t="s">
        <v>490</v>
      </c>
      <c r="M2270" s="22"/>
      <c r="N2270" s="15" t="str">
        <f>Table26[[#This Row],[po_number]]&amp;"-"&amp;Table26[[#This Row],[po_line]]</f>
        <v>-9</v>
      </c>
      <c r="O2270" s="15">
        <v>9</v>
      </c>
      <c r="P2270" s="50"/>
      <c r="Q2270" s="22" t="s">
        <v>3284</v>
      </c>
      <c r="R2270" s="22" t="s">
        <v>532</v>
      </c>
      <c r="S2270" s="90" t="str">
        <f>IF(Table26[[#This Row],[customerSKU]]="","",_xlfn.XLOOKUP(Table26[[#This Row],[customerSKU]],customerSKU!G:G,customerSKU!N:N,"NOT FOUND",0,1))</f>
        <v>NOT FOUND</v>
      </c>
      <c r="T2270" s="20">
        <v>45875</v>
      </c>
      <c r="U2270" s="21">
        <v>132</v>
      </c>
      <c r="V2270" s="22" t="str">
        <f>IF(ISBLANK(Table26[[#This Row],[customerSKU]]),"",_xlfn.XLOOKUP(Table26[[#This Row],[customerSKU]],Table27[customer_SKU],Table27[case_size],"",0,1))</f>
        <v/>
      </c>
      <c r="W2270" s="117" t="str">
        <f t="shared" si="93"/>
        <v/>
      </c>
      <c r="X2270" s="22" t="str">
        <f t="shared" si="94"/>
        <v/>
      </c>
      <c r="Y2270" s="22" t="str">
        <f>IF(Table26[[#This Row],[customerSKU]]="","",_xlfn.XLOOKUP(Table26[[#This Row],[customerSKU]],Table27[customer_SKU],Table27[product_GTIN],"",0,1))</f>
        <v/>
      </c>
      <c r="Z2270" s="25" t="s">
        <v>3443</v>
      </c>
      <c r="AA2270" s="18" t="str" cm="1">
        <f t="array" ref="AA2270">IF(P2270="", "", _xlfn.XLOOKUP(P2270,#REF!,#REF!,NA,0,-1))</f>
        <v/>
      </c>
      <c r="AB2270" s="22"/>
      <c r="AC2270" s="23" t="s">
        <v>31</v>
      </c>
      <c r="AD2270" s="23" t="str">
        <f>IF($AC2270="","",_xlfn.XLOOKUP($AC2270,'Client Info'!$C$2:$C$2497,'Client Info'!$D$2:$D$2497,"",0,1))</f>
        <v/>
      </c>
      <c r="AE2270" s="23" t="str">
        <f>IF($AC2270="","",_xlfn.XLOOKUP($AC2270,'Client Info'!$C$2:$C$2677,'Client Info'!$E$2:$E$2677,"",))</f>
        <v/>
      </c>
      <c r="AF2270" s="23" t="str">
        <f>IF($AC2270="","",_xlfn.XLOOKUP($AC2270,'Client Info'!$C$2:$C$2677,'Client Info'!$F$2:$F$2677,"",0,1))</f>
        <v/>
      </c>
      <c r="AG2270" s="23" t="s">
        <v>31</v>
      </c>
      <c r="AH2270" s="26" t="str">
        <f>_xlfn.XLOOKUP(Table26[[#This Row],[customerSKU]],customerSKU!G:G,customerSKU!K:K,"NA",0,1)</f>
        <v>NA</v>
      </c>
      <c r="AI2270" s="43" t="str">
        <f>_xlfn.XLOOKUP(Table26[[#This Row],[customerSKU]],customerSKU!G:G,customerSKU!O:O,"not found",0,1)</f>
        <v>not found</v>
      </c>
      <c r="AJ2270" s="22" t="e">
        <f>Table26[[#This Row],[unitprice]]*Table26[[#This Row],[quantity_unit]]</f>
        <v>#VALUE!</v>
      </c>
      <c r="AK2270" s="227" t="e" cm="1">
        <f t="array" ref="AK22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#VALUE!</v>
      </c>
      <c r="AL2270" s="227"/>
    </row>
    <row r="2271" spans="1:38" ht="27" customHeight="1">
      <c r="A2271" s="42">
        <v>2269</v>
      </c>
      <c r="B2271" s="42" t="s">
        <v>3520</v>
      </c>
      <c r="C2271" s="53" t="s">
        <v>3488</v>
      </c>
      <c r="D2271" s="20">
        <v>45889</v>
      </c>
      <c r="E2271" s="20"/>
      <c r="F22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1" s="93"/>
      <c r="I2271" s="203">
        <v>45868</v>
      </c>
      <c r="J2271" s="53" t="s">
        <v>616</v>
      </c>
      <c r="K2271" s="19">
        <v>45894</v>
      </c>
      <c r="L2271" s="49" t="s">
        <v>490</v>
      </c>
      <c r="M2271" s="22"/>
      <c r="N2271" s="15" t="str">
        <f>Table26[[#This Row],[po_number]]&amp;"-"&amp;Table26[[#This Row],[po_line]]</f>
        <v>-10</v>
      </c>
      <c r="O2271" s="15">
        <v>10</v>
      </c>
      <c r="P2271" s="50"/>
      <c r="Q2271" s="22" t="s">
        <v>1829</v>
      </c>
      <c r="R2271" s="22" t="s">
        <v>532</v>
      </c>
      <c r="S2271" s="90" t="str">
        <f>IF(Table26[[#This Row],[customerSKU]]="","",_xlfn.XLOOKUP(Table26[[#This Row],[customerSKU]],customerSKU!G:G,customerSKU!N:N,"NOT FOUND",0,1))</f>
        <v>NOT FOUND</v>
      </c>
      <c r="T2271" s="20">
        <v>45880</v>
      </c>
      <c r="U2271" s="21">
        <v>108</v>
      </c>
      <c r="V2271" s="22" t="str">
        <f>IF(ISBLANK(Table26[[#This Row],[customerSKU]]),"",_xlfn.XLOOKUP(Table26[[#This Row],[customerSKU]],Table27[customer_SKU],Table27[case_size],"",0,1))</f>
        <v/>
      </c>
      <c r="W2271" s="117" t="str">
        <f t="shared" si="93"/>
        <v/>
      </c>
      <c r="X2271" s="22" t="str">
        <f t="shared" si="94"/>
        <v/>
      </c>
      <c r="Y2271" s="22" t="str">
        <f>IF(Table26[[#This Row],[customerSKU]]="","",_xlfn.XLOOKUP(Table26[[#This Row],[customerSKU]],Table27[customer_SKU],Table27[product_GTIN],"",0,1))</f>
        <v/>
      </c>
      <c r="Z2271" s="25" t="s">
        <v>3443</v>
      </c>
      <c r="AA2271" s="18" t="str" cm="1">
        <f t="array" ref="AA2271">IF(P2271="", "", _xlfn.XLOOKUP(P2271,#REF!,#REF!,NA,0,-1))</f>
        <v/>
      </c>
      <c r="AB2271" s="22"/>
      <c r="AC2271" s="23" t="s">
        <v>31</v>
      </c>
      <c r="AD2271" s="23" t="str">
        <f>IF($AC2271="","",_xlfn.XLOOKUP($AC2271,'[2]Client Info'!$C$2:$C$2535,'[2]Client Info'!$D$2:$D$2535))</f>
        <v>Unit C 409 McDonald Street</v>
      </c>
      <c r="AE2271" s="23" t="str">
        <f>IF($AC2271="","",_xlfn.XLOOKUP($AC2271,'Client Info'!$C$2:$C$2677,'Client Info'!$E$2:$E$2677,"",))</f>
        <v/>
      </c>
      <c r="AF2271" s="23" t="str">
        <f>IF($AC2271="","",_xlfn.XLOOKUP($AC2271,'Client Info'!$C$2:$C$2677,'Client Info'!$F$2:$F$2677,"",0,1))</f>
        <v/>
      </c>
      <c r="AG2271" s="23" t="s">
        <v>31</v>
      </c>
      <c r="AH2271" s="26" t="str">
        <f>_xlfn.XLOOKUP(Table26[[#This Row],[customerSKU]],customerSKU!G:G,customerSKU!K:K,"NA",0,1)</f>
        <v>NA</v>
      </c>
      <c r="AI2271" s="43" t="str">
        <f>_xlfn.XLOOKUP(Table26[[#This Row],[customerSKU]],customerSKU!G:G,customerSKU!O:O,"not found",0,1)</f>
        <v>not found</v>
      </c>
      <c r="AJ2271" s="22" t="e">
        <f>Table26[[#This Row],[unitprice]]*Table26[[#This Row],[quantity_unit]]</f>
        <v>#VALUE!</v>
      </c>
      <c r="AK2271" s="227" t="e" cm="1">
        <f t="array" ref="AK22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Row],[sales_stream]]="MBLL",Table26[[#This Row],[Product Price]]*1.05,Table26[[#This Row],[sales_stream]]="OCS_redistribution",Table26[[#This Row],[Product Price]]*1.266,Table26[[#This Row],[sales_stream]]="AGLC",Table26[[#This Row],[Product Price]],Table26[[#This Row],[sales_stream]]="BCLDB_WT",Table26[[#This Row],[Product Price]],Table26[[#This Row],[sales_stream]]="CANNMART",Table26[[#This Row],[Product Price]]*1.13,Table26[[#This Row],[sales_stream]]="SLGA_redistribution",Table26[[#This Row],[Product Price]]*1.05)</f>
        <v>#VALUE!</v>
      </c>
      <c r="AL2271" s="227"/>
    </row>
    <row r="2272" spans="1:38" ht="27" customHeight="1">
      <c r="A2272" s="42">
        <v>2270</v>
      </c>
      <c r="B2272" s="42" t="s">
        <v>3520</v>
      </c>
      <c r="C2272" s="53" t="s">
        <v>3488</v>
      </c>
      <c r="D2272" s="20">
        <v>45889</v>
      </c>
      <c r="E2272" s="20"/>
      <c r="F22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2" s="93"/>
      <c r="I2272" s="203">
        <v>45868</v>
      </c>
      <c r="J2272" s="53" t="s">
        <v>616</v>
      </c>
      <c r="K2272" s="19">
        <v>45894</v>
      </c>
      <c r="L2272" s="49" t="s">
        <v>490</v>
      </c>
      <c r="M2272" s="22"/>
      <c r="N2272" s="15" t="str">
        <f>Table26[[#This Row],[po_number]]&amp;"-"&amp;Table26[[#This Row],[po_line]]</f>
        <v>-11</v>
      </c>
      <c r="O2272" s="15">
        <v>11</v>
      </c>
      <c r="P2272" s="50"/>
      <c r="Q2272" s="22" t="s">
        <v>1312</v>
      </c>
      <c r="R2272" s="22" t="s">
        <v>532</v>
      </c>
      <c r="S2272" s="90" t="s">
        <v>14</v>
      </c>
      <c r="T2272" s="20">
        <v>45854</v>
      </c>
      <c r="U2272" s="21">
        <v>168</v>
      </c>
      <c r="V2272" s="22" t="str">
        <f>IF(ISBLANK(Table26[[#This Row],[customerSKU]]),"",_xlfn.XLOOKUP(Table26[[#This Row],[customerSKU]],Table27[customer_SKU],Table27[case_size],"",0,1))</f>
        <v/>
      </c>
      <c r="W2272" s="117" t="str">
        <f t="shared" si="93"/>
        <v/>
      </c>
      <c r="X2272" s="22" t="str">
        <f t="shared" si="94"/>
        <v/>
      </c>
      <c r="Y2272" s="22" t="str">
        <f>IF(Table26[[#This Row],[customerSKU]]="","",_xlfn.XLOOKUP(Table26[[#This Row],[customerSKU]],Table27[customer_SKU],Table27[product_GTIN],"",0,1))</f>
        <v/>
      </c>
      <c r="Z2272" s="60" t="s">
        <v>3623</v>
      </c>
      <c r="AA2272" s="18" t="str" cm="1">
        <f t="array" ref="AA2272">IF(P2272="", "", _xlfn.XLOOKUP(P2272,#REF!,#REF!,NA,0,-1))</f>
        <v/>
      </c>
      <c r="AB2272" s="22"/>
      <c r="AC2272" s="23" t="s">
        <v>31</v>
      </c>
      <c r="AD2272" s="23" t="str">
        <f>IF($AC2272="","",_xlfn.XLOOKUP($AC2272,'[2]Client Info'!$C$2:$C$2535,'[2]Client Info'!$D$2:$D$2535))</f>
        <v>Unit C 409 McDonald Street</v>
      </c>
      <c r="AE2272" s="23" t="str">
        <f>IF($AC2272="","",_xlfn.XLOOKUP($AC2272,'Client Info'!$C$2:$C$2677,'Client Info'!$E$2:$E$2677,"",))</f>
        <v/>
      </c>
      <c r="AF2272" s="23" t="str">
        <f>IF($AC2272="","",_xlfn.XLOOKUP($AC2272,'Client Info'!$C$2:$C$2677,'Client Info'!$F$2:$F$2677,"",0,1))</f>
        <v/>
      </c>
      <c r="AG2272" s="23" t="s">
        <v>31</v>
      </c>
      <c r="AH2272" s="26"/>
      <c r="AI2272" s="72"/>
      <c r="AJ2272" s="22">
        <f>Table26[[#This Row],[unitprice]]*Table26[[#This Row],[quantity_unit]]</f>
        <v>0</v>
      </c>
      <c r="AK2272" s="22" t="e" cm="1">
        <f t="array" ref="AK227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272" s="227"/>
    </row>
    <row r="2273" spans="1:38" ht="27" customHeight="1">
      <c r="A2273" s="42">
        <v>2271</v>
      </c>
      <c r="B2273" s="42" t="s">
        <v>3520</v>
      </c>
      <c r="C2273" s="53" t="s">
        <v>3488</v>
      </c>
      <c r="D2273" s="20">
        <v>45889</v>
      </c>
      <c r="E2273" s="20"/>
      <c r="F22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3" s="93"/>
      <c r="I2273" s="203">
        <v>45868</v>
      </c>
      <c r="J2273" s="53" t="s">
        <v>616</v>
      </c>
      <c r="K2273" s="19">
        <v>45894</v>
      </c>
      <c r="L2273" s="49" t="s">
        <v>490</v>
      </c>
      <c r="M2273" s="22"/>
      <c r="N2273" s="15" t="str">
        <f>Table26[[#This Row],[po_number]]&amp;"-"&amp;Table26[[#This Row],[po_line]]</f>
        <v>-12</v>
      </c>
      <c r="O2273" s="15">
        <v>12</v>
      </c>
      <c r="P2273" s="50"/>
      <c r="Q2273" s="22" t="s">
        <v>4233</v>
      </c>
      <c r="R2273" s="22" t="s">
        <v>532</v>
      </c>
      <c r="S2273" s="90" t="str">
        <f>IF(Table26[[#This Row],[customerSKU]]="","",_xlfn.XLOOKUP(Table26[[#This Row],[customerSKU]],customerSKU!G:G,customerSKU!N:N,"NOT FOUND",0,1))</f>
        <v>NOT FOUND</v>
      </c>
      <c r="T2273" s="20">
        <v>45877</v>
      </c>
      <c r="U2273" s="21">
        <v>12</v>
      </c>
      <c r="V2273" s="22" t="str">
        <f>IF(ISBLANK(Table26[[#This Row],[customerSKU]]),"",_xlfn.XLOOKUP(Table26[[#This Row],[customerSKU]],Table27[customer_SKU],Table27[case_size],"",0,1))</f>
        <v/>
      </c>
      <c r="W2273" s="117" t="str">
        <f t="shared" si="93"/>
        <v/>
      </c>
      <c r="X2273" s="22" t="str">
        <f t="shared" si="94"/>
        <v/>
      </c>
      <c r="Y2273" s="22" t="str">
        <f>IF(Table26[[#This Row],[customerSKU]]="","",_xlfn.XLOOKUP(Table26[[#This Row],[customerSKU]],Table27[customer_SKU],Table27[product_GTIN],"",0,1))</f>
        <v/>
      </c>
      <c r="Z2273" s="60" t="s">
        <v>3623</v>
      </c>
      <c r="AA2273" s="18" t="str" cm="1">
        <f t="array" ref="AA2273">IF(P2273="", "", _xlfn.XLOOKUP(P2273,#REF!,#REF!,NA,0,-1))</f>
        <v/>
      </c>
      <c r="AB2273" s="22"/>
      <c r="AC2273" s="23" t="s">
        <v>31</v>
      </c>
      <c r="AD2273" s="23" t="str">
        <f>IF($AC2273="","",_xlfn.XLOOKUP($AC2273,'Client Info'!$C$2:$C$2497,'Client Info'!$D$2:$D$2497,"",0,1))</f>
        <v/>
      </c>
      <c r="AE2273" s="23" t="str">
        <f>IF($AC2273="","",_xlfn.XLOOKUP($AC2273,'Client Info'!$C$2:$C$2677,'Client Info'!$E$2:$E$2677,"",))</f>
        <v/>
      </c>
      <c r="AF2273" s="23" t="str">
        <f>IF($AC2273="","",_xlfn.XLOOKUP($AC2273,'Client Info'!$C$2:$C$2677,'Client Info'!$F$2:$F$2677,"",0,1))</f>
        <v/>
      </c>
      <c r="AG2273" s="23" t="s">
        <v>31</v>
      </c>
      <c r="AH2273" s="26" t="str">
        <f>_xlfn.XLOOKUP(Table26[[#This Row],[customerSKU]],customerSKU!G:G,customerSKU!K:K,"NA",0,1)</f>
        <v>NA</v>
      </c>
      <c r="AI2273" s="43" t="str">
        <f>_xlfn.XLOOKUP(Table26[[#This Row],[customerSKU]],customerSKU!G:G,customerSKU!O:O,"not found",0,1)</f>
        <v>not found</v>
      </c>
      <c r="AJ2273" s="22" t="e">
        <f>Table26[[#This Row],[unitprice]]*Table26[[#This Row],[quantity_unit]]</f>
        <v>#VALUE!</v>
      </c>
      <c r="AK2273" s="227" t="e" cm="1">
        <f t="array" ref="AK22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#VALUE!</v>
      </c>
      <c r="AL2273" s="227"/>
    </row>
    <row r="2274" spans="1:38" ht="27" customHeight="1">
      <c r="A2274" s="42">
        <v>2305</v>
      </c>
      <c r="B2274" s="42" t="s">
        <v>3520</v>
      </c>
      <c r="C2274" s="53" t="s">
        <v>203</v>
      </c>
      <c r="E2274" s="20"/>
      <c r="F22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4" s="93"/>
      <c r="I2274" s="203">
        <v>45884</v>
      </c>
      <c r="J2274" s="90" t="str">
        <f>IF(Table26[[#This Row],[customerSKU]]="","",_xlfn.XLOOKUP(Table26[[#This Row],[customerSKU]],customerSKU!G:G,customerSKU!A:A,"",0,1))</f>
        <v/>
      </c>
      <c r="K2274" s="19">
        <v>45888</v>
      </c>
      <c r="L2274" s="49" t="str">
        <f>IF(Table26[[#This Row],[customerSKU]]="","",_xlfn.XLOOKUP(Table26[[#This Row],[customerSKU]],customerSKU!G:G,customerSKU!B:B,"",0,1))</f>
        <v/>
      </c>
      <c r="M2274" s="22"/>
      <c r="N2274" s="15" t="str">
        <f>Table26[[#This Row],[po_number]]&amp;"-"&amp;Table26[[#This Row],[po_line]]</f>
        <v>-1</v>
      </c>
      <c r="O2274" s="15">
        <v>1</v>
      </c>
      <c r="P2274" s="50"/>
      <c r="Q2274" s="22" t="s">
        <v>543</v>
      </c>
      <c r="R2274" s="22" t="s">
        <v>532</v>
      </c>
      <c r="S2274" s="90" t="str">
        <f>IF(Table26[[#This Row],[customerSKU]]="","",_xlfn.XLOOKUP(Table26[[#This Row],[customerSKU]],customerSKU!G:G,customerSKU!N:N,"NOT FOUND",0,1))</f>
        <v>NOT FOUND</v>
      </c>
      <c r="T2274" s="20">
        <v>45793</v>
      </c>
      <c r="U2274" s="94">
        <v>6</v>
      </c>
      <c r="V2274" s="22" t="str">
        <f>IF(ISBLANK(Table26[[#This Row],[customerSKU]]),"",_xlfn.XLOOKUP(Table26[[#This Row],[customerSKU]],Table27[customer_SKU],Table27[case_size],"",0,1))</f>
        <v/>
      </c>
      <c r="W2274" s="117" t="str">
        <f t="shared" si="93"/>
        <v/>
      </c>
      <c r="X2274" s="22" t="str">
        <f t="shared" si="94"/>
        <v/>
      </c>
      <c r="Y2274" s="25" t="str">
        <f>IF(Table26[[#This Row],[customerSKU]]="","",_xlfn.XLOOKUP(Table26[[#This Row],[customerSKU]],Table27[customer_SKU],Table27[product_GTIN],"",0,1))</f>
        <v/>
      </c>
      <c r="Z2274" s="25" t="s">
        <v>3599</v>
      </c>
      <c r="AA2274" s="18" t="str" cm="1">
        <f t="array" ref="AA2274">IF(P2274="", "", _xlfn.XLOOKUP(P2274,#REF!,#REF!,NA,0,-1))</f>
        <v/>
      </c>
      <c r="AB2274" s="22"/>
      <c r="AC2274" s="23" t="s">
        <v>189</v>
      </c>
      <c r="AD2274" s="23" t="str">
        <f>IF($AC2274="","",_xlfn.XLOOKUP($AC2274,'Client Info'!$C$2:$C$2497,'Client Info'!$D$2:$D$2497,"",0,1))</f>
        <v/>
      </c>
      <c r="AE2274" s="23" t="str">
        <f>IF($AC2274="","",_xlfn.XLOOKUP($AC2274,'Client Info'!$C$2:$C$2677,'Client Info'!$E$2:$E$2677,"",))</f>
        <v/>
      </c>
      <c r="AF2274" s="23" t="str">
        <f>IF($AC2274="","",_xlfn.XLOOKUP($AC2274,'Client Info'!$C$2:$C$2677,'Client Info'!$F$2:$F$2677,"",0,1))</f>
        <v/>
      </c>
      <c r="AG2274" s="23" t="s">
        <v>189</v>
      </c>
      <c r="AH2274" s="26" t="str">
        <f>_xlfn.XLOOKUP(Table26[[#This Row],[customerSKU]],customerSKU!G:G,customerSKU!K:K,"NA",0,1)</f>
        <v>NA</v>
      </c>
      <c r="AI2274" s="43" t="str">
        <f>_xlfn.XLOOKUP(Table26[[#This Row],[customerSKU]],customerSKU!G:G,customerSKU!O:O,"not found",0,1)</f>
        <v>not found</v>
      </c>
      <c r="AJ2274" s="22" t="e">
        <f>Table26[[#This Row],[unitprice]]*Table26[[#This Row],[quantity_unit]]</f>
        <v>#VALUE!</v>
      </c>
      <c r="AK2274" s="227" t="e" cm="1">
        <f t="array" ref="AK22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4" s="227"/>
    </row>
    <row r="2275" spans="1:38" ht="27" customHeight="1">
      <c r="A2275" s="42">
        <v>2306</v>
      </c>
      <c r="B2275" s="42" t="s">
        <v>3520</v>
      </c>
      <c r="C2275" s="53" t="s">
        <v>203</v>
      </c>
      <c r="E2275" s="20"/>
      <c r="F22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5" s="93"/>
      <c r="I2275" s="203">
        <v>45884</v>
      </c>
      <c r="J2275" s="90" t="str">
        <f>IF(Table26[[#This Row],[customerSKU]]="","",_xlfn.XLOOKUP(Table26[[#This Row],[customerSKU]],customerSKU!G:G,customerSKU!A:A,"",0,1))</f>
        <v/>
      </c>
      <c r="K2275" s="19">
        <v>45888</v>
      </c>
      <c r="L2275" s="49" t="str">
        <f>IF(Table26[[#This Row],[customerSKU]]="","",_xlfn.XLOOKUP(Table26[[#This Row],[customerSKU]],customerSKU!G:G,customerSKU!B:B,"",0,1))</f>
        <v/>
      </c>
      <c r="M2275" s="22"/>
      <c r="N2275" s="15" t="str">
        <f>Table26[[#This Row],[po_number]]&amp;"-"&amp;Table26[[#This Row],[po_line]]</f>
        <v>-2</v>
      </c>
      <c r="O2275" s="15">
        <v>2</v>
      </c>
      <c r="P2275" s="50"/>
      <c r="Q2275" s="22" t="s">
        <v>3749</v>
      </c>
      <c r="R2275" s="22" t="s">
        <v>532</v>
      </c>
      <c r="S2275" s="90" t="str">
        <f>IF(Table26[[#This Row],[customerSKU]]="","",_xlfn.XLOOKUP(Table26[[#This Row],[customerSKU]],customerSKU!G:G,customerSKU!N:N,"NOT FOUND",0,1))</f>
        <v>NOT FOUND</v>
      </c>
      <c r="T2275" s="20">
        <v>45870</v>
      </c>
      <c r="U2275" s="94">
        <v>12</v>
      </c>
      <c r="V2275" s="22" t="str">
        <f>IF(ISBLANK(Table26[[#This Row],[customerSKU]]),"",_xlfn.XLOOKUP(Table26[[#This Row],[customerSKU]],Table27[customer_SKU],Table27[case_size],"",0,1))</f>
        <v/>
      </c>
      <c r="W2275" s="117" t="str">
        <f t="shared" si="93"/>
        <v/>
      </c>
      <c r="X2275" s="22" t="str">
        <f t="shared" si="94"/>
        <v/>
      </c>
      <c r="Y2275" s="25" t="str">
        <f>IF(Table26[[#This Row],[customerSKU]]="","",_xlfn.XLOOKUP(Table26[[#This Row],[customerSKU]],Table27[customer_SKU],Table27[product_GTIN],"",0,1))</f>
        <v/>
      </c>
      <c r="Z2275" s="25" t="s">
        <v>3652</v>
      </c>
      <c r="AA2275" s="18" t="str" cm="1">
        <f t="array" ref="AA2275">IF(P2275="", "", _xlfn.XLOOKUP(P2275,#REF!,#REF!,NA,0,-1))</f>
        <v/>
      </c>
      <c r="AB2275" s="22"/>
      <c r="AC2275" s="23" t="s">
        <v>189</v>
      </c>
      <c r="AD2275" s="23" t="str">
        <f>IF($AC2275="","",_xlfn.XLOOKUP($AC2275,'Client Info'!$C$2:$C$2497,'Client Info'!$D$2:$D$2497,"",0,1))</f>
        <v/>
      </c>
      <c r="AE2275" s="23" t="str">
        <f>IF($AC2275="","",_xlfn.XLOOKUP($AC2275,'Client Info'!$C$2:$C$2677,'Client Info'!$E$2:$E$2677,"",))</f>
        <v/>
      </c>
      <c r="AF2275" s="23" t="str">
        <f>IF($AC2275="","",_xlfn.XLOOKUP($AC2275,'Client Info'!$C$2:$C$2677,'Client Info'!$F$2:$F$2677,"",0,1))</f>
        <v/>
      </c>
      <c r="AG2275" s="23" t="s">
        <v>189</v>
      </c>
      <c r="AH2275" s="26" t="str">
        <f>_xlfn.XLOOKUP(Table26[[#This Row],[customerSKU]],customerSKU!G:G,customerSKU!K:K,"NA",0,1)</f>
        <v>NA</v>
      </c>
      <c r="AI2275" s="43" t="str">
        <f>_xlfn.XLOOKUP(Table26[[#This Row],[customerSKU]],customerSKU!G:G,customerSKU!O:O,"not found",0,1)</f>
        <v>not found</v>
      </c>
      <c r="AJ2275" s="22" t="e">
        <f>Table26[[#This Row],[unitprice]]*Table26[[#This Row],[quantity_unit]]</f>
        <v>#VALUE!</v>
      </c>
      <c r="AK2275" s="227" t="e" cm="1">
        <f t="array" ref="AK22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5" s="227"/>
    </row>
    <row r="2276" spans="1:38" ht="15.6" customHeight="1">
      <c r="A2276" s="42">
        <v>2307</v>
      </c>
      <c r="B2276" s="42" t="s">
        <v>3520</v>
      </c>
      <c r="C2276" s="53" t="s">
        <v>203</v>
      </c>
      <c r="E2276" s="20"/>
      <c r="F22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6" s="93"/>
      <c r="I2276" s="203">
        <v>45884</v>
      </c>
      <c r="J2276" s="90" t="str">
        <f>IF(Table26[[#This Row],[customerSKU]]="","",_xlfn.XLOOKUP(Table26[[#This Row],[customerSKU]],customerSKU!G:G,customerSKU!A:A,"",0,1))</f>
        <v/>
      </c>
      <c r="K2276" s="19">
        <v>45888</v>
      </c>
      <c r="L2276" s="49" t="str">
        <f>IF(Table26[[#This Row],[customerSKU]]="","",_xlfn.XLOOKUP(Table26[[#This Row],[customerSKU]],customerSKU!G:G,customerSKU!B:B,"",0,1))</f>
        <v/>
      </c>
      <c r="M2276" s="22"/>
      <c r="N2276" s="15" t="str">
        <f>Table26[[#This Row],[po_number]]&amp;"-"&amp;Table26[[#This Row],[po_line]]</f>
        <v>-3</v>
      </c>
      <c r="O2276" s="15">
        <v>3</v>
      </c>
      <c r="P2276" s="50"/>
      <c r="Q2276" s="22" t="s">
        <v>1842</v>
      </c>
      <c r="R2276" s="22" t="s">
        <v>532</v>
      </c>
      <c r="S2276" s="90" t="str">
        <f>IF(Table26[[#This Row],[customerSKU]]="","",_xlfn.XLOOKUP(Table26[[#This Row],[customerSKU]],customerSKU!G:G,customerSKU!N:N,"NOT FOUND",0,1))</f>
        <v>NOT FOUND</v>
      </c>
      <c r="T2276" s="20">
        <v>45877</v>
      </c>
      <c r="U2276" s="94">
        <v>12</v>
      </c>
      <c r="V2276" s="22" t="str">
        <f>IF(ISBLANK(Table26[[#This Row],[customerSKU]]),"",_xlfn.XLOOKUP(Table26[[#This Row],[customerSKU]],Table27[customer_SKU],Table27[case_size],"",0,1))</f>
        <v/>
      </c>
      <c r="W2276" s="117" t="str">
        <f t="shared" si="93"/>
        <v/>
      </c>
      <c r="X2276" s="22" t="str">
        <f t="shared" si="94"/>
        <v/>
      </c>
      <c r="Y2276" s="25" t="str">
        <f>IF(Table26[[#This Row],[customerSKU]]="","",_xlfn.XLOOKUP(Table26[[#This Row],[customerSKU]],Table27[customer_SKU],Table27[product_GTIN],"",0,1))</f>
        <v/>
      </c>
      <c r="Z2276" s="25" t="s">
        <v>3603</v>
      </c>
      <c r="AA2276" s="18" t="str" cm="1">
        <f t="array" ref="AA2276">IF(P2276="", "", _xlfn.XLOOKUP(P2276,#REF!,#REF!,NA,0,-1))</f>
        <v/>
      </c>
      <c r="AB2276" s="22"/>
      <c r="AC2276" s="23" t="s">
        <v>189</v>
      </c>
      <c r="AD2276" s="23" t="str">
        <f>IF($AC2276="","",_xlfn.XLOOKUP($AC2276,'Client Info'!$C$2:$C$2497,'Client Info'!$D$2:$D$2497,"",0,1))</f>
        <v/>
      </c>
      <c r="AE2276" s="23" t="str">
        <f>IF($AC2276="","",_xlfn.XLOOKUP($AC2276,'Client Info'!$C$2:$C$2677,'Client Info'!$E$2:$E$2677,"",))</f>
        <v/>
      </c>
      <c r="AF2276" s="23" t="str">
        <f>IF($AC2276="","",_xlfn.XLOOKUP($AC2276,'Client Info'!$C$2:$C$2677,'Client Info'!$F$2:$F$2677,"",0,1))</f>
        <v/>
      </c>
      <c r="AG2276" s="23" t="s">
        <v>189</v>
      </c>
      <c r="AH2276" s="26" t="str">
        <f>_xlfn.XLOOKUP(Table26[[#This Row],[customerSKU]],customerSKU!G:G,customerSKU!K:K,"NA",0,1)</f>
        <v>NA</v>
      </c>
      <c r="AI2276" s="43" t="str">
        <f>_xlfn.XLOOKUP(Table26[[#This Row],[customerSKU]],customerSKU!G:G,customerSKU!O:O,"not found",0,1)</f>
        <v>not found</v>
      </c>
      <c r="AJ2276" s="22" t="e">
        <f>Table26[[#This Row],[unitprice]]*Table26[[#This Row],[quantity_unit]]</f>
        <v>#VALUE!</v>
      </c>
      <c r="AK2276" s="227" t="e" cm="1">
        <f t="array" ref="AK22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6" s="227"/>
    </row>
    <row r="2277" spans="1:38" ht="27" customHeight="1">
      <c r="A2277" s="42">
        <v>2308</v>
      </c>
      <c r="B2277" s="42" t="s">
        <v>3520</v>
      </c>
      <c r="C2277" s="53" t="s">
        <v>203</v>
      </c>
      <c r="E2277" s="20"/>
      <c r="F22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7" s="93"/>
      <c r="I2277" s="203">
        <v>45884</v>
      </c>
      <c r="J2277" s="90" t="str">
        <f>IF(Table26[[#This Row],[customerSKU]]="","",_xlfn.XLOOKUP(Table26[[#This Row],[customerSKU]],customerSKU!G:G,customerSKU!A:A,"",0,1))</f>
        <v/>
      </c>
      <c r="K2277" s="19">
        <v>45888</v>
      </c>
      <c r="L2277" s="49" t="str">
        <f>IF(Table26[[#This Row],[customerSKU]]="","",_xlfn.XLOOKUP(Table26[[#This Row],[customerSKU]],customerSKU!G:G,customerSKU!B:B,"",0,1))</f>
        <v/>
      </c>
      <c r="M2277" s="22"/>
      <c r="N2277" s="15" t="str">
        <f>Table26[[#This Row],[po_number]]&amp;"-"&amp;Table26[[#This Row],[po_line]]</f>
        <v>-4</v>
      </c>
      <c r="O2277" s="15">
        <v>4</v>
      </c>
      <c r="P2277" s="50"/>
      <c r="Q2277" s="22" t="s">
        <v>591</v>
      </c>
      <c r="R2277" s="22" t="s">
        <v>532</v>
      </c>
      <c r="S2277" s="90" t="str">
        <f>IF(Table26[[#This Row],[customerSKU]]="","",_xlfn.XLOOKUP(Table26[[#This Row],[customerSKU]],customerSKU!G:G,customerSKU!N:N,"NOT FOUND",0,1))</f>
        <v>NOT FOUND</v>
      </c>
      <c r="T2277" s="20">
        <v>45859</v>
      </c>
      <c r="U2277" s="94">
        <v>6</v>
      </c>
      <c r="V2277" s="22" t="str">
        <f>IF(ISBLANK(Table26[[#This Row],[customerSKU]]),"",_xlfn.XLOOKUP(Table26[[#This Row],[customerSKU]],Table27[customer_SKU],Table27[case_size],"",0,1))</f>
        <v/>
      </c>
      <c r="W2277" s="117" t="str">
        <f t="shared" si="93"/>
        <v/>
      </c>
      <c r="X2277" s="22" t="str">
        <f t="shared" si="94"/>
        <v/>
      </c>
      <c r="Y2277" s="25" t="str">
        <f>IF(Table26[[#This Row],[customerSKU]]="","",_xlfn.XLOOKUP(Table26[[#This Row],[customerSKU]],Table27[customer_SKU],Table27[product_GTIN],"",0,1))</f>
        <v/>
      </c>
      <c r="Z2277" s="25" t="s">
        <v>3525</v>
      </c>
      <c r="AA2277" s="18" t="str" cm="1">
        <f t="array" ref="AA2277">IF(P2277="", "", _xlfn.XLOOKUP(P2277,#REF!,#REF!,NA,0,-1))</f>
        <v/>
      </c>
      <c r="AB2277" s="22"/>
      <c r="AC2277" s="23" t="s">
        <v>189</v>
      </c>
      <c r="AD2277" s="23" t="str">
        <f>IF($AC2277="","",_xlfn.XLOOKUP($AC2277,'Client Info'!$C$2:$C$2497,'Client Info'!$D$2:$D$2497,"",0,1))</f>
        <v/>
      </c>
      <c r="AE2277" s="23" t="str">
        <f>IF($AC2277="","",_xlfn.XLOOKUP($AC2277,'Client Info'!$C$2:$C$2677,'Client Info'!$E$2:$E$2677,"",))</f>
        <v/>
      </c>
      <c r="AF2277" s="23" t="str">
        <f>IF($AC2277="","",_xlfn.XLOOKUP($AC2277,'Client Info'!$C$2:$C$2677,'Client Info'!$F$2:$F$2677,"",0,1))</f>
        <v/>
      </c>
      <c r="AG2277" s="23" t="s">
        <v>189</v>
      </c>
      <c r="AH2277" s="26" t="str">
        <f>_xlfn.XLOOKUP(Table26[[#This Row],[customerSKU]],customerSKU!G:G,customerSKU!K:K,"NA",0,1)</f>
        <v>NA</v>
      </c>
      <c r="AI2277" s="43" t="str">
        <f>_xlfn.XLOOKUP(Table26[[#This Row],[customerSKU]],customerSKU!G:G,customerSKU!O:O,"not found",0,1)</f>
        <v>not found</v>
      </c>
      <c r="AJ2277" s="22" t="e">
        <f>Table26[[#This Row],[unitprice]]*Table26[[#This Row],[quantity_unit]]</f>
        <v>#VALUE!</v>
      </c>
      <c r="AK2277" s="227" t="e" cm="1">
        <f t="array" ref="AK22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7" s="227"/>
    </row>
    <row r="2278" spans="1:38" ht="24.6" customHeight="1">
      <c r="A2278" s="42">
        <v>2309</v>
      </c>
      <c r="B2278" s="42" t="s">
        <v>3520</v>
      </c>
      <c r="C2278" s="53" t="s">
        <v>203</v>
      </c>
      <c r="E2278" s="20"/>
      <c r="F22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8" s="93"/>
      <c r="I2278" s="203">
        <v>45884</v>
      </c>
      <c r="J2278" s="90" t="str">
        <f>IF(Table26[[#This Row],[customerSKU]]="","",_xlfn.XLOOKUP(Table26[[#This Row],[customerSKU]],customerSKU!G:G,customerSKU!A:A,"",0,1))</f>
        <v/>
      </c>
      <c r="K2278" s="19">
        <v>45888</v>
      </c>
      <c r="L2278" s="49" t="str">
        <f>IF(Table26[[#This Row],[customerSKU]]="","",_xlfn.XLOOKUP(Table26[[#This Row],[customerSKU]],customerSKU!G:G,customerSKU!B:B,"",0,1))</f>
        <v/>
      </c>
      <c r="M2278" s="22"/>
      <c r="N2278" s="15" t="str">
        <f>Table26[[#This Row],[po_number]]&amp;"-"&amp;Table26[[#This Row],[po_line]]</f>
        <v>-5</v>
      </c>
      <c r="O2278" s="15">
        <v>5</v>
      </c>
      <c r="P2278" s="50"/>
      <c r="Q2278" s="22" t="s">
        <v>591</v>
      </c>
      <c r="R2278" s="22" t="s">
        <v>532</v>
      </c>
      <c r="S2278" s="90" t="str">
        <f>IF(Table26[[#This Row],[customerSKU]]="","",_xlfn.XLOOKUP(Table26[[#This Row],[customerSKU]],customerSKU!G:G,customerSKU!N:N,"NOT FOUND",0,1))</f>
        <v>NOT FOUND</v>
      </c>
      <c r="T2278" s="20">
        <v>45877</v>
      </c>
      <c r="U2278" s="94">
        <v>6</v>
      </c>
      <c r="V2278" s="22" t="str">
        <f>IF(ISBLANK(Table26[[#This Row],[customerSKU]]),"",_xlfn.XLOOKUP(Table26[[#This Row],[customerSKU]],Table27[customer_SKU],Table27[case_size],"",0,1))</f>
        <v/>
      </c>
      <c r="W2278" s="117" t="str">
        <f t="shared" si="93"/>
        <v/>
      </c>
      <c r="X2278" s="22" t="str">
        <f t="shared" si="94"/>
        <v/>
      </c>
      <c r="Y2278" s="25" t="str">
        <f>IF(Table26[[#This Row],[customerSKU]]="","",_xlfn.XLOOKUP(Table26[[#This Row],[customerSKU]],Table27[customer_SKU],Table27[product_GTIN],"",0,1))</f>
        <v/>
      </c>
      <c r="Z2278" s="25" t="s">
        <v>3525</v>
      </c>
      <c r="AA2278" s="18" t="str" cm="1">
        <f t="array" ref="AA2278">IF(P2278="", "", _xlfn.XLOOKUP(P2278,#REF!,#REF!,NA,0,-1))</f>
        <v/>
      </c>
      <c r="AB2278" s="22"/>
      <c r="AC2278" s="23" t="s">
        <v>189</v>
      </c>
      <c r="AD2278" s="23" t="str">
        <f>IF($AC2278="","",_xlfn.XLOOKUP($AC2278,'Client Info'!$C$2:$C$2497,'Client Info'!$D$2:$D$2497,"",0,1))</f>
        <v/>
      </c>
      <c r="AE2278" s="23" t="str">
        <f>IF($AC2278="","",_xlfn.XLOOKUP($AC2278,'Client Info'!$C$2:$C$2677,'Client Info'!$E$2:$E$2677,"",))</f>
        <v/>
      </c>
      <c r="AF2278" s="23" t="str">
        <f>IF($AC2278="","",_xlfn.XLOOKUP($AC2278,'Client Info'!$C$2:$C$2677,'Client Info'!$F$2:$F$2677,"",0,1))</f>
        <v/>
      </c>
      <c r="AG2278" s="23" t="s">
        <v>189</v>
      </c>
      <c r="AH2278" s="26" t="str">
        <f>_xlfn.XLOOKUP(Table26[[#This Row],[customerSKU]],customerSKU!G:G,customerSKU!K:K,"NA",0,1)</f>
        <v>NA</v>
      </c>
      <c r="AI2278" s="43" t="str">
        <f>_xlfn.XLOOKUP(Table26[[#This Row],[customerSKU]],customerSKU!G:G,customerSKU!O:O,"not found",0,1)</f>
        <v>not found</v>
      </c>
      <c r="AJ2278" s="22" t="e">
        <f>Table26[[#This Row],[unitprice]]*Table26[[#This Row],[quantity_unit]]</f>
        <v>#VALUE!</v>
      </c>
      <c r="AK2278" s="227" t="e" cm="1">
        <f t="array" ref="AK22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8" s="227"/>
    </row>
    <row r="2279" spans="1:38" ht="24.6" customHeight="1">
      <c r="A2279" s="42">
        <v>2310</v>
      </c>
      <c r="B2279" s="42" t="s">
        <v>3520</v>
      </c>
      <c r="C2279" s="53" t="s">
        <v>203</v>
      </c>
      <c r="E2279" s="20"/>
      <c r="F22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79" s="93"/>
      <c r="I2279" s="203">
        <v>45884</v>
      </c>
      <c r="J2279" s="90" t="str">
        <f>IF(Table26[[#This Row],[customerSKU]]="","",_xlfn.XLOOKUP(Table26[[#This Row],[customerSKU]],customerSKU!G:G,customerSKU!A:A,"",0,1))</f>
        <v/>
      </c>
      <c r="K2279" s="19">
        <v>45888</v>
      </c>
      <c r="L2279" s="49" t="str">
        <f>IF(Table26[[#This Row],[customerSKU]]="","",_xlfn.XLOOKUP(Table26[[#This Row],[customerSKU]],customerSKU!G:G,customerSKU!B:B,"",0,1))</f>
        <v/>
      </c>
      <c r="M2279" s="22"/>
      <c r="N2279" s="15" t="str">
        <f>Table26[[#This Row],[po_number]]&amp;"-"&amp;Table26[[#This Row],[po_line]]</f>
        <v>-6</v>
      </c>
      <c r="O2279" s="15">
        <v>6</v>
      </c>
      <c r="P2279" s="50"/>
      <c r="Q2279" s="22" t="s">
        <v>559</v>
      </c>
      <c r="R2279" s="22" t="s">
        <v>532</v>
      </c>
      <c r="S2279" s="90" t="str">
        <f>IF(Table26[[#This Row],[customerSKU]]="","",_xlfn.XLOOKUP(Table26[[#This Row],[customerSKU]],customerSKU!G:G,customerSKU!N:N,"NOT FOUND",0,1))</f>
        <v>NOT FOUND</v>
      </c>
      <c r="T2279" s="20">
        <v>45772</v>
      </c>
      <c r="U2279" s="94">
        <v>12</v>
      </c>
      <c r="V2279" s="22" t="str">
        <f>IF(ISBLANK(Table26[[#This Row],[customerSKU]]),"",_xlfn.XLOOKUP(Table26[[#This Row],[customerSKU]],Table27[customer_SKU],Table27[case_size],"",0,1))</f>
        <v/>
      </c>
      <c r="W2279" s="117" t="str">
        <f t="shared" si="93"/>
        <v/>
      </c>
      <c r="X2279" s="22" t="str">
        <f t="shared" si="94"/>
        <v/>
      </c>
      <c r="Y2279" s="25" t="str">
        <f>IF(Table26[[#This Row],[customerSKU]]="","",_xlfn.XLOOKUP(Table26[[#This Row],[customerSKU]],Table27[customer_SKU],Table27[product_GTIN],"",0,1))</f>
        <v/>
      </c>
      <c r="Z2279" s="25" t="s">
        <v>3527</v>
      </c>
      <c r="AA2279" s="18" t="str" cm="1">
        <f t="array" ref="AA2279">IF(P2279="", "", _xlfn.XLOOKUP(P2279,#REF!,#REF!,NA,0,-1))</f>
        <v/>
      </c>
      <c r="AB2279" s="22"/>
      <c r="AC2279" s="23" t="s">
        <v>189</v>
      </c>
      <c r="AD2279" s="23" t="str">
        <f>IF($AC2279="","",_xlfn.XLOOKUP($AC2279,'Client Info'!$C$2:$C$2497,'Client Info'!$D$2:$D$2497,"",0,1))</f>
        <v/>
      </c>
      <c r="AE2279" s="23" t="str">
        <f>IF($AC2279="","",_xlfn.XLOOKUP($AC2279,'Client Info'!$C$2:$C$2677,'Client Info'!$E$2:$E$2677,"",))</f>
        <v/>
      </c>
      <c r="AF2279" s="23" t="str">
        <f>IF($AC2279="","",_xlfn.XLOOKUP($AC2279,'Client Info'!$C$2:$C$2677,'Client Info'!$F$2:$F$2677,"",0,1))</f>
        <v/>
      </c>
      <c r="AG2279" s="23" t="s">
        <v>189</v>
      </c>
      <c r="AH2279" s="26" t="str">
        <f>_xlfn.XLOOKUP(Table26[[#This Row],[customerSKU]],customerSKU!G:G,customerSKU!K:K,"NA",0,1)</f>
        <v>NA</v>
      </c>
      <c r="AI2279" s="43" t="str">
        <f>_xlfn.XLOOKUP(Table26[[#This Row],[customerSKU]],customerSKU!G:G,customerSKU!O:O,"not found",0,1)</f>
        <v>not found</v>
      </c>
      <c r="AJ2279" s="22" t="e">
        <f>Table26[[#This Row],[unitprice]]*Table26[[#This Row],[quantity_unit]]</f>
        <v>#VALUE!</v>
      </c>
      <c r="AK2279" s="227" t="e" cm="1">
        <f t="array" ref="AK22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79" s="227"/>
    </row>
    <row r="2280" spans="1:38" ht="27" customHeight="1">
      <c r="A2280" s="42">
        <v>2311</v>
      </c>
      <c r="B2280" s="42" t="s">
        <v>3520</v>
      </c>
      <c r="C2280" s="53" t="s">
        <v>203</v>
      </c>
      <c r="E2280" s="20"/>
      <c r="F22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0" s="93"/>
      <c r="I2280" s="203">
        <v>45884</v>
      </c>
      <c r="J2280" s="90" t="str">
        <f>IF(Table26[[#This Row],[customerSKU]]="","",_xlfn.XLOOKUP(Table26[[#This Row],[customerSKU]],customerSKU!G:G,customerSKU!A:A,"",0,1))</f>
        <v/>
      </c>
      <c r="K2280" s="19">
        <v>45888</v>
      </c>
      <c r="L2280" s="49" t="str">
        <f>IF(Table26[[#This Row],[customerSKU]]="","",_xlfn.XLOOKUP(Table26[[#This Row],[customerSKU]],customerSKU!G:G,customerSKU!B:B,"",0,1))</f>
        <v/>
      </c>
      <c r="M2280" s="22"/>
      <c r="N2280" s="15" t="str">
        <f>Table26[[#This Row],[po_number]]&amp;"-"&amp;Table26[[#This Row],[po_line]]</f>
        <v>-7</v>
      </c>
      <c r="O2280" s="15">
        <v>7</v>
      </c>
      <c r="P2280" s="50"/>
      <c r="Q2280" s="22" t="s">
        <v>3405</v>
      </c>
      <c r="R2280" s="22" t="s">
        <v>532</v>
      </c>
      <c r="S2280" s="90" t="str">
        <f>IF(Table26[[#This Row],[customerSKU]]="","",_xlfn.XLOOKUP(Table26[[#This Row],[customerSKU]],customerSKU!G:G,customerSKU!N:N,"NOT FOUND",0,1))</f>
        <v>NOT FOUND</v>
      </c>
      <c r="T2280" s="384">
        <v>45887</v>
      </c>
      <c r="U2280" s="94">
        <v>12</v>
      </c>
      <c r="V2280" s="22" t="str">
        <f>IF(ISBLANK(Table26[[#This Row],[customerSKU]]),"",_xlfn.XLOOKUP(Table26[[#This Row],[customerSKU]],Table27[customer_SKU],Table27[case_size],"",0,1))</f>
        <v/>
      </c>
      <c r="W2280" s="117" t="str">
        <f t="shared" si="93"/>
        <v/>
      </c>
      <c r="X2280" s="22" t="str">
        <f t="shared" si="94"/>
        <v/>
      </c>
      <c r="Y2280" s="25" t="str">
        <f>IF(Table26[[#This Row],[customerSKU]]="","",_xlfn.XLOOKUP(Table26[[#This Row],[customerSKU]],Table27[customer_SKU],Table27[product_GTIN],"",0,1))</f>
        <v/>
      </c>
      <c r="Z2280" s="25" t="s">
        <v>3535</v>
      </c>
      <c r="AA2280" s="18" t="str" cm="1">
        <f t="array" ref="AA2280">IF(P2280="", "", _xlfn.XLOOKUP(P2280,#REF!,#REF!,NA,0,-1))</f>
        <v/>
      </c>
      <c r="AB2280" s="22"/>
      <c r="AC2280" s="23" t="s">
        <v>189</v>
      </c>
      <c r="AD2280" s="23" t="str">
        <f>IF($AC2280="","",_xlfn.XLOOKUP($AC2280,'Client Info'!$C$2:$C$2497,'Client Info'!$D$2:$D$2497,"",0,1))</f>
        <v/>
      </c>
      <c r="AE2280" s="23" t="str">
        <f>IF($AC2280="","",_xlfn.XLOOKUP($AC2280,'Client Info'!$C$2:$C$2677,'Client Info'!$E$2:$E$2677,"",))</f>
        <v/>
      </c>
      <c r="AF2280" s="23" t="str">
        <f>IF($AC2280="","",_xlfn.XLOOKUP($AC2280,'Client Info'!$C$2:$C$2677,'Client Info'!$F$2:$F$2677,"",0,1))</f>
        <v/>
      </c>
      <c r="AG2280" s="23" t="s">
        <v>189</v>
      </c>
      <c r="AH2280" s="26" t="str">
        <f>_xlfn.XLOOKUP(Table26[[#This Row],[customerSKU]],customerSKU!G:G,customerSKU!K:K,"NA",0,1)</f>
        <v>NA</v>
      </c>
      <c r="AI2280" s="43" t="str">
        <f>_xlfn.XLOOKUP(Table26[[#This Row],[customerSKU]],customerSKU!G:G,customerSKU!O:O,"not found",0,1)</f>
        <v>not found</v>
      </c>
      <c r="AJ2280" s="22" t="e">
        <f>Table26[[#This Row],[unitprice]]*Table26[[#This Row],[quantity_unit]]</f>
        <v>#VALUE!</v>
      </c>
      <c r="AK2280" s="227" t="e" cm="1">
        <f t="array" ref="AK22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0" s="227"/>
    </row>
    <row r="2281" spans="1:38" ht="27" customHeight="1">
      <c r="A2281" s="42">
        <v>2312</v>
      </c>
      <c r="B2281" s="42" t="s">
        <v>3520</v>
      </c>
      <c r="C2281" s="53" t="s">
        <v>203</v>
      </c>
      <c r="E2281" s="20"/>
      <c r="F22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1" s="93"/>
      <c r="I2281" s="203">
        <v>45884</v>
      </c>
      <c r="J2281" s="90" t="str">
        <f>IF(Table26[[#This Row],[customerSKU]]="","",_xlfn.XLOOKUP(Table26[[#This Row],[customerSKU]],customerSKU!G:G,customerSKU!A:A,"",0,1))</f>
        <v/>
      </c>
      <c r="K2281" s="19">
        <v>45888</v>
      </c>
      <c r="L2281" s="49" t="str">
        <f>IF(Table26[[#This Row],[customerSKU]]="","",_xlfn.XLOOKUP(Table26[[#This Row],[customerSKU]],customerSKU!G:G,customerSKU!B:B,"",0,1))</f>
        <v/>
      </c>
      <c r="M2281" s="22"/>
      <c r="N2281" s="15" t="str">
        <f>Table26[[#This Row],[po_number]]&amp;"-"&amp;Table26[[#This Row],[po_line]]</f>
        <v>-8</v>
      </c>
      <c r="O2281" s="15">
        <v>8</v>
      </c>
      <c r="P2281" s="50"/>
      <c r="Q2281" s="22" t="s">
        <v>656</v>
      </c>
      <c r="R2281" s="22" t="s">
        <v>532</v>
      </c>
      <c r="S2281" s="90" t="str">
        <f>IF(Table26[[#This Row],[customerSKU]]="","",_xlfn.XLOOKUP(Table26[[#This Row],[customerSKU]],customerSKU!G:G,customerSKU!N:N,"NOT FOUND",0,1))</f>
        <v>NOT FOUND</v>
      </c>
      <c r="T2281" s="20">
        <v>45756</v>
      </c>
      <c r="U2281" s="94">
        <v>12</v>
      </c>
      <c r="V2281" s="22" t="str">
        <f>IF(ISBLANK(Table26[[#This Row],[customerSKU]]),"",_xlfn.XLOOKUP(Table26[[#This Row],[customerSKU]],Table27[customer_SKU],Table27[case_size],"",0,1))</f>
        <v/>
      </c>
      <c r="W2281" s="117" t="str">
        <f t="shared" si="93"/>
        <v/>
      </c>
      <c r="X2281" s="22" t="str">
        <f t="shared" si="94"/>
        <v/>
      </c>
      <c r="Y2281" s="25" t="str">
        <f>IF(Table26[[#This Row],[customerSKU]]="","",_xlfn.XLOOKUP(Table26[[#This Row],[customerSKU]],Table27[customer_SKU],Table27[product_GTIN],"",0,1))</f>
        <v/>
      </c>
      <c r="Z2281" s="25" t="s">
        <v>3526</v>
      </c>
      <c r="AA2281" s="18" t="str" cm="1">
        <f t="array" ref="AA2281">IF(P2281="", "", _xlfn.XLOOKUP(P2281,#REF!,#REF!,NA,0,-1))</f>
        <v/>
      </c>
      <c r="AB2281" s="22"/>
      <c r="AC2281" s="23" t="s">
        <v>189</v>
      </c>
      <c r="AD2281" s="23" t="str">
        <f>IF($AC2281="","",_xlfn.XLOOKUP($AC2281,'Client Info'!$C$2:$C$2497,'Client Info'!$D$2:$D$2497,"",0,1))</f>
        <v/>
      </c>
      <c r="AE2281" s="23" t="str">
        <f>IF($AC2281="","",_xlfn.XLOOKUP($AC2281,'Client Info'!$C$2:$C$2677,'Client Info'!$E$2:$E$2677,"",))</f>
        <v/>
      </c>
      <c r="AF2281" s="23" t="str">
        <f>IF($AC2281="","",_xlfn.XLOOKUP($AC2281,'Client Info'!$C$2:$C$2677,'Client Info'!$F$2:$F$2677,"",0,1))</f>
        <v/>
      </c>
      <c r="AG2281" s="23" t="s">
        <v>189</v>
      </c>
      <c r="AH2281" s="26" t="str">
        <f>_xlfn.XLOOKUP(Table26[[#This Row],[customerSKU]],customerSKU!G:G,customerSKU!K:K,"NA",0,1)</f>
        <v>NA</v>
      </c>
      <c r="AI2281" s="43" t="str">
        <f>_xlfn.XLOOKUP(Table26[[#This Row],[customerSKU]],customerSKU!G:G,customerSKU!O:O,"not found",0,1)</f>
        <v>not found</v>
      </c>
      <c r="AJ2281" s="22" t="e">
        <f>Table26[[#This Row],[unitprice]]*Table26[[#This Row],[quantity_unit]]</f>
        <v>#VALUE!</v>
      </c>
      <c r="AK2281" s="227" t="e" cm="1">
        <f t="array" ref="AK22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1" s="227"/>
    </row>
    <row r="2282" spans="1:38" ht="27" customHeight="1">
      <c r="A2282" s="42">
        <v>2313</v>
      </c>
      <c r="B2282" s="42" t="s">
        <v>3520</v>
      </c>
      <c r="C2282" s="53" t="s">
        <v>203</v>
      </c>
      <c r="E2282" s="20"/>
      <c r="F22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2" s="93"/>
      <c r="I2282" s="203">
        <v>45884</v>
      </c>
      <c r="J2282" s="90" t="str">
        <f>IF(Table26[[#This Row],[customerSKU]]="","",_xlfn.XLOOKUP(Table26[[#This Row],[customerSKU]],customerSKU!G:G,customerSKU!A:A,"",0,1))</f>
        <v/>
      </c>
      <c r="K2282" s="19">
        <v>45888</v>
      </c>
      <c r="L2282" s="49" t="str">
        <f>IF(Table26[[#This Row],[customerSKU]]="","",_xlfn.XLOOKUP(Table26[[#This Row],[customerSKU]],customerSKU!G:G,customerSKU!B:B,"",0,1))</f>
        <v/>
      </c>
      <c r="M2282" s="22"/>
      <c r="N2282" s="15" t="str">
        <f>Table26[[#This Row],[po_number]]&amp;"-"&amp;Table26[[#This Row],[po_line]]</f>
        <v>-9</v>
      </c>
      <c r="O2282" s="15">
        <v>9</v>
      </c>
      <c r="P2282" s="50"/>
      <c r="Q2282" s="22" t="s">
        <v>3738</v>
      </c>
      <c r="R2282" s="22" t="s">
        <v>532</v>
      </c>
      <c r="S2282" s="90" t="str">
        <f>IF(Table26[[#This Row],[customerSKU]]="","",_xlfn.XLOOKUP(Table26[[#This Row],[customerSKU]],customerSKU!G:G,customerSKU!N:N,"NOT FOUND",0,1))</f>
        <v>NOT FOUND</v>
      </c>
      <c r="T2282" s="384">
        <v>45887</v>
      </c>
      <c r="U2282" s="94">
        <v>12</v>
      </c>
      <c r="V2282" s="22" t="str">
        <f>IF(ISBLANK(Table26[[#This Row],[customerSKU]]),"",_xlfn.XLOOKUP(Table26[[#This Row],[customerSKU]],Table27[customer_SKU],Table27[case_size],"",0,1))</f>
        <v/>
      </c>
      <c r="W2282" s="117" t="str">
        <f t="shared" si="93"/>
        <v/>
      </c>
      <c r="X2282" s="22" t="str">
        <f t="shared" si="94"/>
        <v/>
      </c>
      <c r="Y2282" s="25" t="str">
        <f>IF(Table26[[#This Row],[customerSKU]]="","",_xlfn.XLOOKUP(Table26[[#This Row],[customerSKU]],Table27[customer_SKU],Table27[product_GTIN],"",0,1))</f>
        <v/>
      </c>
      <c r="Z2282" s="25" t="s">
        <v>3719</v>
      </c>
      <c r="AA2282" s="18" t="str" cm="1">
        <f t="array" ref="AA2282">IF(P2282="", "", _xlfn.XLOOKUP(P2282,#REF!,#REF!,NA,0,-1))</f>
        <v/>
      </c>
      <c r="AB2282" s="22"/>
      <c r="AC2282" s="23" t="s">
        <v>189</v>
      </c>
      <c r="AD2282" s="23" t="str">
        <f>IF($AC2282="","",_xlfn.XLOOKUP($AC2282,'Client Info'!$C$2:$C$2497,'Client Info'!$D$2:$D$2497,"",0,1))</f>
        <v/>
      </c>
      <c r="AE2282" s="23" t="str">
        <f>IF($AC2282="","",_xlfn.XLOOKUP($AC2282,'Client Info'!$C$2:$C$2677,'Client Info'!$E$2:$E$2677,"",))</f>
        <v/>
      </c>
      <c r="AF2282" s="23" t="str">
        <f>IF($AC2282="","",_xlfn.XLOOKUP($AC2282,'Client Info'!$C$2:$C$2677,'Client Info'!$F$2:$F$2677,"",0,1))</f>
        <v/>
      </c>
      <c r="AG2282" s="23" t="s">
        <v>189</v>
      </c>
      <c r="AH2282" s="26" t="str">
        <f>_xlfn.XLOOKUP(Table26[[#This Row],[customerSKU]],customerSKU!G:G,customerSKU!K:K,"NA",0,1)</f>
        <v>NA</v>
      </c>
      <c r="AI2282" s="43" t="str">
        <f>_xlfn.XLOOKUP(Table26[[#This Row],[customerSKU]],customerSKU!G:G,customerSKU!O:O,"not found",0,1)</f>
        <v>not found</v>
      </c>
      <c r="AJ2282" s="22" t="e">
        <f>Table26[[#This Row],[unitprice]]*Table26[[#This Row],[quantity_unit]]</f>
        <v>#VALUE!</v>
      </c>
      <c r="AK2282" s="227" t="e" cm="1">
        <f t="array" ref="AK22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2" s="227"/>
    </row>
    <row r="2283" spans="1:38" ht="27" customHeight="1">
      <c r="A2283" s="42">
        <v>2314</v>
      </c>
      <c r="B2283" s="42" t="s">
        <v>3520</v>
      </c>
      <c r="C2283" s="53" t="s">
        <v>203</v>
      </c>
      <c r="E2283" s="20"/>
      <c r="F22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3" s="93"/>
      <c r="I2283" s="203">
        <v>45884</v>
      </c>
      <c r="J2283" s="90" t="str">
        <f>IF(Table26[[#This Row],[customerSKU]]="","",_xlfn.XLOOKUP(Table26[[#This Row],[customerSKU]],customerSKU!G:G,customerSKU!A:A,"",0,1))</f>
        <v/>
      </c>
      <c r="K2283" s="19">
        <v>45888</v>
      </c>
      <c r="L2283" s="49" t="str">
        <f>IF(Table26[[#This Row],[customerSKU]]="","",_xlfn.XLOOKUP(Table26[[#This Row],[customerSKU]],customerSKU!G:G,customerSKU!B:B,"",0,1))</f>
        <v/>
      </c>
      <c r="M2283" s="22"/>
      <c r="N2283" s="15" t="str">
        <f>Table26[[#This Row],[po_number]]&amp;"-"&amp;Table26[[#This Row],[po_line]]</f>
        <v>-10</v>
      </c>
      <c r="O2283" s="15">
        <v>10</v>
      </c>
      <c r="P2283" s="50"/>
      <c r="Q2283" s="22" t="s">
        <v>574</v>
      </c>
      <c r="R2283" s="22" t="s">
        <v>532</v>
      </c>
      <c r="S2283" s="90" t="str">
        <f>IF(Table26[[#This Row],[customerSKU]]="","",_xlfn.XLOOKUP(Table26[[#This Row],[customerSKU]],customerSKU!G:G,customerSKU!N:N,"NOT FOUND",0,1))</f>
        <v>NOT FOUND</v>
      </c>
      <c r="T2283" s="20">
        <v>45848</v>
      </c>
      <c r="U2283" s="94">
        <v>12</v>
      </c>
      <c r="V2283" s="22" t="str">
        <f>IF(ISBLANK(Table26[[#This Row],[customerSKU]]),"",_xlfn.XLOOKUP(Table26[[#This Row],[customerSKU]],Table27[customer_SKU],Table27[case_size],"",0,1))</f>
        <v/>
      </c>
      <c r="W2283" s="117" t="str">
        <f t="shared" si="93"/>
        <v/>
      </c>
      <c r="X2283" s="22" t="str">
        <f t="shared" si="94"/>
        <v/>
      </c>
      <c r="Y2283" s="25" t="str">
        <f>IF(Table26[[#This Row],[customerSKU]]="","",_xlfn.XLOOKUP(Table26[[#This Row],[customerSKU]],Table27[customer_SKU],Table27[product_GTIN],"",0,1))</f>
        <v/>
      </c>
      <c r="Z2283" s="25" t="s">
        <v>3530</v>
      </c>
      <c r="AA2283" s="18" t="str" cm="1">
        <f t="array" ref="AA2283">IF(P2283="", "", _xlfn.XLOOKUP(P2283,#REF!,#REF!,NA,0,-1))</f>
        <v/>
      </c>
      <c r="AB2283" s="22"/>
      <c r="AC2283" s="23" t="s">
        <v>189</v>
      </c>
      <c r="AD2283" s="23" t="str">
        <f>IF($AC2283="","",_xlfn.XLOOKUP($AC2283,'Client Info'!$C$2:$C$2497,'Client Info'!$D$2:$D$2497,"",0,1))</f>
        <v/>
      </c>
      <c r="AE2283" s="23" t="str">
        <f>IF($AC2283="","",_xlfn.XLOOKUP($AC2283,'Client Info'!$C$2:$C$2677,'Client Info'!$E$2:$E$2677,"",))</f>
        <v/>
      </c>
      <c r="AF2283" s="23" t="str">
        <f>IF($AC2283="","",_xlfn.XLOOKUP($AC2283,'Client Info'!$C$2:$C$2677,'Client Info'!$F$2:$F$2677,"",0,1))</f>
        <v/>
      </c>
      <c r="AG2283" s="23" t="s">
        <v>189</v>
      </c>
      <c r="AH2283" s="26" t="str">
        <f>_xlfn.XLOOKUP(Table26[[#This Row],[customerSKU]],customerSKU!G:G,customerSKU!K:K,"NA",0,1)</f>
        <v>NA</v>
      </c>
      <c r="AI2283" s="43" t="str">
        <f>_xlfn.XLOOKUP(Table26[[#This Row],[customerSKU]],customerSKU!G:G,customerSKU!O:O,"not found",0,1)</f>
        <v>not found</v>
      </c>
      <c r="AJ2283" s="22" t="e">
        <f>Table26[[#This Row],[unitprice]]*Table26[[#This Row],[quantity_unit]]</f>
        <v>#VALUE!</v>
      </c>
      <c r="AK2283" s="227" t="e" cm="1">
        <f t="array" ref="AK22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3" s="227"/>
    </row>
    <row r="2284" spans="1:38" ht="27" customHeight="1">
      <c r="A2284" s="42">
        <v>2316</v>
      </c>
      <c r="B2284" s="42" t="s">
        <v>3520</v>
      </c>
      <c r="C2284" s="53" t="s">
        <v>203</v>
      </c>
      <c r="E2284" s="20"/>
      <c r="F22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4" s="93"/>
      <c r="I2284" s="203">
        <v>45885</v>
      </c>
      <c r="J2284" s="90" t="str">
        <f>IF(Table26[[#This Row],[customerSKU]]="","",_xlfn.XLOOKUP(Table26[[#This Row],[customerSKU]],customerSKU!G:G,customerSKU!A:A,"",0,1))</f>
        <v/>
      </c>
      <c r="K2284" s="203">
        <v>45887</v>
      </c>
      <c r="L2284" s="49" t="str">
        <f>IF(Table26[[#This Row],[customerSKU]]="","",_xlfn.XLOOKUP(Table26[[#This Row],[customerSKU]],customerSKU!G:G,customerSKU!B:B,"",0,1))</f>
        <v/>
      </c>
      <c r="M2284" s="22"/>
      <c r="N2284" s="15" t="str">
        <f>Table26[[#This Row],[po_number]]&amp;"-"&amp;Table26[[#This Row],[po_line]]</f>
        <v>-1</v>
      </c>
      <c r="O2284" s="15">
        <v>1</v>
      </c>
      <c r="P2284" s="50"/>
      <c r="Q2284" s="22" t="s">
        <v>3405</v>
      </c>
      <c r="R2284" s="22" t="s">
        <v>532</v>
      </c>
      <c r="S2284" s="90" t="str">
        <f>IF(Table26[[#This Row],[customerSKU]]="","",_xlfn.XLOOKUP(Table26[[#This Row],[customerSKU]],customerSKU!G:G,customerSKU!N:N,"NOT FOUND",0,1))</f>
        <v>NOT FOUND</v>
      </c>
      <c r="T2284" s="20">
        <v>45887</v>
      </c>
      <c r="U2284" s="94">
        <v>12</v>
      </c>
      <c r="V2284" s="22" t="str">
        <f>IF(ISBLANK(Table26[[#This Row],[customerSKU]]),"",_xlfn.XLOOKUP(Table26[[#This Row],[customerSKU]],Table27[customer_SKU],Table27[case_size],"",0,1))</f>
        <v/>
      </c>
      <c r="W2284" s="117" t="str">
        <f t="shared" si="93"/>
        <v/>
      </c>
      <c r="X2284" s="22" t="str">
        <f t="shared" si="94"/>
        <v/>
      </c>
      <c r="Y2284" s="25" t="str">
        <f>IF(Table26[[#This Row],[customerSKU]]="","",_xlfn.XLOOKUP(Table26[[#This Row],[customerSKU]],Table27[customer_SKU],Table27[product_GTIN],"",0,1))</f>
        <v/>
      </c>
      <c r="Z2284" s="25" t="s">
        <v>3535</v>
      </c>
      <c r="AA2284" s="18" t="str" cm="1">
        <f t="array" ref="AA2284">IF(P2284="", "", _xlfn.XLOOKUP(P2284,#REF!,#REF!,NA,0,-1))</f>
        <v/>
      </c>
      <c r="AB2284" s="22"/>
      <c r="AC2284" s="23" t="s">
        <v>115</v>
      </c>
      <c r="AD2284" s="23" t="str">
        <f>IF($AC2284="","",_xlfn.XLOOKUP($AC2284,'Client Info'!$C$2:$C$2497,'Client Info'!$D$2:$D$2497,"",0,1))</f>
        <v/>
      </c>
      <c r="AE2284" s="23" t="str">
        <f>IF($AC2284="","",_xlfn.XLOOKUP($AC2284,'Client Info'!$C$2:$C$2677,'Client Info'!$E$2:$E$2677,"",))</f>
        <v/>
      </c>
      <c r="AF2284" s="23" t="s">
        <v>13</v>
      </c>
      <c r="AG2284" s="23" t="s">
        <v>115</v>
      </c>
      <c r="AH2284" s="26" t="str">
        <f>_xlfn.XLOOKUP(Table26[[#This Row],[customerSKU]],customerSKU!G:G,customerSKU!K:K,"NA",0,1)</f>
        <v>NA</v>
      </c>
      <c r="AI2284" s="43" t="str">
        <f>_xlfn.XLOOKUP(Table26[[#This Row],[customerSKU]],customerSKU!G:G,customerSKU!O:O,"not found",0,1)</f>
        <v>not found</v>
      </c>
      <c r="AJ2284" s="22" t="e">
        <f>Table26[[#This Row],[unitprice]]*Table26[[#This Row],[quantity_unit]]</f>
        <v>#VALUE!</v>
      </c>
      <c r="AK2284" s="227" t="e" cm="1">
        <f t="array" ref="AK22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4" s="227"/>
    </row>
    <row r="2285" spans="1:38" ht="27" customHeight="1">
      <c r="A2285" s="42">
        <v>2317</v>
      </c>
      <c r="B2285" s="42" t="s">
        <v>3520</v>
      </c>
      <c r="C2285" s="53" t="s">
        <v>203</v>
      </c>
      <c r="E2285" s="20"/>
      <c r="F22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5" s="93"/>
      <c r="I2285" s="203">
        <v>45885</v>
      </c>
      <c r="J2285" s="90" t="str">
        <f>IF(Table26[[#This Row],[customerSKU]]="","",_xlfn.XLOOKUP(Table26[[#This Row],[customerSKU]],customerSKU!G:G,customerSKU!A:A,"",0,1))</f>
        <v/>
      </c>
      <c r="K2285" s="203">
        <v>45887</v>
      </c>
      <c r="L2285" s="49" t="str">
        <f>IF(Table26[[#This Row],[customerSKU]]="","",_xlfn.XLOOKUP(Table26[[#This Row],[customerSKU]],customerSKU!G:G,customerSKU!B:B,"",0,1))</f>
        <v/>
      </c>
      <c r="M2285" s="22"/>
      <c r="N2285" s="15" t="str">
        <f>Table26[[#This Row],[po_number]]&amp;"-"&amp;Table26[[#This Row],[po_line]]</f>
        <v>-2</v>
      </c>
      <c r="O2285" s="15">
        <v>2</v>
      </c>
      <c r="P2285" s="50"/>
      <c r="Q2285" s="22" t="s">
        <v>659</v>
      </c>
      <c r="R2285" s="22" t="s">
        <v>532</v>
      </c>
      <c r="S2285" s="90" t="str">
        <f>IF(Table26[[#This Row],[customerSKU]]="","",_xlfn.XLOOKUP(Table26[[#This Row],[customerSKU]],customerSKU!G:G,customerSKU!N:N,"NOT FOUND",0,1))</f>
        <v>NOT FOUND</v>
      </c>
      <c r="T2285" s="20">
        <v>45887</v>
      </c>
      <c r="U2285" s="94">
        <v>12</v>
      </c>
      <c r="V2285" s="22" t="str">
        <f>IF(ISBLANK(Table26[[#This Row],[customerSKU]]),"",_xlfn.XLOOKUP(Table26[[#This Row],[customerSKU]],Table27[customer_SKU],Table27[case_size],"",0,1))</f>
        <v/>
      </c>
      <c r="W2285" s="117" t="str">
        <f t="shared" si="93"/>
        <v/>
      </c>
      <c r="X2285" s="22" t="str">
        <f t="shared" si="94"/>
        <v/>
      </c>
      <c r="Y2285" s="25" t="str">
        <f>IF(Table26[[#This Row],[customerSKU]]="","",_xlfn.XLOOKUP(Table26[[#This Row],[customerSKU]],Table27[customer_SKU],Table27[product_GTIN],"",0,1))</f>
        <v/>
      </c>
      <c r="Z2285" s="25" t="s">
        <v>3600</v>
      </c>
      <c r="AA2285" s="18" t="str" cm="1">
        <f t="array" ref="AA2285">IF(P2285="", "", _xlfn.XLOOKUP(P2285,#REF!,#REF!,NA,0,-1))</f>
        <v/>
      </c>
      <c r="AB2285" s="22"/>
      <c r="AC2285" s="23" t="s">
        <v>115</v>
      </c>
      <c r="AD2285" s="23" t="str">
        <f>IF($AC2285="","",_xlfn.XLOOKUP($AC2285,'Client Info'!$C$2:$C$2497,'Client Info'!$D$2:$D$2497,"",0,1))</f>
        <v/>
      </c>
      <c r="AE2285" s="23" t="str">
        <f>IF($AC2285="","",_xlfn.XLOOKUP($AC2285,'Client Info'!$C$2:$C$2677,'Client Info'!$E$2:$E$2677,"",))</f>
        <v/>
      </c>
      <c r="AF2285" s="23" t="s">
        <v>13</v>
      </c>
      <c r="AG2285" s="23" t="s">
        <v>115</v>
      </c>
      <c r="AH2285" s="26" t="str">
        <f>_xlfn.XLOOKUP(Table26[[#This Row],[customerSKU]],customerSKU!G:G,customerSKU!K:K,"NA",0,1)</f>
        <v>NA</v>
      </c>
      <c r="AI2285" s="43" t="str">
        <f>_xlfn.XLOOKUP(Table26[[#This Row],[customerSKU]],customerSKU!G:G,customerSKU!O:O,"not found",0,1)</f>
        <v>not found</v>
      </c>
      <c r="AJ2285" s="22" t="e">
        <f>Table26[[#This Row],[unitprice]]*Table26[[#This Row],[quantity_unit]]</f>
        <v>#VALUE!</v>
      </c>
      <c r="AK2285" s="227" t="e" cm="1">
        <f t="array" ref="AK22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5" s="227"/>
    </row>
    <row r="2286" spans="1:38" ht="27" customHeight="1">
      <c r="A2286" s="42">
        <v>2318</v>
      </c>
      <c r="B2286" s="42" t="s">
        <v>3520</v>
      </c>
      <c r="C2286" s="53" t="s">
        <v>203</v>
      </c>
      <c r="E2286" s="20"/>
      <c r="F22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6" s="93"/>
      <c r="I2286" s="203">
        <v>45885</v>
      </c>
      <c r="J2286" s="90" t="str">
        <f>IF(Table26[[#This Row],[customerSKU]]="","",_xlfn.XLOOKUP(Table26[[#This Row],[customerSKU]],customerSKU!G:G,customerSKU!A:A,"",0,1))</f>
        <v/>
      </c>
      <c r="K2286" s="203">
        <v>45887</v>
      </c>
      <c r="L2286" s="49" t="str">
        <f>IF(Table26[[#This Row],[customerSKU]]="","",_xlfn.XLOOKUP(Table26[[#This Row],[customerSKU]],customerSKU!G:G,customerSKU!B:B,"",0,1))</f>
        <v/>
      </c>
      <c r="M2286" s="22"/>
      <c r="N2286" s="15" t="str">
        <f>Table26[[#This Row],[po_number]]&amp;"-"&amp;Table26[[#This Row],[po_line]]</f>
        <v>-3</v>
      </c>
      <c r="O2286" s="15">
        <v>3</v>
      </c>
      <c r="P2286" s="50"/>
      <c r="Q2286" s="22" t="s">
        <v>1823</v>
      </c>
      <c r="R2286" s="22" t="s">
        <v>532</v>
      </c>
      <c r="S2286" s="90" t="str">
        <f>IF(Table26[[#This Row],[customerSKU]]="","",_xlfn.XLOOKUP(Table26[[#This Row],[customerSKU]],customerSKU!G:G,customerSKU!N:N,"NOT FOUND",0,1))</f>
        <v>NOT FOUND</v>
      </c>
      <c r="T2286" s="20">
        <v>45831</v>
      </c>
      <c r="U2286" s="94">
        <v>24</v>
      </c>
      <c r="V2286" s="22" t="str">
        <f>IF(ISBLANK(Table26[[#This Row],[customerSKU]]),"",_xlfn.XLOOKUP(Table26[[#This Row],[customerSKU]],Table27[customer_SKU],Table27[case_size],"",0,1))</f>
        <v/>
      </c>
      <c r="W2286" s="117" t="str">
        <f t="shared" si="93"/>
        <v/>
      </c>
      <c r="X2286" s="22" t="str">
        <f t="shared" si="94"/>
        <v/>
      </c>
      <c r="Y2286" s="25" t="str">
        <f>IF(Table26[[#This Row],[customerSKU]]="","",_xlfn.XLOOKUP(Table26[[#This Row],[customerSKU]],Table27[customer_SKU],Table27[product_GTIN],"",0,1))</f>
        <v/>
      </c>
      <c r="Z2286" s="25" t="s">
        <v>3690</v>
      </c>
      <c r="AA2286" s="18" t="str" cm="1">
        <f t="array" ref="AA2286">IF(P2286="", "", _xlfn.XLOOKUP(P2286,#REF!,#REF!,NA,0,-1))</f>
        <v/>
      </c>
      <c r="AB2286" s="22"/>
      <c r="AC2286" s="23" t="s">
        <v>115</v>
      </c>
      <c r="AD2286" s="23" t="str">
        <f>IF($AC2286="","",_xlfn.XLOOKUP($AC2286,'Client Info'!$C$2:$C$2497,'Client Info'!$D$2:$D$2497,"",0,1))</f>
        <v/>
      </c>
      <c r="AE2286" s="23" t="str">
        <f>IF($AC2286="","",_xlfn.XLOOKUP($AC2286,'Client Info'!$C$2:$C$2677,'Client Info'!$E$2:$E$2677,"",))</f>
        <v/>
      </c>
      <c r="AF2286" s="23" t="s">
        <v>13</v>
      </c>
      <c r="AG2286" s="23" t="s">
        <v>115</v>
      </c>
      <c r="AH2286" s="26" t="str">
        <f>_xlfn.XLOOKUP(Table26[[#This Row],[customerSKU]],customerSKU!G:G,customerSKU!K:K,"NA",0,1)</f>
        <v>NA</v>
      </c>
      <c r="AI2286" s="43" t="str">
        <f>_xlfn.XLOOKUP(Table26[[#This Row],[customerSKU]],customerSKU!G:G,customerSKU!O:O,"not found",0,1)</f>
        <v>not found</v>
      </c>
      <c r="AJ2286" s="22" t="e">
        <f>Table26[[#This Row],[unitprice]]*Table26[[#This Row],[quantity_unit]]</f>
        <v>#VALUE!</v>
      </c>
      <c r="AK2286" s="227" t="e" cm="1">
        <f t="array" ref="AK22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6" s="227"/>
    </row>
    <row r="2287" spans="1:38" ht="24.6" customHeight="1">
      <c r="A2287" s="42">
        <v>2388</v>
      </c>
      <c r="B2287" s="42" t="s">
        <v>3520</v>
      </c>
      <c r="C2287" s="53" t="s">
        <v>3360</v>
      </c>
      <c r="E2287" s="20"/>
      <c r="F22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7" s="93"/>
      <c r="I2287" s="203">
        <v>45890</v>
      </c>
      <c r="J2287" s="90" t="str">
        <f>IF(Table26[[#This Row],[customerSKU]]="","",_xlfn.XLOOKUP(Table26[[#This Row],[customerSKU]],customerSKU!G:G,customerSKU!A:A,"",0,1))</f>
        <v/>
      </c>
      <c r="K2287" s="203">
        <v>45890</v>
      </c>
      <c r="L2287" s="49" t="str">
        <f>IF(Table26[[#This Row],[customerSKU]]="","",_xlfn.XLOOKUP(Table26[[#This Row],[customerSKU]],customerSKU!G:G,customerSKU!B:B,"",0,1))</f>
        <v/>
      </c>
      <c r="M2287" s="22"/>
      <c r="N2287" s="15" t="str">
        <f>Table26[[#This Row],[po_number]]&amp;"-"&amp;Table26[[#This Row],[po_line]]</f>
        <v>-1</v>
      </c>
      <c r="O2287" s="15">
        <v>1</v>
      </c>
      <c r="P2287" s="50"/>
      <c r="S2287" s="90" t="str">
        <f>IF(Table26[[#This Row],[customerSKU]]="","",_xlfn.XLOOKUP(Table26[[#This Row],[customerSKU]],customerSKU!G:G,customerSKU!N:N,"NOT FOUND",0,1))</f>
        <v>NOT FOUND</v>
      </c>
      <c r="T2287" s="20"/>
      <c r="U2287" s="94">
        <v>12</v>
      </c>
      <c r="V2287" s="22" t="str">
        <f>IF(ISBLANK(Table26[[#This Row],[customerSKU]]),"",_xlfn.XLOOKUP(Table26[[#This Row],[customerSKU]],Table27[customer_SKU],Table27[case_size],"",0,1))</f>
        <v/>
      </c>
      <c r="W2287" s="117" t="str">
        <f t="shared" si="93"/>
        <v/>
      </c>
      <c r="X2287" s="22" t="str">
        <f t="shared" si="94"/>
        <v/>
      </c>
      <c r="Y2287" s="25" t="str">
        <f>IF(Table26[[#This Row],[customerSKU]]="","",_xlfn.XLOOKUP(Table26[[#This Row],[customerSKU]],Table27[customer_SKU],Table27[product_GTIN],"",0,1))</f>
        <v/>
      </c>
      <c r="Z2287" s="25" t="s">
        <v>3529</v>
      </c>
      <c r="AA2287" s="18" t="str" cm="1">
        <f t="array" ref="AA2287">IF(P2287="", "", _xlfn.XLOOKUP(P2287,#REF!,#REF!,NA,0,-1))</f>
        <v/>
      </c>
      <c r="AB2287" s="22"/>
      <c r="AC2287" s="23" t="str">
        <f>IF(Table26[[#This Row],[customerSKU]]="","",_xlfn.XLOOKUP(Table26[[#This Row],[customerSKU]],customerSKU!G:G,customerSKU!C:C,"",0,1))</f>
        <v/>
      </c>
      <c r="AD2287" s="23" t="str">
        <f>IF($AC2287="","",_xlfn.XLOOKUP($AC2287,'Client Info'!$C$2:$C$2497,'Client Info'!$D$2:$D$2497,"",0,1))</f>
        <v/>
      </c>
      <c r="AE2287" s="23" t="str">
        <f>IF($AC2287="","",_xlfn.XLOOKUP($AC2287,'Client Info'!$C$2:$C$2677,'Client Info'!$E$2:$E$2677,"",))</f>
        <v/>
      </c>
      <c r="AF2287" s="23" t="str">
        <f>IF($AC2287="","",_xlfn.XLOOKUP($AC2287,'Client Info'!$C$2:$C$2677,'Client Info'!$F$2:$F$2677,"",0,1))</f>
        <v/>
      </c>
      <c r="AG2287" s="23" t="str">
        <f>IF(ISBLANK(Table26[[#This Row],[customerSKU]]),"",_xlfn.XLOOKUP(Table26[[#This Row],[customerSKU]],Table27[customer_SKU],Table27[billto],"",0,1))</f>
        <v/>
      </c>
      <c r="AH2287" s="26" t="str">
        <f>_xlfn.XLOOKUP(Table26[[#This Row],[customerSKU]],customerSKU!G:G,customerSKU!K:K,"NA",0,1)</f>
        <v>NA</v>
      </c>
      <c r="AI2287" s="43" t="str">
        <f>_xlfn.XLOOKUP(Table26[[#This Row],[customerSKU]],customerSKU!G:G,customerSKU!O:O,"not found",0,1)</f>
        <v>not found</v>
      </c>
      <c r="AJ2287" s="22" t="e">
        <f>Table26[[#This Row],[unitprice]]*Table26[[#This Row],[quantity_unit]]</f>
        <v>#VALUE!</v>
      </c>
      <c r="AK2287" s="227" t="e" cm="1">
        <f t="array" ref="AK22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7" s="227"/>
    </row>
    <row r="2288" spans="1:38" ht="24.6" customHeight="1">
      <c r="A2288" s="42">
        <v>2387</v>
      </c>
      <c r="B2288" s="42" t="s">
        <v>3520</v>
      </c>
      <c r="C2288" s="53" t="s">
        <v>3360</v>
      </c>
      <c r="E2288" s="20"/>
      <c r="F22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88" s="93"/>
      <c r="I2288" s="203">
        <v>45890</v>
      </c>
      <c r="J2288" s="90" t="str">
        <f>IF(Table26[[#This Row],[customerSKU]]="","",_xlfn.XLOOKUP(Table26[[#This Row],[customerSKU]],customerSKU!G:G,customerSKU!A:A,"",0,1))</f>
        <v/>
      </c>
      <c r="K2288" s="203">
        <v>45890</v>
      </c>
      <c r="L2288" s="49" t="str">
        <f>IF(Table26[[#This Row],[customerSKU]]="","",_xlfn.XLOOKUP(Table26[[#This Row],[customerSKU]],customerSKU!G:G,customerSKU!B:B,"",0,1))</f>
        <v/>
      </c>
      <c r="M2288" s="22"/>
      <c r="N2288" s="15" t="str">
        <f>Table26[[#This Row],[po_number]]&amp;"-"&amp;Table26[[#This Row],[po_line]]</f>
        <v>-1</v>
      </c>
      <c r="O2288" s="15">
        <v>1</v>
      </c>
      <c r="P2288" s="50"/>
      <c r="S2288" s="90" t="str">
        <f>IF(Table26[[#This Row],[customerSKU]]="","",_xlfn.XLOOKUP(Table26[[#This Row],[customerSKU]],customerSKU!G:G,customerSKU!N:N,"NOT FOUND",0,1))</f>
        <v>NOT FOUND</v>
      </c>
      <c r="T2288" s="20"/>
      <c r="U2288" s="94">
        <v>12</v>
      </c>
      <c r="V2288" s="22" t="str">
        <f>IF(ISBLANK(Table26[[#This Row],[customerSKU]]),"",_xlfn.XLOOKUP(Table26[[#This Row],[customerSKU]],Table27[customer_SKU],Table27[case_size],"",0,1))</f>
        <v/>
      </c>
      <c r="W2288" s="117" t="str">
        <f t="shared" ref="W2288:W2319" si="95">IFERROR(U2288/V2288, "")</f>
        <v/>
      </c>
      <c r="X2288" s="22" t="str">
        <f t="shared" ref="X2288:X2319" si="96">IFERROR($AA2288*$U2288, "")</f>
        <v/>
      </c>
      <c r="Y2288" s="25" t="str">
        <f>IF(Table26[[#This Row],[customerSKU]]="","",_xlfn.XLOOKUP(Table26[[#This Row],[customerSKU]],Table27[customer_SKU],Table27[product_GTIN],"",0,1))</f>
        <v/>
      </c>
      <c r="Z2288" s="25" t="s">
        <v>3529</v>
      </c>
      <c r="AA2288" s="18" t="str" cm="1">
        <f t="array" ref="AA2288">IF(P2288="", "", _xlfn.XLOOKUP(P2288,#REF!,#REF!,NA,0,-1))</f>
        <v/>
      </c>
      <c r="AB2288" s="22"/>
      <c r="AC2288" s="23" t="str">
        <f>IF(Table26[[#This Row],[customerSKU]]="","",_xlfn.XLOOKUP(Table26[[#This Row],[customerSKU]],customerSKU!G:G,customerSKU!C:C,"",0,1))</f>
        <v/>
      </c>
      <c r="AD2288" s="23" t="str">
        <f>IF($AC2288="","",_xlfn.XLOOKUP($AC2288,'Client Info'!$C$2:$C$2497,'Client Info'!$D$2:$D$2497,"",0,1))</f>
        <v/>
      </c>
      <c r="AE2288" s="23" t="str">
        <f>IF($AC2288="","",_xlfn.XLOOKUP($AC2288,'Client Info'!$C$2:$C$2677,'Client Info'!$E$2:$E$2677,"",))</f>
        <v/>
      </c>
      <c r="AF2288" s="23" t="str">
        <f>IF($AC2288="","",_xlfn.XLOOKUP($AC2288,'Client Info'!$C$2:$C$2677,'Client Info'!$F$2:$F$2677,"",0,1))</f>
        <v/>
      </c>
      <c r="AG2288" s="23" t="str">
        <f>IF(ISBLANK(Table26[[#This Row],[customerSKU]]),"",_xlfn.XLOOKUP(Table26[[#This Row],[customerSKU]],Table27[customer_SKU],Table27[billto],"",0,1))</f>
        <v/>
      </c>
      <c r="AH2288" s="26" t="str">
        <f>_xlfn.XLOOKUP(Table26[[#This Row],[customerSKU]],customerSKU!G:G,customerSKU!K:K,"NA",0,1)</f>
        <v>NA</v>
      </c>
      <c r="AI2288" s="43" t="str">
        <f>_xlfn.XLOOKUP(Table26[[#This Row],[customerSKU]],customerSKU!G:G,customerSKU!O:O,"not found",0,1)</f>
        <v>not found</v>
      </c>
      <c r="AJ2288" s="22" t="e">
        <f>Table26[[#This Row],[unitprice]]*Table26[[#This Row],[quantity_unit]]</f>
        <v>#VALUE!</v>
      </c>
      <c r="AK2288" s="227" t="e" cm="1">
        <f t="array" ref="AK22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8" s="227"/>
    </row>
    <row r="2289" spans="1:38" ht="15.6">
      <c r="A2289" s="42">
        <v>2384</v>
      </c>
      <c r="B2289" s="42" t="s">
        <v>3520</v>
      </c>
      <c r="C2289" s="53" t="s">
        <v>3360</v>
      </c>
      <c r="E2289" s="20"/>
      <c r="F2289" s="22"/>
      <c r="G2289" s="93"/>
      <c r="I2289" s="203">
        <v>45890</v>
      </c>
      <c r="J2289" s="90" t="str">
        <f>IF(Table26[[#This Row],[customerSKU]]="","",_xlfn.XLOOKUP(Table26[[#This Row],[customerSKU]],customerSKU!G:G,customerSKU!A:A,"",0,1))</f>
        <v/>
      </c>
      <c r="K2289" s="203">
        <v>45890</v>
      </c>
      <c r="L2289" s="49" t="str">
        <f>IF(Table26[[#This Row],[customerSKU]]="","",_xlfn.XLOOKUP(Table26[[#This Row],[customerSKU]],customerSKU!G:G,customerSKU!B:B,"",0,1))</f>
        <v/>
      </c>
      <c r="M2289" s="22"/>
      <c r="O2289" s="15">
        <v>1</v>
      </c>
      <c r="P2289" s="50"/>
      <c r="S2289" s="90" t="str">
        <f>IF(Table26[[#This Row],[customerSKU]]="","",_xlfn.XLOOKUP(Table26[[#This Row],[customerSKU]],customerSKU!G:G,customerSKU!N:N,"NOT FOUND",0,1))</f>
        <v>NOT FOUND</v>
      </c>
      <c r="T2289" s="20"/>
      <c r="U2289" s="94"/>
      <c r="V2289" s="22" t="str">
        <f>IF(ISBLANK(Table26[[#This Row],[customerSKU]]),"",_xlfn.XLOOKUP(Table26[[#This Row],[customerSKU]],Table27[customer_SKU],Table27[case_size],"",0,1))</f>
        <v/>
      </c>
      <c r="W2289" s="117" t="str">
        <f t="shared" si="95"/>
        <v/>
      </c>
      <c r="X2289" s="22" t="str">
        <f t="shared" si="96"/>
        <v/>
      </c>
      <c r="Y2289" s="25" t="str">
        <f>IF(Table26[[#This Row],[customerSKU]]="","",_xlfn.XLOOKUP(Table26[[#This Row],[customerSKU]],Table27[customer_SKU],Table27[product_GTIN],"",0,1))</f>
        <v/>
      </c>
      <c r="Z2289" s="25" t="s">
        <v>3670</v>
      </c>
      <c r="AA2289" s="18" t="str" cm="1">
        <f t="array" ref="AA2289">IF(P2289="", "", _xlfn.XLOOKUP(P2289,#REF!,#REF!,NA,0,-1))</f>
        <v/>
      </c>
      <c r="AB2289" s="22"/>
      <c r="AC2289" s="23" t="str">
        <f>IF(Table26[[#This Row],[customerSKU]]="","",_xlfn.XLOOKUP(Table26[[#This Row],[customerSKU]],customerSKU!G:G,customerSKU!C:C,"",0,1))</f>
        <v/>
      </c>
      <c r="AD2289" s="23" t="str">
        <f>IF($AC2289="","",_xlfn.XLOOKUP($AC2289,'Client Info'!$C$2:$C$2497,'Client Info'!$D$2:$D$2497,"",0,1))</f>
        <v/>
      </c>
      <c r="AE2289" s="23" t="str">
        <f>IF($AC2289="","",_xlfn.XLOOKUP($AC2289,'Client Info'!$C$2:$C$2677,'Client Info'!$E$2:$E$2677,"",))</f>
        <v/>
      </c>
      <c r="AF2289" s="23" t="str">
        <f>IF($AC2289="","",_xlfn.XLOOKUP($AC2289,'Client Info'!$C$2:$C$2677,'Client Info'!$F$2:$F$2677,"",0,1))</f>
        <v/>
      </c>
      <c r="AG2289" s="23" t="str">
        <f>IF(ISBLANK(Table26[[#This Row],[customerSKU]]),"",_xlfn.XLOOKUP(Table26[[#This Row],[customerSKU]],Table27[customer_SKU],Table27[billto],"",0,1))</f>
        <v/>
      </c>
      <c r="AH2289" s="26" t="str">
        <f>_xlfn.XLOOKUP(Table26[[#This Row],[customerSKU]],customerSKU!G:G,customerSKU!K:K,"NA",0,1)</f>
        <v>NA</v>
      </c>
      <c r="AI2289" s="43" t="str">
        <f>_xlfn.XLOOKUP(Table26[[#This Row],[customerSKU]],customerSKU!G:G,customerSKU!O:O,"not found",0,1)</f>
        <v>not found</v>
      </c>
      <c r="AJ2289" s="22" t="e">
        <f>Table26[[#This Row],[unitprice]]*Table26[[#This Row],[quantity_unit]]</f>
        <v>#VALUE!</v>
      </c>
      <c r="AK2289" s="227" t="e" cm="1">
        <f t="array" ref="AK22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89" s="227"/>
    </row>
    <row r="2290" spans="1:38" ht="15.6">
      <c r="A2290" s="42">
        <v>2385</v>
      </c>
      <c r="B2290" s="42" t="s">
        <v>3520</v>
      </c>
      <c r="C2290" s="53" t="s">
        <v>3360</v>
      </c>
      <c r="E2290" s="20"/>
      <c r="F2290" s="22"/>
      <c r="G2290" s="93"/>
      <c r="I2290" s="203">
        <v>45890</v>
      </c>
      <c r="J2290" s="90" t="str">
        <f>IF(Table26[[#This Row],[customerSKU]]="","",_xlfn.XLOOKUP(Table26[[#This Row],[customerSKU]],customerSKU!G:G,customerSKU!A:A,"",0,1))</f>
        <v/>
      </c>
      <c r="K2290" s="19">
        <v>45890</v>
      </c>
      <c r="L2290" s="49" t="str">
        <f>IF(Table26[[#This Row],[customerSKU]]="","",_xlfn.XLOOKUP(Table26[[#This Row],[customerSKU]],customerSKU!G:G,customerSKU!B:B,"",0,1))</f>
        <v/>
      </c>
      <c r="M2290" s="22"/>
      <c r="O2290" s="15">
        <v>2</v>
      </c>
      <c r="P2290" s="50"/>
      <c r="S2290" s="90" t="str">
        <f>IF(Table26[[#This Row],[customerSKU]]="","",_xlfn.XLOOKUP(Table26[[#This Row],[customerSKU]],customerSKU!G:G,customerSKU!N:N,"NOT FOUND",0,1))</f>
        <v>NOT FOUND</v>
      </c>
      <c r="T2290" s="20"/>
      <c r="U2290" s="94"/>
      <c r="V2290" s="22" t="str">
        <f>IF(ISBLANK(Table26[[#This Row],[customerSKU]]),"",_xlfn.XLOOKUP(Table26[[#This Row],[customerSKU]],Table27[customer_SKU],Table27[case_size],"",0,1))</f>
        <v/>
      </c>
      <c r="W2290" s="117" t="str">
        <f t="shared" si="95"/>
        <v/>
      </c>
      <c r="X2290" s="22" t="str">
        <f t="shared" si="96"/>
        <v/>
      </c>
      <c r="Y2290" s="25" t="str">
        <f>IF(Table26[[#This Row],[customerSKU]]="","",_xlfn.XLOOKUP(Table26[[#This Row],[customerSKU]],Table27[customer_SKU],Table27[product_GTIN],"",0,1))</f>
        <v/>
      </c>
      <c r="Z2290" s="25" t="s">
        <v>3395</v>
      </c>
      <c r="AA2290" s="18" t="str" cm="1">
        <f t="array" ref="AA2290">IF(P2290="", "", _xlfn.XLOOKUP(P2290,#REF!,#REF!,NA,0,-1))</f>
        <v/>
      </c>
      <c r="AB2290" s="22"/>
      <c r="AC2290" s="23" t="str">
        <f>IF(Table26[[#This Row],[customerSKU]]="","",_xlfn.XLOOKUP(Table26[[#This Row],[customerSKU]],customerSKU!G:G,customerSKU!C:C,"",0,1))</f>
        <v/>
      </c>
      <c r="AD2290" s="23" t="str">
        <f>IF($AC2290="","",_xlfn.XLOOKUP($AC2290,'Client Info'!$C$2:$C$2497,'Client Info'!$D$2:$D$2497,"",0,1))</f>
        <v/>
      </c>
      <c r="AE2290" s="23" t="str">
        <f>IF($AC2290="","",_xlfn.XLOOKUP($AC2290,'Client Info'!$C$2:$C$2677,'Client Info'!$E$2:$E$2677,"",))</f>
        <v/>
      </c>
      <c r="AF2290" s="23" t="str">
        <f>IF($AC2290="","",_xlfn.XLOOKUP($AC2290,'Client Info'!$C$2:$C$2677,'Client Info'!$F$2:$F$2677,"",0,1))</f>
        <v/>
      </c>
      <c r="AG2290" s="23" t="str">
        <f>IF(ISBLANK(Table26[[#This Row],[customerSKU]]),"",_xlfn.XLOOKUP(Table26[[#This Row],[customerSKU]],Table27[customer_SKU],Table27[billto],"",0,1))</f>
        <v/>
      </c>
      <c r="AH2290" s="26" t="str">
        <f>_xlfn.XLOOKUP(Table26[[#This Row],[customerSKU]],customerSKU!G:G,customerSKU!K:K,"NA",0,1)</f>
        <v>NA</v>
      </c>
      <c r="AI2290" s="43" t="str">
        <f>_xlfn.XLOOKUP(Table26[[#This Row],[customerSKU]],customerSKU!G:G,customerSKU!O:O,"not found",0,1)</f>
        <v>not found</v>
      </c>
      <c r="AJ2290" s="22" t="e">
        <f>Table26[[#This Row],[unitprice]]*Table26[[#This Row],[quantity_unit]]</f>
        <v>#VALUE!</v>
      </c>
      <c r="AK2290" s="227" t="e" cm="1">
        <f t="array" ref="AK22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0" s="227"/>
    </row>
    <row r="2291" spans="1:38" ht="15.6">
      <c r="A2291" s="42">
        <v>2383</v>
      </c>
      <c r="B2291" s="42" t="s">
        <v>3520</v>
      </c>
      <c r="C2291" s="53" t="s">
        <v>3360</v>
      </c>
      <c r="E2291" s="20"/>
      <c r="F2291" s="22"/>
      <c r="G2291" s="93"/>
      <c r="I2291" s="203">
        <v>45890</v>
      </c>
      <c r="J2291" s="90" t="str">
        <f>IF(Table26[[#This Row],[customerSKU]]="","",_xlfn.XLOOKUP(Table26[[#This Row],[customerSKU]],customerSKU!G:G,customerSKU!A:A,"",0,1))</f>
        <v/>
      </c>
      <c r="K2291" s="19">
        <v>45890</v>
      </c>
      <c r="L2291" s="49" t="str">
        <f>IF(Table26[[#This Row],[customerSKU]]="","",_xlfn.XLOOKUP(Table26[[#This Row],[customerSKU]],customerSKU!G:G,customerSKU!B:B,"",0,1))</f>
        <v/>
      </c>
      <c r="M2291" s="22"/>
      <c r="O2291" s="15">
        <v>1</v>
      </c>
      <c r="P2291" s="50"/>
      <c r="S2291" s="90" t="str">
        <f>IF(Table26[[#This Row],[customerSKU]]="","",_xlfn.XLOOKUP(Table26[[#This Row],[customerSKU]],customerSKU!G:G,customerSKU!N:N,"NOT FOUND",0,1))</f>
        <v>NOT FOUND</v>
      </c>
      <c r="T2291" s="20"/>
      <c r="U2291" s="94"/>
      <c r="V2291" s="22" t="str">
        <f>IF(ISBLANK(Table26[[#This Row],[customerSKU]]),"",_xlfn.XLOOKUP(Table26[[#This Row],[customerSKU]],Table27[customer_SKU],Table27[case_size],"",0,1))</f>
        <v/>
      </c>
      <c r="W2291" s="117" t="str">
        <f t="shared" si="95"/>
        <v/>
      </c>
      <c r="X2291" s="22" t="str">
        <f t="shared" si="96"/>
        <v/>
      </c>
      <c r="Y2291" s="25" t="str">
        <f>IF(Table26[[#This Row],[customerSKU]]="","",_xlfn.XLOOKUP(Table26[[#This Row],[customerSKU]],Table27[customer_SKU],Table27[product_GTIN],"",0,1))</f>
        <v/>
      </c>
      <c r="Z2291" s="25" t="s">
        <v>3529</v>
      </c>
      <c r="AA2291" s="18" t="str" cm="1">
        <f t="array" ref="AA2291">IF(P2291="", "", _xlfn.XLOOKUP(P2291,#REF!,#REF!,NA,0,-1))</f>
        <v/>
      </c>
      <c r="AB2291" s="22"/>
      <c r="AC2291" s="23" t="str">
        <f>IF(Table26[[#This Row],[customerSKU]]="","",_xlfn.XLOOKUP(Table26[[#This Row],[customerSKU]],customerSKU!G:G,customerSKU!C:C,"",0,1))</f>
        <v/>
      </c>
      <c r="AD2291" s="23" t="str">
        <f>IF($AC2291="","",_xlfn.XLOOKUP($AC2291,'Client Info'!$C$2:$C$2497,'Client Info'!$D$2:$D$2497,"",0,1))</f>
        <v/>
      </c>
      <c r="AE2291" s="23" t="str">
        <f>IF($AC2291="","",_xlfn.XLOOKUP($AC2291,'Client Info'!$C$2:$C$2677,'Client Info'!$E$2:$E$2677,"",))</f>
        <v/>
      </c>
      <c r="AF2291" s="23" t="str">
        <f>IF($AC2291="","",_xlfn.XLOOKUP($AC2291,'Client Info'!$C$2:$C$2677,'Client Info'!$F$2:$F$2677,"",0,1))</f>
        <v/>
      </c>
      <c r="AG2291" s="23" t="str">
        <f>IF(ISBLANK(Table26[[#This Row],[customerSKU]]),"",_xlfn.XLOOKUP(Table26[[#This Row],[customerSKU]],Table27[customer_SKU],Table27[billto],"",0,1))</f>
        <v/>
      </c>
      <c r="AH2291" s="26" t="str">
        <f>_xlfn.XLOOKUP(Table26[[#This Row],[customerSKU]],customerSKU!G:G,customerSKU!K:K,"NA",0,1)</f>
        <v>NA</v>
      </c>
      <c r="AI2291" s="43" t="str">
        <f>_xlfn.XLOOKUP(Table26[[#This Row],[customerSKU]],customerSKU!G:G,customerSKU!O:O,"not found",0,1)</f>
        <v>not found</v>
      </c>
      <c r="AJ2291" s="22" t="e">
        <f>Table26[[#This Row],[unitprice]]*Table26[[#This Row],[quantity_unit]]</f>
        <v>#VALUE!</v>
      </c>
      <c r="AK2291" s="227" t="e" cm="1">
        <f t="array" ref="AK22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1" s="227"/>
    </row>
    <row r="2292" spans="1:38" ht="15.6">
      <c r="A2292" s="42">
        <v>2382</v>
      </c>
      <c r="B2292" s="42" t="s">
        <v>3520</v>
      </c>
      <c r="C2292" s="53" t="s">
        <v>3360</v>
      </c>
      <c r="E2292" s="20"/>
      <c r="F2292" s="22"/>
      <c r="G2292" s="93"/>
      <c r="I2292" s="203">
        <v>45890</v>
      </c>
      <c r="J2292" s="90" t="str">
        <f>IF(Table26[[#This Row],[customerSKU]]="","",_xlfn.XLOOKUP(Table26[[#This Row],[customerSKU]],customerSKU!G:G,customerSKU!A:A,"",0,1))</f>
        <v/>
      </c>
      <c r="K2292" s="19">
        <v>45890</v>
      </c>
      <c r="L2292" s="49" t="str">
        <f>IF(Table26[[#This Row],[customerSKU]]="","",_xlfn.XLOOKUP(Table26[[#This Row],[customerSKU]],customerSKU!G:G,customerSKU!B:B,"",0,1))</f>
        <v/>
      </c>
      <c r="M2292" s="22"/>
      <c r="O2292" s="15">
        <v>1</v>
      </c>
      <c r="P2292" s="50"/>
      <c r="S2292" s="90" t="str">
        <f>IF(Table26[[#This Row],[customerSKU]]="","",_xlfn.XLOOKUP(Table26[[#This Row],[customerSKU]],customerSKU!G:G,customerSKU!N:N,"NOT FOUND",0,1))</f>
        <v>NOT FOUND</v>
      </c>
      <c r="T2292" s="20"/>
      <c r="U2292" s="94">
        <v>12</v>
      </c>
      <c r="V2292" s="22" t="str">
        <f>IF(ISBLANK(Table26[[#This Row],[customerSKU]]),"",_xlfn.XLOOKUP(Table26[[#This Row],[customerSKU]],Table27[customer_SKU],Table27[case_size],"",0,1))</f>
        <v/>
      </c>
      <c r="W2292" s="117" t="str">
        <f t="shared" si="95"/>
        <v/>
      </c>
      <c r="X2292" s="22" t="str">
        <f t="shared" si="96"/>
        <v/>
      </c>
      <c r="Y2292" s="25" t="str">
        <f>IF(Table26[[#This Row],[customerSKU]]="","",_xlfn.XLOOKUP(Table26[[#This Row],[customerSKU]],Table27[customer_SKU],Table27[product_GTIN],"",0,1))</f>
        <v/>
      </c>
      <c r="Z2292" s="25" t="s">
        <v>3670</v>
      </c>
      <c r="AA2292" s="18" t="str" cm="1">
        <f t="array" ref="AA2292">IF(P2292="", "", _xlfn.XLOOKUP(P2292,#REF!,#REF!,NA,0,-1))</f>
        <v/>
      </c>
      <c r="AB2292" s="22"/>
      <c r="AC2292" s="23" t="str">
        <f>IF(Table26[[#This Row],[customerSKU]]="","",_xlfn.XLOOKUP(Table26[[#This Row],[customerSKU]],customerSKU!G:G,customerSKU!C:C,"",0,1))</f>
        <v/>
      </c>
      <c r="AD2292" s="23" t="str">
        <f>IF($AC2292="","",_xlfn.XLOOKUP($AC2292,'Client Info'!$C$2:$C$2497,'Client Info'!$D$2:$D$2497,"",0,1))</f>
        <v/>
      </c>
      <c r="AE2292" s="23" t="str">
        <f>IF($AC2292="","",_xlfn.XLOOKUP($AC2292,'Client Info'!$C$2:$C$2677,'Client Info'!$E$2:$E$2677,"",))</f>
        <v/>
      </c>
      <c r="AF2292" s="23" t="str">
        <f>IF($AC2292="","",_xlfn.XLOOKUP($AC2292,'Client Info'!$C$2:$C$2677,'Client Info'!$F$2:$F$2677,"",0,1))</f>
        <v/>
      </c>
      <c r="AG2292" s="23" t="str">
        <f>IF(ISBLANK(Table26[[#This Row],[customerSKU]]),"",_xlfn.XLOOKUP(Table26[[#This Row],[customerSKU]],Table27[customer_SKU],Table27[billto],"",0,1))</f>
        <v/>
      </c>
      <c r="AH2292" s="26" t="str">
        <f>_xlfn.XLOOKUP(Table26[[#This Row],[customerSKU]],customerSKU!G:G,customerSKU!K:K,"NA",0,1)</f>
        <v>NA</v>
      </c>
      <c r="AI2292" s="43" t="str">
        <f>_xlfn.XLOOKUP(Table26[[#This Row],[customerSKU]],customerSKU!G:G,customerSKU!O:O,"not found",0,1)</f>
        <v>not found</v>
      </c>
      <c r="AJ2292" s="22" t="e">
        <f>Table26[[#This Row],[unitprice]]*Table26[[#This Row],[quantity_unit]]</f>
        <v>#VALUE!</v>
      </c>
      <c r="AK2292" s="227" t="e" cm="1">
        <f t="array" ref="AK22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2" s="227"/>
    </row>
    <row r="2293" spans="1:38" ht="15.6">
      <c r="A2293" s="42">
        <v>2381</v>
      </c>
      <c r="B2293" s="42" t="s">
        <v>3520</v>
      </c>
      <c r="C2293" s="53" t="s">
        <v>3360</v>
      </c>
      <c r="E2293" s="20"/>
      <c r="F2293" s="22"/>
      <c r="G2293" s="93"/>
      <c r="I2293" s="203">
        <v>45890</v>
      </c>
      <c r="J2293" s="90" t="str">
        <f>IF(Table26[[#This Row],[customerSKU]]="","",_xlfn.XLOOKUP(Table26[[#This Row],[customerSKU]],customerSKU!G:G,customerSKU!A:A,"",0,1))</f>
        <v/>
      </c>
      <c r="K2293" s="19">
        <v>45890</v>
      </c>
      <c r="L2293" s="49" t="str">
        <f>IF(Table26[[#This Row],[customerSKU]]="","",_xlfn.XLOOKUP(Table26[[#This Row],[customerSKU]],customerSKU!G:G,customerSKU!B:B,"",0,1))</f>
        <v/>
      </c>
      <c r="M2293" s="22"/>
      <c r="O2293" s="15">
        <v>1</v>
      </c>
      <c r="P2293" s="50"/>
      <c r="S2293" s="90" t="str">
        <f>IF(Table26[[#This Row],[customerSKU]]="","",_xlfn.XLOOKUP(Table26[[#This Row],[customerSKU]],customerSKU!G:G,customerSKU!N:N,"NOT FOUND",0,1))</f>
        <v>NOT FOUND</v>
      </c>
      <c r="T2293" s="20"/>
      <c r="U2293" s="94">
        <v>24</v>
      </c>
      <c r="V2293" s="22" t="str">
        <f>IF(ISBLANK(Table26[[#This Row],[customerSKU]]),"",_xlfn.XLOOKUP(Table26[[#This Row],[customerSKU]],Table27[customer_SKU],Table27[case_size],"",0,1))</f>
        <v/>
      </c>
      <c r="W2293" s="117" t="str">
        <f t="shared" si="95"/>
        <v/>
      </c>
      <c r="X2293" s="22" t="str">
        <f t="shared" si="96"/>
        <v/>
      </c>
      <c r="Y2293" s="25" t="str">
        <f>IF(Table26[[#This Row],[customerSKU]]="","",_xlfn.XLOOKUP(Table26[[#This Row],[customerSKU]],Table27[customer_SKU],Table27[product_GTIN],"",0,1))</f>
        <v/>
      </c>
      <c r="Z2293" s="25" t="s">
        <v>3529</v>
      </c>
      <c r="AA2293" s="18" t="str" cm="1">
        <f t="array" ref="AA2293">IF(P2293="", "", _xlfn.XLOOKUP(P2293,#REF!,#REF!,NA,0,-1))</f>
        <v/>
      </c>
      <c r="AB2293" s="22"/>
      <c r="AC2293" s="23" t="str">
        <f>IF(Table26[[#This Row],[customerSKU]]="","",_xlfn.XLOOKUP(Table26[[#This Row],[customerSKU]],customerSKU!G:G,customerSKU!C:C,"",0,1))</f>
        <v/>
      </c>
      <c r="AD2293" s="23" t="str">
        <f>IF($AC2293="","",_xlfn.XLOOKUP($AC2293,'Client Info'!$C$2:$C$2497,'Client Info'!$D$2:$D$2497,"",0,1))</f>
        <v/>
      </c>
      <c r="AE2293" s="23" t="str">
        <f>IF($AC2293="","",_xlfn.XLOOKUP($AC2293,'Client Info'!$C$2:$C$2677,'Client Info'!$E$2:$E$2677,"",))</f>
        <v/>
      </c>
      <c r="AF2293" s="23" t="str">
        <f>IF($AC2293="","",_xlfn.XLOOKUP($AC2293,'Client Info'!$C$2:$C$2677,'Client Info'!$F$2:$F$2677,"",0,1))</f>
        <v/>
      </c>
      <c r="AG2293" s="23" t="str">
        <f>IF(ISBLANK(Table26[[#This Row],[customerSKU]]),"",_xlfn.XLOOKUP(Table26[[#This Row],[customerSKU]],Table27[customer_SKU],Table27[billto],"",0,1))</f>
        <v/>
      </c>
      <c r="AH2293" s="26" t="str">
        <f>_xlfn.XLOOKUP(Table26[[#This Row],[customerSKU]],customerSKU!G:G,customerSKU!K:K,"NA",0,1)</f>
        <v>NA</v>
      </c>
      <c r="AI2293" s="43" t="str">
        <f>_xlfn.XLOOKUP(Table26[[#This Row],[customerSKU]],customerSKU!G:G,customerSKU!O:O,"not found",0,1)</f>
        <v>not found</v>
      </c>
      <c r="AJ2293" s="22" t="e">
        <f>Table26[[#This Row],[unitprice]]*Table26[[#This Row],[quantity_unit]]</f>
        <v>#VALUE!</v>
      </c>
      <c r="AK2293" s="227" t="e" cm="1">
        <f t="array" ref="AK22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3" s="227"/>
    </row>
    <row r="2294" spans="1:38" ht="15.6">
      <c r="A2294" s="42">
        <v>2380</v>
      </c>
      <c r="B2294" s="42" t="s">
        <v>3520</v>
      </c>
      <c r="C2294" s="53" t="s">
        <v>3360</v>
      </c>
      <c r="E2294" s="20"/>
      <c r="F2294" s="22"/>
      <c r="G2294" s="93"/>
      <c r="I2294" s="203">
        <v>45890</v>
      </c>
      <c r="J2294" s="90" t="str">
        <f>IF(Table26[[#This Row],[customerSKU]]="","",_xlfn.XLOOKUP(Table26[[#This Row],[customerSKU]],customerSKU!G:G,customerSKU!A:A,"",0,1))</f>
        <v/>
      </c>
      <c r="K2294" s="203">
        <v>45890</v>
      </c>
      <c r="L2294" s="49" t="str">
        <f>IF(Table26[[#This Row],[customerSKU]]="","",_xlfn.XLOOKUP(Table26[[#This Row],[customerSKU]],customerSKU!G:G,customerSKU!B:B,"",0,1))</f>
        <v/>
      </c>
      <c r="M2294" s="22"/>
      <c r="O2294" s="15">
        <v>1</v>
      </c>
      <c r="P2294" s="50"/>
      <c r="S2294" s="90" t="str">
        <f>IF(Table26[[#This Row],[customerSKU]]="","",_xlfn.XLOOKUP(Table26[[#This Row],[customerSKU]],customerSKU!G:G,customerSKU!N:N,"NOT FOUND",0,1))</f>
        <v>NOT FOUND</v>
      </c>
      <c r="T2294" s="20"/>
      <c r="U2294" s="94">
        <v>12</v>
      </c>
      <c r="V2294" s="22" t="str">
        <f>IF(ISBLANK(Table26[[#This Row],[customerSKU]]),"",_xlfn.XLOOKUP(Table26[[#This Row],[customerSKU]],Table27[customer_SKU],Table27[case_size],"",0,1))</f>
        <v/>
      </c>
      <c r="W2294" s="117" t="str">
        <f t="shared" si="95"/>
        <v/>
      </c>
      <c r="X2294" s="22" t="str">
        <f t="shared" si="96"/>
        <v/>
      </c>
      <c r="Y2294" s="25" t="str">
        <f>IF(Table26[[#This Row],[customerSKU]]="","",_xlfn.XLOOKUP(Table26[[#This Row],[customerSKU]],Table27[customer_SKU],Table27[product_GTIN],"",0,1))</f>
        <v/>
      </c>
      <c r="Z2294" s="25" t="s">
        <v>3720</v>
      </c>
      <c r="AA2294" s="18" t="str" cm="1">
        <f t="array" ref="AA2294">IF(P2294="", "", _xlfn.XLOOKUP(P2294,#REF!,#REF!,NA,0,-1))</f>
        <v/>
      </c>
      <c r="AB2294" s="22"/>
      <c r="AC2294" s="23" t="str">
        <f>IF(Table26[[#This Row],[customerSKU]]="","",_xlfn.XLOOKUP(Table26[[#This Row],[customerSKU]],customerSKU!G:G,customerSKU!C:C,"",0,1))</f>
        <v/>
      </c>
      <c r="AD2294" s="23" t="str">
        <f>IF($AC2294="","",_xlfn.XLOOKUP($AC2294,'Client Info'!$C$2:$C$2497,'Client Info'!$D$2:$D$2497,"",0,1))</f>
        <v/>
      </c>
      <c r="AE2294" s="23" t="str">
        <f>IF($AC2294="","",_xlfn.XLOOKUP($AC2294,'Client Info'!$C$2:$C$2677,'Client Info'!$E$2:$E$2677,"",))</f>
        <v/>
      </c>
      <c r="AF2294" s="23" t="str">
        <f>IF($AC2294="","",_xlfn.XLOOKUP($AC2294,'Client Info'!$C$2:$C$2677,'Client Info'!$F$2:$F$2677,"",0,1))</f>
        <v/>
      </c>
      <c r="AG2294" s="23" t="str">
        <f>IF(ISBLANK(Table26[[#This Row],[customerSKU]]),"",_xlfn.XLOOKUP(Table26[[#This Row],[customerSKU]],Table27[customer_SKU],Table27[billto],"",0,1))</f>
        <v/>
      </c>
      <c r="AH2294" s="26" t="str">
        <f>_xlfn.XLOOKUP(Table26[[#This Row],[customerSKU]],customerSKU!G:G,customerSKU!K:K,"NA",0,1)</f>
        <v>NA</v>
      </c>
      <c r="AI2294" s="43" t="str">
        <f>_xlfn.XLOOKUP(Table26[[#This Row],[customerSKU]],customerSKU!G:G,customerSKU!O:O,"not found",0,1)</f>
        <v>not found</v>
      </c>
      <c r="AJ2294" s="22" t="e">
        <f>Table26[[#This Row],[unitprice]]*Table26[[#This Row],[quantity_unit]]</f>
        <v>#VALUE!</v>
      </c>
      <c r="AK2294" s="227" t="e" cm="1">
        <f t="array" ref="AK22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4" s="227"/>
    </row>
    <row r="2295" spans="1:38" ht="27" customHeight="1">
      <c r="A2295" s="42">
        <v>2319</v>
      </c>
      <c r="B2295" s="42" t="s">
        <v>3520</v>
      </c>
      <c r="C2295" s="53" t="s">
        <v>203</v>
      </c>
      <c r="E2295" s="20"/>
      <c r="F22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95" s="93"/>
      <c r="I2295" s="203">
        <v>45885</v>
      </c>
      <c r="J2295" s="90" t="str">
        <f>IF(Table26[[#This Row],[customerSKU]]="","",_xlfn.XLOOKUP(Table26[[#This Row],[customerSKU]],customerSKU!G:G,customerSKU!A:A,"",0,1))</f>
        <v/>
      </c>
      <c r="K2295" s="203">
        <v>45887</v>
      </c>
      <c r="L2295" s="49" t="str">
        <f>IF(Table26[[#This Row],[customerSKU]]="","",_xlfn.XLOOKUP(Table26[[#This Row],[customerSKU]],customerSKU!G:G,customerSKU!B:B,"",0,1))</f>
        <v/>
      </c>
      <c r="M2295" s="22"/>
      <c r="N2295" s="15" t="str">
        <f>Table26[[#This Row],[po_number]]&amp;"-"&amp;Table26[[#This Row],[po_line]]</f>
        <v>-4</v>
      </c>
      <c r="O2295" s="15">
        <v>4</v>
      </c>
      <c r="P2295" s="50"/>
      <c r="Q2295" s="22" t="s">
        <v>1825</v>
      </c>
      <c r="R2295" s="22" t="s">
        <v>532</v>
      </c>
      <c r="S2295" s="90" t="str">
        <f>IF(Table26[[#This Row],[customerSKU]]="","",_xlfn.XLOOKUP(Table26[[#This Row],[customerSKU]],customerSKU!G:G,customerSKU!N:N,"NOT FOUND",0,1))</f>
        <v>NOT FOUND</v>
      </c>
      <c r="T2295" s="20">
        <v>45875</v>
      </c>
      <c r="U2295" s="94">
        <v>24</v>
      </c>
      <c r="V2295" s="22" t="str">
        <f>IF(ISBLANK(Table26[[#This Row],[customerSKU]]),"",_xlfn.XLOOKUP(Table26[[#This Row],[customerSKU]],Table27[customer_SKU],Table27[case_size],"",0,1))</f>
        <v/>
      </c>
      <c r="W2295" s="117" t="str">
        <f t="shared" si="95"/>
        <v/>
      </c>
      <c r="X2295" s="22" t="str">
        <f t="shared" si="96"/>
        <v/>
      </c>
      <c r="Y2295" s="25" t="str">
        <f>IF(Table26[[#This Row],[customerSKU]]="","",_xlfn.XLOOKUP(Table26[[#This Row],[customerSKU]],Table27[customer_SKU],Table27[product_GTIN],"",0,1))</f>
        <v/>
      </c>
      <c r="Z2295" s="25" t="s">
        <v>3693</v>
      </c>
      <c r="AA2295" s="18" t="str" cm="1">
        <f t="array" ref="AA2295">IF(P2295="", "", _xlfn.XLOOKUP(P2295,#REF!,#REF!,NA,0,-1))</f>
        <v/>
      </c>
      <c r="AB2295" s="22"/>
      <c r="AC2295" s="23" t="s">
        <v>115</v>
      </c>
      <c r="AD2295" s="23" t="str">
        <f>IF($AC2295="","",_xlfn.XLOOKUP($AC2295,'Client Info'!$C$2:$C$2497,'Client Info'!$D$2:$D$2497,"",0,1))</f>
        <v/>
      </c>
      <c r="AE2295" s="23" t="str">
        <f>IF($AC2295="","",_xlfn.XLOOKUP($AC2295,'Client Info'!$C$2:$C$2677,'Client Info'!$E$2:$E$2677,"",))</f>
        <v/>
      </c>
      <c r="AF2295" s="23" t="s">
        <v>13</v>
      </c>
      <c r="AG2295" s="23" t="s">
        <v>115</v>
      </c>
      <c r="AH2295" s="26" t="str">
        <f>_xlfn.XLOOKUP(Table26[[#This Row],[customerSKU]],customerSKU!G:G,customerSKU!K:K,"NA",0,1)</f>
        <v>NA</v>
      </c>
      <c r="AI2295" s="43" t="str">
        <f>_xlfn.XLOOKUP(Table26[[#This Row],[customerSKU]],customerSKU!G:G,customerSKU!O:O,"not found",0,1)</f>
        <v>not found</v>
      </c>
      <c r="AJ2295" s="22" t="e">
        <f>Table26[[#This Row],[unitprice]]*Table26[[#This Row],[quantity_unit]]</f>
        <v>#VALUE!</v>
      </c>
      <c r="AK2295" s="227" t="e" cm="1">
        <f t="array" ref="AK22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5" s="227"/>
    </row>
    <row r="2296" spans="1:38" ht="27" customHeight="1">
      <c r="A2296" s="42">
        <v>2320</v>
      </c>
      <c r="B2296" s="42" t="s">
        <v>3520</v>
      </c>
      <c r="C2296" s="53" t="s">
        <v>203</v>
      </c>
      <c r="E2296" s="20"/>
      <c r="F22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96" s="93"/>
      <c r="I2296" s="203">
        <v>45885</v>
      </c>
      <c r="J2296" s="90" t="str">
        <f>IF(Table26[[#This Row],[customerSKU]]="","",_xlfn.XLOOKUP(Table26[[#This Row],[customerSKU]],customerSKU!G:G,customerSKU!A:A,"",0,1))</f>
        <v/>
      </c>
      <c r="K2296" s="203">
        <v>45887</v>
      </c>
      <c r="L2296" s="49" t="str">
        <f>IF(Table26[[#This Row],[customerSKU]]="","",_xlfn.XLOOKUP(Table26[[#This Row],[customerSKU]],customerSKU!G:G,customerSKU!B:B,"",0,1))</f>
        <v/>
      </c>
      <c r="M2296" s="22"/>
      <c r="N2296" s="15" t="str">
        <f>Table26[[#This Row],[po_number]]&amp;"-"&amp;Table26[[#This Row],[po_line]]</f>
        <v>-5</v>
      </c>
      <c r="O2296" s="15">
        <v>5</v>
      </c>
      <c r="P2296" s="50"/>
      <c r="Q2296" s="22" t="s">
        <v>1829</v>
      </c>
      <c r="R2296" s="22" t="s">
        <v>532</v>
      </c>
      <c r="S2296" s="90" t="str">
        <f>IF(Table26[[#This Row],[customerSKU]]="","",_xlfn.XLOOKUP(Table26[[#This Row],[customerSKU]],customerSKU!G:G,customerSKU!N:N,"NOT FOUND",0,1))</f>
        <v>NOT FOUND</v>
      </c>
      <c r="T2296" s="20">
        <v>45881</v>
      </c>
      <c r="U2296" s="94">
        <v>12</v>
      </c>
      <c r="V2296" s="22" t="str">
        <f>IF(ISBLANK(Table26[[#This Row],[customerSKU]]),"",_xlfn.XLOOKUP(Table26[[#This Row],[customerSKU]],Table27[customer_SKU],Table27[case_size],"",0,1))</f>
        <v/>
      </c>
      <c r="W2296" s="117" t="str">
        <f t="shared" si="95"/>
        <v/>
      </c>
      <c r="X2296" s="22" t="str">
        <f t="shared" si="96"/>
        <v/>
      </c>
      <c r="Y2296" s="25" t="str">
        <f>IF(Table26[[#This Row],[customerSKU]]="","",_xlfn.XLOOKUP(Table26[[#This Row],[customerSKU]],Table27[customer_SKU],Table27[product_GTIN],"",0,1))</f>
        <v/>
      </c>
      <c r="Z2296" s="25" t="s">
        <v>3522</v>
      </c>
      <c r="AA2296" s="18" t="str" cm="1">
        <f t="array" ref="AA2296">IF(P2296="", "", _xlfn.XLOOKUP(P2296,#REF!,#REF!,NA,0,-1))</f>
        <v/>
      </c>
      <c r="AB2296" s="22"/>
      <c r="AC2296" s="23" t="s">
        <v>115</v>
      </c>
      <c r="AD2296" s="23" t="str">
        <f>IF($AC2296="","",_xlfn.XLOOKUP($AC2296,'Client Info'!$C$2:$C$2497,'Client Info'!$D$2:$D$2497,"",0,1))</f>
        <v/>
      </c>
      <c r="AE2296" s="23" t="str">
        <f>IF($AC2296="","",_xlfn.XLOOKUP($AC2296,'Client Info'!$C$2:$C$2677,'Client Info'!$E$2:$E$2677,"",))</f>
        <v/>
      </c>
      <c r="AF2296" s="23" t="s">
        <v>13</v>
      </c>
      <c r="AG2296" s="23" t="s">
        <v>115</v>
      </c>
      <c r="AH2296" s="26" t="str">
        <f>_xlfn.XLOOKUP(Table26[[#This Row],[customerSKU]],customerSKU!G:G,customerSKU!K:K,"NA",0,1)</f>
        <v>NA</v>
      </c>
      <c r="AI2296" s="43" t="str">
        <f>_xlfn.XLOOKUP(Table26[[#This Row],[customerSKU]],customerSKU!G:G,customerSKU!O:O,"not found",0,1)</f>
        <v>not found</v>
      </c>
      <c r="AJ2296" s="22" t="e">
        <f>Table26[[#This Row],[unitprice]]*Table26[[#This Row],[quantity_unit]]</f>
        <v>#VALUE!</v>
      </c>
      <c r="AK2296" s="227" t="e" cm="1">
        <f t="array" ref="AK22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6" s="227"/>
    </row>
    <row r="2297" spans="1:38" ht="27" customHeight="1">
      <c r="A2297" s="42">
        <v>2321</v>
      </c>
      <c r="B2297" s="42" t="s">
        <v>3520</v>
      </c>
      <c r="C2297" s="53" t="s">
        <v>203</v>
      </c>
      <c r="E2297" s="20"/>
      <c r="F22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97" s="93"/>
      <c r="I2297" s="203">
        <v>45886</v>
      </c>
      <c r="J2297" s="90" t="str">
        <f>IF(Table26[[#This Row],[customerSKU]]="","",_xlfn.XLOOKUP(Table26[[#This Row],[customerSKU]],customerSKU!G:G,customerSKU!A:A,"",0,1))</f>
        <v/>
      </c>
      <c r="K2297" s="203">
        <v>45887</v>
      </c>
      <c r="L2297" s="49" t="str">
        <f>IF(Table26[[#This Row],[customerSKU]]="","",_xlfn.XLOOKUP(Table26[[#This Row],[customerSKU]],customerSKU!G:G,customerSKU!B:B,"",0,1))</f>
        <v/>
      </c>
      <c r="M2297" s="22"/>
      <c r="N2297" s="15" t="str">
        <f>Table26[[#This Row],[po_number]]&amp;"-"&amp;Table26[[#This Row],[po_line]]</f>
        <v>-1</v>
      </c>
      <c r="O2297" s="15">
        <v>1</v>
      </c>
      <c r="P2297" s="50"/>
      <c r="Q2297" s="22" t="s">
        <v>1825</v>
      </c>
      <c r="R2297" s="22" t="s">
        <v>532</v>
      </c>
      <c r="S2297" s="90" t="str">
        <f>IF(Table26[[#This Row],[customerSKU]]="","",_xlfn.XLOOKUP(Table26[[#This Row],[customerSKU]],customerSKU!G:G,customerSKU!N:N,"NOT FOUND",0,1))</f>
        <v>NOT FOUND</v>
      </c>
      <c r="T2297" s="20">
        <v>45875</v>
      </c>
      <c r="U2297" s="94">
        <v>24</v>
      </c>
      <c r="V2297" s="22" t="str">
        <f>IF(ISBLANK(Table26[[#This Row],[customerSKU]]),"",_xlfn.XLOOKUP(Table26[[#This Row],[customerSKU]],Table27[customer_SKU],Table27[case_size],"",0,1))</f>
        <v/>
      </c>
      <c r="W2297" s="117" t="str">
        <f t="shared" si="95"/>
        <v/>
      </c>
      <c r="X2297" s="22" t="str">
        <f t="shared" si="96"/>
        <v/>
      </c>
      <c r="Y2297" s="25" t="str">
        <f>IF(Table26[[#This Row],[customerSKU]]="","",_xlfn.XLOOKUP(Table26[[#This Row],[customerSKU]],Table27[customer_SKU],Table27[product_GTIN],"",0,1))</f>
        <v/>
      </c>
      <c r="Z2297" s="25" t="s">
        <v>3693</v>
      </c>
      <c r="AA2297" s="18" t="str" cm="1">
        <f t="array" ref="AA2297">IF(P2297="", "", _xlfn.XLOOKUP(P2297,#REF!,#REF!,NA,0,-1))</f>
        <v/>
      </c>
      <c r="AB2297" s="22"/>
      <c r="AC2297" s="23" t="s">
        <v>202</v>
      </c>
      <c r="AD2297" s="23" t="str">
        <f>IF($AC2297="","",_xlfn.XLOOKUP($AC2297,'Client Info'!$C$2:$C$2497,'Client Info'!$D$2:$D$2497,"",0,1))</f>
        <v/>
      </c>
      <c r="AE2297" s="23" t="str">
        <f>IF($AC2297="","",_xlfn.XLOOKUP($AC2297,'Client Info'!$C$2:$C$2677,'Client Info'!$E$2:$E$2677,"",))</f>
        <v/>
      </c>
      <c r="AF2297" s="23" t="str">
        <f>IF($AC2297="","",_xlfn.XLOOKUP($AC2297,'Client Info'!$C$2:$C$2677,'Client Info'!$F$2:$F$2677,"",0,1))</f>
        <v/>
      </c>
      <c r="AG2297" s="23" t="s">
        <v>202</v>
      </c>
      <c r="AH2297" s="26" t="str">
        <f>_xlfn.XLOOKUP(Table26[[#This Row],[customerSKU]],customerSKU!G:G,customerSKU!K:K,"NA",0,1)</f>
        <v>NA</v>
      </c>
      <c r="AI2297" s="43" t="str">
        <f>_xlfn.XLOOKUP(Table26[[#This Row],[customerSKU]],customerSKU!G:G,customerSKU!O:O,"not found",0,1)</f>
        <v>not found</v>
      </c>
      <c r="AJ2297" s="22" t="e">
        <f>Table26[[#This Row],[unitprice]]*Table26[[#This Row],[quantity_unit]]</f>
        <v>#VALUE!</v>
      </c>
      <c r="AK2297" s="227" t="e" cm="1">
        <f t="array" ref="AK22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7" s="227"/>
    </row>
    <row r="2298" spans="1:38" ht="27" customHeight="1">
      <c r="A2298" s="42">
        <v>2329</v>
      </c>
      <c r="B2298" s="42" t="s">
        <v>3520</v>
      </c>
      <c r="C2298" s="53" t="s">
        <v>203</v>
      </c>
      <c r="E2298" s="20"/>
      <c r="F22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98" s="93"/>
      <c r="I2298" s="203">
        <v>45886</v>
      </c>
      <c r="J2298" s="90" t="str">
        <f>IF(Table26[[#This Row],[customerSKU]]="","",_xlfn.XLOOKUP(Table26[[#This Row],[customerSKU]],customerSKU!G:G,customerSKU!A:A,"",0,1))</f>
        <v/>
      </c>
      <c r="K2298" s="203">
        <v>45887</v>
      </c>
      <c r="L2298" s="49" t="str">
        <f>IF(Table26[[#This Row],[customerSKU]]="","",_xlfn.XLOOKUP(Table26[[#This Row],[customerSKU]],customerSKU!G:G,customerSKU!B:B,"",0,1))</f>
        <v/>
      </c>
      <c r="M2298" s="22"/>
      <c r="N2298" s="15" t="str">
        <f>Table26[[#This Row],[po_number]]&amp;"-"&amp;Table26[[#This Row],[po_line]]</f>
        <v>-2</v>
      </c>
      <c r="O2298" s="15">
        <v>2</v>
      </c>
      <c r="P2298" s="50"/>
      <c r="Q2298" s="22" t="s">
        <v>659</v>
      </c>
      <c r="R2298" s="22" t="s">
        <v>532</v>
      </c>
      <c r="S2298" s="90" t="str">
        <f>IF(Table26[[#This Row],[customerSKU]]="","",_xlfn.XLOOKUP(Table26[[#This Row],[customerSKU]],customerSKU!G:G,customerSKU!N:N,"NOT FOUND",0,1))</f>
        <v>NOT FOUND</v>
      </c>
      <c r="T2298" s="20">
        <v>45887</v>
      </c>
      <c r="U2298" s="94">
        <v>12</v>
      </c>
      <c r="V2298" s="22" t="str">
        <f>IF(ISBLANK(Table26[[#This Row],[customerSKU]]),"",_xlfn.XLOOKUP(Table26[[#This Row],[customerSKU]],Table27[customer_SKU],Table27[case_size],"",0,1))</f>
        <v/>
      </c>
      <c r="W2298" s="117" t="str">
        <f t="shared" si="95"/>
        <v/>
      </c>
      <c r="X2298" s="22" t="str">
        <f t="shared" si="96"/>
        <v/>
      </c>
      <c r="Y2298" s="25" t="str">
        <f>IF(Table26[[#This Row],[customerSKU]]="","",_xlfn.XLOOKUP(Table26[[#This Row],[customerSKU]],Table27[customer_SKU],Table27[product_GTIN],"",0,1))</f>
        <v/>
      </c>
      <c r="Z2298" s="25" t="s">
        <v>3600</v>
      </c>
      <c r="AA2298" s="18" t="str" cm="1">
        <f t="array" ref="AA2298">IF(P2298="", "", _xlfn.XLOOKUP(P2298,#REF!,#REF!,NA,0,-1))</f>
        <v/>
      </c>
      <c r="AB2298" s="22"/>
      <c r="AC2298" s="23" t="s">
        <v>202</v>
      </c>
      <c r="AD2298" s="23" t="str">
        <f>IF($AC2298="","",_xlfn.XLOOKUP($AC2298,'Client Info'!$C$2:$C$2497,'Client Info'!$D$2:$D$2497,"",0,1))</f>
        <v/>
      </c>
      <c r="AE2298" s="23" t="str">
        <f>IF($AC2298="","",_xlfn.XLOOKUP($AC2298,'Client Info'!$C$2:$C$2677,'Client Info'!$E$2:$E$2677,"",))</f>
        <v/>
      </c>
      <c r="AF2298" s="23" t="str">
        <f>IF($AC2298="","",_xlfn.XLOOKUP($AC2298,'Client Info'!$C$2:$C$2677,'Client Info'!$F$2:$F$2677,"",0,1))</f>
        <v/>
      </c>
      <c r="AG2298" s="23" t="s">
        <v>202</v>
      </c>
      <c r="AH2298" s="26" t="str">
        <f>_xlfn.XLOOKUP(Table26[[#This Row],[customerSKU]],customerSKU!G:G,customerSKU!K:K,"NA",0,1)</f>
        <v>NA</v>
      </c>
      <c r="AI2298" s="43" t="str">
        <f>_xlfn.XLOOKUP(Table26[[#This Row],[customerSKU]],customerSKU!G:G,customerSKU!O:O,"not found",0,1)</f>
        <v>not found</v>
      </c>
      <c r="AJ2298" s="22" t="e">
        <f>Table26[[#This Row],[unitprice]]*Table26[[#This Row],[quantity_unit]]</f>
        <v>#VALUE!</v>
      </c>
      <c r="AK2298" s="227" t="e" cm="1">
        <f t="array" ref="AK22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8" s="227"/>
    </row>
    <row r="2299" spans="1:38" ht="27" customHeight="1">
      <c r="A2299" s="42">
        <v>2323</v>
      </c>
      <c r="B2299" s="42" t="s">
        <v>3520</v>
      </c>
      <c r="C2299" s="53" t="s">
        <v>203</v>
      </c>
      <c r="E2299" s="20"/>
      <c r="F22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299" s="93"/>
      <c r="I2299" s="203">
        <v>45887</v>
      </c>
      <c r="J2299" s="90" t="str">
        <f>IF(Table26[[#This Row],[customerSKU]]="","",_xlfn.XLOOKUP(Table26[[#This Row],[customerSKU]],customerSKU!G:G,customerSKU!A:A,"",0,1))</f>
        <v/>
      </c>
      <c r="K2299" s="19">
        <v>45889</v>
      </c>
      <c r="L2299" s="49" t="str">
        <f>IF(Table26[[#This Row],[customerSKU]]="","",_xlfn.XLOOKUP(Table26[[#This Row],[customerSKU]],customerSKU!G:G,customerSKU!B:B,"",0,1))</f>
        <v/>
      </c>
      <c r="M2299" s="22"/>
      <c r="N2299" s="15" t="str">
        <f>Table26[[#This Row],[po_number]]&amp;"-"&amp;Table26[[#This Row],[po_line]]</f>
        <v>-1</v>
      </c>
      <c r="O2299" s="15">
        <v>1</v>
      </c>
      <c r="P2299" s="89"/>
      <c r="Q2299" s="22" t="s">
        <v>4261</v>
      </c>
      <c r="R2299" s="22" t="s">
        <v>532</v>
      </c>
      <c r="S2299" s="90" t="str">
        <f>IF(Table26[[#This Row],[customerSKU]]="","",_xlfn.XLOOKUP(Table26[[#This Row],[customerSKU]],customerSKU!G:G,customerSKU!N:N,"NOT FOUND",0,1))</f>
        <v>NOT FOUND</v>
      </c>
      <c r="T2299" s="20">
        <v>45888</v>
      </c>
      <c r="U2299" s="385">
        <v>48</v>
      </c>
      <c r="V2299" s="22" t="str">
        <f>IF(ISBLANK(Table26[[#This Row],[customerSKU]]),"",_xlfn.XLOOKUP(Table26[[#This Row],[customerSKU]],Table27[customer_SKU],Table27[case_size],"",0,1))</f>
        <v/>
      </c>
      <c r="W2299" s="117" t="str">
        <f t="shared" si="95"/>
        <v/>
      </c>
      <c r="X2299" s="22" t="str">
        <f t="shared" si="96"/>
        <v/>
      </c>
      <c r="Y2299" s="25" t="str">
        <f>IF(Table26[[#This Row],[customerSKU]]="","",_xlfn.XLOOKUP(Table26[[#This Row],[customerSKU]],Table27[customer_SKU],Table27[product_GTIN],"",0,1))</f>
        <v/>
      </c>
      <c r="Z2299" s="25" t="s">
        <v>3525</v>
      </c>
      <c r="AA2299" s="18" t="str" cm="1">
        <f t="array" ref="AA2299">IF(P2299="", "", _xlfn.XLOOKUP(P2299,#REF!,#REF!,NA,0,-1))</f>
        <v/>
      </c>
      <c r="AB2299" s="22"/>
      <c r="AC2299" s="23" t="s">
        <v>3604</v>
      </c>
      <c r="AD2299" s="23" t="str">
        <f>IF($AC2299="","",_xlfn.XLOOKUP($AC2299,'Client Info'!$C$2:$C$2497,'Client Info'!$D$2:$D$2497,"",0,1))</f>
        <v/>
      </c>
      <c r="AE2299" s="23" t="str">
        <f>IF($AC2299="","",_xlfn.XLOOKUP($AC2299,'Client Info'!$C$2:$C$2677,'Client Info'!$E$2:$E$2677,"",))</f>
        <v/>
      </c>
      <c r="AF2299" s="23" t="str">
        <f>IF($AC2299="","",_xlfn.XLOOKUP($AC2299,'Client Info'!$C$2:$C$2677,'Client Info'!$F$2:$F$2677,"",0,1))</f>
        <v/>
      </c>
      <c r="AG2299" s="23" t="s">
        <v>3604</v>
      </c>
      <c r="AH2299" s="26" t="str">
        <f>_xlfn.XLOOKUP(Table26[[#This Row],[customerSKU]],customerSKU!G:G,customerSKU!K:K,"NA",0,1)</f>
        <v>NA</v>
      </c>
      <c r="AI2299" s="43" t="str">
        <f>_xlfn.XLOOKUP(Table26[[#This Row],[customerSKU]],customerSKU!G:G,customerSKU!O:O,"not found",0,1)</f>
        <v>not found</v>
      </c>
      <c r="AJ2299" s="22" t="e">
        <f>Table26[[#This Row],[unitprice]]*Table26[[#This Row],[quantity_unit]]</f>
        <v>#VALUE!</v>
      </c>
      <c r="AK2299" s="227" t="e" cm="1">
        <f t="array" ref="AK22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299" s="227"/>
    </row>
    <row r="2300" spans="1:38" ht="24.6" customHeight="1">
      <c r="A2300" s="42">
        <v>2324</v>
      </c>
      <c r="B2300" s="42" t="s">
        <v>3520</v>
      </c>
      <c r="C2300" s="53" t="s">
        <v>203</v>
      </c>
      <c r="E2300" s="20"/>
      <c r="F23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0" s="93"/>
      <c r="I2300" s="203">
        <v>45887</v>
      </c>
      <c r="J2300" s="90" t="str">
        <f>IF(Table26[[#This Row],[customerSKU]]="","",_xlfn.XLOOKUP(Table26[[#This Row],[customerSKU]],customerSKU!G:G,customerSKU!A:A,"",0,1))</f>
        <v/>
      </c>
      <c r="K2300" s="19">
        <v>45889</v>
      </c>
      <c r="L2300" s="49" t="str">
        <f>IF(Table26[[#This Row],[customerSKU]]="","",_xlfn.XLOOKUP(Table26[[#This Row],[customerSKU]],customerSKU!G:G,customerSKU!B:B,"",0,1))</f>
        <v/>
      </c>
      <c r="M2300" s="22"/>
      <c r="N2300" s="15" t="str">
        <f>Table26[[#This Row],[po_number]]&amp;"-"&amp;Table26[[#This Row],[po_line]]</f>
        <v>-2</v>
      </c>
      <c r="O2300" s="15">
        <v>2</v>
      </c>
      <c r="P2300" s="50"/>
      <c r="Q2300" s="22" t="s">
        <v>4233</v>
      </c>
      <c r="R2300" s="22" t="s">
        <v>532</v>
      </c>
      <c r="S2300" s="90" t="str">
        <f>IF(Table26[[#This Row],[customerSKU]]="","",_xlfn.XLOOKUP(Table26[[#This Row],[customerSKU]],customerSKU!G:G,customerSKU!N:N,"NOT FOUND",0,1))</f>
        <v>NOT FOUND</v>
      </c>
      <c r="T2300" s="20">
        <v>45877</v>
      </c>
      <c r="U2300" s="94">
        <v>24</v>
      </c>
      <c r="V2300" s="22" t="str">
        <f>IF(ISBLANK(Table26[[#This Row],[customerSKU]]),"",_xlfn.XLOOKUP(Table26[[#This Row],[customerSKU]],Table27[customer_SKU],Table27[case_size],"",0,1))</f>
        <v/>
      </c>
      <c r="W2300" s="117" t="str">
        <f t="shared" si="95"/>
        <v/>
      </c>
      <c r="X2300" s="22" t="str">
        <f t="shared" si="96"/>
        <v/>
      </c>
      <c r="Y2300" s="25" t="str">
        <f>IF(Table26[[#This Row],[customerSKU]]="","",_xlfn.XLOOKUP(Table26[[#This Row],[customerSKU]],Table27[customer_SKU],Table27[product_GTIN],"",0,1))</f>
        <v/>
      </c>
      <c r="Z2300" s="25" t="s">
        <v>3605</v>
      </c>
      <c r="AA2300" s="18" t="str" cm="1">
        <f t="array" ref="AA2300">IF(P2300="", "", _xlfn.XLOOKUP(P2300,#REF!,#REF!,NA,0,-1))</f>
        <v/>
      </c>
      <c r="AB2300" s="22"/>
      <c r="AC2300" s="23" t="s">
        <v>3604</v>
      </c>
      <c r="AD2300" s="23" t="str">
        <f>IF($AC2300="","",_xlfn.XLOOKUP($AC2300,'Client Info'!$C$2:$C$2497,'Client Info'!$D$2:$D$2497,"",0,1))</f>
        <v/>
      </c>
      <c r="AE2300" s="23" t="str">
        <f>IF($AC2300="","",_xlfn.XLOOKUP($AC2300,'Client Info'!$C$2:$C$2677,'Client Info'!$E$2:$E$2677,"",))</f>
        <v/>
      </c>
      <c r="AF2300" s="23" t="str">
        <f>IF($AC2300="","",_xlfn.XLOOKUP($AC2300,'Client Info'!$C$2:$C$2677,'Client Info'!$F$2:$F$2677,"",0,1))</f>
        <v/>
      </c>
      <c r="AG2300" s="23" t="s">
        <v>3604</v>
      </c>
      <c r="AH2300" s="26" t="str">
        <f>_xlfn.XLOOKUP(Table26[[#This Row],[customerSKU]],customerSKU!G:G,customerSKU!K:K,"NA",0,1)</f>
        <v>NA</v>
      </c>
      <c r="AI2300" s="43" t="str">
        <f>_xlfn.XLOOKUP(Table26[[#This Row],[customerSKU]],customerSKU!G:G,customerSKU!O:O,"not found",0,1)</f>
        <v>not found</v>
      </c>
      <c r="AJ2300" s="22" t="e">
        <f>Table26[[#This Row],[unitprice]]*Table26[[#This Row],[quantity_unit]]</f>
        <v>#VALUE!</v>
      </c>
      <c r="AK2300" s="227" t="e" cm="1">
        <f t="array" ref="AK23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0" s="227"/>
    </row>
    <row r="2301" spans="1:38" ht="24.6" customHeight="1">
      <c r="A2301" s="42">
        <v>2325</v>
      </c>
      <c r="B2301" s="42" t="s">
        <v>3520</v>
      </c>
      <c r="C2301" s="53" t="s">
        <v>203</v>
      </c>
      <c r="E2301" s="20"/>
      <c r="F23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1" s="93"/>
      <c r="I2301" s="203">
        <v>45887</v>
      </c>
      <c r="J2301" s="90" t="str">
        <f>IF(Table26[[#This Row],[customerSKU]]="","",_xlfn.XLOOKUP(Table26[[#This Row],[customerSKU]],customerSKU!G:G,customerSKU!A:A,"",0,1))</f>
        <v/>
      </c>
      <c r="K2301" s="19">
        <v>45889</v>
      </c>
      <c r="L2301" s="49" t="str">
        <f>IF(Table26[[#This Row],[customerSKU]]="","",_xlfn.XLOOKUP(Table26[[#This Row],[customerSKU]],customerSKU!G:G,customerSKU!B:B,"",0,1))</f>
        <v/>
      </c>
      <c r="M2301" s="22"/>
      <c r="N2301" s="15" t="str">
        <f>Table26[[#This Row],[po_number]]&amp;"-"&amp;Table26[[#This Row],[po_line]]</f>
        <v>-3</v>
      </c>
      <c r="O2301" s="15">
        <v>3</v>
      </c>
      <c r="P2301" s="50"/>
      <c r="Q2301" s="22" t="s">
        <v>869</v>
      </c>
      <c r="R2301" s="22" t="s">
        <v>532</v>
      </c>
      <c r="S2301" s="90" t="str">
        <f>IF(Table26[[#This Row],[customerSKU]]="","",_xlfn.XLOOKUP(Table26[[#This Row],[customerSKU]],customerSKU!G:G,customerSKU!N:N,"NOT FOUND",0,1))</f>
        <v>NOT FOUND</v>
      </c>
      <c r="T2301" s="20">
        <v>45828</v>
      </c>
      <c r="U2301" s="94">
        <v>36</v>
      </c>
      <c r="V2301" s="22" t="str">
        <f>IF(ISBLANK(Table26[[#This Row],[customerSKU]]),"",_xlfn.XLOOKUP(Table26[[#This Row],[customerSKU]],Table27[customer_SKU],Table27[case_size],"",0,1))</f>
        <v/>
      </c>
      <c r="W2301" s="117" t="str">
        <f t="shared" si="95"/>
        <v/>
      </c>
      <c r="X2301" s="22" t="str">
        <f t="shared" si="96"/>
        <v/>
      </c>
      <c r="Y2301" s="25" t="str">
        <f>IF(Table26[[#This Row],[customerSKU]]="","",_xlfn.XLOOKUP(Table26[[#This Row],[customerSKU]],Table27[customer_SKU],Table27[product_GTIN],"",0,1))</f>
        <v/>
      </c>
      <c r="Z2301" s="25" t="s">
        <v>3610</v>
      </c>
      <c r="AA2301" s="18" t="str" cm="1">
        <f t="array" ref="AA2301">IF(P2301="", "", _xlfn.XLOOKUP(P2301,#REF!,#REF!,NA,0,-1))</f>
        <v/>
      </c>
      <c r="AB2301" s="22"/>
      <c r="AC2301" s="23" t="s">
        <v>3604</v>
      </c>
      <c r="AD2301" s="23" t="str">
        <f>IF($AC2301="","",_xlfn.XLOOKUP($AC2301,'Client Info'!$C$2:$C$2497,'Client Info'!$D$2:$D$2497,"",0,1))</f>
        <v/>
      </c>
      <c r="AE2301" s="23" t="str">
        <f>IF($AC2301="","",_xlfn.XLOOKUP($AC2301,'Client Info'!$C$2:$C$2677,'Client Info'!$E$2:$E$2677,"",))</f>
        <v/>
      </c>
      <c r="AF2301" s="23" t="str">
        <f>IF($AC2301="","",_xlfn.XLOOKUP($AC2301,'Client Info'!$C$2:$C$2677,'Client Info'!$F$2:$F$2677,"",0,1))</f>
        <v/>
      </c>
      <c r="AG2301" s="23" t="s">
        <v>3604</v>
      </c>
      <c r="AH2301" s="26" t="str">
        <f>_xlfn.XLOOKUP(Table26[[#This Row],[customerSKU]],customerSKU!G:G,customerSKU!K:K,"NA",0,1)</f>
        <v>NA</v>
      </c>
      <c r="AI2301" s="43" t="str">
        <f>_xlfn.XLOOKUP(Table26[[#This Row],[customerSKU]],customerSKU!G:G,customerSKU!O:O,"not found",0,1)</f>
        <v>not found</v>
      </c>
      <c r="AJ2301" s="22" t="e">
        <f>Table26[[#This Row],[unitprice]]*Table26[[#This Row],[quantity_unit]]</f>
        <v>#VALUE!</v>
      </c>
      <c r="AK2301" s="227" t="e" cm="1">
        <f t="array" ref="AK23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1" s="227"/>
    </row>
    <row r="2302" spans="1:38" ht="24.6" customHeight="1">
      <c r="A2302" s="42">
        <v>2326</v>
      </c>
      <c r="B2302" s="42" t="s">
        <v>3520</v>
      </c>
      <c r="C2302" s="53" t="s">
        <v>203</v>
      </c>
      <c r="E2302" s="20"/>
      <c r="F23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2" s="93"/>
      <c r="I2302" s="203">
        <v>45887</v>
      </c>
      <c r="J2302" s="90" t="str">
        <f>IF(Table26[[#This Row],[customerSKU]]="","",_xlfn.XLOOKUP(Table26[[#This Row],[customerSKU]],customerSKU!G:G,customerSKU!A:A,"",0,1))</f>
        <v/>
      </c>
      <c r="K2302" s="19">
        <v>45889</v>
      </c>
      <c r="L2302" s="49" t="str">
        <f>IF(Table26[[#This Row],[customerSKU]]="","",_xlfn.XLOOKUP(Table26[[#This Row],[customerSKU]],customerSKU!G:G,customerSKU!B:B,"",0,1))</f>
        <v/>
      </c>
      <c r="M2302" s="22"/>
      <c r="N2302" s="15" t="str">
        <f>Table26[[#This Row],[po_number]]&amp;"-"&amp;Table26[[#This Row],[po_line]]</f>
        <v>-4</v>
      </c>
      <c r="O2302" s="15">
        <v>4</v>
      </c>
      <c r="P2302" s="50"/>
      <c r="Q2302" s="22" t="s">
        <v>1609</v>
      </c>
      <c r="R2302" s="22" t="s">
        <v>532</v>
      </c>
      <c r="S2302" s="90" t="str">
        <f>IF(Table26[[#This Row],[customerSKU]]="","",_xlfn.XLOOKUP(Table26[[#This Row],[customerSKU]],customerSKU!G:G,customerSKU!N:N,"NOT FOUND",0,1))</f>
        <v>NOT FOUND</v>
      </c>
      <c r="T2302" s="20">
        <v>45742</v>
      </c>
      <c r="U2302" s="94">
        <v>24</v>
      </c>
      <c r="V2302" s="22" t="str">
        <f>IF(ISBLANK(Table26[[#This Row],[customerSKU]]),"",_xlfn.XLOOKUP(Table26[[#This Row],[customerSKU]],Table27[customer_SKU],Table27[case_size],"",0,1))</f>
        <v/>
      </c>
      <c r="W2302" s="117" t="str">
        <f t="shared" si="95"/>
        <v/>
      </c>
      <c r="X2302" s="22" t="str">
        <f t="shared" si="96"/>
        <v/>
      </c>
      <c r="Y2302" s="25" t="str">
        <f>IF(Table26[[#This Row],[customerSKU]]="","",_xlfn.XLOOKUP(Table26[[#This Row],[customerSKU]],Table27[customer_SKU],Table27[product_GTIN],"",0,1))</f>
        <v/>
      </c>
      <c r="Z2302" s="25" t="s">
        <v>3607</v>
      </c>
      <c r="AA2302" s="18" t="str" cm="1">
        <f t="array" ref="AA2302">IF(P2302="", "", _xlfn.XLOOKUP(P2302,#REF!,#REF!,NA,0,-1))</f>
        <v/>
      </c>
      <c r="AB2302" s="22"/>
      <c r="AC2302" s="23" t="s">
        <v>3604</v>
      </c>
      <c r="AD2302" s="23" t="str">
        <f>IF($AC2302="","",_xlfn.XLOOKUP($AC2302,'Client Info'!$C$2:$C$2497,'Client Info'!$D$2:$D$2497,"",0,1))</f>
        <v/>
      </c>
      <c r="AE2302" s="23" t="str">
        <f>IF($AC2302="","",_xlfn.XLOOKUP($AC2302,'Client Info'!$C$2:$C$2677,'Client Info'!$E$2:$E$2677,"",))</f>
        <v/>
      </c>
      <c r="AF2302" s="23" t="str">
        <f>IF($AC2302="","",_xlfn.XLOOKUP($AC2302,'Client Info'!$C$2:$C$2677,'Client Info'!$F$2:$F$2677,"",0,1))</f>
        <v/>
      </c>
      <c r="AG2302" s="23" t="s">
        <v>3604</v>
      </c>
      <c r="AH2302" s="26" t="str">
        <f>_xlfn.XLOOKUP(Table26[[#This Row],[customerSKU]],customerSKU!G:G,customerSKU!K:K,"NA",0,1)</f>
        <v>NA</v>
      </c>
      <c r="AI2302" s="43" t="str">
        <f>_xlfn.XLOOKUP(Table26[[#This Row],[customerSKU]],customerSKU!G:G,customerSKU!O:O,"not found",0,1)</f>
        <v>not found</v>
      </c>
      <c r="AJ2302" s="22" t="e">
        <f>Table26[[#This Row],[unitprice]]*Table26[[#This Row],[quantity_unit]]</f>
        <v>#VALUE!</v>
      </c>
      <c r="AK2302" s="227" t="e" cm="1">
        <f t="array" ref="AK23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2" s="227"/>
    </row>
    <row r="2303" spans="1:38" ht="24.6" customHeight="1">
      <c r="A2303" s="42">
        <v>2327</v>
      </c>
      <c r="B2303" s="42" t="s">
        <v>3520</v>
      </c>
      <c r="C2303" s="53" t="s">
        <v>203</v>
      </c>
      <c r="E2303" s="20"/>
      <c r="F23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3" s="93"/>
      <c r="I2303" s="203">
        <v>45887</v>
      </c>
      <c r="J2303" s="90" t="str">
        <f>IF(Table26[[#This Row],[customerSKU]]="","",_xlfn.XLOOKUP(Table26[[#This Row],[customerSKU]],customerSKU!G:G,customerSKU!A:A,"",0,1))</f>
        <v/>
      </c>
      <c r="K2303" s="19">
        <v>45889</v>
      </c>
      <c r="L2303" s="49" t="str">
        <f>IF(Table26[[#This Row],[customerSKU]]="","",_xlfn.XLOOKUP(Table26[[#This Row],[customerSKU]],customerSKU!G:G,customerSKU!B:B,"",0,1))</f>
        <v/>
      </c>
      <c r="M2303" s="22"/>
      <c r="N2303" s="15" t="str">
        <f>Table26[[#This Row],[po_number]]&amp;"-"&amp;Table26[[#This Row],[po_line]]</f>
        <v>-5</v>
      </c>
      <c r="O2303" s="15">
        <v>5</v>
      </c>
      <c r="P2303" s="50"/>
      <c r="Q2303" s="22" t="s">
        <v>934</v>
      </c>
      <c r="R2303" s="22" t="s">
        <v>3559</v>
      </c>
      <c r="S2303" s="90" t="s">
        <v>13</v>
      </c>
      <c r="T2303" s="20">
        <v>45888</v>
      </c>
      <c r="U2303" s="94">
        <v>24</v>
      </c>
      <c r="V2303" s="22" t="str">
        <f>IF(ISBLANK(Table26[[#This Row],[customerSKU]]),"",_xlfn.XLOOKUP(Table26[[#This Row],[customerSKU]],Table27[customer_SKU],Table27[case_size],"",0,1))</f>
        <v/>
      </c>
      <c r="W2303" s="117" t="str">
        <f t="shared" si="95"/>
        <v/>
      </c>
      <c r="X2303" s="22" t="str">
        <f t="shared" si="96"/>
        <v/>
      </c>
      <c r="Y2303" s="25" t="str">
        <f>IF(Table26[[#This Row],[customerSKU]]="","",_xlfn.XLOOKUP(Table26[[#This Row],[customerSKU]],Table27[customer_SKU],Table27[product_GTIN],"",0,1))</f>
        <v/>
      </c>
      <c r="Z2303" s="25" t="s">
        <v>3547</v>
      </c>
      <c r="AA2303" s="18" t="str" cm="1">
        <f t="array" ref="AA2303">IF(P2303="", "", _xlfn.XLOOKUP(P2303,#REF!,#REF!,NA,0,-1))</f>
        <v/>
      </c>
      <c r="AB2303" s="22"/>
      <c r="AC2303" s="23" t="s">
        <v>3604</v>
      </c>
      <c r="AD2303" s="23" t="str">
        <f>IF($AC2303="","",_xlfn.XLOOKUP($AC2303,'Client Info'!$C$2:$C$2497,'Client Info'!$D$2:$D$2497,"",0,1))</f>
        <v/>
      </c>
      <c r="AE2303" s="23" t="str">
        <f>IF($AC2303="","",_xlfn.XLOOKUP($AC2303,'Client Info'!$C$2:$C$2677,'Client Info'!$E$2:$E$2677,"",))</f>
        <v/>
      </c>
      <c r="AF2303" s="23" t="str">
        <f>IF($AC2303="","",_xlfn.XLOOKUP($AC2303,'Client Info'!$C$2:$C$2677,'Client Info'!$F$2:$F$2677,"",0,1))</f>
        <v/>
      </c>
      <c r="AG2303" s="23" t="s">
        <v>3604</v>
      </c>
      <c r="AH2303" s="26" t="str">
        <f>_xlfn.XLOOKUP(Table26[[#This Row],[customerSKU]],customerSKU!G:G,customerSKU!K:K,"NA",0,1)</f>
        <v>NA</v>
      </c>
      <c r="AI2303" s="43" t="str">
        <f>_xlfn.XLOOKUP(Table26[[#This Row],[customerSKU]],customerSKU!G:G,customerSKU!O:O,"not found",0,1)</f>
        <v>not found</v>
      </c>
      <c r="AJ2303" s="22" t="e">
        <f>Table26[[#This Row],[unitprice]]*Table26[[#This Row],[quantity_unit]]</f>
        <v>#VALUE!</v>
      </c>
      <c r="AK2303" s="227" t="e" cm="1">
        <f t="array" ref="AK23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3" s="227"/>
    </row>
    <row r="2304" spans="1:38" ht="24.6" customHeight="1">
      <c r="A2304" s="42">
        <v>2328</v>
      </c>
      <c r="B2304" s="42" t="s">
        <v>3520</v>
      </c>
      <c r="C2304" s="53" t="s">
        <v>203</v>
      </c>
      <c r="D2304" s="297"/>
      <c r="E2304" s="297"/>
      <c r="F2304" s="15" t="str">
        <f>IF(OR(ISNUMBER(SEARCH("OCS",Table26[[#This Row],[sales_stream]])),ISNUMBER(SEARCH("AGLC",Table26[[#This Row],[sales_stream]])),ISNUMBER(SEARCH("NSLC",Table26[[#This Row],[sales_stream]]))),"NEED BOOKING","")</f>
        <v/>
      </c>
      <c r="G2304" s="96"/>
      <c r="H2304" s="15"/>
      <c r="I2304" s="361">
        <v>45887</v>
      </c>
      <c r="J2304" s="90" t="str">
        <f>IF(Table26[[#This Row],[customerSKU]]="","",_xlfn.XLOOKUP(Table26[[#This Row],[customerSKU]],customerSKU!G:G,customerSKU!A:A,"",0,1))</f>
        <v/>
      </c>
      <c r="K2304" s="100">
        <v>45889</v>
      </c>
      <c r="L2304" s="49" t="str">
        <f>IF(Table26[[#This Row],[customerSKU]]="","",_xlfn.XLOOKUP(Table26[[#This Row],[customerSKU]],customerSKU!G:G,customerSKU!B:B,"",0,1))</f>
        <v/>
      </c>
      <c r="N2304" s="15" t="str">
        <f>Table26[[#This Row],[po_number]]&amp;"-"&amp;Table26[[#This Row],[po_line]]</f>
        <v>-6</v>
      </c>
      <c r="O2304" s="15">
        <v>6</v>
      </c>
      <c r="P2304" s="50"/>
      <c r="Q2304" s="22" t="s">
        <v>574</v>
      </c>
      <c r="R2304" s="22" t="s">
        <v>532</v>
      </c>
      <c r="S2304" s="90" t="str">
        <f>IF(Table26[[#This Row],[customerSKU]]="","",_xlfn.XLOOKUP(Table26[[#This Row],[customerSKU]],customerSKU!G:G,customerSKU!N:N,"NOT FOUND",0,1))</f>
        <v>NOT FOUND</v>
      </c>
      <c r="T2304" s="297">
        <v>45848</v>
      </c>
      <c r="U2304" s="97">
        <v>36</v>
      </c>
      <c r="V2304" s="15" t="str">
        <f>IF(ISBLANK(Table26[[#This Row],[customerSKU]]),"",_xlfn.XLOOKUP(Table26[[#This Row],[customerSKU]],Table27[customer_SKU],Table27[case_size],"",0,1))</f>
        <v/>
      </c>
      <c r="W2304" s="298" t="str">
        <f t="shared" si="95"/>
        <v/>
      </c>
      <c r="X2304" s="22" t="str">
        <f t="shared" si="96"/>
        <v/>
      </c>
      <c r="Y2304" s="25" t="str">
        <f>IF(Table26[[#This Row],[customerSKU]]="","",_xlfn.XLOOKUP(Table26[[#This Row],[customerSKU]],Table27[customer_SKU],Table27[product_GTIN],"",0,1))</f>
        <v/>
      </c>
      <c r="Z2304" s="25" t="s">
        <v>3530</v>
      </c>
      <c r="AA2304" s="98" t="str" cm="1">
        <f t="array" ref="AA2304">IF(P2304="", "", _xlfn.XLOOKUP(P2304,#REF!,#REF!,NA,0,-1))</f>
        <v/>
      </c>
      <c r="AB2304" s="15"/>
      <c r="AC2304" s="23" t="s">
        <v>3604</v>
      </c>
      <c r="AD2304" s="23" t="str">
        <f>IF($AC2304="","",_xlfn.XLOOKUP($AC2304,'Client Info'!$C$2:$C$2497,'Client Info'!$D$2:$D$2497,"",0,1))</f>
        <v/>
      </c>
      <c r="AE2304" s="23" t="str">
        <f>IF($AC2304="","",_xlfn.XLOOKUP($AC2304,'Client Info'!$C$2:$C$2677,'Client Info'!$E$2:$E$2677,"",))</f>
        <v/>
      </c>
      <c r="AF2304" s="23" t="str">
        <f>IF($AC2304="","",_xlfn.XLOOKUP($AC2304,'Client Info'!$C$2:$C$2677,'Client Info'!$F$2:$F$2677,"",0,1))</f>
        <v/>
      </c>
      <c r="AG2304" s="23" t="s">
        <v>3604</v>
      </c>
      <c r="AH2304" s="26" t="str">
        <f>_xlfn.XLOOKUP(Table26[[#This Row],[customerSKU]],customerSKU!G:G,customerSKU!K:K,"NA",0,1)</f>
        <v>NA</v>
      </c>
      <c r="AI2304" s="43" t="str">
        <f>_xlfn.XLOOKUP(Table26[[#This Row],[customerSKU]],customerSKU!G:G,customerSKU!O:O,"not found",0,1)</f>
        <v>not found</v>
      </c>
      <c r="AJ2304" s="15" t="e">
        <f>Table26[[#This Row],[unitprice]]*Table26[[#This Row],[quantity_unit]]</f>
        <v>#VALUE!</v>
      </c>
      <c r="AK2304" s="391" t="e" cm="1">
        <f t="array" ref="AK23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4" s="227"/>
    </row>
    <row r="2305" spans="1:38" ht="27" customHeight="1">
      <c r="A2305" s="42">
        <v>2332</v>
      </c>
      <c r="B2305" s="42" t="s">
        <v>3520</v>
      </c>
      <c r="C2305" s="53" t="s">
        <v>203</v>
      </c>
      <c r="D2305" s="297"/>
      <c r="E2305" s="297"/>
      <c r="F23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5" s="96"/>
      <c r="H2305" s="15"/>
      <c r="I2305" s="203">
        <v>45888</v>
      </c>
      <c r="J2305" s="90" t="str">
        <f>IF(Table26[[#This Row],[customerSKU]]="","",_xlfn.XLOOKUP(Table26[[#This Row],[customerSKU]],customerSKU!G:G,customerSKU!A:A,"",0,1))</f>
        <v/>
      </c>
      <c r="K2305" s="361">
        <v>45888</v>
      </c>
      <c r="L2305" s="49" t="str">
        <f>IF(Table26[[#This Row],[customerSKU]]="","",_xlfn.XLOOKUP(Table26[[#This Row],[customerSKU]],customerSKU!G:G,customerSKU!B:B,"",0,1))</f>
        <v/>
      </c>
      <c r="N2305" s="15" t="str">
        <f>Table26[[#This Row],[po_number]]&amp;"-"&amp;Table26[[#This Row],[po_line]]</f>
        <v>-1</v>
      </c>
      <c r="O2305" s="15">
        <v>1</v>
      </c>
      <c r="P2305" s="50"/>
      <c r="Q2305" s="22" t="s">
        <v>3749</v>
      </c>
      <c r="R2305" s="22" t="s">
        <v>532</v>
      </c>
      <c r="S2305" s="90" t="str">
        <f>IF(Table26[[#This Row],[customerSKU]]="","",_xlfn.XLOOKUP(Table26[[#This Row],[customerSKU]],customerSKU!G:G,customerSKU!N:N,"NOT FOUND",0,1))</f>
        <v>NOT FOUND</v>
      </c>
      <c r="T2305" s="20">
        <v>45870</v>
      </c>
      <c r="U2305" s="97">
        <v>12</v>
      </c>
      <c r="V2305" s="22" t="str">
        <f>IF(ISBLANK(Table26[[#This Row],[customerSKU]]),"",_xlfn.XLOOKUP(Table26[[#This Row],[customerSKU]],Table27[customer_SKU],Table27[case_size],"",0,1))</f>
        <v/>
      </c>
      <c r="W2305" s="117" t="str">
        <f t="shared" si="95"/>
        <v/>
      </c>
      <c r="X2305" s="22" t="str">
        <f t="shared" si="96"/>
        <v/>
      </c>
      <c r="Y2305" s="25" t="str">
        <f>IF(Table26[[#This Row],[customerSKU]]="","",_xlfn.XLOOKUP(Table26[[#This Row],[customerSKU]],Table27[customer_SKU],Table27[product_GTIN],"",0,1))</f>
        <v/>
      </c>
      <c r="Z2305" s="25" t="s">
        <v>3652</v>
      </c>
      <c r="AA2305" s="18" t="str" cm="1">
        <f t="array" ref="AA2305">IF(P2305="", "", _xlfn.XLOOKUP(P2305,#REF!,#REF!,NA,0,-1))</f>
        <v/>
      </c>
      <c r="AB2305" s="22"/>
      <c r="AC2305" s="23" t="s">
        <v>4303</v>
      </c>
      <c r="AD2305" s="23" t="str">
        <f>IF($AC2305="","",_xlfn.XLOOKUP($AC2305,'Client Info'!$C$2:$C$2497,'Client Info'!$D$2:$D$2497,"",0,1))</f>
        <v/>
      </c>
      <c r="AE2305" s="23" t="str">
        <f>IF($AC2305="","",_xlfn.XLOOKUP($AC2305,'Client Info'!$C$2:$C$2677,'Client Info'!$E$2:$E$2677,"",))</f>
        <v/>
      </c>
      <c r="AF2305" s="23" t="str">
        <f>IF($AC2305="","",_xlfn.XLOOKUP($AC2305,'Client Info'!$C$2:$C$2677,'Client Info'!$F$2:$F$2677,"",0,1))</f>
        <v/>
      </c>
      <c r="AG2305" s="23" t="s">
        <v>4303</v>
      </c>
      <c r="AH2305" s="26" t="str">
        <f>_xlfn.XLOOKUP(Table26[[#This Row],[customerSKU]],customerSKU!G:G,customerSKU!K:K,"NA",0,1)</f>
        <v>NA</v>
      </c>
      <c r="AI2305" s="43" t="str">
        <f>_xlfn.XLOOKUP(Table26[[#This Row],[customerSKU]],customerSKU!G:G,customerSKU!O:O,"not found",0,1)</f>
        <v>not found</v>
      </c>
      <c r="AJ2305" s="22" t="e">
        <f>Table26[[#This Row],[unitprice]]*Table26[[#This Row],[quantity_unit]]</f>
        <v>#VALUE!</v>
      </c>
      <c r="AK2305" s="227" t="e" cm="1">
        <f t="array" ref="AK23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5" s="227"/>
    </row>
    <row r="2306" spans="1:38" ht="27" customHeight="1">
      <c r="A2306" s="42">
        <v>2333</v>
      </c>
      <c r="B2306" s="42" t="s">
        <v>3520</v>
      </c>
      <c r="C2306" s="53" t="s">
        <v>203</v>
      </c>
      <c r="E2306" s="20"/>
      <c r="F23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6" s="93"/>
      <c r="I2306" s="203">
        <v>45888</v>
      </c>
      <c r="J2306" s="90" t="str">
        <f>IF(Table26[[#This Row],[customerSKU]]="","",_xlfn.XLOOKUP(Table26[[#This Row],[customerSKU]],customerSKU!G:G,customerSKU!A:A,"",0,1))</f>
        <v/>
      </c>
      <c r="K2306" s="203">
        <v>45888</v>
      </c>
      <c r="L2306" s="49" t="str">
        <f>IF(Table26[[#This Row],[customerSKU]]="","",_xlfn.XLOOKUP(Table26[[#This Row],[customerSKU]],customerSKU!G:G,customerSKU!B:B,"",0,1))</f>
        <v/>
      </c>
      <c r="M2306" s="22"/>
      <c r="N2306" s="15" t="str">
        <f>Table26[[#This Row],[po_number]]&amp;"-"&amp;Table26[[#This Row],[po_line]]</f>
        <v>-2</v>
      </c>
      <c r="O2306" s="15">
        <v>2</v>
      </c>
      <c r="P2306" s="50"/>
      <c r="Q2306" s="22" t="s">
        <v>3500</v>
      </c>
      <c r="R2306" s="15" t="s">
        <v>532</v>
      </c>
      <c r="S2306" s="90" t="str">
        <f>IF(Table26[[#This Row],[customerSKU]]="","",_xlfn.XLOOKUP(Table26[[#This Row],[customerSKU]],customerSKU!G:G,customerSKU!N:N,"NOT FOUND",0,1))</f>
        <v>NOT FOUND</v>
      </c>
      <c r="T2306" s="20">
        <v>45770</v>
      </c>
      <c r="U2306" s="94">
        <v>12</v>
      </c>
      <c r="V2306" s="22" t="str">
        <f>IF(ISBLANK(Table26[[#This Row],[customerSKU]]),"",_xlfn.XLOOKUP(Table26[[#This Row],[customerSKU]],Table27[customer_SKU],Table27[case_size],"",0,1))</f>
        <v/>
      </c>
      <c r="W2306" s="117" t="str">
        <f t="shared" si="95"/>
        <v/>
      </c>
      <c r="X2306" s="22" t="str">
        <f t="shared" si="96"/>
        <v/>
      </c>
      <c r="Y2306" s="25" t="str">
        <f>IF(Table26[[#This Row],[customerSKU]]="","",_xlfn.XLOOKUP(Table26[[#This Row],[customerSKU]],Table27[customer_SKU],Table27[product_GTIN],"",0,1))</f>
        <v/>
      </c>
      <c r="Z2306" s="25" t="s">
        <v>3650</v>
      </c>
      <c r="AA2306" s="18" t="str" cm="1">
        <f t="array" ref="AA2306">IF(P2306="", "", _xlfn.XLOOKUP(P2306,#REF!,#REF!,NA,0,-1))</f>
        <v/>
      </c>
      <c r="AB2306" s="22"/>
      <c r="AC2306" s="23" t="s">
        <v>4303</v>
      </c>
      <c r="AD2306" s="23" t="str">
        <f>IF($AC2306="","",_xlfn.XLOOKUP($AC2306,'Client Info'!$C$2:$C$2497,'Client Info'!$D$2:$D$2497,"",0,1))</f>
        <v/>
      </c>
      <c r="AE2306" s="23" t="str">
        <f>IF($AC2306="","",_xlfn.XLOOKUP($AC2306,'Client Info'!$C$2:$C$2677,'Client Info'!$E$2:$E$2677,"",))</f>
        <v/>
      </c>
      <c r="AF2306" s="23" t="str">
        <f>IF($AC2306="","",_xlfn.XLOOKUP($AC2306,'Client Info'!$C$2:$C$2677,'Client Info'!$F$2:$F$2677,"",0,1))</f>
        <v/>
      </c>
      <c r="AG2306" s="23" t="s">
        <v>4303</v>
      </c>
      <c r="AH2306" s="26" t="str">
        <f>_xlfn.XLOOKUP(Table26[[#This Row],[customerSKU]],customerSKU!G:G,customerSKU!K:K,"NA",0,1)</f>
        <v>NA</v>
      </c>
      <c r="AI2306" s="43" t="str">
        <f>_xlfn.XLOOKUP(Table26[[#This Row],[customerSKU]],customerSKU!G:G,customerSKU!O:O,"not found",0,1)</f>
        <v>not found</v>
      </c>
      <c r="AJ2306" s="22" t="e">
        <f>Table26[[#This Row],[unitprice]]*Table26[[#This Row],[quantity_unit]]</f>
        <v>#VALUE!</v>
      </c>
      <c r="AK2306" s="227" t="e" cm="1">
        <f t="array" ref="AK23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6" s="227"/>
    </row>
    <row r="2307" spans="1:38" ht="27" customHeight="1">
      <c r="A2307" s="42">
        <v>2337</v>
      </c>
      <c r="B2307" s="42" t="s">
        <v>3520</v>
      </c>
      <c r="C2307" s="53" t="s">
        <v>3427</v>
      </c>
      <c r="E2307" s="20"/>
      <c r="F23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7" s="93"/>
      <c r="I2307" s="203">
        <v>45889</v>
      </c>
      <c r="J2307" s="90" t="str">
        <f>IF(Table26[[#This Row],[customerSKU]]="","",_xlfn.XLOOKUP(Table26[[#This Row],[customerSKU]],customerSKU!G:G,customerSKU!A:A,"",0,1))</f>
        <v/>
      </c>
      <c r="K2307" s="19">
        <v>45894</v>
      </c>
      <c r="L2307" s="49" t="str">
        <f>IF(Table26[[#This Row],[customerSKU]]="","",_xlfn.XLOOKUP(Table26[[#This Row],[customerSKU]],customerSKU!G:G,customerSKU!B:B,"",0,1))</f>
        <v/>
      </c>
      <c r="M2307" s="22"/>
      <c r="N2307" s="15" t="str">
        <f>Table26[[#This Row],[po_number]]&amp;"-"&amp;Table26[[#This Row],[po_line]]</f>
        <v>-1</v>
      </c>
      <c r="O2307" s="15">
        <v>1</v>
      </c>
      <c r="P2307" s="50"/>
      <c r="Q2307" s="22" t="s">
        <v>869</v>
      </c>
      <c r="R2307" s="15" t="s">
        <v>532</v>
      </c>
      <c r="S2307" s="90" t="str">
        <f>IF(Table26[[#This Row],[customerSKU]]="","",_xlfn.XLOOKUP(Table26[[#This Row],[customerSKU]],customerSKU!G:G,customerSKU!N:N,"NOT FOUND",0,1))</f>
        <v>NOT FOUND</v>
      </c>
      <c r="T2307" s="20">
        <v>45828</v>
      </c>
      <c r="U2307" s="94">
        <v>12</v>
      </c>
      <c r="V2307" s="22" t="str">
        <f>IF(ISBLANK(Table26[[#This Row],[customerSKU]]),"",_xlfn.XLOOKUP(Table26[[#This Row],[customerSKU]],Table27[customer_SKU],Table27[case_size],"",0,1))</f>
        <v/>
      </c>
      <c r="W2307" s="117" t="str">
        <f t="shared" si="95"/>
        <v/>
      </c>
      <c r="X2307" s="22" t="str">
        <f t="shared" si="96"/>
        <v/>
      </c>
      <c r="Y2307" s="25" t="str">
        <f>IF(Table26[[#This Row],[customerSKU]]="","",_xlfn.XLOOKUP(Table26[[#This Row],[customerSKU]],Table27[customer_SKU],Table27[product_GTIN],"",0,1))</f>
        <v/>
      </c>
      <c r="Z2307" s="25" t="s">
        <v>3610</v>
      </c>
      <c r="AA2307" s="18" t="str" cm="1">
        <f t="array" ref="AA2307">IF(P2307="", "", _xlfn.XLOOKUP(P2307,#REF!,#REF!,NA,0,-1))</f>
        <v/>
      </c>
      <c r="AB2307" s="22"/>
      <c r="AC2307" s="23" t="s">
        <v>109</v>
      </c>
      <c r="AD2307" s="23" t="str">
        <f>IF($AC2307="","",_xlfn.XLOOKUP($AC2307,'Client Info'!$C$2:$C$2497,'Client Info'!$D$2:$D$2497,"",0,1))</f>
        <v/>
      </c>
      <c r="AE2307" s="23" t="str">
        <f>IF($AC2307="","",_xlfn.XLOOKUP($AC2307,'Client Info'!$C$2:$C$2677,'Client Info'!$E$2:$E$2677,"",))</f>
        <v/>
      </c>
      <c r="AF2307" s="23" t="str">
        <f>IF($AC2307="","",_xlfn.XLOOKUP($AC2307,'Client Info'!$C$2:$C$2677,'Client Info'!$F$2:$F$2677,"",0,1))</f>
        <v/>
      </c>
      <c r="AG2307" s="23" t="s">
        <v>109</v>
      </c>
      <c r="AH2307" s="26" t="str">
        <f>_xlfn.XLOOKUP(Table26[[#This Row],[customerSKU]],customerSKU!G:G,customerSKU!K:K,"NA",0,1)</f>
        <v>NA</v>
      </c>
      <c r="AI2307" s="43" t="str">
        <f>_xlfn.XLOOKUP(Table26[[#This Row],[customerSKU]],customerSKU!G:G,customerSKU!O:O,"not found",0,1)</f>
        <v>not found</v>
      </c>
      <c r="AJ2307" s="22" t="e">
        <f>Table26[[#This Row],[unitprice]]*Table26[[#This Row],[quantity_unit]]</f>
        <v>#VALUE!</v>
      </c>
      <c r="AK2307" s="227" t="e" cm="1">
        <f t="array" ref="AK23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7" s="227"/>
    </row>
    <row r="2308" spans="1:38" ht="27" customHeight="1">
      <c r="A2308" s="42">
        <v>2338</v>
      </c>
      <c r="B2308" s="42" t="s">
        <v>3520</v>
      </c>
      <c r="C2308" s="53" t="s">
        <v>3427</v>
      </c>
      <c r="E2308" s="20"/>
      <c r="F23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8" s="93"/>
      <c r="I2308" s="203">
        <v>45889</v>
      </c>
      <c r="J2308" s="90" t="str">
        <f>IF(Table26[[#This Row],[customerSKU]]="","",_xlfn.XLOOKUP(Table26[[#This Row],[customerSKU]],customerSKU!G:G,customerSKU!A:A,"",0,1))</f>
        <v/>
      </c>
      <c r="K2308" s="19">
        <v>45894</v>
      </c>
      <c r="L2308" s="49" t="str">
        <f>IF(Table26[[#This Row],[customerSKU]]="","",_xlfn.XLOOKUP(Table26[[#This Row],[customerSKU]],customerSKU!G:G,customerSKU!B:B,"",0,1))</f>
        <v/>
      </c>
      <c r="M2308" s="22"/>
      <c r="N2308" s="15" t="str">
        <f>Table26[[#This Row],[po_number]]&amp;"-"&amp;Table26[[#This Row],[po_line]]</f>
        <v>-2</v>
      </c>
      <c r="O2308" s="15">
        <v>2</v>
      </c>
      <c r="P2308" s="50"/>
      <c r="Q2308" s="22" t="s">
        <v>1575</v>
      </c>
      <c r="R2308" s="15" t="s">
        <v>532</v>
      </c>
      <c r="S2308" s="90" t="str">
        <f>IF(Table26[[#This Row],[customerSKU]]="","",_xlfn.XLOOKUP(Table26[[#This Row],[customerSKU]],customerSKU!G:G,customerSKU!N:N,"NOT FOUND",0,1))</f>
        <v>NOT FOUND</v>
      </c>
      <c r="T2308" s="384">
        <v>45742</v>
      </c>
      <c r="U2308" s="94">
        <v>12</v>
      </c>
      <c r="V2308" s="22" t="str">
        <f>IF(ISBLANK(Table26[[#This Row],[customerSKU]]),"",_xlfn.XLOOKUP(Table26[[#This Row],[customerSKU]],Table27[customer_SKU],Table27[case_size],"",0,1))</f>
        <v/>
      </c>
      <c r="W2308" s="117" t="str">
        <f t="shared" si="95"/>
        <v/>
      </c>
      <c r="X2308" s="22" t="str">
        <f t="shared" si="96"/>
        <v/>
      </c>
      <c r="Y2308" s="25" t="str">
        <f>IF(Table26[[#This Row],[customerSKU]]="","",_xlfn.XLOOKUP(Table26[[#This Row],[customerSKU]],Table27[customer_SKU],Table27[product_GTIN],"",0,1))</f>
        <v/>
      </c>
      <c r="Z2308" s="25" t="s">
        <v>3609</v>
      </c>
      <c r="AA2308" s="18" t="str" cm="1">
        <f t="array" ref="AA2308">IF(P2308="", "", _xlfn.XLOOKUP(P2308,#REF!,#REF!,NA,0,-1))</f>
        <v/>
      </c>
      <c r="AB2308" s="22"/>
      <c r="AC2308" s="23" t="s">
        <v>109</v>
      </c>
      <c r="AD2308" s="23" t="str">
        <f>IF($AC2308="","",_xlfn.XLOOKUP($AC2308,'Client Info'!$C$2:$C$2497,'Client Info'!$D$2:$D$2497,"",0,1))</f>
        <v/>
      </c>
      <c r="AE2308" s="23" t="str">
        <f>IF($AC2308="","",_xlfn.XLOOKUP($AC2308,'Client Info'!$C$2:$C$2677,'Client Info'!$E$2:$E$2677,"",))</f>
        <v/>
      </c>
      <c r="AF2308" s="23" t="str">
        <f>IF($AC2308="","",_xlfn.XLOOKUP($AC2308,'Client Info'!$C$2:$C$2677,'Client Info'!$F$2:$F$2677,"",0,1))</f>
        <v/>
      </c>
      <c r="AG2308" s="23" t="s">
        <v>109</v>
      </c>
      <c r="AH2308" s="26" t="str">
        <f>_xlfn.XLOOKUP(Table26[[#This Row],[customerSKU]],customerSKU!G:G,customerSKU!K:K,"NA",0,1)</f>
        <v>NA</v>
      </c>
      <c r="AI2308" s="43" t="str">
        <f>_xlfn.XLOOKUP(Table26[[#This Row],[customerSKU]],customerSKU!G:G,customerSKU!O:O,"not found",0,1)</f>
        <v>not found</v>
      </c>
      <c r="AJ2308" s="22" t="e">
        <f>Table26[[#This Row],[unitprice]]*Table26[[#This Row],[quantity_unit]]</f>
        <v>#VALUE!</v>
      </c>
      <c r="AK2308" s="227" t="e" cm="1">
        <f t="array" ref="AK23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8" s="227"/>
    </row>
    <row r="2309" spans="1:38" ht="27" customHeight="1">
      <c r="A2309" s="42">
        <v>2339</v>
      </c>
      <c r="B2309" s="42" t="s">
        <v>3520</v>
      </c>
      <c r="C2309" s="53" t="s">
        <v>3427</v>
      </c>
      <c r="E2309" s="20"/>
      <c r="F23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09" s="93"/>
      <c r="I2309" s="203">
        <v>45889</v>
      </c>
      <c r="J2309" s="90" t="str">
        <f>IF(Table26[[#This Row],[customerSKU]]="","",_xlfn.XLOOKUP(Table26[[#This Row],[customerSKU]],customerSKU!G:G,customerSKU!A:A,"",0,1))</f>
        <v/>
      </c>
      <c r="K2309" s="19">
        <v>45894</v>
      </c>
      <c r="L2309" s="49" t="str">
        <f>IF(Table26[[#This Row],[customerSKU]]="","",_xlfn.XLOOKUP(Table26[[#This Row],[customerSKU]],customerSKU!G:G,customerSKU!B:B,"",0,1))</f>
        <v/>
      </c>
      <c r="M2309" s="22"/>
      <c r="N2309" s="15" t="str">
        <f>Table26[[#This Row],[po_number]]&amp;"-"&amp;Table26[[#This Row],[po_line]]</f>
        <v>-3</v>
      </c>
      <c r="O2309" s="15">
        <v>3</v>
      </c>
      <c r="P2309" s="50"/>
      <c r="Q2309" s="22" t="s">
        <v>831</v>
      </c>
      <c r="R2309" s="15" t="s">
        <v>532</v>
      </c>
      <c r="S2309" s="90" t="str">
        <f>IF(Table26[[#This Row],[customerSKU]]="","",_xlfn.XLOOKUP(Table26[[#This Row],[customerSKU]],customerSKU!G:G,customerSKU!N:N,"NOT FOUND",0,1))</f>
        <v>NOT FOUND</v>
      </c>
      <c r="T2309" s="384">
        <v>45889</v>
      </c>
      <c r="U2309" s="94">
        <v>12</v>
      </c>
      <c r="V2309" s="22" t="str">
        <f>IF(ISBLANK(Table26[[#This Row],[customerSKU]]),"",_xlfn.XLOOKUP(Table26[[#This Row],[customerSKU]],Table27[customer_SKU],Table27[case_size],"",0,1))</f>
        <v/>
      </c>
      <c r="W2309" s="117" t="str">
        <f t="shared" si="95"/>
        <v/>
      </c>
      <c r="X2309" s="22" t="str">
        <f t="shared" si="96"/>
        <v/>
      </c>
      <c r="Y2309" s="25" t="str">
        <f>IF(Table26[[#This Row],[customerSKU]]="","",_xlfn.XLOOKUP(Table26[[#This Row],[customerSKU]],Table27[customer_SKU],Table27[product_GTIN],"",0,1))</f>
        <v/>
      </c>
      <c r="Z2309" s="25" t="s">
        <v>3550</v>
      </c>
      <c r="AA2309" s="18" t="str" cm="1">
        <f t="array" ref="AA2309">IF(P2309="", "", _xlfn.XLOOKUP(P2309,#REF!,#REF!,NA,0,-1))</f>
        <v/>
      </c>
      <c r="AB2309" s="22"/>
      <c r="AC2309" s="23" t="s">
        <v>109</v>
      </c>
      <c r="AD2309" s="23" t="str">
        <f>IF($AC2309="","",_xlfn.XLOOKUP($AC2309,'Client Info'!$C$2:$C$2497,'Client Info'!$D$2:$D$2497,"",0,1))</f>
        <v/>
      </c>
      <c r="AE2309" s="23" t="str">
        <f>IF($AC2309="","",_xlfn.XLOOKUP($AC2309,'Client Info'!$C$2:$C$2677,'Client Info'!$E$2:$E$2677,"",))</f>
        <v/>
      </c>
      <c r="AF2309" s="23" t="str">
        <f>IF($AC2309="","",_xlfn.XLOOKUP($AC2309,'Client Info'!$C$2:$C$2677,'Client Info'!$F$2:$F$2677,"",0,1))</f>
        <v/>
      </c>
      <c r="AG2309" s="23" t="s">
        <v>109</v>
      </c>
      <c r="AH2309" s="26" t="str">
        <f>_xlfn.XLOOKUP(Table26[[#This Row],[customerSKU]],customerSKU!G:G,customerSKU!K:K,"NA",0,1)</f>
        <v>NA</v>
      </c>
      <c r="AI2309" s="43" t="str">
        <f>_xlfn.XLOOKUP(Table26[[#This Row],[customerSKU]],customerSKU!G:G,customerSKU!O:O,"not found",0,1)</f>
        <v>not found</v>
      </c>
      <c r="AJ2309" s="22" t="e">
        <f>Table26[[#This Row],[unitprice]]*Table26[[#This Row],[quantity_unit]]</f>
        <v>#VALUE!</v>
      </c>
      <c r="AK2309" s="227" t="e" cm="1">
        <f t="array" ref="AK23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09" s="227"/>
    </row>
    <row r="2310" spans="1:38" ht="27" customHeight="1">
      <c r="A2310" s="42">
        <v>2340</v>
      </c>
      <c r="B2310" s="42" t="s">
        <v>3520</v>
      </c>
      <c r="C2310" s="53" t="s">
        <v>3427</v>
      </c>
      <c r="E2310" s="20"/>
      <c r="F23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0" s="93"/>
      <c r="I2310" s="203">
        <v>45889</v>
      </c>
      <c r="J2310" s="90" t="str">
        <f>IF(Table26[[#This Row],[customerSKU]]="","",_xlfn.XLOOKUP(Table26[[#This Row],[customerSKU]],customerSKU!G:G,customerSKU!A:A,"",0,1))</f>
        <v/>
      </c>
      <c r="K2310" s="19">
        <v>45894</v>
      </c>
      <c r="L2310" s="49" t="str">
        <f>IF(Table26[[#This Row],[customerSKU]]="","",_xlfn.XLOOKUP(Table26[[#This Row],[customerSKU]],customerSKU!G:G,customerSKU!B:B,"",0,1))</f>
        <v/>
      </c>
      <c r="M2310" s="22"/>
      <c r="N2310" s="15" t="str">
        <f>Table26[[#This Row],[po_number]]&amp;"-"&amp;Table26[[#This Row],[po_line]]</f>
        <v>-4</v>
      </c>
      <c r="O2310" s="15">
        <v>4</v>
      </c>
      <c r="P2310" s="50"/>
      <c r="Q2310" s="22" t="s">
        <v>574</v>
      </c>
      <c r="R2310" s="15" t="s">
        <v>532</v>
      </c>
      <c r="S2310" s="90" t="str">
        <f>IF(Table26[[#This Row],[customerSKU]]="","",_xlfn.XLOOKUP(Table26[[#This Row],[customerSKU]],customerSKU!G:G,customerSKU!N:N,"NOT FOUND",0,1))</f>
        <v>NOT FOUND</v>
      </c>
      <c r="T2310" s="20">
        <v>45848</v>
      </c>
      <c r="U2310" s="94">
        <v>12</v>
      </c>
      <c r="V2310" s="22" t="str">
        <f>IF(ISBLANK(Table26[[#This Row],[customerSKU]]),"",_xlfn.XLOOKUP(Table26[[#This Row],[customerSKU]],Table27[customer_SKU],Table27[case_size],"",0,1))</f>
        <v/>
      </c>
      <c r="W2310" s="117" t="str">
        <f t="shared" si="95"/>
        <v/>
      </c>
      <c r="X2310" s="22" t="str">
        <f t="shared" si="96"/>
        <v/>
      </c>
      <c r="Y2310" s="25" t="str">
        <f>IF(Table26[[#This Row],[customerSKU]]="","",_xlfn.XLOOKUP(Table26[[#This Row],[customerSKU]],Table27[customer_SKU],Table27[product_GTIN],"",0,1))</f>
        <v/>
      </c>
      <c r="Z2310" s="25" t="s">
        <v>3530</v>
      </c>
      <c r="AA2310" s="18" t="str" cm="1">
        <f t="array" ref="AA2310">IF(P2310="", "", _xlfn.XLOOKUP(P2310,#REF!,#REF!,NA,0,-1))</f>
        <v/>
      </c>
      <c r="AB2310" s="22"/>
      <c r="AC2310" s="23" t="s">
        <v>109</v>
      </c>
      <c r="AD2310" s="23" t="str">
        <f>IF($AC2310="","",_xlfn.XLOOKUP($AC2310,'Client Info'!$C$2:$C$2497,'Client Info'!$D$2:$D$2497,"",0,1))</f>
        <v/>
      </c>
      <c r="AE2310" s="23" t="str">
        <f>IF($AC2310="","",_xlfn.XLOOKUP($AC2310,'Client Info'!$C$2:$C$2677,'Client Info'!$E$2:$E$2677,"",))</f>
        <v/>
      </c>
      <c r="AF2310" s="23" t="str">
        <f>IF($AC2310="","",_xlfn.XLOOKUP($AC2310,'Client Info'!$C$2:$C$2677,'Client Info'!$F$2:$F$2677,"",0,1))</f>
        <v/>
      </c>
      <c r="AG2310" s="23" t="s">
        <v>109</v>
      </c>
      <c r="AH2310" s="26" t="str">
        <f>_xlfn.XLOOKUP(Table26[[#This Row],[customerSKU]],customerSKU!G:G,customerSKU!K:K,"NA",0,1)</f>
        <v>NA</v>
      </c>
      <c r="AI2310" s="43" t="str">
        <f>_xlfn.XLOOKUP(Table26[[#This Row],[customerSKU]],customerSKU!G:G,customerSKU!O:O,"not found",0,1)</f>
        <v>not found</v>
      </c>
      <c r="AJ2310" s="22" t="e">
        <f>Table26[[#This Row],[unitprice]]*Table26[[#This Row],[quantity_unit]]</f>
        <v>#VALUE!</v>
      </c>
      <c r="AK2310" s="227" t="e" cm="1">
        <f t="array" ref="AK23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0" s="227"/>
    </row>
    <row r="2311" spans="1:38" ht="27" customHeight="1">
      <c r="A2311" s="42">
        <v>2341</v>
      </c>
      <c r="B2311" s="42" t="s">
        <v>3520</v>
      </c>
      <c r="C2311" s="53" t="s">
        <v>3427</v>
      </c>
      <c r="E2311" s="20"/>
      <c r="F23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1" s="93"/>
      <c r="I2311" s="203">
        <v>45889</v>
      </c>
      <c r="J2311" s="90" t="str">
        <f>IF(Table26[[#This Row],[customerSKU]]="","",_xlfn.XLOOKUP(Table26[[#This Row],[customerSKU]],customerSKU!G:G,customerSKU!A:A,"",0,1))</f>
        <v/>
      </c>
      <c r="K2311" s="19">
        <v>45894</v>
      </c>
      <c r="L2311" s="49" t="str">
        <f>IF(Table26[[#This Row],[customerSKU]]="","",_xlfn.XLOOKUP(Table26[[#This Row],[customerSKU]],customerSKU!G:G,customerSKU!B:B,"",0,1))</f>
        <v/>
      </c>
      <c r="M2311" s="22"/>
      <c r="N2311" s="15" t="str">
        <f>Table26[[#This Row],[po_number]]&amp;"-"&amp;Table26[[#This Row],[po_line]]</f>
        <v>-5</v>
      </c>
      <c r="O2311" s="15">
        <v>5</v>
      </c>
      <c r="P2311" s="50"/>
      <c r="Q2311" s="22" t="s">
        <v>1823</v>
      </c>
      <c r="R2311" s="15" t="s">
        <v>532</v>
      </c>
      <c r="S2311" s="90" t="str">
        <f>IF(Table26[[#This Row],[customerSKU]]="","",_xlfn.XLOOKUP(Table26[[#This Row],[customerSKU]],customerSKU!G:G,customerSKU!N:N,"NOT FOUND",0,1))</f>
        <v>NOT FOUND</v>
      </c>
      <c r="T2311" s="20">
        <v>45880</v>
      </c>
      <c r="U2311" s="94">
        <v>12</v>
      </c>
      <c r="V2311" s="22" t="str">
        <f>IF(ISBLANK(Table26[[#This Row],[customerSKU]]),"",_xlfn.XLOOKUP(Table26[[#This Row],[customerSKU]],Table27[customer_SKU],Table27[case_size],"",0,1))</f>
        <v/>
      </c>
      <c r="W2311" s="117" t="str">
        <f t="shared" si="95"/>
        <v/>
      </c>
      <c r="X2311" s="22" t="str">
        <f t="shared" si="96"/>
        <v/>
      </c>
      <c r="Y2311" s="25" t="str">
        <f>IF(Table26[[#This Row],[customerSKU]]="","",_xlfn.XLOOKUP(Table26[[#This Row],[customerSKU]],Table27[customer_SKU],Table27[product_GTIN],"",0,1))</f>
        <v/>
      </c>
      <c r="Z2311" s="25" t="s">
        <v>3690</v>
      </c>
      <c r="AA2311" s="18" t="str" cm="1">
        <f t="array" ref="AA2311">IF(P2311="", "", _xlfn.XLOOKUP(P2311,#REF!,#REF!,NA,0,-1))</f>
        <v/>
      </c>
      <c r="AB2311" s="22"/>
      <c r="AC2311" s="23" t="s">
        <v>109</v>
      </c>
      <c r="AD2311" s="23" t="str">
        <f>IF($AC2311="","",_xlfn.XLOOKUP($AC2311,'Client Info'!$C$2:$C$2497,'Client Info'!$D$2:$D$2497,"",0,1))</f>
        <v/>
      </c>
      <c r="AE2311" s="23" t="str">
        <f>IF($AC2311="","",_xlfn.XLOOKUP($AC2311,'Client Info'!$C$2:$C$2677,'Client Info'!$E$2:$E$2677,"",))</f>
        <v/>
      </c>
      <c r="AF2311" s="23" t="str">
        <f>IF($AC2311="","",_xlfn.XLOOKUP($AC2311,'Client Info'!$C$2:$C$2677,'Client Info'!$F$2:$F$2677,"",0,1))</f>
        <v/>
      </c>
      <c r="AG2311" s="23" t="s">
        <v>109</v>
      </c>
      <c r="AH2311" s="26" t="str">
        <f>_xlfn.XLOOKUP(Table26[[#This Row],[customerSKU]],customerSKU!G:G,customerSKU!K:K,"NA",0,1)</f>
        <v>NA</v>
      </c>
      <c r="AI2311" s="43" t="str">
        <f>_xlfn.XLOOKUP(Table26[[#This Row],[customerSKU]],customerSKU!G:G,customerSKU!O:O,"not found",0,1)</f>
        <v>not found</v>
      </c>
      <c r="AJ2311" s="22" t="e">
        <f>Table26[[#This Row],[unitprice]]*Table26[[#This Row],[quantity_unit]]</f>
        <v>#VALUE!</v>
      </c>
      <c r="AK2311" s="227" t="e" cm="1">
        <f t="array" ref="AK23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1" s="227"/>
    </row>
    <row r="2312" spans="1:38" ht="27" customHeight="1">
      <c r="A2312" s="42">
        <v>2342</v>
      </c>
      <c r="B2312" s="42" t="s">
        <v>3520</v>
      </c>
      <c r="C2312" s="53" t="s">
        <v>3427</v>
      </c>
      <c r="E2312" s="20"/>
      <c r="F23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2" s="93"/>
      <c r="I2312" s="203">
        <v>45889</v>
      </c>
      <c r="J2312" s="90" t="str">
        <f>IF(Table26[[#This Row],[customerSKU]]="","",_xlfn.XLOOKUP(Table26[[#This Row],[customerSKU]],customerSKU!G:G,customerSKU!A:A,"",0,1))</f>
        <v/>
      </c>
      <c r="K2312" s="19">
        <v>45894</v>
      </c>
      <c r="L2312" s="49" t="str">
        <f>IF(Table26[[#This Row],[customerSKU]]="","",_xlfn.XLOOKUP(Table26[[#This Row],[customerSKU]],customerSKU!G:G,customerSKU!B:B,"",0,1))</f>
        <v/>
      </c>
      <c r="M2312" s="22"/>
      <c r="N2312" s="15" t="str">
        <f>Table26[[#This Row],[po_number]]&amp;"-"&amp;Table26[[#This Row],[po_line]]</f>
        <v>-6</v>
      </c>
      <c r="O2312" s="15">
        <v>6</v>
      </c>
      <c r="P2312" s="50"/>
      <c r="Q2312" s="22" t="s">
        <v>1829</v>
      </c>
      <c r="R2312" s="15" t="s">
        <v>532</v>
      </c>
      <c r="S2312" s="90" t="str">
        <f>IF(Table26[[#This Row],[customerSKU]]="","",_xlfn.XLOOKUP(Table26[[#This Row],[customerSKU]],customerSKU!G:G,customerSKU!N:N,"NOT FOUND",0,1))</f>
        <v>NOT FOUND</v>
      </c>
      <c r="T2312" s="20">
        <v>45881</v>
      </c>
      <c r="U2312" s="94">
        <v>12</v>
      </c>
      <c r="V2312" s="22" t="str">
        <f>IF(ISBLANK(Table26[[#This Row],[customerSKU]]),"",_xlfn.XLOOKUP(Table26[[#This Row],[customerSKU]],Table27[customer_SKU],Table27[case_size],"",0,1))</f>
        <v/>
      </c>
      <c r="W2312" s="117" t="str">
        <f t="shared" si="95"/>
        <v/>
      </c>
      <c r="X2312" s="22" t="str">
        <f t="shared" si="96"/>
        <v/>
      </c>
      <c r="Y2312" s="25" t="str">
        <f>IF(Table26[[#This Row],[customerSKU]]="","",_xlfn.XLOOKUP(Table26[[#This Row],[customerSKU]],Table27[customer_SKU],Table27[product_GTIN],"",0,1))</f>
        <v/>
      </c>
      <c r="Z2312" s="25" t="s">
        <v>3522</v>
      </c>
      <c r="AA2312" s="18" t="str" cm="1">
        <f t="array" ref="AA2312">IF(P2312="", "", _xlfn.XLOOKUP(P2312,#REF!,#REF!,NA,0,-1))</f>
        <v/>
      </c>
      <c r="AB2312" s="22"/>
      <c r="AC2312" s="23" t="s">
        <v>109</v>
      </c>
      <c r="AD2312" s="23" t="str">
        <f>IF($AC2312="","",_xlfn.XLOOKUP($AC2312,'Client Info'!$C$2:$C$2497,'Client Info'!$D$2:$D$2497,"",0,1))</f>
        <v/>
      </c>
      <c r="AE2312" s="23" t="str">
        <f>IF($AC2312="","",_xlfn.XLOOKUP($AC2312,'Client Info'!$C$2:$C$2677,'Client Info'!$E$2:$E$2677,"",))</f>
        <v/>
      </c>
      <c r="AF2312" s="23" t="str">
        <f>IF($AC2312="","",_xlfn.XLOOKUP($AC2312,'Client Info'!$C$2:$C$2677,'Client Info'!$F$2:$F$2677,"",0,1))</f>
        <v/>
      </c>
      <c r="AG2312" s="23" t="s">
        <v>109</v>
      </c>
      <c r="AH2312" s="26" t="str">
        <f>_xlfn.XLOOKUP(Table26[[#This Row],[customerSKU]],customerSKU!G:G,customerSKU!K:K,"NA",0,1)</f>
        <v>NA</v>
      </c>
      <c r="AI2312" s="43" t="str">
        <f>_xlfn.XLOOKUP(Table26[[#This Row],[customerSKU]],customerSKU!G:G,customerSKU!O:O,"not found",0,1)</f>
        <v>not found</v>
      </c>
      <c r="AJ2312" s="22" t="e">
        <f>Table26[[#This Row],[unitprice]]*Table26[[#This Row],[quantity_unit]]</f>
        <v>#VALUE!</v>
      </c>
      <c r="AK2312" s="227" t="e" cm="1">
        <f t="array" ref="AK23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2" s="227"/>
    </row>
    <row r="2313" spans="1:38" ht="27" customHeight="1">
      <c r="A2313" s="42">
        <v>2343</v>
      </c>
      <c r="B2313" s="42" t="s">
        <v>3520</v>
      </c>
      <c r="C2313" s="53" t="s">
        <v>3427</v>
      </c>
      <c r="E2313" s="20"/>
      <c r="F23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3" s="93"/>
      <c r="I2313" s="203">
        <v>45889</v>
      </c>
      <c r="J2313" s="90" t="str">
        <f>IF(Table26[[#This Row],[customerSKU]]="","",_xlfn.XLOOKUP(Table26[[#This Row],[customerSKU]],customerSKU!G:G,customerSKU!A:A,"",0,1))</f>
        <v/>
      </c>
      <c r="K2313" s="19">
        <v>45894</v>
      </c>
      <c r="L2313" s="49" t="str">
        <f>IF(Table26[[#This Row],[customerSKU]]="","",_xlfn.XLOOKUP(Table26[[#This Row],[customerSKU]],customerSKU!G:G,customerSKU!B:B,"",0,1))</f>
        <v/>
      </c>
      <c r="M2313" s="22"/>
      <c r="N2313" s="15" t="str">
        <f>Table26[[#This Row],[po_number]]&amp;"-"&amp;Table26[[#This Row],[po_line]]</f>
        <v>-7</v>
      </c>
      <c r="O2313" s="15">
        <v>7</v>
      </c>
      <c r="P2313" s="50"/>
      <c r="Q2313" s="22" t="s">
        <v>4261</v>
      </c>
      <c r="R2313" s="15" t="s">
        <v>532</v>
      </c>
      <c r="S2313" s="90" t="str">
        <f>IF(Table26[[#This Row],[customerSKU]]="","",_xlfn.XLOOKUP(Table26[[#This Row],[customerSKU]],customerSKU!G:G,customerSKU!N:N,"NOT FOUND",0,1))</f>
        <v>NOT FOUND</v>
      </c>
      <c r="T2313" s="384">
        <v>45888</v>
      </c>
      <c r="U2313" s="94">
        <v>12</v>
      </c>
      <c r="V2313" s="22" t="str">
        <f>IF(ISBLANK(Table26[[#This Row],[customerSKU]]),"",_xlfn.XLOOKUP(Table26[[#This Row],[customerSKU]],Table27[customer_SKU],Table27[case_size],"",0,1))</f>
        <v/>
      </c>
      <c r="W2313" s="117" t="str">
        <f t="shared" si="95"/>
        <v/>
      </c>
      <c r="X2313" s="22" t="str">
        <f t="shared" si="96"/>
        <v/>
      </c>
      <c r="Y2313" s="25" t="str">
        <f>IF(Table26[[#This Row],[customerSKU]]="","",_xlfn.XLOOKUP(Table26[[#This Row],[customerSKU]],Table27[customer_SKU],Table27[product_GTIN],"",0,1))</f>
        <v/>
      </c>
      <c r="Z2313" s="25" t="s">
        <v>3525</v>
      </c>
      <c r="AA2313" s="18" t="str" cm="1">
        <f t="array" ref="AA2313">IF(P2313="", "", _xlfn.XLOOKUP(P2313,#REF!,#REF!,NA,0,-1))</f>
        <v/>
      </c>
      <c r="AB2313" s="22"/>
      <c r="AC2313" s="23" t="s">
        <v>109</v>
      </c>
      <c r="AD2313" s="23" t="str">
        <f>IF($AC2313="","",_xlfn.XLOOKUP($AC2313,'Client Info'!$C$2:$C$2497,'Client Info'!$D$2:$D$2497,"",0,1))</f>
        <v/>
      </c>
      <c r="AE2313" s="23" t="str">
        <f>IF($AC2313="","",_xlfn.XLOOKUP($AC2313,'Client Info'!$C$2:$C$2677,'Client Info'!$E$2:$E$2677,"",))</f>
        <v/>
      </c>
      <c r="AF2313" s="23" t="str">
        <f>IF($AC2313="","",_xlfn.XLOOKUP($AC2313,'Client Info'!$C$2:$C$2677,'Client Info'!$F$2:$F$2677,"",0,1))</f>
        <v/>
      </c>
      <c r="AG2313" s="23" t="s">
        <v>109</v>
      </c>
      <c r="AH2313" s="26" t="str">
        <f>_xlfn.XLOOKUP(Table26[[#This Row],[customerSKU]],customerSKU!G:G,customerSKU!K:K,"NA",0,1)</f>
        <v>NA</v>
      </c>
      <c r="AI2313" s="43" t="str">
        <f>_xlfn.XLOOKUP(Table26[[#This Row],[customerSKU]],customerSKU!G:G,customerSKU!O:O,"not found",0,1)</f>
        <v>not found</v>
      </c>
      <c r="AJ2313" s="22" t="e">
        <f>Table26[[#This Row],[unitprice]]*Table26[[#This Row],[quantity_unit]]</f>
        <v>#VALUE!</v>
      </c>
      <c r="AK2313" s="227" t="e" cm="1">
        <f t="array" ref="AK23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3" s="227"/>
    </row>
    <row r="2314" spans="1:38" ht="27" customHeight="1">
      <c r="A2314" s="42">
        <v>2344</v>
      </c>
      <c r="B2314" s="42" t="s">
        <v>3520</v>
      </c>
      <c r="C2314" s="53" t="s">
        <v>3488</v>
      </c>
      <c r="E2314" s="20"/>
      <c r="F23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4" s="93"/>
      <c r="I2314" s="203">
        <v>45889</v>
      </c>
      <c r="J2314" s="90" t="str">
        <f>IF(Table26[[#This Row],[customerSKU]]="","",_xlfn.XLOOKUP(Table26[[#This Row],[customerSKU]],customerSKU!G:G,customerSKU!A:A,"",0,1))</f>
        <v/>
      </c>
      <c r="K2314" s="19">
        <v>45894</v>
      </c>
      <c r="L2314" s="49" t="str">
        <f>IF(Table26[[#This Row],[customerSKU]]="","",_xlfn.XLOOKUP(Table26[[#This Row],[customerSKU]],customerSKU!G:G,customerSKU!B:B,"",0,1))</f>
        <v/>
      </c>
      <c r="M2314" s="22"/>
      <c r="N2314" s="15" t="str">
        <f>Table26[[#This Row],[po_number]]&amp;"-"&amp;Table26[[#This Row],[po_line]]</f>
        <v>-1</v>
      </c>
      <c r="O2314" s="15">
        <v>1</v>
      </c>
      <c r="P2314" s="50"/>
      <c r="Q2314" s="22" t="s">
        <v>4261</v>
      </c>
      <c r="R2314" s="15" t="s">
        <v>532</v>
      </c>
      <c r="S2314" s="90" t="str">
        <f>IF(Table26[[#This Row],[customerSKU]]="","",_xlfn.XLOOKUP(Table26[[#This Row],[customerSKU]],customerSKU!G:G,customerSKU!N:N,"NOT FOUND",0,1))</f>
        <v>NOT FOUND</v>
      </c>
      <c r="T2314" s="20">
        <v>45888</v>
      </c>
      <c r="U2314" s="94">
        <v>12</v>
      </c>
      <c r="V2314" s="22" t="str">
        <f>IF(ISBLANK(Table26[[#This Row],[customerSKU]]),"",_xlfn.XLOOKUP(Table26[[#This Row],[customerSKU]],Table27[customer_SKU],Table27[case_size],"",0,1))</f>
        <v/>
      </c>
      <c r="W2314" s="117" t="str">
        <f t="shared" si="95"/>
        <v/>
      </c>
      <c r="X2314" s="22" t="str">
        <f t="shared" si="96"/>
        <v/>
      </c>
      <c r="Y2314" s="25" t="str">
        <f>IF(Table26[[#This Row],[customerSKU]]="","",_xlfn.XLOOKUP(Table26[[#This Row],[customerSKU]],Table27[customer_SKU],Table27[product_GTIN],"",0,1))</f>
        <v/>
      </c>
      <c r="Z2314" s="25" t="s">
        <v>3525</v>
      </c>
      <c r="AA2314" s="18" t="str" cm="1">
        <f t="array" ref="AA2314">IF(P2314="", "", _xlfn.XLOOKUP(P2314,#REF!,#REF!,NA,0,-1))</f>
        <v/>
      </c>
      <c r="AB2314" s="22"/>
      <c r="AC2314" s="23" t="s">
        <v>4310</v>
      </c>
      <c r="AD2314" s="23" t="str">
        <f>IF($AC2314="","",_xlfn.XLOOKUP($AC2314,'Client Info'!$C$2:$C$2497,'Client Info'!$D$2:$D$2497,"",0,1))</f>
        <v/>
      </c>
      <c r="AE2314" s="23" t="str">
        <f>IF($AC2314="","",_xlfn.XLOOKUP($AC2314,'Client Info'!$C$2:$C$2677,'Client Info'!$E$2:$E$2677,"",))</f>
        <v/>
      </c>
      <c r="AF2314" s="23" t="str">
        <f>IF($AC2314="","",_xlfn.XLOOKUP($AC2314,'Client Info'!$C$2:$C$2677,'Client Info'!$F$2:$F$2677,"",0,1))</f>
        <v/>
      </c>
      <c r="AG2314" s="23" t="s">
        <v>4310</v>
      </c>
      <c r="AH2314" s="26" t="str">
        <f>_xlfn.XLOOKUP(Table26[[#This Row],[customerSKU]],customerSKU!G:G,customerSKU!K:K,"NA",0,1)</f>
        <v>NA</v>
      </c>
      <c r="AI2314" s="43" t="str">
        <f>_xlfn.XLOOKUP(Table26[[#This Row],[customerSKU]],customerSKU!G:G,customerSKU!O:O,"not found",0,1)</f>
        <v>not found</v>
      </c>
      <c r="AJ2314" s="22" t="e">
        <f>Table26[[#This Row],[unitprice]]*Table26[[#This Row],[quantity_unit]]</f>
        <v>#VALUE!</v>
      </c>
      <c r="AK2314" s="227" t="e" cm="1">
        <f t="array" ref="AK23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4" s="227"/>
    </row>
    <row r="2315" spans="1:38" ht="27" customHeight="1">
      <c r="A2315" s="42">
        <v>2345</v>
      </c>
      <c r="B2315" s="42" t="s">
        <v>3520</v>
      </c>
      <c r="C2315" s="53" t="s">
        <v>3488</v>
      </c>
      <c r="E2315" s="20"/>
      <c r="F23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5" s="93"/>
      <c r="I2315" s="203">
        <v>45889</v>
      </c>
      <c r="J2315" s="90" t="str">
        <f>IF(Table26[[#This Row],[customerSKU]]="","",_xlfn.XLOOKUP(Table26[[#This Row],[customerSKU]],customerSKU!G:G,customerSKU!A:A,"",0,1))</f>
        <v/>
      </c>
      <c r="K2315" s="19">
        <v>45894</v>
      </c>
      <c r="L2315" s="49" t="str">
        <f>IF(Table26[[#This Row],[customerSKU]]="","",_xlfn.XLOOKUP(Table26[[#This Row],[customerSKU]],customerSKU!G:G,customerSKU!B:B,"",0,1))</f>
        <v/>
      </c>
      <c r="M2315" s="22"/>
      <c r="N2315" s="15" t="str">
        <f>Table26[[#This Row],[po_number]]&amp;"-"&amp;Table26[[#This Row],[po_line]]</f>
        <v>-2</v>
      </c>
      <c r="O2315" s="15">
        <v>2</v>
      </c>
      <c r="P2315" s="50"/>
      <c r="Q2315" s="22" t="s">
        <v>1806</v>
      </c>
      <c r="R2315" s="15" t="s">
        <v>532</v>
      </c>
      <c r="S2315" s="90" t="str">
        <f>IF(Table26[[#This Row],[customerSKU]]="","",_xlfn.XLOOKUP(Table26[[#This Row],[customerSKU]],customerSKU!G:G,customerSKU!N:N,"NOT FOUND",0,1))</f>
        <v>NOT FOUND</v>
      </c>
      <c r="T2315" s="20">
        <v>45826</v>
      </c>
      <c r="U2315" s="94">
        <v>12</v>
      </c>
      <c r="V2315" s="22" t="str">
        <f>IF(ISBLANK(Table26[[#This Row],[customerSKU]]),"",_xlfn.XLOOKUP(Table26[[#This Row],[customerSKU]],Table27[customer_SKU],Table27[case_size],"",0,1))</f>
        <v/>
      </c>
      <c r="W2315" s="117" t="str">
        <f t="shared" si="95"/>
        <v/>
      </c>
      <c r="X2315" s="22" t="str">
        <f t="shared" si="96"/>
        <v/>
      </c>
      <c r="Y2315" s="25" t="str">
        <f>IF(Table26[[#This Row],[customerSKU]]="","",_xlfn.XLOOKUP(Table26[[#This Row],[customerSKU]],Table27[customer_SKU],Table27[product_GTIN],"",0,1))</f>
        <v/>
      </c>
      <c r="Z2315" s="25" t="s">
        <v>3519</v>
      </c>
      <c r="AA2315" s="18" t="str" cm="1">
        <f t="array" ref="AA2315">IF(P2315="", "", _xlfn.XLOOKUP(P2315,#REF!,#REF!,NA,0,-1))</f>
        <v/>
      </c>
      <c r="AB2315" s="22"/>
      <c r="AC2315" s="23" t="s">
        <v>4310</v>
      </c>
      <c r="AD2315" s="23" t="str">
        <f>IF($AC2315="","",_xlfn.XLOOKUP($AC2315,'Client Info'!$C$2:$C$2497,'Client Info'!$D$2:$D$2497,"",0,1))</f>
        <v/>
      </c>
      <c r="AE2315" s="23" t="str">
        <f>IF($AC2315="","",_xlfn.XLOOKUP($AC2315,'Client Info'!$C$2:$C$2677,'Client Info'!$E$2:$E$2677,"",))</f>
        <v/>
      </c>
      <c r="AF2315" s="23" t="str">
        <f>IF($AC2315="","",_xlfn.XLOOKUP($AC2315,'Client Info'!$C$2:$C$2677,'Client Info'!$F$2:$F$2677,"",0,1))</f>
        <v/>
      </c>
      <c r="AG2315" s="23" t="s">
        <v>4310</v>
      </c>
      <c r="AH2315" s="26" t="str">
        <f>_xlfn.XLOOKUP(Table26[[#This Row],[customerSKU]],customerSKU!G:G,customerSKU!K:K,"NA",0,1)</f>
        <v>NA</v>
      </c>
      <c r="AI2315" s="43" t="str">
        <f>_xlfn.XLOOKUP(Table26[[#This Row],[customerSKU]],customerSKU!G:G,customerSKU!O:O,"not found",0,1)</f>
        <v>not found</v>
      </c>
      <c r="AJ2315" s="22" t="e">
        <f>Table26[[#This Row],[unitprice]]*Table26[[#This Row],[quantity_unit]]</f>
        <v>#VALUE!</v>
      </c>
      <c r="AK2315" s="227" t="e" cm="1">
        <f t="array" ref="AK23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5" s="227"/>
    </row>
    <row r="2316" spans="1:38" ht="24.6" customHeight="1">
      <c r="A2316" s="42">
        <v>2346</v>
      </c>
      <c r="B2316" s="42" t="s">
        <v>3520</v>
      </c>
      <c r="C2316" s="53" t="s">
        <v>3488</v>
      </c>
      <c r="E2316" s="20"/>
      <c r="F23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6" s="93"/>
      <c r="I2316" s="203">
        <v>45889</v>
      </c>
      <c r="J2316" s="90" t="str">
        <f>IF(Table26[[#This Row],[customerSKU]]="","",_xlfn.XLOOKUP(Table26[[#This Row],[customerSKU]],customerSKU!G:G,customerSKU!A:A,"",0,1))</f>
        <v/>
      </c>
      <c r="K2316" s="19">
        <v>45894</v>
      </c>
      <c r="L2316" s="49" t="str">
        <f>IF(Table26[[#This Row],[customerSKU]]="","",_xlfn.XLOOKUP(Table26[[#This Row],[customerSKU]],customerSKU!G:G,customerSKU!B:B,"",0,1))</f>
        <v/>
      </c>
      <c r="M2316" s="22"/>
      <c r="N2316" s="15" t="str">
        <f>Table26[[#This Row],[po_number]]&amp;"-"&amp;Table26[[#This Row],[po_line]]</f>
        <v>-3</v>
      </c>
      <c r="O2316" s="15">
        <v>3</v>
      </c>
      <c r="P2316" s="50"/>
      <c r="Q2316" s="22" t="s">
        <v>1823</v>
      </c>
      <c r="R2316" s="22" t="s">
        <v>532</v>
      </c>
      <c r="S2316" s="90" t="str">
        <f>IF(Table26[[#This Row],[customerSKU]]="","",_xlfn.XLOOKUP(Table26[[#This Row],[customerSKU]],customerSKU!G:G,customerSKU!N:N,"NOT FOUND",0,1))</f>
        <v>NOT FOUND</v>
      </c>
      <c r="T2316" s="20">
        <v>45880</v>
      </c>
      <c r="U2316" s="94">
        <v>24</v>
      </c>
      <c r="V2316" s="22" t="str">
        <f>IF(ISBLANK(Table26[[#This Row],[customerSKU]]),"",_xlfn.XLOOKUP(Table26[[#This Row],[customerSKU]],Table27[customer_SKU],Table27[case_size],"",0,1))</f>
        <v/>
      </c>
      <c r="W2316" s="117" t="str">
        <f t="shared" si="95"/>
        <v/>
      </c>
      <c r="X2316" s="22" t="str">
        <f t="shared" si="96"/>
        <v/>
      </c>
      <c r="Y2316" s="25" t="str">
        <f>IF(Table26[[#This Row],[customerSKU]]="","",_xlfn.XLOOKUP(Table26[[#This Row],[customerSKU]],Table27[customer_SKU],Table27[product_GTIN],"",0,1))</f>
        <v/>
      </c>
      <c r="Z2316" s="25" t="s">
        <v>3690</v>
      </c>
      <c r="AA2316" s="18" t="str" cm="1">
        <f t="array" ref="AA2316">IF(P2316="", "", _xlfn.XLOOKUP(P2316,#REF!,#REF!,NA,0,-1))</f>
        <v/>
      </c>
      <c r="AB2316" s="22"/>
      <c r="AC2316" s="23" t="s">
        <v>4310</v>
      </c>
      <c r="AD2316" s="23" t="str">
        <f>IF($AC2316="","",_xlfn.XLOOKUP($AC2316,'Client Info'!$C$2:$C$2497,'Client Info'!$D$2:$D$2497,"",0,1))</f>
        <v/>
      </c>
      <c r="AE2316" s="23" t="str">
        <f>IF($AC2316="","",_xlfn.XLOOKUP($AC2316,'Client Info'!$C$2:$C$2677,'Client Info'!$E$2:$E$2677,"",))</f>
        <v/>
      </c>
      <c r="AF2316" s="23" t="str">
        <f>IF($AC2316="","",_xlfn.XLOOKUP($AC2316,'Client Info'!$C$2:$C$2677,'Client Info'!$F$2:$F$2677,"",0,1))</f>
        <v/>
      </c>
      <c r="AG2316" s="23" t="s">
        <v>4310</v>
      </c>
      <c r="AH2316" s="26" t="str">
        <f>_xlfn.XLOOKUP(Table26[[#This Row],[customerSKU]],customerSKU!G:G,customerSKU!K:K,"NA",0,1)</f>
        <v>NA</v>
      </c>
      <c r="AI2316" s="43" t="str">
        <f>_xlfn.XLOOKUP(Table26[[#This Row],[customerSKU]],customerSKU!G:G,customerSKU!O:O,"not found",0,1)</f>
        <v>not found</v>
      </c>
      <c r="AJ2316" s="22" t="e">
        <f>Table26[[#This Row],[unitprice]]*Table26[[#This Row],[quantity_unit]]</f>
        <v>#VALUE!</v>
      </c>
      <c r="AK2316" s="227" t="e" cm="1">
        <f t="array" ref="AK23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6" s="227"/>
    </row>
    <row r="2317" spans="1:38" ht="27" customHeight="1">
      <c r="A2317" s="42">
        <v>2347</v>
      </c>
      <c r="B2317" s="42" t="s">
        <v>3520</v>
      </c>
      <c r="C2317" s="53" t="s">
        <v>3488</v>
      </c>
      <c r="E2317" s="20"/>
      <c r="F23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7" s="93"/>
      <c r="I2317" s="203">
        <v>45889</v>
      </c>
      <c r="J2317" s="90" t="str">
        <f>IF(Table26[[#This Row],[customerSKU]]="","",_xlfn.XLOOKUP(Table26[[#This Row],[customerSKU]],customerSKU!G:G,customerSKU!A:A,"",0,1))</f>
        <v/>
      </c>
      <c r="K2317" s="19">
        <v>45894</v>
      </c>
      <c r="L2317" s="49" t="str">
        <f>IF(Table26[[#This Row],[customerSKU]]="","",_xlfn.XLOOKUP(Table26[[#This Row],[customerSKU]],customerSKU!G:G,customerSKU!B:B,"",0,1))</f>
        <v/>
      </c>
      <c r="M2317" s="22"/>
      <c r="N2317" s="15" t="str">
        <f>Table26[[#This Row],[po_number]]&amp;"-"&amp;Table26[[#This Row],[po_line]]</f>
        <v>-4</v>
      </c>
      <c r="O2317" s="15">
        <v>4</v>
      </c>
      <c r="P2317" s="50"/>
      <c r="Q2317" s="22" t="s">
        <v>1825</v>
      </c>
      <c r="R2317" s="22" t="s">
        <v>532</v>
      </c>
      <c r="S2317" s="90" t="str">
        <f>IF(Table26[[#This Row],[customerSKU]]="","",_xlfn.XLOOKUP(Table26[[#This Row],[customerSKU]],customerSKU!G:G,customerSKU!N:N,"NOT FOUND",0,1))</f>
        <v>NOT FOUND</v>
      </c>
      <c r="T2317" s="386">
        <v>45875</v>
      </c>
      <c r="U2317" s="94">
        <v>12</v>
      </c>
      <c r="V2317" s="22" t="str">
        <f>IF(ISBLANK(Table26[[#This Row],[customerSKU]]),"",_xlfn.XLOOKUP(Table26[[#This Row],[customerSKU]],Table27[customer_SKU],Table27[case_size],"",0,1))</f>
        <v/>
      </c>
      <c r="W2317" s="117" t="str">
        <f t="shared" si="95"/>
        <v/>
      </c>
      <c r="X2317" s="22" t="str">
        <f t="shared" si="96"/>
        <v/>
      </c>
      <c r="Y2317" s="25" t="str">
        <f>IF(Table26[[#This Row],[customerSKU]]="","",_xlfn.XLOOKUP(Table26[[#This Row],[customerSKU]],Table27[customer_SKU],Table27[product_GTIN],"",0,1))</f>
        <v/>
      </c>
      <c r="Z2317" s="25" t="s">
        <v>3693</v>
      </c>
      <c r="AA2317" s="18" t="str" cm="1">
        <f t="array" ref="AA2317">IF(P2317="", "", _xlfn.XLOOKUP(P2317,#REF!,#REF!,NA,0,-1))</f>
        <v/>
      </c>
      <c r="AB2317" s="22"/>
      <c r="AC2317" s="23" t="s">
        <v>4310</v>
      </c>
      <c r="AD2317" s="23" t="str">
        <f>IF($AC2317="","",_xlfn.XLOOKUP($AC2317,'Client Info'!$C$2:$C$2497,'Client Info'!$D$2:$D$2497,"",0,1))</f>
        <v/>
      </c>
      <c r="AE2317" s="23" t="str">
        <f>IF($AC2317="","",_xlfn.XLOOKUP($AC2317,'Client Info'!$C$2:$C$2677,'Client Info'!$E$2:$E$2677,"",))</f>
        <v/>
      </c>
      <c r="AF2317" s="23" t="str">
        <f>IF($AC2317="","",_xlfn.XLOOKUP($AC2317,'Client Info'!$C$2:$C$2677,'Client Info'!$F$2:$F$2677,"",0,1))</f>
        <v/>
      </c>
      <c r="AG2317" s="23" t="s">
        <v>4310</v>
      </c>
      <c r="AH2317" s="26" t="str">
        <f>_xlfn.XLOOKUP(Table26[[#This Row],[customerSKU]],customerSKU!G:G,customerSKU!K:K,"NA",0,1)</f>
        <v>NA</v>
      </c>
      <c r="AI2317" s="43" t="str">
        <f>_xlfn.XLOOKUP(Table26[[#This Row],[customerSKU]],customerSKU!G:G,customerSKU!O:O,"not found",0,1)</f>
        <v>not found</v>
      </c>
      <c r="AJ2317" s="22" t="e">
        <f>Table26[[#This Row],[unitprice]]*Table26[[#This Row],[quantity_unit]]</f>
        <v>#VALUE!</v>
      </c>
      <c r="AK2317" s="227" t="e" cm="1">
        <f t="array" ref="AK23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7" s="227"/>
    </row>
    <row r="2318" spans="1:38" ht="27" customHeight="1">
      <c r="A2318" s="42">
        <v>2348</v>
      </c>
      <c r="B2318" s="42" t="s">
        <v>3520</v>
      </c>
      <c r="C2318" s="53" t="s">
        <v>3488</v>
      </c>
      <c r="E2318" s="20"/>
      <c r="F23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8" s="93"/>
      <c r="I2318" s="203">
        <v>45889</v>
      </c>
      <c r="J2318" s="90" t="str">
        <f>IF(Table26[[#This Row],[customerSKU]]="","",_xlfn.XLOOKUP(Table26[[#This Row],[customerSKU]],customerSKU!G:G,customerSKU!A:A,"",0,1))</f>
        <v/>
      </c>
      <c r="K2318" s="19">
        <v>45894</v>
      </c>
      <c r="L2318" s="49" t="str">
        <f>IF(Table26[[#This Row],[customerSKU]]="","",_xlfn.XLOOKUP(Table26[[#This Row],[customerSKU]],customerSKU!G:G,customerSKU!B:B,"",0,1))</f>
        <v/>
      </c>
      <c r="M2318" s="22"/>
      <c r="N2318" s="15" t="str">
        <f>Table26[[#This Row],[po_number]]&amp;"-"&amp;Table26[[#This Row],[po_line]]</f>
        <v>-5</v>
      </c>
      <c r="O2318" s="15">
        <v>5</v>
      </c>
      <c r="P2318" s="50"/>
      <c r="Q2318" s="22" t="s">
        <v>4312</v>
      </c>
      <c r="R2318" s="22" t="s">
        <v>532</v>
      </c>
      <c r="S2318" s="90" t="str">
        <f>IF(Table26[[#This Row],[customerSKU]]="","",_xlfn.XLOOKUP(Table26[[#This Row],[customerSKU]],customerSKU!G:G,customerSKU!N:N,"NOT FOUND",0,1))</f>
        <v>NOT FOUND</v>
      </c>
      <c r="T2318" s="386">
        <v>45841</v>
      </c>
      <c r="U2318" s="94">
        <v>12</v>
      </c>
      <c r="V2318" s="22" t="str">
        <f>IF(ISBLANK(Table26[[#This Row],[customerSKU]]),"",_xlfn.XLOOKUP(Table26[[#This Row],[customerSKU]],Table27[customer_SKU],Table27[case_size],"",0,1))</f>
        <v/>
      </c>
      <c r="W2318" s="117" t="str">
        <f t="shared" si="95"/>
        <v/>
      </c>
      <c r="X2318" s="22" t="str">
        <f t="shared" si="96"/>
        <v/>
      </c>
      <c r="Y2318" s="25" t="str">
        <f>IF(Table26[[#This Row],[customerSKU]]="","",_xlfn.XLOOKUP(Table26[[#This Row],[customerSKU]],Table27[customer_SKU],Table27[product_GTIN],"",0,1))</f>
        <v/>
      </c>
      <c r="Z2318" s="25" t="s">
        <v>3597</v>
      </c>
      <c r="AA2318" s="18" t="str" cm="1">
        <f t="array" ref="AA2318">IF(P2318="", "", _xlfn.XLOOKUP(P2318,#REF!,#REF!,NA,0,-1))</f>
        <v/>
      </c>
      <c r="AB2318" s="22"/>
      <c r="AC2318" s="23" t="s">
        <v>4310</v>
      </c>
      <c r="AD2318" s="23" t="str">
        <f>IF($AC2318="","",_xlfn.XLOOKUP($AC2318,'Client Info'!$C$2:$C$2497,'Client Info'!$D$2:$D$2497,"",0,1))</f>
        <v/>
      </c>
      <c r="AE2318" s="23" t="str">
        <f>IF($AC2318="","",_xlfn.XLOOKUP($AC2318,'Client Info'!$C$2:$C$2677,'Client Info'!$E$2:$E$2677,"",))</f>
        <v/>
      </c>
      <c r="AF2318" s="23" t="str">
        <f>IF($AC2318="","",_xlfn.XLOOKUP($AC2318,'Client Info'!$C$2:$C$2677,'Client Info'!$F$2:$F$2677,"",0,1))</f>
        <v/>
      </c>
      <c r="AG2318" s="23" t="s">
        <v>4310</v>
      </c>
      <c r="AH2318" s="26" t="str">
        <f>_xlfn.XLOOKUP(Table26[[#This Row],[customerSKU]],customerSKU!G:G,customerSKU!K:K,"NA",0,1)</f>
        <v>NA</v>
      </c>
      <c r="AI2318" s="43" t="str">
        <f>_xlfn.XLOOKUP(Table26[[#This Row],[customerSKU]],customerSKU!G:G,customerSKU!O:O,"not found",0,1)</f>
        <v>not found</v>
      </c>
      <c r="AJ2318" s="22" t="e">
        <f>Table26[[#This Row],[unitprice]]*Table26[[#This Row],[quantity_unit]]</f>
        <v>#VALUE!</v>
      </c>
      <c r="AK2318" s="227" t="e" cm="1">
        <f t="array" ref="AK23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8" s="227"/>
    </row>
    <row r="2319" spans="1:38" ht="15.6" customHeight="1">
      <c r="A2319" s="42">
        <v>2349</v>
      </c>
      <c r="B2319" s="42" t="s">
        <v>3520</v>
      </c>
      <c r="C2319" s="53" t="s">
        <v>3488</v>
      </c>
      <c r="E2319" s="20"/>
      <c r="F23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19" s="93"/>
      <c r="I2319" s="203">
        <v>45889</v>
      </c>
      <c r="J2319" s="90" t="str">
        <f>IF(Table26[[#This Row],[customerSKU]]="","",_xlfn.XLOOKUP(Table26[[#This Row],[customerSKU]],customerSKU!G:G,customerSKU!A:A,"",0,1))</f>
        <v/>
      </c>
      <c r="K2319" s="19">
        <v>45894</v>
      </c>
      <c r="L2319" s="49" t="str">
        <f>IF(Table26[[#This Row],[customerSKU]]="","",_xlfn.XLOOKUP(Table26[[#This Row],[customerSKU]],customerSKU!G:G,customerSKU!B:B,"",0,1))</f>
        <v/>
      </c>
      <c r="M2319" s="22"/>
      <c r="N2319" s="15" t="str">
        <f>Table26[[#This Row],[po_number]]&amp;"-"&amp;Table26[[#This Row],[po_line]]</f>
        <v>-6</v>
      </c>
      <c r="O2319" s="15">
        <v>6</v>
      </c>
      <c r="P2319" s="50"/>
      <c r="Q2319" s="22" t="s">
        <v>559</v>
      </c>
      <c r="R2319" s="22" t="s">
        <v>532</v>
      </c>
      <c r="S2319" s="90" t="str">
        <f>IF(Table26[[#This Row],[customerSKU]]="","",_xlfn.XLOOKUP(Table26[[#This Row],[customerSKU]],customerSKU!G:G,customerSKU!N:N,"NOT FOUND",0,1))</f>
        <v>NOT FOUND</v>
      </c>
      <c r="T2319" s="386">
        <v>45772</v>
      </c>
      <c r="U2319" s="94">
        <v>12</v>
      </c>
      <c r="V2319" s="22" t="str">
        <f>IF(ISBLANK(Table26[[#This Row],[customerSKU]]),"",_xlfn.XLOOKUP(Table26[[#This Row],[customerSKU]],Table27[customer_SKU],Table27[case_size],"",0,1))</f>
        <v/>
      </c>
      <c r="W2319" s="117" t="str">
        <f t="shared" si="95"/>
        <v/>
      </c>
      <c r="X2319" s="22" t="str">
        <f t="shared" si="96"/>
        <v/>
      </c>
      <c r="Y2319" s="25" t="str">
        <f>IF(Table26[[#This Row],[customerSKU]]="","",_xlfn.XLOOKUP(Table26[[#This Row],[customerSKU]],Table27[customer_SKU],Table27[product_GTIN],"",0,1))</f>
        <v/>
      </c>
      <c r="Z2319" s="25" t="s">
        <v>3527</v>
      </c>
      <c r="AA2319" s="18" t="str" cm="1">
        <f t="array" ref="AA2319">IF(P2319="", "", _xlfn.XLOOKUP(P2319,#REF!,#REF!,NA,0,-1))</f>
        <v/>
      </c>
      <c r="AB2319" s="22"/>
      <c r="AC2319" s="23" t="s">
        <v>4310</v>
      </c>
      <c r="AD2319" s="23" t="str">
        <f>IF($AC2319="","",_xlfn.XLOOKUP($AC2319,'Client Info'!$C$2:$C$2497,'Client Info'!$D$2:$D$2497,"",0,1))</f>
        <v/>
      </c>
      <c r="AE2319" s="23" t="str">
        <f>IF($AC2319="","",_xlfn.XLOOKUP($AC2319,'Client Info'!$C$2:$C$2677,'Client Info'!$E$2:$E$2677,"",))</f>
        <v/>
      </c>
      <c r="AF2319" s="23" t="str">
        <f>IF($AC2319="","",_xlfn.XLOOKUP($AC2319,'Client Info'!$C$2:$C$2677,'Client Info'!$F$2:$F$2677,"",0,1))</f>
        <v/>
      </c>
      <c r="AG2319" s="23" t="s">
        <v>4310</v>
      </c>
      <c r="AH2319" s="26" t="str">
        <f>_xlfn.XLOOKUP(Table26[[#This Row],[customerSKU]],customerSKU!G:G,customerSKU!K:K,"NA",0,1)</f>
        <v>NA</v>
      </c>
      <c r="AI2319" s="43" t="str">
        <f>_xlfn.XLOOKUP(Table26[[#This Row],[customerSKU]],customerSKU!G:G,customerSKU!O:O,"not found",0,1)</f>
        <v>not found</v>
      </c>
      <c r="AJ2319" s="22" t="e">
        <f>Table26[[#This Row],[unitprice]]*Table26[[#This Row],[quantity_unit]]</f>
        <v>#VALUE!</v>
      </c>
      <c r="AK2319" s="227" t="e" cm="1">
        <f t="array" ref="AK23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19" s="227"/>
    </row>
    <row r="2320" spans="1:38" ht="27" customHeight="1">
      <c r="A2320" s="42">
        <v>2350</v>
      </c>
      <c r="B2320" s="42" t="s">
        <v>3520</v>
      </c>
      <c r="C2320" s="53" t="s">
        <v>3488</v>
      </c>
      <c r="E2320" s="20"/>
      <c r="F23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0" s="93"/>
      <c r="I2320" s="203">
        <v>45889</v>
      </c>
      <c r="J2320" s="90" t="str">
        <f>IF(Table26[[#This Row],[customerSKU]]="","",_xlfn.XLOOKUP(Table26[[#This Row],[customerSKU]],customerSKU!G:G,customerSKU!A:A,"",0,1))</f>
        <v/>
      </c>
      <c r="K2320" s="19">
        <v>45894</v>
      </c>
      <c r="L2320" s="49" t="str">
        <f>IF(Table26[[#This Row],[customerSKU]]="","",_xlfn.XLOOKUP(Table26[[#This Row],[customerSKU]],customerSKU!G:G,customerSKU!B:B,"",0,1))</f>
        <v/>
      </c>
      <c r="M2320" s="22"/>
      <c r="N2320" s="15" t="str">
        <f>Table26[[#This Row],[po_number]]&amp;"-"&amp;Table26[[#This Row],[po_line]]</f>
        <v>-7</v>
      </c>
      <c r="O2320" s="15">
        <v>7</v>
      </c>
      <c r="P2320" s="50"/>
      <c r="Q2320" s="22" t="s">
        <v>934</v>
      </c>
      <c r="R2320" s="22" t="s">
        <v>532</v>
      </c>
      <c r="S2320" s="90" t="s">
        <v>13</v>
      </c>
      <c r="T2320" s="386">
        <v>45848</v>
      </c>
      <c r="U2320" s="94">
        <v>12</v>
      </c>
      <c r="V2320" s="22" t="str">
        <f>IF(ISBLANK(Table26[[#This Row],[customerSKU]]),"",_xlfn.XLOOKUP(Table26[[#This Row],[customerSKU]],Table27[customer_SKU],Table27[case_size],"",0,1))</f>
        <v/>
      </c>
      <c r="W2320" s="117" t="str">
        <f t="shared" ref="W2320:W2338" si="97">IFERROR(U2320/V2320, "")</f>
        <v/>
      </c>
      <c r="X2320" s="22" t="str">
        <f t="shared" ref="X2320:X2338" si="98">IFERROR($AA2320*$U2320, "")</f>
        <v/>
      </c>
      <c r="Y2320" s="25" t="str">
        <f>IF(Table26[[#This Row],[customerSKU]]="","",_xlfn.XLOOKUP(Table26[[#This Row],[customerSKU]],Table27[customer_SKU],Table27[product_GTIN],"",0,1))</f>
        <v/>
      </c>
      <c r="Z2320" s="25" t="s">
        <v>3547</v>
      </c>
      <c r="AA2320" s="18" t="str" cm="1">
        <f t="array" ref="AA2320">IF(P2320="", "", _xlfn.XLOOKUP(P2320,#REF!,#REF!,NA,0,-1))</f>
        <v/>
      </c>
      <c r="AB2320" s="22"/>
      <c r="AC2320" s="23" t="s">
        <v>4310</v>
      </c>
      <c r="AD2320" s="23" t="str">
        <f>IF($AC2320="","",_xlfn.XLOOKUP($AC2320,'Client Info'!$C$2:$C$2497,'Client Info'!$D$2:$D$2497,"",0,1))</f>
        <v/>
      </c>
      <c r="AE2320" s="23" t="str">
        <f>IF($AC2320="","",_xlfn.XLOOKUP($AC2320,'Client Info'!$C$2:$C$2677,'Client Info'!$E$2:$E$2677,"",))</f>
        <v/>
      </c>
      <c r="AF2320" s="23" t="str">
        <f>IF($AC2320="","",_xlfn.XLOOKUP($AC2320,'Client Info'!$C$2:$C$2677,'Client Info'!$F$2:$F$2677,"",0,1))</f>
        <v/>
      </c>
      <c r="AG2320" s="23" t="s">
        <v>4310</v>
      </c>
      <c r="AH2320" s="26" t="str">
        <f>_xlfn.XLOOKUP(Table26[[#This Row],[customerSKU]],customerSKU!G:G,customerSKU!K:K,"NA",0,1)</f>
        <v>NA</v>
      </c>
      <c r="AI2320" s="43" t="str">
        <f>_xlfn.XLOOKUP(Table26[[#This Row],[customerSKU]],customerSKU!G:G,customerSKU!O:O,"not found",0,1)</f>
        <v>not found</v>
      </c>
      <c r="AJ2320" s="22" t="e">
        <f>Table26[[#This Row],[unitprice]]*Table26[[#This Row],[quantity_unit]]</f>
        <v>#VALUE!</v>
      </c>
      <c r="AK2320" s="227" t="e" cm="1">
        <f t="array" ref="AK23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0" s="227"/>
    </row>
    <row r="2321" spans="1:38" ht="27" customHeight="1">
      <c r="A2321" s="42">
        <v>2351</v>
      </c>
      <c r="B2321" s="42" t="s">
        <v>3520</v>
      </c>
      <c r="C2321" s="53" t="s">
        <v>3488</v>
      </c>
      <c r="E2321" s="20"/>
      <c r="F23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1" s="93"/>
      <c r="I2321" s="203">
        <v>45889</v>
      </c>
      <c r="J2321" s="90" t="str">
        <f>IF(Table26[[#This Row],[customerSKU]]="","",_xlfn.XLOOKUP(Table26[[#This Row],[customerSKU]],customerSKU!G:G,customerSKU!A:A,"",0,1))</f>
        <v/>
      </c>
      <c r="K2321" s="19">
        <v>45894</v>
      </c>
      <c r="L2321" s="49" t="str">
        <f>IF(Table26[[#This Row],[customerSKU]]="","",_xlfn.XLOOKUP(Table26[[#This Row],[customerSKU]],customerSKU!G:G,customerSKU!B:B,"",0,1))</f>
        <v/>
      </c>
      <c r="M2321" s="22"/>
      <c r="N2321" s="15" t="str">
        <f>Table26[[#This Row],[po_number]]&amp;"-"&amp;Table26[[#This Row],[po_line]]</f>
        <v>-8</v>
      </c>
      <c r="O2321" s="15">
        <v>8</v>
      </c>
      <c r="P2321" s="50"/>
      <c r="Q2321" s="22" t="s">
        <v>543</v>
      </c>
      <c r="R2321" s="22" t="s">
        <v>532</v>
      </c>
      <c r="S2321" s="90" t="str">
        <f>IF(Table26[[#This Row],[customerSKU]]="","",_xlfn.XLOOKUP(Table26[[#This Row],[customerSKU]],customerSKU!G:G,customerSKU!N:N,"NOT FOUND",0,1))</f>
        <v>NOT FOUND</v>
      </c>
      <c r="T2321" s="20">
        <v>45824</v>
      </c>
      <c r="U2321" s="94">
        <v>6</v>
      </c>
      <c r="V2321" s="22" t="str">
        <f>IF(ISBLANK(Table26[[#This Row],[customerSKU]]),"",_xlfn.XLOOKUP(Table26[[#This Row],[customerSKU]],Table27[customer_SKU],Table27[case_size],"",0,1))</f>
        <v/>
      </c>
      <c r="W2321" s="117" t="str">
        <f t="shared" si="97"/>
        <v/>
      </c>
      <c r="X2321" s="22" t="str">
        <f t="shared" si="98"/>
        <v/>
      </c>
      <c r="Y2321" s="25" t="str">
        <f>IF(Table26[[#This Row],[customerSKU]]="","",_xlfn.XLOOKUP(Table26[[#This Row],[customerSKU]],Table27[customer_SKU],Table27[product_GTIN],"",0,1))</f>
        <v/>
      </c>
      <c r="Z2321" s="25" t="s">
        <v>3599</v>
      </c>
      <c r="AA2321" s="18" t="str" cm="1">
        <f t="array" ref="AA2321">IF(P2321="", "", _xlfn.XLOOKUP(P2321,#REF!,#REF!,NA,0,-1))</f>
        <v/>
      </c>
      <c r="AB2321" s="22"/>
      <c r="AC2321" s="23" t="s">
        <v>4310</v>
      </c>
      <c r="AD2321" s="23" t="str">
        <f>IF($AC2321="","",_xlfn.XLOOKUP($AC2321,'Client Info'!$C$2:$C$2497,'Client Info'!$D$2:$D$2497,"",0,1))</f>
        <v/>
      </c>
      <c r="AE2321" s="23" t="str">
        <f>IF($AC2321="","",_xlfn.XLOOKUP($AC2321,'Client Info'!$C$2:$C$2677,'Client Info'!$E$2:$E$2677,"",))</f>
        <v/>
      </c>
      <c r="AF2321" s="23" t="str">
        <f>IF($AC2321="","",_xlfn.XLOOKUP($AC2321,'Client Info'!$C$2:$C$2677,'Client Info'!$F$2:$F$2677,"",0,1))</f>
        <v/>
      </c>
      <c r="AG2321" s="23" t="s">
        <v>4310</v>
      </c>
      <c r="AH2321" s="26" t="str">
        <f>_xlfn.XLOOKUP(Table26[[#This Row],[customerSKU]],customerSKU!G:G,customerSKU!K:K,"NA",0,1)</f>
        <v>NA</v>
      </c>
      <c r="AI2321" s="43" t="str">
        <f>_xlfn.XLOOKUP(Table26[[#This Row],[customerSKU]],customerSKU!G:G,customerSKU!O:O,"not found",0,1)</f>
        <v>not found</v>
      </c>
      <c r="AJ2321" s="22" t="e">
        <f>Table26[[#This Row],[unitprice]]*Table26[[#This Row],[quantity_unit]]</f>
        <v>#VALUE!</v>
      </c>
      <c r="AK2321" s="227" t="e" cm="1">
        <f t="array" ref="AK23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1" s="227"/>
    </row>
    <row r="2322" spans="1:38" ht="27" customHeight="1">
      <c r="A2322" s="42">
        <v>2352</v>
      </c>
      <c r="B2322" s="42" t="s">
        <v>3520</v>
      </c>
      <c r="C2322" s="53" t="s">
        <v>3488</v>
      </c>
      <c r="E2322" s="20"/>
      <c r="F23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2" s="93"/>
      <c r="I2322" s="203">
        <v>45889</v>
      </c>
      <c r="J2322" s="90" t="str">
        <f>IF(Table26[[#This Row],[customerSKU]]="","",_xlfn.XLOOKUP(Table26[[#This Row],[customerSKU]],customerSKU!G:G,customerSKU!A:A,"",0,1))</f>
        <v/>
      </c>
      <c r="K2322" s="19">
        <v>45894</v>
      </c>
      <c r="L2322" s="49" t="str">
        <f>IF(Table26[[#This Row],[customerSKU]]="","",_xlfn.XLOOKUP(Table26[[#This Row],[customerSKU]],customerSKU!G:G,customerSKU!B:B,"",0,1))</f>
        <v/>
      </c>
      <c r="M2322" s="22"/>
      <c r="N2322" s="15" t="str">
        <f>Table26[[#This Row],[po_number]]&amp;"-"&amp;Table26[[#This Row],[po_line]]</f>
        <v>-9</v>
      </c>
      <c r="O2322" s="15">
        <v>9</v>
      </c>
      <c r="P2322" s="50"/>
      <c r="Q2322" s="22" t="s">
        <v>3738</v>
      </c>
      <c r="R2322" s="22" t="s">
        <v>532</v>
      </c>
      <c r="S2322" s="90" t="str">
        <f>IF(Table26[[#This Row],[customerSKU]]="","",_xlfn.XLOOKUP(Table26[[#This Row],[customerSKU]],customerSKU!G:G,customerSKU!N:N,"NOT FOUND",0,1))</f>
        <v>NOT FOUND</v>
      </c>
      <c r="T2322" s="386">
        <v>45887</v>
      </c>
      <c r="U2322" s="94">
        <v>12</v>
      </c>
      <c r="V2322" s="22" t="str">
        <f>IF(ISBLANK(Table26[[#This Row],[customerSKU]]),"",_xlfn.XLOOKUP(Table26[[#This Row],[customerSKU]],Table27[customer_SKU],Table27[case_size],"",0,1))</f>
        <v/>
      </c>
      <c r="W2322" s="117" t="str">
        <f t="shared" si="97"/>
        <v/>
      </c>
      <c r="X2322" s="22" t="str">
        <f t="shared" si="98"/>
        <v/>
      </c>
      <c r="Y2322" s="25" t="str">
        <f>IF(Table26[[#This Row],[customerSKU]]="","",_xlfn.XLOOKUP(Table26[[#This Row],[customerSKU]],Table27[customer_SKU],Table27[product_GTIN],"",0,1))</f>
        <v/>
      </c>
      <c r="Z2322" s="25" t="s">
        <v>3719</v>
      </c>
      <c r="AA2322" s="18" t="str" cm="1">
        <f t="array" ref="AA2322">IF(P2322="", "", _xlfn.XLOOKUP(P2322,#REF!,#REF!,NA,0,-1))</f>
        <v/>
      </c>
      <c r="AB2322" s="22"/>
      <c r="AC2322" s="23" t="s">
        <v>4310</v>
      </c>
      <c r="AD2322" s="23" t="str">
        <f>IF($AC2322="","",_xlfn.XLOOKUP($AC2322,'Client Info'!$C$2:$C$2497,'Client Info'!$D$2:$D$2497,"",0,1))</f>
        <v/>
      </c>
      <c r="AE2322" s="23" t="str">
        <f>IF($AC2322="","",_xlfn.XLOOKUP($AC2322,'Client Info'!$C$2:$C$2677,'Client Info'!$E$2:$E$2677,"",))</f>
        <v/>
      </c>
      <c r="AF2322" s="23" t="str">
        <f>IF($AC2322="","",_xlfn.XLOOKUP($AC2322,'Client Info'!$C$2:$C$2677,'Client Info'!$F$2:$F$2677,"",0,1))</f>
        <v/>
      </c>
      <c r="AG2322" s="23" t="s">
        <v>4310</v>
      </c>
      <c r="AH2322" s="26" t="str">
        <f>_xlfn.XLOOKUP(Table26[[#This Row],[customerSKU]],customerSKU!G:G,customerSKU!K:K,"NA",0,1)</f>
        <v>NA</v>
      </c>
      <c r="AI2322" s="43" t="str">
        <f>_xlfn.XLOOKUP(Table26[[#This Row],[customerSKU]],customerSKU!G:G,customerSKU!O:O,"not found",0,1)</f>
        <v>not found</v>
      </c>
      <c r="AJ2322" s="22" t="e">
        <f>Table26[[#This Row],[unitprice]]*Table26[[#This Row],[quantity_unit]]</f>
        <v>#VALUE!</v>
      </c>
      <c r="AK2322" s="227" t="e" cm="1">
        <f t="array" ref="AK23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2" s="227"/>
    </row>
    <row r="2323" spans="1:38" ht="27" customHeight="1">
      <c r="A2323" s="42">
        <v>2353</v>
      </c>
      <c r="B2323" s="42" t="s">
        <v>3520</v>
      </c>
      <c r="C2323" s="53" t="s">
        <v>3488</v>
      </c>
      <c r="E2323" s="20"/>
      <c r="F23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3" s="93"/>
      <c r="I2323" s="203">
        <v>45889</v>
      </c>
      <c r="J2323" s="90" t="str">
        <f>IF(Table26[[#This Row],[customerSKU]]="","",_xlfn.XLOOKUP(Table26[[#This Row],[customerSKU]],customerSKU!G:G,customerSKU!A:A,"",0,1))</f>
        <v/>
      </c>
      <c r="K2323" s="19">
        <v>45894</v>
      </c>
      <c r="L2323" s="49" t="str">
        <f>IF(Table26[[#This Row],[customerSKU]]="","",_xlfn.XLOOKUP(Table26[[#This Row],[customerSKU]],customerSKU!G:G,customerSKU!B:B,"",0,1))</f>
        <v/>
      </c>
      <c r="M2323" s="22"/>
      <c r="N2323" s="15" t="str">
        <f>Table26[[#This Row],[po_number]]&amp;"-"&amp;Table26[[#This Row],[po_line]]</f>
        <v>-10</v>
      </c>
      <c r="O2323" s="15">
        <v>10</v>
      </c>
      <c r="P2323" s="50"/>
      <c r="Q2323" s="22" t="s">
        <v>4311</v>
      </c>
      <c r="R2323" s="22" t="s">
        <v>532</v>
      </c>
      <c r="S2323" s="90" t="str">
        <f>IF(Table26[[#This Row],[customerSKU]]="","",_xlfn.XLOOKUP(Table26[[#This Row],[customerSKU]],customerSKU!G:G,customerSKU!N:N,"NOT FOUND",0,1))</f>
        <v>NOT FOUND</v>
      </c>
      <c r="T2323" s="386">
        <v>45859</v>
      </c>
      <c r="U2323" s="94">
        <v>12</v>
      </c>
      <c r="V2323" s="22" t="str">
        <f>IF(ISBLANK(Table26[[#This Row],[customerSKU]]),"",_xlfn.XLOOKUP(Table26[[#This Row],[customerSKU]],Table27[customer_SKU],Table27[case_size],"",0,1))</f>
        <v/>
      </c>
      <c r="W2323" s="117" t="str">
        <f t="shared" si="97"/>
        <v/>
      </c>
      <c r="X2323" s="22" t="str">
        <f t="shared" si="98"/>
        <v/>
      </c>
      <c r="Y2323" s="25" t="str">
        <f>IF(Table26[[#This Row],[customerSKU]]="","",_xlfn.XLOOKUP(Table26[[#This Row],[customerSKU]],Table27[customer_SKU],Table27[product_GTIN],"",0,1))</f>
        <v/>
      </c>
      <c r="Z2323" s="25" t="s">
        <v>3612</v>
      </c>
      <c r="AA2323" s="18" t="str" cm="1">
        <f t="array" ref="AA2323">IF(P2323="", "", _xlfn.XLOOKUP(P2323,#REF!,#REF!,NA,0,-1))</f>
        <v/>
      </c>
      <c r="AB2323" s="22"/>
      <c r="AC2323" s="23" t="s">
        <v>4310</v>
      </c>
      <c r="AD2323" s="23" t="str">
        <f>IF($AC2323="","",_xlfn.XLOOKUP($AC2323,'Client Info'!$C$2:$C$2497,'Client Info'!$D$2:$D$2497,"",0,1))</f>
        <v/>
      </c>
      <c r="AE2323" s="23" t="str">
        <f>IF($AC2323="","",_xlfn.XLOOKUP($AC2323,'Client Info'!$C$2:$C$2677,'Client Info'!$E$2:$E$2677,"",))</f>
        <v/>
      </c>
      <c r="AF2323" s="23" t="str">
        <f>IF($AC2323="","",_xlfn.XLOOKUP($AC2323,'Client Info'!$C$2:$C$2677,'Client Info'!$F$2:$F$2677,"",0,1))</f>
        <v/>
      </c>
      <c r="AG2323" s="23" t="s">
        <v>4310</v>
      </c>
      <c r="AH2323" s="26" t="str">
        <f>_xlfn.XLOOKUP(Table26[[#This Row],[customerSKU]],customerSKU!G:G,customerSKU!K:K,"NA",0,1)</f>
        <v>NA</v>
      </c>
      <c r="AI2323" s="43" t="str">
        <f>_xlfn.XLOOKUP(Table26[[#This Row],[customerSKU]],customerSKU!G:G,customerSKU!O:O,"not found",0,1)</f>
        <v>not found</v>
      </c>
      <c r="AJ2323" s="22" t="e">
        <f>Table26[[#This Row],[unitprice]]*Table26[[#This Row],[quantity_unit]]</f>
        <v>#VALUE!</v>
      </c>
      <c r="AK2323" s="227" t="e" cm="1">
        <f t="array" ref="AK23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3" s="227"/>
    </row>
    <row r="2324" spans="1:38" ht="27" customHeight="1">
      <c r="A2324" s="42">
        <v>2354</v>
      </c>
      <c r="B2324" s="42" t="s">
        <v>3520</v>
      </c>
      <c r="C2324" s="53" t="s">
        <v>3488</v>
      </c>
      <c r="E2324" s="20"/>
      <c r="F23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4" s="93"/>
      <c r="I2324" s="203">
        <v>45889</v>
      </c>
      <c r="J2324" s="90" t="str">
        <f>IF(Table26[[#This Row],[customerSKU]]="","",_xlfn.XLOOKUP(Table26[[#This Row],[customerSKU]],customerSKU!G:G,customerSKU!A:A,"",0,1))</f>
        <v/>
      </c>
      <c r="K2324" s="19">
        <v>45894</v>
      </c>
      <c r="L2324" s="49" t="str">
        <f>IF(Table26[[#This Row],[customerSKU]]="","",_xlfn.XLOOKUP(Table26[[#This Row],[customerSKU]],customerSKU!G:G,customerSKU!B:B,"",0,1))</f>
        <v/>
      </c>
      <c r="M2324" s="22"/>
      <c r="N2324" s="15" t="str">
        <f>Table26[[#This Row],[po_number]]&amp;"-"&amp;Table26[[#This Row],[po_line]]</f>
        <v>-11</v>
      </c>
      <c r="O2324" s="15">
        <v>11</v>
      </c>
      <c r="P2324" s="50"/>
      <c r="Q2324" s="22" t="s">
        <v>1309</v>
      </c>
      <c r="R2324" s="22" t="s">
        <v>532</v>
      </c>
      <c r="S2324" s="90" t="str">
        <f>IF(Table26[[#This Row],[customerSKU]]="","",_xlfn.XLOOKUP(Table26[[#This Row],[customerSKU]],customerSKU!G:G,customerSKU!N:N,"NOT FOUND",0,1))</f>
        <v>NOT FOUND</v>
      </c>
      <c r="T2324" s="386">
        <v>45891</v>
      </c>
      <c r="U2324" s="94">
        <v>12</v>
      </c>
      <c r="V2324" s="22" t="str">
        <f>IF(ISBLANK(Table26[[#This Row],[customerSKU]]),"",_xlfn.XLOOKUP(Table26[[#This Row],[customerSKU]],Table27[customer_SKU],Table27[case_size],"",0,1))</f>
        <v/>
      </c>
      <c r="W2324" s="117" t="str">
        <f t="shared" si="97"/>
        <v/>
      </c>
      <c r="X2324" s="22" t="str">
        <f t="shared" si="98"/>
        <v/>
      </c>
      <c r="Y2324" s="25" t="str">
        <f>IF(Table26[[#This Row],[customerSKU]]="","",_xlfn.XLOOKUP(Table26[[#This Row],[customerSKU]],Table27[customer_SKU],Table27[product_GTIN],"",0,1))</f>
        <v/>
      </c>
      <c r="Z2324" s="25" t="s">
        <v>3536</v>
      </c>
      <c r="AA2324" s="18" t="str" cm="1">
        <f t="array" ref="AA2324">IF(P2324="", "", _xlfn.XLOOKUP(P2324,#REF!,#REF!,NA,0,-1))</f>
        <v/>
      </c>
      <c r="AB2324" s="22"/>
      <c r="AC2324" s="23" t="s">
        <v>4310</v>
      </c>
      <c r="AD2324" s="23" t="str">
        <f>IF($AC2324="","",_xlfn.XLOOKUP($AC2324,'Client Info'!$C$2:$C$2497,'Client Info'!$D$2:$D$2497,"",0,1))</f>
        <v/>
      </c>
      <c r="AE2324" s="23" t="str">
        <f>IF($AC2324="","",_xlfn.XLOOKUP($AC2324,'Client Info'!$C$2:$C$2677,'Client Info'!$E$2:$E$2677,"",))</f>
        <v/>
      </c>
      <c r="AF2324" s="23" t="str">
        <f>IF($AC2324="","",_xlfn.XLOOKUP($AC2324,'Client Info'!$C$2:$C$2677,'Client Info'!$F$2:$F$2677,"",0,1))</f>
        <v/>
      </c>
      <c r="AG2324" s="23" t="s">
        <v>4310</v>
      </c>
      <c r="AH2324" s="26" t="str">
        <f>_xlfn.XLOOKUP(Table26[[#This Row],[customerSKU]],customerSKU!G:G,customerSKU!K:K,"NA",0,1)</f>
        <v>NA</v>
      </c>
      <c r="AI2324" s="43" t="str">
        <f>_xlfn.XLOOKUP(Table26[[#This Row],[customerSKU]],customerSKU!G:G,customerSKU!O:O,"not found",0,1)</f>
        <v>not found</v>
      </c>
      <c r="AJ2324" s="22" t="e">
        <f>Table26[[#This Row],[unitprice]]*Table26[[#This Row],[quantity_unit]]</f>
        <v>#VALUE!</v>
      </c>
      <c r="AK2324" s="227" t="e" cm="1">
        <f t="array" ref="AK23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4" s="227"/>
    </row>
    <row r="2325" spans="1:38" ht="27" customHeight="1">
      <c r="A2325" s="42">
        <v>2355</v>
      </c>
      <c r="B2325" s="42" t="s">
        <v>3520</v>
      </c>
      <c r="C2325" s="53" t="s">
        <v>3488</v>
      </c>
      <c r="E2325" s="20"/>
      <c r="F23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5" s="93"/>
      <c r="I2325" s="203">
        <v>45889</v>
      </c>
      <c r="J2325" s="90" t="str">
        <f>IF(Table26[[#This Row],[customerSKU]]="","",_xlfn.XLOOKUP(Table26[[#This Row],[customerSKU]],customerSKU!G:G,customerSKU!A:A,"",0,1))</f>
        <v/>
      </c>
      <c r="K2325" s="19">
        <v>45894</v>
      </c>
      <c r="L2325" s="49" t="str">
        <f>IF(Table26[[#This Row],[customerSKU]]="","",_xlfn.XLOOKUP(Table26[[#This Row],[customerSKU]],customerSKU!G:G,customerSKU!B:B,"",0,1))</f>
        <v/>
      </c>
      <c r="M2325" s="22"/>
      <c r="N2325" s="15" t="str">
        <f>Table26[[#This Row],[po_number]]&amp;"-"&amp;Table26[[#This Row],[po_line]]</f>
        <v>-12</v>
      </c>
      <c r="O2325" s="15">
        <v>12</v>
      </c>
      <c r="P2325" s="50"/>
      <c r="Q2325" s="22" t="s">
        <v>4315</v>
      </c>
      <c r="R2325" s="22" t="s">
        <v>532</v>
      </c>
      <c r="S2325" s="90" t="str">
        <f>IF(Table26[[#This Row],[customerSKU]]="","",_xlfn.XLOOKUP(Table26[[#This Row],[customerSKU]],customerSKU!G:G,customerSKU!N:N,"NOT FOUND",0,1))</f>
        <v>NOT FOUND</v>
      </c>
      <c r="T2325" s="386">
        <v>45891</v>
      </c>
      <c r="U2325" s="94">
        <v>12</v>
      </c>
      <c r="V2325" s="22" t="str">
        <f>IF(ISBLANK(Table26[[#This Row],[customerSKU]]),"",_xlfn.XLOOKUP(Table26[[#This Row],[customerSKU]],Table27[customer_SKU],Table27[case_size],"",0,1))</f>
        <v/>
      </c>
      <c r="W2325" s="117" t="str">
        <f t="shared" si="97"/>
        <v/>
      </c>
      <c r="X2325" s="22" t="str">
        <f t="shared" si="98"/>
        <v/>
      </c>
      <c r="Y2325" s="25" t="str">
        <f>IF(Table26[[#This Row],[customerSKU]]="","",_xlfn.XLOOKUP(Table26[[#This Row],[customerSKU]],Table27[customer_SKU],Table27[product_GTIN],"",0,1))</f>
        <v/>
      </c>
      <c r="Z2325" s="25" t="s">
        <v>3526</v>
      </c>
      <c r="AA2325" s="18" t="str" cm="1">
        <f t="array" ref="AA2325">IF(P2325="", "", _xlfn.XLOOKUP(P2325,#REF!,#REF!,NA,0,-1))</f>
        <v/>
      </c>
      <c r="AB2325" s="22"/>
      <c r="AC2325" s="23" t="s">
        <v>4310</v>
      </c>
      <c r="AD2325" s="23" t="str">
        <f>IF($AC2325="","",_xlfn.XLOOKUP($AC2325,'Client Info'!$C$2:$C$2497,'Client Info'!$D$2:$D$2497,"",0,1))</f>
        <v/>
      </c>
      <c r="AE2325" s="23" t="str">
        <f>IF($AC2325="","",_xlfn.XLOOKUP($AC2325,'Client Info'!$C$2:$C$2677,'Client Info'!$E$2:$E$2677,"",))</f>
        <v/>
      </c>
      <c r="AF2325" s="23" t="str">
        <f>IF($AC2325="","",_xlfn.XLOOKUP($AC2325,'Client Info'!$C$2:$C$2677,'Client Info'!$F$2:$F$2677,"",0,1))</f>
        <v/>
      </c>
      <c r="AG2325" s="23" t="s">
        <v>4310</v>
      </c>
      <c r="AH2325" s="26" t="str">
        <f>_xlfn.XLOOKUP(Table26[[#This Row],[customerSKU]],customerSKU!G:G,customerSKU!K:K,"NA",0,1)</f>
        <v>NA</v>
      </c>
      <c r="AI2325" s="43" t="str">
        <f>_xlfn.XLOOKUP(Table26[[#This Row],[customerSKU]],customerSKU!G:G,customerSKU!O:O,"not found",0,1)</f>
        <v>not found</v>
      </c>
      <c r="AJ2325" s="22" t="e">
        <f>Table26[[#This Row],[unitprice]]*Table26[[#This Row],[quantity_unit]]</f>
        <v>#VALUE!</v>
      </c>
      <c r="AK2325" s="227" t="e" cm="1">
        <f t="array" ref="AK23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5" s="227"/>
    </row>
    <row r="2326" spans="1:38" ht="27" customHeight="1">
      <c r="A2326" s="42">
        <v>2356</v>
      </c>
      <c r="B2326" s="42" t="s">
        <v>3520</v>
      </c>
      <c r="C2326" s="53" t="s">
        <v>3488</v>
      </c>
      <c r="E2326" s="20"/>
      <c r="F23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6" s="93"/>
      <c r="I2326" s="203">
        <v>45889</v>
      </c>
      <c r="J2326" s="90" t="str">
        <f>IF(Table26[[#This Row],[customerSKU]]="","",_xlfn.XLOOKUP(Table26[[#This Row],[customerSKU]],customerSKU!G:G,customerSKU!A:A,"",0,1))</f>
        <v/>
      </c>
      <c r="K2326" s="19">
        <v>45894</v>
      </c>
      <c r="L2326" s="49" t="str">
        <f>IF(Table26[[#This Row],[customerSKU]]="","",_xlfn.XLOOKUP(Table26[[#This Row],[customerSKU]],customerSKU!G:G,customerSKU!B:B,"",0,1))</f>
        <v/>
      </c>
      <c r="M2326" s="22"/>
      <c r="N2326" s="15" t="str">
        <f>Table26[[#This Row],[po_number]]&amp;"-"&amp;Table26[[#This Row],[po_line]]</f>
        <v>-13</v>
      </c>
      <c r="O2326" s="15">
        <v>13</v>
      </c>
      <c r="P2326" s="50"/>
      <c r="Q2326" s="22" t="s">
        <v>3551</v>
      </c>
      <c r="R2326" s="22" t="s">
        <v>532</v>
      </c>
      <c r="S2326" s="90" t="str">
        <f>IF(Table26[[#This Row],[customerSKU]]="","",_xlfn.XLOOKUP(Table26[[#This Row],[customerSKU]],customerSKU!G:G,customerSKU!N:N,"NOT FOUND",0,1))</f>
        <v>NOT FOUND</v>
      </c>
      <c r="T2326" s="386">
        <v>45755</v>
      </c>
      <c r="U2326" s="94">
        <v>12</v>
      </c>
      <c r="V2326" s="22" t="str">
        <f>IF(ISBLANK(Table26[[#This Row],[customerSKU]]),"",_xlfn.XLOOKUP(Table26[[#This Row],[customerSKU]],Table27[customer_SKU],Table27[case_size],"",0,1))</f>
        <v/>
      </c>
      <c r="W2326" s="117" t="str">
        <f t="shared" si="97"/>
        <v/>
      </c>
      <c r="X2326" s="22" t="str">
        <f t="shared" si="98"/>
        <v/>
      </c>
      <c r="Y2326" s="25" t="str">
        <f>IF(Table26[[#This Row],[customerSKU]]="","",_xlfn.XLOOKUP(Table26[[#This Row],[customerSKU]],Table27[customer_SKU],Table27[product_GTIN],"",0,1))</f>
        <v/>
      </c>
      <c r="Z2326" s="25" t="s">
        <v>3535</v>
      </c>
      <c r="AA2326" s="18" t="str" cm="1">
        <f t="array" ref="AA2326">IF(P2326="", "", _xlfn.XLOOKUP(P2326,#REF!,#REF!,NA,0,-1))</f>
        <v/>
      </c>
      <c r="AB2326" s="22"/>
      <c r="AC2326" s="23" t="s">
        <v>4310</v>
      </c>
      <c r="AD2326" s="23" t="str">
        <f>IF($AC2326="","",_xlfn.XLOOKUP($AC2326,'Client Info'!$C$2:$C$2497,'Client Info'!$D$2:$D$2497,"",0,1))</f>
        <v/>
      </c>
      <c r="AE2326" s="23" t="str">
        <f>IF($AC2326="","",_xlfn.XLOOKUP($AC2326,'Client Info'!$C$2:$C$2677,'Client Info'!$E$2:$E$2677,"",))</f>
        <v/>
      </c>
      <c r="AF2326" s="23" t="str">
        <f>IF($AC2326="","",_xlfn.XLOOKUP($AC2326,'Client Info'!$C$2:$C$2677,'Client Info'!$F$2:$F$2677,"",0,1))</f>
        <v/>
      </c>
      <c r="AG2326" s="23" t="s">
        <v>4310</v>
      </c>
      <c r="AH2326" s="26" t="str">
        <f>_xlfn.XLOOKUP(Table26[[#This Row],[customerSKU]],customerSKU!G:G,customerSKU!K:K,"NA",0,1)</f>
        <v>NA</v>
      </c>
      <c r="AI2326" s="43" t="str">
        <f>_xlfn.XLOOKUP(Table26[[#This Row],[customerSKU]],customerSKU!G:G,customerSKU!O:O,"not found",0,1)</f>
        <v>not found</v>
      </c>
      <c r="AJ2326" s="22" t="e">
        <f>Table26[[#This Row],[unitprice]]*Table26[[#This Row],[quantity_unit]]</f>
        <v>#VALUE!</v>
      </c>
      <c r="AK2326" s="227" t="e" cm="1">
        <f t="array" ref="AK23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6" s="227"/>
    </row>
    <row r="2327" spans="1:38" ht="27" customHeight="1">
      <c r="A2327" s="42">
        <v>2357</v>
      </c>
      <c r="B2327" s="42" t="s">
        <v>3520</v>
      </c>
      <c r="C2327" s="53" t="s">
        <v>3488</v>
      </c>
      <c r="E2327" s="20"/>
      <c r="F23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7" s="93"/>
      <c r="I2327" s="203">
        <v>45889</v>
      </c>
      <c r="J2327" s="90" t="str">
        <f>IF(Table26[[#This Row],[customerSKU]]="","",_xlfn.XLOOKUP(Table26[[#This Row],[customerSKU]],customerSKU!G:G,customerSKU!A:A,"",0,1))</f>
        <v/>
      </c>
      <c r="K2327" s="19">
        <v>45894</v>
      </c>
      <c r="L2327" s="49" t="str">
        <f>IF(Table26[[#This Row],[customerSKU]]="","",_xlfn.XLOOKUP(Table26[[#This Row],[customerSKU]],customerSKU!G:G,customerSKU!B:B,"",0,1))</f>
        <v/>
      </c>
      <c r="M2327" s="22"/>
      <c r="N2327" s="15" t="str">
        <f>Table26[[#This Row],[po_number]]&amp;"-"&amp;Table26[[#This Row],[po_line]]</f>
        <v>-15</v>
      </c>
      <c r="O2327" s="15">
        <v>15</v>
      </c>
      <c r="P2327" s="50"/>
      <c r="Q2327" s="22" t="s">
        <v>3749</v>
      </c>
      <c r="R2327" s="22" t="s">
        <v>532</v>
      </c>
      <c r="S2327" s="90" t="str">
        <f>IF(Table26[[#This Row],[customerSKU]]="","",_xlfn.XLOOKUP(Table26[[#This Row],[customerSKU]],customerSKU!G:G,customerSKU!N:N,"NOT FOUND",0,1))</f>
        <v>NOT FOUND</v>
      </c>
      <c r="T2327" s="386">
        <v>45870</v>
      </c>
      <c r="U2327" s="94">
        <v>12</v>
      </c>
      <c r="V2327" s="22" t="str">
        <f>IF(ISBLANK(Table26[[#This Row],[customerSKU]]),"",_xlfn.XLOOKUP(Table26[[#This Row],[customerSKU]],Table27[customer_SKU],Table27[case_size],"",0,1))</f>
        <v/>
      </c>
      <c r="W2327" s="117" t="str">
        <f t="shared" si="97"/>
        <v/>
      </c>
      <c r="X2327" s="22" t="str">
        <f t="shared" si="98"/>
        <v/>
      </c>
      <c r="Y2327" s="25" t="str">
        <f>IF(Table26[[#This Row],[customerSKU]]="","",_xlfn.XLOOKUP(Table26[[#This Row],[customerSKU]],Table27[customer_SKU],Table27[product_GTIN],"",0,1))</f>
        <v/>
      </c>
      <c r="Z2327" s="25" t="s">
        <v>3652</v>
      </c>
      <c r="AA2327" s="18" t="str" cm="1">
        <f t="array" ref="AA2327">IF(P2327="", "", _xlfn.XLOOKUP(P2327,#REF!,#REF!,NA,0,-1))</f>
        <v/>
      </c>
      <c r="AB2327" s="22"/>
      <c r="AC2327" s="23" t="s">
        <v>4310</v>
      </c>
      <c r="AD2327" s="23" t="str">
        <f>IF($AC2327="","",_xlfn.XLOOKUP($AC2327,'Client Info'!$C$2:$C$2497,'Client Info'!$D$2:$D$2497,"",0,1))</f>
        <v/>
      </c>
      <c r="AE2327" s="23" t="str">
        <f>IF($AC2327="","",_xlfn.XLOOKUP($AC2327,'Client Info'!$C$2:$C$2677,'Client Info'!$E$2:$E$2677,"",))</f>
        <v/>
      </c>
      <c r="AF2327" s="23" t="str">
        <f>IF($AC2327="","",_xlfn.XLOOKUP($AC2327,'Client Info'!$C$2:$C$2677,'Client Info'!$F$2:$F$2677,"",0,1))</f>
        <v/>
      </c>
      <c r="AG2327" s="23" t="s">
        <v>4310</v>
      </c>
      <c r="AH2327" s="26" t="str">
        <f>_xlfn.XLOOKUP(Table26[[#This Row],[customerSKU]],customerSKU!G:G,customerSKU!K:K,"NA",0,1)</f>
        <v>NA</v>
      </c>
      <c r="AI2327" s="43" t="str">
        <f>_xlfn.XLOOKUP(Table26[[#This Row],[customerSKU]],customerSKU!G:G,customerSKU!O:O,"not found",0,1)</f>
        <v>not found</v>
      </c>
      <c r="AJ2327" s="22" t="e">
        <f>Table26[[#This Row],[unitprice]]*Table26[[#This Row],[quantity_unit]]</f>
        <v>#VALUE!</v>
      </c>
      <c r="AK2327" s="227" t="e" cm="1">
        <f t="array" ref="AK23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7" s="227"/>
    </row>
    <row r="2328" spans="1:38" ht="27" customHeight="1">
      <c r="A2328" s="42">
        <v>2358</v>
      </c>
      <c r="B2328" s="42" t="s">
        <v>3520</v>
      </c>
      <c r="C2328" s="53" t="s">
        <v>3488</v>
      </c>
      <c r="E2328" s="20"/>
      <c r="F23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8" s="93"/>
      <c r="I2328" s="203">
        <v>45889</v>
      </c>
      <c r="J2328" s="90" t="str">
        <f>IF(Table26[[#This Row],[customerSKU]]="","",_xlfn.XLOOKUP(Table26[[#This Row],[customerSKU]],customerSKU!G:G,customerSKU!A:A,"",0,1))</f>
        <v/>
      </c>
      <c r="K2328" s="19">
        <v>45894</v>
      </c>
      <c r="L2328" s="49" t="str">
        <f>IF(Table26[[#This Row],[customerSKU]]="","",_xlfn.XLOOKUP(Table26[[#This Row],[customerSKU]],customerSKU!G:G,customerSKU!B:B,"",0,1))</f>
        <v/>
      </c>
      <c r="M2328" s="22"/>
      <c r="N2328" s="15" t="str">
        <f>Table26[[#This Row],[po_number]]&amp;"-"&amp;Table26[[#This Row],[po_line]]</f>
        <v>-16</v>
      </c>
      <c r="O2328" s="15">
        <v>16</v>
      </c>
      <c r="P2328" s="50"/>
      <c r="Q2328" s="22" t="s">
        <v>831</v>
      </c>
      <c r="R2328" s="22" t="s">
        <v>532</v>
      </c>
      <c r="S2328" s="90" t="str">
        <f>IF(Table26[[#This Row],[customerSKU]]="","",_xlfn.XLOOKUP(Table26[[#This Row],[customerSKU]],customerSKU!G:G,customerSKU!N:N,"NOT FOUND",0,1))</f>
        <v>NOT FOUND</v>
      </c>
      <c r="T2328" s="386">
        <v>45889</v>
      </c>
      <c r="U2328" s="94">
        <v>24</v>
      </c>
      <c r="V2328" s="22" t="str">
        <f>IF(ISBLANK(Table26[[#This Row],[customerSKU]]),"",_xlfn.XLOOKUP(Table26[[#This Row],[customerSKU]],Table27[customer_SKU],Table27[case_size],"",0,1))</f>
        <v/>
      </c>
      <c r="W2328" s="117" t="str">
        <f t="shared" si="97"/>
        <v/>
      </c>
      <c r="X2328" s="22" t="str">
        <f t="shared" si="98"/>
        <v/>
      </c>
      <c r="Y2328" s="25" t="str">
        <f>IF(Table26[[#This Row],[customerSKU]]="","",_xlfn.XLOOKUP(Table26[[#This Row],[customerSKU]],Table27[customer_SKU],Table27[product_GTIN],"",0,1))</f>
        <v/>
      </c>
      <c r="Z2328" s="25" t="s">
        <v>3550</v>
      </c>
      <c r="AA2328" s="18" t="str" cm="1">
        <f t="array" ref="AA2328">IF(P2328="", "", _xlfn.XLOOKUP(P2328,#REF!,#REF!,NA,0,-1))</f>
        <v/>
      </c>
      <c r="AB2328" s="22"/>
      <c r="AC2328" s="23" t="s">
        <v>4310</v>
      </c>
      <c r="AD2328" s="23" t="str">
        <f>IF($AC2328="","",_xlfn.XLOOKUP($AC2328,'Client Info'!$C$2:$C$2497,'Client Info'!$D$2:$D$2497,"",0,1))</f>
        <v/>
      </c>
      <c r="AE2328" s="23" t="str">
        <f>IF($AC2328="","",_xlfn.XLOOKUP($AC2328,'Client Info'!$C$2:$C$2677,'Client Info'!$E$2:$E$2677,"",))</f>
        <v/>
      </c>
      <c r="AF2328" s="23" t="str">
        <f>IF($AC2328="","",_xlfn.XLOOKUP($AC2328,'Client Info'!$C$2:$C$2677,'Client Info'!$F$2:$F$2677,"",0,1))</f>
        <v/>
      </c>
      <c r="AG2328" s="23" t="s">
        <v>4310</v>
      </c>
      <c r="AH2328" s="26" t="str">
        <f>_xlfn.XLOOKUP(Table26[[#This Row],[customerSKU]],customerSKU!G:G,customerSKU!K:K,"NA",0,1)</f>
        <v>NA</v>
      </c>
      <c r="AI2328" s="43" t="str">
        <f>_xlfn.XLOOKUP(Table26[[#This Row],[customerSKU]],customerSKU!G:G,customerSKU!O:O,"not found",0,1)</f>
        <v>not found</v>
      </c>
      <c r="AJ2328" s="22" t="e">
        <f>Table26[[#This Row],[unitprice]]*Table26[[#This Row],[quantity_unit]]</f>
        <v>#VALUE!</v>
      </c>
      <c r="AK2328" s="227" t="e" cm="1">
        <f t="array" ref="AK23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8" s="227"/>
    </row>
    <row r="2329" spans="1:38" ht="27" customHeight="1">
      <c r="A2329" s="42">
        <v>2359</v>
      </c>
      <c r="B2329" s="42" t="s">
        <v>3520</v>
      </c>
      <c r="C2329" s="53" t="s">
        <v>3488</v>
      </c>
      <c r="E2329" s="20"/>
      <c r="F23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29" s="93"/>
      <c r="I2329" s="203">
        <v>45889</v>
      </c>
      <c r="J2329" s="90" t="str">
        <f>IF(Table26[[#This Row],[customerSKU]]="","",_xlfn.XLOOKUP(Table26[[#This Row],[customerSKU]],customerSKU!G:G,customerSKU!A:A,"",0,1))</f>
        <v/>
      </c>
      <c r="K2329" s="19">
        <v>45894</v>
      </c>
      <c r="L2329" s="49" t="str">
        <f>IF(Table26[[#This Row],[customerSKU]]="","",_xlfn.XLOOKUP(Table26[[#This Row],[customerSKU]],customerSKU!G:G,customerSKU!B:B,"",0,1))</f>
        <v/>
      </c>
      <c r="M2329" s="22"/>
      <c r="N2329" s="15" t="str">
        <f>Table26[[#This Row],[po_number]]&amp;"-"&amp;Table26[[#This Row],[po_line]]</f>
        <v>-17</v>
      </c>
      <c r="O2329" s="15">
        <v>17</v>
      </c>
      <c r="P2329" s="50"/>
      <c r="Q2329" s="22" t="s">
        <v>828</v>
      </c>
      <c r="R2329" s="22" t="s">
        <v>532</v>
      </c>
      <c r="S2329" s="90" t="str">
        <f>IF(Table26[[#This Row],[customerSKU]]="","",_xlfn.XLOOKUP(Table26[[#This Row],[customerSKU]],customerSKU!G:G,customerSKU!N:N,"NOT FOUND",0,1))</f>
        <v>NOT FOUND</v>
      </c>
      <c r="T2329" s="386">
        <v>45890</v>
      </c>
      <c r="U2329" s="94">
        <v>24</v>
      </c>
      <c r="V2329" s="22" t="str">
        <f>IF(ISBLANK(Table26[[#This Row],[customerSKU]]),"",_xlfn.XLOOKUP(Table26[[#This Row],[customerSKU]],Table27[customer_SKU],Table27[case_size],"",0,1))</f>
        <v/>
      </c>
      <c r="W2329" s="117" t="str">
        <f t="shared" si="97"/>
        <v/>
      </c>
      <c r="X2329" s="22" t="str">
        <f t="shared" si="98"/>
        <v/>
      </c>
      <c r="Y2329" s="25" t="str">
        <f>IF(Table26[[#This Row],[customerSKU]]="","",_xlfn.XLOOKUP(Table26[[#This Row],[customerSKU]],Table27[customer_SKU],Table27[product_GTIN],"",0,1))</f>
        <v/>
      </c>
      <c r="Z2329" s="25" t="s">
        <v>3602</v>
      </c>
      <c r="AA2329" s="18" t="str" cm="1">
        <f t="array" ref="AA2329">IF(P2329="", "", _xlfn.XLOOKUP(P2329,#REF!,#REF!,NA,0,-1))</f>
        <v/>
      </c>
      <c r="AB2329" s="22"/>
      <c r="AC2329" s="23" t="s">
        <v>4310</v>
      </c>
      <c r="AD2329" s="23" t="str">
        <f>IF($AC2329="","",_xlfn.XLOOKUP($AC2329,'Client Info'!$C$2:$C$2497,'Client Info'!$D$2:$D$2497,"",0,1))</f>
        <v/>
      </c>
      <c r="AE2329" s="23" t="str">
        <f>IF($AC2329="","",_xlfn.XLOOKUP($AC2329,'Client Info'!$C$2:$C$2677,'Client Info'!$E$2:$E$2677,"",))</f>
        <v/>
      </c>
      <c r="AF2329" s="23" t="str">
        <f>IF($AC2329="","",_xlfn.XLOOKUP($AC2329,'Client Info'!$C$2:$C$2677,'Client Info'!$F$2:$F$2677,"",0,1))</f>
        <v/>
      </c>
      <c r="AG2329" s="23" t="s">
        <v>4310</v>
      </c>
      <c r="AH2329" s="26" t="str">
        <f>_xlfn.XLOOKUP(Table26[[#This Row],[customerSKU]],customerSKU!G:G,customerSKU!K:K,"NA",0,1)</f>
        <v>NA</v>
      </c>
      <c r="AI2329" s="43" t="str">
        <f>_xlfn.XLOOKUP(Table26[[#This Row],[customerSKU]],customerSKU!G:G,customerSKU!O:O,"not found",0,1)</f>
        <v>not found</v>
      </c>
      <c r="AJ2329" s="22" t="e">
        <f>Table26[[#This Row],[unitprice]]*Table26[[#This Row],[quantity_unit]]</f>
        <v>#VALUE!</v>
      </c>
      <c r="AK2329" s="227" t="e" cm="1">
        <f t="array" ref="AK23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29" s="227"/>
    </row>
    <row r="2330" spans="1:38" ht="27" customHeight="1">
      <c r="A2330" s="42">
        <v>2360</v>
      </c>
      <c r="B2330" s="42" t="s">
        <v>3520</v>
      </c>
      <c r="C2330" s="53" t="s">
        <v>3488</v>
      </c>
      <c r="E2330" s="20"/>
      <c r="F23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0" s="93"/>
      <c r="I2330" s="203">
        <v>45889</v>
      </c>
      <c r="J2330" s="90" t="str">
        <f>IF(Table26[[#This Row],[customerSKU]]="","",_xlfn.XLOOKUP(Table26[[#This Row],[customerSKU]],customerSKU!G:G,customerSKU!A:A,"",0,1))</f>
        <v/>
      </c>
      <c r="K2330" s="19">
        <v>45894</v>
      </c>
      <c r="L2330" s="49" t="str">
        <f>IF(Table26[[#This Row],[customerSKU]]="","",_xlfn.XLOOKUP(Table26[[#This Row],[customerSKU]],customerSKU!G:G,customerSKU!B:B,"",0,1))</f>
        <v/>
      </c>
      <c r="M2330" s="22"/>
      <c r="N2330" s="15" t="str">
        <f>Table26[[#This Row],[po_number]]&amp;"-"&amp;Table26[[#This Row],[po_line]]</f>
        <v>-18</v>
      </c>
      <c r="O2330" s="15">
        <v>18</v>
      </c>
      <c r="P2330" s="50"/>
      <c r="Q2330" s="22" t="s">
        <v>869</v>
      </c>
      <c r="R2330" s="22" t="s">
        <v>532</v>
      </c>
      <c r="S2330" s="90" t="str">
        <f>IF(Table26[[#This Row],[customerSKU]]="","",_xlfn.XLOOKUP(Table26[[#This Row],[customerSKU]],customerSKU!G:G,customerSKU!N:N,"NOT FOUND",0,1))</f>
        <v>NOT FOUND</v>
      </c>
      <c r="T2330" s="20">
        <v>45828</v>
      </c>
      <c r="U2330" s="94">
        <v>24</v>
      </c>
      <c r="V2330" s="22" t="str">
        <f>IF(ISBLANK(Table26[[#This Row],[customerSKU]]),"",_xlfn.XLOOKUP(Table26[[#This Row],[customerSKU]],Table27[customer_SKU],Table27[case_size],"",0,1))</f>
        <v/>
      </c>
      <c r="W2330" s="117" t="str">
        <f t="shared" si="97"/>
        <v/>
      </c>
      <c r="X2330" s="22" t="str">
        <f t="shared" si="98"/>
        <v/>
      </c>
      <c r="Y2330" s="25" t="str">
        <f>IF(Table26[[#This Row],[customerSKU]]="","",_xlfn.XLOOKUP(Table26[[#This Row],[customerSKU]],Table27[customer_SKU],Table27[product_GTIN],"",0,1))</f>
        <v/>
      </c>
      <c r="Z2330" s="25" t="s">
        <v>3610</v>
      </c>
      <c r="AA2330" s="18" t="str" cm="1">
        <f t="array" ref="AA2330">IF(P2330="", "", _xlfn.XLOOKUP(P2330,#REF!,#REF!,NA,0,-1))</f>
        <v/>
      </c>
      <c r="AB2330" s="22"/>
      <c r="AC2330" s="23" t="s">
        <v>4310</v>
      </c>
      <c r="AD2330" s="23" t="str">
        <f>IF($AC2330="","",_xlfn.XLOOKUP($AC2330,'Client Info'!$C$2:$C$2497,'Client Info'!$D$2:$D$2497,"",0,1))</f>
        <v/>
      </c>
      <c r="AE2330" s="23" t="str">
        <f>IF($AC2330="","",_xlfn.XLOOKUP($AC2330,'Client Info'!$C$2:$C$2677,'Client Info'!$E$2:$E$2677,"",))</f>
        <v/>
      </c>
      <c r="AF2330" s="23" t="str">
        <f>IF($AC2330="","",_xlfn.XLOOKUP($AC2330,'Client Info'!$C$2:$C$2677,'Client Info'!$F$2:$F$2677,"",0,1))</f>
        <v/>
      </c>
      <c r="AG2330" s="23" t="s">
        <v>4310</v>
      </c>
      <c r="AH2330" s="26" t="str">
        <f>_xlfn.XLOOKUP(Table26[[#This Row],[customerSKU]],customerSKU!G:G,customerSKU!K:K,"NA",0,1)</f>
        <v>NA</v>
      </c>
      <c r="AI2330" s="43" t="str">
        <f>_xlfn.XLOOKUP(Table26[[#This Row],[customerSKU]],customerSKU!G:G,customerSKU!O:O,"not found",0,1)</f>
        <v>not found</v>
      </c>
      <c r="AJ2330" s="22" t="e">
        <f>Table26[[#This Row],[unitprice]]*Table26[[#This Row],[quantity_unit]]</f>
        <v>#VALUE!</v>
      </c>
      <c r="AK2330" s="227" t="e" cm="1">
        <f t="array" ref="AK23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0" s="227"/>
    </row>
    <row r="2331" spans="1:38" ht="24.6" customHeight="1">
      <c r="A2331" s="42">
        <v>2361</v>
      </c>
      <c r="B2331" s="42" t="s">
        <v>3520</v>
      </c>
      <c r="C2331" s="53" t="s">
        <v>3488</v>
      </c>
      <c r="E2331" s="20"/>
      <c r="F23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1" s="93"/>
      <c r="I2331" s="203">
        <v>45889</v>
      </c>
      <c r="J2331" s="90" t="str">
        <f>IF(Table26[[#This Row],[customerSKU]]="","",_xlfn.XLOOKUP(Table26[[#This Row],[customerSKU]],customerSKU!G:G,customerSKU!A:A,"",0,1))</f>
        <v/>
      </c>
      <c r="K2331" s="19">
        <v>45894</v>
      </c>
      <c r="L2331" s="49" t="str">
        <f>IF(Table26[[#This Row],[customerSKU]]="","",_xlfn.XLOOKUP(Table26[[#This Row],[customerSKU]],customerSKU!G:G,customerSKU!B:B,"",0,1))</f>
        <v/>
      </c>
      <c r="M2331" s="22"/>
      <c r="N2331" s="15" t="str">
        <f>Table26[[#This Row],[po_number]]&amp;"-"&amp;Table26[[#This Row],[po_line]]</f>
        <v>-19</v>
      </c>
      <c r="O2331" s="15">
        <v>19</v>
      </c>
      <c r="P2331" s="50"/>
      <c r="Q2331" s="22" t="s">
        <v>659</v>
      </c>
      <c r="R2331" s="22" t="s">
        <v>532</v>
      </c>
      <c r="S2331" s="90" t="str">
        <f>IF(Table26[[#This Row],[customerSKU]]="","",_xlfn.XLOOKUP(Table26[[#This Row],[customerSKU]],customerSKU!G:G,customerSKU!N:N,"NOT FOUND",0,1))</f>
        <v>NOT FOUND</v>
      </c>
      <c r="T2331" s="20">
        <v>45887</v>
      </c>
      <c r="U2331" s="94">
        <v>12</v>
      </c>
      <c r="V2331" s="22" t="str">
        <f>IF(ISBLANK(Table26[[#This Row],[customerSKU]]),"",_xlfn.XLOOKUP(Table26[[#This Row],[customerSKU]],Table27[customer_SKU],Table27[case_size],"",0,1))</f>
        <v/>
      </c>
      <c r="W2331" s="117" t="str">
        <f t="shared" si="97"/>
        <v/>
      </c>
      <c r="X2331" s="22" t="str">
        <f t="shared" si="98"/>
        <v/>
      </c>
      <c r="Y2331" s="25" t="str">
        <f>IF(Table26[[#This Row],[customerSKU]]="","",_xlfn.XLOOKUP(Table26[[#This Row],[customerSKU]],Table27[customer_SKU],Table27[product_GTIN],"",0,1))</f>
        <v/>
      </c>
      <c r="Z2331" s="25" t="s">
        <v>3600</v>
      </c>
      <c r="AA2331" s="18" t="str" cm="1">
        <f t="array" ref="AA2331">IF(P2331="", "", _xlfn.XLOOKUP(P2331,#REF!,#REF!,NA,0,-1))</f>
        <v/>
      </c>
      <c r="AB2331" s="22"/>
      <c r="AC2331" s="23" t="s">
        <v>4310</v>
      </c>
      <c r="AD2331" s="23" t="str">
        <f>IF($AC2331="","",_xlfn.XLOOKUP($AC2331,'Client Info'!$C$2:$C$2497,'Client Info'!$D$2:$D$2497,"",0,1))</f>
        <v/>
      </c>
      <c r="AE2331" s="23" t="str">
        <f>IF($AC2331="","",_xlfn.XLOOKUP($AC2331,'Client Info'!$C$2:$C$2677,'Client Info'!$E$2:$E$2677,"",))</f>
        <v/>
      </c>
      <c r="AF2331" s="23" t="str">
        <f>IF($AC2331="","",_xlfn.XLOOKUP($AC2331,'Client Info'!$C$2:$C$2677,'Client Info'!$F$2:$F$2677,"",0,1))</f>
        <v/>
      </c>
      <c r="AG2331" s="23" t="s">
        <v>4310</v>
      </c>
      <c r="AH2331" s="26" t="str">
        <f>_xlfn.XLOOKUP(Table26[[#This Row],[customerSKU]],customerSKU!G:G,customerSKU!K:K,"NA",0,1)</f>
        <v>NA</v>
      </c>
      <c r="AI2331" s="43" t="str">
        <f>_xlfn.XLOOKUP(Table26[[#This Row],[customerSKU]],customerSKU!G:G,customerSKU!O:O,"not found",0,1)</f>
        <v>not found</v>
      </c>
      <c r="AJ2331" s="22" t="e">
        <f>Table26[[#This Row],[unitprice]]*Table26[[#This Row],[quantity_unit]]</f>
        <v>#VALUE!</v>
      </c>
      <c r="AK2331" s="227" t="e" cm="1">
        <f t="array" ref="AK23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1" s="227"/>
    </row>
    <row r="2332" spans="1:38" ht="27" customHeight="1">
      <c r="A2332" s="42">
        <v>2362</v>
      </c>
      <c r="B2332" s="42" t="s">
        <v>3520</v>
      </c>
      <c r="C2332" s="53" t="s">
        <v>3488</v>
      </c>
      <c r="E2332" s="20"/>
      <c r="F23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2" s="93"/>
      <c r="I2332" s="203">
        <v>45889</v>
      </c>
      <c r="J2332" s="90" t="str">
        <f>IF(Table26[[#This Row],[customerSKU]]="","",_xlfn.XLOOKUP(Table26[[#This Row],[customerSKU]],customerSKU!G:G,customerSKU!A:A,"",0,1))</f>
        <v/>
      </c>
      <c r="K2332" s="19">
        <v>45894</v>
      </c>
      <c r="L2332" s="49" t="str">
        <f>IF(Table26[[#This Row],[customerSKU]]="","",_xlfn.XLOOKUP(Table26[[#This Row],[customerSKU]],customerSKU!G:G,customerSKU!B:B,"",0,1))</f>
        <v/>
      </c>
      <c r="M2332" s="22"/>
      <c r="N2332" s="15" t="str">
        <f>Table26[[#This Row],[po_number]]&amp;"-"&amp;Table26[[#This Row],[po_line]]</f>
        <v>-20</v>
      </c>
      <c r="O2332" s="15">
        <v>20</v>
      </c>
      <c r="P2332" s="50"/>
      <c r="Q2332" s="22" t="s">
        <v>3548</v>
      </c>
      <c r="R2332" s="22" t="s">
        <v>532</v>
      </c>
      <c r="S2332" s="90" t="s">
        <v>13</v>
      </c>
      <c r="T2332" s="20">
        <v>45777</v>
      </c>
      <c r="U2332" s="94">
        <v>24</v>
      </c>
      <c r="V2332" s="22" t="str">
        <f>IF(ISBLANK(Table26[[#This Row],[customerSKU]]),"",_xlfn.XLOOKUP(Table26[[#This Row],[customerSKU]],Table27[customer_SKU],Table27[case_size],"",0,1))</f>
        <v/>
      </c>
      <c r="W2332" s="117" t="str">
        <f t="shared" si="97"/>
        <v/>
      </c>
      <c r="X2332" s="22" t="str">
        <f t="shared" si="98"/>
        <v/>
      </c>
      <c r="Y2332" s="25" t="str">
        <f>IF(Table26[[#This Row],[customerSKU]]="","",_xlfn.XLOOKUP(Table26[[#This Row],[customerSKU]],Table27[customer_SKU],Table27[product_GTIN],"",0,1))</f>
        <v/>
      </c>
      <c r="Z2332" s="25" t="s">
        <v>3549</v>
      </c>
      <c r="AA2332" s="18" t="str" cm="1">
        <f t="array" ref="AA2332">IF(P2332="", "", _xlfn.XLOOKUP(P2332,#REF!,#REF!,NA,0,-1))</f>
        <v/>
      </c>
      <c r="AB2332" s="22"/>
      <c r="AC2332" s="23" t="s">
        <v>4310</v>
      </c>
      <c r="AD2332" s="23" t="str">
        <f>IF($AC2332="","",_xlfn.XLOOKUP($AC2332,'Client Info'!$C$2:$C$2497,'Client Info'!$D$2:$D$2497,"",0,1))</f>
        <v/>
      </c>
      <c r="AE2332" s="23" t="str">
        <f>IF($AC2332="","",_xlfn.XLOOKUP($AC2332,'Client Info'!$C$2:$C$2677,'Client Info'!$E$2:$E$2677,"",))</f>
        <v/>
      </c>
      <c r="AF2332" s="23" t="str">
        <f>IF($AC2332="","",_xlfn.XLOOKUP($AC2332,'Client Info'!$C$2:$C$2677,'Client Info'!$F$2:$F$2677,"",0,1))</f>
        <v/>
      </c>
      <c r="AG2332" s="23" t="s">
        <v>4310</v>
      </c>
      <c r="AH2332" s="26" t="str">
        <f>_xlfn.XLOOKUP(Table26[[#This Row],[customerSKU]],customerSKU!G:G,customerSKU!K:K,"NA",0,1)</f>
        <v>NA</v>
      </c>
      <c r="AI2332" s="43" t="str">
        <f>_xlfn.XLOOKUP(Table26[[#This Row],[customerSKU]],customerSKU!G:G,customerSKU!O:O,"not found",0,1)</f>
        <v>not found</v>
      </c>
      <c r="AJ2332" s="22" t="e">
        <f>Table26[[#This Row],[unitprice]]*Table26[[#This Row],[quantity_unit]]</f>
        <v>#VALUE!</v>
      </c>
      <c r="AK2332" s="227" t="e" cm="1">
        <f t="array" ref="AK23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2" s="227"/>
    </row>
    <row r="2333" spans="1:38" ht="27" customHeight="1">
      <c r="A2333" s="42">
        <v>2363</v>
      </c>
      <c r="B2333" s="42" t="s">
        <v>3520</v>
      </c>
      <c r="C2333" s="53" t="s">
        <v>3488</v>
      </c>
      <c r="E2333" s="20"/>
      <c r="F23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3" s="93"/>
      <c r="I2333" s="203">
        <v>45889</v>
      </c>
      <c r="J2333" s="90" t="str">
        <f>IF(Table26[[#This Row],[customerSKU]]="","",_xlfn.XLOOKUP(Table26[[#This Row],[customerSKU]],customerSKU!G:G,customerSKU!A:A,"",0,1))</f>
        <v/>
      </c>
      <c r="K2333" s="19">
        <v>45894</v>
      </c>
      <c r="L2333" s="49" t="str">
        <f>IF(Table26[[#This Row],[customerSKU]]="","",_xlfn.XLOOKUP(Table26[[#This Row],[customerSKU]],customerSKU!G:G,customerSKU!B:B,"",0,1))</f>
        <v/>
      </c>
      <c r="M2333" s="22"/>
      <c r="N2333" s="15" t="str">
        <f>Table26[[#This Row],[po_number]]&amp;"-"&amp;Table26[[#This Row],[po_line]]</f>
        <v>-21</v>
      </c>
      <c r="O2333" s="15">
        <v>21</v>
      </c>
      <c r="P2333" s="50"/>
      <c r="Q2333" s="22" t="s">
        <v>1829</v>
      </c>
      <c r="R2333" s="22" t="s">
        <v>532</v>
      </c>
      <c r="S2333" s="90" t="str">
        <f>IF(Table26[[#This Row],[customerSKU]]="","",_xlfn.XLOOKUP(Table26[[#This Row],[customerSKU]],customerSKU!G:G,customerSKU!N:N,"NOT FOUND",0,1))</f>
        <v>NOT FOUND</v>
      </c>
      <c r="T2333" s="20">
        <v>45880</v>
      </c>
      <c r="U2333" s="94">
        <v>12</v>
      </c>
      <c r="V2333" s="22" t="str">
        <f>IF(ISBLANK(Table26[[#This Row],[customerSKU]]),"",_xlfn.XLOOKUP(Table26[[#This Row],[customerSKU]],Table27[customer_SKU],Table27[case_size],"",0,1))</f>
        <v/>
      </c>
      <c r="W2333" s="117" t="str">
        <f t="shared" si="97"/>
        <v/>
      </c>
      <c r="X2333" s="22" t="str">
        <f t="shared" si="98"/>
        <v/>
      </c>
      <c r="Y2333" s="25" t="str">
        <f>IF(Table26[[#This Row],[customerSKU]]="","",_xlfn.XLOOKUP(Table26[[#This Row],[customerSKU]],Table27[customer_SKU],Table27[product_GTIN],"",0,1))</f>
        <v/>
      </c>
      <c r="Z2333" s="25" t="s">
        <v>3522</v>
      </c>
      <c r="AA2333" s="18" t="str" cm="1">
        <f t="array" ref="AA2333">IF(P2333="", "", _xlfn.XLOOKUP(P2333,#REF!,#REF!,NA,0,-1))</f>
        <v/>
      </c>
      <c r="AB2333" s="22"/>
      <c r="AC2333" s="23" t="s">
        <v>4310</v>
      </c>
      <c r="AD2333" s="23" t="str">
        <f>IF($AC2333="","",_xlfn.XLOOKUP($AC2333,'Client Info'!$C$2:$C$2497,'Client Info'!$D$2:$D$2497,"",0,1))</f>
        <v/>
      </c>
      <c r="AE2333" s="23" t="str">
        <f>IF($AC2333="","",_xlfn.XLOOKUP($AC2333,'Client Info'!$C$2:$C$2677,'Client Info'!$E$2:$E$2677,"",))</f>
        <v/>
      </c>
      <c r="AF2333" s="23" t="str">
        <f>IF($AC2333="","",_xlfn.XLOOKUP($AC2333,'Client Info'!$C$2:$C$2677,'Client Info'!$F$2:$F$2677,"",0,1))</f>
        <v/>
      </c>
      <c r="AG2333" s="23" t="s">
        <v>4310</v>
      </c>
      <c r="AH2333" s="26" t="str">
        <f>_xlfn.XLOOKUP(Table26[[#This Row],[customerSKU]],customerSKU!G:G,customerSKU!K:K,"NA",0,1)</f>
        <v>NA</v>
      </c>
      <c r="AI2333" s="43" t="str">
        <f>_xlfn.XLOOKUP(Table26[[#This Row],[customerSKU]],customerSKU!G:G,customerSKU!O:O,"not found",0,1)</f>
        <v>not found</v>
      </c>
      <c r="AJ2333" s="22" t="e">
        <f>Table26[[#This Row],[unitprice]]*Table26[[#This Row],[quantity_unit]]</f>
        <v>#VALUE!</v>
      </c>
      <c r="AK2333" s="227" t="e" cm="1">
        <f t="array" ref="AK23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3" s="227"/>
    </row>
    <row r="2334" spans="1:38" ht="27" customHeight="1">
      <c r="A2334" s="42">
        <v>2364</v>
      </c>
      <c r="B2334" s="42" t="s">
        <v>3520</v>
      </c>
      <c r="C2334" s="53" t="s">
        <v>3488</v>
      </c>
      <c r="E2334" s="20"/>
      <c r="F23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4" s="93"/>
      <c r="I2334" s="203">
        <v>45889</v>
      </c>
      <c r="J2334" s="90" t="str">
        <f>IF(Table26[[#This Row],[customerSKU]]="","",_xlfn.XLOOKUP(Table26[[#This Row],[customerSKU]],customerSKU!G:G,customerSKU!A:A,"",0,1))</f>
        <v/>
      </c>
      <c r="K2334" s="19">
        <v>45894</v>
      </c>
      <c r="L2334" s="49" t="str">
        <f>IF(Table26[[#This Row],[customerSKU]]="","",_xlfn.XLOOKUP(Table26[[#This Row],[customerSKU]],customerSKU!G:G,customerSKU!B:B,"",0,1))</f>
        <v/>
      </c>
      <c r="M2334" s="22"/>
      <c r="N2334" s="15" t="str">
        <f>Table26[[#This Row],[po_number]]&amp;"-"&amp;Table26[[#This Row],[po_line]]</f>
        <v>-22</v>
      </c>
      <c r="O2334" s="15">
        <v>22</v>
      </c>
      <c r="P2334" s="50"/>
      <c r="Q2334" s="22" t="s">
        <v>1871</v>
      </c>
      <c r="R2334" s="22" t="s">
        <v>532</v>
      </c>
      <c r="S2334" s="90" t="str">
        <f>IF(Table26[[#This Row],[customerSKU]]="","",_xlfn.XLOOKUP(Table26[[#This Row],[customerSKU]],customerSKU!G:G,customerSKU!N:N,"NOT FOUND",0,1))</f>
        <v>NOT FOUND</v>
      </c>
      <c r="T2334" s="20">
        <v>45870</v>
      </c>
      <c r="U2334" s="94">
        <v>24</v>
      </c>
      <c r="V2334" s="22" t="str">
        <f>IF(ISBLANK(Table26[[#This Row],[customerSKU]]),"",_xlfn.XLOOKUP(Table26[[#This Row],[customerSKU]],Table27[customer_SKU],Table27[case_size],"",0,1))</f>
        <v/>
      </c>
      <c r="W2334" s="117" t="str">
        <f t="shared" si="97"/>
        <v/>
      </c>
      <c r="X2334" s="22" t="str">
        <f t="shared" si="98"/>
        <v/>
      </c>
      <c r="Y2334" s="25" t="str">
        <f>IF(Table26[[#This Row],[customerSKU]]="","",_xlfn.XLOOKUP(Table26[[#This Row],[customerSKU]],Table27[customer_SKU],Table27[product_GTIN],"",0,1))</f>
        <v/>
      </c>
      <c r="Z2334" s="25" t="s">
        <v>3534</v>
      </c>
      <c r="AA2334" s="18" t="str" cm="1">
        <f t="array" ref="AA2334">IF(P2334="", "", _xlfn.XLOOKUP(P2334,#REF!,#REF!,NA,0,-1))</f>
        <v/>
      </c>
      <c r="AB2334" s="22"/>
      <c r="AC2334" s="23" t="s">
        <v>4310</v>
      </c>
      <c r="AD2334" s="23" t="str">
        <f>IF($AC2334="","",_xlfn.XLOOKUP($AC2334,'Client Info'!$C$2:$C$2497,'Client Info'!$D$2:$D$2497,"",0,1))</f>
        <v/>
      </c>
      <c r="AE2334" s="23" t="str">
        <f>IF($AC2334="","",_xlfn.XLOOKUP($AC2334,'Client Info'!$C$2:$C$2677,'Client Info'!$E$2:$E$2677,"",))</f>
        <v/>
      </c>
      <c r="AF2334" s="23" t="str">
        <f>IF($AC2334="","",_xlfn.XLOOKUP($AC2334,'Client Info'!$C$2:$C$2677,'Client Info'!$F$2:$F$2677,"",0,1))</f>
        <v/>
      </c>
      <c r="AG2334" s="23" t="s">
        <v>4310</v>
      </c>
      <c r="AH2334" s="26" t="str">
        <f>_xlfn.XLOOKUP(Table26[[#This Row],[customerSKU]],customerSKU!G:G,customerSKU!K:K,"NA",0,1)</f>
        <v>NA</v>
      </c>
      <c r="AI2334" s="43" t="str">
        <f>_xlfn.XLOOKUP(Table26[[#This Row],[customerSKU]],customerSKU!G:G,customerSKU!O:O,"not found",0,1)</f>
        <v>not found</v>
      </c>
      <c r="AJ2334" s="22" t="e">
        <f>Table26[[#This Row],[unitprice]]*Table26[[#This Row],[quantity_unit]]</f>
        <v>#VALUE!</v>
      </c>
      <c r="AK2334" s="227" t="e" cm="1">
        <f t="array" ref="AK23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4" s="227"/>
    </row>
    <row r="2335" spans="1:38" ht="27" customHeight="1">
      <c r="A2335" s="42">
        <v>2336</v>
      </c>
      <c r="B2335" s="42" t="s">
        <v>3520</v>
      </c>
      <c r="C2335" s="53" t="s">
        <v>3360</v>
      </c>
      <c r="E2335" s="20"/>
      <c r="F23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5" s="93"/>
      <c r="I2335" s="203">
        <v>45888</v>
      </c>
      <c r="J2335" s="90" t="str">
        <f>IF(Table26[[#This Row],[customerSKU]]="","",_xlfn.XLOOKUP(Table26[[#This Row],[customerSKU]],customerSKU!G:G,customerSKU!A:A,"",0,1))</f>
        <v/>
      </c>
      <c r="K2335" s="19">
        <v>45889</v>
      </c>
      <c r="L2335" s="49" t="str">
        <f>IF(Table26[[#This Row],[customerSKU]]="","",_xlfn.XLOOKUP(Table26[[#This Row],[customerSKU]],customerSKU!G:G,customerSKU!B:B,"",0,1))</f>
        <v/>
      </c>
      <c r="M2335" s="22"/>
      <c r="N2335" s="15" t="str">
        <f>Table26[[#This Row],[po_number]]&amp;"-"&amp;Table26[[#This Row],[po_line]]</f>
        <v>-1</v>
      </c>
      <c r="O2335" s="15">
        <v>1</v>
      </c>
      <c r="P2335" s="50"/>
      <c r="S2335" s="90" t="str">
        <f>IF(Table26[[#This Row],[customerSKU]]="","",_xlfn.XLOOKUP(Table26[[#This Row],[customerSKU]],customerSKU!G:G,customerSKU!N:N,"NOT FOUND",0,1))</f>
        <v>NOT FOUND</v>
      </c>
      <c r="T2335" s="20"/>
      <c r="U2335" s="94">
        <v>12</v>
      </c>
      <c r="V2335" s="22" t="str">
        <f>IF(ISBLANK(Table26[[#This Row],[customerSKU]]),"",_xlfn.XLOOKUP(Table26[[#This Row],[customerSKU]],Table27[customer_SKU],Table27[case_size],"",0,1))</f>
        <v/>
      </c>
      <c r="W2335" s="117" t="str">
        <f t="shared" si="97"/>
        <v/>
      </c>
      <c r="X2335" s="22" t="str">
        <f t="shared" si="98"/>
        <v/>
      </c>
      <c r="Y2335" s="25" t="str">
        <f>IF(Table26[[#This Row],[customerSKU]]="","",_xlfn.XLOOKUP(Table26[[#This Row],[customerSKU]],Table27[customer_SKU],Table27[product_GTIN],"",0,1))</f>
        <v/>
      </c>
      <c r="Z2335" s="25" t="s">
        <v>3721</v>
      </c>
      <c r="AA2335" s="18" t="str" cm="1">
        <f t="array" ref="AA2335">IF(P2335="", "", _xlfn.XLOOKUP(P2335,#REF!,#REF!,NA,0,-1))</f>
        <v/>
      </c>
      <c r="AB2335" s="22"/>
      <c r="AC2335" s="23" t="str">
        <f>IF(Table26[[#This Row],[customerSKU]]="","",_xlfn.XLOOKUP(Table26[[#This Row],[customerSKU]],customerSKU!G:G,customerSKU!C:C,"",0,1))</f>
        <v/>
      </c>
      <c r="AD2335" s="23" t="str">
        <f>IF($AC2335="","",_xlfn.XLOOKUP($AC2335,'Client Info'!$C$2:$C$2497,'Client Info'!$D$2:$D$2497,"",0,1))</f>
        <v/>
      </c>
      <c r="AE2335" s="23" t="str">
        <f>IF($AC2335="","",_xlfn.XLOOKUP($AC2335,'Client Info'!$C$2:$C$2677,'Client Info'!$E$2:$E$2677,"",))</f>
        <v/>
      </c>
      <c r="AF2335" s="23" t="str">
        <f>IF($AC2335="","",_xlfn.XLOOKUP($AC2335,'Client Info'!$C$2:$C$2677,'Client Info'!$F$2:$F$2677,"",0,1))</f>
        <v/>
      </c>
      <c r="AG2335" s="23" t="str">
        <f>IF(ISBLANK(Table26[[#This Row],[customerSKU]]),"",_xlfn.XLOOKUP(Table26[[#This Row],[customerSKU]],Table27[customer_SKU],Table27[billto],"",0,1))</f>
        <v/>
      </c>
      <c r="AH2335" s="26" t="str">
        <f>_xlfn.XLOOKUP(Table26[[#This Row],[customerSKU]],customerSKU!G:G,customerSKU!K:K,"NA",0,1)</f>
        <v>NA</v>
      </c>
      <c r="AI2335" s="43" t="str">
        <f>_xlfn.XLOOKUP(Table26[[#This Row],[customerSKU]],customerSKU!G:G,customerSKU!O:O,"not found",0,1)</f>
        <v>not found</v>
      </c>
      <c r="AJ2335" s="22" t="e">
        <f>Table26[[#This Row],[unitprice]]*Table26[[#This Row],[quantity_unit]]</f>
        <v>#VALUE!</v>
      </c>
      <c r="AK2335" s="227" t="e" cm="1">
        <f t="array" ref="AK23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5" s="227"/>
    </row>
    <row r="2336" spans="1:38" ht="27" customHeight="1">
      <c r="A2336" s="42">
        <v>2296</v>
      </c>
      <c r="B2336" s="42" t="s">
        <v>3520</v>
      </c>
      <c r="C2336" s="53" t="s">
        <v>203</v>
      </c>
      <c r="E2336" s="20"/>
      <c r="F23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6" s="93"/>
      <c r="I2336" s="203">
        <v>45882</v>
      </c>
      <c r="J2336" s="90" t="str">
        <f>IF(Table26[[#This Row],[customerSKU]]="","",_xlfn.XLOOKUP(Table26[[#This Row],[customerSKU]],customerSKU!G:G,customerSKU!A:A,"",0,1))</f>
        <v/>
      </c>
      <c r="K2336" s="19">
        <v>45889</v>
      </c>
      <c r="L2336" s="49" t="str">
        <f>IF(Table26[[#This Row],[customerSKU]]="","",_xlfn.XLOOKUP(Table26[[#This Row],[customerSKU]],customerSKU!G:G,customerSKU!B:B,"",0,1))</f>
        <v/>
      </c>
      <c r="M2336" s="22"/>
      <c r="N2336" s="15" t="str">
        <f>Table26[[#This Row],[po_number]]&amp;"-"&amp;Table26[[#This Row],[po_line]]</f>
        <v>-1</v>
      </c>
      <c r="O2336" s="15">
        <v>1</v>
      </c>
      <c r="P2336" s="50"/>
      <c r="Q2336" s="22" t="s">
        <v>3315</v>
      </c>
      <c r="R2336" s="22" t="s">
        <v>532</v>
      </c>
      <c r="S2336" s="90" t="str">
        <f>IF(Table26[[#This Row],[customerSKU]]="","",_xlfn.XLOOKUP(Table26[[#This Row],[customerSKU]],customerSKU!G:G,customerSKU!N:N,"NOT FOUND",0,1))</f>
        <v>NOT FOUND</v>
      </c>
      <c r="T2336" s="20">
        <v>45883</v>
      </c>
      <c r="U2336" s="94">
        <f>34*12</f>
        <v>408</v>
      </c>
      <c r="V2336" s="22" t="str">
        <f>IF(ISBLANK(Table26[[#This Row],[customerSKU]]),"",_xlfn.XLOOKUP(Table26[[#This Row],[customerSKU]],Table27[customer_SKU],Table27[case_size],"",0,1))</f>
        <v/>
      </c>
      <c r="W2336" s="117" t="str">
        <f t="shared" si="97"/>
        <v/>
      </c>
      <c r="X2336" s="22" t="str">
        <f t="shared" si="98"/>
        <v/>
      </c>
      <c r="Y2336" s="25" t="str">
        <f>IF(Table26[[#This Row],[customerSKU]]="","",_xlfn.XLOOKUP(Table26[[#This Row],[customerSKU]],Table27[customer_SKU],Table27[product_GTIN],"",0,1))</f>
        <v/>
      </c>
      <c r="Z2336" s="25" t="s">
        <v>3642</v>
      </c>
      <c r="AA2336" s="18" t="str" cm="1">
        <f t="array" ref="AA2336">IF(P2336="", "", _xlfn.XLOOKUP(P2336,#REF!,#REF!,NA,0,-1))</f>
        <v/>
      </c>
      <c r="AB2336" s="22"/>
      <c r="AC2336" s="23" t="str">
        <f>IF(Table26[[#This Row],[customerSKU]]="","",_xlfn.XLOOKUP(Table26[[#This Row],[customerSKU]],customerSKU!G:G,customerSKU!C:C,"",0,1))</f>
        <v/>
      </c>
      <c r="AD2336" s="23" t="str">
        <f>IF($AC2336="","",_xlfn.XLOOKUP($AC2336,'Client Info'!$C$2:$C$2497,'Client Info'!$D$2:$D$2497,"",0,1))</f>
        <v/>
      </c>
      <c r="AE2336" s="23" t="str">
        <f>IF($AC2336="","",_xlfn.XLOOKUP($AC2336,'Client Info'!$C$2:$C$2677,'Client Info'!$E$2:$E$2677,"",))</f>
        <v/>
      </c>
      <c r="AF2336" s="23" t="str">
        <f>IF($AC2336="","",_xlfn.XLOOKUP($AC2336,'Client Info'!$C$2:$C$2677,'Client Info'!$F$2:$F$2677,"",0,1))</f>
        <v/>
      </c>
      <c r="AG2336" s="23" t="str">
        <f>IF(ISBLANK(Table26[[#This Row],[customerSKU]]),"",_xlfn.XLOOKUP(Table26[[#This Row],[customerSKU]],Table27[customer_SKU],Table27[billto],"",0,1))</f>
        <v/>
      </c>
      <c r="AH2336" s="26" t="str">
        <f>_xlfn.XLOOKUP(Table26[[#This Row],[customerSKU]],customerSKU!G:G,customerSKU!K:K,"NA",0,1)</f>
        <v>NA</v>
      </c>
      <c r="AI2336" s="43" t="str">
        <f>_xlfn.XLOOKUP(Table26[[#This Row],[customerSKU]],customerSKU!G:G,customerSKU!O:O,"not found",0,1)</f>
        <v>not found</v>
      </c>
      <c r="AJ2336" s="22" t="e">
        <f>Table26[[#This Row],[unitprice]]*Table26[[#This Row],[quantity_unit]]</f>
        <v>#VALUE!</v>
      </c>
      <c r="AK2336" s="227" t="e" cm="1">
        <f t="array" ref="AK23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6" s="227"/>
    </row>
    <row r="2337" spans="1:38" ht="24.6" customHeight="1">
      <c r="A2337" s="42">
        <v>2297</v>
      </c>
      <c r="B2337" s="42" t="s">
        <v>3520</v>
      </c>
      <c r="C2337" s="53" t="s">
        <v>203</v>
      </c>
      <c r="E2337" s="20"/>
      <c r="F23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7" s="93"/>
      <c r="I2337" s="203">
        <v>45882</v>
      </c>
      <c r="J2337" s="90" t="str">
        <f>IF(Table26[[#This Row],[customerSKU]]="","",_xlfn.XLOOKUP(Table26[[#This Row],[customerSKU]],customerSKU!G:G,customerSKU!A:A,"",0,1))</f>
        <v/>
      </c>
      <c r="K2337" s="19">
        <v>45889</v>
      </c>
      <c r="L2337" s="49" t="str">
        <f>IF(Table26[[#This Row],[customerSKU]]="","",_xlfn.XLOOKUP(Table26[[#This Row],[customerSKU]],customerSKU!G:G,customerSKU!B:B,"",0,1))</f>
        <v/>
      </c>
      <c r="M2337" s="22"/>
      <c r="N2337" s="15" t="str">
        <f>Table26[[#This Row],[po_number]]&amp;"-"&amp;Table26[[#This Row],[po_line]]</f>
        <v>-2</v>
      </c>
      <c r="O2337" s="15">
        <v>2</v>
      </c>
      <c r="P2337" s="50"/>
      <c r="Q2337" s="22" t="s">
        <v>3306</v>
      </c>
      <c r="R2337" s="22" t="s">
        <v>532</v>
      </c>
      <c r="S2337" s="90" t="str">
        <f>IF(Table26[[#This Row],[customerSKU]]="","",_xlfn.XLOOKUP(Table26[[#This Row],[customerSKU]],customerSKU!G:G,customerSKU!N:N,"NOT FOUND",0,1))</f>
        <v>NOT FOUND</v>
      </c>
      <c r="T2337" s="20">
        <v>45883</v>
      </c>
      <c r="U2337" s="94">
        <f>30*12</f>
        <v>360</v>
      </c>
      <c r="V2337" s="22" t="str">
        <f>IF(ISBLANK(Table26[[#This Row],[customerSKU]]),"",_xlfn.XLOOKUP(Table26[[#This Row],[customerSKU]],Table27[customer_SKU],Table27[case_size],"",0,1))</f>
        <v/>
      </c>
      <c r="W2337" s="117" t="str">
        <f t="shared" si="97"/>
        <v/>
      </c>
      <c r="X2337" s="22" t="str">
        <f t="shared" si="98"/>
        <v/>
      </c>
      <c r="Y2337" s="25" t="str">
        <f>IF(Table26[[#This Row],[customerSKU]]="","",_xlfn.XLOOKUP(Table26[[#This Row],[customerSKU]],Table27[customer_SKU],Table27[product_GTIN],"",0,1))</f>
        <v/>
      </c>
      <c r="Z2337" s="25" t="s">
        <v>3640</v>
      </c>
      <c r="AA2337" s="18" t="str" cm="1">
        <f t="array" ref="AA2337">IF(P2337="", "", _xlfn.XLOOKUP(P2337,#REF!,#REF!,NA,0,-1))</f>
        <v/>
      </c>
      <c r="AB2337" s="22"/>
      <c r="AC2337" s="23" t="str">
        <f>IF(Table26[[#This Row],[customerSKU]]="","",_xlfn.XLOOKUP(Table26[[#This Row],[customerSKU]],customerSKU!G:G,customerSKU!C:C,"",0,1))</f>
        <v/>
      </c>
      <c r="AD2337" s="23" t="str">
        <f>IF($AC2337="","",_xlfn.XLOOKUP($AC2337,'Client Info'!$C$2:$C$2497,'Client Info'!$D$2:$D$2497,"",0,1))</f>
        <v/>
      </c>
      <c r="AE2337" s="23" t="str">
        <f>IF($AC2337="","",_xlfn.XLOOKUP($AC2337,'Client Info'!$C$2:$C$2677,'Client Info'!$E$2:$E$2677,"",))</f>
        <v/>
      </c>
      <c r="AF2337" s="23" t="str">
        <f>IF($AC2337="","",_xlfn.XLOOKUP($AC2337,'Client Info'!$C$2:$C$2677,'Client Info'!$F$2:$F$2677,"",0,1))</f>
        <v/>
      </c>
      <c r="AG2337" s="23" t="str">
        <f>IF(ISBLANK(Table26[[#This Row],[customerSKU]]),"",_xlfn.XLOOKUP(Table26[[#This Row],[customerSKU]],Table27[customer_SKU],Table27[billto],"",0,1))</f>
        <v/>
      </c>
      <c r="AH2337" s="26" t="str">
        <f>_xlfn.XLOOKUP(Table26[[#This Row],[customerSKU]],customerSKU!G:G,customerSKU!K:K,"NA",0,1)</f>
        <v>NA</v>
      </c>
      <c r="AI2337" s="43" t="str">
        <f>_xlfn.XLOOKUP(Table26[[#This Row],[customerSKU]],customerSKU!G:G,customerSKU!O:O,"not found",0,1)</f>
        <v>not found</v>
      </c>
      <c r="AJ2337" s="22" t="e">
        <f>Table26[[#This Row],[unitprice]]*Table26[[#This Row],[quantity_unit]]</f>
        <v>#VALUE!</v>
      </c>
      <c r="AK2337" s="227" t="e" cm="1">
        <f t="array" ref="AK23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7" s="227"/>
    </row>
    <row r="2338" spans="1:38" ht="27" customHeight="1">
      <c r="A2338" s="42">
        <v>2298</v>
      </c>
      <c r="B2338" s="42" t="s">
        <v>3520</v>
      </c>
      <c r="C2338" s="53" t="s">
        <v>203</v>
      </c>
      <c r="E2338" s="20"/>
      <c r="F23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8" s="93"/>
      <c r="I2338" s="203">
        <v>45882</v>
      </c>
      <c r="J2338" s="90" t="str">
        <f>IF(Table26[[#This Row],[customerSKU]]="","",_xlfn.XLOOKUP(Table26[[#This Row],[customerSKU]],customerSKU!G:G,customerSKU!A:A,"",0,1))</f>
        <v/>
      </c>
      <c r="K2338" s="19">
        <v>45889</v>
      </c>
      <c r="L2338" s="49" t="str">
        <f>IF(Table26[[#This Row],[customerSKU]]="","",_xlfn.XLOOKUP(Table26[[#This Row],[customerSKU]],customerSKU!G:G,customerSKU!B:B,"",0,1))</f>
        <v/>
      </c>
      <c r="M2338" s="22"/>
      <c r="N2338" s="15" t="str">
        <f>Table26[[#This Row],[po_number]]&amp;"-"&amp;Table26[[#This Row],[po_line]]</f>
        <v>-3</v>
      </c>
      <c r="O2338" s="15">
        <v>3</v>
      </c>
      <c r="P2338" s="50"/>
      <c r="Q2338" s="22" t="s">
        <v>3309</v>
      </c>
      <c r="R2338" s="22" t="s">
        <v>532</v>
      </c>
      <c r="S2338" s="90" t="str">
        <f>IF(Table26[[#This Row],[customerSKU]]="","",_xlfn.XLOOKUP(Table26[[#This Row],[customerSKU]],customerSKU!G:G,customerSKU!N:N,"NOT FOUND",0,1))</f>
        <v>NOT FOUND</v>
      </c>
      <c r="T2338" s="20">
        <v>45883</v>
      </c>
      <c r="U2338" s="94">
        <v>132</v>
      </c>
      <c r="V2338" s="22" t="str">
        <f>IF(ISBLANK(Table26[[#This Row],[customerSKU]]),"",_xlfn.XLOOKUP(Table26[[#This Row],[customerSKU]],Table27[customer_SKU],Table27[case_size],"",0,1))</f>
        <v/>
      </c>
      <c r="W2338" s="117" t="str">
        <f t="shared" si="97"/>
        <v/>
      </c>
      <c r="X2338" s="22" t="str">
        <f t="shared" si="98"/>
        <v/>
      </c>
      <c r="Y2338" s="25" t="str">
        <f>IF(Table26[[#This Row],[customerSKU]]="","",_xlfn.XLOOKUP(Table26[[#This Row],[customerSKU]],Table27[customer_SKU],Table27[product_GTIN],"",0,1))</f>
        <v/>
      </c>
      <c r="Z2338" s="25" t="s">
        <v>4275</v>
      </c>
      <c r="AA2338" s="18" t="str" cm="1">
        <f t="array" ref="AA2338">IF(P2338="", "", _xlfn.XLOOKUP(P2338,#REF!,#REF!,NA,0,-1))</f>
        <v/>
      </c>
      <c r="AB2338" s="22"/>
      <c r="AC2338" s="23" t="str">
        <f>IF(Table26[[#This Row],[customerSKU]]="","",_xlfn.XLOOKUP(Table26[[#This Row],[customerSKU]],customerSKU!G:G,customerSKU!C:C,"",0,1))</f>
        <v/>
      </c>
      <c r="AD2338" s="23" t="str">
        <f>IF($AC2338="","",_xlfn.XLOOKUP($AC2338,'Client Info'!$C$2:$C$2497,'Client Info'!$D$2:$D$2497,"",0,1))</f>
        <v/>
      </c>
      <c r="AE2338" s="23" t="str">
        <f>IF($AC2338="","",_xlfn.XLOOKUP($AC2338,'Client Info'!$C$2:$C$2677,'Client Info'!$E$2:$E$2677,"",))</f>
        <v/>
      </c>
      <c r="AF2338" s="23" t="str">
        <f>IF($AC2338="","",_xlfn.XLOOKUP($AC2338,'Client Info'!$C$2:$C$2677,'Client Info'!$F$2:$F$2677,"",0,1))</f>
        <v/>
      </c>
      <c r="AG2338" s="23" t="str">
        <f>IF(ISBLANK(Table26[[#This Row],[customerSKU]]),"",_xlfn.XLOOKUP(Table26[[#This Row],[customerSKU]],Table27[customer_SKU],Table27[billto],"",0,1))</f>
        <v/>
      </c>
      <c r="AH2338" s="26" t="str">
        <f>_xlfn.XLOOKUP(Table26[[#This Row],[customerSKU]],customerSKU!G:G,customerSKU!K:K,"NA",0,1)</f>
        <v>NA</v>
      </c>
      <c r="AI2338" s="43" t="str">
        <f>_xlfn.XLOOKUP(Table26[[#This Row],[customerSKU]],customerSKU!G:G,customerSKU!O:O,"not found",0,1)</f>
        <v>not found</v>
      </c>
      <c r="AJ2338" s="22" t="e">
        <f>Table26[[#This Row],[unitprice]]*Table26[[#This Row],[quantity_unit]]</f>
        <v>#VALUE!</v>
      </c>
      <c r="AK2338" s="227" t="e" cm="1">
        <f t="array" ref="AK23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8" s="227"/>
    </row>
    <row r="2339" spans="1:38" ht="15.6">
      <c r="A2339" s="42">
        <v>2322</v>
      </c>
      <c r="B2339" s="42" t="s">
        <v>3520</v>
      </c>
      <c r="C2339" s="53" t="s">
        <v>3427</v>
      </c>
      <c r="E2339" s="20"/>
      <c r="F23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39" s="93"/>
      <c r="I2339" s="203">
        <v>45887</v>
      </c>
      <c r="J2339" s="90" t="str">
        <f>IF(Table26[[#This Row],[customerSKU]]="","",_xlfn.XLOOKUP(Table26[[#This Row],[customerSKU]],customerSKU!G:G,customerSKU!A:A,"",0,1))</f>
        <v/>
      </c>
      <c r="K2339" s="19">
        <v>45901</v>
      </c>
      <c r="L2339" s="49" t="str">
        <f>IF(Table26[[#This Row],[customerSKU]]="","",_xlfn.XLOOKUP(Table26[[#This Row],[customerSKU]],customerSKU!G:G,customerSKU!B:B,"",0,1))</f>
        <v/>
      </c>
      <c r="M2339" s="22"/>
      <c r="N2339" s="15" t="str">
        <f>Table26[[#This Row],[po_number]]&amp;"-"&amp;Table26[[#This Row],[po_line]]</f>
        <v>-1</v>
      </c>
      <c r="O2339" s="15">
        <v>1</v>
      </c>
      <c r="P2339" s="50"/>
      <c r="Q2339" s="22" t="s">
        <v>4329</v>
      </c>
      <c r="R2339" s="22" t="s">
        <v>221</v>
      </c>
      <c r="S2339" s="90" t="str">
        <f>IF(Table26[[#This Row],[customerSKU]]="","",_xlfn.XLOOKUP(Table26[[#This Row],[customerSKU]],customerSKU!G:G,customerSKU!N:N,"NOT FOUND",0,1))</f>
        <v>NOT FOUND</v>
      </c>
      <c r="T2339" s="20">
        <v>45897</v>
      </c>
      <c r="U2339" s="94">
        <v>240</v>
      </c>
      <c r="V2339" s="22" t="str">
        <f>IF(ISBLANK(Table26[[#This Row],[customerSKU]]),"",_xlfn.XLOOKUP(Table26[[#This Row],[customerSKU]],Table27[customer_SKU],Table27[case_size],"",0,1))</f>
        <v/>
      </c>
      <c r="W2339" s="117" t="str">
        <f t="shared" ref="W2339:W2352" si="99">IFERROR(U2339/V2339, "")</f>
        <v/>
      </c>
      <c r="X2339" s="22" t="str">
        <f t="shared" ref="X2339" si="100">IFERROR($AA2339*$U2339, "")</f>
        <v/>
      </c>
      <c r="Y2339" s="25" t="str">
        <f>IF(Table26[[#This Row],[customerSKU]]="","",_xlfn.XLOOKUP(Table26[[#This Row],[customerSKU]],Table27[customer_SKU],Table27[product_GTIN],"",0,1))</f>
        <v/>
      </c>
      <c r="Z2339" s="25" t="s">
        <v>288</v>
      </c>
      <c r="AA2339" s="18" t="str" cm="1">
        <f t="array" ref="AA2339">IF(P2339="", "", _xlfn.XLOOKUP(P2339,#REF!,#REF!,NA,0,-1))</f>
        <v/>
      </c>
      <c r="AB2339" s="22"/>
      <c r="AC2339" s="23" t="s">
        <v>4294</v>
      </c>
      <c r="AD2339" s="23" t="str">
        <f>IF($AC2339="","",_xlfn.XLOOKUP($AC2339,'Client Info'!$C$2:$C$2497,'Client Info'!$D$2:$D$2497,"",0,1))</f>
        <v/>
      </c>
      <c r="AE2339" s="23" t="str">
        <f>IF($AC2339="","",_xlfn.XLOOKUP($AC2339,'Client Info'!$C$2:$C$2677,'Client Info'!$E$2:$E$2677,"",))</f>
        <v/>
      </c>
      <c r="AF2339" s="23" t="str">
        <f>IF($AC2339="","",_xlfn.XLOOKUP($AC2339,'Client Info'!$C$2:$C$2677,'Client Info'!$F$2:$F$2677,"",0,1))</f>
        <v/>
      </c>
      <c r="AG2339" s="23" t="str">
        <f>IF(ISBLANK(Table26[[#This Row],[customerSKU]]),"",_xlfn.XLOOKUP(Table26[[#This Row],[customerSKU]],Table27[customer_SKU],Table27[billto],"",0,1))</f>
        <v/>
      </c>
      <c r="AH2339" s="26" t="str">
        <f>_xlfn.XLOOKUP(Table26[[#This Row],[customerSKU]],customerSKU!G:G,customerSKU!K:K,"NA",0,1)</f>
        <v>NA</v>
      </c>
      <c r="AI2339" s="43" t="str">
        <f>_xlfn.XLOOKUP(Table26[[#This Row],[customerSKU]],customerSKU!G:G,customerSKU!O:O,"not found",0,1)</f>
        <v>not found</v>
      </c>
      <c r="AJ2339" s="22" t="e">
        <f>Table26[[#This Row],[unitprice]]*Table26[[#This Row],[quantity_unit]]</f>
        <v>#VALUE!</v>
      </c>
      <c r="AK2339" s="227" t="e" cm="1">
        <f t="array" ref="AK23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39" s="227"/>
    </row>
    <row r="2340" spans="1:38" ht="27" customHeight="1">
      <c r="A2340" s="42">
        <v>9</v>
      </c>
      <c r="B2340" s="42" t="s">
        <v>3520</v>
      </c>
      <c r="C2340" s="53" t="s">
        <v>3539</v>
      </c>
      <c r="D2340" s="20" t="s">
        <v>3540</v>
      </c>
      <c r="E2340" s="20"/>
      <c r="F23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40" s="93"/>
      <c r="I2340" s="203">
        <v>45771</v>
      </c>
      <c r="J2340" s="90" t="str">
        <f>IF(Table26[[#This Row],[customerSKU]]="","",_xlfn.XLOOKUP(Table26[[#This Row],[customerSKU]],customerSKU!G:G,customerSKU!A:A,"",0,1))</f>
        <v/>
      </c>
      <c r="K2340" s="232" t="s">
        <v>55</v>
      </c>
      <c r="L2340" s="49" t="str">
        <f>IF(Table26[[#This Row],[customerSKU]]="","",_xlfn.XLOOKUP(Table26[[#This Row],[customerSKU]],customerSKU!G:G,customerSKU!B:B,"",0,1))</f>
        <v/>
      </c>
      <c r="M2340" s="24"/>
      <c r="N2340" s="305" t="str">
        <f>Table26[[#This Row],[po_number]]&amp;"-"&amp;Table26[[#This Row],[po_line]]</f>
        <v>-1</v>
      </c>
      <c r="O2340" s="305">
        <v>1</v>
      </c>
      <c r="P2340" s="50"/>
      <c r="Q2340" s="22" t="s">
        <v>3541</v>
      </c>
      <c r="R2340" s="22" t="s">
        <v>221</v>
      </c>
      <c r="S2340" s="90" t="str">
        <f>IF(Table26[[#This Row],[customerSKU]]="","",_xlfn.XLOOKUP(Table26[[#This Row],[customerSKU]],customerSKU!G:G,customerSKU!N:N,"NOT FOUND",0,1))</f>
        <v>NOT FOUND</v>
      </c>
      <c r="T2340" s="20">
        <v>45790</v>
      </c>
      <c r="U2340" s="94">
        <v>108</v>
      </c>
      <c r="V2340" s="22" t="str">
        <f>IF(ISBLANK(Table26[[#This Row],[customerSKU]]),"",_xlfn.XLOOKUP(Table26[[#This Row],[customerSKU]],Table27[customer_SKU],Table27[case_size],"",0,1))</f>
        <v/>
      </c>
      <c r="W2340" s="117" t="str">
        <f t="shared" si="99"/>
        <v/>
      </c>
      <c r="X2340" s="22" t="str">
        <f t="shared" ref="X2340:X2404" si="101">IFERROR($AA2340*$U2340, "")</f>
        <v/>
      </c>
      <c r="Y2340" s="25" t="str">
        <f>IF(Table26[[#This Row],[customerSKU]]="","",_xlfn.XLOOKUP(Table26[[#This Row],[customerSKU]],Table27[customer_SKU],Table27[product_GTIN],"",0,1))</f>
        <v/>
      </c>
      <c r="Z2340" s="25" t="s">
        <v>3542</v>
      </c>
      <c r="AA2340" s="18" t="str" cm="1">
        <f t="array" ref="AA2340">IF(P2340="", "", _xlfn.XLOOKUP(P2340,#REF!,#REF!,NA,0,-1))</f>
        <v/>
      </c>
      <c r="AB2340" s="22"/>
      <c r="AC2340" s="55" t="str">
        <f>IF(Table26[[#This Row],[customerSKU]]="","",_xlfn.XLOOKUP(Table26[[#This Row],[customerSKU]],customerSKU!G:G,customerSKU!C:C,"",0,1))</f>
        <v/>
      </c>
      <c r="AD2340" s="55" t="str">
        <f>IF($AC2340="","",_xlfn.XLOOKUP($AC2340,'Client Info'!$C$2:$C$2497,'Client Info'!$D$2:$D$2497,"",0,1))</f>
        <v/>
      </c>
      <c r="AE2340" s="55" t="str">
        <f>IF($AC2340="","",_xlfn.XLOOKUP($AC2340,'Client Info'!$C$2:$C$2677,'Client Info'!$E$2:$E$2677,"",))</f>
        <v/>
      </c>
      <c r="AF2340" s="55" t="str">
        <f>IF($AC2340="","",_xlfn.XLOOKUP($AC2340,'Client Info'!$C$2:$C$2677,'Client Info'!$F$2:$F$2677,"",0,1))</f>
        <v/>
      </c>
      <c r="AG2340" s="55" t="str">
        <f>IF(ISBLANK(Table26[[#This Row],[customerSKU]]),"",_xlfn.XLOOKUP(Table26[[#This Row],[customerSKU]],Table27[customer_SKU],Table27[billto],"",0,1))</f>
        <v/>
      </c>
      <c r="AH2340" s="26" t="str">
        <f>_xlfn.XLOOKUP(Table26[[#This Row],[customerSKU]],customerSKU!G:G,customerSKU!K:K,"NA",0,1)</f>
        <v>NA</v>
      </c>
      <c r="AI2340" s="43" t="str">
        <f>_xlfn.XLOOKUP(Table26[[#This Row],[customerSKU]],customerSKU!G:G,customerSKU!O:O,"not found",0,1)</f>
        <v>not found</v>
      </c>
      <c r="AJ2340" s="22" t="e">
        <f>Table26[[#This Row],[unitprice]]*Table26[[#This Row],[quantity_unit]]</f>
        <v>#VALUE!</v>
      </c>
      <c r="AK2340" s="227" t="e" cm="1">
        <f t="array" ref="AK23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40" s="227"/>
    </row>
    <row r="2341" spans="1:38" ht="15.6">
      <c r="A2341" s="42">
        <v>10</v>
      </c>
      <c r="B2341" s="42" t="s">
        <v>3520</v>
      </c>
      <c r="C2341" s="53" t="s">
        <v>3539</v>
      </c>
      <c r="D2341" s="20" t="s">
        <v>3540</v>
      </c>
      <c r="E2341" s="20"/>
      <c r="F23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41" s="93"/>
      <c r="I2341" s="203">
        <v>45771</v>
      </c>
      <c r="J2341" s="90" t="str">
        <f>IF(Table26[[#This Row],[customerSKU]]="","",_xlfn.XLOOKUP(Table26[[#This Row],[customerSKU]],customerSKU!G:G,customerSKU!A:A,"",0,1))</f>
        <v/>
      </c>
      <c r="K2341" s="232" t="s">
        <v>55</v>
      </c>
      <c r="L2341" s="49" t="str">
        <f>IF(Table26[[#This Row],[customerSKU]]="","",_xlfn.XLOOKUP(Table26[[#This Row],[customerSKU]],customerSKU!G:G,customerSKU!B:B,"",0,1))</f>
        <v/>
      </c>
      <c r="M2341" s="22"/>
      <c r="N2341" s="15" t="str">
        <f>Table26[[#This Row],[po_number]]&amp;"-"&amp;Table26[[#This Row],[po_line]]</f>
        <v>-1</v>
      </c>
      <c r="O2341" s="15">
        <v>1</v>
      </c>
      <c r="P2341" s="50"/>
      <c r="Q2341" s="22" t="s">
        <v>659</v>
      </c>
      <c r="R2341" s="22" t="s">
        <v>221</v>
      </c>
      <c r="S2341" s="90" t="str">
        <f>IF(Table26[[#This Row],[customerSKU]]="","",_xlfn.XLOOKUP(Table26[[#This Row],[customerSKU]],customerSKU!G:G,customerSKU!N:N,"NOT FOUND",0,1))</f>
        <v>NOT FOUND</v>
      </c>
      <c r="T2341" s="20">
        <v>45638</v>
      </c>
      <c r="U2341" s="94">
        <v>12</v>
      </c>
      <c r="V2341" s="22" t="str">
        <f>IF(ISBLANK(Table26[[#This Row],[customerSKU]]),"",_xlfn.XLOOKUP(Table26[[#This Row],[customerSKU]],Table27[customer_SKU],Table27[case_size],"",0,1))</f>
        <v/>
      </c>
      <c r="W2341" s="117" t="str">
        <f t="shared" si="99"/>
        <v/>
      </c>
      <c r="X2341" s="22" t="str">
        <f t="shared" si="101"/>
        <v/>
      </c>
      <c r="Y2341" s="25" t="str">
        <f>IF(Table26[[#This Row],[customerSKU]]="","",_xlfn.XLOOKUP(Table26[[#This Row],[customerSKU]],Table27[customer_SKU],Table27[product_GTIN],"",0,1))</f>
        <v/>
      </c>
      <c r="Z2341" s="25" t="s">
        <v>3544</v>
      </c>
      <c r="AA2341" s="18" t="str" cm="1">
        <f t="array" ref="AA2341">IF(P2341="", "", _xlfn.XLOOKUP(P2341,#REF!,#REF!,NA,0,-1))</f>
        <v/>
      </c>
      <c r="AB2341" s="22"/>
      <c r="AC2341" s="55" t="str">
        <f>IF(Table26[[#This Row],[customerSKU]]="","",_xlfn.XLOOKUP(Table26[[#This Row],[customerSKU]],customerSKU!G:G,customerSKU!C:C,"",0,1))</f>
        <v/>
      </c>
      <c r="AD2341" s="55" t="str">
        <f>IF($AC2341="","",_xlfn.XLOOKUP($AC2341,'Client Info'!$C$2:$C$2497,'Client Info'!$D$2:$D$2497,"",0,1))</f>
        <v/>
      </c>
      <c r="AE2341" s="55" t="str">
        <f>IF($AC2341="","",_xlfn.XLOOKUP($AC2341,'Client Info'!$C$2:$C$2677,'Client Info'!$E$2:$E$2677,"",))</f>
        <v/>
      </c>
      <c r="AF2341" s="55" t="str">
        <f>IF($AC2341="","",_xlfn.XLOOKUP($AC2341,'Client Info'!$C$2:$C$2677,'Client Info'!$F$2:$F$2677,"",0,1))</f>
        <v/>
      </c>
      <c r="AG2341" s="55" t="str">
        <f>IF(ISBLANK(Table26[[#This Row],[customerSKU]]),"",_xlfn.XLOOKUP(Table26[[#This Row],[customerSKU]],Table27[customer_SKU],Table27[billto],"",0,1))</f>
        <v/>
      </c>
      <c r="AH2341" s="26" t="str">
        <f>_xlfn.XLOOKUP(Table26[[#This Row],[customerSKU]],customerSKU!G:G,customerSKU!K:K,"NA",0,1)</f>
        <v>NA</v>
      </c>
      <c r="AI2341" s="43" t="str">
        <f>_xlfn.XLOOKUP(Table26[[#This Row],[customerSKU]],customerSKU!G:G,customerSKU!O:O,"not found",0,1)</f>
        <v>not found</v>
      </c>
      <c r="AJ2341" s="22" t="e">
        <f>Table26[[#This Row],[unitprice]]*Table26[[#This Row],[quantity_unit]]</f>
        <v>#VALUE!</v>
      </c>
      <c r="AK2341" s="227" t="e" cm="1">
        <f t="array" ref="AK23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41" s="227"/>
    </row>
    <row r="2342" spans="1:38" ht="15.6">
      <c r="A2342" s="42">
        <v>11</v>
      </c>
      <c r="B2342" s="42" t="s">
        <v>3520</v>
      </c>
      <c r="C2342" s="53" t="s">
        <v>3539</v>
      </c>
      <c r="D2342" s="20">
        <v>45837</v>
      </c>
      <c r="E2342" s="20"/>
      <c r="F23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42" s="93"/>
      <c r="I2342" s="203">
        <v>45806</v>
      </c>
      <c r="J2342" s="90" t="str">
        <f>IF(Table26[[#This Row],[customerSKU]]="","",_xlfn.XLOOKUP(Table26[[#This Row],[customerSKU]],customerSKU!G:G,customerSKU!A:A,"",0,1))</f>
        <v/>
      </c>
      <c r="K2342" s="232" t="s">
        <v>55</v>
      </c>
      <c r="L2342" s="49" t="str">
        <f>IF(Table26[[#This Row],[customerSKU]]="","",_xlfn.XLOOKUP(Table26[[#This Row],[customerSKU]],customerSKU!G:G,customerSKU!B:B,"",0,1))</f>
        <v/>
      </c>
      <c r="M2342" s="22"/>
      <c r="N2342" s="15" t="str">
        <f>Table26[[#This Row],[po_number]]&amp;"-"&amp;Table26[[#This Row],[po_line]]</f>
        <v>-1</v>
      </c>
      <c r="O2342" s="15">
        <v>1</v>
      </c>
      <c r="P2342" s="50"/>
      <c r="S2342" s="90" t="str">
        <f>IF(Table26[[#This Row],[customerSKU]]="","",_xlfn.XLOOKUP(Table26[[#This Row],[customerSKU]],customerSKU!G:G,customerSKU!N:N,"NOT FOUND",0,1))</f>
        <v>NOT FOUND</v>
      </c>
      <c r="T2342" s="20"/>
      <c r="U2342" s="94">
        <v>48</v>
      </c>
      <c r="V2342" s="22" t="str">
        <f>IF(ISBLANK(Table26[[#This Row],[customerSKU]]),"",_xlfn.XLOOKUP(Table26[[#This Row],[customerSKU]],Table27[customer_SKU],Table27[case_size],"",0,1))</f>
        <v/>
      </c>
      <c r="W2342" s="117" t="str">
        <f t="shared" si="99"/>
        <v/>
      </c>
      <c r="X2342" s="22" t="str">
        <f t="shared" si="101"/>
        <v/>
      </c>
      <c r="Y2342" s="25" t="str">
        <f>IF(Table26[[#This Row],[customerSKU]]="","",_xlfn.XLOOKUP(Table26[[#This Row],[customerSKU]],Table27[customer_SKU],Table27[product_GTIN],"",0,1))</f>
        <v/>
      </c>
      <c r="Z2342" s="25" t="s">
        <v>3542</v>
      </c>
      <c r="AA2342" s="18" t="str" cm="1">
        <f t="array" ref="AA2342">IF(P2342="", "", _xlfn.XLOOKUP(P2342,#REF!,#REF!,NA,0,-1))</f>
        <v/>
      </c>
      <c r="AB2342" s="22"/>
      <c r="AC2342" s="55" t="str">
        <f>IF(Table26[[#This Row],[customerSKU]]="","",_xlfn.XLOOKUP(Table26[[#This Row],[customerSKU]],customerSKU!G:G,customerSKU!C:C,"",0,1))</f>
        <v/>
      </c>
      <c r="AD2342" s="55" t="str">
        <f>IF($AC2342="","",_xlfn.XLOOKUP($AC2342,'Client Info'!$C$2:$C$2497,'Client Info'!$D$2:$D$2497,"",0,1))</f>
        <v/>
      </c>
      <c r="AE2342" s="55" t="str">
        <f>IF($AC2342="","",_xlfn.XLOOKUP($AC2342,'Client Info'!$C$2:$C$2677,'Client Info'!$E$2:$E$2677,"",))</f>
        <v/>
      </c>
      <c r="AF2342" s="55" t="str">
        <f>IF($AC2342="","",_xlfn.XLOOKUP($AC2342,'Client Info'!$C$2:$C$2677,'Client Info'!$F$2:$F$2677,"",0,1))</f>
        <v/>
      </c>
      <c r="AG2342" s="55" t="str">
        <f>IF(ISBLANK(Table26[[#This Row],[customerSKU]]),"",_xlfn.XLOOKUP(Table26[[#This Row],[customerSKU]],Table27[customer_SKU],Table27[billto],"",0,1))</f>
        <v/>
      </c>
      <c r="AH2342" s="26" t="str">
        <f>_xlfn.XLOOKUP(Table26[[#This Row],[customerSKU]],customerSKU!G:G,customerSKU!K:K,"NA",0,1)</f>
        <v>NA</v>
      </c>
      <c r="AI2342" s="43" t="str">
        <f>_xlfn.XLOOKUP(Table26[[#This Row],[customerSKU]],customerSKU!G:G,customerSKU!O:O,"not found",0,1)</f>
        <v>not found</v>
      </c>
      <c r="AJ2342" s="22" t="e">
        <f>Table26[[#This Row],[unitprice]]*Table26[[#This Row],[quantity_unit]]</f>
        <v>#VALUE!</v>
      </c>
      <c r="AK2342" s="227" t="e" cm="1">
        <f t="array" ref="AK23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42" s="227"/>
    </row>
    <row r="2343" spans="1:38" ht="27" customHeight="1">
      <c r="A2343" s="42">
        <v>12</v>
      </c>
      <c r="B2343" s="58" t="s">
        <v>3520</v>
      </c>
      <c r="C2343" s="53" t="s">
        <v>3539</v>
      </c>
      <c r="D2343" s="51"/>
      <c r="E2343" s="51"/>
      <c r="F2343" s="102"/>
      <c r="G2343" s="46"/>
      <c r="H2343" s="53"/>
      <c r="I2343" s="19" t="s">
        <v>3775</v>
      </c>
      <c r="J2343" s="53" t="str">
        <f>IF(Table26[[#This Row],[customerSKU]]="","",_xlfn.XLOOKUP(Table26[[#This Row],[customerSKU]],customerSKU!G:G,customerSKU!A:A,"",0,1))</f>
        <v/>
      </c>
      <c r="K2343" s="232" t="s">
        <v>204</v>
      </c>
      <c r="L2343" s="49" t="str">
        <f>IF(Table26[[#This Row],[customerSKU]]="","",_xlfn.XLOOKUP(Table26[[#This Row],[customerSKU]],customerSKU!G:G,customerSKU!B:B,"",0,1))</f>
        <v/>
      </c>
      <c r="M2343" s="53"/>
      <c r="N2343" s="77" t="str">
        <f>Table26[[#This Row],[po_number]]&amp;"-"&amp;Table26[[#This Row],[po_line]]</f>
        <v>-1</v>
      </c>
      <c r="O2343" s="77">
        <v>1</v>
      </c>
      <c r="P2343" s="50"/>
      <c r="Q2343" s="53" t="s">
        <v>535</v>
      </c>
      <c r="R2343" s="53" t="s">
        <v>569</v>
      </c>
      <c r="S2343" s="53" t="s">
        <v>12</v>
      </c>
      <c r="T2343" s="51">
        <v>45588</v>
      </c>
      <c r="U2343" s="52">
        <v>264</v>
      </c>
      <c r="V2343" s="53" t="str">
        <f>IF(ISBLANK(Table26[[#This Row],[customerSKU]]),"",_xlfn.XLOOKUP(Table26[[#This Row],[customerSKU]],Table27[customer_SKU],Table27[case_size],"",0,1))</f>
        <v/>
      </c>
      <c r="W2343" s="116" t="str">
        <f t="shared" si="99"/>
        <v/>
      </c>
      <c r="X2343" s="53" t="str">
        <f t="shared" si="101"/>
        <v/>
      </c>
      <c r="Y2343" s="53" t="str">
        <f>IF(Table26[[#This Row],[customerSKU]]="","",_xlfn.XLOOKUP(Table26[[#This Row],[customerSKU]],Table27[customer_SKU],Table27[product_GTIN],"",0,1))</f>
        <v/>
      </c>
      <c r="Z2343" s="25">
        <v>110721</v>
      </c>
      <c r="AA2343" s="18" t="str" cm="1">
        <f t="array" ref="AA2343">IF(P2343="", "", _xlfn.XLOOKUP(P2343,#REF!,#REF!,NA,0,-1))</f>
        <v/>
      </c>
      <c r="AB2343" s="53"/>
      <c r="AC2343" s="55" t="str">
        <f>IF(Table26[[#This Row],[customerSKU]]="","",_xlfn.XLOOKUP(Table26[[#This Row],[customerSKU]],customerSKU!G:G,customerSKU!C:C,"",0,1))</f>
        <v/>
      </c>
      <c r="AD2343" s="55" t="str">
        <f>IF($AC2343="","",_xlfn.XLOOKUP($AC2343,'Client Info'!$C$2:$C$2497,'Client Info'!$D$2:$D$2497,"",0,1))</f>
        <v/>
      </c>
      <c r="AE2343" s="55" t="str">
        <f>IF($AC2343="","",_xlfn.XLOOKUP($AC2343,'Client Info'!$C$2:$C$2677,'Client Info'!$E$2:$E$2677,"",))</f>
        <v/>
      </c>
      <c r="AF2343" s="55" t="str">
        <f>IF($AC2343="","",_xlfn.XLOOKUP($AC2343,'Client Info'!$C$2:$C$2677,'Client Info'!$F$2:$F$2677,"",0,1))</f>
        <v/>
      </c>
      <c r="AG2343" s="55" t="str">
        <f>IF(ISBLANK(Table26[[#This Row],[customerSKU]]),"",_xlfn.XLOOKUP(Table26[[#This Row],[customerSKU]],Table27[customer_SKU],Table27[billto],"",0,1))</f>
        <v/>
      </c>
      <c r="AH2343" s="62" t="str">
        <f>_xlfn.XLOOKUP(Table26[[#This Row],[customerSKU]],customerSKU!G:G,customerSKU!K:K,"NA",0,1)</f>
        <v>NA</v>
      </c>
      <c r="AI2343" s="43" t="str">
        <f>_xlfn.XLOOKUP(Table26[[#This Row],[customerSKU]],customerSKU!G:G,customerSKU!O:O,"not found",0,1)</f>
        <v>not found</v>
      </c>
      <c r="AJ2343" s="53" t="e">
        <f>Table26[[#This Row],[unitprice]]*Table26[[#This Row],[quantity_unit]]</f>
        <v>#VALUE!</v>
      </c>
      <c r="AK2343" s="53" t="e" cm="1">
        <f t="array" ref="AK234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343" s="227"/>
    </row>
    <row r="2344" spans="1:38" ht="27" customHeight="1">
      <c r="A2344" s="42">
        <v>13</v>
      </c>
      <c r="B2344" s="42" t="s">
        <v>3520</v>
      </c>
      <c r="C2344" s="43" t="s">
        <v>200</v>
      </c>
      <c r="D2344" s="71"/>
      <c r="E2344" s="71" t="e">
        <f>IF(#REF!&gt;0,#REF!,"")</f>
        <v>#REF!</v>
      </c>
      <c r="F2344" s="72"/>
      <c r="G2344" s="46"/>
      <c r="H2344" s="53" t="s">
        <v>3803</v>
      </c>
      <c r="I2344" s="19" t="s">
        <v>3775</v>
      </c>
      <c r="J2344" s="53" t="s">
        <v>3814</v>
      </c>
      <c r="K2344" s="232" t="s">
        <v>204</v>
      </c>
      <c r="L2344" s="49" t="s">
        <v>490</v>
      </c>
      <c r="M2344" s="72"/>
      <c r="N2344" s="352" t="str">
        <f>Table26[[#This Row],[po_number]]&amp;"-"&amp;Table26[[#This Row],[po_line]]</f>
        <v>-1</v>
      </c>
      <c r="O2344" s="352">
        <v>1</v>
      </c>
      <c r="P2344" s="50"/>
      <c r="Q2344" s="72"/>
      <c r="R2344" s="47" t="s">
        <v>3428</v>
      </c>
      <c r="S2344" s="72" t="s">
        <v>18</v>
      </c>
      <c r="T2344" s="20"/>
      <c r="U2344" s="52">
        <v>168</v>
      </c>
      <c r="V2344" s="72">
        <v>6</v>
      </c>
      <c r="W2344" s="116">
        <f t="shared" si="99"/>
        <v>28</v>
      </c>
      <c r="X2344" s="53" t="str">
        <f t="shared" si="101"/>
        <v/>
      </c>
      <c r="Y2344" s="72"/>
      <c r="Z2344" s="25"/>
      <c r="AA2344" s="18" t="str" cm="1">
        <f t="array" ref="AA2344">IF(P2344="", "", _xlfn.XLOOKUP(P2344,#REF!,#REF!,NA,0,-1))</f>
        <v/>
      </c>
      <c r="AB2344" s="47"/>
      <c r="AC2344" s="55" t="s">
        <v>3771</v>
      </c>
      <c r="AD2344" s="55" t="str">
        <f>IF($AC2344="","",_xlfn.XLOOKUP($AC2344,'[2]Client Info'!$C$2:$C$2535,'[2]Client Info'!$D$2:$D$2535))</f>
        <v>Unit 116-1776 Broadway st</v>
      </c>
      <c r="AE2344" s="55" t="str">
        <f>IF($AC2344="","",_xlfn.XLOOKUP($AC2344,'[2]Client Info'!$C$2:$C$2715,'[2]Client Info'!$E$2:$E$2715))</f>
        <v>PORT COQUITLAM</v>
      </c>
      <c r="AF2344" s="55" t="str">
        <f>IF($AC2344="","",_xlfn.XLOOKUP($AC2344,'[2]Client Info'!$C$2:$C$2715,'[2]Client Info'!$F$2:$F$2715))</f>
        <v>BC</v>
      </c>
      <c r="AG2344" s="55" t="s">
        <v>206</v>
      </c>
      <c r="AH2344" s="62"/>
      <c r="AI2344" s="43" t="str">
        <f>_xlfn.XLOOKUP(Table26[[#This Row],[customerSKU]],customerSKU!G:G,customerSKU!O:O,"not found",0,1)</f>
        <v>not found</v>
      </c>
      <c r="AJ2344" s="53">
        <f>Table26[[#This Row],[unitprice]]*Table26[[#This Row],[quantity_unit]]</f>
        <v>0</v>
      </c>
      <c r="AK2344" s="53" t="e" cm="1">
        <f t="array" ref="AK234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344" s="227"/>
    </row>
    <row r="2345" spans="1:38" ht="27" customHeight="1">
      <c r="A2345" s="42">
        <v>14</v>
      </c>
      <c r="B2345" s="42" t="s">
        <v>3520</v>
      </c>
      <c r="C2345" s="43" t="s">
        <v>200</v>
      </c>
      <c r="D2345" s="71"/>
      <c r="E2345" s="71" t="e">
        <f>IF(#REF!&gt;0,#REF!,"")</f>
        <v>#REF!</v>
      </c>
      <c r="F2345" s="72"/>
      <c r="G2345" s="46"/>
      <c r="H2345" s="53" t="s">
        <v>3803</v>
      </c>
      <c r="I2345" s="19" t="s">
        <v>3775</v>
      </c>
      <c r="J2345" s="53" t="s">
        <v>3814</v>
      </c>
      <c r="K2345" s="232" t="s">
        <v>204</v>
      </c>
      <c r="L2345" s="49" t="s">
        <v>490</v>
      </c>
      <c r="M2345" s="72"/>
      <c r="N2345" s="352" t="str">
        <f>Table26[[#This Row],[po_number]]&amp;"-"&amp;Table26[[#This Row],[po_line]]</f>
        <v>-2</v>
      </c>
      <c r="O2345" s="352">
        <v>2</v>
      </c>
      <c r="P2345" s="50"/>
      <c r="Q2345" s="72"/>
      <c r="R2345" s="47" t="s">
        <v>3428</v>
      </c>
      <c r="S2345" s="72" t="s">
        <v>18</v>
      </c>
      <c r="T2345" s="20"/>
      <c r="U2345" s="52">
        <v>144</v>
      </c>
      <c r="V2345" s="72">
        <v>6</v>
      </c>
      <c r="W2345" s="116">
        <f t="shared" si="99"/>
        <v>24</v>
      </c>
      <c r="X2345" s="53" t="str">
        <f t="shared" si="101"/>
        <v/>
      </c>
      <c r="Y2345" s="72"/>
      <c r="Z2345" s="25"/>
      <c r="AA2345" s="18" t="str" cm="1">
        <f t="array" ref="AA2345">IF(P2345="", "", _xlfn.XLOOKUP(P2345,#REF!,#REF!,NA,0,-1))</f>
        <v/>
      </c>
      <c r="AB2345" s="47"/>
      <c r="AC2345" s="55" t="s">
        <v>3771</v>
      </c>
      <c r="AD2345" s="55" t="str">
        <f>IF($AC2345="","",_xlfn.XLOOKUP($AC2345,'[2]Client Info'!$C$2:$C$2535,'[2]Client Info'!$D$2:$D$2535))</f>
        <v>Unit 116-1776 Broadway st</v>
      </c>
      <c r="AE2345" s="55" t="str">
        <f>IF($AC2345="","",_xlfn.XLOOKUP($AC2345,'[2]Client Info'!$C$2:$C$2715,'[2]Client Info'!$E$2:$E$2715))</f>
        <v>PORT COQUITLAM</v>
      </c>
      <c r="AF2345" s="55" t="str">
        <f>IF($AC2345="","",_xlfn.XLOOKUP($AC2345,'[2]Client Info'!$C$2:$C$2715,'[2]Client Info'!$F$2:$F$2715))</f>
        <v>BC</v>
      </c>
      <c r="AG2345" s="55" t="s">
        <v>206</v>
      </c>
      <c r="AH2345" s="62"/>
      <c r="AI2345" s="43" t="str">
        <f>_xlfn.XLOOKUP(Table26[[#This Row],[customerSKU]],customerSKU!G:G,customerSKU!O:O,"not found",0,1)</f>
        <v>not found</v>
      </c>
      <c r="AJ2345" s="53">
        <f>Table26[[#This Row],[unitprice]]*Table26[[#This Row],[quantity_unit]]</f>
        <v>0</v>
      </c>
      <c r="AK2345" s="53" t="e" cm="1">
        <f t="array" ref="AK234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345" s="227"/>
    </row>
    <row r="2346" spans="1:38" ht="27" customHeight="1">
      <c r="A2346" s="42">
        <v>15</v>
      </c>
      <c r="B2346" s="42" t="s">
        <v>3520</v>
      </c>
      <c r="C2346" s="43" t="s">
        <v>200</v>
      </c>
      <c r="D2346" s="45"/>
      <c r="E2346" s="45"/>
      <c r="F2346" s="43"/>
      <c r="G2346" s="46"/>
      <c r="H2346" s="53" t="s">
        <v>3803</v>
      </c>
      <c r="I2346" s="19" t="s">
        <v>3818</v>
      </c>
      <c r="J2346" s="47" t="s">
        <v>3814</v>
      </c>
      <c r="K2346" s="232" t="s">
        <v>204</v>
      </c>
      <c r="L2346" s="49" t="s">
        <v>3852</v>
      </c>
      <c r="M2346" s="47"/>
      <c r="N2346" s="89" t="str">
        <f>Table26[[#This Row],[po_number]]&amp;"-"&amp;Table26[[#This Row],[po_line]]</f>
        <v>-1</v>
      </c>
      <c r="O2346" s="89">
        <v>1</v>
      </c>
      <c r="P2346" s="50"/>
      <c r="Q2346" s="47"/>
      <c r="R2346" s="47" t="s">
        <v>3428</v>
      </c>
      <c r="S2346" s="43"/>
      <c r="T2346" s="20"/>
      <c r="U2346" s="52">
        <v>-48</v>
      </c>
      <c r="V2346" s="47"/>
      <c r="W2346" s="116" t="str">
        <f t="shared" si="99"/>
        <v/>
      </c>
      <c r="X2346" s="53" t="str">
        <f t="shared" si="101"/>
        <v/>
      </c>
      <c r="Y2346" s="47"/>
      <c r="Z2346" s="25"/>
      <c r="AA2346" s="18" t="str" cm="1">
        <f t="array" ref="AA2346">IF(P2346="", "", _xlfn.XLOOKUP(P2346,#REF!,#REF!,NA,0,-1))</f>
        <v/>
      </c>
      <c r="AB2346" s="47"/>
      <c r="AC2346" s="55" t="s">
        <v>3771</v>
      </c>
      <c r="AD2346" s="55" t="str">
        <f>IF($AC2346="","",_xlfn.XLOOKUP($AC2346,'[2]Client Info'!$C$2:$C$2535,'[2]Client Info'!$D$2:$D$2535))</f>
        <v>Unit 116-1776 Broadway st</v>
      </c>
      <c r="AE2346" s="55" t="str">
        <f>IF($AC2346="","",_xlfn.XLOOKUP($AC2346,'[2]Client Info'!$C$2:$C$2715,'[2]Client Info'!$E$2:$E$2715))</f>
        <v>PORT COQUITLAM</v>
      </c>
      <c r="AF2346" s="55" t="str">
        <f>IF($AC2346="","",_xlfn.XLOOKUP($AC2346,'[2]Client Info'!$C$2:$C$2715,'[2]Client Info'!$F$2:$F$2715))</f>
        <v>BC</v>
      </c>
      <c r="AG2346" s="55" t="s">
        <v>206</v>
      </c>
      <c r="AH2346" s="62">
        <v>0</v>
      </c>
      <c r="AI2346" s="43" t="str">
        <f>_xlfn.XLOOKUP(Table26[[#This Row],[customerSKU]],customerSKU!G:G,customerSKU!O:O,"not found",0,1)</f>
        <v>not found</v>
      </c>
      <c r="AJ2346" s="53">
        <f>Table26[[#This Row],[unitprice]]*Table26[[#This Row],[quantity_unit]]</f>
        <v>0</v>
      </c>
      <c r="AK2346" s="53" t="e" cm="1">
        <f t="array" ref="AK234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346" s="227"/>
    </row>
    <row r="2347" spans="1:38" ht="15.6">
      <c r="A2347" s="42">
        <v>3</v>
      </c>
      <c r="B2347" s="42" t="s">
        <v>3520</v>
      </c>
      <c r="C2347" s="53" t="s">
        <v>3688</v>
      </c>
      <c r="E2347" s="20"/>
      <c r="F23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47" s="93"/>
      <c r="I2347" s="203">
        <v>45831</v>
      </c>
      <c r="J2347" s="90" t="str">
        <f>IF(Table26[[#This Row],[customerSKU]]="","",_xlfn.XLOOKUP(Table26[[#This Row],[customerSKU]],customerSKU!G:G,customerSKU!A:A,"",0,1))</f>
        <v/>
      </c>
      <c r="K2347" s="19" t="s">
        <v>4268</v>
      </c>
      <c r="L2347" s="49" t="str">
        <f>IF(Table26[[#This Row],[customerSKU]]="","",_xlfn.XLOOKUP(Table26[[#This Row],[customerSKU]],customerSKU!G:G,customerSKU!B:B,"",0,1))</f>
        <v/>
      </c>
      <c r="M2347" s="22"/>
      <c r="N2347" s="15" t="str">
        <f>Table26[[#This Row],[po_number]]&amp;"-"&amp;Table26[[#This Row],[po_line]]</f>
        <v>-1</v>
      </c>
      <c r="O2347" s="15">
        <v>1</v>
      </c>
      <c r="P2347" s="50"/>
      <c r="S2347" s="90" t="str">
        <f>IF(Table26[[#This Row],[customerSKU]]="","",_xlfn.XLOOKUP(Table26[[#This Row],[customerSKU]],customerSKU!G:G,customerSKU!N:N,"NOT FOUND",0,1))</f>
        <v>NOT FOUND</v>
      </c>
      <c r="T2347" s="20"/>
      <c r="U2347" s="94"/>
      <c r="V2347" s="22" t="str">
        <f>IF(ISBLANK(Table26[[#This Row],[customerSKU]]),"",_xlfn.XLOOKUP(Table26[[#This Row],[customerSKU]],Table27[customer_SKU],Table27[case_size],"",0,1))</f>
        <v/>
      </c>
      <c r="W2347" s="117" t="str">
        <f t="shared" si="99"/>
        <v/>
      </c>
      <c r="X2347" s="22" t="str">
        <f t="shared" si="101"/>
        <v/>
      </c>
      <c r="Y2347" s="25" t="str">
        <f>IF(Table26[[#This Row],[customerSKU]]="","",_xlfn.XLOOKUP(Table26[[#This Row],[customerSKU]],Table27[customer_SKU],Table27[product_GTIN],"",0,1))</f>
        <v/>
      </c>
      <c r="Z2347" s="25" t="s">
        <v>3689</v>
      </c>
      <c r="AA2347" s="18" t="str" cm="1">
        <f t="array" ref="AA2347">IF(P2347="", "", _xlfn.XLOOKUP(P2347,#REF!,#REF!,NA,0,-1))</f>
        <v/>
      </c>
      <c r="AB2347" s="22"/>
      <c r="AC2347" s="23" t="str">
        <f>IF(Table26[[#This Row],[customerSKU]]="","",_xlfn.XLOOKUP(Table26[[#This Row],[customerSKU]],customerSKU!G:G,customerSKU!C:C,"",0,1))</f>
        <v/>
      </c>
      <c r="AD2347" s="23" t="str">
        <f>IF($AC2347="","",_xlfn.XLOOKUP($AC2347,'Client Info'!$C$2:$C$2497,'Client Info'!$D$2:$D$2497,"",0,1))</f>
        <v/>
      </c>
      <c r="AE2347" s="23" t="str">
        <f>IF($AC2347="","",_xlfn.XLOOKUP($AC2347,'Client Info'!$C$2:$C$2677,'Client Info'!$E$2:$E$2677,"",))</f>
        <v/>
      </c>
      <c r="AF2347" s="23" t="str">
        <f>IF($AC2347="","",_xlfn.XLOOKUP($AC2347,'Client Info'!$C$2:$C$2677,'Client Info'!$F$2:$F$2677,"",0,1))</f>
        <v/>
      </c>
      <c r="AG2347" s="23" t="str">
        <f>IF(ISBLANK(Table26[[#This Row],[customerSKU]]),"",_xlfn.XLOOKUP(Table26[[#This Row],[customerSKU]],Table27[customer_SKU],Table27[billto],"",0,1))</f>
        <v/>
      </c>
      <c r="AH2347" s="26" t="str">
        <f>_xlfn.XLOOKUP(Table26[[#This Row],[customerSKU]],customerSKU!G:G,customerSKU!K:K,"NA",0,1)</f>
        <v>NA</v>
      </c>
      <c r="AI2347" s="43" t="str">
        <f>_xlfn.XLOOKUP(Table26[[#This Row],[customerSKU]],customerSKU!G:G,customerSKU!O:O,"not found",0,1)</f>
        <v>not found</v>
      </c>
      <c r="AJ2347" s="22" t="e">
        <f>Table26[[#This Row],[unitprice]]*Table26[[#This Row],[quantity_unit]]</f>
        <v>#VALUE!</v>
      </c>
      <c r="AK2347" s="227" t="e" cm="1">
        <f t="array" ref="AK23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47" s="227"/>
    </row>
    <row r="2348" spans="1:38" ht="27" customHeight="1">
      <c r="A2348" s="42">
        <v>4</v>
      </c>
      <c r="B2348" s="42" t="s">
        <v>3520</v>
      </c>
      <c r="C2348" s="53" t="s">
        <v>3688</v>
      </c>
      <c r="E2348" s="20"/>
      <c r="F23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48" s="93"/>
      <c r="I2348" s="203">
        <v>45868</v>
      </c>
      <c r="J2348" s="90" t="str">
        <f>IF(Table26[[#This Row],[customerSKU]]="","",_xlfn.XLOOKUP(Table26[[#This Row],[customerSKU]],customerSKU!G:G,customerSKU!A:A,"",0,1))</f>
        <v/>
      </c>
      <c r="K2348" s="19" t="s">
        <v>4268</v>
      </c>
      <c r="L2348" s="49" t="str">
        <f>IF(Table26[[#This Row],[customerSKU]]="","",_xlfn.XLOOKUP(Table26[[#This Row],[customerSKU]],customerSKU!G:G,customerSKU!B:B,"",0,1))</f>
        <v/>
      </c>
      <c r="M2348" s="22"/>
      <c r="N2348" s="15" t="str">
        <f>Table26[[#This Row],[po_number]]&amp;"-"&amp;Table26[[#This Row],[po_line]]</f>
        <v>-2</v>
      </c>
      <c r="O2348" s="15">
        <v>2</v>
      </c>
      <c r="P2348" s="50"/>
      <c r="S2348" s="90" t="str">
        <f>IF(Table26[[#This Row],[customerSKU]]="","",_xlfn.XLOOKUP(Table26[[#This Row],[customerSKU]],customerSKU!G:G,customerSKU!N:N,"NOT FOUND",0,1))</f>
        <v>NOT FOUND</v>
      </c>
      <c r="T2348" s="20"/>
      <c r="U2348" s="94">
        <v>480</v>
      </c>
      <c r="V2348" s="22" t="str">
        <f>IF(ISBLANK(Table26[[#This Row],[customerSKU]]),"",_xlfn.XLOOKUP(Table26[[#This Row],[customerSKU]],Table27[customer_SKU],Table27[case_size],"",0,1))</f>
        <v/>
      </c>
      <c r="W2348" s="117" t="str">
        <f t="shared" si="99"/>
        <v/>
      </c>
      <c r="X2348" s="22" t="str">
        <f t="shared" si="101"/>
        <v/>
      </c>
      <c r="Y2348" s="25" t="str">
        <f>IF(Table26[[#This Row],[customerSKU]]="","",_xlfn.XLOOKUP(Table26[[#This Row],[customerSKU]],Table27[customer_SKU],Table27[product_GTIN],"",0,1))</f>
        <v/>
      </c>
      <c r="Z2348" s="25" t="s">
        <v>3732</v>
      </c>
      <c r="AA2348" s="18" t="str" cm="1">
        <f t="array" ref="AA2348">IF(P2348="", "", _xlfn.XLOOKUP(P2348,#REF!,#REF!,NA,0,-1))</f>
        <v/>
      </c>
      <c r="AB2348" s="22"/>
      <c r="AC2348" s="23" t="str">
        <f>IF(Table26[[#This Row],[customerSKU]]="","",_xlfn.XLOOKUP(Table26[[#This Row],[customerSKU]],customerSKU!G:G,customerSKU!C:C,"",0,1))</f>
        <v/>
      </c>
      <c r="AD2348" s="23" t="str">
        <f>IF($AC2348="","",_xlfn.XLOOKUP($AC2348,'Client Info'!$C$2:$C$2497,'Client Info'!$D$2:$D$2497,"",0,1))</f>
        <v/>
      </c>
      <c r="AE2348" s="23" t="str">
        <f>IF($AC2348="","",_xlfn.XLOOKUP($AC2348,'Client Info'!$C$2:$C$2677,'Client Info'!$E$2:$E$2677,"",))</f>
        <v/>
      </c>
      <c r="AF2348" s="23" t="str">
        <f>IF($AC2348="","",_xlfn.XLOOKUP($AC2348,'Client Info'!$C$2:$C$2677,'Client Info'!$F$2:$F$2677,"",0,1))</f>
        <v/>
      </c>
      <c r="AG2348" s="23" t="str">
        <f>IF(ISBLANK(Table26[[#This Row],[customerSKU]]),"",_xlfn.XLOOKUP(Table26[[#This Row],[customerSKU]],Table27[customer_SKU],Table27[billto],"",0,1))</f>
        <v/>
      </c>
      <c r="AH2348" s="26" t="str">
        <f>_xlfn.XLOOKUP(Table26[[#This Row],[customerSKU]],customerSKU!G:G,customerSKU!K:K,"NA",0,1)</f>
        <v>NA</v>
      </c>
      <c r="AI2348" s="43" t="str">
        <f>_xlfn.XLOOKUP(Table26[[#This Row],[customerSKU]],customerSKU!G:G,customerSKU!O:O,"not found",0,1)</f>
        <v>not found</v>
      </c>
      <c r="AJ2348" s="22" t="e">
        <f>Table26[[#This Row],[unitprice]]*Table26[[#This Row],[quantity_unit]]</f>
        <v>#VALUE!</v>
      </c>
      <c r="AK2348" s="227" t="e" cm="1">
        <f t="array" ref="AK23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48" s="227"/>
    </row>
    <row r="2349" spans="1:38" ht="27" customHeight="1">
      <c r="A2349" s="42">
        <v>2249</v>
      </c>
      <c r="B2349" s="42" t="s">
        <v>3357</v>
      </c>
      <c r="C2349" s="53" t="s">
        <v>3760</v>
      </c>
      <c r="E2349" s="20"/>
      <c r="F2349" s="25"/>
      <c r="G2349" s="93"/>
      <c r="I2349" s="19">
        <v>45735</v>
      </c>
      <c r="J2349" s="90" t="str">
        <f>IF(Table26[[#This Row],[customerSKU]]="","",_xlfn.XLOOKUP(Table26[[#This Row],[customerSKU]],customerSKU!G:G,customerSKU!A:A,"",0,1))</f>
        <v/>
      </c>
      <c r="K2349" s="232"/>
      <c r="L2349" s="49" t="str">
        <f>IF(Table26[[#This Row],[customerSKU]]="","",_xlfn.XLOOKUP(Table26[[#This Row],[customerSKU]],customerSKU!G:G,customerSKU!B:B,"",0,1))</f>
        <v/>
      </c>
      <c r="M2349" s="22"/>
      <c r="N2349" s="15" t="str">
        <f>Table26[[#This Row],[po_number]]&amp;"-"&amp;Table26[[#This Row],[po_line]]</f>
        <v>-1</v>
      </c>
      <c r="O2349" s="15">
        <v>1</v>
      </c>
      <c r="P2349" s="50"/>
      <c r="S2349" s="90" t="str">
        <f>IF(Table26[[#This Row],[customerSKU]]="","",_xlfn.XLOOKUP(Table26[[#This Row],[customerSKU]],customerSKU!G:G,customerSKU!N:N,"NOT FOUND",0,1))</f>
        <v>NOT FOUND</v>
      </c>
      <c r="T2349" s="20"/>
      <c r="U2349" s="94">
        <v>12</v>
      </c>
      <c r="V2349" s="22" t="str">
        <f>IF(ISBLANK(Table26[[#This Row],[customerSKU]]),"",_xlfn.XLOOKUP(Table26[[#This Row],[customerSKU]],Table27[customer_SKU],Table27[case_size],"",0,1))</f>
        <v/>
      </c>
      <c r="W2349" s="117" t="str">
        <f t="shared" si="99"/>
        <v/>
      </c>
      <c r="X2349" s="22" t="str">
        <f t="shared" si="101"/>
        <v/>
      </c>
      <c r="Y2349" s="25" t="str">
        <f>IF(Table26[[#This Row],[customerSKU]]="","",_xlfn.XLOOKUP(Table26[[#This Row],[customerSKU]],Table27[customer_SKU],Table27[product_GTIN],"",0,1))</f>
        <v/>
      </c>
      <c r="Z2349" s="90" t="s">
        <v>3384</v>
      </c>
      <c r="AA2349" s="18" t="str" cm="1">
        <f t="array" ref="AA2349">IF(P2349="", "", _xlfn.XLOOKUP(P2349,#REF!,#REF!,NA,0,-1))</f>
        <v/>
      </c>
      <c r="AB2349" s="22"/>
      <c r="AC2349" s="55" t="s">
        <v>3385</v>
      </c>
      <c r="AD2349" s="55" t="str">
        <f>IF($AC2349="","",_xlfn.XLOOKUP($AC2349,'Client Info'!$C$2:$C$2497,'Client Info'!$D$2:$D$2497,"",0,1))</f>
        <v/>
      </c>
      <c r="AE2349" s="55" t="str">
        <f>IF($AC2349="","",_xlfn.XLOOKUP($AC2349,'Client Info'!$C$2:$C$2677,'Client Info'!$E$2:$E$2677,"",))</f>
        <v/>
      </c>
      <c r="AF2349" s="55" t="str">
        <f>IF($AC2349="","",_xlfn.XLOOKUP($AC2349,'Client Info'!$C$2:$C$2677,'Client Info'!$F$2:$F$2677,"",0,1))</f>
        <v/>
      </c>
      <c r="AG2349" s="55" t="s">
        <v>3385</v>
      </c>
      <c r="AH2349" s="26" t="str">
        <f>_xlfn.XLOOKUP(Table26[[#This Row],[customerSKU]],customerSKU!G:G,customerSKU!K:K,"NA",0,1)</f>
        <v>NA</v>
      </c>
      <c r="AI2349" s="43" t="str">
        <f>_xlfn.XLOOKUP(Table26[[#This Row],[customerSKU]],customerSKU!G:G,customerSKU!O:O,"not found",0,1)</f>
        <v>not found</v>
      </c>
      <c r="AJ2349" s="22" t="e">
        <f>Table26[[#This Row],[unitprice]]*Table26[[#This Row],[quantity_unit]]</f>
        <v>#VALUE!</v>
      </c>
      <c r="AK2349" s="22" t="e" cm="1">
        <f t="array" ref="AK234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349" s="227"/>
    </row>
    <row r="2350" spans="1:38" ht="27" customHeight="1">
      <c r="A2350" s="42">
        <v>2250</v>
      </c>
      <c r="B2350" s="42" t="s">
        <v>3357</v>
      </c>
      <c r="C2350" s="53" t="s">
        <v>3539</v>
      </c>
      <c r="D2350" s="20">
        <v>45806</v>
      </c>
      <c r="E2350" s="20"/>
      <c r="F23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0" s="93"/>
      <c r="I2350" s="203">
        <v>45785</v>
      </c>
      <c r="J2350" s="90" t="str">
        <f>IF(Table26[[#This Row],[customerSKU]]="","",_xlfn.XLOOKUP(Table26[[#This Row],[customerSKU]],customerSKU!G:G,customerSKU!A:A,"",0,1))</f>
        <v/>
      </c>
      <c r="K2350" s="232"/>
      <c r="L2350" s="49" t="str">
        <f>IF(Table26[[#This Row],[customerSKU]]="","",_xlfn.XLOOKUP(Table26[[#This Row],[customerSKU]],customerSKU!G:G,customerSKU!B:B,"",0,1))</f>
        <v/>
      </c>
      <c r="M2350" s="22"/>
      <c r="N2350" s="15" t="str">
        <f>Table26[[#This Row],[po_number]]&amp;"-"&amp;Table26[[#This Row],[po_line]]</f>
        <v>-1</v>
      </c>
      <c r="O2350" s="15">
        <v>1</v>
      </c>
      <c r="P2350" s="50"/>
      <c r="S2350" s="90" t="str">
        <f>IF(Table26[[#This Row],[customerSKU]]="","",_xlfn.XLOOKUP(Table26[[#This Row],[customerSKU]],customerSKU!G:G,customerSKU!N:N,"NOT FOUND",0,1))</f>
        <v>NOT FOUND</v>
      </c>
      <c r="T2350" s="20"/>
      <c r="U2350" s="94">
        <v>24</v>
      </c>
      <c r="V2350" s="22" t="str">
        <f>IF(ISBLANK(Table26[[#This Row],[customerSKU]]),"",_xlfn.XLOOKUP(Table26[[#This Row],[customerSKU]],Table27[customer_SKU],Table27[case_size],"",0,1))</f>
        <v/>
      </c>
      <c r="W2350" s="117" t="str">
        <f t="shared" si="99"/>
        <v/>
      </c>
      <c r="X2350" s="22" t="str">
        <f t="shared" si="101"/>
        <v/>
      </c>
      <c r="Y2350" s="25" t="str">
        <f>IF(Table26[[#This Row],[customerSKU]]="","",_xlfn.XLOOKUP(Table26[[#This Row],[customerSKU]],Table27[customer_SKU],Table27[product_GTIN],"",0,1))</f>
        <v/>
      </c>
      <c r="Z2350" s="25" t="s">
        <v>3409</v>
      </c>
      <c r="AA2350" s="18" t="str" cm="1">
        <f t="array" ref="AA2350">IF(P2350="", "", _xlfn.XLOOKUP(P2350,#REF!,#REF!,NA,0,-1))</f>
        <v/>
      </c>
      <c r="AB2350" s="22"/>
      <c r="AC2350" s="55" t="str">
        <f>IF(Table26[[#This Row],[customerSKU]]="","",_xlfn.XLOOKUP(Table26[[#This Row],[customerSKU]],customerSKU!G:G,customerSKU!C:C,"",0,1))</f>
        <v/>
      </c>
      <c r="AD2350" s="55" t="str">
        <f>IF($AC2350="","",_xlfn.XLOOKUP($AC2350,'Client Info'!$C$2:$C$2497,'Client Info'!$D$2:$D$2497,"",0,1))</f>
        <v/>
      </c>
      <c r="AE2350" s="55" t="str">
        <f>IF($AC2350="","",_xlfn.XLOOKUP($AC2350,'Client Info'!$C$2:$C$2677,'Client Info'!$E$2:$E$2677,"",))</f>
        <v/>
      </c>
      <c r="AF2350" s="55" t="str">
        <f>IF($AC2350="","",_xlfn.XLOOKUP($AC2350,'Client Info'!$C$2:$C$2677,'Client Info'!$F$2:$F$2677,"",0,1))</f>
        <v/>
      </c>
      <c r="AG2350" s="55" t="str">
        <f>IF(ISBLANK(Table26[[#This Row],[customerSKU]]),"",_xlfn.XLOOKUP(Table26[[#This Row],[customerSKU]],Table27[customer_SKU],Table27[billto],"",0,1))</f>
        <v/>
      </c>
      <c r="AH2350" s="26" t="str">
        <f>_xlfn.XLOOKUP(Table26[[#This Row],[customerSKU]],customerSKU!G:G,customerSKU!K:K,"NA",0,1)</f>
        <v>NA</v>
      </c>
      <c r="AI2350" s="43" t="str">
        <f>_xlfn.XLOOKUP(Table26[[#This Row],[customerSKU]],customerSKU!G:G,customerSKU!O:O,"not found",0,1)</f>
        <v>not found</v>
      </c>
      <c r="AJ2350" s="22" t="e">
        <f>Table26[[#This Row],[unitprice]]*Table26[[#This Row],[quantity_unit]]</f>
        <v>#VALUE!</v>
      </c>
      <c r="AK2350" s="227" t="e" cm="1">
        <f t="array" ref="AK23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0" s="227"/>
    </row>
    <row r="2351" spans="1:38" ht="27" customHeight="1">
      <c r="A2351" s="42">
        <v>2251</v>
      </c>
      <c r="B2351" s="42" t="s">
        <v>3357</v>
      </c>
      <c r="C2351" s="53" t="s">
        <v>3539</v>
      </c>
      <c r="D2351" s="20">
        <v>45806</v>
      </c>
      <c r="E2351" s="20"/>
      <c r="F23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1" s="93"/>
      <c r="I2351" s="203">
        <v>45785</v>
      </c>
      <c r="J2351" s="90" t="str">
        <f>IF(Table26[[#This Row],[customerSKU]]="","",_xlfn.XLOOKUP(Table26[[#This Row],[customerSKU]],customerSKU!G:G,customerSKU!A:A,"",0,1))</f>
        <v/>
      </c>
      <c r="K2351" s="232"/>
      <c r="L2351" s="49" t="str">
        <f>IF(Table26[[#This Row],[customerSKU]]="","",_xlfn.XLOOKUP(Table26[[#This Row],[customerSKU]],customerSKU!G:G,customerSKU!B:B,"",0,1))</f>
        <v/>
      </c>
      <c r="M2351" s="22"/>
      <c r="N2351" s="15" t="str">
        <f>Table26[[#This Row],[po_number]]&amp;"-"&amp;Table26[[#This Row],[po_line]]</f>
        <v>-2</v>
      </c>
      <c r="O2351" s="15">
        <v>2</v>
      </c>
      <c r="P2351" s="50"/>
      <c r="Q2351" s="22" t="s">
        <v>3541</v>
      </c>
      <c r="S2351" s="90" t="str">
        <f>IF(Table26[[#This Row],[customerSKU]]="","",_xlfn.XLOOKUP(Table26[[#This Row],[customerSKU]],customerSKU!G:G,customerSKU!N:N,"NOT FOUND",0,1))</f>
        <v>NOT FOUND</v>
      </c>
      <c r="T2351" s="20">
        <v>45790</v>
      </c>
      <c r="U2351" s="94">
        <v>12</v>
      </c>
      <c r="V2351" s="22" t="str">
        <f>IF(ISBLANK(Table26[[#This Row],[customerSKU]]),"",_xlfn.XLOOKUP(Table26[[#This Row],[customerSKU]],Table27[customer_SKU],Table27[case_size],"",0,1))</f>
        <v/>
      </c>
      <c r="W2351" s="117" t="str">
        <f t="shared" si="99"/>
        <v/>
      </c>
      <c r="X2351" s="22" t="str">
        <f t="shared" si="101"/>
        <v/>
      </c>
      <c r="Y2351" s="25" t="str">
        <f>IF(Table26[[#This Row],[customerSKU]]="","",_xlfn.XLOOKUP(Table26[[#This Row],[customerSKU]],Table27[customer_SKU],Table27[product_GTIN],"",0,1))</f>
        <v/>
      </c>
      <c r="Z2351" s="25" t="s">
        <v>3576</v>
      </c>
      <c r="AA2351" s="18" t="str" cm="1">
        <f t="array" ref="AA2351">IF(P2351="", "", _xlfn.XLOOKUP(P2351,#REF!,#REF!,NA,0,-1))</f>
        <v/>
      </c>
      <c r="AB2351" s="22"/>
      <c r="AC2351" s="55" t="str">
        <f>IF(Table26[[#This Row],[customerSKU]]="","",_xlfn.XLOOKUP(Table26[[#This Row],[customerSKU]],customerSKU!G:G,customerSKU!C:C,"",0,1))</f>
        <v/>
      </c>
      <c r="AD2351" s="55" t="str">
        <f>IF($AC2351="","",_xlfn.XLOOKUP($AC2351,'Client Info'!$C$2:$C$2497,'Client Info'!$D$2:$D$2497,"",0,1))</f>
        <v/>
      </c>
      <c r="AE2351" s="55" t="str">
        <f>IF($AC2351="","",_xlfn.XLOOKUP($AC2351,'Client Info'!$C$2:$C$2677,'Client Info'!$E$2:$E$2677,"",))</f>
        <v/>
      </c>
      <c r="AF2351" s="55" t="str">
        <f>IF($AC2351="","",_xlfn.XLOOKUP($AC2351,'Client Info'!$C$2:$C$2677,'Client Info'!$F$2:$F$2677,"",0,1))</f>
        <v/>
      </c>
      <c r="AG2351" s="55" t="str">
        <f>IF(ISBLANK(Table26[[#This Row],[customerSKU]]),"",_xlfn.XLOOKUP(Table26[[#This Row],[customerSKU]],Table27[customer_SKU],Table27[billto],"",0,1))</f>
        <v/>
      </c>
      <c r="AH2351" s="26" t="str">
        <f>_xlfn.XLOOKUP(Table26[[#This Row],[customerSKU]],customerSKU!G:G,customerSKU!K:K,"NA",0,1)</f>
        <v>NA</v>
      </c>
      <c r="AI2351" s="43" t="str">
        <f>_xlfn.XLOOKUP(Table26[[#This Row],[customerSKU]],customerSKU!G:G,customerSKU!O:O,"not found",0,1)</f>
        <v>not found</v>
      </c>
      <c r="AJ2351" s="22" t="e">
        <f>Table26[[#This Row],[unitprice]]*Table26[[#This Row],[quantity_unit]]</f>
        <v>#VALUE!</v>
      </c>
      <c r="AK2351" s="227" t="e" cm="1">
        <f t="array" ref="AK23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1" s="227"/>
    </row>
    <row r="2352" spans="1:38" ht="27" customHeight="1">
      <c r="A2352" s="42">
        <v>2252</v>
      </c>
      <c r="B2352" s="42" t="s">
        <v>3357</v>
      </c>
      <c r="C2352" s="53" t="s">
        <v>3539</v>
      </c>
      <c r="D2352" s="20">
        <v>45820</v>
      </c>
      <c r="E2352" s="20"/>
      <c r="F23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2" s="93"/>
      <c r="I2352" s="203">
        <v>45799</v>
      </c>
      <c r="J2352" s="90" t="str">
        <f>IF(Table26[[#This Row],[customerSKU]]="","",_xlfn.XLOOKUP(Table26[[#This Row],[customerSKU]],customerSKU!G:G,customerSKU!A:A,"",0,1))</f>
        <v/>
      </c>
      <c r="K2352" s="232"/>
      <c r="L2352" s="49" t="str">
        <f>IF(Table26[[#This Row],[customerSKU]]="","",_xlfn.XLOOKUP(Table26[[#This Row],[customerSKU]],customerSKU!G:G,customerSKU!B:B,"",0,1))</f>
        <v/>
      </c>
      <c r="M2352" s="22"/>
      <c r="N2352" s="15" t="str">
        <f>Table26[[#This Row],[po_number]]&amp;"-"&amp;Table26[[#This Row],[po_line]]</f>
        <v>-1</v>
      </c>
      <c r="O2352" s="15">
        <v>1</v>
      </c>
      <c r="P2352" s="50"/>
      <c r="S2352" s="90" t="str">
        <f>IF(Table26[[#This Row],[customerSKU]]="","",_xlfn.XLOOKUP(Table26[[#This Row],[customerSKU]],customerSKU!G:G,customerSKU!N:N,"NOT FOUND",0,1))</f>
        <v>NOT FOUND</v>
      </c>
      <c r="T2352" s="20"/>
      <c r="U2352" s="94">
        <v>12</v>
      </c>
      <c r="V2352" s="22" t="str">
        <f>IF(ISBLANK(Table26[[#This Row],[customerSKU]]),"",_xlfn.XLOOKUP(Table26[[#This Row],[customerSKU]],Table27[customer_SKU],Table27[case_size],"",0,1))</f>
        <v/>
      </c>
      <c r="W2352" s="117" t="str">
        <f t="shared" si="99"/>
        <v/>
      </c>
      <c r="X2352" s="22" t="str">
        <f t="shared" si="101"/>
        <v/>
      </c>
      <c r="Y2352" s="25" t="str">
        <f>IF(Table26[[#This Row],[customerSKU]]="","",_xlfn.XLOOKUP(Table26[[#This Row],[customerSKU]],Table27[customer_SKU],Table27[product_GTIN],"",0,1))</f>
        <v/>
      </c>
      <c r="Z2352" s="25" t="s">
        <v>3613</v>
      </c>
      <c r="AA2352" s="18" t="str" cm="1">
        <f t="array" ref="AA2352">IF(P2352="", "", _xlfn.XLOOKUP(P2352,#REF!,#REF!,NA,0,-1))</f>
        <v/>
      </c>
      <c r="AB2352" s="22"/>
      <c r="AC2352" s="55" t="str">
        <f>IF(Table26[[#This Row],[customerSKU]]="","",_xlfn.XLOOKUP(Table26[[#This Row],[customerSKU]],customerSKU!G:G,customerSKU!C:C,"",0,1))</f>
        <v/>
      </c>
      <c r="AD2352" s="55" t="str">
        <f>IF($AC2352="","",_xlfn.XLOOKUP($AC2352,'Client Info'!$C$2:$C$2497,'Client Info'!$D$2:$D$2497,"",0,1))</f>
        <v/>
      </c>
      <c r="AE2352" s="55" t="str">
        <f>IF($AC2352="","",_xlfn.XLOOKUP($AC2352,'Client Info'!$C$2:$C$2677,'Client Info'!$E$2:$E$2677,"",))</f>
        <v/>
      </c>
      <c r="AF2352" s="55" t="str">
        <f>IF($AC2352="","",_xlfn.XLOOKUP($AC2352,'Client Info'!$C$2:$C$2677,'Client Info'!$F$2:$F$2677,"",0,1))</f>
        <v/>
      </c>
      <c r="AG2352" s="55" t="str">
        <f>IF(ISBLANK(Table26[[#This Row],[customerSKU]]),"",_xlfn.XLOOKUP(Table26[[#This Row],[customerSKU]],Table27[customer_SKU],Table27[billto],"",0,1))</f>
        <v/>
      </c>
      <c r="AH2352" s="26" t="str">
        <f>_xlfn.XLOOKUP(Table26[[#This Row],[customerSKU]],customerSKU!G:G,customerSKU!K:K,"NA",0,1)</f>
        <v>NA</v>
      </c>
      <c r="AI2352" s="43" t="str">
        <f>_xlfn.XLOOKUP(Table26[[#This Row],[customerSKU]],customerSKU!G:G,customerSKU!O:O,"not found",0,1)</f>
        <v>not found</v>
      </c>
      <c r="AJ2352" s="22" t="e">
        <f>Table26[[#This Row],[unitprice]]*Table26[[#This Row],[quantity_unit]]</f>
        <v>#VALUE!</v>
      </c>
      <c r="AK2352" s="227" t="e" cm="1">
        <f t="array" ref="AK23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2" s="227"/>
    </row>
    <row r="2353" spans="1:38" ht="27" customHeight="1">
      <c r="A2353" s="42">
        <v>2253</v>
      </c>
      <c r="B2353" s="42" t="s">
        <v>3357</v>
      </c>
      <c r="C2353" s="53" t="s">
        <v>3539</v>
      </c>
      <c r="D2353" s="20">
        <v>45820</v>
      </c>
      <c r="E2353" s="20"/>
      <c r="F23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3" s="93"/>
      <c r="I2353" s="203">
        <v>45799</v>
      </c>
      <c r="J2353" s="90" t="str">
        <f>IF(Table26[[#This Row],[customerSKU]]="","",_xlfn.XLOOKUP(Table26[[#This Row],[customerSKU]],customerSKU!G:G,customerSKU!A:A,"",0,1))</f>
        <v/>
      </c>
      <c r="K2353" s="232"/>
      <c r="L2353" s="49" t="str">
        <f>IF(Table26[[#This Row],[customerSKU]]="","",_xlfn.XLOOKUP(Table26[[#This Row],[customerSKU]],customerSKU!G:G,customerSKU!B:B,"",0,1))</f>
        <v/>
      </c>
      <c r="M2353" s="22"/>
      <c r="N2353" s="15" t="str">
        <f>Table26[[#This Row],[po_number]]&amp;"-"&amp;Table26[[#This Row],[po_line]]</f>
        <v>-2</v>
      </c>
      <c r="O2353" s="15">
        <v>2</v>
      </c>
      <c r="P2353" s="50"/>
      <c r="S2353" s="90" t="str">
        <f>IF(Table26[[#This Row],[customerSKU]]="","",_xlfn.XLOOKUP(Table26[[#This Row],[customerSKU]],customerSKU!G:G,customerSKU!N:N,"NOT FOUND",0,1))</f>
        <v>NOT FOUND</v>
      </c>
      <c r="T2353" s="20"/>
      <c r="U2353" s="94">
        <v>48</v>
      </c>
      <c r="V2353" s="22" t="str">
        <f>IF(ISBLANK(Table26[[#This Row],[customerSKU]]),"",_xlfn.XLOOKUP(Table26[[#This Row],[customerSKU]],Table27[customer_SKU],Table27[case_size],"",0,1))</f>
        <v/>
      </c>
      <c r="W2353" s="117" t="str">
        <f t="shared" ref="W2353:W2418" si="102">IFERROR(U2353/V2353, "")</f>
        <v/>
      </c>
      <c r="X2353" s="22" t="str">
        <f t="shared" si="101"/>
        <v/>
      </c>
      <c r="Y2353" s="25" t="str">
        <f>IF(Table26[[#This Row],[customerSKU]]="","",_xlfn.XLOOKUP(Table26[[#This Row],[customerSKU]],Table27[customer_SKU],Table27[product_GTIN],"",0,1))</f>
        <v/>
      </c>
      <c r="Z2353" s="25" t="s">
        <v>3542</v>
      </c>
      <c r="AA2353" s="18" t="str" cm="1">
        <f t="array" ref="AA2353">IF(P2353="", "", _xlfn.XLOOKUP(P2353,#REF!,#REF!,NA,0,-1))</f>
        <v/>
      </c>
      <c r="AB2353" s="22"/>
      <c r="AC2353" s="55" t="str">
        <f>IF(Table26[[#This Row],[customerSKU]]="","",_xlfn.XLOOKUP(Table26[[#This Row],[customerSKU]],customerSKU!G:G,customerSKU!C:C,"",0,1))</f>
        <v/>
      </c>
      <c r="AD2353" s="55" t="str">
        <f>IF($AC2353="","",_xlfn.XLOOKUP($AC2353,'Client Info'!$C$2:$C$2497,'Client Info'!$D$2:$D$2497,"",0,1))</f>
        <v/>
      </c>
      <c r="AE2353" s="55" t="str">
        <f>IF($AC2353="","",_xlfn.XLOOKUP($AC2353,'Client Info'!$C$2:$C$2677,'Client Info'!$E$2:$E$2677,"",))</f>
        <v/>
      </c>
      <c r="AF2353" s="55" t="str">
        <f>IF($AC2353="","",_xlfn.XLOOKUP($AC2353,'Client Info'!$C$2:$C$2677,'Client Info'!$F$2:$F$2677,"",0,1))</f>
        <v/>
      </c>
      <c r="AG2353" s="55" t="str">
        <f>IF(ISBLANK(Table26[[#This Row],[customerSKU]]),"",_xlfn.XLOOKUP(Table26[[#This Row],[customerSKU]],Table27[customer_SKU],Table27[billto],"",0,1))</f>
        <v/>
      </c>
      <c r="AH2353" s="26" t="str">
        <f>_xlfn.XLOOKUP(Table26[[#This Row],[customerSKU]],customerSKU!G:G,customerSKU!K:K,"NA",0,1)</f>
        <v>NA</v>
      </c>
      <c r="AI2353" s="43" t="str">
        <f>_xlfn.XLOOKUP(Table26[[#This Row],[customerSKU]],customerSKU!G:G,customerSKU!O:O,"not found",0,1)</f>
        <v>not found</v>
      </c>
      <c r="AJ2353" s="22" t="e">
        <f>Table26[[#This Row],[unitprice]]*Table26[[#This Row],[quantity_unit]]</f>
        <v>#VALUE!</v>
      </c>
      <c r="AK2353" s="227" t="e" cm="1">
        <f t="array" ref="AK23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3" s="227"/>
    </row>
    <row r="2354" spans="1:38" ht="15.6">
      <c r="A2354" s="42">
        <v>2254</v>
      </c>
      <c r="B2354" s="42" t="s">
        <v>3520</v>
      </c>
      <c r="C2354" s="53" t="s">
        <v>3539</v>
      </c>
      <c r="E2354" s="20"/>
      <c r="F23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4" s="93"/>
      <c r="I2354" s="203">
        <v>45814</v>
      </c>
      <c r="J2354" s="90" t="str">
        <f>IF(Table26[[#This Row],[customerSKU]]="","",_xlfn.XLOOKUP(Table26[[#This Row],[customerSKU]],customerSKU!G:G,customerSKU!A:A,"",0,1))</f>
        <v/>
      </c>
      <c r="K2354" s="232"/>
      <c r="L2354" s="49" t="str">
        <f>IF(Table26[[#This Row],[customerSKU]]="","",_xlfn.XLOOKUP(Table26[[#This Row],[customerSKU]],customerSKU!G:G,customerSKU!B:B,"",0,1))</f>
        <v/>
      </c>
      <c r="M2354" s="22"/>
      <c r="N2354" s="15" t="str">
        <f>Table26[[#This Row],[po_number]]&amp;"-"&amp;Table26[[#This Row],[po_line]]</f>
        <v>-2</v>
      </c>
      <c r="O2354" s="15">
        <v>2</v>
      </c>
      <c r="P2354" s="50"/>
      <c r="S2354" s="90" t="str">
        <f>IF(Table26[[#This Row],[customerSKU]]="","",_xlfn.XLOOKUP(Table26[[#This Row],[customerSKU]],customerSKU!G:G,customerSKU!N:N,"NOT FOUND",0,1))</f>
        <v>NOT FOUND</v>
      </c>
      <c r="T2354" s="20"/>
      <c r="U2354" s="94">
        <v>12</v>
      </c>
      <c r="V2354" s="22" t="str">
        <f>IF(ISBLANK(Table26[[#This Row],[customerSKU]]),"",_xlfn.XLOOKUP(Table26[[#This Row],[customerSKU]],Table27[customer_SKU],Table27[case_size],"",0,1))</f>
        <v/>
      </c>
      <c r="W2354" s="117" t="str">
        <f t="shared" si="102"/>
        <v/>
      </c>
      <c r="X2354" s="22" t="str">
        <f t="shared" si="101"/>
        <v/>
      </c>
      <c r="Y2354" s="25" t="str">
        <f>IF(Table26[[#This Row],[customerSKU]]="","",_xlfn.XLOOKUP(Table26[[#This Row],[customerSKU]],Table27[customer_SKU],Table27[product_GTIN],"",0,1))</f>
        <v/>
      </c>
      <c r="Z2354" s="25" t="s">
        <v>3613</v>
      </c>
      <c r="AA2354" s="18" t="str" cm="1">
        <f t="array" ref="AA2354">IF(P2354="", "", _xlfn.XLOOKUP(P2354,#REF!,#REF!,NA,0,-1))</f>
        <v/>
      </c>
      <c r="AB2354" s="22"/>
      <c r="AC2354" s="55" t="str">
        <f>IF(Table26[[#This Row],[customerSKU]]="","",_xlfn.XLOOKUP(Table26[[#This Row],[customerSKU]],customerSKU!G:G,customerSKU!C:C,"",0,1))</f>
        <v/>
      </c>
      <c r="AD2354" s="55" t="str">
        <f>IF($AC2354="","",_xlfn.XLOOKUP($AC2354,'Client Info'!$C$2:$C$2497,'Client Info'!$D$2:$D$2497,"",0,1))</f>
        <v/>
      </c>
      <c r="AE2354" s="55" t="str">
        <f>IF($AC2354="","",_xlfn.XLOOKUP($AC2354,'Client Info'!$C$2:$C$2677,'Client Info'!$E$2:$E$2677,"",))</f>
        <v/>
      </c>
      <c r="AF2354" s="55" t="str">
        <f>IF($AC2354="","",_xlfn.XLOOKUP($AC2354,'Client Info'!$C$2:$C$2677,'Client Info'!$F$2:$F$2677,"",0,1))</f>
        <v/>
      </c>
      <c r="AG2354" s="55" t="str">
        <f>IF(ISBLANK(Table26[[#This Row],[customerSKU]]),"",_xlfn.XLOOKUP(Table26[[#This Row],[customerSKU]],Table27[customer_SKU],Table27[billto],"",0,1))</f>
        <v/>
      </c>
      <c r="AH2354" s="26" t="str">
        <f>_xlfn.XLOOKUP(Table26[[#This Row],[customerSKU]],customerSKU!G:G,customerSKU!K:K,"NA",0,1)</f>
        <v>NA</v>
      </c>
      <c r="AI2354" s="43" t="str">
        <f>_xlfn.XLOOKUP(Table26[[#This Row],[customerSKU]],customerSKU!G:G,customerSKU!O:O,"not found",0,1)</f>
        <v>not found</v>
      </c>
      <c r="AJ2354" s="22" t="e">
        <f>Table26[[#This Row],[unitprice]]*Table26[[#This Row],[quantity_unit]]</f>
        <v>#VALUE!</v>
      </c>
      <c r="AK2354" s="227" t="e" cm="1">
        <f t="array" ref="AK23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4" s="227"/>
    </row>
    <row r="2355" spans="1:38" ht="15.6">
      <c r="A2355" s="42">
        <v>2255</v>
      </c>
      <c r="B2355" s="42" t="s">
        <v>3520</v>
      </c>
      <c r="C2355" s="53" t="s">
        <v>3539</v>
      </c>
      <c r="E2355" s="20"/>
      <c r="F23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5" s="93"/>
      <c r="I2355" s="203">
        <v>45814</v>
      </c>
      <c r="J2355" s="90" t="str">
        <f>IF(Table26[[#This Row],[customerSKU]]="","",_xlfn.XLOOKUP(Table26[[#This Row],[customerSKU]],customerSKU!G:G,customerSKU!A:A,"",0,1))</f>
        <v/>
      </c>
      <c r="K2355" s="232"/>
      <c r="L2355" s="49" t="str">
        <f>IF(Table26[[#This Row],[customerSKU]]="","",_xlfn.XLOOKUP(Table26[[#This Row],[customerSKU]],customerSKU!G:G,customerSKU!B:B,"",0,1))</f>
        <v/>
      </c>
      <c r="M2355" s="22"/>
      <c r="N2355" s="15" t="str">
        <f>Table26[[#This Row],[po_number]]&amp;"-"&amp;Table26[[#This Row],[po_line]]</f>
        <v>-3</v>
      </c>
      <c r="O2355" s="15">
        <v>3</v>
      </c>
      <c r="P2355" s="50"/>
      <c r="S2355" s="90" t="str">
        <f>IF(Table26[[#This Row],[customerSKU]]="","",_xlfn.XLOOKUP(Table26[[#This Row],[customerSKU]],customerSKU!G:G,customerSKU!N:N,"NOT FOUND",0,1))</f>
        <v>NOT FOUND</v>
      </c>
      <c r="T2355" s="20"/>
      <c r="U2355" s="94">
        <v>144</v>
      </c>
      <c r="V2355" s="22" t="str">
        <f>IF(ISBLANK(Table26[[#This Row],[customerSKU]]),"",_xlfn.XLOOKUP(Table26[[#This Row],[customerSKU]],Table27[customer_SKU],Table27[case_size],"",0,1))</f>
        <v/>
      </c>
      <c r="W2355" s="117" t="str">
        <f t="shared" si="102"/>
        <v/>
      </c>
      <c r="X2355" s="22" t="str">
        <f t="shared" si="101"/>
        <v/>
      </c>
      <c r="Y2355" s="25" t="str">
        <f>IF(Table26[[#This Row],[customerSKU]]="","",_xlfn.XLOOKUP(Table26[[#This Row],[customerSKU]],Table27[customer_SKU],Table27[product_GTIN],"",0,1))</f>
        <v/>
      </c>
      <c r="Z2355" s="25" t="s">
        <v>3542</v>
      </c>
      <c r="AA2355" s="18" t="str" cm="1">
        <f t="array" ref="AA2355">IF(P2355="", "", _xlfn.XLOOKUP(P2355,#REF!,#REF!,NA,0,-1))</f>
        <v/>
      </c>
      <c r="AB2355" s="22"/>
      <c r="AC2355" s="55" t="str">
        <f>IF(Table26[[#This Row],[customerSKU]]="","",_xlfn.XLOOKUP(Table26[[#This Row],[customerSKU]],customerSKU!G:G,customerSKU!C:C,"",0,1))</f>
        <v/>
      </c>
      <c r="AD2355" s="55" t="str">
        <f>IF($AC2355="","",_xlfn.XLOOKUP($AC2355,'Client Info'!$C$2:$C$2497,'Client Info'!$D$2:$D$2497,"",0,1))</f>
        <v/>
      </c>
      <c r="AE2355" s="55" t="str">
        <f>IF($AC2355="","",_xlfn.XLOOKUP($AC2355,'Client Info'!$C$2:$C$2677,'Client Info'!$E$2:$E$2677,"",))</f>
        <v/>
      </c>
      <c r="AF2355" s="55" t="str">
        <f>IF($AC2355="","",_xlfn.XLOOKUP($AC2355,'Client Info'!$C$2:$C$2677,'Client Info'!$F$2:$F$2677,"",0,1))</f>
        <v/>
      </c>
      <c r="AG2355" s="55" t="str">
        <f>IF(ISBLANK(Table26[[#This Row],[customerSKU]]),"",_xlfn.XLOOKUP(Table26[[#This Row],[customerSKU]],Table27[customer_SKU],Table27[billto],"",0,1))</f>
        <v/>
      </c>
      <c r="AH2355" s="26" t="str">
        <f>_xlfn.XLOOKUP(Table26[[#This Row],[customerSKU]],customerSKU!G:G,customerSKU!K:K,"NA",0,1)</f>
        <v>NA</v>
      </c>
      <c r="AI2355" s="43" t="str">
        <f>_xlfn.XLOOKUP(Table26[[#This Row],[customerSKU]],customerSKU!G:G,customerSKU!O:O,"not found",0,1)</f>
        <v>not found</v>
      </c>
      <c r="AJ2355" s="22" t="e">
        <f>Table26[[#This Row],[unitprice]]*Table26[[#This Row],[quantity_unit]]</f>
        <v>#VALUE!</v>
      </c>
      <c r="AK2355" s="227" t="e" cm="1">
        <f t="array" ref="AK23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5" s="227"/>
    </row>
    <row r="2356" spans="1:38" ht="27" customHeight="1">
      <c r="A2356" s="42">
        <v>2256</v>
      </c>
      <c r="B2356" s="42" t="s">
        <v>3520</v>
      </c>
      <c r="C2356" s="53" t="s">
        <v>3539</v>
      </c>
      <c r="D2356" s="20">
        <v>45848</v>
      </c>
      <c r="E2356" s="20"/>
      <c r="F23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6" s="93"/>
      <c r="I2356" s="232">
        <v>45827</v>
      </c>
      <c r="J2356" s="90" t="str">
        <f>IF(Table26[[#This Row],[customerSKU]]="","",_xlfn.XLOOKUP(Table26[[#This Row],[customerSKU]],customerSKU!G:G,customerSKU!A:A,"",0,1))</f>
        <v/>
      </c>
      <c r="K2356" s="232"/>
      <c r="L2356" s="49" t="str">
        <f>IF(Table26[[#This Row],[customerSKU]]="","",_xlfn.XLOOKUP(Table26[[#This Row],[customerSKU]],customerSKU!G:G,customerSKU!B:B,"",0,1))</f>
        <v/>
      </c>
      <c r="M2356" s="22"/>
      <c r="N2356" s="15" t="str">
        <f>Table26[[#This Row],[po_number]]&amp;"-"&amp;Table26[[#This Row],[po_line]]</f>
        <v>-1</v>
      </c>
      <c r="O2356" s="15">
        <v>1</v>
      </c>
      <c r="P2356" s="50"/>
      <c r="S2356" s="90" t="str">
        <f>IF(Table26[[#This Row],[customerSKU]]="","",_xlfn.XLOOKUP(Table26[[#This Row],[customerSKU]],customerSKU!G:G,customerSKU!N:N,"NOT FOUND",0,1))</f>
        <v>NOT FOUND</v>
      </c>
      <c r="T2356" s="20"/>
      <c r="U2356" s="94">
        <v>60</v>
      </c>
      <c r="V2356" s="22" t="str">
        <f>IF(ISBLANK(Table26[[#This Row],[customerSKU]]),"",_xlfn.XLOOKUP(Table26[[#This Row],[customerSKU]],Table27[customer_SKU],Table27[case_size],"",0,1))</f>
        <v/>
      </c>
      <c r="W2356" s="117" t="str">
        <f t="shared" si="102"/>
        <v/>
      </c>
      <c r="X2356" s="22" t="str">
        <f t="shared" si="101"/>
        <v/>
      </c>
      <c r="Y2356" s="25" t="str">
        <f>IF(Table26[[#This Row],[customerSKU]]="","",_xlfn.XLOOKUP(Table26[[#This Row],[customerSKU]],Table27[customer_SKU],Table27[product_GTIN],"",0,1))</f>
        <v/>
      </c>
      <c r="Z2356" s="25" t="s">
        <v>3542</v>
      </c>
      <c r="AA2356" s="18" t="str" cm="1">
        <f t="array" ref="AA2356">IF(P2356="", "", _xlfn.XLOOKUP(P2356,#REF!,#REF!,NA,0,-1))</f>
        <v/>
      </c>
      <c r="AB2356" s="22"/>
      <c r="AC2356" s="23" t="str">
        <f>IF(Table26[[#This Row],[customerSKU]]="","",_xlfn.XLOOKUP(Table26[[#This Row],[customerSKU]],customerSKU!G:G,customerSKU!C:C,"",0,1))</f>
        <v/>
      </c>
      <c r="AD2356" s="23" t="str">
        <f>IF($AC2356="","",_xlfn.XLOOKUP($AC2356,'Client Info'!$C$2:$C$2497,'Client Info'!$D$2:$D$2497,"",0,1))</f>
        <v/>
      </c>
      <c r="AE2356" s="23" t="str">
        <f>IF($AC2356="","",_xlfn.XLOOKUP($AC2356,'Client Info'!$C$2:$C$2677,'Client Info'!$E$2:$E$2677,"",))</f>
        <v/>
      </c>
      <c r="AF2356" s="23" t="str">
        <f>IF($AC2356="","",_xlfn.XLOOKUP($AC2356,'Client Info'!$C$2:$C$2677,'Client Info'!$F$2:$F$2677,"",0,1))</f>
        <v/>
      </c>
      <c r="AG2356" s="23" t="str">
        <f>IF(ISBLANK(Table26[[#This Row],[customerSKU]]),"",_xlfn.XLOOKUP(Table26[[#This Row],[customerSKU]],Table27[customer_SKU],Table27[billto],"",0,1))</f>
        <v/>
      </c>
      <c r="AH2356" s="26" t="str">
        <f>_xlfn.XLOOKUP(Table26[[#This Row],[customerSKU]],customerSKU!G:G,customerSKU!K:K,"NA",0,1)</f>
        <v>NA</v>
      </c>
      <c r="AI2356" s="43" t="str">
        <f>_xlfn.XLOOKUP(Table26[[#This Row],[customerSKU]],customerSKU!G:G,customerSKU!O:O,"not found",0,1)</f>
        <v>not found</v>
      </c>
      <c r="AJ2356" s="22" t="e">
        <f>Table26[[#This Row],[unitprice]]*Table26[[#This Row],[quantity_unit]]</f>
        <v>#VALUE!</v>
      </c>
      <c r="AK2356" s="227" t="e" cm="1">
        <f t="array" ref="AK23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6" s="227"/>
    </row>
    <row r="2357" spans="1:38" ht="27" customHeight="1">
      <c r="A2357" s="42">
        <v>2257</v>
      </c>
      <c r="B2357" s="42" t="s">
        <v>3520</v>
      </c>
      <c r="C2357" s="53" t="s">
        <v>3539</v>
      </c>
      <c r="E2357" s="20"/>
      <c r="F23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7" s="93"/>
      <c r="I2357" s="203">
        <v>45835</v>
      </c>
      <c r="J2357" s="90" t="str">
        <f>IF(Table26[[#This Row],[customerSKU]]="","",_xlfn.XLOOKUP(Table26[[#This Row],[customerSKU]],customerSKU!G:G,customerSKU!A:A,"",0,1))</f>
        <v/>
      </c>
      <c r="K2357" s="232"/>
      <c r="L2357" s="49" t="str">
        <f>IF(Table26[[#This Row],[customerSKU]]="","",_xlfn.XLOOKUP(Table26[[#This Row],[customerSKU]],customerSKU!G:G,customerSKU!B:B,"",0,1))</f>
        <v/>
      </c>
      <c r="M2357" s="22"/>
      <c r="N2357" s="15" t="str">
        <f>Table26[[#This Row],[po_number]]&amp;"-"&amp;Table26[[#This Row],[po_line]]</f>
        <v>-11</v>
      </c>
      <c r="O2357" s="15">
        <v>11</v>
      </c>
      <c r="P2357" s="50"/>
      <c r="S2357" s="90" t="str">
        <f>IF(Table26[[#This Row],[customerSKU]]="","",_xlfn.XLOOKUP(Table26[[#This Row],[customerSKU]],customerSKU!G:G,customerSKU!N:N,"NOT FOUND",0,1))</f>
        <v>NOT FOUND</v>
      </c>
      <c r="T2357" s="20"/>
      <c r="U2357" s="94">
        <v>60</v>
      </c>
      <c r="V2357" s="22" t="str">
        <f>IF(ISBLANK(Table26[[#This Row],[customerSKU]]),"",_xlfn.XLOOKUP(Table26[[#This Row],[customerSKU]],Table27[customer_SKU],Table27[case_size],"",0,1))</f>
        <v/>
      </c>
      <c r="W2357" s="117" t="str">
        <f t="shared" si="102"/>
        <v/>
      </c>
      <c r="X2357" s="22" t="str">
        <f t="shared" si="101"/>
        <v/>
      </c>
      <c r="Y2357" s="25" t="str">
        <f>IF(Table26[[#This Row],[customerSKU]]="","",_xlfn.XLOOKUP(Table26[[#This Row],[customerSKU]],Table27[customer_SKU],Table27[product_GTIN],"",0,1))</f>
        <v/>
      </c>
      <c r="Z2357" s="25" t="s">
        <v>3702</v>
      </c>
      <c r="AA2357" s="18" t="str" cm="1">
        <f t="array" ref="AA2357">IF(P2357="", "", _xlfn.XLOOKUP(P2357,#REF!,#REF!,NA,0,-1))</f>
        <v/>
      </c>
      <c r="AB2357" s="22"/>
      <c r="AC2357" s="23" t="str">
        <f>IF(Table26[[#This Row],[customerSKU]]="","",_xlfn.XLOOKUP(Table26[[#This Row],[customerSKU]],customerSKU!G:G,customerSKU!C:C,"",0,1))</f>
        <v/>
      </c>
      <c r="AD2357" s="23" t="str">
        <f>IF($AC2357="","",_xlfn.XLOOKUP($AC2357,'Client Info'!$C$2:$C$2497,'Client Info'!$D$2:$D$2497,"",0,1))</f>
        <v/>
      </c>
      <c r="AE2357" s="23" t="str">
        <f>IF($AC2357="","",_xlfn.XLOOKUP($AC2357,'Client Info'!$C$2:$C$2677,'Client Info'!$E$2:$E$2677,"",))</f>
        <v/>
      </c>
      <c r="AF2357" s="23" t="str">
        <f>IF($AC2357="","",_xlfn.XLOOKUP($AC2357,'Client Info'!$C$2:$C$2677,'Client Info'!$F$2:$F$2677,"",0,1))</f>
        <v/>
      </c>
      <c r="AG2357" s="23" t="str">
        <f>IF(ISBLANK(Table26[[#This Row],[customerSKU]]),"",_xlfn.XLOOKUP(Table26[[#This Row],[customerSKU]],Table27[customer_SKU],Table27[billto],"",0,1))</f>
        <v/>
      </c>
      <c r="AH2357" s="26" t="str">
        <f>_xlfn.XLOOKUP(Table26[[#This Row],[customerSKU]],customerSKU!G:G,customerSKU!K:K,"NA",0,1)</f>
        <v>NA</v>
      </c>
      <c r="AI2357" s="43" t="str">
        <f>_xlfn.XLOOKUP(Table26[[#This Row],[customerSKU]],customerSKU!G:G,customerSKU!O:O,"not found",0,1)</f>
        <v>not found</v>
      </c>
      <c r="AJ2357" s="22" t="e">
        <f>Table26[[#This Row],[unitprice]]*Table26[[#This Row],[quantity_unit]]</f>
        <v>#VALUE!</v>
      </c>
      <c r="AK2357" s="227" t="e" cm="1">
        <f t="array" ref="AK23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7" s="227"/>
    </row>
    <row r="2358" spans="1:38" ht="27" customHeight="1">
      <c r="A2358" s="42">
        <v>2258</v>
      </c>
      <c r="B2358" s="42" t="s">
        <v>3520</v>
      </c>
      <c r="C2358" s="53" t="s">
        <v>3539</v>
      </c>
      <c r="D2358" s="20">
        <v>45862</v>
      </c>
      <c r="E2358" s="20"/>
      <c r="F23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8" s="93"/>
      <c r="I2358" s="203">
        <v>45841</v>
      </c>
      <c r="J2358" s="90" t="str">
        <f>IF(Table26[[#This Row],[customerSKU]]="","",_xlfn.XLOOKUP(Table26[[#This Row],[customerSKU]],customerSKU!G:G,customerSKU!A:A,"",0,1))</f>
        <v/>
      </c>
      <c r="K2358" s="232"/>
      <c r="L2358" s="49" t="str">
        <f>IF(Table26[[#This Row],[customerSKU]]="","",_xlfn.XLOOKUP(Table26[[#This Row],[customerSKU]],customerSKU!G:G,customerSKU!B:B,"",0,1))</f>
        <v/>
      </c>
      <c r="M2358" s="22"/>
      <c r="N2358" s="15" t="str">
        <f>Table26[[#This Row],[po_number]]&amp;"-"&amp;Table26[[#This Row],[po_line]]</f>
        <v>-1</v>
      </c>
      <c r="O2358" s="15">
        <v>1</v>
      </c>
      <c r="P2358" s="50"/>
      <c r="S2358" s="90" t="str">
        <f>IF(Table26[[#This Row],[customerSKU]]="","",_xlfn.XLOOKUP(Table26[[#This Row],[customerSKU]],customerSKU!G:G,customerSKU!N:N,"NOT FOUND",0,1))</f>
        <v>NOT FOUND</v>
      </c>
      <c r="T2358" s="20"/>
      <c r="U2358" s="94">
        <v>72</v>
      </c>
      <c r="V2358" s="22" t="str">
        <f>IF(ISBLANK(Table26[[#This Row],[customerSKU]]),"",_xlfn.XLOOKUP(Table26[[#This Row],[customerSKU]],Table27[customer_SKU],Table27[case_size],"",0,1))</f>
        <v/>
      </c>
      <c r="W2358" s="117" t="str">
        <f t="shared" si="102"/>
        <v/>
      </c>
      <c r="X2358" s="22" t="str">
        <f t="shared" si="101"/>
        <v/>
      </c>
      <c r="Y2358" s="25" t="str">
        <f>IF(Table26[[#This Row],[customerSKU]]="","",_xlfn.XLOOKUP(Table26[[#This Row],[customerSKU]],Table27[customer_SKU],Table27[product_GTIN],"",0,1))</f>
        <v/>
      </c>
      <c r="Z2358" s="25" t="s">
        <v>3542</v>
      </c>
      <c r="AA2358" s="18" t="str" cm="1">
        <f t="array" ref="AA2358">IF(P2358="", "", _xlfn.XLOOKUP(P2358,#REF!,#REF!,NA,0,-1))</f>
        <v/>
      </c>
      <c r="AB2358" s="22"/>
      <c r="AC2358" s="23" t="str">
        <f>IF(Table26[[#This Row],[customerSKU]]="","",_xlfn.XLOOKUP(Table26[[#This Row],[customerSKU]],customerSKU!G:G,customerSKU!C:C,"",0,1))</f>
        <v/>
      </c>
      <c r="AD2358" s="23" t="str">
        <f>IF($AC2358="","",_xlfn.XLOOKUP($AC2358,'Client Info'!$C$2:$C$2497,'Client Info'!$D$2:$D$2497,"",0,1))</f>
        <v/>
      </c>
      <c r="AE2358" s="23" t="str">
        <f>IF($AC2358="","",_xlfn.XLOOKUP($AC2358,'Client Info'!$C$2:$C$2677,'Client Info'!$E$2:$E$2677,"",))</f>
        <v/>
      </c>
      <c r="AF2358" s="23" t="str">
        <f>IF($AC2358="","",_xlfn.XLOOKUP($AC2358,'Client Info'!$C$2:$C$2677,'Client Info'!$F$2:$F$2677,"",0,1))</f>
        <v/>
      </c>
      <c r="AG2358" s="23" t="str">
        <f>IF(ISBLANK(Table26[[#This Row],[customerSKU]]),"",_xlfn.XLOOKUP(Table26[[#This Row],[customerSKU]],Table27[customer_SKU],Table27[billto],"",0,1))</f>
        <v/>
      </c>
      <c r="AH2358" s="26" t="str">
        <f>_xlfn.XLOOKUP(Table26[[#This Row],[customerSKU]],customerSKU!G:G,customerSKU!K:K,"NA",0,1)</f>
        <v>NA</v>
      </c>
      <c r="AI2358" s="43" t="str">
        <f>_xlfn.XLOOKUP(Table26[[#This Row],[customerSKU]],customerSKU!G:G,customerSKU!O:O,"not found",0,1)</f>
        <v>not found</v>
      </c>
      <c r="AJ2358" s="22" t="e">
        <f>Table26[[#This Row],[unitprice]]*Table26[[#This Row],[quantity_unit]]</f>
        <v>#VALUE!</v>
      </c>
      <c r="AK2358" s="227" t="e" cm="1">
        <f t="array" ref="AK23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8" s="227"/>
    </row>
    <row r="2359" spans="1:38" ht="27" customHeight="1">
      <c r="A2359" s="42">
        <v>2259</v>
      </c>
      <c r="B2359" s="42" t="s">
        <v>3520</v>
      </c>
      <c r="C2359" s="53" t="s">
        <v>3539</v>
      </c>
      <c r="D2359" s="20">
        <v>45887</v>
      </c>
      <c r="E2359" s="20"/>
      <c r="F23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59" s="93"/>
      <c r="I2359" s="203">
        <v>45862</v>
      </c>
      <c r="J2359" s="90" t="str">
        <f>IF(Table26[[#This Row],[customerSKU]]="","",_xlfn.XLOOKUP(Table26[[#This Row],[customerSKU]],customerSKU!G:G,customerSKU!A:A,"",0,1))</f>
        <v/>
      </c>
      <c r="K2359" s="19"/>
      <c r="L2359" s="369" t="str">
        <f>IF(Table26[[#This Row],[customerSKU]]="","",_xlfn.XLOOKUP(Table26[[#This Row],[customerSKU]],customerSKU!G:G,customerSKU!B:B,"",0,1))</f>
        <v/>
      </c>
      <c r="M2359" s="22"/>
      <c r="N2359" s="15" t="str">
        <f>Table26[[#This Row],[po_number]]&amp;"-"&amp;Table26[[#This Row],[po_line]]</f>
        <v>-2</v>
      </c>
      <c r="O2359" s="15">
        <v>2</v>
      </c>
      <c r="P2359" s="89"/>
      <c r="S2359" s="90" t="str">
        <f>IF(Table26[[#This Row],[customerSKU]]="","",_xlfn.XLOOKUP(Table26[[#This Row],[customerSKU]],customerSKU!G:G,customerSKU!N:N,"NOT FOUND",0,1))</f>
        <v>NOT FOUND</v>
      </c>
      <c r="T2359" s="20"/>
      <c r="U2359" s="94">
        <v>24</v>
      </c>
      <c r="V2359" s="22" t="str">
        <f>IF(ISBLANK(Table26[[#This Row],[customerSKU]]),"",_xlfn.XLOOKUP(Table26[[#This Row],[customerSKU]],Table27[customer_SKU],Table27[case_size],"",0,1))</f>
        <v/>
      </c>
      <c r="W2359" s="117" t="str">
        <f t="shared" si="102"/>
        <v/>
      </c>
      <c r="X2359" s="22" t="str">
        <f t="shared" si="101"/>
        <v/>
      </c>
      <c r="Y2359" s="25" t="str">
        <f>IF(Table26[[#This Row],[customerSKU]]="","",_xlfn.XLOOKUP(Table26[[#This Row],[customerSKU]],Table27[customer_SKU],Table27[product_GTIN],"",0,1))</f>
        <v/>
      </c>
      <c r="Z2359" s="25" t="s">
        <v>3613</v>
      </c>
      <c r="AA2359" s="18" t="str" cm="1">
        <f t="array" ref="AA2359">IF(P2359="", "", _xlfn.XLOOKUP(P2359,#REF!,#REF!,NA,0,-1))</f>
        <v/>
      </c>
      <c r="AB2359" s="22"/>
      <c r="AC2359" s="23" t="str">
        <f>IF(Table26[[#This Row],[customerSKU]]="","",_xlfn.XLOOKUP(Table26[[#This Row],[customerSKU]],customerSKU!G:G,customerSKU!C:C,"",0,1))</f>
        <v/>
      </c>
      <c r="AD2359" s="23" t="str">
        <f>IF($AC2359="","",_xlfn.XLOOKUP($AC2359,'Client Info'!$C$2:$C$2497,'Client Info'!$D$2:$D$2497,"",0,1))</f>
        <v/>
      </c>
      <c r="AE2359" s="23" t="str">
        <f>IF($AC2359="","",_xlfn.XLOOKUP($AC2359,'Client Info'!$C$2:$C$2677,'Client Info'!$E$2:$E$2677,"",))</f>
        <v/>
      </c>
      <c r="AF2359" s="23" t="str">
        <f>IF($AC2359="","",_xlfn.XLOOKUP($AC2359,'Client Info'!$C$2:$C$2677,'Client Info'!$F$2:$F$2677,"",0,1))</f>
        <v/>
      </c>
      <c r="AG2359" s="23" t="str">
        <f>IF(ISBLANK(Table26[[#This Row],[customerSKU]]),"",_xlfn.XLOOKUP(Table26[[#This Row],[customerSKU]],Table27[customer_SKU],Table27[billto],"",0,1))</f>
        <v/>
      </c>
      <c r="AH2359" s="26" t="str">
        <f>_xlfn.XLOOKUP(Table26[[#This Row],[customerSKU]],customerSKU!G:G,customerSKU!K:K,"NA",0,1)</f>
        <v>NA</v>
      </c>
      <c r="AI2359" s="43" t="str">
        <f>_xlfn.XLOOKUP(Table26[[#This Row],[customerSKU]],customerSKU!G:G,customerSKU!O:O,"not found",0,1)</f>
        <v>not found</v>
      </c>
      <c r="AJ2359" s="22" t="e">
        <f>Table26[[#This Row],[unitprice]]*Table26[[#This Row],[quantity_unit]]</f>
        <v>#VALUE!</v>
      </c>
      <c r="AK2359" s="227" t="e" cm="1">
        <f t="array" ref="AK23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59" s="227"/>
    </row>
    <row r="2360" spans="1:38" ht="27" customHeight="1">
      <c r="A2360" s="42">
        <v>2272</v>
      </c>
      <c r="B2360" s="42" t="s">
        <v>3520</v>
      </c>
      <c r="C2360" s="53" t="s">
        <v>3760</v>
      </c>
      <c r="D2360" s="20">
        <v>45887</v>
      </c>
      <c r="E2360" s="20"/>
      <c r="F23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0" s="93"/>
      <c r="I2360" s="203">
        <v>45869</v>
      </c>
      <c r="J2360" s="90" t="str">
        <f>IF(Table26[[#This Row],[customerSKU]]="","",_xlfn.XLOOKUP(Table26[[#This Row],[customerSKU]],customerSKU!G:G,customerSKU!A:A,"",0,1))</f>
        <v/>
      </c>
      <c r="K2360" s="19"/>
      <c r="L2360" s="49" t="str">
        <f>IF(Table26[[#This Row],[customerSKU]]="","",_xlfn.XLOOKUP(Table26[[#This Row],[customerSKU]],customerSKU!G:G,customerSKU!B:B,"",0,1))</f>
        <v/>
      </c>
      <c r="M2360" s="22"/>
      <c r="N2360" s="15" t="str">
        <f>Table26[[#This Row],[po_number]]&amp;"-"&amp;Table26[[#This Row],[po_line]]</f>
        <v>-1</v>
      </c>
      <c r="O2360" s="15">
        <v>1</v>
      </c>
      <c r="P2360" s="50"/>
      <c r="S2360" s="90" t="str">
        <f>IF(Table26[[#This Row],[customerSKU]]="","",_xlfn.XLOOKUP(Table26[[#This Row],[customerSKU]],customerSKU!G:G,customerSKU!N:N,"NOT FOUND",0,1))</f>
        <v>NOT FOUND</v>
      </c>
      <c r="T2360" s="20"/>
      <c r="U2360" s="94">
        <v>12</v>
      </c>
      <c r="V2360" s="22" t="str">
        <f>IF(ISBLANK(Table26[[#This Row],[customerSKU]]),"",_xlfn.XLOOKUP(Table26[[#This Row],[customerSKU]],Table27[customer_SKU],Table27[case_size],"",0,1))</f>
        <v/>
      </c>
      <c r="W2360" s="117" t="str">
        <f t="shared" si="102"/>
        <v/>
      </c>
      <c r="X2360" s="22" t="str">
        <f t="shared" si="101"/>
        <v/>
      </c>
      <c r="Y2360" s="25" t="str">
        <f>IF(Table26[[#This Row],[customerSKU]]="","",_xlfn.XLOOKUP(Table26[[#This Row],[customerSKU]],Table27[customer_SKU],Table27[product_GTIN],"",0,1))</f>
        <v/>
      </c>
      <c r="Z2360" s="25" t="s">
        <v>3761</v>
      </c>
      <c r="AA2360" s="18" t="str" cm="1">
        <f t="array" ref="AA2360">IF(P2360="", "", _xlfn.XLOOKUP(P2360,#REF!,#REF!,NA,0,-1))</f>
        <v/>
      </c>
      <c r="AB2360" s="22"/>
      <c r="AC2360" s="23" t="str">
        <f>IF(Table26[[#This Row],[customerSKU]]="","",_xlfn.XLOOKUP(Table26[[#This Row],[customerSKU]],customerSKU!G:G,customerSKU!C:C,"",0,1))</f>
        <v/>
      </c>
      <c r="AD2360" s="23" t="str">
        <f>IF($AC2360="","",_xlfn.XLOOKUP($AC2360,'Client Info'!$C$2:$C$2497,'Client Info'!$D$2:$D$2497,"",0,1))</f>
        <v/>
      </c>
      <c r="AE2360" s="23" t="str">
        <f>IF($AC2360="","",_xlfn.XLOOKUP($AC2360,'Client Info'!$C$2:$C$2677,'Client Info'!$E$2:$E$2677,"",))</f>
        <v/>
      </c>
      <c r="AF2360" s="23" t="str">
        <f>IF($AC2360="","",_xlfn.XLOOKUP($AC2360,'Client Info'!$C$2:$C$2677,'Client Info'!$F$2:$F$2677,"",0,1))</f>
        <v/>
      </c>
      <c r="AG2360" s="23" t="str">
        <f>IF(ISBLANK(Table26[[#This Row],[customerSKU]]),"",_xlfn.XLOOKUP(Table26[[#This Row],[customerSKU]],Table27[customer_SKU],Table27[billto],"",0,1))</f>
        <v/>
      </c>
      <c r="AH2360" s="26" t="str">
        <f>_xlfn.XLOOKUP(Table26[[#This Row],[customerSKU]],customerSKU!G:G,customerSKU!K:K,"NA",0,1)</f>
        <v>NA</v>
      </c>
      <c r="AI2360" s="43" t="str">
        <f>_xlfn.XLOOKUP(Table26[[#This Row],[customerSKU]],customerSKU!G:G,customerSKU!O:O,"not found",0,1)</f>
        <v>not found</v>
      </c>
      <c r="AJ2360" s="22" t="e">
        <f>Table26[[#This Row],[unitprice]]*Table26[[#This Row],[quantity_unit]]</f>
        <v>#VALUE!</v>
      </c>
      <c r="AK2360" s="227" t="e" cm="1">
        <f t="array" ref="AK23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0" s="227"/>
    </row>
    <row r="2361" spans="1:38" ht="27" customHeight="1">
      <c r="A2361" s="42">
        <v>2273</v>
      </c>
      <c r="B2361" s="42" t="s">
        <v>3520</v>
      </c>
      <c r="C2361" s="53" t="s">
        <v>4231</v>
      </c>
      <c r="E2361" s="20"/>
      <c r="F23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1" s="93"/>
      <c r="I2361" s="203">
        <v>45877</v>
      </c>
      <c r="J2361" s="90" t="str">
        <f>IF(Table26[[#This Row],[customerSKU]]="","",_xlfn.XLOOKUP(Table26[[#This Row],[customerSKU]],customerSKU!G:G,customerSKU!A:A,"",0,1))</f>
        <v/>
      </c>
      <c r="K2361" s="19"/>
      <c r="L2361" s="49" t="str">
        <f>IF(Table26[[#This Row],[customerSKU]]="","",_xlfn.XLOOKUP(Table26[[#This Row],[customerSKU]],customerSKU!G:G,customerSKU!B:B,"",0,1))</f>
        <v/>
      </c>
      <c r="M2361" s="22"/>
      <c r="N2361" s="15" t="str">
        <f>Table26[[#This Row],[po_number]]&amp;"-"&amp;Table26[[#This Row],[po_line]]</f>
        <v>-1</v>
      </c>
      <c r="O2361" s="15">
        <v>1</v>
      </c>
      <c r="P2361" s="50"/>
      <c r="S2361" s="90" t="str">
        <f>IF(Table26[[#This Row],[customerSKU]]="","",_xlfn.XLOOKUP(Table26[[#This Row],[customerSKU]],customerSKU!G:G,customerSKU!N:N,"NOT FOUND",0,1))</f>
        <v>NOT FOUND</v>
      </c>
      <c r="T2361" s="20"/>
      <c r="U2361" s="94">
        <v>12</v>
      </c>
      <c r="V2361" s="22" t="str">
        <f>IF(ISBLANK(Table26[[#This Row],[customerSKU]]),"",_xlfn.XLOOKUP(Table26[[#This Row],[customerSKU]],Table27[customer_SKU],Table27[case_size],"",0,1))</f>
        <v/>
      </c>
      <c r="W2361" s="117" t="str">
        <f t="shared" si="102"/>
        <v/>
      </c>
      <c r="X2361" s="22" t="str">
        <f t="shared" si="101"/>
        <v/>
      </c>
      <c r="Y2361" s="25" t="str">
        <f>IF(Table26[[#This Row],[customerSKU]]="","",_xlfn.XLOOKUP(Table26[[#This Row],[customerSKU]],Table27[customer_SKU],Table27[product_GTIN],"",0,1))</f>
        <v/>
      </c>
      <c r="Z2361" s="25" t="s">
        <v>3550</v>
      </c>
      <c r="AA2361" s="18" t="str" cm="1">
        <f t="array" ref="AA2361">IF(P2361="", "", _xlfn.XLOOKUP(P2361,#REF!,#REF!,NA,0,-1))</f>
        <v/>
      </c>
      <c r="AB2361" s="22"/>
      <c r="AC2361" s="23" t="str">
        <f>IF(Table26[[#This Row],[customerSKU]]="","",_xlfn.XLOOKUP(Table26[[#This Row],[customerSKU]],customerSKU!G:G,customerSKU!C:C,"",0,1))</f>
        <v/>
      </c>
      <c r="AD2361" s="23" t="str">
        <f>IF($AC2361="","",_xlfn.XLOOKUP($AC2361,'Client Info'!$C$2:$C$2497,'Client Info'!$D$2:$D$2497,"",0,1))</f>
        <v/>
      </c>
      <c r="AE2361" s="23" t="str">
        <f>IF($AC2361="","",_xlfn.XLOOKUP($AC2361,'Client Info'!$C$2:$C$2677,'Client Info'!$E$2:$E$2677,"",))</f>
        <v/>
      </c>
      <c r="AF2361" s="23" t="str">
        <f>IF($AC2361="","",_xlfn.XLOOKUP($AC2361,'Client Info'!$C$2:$C$2677,'Client Info'!$F$2:$F$2677,"",0,1))</f>
        <v/>
      </c>
      <c r="AG2361" s="23" t="str">
        <f>IF(ISBLANK(Table26[[#This Row],[customerSKU]]),"",_xlfn.XLOOKUP(Table26[[#This Row],[customerSKU]],Table27[customer_SKU],Table27[billto],"",0,1))</f>
        <v/>
      </c>
      <c r="AH2361" s="26" t="str">
        <f>_xlfn.XLOOKUP(Table26[[#This Row],[customerSKU]],customerSKU!G:G,customerSKU!K:K,"NA",0,1)</f>
        <v>NA</v>
      </c>
      <c r="AI2361" s="43" t="str">
        <f>_xlfn.XLOOKUP(Table26[[#This Row],[customerSKU]],customerSKU!G:G,customerSKU!O:O,"not found",0,1)</f>
        <v>not found</v>
      </c>
      <c r="AJ2361" s="22" t="e">
        <f>Table26[[#This Row],[unitprice]]*Table26[[#This Row],[quantity_unit]]</f>
        <v>#VALUE!</v>
      </c>
      <c r="AK2361" s="227" t="e" cm="1">
        <f t="array" ref="AK23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1" s="227"/>
    </row>
    <row r="2362" spans="1:38" ht="27" customHeight="1">
      <c r="A2362" s="42">
        <v>2274</v>
      </c>
      <c r="B2362" s="42" t="s">
        <v>3520</v>
      </c>
      <c r="C2362" s="53" t="s">
        <v>4231</v>
      </c>
      <c r="E2362" s="20"/>
      <c r="F23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2" s="93"/>
      <c r="I2362" s="203">
        <v>45877</v>
      </c>
      <c r="J2362" s="90" t="str">
        <f>IF(Table26[[#This Row],[customerSKU]]="","",_xlfn.XLOOKUP(Table26[[#This Row],[customerSKU]],customerSKU!G:G,customerSKU!A:A,"",0,1))</f>
        <v/>
      </c>
      <c r="K2362" s="19"/>
      <c r="L2362" s="49" t="str">
        <f>IF(Table26[[#This Row],[customerSKU]]="","",_xlfn.XLOOKUP(Table26[[#This Row],[customerSKU]],customerSKU!G:G,customerSKU!B:B,"",0,1))</f>
        <v/>
      </c>
      <c r="M2362" s="22"/>
      <c r="N2362" s="15" t="str">
        <f>Table26[[#This Row],[po_number]]&amp;"-"&amp;Table26[[#This Row],[po_line]]</f>
        <v>-2</v>
      </c>
      <c r="O2362" s="15">
        <v>2</v>
      </c>
      <c r="P2362" s="50"/>
      <c r="S2362" s="90" t="str">
        <f>IF(Table26[[#This Row],[customerSKU]]="","",_xlfn.XLOOKUP(Table26[[#This Row],[customerSKU]],customerSKU!G:G,customerSKU!N:N,"NOT FOUND",0,1))</f>
        <v>NOT FOUND</v>
      </c>
      <c r="T2362" s="20"/>
      <c r="U2362" s="94">
        <v>12</v>
      </c>
      <c r="V2362" s="22" t="str">
        <f>IF(ISBLANK(Table26[[#This Row],[customerSKU]]),"",_xlfn.XLOOKUP(Table26[[#This Row],[customerSKU]],Table27[customer_SKU],Table27[case_size],"",0,1))</f>
        <v/>
      </c>
      <c r="W2362" s="117" t="str">
        <f t="shared" si="102"/>
        <v/>
      </c>
      <c r="X2362" s="22" t="str">
        <f t="shared" si="101"/>
        <v/>
      </c>
      <c r="Y2362" s="25" t="str">
        <f>IF(Table26[[#This Row],[customerSKU]]="","",_xlfn.XLOOKUP(Table26[[#This Row],[customerSKU]],Table27[customer_SKU],Table27[product_GTIN],"",0,1))</f>
        <v/>
      </c>
      <c r="Z2362" s="25" t="s">
        <v>3602</v>
      </c>
      <c r="AA2362" s="18" t="str" cm="1">
        <f t="array" ref="AA2362">IF(P2362="", "", _xlfn.XLOOKUP(P2362,#REF!,#REF!,NA,0,-1))</f>
        <v/>
      </c>
      <c r="AB2362" s="22"/>
      <c r="AC2362" s="23" t="str">
        <f>IF(Table26[[#This Row],[customerSKU]]="","",_xlfn.XLOOKUP(Table26[[#This Row],[customerSKU]],customerSKU!G:G,customerSKU!C:C,"",0,1))</f>
        <v/>
      </c>
      <c r="AD2362" s="23" t="str">
        <f>IF($AC2362="","",_xlfn.XLOOKUP($AC2362,'Client Info'!$C$2:$C$2497,'Client Info'!$D$2:$D$2497,"",0,1))</f>
        <v/>
      </c>
      <c r="AE2362" s="23" t="str">
        <f>IF($AC2362="","",_xlfn.XLOOKUP($AC2362,'Client Info'!$C$2:$C$2677,'Client Info'!$E$2:$E$2677,"",))</f>
        <v/>
      </c>
      <c r="AF2362" s="23" t="str">
        <f>IF($AC2362="","",_xlfn.XLOOKUP($AC2362,'Client Info'!$C$2:$C$2677,'Client Info'!$F$2:$F$2677,"",0,1))</f>
        <v/>
      </c>
      <c r="AG2362" s="23" t="str">
        <f>IF(ISBLANK(Table26[[#This Row],[customerSKU]]),"",_xlfn.XLOOKUP(Table26[[#This Row],[customerSKU]],Table27[customer_SKU],Table27[billto],"",0,1))</f>
        <v/>
      </c>
      <c r="AH2362" s="26" t="str">
        <f>_xlfn.XLOOKUP(Table26[[#This Row],[customerSKU]],customerSKU!G:G,customerSKU!K:K,"NA",0,1)</f>
        <v>NA</v>
      </c>
      <c r="AI2362" s="43" t="str">
        <f>_xlfn.XLOOKUP(Table26[[#This Row],[customerSKU]],customerSKU!G:G,customerSKU!O:O,"not found",0,1)</f>
        <v>not found</v>
      </c>
      <c r="AJ2362" s="22" t="e">
        <f>Table26[[#This Row],[unitprice]]*Table26[[#This Row],[quantity_unit]]</f>
        <v>#VALUE!</v>
      </c>
      <c r="AK2362" s="227" t="e" cm="1">
        <f t="array" ref="AK23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2" s="227"/>
    </row>
    <row r="2363" spans="1:38" ht="15.6">
      <c r="A2363" s="42">
        <v>2275</v>
      </c>
      <c r="B2363" s="42" t="s">
        <v>3520</v>
      </c>
      <c r="C2363" s="53" t="s">
        <v>4231</v>
      </c>
      <c r="E2363" s="20"/>
      <c r="F23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3" s="93"/>
      <c r="I2363" s="203">
        <v>45877</v>
      </c>
      <c r="J2363" s="90" t="str">
        <f>IF(Table26[[#This Row],[customerSKU]]="","",_xlfn.XLOOKUP(Table26[[#This Row],[customerSKU]],customerSKU!G:G,customerSKU!A:A,"",0,1))</f>
        <v/>
      </c>
      <c r="K2363" s="19"/>
      <c r="L2363" s="49" t="str">
        <f>IF(Table26[[#This Row],[customerSKU]]="","",_xlfn.XLOOKUP(Table26[[#This Row],[customerSKU]],customerSKU!G:G,customerSKU!B:B,"",0,1))</f>
        <v/>
      </c>
      <c r="M2363" s="22"/>
      <c r="N2363" s="15" t="str">
        <f>Table26[[#This Row],[po_number]]&amp;"-"&amp;Table26[[#This Row],[po_line]]</f>
        <v>-3</v>
      </c>
      <c r="O2363" s="15">
        <v>3</v>
      </c>
      <c r="P2363" s="50"/>
      <c r="S2363" s="90" t="str">
        <f>IF(Table26[[#This Row],[customerSKU]]="","",_xlfn.XLOOKUP(Table26[[#This Row],[customerSKU]],customerSKU!G:G,customerSKU!N:N,"NOT FOUND",0,1))</f>
        <v>NOT FOUND</v>
      </c>
      <c r="T2363" s="20"/>
      <c r="U2363" s="94">
        <v>24</v>
      </c>
      <c r="V2363" s="22" t="str">
        <f>IF(ISBLANK(Table26[[#This Row],[customerSKU]]),"",_xlfn.XLOOKUP(Table26[[#This Row],[customerSKU]],Table27[customer_SKU],Table27[case_size],"",0,1))</f>
        <v/>
      </c>
      <c r="W2363" s="117" t="str">
        <f t="shared" si="102"/>
        <v/>
      </c>
      <c r="X2363" s="22" t="str">
        <f t="shared" si="101"/>
        <v/>
      </c>
      <c r="Y2363" s="25" t="str">
        <f>IF(Table26[[#This Row],[customerSKU]]="","",_xlfn.XLOOKUP(Table26[[#This Row],[customerSKU]],Table27[customer_SKU],Table27[product_GTIN],"",0,1))</f>
        <v/>
      </c>
      <c r="Z2363" s="25" t="s">
        <v>3530</v>
      </c>
      <c r="AA2363" s="18" t="str" cm="1">
        <f t="array" ref="AA2363">IF(P2363="", "", _xlfn.XLOOKUP(P2363,#REF!,#REF!,NA,0,-1))</f>
        <v/>
      </c>
      <c r="AB2363" s="22"/>
      <c r="AC2363" s="23" t="str">
        <f>IF(Table26[[#This Row],[customerSKU]]="","",_xlfn.XLOOKUP(Table26[[#This Row],[customerSKU]],customerSKU!G:G,customerSKU!C:C,"",0,1))</f>
        <v/>
      </c>
      <c r="AD2363" s="23" t="str">
        <f>IF($AC2363="","",_xlfn.XLOOKUP($AC2363,'Client Info'!$C$2:$C$2497,'Client Info'!$D$2:$D$2497,"",0,1))</f>
        <v/>
      </c>
      <c r="AE2363" s="23" t="str">
        <f>IF($AC2363="","",_xlfn.XLOOKUP($AC2363,'Client Info'!$C$2:$C$2677,'Client Info'!$E$2:$E$2677,"",))</f>
        <v/>
      </c>
      <c r="AF2363" s="23" t="str">
        <f>IF($AC2363="","",_xlfn.XLOOKUP($AC2363,'Client Info'!$C$2:$C$2677,'Client Info'!$F$2:$F$2677,"",0,1))</f>
        <v/>
      </c>
      <c r="AG2363" s="23" t="str">
        <f>IF(ISBLANK(Table26[[#This Row],[customerSKU]]),"",_xlfn.XLOOKUP(Table26[[#This Row],[customerSKU]],Table27[customer_SKU],Table27[billto],"",0,1))</f>
        <v/>
      </c>
      <c r="AH2363" s="26" t="str">
        <f>_xlfn.XLOOKUP(Table26[[#This Row],[customerSKU]],customerSKU!G:G,customerSKU!K:K,"NA",0,1)</f>
        <v>NA</v>
      </c>
      <c r="AI2363" s="43" t="str">
        <f>_xlfn.XLOOKUP(Table26[[#This Row],[customerSKU]],customerSKU!G:G,customerSKU!O:O,"not found",0,1)</f>
        <v>not found</v>
      </c>
      <c r="AJ2363" s="22" t="e">
        <f>Table26[[#This Row],[unitprice]]*Table26[[#This Row],[quantity_unit]]</f>
        <v>#VALUE!</v>
      </c>
      <c r="AK2363" s="227" t="e" cm="1">
        <f t="array" ref="AK23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3" s="227"/>
    </row>
    <row r="2364" spans="1:38" ht="15.6">
      <c r="A2364" s="42">
        <v>2276</v>
      </c>
      <c r="B2364" s="42" t="s">
        <v>3520</v>
      </c>
      <c r="C2364" s="53" t="s">
        <v>4231</v>
      </c>
      <c r="E2364" s="20"/>
      <c r="F23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4" s="93"/>
      <c r="I2364" s="203">
        <v>45877</v>
      </c>
      <c r="J2364" s="90" t="str">
        <f>IF(Table26[[#This Row],[customerSKU]]="","",_xlfn.XLOOKUP(Table26[[#This Row],[customerSKU]],customerSKU!G:G,customerSKU!A:A,"",0,1))</f>
        <v/>
      </c>
      <c r="K2364" s="19"/>
      <c r="L2364" s="49" t="str">
        <f>IF(Table26[[#This Row],[customerSKU]]="","",_xlfn.XLOOKUP(Table26[[#This Row],[customerSKU]],customerSKU!G:G,customerSKU!B:B,"",0,1))</f>
        <v/>
      </c>
      <c r="M2364" s="22"/>
      <c r="N2364" s="15" t="str">
        <f>Table26[[#This Row],[po_number]]&amp;"-"&amp;Table26[[#This Row],[po_line]]</f>
        <v>-4</v>
      </c>
      <c r="O2364" s="15">
        <v>4</v>
      </c>
      <c r="P2364" s="50"/>
      <c r="S2364" s="90" t="str">
        <f>IF(Table26[[#This Row],[customerSKU]]="","",_xlfn.XLOOKUP(Table26[[#This Row],[customerSKU]],customerSKU!G:G,customerSKU!N:N,"NOT FOUND",0,1))</f>
        <v>NOT FOUND</v>
      </c>
      <c r="T2364" s="20"/>
      <c r="U2364" s="94">
        <v>12</v>
      </c>
      <c r="V2364" s="22" t="str">
        <f>IF(ISBLANK(Table26[[#This Row],[customerSKU]]),"",_xlfn.XLOOKUP(Table26[[#This Row],[customerSKU]],Table27[customer_SKU],Table27[case_size],"",0,1))</f>
        <v/>
      </c>
      <c r="W2364" s="117" t="str">
        <f t="shared" si="102"/>
        <v/>
      </c>
      <c r="X2364" s="22" t="str">
        <f t="shared" si="101"/>
        <v/>
      </c>
      <c r="Y2364" s="25" t="str">
        <f>IF(Table26[[#This Row],[customerSKU]]="","",_xlfn.XLOOKUP(Table26[[#This Row],[customerSKU]],Table27[customer_SKU],Table27[product_GTIN],"",0,1))</f>
        <v/>
      </c>
      <c r="Z2364" s="25" t="s">
        <v>3600</v>
      </c>
      <c r="AA2364" s="18" t="str" cm="1">
        <f t="array" ref="AA2364">IF(P2364="", "", _xlfn.XLOOKUP(P2364,#REF!,#REF!,NA,0,-1))</f>
        <v/>
      </c>
      <c r="AB2364" s="22"/>
      <c r="AC2364" s="23" t="str">
        <f>IF(Table26[[#This Row],[customerSKU]]="","",_xlfn.XLOOKUP(Table26[[#This Row],[customerSKU]],customerSKU!G:G,customerSKU!C:C,"",0,1))</f>
        <v/>
      </c>
      <c r="AD2364" s="23" t="str">
        <f>IF($AC2364="","",_xlfn.XLOOKUP($AC2364,'Client Info'!$C$2:$C$2497,'Client Info'!$D$2:$D$2497,"",0,1))</f>
        <v/>
      </c>
      <c r="AE2364" s="23" t="str">
        <f>IF($AC2364="","",_xlfn.XLOOKUP($AC2364,'Client Info'!$C$2:$C$2677,'Client Info'!$E$2:$E$2677,"",))</f>
        <v/>
      </c>
      <c r="AF2364" s="23" t="str">
        <f>IF($AC2364="","",_xlfn.XLOOKUP($AC2364,'Client Info'!$C$2:$C$2677,'Client Info'!$F$2:$F$2677,"",0,1))</f>
        <v/>
      </c>
      <c r="AG2364" s="23" t="str">
        <f>IF(ISBLANK(Table26[[#This Row],[customerSKU]]),"",_xlfn.XLOOKUP(Table26[[#This Row],[customerSKU]],Table27[customer_SKU],Table27[billto],"",0,1))</f>
        <v/>
      </c>
      <c r="AH2364" s="26" t="str">
        <f>_xlfn.XLOOKUP(Table26[[#This Row],[customerSKU]],customerSKU!G:G,customerSKU!K:K,"NA",0,1)</f>
        <v>NA</v>
      </c>
      <c r="AI2364" s="43" t="str">
        <f>_xlfn.XLOOKUP(Table26[[#This Row],[customerSKU]],customerSKU!G:G,customerSKU!O:O,"not found",0,1)</f>
        <v>not found</v>
      </c>
      <c r="AJ2364" s="22" t="e">
        <f>Table26[[#This Row],[unitprice]]*Table26[[#This Row],[quantity_unit]]</f>
        <v>#VALUE!</v>
      </c>
      <c r="AK2364" s="227" t="e" cm="1">
        <f t="array" ref="AK23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4" s="227"/>
    </row>
    <row r="2365" spans="1:38" ht="15.6">
      <c r="A2365" s="42">
        <v>2288</v>
      </c>
      <c r="B2365" s="42" t="s">
        <v>3520</v>
      </c>
      <c r="C2365" s="53" t="s">
        <v>3383</v>
      </c>
      <c r="E2365" s="20"/>
      <c r="F23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5" s="93"/>
      <c r="I2365" s="203">
        <v>45882</v>
      </c>
      <c r="J2365" s="90" t="str">
        <f>IF(Table26[[#This Row],[customerSKU]]="","",_xlfn.XLOOKUP(Table26[[#This Row],[customerSKU]],customerSKU!G:G,customerSKU!A:A,"",0,1))</f>
        <v/>
      </c>
      <c r="K2365" s="19"/>
      <c r="L2365" s="49" t="str">
        <f>IF(Table26[[#This Row],[customerSKU]]="","",_xlfn.XLOOKUP(Table26[[#This Row],[customerSKU]],customerSKU!G:G,customerSKU!B:B,"",0,1))</f>
        <v/>
      </c>
      <c r="M2365" s="22"/>
      <c r="N2365" s="15" t="str">
        <f>Table26[[#This Row],[po_number]]&amp;"-"&amp;Table26[[#This Row],[po_line]]</f>
        <v>-1</v>
      </c>
      <c r="O2365" s="15">
        <v>1</v>
      </c>
      <c r="P2365" s="50"/>
      <c r="Q2365" s="22" t="s">
        <v>4324</v>
      </c>
      <c r="S2365" s="90" t="str">
        <f>IF(Table26[[#This Row],[customerSKU]]="","",_xlfn.XLOOKUP(Table26[[#This Row],[customerSKU]],customerSKU!G:G,customerSKU!N:N,"NOT FOUND",0,1))</f>
        <v>NOT FOUND</v>
      </c>
      <c r="T2365" s="20">
        <v>45895</v>
      </c>
      <c r="U2365" s="94">
        <v>1200</v>
      </c>
      <c r="V2365" s="22" t="str">
        <f>IF(ISBLANK(Table26[[#This Row],[customerSKU]]),"",_xlfn.XLOOKUP(Table26[[#This Row],[customerSKU]],Table27[customer_SKU],Table27[case_size],"",0,1))</f>
        <v/>
      </c>
      <c r="W2365" s="117" t="str">
        <f t="shared" si="102"/>
        <v/>
      </c>
      <c r="X2365" s="22" t="str">
        <f t="shared" si="101"/>
        <v/>
      </c>
      <c r="Y2365" s="25" t="str">
        <f>IF(Table26[[#This Row],[customerSKU]]="","",_xlfn.XLOOKUP(Table26[[#This Row],[customerSKU]],Table27[customer_SKU],Table27[product_GTIN],"",0,1))</f>
        <v/>
      </c>
      <c r="Z2365" s="376" t="s">
        <v>4272</v>
      </c>
      <c r="AA2365" s="18" t="str" cm="1">
        <f t="array" ref="AA2365">IF(P2365="", "", _xlfn.XLOOKUP(P2365,#REF!,#REF!,NA,0,-1))</f>
        <v/>
      </c>
      <c r="AB2365" s="22"/>
      <c r="AC2365" s="23" t="str">
        <f>IF(Table26[[#This Row],[customerSKU]]="","",_xlfn.XLOOKUP(Table26[[#This Row],[customerSKU]],customerSKU!G:G,customerSKU!C:C,"",0,1))</f>
        <v/>
      </c>
      <c r="AD2365" s="23" t="str">
        <f>IF($AC2365="","",_xlfn.XLOOKUP($AC2365,'Client Info'!$C$2:$C$2497,'Client Info'!$D$2:$D$2497,"",0,1))</f>
        <v/>
      </c>
      <c r="AE2365" s="23" t="str">
        <f>IF($AC2365="","",_xlfn.XLOOKUP($AC2365,'Client Info'!$C$2:$C$2677,'Client Info'!$E$2:$E$2677,"",))</f>
        <v/>
      </c>
      <c r="AF2365" s="23" t="str">
        <f>IF($AC2365="","",_xlfn.XLOOKUP($AC2365,'Client Info'!$C$2:$C$2677,'Client Info'!$F$2:$F$2677,"",0,1))</f>
        <v/>
      </c>
      <c r="AG2365" s="23" t="str">
        <f>IF(ISBLANK(Table26[[#This Row],[customerSKU]]),"",_xlfn.XLOOKUP(Table26[[#This Row],[customerSKU]],Table27[customer_SKU],Table27[billto],"",0,1))</f>
        <v/>
      </c>
      <c r="AH2365" s="26" t="str">
        <f>_xlfn.XLOOKUP(Table26[[#This Row],[customerSKU]],customerSKU!G:G,customerSKU!K:K,"NA",0,1)</f>
        <v>NA</v>
      </c>
      <c r="AI2365" s="43" t="str">
        <f>_xlfn.XLOOKUP(Table26[[#This Row],[customerSKU]],customerSKU!G:G,customerSKU!O:O,"not found",0,1)</f>
        <v>not found</v>
      </c>
      <c r="AJ2365" s="22" t="e">
        <f>Table26[[#This Row],[unitprice]]*Table26[[#This Row],[quantity_unit]]</f>
        <v>#VALUE!</v>
      </c>
      <c r="AK2365" s="227" t="e" cm="1">
        <f t="array" ref="AK23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5" s="227"/>
    </row>
    <row r="2366" spans="1:38" ht="15.6">
      <c r="A2366" s="42">
        <v>2289</v>
      </c>
      <c r="B2366" s="42" t="s">
        <v>3520</v>
      </c>
      <c r="C2366" s="53" t="s">
        <v>3383</v>
      </c>
      <c r="E2366" s="20"/>
      <c r="F23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6" s="93"/>
      <c r="I2366" s="203">
        <v>45882</v>
      </c>
      <c r="J2366" s="90" t="str">
        <f>IF(Table26[[#This Row],[customerSKU]]="","",_xlfn.XLOOKUP(Table26[[#This Row],[customerSKU]],customerSKU!G:G,customerSKU!A:A,"",0,1))</f>
        <v/>
      </c>
      <c r="K2366" s="19"/>
      <c r="L2366" s="49" t="str">
        <f>IF(Table26[[#This Row],[customerSKU]]="","",_xlfn.XLOOKUP(Table26[[#This Row],[customerSKU]],customerSKU!G:G,customerSKU!B:B,"",0,1))</f>
        <v/>
      </c>
      <c r="M2366" s="22"/>
      <c r="N2366" s="15" t="str">
        <f>Table26[[#This Row],[po_number]]&amp;"-"&amp;Table26[[#This Row],[po_line]]</f>
        <v>-2</v>
      </c>
      <c r="O2366" s="15">
        <v>2</v>
      </c>
      <c r="P2366" s="381"/>
      <c r="Q2366" s="382" t="s">
        <v>4282</v>
      </c>
      <c r="S2366" s="90" t="str">
        <f>IF(Table26[[#This Row],[customerSKU]]="","",_xlfn.XLOOKUP(Table26[[#This Row],[customerSKU]],customerSKU!G:G,customerSKU!N:N,"NOT FOUND",0,1))</f>
        <v>NOT FOUND</v>
      </c>
      <c r="T2366" s="20"/>
      <c r="U2366" s="94">
        <v>1200</v>
      </c>
      <c r="V2366" s="22" t="str">
        <f>IF(ISBLANK(Table26[[#This Row],[customerSKU]]),"",_xlfn.XLOOKUP(Table26[[#This Row],[customerSKU]],Table27[customer_SKU],Table27[case_size],"",0,1))</f>
        <v/>
      </c>
      <c r="W2366" s="117" t="str">
        <f t="shared" si="102"/>
        <v/>
      </c>
      <c r="X2366" s="22" t="str">
        <f t="shared" si="101"/>
        <v/>
      </c>
      <c r="Y2366" s="25" t="str">
        <f>IF(Table26[[#This Row],[customerSKU]]="","",_xlfn.XLOOKUP(Table26[[#This Row],[customerSKU]],Table27[customer_SKU],Table27[product_GTIN],"",0,1))</f>
        <v/>
      </c>
      <c r="Z2366" s="25" t="s">
        <v>4271</v>
      </c>
      <c r="AA2366" s="18" t="str" cm="1">
        <f t="array" ref="AA2366">IF(P2366="", "", _xlfn.XLOOKUP(P2366,#REF!,#REF!,NA,0,-1))</f>
        <v/>
      </c>
      <c r="AB2366" s="22"/>
      <c r="AC2366" s="23" t="str">
        <f>IF(Table26[[#This Row],[customerSKU]]="","",_xlfn.XLOOKUP(Table26[[#This Row],[customerSKU]],customerSKU!G:G,customerSKU!C:C,"",0,1))</f>
        <v/>
      </c>
      <c r="AD2366" s="23" t="str">
        <f>IF($AC2366="","",_xlfn.XLOOKUP($AC2366,'Client Info'!$C$2:$C$2497,'Client Info'!$D$2:$D$2497,"",0,1))</f>
        <v/>
      </c>
      <c r="AE2366" s="23" t="str">
        <f>IF($AC2366="","",_xlfn.XLOOKUP($AC2366,'Client Info'!$C$2:$C$2677,'Client Info'!$E$2:$E$2677,"",))</f>
        <v/>
      </c>
      <c r="AF2366" s="23" t="str">
        <f>IF($AC2366="","",_xlfn.XLOOKUP($AC2366,'Client Info'!$C$2:$C$2677,'Client Info'!$F$2:$F$2677,"",0,1))</f>
        <v/>
      </c>
      <c r="AG2366" s="23" t="str">
        <f>IF(ISBLANK(Table26[[#This Row],[customerSKU]]),"",_xlfn.XLOOKUP(Table26[[#This Row],[customerSKU]],Table27[customer_SKU],Table27[billto],"",0,1))</f>
        <v/>
      </c>
      <c r="AH2366" s="26" t="str">
        <f>_xlfn.XLOOKUP(Table26[[#This Row],[customerSKU]],customerSKU!G:G,customerSKU!K:K,"NA",0,1)</f>
        <v>NA</v>
      </c>
      <c r="AI2366" s="43" t="str">
        <f>_xlfn.XLOOKUP(Table26[[#This Row],[customerSKU]],customerSKU!G:G,customerSKU!O:O,"not found",0,1)</f>
        <v>not found</v>
      </c>
      <c r="AJ2366" s="22" t="e">
        <f>Table26[[#This Row],[unitprice]]*Table26[[#This Row],[quantity_unit]]</f>
        <v>#VALUE!</v>
      </c>
      <c r="AK2366" s="227" t="e" cm="1">
        <f t="array" ref="AK23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6" s="227"/>
    </row>
    <row r="2367" spans="1:38" ht="27" customHeight="1">
      <c r="A2367" s="42">
        <v>2290</v>
      </c>
      <c r="B2367" s="42" t="s">
        <v>3520</v>
      </c>
      <c r="C2367" s="53" t="s">
        <v>3383</v>
      </c>
      <c r="E2367" s="20"/>
      <c r="F23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7" s="93"/>
      <c r="I2367" s="203">
        <v>45882</v>
      </c>
      <c r="J2367" s="90" t="str">
        <f>IF(Table26[[#This Row],[customerSKU]]="","",_xlfn.XLOOKUP(Table26[[#This Row],[customerSKU]],customerSKU!G:G,customerSKU!A:A,"",0,1))</f>
        <v/>
      </c>
      <c r="K2367" s="19"/>
      <c r="L2367" s="49" t="str">
        <f>IF(Table26[[#This Row],[customerSKU]]="","",_xlfn.XLOOKUP(Table26[[#This Row],[customerSKU]],customerSKU!G:G,customerSKU!B:B,"",0,1))</f>
        <v/>
      </c>
      <c r="M2367" s="22"/>
      <c r="N2367" s="15" t="str">
        <f>Table26[[#This Row],[po_number]]&amp;"-"&amp;Table26[[#This Row],[po_line]]</f>
        <v>-3</v>
      </c>
      <c r="O2367" s="15">
        <v>3</v>
      </c>
      <c r="P2367" s="381"/>
      <c r="Q2367" s="382" t="s">
        <v>4282</v>
      </c>
      <c r="S2367" s="90" t="str">
        <f>IF(Table26[[#This Row],[customerSKU]]="","",_xlfn.XLOOKUP(Table26[[#This Row],[customerSKU]],customerSKU!G:G,customerSKU!N:N,"NOT FOUND",0,1))</f>
        <v>NOT FOUND</v>
      </c>
      <c r="T2367" s="20"/>
      <c r="U2367" s="94">
        <v>1200</v>
      </c>
      <c r="V2367" s="22" t="str">
        <f>IF(ISBLANK(Table26[[#This Row],[customerSKU]]),"",_xlfn.XLOOKUP(Table26[[#This Row],[customerSKU]],Table27[customer_SKU],Table27[case_size],"",0,1))</f>
        <v/>
      </c>
      <c r="W2367" s="117" t="str">
        <f t="shared" si="102"/>
        <v/>
      </c>
      <c r="X2367" s="22" t="str">
        <f t="shared" si="101"/>
        <v/>
      </c>
      <c r="Y2367" s="25" t="str">
        <f>IF(Table26[[#This Row],[customerSKU]]="","",_xlfn.XLOOKUP(Table26[[#This Row],[customerSKU]],Table27[customer_SKU],Table27[product_GTIN],"",0,1))</f>
        <v/>
      </c>
      <c r="Z2367" s="25" t="s">
        <v>4273</v>
      </c>
      <c r="AA2367" s="18" t="str" cm="1">
        <f t="array" ref="AA2367">IF(P2367="", "", _xlfn.XLOOKUP(P2367,#REF!,#REF!,NA,0,-1))</f>
        <v/>
      </c>
      <c r="AB2367" s="22"/>
      <c r="AC2367" s="23" t="str">
        <f>IF(Table26[[#This Row],[customerSKU]]="","",_xlfn.XLOOKUP(Table26[[#This Row],[customerSKU]],customerSKU!G:G,customerSKU!C:C,"",0,1))</f>
        <v/>
      </c>
      <c r="AD2367" s="23" t="str">
        <f>IF($AC2367="","",_xlfn.XLOOKUP($AC2367,'Client Info'!$C$2:$C$2497,'Client Info'!$D$2:$D$2497,"",0,1))</f>
        <v/>
      </c>
      <c r="AE2367" s="23" t="str">
        <f>IF($AC2367="","",_xlfn.XLOOKUP($AC2367,'Client Info'!$C$2:$C$2677,'Client Info'!$E$2:$E$2677,"",))</f>
        <v/>
      </c>
      <c r="AF2367" s="23" t="str">
        <f>IF($AC2367="","",_xlfn.XLOOKUP($AC2367,'Client Info'!$C$2:$C$2677,'Client Info'!$F$2:$F$2677,"",0,1))</f>
        <v/>
      </c>
      <c r="AG2367" s="23" t="str">
        <f>IF(ISBLANK(Table26[[#This Row],[customerSKU]]),"",_xlfn.XLOOKUP(Table26[[#This Row],[customerSKU]],Table27[customer_SKU],Table27[billto],"",0,1))</f>
        <v/>
      </c>
      <c r="AH2367" s="26" t="str">
        <f>_xlfn.XLOOKUP(Table26[[#This Row],[customerSKU]],customerSKU!G:G,customerSKU!K:K,"NA",0,1)</f>
        <v>NA</v>
      </c>
      <c r="AI2367" s="43" t="str">
        <f>_xlfn.XLOOKUP(Table26[[#This Row],[customerSKU]],customerSKU!G:G,customerSKU!O:O,"not found",0,1)</f>
        <v>not found</v>
      </c>
      <c r="AJ2367" s="22" t="e">
        <f>Table26[[#This Row],[unitprice]]*Table26[[#This Row],[quantity_unit]]</f>
        <v>#VALUE!</v>
      </c>
      <c r="AK2367" s="227" t="e" cm="1">
        <f t="array" ref="AK23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7" s="227"/>
    </row>
    <row r="2368" spans="1:38" ht="27" customHeight="1">
      <c r="A2368" s="42">
        <v>2291</v>
      </c>
      <c r="B2368" s="42" t="s">
        <v>3520</v>
      </c>
      <c r="C2368" s="53" t="s">
        <v>3383</v>
      </c>
      <c r="E2368" s="20"/>
      <c r="F23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8" s="93"/>
      <c r="I2368" s="203">
        <v>45882</v>
      </c>
      <c r="J2368" s="90" t="str">
        <f>IF(Table26[[#This Row],[customerSKU]]="","",_xlfn.XLOOKUP(Table26[[#This Row],[customerSKU]],customerSKU!G:G,customerSKU!A:A,"",0,1))</f>
        <v/>
      </c>
      <c r="K2368" s="19"/>
      <c r="L2368" s="49" t="str">
        <f>IF(Table26[[#This Row],[customerSKU]]="","",_xlfn.XLOOKUP(Table26[[#This Row],[customerSKU]],customerSKU!G:G,customerSKU!B:B,"",0,1))</f>
        <v/>
      </c>
      <c r="M2368" s="22"/>
      <c r="N2368" s="15" t="str">
        <f>Table26[[#This Row],[po_number]]&amp;"-"&amp;Table26[[#This Row],[po_line]]</f>
        <v>-4</v>
      </c>
      <c r="O2368" s="15">
        <v>4</v>
      </c>
      <c r="P2368" s="50"/>
      <c r="Q2368" s="22" t="s">
        <v>4323</v>
      </c>
      <c r="R2368" s="22" t="s">
        <v>532</v>
      </c>
      <c r="S2368" s="90" t="str">
        <f>IF(Table26[[#This Row],[customerSKU]]="","",_xlfn.XLOOKUP(Table26[[#This Row],[customerSKU]],customerSKU!G:G,customerSKU!N:N,"NOT FOUND",0,1))</f>
        <v>NOT FOUND</v>
      </c>
      <c r="T2368" s="20">
        <v>45895</v>
      </c>
      <c r="U2368" s="94">
        <v>1200</v>
      </c>
      <c r="V2368" s="22" t="str">
        <f>IF(ISBLANK(Table26[[#This Row],[customerSKU]]),"",_xlfn.XLOOKUP(Table26[[#This Row],[customerSKU]],Table27[customer_SKU],Table27[case_size],"",0,1))</f>
        <v/>
      </c>
      <c r="W2368" s="117" t="str">
        <f t="shared" si="102"/>
        <v/>
      </c>
      <c r="X2368" s="22" t="str">
        <f t="shared" si="101"/>
        <v/>
      </c>
      <c r="Y2368" s="25" t="str">
        <f>IF(Table26[[#This Row],[customerSKU]]="","",_xlfn.XLOOKUP(Table26[[#This Row],[customerSKU]],Table27[customer_SKU],Table27[product_GTIN],"",0,1))</f>
        <v/>
      </c>
      <c r="Z2368" s="25" t="s">
        <v>4274</v>
      </c>
      <c r="AA2368" s="18" t="str" cm="1">
        <f t="array" ref="AA2368">IF(P2368="", "", _xlfn.XLOOKUP(P2368,#REF!,#REF!,NA,0,-1))</f>
        <v/>
      </c>
      <c r="AB2368" s="22"/>
      <c r="AC2368" s="23" t="str">
        <f>IF(Table26[[#This Row],[customerSKU]]="","",_xlfn.XLOOKUP(Table26[[#This Row],[customerSKU]],customerSKU!G:G,customerSKU!C:C,"",0,1))</f>
        <v/>
      </c>
      <c r="AD2368" s="23" t="str">
        <f>IF($AC2368="","",_xlfn.XLOOKUP($AC2368,'Client Info'!$C$2:$C$2497,'Client Info'!$D$2:$D$2497,"",0,1))</f>
        <v/>
      </c>
      <c r="AE2368" s="23" t="str">
        <f>IF($AC2368="","",_xlfn.XLOOKUP($AC2368,'Client Info'!$C$2:$C$2677,'Client Info'!$E$2:$E$2677,"",))</f>
        <v/>
      </c>
      <c r="AF2368" s="23" t="str">
        <f>IF($AC2368="","",_xlfn.XLOOKUP($AC2368,'Client Info'!$C$2:$C$2677,'Client Info'!$F$2:$F$2677,"",0,1))</f>
        <v/>
      </c>
      <c r="AG2368" s="23" t="str">
        <f>IF(ISBLANK(Table26[[#This Row],[customerSKU]]),"",_xlfn.XLOOKUP(Table26[[#This Row],[customerSKU]],Table27[customer_SKU],Table27[billto],"",0,1))</f>
        <v/>
      </c>
      <c r="AH2368" s="26" t="str">
        <f>_xlfn.XLOOKUP(Table26[[#This Row],[customerSKU]],customerSKU!G:G,customerSKU!K:K,"NA",0,1)</f>
        <v>NA</v>
      </c>
      <c r="AI2368" s="43" t="str">
        <f>_xlfn.XLOOKUP(Table26[[#This Row],[customerSKU]],customerSKU!G:G,customerSKU!O:O,"not found",0,1)</f>
        <v>not found</v>
      </c>
      <c r="AJ2368" s="22" t="e">
        <f>Table26[[#This Row],[unitprice]]*Table26[[#This Row],[quantity_unit]]</f>
        <v>#VALUE!</v>
      </c>
      <c r="AK2368" s="227" t="e" cm="1">
        <f t="array" ref="AK23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8" s="227"/>
    </row>
    <row r="2369" spans="1:38" ht="27" customHeight="1">
      <c r="A2369" s="42">
        <v>2292</v>
      </c>
      <c r="B2369" s="42" t="s">
        <v>3520</v>
      </c>
      <c r="C2369" s="53" t="s">
        <v>3383</v>
      </c>
      <c r="E2369" s="20"/>
      <c r="F23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69" s="93"/>
      <c r="I2369" s="203">
        <v>45882</v>
      </c>
      <c r="J2369" s="90" t="str">
        <f>IF(Table26[[#This Row],[customerSKU]]="","",_xlfn.XLOOKUP(Table26[[#This Row],[customerSKU]],customerSKU!G:G,customerSKU!A:A,"",0,1))</f>
        <v/>
      </c>
      <c r="K2369" s="19"/>
      <c r="L2369" s="49" t="str">
        <f>IF(Table26[[#This Row],[customerSKU]]="","",_xlfn.XLOOKUP(Table26[[#This Row],[customerSKU]],customerSKU!G:G,customerSKU!B:B,"",0,1))</f>
        <v/>
      </c>
      <c r="M2369" s="22"/>
      <c r="N2369" s="15" t="str">
        <f>Table26[[#This Row],[po_number]]&amp;"-"&amp;Table26[[#This Row],[po_line]]</f>
        <v>-5</v>
      </c>
      <c r="O2369" s="15">
        <v>5</v>
      </c>
      <c r="P2369" s="50"/>
      <c r="Q2369" s="22" t="s">
        <v>1842</v>
      </c>
      <c r="R2369" s="22" t="s">
        <v>532</v>
      </c>
      <c r="S2369" s="90" t="str">
        <f>IF(Table26[[#This Row],[customerSKU]]="","",_xlfn.XLOOKUP(Table26[[#This Row],[customerSKU]],customerSKU!G:G,customerSKU!N:N,"NOT FOUND",0,1))</f>
        <v>NOT FOUND</v>
      </c>
      <c r="T2369" s="20">
        <v>45877</v>
      </c>
      <c r="U2369" s="94">
        <v>258</v>
      </c>
      <c r="V2369" s="22" t="str">
        <f>IF(ISBLANK(Table26[[#This Row],[customerSKU]]),"",_xlfn.XLOOKUP(Table26[[#This Row],[customerSKU]],Table27[customer_SKU],Table27[case_size],"",0,1))</f>
        <v/>
      </c>
      <c r="W2369" s="117" t="str">
        <f t="shared" si="102"/>
        <v/>
      </c>
      <c r="X2369" s="22" t="str">
        <f t="shared" si="101"/>
        <v/>
      </c>
      <c r="Y2369" s="25" t="str">
        <f>IF(Table26[[#This Row],[customerSKU]]="","",_xlfn.XLOOKUP(Table26[[#This Row],[customerSKU]],Table27[customer_SKU],Table27[product_GTIN],"",0,1))</f>
        <v/>
      </c>
      <c r="Z2369" s="25" t="s">
        <v>3736</v>
      </c>
      <c r="AA2369" s="18" t="str" cm="1">
        <f t="array" ref="AA2369">IF(P2369="", "", _xlfn.XLOOKUP(P2369,#REF!,#REF!,NA,0,-1))</f>
        <v/>
      </c>
      <c r="AB2369" s="22"/>
      <c r="AC2369" s="23" t="str">
        <f>IF(Table26[[#This Row],[customerSKU]]="","",_xlfn.XLOOKUP(Table26[[#This Row],[customerSKU]],customerSKU!G:G,customerSKU!C:C,"",0,1))</f>
        <v/>
      </c>
      <c r="AD2369" s="23" t="str">
        <f>IF($AC2369="","",_xlfn.XLOOKUP($AC2369,'Client Info'!$C$2:$C$2497,'Client Info'!$D$2:$D$2497,"",0,1))</f>
        <v/>
      </c>
      <c r="AE2369" s="23" t="str">
        <f>IF($AC2369="","",_xlfn.XLOOKUP($AC2369,'Client Info'!$C$2:$C$2677,'Client Info'!$E$2:$E$2677,"",))</f>
        <v/>
      </c>
      <c r="AF2369" s="23" t="str">
        <f>IF($AC2369="","",_xlfn.XLOOKUP($AC2369,'Client Info'!$C$2:$C$2677,'Client Info'!$F$2:$F$2677,"",0,1))</f>
        <v/>
      </c>
      <c r="AG2369" s="23" t="str">
        <f>IF(ISBLANK(Table26[[#This Row],[customerSKU]]),"",_xlfn.XLOOKUP(Table26[[#This Row],[customerSKU]],Table27[customer_SKU],Table27[billto],"",0,1))</f>
        <v/>
      </c>
      <c r="AH2369" s="26" t="str">
        <f>_xlfn.XLOOKUP(Table26[[#This Row],[customerSKU]],customerSKU!G:G,customerSKU!K:K,"NA",0,1)</f>
        <v>NA</v>
      </c>
      <c r="AI2369" s="43" t="str">
        <f>_xlfn.XLOOKUP(Table26[[#This Row],[customerSKU]],customerSKU!G:G,customerSKU!O:O,"not found",0,1)</f>
        <v>not found</v>
      </c>
      <c r="AJ2369" s="22" t="e">
        <f>Table26[[#This Row],[unitprice]]*Table26[[#This Row],[quantity_unit]]</f>
        <v>#VALUE!</v>
      </c>
      <c r="AK2369" s="227" t="e" cm="1">
        <f t="array" ref="AK23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69" s="227"/>
    </row>
    <row r="2370" spans="1:38" ht="27" customHeight="1">
      <c r="A2370" s="42">
        <v>2293</v>
      </c>
      <c r="B2370" s="42" t="s">
        <v>3520</v>
      </c>
      <c r="C2370" s="53" t="s">
        <v>3752</v>
      </c>
      <c r="E2370" s="20"/>
      <c r="F23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0" s="93"/>
      <c r="I2370" s="203">
        <v>45882</v>
      </c>
      <c r="J2370" s="90" t="str">
        <f>IF(Table26[[#This Row],[customerSKU]]="","",_xlfn.XLOOKUP(Table26[[#This Row],[customerSKU]],customerSKU!G:G,customerSKU!A:A,"",0,1))</f>
        <v/>
      </c>
      <c r="K2370" s="19"/>
      <c r="L2370" s="49" t="str">
        <f>IF(Table26[[#This Row],[customerSKU]]="","",_xlfn.XLOOKUP(Table26[[#This Row],[customerSKU]],customerSKU!G:G,customerSKU!B:B,"",0,1))</f>
        <v/>
      </c>
      <c r="M2370" s="22"/>
      <c r="N2370" s="15" t="str">
        <f>Table26[[#This Row],[po_number]]&amp;"-"&amp;Table26[[#This Row],[po_line]]</f>
        <v>-6</v>
      </c>
      <c r="O2370" s="15">
        <v>6</v>
      </c>
      <c r="P2370" s="50"/>
      <c r="Q2370" s="22" t="s">
        <v>1842</v>
      </c>
      <c r="R2370" s="22" t="s">
        <v>532</v>
      </c>
      <c r="S2370" s="90" t="str">
        <f>IF(Table26[[#This Row],[customerSKU]]="","",_xlfn.XLOOKUP(Table26[[#This Row],[customerSKU]],customerSKU!G:G,customerSKU!N:N,"NOT FOUND",0,1))</f>
        <v>NOT FOUND</v>
      </c>
      <c r="T2370" s="20">
        <v>45895</v>
      </c>
      <c r="U2370" s="94">
        <f>600-258</f>
        <v>342</v>
      </c>
      <c r="V2370" s="22" t="str">
        <f>IF(ISBLANK(Table26[[#This Row],[customerSKU]]),"",_xlfn.XLOOKUP(Table26[[#This Row],[customerSKU]],Table27[customer_SKU],Table27[case_size],"",0,1))</f>
        <v/>
      </c>
      <c r="W2370" s="117" t="str">
        <f t="shared" si="102"/>
        <v/>
      </c>
      <c r="X2370" s="22" t="str">
        <f t="shared" si="101"/>
        <v/>
      </c>
      <c r="Y2370" s="25" t="str">
        <f>IF(Table26[[#This Row],[customerSKU]]="","",_xlfn.XLOOKUP(Table26[[#This Row],[customerSKU]],Table27[customer_SKU],Table27[product_GTIN],"",0,1))</f>
        <v/>
      </c>
      <c r="Z2370" s="25" t="s">
        <v>3736</v>
      </c>
      <c r="AA2370" s="18" t="str" cm="1">
        <f t="array" ref="AA2370">IF(P2370="", "", _xlfn.XLOOKUP(P2370,#REF!,#REF!,NA,0,-1))</f>
        <v/>
      </c>
      <c r="AB2370" s="22"/>
      <c r="AC2370" s="23" t="str">
        <f>IF(Table26[[#This Row],[customerSKU]]="","",_xlfn.XLOOKUP(Table26[[#This Row],[customerSKU]],customerSKU!G:G,customerSKU!C:C,"",0,1))</f>
        <v/>
      </c>
      <c r="AD2370" s="23" t="str">
        <f>IF($AC2370="","",_xlfn.XLOOKUP($AC2370,'Client Info'!$C$2:$C$2497,'Client Info'!$D$2:$D$2497,"",0,1))</f>
        <v/>
      </c>
      <c r="AE2370" s="23" t="str">
        <f>IF($AC2370="","",_xlfn.XLOOKUP($AC2370,'Client Info'!$C$2:$C$2677,'Client Info'!$E$2:$E$2677,"",))</f>
        <v/>
      </c>
      <c r="AF2370" s="23" t="str">
        <f>IF($AC2370="","",_xlfn.XLOOKUP($AC2370,'Client Info'!$C$2:$C$2677,'Client Info'!$F$2:$F$2677,"",0,1))</f>
        <v/>
      </c>
      <c r="AG2370" s="23" t="str">
        <f>IF(ISBLANK(Table26[[#This Row],[customerSKU]]),"",_xlfn.XLOOKUP(Table26[[#This Row],[customerSKU]],Table27[customer_SKU],Table27[billto],"",0,1))</f>
        <v/>
      </c>
      <c r="AH2370" s="26" t="str">
        <f>_xlfn.XLOOKUP(Table26[[#This Row],[customerSKU]],customerSKU!G:G,customerSKU!K:K,"NA",0,1)</f>
        <v>NA</v>
      </c>
      <c r="AI2370" s="43" t="str">
        <f>_xlfn.XLOOKUP(Table26[[#This Row],[customerSKU]],customerSKU!G:G,customerSKU!O:O,"not found",0,1)</f>
        <v>not found</v>
      </c>
      <c r="AJ2370" s="22" t="e">
        <f>Table26[[#This Row],[unitprice]]*Table26[[#This Row],[quantity_unit]]</f>
        <v>#VALUE!</v>
      </c>
      <c r="AK2370" s="227" t="e" cm="1">
        <f t="array" ref="AK23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0" s="227"/>
    </row>
    <row r="2371" spans="1:38" ht="27" customHeight="1">
      <c r="A2371" s="42">
        <v>2294</v>
      </c>
      <c r="B2371" s="42" t="s">
        <v>3520</v>
      </c>
      <c r="C2371" s="53" t="s">
        <v>3752</v>
      </c>
      <c r="E2371" s="20"/>
      <c r="F23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1" s="93"/>
      <c r="I2371" s="203">
        <v>45882</v>
      </c>
      <c r="J2371" s="90" t="str">
        <f>IF(Table26[[#This Row],[customerSKU]]="","",_xlfn.XLOOKUP(Table26[[#This Row],[customerSKU]],customerSKU!G:G,customerSKU!A:A,"",0,1))</f>
        <v/>
      </c>
      <c r="K2371" s="19"/>
      <c r="L2371" s="49" t="str">
        <f>IF(Table26[[#This Row],[customerSKU]]="","",_xlfn.XLOOKUP(Table26[[#This Row],[customerSKU]],customerSKU!G:G,customerSKU!B:B,"",0,1))</f>
        <v/>
      </c>
      <c r="M2371" s="22"/>
      <c r="N2371" s="15" t="str">
        <f>Table26[[#This Row],[po_number]]&amp;"-"&amp;Table26[[#This Row],[po_line]]</f>
        <v>-7</v>
      </c>
      <c r="O2371" s="15">
        <v>7</v>
      </c>
      <c r="P2371" s="50"/>
      <c r="Q2371" s="22" t="s">
        <v>1845</v>
      </c>
      <c r="R2371" s="22" t="s">
        <v>532</v>
      </c>
      <c r="S2371" s="90" t="str">
        <f>IF(Table26[[#This Row],[customerSKU]]="","",_xlfn.XLOOKUP(Table26[[#This Row],[customerSKU]],customerSKU!G:G,customerSKU!N:N,"NOT FOUND",0,1))</f>
        <v>NOT FOUND</v>
      </c>
      <c r="T2371" s="20">
        <v>45859</v>
      </c>
      <c r="U2371" s="94">
        <v>132</v>
      </c>
      <c r="V2371" s="22" t="str">
        <f>IF(ISBLANK(Table26[[#This Row],[customerSKU]]),"",_xlfn.XLOOKUP(Table26[[#This Row],[customerSKU]],Table27[customer_SKU],Table27[case_size],"",0,1))</f>
        <v/>
      </c>
      <c r="W2371" s="117" t="str">
        <f>IFERROR(U2371/V2371, "")</f>
        <v/>
      </c>
      <c r="X2371" s="22" t="str">
        <f>IFERROR($AA2371*$U2371, "")</f>
        <v/>
      </c>
      <c r="Y2371" s="25" t="str">
        <f>IF(Table26[[#This Row],[customerSKU]]="","",_xlfn.XLOOKUP(Table26[[#This Row],[customerSKU]],Table27[customer_SKU],Table27[product_GTIN],"",0,1))</f>
        <v/>
      </c>
      <c r="Z2371" s="25" t="s">
        <v>3283</v>
      </c>
      <c r="AA2371" s="18" t="str" cm="1">
        <f t="array" ref="AA2371">IF(P2371="", "", _xlfn.XLOOKUP(P2371,#REF!,#REF!,NA,0,-1))</f>
        <v/>
      </c>
      <c r="AB2371" s="22"/>
      <c r="AC2371" s="23" t="str">
        <f>IF(Table26[[#This Row],[customerSKU]]="","",_xlfn.XLOOKUP(Table26[[#This Row],[customerSKU]],customerSKU!G:G,customerSKU!C:C,"",0,1))</f>
        <v/>
      </c>
      <c r="AD2371" s="15" t="str">
        <f>IF($AC2371="","",_xlfn.XLOOKUP($AC2371,'Client Info'!$C$2:$C$2497,'Client Info'!$D$2:$D$2497,"",0,1))</f>
        <v/>
      </c>
      <c r="AE2371" s="15" t="str">
        <f>IF($AC2371="","",_xlfn.XLOOKUP($AC2371,'Client Info'!$C$2:$C$2677,'Client Info'!$E$2:$E$2677,"",))</f>
        <v/>
      </c>
      <c r="AF2371" s="15" t="str">
        <f>IF($AC2371="","",_xlfn.XLOOKUP($AC2371,'Client Info'!$C$2:$C$2677,'Client Info'!$F$2:$F$2677,"",0,1))</f>
        <v/>
      </c>
      <c r="AG2371" s="15" t="str">
        <f>IF(ISBLANK(Table26[[#This Row],[customerSKU]]),"",_xlfn.XLOOKUP(Table26[[#This Row],[customerSKU]],Table27[customer_SKU],Table27[billto],"",0,1))</f>
        <v/>
      </c>
      <c r="AH2371" s="26" t="str">
        <f>_xlfn.XLOOKUP(Table26[[#This Row],[customerSKU]],customerSKU!G:G,customerSKU!K:K,"NA",0,1)</f>
        <v>NA</v>
      </c>
      <c r="AI2371" s="43" t="str">
        <f>_xlfn.XLOOKUP(Table26[[#This Row],[customerSKU]],customerSKU!G:G,customerSKU!O:O,"not found",0,1)</f>
        <v>not found</v>
      </c>
      <c r="AJ2371" s="22" t="e">
        <f>Table26[[#This Row],[unitprice]]*Table26[[#This Row],[quantity_unit]]</f>
        <v>#VALUE!</v>
      </c>
      <c r="AK2371" s="227" t="e" cm="1">
        <f t="array" ref="AK23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1" s="227"/>
    </row>
    <row r="2372" spans="1:38" ht="27" customHeight="1">
      <c r="A2372" s="42">
        <v>2294</v>
      </c>
      <c r="B2372" s="42" t="s">
        <v>3520</v>
      </c>
      <c r="C2372" s="53" t="s">
        <v>3752</v>
      </c>
      <c r="E2372" s="20"/>
      <c r="F23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2" s="93"/>
      <c r="I2372" s="203">
        <v>45882</v>
      </c>
      <c r="J2372" s="90" t="str">
        <f>IF(Table26[[#This Row],[customerSKU]]="","",_xlfn.XLOOKUP(Table26[[#This Row],[customerSKU]],customerSKU!G:G,customerSKU!A:A,"",0,1))</f>
        <v/>
      </c>
      <c r="K2372" s="19"/>
      <c r="L2372" s="49" t="str">
        <f>IF(Table26[[#This Row],[customerSKU]]="","",_xlfn.XLOOKUP(Table26[[#This Row],[customerSKU]],customerSKU!G:G,customerSKU!B:B,"",0,1))</f>
        <v/>
      </c>
      <c r="M2372" s="22"/>
      <c r="N2372" s="15" t="str">
        <f>Table26[[#This Row],[po_number]]&amp;"-"&amp;Table26[[#This Row],[po_line]]</f>
        <v>-8</v>
      </c>
      <c r="O2372" s="15">
        <v>8</v>
      </c>
      <c r="P2372" s="50"/>
      <c r="Q2372" s="22" t="s">
        <v>1845</v>
      </c>
      <c r="R2372" s="22" t="s">
        <v>532</v>
      </c>
      <c r="S2372" s="90" t="str">
        <f>IF(Table26[[#This Row],[customerSKU]]="","",_xlfn.XLOOKUP(Table26[[#This Row],[customerSKU]],customerSKU!G:G,customerSKU!N:N,"NOT FOUND",0,1))</f>
        <v>NOT FOUND</v>
      </c>
      <c r="T2372" s="20">
        <v>45874</v>
      </c>
      <c r="U2372" s="94">
        <f>300-132</f>
        <v>168</v>
      </c>
      <c r="V2372" s="22" t="str">
        <f>IF(ISBLANK(Table26[[#This Row],[customerSKU]]),"",_xlfn.XLOOKUP(Table26[[#This Row],[customerSKU]],Table27[customer_SKU],Table27[case_size],"",0,1))</f>
        <v/>
      </c>
      <c r="W2372" s="117" t="str">
        <f t="shared" si="102"/>
        <v/>
      </c>
      <c r="X2372" s="22" t="str">
        <f t="shared" si="101"/>
        <v/>
      </c>
      <c r="Y2372" s="25" t="str">
        <f>IF(Table26[[#This Row],[customerSKU]]="","",_xlfn.XLOOKUP(Table26[[#This Row],[customerSKU]],Table27[customer_SKU],Table27[product_GTIN],"",0,1))</f>
        <v/>
      </c>
      <c r="Z2372" s="25" t="s">
        <v>3283</v>
      </c>
      <c r="AA2372" s="18" t="str" cm="1">
        <f t="array" ref="AA2372">IF(P2372="", "", _xlfn.XLOOKUP(P2372,#REF!,#REF!,NA,0,-1))</f>
        <v/>
      </c>
      <c r="AB2372" s="22"/>
      <c r="AC2372" s="23" t="str">
        <f>IF(Table26[[#This Row],[customerSKU]]="","",_xlfn.XLOOKUP(Table26[[#This Row],[customerSKU]],customerSKU!G:G,customerSKU!C:C,"",0,1))</f>
        <v/>
      </c>
      <c r="AD2372" s="23" t="str">
        <f>IF($AC2372="","",_xlfn.XLOOKUP($AC2372,'Client Info'!$C$2:$C$2497,'Client Info'!$D$2:$D$2497,"",0,1))</f>
        <v/>
      </c>
      <c r="AE2372" s="23" t="str">
        <f>IF($AC2372="","",_xlfn.XLOOKUP($AC2372,'Client Info'!$C$2:$C$2677,'Client Info'!$E$2:$E$2677,"",))</f>
        <v/>
      </c>
      <c r="AF2372" s="23" t="str">
        <f>IF($AC2372="","",_xlfn.XLOOKUP($AC2372,'Client Info'!$C$2:$C$2677,'Client Info'!$F$2:$F$2677,"",0,1))</f>
        <v/>
      </c>
      <c r="AG2372" s="23" t="str">
        <f>IF(ISBLANK(Table26[[#This Row],[customerSKU]]),"",_xlfn.XLOOKUP(Table26[[#This Row],[customerSKU]],Table27[customer_SKU],Table27[billto],"",0,1))</f>
        <v/>
      </c>
      <c r="AH2372" s="26" t="str">
        <f>_xlfn.XLOOKUP(Table26[[#This Row],[customerSKU]],customerSKU!G:G,customerSKU!K:K,"NA",0,1)</f>
        <v>NA</v>
      </c>
      <c r="AI2372" s="43" t="str">
        <f>_xlfn.XLOOKUP(Table26[[#This Row],[customerSKU]],customerSKU!G:G,customerSKU!O:O,"not found",0,1)</f>
        <v>not found</v>
      </c>
      <c r="AJ2372" s="22" t="e">
        <f>Table26[[#This Row],[unitprice]]*Table26[[#This Row],[quantity_unit]]</f>
        <v>#VALUE!</v>
      </c>
      <c r="AK2372" s="227" t="e" cm="1">
        <f t="array" ref="AK23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2" s="227"/>
    </row>
    <row r="2373" spans="1:38" ht="15.6">
      <c r="A2373" s="42">
        <v>2295</v>
      </c>
      <c r="B2373" s="42" t="s">
        <v>3520</v>
      </c>
      <c r="C2373" s="53" t="s">
        <v>3752</v>
      </c>
      <c r="E2373" s="20"/>
      <c r="F23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3" s="93"/>
      <c r="I2373" s="203">
        <v>45882</v>
      </c>
      <c r="J2373" s="90" t="str">
        <f>IF(Table26[[#This Row],[customerSKU]]="","",_xlfn.XLOOKUP(Table26[[#This Row],[customerSKU]],customerSKU!G:G,customerSKU!A:A,"",0,1))</f>
        <v/>
      </c>
      <c r="K2373" s="19"/>
      <c r="L2373" s="49" t="str">
        <f>IF(Table26[[#This Row],[customerSKU]]="","",_xlfn.XLOOKUP(Table26[[#This Row],[customerSKU]],customerSKU!G:G,customerSKU!B:B,"",0,1))</f>
        <v/>
      </c>
      <c r="M2373" s="22"/>
      <c r="N2373" s="15" t="str">
        <f>Table26[[#This Row],[po_number]]&amp;"-"&amp;Table26[[#This Row],[po_line]]</f>
        <v>-9</v>
      </c>
      <c r="O2373" s="15">
        <v>9</v>
      </c>
      <c r="P2373" s="50"/>
      <c r="Q2373" s="22" t="s">
        <v>4328</v>
      </c>
      <c r="R2373" s="22" t="s">
        <v>532</v>
      </c>
      <c r="S2373" s="90" t="str">
        <f>IF(Table26[[#This Row],[customerSKU]]="","",_xlfn.XLOOKUP(Table26[[#This Row],[customerSKU]],customerSKU!G:G,customerSKU!N:N,"NOT FOUND",0,1))</f>
        <v>NOT FOUND</v>
      </c>
      <c r="T2373" s="20">
        <v>45898</v>
      </c>
      <c r="U2373" s="94">
        <v>60</v>
      </c>
      <c r="V2373" s="22" t="str">
        <f>IF(ISBLANK(Table26[[#This Row],[customerSKU]]),"",_xlfn.XLOOKUP(Table26[[#This Row],[customerSKU]],Table27[customer_SKU],Table27[case_size],"",0,1))</f>
        <v/>
      </c>
      <c r="W2373" s="117" t="str">
        <f t="shared" si="102"/>
        <v/>
      </c>
      <c r="X2373" s="22" t="str">
        <f t="shared" si="101"/>
        <v/>
      </c>
      <c r="Y2373" s="25" t="str">
        <f>IF(Table26[[#This Row],[customerSKU]]="","",_xlfn.XLOOKUP(Table26[[#This Row],[customerSKU]],Table27[customer_SKU],Table27[product_GTIN],"",0,1))</f>
        <v/>
      </c>
      <c r="Z2373" s="25" t="s">
        <v>3285</v>
      </c>
      <c r="AA2373" s="18" t="str" cm="1">
        <f t="array" ref="AA2373">IF(P2373="", "", _xlfn.XLOOKUP(P2373,#REF!,#REF!,NA,0,-1))</f>
        <v/>
      </c>
      <c r="AB2373" s="22"/>
      <c r="AC2373" s="23" t="str">
        <f>IF(Table26[[#This Row],[customerSKU]]="","",_xlfn.XLOOKUP(Table26[[#This Row],[customerSKU]],customerSKU!G:G,customerSKU!C:C,"",0,1))</f>
        <v/>
      </c>
      <c r="AD2373" s="23" t="str">
        <f>IF($AC2373="","",_xlfn.XLOOKUP($AC2373,'Client Info'!$C$2:$C$2497,'Client Info'!$D$2:$D$2497,"",0,1))</f>
        <v/>
      </c>
      <c r="AE2373" s="23" t="str">
        <f>IF($AC2373="","",_xlfn.XLOOKUP($AC2373,'Client Info'!$C$2:$C$2677,'Client Info'!$E$2:$E$2677,"",))</f>
        <v/>
      </c>
      <c r="AF2373" s="23" t="str">
        <f>IF($AC2373="","",_xlfn.XLOOKUP($AC2373,'Client Info'!$C$2:$C$2677,'Client Info'!$F$2:$F$2677,"",0,1))</f>
        <v/>
      </c>
      <c r="AG2373" s="23" t="str">
        <f>IF(ISBLANK(Table26[[#This Row],[customerSKU]]),"",_xlfn.XLOOKUP(Table26[[#This Row],[customerSKU]],Table27[customer_SKU],Table27[billto],"",0,1))</f>
        <v/>
      </c>
      <c r="AH2373" s="26" t="str">
        <f>_xlfn.XLOOKUP(Table26[[#This Row],[customerSKU]],customerSKU!G:G,customerSKU!K:K,"NA",0,1)</f>
        <v>NA</v>
      </c>
      <c r="AI2373" s="43" t="str">
        <f>_xlfn.XLOOKUP(Table26[[#This Row],[customerSKU]],customerSKU!G:G,customerSKU!O:O,"not found",0,1)</f>
        <v>not found</v>
      </c>
      <c r="AJ2373" s="22" t="e">
        <f>Table26[[#This Row],[unitprice]]*Table26[[#This Row],[quantity_unit]]</f>
        <v>#VALUE!</v>
      </c>
      <c r="AK2373" s="227" t="e" cm="1">
        <f t="array" ref="AK23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3" s="227"/>
    </row>
    <row r="2374" spans="1:38" ht="15.6">
      <c r="A2374" s="42">
        <v>2331</v>
      </c>
      <c r="B2374" s="42" t="s">
        <v>3520</v>
      </c>
      <c r="C2374" s="53" t="s">
        <v>3383</v>
      </c>
      <c r="E2374" s="20"/>
      <c r="F23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4" s="93"/>
      <c r="I2374" s="203">
        <v>45887</v>
      </c>
      <c r="J2374" s="90" t="str">
        <f>IF(Table26[[#This Row],[customerSKU]]="","",_xlfn.XLOOKUP(Table26[[#This Row],[customerSKU]],customerSKU!G:G,customerSKU!A:A,"",0,1))</f>
        <v/>
      </c>
      <c r="K2374" s="19"/>
      <c r="L2374" s="49" t="str">
        <f>IF(Table26[[#This Row],[customerSKU]]="","",_xlfn.XLOOKUP(Table26[[#This Row],[customerSKU]],customerSKU!G:G,customerSKU!B:B,"",0,1))</f>
        <v/>
      </c>
      <c r="M2374" s="22"/>
      <c r="N2374" s="15" t="str">
        <f>Table26[[#This Row],[po_number]]&amp;"-"&amp;Table26[[#This Row],[po_line]]</f>
        <v>-1</v>
      </c>
      <c r="O2374" s="15">
        <v>1</v>
      </c>
      <c r="P2374" s="50"/>
      <c r="S2374" s="90" t="str">
        <f>IF(Table26[[#This Row],[customerSKU]]="","",_xlfn.XLOOKUP(Table26[[#This Row],[customerSKU]],customerSKU!G:G,customerSKU!N:N,"NOT FOUND",0,1))</f>
        <v>NOT FOUND</v>
      </c>
      <c r="T2374" s="20"/>
      <c r="U2374" s="94">
        <v>360</v>
      </c>
      <c r="V2374" s="22" t="str">
        <f>IF(ISBLANK(Table26[[#This Row],[customerSKU]]),"",_xlfn.XLOOKUP(Table26[[#This Row],[customerSKU]],Table27[customer_SKU],Table27[case_size],"",0,1))</f>
        <v/>
      </c>
      <c r="W2374" s="117" t="str">
        <f t="shared" si="102"/>
        <v/>
      </c>
      <c r="X2374" s="22" t="str">
        <f t="shared" si="101"/>
        <v/>
      </c>
      <c r="Y2374" s="25" t="str">
        <f>IF(Table26[[#This Row],[customerSKU]]="","",_xlfn.XLOOKUP(Table26[[#This Row],[customerSKU]],Table27[customer_SKU],Table27[product_GTIN],"",0,1))</f>
        <v/>
      </c>
      <c r="Z2374" s="25" t="s">
        <v>3763</v>
      </c>
      <c r="AA2374" s="18" t="str" cm="1">
        <f t="array" ref="AA2374">IF(P2374="", "", _xlfn.XLOOKUP(P2374,#REF!,#REF!,NA,0,-1))</f>
        <v/>
      </c>
      <c r="AB2374" s="22"/>
      <c r="AC2374" s="23" t="str">
        <f>IF(Table26[[#This Row],[customerSKU]]="","",_xlfn.XLOOKUP(Table26[[#This Row],[customerSKU]],customerSKU!G:G,customerSKU!C:C,"",0,1))</f>
        <v/>
      </c>
      <c r="AD2374" s="23" t="str">
        <f>IF($AC2374="","",_xlfn.XLOOKUP($AC2374,'Client Info'!$C$2:$C$2497,'Client Info'!$D$2:$D$2497,"",0,1))</f>
        <v/>
      </c>
      <c r="AE2374" s="23" t="str">
        <f>IF($AC2374="","",_xlfn.XLOOKUP($AC2374,'Client Info'!$C$2:$C$2677,'Client Info'!$E$2:$E$2677,"",))</f>
        <v/>
      </c>
      <c r="AF2374" s="23" t="str">
        <f>IF($AC2374="","",_xlfn.XLOOKUP($AC2374,'Client Info'!$C$2:$C$2677,'Client Info'!$F$2:$F$2677,"",0,1))</f>
        <v/>
      </c>
      <c r="AG2374" s="23" t="str">
        <f>IF(ISBLANK(Table26[[#This Row],[customerSKU]]),"",_xlfn.XLOOKUP(Table26[[#This Row],[customerSKU]],Table27[customer_SKU],Table27[billto],"",0,1))</f>
        <v/>
      </c>
      <c r="AH2374" s="26" t="str">
        <f>_xlfn.XLOOKUP(Table26[[#This Row],[customerSKU]],customerSKU!G:G,customerSKU!K:K,"NA",0,1)</f>
        <v>NA</v>
      </c>
      <c r="AI2374" s="43" t="str">
        <f>_xlfn.XLOOKUP(Table26[[#This Row],[customerSKU]],customerSKU!G:G,customerSKU!O:O,"not found",0,1)</f>
        <v>not found</v>
      </c>
      <c r="AJ2374" s="22" t="e">
        <f>Table26[[#This Row],[unitprice]]*Table26[[#This Row],[quantity_unit]]</f>
        <v>#VALUE!</v>
      </c>
      <c r="AK2374" s="227" t="e" cm="1">
        <f t="array" ref="AK23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4" s="227"/>
    </row>
    <row r="2375" spans="1:38" ht="27" customHeight="1">
      <c r="A2375" s="42">
        <v>2330</v>
      </c>
      <c r="B2375" s="42" t="s">
        <v>3520</v>
      </c>
      <c r="C2375" s="53" t="s">
        <v>3360</v>
      </c>
      <c r="E2375" s="20"/>
      <c r="F23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75" s="93"/>
      <c r="I2375" s="203">
        <v>45887</v>
      </c>
      <c r="J2375" s="90" t="str">
        <f>IF(Table26[[#This Row],[customerSKU]]="","",_xlfn.XLOOKUP(Table26[[#This Row],[customerSKU]],customerSKU!G:G,customerSKU!A:A,"",0,1))</f>
        <v/>
      </c>
      <c r="K2375" s="19"/>
      <c r="L2375" s="49" t="str">
        <f>IF(Table26[[#This Row],[customerSKU]]="","",_xlfn.XLOOKUP(Table26[[#This Row],[customerSKU]],customerSKU!G:G,customerSKU!B:B,"",0,1))</f>
        <v/>
      </c>
      <c r="M2375" s="22"/>
      <c r="N2375" s="15" t="str">
        <f>Table26[[#This Row],[po_number]]&amp;"-"&amp;Table26[[#This Row],[po_line]]</f>
        <v>-1</v>
      </c>
      <c r="O2375" s="15">
        <v>1</v>
      </c>
      <c r="P2375" s="50"/>
      <c r="S2375" s="90" t="str">
        <f>IF(Table26[[#This Row],[customerSKU]]="","",_xlfn.XLOOKUP(Table26[[#This Row],[customerSKU]],customerSKU!G:G,customerSKU!N:N,"NOT FOUND",0,1))</f>
        <v>NOT FOUND</v>
      </c>
      <c r="T2375" s="20"/>
      <c r="U2375" s="94">
        <v>12</v>
      </c>
      <c r="V2375" s="22" t="str">
        <f>IF(ISBLANK(Table26[[#This Row],[customerSKU]]),"",_xlfn.XLOOKUP(Table26[[#This Row],[customerSKU]],Table27[customer_SKU],Table27[case_size],"",0,1))</f>
        <v/>
      </c>
      <c r="W2375" s="117" t="str">
        <f t="shared" si="102"/>
        <v/>
      </c>
      <c r="X2375" s="22" t="str">
        <f t="shared" si="101"/>
        <v/>
      </c>
      <c r="Y2375" s="25" t="str">
        <f>IF(Table26[[#This Row],[customerSKU]]="","",_xlfn.XLOOKUP(Table26[[#This Row],[customerSKU]],Table27[customer_SKU],Table27[product_GTIN],"",0,1))</f>
        <v/>
      </c>
      <c r="Z2375" s="25" t="s">
        <v>3529</v>
      </c>
      <c r="AA2375" s="18" t="str" cm="1">
        <f t="array" ref="AA2375">IF(P2375="", "", _xlfn.XLOOKUP(P2375,#REF!,#REF!,NA,0,-1))</f>
        <v/>
      </c>
      <c r="AB2375" s="22"/>
      <c r="AC2375" s="23" t="str">
        <f>IF(Table26[[#This Row],[customerSKU]]="","",_xlfn.XLOOKUP(Table26[[#This Row],[customerSKU]],customerSKU!G:G,customerSKU!C:C,"",0,1))</f>
        <v/>
      </c>
      <c r="AD2375" s="23" t="str">
        <f>IF($AC2375="","",_xlfn.XLOOKUP($AC2375,'Client Info'!$C$2:$C$2497,'Client Info'!$D$2:$D$2497,"",0,1))</f>
        <v/>
      </c>
      <c r="AE2375" s="23" t="str">
        <f>IF($AC2375="","",_xlfn.XLOOKUP($AC2375,'Client Info'!$C$2:$C$2677,'Client Info'!$E$2:$E$2677,"",))</f>
        <v/>
      </c>
      <c r="AF2375" s="23" t="str">
        <f>IF($AC2375="","",_xlfn.XLOOKUP($AC2375,'Client Info'!$C$2:$C$2677,'Client Info'!$F$2:$F$2677,"",0,1))</f>
        <v/>
      </c>
      <c r="AG2375" s="23" t="str">
        <f>IF(ISBLANK(Table26[[#This Row],[customerSKU]]),"",_xlfn.XLOOKUP(Table26[[#This Row],[customerSKU]],Table27[customer_SKU],Table27[billto],"",0,1))</f>
        <v/>
      </c>
      <c r="AH2375" s="26" t="str">
        <f>_xlfn.XLOOKUP(Table26[[#This Row],[customerSKU]],customerSKU!G:G,customerSKU!K:K,"NA",0,1)</f>
        <v>NA</v>
      </c>
      <c r="AI2375" s="43" t="str">
        <f>_xlfn.XLOOKUP(Table26[[#This Row],[customerSKU]],customerSKU!G:G,customerSKU!O:O,"not found",0,1)</f>
        <v>not found</v>
      </c>
      <c r="AJ2375" s="22" t="e">
        <f>Table26[[#This Row],[unitprice]]*Table26[[#This Row],[quantity_unit]]</f>
        <v>#VALUE!</v>
      </c>
      <c r="AK2375" s="227" t="e" cm="1">
        <f t="array" ref="AK23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5" s="227"/>
    </row>
    <row r="2376" spans="1:38" ht="27" customHeight="1">
      <c r="A2376" s="42">
        <v>2366</v>
      </c>
      <c r="B2376" s="42" t="s">
        <v>3520</v>
      </c>
      <c r="C2376" s="53" t="s">
        <v>3383</v>
      </c>
      <c r="E2376" s="20"/>
      <c r="F2376" s="22"/>
      <c r="G2376" s="93"/>
      <c r="I2376" s="203">
        <v>45889</v>
      </c>
      <c r="J2376" s="90" t="str">
        <f>IF(Table26[[#This Row],[customerSKU]]="","",_xlfn.XLOOKUP(Table26[[#This Row],[customerSKU]],customerSKU!G:G,customerSKU!A:A,"",0,1))</f>
        <v/>
      </c>
      <c r="K2376" s="19"/>
      <c r="L2376" s="49" t="str">
        <f>IF(Table26[[#This Row],[customerSKU]]="","",_xlfn.XLOOKUP(Table26[[#This Row],[customerSKU]],customerSKU!G:G,customerSKU!B:B,"",0,1))</f>
        <v/>
      </c>
      <c r="M2376" s="22"/>
      <c r="O2376" s="15">
        <v>1</v>
      </c>
      <c r="P2376" s="50"/>
      <c r="S2376" s="90" t="str">
        <f>IF(Table26[[#This Row],[customerSKU]]="","",_xlfn.XLOOKUP(Table26[[#This Row],[customerSKU]],customerSKU!G:G,customerSKU!N:N,"NOT FOUND",0,1))</f>
        <v>NOT FOUND</v>
      </c>
      <c r="T2376" s="20"/>
      <c r="U2376" s="94">
        <v>240</v>
      </c>
      <c r="V2376" s="22" t="str">
        <f>IF(ISBLANK(Table26[[#This Row],[customerSKU]]),"",_xlfn.XLOOKUP(Table26[[#This Row],[customerSKU]],Table27[customer_SKU],Table27[case_size],"",0,1))</f>
        <v/>
      </c>
      <c r="W2376" s="117" t="str">
        <f t="shared" si="102"/>
        <v/>
      </c>
      <c r="X2376" s="22" t="str">
        <f t="shared" si="101"/>
        <v/>
      </c>
      <c r="Y2376" s="25" t="str">
        <f>IF(Table26[[#This Row],[customerSKU]]="","",_xlfn.XLOOKUP(Table26[[#This Row],[customerSKU]],Table27[customer_SKU],Table27[product_GTIN],"",0,1))</f>
        <v/>
      </c>
      <c r="Z2376" s="25" t="s">
        <v>3282</v>
      </c>
      <c r="AA2376" s="18" t="str" cm="1">
        <f t="array" ref="AA2376">IF(P2376="", "", _xlfn.XLOOKUP(P2376,#REF!,#REF!,NA,0,-1))</f>
        <v/>
      </c>
      <c r="AB2376" s="22"/>
      <c r="AC2376" s="23" t="str">
        <f>IF(Table26[[#This Row],[customerSKU]]="","",_xlfn.XLOOKUP(Table26[[#This Row],[customerSKU]],customerSKU!G:G,customerSKU!C:C,"",0,1))</f>
        <v/>
      </c>
      <c r="AD2376" s="23" t="str">
        <f>IF($AC2376="","",_xlfn.XLOOKUP($AC2376,'Client Info'!$C$2:$C$2497,'Client Info'!$D$2:$D$2497,"",0,1))</f>
        <v/>
      </c>
      <c r="AE2376" s="23" t="str">
        <f>IF($AC2376="","",_xlfn.XLOOKUP($AC2376,'Client Info'!$C$2:$C$2677,'Client Info'!$E$2:$E$2677,"",))</f>
        <v/>
      </c>
      <c r="AF2376" s="23" t="str">
        <f>IF($AC2376="","",_xlfn.XLOOKUP($AC2376,'Client Info'!$C$2:$C$2677,'Client Info'!$F$2:$F$2677,"",0,1))</f>
        <v/>
      </c>
      <c r="AG2376" s="23" t="str">
        <f>IF(ISBLANK(Table26[[#This Row],[customerSKU]]),"",_xlfn.XLOOKUP(Table26[[#This Row],[customerSKU]],Table27[customer_SKU],Table27[billto],"",0,1))</f>
        <v/>
      </c>
      <c r="AH2376" s="26" t="str">
        <f>_xlfn.XLOOKUP(Table26[[#This Row],[customerSKU]],customerSKU!G:G,customerSKU!K:K,"NA",0,1)</f>
        <v>NA</v>
      </c>
      <c r="AI2376" s="43" t="str">
        <f>_xlfn.XLOOKUP(Table26[[#This Row],[customerSKU]],customerSKU!G:G,customerSKU!O:O,"not found",0,1)</f>
        <v>not found</v>
      </c>
      <c r="AJ2376" s="22" t="e">
        <f>Table26[[#This Row],[unitprice]]*Table26[[#This Row],[quantity_unit]]</f>
        <v>#VALUE!</v>
      </c>
      <c r="AK2376" s="227" t="e" cm="1">
        <f t="array" ref="AK23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6" s="227"/>
    </row>
    <row r="2377" spans="1:38" ht="27" customHeight="1">
      <c r="A2377" s="42">
        <v>2367</v>
      </c>
      <c r="B2377" s="42" t="s">
        <v>3520</v>
      </c>
      <c r="C2377" s="53" t="s">
        <v>3383</v>
      </c>
      <c r="E2377" s="20"/>
      <c r="F2377" s="22"/>
      <c r="G2377" s="93"/>
      <c r="I2377" s="203">
        <v>45889</v>
      </c>
      <c r="J2377" s="90" t="str">
        <f>IF(Table26[[#This Row],[customerSKU]]="","",_xlfn.XLOOKUP(Table26[[#This Row],[customerSKU]],customerSKU!G:G,customerSKU!A:A,"",0,1))</f>
        <v/>
      </c>
      <c r="K2377" s="19"/>
      <c r="L2377" s="49" t="str">
        <f>IF(Table26[[#This Row],[customerSKU]]="","",_xlfn.XLOOKUP(Table26[[#This Row],[customerSKU]],customerSKU!G:G,customerSKU!B:B,"",0,1))</f>
        <v/>
      </c>
      <c r="M2377" s="22"/>
      <c r="O2377" s="15">
        <v>2</v>
      </c>
      <c r="P2377" s="50"/>
      <c r="S2377" s="90" t="str">
        <f>IF(Table26[[#This Row],[customerSKU]]="","",_xlfn.XLOOKUP(Table26[[#This Row],[customerSKU]],customerSKU!G:G,customerSKU!N:N,"NOT FOUND",0,1))</f>
        <v>NOT FOUND</v>
      </c>
      <c r="T2377" s="20"/>
      <c r="U2377" s="94">
        <v>600</v>
      </c>
      <c r="V2377" s="22" t="str">
        <f>IF(ISBLANK(Table26[[#This Row],[customerSKU]]),"",_xlfn.XLOOKUP(Table26[[#This Row],[customerSKU]],Table27[customer_SKU],Table27[case_size],"",0,1))</f>
        <v/>
      </c>
      <c r="W2377" s="117" t="str">
        <f t="shared" si="102"/>
        <v/>
      </c>
      <c r="X2377" s="22" t="str">
        <f t="shared" si="101"/>
        <v/>
      </c>
      <c r="Y2377" s="25" t="str">
        <f>IF(Table26[[#This Row],[customerSKU]]="","",_xlfn.XLOOKUP(Table26[[#This Row],[customerSKU]],Table27[customer_SKU],Table27[product_GTIN],"",0,1))</f>
        <v/>
      </c>
      <c r="Z2377" s="25" t="s">
        <v>3736</v>
      </c>
      <c r="AA2377" s="18" t="str" cm="1">
        <f t="array" ref="AA2377">IF(P2377="", "", _xlfn.XLOOKUP(P2377,#REF!,#REF!,NA,0,-1))</f>
        <v/>
      </c>
      <c r="AB2377" s="22"/>
      <c r="AC2377" s="23" t="str">
        <f>IF(Table26[[#This Row],[customerSKU]]="","",_xlfn.XLOOKUP(Table26[[#This Row],[customerSKU]],customerSKU!G:G,customerSKU!C:C,"",0,1))</f>
        <v/>
      </c>
      <c r="AD2377" s="23" t="str">
        <f>IF($AC2377="","",_xlfn.XLOOKUP($AC2377,'Client Info'!$C$2:$C$2497,'Client Info'!$D$2:$D$2497,"",0,1))</f>
        <v/>
      </c>
      <c r="AE2377" s="23" t="str">
        <f>IF($AC2377="","",_xlfn.XLOOKUP($AC2377,'Client Info'!$C$2:$C$2677,'Client Info'!$E$2:$E$2677,"",))</f>
        <v/>
      </c>
      <c r="AF2377" s="23" t="str">
        <f>IF($AC2377="","",_xlfn.XLOOKUP($AC2377,'Client Info'!$C$2:$C$2677,'Client Info'!$F$2:$F$2677,"",0,1))</f>
        <v/>
      </c>
      <c r="AG2377" s="23" t="str">
        <f>IF(ISBLANK(Table26[[#This Row],[customerSKU]]),"",_xlfn.XLOOKUP(Table26[[#This Row],[customerSKU]],Table27[customer_SKU],Table27[billto],"",0,1))</f>
        <v/>
      </c>
      <c r="AH2377" s="26" t="str">
        <f>_xlfn.XLOOKUP(Table26[[#This Row],[customerSKU]],customerSKU!G:G,customerSKU!K:K,"NA",0,1)</f>
        <v>NA</v>
      </c>
      <c r="AI2377" s="43" t="str">
        <f>_xlfn.XLOOKUP(Table26[[#This Row],[customerSKU]],customerSKU!G:G,customerSKU!O:O,"not found",0,1)</f>
        <v>not found</v>
      </c>
      <c r="AJ2377" s="22" t="e">
        <f>Table26[[#This Row],[unitprice]]*Table26[[#This Row],[quantity_unit]]</f>
        <v>#VALUE!</v>
      </c>
      <c r="AK2377" s="227" t="e" cm="1">
        <f t="array" ref="AK23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7" s="227"/>
    </row>
    <row r="2378" spans="1:38" ht="27" customHeight="1">
      <c r="A2378" s="42">
        <v>2368</v>
      </c>
      <c r="B2378" s="42" t="s">
        <v>3520</v>
      </c>
      <c r="C2378" s="53" t="s">
        <v>3383</v>
      </c>
      <c r="E2378" s="20"/>
      <c r="F2378" s="22"/>
      <c r="G2378" s="93"/>
      <c r="I2378" s="203">
        <v>45889</v>
      </c>
      <c r="J2378" s="90" t="str">
        <f>IF(Table26[[#This Row],[customerSKU]]="","",_xlfn.XLOOKUP(Table26[[#This Row],[customerSKU]],customerSKU!G:G,customerSKU!A:A,"",0,1))</f>
        <v/>
      </c>
      <c r="K2378" s="19"/>
      <c r="L2378" s="49" t="str">
        <f>IF(Table26[[#This Row],[customerSKU]]="","",_xlfn.XLOOKUP(Table26[[#This Row],[customerSKU]],customerSKU!G:G,customerSKU!B:B,"",0,1))</f>
        <v/>
      </c>
      <c r="M2378" s="22"/>
      <c r="O2378" s="15">
        <v>3</v>
      </c>
      <c r="P2378" s="50"/>
      <c r="S2378" s="90" t="str">
        <f>IF(Table26[[#This Row],[customerSKU]]="","",_xlfn.XLOOKUP(Table26[[#This Row],[customerSKU]],customerSKU!G:G,customerSKU!N:N,"NOT FOUND",0,1))</f>
        <v>NOT FOUND</v>
      </c>
      <c r="T2378" s="20"/>
      <c r="U2378" s="94">
        <v>900</v>
      </c>
      <c r="V2378" s="22" t="str">
        <f>IF(ISBLANK(Table26[[#This Row],[customerSKU]]),"",_xlfn.XLOOKUP(Table26[[#This Row],[customerSKU]],Table27[customer_SKU],Table27[case_size],"",0,1))</f>
        <v/>
      </c>
      <c r="W2378" s="117" t="str">
        <f t="shared" si="102"/>
        <v/>
      </c>
      <c r="X2378" s="22" t="str">
        <f t="shared" si="101"/>
        <v/>
      </c>
      <c r="Y2378" s="25" t="str">
        <f>IF(Table26[[#This Row],[customerSKU]]="","",_xlfn.XLOOKUP(Table26[[#This Row],[customerSKU]],Table27[customer_SKU],Table27[product_GTIN],"",0,1))</f>
        <v/>
      </c>
      <c r="Z2378" s="25" t="s">
        <v>3283</v>
      </c>
      <c r="AA2378" s="18" t="str" cm="1">
        <f t="array" ref="AA2378">IF(P2378="", "", _xlfn.XLOOKUP(P2378,#REF!,#REF!,NA,0,-1))</f>
        <v/>
      </c>
      <c r="AB2378" s="22"/>
      <c r="AC2378" s="23" t="str">
        <f>IF(Table26[[#This Row],[customerSKU]]="","",_xlfn.XLOOKUP(Table26[[#This Row],[customerSKU]],customerSKU!G:G,customerSKU!C:C,"",0,1))</f>
        <v/>
      </c>
      <c r="AD2378" s="23" t="str">
        <f>IF($AC2378="","",_xlfn.XLOOKUP($AC2378,'Client Info'!$C$2:$C$2497,'Client Info'!$D$2:$D$2497,"",0,1))</f>
        <v/>
      </c>
      <c r="AE2378" s="23" t="str">
        <f>IF($AC2378="","",_xlfn.XLOOKUP($AC2378,'Client Info'!$C$2:$C$2677,'Client Info'!$E$2:$E$2677,"",))</f>
        <v/>
      </c>
      <c r="AF2378" s="23" t="str">
        <f>IF($AC2378="","",_xlfn.XLOOKUP($AC2378,'Client Info'!$C$2:$C$2677,'Client Info'!$F$2:$F$2677,"",0,1))</f>
        <v/>
      </c>
      <c r="AG2378" s="23" t="str">
        <f>IF(ISBLANK(Table26[[#This Row],[customerSKU]]),"",_xlfn.XLOOKUP(Table26[[#This Row],[customerSKU]],Table27[customer_SKU],Table27[billto],"",0,1))</f>
        <v/>
      </c>
      <c r="AH2378" s="26" t="str">
        <f>_xlfn.XLOOKUP(Table26[[#This Row],[customerSKU]],customerSKU!G:G,customerSKU!K:K,"NA",0,1)</f>
        <v>NA</v>
      </c>
      <c r="AI2378" s="43" t="str">
        <f>_xlfn.XLOOKUP(Table26[[#This Row],[customerSKU]],customerSKU!G:G,customerSKU!O:O,"not found",0,1)</f>
        <v>not found</v>
      </c>
      <c r="AJ2378" s="22" t="e">
        <f>Table26[[#This Row],[unitprice]]*Table26[[#This Row],[quantity_unit]]</f>
        <v>#VALUE!</v>
      </c>
      <c r="AK2378" s="227" t="e" cm="1">
        <f t="array" ref="AK23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8" s="227"/>
    </row>
    <row r="2379" spans="1:38" ht="27" customHeight="1">
      <c r="A2379" s="42">
        <v>2369</v>
      </c>
      <c r="B2379" s="42" t="s">
        <v>3520</v>
      </c>
      <c r="C2379" s="53" t="s">
        <v>3383</v>
      </c>
      <c r="E2379" s="20"/>
      <c r="F2379" s="22"/>
      <c r="G2379" s="93"/>
      <c r="I2379" s="203">
        <v>45889</v>
      </c>
      <c r="J2379" s="90" t="str">
        <f>IF(Table26[[#This Row],[customerSKU]]="","",_xlfn.XLOOKUP(Table26[[#This Row],[customerSKU]],customerSKU!G:G,customerSKU!A:A,"",0,1))</f>
        <v/>
      </c>
      <c r="K2379" s="19"/>
      <c r="L2379" s="49" t="str">
        <f>IF(Table26[[#This Row],[customerSKU]]="","",_xlfn.XLOOKUP(Table26[[#This Row],[customerSKU]],customerSKU!G:G,customerSKU!B:B,"",0,1))</f>
        <v/>
      </c>
      <c r="M2379" s="22"/>
      <c r="O2379" s="15">
        <v>4</v>
      </c>
      <c r="P2379" s="50"/>
      <c r="S2379" s="90" t="str">
        <f>IF(Table26[[#This Row],[customerSKU]]="","",_xlfn.XLOOKUP(Table26[[#This Row],[customerSKU]],customerSKU!G:G,customerSKU!N:N,"NOT FOUND",0,1))</f>
        <v>NOT FOUND</v>
      </c>
      <c r="T2379" s="20"/>
      <c r="U2379" s="94">
        <v>60</v>
      </c>
      <c r="V2379" s="22" t="str">
        <f>IF(ISBLANK(Table26[[#This Row],[customerSKU]]),"",_xlfn.XLOOKUP(Table26[[#This Row],[customerSKU]],Table27[customer_SKU],Table27[case_size],"",0,1))</f>
        <v/>
      </c>
      <c r="W2379" s="117" t="str">
        <f t="shared" si="102"/>
        <v/>
      </c>
      <c r="X2379" s="22" t="str">
        <f t="shared" si="101"/>
        <v/>
      </c>
      <c r="Y2379" s="25" t="str">
        <f>IF(Table26[[#This Row],[customerSKU]]="","",_xlfn.XLOOKUP(Table26[[#This Row],[customerSKU]],Table27[customer_SKU],Table27[product_GTIN],"",0,1))</f>
        <v/>
      </c>
      <c r="Z2379" s="25" t="s">
        <v>3285</v>
      </c>
      <c r="AA2379" s="18" t="str" cm="1">
        <f t="array" ref="AA2379">IF(P2379="", "", _xlfn.XLOOKUP(P2379,#REF!,#REF!,NA,0,-1))</f>
        <v/>
      </c>
      <c r="AB2379" s="22"/>
      <c r="AC2379" s="23" t="str">
        <f>IF(Table26[[#This Row],[customerSKU]]="","",_xlfn.XLOOKUP(Table26[[#This Row],[customerSKU]],customerSKU!G:G,customerSKU!C:C,"",0,1))</f>
        <v/>
      </c>
      <c r="AD2379" s="23" t="str">
        <f>IF($AC2379="","",_xlfn.XLOOKUP($AC2379,'Client Info'!$C$2:$C$2497,'Client Info'!$D$2:$D$2497,"",0,1))</f>
        <v/>
      </c>
      <c r="AE2379" s="23" t="str">
        <f>IF($AC2379="","",_xlfn.XLOOKUP($AC2379,'Client Info'!$C$2:$C$2677,'Client Info'!$E$2:$E$2677,"",))</f>
        <v/>
      </c>
      <c r="AF2379" s="23" t="str">
        <f>IF($AC2379="","",_xlfn.XLOOKUP($AC2379,'Client Info'!$C$2:$C$2677,'Client Info'!$F$2:$F$2677,"",0,1))</f>
        <v/>
      </c>
      <c r="AG2379" s="23" t="str">
        <f>IF(ISBLANK(Table26[[#This Row],[customerSKU]]),"",_xlfn.XLOOKUP(Table26[[#This Row],[customerSKU]],Table27[customer_SKU],Table27[billto],"",0,1))</f>
        <v/>
      </c>
      <c r="AH2379" s="26" t="str">
        <f>_xlfn.XLOOKUP(Table26[[#This Row],[customerSKU]],customerSKU!G:G,customerSKU!K:K,"NA",0,1)</f>
        <v>NA</v>
      </c>
      <c r="AI2379" s="43" t="str">
        <f>_xlfn.XLOOKUP(Table26[[#This Row],[customerSKU]],customerSKU!G:G,customerSKU!O:O,"not found",0,1)</f>
        <v>not found</v>
      </c>
      <c r="AJ2379" s="22" t="e">
        <f>Table26[[#This Row],[unitprice]]*Table26[[#This Row],[quantity_unit]]</f>
        <v>#VALUE!</v>
      </c>
      <c r="AK2379" s="227" t="e" cm="1">
        <f t="array" ref="AK23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79" s="227"/>
    </row>
    <row r="2380" spans="1:38" ht="27" customHeight="1">
      <c r="A2380" s="42">
        <v>2370</v>
      </c>
      <c r="B2380" s="42" t="s">
        <v>3520</v>
      </c>
      <c r="C2380" s="53" t="s">
        <v>3383</v>
      </c>
      <c r="E2380" s="20"/>
      <c r="F2380" s="22"/>
      <c r="G2380" s="93"/>
      <c r="I2380" s="203">
        <v>45889</v>
      </c>
      <c r="J2380" s="90" t="str">
        <f>IF(Table26[[#This Row],[customerSKU]]="","",_xlfn.XLOOKUP(Table26[[#This Row],[customerSKU]],customerSKU!G:G,customerSKU!A:A,"",0,1))</f>
        <v/>
      </c>
      <c r="K2380" s="19"/>
      <c r="L2380" s="49" t="str">
        <f>IF(Table26[[#This Row],[customerSKU]]="","",_xlfn.XLOOKUP(Table26[[#This Row],[customerSKU]],customerSKU!G:G,customerSKU!B:B,"",0,1))</f>
        <v/>
      </c>
      <c r="M2380" s="22"/>
      <c r="O2380" s="15">
        <v>1</v>
      </c>
      <c r="P2380" s="50"/>
      <c r="S2380" s="90" t="str">
        <f>IF(Table26[[#This Row],[customerSKU]]="","",_xlfn.XLOOKUP(Table26[[#This Row],[customerSKU]],customerSKU!G:G,customerSKU!N:N,"NOT FOUND",0,1))</f>
        <v>NOT FOUND</v>
      </c>
      <c r="T2380" s="20"/>
      <c r="U2380" s="94"/>
      <c r="V2380" s="22" t="str">
        <f>IF(ISBLANK(Table26[[#This Row],[customerSKU]]),"",_xlfn.XLOOKUP(Table26[[#This Row],[customerSKU]],Table27[customer_SKU],Table27[case_size],"",0,1))</f>
        <v/>
      </c>
      <c r="W2380" s="117" t="str">
        <f t="shared" si="102"/>
        <v/>
      </c>
      <c r="X2380" s="22" t="str">
        <f t="shared" si="101"/>
        <v/>
      </c>
      <c r="Y2380" s="25" t="str">
        <f>IF(Table26[[#This Row],[customerSKU]]="","",_xlfn.XLOOKUP(Table26[[#This Row],[customerSKU]],Table27[customer_SKU],Table27[product_GTIN],"",0,1))</f>
        <v/>
      </c>
      <c r="Z2380" s="25" t="s">
        <v>3560</v>
      </c>
      <c r="AA2380" s="18" t="str" cm="1">
        <f t="array" ref="AA2380">IF(P2380="", "", _xlfn.XLOOKUP(P2380,#REF!,#REF!,NA,0,-1))</f>
        <v/>
      </c>
      <c r="AB2380" s="22"/>
      <c r="AC2380" s="23" t="str">
        <f>IF(Table26[[#This Row],[customerSKU]]="","",_xlfn.XLOOKUP(Table26[[#This Row],[customerSKU]],customerSKU!G:G,customerSKU!C:C,"",0,1))</f>
        <v/>
      </c>
      <c r="AD2380" s="23" t="str">
        <f>IF($AC2380="","",_xlfn.XLOOKUP($AC2380,'Client Info'!$C$2:$C$2497,'Client Info'!$D$2:$D$2497,"",0,1))</f>
        <v/>
      </c>
      <c r="AE2380" s="23" t="str">
        <f>IF($AC2380="","",_xlfn.XLOOKUP($AC2380,'Client Info'!$C$2:$C$2677,'Client Info'!$E$2:$E$2677,"",))</f>
        <v/>
      </c>
      <c r="AF2380" s="23" t="str">
        <f>IF($AC2380="","",_xlfn.XLOOKUP($AC2380,'Client Info'!$C$2:$C$2677,'Client Info'!$F$2:$F$2677,"",0,1))</f>
        <v/>
      </c>
      <c r="AG2380" s="23" t="str">
        <f>IF(ISBLANK(Table26[[#This Row],[customerSKU]]),"",_xlfn.XLOOKUP(Table26[[#This Row],[customerSKU]],Table27[customer_SKU],Table27[billto],"",0,1))</f>
        <v/>
      </c>
      <c r="AH2380" s="26" t="str">
        <f>_xlfn.XLOOKUP(Table26[[#This Row],[customerSKU]],customerSKU!G:G,customerSKU!K:K,"NA",0,1)</f>
        <v>NA</v>
      </c>
      <c r="AI2380" s="43" t="str">
        <f>_xlfn.XLOOKUP(Table26[[#This Row],[customerSKU]],customerSKU!G:G,customerSKU!O:O,"not found",0,1)</f>
        <v>not found</v>
      </c>
      <c r="AJ2380" s="22" t="e">
        <f>Table26[[#This Row],[unitprice]]*Table26[[#This Row],[quantity_unit]]</f>
        <v>#VALUE!</v>
      </c>
      <c r="AK2380" s="227" t="e" cm="1">
        <f t="array" ref="AK23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0" s="227"/>
    </row>
    <row r="2381" spans="1:38" ht="15.6">
      <c r="A2381" s="42">
        <v>2371</v>
      </c>
      <c r="B2381" s="42" t="s">
        <v>3520</v>
      </c>
      <c r="C2381" s="53" t="s">
        <v>3383</v>
      </c>
      <c r="E2381" s="20"/>
      <c r="F2381" s="22"/>
      <c r="G2381" s="93"/>
      <c r="I2381" s="203">
        <v>45889</v>
      </c>
      <c r="J2381" s="90" t="str">
        <f>IF(Table26[[#This Row],[customerSKU]]="","",_xlfn.XLOOKUP(Table26[[#This Row],[customerSKU]],customerSKU!G:G,customerSKU!A:A,"",0,1))</f>
        <v/>
      </c>
      <c r="K2381" s="19"/>
      <c r="L2381" s="49" t="str">
        <f>IF(Table26[[#This Row],[customerSKU]]="","",_xlfn.XLOOKUP(Table26[[#This Row],[customerSKU]],customerSKU!G:G,customerSKU!B:B,"",0,1))</f>
        <v/>
      </c>
      <c r="M2381" s="22"/>
      <c r="O2381" s="15">
        <v>2</v>
      </c>
      <c r="P2381" s="50"/>
      <c r="S2381" s="90" t="str">
        <f>IF(Table26[[#This Row],[customerSKU]]="","",_xlfn.XLOOKUP(Table26[[#This Row],[customerSKU]],customerSKU!G:G,customerSKU!N:N,"NOT FOUND",0,1))</f>
        <v>NOT FOUND</v>
      </c>
      <c r="T2381" s="20"/>
      <c r="U2381" s="94"/>
      <c r="V2381" s="22" t="str">
        <f>IF(ISBLANK(Table26[[#This Row],[customerSKU]]),"",_xlfn.XLOOKUP(Table26[[#This Row],[customerSKU]],Table27[customer_SKU],Table27[case_size],"",0,1))</f>
        <v/>
      </c>
      <c r="W2381" s="117" t="str">
        <f t="shared" si="102"/>
        <v/>
      </c>
      <c r="X2381" s="22" t="str">
        <f t="shared" si="101"/>
        <v/>
      </c>
      <c r="Y2381" s="25" t="str">
        <f>IF(Table26[[#This Row],[customerSKU]]="","",_xlfn.XLOOKUP(Table26[[#This Row],[customerSKU]],Table27[customer_SKU],Table27[product_GTIN],"",0,1))</f>
        <v/>
      </c>
      <c r="Z2381" s="25" t="s">
        <v>3699</v>
      </c>
      <c r="AA2381" s="18" t="str" cm="1">
        <f t="array" ref="AA2381">IF(P2381="", "", _xlfn.XLOOKUP(P2381,#REF!,#REF!,NA,0,-1))</f>
        <v/>
      </c>
      <c r="AB2381" s="22"/>
      <c r="AC2381" s="23" t="str">
        <f>IF(Table26[[#This Row],[customerSKU]]="","",_xlfn.XLOOKUP(Table26[[#This Row],[customerSKU]],customerSKU!G:G,customerSKU!C:C,"",0,1))</f>
        <v/>
      </c>
      <c r="AD2381" s="23" t="str">
        <f>IF($AC2381="","",_xlfn.XLOOKUP($AC2381,'Client Info'!$C$2:$C$2497,'Client Info'!$D$2:$D$2497,"",0,1))</f>
        <v/>
      </c>
      <c r="AE2381" s="23" t="str">
        <f>IF($AC2381="","",_xlfn.XLOOKUP($AC2381,'Client Info'!$C$2:$C$2677,'Client Info'!$E$2:$E$2677,"",))</f>
        <v/>
      </c>
      <c r="AF2381" s="23" t="str">
        <f>IF($AC2381="","",_xlfn.XLOOKUP($AC2381,'Client Info'!$C$2:$C$2677,'Client Info'!$F$2:$F$2677,"",0,1))</f>
        <v/>
      </c>
      <c r="AG2381" s="23" t="str">
        <f>IF(ISBLANK(Table26[[#This Row],[customerSKU]]),"",_xlfn.XLOOKUP(Table26[[#This Row],[customerSKU]],Table27[customer_SKU],Table27[billto],"",0,1))</f>
        <v/>
      </c>
      <c r="AH2381" s="26" t="str">
        <f>_xlfn.XLOOKUP(Table26[[#This Row],[customerSKU]],customerSKU!G:G,customerSKU!K:K,"NA",0,1)</f>
        <v>NA</v>
      </c>
      <c r="AI2381" s="43" t="str">
        <f>_xlfn.XLOOKUP(Table26[[#This Row],[customerSKU]],customerSKU!G:G,customerSKU!O:O,"not found",0,1)</f>
        <v>not found</v>
      </c>
      <c r="AJ2381" s="22" t="e">
        <f>Table26[[#This Row],[unitprice]]*Table26[[#This Row],[quantity_unit]]</f>
        <v>#VALUE!</v>
      </c>
      <c r="AK2381" s="227" t="e" cm="1">
        <f t="array" ref="AK23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1" s="227"/>
    </row>
    <row r="2382" spans="1:38" ht="15.6">
      <c r="A2382" s="42">
        <v>2372</v>
      </c>
      <c r="B2382" s="42" t="s">
        <v>3520</v>
      </c>
      <c r="C2382" s="53" t="s">
        <v>3383</v>
      </c>
      <c r="E2382" s="20"/>
      <c r="F2382" s="22"/>
      <c r="G2382" s="93"/>
      <c r="I2382" s="203">
        <v>45889</v>
      </c>
      <c r="J2382" s="90" t="str">
        <f>IF(Table26[[#This Row],[customerSKU]]="","",_xlfn.XLOOKUP(Table26[[#This Row],[customerSKU]],customerSKU!G:G,customerSKU!A:A,"",0,1))</f>
        <v/>
      </c>
      <c r="K2382" s="19"/>
      <c r="L2382" s="49" t="str">
        <f>IF(Table26[[#This Row],[customerSKU]]="","",_xlfn.XLOOKUP(Table26[[#This Row],[customerSKU]],customerSKU!G:G,customerSKU!B:B,"",0,1))</f>
        <v/>
      </c>
      <c r="M2382" s="22"/>
      <c r="O2382" s="15">
        <v>3</v>
      </c>
      <c r="P2382" s="50"/>
      <c r="S2382" s="90" t="str">
        <f>IF(Table26[[#This Row],[customerSKU]]="","",_xlfn.XLOOKUP(Table26[[#This Row],[customerSKU]],customerSKU!G:G,customerSKU!N:N,"NOT FOUND",0,1))</f>
        <v>NOT FOUND</v>
      </c>
      <c r="T2382" s="20"/>
      <c r="U2382" s="94"/>
      <c r="V2382" s="22" t="str">
        <f>IF(ISBLANK(Table26[[#This Row],[customerSKU]]),"",_xlfn.XLOOKUP(Table26[[#This Row],[customerSKU]],Table27[customer_SKU],Table27[case_size],"",0,1))</f>
        <v/>
      </c>
      <c r="W2382" s="117" t="str">
        <f t="shared" si="102"/>
        <v/>
      </c>
      <c r="X2382" s="22" t="str">
        <f t="shared" si="101"/>
        <v/>
      </c>
      <c r="Y2382" s="25" t="str">
        <f>IF(Table26[[#This Row],[customerSKU]]="","",_xlfn.XLOOKUP(Table26[[#This Row],[customerSKU]],Table27[customer_SKU],Table27[product_GTIN],"",0,1))</f>
        <v/>
      </c>
      <c r="Z2382" s="25" t="s">
        <v>3698</v>
      </c>
      <c r="AA2382" s="18" t="str" cm="1">
        <f t="array" ref="AA2382">IF(P2382="", "", _xlfn.XLOOKUP(P2382,#REF!,#REF!,NA,0,-1))</f>
        <v/>
      </c>
      <c r="AB2382" s="22"/>
      <c r="AC2382" s="23" t="str">
        <f>IF(Table26[[#This Row],[customerSKU]]="","",_xlfn.XLOOKUP(Table26[[#This Row],[customerSKU]],customerSKU!G:G,customerSKU!C:C,"",0,1))</f>
        <v/>
      </c>
      <c r="AD2382" s="23" t="str">
        <f>IF($AC2382="","",_xlfn.XLOOKUP($AC2382,'Client Info'!$C$2:$C$2497,'Client Info'!$D$2:$D$2497,"",0,1))</f>
        <v/>
      </c>
      <c r="AE2382" s="23" t="str">
        <f>IF($AC2382="","",_xlfn.XLOOKUP($AC2382,'Client Info'!$C$2:$C$2677,'Client Info'!$E$2:$E$2677,"",))</f>
        <v/>
      </c>
      <c r="AF2382" s="23" t="str">
        <f>IF($AC2382="","",_xlfn.XLOOKUP($AC2382,'Client Info'!$C$2:$C$2677,'Client Info'!$F$2:$F$2677,"",0,1))</f>
        <v/>
      </c>
      <c r="AG2382" s="23" t="str">
        <f>IF(ISBLANK(Table26[[#This Row],[customerSKU]]),"",_xlfn.XLOOKUP(Table26[[#This Row],[customerSKU]],Table27[customer_SKU],Table27[billto],"",0,1))</f>
        <v/>
      </c>
      <c r="AH2382" s="26" t="str">
        <f>_xlfn.XLOOKUP(Table26[[#This Row],[customerSKU]],customerSKU!G:G,customerSKU!K:K,"NA",0,1)</f>
        <v>NA</v>
      </c>
      <c r="AI2382" s="43" t="str">
        <f>_xlfn.XLOOKUP(Table26[[#This Row],[customerSKU]],customerSKU!G:G,customerSKU!O:O,"not found",0,1)</f>
        <v>not found</v>
      </c>
      <c r="AJ2382" s="22" t="e">
        <f>Table26[[#This Row],[unitprice]]*Table26[[#This Row],[quantity_unit]]</f>
        <v>#VALUE!</v>
      </c>
      <c r="AK2382" s="227" t="e" cm="1">
        <f t="array" ref="AK23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2" s="227"/>
    </row>
    <row r="2383" spans="1:38" ht="15.6">
      <c r="A2383" s="42">
        <v>2373</v>
      </c>
      <c r="B2383" s="42" t="s">
        <v>3520</v>
      </c>
      <c r="C2383" s="53" t="s">
        <v>3383</v>
      </c>
      <c r="E2383" s="20"/>
      <c r="F2383" s="22"/>
      <c r="G2383" s="93"/>
      <c r="I2383" s="203">
        <v>45889</v>
      </c>
      <c r="J2383" s="90" t="str">
        <f>IF(Table26[[#This Row],[customerSKU]]="","",_xlfn.XLOOKUP(Table26[[#This Row],[customerSKU]],customerSKU!G:G,customerSKU!A:A,"",0,1))</f>
        <v/>
      </c>
      <c r="K2383" s="19"/>
      <c r="L2383" s="49" t="str">
        <f>IF(Table26[[#This Row],[customerSKU]]="","",_xlfn.XLOOKUP(Table26[[#This Row],[customerSKU]],customerSKU!G:G,customerSKU!B:B,"",0,1))</f>
        <v/>
      </c>
      <c r="M2383" s="22"/>
      <c r="O2383" s="15">
        <v>4</v>
      </c>
      <c r="P2383" s="50"/>
      <c r="S2383" s="90" t="str">
        <f>IF(Table26[[#This Row],[customerSKU]]="","",_xlfn.XLOOKUP(Table26[[#This Row],[customerSKU]],customerSKU!G:G,customerSKU!N:N,"NOT FOUND",0,1))</f>
        <v>NOT FOUND</v>
      </c>
      <c r="T2383" s="20"/>
      <c r="U2383" s="94"/>
      <c r="V2383" s="22" t="str">
        <f>IF(ISBLANK(Table26[[#This Row],[customerSKU]]),"",_xlfn.XLOOKUP(Table26[[#This Row],[customerSKU]],Table27[customer_SKU],Table27[case_size],"",0,1))</f>
        <v/>
      </c>
      <c r="W2383" s="117" t="str">
        <f t="shared" si="102"/>
        <v/>
      </c>
      <c r="X2383" s="22" t="str">
        <f t="shared" si="101"/>
        <v/>
      </c>
      <c r="Y2383" s="25" t="str">
        <f>IF(Table26[[#This Row],[customerSKU]]="","",_xlfn.XLOOKUP(Table26[[#This Row],[customerSKU]],Table27[customer_SKU],Table27[product_GTIN],"",0,1))</f>
        <v/>
      </c>
      <c r="Z2383" s="25" t="s">
        <v>3697</v>
      </c>
      <c r="AA2383" s="18" t="str" cm="1">
        <f t="array" ref="AA2383">IF(P2383="", "", _xlfn.XLOOKUP(P2383,#REF!,#REF!,NA,0,-1))</f>
        <v/>
      </c>
      <c r="AB2383" s="22"/>
      <c r="AC2383" s="23" t="str">
        <f>IF(Table26[[#This Row],[customerSKU]]="","",_xlfn.XLOOKUP(Table26[[#This Row],[customerSKU]],customerSKU!G:G,customerSKU!C:C,"",0,1))</f>
        <v/>
      </c>
      <c r="AD2383" s="23" t="str">
        <f>IF($AC2383="","",_xlfn.XLOOKUP($AC2383,'Client Info'!$C$2:$C$2497,'Client Info'!$D$2:$D$2497,"",0,1))</f>
        <v/>
      </c>
      <c r="AE2383" s="23" t="str">
        <f>IF($AC2383="","",_xlfn.XLOOKUP($AC2383,'Client Info'!$C$2:$C$2677,'Client Info'!$E$2:$E$2677,"",))</f>
        <v/>
      </c>
      <c r="AF2383" s="23" t="str">
        <f>IF($AC2383="","",_xlfn.XLOOKUP($AC2383,'Client Info'!$C$2:$C$2677,'Client Info'!$F$2:$F$2677,"",0,1))</f>
        <v/>
      </c>
      <c r="AG2383" s="23" t="str">
        <f>IF(ISBLANK(Table26[[#This Row],[customerSKU]]),"",_xlfn.XLOOKUP(Table26[[#This Row],[customerSKU]],Table27[customer_SKU],Table27[billto],"",0,1))</f>
        <v/>
      </c>
      <c r="AH2383" s="26" t="str">
        <f>_xlfn.XLOOKUP(Table26[[#This Row],[customerSKU]],customerSKU!G:G,customerSKU!K:K,"NA",0,1)</f>
        <v>NA</v>
      </c>
      <c r="AI2383" s="43" t="str">
        <f>_xlfn.XLOOKUP(Table26[[#This Row],[customerSKU]],customerSKU!G:G,customerSKU!O:O,"not found",0,1)</f>
        <v>not found</v>
      </c>
      <c r="AJ2383" s="22" t="e">
        <f>Table26[[#This Row],[unitprice]]*Table26[[#This Row],[quantity_unit]]</f>
        <v>#VALUE!</v>
      </c>
      <c r="AK2383" s="227" t="e" cm="1">
        <f t="array" ref="AK23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3" s="227"/>
    </row>
    <row r="2384" spans="1:38" ht="27" customHeight="1">
      <c r="A2384" s="42">
        <v>2374</v>
      </c>
      <c r="B2384" s="42" t="s">
        <v>3520</v>
      </c>
      <c r="C2384" s="53" t="s">
        <v>3383</v>
      </c>
      <c r="E2384" s="20"/>
      <c r="F2384" s="22"/>
      <c r="G2384" s="93"/>
      <c r="I2384" s="203">
        <v>45889</v>
      </c>
      <c r="J2384" s="90" t="str">
        <f>IF(Table26[[#This Row],[customerSKU]]="","",_xlfn.XLOOKUP(Table26[[#This Row],[customerSKU]],customerSKU!G:G,customerSKU!A:A,"",0,1))</f>
        <v/>
      </c>
      <c r="K2384" s="19"/>
      <c r="L2384" s="49" t="str">
        <f>IF(Table26[[#This Row],[customerSKU]]="","",_xlfn.XLOOKUP(Table26[[#This Row],[customerSKU]],customerSKU!G:G,customerSKU!B:B,"",0,1))</f>
        <v/>
      </c>
      <c r="M2384" s="22"/>
      <c r="O2384" s="15">
        <v>5</v>
      </c>
      <c r="P2384" s="50"/>
      <c r="S2384" s="90" t="str">
        <f>IF(Table26[[#This Row],[customerSKU]]="","",_xlfn.XLOOKUP(Table26[[#This Row],[customerSKU]],customerSKU!G:G,customerSKU!N:N,"NOT FOUND",0,1))</f>
        <v>NOT FOUND</v>
      </c>
      <c r="T2384" s="20"/>
      <c r="U2384" s="94"/>
      <c r="V2384" s="22" t="str">
        <f>IF(ISBLANK(Table26[[#This Row],[customerSKU]]),"",_xlfn.XLOOKUP(Table26[[#This Row],[customerSKU]],Table27[customer_SKU],Table27[case_size],"",0,1))</f>
        <v/>
      </c>
      <c r="W2384" s="117" t="str">
        <f t="shared" si="102"/>
        <v/>
      </c>
      <c r="X2384" s="22" t="str">
        <f t="shared" si="101"/>
        <v/>
      </c>
      <c r="Y2384" s="25" t="str">
        <f>IF(Table26[[#This Row],[customerSKU]]="","",_xlfn.XLOOKUP(Table26[[#This Row],[customerSKU]],Table27[customer_SKU],Table27[product_GTIN],"",0,1))</f>
        <v/>
      </c>
      <c r="Z2384" s="25" t="s">
        <v>3562</v>
      </c>
      <c r="AA2384" s="18" t="str" cm="1">
        <f t="array" ref="AA2384">IF(P2384="", "", _xlfn.XLOOKUP(P2384,#REF!,#REF!,NA,0,-1))</f>
        <v/>
      </c>
      <c r="AB2384" s="22"/>
      <c r="AC2384" s="23" t="str">
        <f>IF(Table26[[#This Row],[customerSKU]]="","",_xlfn.XLOOKUP(Table26[[#This Row],[customerSKU]],customerSKU!G:G,customerSKU!C:C,"",0,1))</f>
        <v/>
      </c>
      <c r="AD2384" s="23" t="str">
        <f>IF($AC2384="","",_xlfn.XLOOKUP($AC2384,'Client Info'!$C$2:$C$2497,'Client Info'!$D$2:$D$2497,"",0,1))</f>
        <v/>
      </c>
      <c r="AE2384" s="23" t="str">
        <f>IF($AC2384="","",_xlfn.XLOOKUP($AC2384,'Client Info'!$C$2:$C$2677,'Client Info'!$E$2:$E$2677,"",))</f>
        <v/>
      </c>
      <c r="AF2384" s="23" t="str">
        <f>IF($AC2384="","",_xlfn.XLOOKUP($AC2384,'Client Info'!$C$2:$C$2677,'Client Info'!$F$2:$F$2677,"",0,1))</f>
        <v/>
      </c>
      <c r="AG2384" s="23" t="str">
        <f>IF(ISBLANK(Table26[[#This Row],[customerSKU]]),"",_xlfn.XLOOKUP(Table26[[#This Row],[customerSKU]],Table27[customer_SKU],Table27[billto],"",0,1))</f>
        <v/>
      </c>
      <c r="AH2384" s="26" t="str">
        <f>_xlfn.XLOOKUP(Table26[[#This Row],[customerSKU]],customerSKU!G:G,customerSKU!K:K,"NA",0,1)</f>
        <v>NA</v>
      </c>
      <c r="AI2384" s="43" t="str">
        <f>_xlfn.XLOOKUP(Table26[[#This Row],[customerSKU]],customerSKU!G:G,customerSKU!O:O,"not found",0,1)</f>
        <v>not found</v>
      </c>
      <c r="AJ2384" s="22" t="e">
        <f>Table26[[#This Row],[unitprice]]*Table26[[#This Row],[quantity_unit]]</f>
        <v>#VALUE!</v>
      </c>
      <c r="AK2384" s="227" t="e" cm="1">
        <f t="array" ref="AK23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4" s="227"/>
    </row>
    <row r="2385" spans="1:38" ht="27" customHeight="1">
      <c r="A2385" s="42">
        <v>2375</v>
      </c>
      <c r="B2385" s="42" t="s">
        <v>3520</v>
      </c>
      <c r="C2385" s="53" t="s">
        <v>3383</v>
      </c>
      <c r="E2385" s="20"/>
      <c r="F2385" s="22"/>
      <c r="G2385" s="93"/>
      <c r="I2385" s="203">
        <v>45889</v>
      </c>
      <c r="J2385" s="90" t="str">
        <f>IF(Table26[[#This Row],[customerSKU]]="","",_xlfn.XLOOKUP(Table26[[#This Row],[customerSKU]],customerSKU!G:G,customerSKU!A:A,"",0,1))</f>
        <v/>
      </c>
      <c r="K2385" s="19"/>
      <c r="L2385" s="49" t="str">
        <f>IF(Table26[[#This Row],[customerSKU]]="","",_xlfn.XLOOKUP(Table26[[#This Row],[customerSKU]],customerSKU!G:G,customerSKU!B:B,"",0,1))</f>
        <v/>
      </c>
      <c r="M2385" s="22"/>
      <c r="O2385" s="15">
        <v>6</v>
      </c>
      <c r="P2385" s="50"/>
      <c r="S2385" s="90" t="str">
        <f>IF(Table26[[#This Row],[customerSKU]]="","",_xlfn.XLOOKUP(Table26[[#This Row],[customerSKU]],customerSKU!G:G,customerSKU!N:N,"NOT FOUND",0,1))</f>
        <v>NOT FOUND</v>
      </c>
      <c r="T2385" s="20"/>
      <c r="U2385" s="94"/>
      <c r="V2385" s="22" t="str">
        <f>IF(ISBLANK(Table26[[#This Row],[customerSKU]]),"",_xlfn.XLOOKUP(Table26[[#This Row],[customerSKU]],Table27[customer_SKU],Table27[case_size],"",0,1))</f>
        <v/>
      </c>
      <c r="W2385" s="117" t="str">
        <f t="shared" si="102"/>
        <v/>
      </c>
      <c r="X2385" s="22" t="str">
        <f t="shared" si="101"/>
        <v/>
      </c>
      <c r="Y2385" s="25" t="str">
        <f>IF(Table26[[#This Row],[customerSKU]]="","",_xlfn.XLOOKUP(Table26[[#This Row],[customerSKU]],Table27[customer_SKU],Table27[product_GTIN],"",0,1))</f>
        <v/>
      </c>
      <c r="Z2385" s="25" t="s">
        <v>3563</v>
      </c>
      <c r="AA2385" s="18" t="str" cm="1">
        <f t="array" ref="AA2385">IF(P2385="", "", _xlfn.XLOOKUP(P2385,#REF!,#REF!,NA,0,-1))</f>
        <v/>
      </c>
      <c r="AB2385" s="22"/>
      <c r="AC2385" s="23" t="str">
        <f>IF(Table26[[#This Row],[customerSKU]]="","",_xlfn.XLOOKUP(Table26[[#This Row],[customerSKU]],customerSKU!G:G,customerSKU!C:C,"",0,1))</f>
        <v/>
      </c>
      <c r="AD2385" s="23" t="str">
        <f>IF($AC2385="","",_xlfn.XLOOKUP($AC2385,'Client Info'!$C$2:$C$2497,'Client Info'!$D$2:$D$2497,"",0,1))</f>
        <v/>
      </c>
      <c r="AE2385" s="23" t="str">
        <f>IF($AC2385="","",_xlfn.XLOOKUP($AC2385,'Client Info'!$C$2:$C$2677,'Client Info'!$E$2:$E$2677,"",))</f>
        <v/>
      </c>
      <c r="AF2385" s="23" t="str">
        <f>IF($AC2385="","",_xlfn.XLOOKUP($AC2385,'Client Info'!$C$2:$C$2677,'Client Info'!$F$2:$F$2677,"",0,1))</f>
        <v/>
      </c>
      <c r="AG2385" s="23" t="str">
        <f>IF(ISBLANK(Table26[[#This Row],[customerSKU]]),"",_xlfn.XLOOKUP(Table26[[#This Row],[customerSKU]],Table27[customer_SKU],Table27[billto],"",0,1))</f>
        <v/>
      </c>
      <c r="AH2385" s="26" t="str">
        <f>_xlfn.XLOOKUP(Table26[[#This Row],[customerSKU]],customerSKU!G:G,customerSKU!K:K,"NA",0,1)</f>
        <v>NA</v>
      </c>
      <c r="AI2385" s="43" t="str">
        <f>_xlfn.XLOOKUP(Table26[[#This Row],[customerSKU]],customerSKU!G:G,customerSKU!O:O,"not found",0,1)</f>
        <v>not found</v>
      </c>
      <c r="AJ2385" s="22" t="e">
        <f>Table26[[#This Row],[unitprice]]*Table26[[#This Row],[quantity_unit]]</f>
        <v>#VALUE!</v>
      </c>
      <c r="AK2385" s="227" t="e" cm="1">
        <f t="array" ref="AK23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5" s="227"/>
    </row>
    <row r="2386" spans="1:38" ht="27" customHeight="1">
      <c r="A2386" s="42">
        <v>2376</v>
      </c>
      <c r="B2386" s="42" t="s">
        <v>3520</v>
      </c>
      <c r="C2386" s="53" t="s">
        <v>3383</v>
      </c>
      <c r="E2386" s="20"/>
      <c r="F2386" s="22"/>
      <c r="G2386" s="93"/>
      <c r="I2386" s="203">
        <v>45889</v>
      </c>
      <c r="J2386" s="90" t="str">
        <f>IF(Table26[[#This Row],[customerSKU]]="","",_xlfn.XLOOKUP(Table26[[#This Row],[customerSKU]],customerSKU!G:G,customerSKU!A:A,"",0,1))</f>
        <v/>
      </c>
      <c r="K2386" s="19"/>
      <c r="L2386" s="49" t="str">
        <f>IF(Table26[[#This Row],[customerSKU]]="","",_xlfn.XLOOKUP(Table26[[#This Row],[customerSKU]],customerSKU!G:G,customerSKU!B:B,"",0,1))</f>
        <v/>
      </c>
      <c r="M2386" s="22"/>
      <c r="O2386" s="15">
        <v>7</v>
      </c>
      <c r="P2386" s="50"/>
      <c r="S2386" s="90" t="str">
        <f>IF(Table26[[#This Row],[customerSKU]]="","",_xlfn.XLOOKUP(Table26[[#This Row],[customerSKU]],customerSKU!G:G,customerSKU!N:N,"NOT FOUND",0,1))</f>
        <v>NOT FOUND</v>
      </c>
      <c r="T2386" s="20"/>
      <c r="U2386" s="94"/>
      <c r="V2386" s="22" t="str">
        <f>IF(ISBLANK(Table26[[#This Row],[customerSKU]]),"",_xlfn.XLOOKUP(Table26[[#This Row],[customerSKU]],Table27[customer_SKU],Table27[case_size],"",0,1))</f>
        <v/>
      </c>
      <c r="W2386" s="117" t="str">
        <f t="shared" si="102"/>
        <v/>
      </c>
      <c r="X2386" s="22" t="str">
        <f t="shared" si="101"/>
        <v/>
      </c>
      <c r="Y2386" s="25" t="str">
        <f>IF(Table26[[#This Row],[customerSKU]]="","",_xlfn.XLOOKUP(Table26[[#This Row],[customerSKU]],Table27[customer_SKU],Table27[product_GTIN],"",0,1))</f>
        <v/>
      </c>
      <c r="Z2386" s="25" t="s">
        <v>3695</v>
      </c>
      <c r="AA2386" s="18" t="str" cm="1">
        <f t="array" ref="AA2386">IF(P2386="", "", _xlfn.XLOOKUP(P2386,#REF!,#REF!,NA,0,-1))</f>
        <v/>
      </c>
      <c r="AB2386" s="22"/>
      <c r="AC2386" s="23" t="str">
        <f>IF(Table26[[#This Row],[customerSKU]]="","",_xlfn.XLOOKUP(Table26[[#This Row],[customerSKU]],customerSKU!G:G,customerSKU!C:C,"",0,1))</f>
        <v/>
      </c>
      <c r="AD2386" s="23" t="str">
        <f>IF($AC2386="","",_xlfn.XLOOKUP($AC2386,'Client Info'!$C$2:$C$2497,'Client Info'!$D$2:$D$2497,"",0,1))</f>
        <v/>
      </c>
      <c r="AE2386" s="23" t="str">
        <f>IF($AC2386="","",_xlfn.XLOOKUP($AC2386,'Client Info'!$C$2:$C$2677,'Client Info'!$E$2:$E$2677,"",))</f>
        <v/>
      </c>
      <c r="AF2386" s="23" t="str">
        <f>IF($AC2386="","",_xlfn.XLOOKUP($AC2386,'Client Info'!$C$2:$C$2677,'Client Info'!$F$2:$F$2677,"",0,1))</f>
        <v/>
      </c>
      <c r="AG2386" s="23" t="str">
        <f>IF(ISBLANK(Table26[[#This Row],[customerSKU]]),"",_xlfn.XLOOKUP(Table26[[#This Row],[customerSKU]],Table27[customer_SKU],Table27[billto],"",0,1))</f>
        <v/>
      </c>
      <c r="AH2386" s="26" t="str">
        <f>_xlfn.XLOOKUP(Table26[[#This Row],[customerSKU]],customerSKU!G:G,customerSKU!K:K,"NA",0,1)</f>
        <v>NA</v>
      </c>
      <c r="AI2386" s="43" t="str">
        <f>_xlfn.XLOOKUP(Table26[[#This Row],[customerSKU]],customerSKU!G:G,customerSKU!O:O,"not found",0,1)</f>
        <v>not found</v>
      </c>
      <c r="AJ2386" s="22" t="e">
        <f>Table26[[#This Row],[unitprice]]*Table26[[#This Row],[quantity_unit]]</f>
        <v>#VALUE!</v>
      </c>
      <c r="AK2386" s="227" t="e" cm="1">
        <f t="array" ref="AK23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6" s="227"/>
    </row>
    <row r="2387" spans="1:38" ht="15.6">
      <c r="A2387" s="42">
        <v>2377</v>
      </c>
      <c r="B2387" s="42" t="s">
        <v>3520</v>
      </c>
      <c r="C2387" s="53" t="s">
        <v>3383</v>
      </c>
      <c r="E2387" s="20"/>
      <c r="F2387" s="22"/>
      <c r="G2387" s="93"/>
      <c r="I2387" s="203">
        <v>45889</v>
      </c>
      <c r="J2387" s="90" t="str">
        <f>IF(Table26[[#This Row],[customerSKU]]="","",_xlfn.XLOOKUP(Table26[[#This Row],[customerSKU]],customerSKU!G:G,customerSKU!A:A,"",0,1))</f>
        <v/>
      </c>
      <c r="K2387" s="19"/>
      <c r="L2387" s="49" t="str">
        <f>IF(Table26[[#This Row],[customerSKU]]="","",_xlfn.XLOOKUP(Table26[[#This Row],[customerSKU]],customerSKU!G:G,customerSKU!B:B,"",0,1))</f>
        <v/>
      </c>
      <c r="M2387" s="22"/>
      <c r="O2387" s="15">
        <v>8</v>
      </c>
      <c r="P2387" s="50"/>
      <c r="S2387" s="90" t="str">
        <f>IF(Table26[[#This Row],[customerSKU]]="","",_xlfn.XLOOKUP(Table26[[#This Row],[customerSKU]],customerSKU!G:G,customerSKU!N:N,"NOT FOUND",0,1))</f>
        <v>NOT FOUND</v>
      </c>
      <c r="T2387" s="20"/>
      <c r="U2387" s="94"/>
      <c r="V2387" s="22" t="str">
        <f>IF(ISBLANK(Table26[[#This Row],[customerSKU]]),"",_xlfn.XLOOKUP(Table26[[#This Row],[customerSKU]],Table27[customer_SKU],Table27[case_size],"",0,1))</f>
        <v/>
      </c>
      <c r="W2387" s="117" t="str">
        <f t="shared" si="102"/>
        <v/>
      </c>
      <c r="X2387" s="22" t="str">
        <f t="shared" si="101"/>
        <v/>
      </c>
      <c r="Y2387" s="25" t="str">
        <f>IF(Table26[[#This Row],[customerSKU]]="","",_xlfn.XLOOKUP(Table26[[#This Row],[customerSKU]],Table27[customer_SKU],Table27[product_GTIN],"",0,1))</f>
        <v/>
      </c>
      <c r="Z2387" s="25" t="s">
        <v>4090</v>
      </c>
      <c r="AA2387" s="18" t="str" cm="1">
        <f t="array" ref="AA2387">IF(P2387="", "", _xlfn.XLOOKUP(P2387,#REF!,#REF!,NA,0,-1))</f>
        <v/>
      </c>
      <c r="AB2387" s="22"/>
      <c r="AC2387" s="23" t="str">
        <f>IF(Table26[[#This Row],[customerSKU]]="","",_xlfn.XLOOKUP(Table26[[#This Row],[customerSKU]],customerSKU!G:G,customerSKU!C:C,"",0,1))</f>
        <v/>
      </c>
      <c r="AD2387" s="23" t="str">
        <f>IF($AC2387="","",_xlfn.XLOOKUP($AC2387,'Client Info'!$C$2:$C$2497,'Client Info'!$D$2:$D$2497,"",0,1))</f>
        <v/>
      </c>
      <c r="AE2387" s="23" t="str">
        <f>IF($AC2387="","",_xlfn.XLOOKUP($AC2387,'Client Info'!$C$2:$C$2677,'Client Info'!$E$2:$E$2677,"",))</f>
        <v/>
      </c>
      <c r="AF2387" s="23" t="str">
        <f>IF($AC2387="","",_xlfn.XLOOKUP($AC2387,'Client Info'!$C$2:$C$2677,'Client Info'!$F$2:$F$2677,"",0,1))</f>
        <v/>
      </c>
      <c r="AG2387" s="23" t="str">
        <f>IF(ISBLANK(Table26[[#This Row],[customerSKU]]),"",_xlfn.XLOOKUP(Table26[[#This Row],[customerSKU]],Table27[customer_SKU],Table27[billto],"",0,1))</f>
        <v/>
      </c>
      <c r="AH2387" s="26" t="str">
        <f>_xlfn.XLOOKUP(Table26[[#This Row],[customerSKU]],customerSKU!G:G,customerSKU!K:K,"NA",0,1)</f>
        <v>NA</v>
      </c>
      <c r="AI2387" s="43" t="str">
        <f>_xlfn.XLOOKUP(Table26[[#This Row],[customerSKU]],customerSKU!G:G,customerSKU!O:O,"not found",0,1)</f>
        <v>not found</v>
      </c>
      <c r="AJ2387" s="22" t="e">
        <f>Table26[[#This Row],[unitprice]]*Table26[[#This Row],[quantity_unit]]</f>
        <v>#VALUE!</v>
      </c>
      <c r="AK2387" s="227" t="e" cm="1">
        <f t="array" ref="AK23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7" s="227"/>
    </row>
    <row r="2388" spans="1:38" ht="15.6">
      <c r="A2388" s="42">
        <v>2378</v>
      </c>
      <c r="B2388" s="42" t="s">
        <v>3520</v>
      </c>
      <c r="C2388" s="53" t="s">
        <v>3383</v>
      </c>
      <c r="E2388" s="20"/>
      <c r="F2388" s="22"/>
      <c r="G2388" s="93"/>
      <c r="I2388" s="203">
        <v>45889</v>
      </c>
      <c r="J2388" s="90" t="str">
        <f>IF(Table26[[#This Row],[customerSKU]]="","",_xlfn.XLOOKUP(Table26[[#This Row],[customerSKU]],customerSKU!G:G,customerSKU!A:A,"",0,1))</f>
        <v/>
      </c>
      <c r="K2388" s="19"/>
      <c r="L2388" s="49" t="str">
        <f>IF(Table26[[#This Row],[customerSKU]]="","",_xlfn.XLOOKUP(Table26[[#This Row],[customerSKU]],customerSKU!G:G,customerSKU!B:B,"",0,1))</f>
        <v/>
      </c>
      <c r="M2388" s="22"/>
      <c r="O2388" s="15">
        <v>9</v>
      </c>
      <c r="P2388" s="50"/>
      <c r="S2388" s="90" t="str">
        <f>IF(Table26[[#This Row],[customerSKU]]="","",_xlfn.XLOOKUP(Table26[[#This Row],[customerSKU]],customerSKU!G:G,customerSKU!N:N,"NOT FOUND",0,1))</f>
        <v>NOT FOUND</v>
      </c>
      <c r="T2388" s="20"/>
      <c r="U2388" s="94"/>
      <c r="V2388" s="22" t="str">
        <f>IF(ISBLANK(Table26[[#This Row],[customerSKU]]),"",_xlfn.XLOOKUP(Table26[[#This Row],[customerSKU]],Table27[customer_SKU],Table27[case_size],"",0,1))</f>
        <v/>
      </c>
      <c r="W2388" s="117" t="str">
        <f t="shared" si="102"/>
        <v/>
      </c>
      <c r="X2388" s="22" t="str">
        <f t="shared" si="101"/>
        <v/>
      </c>
      <c r="Y2388" s="25" t="str">
        <f>IF(Table26[[#This Row],[customerSKU]]="","",_xlfn.XLOOKUP(Table26[[#This Row],[customerSKU]],Table27[customer_SKU],Table27[product_GTIN],"",0,1))</f>
        <v/>
      </c>
      <c r="Z2388" s="25" t="s">
        <v>3700</v>
      </c>
      <c r="AA2388" s="18" t="str" cm="1">
        <f t="array" ref="AA2388">IF(P2388="", "", _xlfn.XLOOKUP(P2388,#REF!,#REF!,NA,0,-1))</f>
        <v/>
      </c>
      <c r="AB2388" s="22"/>
      <c r="AC2388" s="23" t="str">
        <f>IF(Table26[[#This Row],[customerSKU]]="","",_xlfn.XLOOKUP(Table26[[#This Row],[customerSKU]],customerSKU!G:G,customerSKU!C:C,"",0,1))</f>
        <v/>
      </c>
      <c r="AD2388" s="23" t="str">
        <f>IF($AC2388="","",_xlfn.XLOOKUP($AC2388,'Client Info'!$C$2:$C$2497,'Client Info'!$D$2:$D$2497,"",0,1))</f>
        <v/>
      </c>
      <c r="AE2388" s="23" t="str">
        <f>IF($AC2388="","",_xlfn.XLOOKUP($AC2388,'Client Info'!$C$2:$C$2677,'Client Info'!$E$2:$E$2677,"",))</f>
        <v/>
      </c>
      <c r="AF2388" s="23" t="str">
        <f>IF($AC2388="","",_xlfn.XLOOKUP($AC2388,'Client Info'!$C$2:$C$2677,'Client Info'!$F$2:$F$2677,"",0,1))</f>
        <v/>
      </c>
      <c r="AG2388" s="23" t="str">
        <f>IF(ISBLANK(Table26[[#This Row],[customerSKU]]),"",_xlfn.XLOOKUP(Table26[[#This Row],[customerSKU]],Table27[customer_SKU],Table27[billto],"",0,1))</f>
        <v/>
      </c>
      <c r="AH2388" s="26" t="str">
        <f>_xlfn.XLOOKUP(Table26[[#This Row],[customerSKU]],customerSKU!G:G,customerSKU!K:K,"NA",0,1)</f>
        <v>NA</v>
      </c>
      <c r="AI2388" s="43" t="str">
        <f>_xlfn.XLOOKUP(Table26[[#This Row],[customerSKU]],customerSKU!G:G,customerSKU!O:O,"not found",0,1)</f>
        <v>not found</v>
      </c>
      <c r="AJ2388" s="22" t="e">
        <f>Table26[[#This Row],[unitprice]]*Table26[[#This Row],[quantity_unit]]</f>
        <v>#VALUE!</v>
      </c>
      <c r="AK2388" s="227" t="e" cm="1">
        <f t="array" ref="AK23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8" s="227"/>
    </row>
    <row r="2389" spans="1:38" ht="15.6">
      <c r="A2389" s="42">
        <v>2379</v>
      </c>
      <c r="B2389" s="42" t="s">
        <v>3520</v>
      </c>
      <c r="C2389" s="53" t="s">
        <v>3383</v>
      </c>
      <c r="E2389" s="20"/>
      <c r="F2389" s="22"/>
      <c r="G2389" s="93"/>
      <c r="I2389" s="203">
        <v>45889</v>
      </c>
      <c r="J2389" s="90" t="str">
        <f>IF(Table26[[#This Row],[customerSKU]]="","",_xlfn.XLOOKUP(Table26[[#This Row],[customerSKU]],customerSKU!G:G,customerSKU!A:A,"",0,1))</f>
        <v/>
      </c>
      <c r="K2389" s="19"/>
      <c r="L2389" s="49" t="str">
        <f>IF(Table26[[#This Row],[customerSKU]]="","",_xlfn.XLOOKUP(Table26[[#This Row],[customerSKU]],customerSKU!G:G,customerSKU!B:B,"",0,1))</f>
        <v/>
      </c>
      <c r="M2389" s="22"/>
      <c r="O2389" s="15">
        <v>10</v>
      </c>
      <c r="P2389" s="50"/>
      <c r="S2389" s="90" t="str">
        <f>IF(Table26[[#This Row],[customerSKU]]="","",_xlfn.XLOOKUP(Table26[[#This Row],[customerSKU]],customerSKU!G:G,customerSKU!N:N,"NOT FOUND",0,1))</f>
        <v>NOT FOUND</v>
      </c>
      <c r="T2389" s="20"/>
      <c r="U2389" s="94"/>
      <c r="V2389" s="22" t="str">
        <f>IF(ISBLANK(Table26[[#This Row],[customerSKU]]),"",_xlfn.XLOOKUP(Table26[[#This Row],[customerSKU]],Table27[customer_SKU],Table27[case_size],"",0,1))</f>
        <v/>
      </c>
      <c r="W2389" s="117" t="str">
        <f t="shared" si="102"/>
        <v/>
      </c>
      <c r="X2389" s="22" t="str">
        <f t="shared" si="101"/>
        <v/>
      </c>
      <c r="Y2389" s="25" t="str">
        <f>IF(Table26[[#This Row],[customerSKU]]="","",_xlfn.XLOOKUP(Table26[[#This Row],[customerSKU]],Table27[customer_SKU],Table27[product_GTIN],"",0,1))</f>
        <v/>
      </c>
      <c r="Z2389" s="25" t="s">
        <v>3702</v>
      </c>
      <c r="AA2389" s="18" t="str" cm="1">
        <f t="array" ref="AA2389">IF(P2389="", "", _xlfn.XLOOKUP(P2389,#REF!,#REF!,NA,0,-1))</f>
        <v/>
      </c>
      <c r="AB2389" s="22"/>
      <c r="AC2389" s="23" t="str">
        <f>IF(Table26[[#This Row],[customerSKU]]="","",_xlfn.XLOOKUP(Table26[[#This Row],[customerSKU]],customerSKU!G:G,customerSKU!C:C,"",0,1))</f>
        <v/>
      </c>
      <c r="AD2389" s="23" t="str">
        <f>IF($AC2389="","",_xlfn.XLOOKUP($AC2389,'Client Info'!$C$2:$C$2497,'Client Info'!$D$2:$D$2497,"",0,1))</f>
        <v/>
      </c>
      <c r="AE2389" s="23" t="str">
        <f>IF($AC2389="","",_xlfn.XLOOKUP($AC2389,'Client Info'!$C$2:$C$2677,'Client Info'!$E$2:$E$2677,"",))</f>
        <v/>
      </c>
      <c r="AF2389" s="23" t="str">
        <f>IF($AC2389="","",_xlfn.XLOOKUP($AC2389,'Client Info'!$C$2:$C$2677,'Client Info'!$F$2:$F$2677,"",0,1))</f>
        <v/>
      </c>
      <c r="AG2389" s="23" t="str">
        <f>IF(ISBLANK(Table26[[#This Row],[customerSKU]]),"",_xlfn.XLOOKUP(Table26[[#This Row],[customerSKU]],Table27[customer_SKU],Table27[billto],"",0,1))</f>
        <v/>
      </c>
      <c r="AH2389" s="26" t="str">
        <f>_xlfn.XLOOKUP(Table26[[#This Row],[customerSKU]],customerSKU!G:G,customerSKU!K:K,"NA",0,1)</f>
        <v>NA</v>
      </c>
      <c r="AI2389" s="43" t="str">
        <f>_xlfn.XLOOKUP(Table26[[#This Row],[customerSKU]],customerSKU!G:G,customerSKU!O:O,"not found",0,1)</f>
        <v>not found</v>
      </c>
      <c r="AJ2389" s="22" t="e">
        <f>Table26[[#This Row],[unitprice]]*Table26[[#This Row],[quantity_unit]]</f>
        <v>#VALUE!</v>
      </c>
      <c r="AK2389" s="227" t="e" cm="1">
        <f t="array" ref="AK23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89" s="227"/>
    </row>
    <row r="2390" spans="1:38" ht="27" customHeight="1">
      <c r="A2390" s="42">
        <v>2386</v>
      </c>
      <c r="B2390" s="42" t="s">
        <v>3520</v>
      </c>
      <c r="C2390" s="53" t="s">
        <v>3427</v>
      </c>
      <c r="E2390" s="20"/>
      <c r="F23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0" s="93"/>
      <c r="I2390" s="203">
        <v>45890</v>
      </c>
      <c r="J2390" s="90" t="str">
        <f>IF(Table26[[#This Row],[customerSKU]]="","",_xlfn.XLOOKUP(Table26[[#This Row],[customerSKU]],customerSKU!G:G,customerSKU!A:A,"",0,1))</f>
        <v/>
      </c>
      <c r="K2390" s="203">
        <v>45898</v>
      </c>
      <c r="L2390" s="49" t="str">
        <f>IF(Table26[[#This Row],[customerSKU]]="","",_xlfn.XLOOKUP(Table26[[#This Row],[customerSKU]],customerSKU!G:G,customerSKU!B:B,"",0,1))</f>
        <v/>
      </c>
      <c r="M2390" s="22"/>
      <c r="N2390" s="15" t="str">
        <f>Table26[[#This Row],[po_number]]&amp;"-"&amp;Table26[[#This Row],[po_line]]</f>
        <v>-1</v>
      </c>
      <c r="O2390" s="15">
        <v>1</v>
      </c>
      <c r="P2390" s="50"/>
      <c r="Q2390" s="22" t="s">
        <v>1829</v>
      </c>
      <c r="R2390" s="22" t="s">
        <v>3428</v>
      </c>
      <c r="S2390" s="90" t="s">
        <v>21</v>
      </c>
      <c r="T2390" s="20">
        <v>45881</v>
      </c>
      <c r="U2390" s="94">
        <v>12</v>
      </c>
      <c r="V2390" s="22" t="str">
        <f>IF(ISBLANK(Table26[[#This Row],[customerSKU]]),"",_xlfn.XLOOKUP(Table26[[#This Row],[customerSKU]],Table27[customer_SKU],Table27[case_size],"",0,1))</f>
        <v/>
      </c>
      <c r="W2390" s="117" t="str">
        <f t="shared" si="102"/>
        <v/>
      </c>
      <c r="X2390" s="22" t="str">
        <f t="shared" si="101"/>
        <v/>
      </c>
      <c r="Y2390" s="25" t="str">
        <f>IF(Table26[[#This Row],[customerSKU]]="","",_xlfn.XLOOKUP(Table26[[#This Row],[customerSKU]],Table27[customer_SKU],Table27[product_GTIN],"",0,1))</f>
        <v/>
      </c>
      <c r="Z2390" s="22">
        <v>63251</v>
      </c>
      <c r="AA2390" s="18" t="str" cm="1">
        <f t="array" ref="AA2390">IF(P2390="", "", _xlfn.XLOOKUP(P2390,#REF!,#REF!,NA,0,-1))</f>
        <v/>
      </c>
      <c r="AB2390" s="22"/>
      <c r="AC2390" s="23" t="str">
        <f>IF(Table26[[#This Row],[customerSKU]]="","",_xlfn.XLOOKUP(Table26[[#This Row],[customerSKU]],customerSKU!G:G,customerSKU!C:C,"",0,1))</f>
        <v/>
      </c>
      <c r="AD2390" s="23" t="str">
        <f>IF($AC2390="","",_xlfn.XLOOKUP($AC2390,'Client Info'!$C$2:$C$2497,'Client Info'!$D$2:$D$2497,"",0,1))</f>
        <v/>
      </c>
      <c r="AE2390" s="23" t="str">
        <f>IF($AC2390="","",_xlfn.XLOOKUP($AC2390,'Client Info'!$C$2:$C$2677,'Client Info'!$E$2:$E$2677,"",))</f>
        <v/>
      </c>
      <c r="AF2390" s="23" t="str">
        <f>IF($AC2390="","",_xlfn.XLOOKUP($AC2390,'Client Info'!$C$2:$C$2677,'Client Info'!$F$2:$F$2677,"",0,1))</f>
        <v/>
      </c>
      <c r="AG2390" s="23" t="str">
        <f>IF(ISBLANK(Table26[[#This Row],[customerSKU]]),"",_xlfn.XLOOKUP(Table26[[#This Row],[customerSKU]],Table27[customer_SKU],Table27[billto],"",0,1))</f>
        <v/>
      </c>
      <c r="AH2390" s="26" t="str">
        <f>_xlfn.XLOOKUP(Table26[[#This Row],[customerSKU]],customerSKU!G:G,customerSKU!K:K,"NA",0,1)</f>
        <v>NA</v>
      </c>
      <c r="AI2390" s="43" t="str">
        <f>_xlfn.XLOOKUP(Table26[[#This Row],[customerSKU]],customerSKU!G:G,customerSKU!O:O,"not found",0,1)</f>
        <v>not found</v>
      </c>
      <c r="AJ2390" s="22" t="e">
        <f>Table26[[#This Row],[unitprice]]*Table26[[#This Row],[quantity_unit]]</f>
        <v>#VALUE!</v>
      </c>
      <c r="AK2390" s="227" t="e" cm="1">
        <f t="array" ref="AK23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0" s="227"/>
    </row>
    <row r="2391" spans="1:38" ht="15.6">
      <c r="A2391" s="42">
        <v>2389</v>
      </c>
      <c r="B2391" s="42" t="s">
        <v>3520</v>
      </c>
      <c r="C2391" s="53" t="s">
        <v>3383</v>
      </c>
      <c r="E2391" s="20"/>
      <c r="F23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1" s="93"/>
      <c r="I2391" s="203">
        <v>45891</v>
      </c>
      <c r="J2391" s="90" t="str">
        <f>IF(Table26[[#This Row],[customerSKU]]="","",_xlfn.XLOOKUP(Table26[[#This Row],[customerSKU]],customerSKU!G:G,customerSKU!A:A,"",0,1))</f>
        <v/>
      </c>
      <c r="K2391" s="19"/>
      <c r="L2391" s="49" t="str">
        <f>IF(Table26[[#This Row],[customerSKU]]="","",_xlfn.XLOOKUP(Table26[[#This Row],[customerSKU]],customerSKU!G:G,customerSKU!B:B,"",0,1))</f>
        <v/>
      </c>
      <c r="M2391" s="22"/>
      <c r="N2391" s="15" t="str">
        <f>Table26[[#This Row],[po_number]]&amp;"-"&amp;Table26[[#This Row],[po_line]]</f>
        <v>-1</v>
      </c>
      <c r="O2391" s="15">
        <v>1</v>
      </c>
      <c r="P2391" s="50"/>
      <c r="S2391" s="90" t="str">
        <f>IF(Table26[[#This Row],[customerSKU]]="","",_xlfn.XLOOKUP(Table26[[#This Row],[customerSKU]],customerSKU!G:G,customerSKU!N:N,"NOT FOUND",0,1))</f>
        <v>NOT FOUND</v>
      </c>
      <c r="T2391" s="20"/>
      <c r="U2391" s="94">
        <v>240</v>
      </c>
      <c r="V2391" s="22" t="str">
        <f>IF(ISBLANK(Table26[[#This Row],[customerSKU]]),"",_xlfn.XLOOKUP(Table26[[#This Row],[customerSKU]],Table27[customer_SKU],Table27[case_size],"",0,1))</f>
        <v/>
      </c>
      <c r="W2391" s="117" t="str">
        <f t="shared" si="102"/>
        <v/>
      </c>
      <c r="X2391" s="22" t="str">
        <f t="shared" si="101"/>
        <v/>
      </c>
      <c r="Y2391" s="25" t="str">
        <f>IF(Table26[[#This Row],[customerSKU]]="","",_xlfn.XLOOKUP(Table26[[#This Row],[customerSKU]],Table27[customer_SKU],Table27[product_GTIN],"",0,1))</f>
        <v/>
      </c>
      <c r="Z2391" s="25" t="s">
        <v>4032</v>
      </c>
      <c r="AA2391" s="18" t="str" cm="1">
        <f t="array" ref="AA2391">IF(P2391="", "", _xlfn.XLOOKUP(P2391,#REF!,#REF!,NA,0,-1))</f>
        <v/>
      </c>
      <c r="AB2391" s="22"/>
      <c r="AC2391" s="23" t="str">
        <f>IF(Table26[[#This Row],[customerSKU]]="","",_xlfn.XLOOKUP(Table26[[#This Row],[customerSKU]],customerSKU!G:G,customerSKU!C:C,"",0,1))</f>
        <v/>
      </c>
      <c r="AD2391" s="23" t="str">
        <f>IF($AC2391="","",_xlfn.XLOOKUP($AC2391,'Client Info'!$C$2:$C$2497,'Client Info'!$D$2:$D$2497,"",0,1))</f>
        <v/>
      </c>
      <c r="AE2391" s="23" t="str">
        <f>IF($AC2391="","",_xlfn.XLOOKUP($AC2391,'Client Info'!$C$2:$C$2677,'Client Info'!$E$2:$E$2677,"",))</f>
        <v/>
      </c>
      <c r="AF2391" s="23" t="str">
        <f>IF($AC2391="","",_xlfn.XLOOKUP($AC2391,'Client Info'!$C$2:$C$2677,'Client Info'!$F$2:$F$2677,"",0,1))</f>
        <v/>
      </c>
      <c r="AG2391" s="23" t="str">
        <f>IF(ISBLANK(Table26[[#This Row],[customerSKU]]),"",_xlfn.XLOOKUP(Table26[[#This Row],[customerSKU]],Table27[customer_SKU],Table27[billto],"",0,1))</f>
        <v/>
      </c>
      <c r="AH2391" s="26" t="str">
        <f>_xlfn.XLOOKUP(Table26[[#This Row],[customerSKU]],customerSKU!G:G,customerSKU!K:K,"NA",0,1)</f>
        <v>NA</v>
      </c>
      <c r="AI2391" s="43" t="str">
        <f>_xlfn.XLOOKUP(Table26[[#This Row],[customerSKU]],customerSKU!G:G,customerSKU!O:O,"not found",0,1)</f>
        <v>not found</v>
      </c>
      <c r="AJ2391" s="22" t="e">
        <f>Table26[[#This Row],[unitprice]]*Table26[[#This Row],[quantity_unit]]</f>
        <v>#VALUE!</v>
      </c>
      <c r="AK2391" s="227" t="e" cm="1">
        <f t="array" ref="AK23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1" s="227"/>
    </row>
    <row r="2392" spans="1:38" ht="15.6">
      <c r="A2392" s="42">
        <v>2391</v>
      </c>
      <c r="B2392" s="42" t="s">
        <v>3520</v>
      </c>
      <c r="C2392" s="53" t="s">
        <v>3383</v>
      </c>
      <c r="E2392" s="20"/>
      <c r="F23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2" s="93"/>
      <c r="I2392" s="203">
        <v>45895</v>
      </c>
      <c r="J2392" s="90" t="str">
        <f>IF(Table26[[#This Row],[customerSKU]]="","",_xlfn.XLOOKUP(Table26[[#This Row],[customerSKU]],customerSKU!G:G,customerSKU!A:A,"",0,1))</f>
        <v/>
      </c>
      <c r="K2392" s="19">
        <v>45895</v>
      </c>
      <c r="L2392" s="49" t="str">
        <f>IF(Table26[[#This Row],[customerSKU]]="","",_xlfn.XLOOKUP(Table26[[#This Row],[customerSKU]],customerSKU!G:G,customerSKU!B:B,"",0,1))</f>
        <v/>
      </c>
      <c r="M2392" s="22"/>
      <c r="N2392" s="15" t="str">
        <f>Table26[[#This Row],[po_number]]&amp;"-"&amp;Table26[[#This Row],[po_line]]</f>
        <v>-1</v>
      </c>
      <c r="O2392" s="15">
        <v>1</v>
      </c>
      <c r="P2392" s="50"/>
      <c r="S2392" s="90" t="str">
        <f>IF(Table26[[#This Row],[customerSKU]]="","",_xlfn.XLOOKUP(Table26[[#This Row],[customerSKU]],customerSKU!G:G,customerSKU!N:N,"NOT FOUND",0,1))</f>
        <v>NOT FOUND</v>
      </c>
      <c r="T2392" s="20"/>
      <c r="U2392" s="94">
        <v>12</v>
      </c>
      <c r="V2392" s="22" t="str">
        <f>IF(ISBLANK(Table26[[#This Row],[customerSKU]]),"",_xlfn.XLOOKUP(Table26[[#This Row],[customerSKU]],Table27[customer_SKU],Table27[case_size],"",0,1))</f>
        <v/>
      </c>
      <c r="W2392" s="117" t="str">
        <f t="shared" si="102"/>
        <v/>
      </c>
      <c r="X2392" s="22" t="str">
        <f t="shared" si="101"/>
        <v/>
      </c>
      <c r="Y2392" s="25" t="str">
        <f>IF(Table26[[#This Row],[customerSKU]]="","",_xlfn.XLOOKUP(Table26[[#This Row],[customerSKU]],Table27[customer_SKU],Table27[product_GTIN],"",0,1))</f>
        <v/>
      </c>
      <c r="Z2392" s="25" t="s">
        <v>3720</v>
      </c>
      <c r="AA2392" s="18" t="str" cm="1">
        <f t="array" ref="AA2392">IF(P2392="", "", _xlfn.XLOOKUP(P2392,#REF!,#REF!,NA,0,-1))</f>
        <v/>
      </c>
      <c r="AB2392" s="22"/>
      <c r="AC2392" s="23" t="str">
        <f>IF(Table26[[#This Row],[customerSKU]]="","",_xlfn.XLOOKUP(Table26[[#This Row],[customerSKU]],customerSKU!G:G,customerSKU!C:C,"",0,1))</f>
        <v/>
      </c>
      <c r="AD2392" s="23" t="str">
        <f>IF($AC2392="","",_xlfn.XLOOKUP($AC2392,'Client Info'!$C$2:$C$2497,'Client Info'!$D$2:$D$2497,"",0,1))</f>
        <v/>
      </c>
      <c r="AE2392" s="23" t="str">
        <f>IF($AC2392="","",_xlfn.XLOOKUP($AC2392,'Client Info'!$C$2:$C$2677,'Client Info'!$E$2:$E$2677,"",))</f>
        <v/>
      </c>
      <c r="AF2392" s="23" t="str">
        <f>IF($AC2392="","",_xlfn.XLOOKUP($AC2392,'Client Info'!$C$2:$C$2677,'Client Info'!$F$2:$F$2677,"",0,1))</f>
        <v/>
      </c>
      <c r="AG2392" s="23" t="str">
        <f>IF(ISBLANK(Table26[[#This Row],[customerSKU]]),"",_xlfn.XLOOKUP(Table26[[#This Row],[customerSKU]],Table27[customer_SKU],Table27[billto],"",0,1))</f>
        <v/>
      </c>
      <c r="AH2392" s="26" t="str">
        <f>_xlfn.XLOOKUP(Table26[[#This Row],[customerSKU]],customerSKU!G:G,customerSKU!K:K,"NA",0,1)</f>
        <v>NA</v>
      </c>
      <c r="AI2392" s="43" t="str">
        <f>_xlfn.XLOOKUP(Table26[[#This Row],[customerSKU]],customerSKU!G:G,customerSKU!O:O,"not found",0,1)</f>
        <v>not found</v>
      </c>
      <c r="AJ2392" s="22" t="e">
        <f>Table26[[#This Row],[unitprice]]*Table26[[#This Row],[quantity_unit]]</f>
        <v>#VALUE!</v>
      </c>
      <c r="AK2392" s="227" t="e" cm="1">
        <f t="array" ref="AK23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2" s="227"/>
    </row>
    <row r="2393" spans="1:38" ht="15.6">
      <c r="A2393" s="42">
        <v>2392</v>
      </c>
      <c r="B2393" s="42" t="s">
        <v>3520</v>
      </c>
      <c r="C2393" s="53" t="s">
        <v>3383</v>
      </c>
      <c r="E2393" s="20"/>
      <c r="F23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3" s="93"/>
      <c r="I2393" s="203">
        <v>45895</v>
      </c>
      <c r="J2393" s="90" t="str">
        <f>IF(Table26[[#This Row],[customerSKU]]="","",_xlfn.XLOOKUP(Table26[[#This Row],[customerSKU]],customerSKU!G:G,customerSKU!A:A,"",0,1))</f>
        <v/>
      </c>
      <c r="K2393" s="19">
        <v>45895</v>
      </c>
      <c r="L2393" s="49" t="str">
        <f>IF(Table26[[#This Row],[customerSKU]]="","",_xlfn.XLOOKUP(Table26[[#This Row],[customerSKU]],customerSKU!G:G,customerSKU!B:B,"",0,1))</f>
        <v/>
      </c>
      <c r="M2393" s="22"/>
      <c r="N2393" s="15" t="str">
        <f>Table26[[#This Row],[po_number]]&amp;"-"&amp;Table26[[#This Row],[po_line]]</f>
        <v>-2</v>
      </c>
      <c r="O2393" s="15">
        <v>2</v>
      </c>
      <c r="P2393" s="50"/>
      <c r="S2393" s="90" t="str">
        <f>IF(Table26[[#This Row],[customerSKU]]="","",_xlfn.XLOOKUP(Table26[[#This Row],[customerSKU]],customerSKU!G:G,customerSKU!N:N,"NOT FOUND",0,1))</f>
        <v>NOT FOUND</v>
      </c>
      <c r="T2393" s="20"/>
      <c r="U2393" s="94">
        <v>12</v>
      </c>
      <c r="V2393" s="22" t="str">
        <f>IF(ISBLANK(Table26[[#This Row],[customerSKU]]),"",_xlfn.XLOOKUP(Table26[[#This Row],[customerSKU]],Table27[customer_SKU],Table27[case_size],"",0,1))</f>
        <v/>
      </c>
      <c r="W2393" s="117" t="str">
        <f t="shared" si="102"/>
        <v/>
      </c>
      <c r="X2393" s="22" t="str">
        <f t="shared" si="101"/>
        <v/>
      </c>
      <c r="Y2393" s="25" t="str">
        <f>IF(Table26[[#This Row],[customerSKU]]="","",_xlfn.XLOOKUP(Table26[[#This Row],[customerSKU]],Table27[customer_SKU],Table27[product_GTIN],"",0,1))</f>
        <v/>
      </c>
      <c r="Z2393" s="25" t="s">
        <v>3670</v>
      </c>
      <c r="AA2393" s="18" t="str" cm="1">
        <f t="array" ref="AA2393">IF(P2393="", "", _xlfn.XLOOKUP(P2393,#REF!,#REF!,NA,0,-1))</f>
        <v/>
      </c>
      <c r="AB2393" s="22"/>
      <c r="AC2393" s="23" t="str">
        <f>IF(Table26[[#This Row],[customerSKU]]="","",_xlfn.XLOOKUP(Table26[[#This Row],[customerSKU]],customerSKU!G:G,customerSKU!C:C,"",0,1))</f>
        <v/>
      </c>
      <c r="AD2393" s="23" t="str">
        <f>IF($AC2393="","",_xlfn.XLOOKUP($AC2393,'Client Info'!$C$2:$C$2497,'Client Info'!$D$2:$D$2497,"",0,1))</f>
        <v/>
      </c>
      <c r="AE2393" s="23" t="str">
        <f>IF($AC2393="","",_xlfn.XLOOKUP($AC2393,'Client Info'!$C$2:$C$2677,'Client Info'!$E$2:$E$2677,"",))</f>
        <v/>
      </c>
      <c r="AF2393" s="23" t="str">
        <f>IF($AC2393="","",_xlfn.XLOOKUP($AC2393,'Client Info'!$C$2:$C$2677,'Client Info'!$F$2:$F$2677,"",0,1))</f>
        <v/>
      </c>
      <c r="AG2393" s="23" t="str">
        <f>IF(ISBLANK(Table26[[#This Row],[customerSKU]]),"",_xlfn.XLOOKUP(Table26[[#This Row],[customerSKU]],Table27[customer_SKU],Table27[billto],"",0,1))</f>
        <v/>
      </c>
      <c r="AH2393" s="26" t="str">
        <f>_xlfn.XLOOKUP(Table26[[#This Row],[customerSKU]],customerSKU!G:G,customerSKU!K:K,"NA",0,1)</f>
        <v>NA</v>
      </c>
      <c r="AI2393" s="43" t="str">
        <f>_xlfn.XLOOKUP(Table26[[#This Row],[customerSKU]],customerSKU!G:G,customerSKU!O:O,"not found",0,1)</f>
        <v>not found</v>
      </c>
      <c r="AJ2393" s="22" t="e">
        <f>Table26[[#This Row],[unitprice]]*Table26[[#This Row],[quantity_unit]]</f>
        <v>#VALUE!</v>
      </c>
      <c r="AK2393" s="227" t="e" cm="1">
        <f t="array" ref="AK23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3" s="227"/>
    </row>
    <row r="2394" spans="1:38" ht="15.6">
      <c r="A2394" s="42">
        <v>2393</v>
      </c>
      <c r="B2394" s="42" t="s">
        <v>3520</v>
      </c>
      <c r="C2394" s="53" t="s">
        <v>3383</v>
      </c>
      <c r="E2394" s="20"/>
      <c r="F23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4" s="93"/>
      <c r="I2394" s="203">
        <v>45895</v>
      </c>
      <c r="J2394" s="90" t="str">
        <f>IF(Table26[[#This Row],[customerSKU]]="","",_xlfn.XLOOKUP(Table26[[#This Row],[customerSKU]],customerSKU!G:G,customerSKU!A:A,"",0,1))</f>
        <v/>
      </c>
      <c r="K2394" s="19">
        <v>45895</v>
      </c>
      <c r="L2394" s="49" t="str">
        <f>IF(Table26[[#This Row],[customerSKU]]="","",_xlfn.XLOOKUP(Table26[[#This Row],[customerSKU]],customerSKU!G:G,customerSKU!B:B,"",0,1))</f>
        <v/>
      </c>
      <c r="M2394" s="22"/>
      <c r="N2394" s="15" t="str">
        <f>Table26[[#This Row],[po_number]]&amp;"-"&amp;Table26[[#This Row],[po_line]]</f>
        <v>-3</v>
      </c>
      <c r="O2394" s="15">
        <v>3</v>
      </c>
      <c r="P2394" s="50"/>
      <c r="S2394" s="90" t="str">
        <f>IF(Table26[[#This Row],[customerSKU]]="","",_xlfn.XLOOKUP(Table26[[#This Row],[customerSKU]],customerSKU!G:G,customerSKU!N:N,"NOT FOUND",0,1))</f>
        <v>NOT FOUND</v>
      </c>
      <c r="T2394" s="20"/>
      <c r="U2394" s="94">
        <v>12</v>
      </c>
      <c r="V2394" s="22" t="str">
        <f>IF(ISBLANK(Table26[[#This Row],[customerSKU]]),"",_xlfn.XLOOKUP(Table26[[#This Row],[customerSKU]],Table27[customer_SKU],Table27[case_size],"",0,1))</f>
        <v/>
      </c>
      <c r="W2394" s="117" t="str">
        <f t="shared" si="102"/>
        <v/>
      </c>
      <c r="X2394" s="22" t="str">
        <f t="shared" si="101"/>
        <v/>
      </c>
      <c r="Y2394" s="25" t="str">
        <f>IF(Table26[[#This Row],[customerSKU]]="","",_xlfn.XLOOKUP(Table26[[#This Row],[customerSKU]],Table27[customer_SKU],Table27[product_GTIN],"",0,1))</f>
        <v/>
      </c>
      <c r="Z2394" s="25" t="s">
        <v>3528</v>
      </c>
      <c r="AA2394" s="18" t="str" cm="1">
        <f t="array" ref="AA2394">IF(P2394="", "", _xlfn.XLOOKUP(P2394,#REF!,#REF!,NA,0,-1))</f>
        <v/>
      </c>
      <c r="AB2394" s="22"/>
      <c r="AC2394" s="23" t="str">
        <f>IF(Table26[[#This Row],[customerSKU]]="","",_xlfn.XLOOKUP(Table26[[#This Row],[customerSKU]],customerSKU!G:G,customerSKU!C:C,"",0,1))</f>
        <v/>
      </c>
      <c r="AD2394" s="23" t="str">
        <f>IF($AC2394="","",_xlfn.XLOOKUP($AC2394,'Client Info'!$C$2:$C$2497,'Client Info'!$D$2:$D$2497,"",0,1))</f>
        <v/>
      </c>
      <c r="AE2394" s="23" t="str">
        <f>IF($AC2394="","",_xlfn.XLOOKUP($AC2394,'Client Info'!$C$2:$C$2677,'Client Info'!$E$2:$E$2677,"",))</f>
        <v/>
      </c>
      <c r="AF2394" s="23" t="str">
        <f>IF($AC2394="","",_xlfn.XLOOKUP($AC2394,'Client Info'!$C$2:$C$2677,'Client Info'!$F$2:$F$2677,"",0,1))</f>
        <v/>
      </c>
      <c r="AG2394" s="23" t="str">
        <f>IF(ISBLANK(Table26[[#This Row],[customerSKU]]),"",_xlfn.XLOOKUP(Table26[[#This Row],[customerSKU]],Table27[customer_SKU],Table27[billto],"",0,1))</f>
        <v/>
      </c>
      <c r="AH2394" s="26" t="str">
        <f>_xlfn.XLOOKUP(Table26[[#This Row],[customerSKU]],customerSKU!G:G,customerSKU!K:K,"NA",0,1)</f>
        <v>NA</v>
      </c>
      <c r="AI2394" s="43" t="str">
        <f>_xlfn.XLOOKUP(Table26[[#This Row],[customerSKU]],customerSKU!G:G,customerSKU!O:O,"not found",0,1)</f>
        <v>not found</v>
      </c>
      <c r="AJ2394" s="22" t="e">
        <f>Table26[[#This Row],[unitprice]]*Table26[[#This Row],[quantity_unit]]</f>
        <v>#VALUE!</v>
      </c>
      <c r="AK2394" s="227" t="e" cm="1">
        <f t="array" ref="AK23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4" s="227"/>
    </row>
    <row r="2395" spans="1:38" ht="15.6">
      <c r="A2395" s="42">
        <v>2394</v>
      </c>
      <c r="B2395" s="42" t="s">
        <v>3520</v>
      </c>
      <c r="C2395" s="53" t="s">
        <v>3427</v>
      </c>
      <c r="E2395" s="20"/>
      <c r="F23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5" s="93"/>
      <c r="I2395" s="203">
        <v>45895</v>
      </c>
      <c r="J2395" s="90" t="str">
        <f>IF(Table26[[#This Row],[customerSKU]]="","",_xlfn.XLOOKUP(Table26[[#This Row],[customerSKU]],customerSKU!G:G,customerSKU!A:A,"",0,1))</f>
        <v/>
      </c>
      <c r="K2395" s="19">
        <v>45896</v>
      </c>
      <c r="L2395" s="49" t="str">
        <f>IF(Table26[[#This Row],[customerSKU]]="","",_xlfn.XLOOKUP(Table26[[#This Row],[customerSKU]],customerSKU!G:G,customerSKU!B:B,"",0,1))</f>
        <v/>
      </c>
      <c r="M2395" s="22"/>
      <c r="N2395" s="15" t="str">
        <f>Table26[[#This Row],[po_number]]&amp;"-"&amp;Table26[[#This Row],[po_line]]</f>
        <v>-1</v>
      </c>
      <c r="O2395" s="15">
        <v>1</v>
      </c>
      <c r="P2395" s="50"/>
      <c r="Q2395" s="22" t="s">
        <v>1842</v>
      </c>
      <c r="R2395" s="22" t="s">
        <v>3428</v>
      </c>
      <c r="S2395" s="90" t="str">
        <f>IF(Table26[[#This Row],[customerSKU]]="","",_xlfn.XLOOKUP(Table26[[#This Row],[customerSKU]],customerSKU!G:G,customerSKU!N:N,"NOT FOUND",0,1))</f>
        <v>NOT FOUND</v>
      </c>
      <c r="T2395" s="20">
        <v>45877</v>
      </c>
      <c r="U2395" s="94">
        <v>10</v>
      </c>
      <c r="V2395" s="22" t="str">
        <f>IF(ISBLANK(Table26[[#This Row],[customerSKU]]),"",_xlfn.XLOOKUP(Table26[[#This Row],[customerSKU]],Table27[customer_SKU],Table27[case_size],"",0,1))</f>
        <v/>
      </c>
      <c r="W2395" s="117" t="str">
        <f t="shared" si="102"/>
        <v/>
      </c>
      <c r="X2395" s="22" t="str">
        <f t="shared" si="101"/>
        <v/>
      </c>
      <c r="Y2395" s="25" t="str">
        <f>IF(Table26[[#This Row],[customerSKU]]="","",_xlfn.XLOOKUP(Table26[[#This Row],[customerSKU]],Table27[customer_SKU],Table27[product_GTIN],"",0,1))</f>
        <v/>
      </c>
      <c r="Z2395" s="25" t="s">
        <v>3603</v>
      </c>
      <c r="AA2395" s="18" t="str" cm="1">
        <f t="array" ref="AA2395">IF(P2395="", "", _xlfn.XLOOKUP(P2395,#REF!,#REF!,NA,0,-1))</f>
        <v/>
      </c>
      <c r="AB2395" s="22"/>
      <c r="AC2395" s="23" t="s">
        <v>38</v>
      </c>
      <c r="AD2395" s="23" t="str">
        <f>IF($AC2395="","",_xlfn.XLOOKUP($AC2395,'Client Info'!$C$2:$C$2497,'Client Info'!$D$2:$D$2497,"",0,1))</f>
        <v/>
      </c>
      <c r="AE2395" s="23" t="str">
        <f>IF($AC2395="","",_xlfn.XLOOKUP($AC2395,'Client Info'!$C$2:$C$2677,'Client Info'!$E$2:$E$2677,"",))</f>
        <v/>
      </c>
      <c r="AF2395" s="23" t="str">
        <f>IF($AC2395="","",_xlfn.XLOOKUP($AC2395,'Client Info'!$C$2:$C$2677,'Client Info'!$F$2:$F$2677,"",0,1))</f>
        <v/>
      </c>
      <c r="AG2395" s="23" t="s">
        <v>38</v>
      </c>
      <c r="AH2395" s="26" t="str">
        <f>_xlfn.XLOOKUP(Table26[[#This Row],[customerSKU]],customerSKU!G:G,customerSKU!K:K,"NA",0,1)</f>
        <v>NA</v>
      </c>
      <c r="AI2395" s="43" t="str">
        <f>_xlfn.XLOOKUP(Table26[[#This Row],[customerSKU]],customerSKU!G:G,customerSKU!O:O,"not found",0,1)</f>
        <v>not found</v>
      </c>
      <c r="AJ2395" s="22" t="e">
        <f>Table26[[#This Row],[unitprice]]*Table26[[#This Row],[quantity_unit]]</f>
        <v>#VALUE!</v>
      </c>
      <c r="AK2395" s="227" t="e" cm="1">
        <f t="array" ref="AK23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5" s="227"/>
    </row>
    <row r="2396" spans="1:38" ht="15.6">
      <c r="A2396" s="42">
        <v>2395</v>
      </c>
      <c r="B2396" s="42" t="s">
        <v>3520</v>
      </c>
      <c r="C2396" s="53" t="s">
        <v>3427</v>
      </c>
      <c r="E2396" s="20"/>
      <c r="F23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6" s="93"/>
      <c r="I2396" s="203">
        <v>45895</v>
      </c>
      <c r="J2396" s="90" t="str">
        <f>IF(Table26[[#This Row],[customerSKU]]="","",_xlfn.XLOOKUP(Table26[[#This Row],[customerSKU]],customerSKU!G:G,customerSKU!A:A,"",0,1))</f>
        <v/>
      </c>
      <c r="K2396" s="19">
        <v>45896</v>
      </c>
      <c r="L2396" s="49" t="str">
        <f>IF(Table26[[#This Row],[customerSKU]]="","",_xlfn.XLOOKUP(Table26[[#This Row],[customerSKU]],customerSKU!G:G,customerSKU!B:B,"",0,1))</f>
        <v/>
      </c>
      <c r="M2396" s="22"/>
      <c r="N2396" s="15" t="str">
        <f>Table26[[#This Row],[po_number]]&amp;"-"&amp;Table26[[#This Row],[po_line]]</f>
        <v>-2</v>
      </c>
      <c r="O2396" s="15">
        <v>2</v>
      </c>
      <c r="P2396" s="50"/>
      <c r="Q2396" s="22" t="s">
        <v>1842</v>
      </c>
      <c r="R2396" s="22" t="s">
        <v>3428</v>
      </c>
      <c r="S2396" s="90" t="str">
        <f>IF(Table26[[#This Row],[customerSKU]]="","",_xlfn.XLOOKUP(Table26[[#This Row],[customerSKU]],customerSKU!G:G,customerSKU!N:N,"NOT FOUND",0,1))</f>
        <v>NOT FOUND</v>
      </c>
      <c r="T2396" s="20">
        <v>45854</v>
      </c>
      <c r="U2396" s="94">
        <v>2</v>
      </c>
      <c r="V2396" s="22" t="str">
        <f>IF(ISBLANK(Table26[[#This Row],[customerSKU]]),"",_xlfn.XLOOKUP(Table26[[#This Row],[customerSKU]],Table27[customer_SKU],Table27[case_size],"",0,1))</f>
        <v/>
      </c>
      <c r="W2396" s="117" t="str">
        <f t="shared" si="102"/>
        <v/>
      </c>
      <c r="X2396" s="22" t="str">
        <f t="shared" si="101"/>
        <v/>
      </c>
      <c r="Y2396" s="25" t="str">
        <f>IF(Table26[[#This Row],[customerSKU]]="","",_xlfn.XLOOKUP(Table26[[#This Row],[customerSKU]],Table27[customer_SKU],Table27[product_GTIN],"",0,1))</f>
        <v/>
      </c>
      <c r="Z2396" s="25" t="s">
        <v>3603</v>
      </c>
      <c r="AA2396" s="18" t="str" cm="1">
        <f t="array" ref="AA2396">IF(P2396="", "", _xlfn.XLOOKUP(P2396,#REF!,#REF!,NA,0,-1))</f>
        <v/>
      </c>
      <c r="AB2396" s="22"/>
      <c r="AC2396" s="23" t="s">
        <v>38</v>
      </c>
      <c r="AD2396" s="23" t="str">
        <f>IF($AC2396="","",_xlfn.XLOOKUP($AC2396,'Client Info'!$C$2:$C$2497,'Client Info'!$D$2:$D$2497,"",0,1))</f>
        <v/>
      </c>
      <c r="AE2396" s="23" t="str">
        <f>IF($AC2396="","",_xlfn.XLOOKUP($AC2396,'Client Info'!$C$2:$C$2677,'Client Info'!$E$2:$E$2677,"",))</f>
        <v/>
      </c>
      <c r="AF2396" s="23" t="str">
        <f>IF($AC2396="","",_xlfn.XLOOKUP($AC2396,'Client Info'!$C$2:$C$2677,'Client Info'!$F$2:$F$2677,"",0,1))</f>
        <v/>
      </c>
      <c r="AG2396" s="23" t="str">
        <f>IF(ISBLANK(Table26[[#This Row],[customerSKU]]),"",_xlfn.XLOOKUP(Table26[[#This Row],[customerSKU]],Table27[customer_SKU],Table27[billto],"",0,1))</f>
        <v/>
      </c>
      <c r="AH2396" s="26" t="str">
        <f>_xlfn.XLOOKUP(Table26[[#This Row],[customerSKU]],customerSKU!G:G,customerSKU!K:K,"NA",0,1)</f>
        <v>NA</v>
      </c>
      <c r="AI2396" s="43" t="str">
        <f>_xlfn.XLOOKUP(Table26[[#This Row],[customerSKU]],customerSKU!G:G,customerSKU!O:O,"not found",0,1)</f>
        <v>not found</v>
      </c>
      <c r="AJ2396" s="22" t="e">
        <f>Table26[[#This Row],[unitprice]]*Table26[[#This Row],[quantity_unit]]</f>
        <v>#VALUE!</v>
      </c>
      <c r="AK2396" s="227" t="e" cm="1">
        <f t="array" ref="AK23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6" s="227"/>
    </row>
    <row r="2397" spans="1:38" ht="15.6">
      <c r="A2397" s="42">
        <v>2396</v>
      </c>
      <c r="B2397" s="42" t="s">
        <v>3520</v>
      </c>
      <c r="C2397" s="53" t="s">
        <v>3427</v>
      </c>
      <c r="E2397" s="20"/>
      <c r="F23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7" s="93"/>
      <c r="I2397" s="203">
        <v>45895</v>
      </c>
      <c r="J2397" s="90" t="str">
        <f>IF(Table26[[#This Row],[customerSKU]]="","",_xlfn.XLOOKUP(Table26[[#This Row],[customerSKU]],customerSKU!G:G,customerSKU!A:A,"",0,1))</f>
        <v/>
      </c>
      <c r="K2397" s="19">
        <v>45896</v>
      </c>
      <c r="L2397" s="49" t="str">
        <f>IF(Table26[[#This Row],[customerSKU]]="","",_xlfn.XLOOKUP(Table26[[#This Row],[customerSKU]],customerSKU!G:G,customerSKU!B:B,"",0,1))</f>
        <v/>
      </c>
      <c r="M2397" s="22"/>
      <c r="N2397" s="15" t="str">
        <f>Table26[[#This Row],[po_number]]&amp;"-"&amp;Table26[[#This Row],[po_line]]</f>
        <v>-3</v>
      </c>
      <c r="O2397" s="15">
        <v>3</v>
      </c>
      <c r="P2397" s="50"/>
      <c r="Q2397" s="22" t="s">
        <v>543</v>
      </c>
      <c r="R2397" s="22" t="s">
        <v>221</v>
      </c>
      <c r="S2397" s="90" t="str">
        <f>IF(Table26[[#This Row],[customerSKU]]="","",_xlfn.XLOOKUP(Table26[[#This Row],[customerSKU]],customerSKU!G:G,customerSKU!N:N,"NOT FOUND",0,1))</f>
        <v>NOT FOUND</v>
      </c>
      <c r="T2397" s="20">
        <v>45793</v>
      </c>
      <c r="U2397" s="94">
        <v>6</v>
      </c>
      <c r="V2397" s="22" t="str">
        <f>IF(ISBLANK(Table26[[#This Row],[customerSKU]]),"",_xlfn.XLOOKUP(Table26[[#This Row],[customerSKU]],Table27[customer_SKU],Table27[case_size],"",0,1))</f>
        <v/>
      </c>
      <c r="W2397" s="117" t="str">
        <f t="shared" si="102"/>
        <v/>
      </c>
      <c r="X2397" s="22" t="str">
        <f t="shared" si="101"/>
        <v/>
      </c>
      <c r="Y2397" s="25" t="str">
        <f>IF(Table26[[#This Row],[customerSKU]]="","",_xlfn.XLOOKUP(Table26[[#This Row],[customerSKU]],Table27[customer_SKU],Table27[product_GTIN],"",0,1))</f>
        <v/>
      </c>
      <c r="Z2397" s="25" t="s">
        <v>3599</v>
      </c>
      <c r="AA2397" s="18" t="str" cm="1">
        <f t="array" ref="AA2397">IF(P2397="", "", _xlfn.XLOOKUP(P2397,#REF!,#REF!,NA,0,-1))</f>
        <v/>
      </c>
      <c r="AB2397" s="22"/>
      <c r="AC2397" s="23" t="s">
        <v>38</v>
      </c>
      <c r="AD2397" s="23" t="str">
        <f>IF($AC2397="","",_xlfn.XLOOKUP($AC2397,'Client Info'!$C$2:$C$2497,'Client Info'!$D$2:$D$2497,"",0,1))</f>
        <v/>
      </c>
      <c r="AE2397" s="23" t="str">
        <f>IF($AC2397="","",_xlfn.XLOOKUP($AC2397,'Client Info'!$C$2:$C$2677,'Client Info'!$E$2:$E$2677,"",))</f>
        <v/>
      </c>
      <c r="AF2397" s="23" t="str">
        <f>IF($AC2397="","",_xlfn.XLOOKUP($AC2397,'Client Info'!$C$2:$C$2677,'Client Info'!$F$2:$F$2677,"",0,1))</f>
        <v/>
      </c>
      <c r="AG2397" s="23" t="str">
        <f>IF(ISBLANK(Table26[[#This Row],[customerSKU]]),"",_xlfn.XLOOKUP(Table26[[#This Row],[customerSKU]],Table27[customer_SKU],Table27[billto],"",0,1))</f>
        <v/>
      </c>
      <c r="AH2397" s="26" t="str">
        <f>_xlfn.XLOOKUP(Table26[[#This Row],[customerSKU]],customerSKU!G:G,customerSKU!K:K,"NA",0,1)</f>
        <v>NA</v>
      </c>
      <c r="AI2397" s="43" t="str">
        <f>_xlfn.XLOOKUP(Table26[[#This Row],[customerSKU]],customerSKU!G:G,customerSKU!O:O,"not found",0,1)</f>
        <v>not found</v>
      </c>
      <c r="AJ2397" s="22" t="e">
        <f>Table26[[#This Row],[unitprice]]*Table26[[#This Row],[quantity_unit]]</f>
        <v>#VALUE!</v>
      </c>
      <c r="AK2397" s="227" t="e" cm="1">
        <f t="array" ref="AK23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7" s="227"/>
    </row>
    <row r="2398" spans="1:38" ht="15.6">
      <c r="A2398" s="42">
        <v>2397</v>
      </c>
      <c r="B2398" s="42" t="s">
        <v>3520</v>
      </c>
      <c r="C2398" s="53" t="s">
        <v>3427</v>
      </c>
      <c r="E2398" s="20"/>
      <c r="F23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8" s="93"/>
      <c r="I2398" s="203">
        <v>45895</v>
      </c>
      <c r="J2398" s="90" t="str">
        <f>IF(Table26[[#This Row],[customerSKU]]="","",_xlfn.XLOOKUP(Table26[[#This Row],[customerSKU]],customerSKU!G:G,customerSKU!A:A,"",0,1))</f>
        <v/>
      </c>
      <c r="K2398" s="19">
        <v>45896</v>
      </c>
      <c r="L2398" s="49" t="str">
        <f>IF(Table26[[#This Row],[customerSKU]]="","",_xlfn.XLOOKUP(Table26[[#This Row],[customerSKU]],customerSKU!G:G,customerSKU!B:B,"",0,1))</f>
        <v/>
      </c>
      <c r="M2398" s="22"/>
      <c r="N2398" s="15" t="str">
        <f>Table26[[#This Row],[po_number]]&amp;"-"&amp;Table26[[#This Row],[po_line]]</f>
        <v>-4</v>
      </c>
      <c r="O2398" s="15">
        <v>4</v>
      </c>
      <c r="P2398" s="50"/>
      <c r="Q2398" s="22" t="s">
        <v>531</v>
      </c>
      <c r="R2398" s="22" t="s">
        <v>3428</v>
      </c>
      <c r="S2398" s="90" t="str">
        <f>IF(Table26[[#This Row],[customerSKU]]="","",_xlfn.XLOOKUP(Table26[[#This Row],[customerSKU]],customerSKU!G:G,customerSKU!N:N,"NOT FOUND",0,1))</f>
        <v>NOT FOUND</v>
      </c>
      <c r="T2398" s="20">
        <v>45841</v>
      </c>
      <c r="U2398" s="94">
        <v>6</v>
      </c>
      <c r="V2398" s="22" t="str">
        <f>IF(ISBLANK(Table26[[#This Row],[customerSKU]]),"",_xlfn.XLOOKUP(Table26[[#This Row],[customerSKU]],Table27[customer_SKU],Table27[case_size],"",0,1))</f>
        <v/>
      </c>
      <c r="W2398" s="117" t="str">
        <f t="shared" si="102"/>
        <v/>
      </c>
      <c r="X2398" s="22" t="str">
        <f t="shared" si="101"/>
        <v/>
      </c>
      <c r="Y2398" s="25" t="str">
        <f>IF(Table26[[#This Row],[customerSKU]]="","",_xlfn.XLOOKUP(Table26[[#This Row],[customerSKU]],Table27[customer_SKU],Table27[product_GTIN],"",0,1))</f>
        <v/>
      </c>
      <c r="Z2398" s="25" t="s">
        <v>3597</v>
      </c>
      <c r="AA2398" s="18" t="str" cm="1">
        <f t="array" ref="AA2398">IF(P2398="", "", _xlfn.XLOOKUP(P2398,#REF!,#REF!,NA,0,-1))</f>
        <v/>
      </c>
      <c r="AB2398" s="22"/>
      <c r="AC2398" s="23" t="s">
        <v>38</v>
      </c>
      <c r="AD2398" s="23" t="str">
        <f>IF($AC2398="","",_xlfn.XLOOKUP($AC2398,'Client Info'!$C$2:$C$2497,'Client Info'!$D$2:$D$2497,"",0,1))</f>
        <v/>
      </c>
      <c r="AE2398" s="23" t="str">
        <f>IF($AC2398="","",_xlfn.XLOOKUP($AC2398,'Client Info'!$C$2:$C$2677,'Client Info'!$E$2:$E$2677,"",))</f>
        <v/>
      </c>
      <c r="AF2398" s="23" t="str">
        <f>IF($AC2398="","",_xlfn.XLOOKUP($AC2398,'Client Info'!$C$2:$C$2677,'Client Info'!$F$2:$F$2677,"",0,1))</f>
        <v/>
      </c>
      <c r="AG2398" s="23" t="str">
        <f>IF(ISBLANK(Table26[[#This Row],[customerSKU]]),"",_xlfn.XLOOKUP(Table26[[#This Row],[customerSKU]],Table27[customer_SKU],Table27[billto],"",0,1))</f>
        <v/>
      </c>
      <c r="AH2398" s="26" t="str">
        <f>_xlfn.XLOOKUP(Table26[[#This Row],[customerSKU]],customerSKU!G:G,customerSKU!K:K,"NA",0,1)</f>
        <v>NA</v>
      </c>
      <c r="AI2398" s="43" t="str">
        <f>_xlfn.XLOOKUP(Table26[[#This Row],[customerSKU]],customerSKU!G:G,customerSKU!O:O,"not found",0,1)</f>
        <v>not found</v>
      </c>
      <c r="AJ2398" s="22" t="e">
        <f>Table26[[#This Row],[unitprice]]*Table26[[#This Row],[quantity_unit]]</f>
        <v>#VALUE!</v>
      </c>
      <c r="AK2398" s="227" t="e" cm="1">
        <f t="array" ref="AK23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8" s="227"/>
    </row>
    <row r="2399" spans="1:38" ht="15.6">
      <c r="A2399" s="42">
        <v>2398</v>
      </c>
      <c r="B2399" s="42" t="s">
        <v>3520</v>
      </c>
      <c r="C2399" s="53" t="s">
        <v>3427</v>
      </c>
      <c r="E2399" s="20"/>
      <c r="F23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399" s="93"/>
      <c r="I2399" s="203">
        <v>45895</v>
      </c>
      <c r="J2399" s="90" t="str">
        <f>IF(Table26[[#This Row],[customerSKU]]="","",_xlfn.XLOOKUP(Table26[[#This Row],[customerSKU]],customerSKU!G:G,customerSKU!A:A,"",0,1))</f>
        <v/>
      </c>
      <c r="K2399" s="19">
        <v>45896</v>
      </c>
      <c r="L2399" s="49" t="str">
        <f>IF(Table26[[#This Row],[customerSKU]]="","",_xlfn.XLOOKUP(Table26[[#This Row],[customerSKU]],customerSKU!G:G,customerSKU!B:B,"",0,1))</f>
        <v/>
      </c>
      <c r="M2399" s="22"/>
      <c r="N2399" s="15" t="str">
        <f>Table26[[#This Row],[po_number]]&amp;"-"&amp;Table26[[#This Row],[po_line]]</f>
        <v>-5</v>
      </c>
      <c r="O2399" s="15">
        <v>5</v>
      </c>
      <c r="P2399" s="50"/>
      <c r="Q2399" s="22" t="s">
        <v>3548</v>
      </c>
      <c r="R2399" s="22" t="s">
        <v>3552</v>
      </c>
      <c r="S2399" s="90" t="str">
        <f>IF(Table26[[#This Row],[customerSKU]]="","",_xlfn.XLOOKUP(Table26[[#This Row],[customerSKU]],customerSKU!G:G,customerSKU!N:N,"NOT FOUND",0,1))</f>
        <v>NOT FOUND</v>
      </c>
      <c r="T2399" s="20">
        <v>45777</v>
      </c>
      <c r="U2399" s="94">
        <v>12</v>
      </c>
      <c r="V2399" s="22" t="str">
        <f>IF(ISBLANK(Table26[[#This Row],[customerSKU]]),"",_xlfn.XLOOKUP(Table26[[#This Row],[customerSKU]],Table27[customer_SKU],Table27[case_size],"",0,1))</f>
        <v/>
      </c>
      <c r="W2399" s="117" t="str">
        <f t="shared" si="102"/>
        <v/>
      </c>
      <c r="X2399" s="22" t="str">
        <f t="shared" si="101"/>
        <v/>
      </c>
      <c r="Y2399" s="25" t="str">
        <f>IF(Table26[[#This Row],[customerSKU]]="","",_xlfn.XLOOKUP(Table26[[#This Row],[customerSKU]],Table27[customer_SKU],Table27[product_GTIN],"",0,1))</f>
        <v/>
      </c>
      <c r="Z2399" s="25" t="s">
        <v>3549</v>
      </c>
      <c r="AA2399" s="18" t="str" cm="1">
        <f t="array" ref="AA2399">IF(P2399="", "", _xlfn.XLOOKUP(P2399,#REF!,#REF!,NA,0,-1))</f>
        <v/>
      </c>
      <c r="AB2399" s="22"/>
      <c r="AC2399" s="23" t="s">
        <v>38</v>
      </c>
      <c r="AD2399" s="23" t="str">
        <f>IF($AC2399="","",_xlfn.XLOOKUP($AC2399,'Client Info'!$C$2:$C$2497,'Client Info'!$D$2:$D$2497,"",0,1))</f>
        <v/>
      </c>
      <c r="AE2399" s="23" t="str">
        <f>IF($AC2399="","",_xlfn.XLOOKUP($AC2399,'Client Info'!$C$2:$C$2677,'Client Info'!$E$2:$E$2677,"",))</f>
        <v/>
      </c>
      <c r="AF2399" s="23" t="str">
        <f>IF($AC2399="","",_xlfn.XLOOKUP($AC2399,'Client Info'!$C$2:$C$2677,'Client Info'!$F$2:$F$2677,"",0,1))</f>
        <v/>
      </c>
      <c r="AG2399" s="23" t="str">
        <f>IF(ISBLANK(Table26[[#This Row],[customerSKU]]),"",_xlfn.XLOOKUP(Table26[[#This Row],[customerSKU]],Table27[customer_SKU],Table27[billto],"",0,1))</f>
        <v/>
      </c>
      <c r="AH2399" s="26" t="str">
        <f>_xlfn.XLOOKUP(Table26[[#This Row],[customerSKU]],customerSKU!G:G,customerSKU!K:K,"NA",0,1)</f>
        <v>NA</v>
      </c>
      <c r="AI2399" s="43" t="str">
        <f>_xlfn.XLOOKUP(Table26[[#This Row],[customerSKU]],customerSKU!G:G,customerSKU!O:O,"not found",0,1)</f>
        <v>not found</v>
      </c>
      <c r="AJ2399" s="22" t="e">
        <f>Table26[[#This Row],[unitprice]]*Table26[[#This Row],[quantity_unit]]</f>
        <v>#VALUE!</v>
      </c>
      <c r="AK2399" s="227" t="e" cm="1">
        <f t="array" ref="AK23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399" s="227"/>
    </row>
    <row r="2400" spans="1:38" ht="15.6">
      <c r="A2400" s="42">
        <v>2399</v>
      </c>
      <c r="B2400" s="42" t="s">
        <v>3520</v>
      </c>
      <c r="C2400" s="53" t="s">
        <v>3427</v>
      </c>
      <c r="E2400" s="20"/>
      <c r="F24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0" s="93"/>
      <c r="I2400" s="203">
        <v>45895</v>
      </c>
      <c r="J2400" s="90" t="str">
        <f>IF(Table26[[#This Row],[customerSKU]]="","",_xlfn.XLOOKUP(Table26[[#This Row],[customerSKU]],customerSKU!G:G,customerSKU!A:A,"",0,1))</f>
        <v/>
      </c>
      <c r="K2400" s="19">
        <v>45896</v>
      </c>
      <c r="L2400" s="49" t="str">
        <f>IF(Table26[[#This Row],[customerSKU]]="","",_xlfn.XLOOKUP(Table26[[#This Row],[customerSKU]],customerSKU!G:G,customerSKU!B:B,"",0,1))</f>
        <v/>
      </c>
      <c r="M2400" s="22"/>
      <c r="N2400" s="15" t="str">
        <f>Table26[[#This Row],[po_number]]&amp;"-"&amp;Table26[[#This Row],[po_line]]</f>
        <v>-6</v>
      </c>
      <c r="O2400" s="15">
        <v>6</v>
      </c>
      <c r="P2400" s="50"/>
      <c r="Q2400" s="22" t="s">
        <v>574</v>
      </c>
      <c r="R2400" s="22" t="s">
        <v>3428</v>
      </c>
      <c r="S2400" s="90" t="str">
        <f>IF(Table26[[#This Row],[customerSKU]]="","",_xlfn.XLOOKUP(Table26[[#This Row],[customerSKU]],customerSKU!G:G,customerSKU!N:N,"NOT FOUND",0,1))</f>
        <v>NOT FOUND</v>
      </c>
      <c r="T2400" s="20">
        <v>45848</v>
      </c>
      <c r="U2400" s="94">
        <v>12</v>
      </c>
      <c r="V2400" s="22" t="str">
        <f>IF(ISBLANK(Table26[[#This Row],[customerSKU]]),"",_xlfn.XLOOKUP(Table26[[#This Row],[customerSKU]],Table27[customer_SKU],Table27[case_size],"",0,1))</f>
        <v/>
      </c>
      <c r="W2400" s="117" t="str">
        <f t="shared" si="102"/>
        <v/>
      </c>
      <c r="X2400" s="22" t="str">
        <f t="shared" si="101"/>
        <v/>
      </c>
      <c r="Y2400" s="25" t="str">
        <f>IF(Table26[[#This Row],[customerSKU]]="","",_xlfn.XLOOKUP(Table26[[#This Row],[customerSKU]],Table27[customer_SKU],Table27[product_GTIN],"",0,1))</f>
        <v/>
      </c>
      <c r="Z2400" s="25" t="s">
        <v>3530</v>
      </c>
      <c r="AA2400" s="18" t="str" cm="1">
        <f t="array" ref="AA2400">IF(P2400="", "", _xlfn.XLOOKUP(P2400,#REF!,#REF!,NA,0,-1))</f>
        <v/>
      </c>
      <c r="AB2400" s="22"/>
      <c r="AC2400" s="23" t="s">
        <v>38</v>
      </c>
      <c r="AD2400" s="23" t="str">
        <f>IF($AC2400="","",_xlfn.XLOOKUP($AC2400,'Client Info'!$C$2:$C$2497,'Client Info'!$D$2:$D$2497,"",0,1))</f>
        <v/>
      </c>
      <c r="AE2400" s="23" t="str">
        <f>IF($AC2400="","",_xlfn.XLOOKUP($AC2400,'Client Info'!$C$2:$C$2677,'Client Info'!$E$2:$E$2677,"",))</f>
        <v/>
      </c>
      <c r="AF2400" s="23" t="str">
        <f>IF($AC2400="","",_xlfn.XLOOKUP($AC2400,'Client Info'!$C$2:$C$2677,'Client Info'!$F$2:$F$2677,"",0,1))</f>
        <v/>
      </c>
      <c r="AG2400" s="23" t="str">
        <f>IF(ISBLANK(Table26[[#This Row],[customerSKU]]),"",_xlfn.XLOOKUP(Table26[[#This Row],[customerSKU]],Table27[customer_SKU],Table27[billto],"",0,1))</f>
        <v/>
      </c>
      <c r="AH2400" s="26" t="str">
        <f>_xlfn.XLOOKUP(Table26[[#This Row],[customerSKU]],customerSKU!G:G,customerSKU!K:K,"NA",0,1)</f>
        <v>NA</v>
      </c>
      <c r="AI2400" s="43" t="str">
        <f>_xlfn.XLOOKUP(Table26[[#This Row],[customerSKU]],customerSKU!G:G,customerSKU!O:O,"not found",0,1)</f>
        <v>not found</v>
      </c>
      <c r="AJ2400" s="22" t="e">
        <f>Table26[[#This Row],[unitprice]]*Table26[[#This Row],[quantity_unit]]</f>
        <v>#VALUE!</v>
      </c>
      <c r="AK2400" s="227" t="e" cm="1">
        <f t="array" ref="AK24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0" s="227"/>
    </row>
    <row r="2401" spans="1:38" ht="15.6">
      <c r="A2401" s="42">
        <v>2400</v>
      </c>
      <c r="B2401" s="42" t="s">
        <v>3520</v>
      </c>
      <c r="C2401" s="53" t="s">
        <v>3427</v>
      </c>
      <c r="E2401" s="20"/>
      <c r="F24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1" s="93"/>
      <c r="I2401" s="203">
        <v>45895</v>
      </c>
      <c r="J2401" s="90" t="str">
        <f>IF(Table26[[#This Row],[customerSKU]]="","",_xlfn.XLOOKUP(Table26[[#This Row],[customerSKU]],customerSKU!G:G,customerSKU!A:A,"",0,1))</f>
        <v/>
      </c>
      <c r="K2401" s="19">
        <v>45898</v>
      </c>
      <c r="L2401" s="49" t="str">
        <f>IF(Table26[[#This Row],[customerSKU]]="","",_xlfn.XLOOKUP(Table26[[#This Row],[customerSKU]],customerSKU!G:G,customerSKU!B:B,"",0,1))</f>
        <v/>
      </c>
      <c r="M2401" s="22"/>
      <c r="N2401" s="15" t="str">
        <f>Table26[[#This Row],[po_number]]&amp;"-"&amp;Table26[[#This Row],[po_line]]</f>
        <v>-1</v>
      </c>
      <c r="O2401" s="15">
        <v>1</v>
      </c>
      <c r="P2401" s="50"/>
      <c r="Q2401" s="22" t="s">
        <v>1845</v>
      </c>
      <c r="R2401" s="22" t="s">
        <v>221</v>
      </c>
      <c r="S2401" s="90" t="str">
        <f>IF(Table26[[#This Row],[customerSKU]]="","",_xlfn.XLOOKUP(Table26[[#This Row],[customerSKU]],customerSKU!G:G,customerSKU!N:N,"NOT FOUND",0,1))</f>
        <v>NOT FOUND</v>
      </c>
      <c r="T2401" s="20">
        <v>45859</v>
      </c>
      <c r="U2401" s="94">
        <v>12</v>
      </c>
      <c r="V2401" s="22" t="str">
        <f>IF(ISBLANK(Table26[[#This Row],[customerSKU]]),"",_xlfn.XLOOKUP(Table26[[#This Row],[customerSKU]],Table27[customer_SKU],Table27[case_size],"",0,1))</f>
        <v/>
      </c>
      <c r="W2401" s="117" t="str">
        <f t="shared" si="102"/>
        <v/>
      </c>
      <c r="X2401" s="22" t="str">
        <f t="shared" si="101"/>
        <v/>
      </c>
      <c r="Y2401" s="25" t="str">
        <f>IF(Table26[[#This Row],[customerSKU]]="","",_xlfn.XLOOKUP(Table26[[#This Row],[customerSKU]],Table27[customer_SKU],Table27[product_GTIN],"",0,1))</f>
        <v/>
      </c>
      <c r="Z2401" s="25" t="s">
        <v>3670</v>
      </c>
      <c r="AA2401" s="18" t="str" cm="1">
        <f t="array" ref="AA2401">IF(P2401="", "", _xlfn.XLOOKUP(P2401,#REF!,#REF!,NA,0,-1))</f>
        <v/>
      </c>
      <c r="AB2401" s="22"/>
      <c r="AC2401" s="23" t="str">
        <f>IF(Table26[[#This Row],[customerSKU]]="","",_xlfn.XLOOKUP(Table26[[#This Row],[customerSKU]],customerSKU!G:G,customerSKU!C:C,"",0,1))</f>
        <v/>
      </c>
      <c r="AD2401" s="23" t="str">
        <f>IF($AC2401="","",_xlfn.XLOOKUP($AC2401,'Client Info'!$C$2:$C$2497,'Client Info'!$D$2:$D$2497,"",0,1))</f>
        <v/>
      </c>
      <c r="AE2401" s="23" t="str">
        <f>IF($AC2401="","",_xlfn.XLOOKUP($AC2401,'Client Info'!$C$2:$C$2677,'Client Info'!$E$2:$E$2677,"",))</f>
        <v/>
      </c>
      <c r="AF2401" s="23" t="str">
        <f>IF($AC2401="","",_xlfn.XLOOKUP($AC2401,'Client Info'!$C$2:$C$2677,'Client Info'!$F$2:$F$2677,"",0,1))</f>
        <v/>
      </c>
      <c r="AG2401" s="23" t="str">
        <f>IF(ISBLANK(Table26[[#This Row],[customerSKU]]),"",_xlfn.XLOOKUP(Table26[[#This Row],[customerSKU]],Table27[customer_SKU],Table27[billto],"",0,1))</f>
        <v/>
      </c>
      <c r="AH2401" s="26" t="str">
        <f>_xlfn.XLOOKUP(Table26[[#This Row],[customerSKU]],customerSKU!G:G,customerSKU!K:K,"NA",0,1)</f>
        <v>NA</v>
      </c>
      <c r="AI2401" s="43" t="str">
        <f>_xlfn.XLOOKUP(Table26[[#This Row],[customerSKU]],customerSKU!G:G,customerSKU!O:O,"not found",0,1)</f>
        <v>not found</v>
      </c>
      <c r="AJ2401" s="22" t="e">
        <f>Table26[[#This Row],[unitprice]]*Table26[[#This Row],[quantity_unit]]</f>
        <v>#VALUE!</v>
      </c>
      <c r="AK2401" s="227" t="e" cm="1">
        <f t="array" ref="AK24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1" s="227"/>
    </row>
    <row r="2402" spans="1:38" ht="15.6">
      <c r="A2402" s="42">
        <v>2401</v>
      </c>
      <c r="B2402" s="42" t="s">
        <v>3520</v>
      </c>
      <c r="C2402" s="53" t="s">
        <v>3427</v>
      </c>
      <c r="E2402" s="20"/>
      <c r="F24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2" s="93"/>
      <c r="I2402" s="203">
        <v>45895</v>
      </c>
      <c r="J2402" s="90" t="str">
        <f>IF(Table26[[#This Row],[customerSKU]]="","",_xlfn.XLOOKUP(Table26[[#This Row],[customerSKU]],customerSKU!G:G,customerSKU!A:A,"",0,1))</f>
        <v/>
      </c>
      <c r="K2402" s="19">
        <v>45898</v>
      </c>
      <c r="L2402" s="49" t="str">
        <f>IF(Table26[[#This Row],[customerSKU]]="","",_xlfn.XLOOKUP(Table26[[#This Row],[customerSKU]],customerSKU!G:G,customerSKU!B:B,"",0,1))</f>
        <v/>
      </c>
      <c r="M2402" s="22"/>
      <c r="N2402" s="15" t="str">
        <f>Table26[[#This Row],[po_number]]&amp;"-"&amp;Table26[[#This Row],[po_line]]</f>
        <v>-2</v>
      </c>
      <c r="O2402" s="15">
        <v>2</v>
      </c>
      <c r="P2402" s="50"/>
      <c r="Q2402" s="22" t="s">
        <v>3749</v>
      </c>
      <c r="R2402" s="22" t="s">
        <v>221</v>
      </c>
      <c r="S2402" s="90" t="str">
        <f>IF(Table26[[#This Row],[customerSKU]]="","",_xlfn.XLOOKUP(Table26[[#This Row],[customerSKU]],customerSKU!G:G,customerSKU!N:N,"NOT FOUND",0,1))</f>
        <v>NOT FOUND</v>
      </c>
      <c r="T2402" s="20">
        <v>45870</v>
      </c>
      <c r="U2402" s="94">
        <v>12</v>
      </c>
      <c r="V2402" s="22" t="str">
        <f>IF(ISBLANK(Table26[[#This Row],[customerSKU]]),"",_xlfn.XLOOKUP(Table26[[#This Row],[customerSKU]],Table27[customer_SKU],Table27[case_size],"",0,1))</f>
        <v/>
      </c>
      <c r="W2402" s="117" t="str">
        <f t="shared" si="102"/>
        <v/>
      </c>
      <c r="X2402" s="22" t="str">
        <f t="shared" si="101"/>
        <v/>
      </c>
      <c r="Y2402" s="25" t="str">
        <f>IF(Table26[[#This Row],[customerSKU]]="","",_xlfn.XLOOKUP(Table26[[#This Row],[customerSKU]],Table27[customer_SKU],Table27[product_GTIN],"",0,1))</f>
        <v/>
      </c>
      <c r="Z2402" s="25" t="s">
        <v>3553</v>
      </c>
      <c r="AA2402" s="18" t="str" cm="1">
        <f t="array" ref="AA2402">IF(P2402="", "", _xlfn.XLOOKUP(P2402,#REF!,#REF!,NA,0,-1))</f>
        <v/>
      </c>
      <c r="AB2402" s="22"/>
      <c r="AC2402" s="23" t="str">
        <f>IF(Table26[[#This Row],[customerSKU]]="","",_xlfn.XLOOKUP(Table26[[#This Row],[customerSKU]],customerSKU!G:G,customerSKU!C:C,"",0,1))</f>
        <v/>
      </c>
      <c r="AD2402" s="23" t="str">
        <f>IF($AC2402="","",_xlfn.XLOOKUP($AC2402,'Client Info'!$C$2:$C$2497,'Client Info'!$D$2:$D$2497,"",0,1))</f>
        <v/>
      </c>
      <c r="AE2402" s="23" t="str">
        <f>IF($AC2402="","",_xlfn.XLOOKUP($AC2402,'Client Info'!$C$2:$C$2677,'Client Info'!$E$2:$E$2677,"",))</f>
        <v/>
      </c>
      <c r="AF2402" s="23" t="str">
        <f>IF($AC2402="","",_xlfn.XLOOKUP($AC2402,'Client Info'!$C$2:$C$2677,'Client Info'!$F$2:$F$2677,"",0,1))</f>
        <v/>
      </c>
      <c r="AH2402" s="26" t="str">
        <f>_xlfn.XLOOKUP(Table26[[#This Row],[customerSKU]],customerSKU!G:G,customerSKU!K:K,"NA",0,1)</f>
        <v>NA</v>
      </c>
      <c r="AI2402" s="43" t="str">
        <f>_xlfn.XLOOKUP(Table26[[#This Row],[customerSKU]],customerSKU!G:G,customerSKU!O:O,"not found",0,1)</f>
        <v>not found</v>
      </c>
      <c r="AJ2402" s="22" t="e">
        <f>Table26[[#This Row],[unitprice]]*Table26[[#This Row],[quantity_unit]]</f>
        <v>#VALUE!</v>
      </c>
      <c r="AK2402" s="227" t="e" cm="1">
        <f t="array" ref="AK24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2" s="227"/>
    </row>
    <row r="2403" spans="1:38" ht="15.6">
      <c r="A2403" s="42">
        <v>2402</v>
      </c>
      <c r="B2403" s="42" t="s">
        <v>3520</v>
      </c>
      <c r="C2403" s="53" t="s">
        <v>3427</v>
      </c>
      <c r="E2403" s="20"/>
      <c r="F24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3" s="93"/>
      <c r="I2403" s="203">
        <v>45895</v>
      </c>
      <c r="J2403" s="90" t="str">
        <f>IF(Table26[[#This Row],[customerSKU]]="","",_xlfn.XLOOKUP(Table26[[#This Row],[customerSKU]],customerSKU!G:G,customerSKU!A:A,"",0,1))</f>
        <v/>
      </c>
      <c r="K2403" s="19">
        <v>45898</v>
      </c>
      <c r="L2403" s="49" t="str">
        <f>IF(Table26[[#This Row],[customerSKU]]="","",_xlfn.XLOOKUP(Table26[[#This Row],[customerSKU]],customerSKU!G:G,customerSKU!B:B,"",0,1))</f>
        <v/>
      </c>
      <c r="M2403" s="22"/>
      <c r="N2403" s="15" t="str">
        <f>Table26[[#This Row],[po_number]]&amp;"-"&amp;Table26[[#This Row],[po_line]]</f>
        <v>-3</v>
      </c>
      <c r="O2403" s="15">
        <v>3</v>
      </c>
      <c r="P2403" s="50"/>
      <c r="Q2403" s="22" t="s">
        <v>3746</v>
      </c>
      <c r="R2403" s="22" t="s">
        <v>221</v>
      </c>
      <c r="S2403" s="90" t="str">
        <f>IF(Table26[[#This Row],[customerSKU]]="","",_xlfn.XLOOKUP(Table26[[#This Row],[customerSKU]],customerSKU!G:G,customerSKU!N:N,"NOT FOUND",0,1))</f>
        <v>NOT FOUND</v>
      </c>
      <c r="T2403" s="20">
        <v>45870</v>
      </c>
      <c r="U2403" s="94">
        <v>12</v>
      </c>
      <c r="V2403" s="22" t="str">
        <f>IF(ISBLANK(Table26[[#This Row],[customerSKU]]),"",_xlfn.XLOOKUP(Table26[[#This Row],[customerSKU]],Table27[customer_SKU],Table27[case_size],"",0,1))</f>
        <v/>
      </c>
      <c r="W2403" s="117" t="str">
        <f t="shared" si="102"/>
        <v/>
      </c>
      <c r="X2403" s="22" t="str">
        <f t="shared" si="101"/>
        <v/>
      </c>
      <c r="Y2403" s="25" t="str">
        <f>IF(Table26[[#This Row],[customerSKU]]="","",_xlfn.XLOOKUP(Table26[[#This Row],[customerSKU]],Table27[customer_SKU],Table27[product_GTIN],"",0,1))</f>
        <v/>
      </c>
      <c r="Z2403" s="25" t="s">
        <v>3395</v>
      </c>
      <c r="AA2403" s="18" t="str" cm="1">
        <f t="array" ref="AA2403">IF(P2403="", "", _xlfn.XLOOKUP(P2403,#REF!,#REF!,NA,0,-1))</f>
        <v/>
      </c>
      <c r="AB2403" s="22"/>
      <c r="AC2403" s="23" t="str">
        <f>IF(Table26[[#This Row],[customerSKU]]="","",_xlfn.XLOOKUP(Table26[[#This Row],[customerSKU]],customerSKU!G:G,customerSKU!C:C,"",0,1))</f>
        <v/>
      </c>
      <c r="AD2403" s="23" t="str">
        <f>IF($AC2403="","",_xlfn.XLOOKUP($AC2403,'Client Info'!$C$2:$C$2497,'Client Info'!$D$2:$D$2497,"",0,1))</f>
        <v/>
      </c>
      <c r="AE2403" s="23" t="str">
        <f>IF($AC2403="","",_xlfn.XLOOKUP($AC2403,'Client Info'!$C$2:$C$2677,'Client Info'!$E$2:$E$2677,"",))</f>
        <v/>
      </c>
      <c r="AF2403" s="23" t="str">
        <f>IF($AC2403="","",_xlfn.XLOOKUP($AC2403,'Client Info'!$C$2:$C$2677,'Client Info'!$F$2:$F$2677,"",0,1))</f>
        <v/>
      </c>
      <c r="AG2403" s="23" t="str">
        <f>IF(ISBLANK(Table26[[#This Row],[customerSKU]]),"",_xlfn.XLOOKUP(Table26[[#This Row],[customerSKU]],Table27[customer_SKU],Table27[billto],"",0,1))</f>
        <v/>
      </c>
      <c r="AH2403" s="26" t="str">
        <f>_xlfn.XLOOKUP(Table26[[#This Row],[customerSKU]],customerSKU!G:G,customerSKU!K:K,"NA",0,1)</f>
        <v>NA</v>
      </c>
      <c r="AI2403" s="43" t="str">
        <f>_xlfn.XLOOKUP(Table26[[#This Row],[customerSKU]],customerSKU!G:G,customerSKU!O:O,"not found",0,1)</f>
        <v>not found</v>
      </c>
      <c r="AJ2403" s="22" t="e">
        <f>Table26[[#This Row],[unitprice]]*Table26[[#This Row],[quantity_unit]]</f>
        <v>#VALUE!</v>
      </c>
      <c r="AK2403" s="227" t="e" cm="1">
        <f t="array" ref="AK24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3" s="227"/>
    </row>
    <row r="2404" spans="1:38" ht="15.6">
      <c r="A2404" s="42">
        <v>2403</v>
      </c>
      <c r="B2404" s="42" t="s">
        <v>3520</v>
      </c>
      <c r="C2404" s="53" t="s">
        <v>3427</v>
      </c>
      <c r="E2404" s="20"/>
      <c r="F24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4" s="93"/>
      <c r="I2404" s="203">
        <v>45896</v>
      </c>
      <c r="J2404" s="90" t="str">
        <f>IF(Table26[[#This Row],[customerSKU]]="","",_xlfn.XLOOKUP(Table26[[#This Row],[customerSKU]],customerSKU!G:G,customerSKU!A:A,"",0,1))</f>
        <v/>
      </c>
      <c r="K2404" s="19">
        <v>45897</v>
      </c>
      <c r="L2404" s="49" t="str">
        <f>IF(Table26[[#This Row],[customerSKU]]="","",_xlfn.XLOOKUP(Table26[[#This Row],[customerSKU]],customerSKU!G:G,customerSKU!B:B,"",0,1))</f>
        <v/>
      </c>
      <c r="M2404" s="22"/>
      <c r="N2404" s="15" t="str">
        <f>Table26[[#This Row],[po_number]]&amp;"-"&amp;Table26[[#This Row],[po_line]]</f>
        <v>-1</v>
      </c>
      <c r="O2404" s="15">
        <v>1</v>
      </c>
      <c r="P2404" s="50"/>
      <c r="Q2404" s="22" t="s">
        <v>559</v>
      </c>
      <c r="R2404" s="22" t="s">
        <v>3428</v>
      </c>
      <c r="S2404" s="90" t="str">
        <f>IF(Table26[[#This Row],[customerSKU]]="","",_xlfn.XLOOKUP(Table26[[#This Row],[customerSKU]],customerSKU!G:G,customerSKU!N:N,"NOT FOUND",0,1))</f>
        <v>NOT FOUND</v>
      </c>
      <c r="T2404" s="20">
        <v>45772</v>
      </c>
      <c r="U2404" s="94">
        <v>12</v>
      </c>
      <c r="V2404" s="22" t="str">
        <f>IF(ISBLANK(Table26[[#This Row],[customerSKU]]),"",_xlfn.XLOOKUP(Table26[[#This Row],[customerSKU]],Table27[customer_SKU],Table27[case_size],"",0,1))</f>
        <v/>
      </c>
      <c r="W2404" s="117" t="str">
        <f t="shared" si="102"/>
        <v/>
      </c>
      <c r="X2404" s="22" t="str">
        <f t="shared" si="101"/>
        <v/>
      </c>
      <c r="Y2404" s="25" t="str">
        <f>IF(Table26[[#This Row],[customerSKU]]="","",_xlfn.XLOOKUP(Table26[[#This Row],[customerSKU]],Table27[customer_SKU],Table27[product_GTIN],"",0,1))</f>
        <v/>
      </c>
      <c r="Z2404" s="25" t="s">
        <v>3693</v>
      </c>
      <c r="AA2404" s="18" t="str" cm="1">
        <f t="array" ref="AA2404">IF(P2404="", "", _xlfn.XLOOKUP(P2404,#REF!,#REF!,NA,0,-1))</f>
        <v/>
      </c>
      <c r="AB2404" s="22"/>
      <c r="AC2404" s="23" t="s">
        <v>101</v>
      </c>
      <c r="AD2404" s="23" t="str">
        <f>IF($AC2404="","",_xlfn.XLOOKUP($AC2404,'Client Info'!$C$2:$C$2497,'Client Info'!$D$2:$D$2497,"",0,1))</f>
        <v/>
      </c>
      <c r="AE2404" s="23" t="str">
        <f>IF($AC2404="","",_xlfn.XLOOKUP($AC2404,'Client Info'!$C$2:$C$2677,'Client Info'!$E$2:$E$2677,"",))</f>
        <v/>
      </c>
      <c r="AF2404" s="23" t="str">
        <f>IF($AC2404="","",_xlfn.XLOOKUP($AC2404,'Client Info'!$C$2:$C$2677,'Client Info'!$F$2:$F$2677,"",0,1))</f>
        <v/>
      </c>
      <c r="AG2404" s="23" t="s">
        <v>101</v>
      </c>
      <c r="AH2404" s="26" t="str">
        <f>_xlfn.XLOOKUP(Table26[[#This Row],[customerSKU]],customerSKU!G:G,customerSKU!K:K,"NA",0,1)</f>
        <v>NA</v>
      </c>
      <c r="AI2404" s="43" t="str">
        <f>_xlfn.XLOOKUP(Table26[[#This Row],[customerSKU]],customerSKU!G:G,customerSKU!O:O,"not found",0,1)</f>
        <v>not found</v>
      </c>
      <c r="AJ2404" s="22" t="e">
        <f>Table26[[#This Row],[unitprice]]*Table26[[#This Row],[quantity_unit]]</f>
        <v>#VALUE!</v>
      </c>
      <c r="AK2404" s="227" t="e" cm="1">
        <f t="array" ref="AK24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4" s="227"/>
    </row>
    <row r="2405" spans="1:38" ht="15.6">
      <c r="A2405" s="42">
        <v>2404</v>
      </c>
      <c r="B2405" s="42" t="s">
        <v>3520</v>
      </c>
      <c r="C2405" s="53" t="s">
        <v>3427</v>
      </c>
      <c r="E2405" s="20"/>
      <c r="F24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5" s="93"/>
      <c r="I2405" s="203">
        <v>45896</v>
      </c>
      <c r="J2405" s="90" t="str">
        <f>IF(Table26[[#This Row],[customerSKU]]="","",_xlfn.XLOOKUP(Table26[[#This Row],[customerSKU]],customerSKU!G:G,customerSKU!A:A,"",0,1))</f>
        <v/>
      </c>
      <c r="K2405" s="19">
        <v>45897</v>
      </c>
      <c r="L2405" s="49" t="str">
        <f>IF(Table26[[#This Row],[customerSKU]]="","",_xlfn.XLOOKUP(Table26[[#This Row],[customerSKU]],customerSKU!G:G,customerSKU!B:B,"",0,1))</f>
        <v/>
      </c>
      <c r="M2405" s="22"/>
      <c r="N2405" s="15" t="str">
        <f>Table26[[#This Row],[po_number]]&amp;"-"&amp;Table26[[#This Row],[po_line]]</f>
        <v>-2</v>
      </c>
      <c r="O2405" s="15">
        <v>2</v>
      </c>
      <c r="P2405" s="50"/>
      <c r="Q2405" s="22" t="s">
        <v>1825</v>
      </c>
      <c r="R2405" s="22" t="s">
        <v>3428</v>
      </c>
      <c r="S2405" s="90" t="str">
        <f>IF(Table26[[#This Row],[customerSKU]]="","",_xlfn.XLOOKUP(Table26[[#This Row],[customerSKU]],customerSKU!G:G,customerSKU!N:N,"NOT FOUND",0,1))</f>
        <v>NOT FOUND</v>
      </c>
      <c r="T2405" s="20">
        <v>45875</v>
      </c>
      <c r="U2405" s="94">
        <v>12</v>
      </c>
      <c r="V2405" s="22" t="str">
        <f>IF(ISBLANK(Table26[[#This Row],[customerSKU]]),"",_xlfn.XLOOKUP(Table26[[#This Row],[customerSKU]],Table27[customer_SKU],Table27[case_size],"",0,1))</f>
        <v/>
      </c>
      <c r="W2405" s="117" t="str">
        <f t="shared" si="102"/>
        <v/>
      </c>
      <c r="X2405" s="22" t="str">
        <f t="shared" ref="X2405:X2469" si="103">IFERROR($AA2405*$U2405, "")</f>
        <v/>
      </c>
      <c r="Y2405" s="25" t="str">
        <f>IF(Table26[[#This Row],[customerSKU]]="","",_xlfn.XLOOKUP(Table26[[#This Row],[customerSKU]],Table27[customer_SKU],Table27[product_GTIN],"",0,1))</f>
        <v/>
      </c>
      <c r="Z2405" s="25" t="s">
        <v>3527</v>
      </c>
      <c r="AA2405" s="18" t="str" cm="1">
        <f t="array" ref="AA2405">IF(P2405="", "", _xlfn.XLOOKUP(P2405,#REF!,#REF!,NA,0,-1))</f>
        <v/>
      </c>
      <c r="AB2405" s="22"/>
      <c r="AC2405" s="23" t="s">
        <v>101</v>
      </c>
      <c r="AD2405" s="23" t="str">
        <f>IF($AC2405="","",_xlfn.XLOOKUP($AC2405,'Client Info'!$C$2:$C$2497,'Client Info'!$D$2:$D$2497,"",0,1))</f>
        <v/>
      </c>
      <c r="AE2405" s="23" t="str">
        <f>IF($AC2405="","",_xlfn.XLOOKUP($AC2405,'Client Info'!$C$2:$C$2677,'Client Info'!$E$2:$E$2677,"",))</f>
        <v/>
      </c>
      <c r="AF2405" s="23" t="str">
        <f>IF($AC2405="","",_xlfn.XLOOKUP($AC2405,'Client Info'!$C$2:$C$2677,'Client Info'!$F$2:$F$2677,"",0,1))</f>
        <v/>
      </c>
      <c r="AG2405" s="23" t="s">
        <v>101</v>
      </c>
      <c r="AH2405" s="26" t="str">
        <f>_xlfn.XLOOKUP(Table26[[#This Row],[customerSKU]],customerSKU!G:G,customerSKU!K:K,"NA",0,1)</f>
        <v>NA</v>
      </c>
      <c r="AI2405" s="43" t="str">
        <f>_xlfn.XLOOKUP(Table26[[#This Row],[customerSKU]],customerSKU!G:G,customerSKU!O:O,"not found",0,1)</f>
        <v>not found</v>
      </c>
      <c r="AJ2405" s="22" t="e">
        <f>Table26[[#This Row],[unitprice]]*Table26[[#This Row],[quantity_unit]]</f>
        <v>#VALUE!</v>
      </c>
      <c r="AK2405" s="227" t="e" cm="1">
        <f t="array" ref="AK24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5" s="227"/>
    </row>
    <row r="2406" spans="1:38" ht="15.6">
      <c r="A2406" s="42">
        <v>2405</v>
      </c>
      <c r="B2406" s="42" t="s">
        <v>3520</v>
      </c>
      <c r="C2406" s="53" t="s">
        <v>3383</v>
      </c>
      <c r="E2406" s="20"/>
      <c r="F24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6" s="93"/>
      <c r="I2406" s="203">
        <v>45896</v>
      </c>
      <c r="J2406" s="90" t="str">
        <f>IF(Table26[[#This Row],[customerSKU]]="","",_xlfn.XLOOKUP(Table26[[#This Row],[customerSKU]],customerSKU!G:G,customerSKU!A:A,"",0,1))</f>
        <v/>
      </c>
      <c r="K2406" s="19"/>
      <c r="L2406" s="49" t="str">
        <f>IF(Table26[[#This Row],[customerSKU]]="","",_xlfn.XLOOKUP(Table26[[#This Row],[customerSKU]],customerSKU!G:G,customerSKU!B:B,"",0,1))</f>
        <v/>
      </c>
      <c r="M2406" s="22"/>
      <c r="N2406" s="15" t="str">
        <f>Table26[[#This Row],[po_number]]&amp;"-"&amp;Table26[[#This Row],[po_line]]</f>
        <v>-1</v>
      </c>
      <c r="O2406" s="15">
        <v>1</v>
      </c>
      <c r="P2406" s="50"/>
      <c r="Q2406" s="22" t="s">
        <v>574</v>
      </c>
      <c r="R2406" s="22" t="s">
        <v>532</v>
      </c>
      <c r="S2406" s="90" t="str">
        <f>IF(Table26[[#This Row],[customerSKU]]="","",_xlfn.XLOOKUP(Table26[[#This Row],[customerSKU]],customerSKU!G:G,customerSKU!N:N,"NOT FOUND",0,1))</f>
        <v>NOT FOUND</v>
      </c>
      <c r="T2406" s="20">
        <v>45848</v>
      </c>
      <c r="U2406" s="94">
        <v>81</v>
      </c>
      <c r="V2406" s="22" t="str">
        <f>IF(ISBLANK(Table26[[#This Row],[customerSKU]]),"",_xlfn.XLOOKUP(Table26[[#This Row],[customerSKU]],Table27[customer_SKU],Table27[case_size],"",0,1))</f>
        <v/>
      </c>
      <c r="W2406" s="117" t="str">
        <f t="shared" si="102"/>
        <v/>
      </c>
      <c r="X2406" s="22" t="str">
        <f t="shared" si="103"/>
        <v/>
      </c>
      <c r="Y2406" s="25" t="str">
        <f>IF(Table26[[#This Row],[customerSKU]]="","",_xlfn.XLOOKUP(Table26[[#This Row],[customerSKU]],Table27[customer_SKU],Table27[product_GTIN],"",0,1))</f>
        <v/>
      </c>
      <c r="Z2406" s="25" t="s">
        <v>3530</v>
      </c>
      <c r="AA2406" s="18" t="str" cm="1">
        <f t="array" ref="AA2406">IF(P2406="", "", _xlfn.XLOOKUP(P2406,#REF!,#REF!,NA,0,-1))</f>
        <v/>
      </c>
      <c r="AB2406" s="22"/>
      <c r="AC2406" s="23" t="s">
        <v>3531</v>
      </c>
      <c r="AD2406" s="23" t="str">
        <f>IF($AC2406="","",_xlfn.XLOOKUP($AC2406,'Client Info'!$C$2:$C$2497,'Client Info'!$D$2:$D$2497,"",0,1))</f>
        <v/>
      </c>
      <c r="AE2406" s="23" t="str">
        <f>IF($AC2406="","",_xlfn.XLOOKUP($AC2406,'Client Info'!$C$2:$C$2677,'Client Info'!$E$2:$E$2677,"",))</f>
        <v/>
      </c>
      <c r="AF2406" s="23" t="str">
        <f>IF($AC2406="","",_xlfn.XLOOKUP($AC2406,'Client Info'!$C$2:$C$2677,'Client Info'!$F$2:$F$2677,"",0,1))</f>
        <v/>
      </c>
      <c r="AG2406" s="23" t="s">
        <v>3531</v>
      </c>
      <c r="AH2406" s="26" t="str">
        <f>_xlfn.XLOOKUP(Table26[[#This Row],[customerSKU]],customerSKU!G:G,customerSKU!K:K,"NA",0,1)</f>
        <v>NA</v>
      </c>
      <c r="AI2406" s="43" t="str">
        <f>_xlfn.XLOOKUP(Table26[[#This Row],[customerSKU]],customerSKU!G:G,customerSKU!O:O,"not found",0,1)</f>
        <v>not found</v>
      </c>
      <c r="AJ2406" s="22" t="e">
        <f>Table26[[#This Row],[unitprice]]*Table26[[#This Row],[quantity_unit]]</f>
        <v>#VALUE!</v>
      </c>
      <c r="AK2406" s="227" t="e" cm="1">
        <f t="array" ref="AK24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6" s="227"/>
    </row>
    <row r="2407" spans="1:38" ht="15.6">
      <c r="A2407" s="296"/>
      <c r="B2407" s="42" t="s">
        <v>3520</v>
      </c>
      <c r="C2407" s="53" t="s">
        <v>3383</v>
      </c>
      <c r="E2407" s="20"/>
      <c r="F2407" s="22"/>
      <c r="G2407" s="93"/>
      <c r="I2407" s="203">
        <v>45896</v>
      </c>
      <c r="J2407" s="90" t="str">
        <f>IF(Table26[[#This Row],[customerSKU]]="","",_xlfn.XLOOKUP(Table26[[#This Row],[customerSKU]],customerSKU!G:G,customerSKU!A:A,"",0,1))</f>
        <v/>
      </c>
      <c r="K2407" s="19"/>
      <c r="L2407" s="49" t="str">
        <f>IF(Table26[[#This Row],[customerSKU]]="","",_xlfn.XLOOKUP(Table26[[#This Row],[customerSKU]],customerSKU!G:G,customerSKU!B:B,"",0,1))</f>
        <v/>
      </c>
      <c r="M2407" s="22"/>
      <c r="N2407" s="15" t="str">
        <f>Table26[[#This Row],[po_number]]&amp;"-"&amp;Table26[[#This Row],[po_line]]</f>
        <v>-2</v>
      </c>
      <c r="O2407" s="15">
        <v>2</v>
      </c>
      <c r="P2407" s="50"/>
      <c r="S2407" s="55"/>
      <c r="T2407" s="20"/>
      <c r="U2407" s="94">
        <v>15</v>
      </c>
      <c r="V2407" s="15">
        <v>12</v>
      </c>
      <c r="W2407" s="117">
        <f>IFERROR(U2407/V2407, "")</f>
        <v>1.25</v>
      </c>
      <c r="X2407" s="22" t="str">
        <f t="shared" si="103"/>
        <v/>
      </c>
      <c r="Y2407" s="25" t="str">
        <f>IF(Table26[[#This Row],[customerSKU]]="","",_xlfn.XLOOKUP(Table26[[#This Row],[customerSKU]],Table27[customer_SKU],Table27[product_GTIN],"",0,1))</f>
        <v/>
      </c>
      <c r="Z2407" s="25" t="s">
        <v>3530</v>
      </c>
      <c r="AA2407" s="18" t="str" cm="1">
        <f t="array" ref="AA2407">IF(P2407="", "", _xlfn.XLOOKUP(P2407,#REF!,#REF!,NA,0,-1))</f>
        <v/>
      </c>
      <c r="AB2407" s="22"/>
      <c r="AC2407" s="23" t="s">
        <v>3531</v>
      </c>
      <c r="AD2407" s="259" t="str">
        <f>IF($AC2407="","",_xlfn.XLOOKUP($AC2407,'[2]Client Info'!$C$2:$C$2535,'[2]Client Info'!$D$2:$D$2535))</f>
        <v>726 Kingsway</v>
      </c>
      <c r="AE2407" s="23" t="str">
        <f>IF($AC2407="","",_xlfn.XLOOKUP($AC2407,'Client Info'!$C$2:$C$2677,'Client Info'!$E$2:$E$2677,"",))</f>
        <v/>
      </c>
      <c r="AF2407" s="23" t="str">
        <f>IF($AC2407="","",_xlfn.XLOOKUP($AC2407,'Client Info'!$C$2:$C$2677,'Client Info'!$F$2:$F$2677,"",0,1))</f>
        <v/>
      </c>
      <c r="AG2407" s="23" t="s">
        <v>3531</v>
      </c>
      <c r="AH2407" s="26" t="str">
        <f>_xlfn.XLOOKUP(Table26[[#This Row],[customerSKU]],customerSKU!G:G,customerSKU!K:K,"NA",0,1)</f>
        <v>NA</v>
      </c>
      <c r="AI2407" s="43" t="str">
        <f>_xlfn.XLOOKUP(Table26[[#This Row],[customerSKU]],customerSKU!G:G,customerSKU!O:O,"not found",0,1)</f>
        <v>not found</v>
      </c>
      <c r="AJ2407" s="22" t="e">
        <f>Table26[[#This Row],[unitprice]]*Table26[[#This Row],[quantity_unit]]</f>
        <v>#VALUE!</v>
      </c>
      <c r="AK2407" s="22" t="e" cm="1">
        <f t="array" ref="AK240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407" s="227"/>
    </row>
    <row r="2408" spans="1:38" ht="15.6">
      <c r="A2408" s="42">
        <v>2406</v>
      </c>
      <c r="B2408" s="42" t="s">
        <v>3520</v>
      </c>
      <c r="C2408" s="53" t="s">
        <v>3383</v>
      </c>
      <c r="E2408" s="20"/>
      <c r="F24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8" s="93"/>
      <c r="I2408" s="203">
        <v>45896</v>
      </c>
      <c r="J2408" s="90" t="str">
        <f>IF(Table26[[#This Row],[customerSKU]]="","",_xlfn.XLOOKUP(Table26[[#This Row],[customerSKU]],customerSKU!G:G,customerSKU!A:A,"",0,1))</f>
        <v/>
      </c>
      <c r="K2408" s="19"/>
      <c r="L2408" s="49" t="str">
        <f>IF(Table26[[#This Row],[customerSKU]]="","",_xlfn.XLOOKUP(Table26[[#This Row],[customerSKU]],customerSKU!G:G,customerSKU!B:B,"",0,1))</f>
        <v/>
      </c>
      <c r="M2408" s="22"/>
      <c r="N2408" s="15" t="str">
        <f>Table26[[#This Row],[po_number]]&amp;"-"&amp;Table26[[#This Row],[po_line]]</f>
        <v>-3</v>
      </c>
      <c r="O2408" s="15">
        <v>3</v>
      </c>
      <c r="P2408" s="50"/>
      <c r="Q2408" s="22" t="s">
        <v>1823</v>
      </c>
      <c r="R2408" s="22" t="s">
        <v>532</v>
      </c>
      <c r="S2408" s="90" t="str">
        <f>IF(Table26[[#This Row],[customerSKU]]="","",_xlfn.XLOOKUP(Table26[[#This Row],[customerSKU]],customerSKU!G:G,customerSKU!N:N,"NOT FOUND",0,1))</f>
        <v>NOT FOUND</v>
      </c>
      <c r="T2408" s="20">
        <v>45880</v>
      </c>
      <c r="U2408" s="94">
        <v>24</v>
      </c>
      <c r="V2408" s="22" t="str">
        <f>IF(ISBLANK(Table26[[#This Row],[customerSKU]]),"",_xlfn.XLOOKUP(Table26[[#This Row],[customerSKU]],Table27[customer_SKU],Table27[case_size],"",0,1))</f>
        <v/>
      </c>
      <c r="W2408" s="117" t="str">
        <f t="shared" si="102"/>
        <v/>
      </c>
      <c r="X2408" s="22" t="str">
        <f t="shared" si="103"/>
        <v/>
      </c>
      <c r="Y2408" s="25" t="str">
        <f>IF(Table26[[#This Row],[customerSKU]]="","",_xlfn.XLOOKUP(Table26[[#This Row],[customerSKU]],Table27[customer_SKU],Table27[product_GTIN],"",0,1))</f>
        <v/>
      </c>
      <c r="Z2408" s="25" t="s">
        <v>3690</v>
      </c>
      <c r="AA2408" s="18" t="str" cm="1">
        <f t="array" ref="AA2408">IF(P2408="", "", _xlfn.XLOOKUP(P2408,#REF!,#REF!,NA,0,-1))</f>
        <v/>
      </c>
      <c r="AB2408" s="22"/>
      <c r="AC2408" s="23" t="s">
        <v>3531</v>
      </c>
      <c r="AD2408" s="23" t="str">
        <f>IF($AC2408="","",_xlfn.XLOOKUP($AC2408,'Client Info'!$C$2:$C$2497,'Client Info'!$D$2:$D$2497,"",0,1))</f>
        <v/>
      </c>
      <c r="AE2408" s="23" t="str">
        <f>IF($AC2408="","",_xlfn.XLOOKUP($AC2408,'Client Info'!$C$2:$C$2677,'Client Info'!$E$2:$E$2677,"",))</f>
        <v/>
      </c>
      <c r="AF2408" s="23" t="str">
        <f>IF($AC2408="","",_xlfn.XLOOKUP($AC2408,'Client Info'!$C$2:$C$2677,'Client Info'!$F$2:$F$2677,"",0,1))</f>
        <v/>
      </c>
      <c r="AG2408" s="23" t="s">
        <v>3531</v>
      </c>
      <c r="AH2408" s="26" t="str">
        <f>_xlfn.XLOOKUP(Table26[[#This Row],[customerSKU]],customerSKU!G:G,customerSKU!K:K,"NA",0,1)</f>
        <v>NA</v>
      </c>
      <c r="AI2408" s="43" t="str">
        <f>_xlfn.XLOOKUP(Table26[[#This Row],[customerSKU]],customerSKU!G:G,customerSKU!O:O,"not found",0,1)</f>
        <v>not found</v>
      </c>
      <c r="AJ2408" s="22" t="e">
        <f>Table26[[#This Row],[unitprice]]*Table26[[#This Row],[quantity_unit]]</f>
        <v>#VALUE!</v>
      </c>
      <c r="AK2408" s="227" t="e" cm="1">
        <f t="array" ref="AK24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8" s="227"/>
    </row>
    <row r="2409" spans="1:38" ht="15.6">
      <c r="A2409" s="42">
        <v>2407</v>
      </c>
      <c r="B2409" s="42" t="s">
        <v>3520</v>
      </c>
      <c r="C2409" s="53" t="s">
        <v>3383</v>
      </c>
      <c r="E2409" s="20"/>
      <c r="F24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09" s="93"/>
      <c r="I2409" s="203">
        <v>45897</v>
      </c>
      <c r="J2409" s="90" t="str">
        <f>IF(Table26[[#This Row],[customerSKU]]="","",_xlfn.XLOOKUP(Table26[[#This Row],[customerSKU]],customerSKU!G:G,customerSKU!A:A,"",0,1))</f>
        <v/>
      </c>
      <c r="K2409" s="19"/>
      <c r="L2409" s="49" t="str">
        <f>IF(Table26[[#This Row],[customerSKU]]="","",_xlfn.XLOOKUP(Table26[[#This Row],[customerSKU]],customerSKU!G:G,customerSKU!B:B,"",0,1))</f>
        <v/>
      </c>
      <c r="M2409" s="22"/>
      <c r="N2409" s="15" t="str">
        <f>Table26[[#This Row],[po_number]]&amp;"-"&amp;Table26[[#This Row],[po_line]]</f>
        <v>-1</v>
      </c>
      <c r="O2409" s="15">
        <v>1</v>
      </c>
      <c r="P2409" s="50"/>
      <c r="S2409" s="90" t="str">
        <f>IF(Table26[[#This Row],[customerSKU]]="","",_xlfn.XLOOKUP(Table26[[#This Row],[customerSKU]],customerSKU!G:G,customerSKU!N:N,"NOT FOUND",0,1))</f>
        <v>NOT FOUND</v>
      </c>
      <c r="T2409" s="20"/>
      <c r="U2409" s="94">
        <v>6</v>
      </c>
      <c r="V2409" s="22" t="str">
        <f>IF(ISBLANK(Table26[[#This Row],[customerSKU]]),"",_xlfn.XLOOKUP(Table26[[#This Row],[customerSKU]],Table27[customer_SKU],Table27[case_size],"",0,1))</f>
        <v/>
      </c>
      <c r="W2409" s="117" t="str">
        <f t="shared" si="102"/>
        <v/>
      </c>
      <c r="X2409" s="22" t="str">
        <f t="shared" si="103"/>
        <v/>
      </c>
      <c r="Y2409" s="25" t="str">
        <f>IF(Table26[[#This Row],[customerSKU]]="","",_xlfn.XLOOKUP(Table26[[#This Row],[customerSKU]],Table27[customer_SKU],Table27[product_GTIN],"",0,1))</f>
        <v/>
      </c>
      <c r="Z2409" s="25" t="s">
        <v>4322</v>
      </c>
      <c r="AA2409" s="18" t="str" cm="1">
        <f t="array" ref="AA2409">IF(P2409="", "", _xlfn.XLOOKUP(P2409,#REF!,#REF!,NA,0,-1))</f>
        <v/>
      </c>
      <c r="AB2409" s="22"/>
      <c r="AC2409" s="15" t="s">
        <v>4321</v>
      </c>
      <c r="AD2409" s="23" t="str">
        <f>IF($AC2409="","",_xlfn.XLOOKUP($AC2409,'Client Info'!$C$2:$C$2497,'Client Info'!$D$2:$D$2497,"",0,1))</f>
        <v/>
      </c>
      <c r="AE2409" s="23" t="str">
        <f>IF($AC2409="","",_xlfn.XLOOKUP($AC2409,'Client Info'!$C$2:$C$2677,'Client Info'!$E$2:$E$2677,"",))</f>
        <v/>
      </c>
      <c r="AF2409" s="23" t="str">
        <f>IF($AC2409="","",_xlfn.XLOOKUP($AC2409,'Client Info'!$C$2:$C$2677,'Client Info'!$F$2:$F$2677,"",0,1))</f>
        <v/>
      </c>
      <c r="AG2409" s="23" t="s">
        <v>4321</v>
      </c>
      <c r="AH2409" s="26" t="str">
        <f>_xlfn.XLOOKUP(Table26[[#This Row],[customerSKU]],customerSKU!G:G,customerSKU!K:K,"NA",0,1)</f>
        <v>NA</v>
      </c>
      <c r="AI2409" s="43" t="str">
        <f>_xlfn.XLOOKUP(Table26[[#This Row],[customerSKU]],customerSKU!G:G,customerSKU!O:O,"not found",0,1)</f>
        <v>not found</v>
      </c>
      <c r="AJ2409" s="22" t="e">
        <f>Table26[[#This Row],[unitprice]]*Table26[[#This Row],[quantity_unit]]</f>
        <v>#VALUE!</v>
      </c>
      <c r="AK2409" s="227" t="e" cm="1">
        <f t="array" ref="AK24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09" s="227"/>
    </row>
    <row r="2410" spans="1:38" ht="15.6">
      <c r="A2410" s="42">
        <v>2408</v>
      </c>
      <c r="B2410" s="42" t="s">
        <v>3520</v>
      </c>
      <c r="C2410" s="53" t="s">
        <v>3383</v>
      </c>
      <c r="E2410" s="20"/>
      <c r="F24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0" s="93"/>
      <c r="I2410" s="203">
        <v>45897</v>
      </c>
      <c r="J2410" s="90" t="str">
        <f>IF(Table26[[#This Row],[customerSKU]]="","",_xlfn.XLOOKUP(Table26[[#This Row],[customerSKU]],customerSKU!G:G,customerSKU!A:A,"",0,1))</f>
        <v/>
      </c>
      <c r="K2410" s="19"/>
      <c r="L2410" s="49" t="str">
        <f>IF(Table26[[#This Row],[customerSKU]]="","",_xlfn.XLOOKUP(Table26[[#This Row],[customerSKU]],customerSKU!G:G,customerSKU!B:B,"",0,1))</f>
        <v/>
      </c>
      <c r="M2410" s="22"/>
      <c r="N2410" s="15" t="str">
        <f>Table26[[#This Row],[po_number]]&amp;"-"&amp;Table26[[#This Row],[po_line]]</f>
        <v>-2</v>
      </c>
      <c r="O2410" s="15">
        <v>2</v>
      </c>
      <c r="P2410" s="50"/>
      <c r="S2410" s="90" t="str">
        <f>IF(Table26[[#This Row],[customerSKU]]="","",_xlfn.XLOOKUP(Table26[[#This Row],[customerSKU]],customerSKU!G:G,customerSKU!N:N,"NOT FOUND",0,1))</f>
        <v>NOT FOUND</v>
      </c>
      <c r="T2410" s="20"/>
      <c r="U2410" s="94">
        <v>12</v>
      </c>
      <c r="V2410" s="22" t="str">
        <f>IF(ISBLANK(Table26[[#This Row],[customerSKU]]),"",_xlfn.XLOOKUP(Table26[[#This Row],[customerSKU]],Table27[customer_SKU],Table27[case_size],"",0,1))</f>
        <v/>
      </c>
      <c r="W2410" s="117" t="str">
        <f>IFERROR(U2410/V2410, "")</f>
        <v/>
      </c>
      <c r="X2410" s="22" t="str">
        <f t="shared" si="103"/>
        <v/>
      </c>
      <c r="Y2410" s="25" t="str">
        <f>IF(Table26[[#This Row],[customerSKU]]="","",_xlfn.XLOOKUP(Table26[[#This Row],[customerSKU]],Table27[customer_SKU],Table27[product_GTIN],"",0,1))</f>
        <v/>
      </c>
      <c r="Z2410" s="25" t="s">
        <v>3605</v>
      </c>
      <c r="AA2410" s="18" t="str" cm="1">
        <f t="array" ref="AA2410">IF(P2410="", "", _xlfn.XLOOKUP(P2410,#REF!,#REF!,NA,0,-1))</f>
        <v/>
      </c>
      <c r="AB2410" s="22"/>
      <c r="AC2410" s="15" t="s">
        <v>4321</v>
      </c>
      <c r="AD2410" s="23" t="str">
        <f>IF($AC2410="","",_xlfn.XLOOKUP($AC2410,'Client Info'!$C$2:$C$2497,'Client Info'!$D$2:$D$2497,"",0,1))</f>
        <v/>
      </c>
      <c r="AE2410" s="23" t="str">
        <f>IF($AC2410="","",_xlfn.XLOOKUP($AC2410,'Client Info'!$C$2:$C$2677,'Client Info'!$E$2:$E$2677,"",))</f>
        <v/>
      </c>
      <c r="AF2410" s="23" t="str">
        <f>IF($AC2410="","",_xlfn.XLOOKUP($AC2410,'Client Info'!$C$2:$C$2677,'Client Info'!$F$2:$F$2677,"",0,1))</f>
        <v/>
      </c>
      <c r="AG2410" s="23" t="s">
        <v>4321</v>
      </c>
      <c r="AH2410" s="26" t="str">
        <f>_xlfn.XLOOKUP(Table26[[#This Row],[customerSKU]],customerSKU!G:G,customerSKU!K:K,"NA",0,1)</f>
        <v>NA</v>
      </c>
      <c r="AI2410" s="43" t="str">
        <f>_xlfn.XLOOKUP(Table26[[#This Row],[customerSKU]],customerSKU!G:G,customerSKU!O:O,"not found",0,1)</f>
        <v>not found</v>
      </c>
      <c r="AJ2410" s="22" t="e">
        <f>Table26[[#This Row],[unitprice]]*Table26[[#This Row],[quantity_unit]]</f>
        <v>#VALUE!</v>
      </c>
      <c r="AK2410" s="227" t="e" cm="1">
        <f t="array" ref="AK24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0" s="227"/>
    </row>
    <row r="2411" spans="1:38" ht="15.6">
      <c r="A2411" s="42">
        <v>2409</v>
      </c>
      <c r="B2411" s="42" t="s">
        <v>3520</v>
      </c>
      <c r="C2411" s="53" t="s">
        <v>3383</v>
      </c>
      <c r="E2411" s="20"/>
      <c r="F24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1" s="93"/>
      <c r="I2411" s="203">
        <v>45897</v>
      </c>
      <c r="J2411" s="90" t="str">
        <f>IF(Table26[[#This Row],[customerSKU]]="","",_xlfn.XLOOKUP(Table26[[#This Row],[customerSKU]],customerSKU!G:G,customerSKU!A:A,"",0,1))</f>
        <v/>
      </c>
      <c r="K2411" s="19"/>
      <c r="L2411" s="49" t="str">
        <f>IF(Table26[[#This Row],[customerSKU]]="","",_xlfn.XLOOKUP(Table26[[#This Row],[customerSKU]],customerSKU!G:G,customerSKU!B:B,"",0,1))</f>
        <v/>
      </c>
      <c r="M2411" s="22"/>
      <c r="N2411" s="15" t="str">
        <f>Table26[[#This Row],[po_number]]&amp;"-"&amp;Table26[[#This Row],[po_line]]</f>
        <v>-3</v>
      </c>
      <c r="O2411" s="15">
        <v>3</v>
      </c>
      <c r="P2411" s="50"/>
      <c r="S2411" s="90" t="str">
        <f>IF(Table26[[#This Row],[customerSKU]]="","",_xlfn.XLOOKUP(Table26[[#This Row],[customerSKU]],customerSKU!G:G,customerSKU!N:N,"NOT FOUND",0,1))</f>
        <v>NOT FOUND</v>
      </c>
      <c r="T2411" s="20"/>
      <c r="U2411" s="94">
        <v>12</v>
      </c>
      <c r="V2411" s="22" t="str">
        <f>IF(ISBLANK(Table26[[#This Row],[customerSKU]]),"",_xlfn.XLOOKUP(Table26[[#This Row],[customerSKU]],Table27[customer_SKU],Table27[case_size],"",0,1))</f>
        <v/>
      </c>
      <c r="W2411" s="117" t="str">
        <f t="shared" si="102"/>
        <v/>
      </c>
      <c r="X2411" s="22" t="str">
        <f t="shared" si="103"/>
        <v/>
      </c>
      <c r="Y2411" s="25" t="str">
        <f>IF(Table26[[#This Row],[customerSKU]]="","",_xlfn.XLOOKUP(Table26[[#This Row],[customerSKU]],Table27[customer_SKU],Table27[product_GTIN],"",0,1))</f>
        <v/>
      </c>
      <c r="Z2411" s="25" t="s">
        <v>3652</v>
      </c>
      <c r="AA2411" s="18" t="str" cm="1">
        <f t="array" ref="AA2411">IF(P2411="", "", _xlfn.XLOOKUP(P2411,#REF!,#REF!,NA,0,-1))</f>
        <v/>
      </c>
      <c r="AB2411" s="22"/>
      <c r="AC2411" s="15" t="s">
        <v>4321</v>
      </c>
      <c r="AD2411" s="23" t="str">
        <f>IF($AC2411="","",_xlfn.XLOOKUP($AC2411,'Client Info'!$C$2:$C$2497,'Client Info'!$D$2:$D$2497,"",0,1))</f>
        <v/>
      </c>
      <c r="AE2411" s="23" t="str">
        <f>IF($AC2411="","",_xlfn.XLOOKUP($AC2411,'Client Info'!$C$2:$C$2677,'Client Info'!$E$2:$E$2677,"",))</f>
        <v/>
      </c>
      <c r="AF2411" s="23" t="str">
        <f>IF($AC2411="","",_xlfn.XLOOKUP($AC2411,'Client Info'!$C$2:$C$2677,'Client Info'!$F$2:$F$2677,"",0,1))</f>
        <v/>
      </c>
      <c r="AG2411" s="23" t="s">
        <v>4321</v>
      </c>
      <c r="AH2411" s="26" t="str">
        <f>_xlfn.XLOOKUP(Table26[[#This Row],[customerSKU]],customerSKU!G:G,customerSKU!K:K,"NA",0,1)</f>
        <v>NA</v>
      </c>
      <c r="AI2411" s="43" t="str">
        <f>_xlfn.XLOOKUP(Table26[[#This Row],[customerSKU]],customerSKU!G:G,customerSKU!O:O,"not found",0,1)</f>
        <v>not found</v>
      </c>
      <c r="AJ2411" s="22" t="e">
        <f>Table26[[#This Row],[unitprice]]*Table26[[#This Row],[quantity_unit]]</f>
        <v>#VALUE!</v>
      </c>
      <c r="AK2411" s="227" t="e" cm="1">
        <f t="array" ref="AK24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1" s="227"/>
    </row>
    <row r="2412" spans="1:38" ht="15.6">
      <c r="A2412" s="42">
        <v>2410</v>
      </c>
      <c r="B2412" s="42" t="s">
        <v>3520</v>
      </c>
      <c r="C2412" s="53" t="s">
        <v>3383</v>
      </c>
      <c r="E2412" s="20"/>
      <c r="F24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2" s="93"/>
      <c r="I2412" s="203">
        <v>45897</v>
      </c>
      <c r="J2412" s="90" t="str">
        <f>IF(Table26[[#This Row],[customerSKU]]="","",_xlfn.XLOOKUP(Table26[[#This Row],[customerSKU]],customerSKU!G:G,customerSKU!A:A,"",0,1))</f>
        <v/>
      </c>
      <c r="K2412" s="19"/>
      <c r="L2412" s="49" t="str">
        <f>IF(Table26[[#This Row],[customerSKU]]="","",_xlfn.XLOOKUP(Table26[[#This Row],[customerSKU]],customerSKU!G:G,customerSKU!B:B,"",0,1))</f>
        <v/>
      </c>
      <c r="M2412" s="22"/>
      <c r="N2412" s="15" t="str">
        <f>Table26[[#This Row],[po_number]]&amp;"-"&amp;Table26[[#This Row],[po_line]]</f>
        <v>-4</v>
      </c>
      <c r="O2412" s="15">
        <v>4</v>
      </c>
      <c r="P2412" s="50"/>
      <c r="S2412" s="90" t="str">
        <f>IF(Table26[[#This Row],[customerSKU]]="","",_xlfn.XLOOKUP(Table26[[#This Row],[customerSKU]],customerSKU!G:G,customerSKU!N:N,"NOT FOUND",0,1))</f>
        <v>NOT FOUND</v>
      </c>
      <c r="T2412" s="20"/>
      <c r="U2412" s="94">
        <v>12</v>
      </c>
      <c r="V2412" s="22" t="str">
        <f>IF(ISBLANK(Table26[[#This Row],[customerSKU]]),"",_xlfn.XLOOKUP(Table26[[#This Row],[customerSKU]],Table27[customer_SKU],Table27[case_size],"",0,1))</f>
        <v/>
      </c>
      <c r="W2412" s="117" t="str">
        <f t="shared" si="102"/>
        <v/>
      </c>
      <c r="X2412" s="22" t="str">
        <f t="shared" si="103"/>
        <v/>
      </c>
      <c r="Y2412" s="25" t="str">
        <f>IF(Table26[[#This Row],[customerSKU]]="","",_xlfn.XLOOKUP(Table26[[#This Row],[customerSKU]],Table27[customer_SKU],Table27[product_GTIN],"",0,1))</f>
        <v/>
      </c>
      <c r="Z2412" s="25" t="s">
        <v>3603</v>
      </c>
      <c r="AA2412" s="18" t="str" cm="1">
        <f t="array" ref="AA2412">IF(P2412="", "", _xlfn.XLOOKUP(P2412,#REF!,#REF!,NA,0,-1))</f>
        <v/>
      </c>
      <c r="AB2412" s="22"/>
      <c r="AC2412" s="15" t="s">
        <v>4321</v>
      </c>
      <c r="AD2412" s="23" t="str">
        <f>IF($AC2412="","",_xlfn.XLOOKUP($AC2412,'Client Info'!$C$2:$C$2497,'Client Info'!$D$2:$D$2497,"",0,1))</f>
        <v/>
      </c>
      <c r="AE2412" s="23" t="str">
        <f>IF($AC2412="","",_xlfn.XLOOKUP($AC2412,'Client Info'!$C$2:$C$2677,'Client Info'!$E$2:$E$2677,"",))</f>
        <v/>
      </c>
      <c r="AF2412" s="23" t="str">
        <f>IF($AC2412="","",_xlfn.XLOOKUP($AC2412,'Client Info'!$C$2:$C$2677,'Client Info'!$F$2:$F$2677,"",0,1))</f>
        <v/>
      </c>
      <c r="AG2412" s="23" t="s">
        <v>4321</v>
      </c>
      <c r="AH2412" s="26" t="str">
        <f>_xlfn.XLOOKUP(Table26[[#This Row],[customerSKU]],customerSKU!G:G,customerSKU!K:K,"NA",0,1)</f>
        <v>NA</v>
      </c>
      <c r="AI2412" s="43" t="str">
        <f>_xlfn.XLOOKUP(Table26[[#This Row],[customerSKU]],customerSKU!G:G,customerSKU!O:O,"not found",0,1)</f>
        <v>not found</v>
      </c>
      <c r="AJ2412" s="22" t="e">
        <f>Table26[[#This Row],[unitprice]]*Table26[[#This Row],[quantity_unit]]</f>
        <v>#VALUE!</v>
      </c>
      <c r="AK2412" s="227" t="e" cm="1">
        <f t="array" ref="AK24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2" s="227"/>
    </row>
    <row r="2413" spans="1:38" ht="15.6">
      <c r="A2413" s="42">
        <v>2411</v>
      </c>
      <c r="B2413" s="42" t="s">
        <v>3520</v>
      </c>
      <c r="C2413" s="53" t="s">
        <v>3383</v>
      </c>
      <c r="E2413" s="20"/>
      <c r="F24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3" s="93"/>
      <c r="I2413" s="203">
        <v>45897</v>
      </c>
      <c r="J2413" s="90" t="str">
        <f>IF(Table26[[#This Row],[customerSKU]]="","",_xlfn.XLOOKUP(Table26[[#This Row],[customerSKU]],customerSKU!G:G,customerSKU!A:A,"",0,1))</f>
        <v/>
      </c>
      <c r="K2413" s="19"/>
      <c r="L2413" s="49" t="str">
        <f>IF(Table26[[#This Row],[customerSKU]]="","",_xlfn.XLOOKUP(Table26[[#This Row],[customerSKU]],customerSKU!G:G,customerSKU!B:B,"",0,1))</f>
        <v/>
      </c>
      <c r="M2413" s="22"/>
      <c r="N2413" s="15" t="str">
        <f>Table26[[#This Row],[po_number]]&amp;"-"&amp;Table26[[#This Row],[po_line]]</f>
        <v>-5</v>
      </c>
      <c r="O2413" s="15">
        <v>5</v>
      </c>
      <c r="P2413" s="50"/>
      <c r="S2413" s="90" t="str">
        <f>IF(Table26[[#This Row],[customerSKU]]="","",_xlfn.XLOOKUP(Table26[[#This Row],[customerSKU]],customerSKU!G:G,customerSKU!N:N,"NOT FOUND",0,1))</f>
        <v>NOT FOUND</v>
      </c>
      <c r="T2413" s="20"/>
      <c r="U2413" s="94">
        <v>12</v>
      </c>
      <c r="V2413" s="22" t="str">
        <f>IF(ISBLANK(Table26[[#This Row],[customerSKU]]),"",_xlfn.XLOOKUP(Table26[[#This Row],[customerSKU]],Table27[customer_SKU],Table27[case_size],"",0,1))</f>
        <v/>
      </c>
      <c r="W2413" s="117" t="str">
        <f t="shared" si="102"/>
        <v/>
      </c>
      <c r="X2413" s="22" t="str">
        <f t="shared" si="103"/>
        <v/>
      </c>
      <c r="Y2413" s="25" t="str">
        <f>IF(Table26[[#This Row],[customerSKU]]="","",_xlfn.XLOOKUP(Table26[[#This Row],[customerSKU]],Table27[customer_SKU],Table27[product_GTIN],"",0,1))</f>
        <v/>
      </c>
      <c r="Z2413" s="25" t="s">
        <v>3651</v>
      </c>
      <c r="AA2413" s="18" t="str" cm="1">
        <f t="array" ref="AA2413">IF(P2413="", "", _xlfn.XLOOKUP(P2413,#REF!,#REF!,NA,0,-1))</f>
        <v/>
      </c>
      <c r="AB2413" s="22"/>
      <c r="AC2413" s="15" t="s">
        <v>4321</v>
      </c>
      <c r="AD2413" s="23" t="str">
        <f>IF($AC2413="","",_xlfn.XLOOKUP($AC2413,'Client Info'!$C$2:$C$2497,'Client Info'!$D$2:$D$2497,"",0,1))</f>
        <v/>
      </c>
      <c r="AE2413" s="23" t="str">
        <f>IF($AC2413="","",_xlfn.XLOOKUP($AC2413,'Client Info'!$C$2:$C$2677,'Client Info'!$E$2:$E$2677,"",))</f>
        <v/>
      </c>
      <c r="AF2413" s="23" t="str">
        <f>IF($AC2413="","",_xlfn.XLOOKUP($AC2413,'Client Info'!$C$2:$C$2677,'Client Info'!$F$2:$F$2677,"",0,1))</f>
        <v/>
      </c>
      <c r="AG2413" s="23" t="s">
        <v>4321</v>
      </c>
      <c r="AH2413" s="26" t="str">
        <f>_xlfn.XLOOKUP(Table26[[#This Row],[customerSKU]],customerSKU!G:G,customerSKU!K:K,"NA",0,1)</f>
        <v>NA</v>
      </c>
      <c r="AI2413" s="43" t="str">
        <f>_xlfn.XLOOKUP(Table26[[#This Row],[customerSKU]],customerSKU!G:G,customerSKU!O:O,"not found",0,1)</f>
        <v>not found</v>
      </c>
      <c r="AJ2413" s="22" t="e">
        <f>Table26[[#This Row],[unitprice]]*Table26[[#This Row],[quantity_unit]]</f>
        <v>#VALUE!</v>
      </c>
      <c r="AK2413" s="227" t="e" cm="1">
        <f t="array" ref="AK24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3" s="227"/>
    </row>
    <row r="2414" spans="1:38" ht="15.6">
      <c r="A2414" s="42">
        <v>2412</v>
      </c>
      <c r="B2414" s="42" t="s">
        <v>3520</v>
      </c>
      <c r="C2414" s="53" t="s">
        <v>3383</v>
      </c>
      <c r="E2414" s="20"/>
      <c r="F24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4" s="93"/>
      <c r="I2414" s="203">
        <v>45897</v>
      </c>
      <c r="J2414" s="90" t="str">
        <f>IF(Table26[[#This Row],[customerSKU]]="","",_xlfn.XLOOKUP(Table26[[#This Row],[customerSKU]],customerSKU!G:G,customerSKU!A:A,"",0,1))</f>
        <v/>
      </c>
      <c r="K2414" s="19"/>
      <c r="L2414" s="49" t="str">
        <f>IF(Table26[[#This Row],[customerSKU]]="","",_xlfn.XLOOKUP(Table26[[#This Row],[customerSKU]],customerSKU!G:G,customerSKU!B:B,"",0,1))</f>
        <v/>
      </c>
      <c r="M2414" s="22"/>
      <c r="N2414" s="15" t="str">
        <f>Table26[[#This Row],[po_number]]&amp;"-"&amp;Table26[[#This Row],[po_line]]</f>
        <v>-1</v>
      </c>
      <c r="O2414" s="15">
        <v>1</v>
      </c>
      <c r="P2414" s="50"/>
      <c r="S2414" s="90" t="str">
        <f>IF(Table26[[#This Row],[customerSKU]]="","",_xlfn.XLOOKUP(Table26[[#This Row],[customerSKU]],customerSKU!G:G,customerSKU!N:N,"NOT FOUND",0,1))</f>
        <v>NOT FOUND</v>
      </c>
      <c r="T2414" s="20"/>
      <c r="U2414" s="94">
        <v>12</v>
      </c>
      <c r="V2414" s="22" t="str">
        <f>IF(ISBLANK(Table26[[#This Row],[customerSKU]]),"",_xlfn.XLOOKUP(Table26[[#This Row],[customerSKU]],Table27[customer_SKU],Table27[case_size],"",0,1))</f>
        <v/>
      </c>
      <c r="W2414" s="117" t="str">
        <f t="shared" si="102"/>
        <v/>
      </c>
      <c r="X2414" s="22" t="str">
        <f t="shared" si="103"/>
        <v/>
      </c>
      <c r="Y2414" s="25" t="str">
        <f>IF(Table26[[#This Row],[customerSKU]]="","",_xlfn.XLOOKUP(Table26[[#This Row],[customerSKU]],Table27[customer_SKU],Table27[product_GTIN],"",0,1))</f>
        <v/>
      </c>
      <c r="Z2414" s="25" t="s">
        <v>3526</v>
      </c>
      <c r="AA2414" s="18" t="str" cm="1">
        <f t="array" ref="AA2414">IF(P2414="", "", _xlfn.XLOOKUP(P2414,#REF!,#REF!,NA,0,-1))</f>
        <v/>
      </c>
      <c r="AB2414" s="22"/>
      <c r="AC2414" s="23" t="s">
        <v>118</v>
      </c>
      <c r="AD2414" s="23" t="str">
        <f>IF($AC2414="","",_xlfn.XLOOKUP($AC2414,'Client Info'!$C$2:$C$2497,'Client Info'!$D$2:$D$2497,"",0,1))</f>
        <v/>
      </c>
      <c r="AE2414" s="23" t="str">
        <f>IF($AC2414="","",_xlfn.XLOOKUP($AC2414,'Client Info'!$C$2:$C$2677,'Client Info'!$E$2:$E$2677,"",))</f>
        <v/>
      </c>
      <c r="AF2414" s="23" t="str">
        <f>IF($AC2414="","",_xlfn.XLOOKUP($AC2414,'Client Info'!$C$2:$C$2677,'Client Info'!$F$2:$F$2677,"",0,1))</f>
        <v/>
      </c>
      <c r="AG2414" s="23" t="s">
        <v>118</v>
      </c>
      <c r="AH2414" s="26" t="str">
        <f>_xlfn.XLOOKUP(Table26[[#This Row],[customerSKU]],customerSKU!G:G,customerSKU!K:K,"NA",0,1)</f>
        <v>NA</v>
      </c>
      <c r="AI2414" s="43" t="str">
        <f>_xlfn.XLOOKUP(Table26[[#This Row],[customerSKU]],customerSKU!G:G,customerSKU!O:O,"not found",0,1)</f>
        <v>not found</v>
      </c>
      <c r="AJ2414" s="22" t="e">
        <f>Table26[[#This Row],[unitprice]]*Table26[[#This Row],[quantity_unit]]</f>
        <v>#VALUE!</v>
      </c>
      <c r="AK2414" s="227" t="e" cm="1">
        <f t="array" ref="AK24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4" s="227"/>
    </row>
    <row r="2415" spans="1:38" ht="15.6">
      <c r="A2415" s="42">
        <v>2413</v>
      </c>
      <c r="B2415" s="42" t="s">
        <v>3520</v>
      </c>
      <c r="C2415" s="53" t="s">
        <v>3383</v>
      </c>
      <c r="E2415" s="20"/>
      <c r="F24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5" s="93"/>
      <c r="I2415" s="203">
        <v>45897</v>
      </c>
      <c r="J2415" s="90" t="str">
        <f>IF(Table26[[#This Row],[customerSKU]]="","",_xlfn.XLOOKUP(Table26[[#This Row],[customerSKU]],customerSKU!G:G,customerSKU!A:A,"",0,1))</f>
        <v/>
      </c>
      <c r="K2415" s="19"/>
      <c r="L2415" s="49" t="str">
        <f>IF(Table26[[#This Row],[customerSKU]]="","",_xlfn.XLOOKUP(Table26[[#This Row],[customerSKU]],customerSKU!G:G,customerSKU!B:B,"",0,1))</f>
        <v/>
      </c>
      <c r="M2415" s="22"/>
      <c r="N2415" s="15" t="str">
        <f>Table26[[#This Row],[po_number]]&amp;"-"&amp;Table26[[#This Row],[po_line]]</f>
        <v>-2</v>
      </c>
      <c r="O2415" s="15">
        <v>2</v>
      </c>
      <c r="P2415" s="50"/>
      <c r="S2415" s="90" t="str">
        <f>IF(Table26[[#This Row],[customerSKU]]="","",_xlfn.XLOOKUP(Table26[[#This Row],[customerSKU]],customerSKU!G:G,customerSKU!N:N,"NOT FOUND",0,1))</f>
        <v>NOT FOUND</v>
      </c>
      <c r="T2415" s="20"/>
      <c r="U2415" s="94">
        <v>6</v>
      </c>
      <c r="V2415" s="22" t="str">
        <f>IF(ISBLANK(Table26[[#This Row],[customerSKU]]),"",_xlfn.XLOOKUP(Table26[[#This Row],[customerSKU]],Table27[customer_SKU],Table27[case_size],"",0,1))</f>
        <v/>
      </c>
      <c r="W2415" s="117" t="str">
        <f t="shared" si="102"/>
        <v/>
      </c>
      <c r="X2415" s="22" t="str">
        <f t="shared" si="103"/>
        <v/>
      </c>
      <c r="Y2415" s="25" t="str">
        <f>IF(Table26[[#This Row],[customerSKU]]="","",_xlfn.XLOOKUP(Table26[[#This Row],[customerSKU]],Table27[customer_SKU],Table27[product_GTIN],"",0,1))</f>
        <v/>
      </c>
      <c r="Z2415" s="25" t="s">
        <v>3597</v>
      </c>
      <c r="AA2415" s="18" t="str" cm="1">
        <f t="array" ref="AA2415">IF(P2415="", "", _xlfn.XLOOKUP(P2415,#REF!,#REF!,NA,0,-1))</f>
        <v/>
      </c>
      <c r="AB2415" s="22"/>
      <c r="AC2415" s="23" t="s">
        <v>118</v>
      </c>
      <c r="AD2415" s="23" t="str">
        <f>IF($AC2415="","",_xlfn.XLOOKUP($AC2415,'Client Info'!$C$2:$C$2497,'Client Info'!$D$2:$D$2497,"",0,1))</f>
        <v/>
      </c>
      <c r="AE2415" s="23" t="str">
        <f>IF($AC2415="","",_xlfn.XLOOKUP($AC2415,'Client Info'!$C$2:$C$2677,'Client Info'!$E$2:$E$2677,"",))</f>
        <v/>
      </c>
      <c r="AF2415" s="23" t="str">
        <f>IF($AC2415="","",_xlfn.XLOOKUP($AC2415,'Client Info'!$C$2:$C$2677,'Client Info'!$F$2:$F$2677,"",0,1))</f>
        <v/>
      </c>
      <c r="AG2415" s="23" t="s">
        <v>118</v>
      </c>
      <c r="AH2415" s="26" t="str">
        <f>_xlfn.XLOOKUP(Table26[[#This Row],[customerSKU]],customerSKU!G:G,customerSKU!K:K,"NA",0,1)</f>
        <v>NA</v>
      </c>
      <c r="AI2415" s="43" t="str">
        <f>_xlfn.XLOOKUP(Table26[[#This Row],[customerSKU]],customerSKU!G:G,customerSKU!O:O,"not found",0,1)</f>
        <v>not found</v>
      </c>
      <c r="AJ2415" s="22" t="e">
        <f>Table26[[#This Row],[unitprice]]*Table26[[#This Row],[quantity_unit]]</f>
        <v>#VALUE!</v>
      </c>
      <c r="AK2415" s="227" t="e" cm="1">
        <f t="array" ref="AK24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5" s="227"/>
    </row>
    <row r="2416" spans="1:38" ht="15.6">
      <c r="A2416" s="42">
        <v>2414</v>
      </c>
      <c r="B2416" s="42" t="s">
        <v>3520</v>
      </c>
      <c r="C2416" s="53" t="s">
        <v>3383</v>
      </c>
      <c r="E2416" s="20"/>
      <c r="F24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6" s="93"/>
      <c r="I2416" s="203">
        <v>45897</v>
      </c>
      <c r="J2416" s="90" t="str">
        <f>IF(Table26[[#This Row],[customerSKU]]="","",_xlfn.XLOOKUP(Table26[[#This Row],[customerSKU]],customerSKU!G:G,customerSKU!A:A,"",0,1))</f>
        <v/>
      </c>
      <c r="K2416" s="19"/>
      <c r="L2416" s="49" t="str">
        <f>IF(Table26[[#This Row],[customerSKU]]="","",_xlfn.XLOOKUP(Table26[[#This Row],[customerSKU]],customerSKU!G:G,customerSKU!B:B,"",0,1))</f>
        <v/>
      </c>
      <c r="M2416" s="22"/>
      <c r="N2416" s="15" t="str">
        <f>Table26[[#This Row],[po_number]]&amp;"-"&amp;Table26[[#This Row],[po_line]]</f>
        <v>-3</v>
      </c>
      <c r="O2416" s="15">
        <v>3</v>
      </c>
      <c r="P2416" s="50"/>
      <c r="S2416" s="90" t="str">
        <f>IF(Table26[[#This Row],[customerSKU]]="","",_xlfn.XLOOKUP(Table26[[#This Row],[customerSKU]],customerSKU!G:G,customerSKU!N:N,"NOT FOUND",0,1))</f>
        <v>NOT FOUND</v>
      </c>
      <c r="T2416" s="20"/>
      <c r="U2416" s="94">
        <v>12</v>
      </c>
      <c r="V2416" s="22" t="str">
        <f>IF(ISBLANK(Table26[[#This Row],[customerSKU]]),"",_xlfn.XLOOKUP(Table26[[#This Row],[customerSKU]],Table27[customer_SKU],Table27[case_size],"",0,1))</f>
        <v/>
      </c>
      <c r="W2416" s="117" t="str">
        <f t="shared" si="102"/>
        <v/>
      </c>
      <c r="X2416" s="22" t="str">
        <f t="shared" si="103"/>
        <v/>
      </c>
      <c r="Y2416" s="25" t="str">
        <f>IF(Table26[[#This Row],[customerSKU]]="","",_xlfn.XLOOKUP(Table26[[#This Row],[customerSKU]],Table27[customer_SKU],Table27[product_GTIN],"",0,1))</f>
        <v/>
      </c>
      <c r="Z2416" s="25" t="s">
        <v>3603</v>
      </c>
      <c r="AA2416" s="18" t="str" cm="1">
        <f t="array" ref="AA2416">IF(P2416="", "", _xlfn.XLOOKUP(P2416,#REF!,#REF!,NA,0,-1))</f>
        <v/>
      </c>
      <c r="AB2416" s="22"/>
      <c r="AC2416" s="23" t="s">
        <v>118</v>
      </c>
      <c r="AD2416" s="23" t="str">
        <f>IF($AC2416="","",_xlfn.XLOOKUP($AC2416,'Client Info'!$C$2:$C$2497,'Client Info'!$D$2:$D$2497,"",0,1))</f>
        <v/>
      </c>
      <c r="AE2416" s="23" t="str">
        <f>IF($AC2416="","",_xlfn.XLOOKUP($AC2416,'Client Info'!$C$2:$C$2677,'Client Info'!$E$2:$E$2677,"",))</f>
        <v/>
      </c>
      <c r="AF2416" s="23" t="str">
        <f>IF($AC2416="","",_xlfn.XLOOKUP($AC2416,'Client Info'!$C$2:$C$2677,'Client Info'!$F$2:$F$2677,"",0,1))</f>
        <v/>
      </c>
      <c r="AG2416" s="23" t="s">
        <v>118</v>
      </c>
      <c r="AH2416" s="26" t="str">
        <f>_xlfn.XLOOKUP(Table26[[#This Row],[customerSKU]],customerSKU!G:G,customerSKU!K:K,"NA",0,1)</f>
        <v>NA</v>
      </c>
      <c r="AI2416" s="43" t="str">
        <f>_xlfn.XLOOKUP(Table26[[#This Row],[customerSKU]],customerSKU!G:G,customerSKU!O:O,"not found",0,1)</f>
        <v>not found</v>
      </c>
      <c r="AJ2416" s="22" t="e">
        <f>Table26[[#This Row],[unitprice]]*Table26[[#This Row],[quantity_unit]]</f>
        <v>#VALUE!</v>
      </c>
      <c r="AK2416" s="227" t="e" cm="1">
        <f t="array" ref="AK24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6" s="227"/>
    </row>
    <row r="2417" spans="1:38" ht="15.6">
      <c r="A2417" s="42">
        <v>2415</v>
      </c>
      <c r="B2417" s="42" t="s">
        <v>3520</v>
      </c>
      <c r="C2417" s="53" t="s">
        <v>3383</v>
      </c>
      <c r="E2417" s="20"/>
      <c r="F24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7" s="93"/>
      <c r="I2417" s="203">
        <v>45897</v>
      </c>
      <c r="J2417" s="90" t="str">
        <f>IF(Table26[[#This Row],[customerSKU]]="","",_xlfn.XLOOKUP(Table26[[#This Row],[customerSKU]],customerSKU!G:G,customerSKU!A:A,"",0,1))</f>
        <v/>
      </c>
      <c r="K2417" s="19"/>
      <c r="L2417" s="49" t="str">
        <f>IF(Table26[[#This Row],[customerSKU]]="","",_xlfn.XLOOKUP(Table26[[#This Row],[customerSKU]],customerSKU!G:G,customerSKU!B:B,"",0,1))</f>
        <v/>
      </c>
      <c r="M2417" s="22"/>
      <c r="N2417" s="15" t="str">
        <f>Table26[[#This Row],[po_number]]&amp;"-"&amp;Table26[[#This Row],[po_line]]</f>
        <v>-4</v>
      </c>
      <c r="O2417" s="15">
        <v>4</v>
      </c>
      <c r="P2417" s="50"/>
      <c r="S2417" s="90" t="str">
        <f>IF(Table26[[#This Row],[customerSKU]]="","",_xlfn.XLOOKUP(Table26[[#This Row],[customerSKU]],customerSKU!G:G,customerSKU!N:N,"NOT FOUND",0,1))</f>
        <v>NOT FOUND</v>
      </c>
      <c r="T2417" s="20"/>
      <c r="U2417" s="94">
        <v>12</v>
      </c>
      <c r="V2417" s="22" t="str">
        <f>IF(ISBLANK(Table26[[#This Row],[customerSKU]]),"",_xlfn.XLOOKUP(Table26[[#This Row],[customerSKU]],Table27[customer_SKU],Table27[case_size],"",0,1))</f>
        <v/>
      </c>
      <c r="W2417" s="117" t="str">
        <f t="shared" si="102"/>
        <v/>
      </c>
      <c r="X2417" s="22" t="str">
        <f t="shared" si="103"/>
        <v/>
      </c>
      <c r="Y2417" s="25" t="str">
        <f>IF(Table26[[#This Row],[customerSKU]]="","",_xlfn.XLOOKUP(Table26[[#This Row],[customerSKU]],Table27[customer_SKU],Table27[product_GTIN],"",0,1))</f>
        <v/>
      </c>
      <c r="Z2417" s="25" t="s">
        <v>3650</v>
      </c>
      <c r="AA2417" s="18" t="str" cm="1">
        <f t="array" ref="AA2417">IF(P2417="", "", _xlfn.XLOOKUP(P2417,#REF!,#REF!,NA,0,-1))</f>
        <v/>
      </c>
      <c r="AB2417" s="22"/>
      <c r="AC2417" s="23" t="s">
        <v>118</v>
      </c>
      <c r="AD2417" s="23" t="str">
        <f>IF($AC2417="","",_xlfn.XLOOKUP($AC2417,'Client Info'!$C$2:$C$2497,'Client Info'!$D$2:$D$2497,"",0,1))</f>
        <v/>
      </c>
      <c r="AE2417" s="23" t="str">
        <f>IF($AC2417="","",_xlfn.XLOOKUP($AC2417,'Client Info'!$C$2:$C$2677,'Client Info'!$E$2:$E$2677,"",))</f>
        <v/>
      </c>
      <c r="AF2417" s="23" t="str">
        <f>IF($AC2417="","",_xlfn.XLOOKUP($AC2417,'Client Info'!$C$2:$C$2677,'Client Info'!$F$2:$F$2677,"",0,1))</f>
        <v/>
      </c>
      <c r="AG2417" s="23" t="s">
        <v>118</v>
      </c>
      <c r="AH2417" s="26" t="str">
        <f>_xlfn.XLOOKUP(Table26[[#This Row],[customerSKU]],customerSKU!G:G,customerSKU!K:K,"NA",0,1)</f>
        <v>NA</v>
      </c>
      <c r="AI2417" s="43" t="str">
        <f>_xlfn.XLOOKUP(Table26[[#This Row],[customerSKU]],customerSKU!G:G,customerSKU!O:O,"not found",0,1)</f>
        <v>not found</v>
      </c>
      <c r="AJ2417" s="22" t="e">
        <f>Table26[[#This Row],[unitprice]]*Table26[[#This Row],[quantity_unit]]</f>
        <v>#VALUE!</v>
      </c>
      <c r="AK2417" s="227" t="e" cm="1">
        <f t="array" ref="AK24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7" s="227"/>
    </row>
    <row r="2418" spans="1:38" ht="15.6">
      <c r="A2418" s="42">
        <v>2416</v>
      </c>
      <c r="B2418" s="42" t="s">
        <v>3520</v>
      </c>
      <c r="C2418" s="53" t="s">
        <v>3360</v>
      </c>
      <c r="E2418" s="20"/>
      <c r="F24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8" s="93"/>
      <c r="I2418" s="203">
        <v>45897</v>
      </c>
      <c r="J2418" s="90" t="str">
        <f>IF(Table26[[#This Row],[customerSKU]]="","",_xlfn.XLOOKUP(Table26[[#This Row],[customerSKU]],customerSKU!G:G,customerSKU!A:A,"",0,1))</f>
        <v/>
      </c>
      <c r="K2418" s="19"/>
      <c r="L2418" s="49" t="str">
        <f>IF(Table26[[#This Row],[customerSKU]]="","",_xlfn.XLOOKUP(Table26[[#This Row],[customerSKU]],customerSKU!G:G,customerSKU!B:B,"",0,1))</f>
        <v/>
      </c>
      <c r="M2418" s="22"/>
      <c r="N2418" s="15" t="str">
        <f>Table26[[#This Row],[po_number]]&amp;"-"&amp;Table26[[#This Row],[po_line]]</f>
        <v>-1</v>
      </c>
      <c r="O2418" s="15">
        <v>1</v>
      </c>
      <c r="P2418" s="50"/>
      <c r="S2418" s="90" t="str">
        <f>IF(Table26[[#This Row],[customerSKU]]="","",_xlfn.XLOOKUP(Table26[[#This Row],[customerSKU]],customerSKU!G:G,customerSKU!N:N,"NOT FOUND",0,1))</f>
        <v>NOT FOUND</v>
      </c>
      <c r="T2418" s="20"/>
      <c r="U2418" s="94">
        <v>12</v>
      </c>
      <c r="V2418" s="22" t="str">
        <f>IF(ISBLANK(Table26[[#This Row],[customerSKU]]),"",_xlfn.XLOOKUP(Table26[[#This Row],[customerSKU]],Table27[customer_SKU],Table27[case_size],"",0,1))</f>
        <v/>
      </c>
      <c r="W2418" s="117" t="str">
        <f t="shared" si="102"/>
        <v/>
      </c>
      <c r="X2418" s="22" t="str">
        <f t="shared" si="103"/>
        <v/>
      </c>
      <c r="Y2418" s="25" t="str">
        <f>IF(Table26[[#This Row],[customerSKU]]="","",_xlfn.XLOOKUP(Table26[[#This Row],[customerSKU]],Table27[customer_SKU],Table27[product_GTIN],"",0,1))</f>
        <v/>
      </c>
      <c r="Z2418" s="25" t="s">
        <v>3529</v>
      </c>
      <c r="AA2418" s="18" t="str" cm="1">
        <f t="array" ref="AA2418">IF(P2418="", "", _xlfn.XLOOKUP(P2418,#REF!,#REF!,NA,0,-1))</f>
        <v/>
      </c>
      <c r="AB2418" s="22"/>
      <c r="AC2418" s="23" t="str">
        <f>IF(Table26[[#This Row],[customerSKU]]="","",_xlfn.XLOOKUP(Table26[[#This Row],[customerSKU]],customerSKU!G:G,customerSKU!C:C,"",0,1))</f>
        <v/>
      </c>
      <c r="AD2418" s="23" t="str">
        <f>IF($AC2418="","",_xlfn.XLOOKUP($AC2418,'Client Info'!$C$2:$C$2497,'Client Info'!$D$2:$D$2497,"",0,1))</f>
        <v/>
      </c>
      <c r="AE2418" s="23" t="str">
        <f>IF($AC2418="","",_xlfn.XLOOKUP($AC2418,'Client Info'!$C$2:$C$2677,'Client Info'!$E$2:$E$2677,"",))</f>
        <v/>
      </c>
      <c r="AF2418" s="23" t="str">
        <f>IF($AC2418="","",_xlfn.XLOOKUP($AC2418,'Client Info'!$C$2:$C$2677,'Client Info'!$F$2:$F$2677,"",0,1))</f>
        <v/>
      </c>
      <c r="AG2418" s="23" t="str">
        <f>IF(ISBLANK(Table26[[#This Row],[customerSKU]]),"",_xlfn.XLOOKUP(Table26[[#This Row],[customerSKU]],Table27[customer_SKU],Table27[billto],"",0,1))</f>
        <v/>
      </c>
      <c r="AH2418" s="26" t="str">
        <f>_xlfn.XLOOKUP(Table26[[#This Row],[customerSKU]],customerSKU!G:G,customerSKU!K:K,"NA",0,1)</f>
        <v>NA</v>
      </c>
      <c r="AI2418" s="43" t="str">
        <f>_xlfn.XLOOKUP(Table26[[#This Row],[customerSKU]],customerSKU!G:G,customerSKU!O:O,"not found",0,1)</f>
        <v>not found</v>
      </c>
      <c r="AJ2418" s="22" t="e">
        <f>Table26[[#This Row],[unitprice]]*Table26[[#This Row],[quantity_unit]]</f>
        <v>#VALUE!</v>
      </c>
      <c r="AK2418" s="227" t="e" cm="1">
        <f t="array" ref="AK24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8" s="227"/>
    </row>
    <row r="2419" spans="1:38" ht="15.6">
      <c r="A2419" s="42">
        <v>2417</v>
      </c>
      <c r="B2419" s="42" t="s">
        <v>3520</v>
      </c>
      <c r="C2419" s="53" t="s">
        <v>3360</v>
      </c>
      <c r="E2419" s="20"/>
      <c r="F24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19" s="93"/>
      <c r="I2419" s="203">
        <v>45897</v>
      </c>
      <c r="J2419" s="90" t="str">
        <f>IF(Table26[[#This Row],[customerSKU]]="","",_xlfn.XLOOKUP(Table26[[#This Row],[customerSKU]],customerSKU!G:G,customerSKU!A:A,"",0,1))</f>
        <v/>
      </c>
      <c r="K2419" s="19"/>
      <c r="L2419" s="49" t="str">
        <f>IF(Table26[[#This Row],[customerSKU]]="","",_xlfn.XLOOKUP(Table26[[#This Row],[customerSKU]],customerSKU!G:G,customerSKU!B:B,"",0,1))</f>
        <v/>
      </c>
      <c r="M2419" s="22"/>
      <c r="N2419" s="15" t="str">
        <f>Table26[[#This Row],[po_number]]&amp;"-"&amp;Table26[[#This Row],[po_line]]</f>
        <v>-2</v>
      </c>
      <c r="O2419" s="15">
        <v>2</v>
      </c>
      <c r="P2419" s="50"/>
      <c r="S2419" s="90" t="str">
        <f>IF(Table26[[#This Row],[customerSKU]]="","",_xlfn.XLOOKUP(Table26[[#This Row],[customerSKU]],customerSKU!G:G,customerSKU!N:N,"NOT FOUND",0,1))</f>
        <v>NOT FOUND</v>
      </c>
      <c r="T2419" s="20"/>
      <c r="U2419" s="94">
        <v>12</v>
      </c>
      <c r="V2419" s="22" t="str">
        <f>IF(ISBLANK(Table26[[#This Row],[customerSKU]]),"",_xlfn.XLOOKUP(Table26[[#This Row],[customerSKU]],Table27[customer_SKU],Table27[case_size],"",0,1))</f>
        <v/>
      </c>
      <c r="W2419" s="117" t="str">
        <f t="shared" ref="W2419:W2482" si="104">IFERROR(U2419/V2419, "")</f>
        <v/>
      </c>
      <c r="X2419" s="22" t="str">
        <f t="shared" si="103"/>
        <v/>
      </c>
      <c r="Y2419" s="25" t="str">
        <f>IF(Table26[[#This Row],[customerSKU]]="","",_xlfn.XLOOKUP(Table26[[#This Row],[customerSKU]],Table27[customer_SKU],Table27[product_GTIN],"",0,1))</f>
        <v/>
      </c>
      <c r="Z2419" s="25" t="s">
        <v>3666</v>
      </c>
      <c r="AA2419" s="18" t="str" cm="1">
        <f t="array" ref="AA2419">IF(P2419="", "", _xlfn.XLOOKUP(P2419,#REF!,#REF!,NA,0,-1))</f>
        <v/>
      </c>
      <c r="AB2419" s="22"/>
      <c r="AC2419" s="23" t="str">
        <f>IF(Table26[[#This Row],[customerSKU]]="","",_xlfn.XLOOKUP(Table26[[#This Row],[customerSKU]],customerSKU!G:G,customerSKU!C:C,"",0,1))</f>
        <v/>
      </c>
      <c r="AD2419" s="23" t="str">
        <f>IF($AC2419="","",_xlfn.XLOOKUP($AC2419,'Client Info'!$C$2:$C$2497,'Client Info'!$D$2:$D$2497,"",0,1))</f>
        <v/>
      </c>
      <c r="AE2419" s="23" t="str">
        <f>IF($AC2419="","",_xlfn.XLOOKUP($AC2419,'Client Info'!$C$2:$C$2677,'Client Info'!$E$2:$E$2677,"",))</f>
        <v/>
      </c>
      <c r="AF2419" s="23" t="str">
        <f>IF($AC2419="","",_xlfn.XLOOKUP($AC2419,'Client Info'!$C$2:$C$2677,'Client Info'!$F$2:$F$2677,"",0,1))</f>
        <v/>
      </c>
      <c r="AG2419" s="23" t="str">
        <f>IF(ISBLANK(Table26[[#This Row],[customerSKU]]),"",_xlfn.XLOOKUP(Table26[[#This Row],[customerSKU]],Table27[customer_SKU],Table27[billto],"",0,1))</f>
        <v/>
      </c>
      <c r="AH2419" s="26" t="str">
        <f>_xlfn.XLOOKUP(Table26[[#This Row],[customerSKU]],customerSKU!G:G,customerSKU!K:K,"NA",0,1)</f>
        <v>NA</v>
      </c>
      <c r="AI2419" s="43" t="str">
        <f>_xlfn.XLOOKUP(Table26[[#This Row],[customerSKU]],customerSKU!G:G,customerSKU!O:O,"not found",0,1)</f>
        <v>not found</v>
      </c>
      <c r="AJ2419" s="22" t="e">
        <f>Table26[[#This Row],[unitprice]]*Table26[[#This Row],[quantity_unit]]</f>
        <v>#VALUE!</v>
      </c>
      <c r="AK2419" s="227" t="e" cm="1">
        <f t="array" ref="AK24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19" s="227"/>
    </row>
    <row r="2420" spans="1:38" ht="15.6">
      <c r="A2420" s="42">
        <v>2418</v>
      </c>
      <c r="B2420" s="42" t="s">
        <v>3520</v>
      </c>
      <c r="C2420" s="53" t="s">
        <v>3383</v>
      </c>
      <c r="E2420" s="20"/>
      <c r="F24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0" s="93"/>
      <c r="I2420" s="203">
        <v>45898</v>
      </c>
      <c r="J2420" s="90" t="str">
        <f>IF(Table26[[#This Row],[customerSKU]]="","",_xlfn.XLOOKUP(Table26[[#This Row],[customerSKU]],customerSKU!G:G,customerSKU!A:A,"",0,1))</f>
        <v/>
      </c>
      <c r="K2420" s="19"/>
      <c r="L2420" s="49" t="str">
        <f>IF(Table26[[#This Row],[customerSKU]]="","",_xlfn.XLOOKUP(Table26[[#This Row],[customerSKU]],customerSKU!G:G,customerSKU!B:B,"",0,1))</f>
        <v/>
      </c>
      <c r="M2420" s="22"/>
      <c r="N2420" s="15" t="str">
        <f>Table26[[#This Row],[po_number]]&amp;"-"&amp;Table26[[#This Row],[po_line]]</f>
        <v>-1</v>
      </c>
      <c r="O2420" s="15">
        <v>1</v>
      </c>
      <c r="P2420" s="50"/>
      <c r="S2420" s="90" t="str">
        <f>IF(Table26[[#This Row],[customerSKU]]="","",_xlfn.XLOOKUP(Table26[[#This Row],[customerSKU]],customerSKU!G:G,customerSKU!N:N,"NOT FOUND",0,1))</f>
        <v>NOT FOUND</v>
      </c>
      <c r="T2420" s="20"/>
      <c r="U2420" s="94"/>
      <c r="V2420" s="22" t="str">
        <f>IF(ISBLANK(Table26[[#This Row],[customerSKU]]),"",_xlfn.XLOOKUP(Table26[[#This Row],[customerSKU]],Table27[customer_SKU],Table27[case_size],"",0,1))</f>
        <v/>
      </c>
      <c r="W2420" s="117" t="str">
        <f t="shared" si="104"/>
        <v/>
      </c>
      <c r="X2420" s="22" t="str">
        <f t="shared" si="103"/>
        <v/>
      </c>
      <c r="Y2420" s="25" t="str">
        <f>IF(Table26[[#This Row],[customerSKU]]="","",_xlfn.XLOOKUP(Table26[[#This Row],[customerSKU]],Table27[customer_SKU],Table27[product_GTIN],"",0,1))</f>
        <v/>
      </c>
      <c r="Z2420" s="25" t="s">
        <v>3550</v>
      </c>
      <c r="AA2420" s="18" t="str" cm="1">
        <f t="array" ref="AA2420">IF(P2420="", "", _xlfn.XLOOKUP(P2420,#REF!,#REF!,NA,0,-1))</f>
        <v/>
      </c>
      <c r="AB2420" s="22"/>
      <c r="AC2420" s="23" t="s">
        <v>4330</v>
      </c>
      <c r="AD2420" s="23" t="str">
        <f>IF($AC2420="","",_xlfn.XLOOKUP($AC2420,'Client Info'!$C$2:$C$2497,'Client Info'!$D$2:$D$2497,"",0,1))</f>
        <v/>
      </c>
      <c r="AE2420" s="23" t="str">
        <f>IF($AC2420="","",_xlfn.XLOOKUP($AC2420,'Client Info'!$C$2:$C$2677,'Client Info'!$E$2:$E$2677,"",))</f>
        <v/>
      </c>
      <c r="AF2420" s="23" t="str">
        <f>IF($AC2420="","",_xlfn.XLOOKUP($AC2420,'Client Info'!$C$2:$C$2677,'Client Info'!$F$2:$F$2677,"",0,1))</f>
        <v/>
      </c>
      <c r="AG2420" s="23" t="str">
        <f>IF(ISBLANK(Table26[[#This Row],[customerSKU]]),"",_xlfn.XLOOKUP(Table26[[#This Row],[customerSKU]],Table27[customer_SKU],Table27[billto],"",0,1))</f>
        <v/>
      </c>
      <c r="AH2420" s="26" t="str">
        <f>_xlfn.XLOOKUP(Table26[[#This Row],[customerSKU]],customerSKU!G:G,customerSKU!K:K,"NA",0,1)</f>
        <v>NA</v>
      </c>
      <c r="AI2420" s="43" t="str">
        <f>_xlfn.XLOOKUP(Table26[[#This Row],[customerSKU]],customerSKU!G:G,customerSKU!O:O,"not found",0,1)</f>
        <v>not found</v>
      </c>
      <c r="AJ2420" s="22" t="e">
        <f>Table26[[#This Row],[unitprice]]*Table26[[#This Row],[quantity_unit]]</f>
        <v>#VALUE!</v>
      </c>
      <c r="AK2420" s="227" t="e" cm="1">
        <f t="array" ref="AK24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0" s="227"/>
    </row>
    <row r="2421" spans="1:38" ht="15.6">
      <c r="A2421" s="42">
        <v>2419</v>
      </c>
      <c r="B2421" s="42" t="s">
        <v>3520</v>
      </c>
      <c r="C2421" s="53" t="s">
        <v>3383</v>
      </c>
      <c r="E2421" s="20"/>
      <c r="F24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1" s="93"/>
      <c r="I2421" s="203">
        <v>45898</v>
      </c>
      <c r="J2421" s="90" t="str">
        <f>IF(Table26[[#This Row],[customerSKU]]="","",_xlfn.XLOOKUP(Table26[[#This Row],[customerSKU]],customerSKU!G:G,customerSKU!A:A,"",0,1))</f>
        <v/>
      </c>
      <c r="K2421" s="19"/>
      <c r="L2421" s="49" t="str">
        <f>IF(Table26[[#This Row],[customerSKU]]="","",_xlfn.XLOOKUP(Table26[[#This Row],[customerSKU]],customerSKU!G:G,customerSKU!B:B,"",0,1))</f>
        <v/>
      </c>
      <c r="M2421" s="22"/>
      <c r="N2421" s="15" t="str">
        <f>Table26[[#This Row],[po_number]]&amp;"-"&amp;Table26[[#This Row],[po_line]]</f>
        <v>-2</v>
      </c>
      <c r="O2421" s="15">
        <v>2</v>
      </c>
      <c r="P2421" s="50"/>
      <c r="S2421" s="90" t="str">
        <f>IF(Table26[[#This Row],[customerSKU]]="","",_xlfn.XLOOKUP(Table26[[#This Row],[customerSKU]],customerSKU!G:G,customerSKU!N:N,"NOT FOUND",0,1))</f>
        <v>NOT FOUND</v>
      </c>
      <c r="T2421" s="20"/>
      <c r="U2421" s="94"/>
      <c r="V2421" s="22" t="str">
        <f>IF(ISBLANK(Table26[[#This Row],[customerSKU]]),"",_xlfn.XLOOKUP(Table26[[#This Row],[customerSKU]],Table27[customer_SKU],Table27[case_size],"",0,1))</f>
        <v/>
      </c>
      <c r="W2421" s="117" t="str">
        <f t="shared" si="104"/>
        <v/>
      </c>
      <c r="X2421" s="22" t="str">
        <f t="shared" si="103"/>
        <v/>
      </c>
      <c r="Y2421" s="25" t="str">
        <f>IF(Table26[[#This Row],[customerSKU]]="","",_xlfn.XLOOKUP(Table26[[#This Row],[customerSKU]],Table27[customer_SKU],Table27[product_GTIN],"",0,1))</f>
        <v/>
      </c>
      <c r="Z2421" s="25" t="s">
        <v>3610</v>
      </c>
      <c r="AA2421" s="18" t="str" cm="1">
        <f t="array" ref="AA2421">IF(P2421="", "", _xlfn.XLOOKUP(P2421,#REF!,#REF!,NA,0,-1))</f>
        <v/>
      </c>
      <c r="AB2421" s="22"/>
      <c r="AC2421" s="23" t="s">
        <v>4330</v>
      </c>
      <c r="AD2421" s="23" t="str">
        <f>IF($AC2421="","",_xlfn.XLOOKUP($AC2421,'Client Info'!$C$2:$C$2497,'Client Info'!$D$2:$D$2497,"",0,1))</f>
        <v/>
      </c>
      <c r="AE2421" s="23" t="str">
        <f>IF($AC2421="","",_xlfn.XLOOKUP($AC2421,'Client Info'!$C$2:$C$2677,'Client Info'!$E$2:$E$2677,"",))</f>
        <v/>
      </c>
      <c r="AF2421" s="23" t="str">
        <f>IF($AC2421="","",_xlfn.XLOOKUP($AC2421,'Client Info'!$C$2:$C$2677,'Client Info'!$F$2:$F$2677,"",0,1))</f>
        <v/>
      </c>
      <c r="AG2421" s="23" t="str">
        <f>IF(ISBLANK(Table26[[#This Row],[customerSKU]]),"",_xlfn.XLOOKUP(Table26[[#This Row],[customerSKU]],Table27[customer_SKU],Table27[billto],"",0,1))</f>
        <v/>
      </c>
      <c r="AH2421" s="26" t="str">
        <f>_xlfn.XLOOKUP(Table26[[#This Row],[customerSKU]],customerSKU!G:G,customerSKU!K:K,"NA",0,1)</f>
        <v>NA</v>
      </c>
      <c r="AI2421" s="43" t="str">
        <f>_xlfn.XLOOKUP(Table26[[#This Row],[customerSKU]],customerSKU!G:G,customerSKU!O:O,"not found",0,1)</f>
        <v>not found</v>
      </c>
      <c r="AJ2421" s="22" t="e">
        <f>Table26[[#This Row],[unitprice]]*Table26[[#This Row],[quantity_unit]]</f>
        <v>#VALUE!</v>
      </c>
      <c r="AK2421" s="227" t="e" cm="1">
        <f t="array" ref="AK24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1" s="227"/>
    </row>
    <row r="2422" spans="1:38" ht="15.6">
      <c r="A2422" s="42">
        <v>2420</v>
      </c>
      <c r="B2422" s="42" t="s">
        <v>3520</v>
      </c>
      <c r="C2422" s="53" t="s">
        <v>3383</v>
      </c>
      <c r="E2422" s="20"/>
      <c r="F24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2" s="93"/>
      <c r="I2422" s="203">
        <v>45898</v>
      </c>
      <c r="J2422" s="90" t="str">
        <f>IF(Table26[[#This Row],[customerSKU]]="","",_xlfn.XLOOKUP(Table26[[#This Row],[customerSKU]],customerSKU!G:G,customerSKU!A:A,"",0,1))</f>
        <v/>
      </c>
      <c r="K2422" s="19"/>
      <c r="L2422" s="49" t="str">
        <f>IF(Table26[[#This Row],[customerSKU]]="","",_xlfn.XLOOKUP(Table26[[#This Row],[customerSKU]],customerSKU!G:G,customerSKU!B:B,"",0,1))</f>
        <v/>
      </c>
      <c r="M2422" s="22"/>
      <c r="N2422" s="15" t="str">
        <f>Table26[[#This Row],[po_number]]&amp;"-"&amp;Table26[[#This Row],[po_line]]</f>
        <v>-3</v>
      </c>
      <c r="O2422" s="15">
        <v>3</v>
      </c>
      <c r="P2422" s="50"/>
      <c r="S2422" s="90" t="str">
        <f>IF(Table26[[#This Row],[customerSKU]]="","",_xlfn.XLOOKUP(Table26[[#This Row],[customerSKU]],customerSKU!G:G,customerSKU!N:N,"NOT FOUND",0,1))</f>
        <v>NOT FOUND</v>
      </c>
      <c r="T2422" s="20"/>
      <c r="U2422" s="94"/>
      <c r="V2422" s="22" t="str">
        <f>IF(ISBLANK(Table26[[#This Row],[customerSKU]]),"",_xlfn.XLOOKUP(Table26[[#This Row],[customerSKU]],Table27[customer_SKU],Table27[case_size],"",0,1))</f>
        <v/>
      </c>
      <c r="W2422" s="117" t="str">
        <f t="shared" si="104"/>
        <v/>
      </c>
      <c r="X2422" s="22" t="str">
        <f t="shared" si="103"/>
        <v/>
      </c>
      <c r="Y2422" s="25" t="str">
        <f>IF(Table26[[#This Row],[customerSKU]]="","",_xlfn.XLOOKUP(Table26[[#This Row],[customerSKU]],Table27[customer_SKU],Table27[product_GTIN],"",0,1))</f>
        <v/>
      </c>
      <c r="Z2422" s="25" t="s">
        <v>3530</v>
      </c>
      <c r="AA2422" s="18" t="str" cm="1">
        <f t="array" ref="AA2422">IF(P2422="", "", _xlfn.XLOOKUP(P2422,#REF!,#REF!,NA,0,-1))</f>
        <v/>
      </c>
      <c r="AB2422" s="22"/>
      <c r="AC2422" s="23" t="s">
        <v>4330</v>
      </c>
      <c r="AD2422" s="23" t="str">
        <f>IF($AC2422="","",_xlfn.XLOOKUP($AC2422,'Client Info'!$C$2:$C$2497,'Client Info'!$D$2:$D$2497,"",0,1))</f>
        <v/>
      </c>
      <c r="AE2422" s="23" t="str">
        <f>IF($AC2422="","",_xlfn.XLOOKUP($AC2422,'Client Info'!$C$2:$C$2677,'Client Info'!$E$2:$E$2677,"",))</f>
        <v/>
      </c>
      <c r="AF2422" s="23" t="str">
        <f>IF($AC2422="","",_xlfn.XLOOKUP($AC2422,'Client Info'!$C$2:$C$2677,'Client Info'!$F$2:$F$2677,"",0,1))</f>
        <v/>
      </c>
      <c r="AG2422" s="23" t="str">
        <f>IF(ISBLANK(Table26[[#This Row],[customerSKU]]),"",_xlfn.XLOOKUP(Table26[[#This Row],[customerSKU]],Table27[customer_SKU],Table27[billto],"",0,1))</f>
        <v/>
      </c>
      <c r="AH2422" s="26" t="str">
        <f>_xlfn.XLOOKUP(Table26[[#This Row],[customerSKU]],customerSKU!G:G,customerSKU!K:K,"NA",0,1)</f>
        <v>NA</v>
      </c>
      <c r="AI2422" s="43" t="str">
        <f>_xlfn.XLOOKUP(Table26[[#This Row],[customerSKU]],customerSKU!G:G,customerSKU!O:O,"not found",0,1)</f>
        <v>not found</v>
      </c>
      <c r="AJ2422" s="22" t="e">
        <f>Table26[[#This Row],[unitprice]]*Table26[[#This Row],[quantity_unit]]</f>
        <v>#VALUE!</v>
      </c>
      <c r="AK2422" s="227" t="e" cm="1">
        <f t="array" ref="AK24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2" s="227"/>
    </row>
    <row r="2423" spans="1:38" ht="15.6">
      <c r="A2423" s="42">
        <v>2421</v>
      </c>
      <c r="B2423" s="42" t="s">
        <v>3520</v>
      </c>
      <c r="C2423" s="53" t="s">
        <v>3383</v>
      </c>
      <c r="E2423" s="20"/>
      <c r="F24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3" s="93"/>
      <c r="I2423" s="203">
        <v>45898</v>
      </c>
      <c r="J2423" s="90" t="str">
        <f>IF(Table26[[#This Row],[customerSKU]]="","",_xlfn.XLOOKUP(Table26[[#This Row],[customerSKU]],customerSKU!G:G,customerSKU!A:A,"",0,1))</f>
        <v/>
      </c>
      <c r="K2423" s="19"/>
      <c r="L2423" s="49" t="str">
        <f>IF(Table26[[#This Row],[customerSKU]]="","",_xlfn.XLOOKUP(Table26[[#This Row],[customerSKU]],customerSKU!G:G,customerSKU!B:B,"",0,1))</f>
        <v/>
      </c>
      <c r="M2423" s="22"/>
      <c r="N2423" s="15" t="str">
        <f>Table26[[#This Row],[po_number]]&amp;"-"&amp;Table26[[#This Row],[po_line]]</f>
        <v>-4</v>
      </c>
      <c r="O2423" s="15">
        <v>4</v>
      </c>
      <c r="P2423" s="50"/>
      <c r="S2423" s="90" t="str">
        <f>IF(Table26[[#This Row],[customerSKU]]="","",_xlfn.XLOOKUP(Table26[[#This Row],[customerSKU]],customerSKU!G:G,customerSKU!N:N,"NOT FOUND",0,1))</f>
        <v>NOT FOUND</v>
      </c>
      <c r="T2423" s="20"/>
      <c r="U2423" s="94"/>
      <c r="V2423" s="22" t="str">
        <f>IF(ISBLANK(Table26[[#This Row],[customerSKU]]),"",_xlfn.XLOOKUP(Table26[[#This Row],[customerSKU]],Table27[customer_SKU],Table27[case_size],"",0,1))</f>
        <v/>
      </c>
      <c r="W2423" s="117" t="str">
        <f t="shared" si="104"/>
        <v/>
      </c>
      <c r="X2423" s="22" t="str">
        <f t="shared" si="103"/>
        <v/>
      </c>
      <c r="Y2423" s="25" t="str">
        <f>IF(Table26[[#This Row],[customerSKU]]="","",_xlfn.XLOOKUP(Table26[[#This Row],[customerSKU]],Table27[customer_SKU],Table27[product_GTIN],"",0,1))</f>
        <v/>
      </c>
      <c r="Z2423" s="25" t="s">
        <v>3519</v>
      </c>
      <c r="AA2423" s="18" t="str" cm="1">
        <f t="array" ref="AA2423">IF(P2423="", "", _xlfn.XLOOKUP(P2423,#REF!,#REF!,NA,0,-1))</f>
        <v/>
      </c>
      <c r="AB2423" s="22"/>
      <c r="AC2423" s="23" t="s">
        <v>4330</v>
      </c>
      <c r="AD2423" s="23" t="str">
        <f>IF($AC2423="","",_xlfn.XLOOKUP($AC2423,'Client Info'!$C$2:$C$2497,'Client Info'!$D$2:$D$2497,"",0,1))</f>
        <v/>
      </c>
      <c r="AE2423" s="23" t="str">
        <f>IF($AC2423="","",_xlfn.XLOOKUP($AC2423,'Client Info'!$C$2:$C$2677,'Client Info'!$E$2:$E$2677,"",))</f>
        <v/>
      </c>
      <c r="AF2423" s="23" t="str">
        <f>IF($AC2423="","",_xlfn.XLOOKUP($AC2423,'Client Info'!$C$2:$C$2677,'Client Info'!$F$2:$F$2677,"",0,1))</f>
        <v/>
      </c>
      <c r="AG2423" s="23" t="str">
        <f>IF(ISBLANK(Table26[[#This Row],[customerSKU]]),"",_xlfn.XLOOKUP(Table26[[#This Row],[customerSKU]],Table27[customer_SKU],Table27[billto],"",0,1))</f>
        <v/>
      </c>
      <c r="AH2423" s="26" t="str">
        <f>_xlfn.XLOOKUP(Table26[[#This Row],[customerSKU]],customerSKU!G:G,customerSKU!K:K,"NA",0,1)</f>
        <v>NA</v>
      </c>
      <c r="AI2423" s="43" t="str">
        <f>_xlfn.XLOOKUP(Table26[[#This Row],[customerSKU]],customerSKU!G:G,customerSKU!O:O,"not found",0,1)</f>
        <v>not found</v>
      </c>
      <c r="AJ2423" s="22" t="e">
        <f>Table26[[#This Row],[unitprice]]*Table26[[#This Row],[quantity_unit]]</f>
        <v>#VALUE!</v>
      </c>
      <c r="AK2423" s="227" t="e" cm="1">
        <f t="array" ref="AK24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3" s="227"/>
    </row>
    <row r="2424" spans="1:38" ht="15.6">
      <c r="A2424" s="42">
        <v>2422</v>
      </c>
      <c r="B2424" s="42" t="s">
        <v>3520</v>
      </c>
      <c r="C2424" s="53" t="s">
        <v>3383</v>
      </c>
      <c r="E2424" s="20"/>
      <c r="F24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4" s="93"/>
      <c r="I2424" s="203">
        <v>45898</v>
      </c>
      <c r="J2424" s="90" t="str">
        <f>IF(Table26[[#This Row],[customerSKU]]="","",_xlfn.XLOOKUP(Table26[[#This Row],[customerSKU]],customerSKU!G:G,customerSKU!A:A,"",0,1))</f>
        <v/>
      </c>
      <c r="K2424" s="19"/>
      <c r="L2424" s="49" t="str">
        <f>IF(Table26[[#This Row],[customerSKU]]="","",_xlfn.XLOOKUP(Table26[[#This Row],[customerSKU]],customerSKU!G:G,customerSKU!B:B,"",0,1))</f>
        <v/>
      </c>
      <c r="M2424" s="22"/>
      <c r="N2424" s="15" t="str">
        <f>Table26[[#This Row],[po_number]]&amp;"-"&amp;Table26[[#This Row],[po_line]]</f>
        <v>-5</v>
      </c>
      <c r="O2424" s="15">
        <v>5</v>
      </c>
      <c r="P2424" s="50"/>
      <c r="S2424" s="90" t="str">
        <f>IF(Table26[[#This Row],[customerSKU]]="","",_xlfn.XLOOKUP(Table26[[#This Row],[customerSKU]],customerSKU!G:G,customerSKU!N:N,"NOT FOUND",0,1))</f>
        <v>NOT FOUND</v>
      </c>
      <c r="T2424" s="20"/>
      <c r="U2424" s="94"/>
      <c r="V2424" s="22" t="str">
        <f>IF(ISBLANK(Table26[[#This Row],[customerSKU]]),"",_xlfn.XLOOKUP(Table26[[#This Row],[customerSKU]],Table27[customer_SKU],Table27[case_size],"",0,1))</f>
        <v/>
      </c>
      <c r="W2424" s="117" t="str">
        <f t="shared" si="104"/>
        <v/>
      </c>
      <c r="X2424" s="22" t="str">
        <f t="shared" si="103"/>
        <v/>
      </c>
      <c r="Y2424" s="25" t="str">
        <f>IF(Table26[[#This Row],[customerSKU]]="","",_xlfn.XLOOKUP(Table26[[#This Row],[customerSKU]],Table27[customer_SKU],Table27[product_GTIN],"",0,1))</f>
        <v/>
      </c>
      <c r="Z2424" s="25" t="s">
        <v>3525</v>
      </c>
      <c r="AA2424" s="18" t="str" cm="1">
        <f t="array" ref="AA2424">IF(P2424="", "", _xlfn.XLOOKUP(P2424,#REF!,#REF!,NA,0,-1))</f>
        <v/>
      </c>
      <c r="AB2424" s="22"/>
      <c r="AC2424" s="23" t="s">
        <v>4330</v>
      </c>
      <c r="AD2424" s="23" t="str">
        <f>IF($AC2424="","",_xlfn.XLOOKUP($AC2424,'Client Info'!$C$2:$C$2497,'Client Info'!$D$2:$D$2497,"",0,1))</f>
        <v/>
      </c>
      <c r="AE2424" s="23" t="str">
        <f>IF($AC2424="","",_xlfn.XLOOKUP($AC2424,'Client Info'!$C$2:$C$2677,'Client Info'!$E$2:$E$2677,"",))</f>
        <v/>
      </c>
      <c r="AF2424" s="23" t="str">
        <f>IF($AC2424="","",_xlfn.XLOOKUP($AC2424,'Client Info'!$C$2:$C$2677,'Client Info'!$F$2:$F$2677,"",0,1))</f>
        <v/>
      </c>
      <c r="AG2424" s="23" t="str">
        <f>IF(ISBLANK(Table26[[#This Row],[customerSKU]]),"",_xlfn.XLOOKUP(Table26[[#This Row],[customerSKU]],Table27[customer_SKU],Table27[billto],"",0,1))</f>
        <v/>
      </c>
      <c r="AH2424" s="26" t="str">
        <f>_xlfn.XLOOKUP(Table26[[#This Row],[customerSKU]],customerSKU!G:G,customerSKU!K:K,"NA",0,1)</f>
        <v>NA</v>
      </c>
      <c r="AI2424" s="43" t="str">
        <f>_xlfn.XLOOKUP(Table26[[#This Row],[customerSKU]],customerSKU!G:G,customerSKU!O:O,"not found",0,1)</f>
        <v>not found</v>
      </c>
      <c r="AJ2424" s="22" t="e">
        <f>Table26[[#This Row],[unitprice]]*Table26[[#This Row],[quantity_unit]]</f>
        <v>#VALUE!</v>
      </c>
      <c r="AK2424" s="227" t="e" cm="1">
        <f t="array" ref="AK24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4" s="227"/>
    </row>
    <row r="2425" spans="1:38" ht="15.6">
      <c r="A2425" s="42">
        <v>2423</v>
      </c>
      <c r="B2425" s="42" t="s">
        <v>3520</v>
      </c>
      <c r="C2425" s="53" t="s">
        <v>3383</v>
      </c>
      <c r="E2425" s="20"/>
      <c r="F24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5" s="93"/>
      <c r="I2425" s="203">
        <v>45898</v>
      </c>
      <c r="J2425" s="90" t="str">
        <f>IF(Table26[[#This Row],[customerSKU]]="","",_xlfn.XLOOKUP(Table26[[#This Row],[customerSKU]],customerSKU!G:G,customerSKU!A:A,"",0,1))</f>
        <v/>
      </c>
      <c r="K2425" s="19"/>
      <c r="L2425" s="49" t="str">
        <f>IF(Table26[[#This Row],[customerSKU]]="","",_xlfn.XLOOKUP(Table26[[#This Row],[customerSKU]],customerSKU!G:G,customerSKU!B:B,"",0,1))</f>
        <v/>
      </c>
      <c r="M2425" s="22"/>
      <c r="N2425" s="15" t="str">
        <f>Table26[[#This Row],[po_number]]&amp;"-"&amp;Table26[[#This Row],[po_line]]</f>
        <v>-6</v>
      </c>
      <c r="O2425" s="15">
        <v>6</v>
      </c>
      <c r="P2425" s="50"/>
      <c r="S2425" s="90" t="str">
        <f>IF(Table26[[#This Row],[customerSKU]]="","",_xlfn.XLOOKUP(Table26[[#This Row],[customerSKU]],customerSKU!G:G,customerSKU!N:N,"NOT FOUND",0,1))</f>
        <v>NOT FOUND</v>
      </c>
      <c r="T2425" s="20"/>
      <c r="U2425" s="94"/>
      <c r="V2425" s="22" t="str">
        <f>IF(ISBLANK(Table26[[#This Row],[customerSKU]]),"",_xlfn.XLOOKUP(Table26[[#This Row],[customerSKU]],Table27[customer_SKU],Table27[case_size],"",0,1))</f>
        <v/>
      </c>
      <c r="W2425" s="117" t="str">
        <f t="shared" si="104"/>
        <v/>
      </c>
      <c r="X2425" s="22" t="str">
        <f t="shared" si="103"/>
        <v/>
      </c>
      <c r="Y2425" s="25" t="str">
        <f>IF(Table26[[#This Row],[customerSKU]]="","",_xlfn.XLOOKUP(Table26[[#This Row],[customerSKU]],Table27[customer_SKU],Table27[product_GTIN],"",0,1))</f>
        <v/>
      </c>
      <c r="Z2425" s="25" t="s">
        <v>3693</v>
      </c>
      <c r="AA2425" s="18" t="str" cm="1">
        <f t="array" ref="AA2425">IF(P2425="", "", _xlfn.XLOOKUP(P2425,#REF!,#REF!,NA,0,-1))</f>
        <v/>
      </c>
      <c r="AB2425" s="22"/>
      <c r="AC2425" s="23" t="s">
        <v>4330</v>
      </c>
      <c r="AD2425" s="23" t="str">
        <f>IF($AC2425="","",_xlfn.XLOOKUP($AC2425,'Client Info'!$C$2:$C$2497,'Client Info'!$D$2:$D$2497,"",0,1))</f>
        <v/>
      </c>
      <c r="AE2425" s="23" t="str">
        <f>IF($AC2425="","",_xlfn.XLOOKUP($AC2425,'Client Info'!$C$2:$C$2677,'Client Info'!$E$2:$E$2677,"",))</f>
        <v/>
      </c>
      <c r="AF2425" s="23" t="str">
        <f>IF($AC2425="","",_xlfn.XLOOKUP($AC2425,'Client Info'!$C$2:$C$2677,'Client Info'!$F$2:$F$2677,"",0,1))</f>
        <v/>
      </c>
      <c r="AG2425" s="23" t="str">
        <f>IF(ISBLANK(Table26[[#This Row],[customerSKU]]),"",_xlfn.XLOOKUP(Table26[[#This Row],[customerSKU]],Table27[customer_SKU],Table27[billto],"",0,1))</f>
        <v/>
      </c>
      <c r="AH2425" s="26" t="str">
        <f>_xlfn.XLOOKUP(Table26[[#This Row],[customerSKU]],customerSKU!G:G,customerSKU!K:K,"NA",0,1)</f>
        <v>NA</v>
      </c>
      <c r="AI2425" s="43" t="str">
        <f>_xlfn.XLOOKUP(Table26[[#This Row],[customerSKU]],customerSKU!G:G,customerSKU!O:O,"not found",0,1)</f>
        <v>not found</v>
      </c>
      <c r="AJ2425" s="22" t="e">
        <f>Table26[[#This Row],[unitprice]]*Table26[[#This Row],[quantity_unit]]</f>
        <v>#VALUE!</v>
      </c>
      <c r="AK2425" s="227" t="e" cm="1">
        <f t="array" ref="AK24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5" s="227"/>
    </row>
    <row r="2426" spans="1:38" ht="15.6">
      <c r="A2426" s="42">
        <v>2424</v>
      </c>
      <c r="B2426" s="42" t="s">
        <v>3520</v>
      </c>
      <c r="C2426" s="53" t="s">
        <v>3383</v>
      </c>
      <c r="E2426" s="20"/>
      <c r="F24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6" s="93"/>
      <c r="I2426" s="203">
        <v>45898</v>
      </c>
      <c r="J2426" s="90" t="str">
        <f>IF(Table26[[#This Row],[customerSKU]]="","",_xlfn.XLOOKUP(Table26[[#This Row],[customerSKU]],customerSKU!G:G,customerSKU!A:A,"",0,1))</f>
        <v/>
      </c>
      <c r="K2426" s="19"/>
      <c r="L2426" s="49" t="str">
        <f>IF(Table26[[#This Row],[customerSKU]]="","",_xlfn.XLOOKUP(Table26[[#This Row],[customerSKU]],customerSKU!G:G,customerSKU!B:B,"",0,1))</f>
        <v/>
      </c>
      <c r="M2426" s="22"/>
      <c r="N2426" s="15" t="str">
        <f>Table26[[#This Row],[po_number]]&amp;"-"&amp;Table26[[#This Row],[po_line]]</f>
        <v>-7</v>
      </c>
      <c r="O2426" s="15">
        <v>7</v>
      </c>
      <c r="P2426" s="50"/>
      <c r="S2426" s="90" t="str">
        <f>IF(Table26[[#This Row],[customerSKU]]="","",_xlfn.XLOOKUP(Table26[[#This Row],[customerSKU]],customerSKU!G:G,customerSKU!N:N,"NOT FOUND",0,1))</f>
        <v>NOT FOUND</v>
      </c>
      <c r="T2426" s="20"/>
      <c r="U2426" s="94"/>
      <c r="V2426" s="22" t="str">
        <f>IF(ISBLANK(Table26[[#This Row],[customerSKU]]),"",_xlfn.XLOOKUP(Table26[[#This Row],[customerSKU]],Table27[customer_SKU],Table27[case_size],"",0,1))</f>
        <v/>
      </c>
      <c r="W2426" s="117" t="str">
        <f t="shared" si="104"/>
        <v/>
      </c>
      <c r="X2426" s="22" t="str">
        <f t="shared" si="103"/>
        <v/>
      </c>
      <c r="Y2426" s="25" t="str">
        <f>IF(Table26[[#This Row],[customerSKU]]="","",_xlfn.XLOOKUP(Table26[[#This Row],[customerSKU]],Table27[customer_SKU],Table27[product_GTIN],"",0,1))</f>
        <v/>
      </c>
      <c r="Z2426" s="25" t="s">
        <v>3609</v>
      </c>
      <c r="AA2426" s="18" t="str" cm="1">
        <f t="array" ref="AA2426">IF(P2426="", "", _xlfn.XLOOKUP(P2426,#REF!,#REF!,NA,0,-1))</f>
        <v/>
      </c>
      <c r="AB2426" s="22"/>
      <c r="AC2426" s="23" t="s">
        <v>4330</v>
      </c>
      <c r="AD2426" s="23" t="str">
        <f>IF($AC2426="","",_xlfn.XLOOKUP($AC2426,'Client Info'!$C$2:$C$2497,'Client Info'!$D$2:$D$2497,"",0,1))</f>
        <v/>
      </c>
      <c r="AE2426" s="23" t="str">
        <f>IF($AC2426="","",_xlfn.XLOOKUP($AC2426,'Client Info'!$C$2:$C$2677,'Client Info'!$E$2:$E$2677,"",))</f>
        <v/>
      </c>
      <c r="AF2426" s="23" t="str">
        <f>IF($AC2426="","",_xlfn.XLOOKUP($AC2426,'Client Info'!$C$2:$C$2677,'Client Info'!$F$2:$F$2677,"",0,1))</f>
        <v/>
      </c>
      <c r="AG2426" s="23" t="str">
        <f>IF(ISBLANK(Table26[[#This Row],[customerSKU]]),"",_xlfn.XLOOKUP(Table26[[#This Row],[customerSKU]],Table27[customer_SKU],Table27[billto],"",0,1))</f>
        <v/>
      </c>
      <c r="AH2426" s="26" t="str">
        <f>_xlfn.XLOOKUP(Table26[[#This Row],[customerSKU]],customerSKU!G:G,customerSKU!K:K,"NA",0,1)</f>
        <v>NA</v>
      </c>
      <c r="AI2426" s="43" t="str">
        <f>_xlfn.XLOOKUP(Table26[[#This Row],[customerSKU]],customerSKU!G:G,customerSKU!O:O,"not found",0,1)</f>
        <v>not found</v>
      </c>
      <c r="AJ2426" s="22" t="e">
        <f>Table26[[#This Row],[unitprice]]*Table26[[#This Row],[quantity_unit]]</f>
        <v>#VALUE!</v>
      </c>
      <c r="AK2426" s="227" t="e" cm="1">
        <f t="array" ref="AK24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6" s="227"/>
    </row>
    <row r="2427" spans="1:38" ht="15.6">
      <c r="A2427" s="42">
        <v>2425</v>
      </c>
      <c r="B2427" s="42" t="s">
        <v>3520</v>
      </c>
      <c r="C2427" s="53" t="s">
        <v>3383</v>
      </c>
      <c r="E2427" s="20"/>
      <c r="F24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7" s="93"/>
      <c r="I2427" s="203">
        <v>45898</v>
      </c>
      <c r="J2427" s="90" t="str">
        <f>IF(Table26[[#This Row],[customerSKU]]="","",_xlfn.XLOOKUP(Table26[[#This Row],[customerSKU]],customerSKU!G:G,customerSKU!A:A,"",0,1))</f>
        <v/>
      </c>
      <c r="K2427" s="19"/>
      <c r="L2427" s="49" t="str">
        <f>IF(Table26[[#This Row],[customerSKU]]="","",_xlfn.XLOOKUP(Table26[[#This Row],[customerSKU]],customerSKU!G:G,customerSKU!B:B,"",0,1))</f>
        <v/>
      </c>
      <c r="M2427" s="22"/>
      <c r="N2427" s="15" t="str">
        <f>Table26[[#This Row],[po_number]]&amp;"-"&amp;Table26[[#This Row],[po_line]]</f>
        <v>-8</v>
      </c>
      <c r="O2427" s="15">
        <v>8</v>
      </c>
      <c r="P2427" s="50"/>
      <c r="S2427" s="90" t="str">
        <f>IF(Table26[[#This Row],[customerSKU]]="","",_xlfn.XLOOKUP(Table26[[#This Row],[customerSKU]],customerSKU!G:G,customerSKU!N:N,"NOT FOUND",0,1))</f>
        <v>NOT FOUND</v>
      </c>
      <c r="T2427" s="20"/>
      <c r="U2427" s="94"/>
      <c r="V2427" s="22" t="str">
        <f>IF(ISBLANK(Table26[[#This Row],[customerSKU]]),"",_xlfn.XLOOKUP(Table26[[#This Row],[customerSKU]],Table27[customer_SKU],Table27[case_size],"",0,1))</f>
        <v/>
      </c>
      <c r="W2427" s="117" t="str">
        <f t="shared" si="104"/>
        <v/>
      </c>
      <c r="X2427" s="22" t="str">
        <f t="shared" si="103"/>
        <v/>
      </c>
      <c r="Y2427" s="25" t="str">
        <f>IF(Table26[[#This Row],[customerSKU]]="","",_xlfn.XLOOKUP(Table26[[#This Row],[customerSKU]],Table27[customer_SKU],Table27[product_GTIN],"",0,1))</f>
        <v/>
      </c>
      <c r="Z2427" s="25" t="s">
        <v>4322</v>
      </c>
      <c r="AA2427" s="18" t="str" cm="1">
        <f t="array" ref="AA2427">IF(P2427="", "", _xlfn.XLOOKUP(P2427,#REF!,#REF!,NA,0,-1))</f>
        <v/>
      </c>
      <c r="AB2427" s="22"/>
      <c r="AC2427" s="23" t="s">
        <v>4330</v>
      </c>
      <c r="AD2427" s="23" t="str">
        <f>IF($AC2427="","",_xlfn.XLOOKUP($AC2427,'Client Info'!$C$2:$C$2497,'Client Info'!$D$2:$D$2497,"",0,1))</f>
        <v/>
      </c>
      <c r="AE2427" s="23" t="str">
        <f>IF($AC2427="","",_xlfn.XLOOKUP($AC2427,'Client Info'!$C$2:$C$2677,'Client Info'!$E$2:$E$2677,"",))</f>
        <v/>
      </c>
      <c r="AF2427" s="23" t="str">
        <f>IF($AC2427="","",_xlfn.XLOOKUP($AC2427,'Client Info'!$C$2:$C$2677,'Client Info'!$F$2:$F$2677,"",0,1))</f>
        <v/>
      </c>
      <c r="AG2427" s="23" t="str">
        <f>IF(ISBLANK(Table26[[#This Row],[customerSKU]]),"",_xlfn.XLOOKUP(Table26[[#This Row],[customerSKU]],Table27[customer_SKU],Table27[billto],"",0,1))</f>
        <v/>
      </c>
      <c r="AH2427" s="26" t="str">
        <f>_xlfn.XLOOKUP(Table26[[#This Row],[customerSKU]],customerSKU!G:G,customerSKU!K:K,"NA",0,1)</f>
        <v>NA</v>
      </c>
      <c r="AI2427" s="43" t="str">
        <f>_xlfn.XLOOKUP(Table26[[#This Row],[customerSKU]],customerSKU!G:G,customerSKU!O:O,"not found",0,1)</f>
        <v>not found</v>
      </c>
      <c r="AJ2427" s="22" t="e">
        <f>Table26[[#This Row],[unitprice]]*Table26[[#This Row],[quantity_unit]]</f>
        <v>#VALUE!</v>
      </c>
      <c r="AK2427" s="227" t="e" cm="1">
        <f t="array" ref="AK24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7" s="227"/>
    </row>
    <row r="2428" spans="1:38" ht="15.6">
      <c r="A2428" s="42">
        <v>2426</v>
      </c>
      <c r="B2428" s="42"/>
      <c r="C2428" s="53"/>
      <c r="E2428" s="20"/>
      <c r="F24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8" s="93"/>
      <c r="J2428" s="90" t="str">
        <f>IF(Table26[[#This Row],[customerSKU]]="","",_xlfn.XLOOKUP(Table26[[#This Row],[customerSKU]],customerSKU!G:G,customerSKU!A:A,"",0,1))</f>
        <v/>
      </c>
      <c r="K2428" s="19"/>
      <c r="L2428" s="49" t="str">
        <f>IF(Table26[[#This Row],[customerSKU]]="","",_xlfn.XLOOKUP(Table26[[#This Row],[customerSKU]],customerSKU!G:G,customerSKU!B:B,"",0,1))</f>
        <v/>
      </c>
      <c r="M2428" s="22"/>
      <c r="N2428" s="15" t="str">
        <f>Table26[[#This Row],[po_number]]&amp;"-"&amp;Table26[[#This Row],[po_line]]</f>
        <v>-</v>
      </c>
      <c r="O2428" s="15"/>
      <c r="P2428" s="50"/>
      <c r="S2428" s="90" t="str">
        <f>IF(Table26[[#This Row],[customerSKU]]="","",_xlfn.XLOOKUP(Table26[[#This Row],[customerSKU]],customerSKU!G:G,customerSKU!N:N,"NOT FOUND",0,1))</f>
        <v/>
      </c>
      <c r="T2428" s="20"/>
      <c r="U2428" s="94"/>
      <c r="V2428" s="22" t="str">
        <f>IF(ISBLANK(Table26[[#This Row],[customerSKU]]),"",_xlfn.XLOOKUP(Table26[[#This Row],[customerSKU]],Table27[customer_SKU],Table27[case_size],"",0,1))</f>
        <v/>
      </c>
      <c r="W2428" s="117" t="str">
        <f t="shared" si="104"/>
        <v/>
      </c>
      <c r="X2428" s="22" t="str">
        <f t="shared" si="103"/>
        <v/>
      </c>
      <c r="Y2428" s="25" t="str">
        <f>IF(Table26[[#This Row],[customerSKU]]="","",_xlfn.XLOOKUP(Table26[[#This Row],[customerSKU]],Table27[customer_SKU],Table27[product_GTIN],"",0,1))</f>
        <v/>
      </c>
      <c r="Z2428" s="25"/>
      <c r="AA2428" s="18" t="str" cm="1">
        <f t="array" ref="AA2428">IF(P2428="", "", _xlfn.XLOOKUP(P2428,#REF!,#REF!,NA,0,-1))</f>
        <v/>
      </c>
      <c r="AB2428" s="22"/>
      <c r="AC2428" s="23" t="str">
        <f>IF(Table26[[#This Row],[customerSKU]]="","",_xlfn.XLOOKUP(Table26[[#This Row],[customerSKU]],customerSKU!G:G,customerSKU!C:C,"",0,1))</f>
        <v/>
      </c>
      <c r="AD2428" s="23" t="str">
        <f>IF($AC2428="","",_xlfn.XLOOKUP($AC2428,'Client Info'!$C$2:$C$2497,'Client Info'!$D$2:$D$2497,"",0,1))</f>
        <v/>
      </c>
      <c r="AE2428" s="23" t="str">
        <f>IF($AC2428="","",_xlfn.XLOOKUP($AC2428,'Client Info'!$C$2:$C$2677,'Client Info'!$E$2:$E$2677,"",))</f>
        <v/>
      </c>
      <c r="AF2428" s="23" t="str">
        <f>IF($AC2428="","",_xlfn.XLOOKUP($AC2428,'Client Info'!$C$2:$C$2677,'Client Info'!$F$2:$F$2677,"",0,1))</f>
        <v/>
      </c>
      <c r="AG2428" s="23" t="str">
        <f>IF(ISBLANK(Table26[[#This Row],[customerSKU]]),"",_xlfn.XLOOKUP(Table26[[#This Row],[customerSKU]],Table27[customer_SKU],Table27[billto],"",0,1))</f>
        <v/>
      </c>
      <c r="AH2428" s="26" t="str">
        <f>_xlfn.XLOOKUP(Table26[[#This Row],[customerSKU]],customerSKU!G:G,customerSKU!K:K,"NA",0,1)</f>
        <v>NA</v>
      </c>
      <c r="AI2428" s="43" t="str">
        <f>_xlfn.XLOOKUP(Table26[[#This Row],[customerSKU]],customerSKU!G:G,customerSKU!O:O,"not found",0,1)</f>
        <v>not found</v>
      </c>
      <c r="AJ2428" s="22" t="e">
        <f>Table26[[#This Row],[unitprice]]*Table26[[#This Row],[quantity_unit]]</f>
        <v>#VALUE!</v>
      </c>
      <c r="AK2428" s="227" t="e" cm="1">
        <f t="array" ref="AK24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8" s="227"/>
    </row>
    <row r="2429" spans="1:38" ht="15.6">
      <c r="A2429" s="42">
        <v>2427</v>
      </c>
      <c r="B2429" s="42"/>
      <c r="C2429" s="53"/>
      <c r="E2429" s="20"/>
      <c r="F24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29" s="93"/>
      <c r="J2429" s="90" t="str">
        <f>IF(Table26[[#This Row],[customerSKU]]="","",_xlfn.XLOOKUP(Table26[[#This Row],[customerSKU]],customerSKU!G:G,customerSKU!A:A,"",0,1))</f>
        <v/>
      </c>
      <c r="K2429" s="19"/>
      <c r="L2429" s="49" t="str">
        <f>IF(Table26[[#This Row],[customerSKU]]="","",_xlfn.XLOOKUP(Table26[[#This Row],[customerSKU]],customerSKU!G:G,customerSKU!B:B,"",0,1))</f>
        <v/>
      </c>
      <c r="M2429" s="22"/>
      <c r="N2429" s="15" t="str">
        <f>Table26[[#This Row],[po_number]]&amp;"-"&amp;Table26[[#This Row],[po_line]]</f>
        <v>-</v>
      </c>
      <c r="O2429" s="15"/>
      <c r="P2429" s="50"/>
      <c r="S2429" s="90" t="str">
        <f>IF(Table26[[#This Row],[customerSKU]]="","",_xlfn.XLOOKUP(Table26[[#This Row],[customerSKU]],customerSKU!G:G,customerSKU!N:N,"NOT FOUND",0,1))</f>
        <v/>
      </c>
      <c r="T2429" s="20"/>
      <c r="U2429" s="94"/>
      <c r="V2429" s="22" t="str">
        <f>IF(ISBLANK(Table26[[#This Row],[customerSKU]]),"",_xlfn.XLOOKUP(Table26[[#This Row],[customerSKU]],Table27[customer_SKU],Table27[case_size],"",0,1))</f>
        <v/>
      </c>
      <c r="W2429" s="117" t="str">
        <f t="shared" si="104"/>
        <v/>
      </c>
      <c r="X2429" s="22" t="str">
        <f t="shared" si="103"/>
        <v/>
      </c>
      <c r="Y2429" s="25" t="str">
        <f>IF(Table26[[#This Row],[customerSKU]]="","",_xlfn.XLOOKUP(Table26[[#This Row],[customerSKU]],Table27[customer_SKU],Table27[product_GTIN],"",0,1))</f>
        <v/>
      </c>
      <c r="Z2429" s="25"/>
      <c r="AA2429" s="18" t="str" cm="1">
        <f t="array" ref="AA2429">IF(P2429="", "", _xlfn.XLOOKUP(P2429,#REF!,#REF!,NA,0,-1))</f>
        <v/>
      </c>
      <c r="AB2429" s="22"/>
      <c r="AC2429" s="23" t="str">
        <f>IF(Table26[[#This Row],[customerSKU]]="","",_xlfn.XLOOKUP(Table26[[#This Row],[customerSKU]],customerSKU!G:G,customerSKU!C:C,"",0,1))</f>
        <v/>
      </c>
      <c r="AD2429" s="23" t="str">
        <f>IF($AC2429="","",_xlfn.XLOOKUP($AC2429,'Client Info'!$C$2:$C$2497,'Client Info'!$D$2:$D$2497,"",0,1))</f>
        <v/>
      </c>
      <c r="AE2429" s="23" t="str">
        <f>IF($AC2429="","",_xlfn.XLOOKUP($AC2429,'Client Info'!$C$2:$C$2677,'Client Info'!$E$2:$E$2677,"",))</f>
        <v/>
      </c>
      <c r="AF2429" s="23" t="str">
        <f>IF($AC2429="","",_xlfn.XLOOKUP($AC2429,'Client Info'!$C$2:$C$2677,'Client Info'!$F$2:$F$2677,"",0,1))</f>
        <v/>
      </c>
      <c r="AG2429" s="23" t="str">
        <f>IF(ISBLANK(Table26[[#This Row],[customerSKU]]),"",_xlfn.XLOOKUP(Table26[[#This Row],[customerSKU]],Table27[customer_SKU],Table27[billto],"",0,1))</f>
        <v/>
      </c>
      <c r="AH2429" s="26" t="str">
        <f>_xlfn.XLOOKUP(Table26[[#This Row],[customerSKU]],customerSKU!G:G,customerSKU!K:K,"NA",0,1)</f>
        <v>NA</v>
      </c>
      <c r="AI2429" s="43" t="str">
        <f>_xlfn.XLOOKUP(Table26[[#This Row],[customerSKU]],customerSKU!G:G,customerSKU!O:O,"not found",0,1)</f>
        <v>not found</v>
      </c>
      <c r="AJ2429" s="22" t="e">
        <f>Table26[[#This Row],[unitprice]]*Table26[[#This Row],[quantity_unit]]</f>
        <v>#VALUE!</v>
      </c>
      <c r="AK2429" s="227" t="e" cm="1">
        <f t="array" ref="AK24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29" s="227"/>
    </row>
    <row r="2430" spans="1:38" ht="15.6">
      <c r="A2430" s="42">
        <v>2428</v>
      </c>
      <c r="B2430" s="42"/>
      <c r="C2430" s="53"/>
      <c r="E2430" s="20"/>
      <c r="F24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0" s="93"/>
      <c r="J2430" s="90" t="str">
        <f>IF(Table26[[#This Row],[customerSKU]]="","",_xlfn.XLOOKUP(Table26[[#This Row],[customerSKU]],customerSKU!G:G,customerSKU!A:A,"",0,1))</f>
        <v/>
      </c>
      <c r="K2430" s="19"/>
      <c r="L2430" s="49" t="str">
        <f>IF(Table26[[#This Row],[customerSKU]]="","",_xlfn.XLOOKUP(Table26[[#This Row],[customerSKU]],customerSKU!G:G,customerSKU!B:B,"",0,1))</f>
        <v/>
      </c>
      <c r="M2430" s="22"/>
      <c r="N2430" s="15" t="str">
        <f>Table26[[#This Row],[po_number]]&amp;"-"&amp;Table26[[#This Row],[po_line]]</f>
        <v>-</v>
      </c>
      <c r="O2430" s="15"/>
      <c r="P2430" s="50"/>
      <c r="S2430" s="90" t="str">
        <f>IF(Table26[[#This Row],[customerSKU]]="","",_xlfn.XLOOKUP(Table26[[#This Row],[customerSKU]],customerSKU!G:G,customerSKU!N:N,"NOT FOUND",0,1))</f>
        <v/>
      </c>
      <c r="T2430" s="20"/>
      <c r="U2430" s="94"/>
      <c r="V2430" s="22" t="str">
        <f>IF(ISBLANK(Table26[[#This Row],[customerSKU]]),"",_xlfn.XLOOKUP(Table26[[#This Row],[customerSKU]],Table27[customer_SKU],Table27[case_size],"",0,1))</f>
        <v/>
      </c>
      <c r="W2430" s="117" t="str">
        <f t="shared" si="104"/>
        <v/>
      </c>
      <c r="X2430" s="22" t="str">
        <f t="shared" si="103"/>
        <v/>
      </c>
      <c r="Y2430" s="25" t="str">
        <f>IF(Table26[[#This Row],[customerSKU]]="","",_xlfn.XLOOKUP(Table26[[#This Row],[customerSKU]],Table27[customer_SKU],Table27[product_GTIN],"",0,1))</f>
        <v/>
      </c>
      <c r="Z2430" s="25"/>
      <c r="AA2430" s="18" t="str" cm="1">
        <f t="array" ref="AA2430">IF(P2430="", "", _xlfn.XLOOKUP(P2430,#REF!,#REF!,NA,0,-1))</f>
        <v/>
      </c>
      <c r="AB2430" s="22"/>
      <c r="AC2430" s="23" t="str">
        <f>IF(Table26[[#This Row],[customerSKU]]="","",_xlfn.XLOOKUP(Table26[[#This Row],[customerSKU]],customerSKU!G:G,customerSKU!C:C,"",0,1))</f>
        <v/>
      </c>
      <c r="AD2430" s="23" t="str">
        <f>IF($AC2430="","",_xlfn.XLOOKUP($AC2430,'Client Info'!$C$2:$C$2497,'Client Info'!$D$2:$D$2497,"",0,1))</f>
        <v/>
      </c>
      <c r="AE2430" s="23" t="str">
        <f>IF($AC2430="","",_xlfn.XLOOKUP($AC2430,'Client Info'!$C$2:$C$2677,'Client Info'!$E$2:$E$2677,"",))</f>
        <v/>
      </c>
      <c r="AF2430" s="23" t="str">
        <f>IF($AC2430="","",_xlfn.XLOOKUP($AC2430,'Client Info'!$C$2:$C$2677,'Client Info'!$F$2:$F$2677,"",0,1))</f>
        <v/>
      </c>
      <c r="AG2430" s="23" t="str">
        <f>IF(ISBLANK(Table26[[#This Row],[customerSKU]]),"",_xlfn.XLOOKUP(Table26[[#This Row],[customerSKU]],Table27[customer_SKU],Table27[billto],"",0,1))</f>
        <v/>
      </c>
      <c r="AH2430" s="26" t="str">
        <f>_xlfn.XLOOKUP(Table26[[#This Row],[customerSKU]],customerSKU!G:G,customerSKU!K:K,"NA",0,1)</f>
        <v>NA</v>
      </c>
      <c r="AI2430" s="43" t="str">
        <f>_xlfn.XLOOKUP(Table26[[#This Row],[customerSKU]],customerSKU!G:G,customerSKU!O:O,"not found",0,1)</f>
        <v>not found</v>
      </c>
      <c r="AJ2430" s="22" t="e">
        <f>Table26[[#This Row],[unitprice]]*Table26[[#This Row],[quantity_unit]]</f>
        <v>#VALUE!</v>
      </c>
      <c r="AK2430" s="227" t="e" cm="1">
        <f t="array" ref="AK24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0" s="227"/>
    </row>
    <row r="2431" spans="1:38" ht="15.6">
      <c r="A2431" s="42">
        <v>2429</v>
      </c>
      <c r="B2431" s="42"/>
      <c r="C2431" s="53"/>
      <c r="E2431" s="20"/>
      <c r="F24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1" s="93"/>
      <c r="J2431" s="90" t="str">
        <f>IF(Table26[[#This Row],[customerSKU]]="","",_xlfn.XLOOKUP(Table26[[#This Row],[customerSKU]],customerSKU!G:G,customerSKU!A:A,"",0,1))</f>
        <v/>
      </c>
      <c r="K2431" s="19"/>
      <c r="L2431" s="49" t="str">
        <f>IF(Table26[[#This Row],[customerSKU]]="","",_xlfn.XLOOKUP(Table26[[#This Row],[customerSKU]],customerSKU!G:G,customerSKU!B:B,"",0,1))</f>
        <v/>
      </c>
      <c r="M2431" s="22"/>
      <c r="N2431" s="15" t="str">
        <f>Table26[[#This Row],[po_number]]&amp;"-"&amp;Table26[[#This Row],[po_line]]</f>
        <v>-</v>
      </c>
      <c r="O2431" s="15"/>
      <c r="P2431" s="50"/>
      <c r="S2431" s="90" t="str">
        <f>IF(Table26[[#This Row],[customerSKU]]="","",_xlfn.XLOOKUP(Table26[[#This Row],[customerSKU]],customerSKU!G:G,customerSKU!N:N,"NOT FOUND",0,1))</f>
        <v/>
      </c>
      <c r="T2431" s="20"/>
      <c r="U2431" s="94"/>
      <c r="V2431" s="22" t="str">
        <f>IF(ISBLANK(Table26[[#This Row],[customerSKU]]),"",_xlfn.XLOOKUP(Table26[[#This Row],[customerSKU]],Table27[customer_SKU],Table27[case_size],"",0,1))</f>
        <v/>
      </c>
      <c r="W2431" s="117" t="str">
        <f t="shared" si="104"/>
        <v/>
      </c>
      <c r="X2431" s="22" t="str">
        <f t="shared" si="103"/>
        <v/>
      </c>
      <c r="Y2431" s="25" t="str">
        <f>IF(Table26[[#This Row],[customerSKU]]="","",_xlfn.XLOOKUP(Table26[[#This Row],[customerSKU]],Table27[customer_SKU],Table27[product_GTIN],"",0,1))</f>
        <v/>
      </c>
      <c r="Z2431" s="25"/>
      <c r="AA2431" s="18" t="str" cm="1">
        <f t="array" ref="AA2431">IF(P2431="", "", _xlfn.XLOOKUP(P2431,#REF!,#REF!,NA,0,-1))</f>
        <v/>
      </c>
      <c r="AB2431" s="22"/>
      <c r="AC2431" s="23" t="str">
        <f>IF(Table26[[#This Row],[customerSKU]]="","",_xlfn.XLOOKUP(Table26[[#This Row],[customerSKU]],customerSKU!G:G,customerSKU!C:C,"",0,1))</f>
        <v/>
      </c>
      <c r="AD2431" s="23" t="str">
        <f>IF($AC2431="","",_xlfn.XLOOKUP($AC2431,'Client Info'!$C$2:$C$2497,'Client Info'!$D$2:$D$2497,"",0,1))</f>
        <v/>
      </c>
      <c r="AE2431" s="23" t="str">
        <f>IF($AC2431="","",_xlfn.XLOOKUP($AC2431,'Client Info'!$C$2:$C$2677,'Client Info'!$E$2:$E$2677,"",))</f>
        <v/>
      </c>
      <c r="AF2431" s="23" t="str">
        <f>IF($AC2431="","",_xlfn.XLOOKUP($AC2431,'Client Info'!$C$2:$C$2677,'Client Info'!$F$2:$F$2677,"",0,1))</f>
        <v/>
      </c>
      <c r="AG2431" s="23" t="str">
        <f>IF(ISBLANK(Table26[[#This Row],[customerSKU]]),"",_xlfn.XLOOKUP(Table26[[#This Row],[customerSKU]],Table27[customer_SKU],Table27[billto],"",0,1))</f>
        <v/>
      </c>
      <c r="AH2431" s="26" t="str">
        <f>_xlfn.XLOOKUP(Table26[[#This Row],[customerSKU]],customerSKU!G:G,customerSKU!K:K,"NA",0,1)</f>
        <v>NA</v>
      </c>
      <c r="AI2431" s="43" t="str">
        <f>_xlfn.XLOOKUP(Table26[[#This Row],[customerSKU]],customerSKU!G:G,customerSKU!O:O,"not found",0,1)</f>
        <v>not found</v>
      </c>
      <c r="AJ2431" s="22" t="e">
        <f>Table26[[#This Row],[unitprice]]*Table26[[#This Row],[quantity_unit]]</f>
        <v>#VALUE!</v>
      </c>
      <c r="AK2431" s="227" t="e" cm="1">
        <f t="array" ref="AK24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1" s="227"/>
    </row>
    <row r="2432" spans="1:38" ht="15.6">
      <c r="A2432" s="42">
        <v>2430</v>
      </c>
      <c r="B2432" s="42"/>
      <c r="C2432" s="53"/>
      <c r="E2432" s="20"/>
      <c r="F24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2" s="93"/>
      <c r="J2432" s="90" t="str">
        <f>IF(Table26[[#This Row],[customerSKU]]="","",_xlfn.XLOOKUP(Table26[[#This Row],[customerSKU]],customerSKU!G:G,customerSKU!A:A,"",0,1))</f>
        <v/>
      </c>
      <c r="K2432" s="19"/>
      <c r="L2432" s="49" t="str">
        <f>IF(Table26[[#This Row],[customerSKU]]="","",_xlfn.XLOOKUP(Table26[[#This Row],[customerSKU]],customerSKU!G:G,customerSKU!B:B,"",0,1))</f>
        <v/>
      </c>
      <c r="M2432" s="22"/>
      <c r="N2432" s="15" t="str">
        <f>Table26[[#This Row],[po_number]]&amp;"-"&amp;Table26[[#This Row],[po_line]]</f>
        <v>-</v>
      </c>
      <c r="O2432" s="15"/>
      <c r="P2432" s="50"/>
      <c r="S2432" s="90" t="str">
        <f>IF(Table26[[#This Row],[customerSKU]]="","",_xlfn.XLOOKUP(Table26[[#This Row],[customerSKU]],customerSKU!G:G,customerSKU!N:N,"NOT FOUND",0,1))</f>
        <v/>
      </c>
      <c r="T2432" s="20"/>
      <c r="U2432" s="94"/>
      <c r="V2432" s="22" t="str">
        <f>IF(ISBLANK(Table26[[#This Row],[customerSKU]]),"",_xlfn.XLOOKUP(Table26[[#This Row],[customerSKU]],Table27[customer_SKU],Table27[case_size],"",0,1))</f>
        <v/>
      </c>
      <c r="W2432" s="117" t="str">
        <f t="shared" si="104"/>
        <v/>
      </c>
      <c r="X2432" s="22" t="str">
        <f t="shared" si="103"/>
        <v/>
      </c>
      <c r="Y2432" s="25" t="str">
        <f>IF(Table26[[#This Row],[customerSKU]]="","",_xlfn.XLOOKUP(Table26[[#This Row],[customerSKU]],Table27[customer_SKU],Table27[product_GTIN],"",0,1))</f>
        <v/>
      </c>
      <c r="Z2432" s="25"/>
      <c r="AA2432" s="18" t="str" cm="1">
        <f t="array" ref="AA2432">IF(P2432="", "", _xlfn.XLOOKUP(P2432,#REF!,#REF!,NA,0,-1))</f>
        <v/>
      </c>
      <c r="AB2432" s="22"/>
      <c r="AC2432" s="23" t="str">
        <f>IF(Table26[[#This Row],[customerSKU]]="","",_xlfn.XLOOKUP(Table26[[#This Row],[customerSKU]],customerSKU!G:G,customerSKU!C:C,"",0,1))</f>
        <v/>
      </c>
      <c r="AD2432" s="23" t="str">
        <f>IF($AC2432="","",_xlfn.XLOOKUP($AC2432,'Client Info'!$C$2:$C$2497,'Client Info'!$D$2:$D$2497,"",0,1))</f>
        <v/>
      </c>
      <c r="AE2432" s="23" t="str">
        <f>IF($AC2432="","",_xlfn.XLOOKUP($AC2432,'Client Info'!$C$2:$C$2677,'Client Info'!$E$2:$E$2677,"",))</f>
        <v/>
      </c>
      <c r="AF2432" s="23" t="str">
        <f>IF($AC2432="","",_xlfn.XLOOKUP($AC2432,'Client Info'!$C$2:$C$2677,'Client Info'!$F$2:$F$2677,"",0,1))</f>
        <v/>
      </c>
      <c r="AG2432" s="23" t="str">
        <f>IF(ISBLANK(Table26[[#This Row],[customerSKU]]),"",_xlfn.XLOOKUP(Table26[[#This Row],[customerSKU]],Table27[customer_SKU],Table27[billto],"",0,1))</f>
        <v/>
      </c>
      <c r="AH2432" s="26" t="str">
        <f>_xlfn.XLOOKUP(Table26[[#This Row],[customerSKU]],customerSKU!G:G,customerSKU!K:K,"NA",0,1)</f>
        <v>NA</v>
      </c>
      <c r="AI2432" s="43" t="str">
        <f>_xlfn.XLOOKUP(Table26[[#This Row],[customerSKU]],customerSKU!G:G,customerSKU!O:O,"not found",0,1)</f>
        <v>not found</v>
      </c>
      <c r="AJ2432" s="22" t="e">
        <f>Table26[[#This Row],[unitprice]]*Table26[[#This Row],[quantity_unit]]</f>
        <v>#VALUE!</v>
      </c>
      <c r="AK2432" s="227" t="e" cm="1">
        <f t="array" ref="AK24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2" s="227"/>
    </row>
    <row r="2433" spans="1:38" ht="15.6">
      <c r="A2433" s="42">
        <v>2431</v>
      </c>
      <c r="B2433" s="42"/>
      <c r="C2433" s="53"/>
      <c r="E2433" s="20"/>
      <c r="F24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3" s="93"/>
      <c r="J2433" s="90" t="str">
        <f>IF(Table26[[#This Row],[customerSKU]]="","",_xlfn.XLOOKUP(Table26[[#This Row],[customerSKU]],customerSKU!G:G,customerSKU!A:A,"",0,1))</f>
        <v/>
      </c>
      <c r="K2433" s="19"/>
      <c r="L2433" s="49" t="str">
        <f>IF(Table26[[#This Row],[customerSKU]]="","",_xlfn.XLOOKUP(Table26[[#This Row],[customerSKU]],customerSKU!G:G,customerSKU!B:B,"",0,1))</f>
        <v/>
      </c>
      <c r="M2433" s="22"/>
      <c r="N2433" s="15" t="str">
        <f>Table26[[#This Row],[po_number]]&amp;"-"&amp;Table26[[#This Row],[po_line]]</f>
        <v>-</v>
      </c>
      <c r="O2433" s="15"/>
      <c r="P2433" s="50"/>
      <c r="S2433" s="90" t="str">
        <f>IF(Table26[[#This Row],[customerSKU]]="","",_xlfn.XLOOKUP(Table26[[#This Row],[customerSKU]],customerSKU!G:G,customerSKU!N:N,"NOT FOUND",0,1))</f>
        <v/>
      </c>
      <c r="T2433" s="20"/>
      <c r="U2433" s="94"/>
      <c r="V2433" s="22" t="str">
        <f>IF(ISBLANK(Table26[[#This Row],[customerSKU]]),"",_xlfn.XLOOKUP(Table26[[#This Row],[customerSKU]],Table27[customer_SKU],Table27[case_size],"",0,1))</f>
        <v/>
      </c>
      <c r="W2433" s="117" t="str">
        <f t="shared" si="104"/>
        <v/>
      </c>
      <c r="X2433" s="22" t="str">
        <f t="shared" si="103"/>
        <v/>
      </c>
      <c r="Y2433" s="25" t="str">
        <f>IF(Table26[[#This Row],[customerSKU]]="","",_xlfn.XLOOKUP(Table26[[#This Row],[customerSKU]],Table27[customer_SKU],Table27[product_GTIN],"",0,1))</f>
        <v/>
      </c>
      <c r="Z2433" s="25"/>
      <c r="AA2433" s="18" t="str" cm="1">
        <f t="array" ref="AA2433">IF(P2433="", "", _xlfn.XLOOKUP(P2433,#REF!,#REF!,NA,0,-1))</f>
        <v/>
      </c>
      <c r="AB2433" s="22"/>
      <c r="AC2433" s="23" t="str">
        <f>IF(Table26[[#This Row],[customerSKU]]="","",_xlfn.XLOOKUP(Table26[[#This Row],[customerSKU]],customerSKU!G:G,customerSKU!C:C,"",0,1))</f>
        <v/>
      </c>
      <c r="AD2433" s="23" t="str">
        <f>IF($AC2433="","",_xlfn.XLOOKUP($AC2433,'Client Info'!$C$2:$C$2497,'Client Info'!$D$2:$D$2497,"",0,1))</f>
        <v/>
      </c>
      <c r="AE2433" s="23" t="str">
        <f>IF($AC2433="","",_xlfn.XLOOKUP($AC2433,'Client Info'!$C$2:$C$2677,'Client Info'!$E$2:$E$2677,"",))</f>
        <v/>
      </c>
      <c r="AF2433" s="23" t="str">
        <f>IF($AC2433="","",_xlfn.XLOOKUP($AC2433,'Client Info'!$C$2:$C$2677,'Client Info'!$F$2:$F$2677,"",0,1))</f>
        <v/>
      </c>
      <c r="AG2433" s="23" t="str">
        <f>IF(ISBLANK(Table26[[#This Row],[customerSKU]]),"",_xlfn.XLOOKUP(Table26[[#This Row],[customerSKU]],Table27[customer_SKU],Table27[billto],"",0,1))</f>
        <v/>
      </c>
      <c r="AH2433" s="26" t="str">
        <f>_xlfn.XLOOKUP(Table26[[#This Row],[customerSKU]],customerSKU!G:G,customerSKU!K:K,"NA",0,1)</f>
        <v>NA</v>
      </c>
      <c r="AI2433" s="43" t="str">
        <f>_xlfn.XLOOKUP(Table26[[#This Row],[customerSKU]],customerSKU!G:G,customerSKU!O:O,"not found",0,1)</f>
        <v>not found</v>
      </c>
      <c r="AJ2433" s="22" t="e">
        <f>Table26[[#This Row],[unitprice]]*Table26[[#This Row],[quantity_unit]]</f>
        <v>#VALUE!</v>
      </c>
      <c r="AK2433" s="227" t="e" cm="1">
        <f t="array" ref="AK24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3" s="227"/>
    </row>
    <row r="2434" spans="1:38" ht="15.6">
      <c r="A2434" s="42">
        <v>2432</v>
      </c>
      <c r="B2434" s="42"/>
      <c r="C2434" s="53"/>
      <c r="E2434" s="20"/>
      <c r="F24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4" s="93"/>
      <c r="J2434" s="90" t="str">
        <f>IF(Table26[[#This Row],[customerSKU]]="","",_xlfn.XLOOKUP(Table26[[#This Row],[customerSKU]],customerSKU!G:G,customerSKU!A:A,"",0,1))</f>
        <v/>
      </c>
      <c r="K2434" s="19"/>
      <c r="L2434" s="49" t="str">
        <f>IF(Table26[[#This Row],[customerSKU]]="","",_xlfn.XLOOKUP(Table26[[#This Row],[customerSKU]],customerSKU!G:G,customerSKU!B:B,"",0,1))</f>
        <v/>
      </c>
      <c r="M2434" s="22"/>
      <c r="N2434" s="15" t="str">
        <f>Table26[[#This Row],[po_number]]&amp;"-"&amp;Table26[[#This Row],[po_line]]</f>
        <v>-</v>
      </c>
      <c r="O2434" s="15"/>
      <c r="P2434" s="50"/>
      <c r="S2434" s="90" t="str">
        <f>IF(Table26[[#This Row],[customerSKU]]="","",_xlfn.XLOOKUP(Table26[[#This Row],[customerSKU]],customerSKU!G:G,customerSKU!N:N,"NOT FOUND",0,1))</f>
        <v/>
      </c>
      <c r="T2434" s="20"/>
      <c r="U2434" s="94"/>
      <c r="V2434" s="22" t="str">
        <f>IF(ISBLANK(Table26[[#This Row],[customerSKU]]),"",_xlfn.XLOOKUP(Table26[[#This Row],[customerSKU]],Table27[customer_SKU],Table27[case_size],"",0,1))</f>
        <v/>
      </c>
      <c r="W2434" s="117" t="str">
        <f t="shared" si="104"/>
        <v/>
      </c>
      <c r="X2434" s="22" t="str">
        <f t="shared" si="103"/>
        <v/>
      </c>
      <c r="Y2434" s="25" t="str">
        <f>IF(Table26[[#This Row],[customerSKU]]="","",_xlfn.XLOOKUP(Table26[[#This Row],[customerSKU]],Table27[customer_SKU],Table27[product_GTIN],"",0,1))</f>
        <v/>
      </c>
      <c r="Z2434" s="25"/>
      <c r="AA2434" s="18" t="str" cm="1">
        <f t="array" ref="AA2434">IF(P2434="", "", _xlfn.XLOOKUP(P2434,#REF!,#REF!,NA,0,-1))</f>
        <v/>
      </c>
      <c r="AB2434" s="22"/>
      <c r="AC2434" s="23" t="str">
        <f>IF(Table26[[#This Row],[customerSKU]]="","",_xlfn.XLOOKUP(Table26[[#This Row],[customerSKU]],customerSKU!G:G,customerSKU!C:C,"",0,1))</f>
        <v/>
      </c>
      <c r="AD2434" s="23" t="str">
        <f>IF($AC2434="","",_xlfn.XLOOKUP($AC2434,'Client Info'!$C$2:$C$2497,'Client Info'!$D$2:$D$2497,"",0,1))</f>
        <v/>
      </c>
      <c r="AE2434" s="23" t="str">
        <f>IF($AC2434="","",_xlfn.XLOOKUP($AC2434,'Client Info'!$C$2:$C$2677,'Client Info'!$E$2:$E$2677,"",))</f>
        <v/>
      </c>
      <c r="AF2434" s="23" t="str">
        <f>IF($AC2434="","",_xlfn.XLOOKUP($AC2434,'Client Info'!$C$2:$C$2677,'Client Info'!$F$2:$F$2677,"",0,1))</f>
        <v/>
      </c>
      <c r="AG2434" s="23" t="str">
        <f>IF(ISBLANK(Table26[[#This Row],[customerSKU]]),"",_xlfn.XLOOKUP(Table26[[#This Row],[customerSKU]],Table27[customer_SKU],Table27[billto],"",0,1))</f>
        <v/>
      </c>
      <c r="AH2434" s="26" t="str">
        <f>_xlfn.XLOOKUP(Table26[[#This Row],[customerSKU]],customerSKU!G:G,customerSKU!K:K,"NA",0,1)</f>
        <v>NA</v>
      </c>
      <c r="AI2434" s="43" t="str">
        <f>_xlfn.XLOOKUP(Table26[[#This Row],[customerSKU]],customerSKU!G:G,customerSKU!O:O,"not found",0,1)</f>
        <v>not found</v>
      </c>
      <c r="AJ2434" s="22" t="e">
        <f>Table26[[#This Row],[unitprice]]*Table26[[#This Row],[quantity_unit]]</f>
        <v>#VALUE!</v>
      </c>
      <c r="AK2434" s="227" t="e" cm="1">
        <f t="array" ref="AK24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4" s="227"/>
    </row>
    <row r="2435" spans="1:38" ht="15.6">
      <c r="A2435" s="42">
        <v>2433</v>
      </c>
      <c r="B2435" s="42"/>
      <c r="C2435" s="53"/>
      <c r="E2435" s="20"/>
      <c r="F24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5" s="93"/>
      <c r="J2435" s="90" t="str">
        <f>IF(Table26[[#This Row],[customerSKU]]="","",_xlfn.XLOOKUP(Table26[[#This Row],[customerSKU]],customerSKU!G:G,customerSKU!A:A,"",0,1))</f>
        <v/>
      </c>
      <c r="K2435" s="19"/>
      <c r="L2435" s="49" t="str">
        <f>IF(Table26[[#This Row],[customerSKU]]="","",_xlfn.XLOOKUP(Table26[[#This Row],[customerSKU]],customerSKU!G:G,customerSKU!B:B,"",0,1))</f>
        <v/>
      </c>
      <c r="M2435" s="22"/>
      <c r="N2435" s="15" t="str">
        <f>Table26[[#This Row],[po_number]]&amp;"-"&amp;Table26[[#This Row],[po_line]]</f>
        <v>-</v>
      </c>
      <c r="O2435" s="15"/>
      <c r="P2435" s="50"/>
      <c r="S2435" s="90" t="str">
        <f>IF(Table26[[#This Row],[customerSKU]]="","",_xlfn.XLOOKUP(Table26[[#This Row],[customerSKU]],customerSKU!G:G,customerSKU!N:N,"NOT FOUND",0,1))</f>
        <v/>
      </c>
      <c r="T2435" s="20"/>
      <c r="U2435" s="94"/>
      <c r="V2435" s="22" t="str">
        <f>IF(ISBLANK(Table26[[#This Row],[customerSKU]]),"",_xlfn.XLOOKUP(Table26[[#This Row],[customerSKU]],Table27[customer_SKU],Table27[case_size],"",0,1))</f>
        <v/>
      </c>
      <c r="W2435" s="117" t="str">
        <f t="shared" si="104"/>
        <v/>
      </c>
      <c r="X2435" s="22" t="str">
        <f t="shared" si="103"/>
        <v/>
      </c>
      <c r="Y2435" s="25" t="str">
        <f>IF(Table26[[#This Row],[customerSKU]]="","",_xlfn.XLOOKUP(Table26[[#This Row],[customerSKU]],Table27[customer_SKU],Table27[product_GTIN],"",0,1))</f>
        <v/>
      </c>
      <c r="Z2435" s="25"/>
      <c r="AA2435" s="18" t="str" cm="1">
        <f t="array" ref="AA2435">IF(P2435="", "", _xlfn.XLOOKUP(P2435,#REF!,#REF!,NA,0,-1))</f>
        <v/>
      </c>
      <c r="AB2435" s="22"/>
      <c r="AC2435" s="23" t="str">
        <f>IF(Table26[[#This Row],[customerSKU]]="","",_xlfn.XLOOKUP(Table26[[#This Row],[customerSKU]],customerSKU!G:G,customerSKU!C:C,"",0,1))</f>
        <v/>
      </c>
      <c r="AD2435" s="23" t="str">
        <f>IF($AC2435="","",_xlfn.XLOOKUP($AC2435,'Client Info'!$C$2:$C$2497,'Client Info'!$D$2:$D$2497,"",0,1))</f>
        <v/>
      </c>
      <c r="AE2435" s="23" t="str">
        <f>IF($AC2435="","",_xlfn.XLOOKUP($AC2435,'Client Info'!$C$2:$C$2677,'Client Info'!$E$2:$E$2677,"",))</f>
        <v/>
      </c>
      <c r="AF2435" s="23" t="str">
        <f>IF($AC2435="","",_xlfn.XLOOKUP($AC2435,'Client Info'!$C$2:$C$2677,'Client Info'!$F$2:$F$2677,"",0,1))</f>
        <v/>
      </c>
      <c r="AG2435" s="23" t="str">
        <f>IF(ISBLANK(Table26[[#This Row],[customerSKU]]),"",_xlfn.XLOOKUP(Table26[[#This Row],[customerSKU]],Table27[customer_SKU],Table27[billto],"",0,1))</f>
        <v/>
      </c>
      <c r="AH2435" s="26" t="str">
        <f>_xlfn.XLOOKUP(Table26[[#This Row],[customerSKU]],customerSKU!G:G,customerSKU!K:K,"NA",0,1)</f>
        <v>NA</v>
      </c>
      <c r="AI2435" s="43" t="str">
        <f>_xlfn.XLOOKUP(Table26[[#This Row],[customerSKU]],customerSKU!G:G,customerSKU!O:O,"not found",0,1)</f>
        <v>not found</v>
      </c>
      <c r="AJ2435" s="22" t="e">
        <f>Table26[[#This Row],[unitprice]]*Table26[[#This Row],[quantity_unit]]</f>
        <v>#VALUE!</v>
      </c>
      <c r="AK2435" s="227" t="e" cm="1">
        <f t="array" ref="AK24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5" s="227"/>
    </row>
    <row r="2436" spans="1:38" ht="15.6">
      <c r="A2436" s="42">
        <v>2434</v>
      </c>
      <c r="B2436" s="42"/>
      <c r="C2436" s="53"/>
      <c r="E2436" s="20"/>
      <c r="F24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6" s="93"/>
      <c r="J2436" s="90" t="str">
        <f>IF(Table26[[#This Row],[customerSKU]]="","",_xlfn.XLOOKUP(Table26[[#This Row],[customerSKU]],customerSKU!G:G,customerSKU!A:A,"",0,1))</f>
        <v/>
      </c>
      <c r="K2436" s="19"/>
      <c r="L2436" s="49" t="str">
        <f>IF(Table26[[#This Row],[customerSKU]]="","",_xlfn.XLOOKUP(Table26[[#This Row],[customerSKU]],customerSKU!G:G,customerSKU!B:B,"",0,1))</f>
        <v/>
      </c>
      <c r="M2436" s="22"/>
      <c r="N2436" s="15" t="str">
        <f>Table26[[#This Row],[po_number]]&amp;"-"&amp;Table26[[#This Row],[po_line]]</f>
        <v>-</v>
      </c>
      <c r="O2436" s="15"/>
      <c r="P2436" s="50"/>
      <c r="S2436" s="90" t="str">
        <f>IF(Table26[[#This Row],[customerSKU]]="","",_xlfn.XLOOKUP(Table26[[#This Row],[customerSKU]],customerSKU!G:G,customerSKU!N:N,"NOT FOUND",0,1))</f>
        <v/>
      </c>
      <c r="T2436" s="20"/>
      <c r="U2436" s="94"/>
      <c r="V2436" s="22" t="str">
        <f>IF(ISBLANK(Table26[[#This Row],[customerSKU]]),"",_xlfn.XLOOKUP(Table26[[#This Row],[customerSKU]],Table27[customer_SKU],Table27[case_size],"",0,1))</f>
        <v/>
      </c>
      <c r="W2436" s="117" t="str">
        <f t="shared" si="104"/>
        <v/>
      </c>
      <c r="X2436" s="22" t="str">
        <f t="shared" si="103"/>
        <v/>
      </c>
      <c r="Y2436" s="25" t="str">
        <f>IF(Table26[[#This Row],[customerSKU]]="","",_xlfn.XLOOKUP(Table26[[#This Row],[customerSKU]],Table27[customer_SKU],Table27[product_GTIN],"",0,1))</f>
        <v/>
      </c>
      <c r="Z2436" s="25"/>
      <c r="AA2436" s="18" t="str" cm="1">
        <f t="array" ref="AA2436">IF(P2436="", "", _xlfn.XLOOKUP(P2436,#REF!,#REF!,NA,0,-1))</f>
        <v/>
      </c>
      <c r="AB2436" s="22"/>
      <c r="AC2436" s="23" t="str">
        <f>IF(Table26[[#This Row],[customerSKU]]="","",_xlfn.XLOOKUP(Table26[[#This Row],[customerSKU]],customerSKU!G:G,customerSKU!C:C,"",0,1))</f>
        <v/>
      </c>
      <c r="AD2436" s="23" t="str">
        <f>IF($AC2436="","",_xlfn.XLOOKUP($AC2436,'Client Info'!$C$2:$C$2497,'Client Info'!$D$2:$D$2497,"",0,1))</f>
        <v/>
      </c>
      <c r="AE2436" s="23" t="str">
        <f>IF($AC2436="","",_xlfn.XLOOKUP($AC2436,'Client Info'!$C$2:$C$2677,'Client Info'!$E$2:$E$2677,"",))</f>
        <v/>
      </c>
      <c r="AF2436" s="23" t="str">
        <f>IF($AC2436="","",_xlfn.XLOOKUP($AC2436,'Client Info'!$C$2:$C$2677,'Client Info'!$F$2:$F$2677,"",0,1))</f>
        <v/>
      </c>
      <c r="AG2436" s="23" t="str">
        <f>IF(ISBLANK(Table26[[#This Row],[customerSKU]]),"",_xlfn.XLOOKUP(Table26[[#This Row],[customerSKU]],Table27[customer_SKU],Table27[billto],"",0,1))</f>
        <v/>
      </c>
      <c r="AH2436" s="26" t="str">
        <f>_xlfn.XLOOKUP(Table26[[#This Row],[customerSKU]],customerSKU!G:G,customerSKU!K:K,"NA",0,1)</f>
        <v>NA</v>
      </c>
      <c r="AI2436" s="43" t="str">
        <f>_xlfn.XLOOKUP(Table26[[#This Row],[customerSKU]],customerSKU!G:G,customerSKU!O:O,"not found",0,1)</f>
        <v>not found</v>
      </c>
      <c r="AJ2436" s="22" t="e">
        <f>Table26[[#This Row],[unitprice]]*Table26[[#This Row],[quantity_unit]]</f>
        <v>#VALUE!</v>
      </c>
      <c r="AK2436" s="227" t="e" cm="1">
        <f t="array" ref="AK24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6" s="227"/>
    </row>
    <row r="2437" spans="1:38" ht="15.6">
      <c r="A2437" s="42">
        <v>2435</v>
      </c>
      <c r="B2437" s="42"/>
      <c r="C2437" s="53"/>
      <c r="E2437" s="20"/>
      <c r="F24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7" s="93"/>
      <c r="J2437" s="90" t="str">
        <f>IF(Table26[[#This Row],[customerSKU]]="","",_xlfn.XLOOKUP(Table26[[#This Row],[customerSKU]],customerSKU!G:G,customerSKU!A:A,"",0,1))</f>
        <v/>
      </c>
      <c r="K2437" s="19"/>
      <c r="L2437" s="49" t="str">
        <f>IF(Table26[[#This Row],[customerSKU]]="","",_xlfn.XLOOKUP(Table26[[#This Row],[customerSKU]],customerSKU!G:G,customerSKU!B:B,"",0,1))</f>
        <v/>
      </c>
      <c r="M2437" s="22"/>
      <c r="N2437" s="15" t="str">
        <f>Table26[[#This Row],[po_number]]&amp;"-"&amp;Table26[[#This Row],[po_line]]</f>
        <v>-</v>
      </c>
      <c r="O2437" s="15"/>
      <c r="P2437" s="50"/>
      <c r="S2437" s="90" t="str">
        <f>IF(Table26[[#This Row],[customerSKU]]="","",_xlfn.XLOOKUP(Table26[[#This Row],[customerSKU]],customerSKU!G:G,customerSKU!N:N,"NOT FOUND",0,1))</f>
        <v/>
      </c>
      <c r="T2437" s="20"/>
      <c r="U2437" s="94"/>
      <c r="V2437" s="22" t="str">
        <f>IF(ISBLANK(Table26[[#This Row],[customerSKU]]),"",_xlfn.XLOOKUP(Table26[[#This Row],[customerSKU]],Table27[customer_SKU],Table27[case_size],"",0,1))</f>
        <v/>
      </c>
      <c r="W2437" s="117" t="str">
        <f t="shared" si="104"/>
        <v/>
      </c>
      <c r="X2437" s="22" t="str">
        <f t="shared" si="103"/>
        <v/>
      </c>
      <c r="Y2437" s="25" t="str">
        <f>IF(Table26[[#This Row],[customerSKU]]="","",_xlfn.XLOOKUP(Table26[[#This Row],[customerSKU]],Table27[customer_SKU],Table27[product_GTIN],"",0,1))</f>
        <v/>
      </c>
      <c r="Z2437" s="25"/>
      <c r="AA2437" s="18" t="str" cm="1">
        <f t="array" ref="AA2437">IF(P2437="", "", _xlfn.XLOOKUP(P2437,#REF!,#REF!,NA,0,-1))</f>
        <v/>
      </c>
      <c r="AB2437" s="22"/>
      <c r="AC2437" s="23" t="str">
        <f>IF(Table26[[#This Row],[customerSKU]]="","",_xlfn.XLOOKUP(Table26[[#This Row],[customerSKU]],customerSKU!G:G,customerSKU!C:C,"",0,1))</f>
        <v/>
      </c>
      <c r="AD2437" s="23" t="str">
        <f>IF($AC2437="","",_xlfn.XLOOKUP($AC2437,'Client Info'!$C$2:$C$2497,'Client Info'!$D$2:$D$2497,"",0,1))</f>
        <v/>
      </c>
      <c r="AE2437" s="23" t="str">
        <f>IF($AC2437="","",_xlfn.XLOOKUP($AC2437,'Client Info'!$C$2:$C$2677,'Client Info'!$E$2:$E$2677,"",))</f>
        <v/>
      </c>
      <c r="AF2437" s="23" t="str">
        <f>IF($AC2437="","",_xlfn.XLOOKUP($AC2437,'Client Info'!$C$2:$C$2677,'Client Info'!$F$2:$F$2677,"",0,1))</f>
        <v/>
      </c>
      <c r="AG2437" s="23" t="str">
        <f>IF(ISBLANK(Table26[[#This Row],[customerSKU]]),"",_xlfn.XLOOKUP(Table26[[#This Row],[customerSKU]],Table27[customer_SKU],Table27[billto],"",0,1))</f>
        <v/>
      </c>
      <c r="AH2437" s="26" t="str">
        <f>_xlfn.XLOOKUP(Table26[[#This Row],[customerSKU]],customerSKU!G:G,customerSKU!K:K,"NA",0,1)</f>
        <v>NA</v>
      </c>
      <c r="AI2437" s="43" t="str">
        <f>_xlfn.XLOOKUP(Table26[[#This Row],[customerSKU]],customerSKU!G:G,customerSKU!O:O,"not found",0,1)</f>
        <v>not found</v>
      </c>
      <c r="AJ2437" s="22" t="e">
        <f>Table26[[#This Row],[unitprice]]*Table26[[#This Row],[quantity_unit]]</f>
        <v>#VALUE!</v>
      </c>
      <c r="AK2437" s="227" t="e" cm="1">
        <f t="array" ref="AK24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7" s="227"/>
    </row>
    <row r="2438" spans="1:38" ht="15.6">
      <c r="A2438" s="42">
        <v>2436</v>
      </c>
      <c r="B2438" s="42"/>
      <c r="C2438" s="53"/>
      <c r="E2438" s="20"/>
      <c r="F24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8" s="93"/>
      <c r="J2438" s="90" t="str">
        <f>IF(Table26[[#This Row],[customerSKU]]="","",_xlfn.XLOOKUP(Table26[[#This Row],[customerSKU]],customerSKU!G:G,customerSKU!A:A,"",0,1))</f>
        <v/>
      </c>
      <c r="K2438" s="19"/>
      <c r="L2438" s="49" t="str">
        <f>IF(Table26[[#This Row],[customerSKU]]="","",_xlfn.XLOOKUP(Table26[[#This Row],[customerSKU]],customerSKU!G:G,customerSKU!B:B,"",0,1))</f>
        <v/>
      </c>
      <c r="M2438" s="22"/>
      <c r="N2438" s="15" t="str">
        <f>Table26[[#This Row],[po_number]]&amp;"-"&amp;Table26[[#This Row],[po_line]]</f>
        <v>-</v>
      </c>
      <c r="O2438" s="15"/>
      <c r="P2438" s="50"/>
      <c r="S2438" s="90" t="str">
        <f>IF(Table26[[#This Row],[customerSKU]]="","",_xlfn.XLOOKUP(Table26[[#This Row],[customerSKU]],customerSKU!G:G,customerSKU!N:N,"NOT FOUND",0,1))</f>
        <v/>
      </c>
      <c r="T2438" s="20"/>
      <c r="U2438" s="94"/>
      <c r="V2438" s="22" t="str">
        <f>IF(ISBLANK(Table26[[#This Row],[customerSKU]]),"",_xlfn.XLOOKUP(Table26[[#This Row],[customerSKU]],Table27[customer_SKU],Table27[case_size],"",0,1))</f>
        <v/>
      </c>
      <c r="W2438" s="117" t="str">
        <f t="shared" si="104"/>
        <v/>
      </c>
      <c r="X2438" s="22" t="str">
        <f t="shared" si="103"/>
        <v/>
      </c>
      <c r="Y2438" s="25" t="str">
        <f>IF(Table26[[#This Row],[customerSKU]]="","",_xlfn.XLOOKUP(Table26[[#This Row],[customerSKU]],Table27[customer_SKU],Table27[product_GTIN],"",0,1))</f>
        <v/>
      </c>
      <c r="Z2438" s="25"/>
      <c r="AA2438" s="18" t="str" cm="1">
        <f t="array" ref="AA2438">IF(P2438="", "", _xlfn.XLOOKUP(P2438,#REF!,#REF!,NA,0,-1))</f>
        <v/>
      </c>
      <c r="AB2438" s="22"/>
      <c r="AC2438" s="23" t="str">
        <f>IF(Table26[[#This Row],[customerSKU]]="","",_xlfn.XLOOKUP(Table26[[#This Row],[customerSKU]],customerSKU!G:G,customerSKU!C:C,"",0,1))</f>
        <v/>
      </c>
      <c r="AD2438" s="23" t="str">
        <f>IF($AC2438="","",_xlfn.XLOOKUP($AC2438,'Client Info'!$C$2:$C$2497,'Client Info'!$D$2:$D$2497,"",0,1))</f>
        <v/>
      </c>
      <c r="AE2438" s="23" t="str">
        <f>IF($AC2438="","",_xlfn.XLOOKUP($AC2438,'Client Info'!$C$2:$C$2677,'Client Info'!$E$2:$E$2677,"",))</f>
        <v/>
      </c>
      <c r="AF2438" s="23" t="str">
        <f>IF($AC2438="","",_xlfn.XLOOKUP($AC2438,'Client Info'!$C$2:$C$2677,'Client Info'!$F$2:$F$2677,"",0,1))</f>
        <v/>
      </c>
      <c r="AG2438" s="23" t="str">
        <f>IF(ISBLANK(Table26[[#This Row],[customerSKU]]),"",_xlfn.XLOOKUP(Table26[[#This Row],[customerSKU]],Table27[customer_SKU],Table27[billto],"",0,1))</f>
        <v/>
      </c>
      <c r="AH2438" s="26" t="str">
        <f>_xlfn.XLOOKUP(Table26[[#This Row],[customerSKU]],customerSKU!G:G,customerSKU!K:K,"NA",0,1)</f>
        <v>NA</v>
      </c>
      <c r="AI2438" s="43" t="str">
        <f>_xlfn.XLOOKUP(Table26[[#This Row],[customerSKU]],customerSKU!G:G,customerSKU!O:O,"not found",0,1)</f>
        <v>not found</v>
      </c>
      <c r="AJ2438" s="22" t="e">
        <f>Table26[[#This Row],[unitprice]]*Table26[[#This Row],[quantity_unit]]</f>
        <v>#VALUE!</v>
      </c>
      <c r="AK2438" s="227" t="e" cm="1">
        <f t="array" ref="AK24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8" s="227"/>
    </row>
    <row r="2439" spans="1:38" ht="15.6">
      <c r="A2439" s="42">
        <v>2437</v>
      </c>
      <c r="B2439" s="42"/>
      <c r="C2439" s="53"/>
      <c r="E2439" s="20"/>
      <c r="F24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39" s="93"/>
      <c r="J2439" s="90" t="str">
        <f>IF(Table26[[#This Row],[customerSKU]]="","",_xlfn.XLOOKUP(Table26[[#This Row],[customerSKU]],customerSKU!G:G,customerSKU!A:A,"",0,1))</f>
        <v/>
      </c>
      <c r="K2439" s="19"/>
      <c r="L2439" s="49" t="str">
        <f>IF(Table26[[#This Row],[customerSKU]]="","",_xlfn.XLOOKUP(Table26[[#This Row],[customerSKU]],customerSKU!G:G,customerSKU!B:B,"",0,1))</f>
        <v/>
      </c>
      <c r="M2439" s="22"/>
      <c r="N2439" s="15" t="str">
        <f>Table26[[#This Row],[po_number]]&amp;"-"&amp;Table26[[#This Row],[po_line]]</f>
        <v>-</v>
      </c>
      <c r="O2439" s="15"/>
      <c r="P2439" s="50"/>
      <c r="S2439" s="90" t="str">
        <f>IF(Table26[[#This Row],[customerSKU]]="","",_xlfn.XLOOKUP(Table26[[#This Row],[customerSKU]],customerSKU!G:G,customerSKU!N:N,"NOT FOUND",0,1))</f>
        <v/>
      </c>
      <c r="T2439" s="20"/>
      <c r="U2439" s="94"/>
      <c r="V2439" s="22" t="str">
        <f>IF(ISBLANK(Table26[[#This Row],[customerSKU]]),"",_xlfn.XLOOKUP(Table26[[#This Row],[customerSKU]],Table27[customer_SKU],Table27[case_size],"",0,1))</f>
        <v/>
      </c>
      <c r="W2439" s="117" t="str">
        <f t="shared" si="104"/>
        <v/>
      </c>
      <c r="X2439" s="22" t="str">
        <f t="shared" si="103"/>
        <v/>
      </c>
      <c r="Y2439" s="25" t="str">
        <f>IF(Table26[[#This Row],[customerSKU]]="","",_xlfn.XLOOKUP(Table26[[#This Row],[customerSKU]],Table27[customer_SKU],Table27[product_GTIN],"",0,1))</f>
        <v/>
      </c>
      <c r="Z2439" s="25"/>
      <c r="AA2439" s="18" t="str" cm="1">
        <f t="array" ref="AA2439">IF(P2439="", "", _xlfn.XLOOKUP(P2439,#REF!,#REF!,NA,0,-1))</f>
        <v/>
      </c>
      <c r="AB2439" s="22"/>
      <c r="AC2439" s="23" t="str">
        <f>IF(Table26[[#This Row],[customerSKU]]="","",_xlfn.XLOOKUP(Table26[[#This Row],[customerSKU]],customerSKU!G:G,customerSKU!C:C,"",0,1))</f>
        <v/>
      </c>
      <c r="AD2439" s="23" t="str">
        <f>IF($AC2439="","",_xlfn.XLOOKUP($AC2439,'Client Info'!$C$2:$C$2497,'Client Info'!$D$2:$D$2497,"",0,1))</f>
        <v/>
      </c>
      <c r="AE2439" s="23" t="str">
        <f>IF($AC2439="","",_xlfn.XLOOKUP($AC2439,'Client Info'!$C$2:$C$2677,'Client Info'!$E$2:$E$2677,"",))</f>
        <v/>
      </c>
      <c r="AF2439" s="23" t="str">
        <f>IF($AC2439="","",_xlfn.XLOOKUP($AC2439,'Client Info'!$C$2:$C$2677,'Client Info'!$F$2:$F$2677,"",0,1))</f>
        <v/>
      </c>
      <c r="AG2439" s="23" t="str">
        <f>IF(ISBLANK(Table26[[#This Row],[customerSKU]]),"",_xlfn.XLOOKUP(Table26[[#This Row],[customerSKU]],Table27[customer_SKU],Table27[billto],"",0,1))</f>
        <v/>
      </c>
      <c r="AH2439" s="26" t="str">
        <f>_xlfn.XLOOKUP(Table26[[#This Row],[customerSKU]],customerSKU!G:G,customerSKU!K:K,"NA",0,1)</f>
        <v>NA</v>
      </c>
      <c r="AI2439" s="43" t="str">
        <f>_xlfn.XLOOKUP(Table26[[#This Row],[customerSKU]],customerSKU!G:G,customerSKU!O:O,"not found",0,1)</f>
        <v>not found</v>
      </c>
      <c r="AJ2439" s="22" t="e">
        <f>Table26[[#This Row],[unitprice]]*Table26[[#This Row],[quantity_unit]]</f>
        <v>#VALUE!</v>
      </c>
      <c r="AK2439" s="227" t="e" cm="1">
        <f t="array" ref="AK24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39" s="227"/>
    </row>
    <row r="2440" spans="1:38" ht="15.6">
      <c r="A2440" s="42">
        <v>2438</v>
      </c>
      <c r="B2440" s="42"/>
      <c r="C2440" s="53"/>
      <c r="E2440" s="20"/>
      <c r="F24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0" s="93"/>
      <c r="J2440" s="90" t="str">
        <f>IF(Table26[[#This Row],[customerSKU]]="","",_xlfn.XLOOKUP(Table26[[#This Row],[customerSKU]],customerSKU!G:G,customerSKU!A:A,"",0,1))</f>
        <v/>
      </c>
      <c r="K2440" s="19"/>
      <c r="L2440" s="49" t="str">
        <f>IF(Table26[[#This Row],[customerSKU]]="","",_xlfn.XLOOKUP(Table26[[#This Row],[customerSKU]],customerSKU!G:G,customerSKU!B:B,"",0,1))</f>
        <v/>
      </c>
      <c r="M2440" s="22"/>
      <c r="N2440" s="15" t="str">
        <f>Table26[[#This Row],[po_number]]&amp;"-"&amp;Table26[[#This Row],[po_line]]</f>
        <v>-</v>
      </c>
      <c r="O2440" s="15"/>
      <c r="P2440" s="50"/>
      <c r="S2440" s="90" t="str">
        <f>IF(Table26[[#This Row],[customerSKU]]="","",_xlfn.XLOOKUP(Table26[[#This Row],[customerSKU]],customerSKU!G:G,customerSKU!N:N,"NOT FOUND",0,1))</f>
        <v/>
      </c>
      <c r="T2440" s="20"/>
      <c r="U2440" s="94"/>
      <c r="V2440" s="22" t="str">
        <f>IF(ISBLANK(Table26[[#This Row],[customerSKU]]),"",_xlfn.XLOOKUP(Table26[[#This Row],[customerSKU]],Table27[customer_SKU],Table27[case_size],"",0,1))</f>
        <v/>
      </c>
      <c r="W2440" s="117" t="str">
        <f t="shared" si="104"/>
        <v/>
      </c>
      <c r="X2440" s="22" t="str">
        <f t="shared" si="103"/>
        <v/>
      </c>
      <c r="Y2440" s="25" t="str">
        <f>IF(Table26[[#This Row],[customerSKU]]="","",_xlfn.XLOOKUP(Table26[[#This Row],[customerSKU]],Table27[customer_SKU],Table27[product_GTIN],"",0,1))</f>
        <v/>
      </c>
      <c r="Z2440" s="25"/>
      <c r="AA2440" s="18" t="str" cm="1">
        <f t="array" ref="AA2440">IF(P2440="", "", _xlfn.XLOOKUP(P2440,#REF!,#REF!,NA,0,-1))</f>
        <v/>
      </c>
      <c r="AB2440" s="22"/>
      <c r="AC2440" s="23" t="str">
        <f>IF(Table26[[#This Row],[customerSKU]]="","",_xlfn.XLOOKUP(Table26[[#This Row],[customerSKU]],customerSKU!G:G,customerSKU!C:C,"",0,1))</f>
        <v/>
      </c>
      <c r="AD2440" s="23" t="str">
        <f>IF($AC2440="","",_xlfn.XLOOKUP($AC2440,'Client Info'!$C$2:$C$2497,'Client Info'!$D$2:$D$2497,"",0,1))</f>
        <v/>
      </c>
      <c r="AE2440" s="23" t="str">
        <f>IF($AC2440="","",_xlfn.XLOOKUP($AC2440,'Client Info'!$C$2:$C$2677,'Client Info'!$E$2:$E$2677,"",))</f>
        <v/>
      </c>
      <c r="AF2440" s="23" t="str">
        <f>IF($AC2440="","",_xlfn.XLOOKUP($AC2440,'Client Info'!$C$2:$C$2677,'Client Info'!$F$2:$F$2677,"",0,1))</f>
        <v/>
      </c>
      <c r="AG2440" s="23" t="str">
        <f>IF(ISBLANK(Table26[[#This Row],[customerSKU]]),"",_xlfn.XLOOKUP(Table26[[#This Row],[customerSKU]],Table27[customer_SKU],Table27[billto],"",0,1))</f>
        <v/>
      </c>
      <c r="AH2440" s="26" t="str">
        <f>_xlfn.XLOOKUP(Table26[[#This Row],[customerSKU]],customerSKU!G:G,customerSKU!K:K,"NA",0,1)</f>
        <v>NA</v>
      </c>
      <c r="AI2440" s="43" t="str">
        <f>_xlfn.XLOOKUP(Table26[[#This Row],[customerSKU]],customerSKU!G:G,customerSKU!O:O,"not found",0,1)</f>
        <v>not found</v>
      </c>
      <c r="AJ2440" s="22" t="e">
        <f>Table26[[#This Row],[unitprice]]*Table26[[#This Row],[quantity_unit]]</f>
        <v>#VALUE!</v>
      </c>
      <c r="AK2440" s="227" t="e" cm="1">
        <f t="array" ref="AK24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0" s="227"/>
    </row>
    <row r="2441" spans="1:38" ht="15.6">
      <c r="A2441" s="42">
        <v>2439</v>
      </c>
      <c r="B2441" s="42"/>
      <c r="C2441" s="53"/>
      <c r="E2441" s="20"/>
      <c r="F24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1" s="93"/>
      <c r="J2441" s="90" t="str">
        <f>IF(Table26[[#This Row],[customerSKU]]="","",_xlfn.XLOOKUP(Table26[[#This Row],[customerSKU]],customerSKU!G:G,customerSKU!A:A,"",0,1))</f>
        <v/>
      </c>
      <c r="K2441" s="19"/>
      <c r="L2441" s="49" t="str">
        <f>IF(Table26[[#This Row],[customerSKU]]="","",_xlfn.XLOOKUP(Table26[[#This Row],[customerSKU]],customerSKU!G:G,customerSKU!B:B,"",0,1))</f>
        <v/>
      </c>
      <c r="M2441" s="22"/>
      <c r="N2441" s="15" t="str">
        <f>Table26[[#This Row],[po_number]]&amp;"-"&amp;Table26[[#This Row],[po_line]]</f>
        <v>-</v>
      </c>
      <c r="O2441" s="15"/>
      <c r="P2441" s="50"/>
      <c r="S2441" s="90" t="str">
        <f>IF(Table26[[#This Row],[customerSKU]]="","",_xlfn.XLOOKUP(Table26[[#This Row],[customerSKU]],customerSKU!G:G,customerSKU!N:N,"NOT FOUND",0,1))</f>
        <v/>
      </c>
      <c r="T2441" s="20"/>
      <c r="U2441" s="94"/>
      <c r="V2441" s="22" t="str">
        <f>IF(ISBLANK(Table26[[#This Row],[customerSKU]]),"",_xlfn.XLOOKUP(Table26[[#This Row],[customerSKU]],Table27[customer_SKU],Table27[case_size],"",0,1))</f>
        <v/>
      </c>
      <c r="W2441" s="117" t="str">
        <f t="shared" si="104"/>
        <v/>
      </c>
      <c r="X2441" s="22" t="str">
        <f t="shared" si="103"/>
        <v/>
      </c>
      <c r="Y2441" s="25" t="str">
        <f>IF(Table26[[#This Row],[customerSKU]]="","",_xlfn.XLOOKUP(Table26[[#This Row],[customerSKU]],Table27[customer_SKU],Table27[product_GTIN],"",0,1))</f>
        <v/>
      </c>
      <c r="Z2441" s="25"/>
      <c r="AA2441" s="18" t="str" cm="1">
        <f t="array" ref="AA2441">IF(P2441="", "", _xlfn.XLOOKUP(P2441,#REF!,#REF!,NA,0,-1))</f>
        <v/>
      </c>
      <c r="AB2441" s="22"/>
      <c r="AC2441" s="23" t="str">
        <f>IF(Table26[[#This Row],[customerSKU]]="","",_xlfn.XLOOKUP(Table26[[#This Row],[customerSKU]],customerSKU!G:G,customerSKU!C:C,"",0,1))</f>
        <v/>
      </c>
      <c r="AD2441" s="23" t="str">
        <f>IF($AC2441="","",_xlfn.XLOOKUP($AC2441,'Client Info'!$C$2:$C$2497,'Client Info'!$D$2:$D$2497,"",0,1))</f>
        <v/>
      </c>
      <c r="AE2441" s="23" t="str">
        <f>IF($AC2441="","",_xlfn.XLOOKUP($AC2441,'Client Info'!$C$2:$C$2677,'Client Info'!$E$2:$E$2677,"",))</f>
        <v/>
      </c>
      <c r="AF2441" s="23" t="str">
        <f>IF($AC2441="","",_xlfn.XLOOKUP($AC2441,'Client Info'!$C$2:$C$2677,'Client Info'!$F$2:$F$2677,"",0,1))</f>
        <v/>
      </c>
      <c r="AG2441" s="23" t="str">
        <f>IF(ISBLANK(Table26[[#This Row],[customerSKU]]),"",_xlfn.XLOOKUP(Table26[[#This Row],[customerSKU]],Table27[customer_SKU],Table27[billto],"",0,1))</f>
        <v/>
      </c>
      <c r="AH2441" s="26" t="str">
        <f>_xlfn.XLOOKUP(Table26[[#This Row],[customerSKU]],customerSKU!G:G,customerSKU!K:K,"NA",0,1)</f>
        <v>NA</v>
      </c>
      <c r="AI2441" s="43" t="str">
        <f>_xlfn.XLOOKUP(Table26[[#This Row],[customerSKU]],customerSKU!G:G,customerSKU!O:O,"not found",0,1)</f>
        <v>not found</v>
      </c>
      <c r="AJ2441" s="22" t="e">
        <f>Table26[[#This Row],[unitprice]]*Table26[[#This Row],[quantity_unit]]</f>
        <v>#VALUE!</v>
      </c>
      <c r="AK2441" s="227" t="e" cm="1">
        <f t="array" ref="AK24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1" s="227"/>
    </row>
    <row r="2442" spans="1:38" ht="15.6">
      <c r="A2442" s="42">
        <v>2440</v>
      </c>
      <c r="B2442" s="42"/>
      <c r="C2442" s="53"/>
      <c r="E2442" s="20"/>
      <c r="F24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2" s="93"/>
      <c r="J2442" s="90" t="str">
        <f>IF(Table26[[#This Row],[customerSKU]]="","",_xlfn.XLOOKUP(Table26[[#This Row],[customerSKU]],customerSKU!G:G,customerSKU!A:A,"",0,1))</f>
        <v/>
      </c>
      <c r="K2442" s="19"/>
      <c r="L2442" s="49" t="str">
        <f>IF(Table26[[#This Row],[customerSKU]]="","",_xlfn.XLOOKUP(Table26[[#This Row],[customerSKU]],customerSKU!G:G,customerSKU!B:B,"",0,1))</f>
        <v/>
      </c>
      <c r="M2442" s="22"/>
      <c r="N2442" s="15" t="str">
        <f>Table26[[#This Row],[po_number]]&amp;"-"&amp;Table26[[#This Row],[po_line]]</f>
        <v>-</v>
      </c>
      <c r="O2442" s="15"/>
      <c r="P2442" s="50"/>
      <c r="S2442" s="90" t="str">
        <f>IF(Table26[[#This Row],[customerSKU]]="","",_xlfn.XLOOKUP(Table26[[#This Row],[customerSKU]],customerSKU!G:G,customerSKU!N:N,"NOT FOUND",0,1))</f>
        <v/>
      </c>
      <c r="T2442" s="20"/>
      <c r="U2442" s="94"/>
      <c r="V2442" s="22" t="str">
        <f>IF(ISBLANK(Table26[[#This Row],[customerSKU]]),"",_xlfn.XLOOKUP(Table26[[#This Row],[customerSKU]],Table27[customer_SKU],Table27[case_size],"",0,1))</f>
        <v/>
      </c>
      <c r="W2442" s="117" t="str">
        <f t="shared" si="104"/>
        <v/>
      </c>
      <c r="X2442" s="22" t="str">
        <f t="shared" si="103"/>
        <v/>
      </c>
      <c r="Y2442" s="25" t="str">
        <f>IF(Table26[[#This Row],[customerSKU]]="","",_xlfn.XLOOKUP(Table26[[#This Row],[customerSKU]],Table27[customer_SKU],Table27[product_GTIN],"",0,1))</f>
        <v/>
      </c>
      <c r="Z2442" s="25"/>
      <c r="AA2442" s="18" t="str" cm="1">
        <f t="array" ref="AA2442">IF(P2442="", "", _xlfn.XLOOKUP(P2442,#REF!,#REF!,NA,0,-1))</f>
        <v/>
      </c>
      <c r="AB2442" s="22"/>
      <c r="AC2442" s="23" t="str">
        <f>IF(Table26[[#This Row],[customerSKU]]="","",_xlfn.XLOOKUP(Table26[[#This Row],[customerSKU]],customerSKU!G:G,customerSKU!C:C,"",0,1))</f>
        <v/>
      </c>
      <c r="AD2442" s="23" t="str">
        <f>IF($AC2442="","",_xlfn.XLOOKUP($AC2442,'Client Info'!$C$2:$C$2497,'Client Info'!$D$2:$D$2497,"",0,1))</f>
        <v/>
      </c>
      <c r="AE2442" s="23" t="str">
        <f>IF($AC2442="","",_xlfn.XLOOKUP($AC2442,'Client Info'!$C$2:$C$2677,'Client Info'!$E$2:$E$2677,"",))</f>
        <v/>
      </c>
      <c r="AF2442" s="23" t="str">
        <f>IF($AC2442="","",_xlfn.XLOOKUP($AC2442,'Client Info'!$C$2:$C$2677,'Client Info'!$F$2:$F$2677,"",0,1))</f>
        <v/>
      </c>
      <c r="AG2442" s="23" t="str">
        <f>IF(ISBLANK(Table26[[#This Row],[customerSKU]]),"",_xlfn.XLOOKUP(Table26[[#This Row],[customerSKU]],Table27[customer_SKU],Table27[billto],"",0,1))</f>
        <v/>
      </c>
      <c r="AH2442" s="26" t="str">
        <f>_xlfn.XLOOKUP(Table26[[#This Row],[customerSKU]],customerSKU!G:G,customerSKU!K:K,"NA",0,1)</f>
        <v>NA</v>
      </c>
      <c r="AI2442" s="43" t="str">
        <f>_xlfn.XLOOKUP(Table26[[#This Row],[customerSKU]],customerSKU!G:G,customerSKU!O:O,"not found",0,1)</f>
        <v>not found</v>
      </c>
      <c r="AJ2442" s="22" t="e">
        <f>Table26[[#This Row],[unitprice]]*Table26[[#This Row],[quantity_unit]]</f>
        <v>#VALUE!</v>
      </c>
      <c r="AK2442" s="227" t="e" cm="1">
        <f t="array" ref="AK24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2" s="227"/>
    </row>
    <row r="2443" spans="1:38" ht="15.6">
      <c r="A2443" s="42">
        <v>2441</v>
      </c>
      <c r="B2443" s="42"/>
      <c r="C2443" s="53"/>
      <c r="E2443" s="20"/>
      <c r="F24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3" s="93"/>
      <c r="J2443" s="90" t="str">
        <f>IF(Table26[[#This Row],[customerSKU]]="","",_xlfn.XLOOKUP(Table26[[#This Row],[customerSKU]],customerSKU!G:G,customerSKU!A:A,"",0,1))</f>
        <v/>
      </c>
      <c r="K2443" s="19"/>
      <c r="L2443" s="49" t="str">
        <f>IF(Table26[[#This Row],[customerSKU]]="","",_xlfn.XLOOKUP(Table26[[#This Row],[customerSKU]],customerSKU!G:G,customerSKU!B:B,"",0,1))</f>
        <v/>
      </c>
      <c r="M2443" s="22"/>
      <c r="N2443" s="15" t="str">
        <f>Table26[[#This Row],[po_number]]&amp;"-"&amp;Table26[[#This Row],[po_line]]</f>
        <v>-</v>
      </c>
      <c r="O2443" s="15"/>
      <c r="P2443" s="50"/>
      <c r="S2443" s="90" t="str">
        <f>IF(Table26[[#This Row],[customerSKU]]="","",_xlfn.XLOOKUP(Table26[[#This Row],[customerSKU]],customerSKU!G:G,customerSKU!N:N,"NOT FOUND",0,1))</f>
        <v/>
      </c>
      <c r="T2443" s="20"/>
      <c r="U2443" s="94"/>
      <c r="V2443" s="22" t="str">
        <f>IF(ISBLANK(Table26[[#This Row],[customerSKU]]),"",_xlfn.XLOOKUP(Table26[[#This Row],[customerSKU]],Table27[customer_SKU],Table27[case_size],"",0,1))</f>
        <v/>
      </c>
      <c r="W2443" s="117" t="str">
        <f t="shared" si="104"/>
        <v/>
      </c>
      <c r="X2443" s="22" t="str">
        <f t="shared" si="103"/>
        <v/>
      </c>
      <c r="Y2443" s="25" t="str">
        <f>IF(Table26[[#This Row],[customerSKU]]="","",_xlfn.XLOOKUP(Table26[[#This Row],[customerSKU]],Table27[customer_SKU],Table27[product_GTIN],"",0,1))</f>
        <v/>
      </c>
      <c r="Z2443" s="25"/>
      <c r="AA2443" s="18" t="str" cm="1">
        <f t="array" ref="AA2443">IF(P2443="", "", _xlfn.XLOOKUP(P2443,#REF!,#REF!,NA,0,-1))</f>
        <v/>
      </c>
      <c r="AB2443" s="22"/>
      <c r="AC2443" s="23" t="str">
        <f>IF(Table26[[#This Row],[customerSKU]]="","",_xlfn.XLOOKUP(Table26[[#This Row],[customerSKU]],customerSKU!G:G,customerSKU!C:C,"",0,1))</f>
        <v/>
      </c>
      <c r="AD2443" s="23" t="str">
        <f>IF($AC2443="","",_xlfn.XLOOKUP($AC2443,'Client Info'!$C$2:$C$2497,'Client Info'!$D$2:$D$2497,"",0,1))</f>
        <v/>
      </c>
      <c r="AE2443" s="23" t="str">
        <f>IF($AC2443="","",_xlfn.XLOOKUP($AC2443,'Client Info'!$C$2:$C$2677,'Client Info'!$E$2:$E$2677,"",))</f>
        <v/>
      </c>
      <c r="AF2443" s="23" t="str">
        <f>IF($AC2443="","",_xlfn.XLOOKUP($AC2443,'Client Info'!$C$2:$C$2677,'Client Info'!$F$2:$F$2677,"",0,1))</f>
        <v/>
      </c>
      <c r="AG2443" s="23" t="str">
        <f>IF(ISBLANK(Table26[[#This Row],[customerSKU]]),"",_xlfn.XLOOKUP(Table26[[#This Row],[customerSKU]],Table27[customer_SKU],Table27[billto],"",0,1))</f>
        <v/>
      </c>
      <c r="AH2443" s="26" t="str">
        <f>_xlfn.XLOOKUP(Table26[[#This Row],[customerSKU]],customerSKU!G:G,customerSKU!K:K,"NA",0,1)</f>
        <v>NA</v>
      </c>
      <c r="AI2443" s="43" t="str">
        <f>_xlfn.XLOOKUP(Table26[[#This Row],[customerSKU]],customerSKU!G:G,customerSKU!O:O,"not found",0,1)</f>
        <v>not found</v>
      </c>
      <c r="AJ2443" s="22" t="e">
        <f>Table26[[#This Row],[unitprice]]*Table26[[#This Row],[quantity_unit]]</f>
        <v>#VALUE!</v>
      </c>
      <c r="AK2443" s="227" t="e" cm="1">
        <f t="array" ref="AK24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3" s="227"/>
    </row>
    <row r="2444" spans="1:38" ht="15.6">
      <c r="A2444" s="42">
        <v>2442</v>
      </c>
      <c r="B2444" s="42"/>
      <c r="C2444" s="53"/>
      <c r="E2444" s="20"/>
      <c r="F24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4" s="93"/>
      <c r="J2444" s="90" t="str">
        <f>IF(Table26[[#This Row],[customerSKU]]="","",_xlfn.XLOOKUP(Table26[[#This Row],[customerSKU]],customerSKU!G:G,customerSKU!A:A,"",0,1))</f>
        <v/>
      </c>
      <c r="K2444" s="19"/>
      <c r="L2444" s="49" t="str">
        <f>IF(Table26[[#This Row],[customerSKU]]="","",_xlfn.XLOOKUP(Table26[[#This Row],[customerSKU]],customerSKU!G:G,customerSKU!B:B,"",0,1))</f>
        <v/>
      </c>
      <c r="M2444" s="22"/>
      <c r="N2444" s="15" t="str">
        <f>Table26[[#This Row],[po_number]]&amp;"-"&amp;Table26[[#This Row],[po_line]]</f>
        <v>-</v>
      </c>
      <c r="O2444" s="15"/>
      <c r="P2444" s="50"/>
      <c r="S2444" s="90" t="str">
        <f>IF(Table26[[#This Row],[customerSKU]]="","",_xlfn.XLOOKUP(Table26[[#This Row],[customerSKU]],customerSKU!G:G,customerSKU!N:N,"NOT FOUND",0,1))</f>
        <v/>
      </c>
      <c r="T2444" s="20"/>
      <c r="U2444" s="94"/>
      <c r="V2444" s="22" t="str">
        <f>IF(ISBLANK(Table26[[#This Row],[customerSKU]]),"",_xlfn.XLOOKUP(Table26[[#This Row],[customerSKU]],Table27[customer_SKU],Table27[case_size],"",0,1))</f>
        <v/>
      </c>
      <c r="W2444" s="117" t="str">
        <f t="shared" si="104"/>
        <v/>
      </c>
      <c r="X2444" s="22" t="str">
        <f t="shared" si="103"/>
        <v/>
      </c>
      <c r="Y2444" s="25" t="str">
        <f>IF(Table26[[#This Row],[customerSKU]]="","",_xlfn.XLOOKUP(Table26[[#This Row],[customerSKU]],Table27[customer_SKU],Table27[product_GTIN],"",0,1))</f>
        <v/>
      </c>
      <c r="Z2444" s="25"/>
      <c r="AA2444" s="18" t="str" cm="1">
        <f t="array" ref="AA2444">IF(P2444="", "", _xlfn.XLOOKUP(P2444,#REF!,#REF!,NA,0,-1))</f>
        <v/>
      </c>
      <c r="AB2444" s="22"/>
      <c r="AC2444" s="23" t="str">
        <f>IF(Table26[[#This Row],[customerSKU]]="","",_xlfn.XLOOKUP(Table26[[#This Row],[customerSKU]],customerSKU!G:G,customerSKU!C:C,"",0,1))</f>
        <v/>
      </c>
      <c r="AD2444" s="23" t="str">
        <f>IF($AC2444="","",_xlfn.XLOOKUP($AC2444,'Client Info'!$C$2:$C$2497,'Client Info'!$D$2:$D$2497,"",0,1))</f>
        <v/>
      </c>
      <c r="AE2444" s="23" t="str">
        <f>IF($AC2444="","",_xlfn.XLOOKUP($AC2444,'Client Info'!$C$2:$C$2677,'Client Info'!$E$2:$E$2677,"",))</f>
        <v/>
      </c>
      <c r="AF2444" s="23" t="str">
        <f>IF($AC2444="","",_xlfn.XLOOKUP($AC2444,'Client Info'!$C$2:$C$2677,'Client Info'!$F$2:$F$2677,"",0,1))</f>
        <v/>
      </c>
      <c r="AG2444" s="23" t="str">
        <f>IF(ISBLANK(Table26[[#This Row],[customerSKU]]),"",_xlfn.XLOOKUP(Table26[[#This Row],[customerSKU]],Table27[customer_SKU],Table27[billto],"",0,1))</f>
        <v/>
      </c>
      <c r="AH2444" s="26" t="str">
        <f>_xlfn.XLOOKUP(Table26[[#This Row],[customerSKU]],customerSKU!G:G,customerSKU!K:K,"NA",0,1)</f>
        <v>NA</v>
      </c>
      <c r="AI2444" s="43" t="str">
        <f>_xlfn.XLOOKUP(Table26[[#This Row],[customerSKU]],customerSKU!G:G,customerSKU!O:O,"not found",0,1)</f>
        <v>not found</v>
      </c>
      <c r="AJ2444" s="22" t="e">
        <f>Table26[[#This Row],[unitprice]]*Table26[[#This Row],[quantity_unit]]</f>
        <v>#VALUE!</v>
      </c>
      <c r="AK2444" s="227" t="e" cm="1">
        <f t="array" ref="AK24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4" s="227"/>
    </row>
    <row r="2445" spans="1:38" ht="15.6">
      <c r="A2445" s="42">
        <v>2443</v>
      </c>
      <c r="B2445" s="42"/>
      <c r="C2445" s="53"/>
      <c r="E2445" s="20"/>
      <c r="F24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5" s="93"/>
      <c r="J2445" s="90" t="str">
        <f>IF(Table26[[#This Row],[customerSKU]]="","",_xlfn.XLOOKUP(Table26[[#This Row],[customerSKU]],customerSKU!G:G,customerSKU!A:A,"",0,1))</f>
        <v/>
      </c>
      <c r="K2445" s="19"/>
      <c r="L2445" s="49" t="str">
        <f>IF(Table26[[#This Row],[customerSKU]]="","",_xlfn.XLOOKUP(Table26[[#This Row],[customerSKU]],customerSKU!G:G,customerSKU!B:B,"",0,1))</f>
        <v/>
      </c>
      <c r="M2445" s="22"/>
      <c r="N2445" s="15" t="str">
        <f>Table26[[#This Row],[po_number]]&amp;"-"&amp;Table26[[#This Row],[po_line]]</f>
        <v>-</v>
      </c>
      <c r="O2445" s="15"/>
      <c r="P2445" s="50"/>
      <c r="S2445" s="90" t="str">
        <f>IF(Table26[[#This Row],[customerSKU]]="","",_xlfn.XLOOKUP(Table26[[#This Row],[customerSKU]],customerSKU!G:G,customerSKU!N:N,"NOT FOUND",0,1))</f>
        <v/>
      </c>
      <c r="T2445" s="20"/>
      <c r="U2445" s="94"/>
      <c r="V2445" s="22" t="str">
        <f>IF(ISBLANK(Table26[[#This Row],[customerSKU]]),"",_xlfn.XLOOKUP(Table26[[#This Row],[customerSKU]],Table27[customer_SKU],Table27[case_size],"",0,1))</f>
        <v/>
      </c>
      <c r="W2445" s="117" t="str">
        <f t="shared" si="104"/>
        <v/>
      </c>
      <c r="X2445" s="22" t="str">
        <f t="shared" si="103"/>
        <v/>
      </c>
      <c r="Y2445" s="25" t="str">
        <f>IF(Table26[[#This Row],[customerSKU]]="","",_xlfn.XLOOKUP(Table26[[#This Row],[customerSKU]],Table27[customer_SKU],Table27[product_GTIN],"",0,1))</f>
        <v/>
      </c>
      <c r="Z2445" s="25"/>
      <c r="AA2445" s="18" t="str" cm="1">
        <f t="array" ref="AA2445">IF(P2445="", "", _xlfn.XLOOKUP(P2445,#REF!,#REF!,NA,0,-1))</f>
        <v/>
      </c>
      <c r="AB2445" s="22"/>
      <c r="AC2445" s="23" t="str">
        <f>IF(Table26[[#This Row],[customerSKU]]="","",_xlfn.XLOOKUP(Table26[[#This Row],[customerSKU]],customerSKU!G:G,customerSKU!C:C,"",0,1))</f>
        <v/>
      </c>
      <c r="AD2445" s="23" t="str">
        <f>IF($AC2445="","",_xlfn.XLOOKUP($AC2445,'Client Info'!$C$2:$C$2497,'Client Info'!$D$2:$D$2497,"",0,1))</f>
        <v/>
      </c>
      <c r="AE2445" s="23" t="str">
        <f>IF($AC2445="","",_xlfn.XLOOKUP($AC2445,'Client Info'!$C$2:$C$2677,'Client Info'!$E$2:$E$2677,"",))</f>
        <v/>
      </c>
      <c r="AF2445" s="23" t="str">
        <f>IF($AC2445="","",_xlfn.XLOOKUP($AC2445,'Client Info'!$C$2:$C$2677,'Client Info'!$F$2:$F$2677,"",0,1))</f>
        <v/>
      </c>
      <c r="AG2445" s="23" t="str">
        <f>IF(ISBLANK(Table26[[#This Row],[customerSKU]]),"",_xlfn.XLOOKUP(Table26[[#This Row],[customerSKU]],Table27[customer_SKU],Table27[billto],"",0,1))</f>
        <v/>
      </c>
      <c r="AH2445" s="26" t="str">
        <f>_xlfn.XLOOKUP(Table26[[#This Row],[customerSKU]],customerSKU!G:G,customerSKU!K:K,"NA",0,1)</f>
        <v>NA</v>
      </c>
      <c r="AI2445" s="43" t="str">
        <f>_xlfn.XLOOKUP(Table26[[#This Row],[customerSKU]],customerSKU!G:G,customerSKU!O:O,"not found",0,1)</f>
        <v>not found</v>
      </c>
      <c r="AJ2445" s="22" t="e">
        <f>Table26[[#This Row],[unitprice]]*Table26[[#This Row],[quantity_unit]]</f>
        <v>#VALUE!</v>
      </c>
      <c r="AK2445" s="227" t="e" cm="1">
        <f t="array" ref="AK24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5" s="227"/>
    </row>
    <row r="2446" spans="1:38" ht="15.6">
      <c r="A2446" s="42">
        <v>2444</v>
      </c>
      <c r="B2446" s="42"/>
      <c r="C2446" s="53"/>
      <c r="E2446" s="20"/>
      <c r="F24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6" s="93"/>
      <c r="J2446" s="90" t="str">
        <f>IF(Table26[[#This Row],[customerSKU]]="","",_xlfn.XLOOKUP(Table26[[#This Row],[customerSKU]],customerSKU!G:G,customerSKU!A:A,"",0,1))</f>
        <v/>
      </c>
      <c r="K2446" s="19"/>
      <c r="L2446" s="49" t="str">
        <f>IF(Table26[[#This Row],[customerSKU]]="","",_xlfn.XLOOKUP(Table26[[#This Row],[customerSKU]],customerSKU!G:G,customerSKU!B:B,"",0,1))</f>
        <v/>
      </c>
      <c r="M2446" s="22"/>
      <c r="N2446" s="15" t="str">
        <f>Table26[[#This Row],[po_number]]&amp;"-"&amp;Table26[[#This Row],[po_line]]</f>
        <v>-</v>
      </c>
      <c r="O2446" s="15"/>
      <c r="P2446" s="50"/>
      <c r="S2446" s="90" t="str">
        <f>IF(Table26[[#This Row],[customerSKU]]="","",_xlfn.XLOOKUP(Table26[[#This Row],[customerSKU]],customerSKU!G:G,customerSKU!N:N,"NOT FOUND",0,1))</f>
        <v/>
      </c>
      <c r="T2446" s="20"/>
      <c r="U2446" s="94"/>
      <c r="V2446" s="22" t="str">
        <f>IF(ISBLANK(Table26[[#This Row],[customerSKU]]),"",_xlfn.XLOOKUP(Table26[[#This Row],[customerSKU]],Table27[customer_SKU],Table27[case_size],"",0,1))</f>
        <v/>
      </c>
      <c r="W2446" s="117" t="str">
        <f t="shared" si="104"/>
        <v/>
      </c>
      <c r="X2446" s="22" t="str">
        <f t="shared" si="103"/>
        <v/>
      </c>
      <c r="Y2446" s="25" t="str">
        <f>IF(Table26[[#This Row],[customerSKU]]="","",_xlfn.XLOOKUP(Table26[[#This Row],[customerSKU]],Table27[customer_SKU],Table27[product_GTIN],"",0,1))</f>
        <v/>
      </c>
      <c r="Z2446" s="25"/>
      <c r="AA2446" s="18" t="str" cm="1">
        <f t="array" ref="AA2446">IF(P2446="", "", _xlfn.XLOOKUP(P2446,#REF!,#REF!,NA,0,-1))</f>
        <v/>
      </c>
      <c r="AB2446" s="22"/>
      <c r="AC2446" s="23" t="str">
        <f>IF(Table26[[#This Row],[customerSKU]]="","",_xlfn.XLOOKUP(Table26[[#This Row],[customerSKU]],customerSKU!G:G,customerSKU!C:C,"",0,1))</f>
        <v/>
      </c>
      <c r="AD2446" s="23" t="str">
        <f>IF($AC2446="","",_xlfn.XLOOKUP($AC2446,'Client Info'!$C$2:$C$2497,'Client Info'!$D$2:$D$2497,"",0,1))</f>
        <v/>
      </c>
      <c r="AE2446" s="23" t="str">
        <f>IF($AC2446="","",_xlfn.XLOOKUP($AC2446,'Client Info'!$C$2:$C$2677,'Client Info'!$E$2:$E$2677,"",))</f>
        <v/>
      </c>
      <c r="AF2446" s="23" t="str">
        <f>IF($AC2446="","",_xlfn.XLOOKUP($AC2446,'Client Info'!$C$2:$C$2677,'Client Info'!$F$2:$F$2677,"",0,1))</f>
        <v/>
      </c>
      <c r="AG2446" s="23" t="str">
        <f>IF(ISBLANK(Table26[[#This Row],[customerSKU]]),"",_xlfn.XLOOKUP(Table26[[#This Row],[customerSKU]],Table27[customer_SKU],Table27[billto],"",0,1))</f>
        <v/>
      </c>
      <c r="AH2446" s="26" t="str">
        <f>_xlfn.XLOOKUP(Table26[[#This Row],[customerSKU]],customerSKU!G:G,customerSKU!K:K,"NA",0,1)</f>
        <v>NA</v>
      </c>
      <c r="AI2446" s="43" t="str">
        <f>_xlfn.XLOOKUP(Table26[[#This Row],[customerSKU]],customerSKU!G:G,customerSKU!O:O,"not found",0,1)</f>
        <v>not found</v>
      </c>
      <c r="AJ2446" s="22" t="e">
        <f>Table26[[#This Row],[unitprice]]*Table26[[#This Row],[quantity_unit]]</f>
        <v>#VALUE!</v>
      </c>
      <c r="AK2446" s="227" t="e" cm="1">
        <f t="array" ref="AK24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6" s="227"/>
    </row>
    <row r="2447" spans="1:38" ht="15.6">
      <c r="A2447" s="42">
        <v>2445</v>
      </c>
      <c r="B2447" s="42"/>
      <c r="C2447" s="53"/>
      <c r="E2447" s="20"/>
      <c r="F24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7" s="93"/>
      <c r="J2447" s="90" t="str">
        <f>IF(Table26[[#This Row],[customerSKU]]="","",_xlfn.XLOOKUP(Table26[[#This Row],[customerSKU]],customerSKU!G:G,customerSKU!A:A,"",0,1))</f>
        <v/>
      </c>
      <c r="K2447" s="19"/>
      <c r="L2447" s="49" t="str">
        <f>IF(Table26[[#This Row],[customerSKU]]="","",_xlfn.XLOOKUP(Table26[[#This Row],[customerSKU]],customerSKU!G:G,customerSKU!B:B,"",0,1))</f>
        <v/>
      </c>
      <c r="M2447" s="22"/>
      <c r="N2447" s="15" t="str">
        <f>Table26[[#This Row],[po_number]]&amp;"-"&amp;Table26[[#This Row],[po_line]]</f>
        <v>-</v>
      </c>
      <c r="O2447" s="15"/>
      <c r="P2447" s="50"/>
      <c r="S2447" s="90" t="str">
        <f>IF(Table26[[#This Row],[customerSKU]]="","",_xlfn.XLOOKUP(Table26[[#This Row],[customerSKU]],customerSKU!G:G,customerSKU!N:N,"NOT FOUND",0,1))</f>
        <v/>
      </c>
      <c r="T2447" s="20"/>
      <c r="U2447" s="94"/>
      <c r="V2447" s="22" t="str">
        <f>IF(ISBLANK(Table26[[#This Row],[customerSKU]]),"",_xlfn.XLOOKUP(Table26[[#This Row],[customerSKU]],Table27[customer_SKU],Table27[case_size],"",0,1))</f>
        <v/>
      </c>
      <c r="W2447" s="117" t="str">
        <f t="shared" si="104"/>
        <v/>
      </c>
      <c r="X2447" s="22" t="str">
        <f t="shared" si="103"/>
        <v/>
      </c>
      <c r="Y2447" s="25" t="str">
        <f>IF(Table26[[#This Row],[customerSKU]]="","",_xlfn.XLOOKUP(Table26[[#This Row],[customerSKU]],Table27[customer_SKU],Table27[product_GTIN],"",0,1))</f>
        <v/>
      </c>
      <c r="Z2447" s="25"/>
      <c r="AA2447" s="18" t="str" cm="1">
        <f t="array" ref="AA2447">IF(P2447="", "", _xlfn.XLOOKUP(P2447,#REF!,#REF!,NA,0,-1))</f>
        <v/>
      </c>
      <c r="AB2447" s="22"/>
      <c r="AC2447" s="23" t="str">
        <f>IF(Table26[[#This Row],[customerSKU]]="","",_xlfn.XLOOKUP(Table26[[#This Row],[customerSKU]],customerSKU!G:G,customerSKU!C:C,"",0,1))</f>
        <v/>
      </c>
      <c r="AD2447" s="23" t="str">
        <f>IF($AC2447="","",_xlfn.XLOOKUP($AC2447,'Client Info'!$C$2:$C$2497,'Client Info'!$D$2:$D$2497,"",0,1))</f>
        <v/>
      </c>
      <c r="AE2447" s="23" t="str">
        <f>IF($AC2447="","",_xlfn.XLOOKUP($AC2447,'Client Info'!$C$2:$C$2677,'Client Info'!$E$2:$E$2677,"",))</f>
        <v/>
      </c>
      <c r="AF2447" s="23" t="str">
        <f>IF($AC2447="","",_xlfn.XLOOKUP($AC2447,'Client Info'!$C$2:$C$2677,'Client Info'!$F$2:$F$2677,"",0,1))</f>
        <v/>
      </c>
      <c r="AG2447" s="23" t="str">
        <f>IF(ISBLANK(Table26[[#This Row],[customerSKU]]),"",_xlfn.XLOOKUP(Table26[[#This Row],[customerSKU]],Table27[customer_SKU],Table27[billto],"",0,1))</f>
        <v/>
      </c>
      <c r="AH2447" s="26" t="str">
        <f>_xlfn.XLOOKUP(Table26[[#This Row],[customerSKU]],customerSKU!G:G,customerSKU!K:K,"NA",0,1)</f>
        <v>NA</v>
      </c>
      <c r="AI2447" s="43" t="str">
        <f>_xlfn.XLOOKUP(Table26[[#This Row],[customerSKU]],customerSKU!G:G,customerSKU!O:O,"not found",0,1)</f>
        <v>not found</v>
      </c>
      <c r="AJ2447" s="22" t="e">
        <f>Table26[[#This Row],[unitprice]]*Table26[[#This Row],[quantity_unit]]</f>
        <v>#VALUE!</v>
      </c>
      <c r="AK2447" s="227" t="e" cm="1">
        <f t="array" ref="AK24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7" s="227"/>
    </row>
    <row r="2448" spans="1:38" ht="15.6">
      <c r="A2448" s="42">
        <v>2446</v>
      </c>
      <c r="B2448" s="42"/>
      <c r="C2448" s="53"/>
      <c r="E2448" s="20"/>
      <c r="F24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8" s="93"/>
      <c r="J2448" s="90" t="str">
        <f>IF(Table26[[#This Row],[customerSKU]]="","",_xlfn.XLOOKUP(Table26[[#This Row],[customerSKU]],customerSKU!G:G,customerSKU!A:A,"",0,1))</f>
        <v/>
      </c>
      <c r="K2448" s="19"/>
      <c r="L2448" s="49" t="str">
        <f>IF(Table26[[#This Row],[customerSKU]]="","",_xlfn.XLOOKUP(Table26[[#This Row],[customerSKU]],customerSKU!G:G,customerSKU!B:B,"",0,1))</f>
        <v/>
      </c>
      <c r="M2448" s="22"/>
      <c r="N2448" s="15" t="str">
        <f>Table26[[#This Row],[po_number]]&amp;"-"&amp;Table26[[#This Row],[po_line]]</f>
        <v>-</v>
      </c>
      <c r="O2448" s="15"/>
      <c r="P2448" s="50"/>
      <c r="S2448" s="90" t="str">
        <f>IF(Table26[[#This Row],[customerSKU]]="","",_xlfn.XLOOKUP(Table26[[#This Row],[customerSKU]],customerSKU!G:G,customerSKU!N:N,"NOT FOUND",0,1))</f>
        <v/>
      </c>
      <c r="T2448" s="20"/>
      <c r="U2448" s="94"/>
      <c r="V2448" s="22" t="str">
        <f>IF(ISBLANK(Table26[[#This Row],[customerSKU]]),"",_xlfn.XLOOKUP(Table26[[#This Row],[customerSKU]],Table27[customer_SKU],Table27[case_size],"",0,1))</f>
        <v/>
      </c>
      <c r="W2448" s="117" t="str">
        <f t="shared" si="104"/>
        <v/>
      </c>
      <c r="X2448" s="22" t="str">
        <f t="shared" si="103"/>
        <v/>
      </c>
      <c r="Y2448" s="25" t="str">
        <f>IF(Table26[[#This Row],[customerSKU]]="","",_xlfn.XLOOKUP(Table26[[#This Row],[customerSKU]],Table27[customer_SKU],Table27[product_GTIN],"",0,1))</f>
        <v/>
      </c>
      <c r="Z2448" s="25"/>
      <c r="AA2448" s="18" t="str" cm="1">
        <f t="array" ref="AA2448">IF(P2448="", "", _xlfn.XLOOKUP(P2448,#REF!,#REF!,NA,0,-1))</f>
        <v/>
      </c>
      <c r="AB2448" s="22"/>
      <c r="AC2448" s="23" t="str">
        <f>IF(Table26[[#This Row],[customerSKU]]="","",_xlfn.XLOOKUP(Table26[[#This Row],[customerSKU]],customerSKU!G:G,customerSKU!C:C,"",0,1))</f>
        <v/>
      </c>
      <c r="AD2448" s="23" t="str">
        <f>IF($AC2448="","",_xlfn.XLOOKUP($AC2448,'Client Info'!$C$2:$C$2497,'Client Info'!$D$2:$D$2497,"",0,1))</f>
        <v/>
      </c>
      <c r="AE2448" s="23" t="str">
        <f>IF($AC2448="","",_xlfn.XLOOKUP($AC2448,'Client Info'!$C$2:$C$2677,'Client Info'!$E$2:$E$2677,"",))</f>
        <v/>
      </c>
      <c r="AF2448" s="23" t="str">
        <f>IF($AC2448="","",_xlfn.XLOOKUP($AC2448,'Client Info'!$C$2:$C$2677,'Client Info'!$F$2:$F$2677,"",0,1))</f>
        <v/>
      </c>
      <c r="AG2448" s="23" t="str">
        <f>IF(ISBLANK(Table26[[#This Row],[customerSKU]]),"",_xlfn.XLOOKUP(Table26[[#This Row],[customerSKU]],Table27[customer_SKU],Table27[billto],"",0,1))</f>
        <v/>
      </c>
      <c r="AH2448" s="26" t="str">
        <f>_xlfn.XLOOKUP(Table26[[#This Row],[customerSKU]],customerSKU!G:G,customerSKU!K:K,"NA",0,1)</f>
        <v>NA</v>
      </c>
      <c r="AI2448" s="43" t="str">
        <f>_xlfn.XLOOKUP(Table26[[#This Row],[customerSKU]],customerSKU!G:G,customerSKU!O:O,"not found",0,1)</f>
        <v>not found</v>
      </c>
      <c r="AJ2448" s="22" t="e">
        <f>Table26[[#This Row],[unitprice]]*Table26[[#This Row],[quantity_unit]]</f>
        <v>#VALUE!</v>
      </c>
      <c r="AK2448" s="227" t="e" cm="1">
        <f t="array" ref="AK24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8" s="227"/>
    </row>
    <row r="2449" spans="1:38" ht="15.6">
      <c r="A2449" s="42">
        <v>2447</v>
      </c>
      <c r="B2449" s="42"/>
      <c r="C2449" s="53"/>
      <c r="E2449" s="20"/>
      <c r="F24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49" s="93"/>
      <c r="J2449" s="90" t="str">
        <f>IF(Table26[[#This Row],[customerSKU]]="","",_xlfn.XLOOKUP(Table26[[#This Row],[customerSKU]],customerSKU!G:G,customerSKU!A:A,"",0,1))</f>
        <v/>
      </c>
      <c r="K2449" s="19"/>
      <c r="L2449" s="49" t="str">
        <f>IF(Table26[[#This Row],[customerSKU]]="","",_xlfn.XLOOKUP(Table26[[#This Row],[customerSKU]],customerSKU!G:G,customerSKU!B:B,"",0,1))</f>
        <v/>
      </c>
      <c r="M2449" s="22"/>
      <c r="N2449" s="15" t="str">
        <f>Table26[[#This Row],[po_number]]&amp;"-"&amp;Table26[[#This Row],[po_line]]</f>
        <v>-</v>
      </c>
      <c r="O2449" s="15"/>
      <c r="P2449" s="50"/>
      <c r="S2449" s="90" t="str">
        <f>IF(Table26[[#This Row],[customerSKU]]="","",_xlfn.XLOOKUP(Table26[[#This Row],[customerSKU]],customerSKU!G:G,customerSKU!N:N,"NOT FOUND",0,1))</f>
        <v/>
      </c>
      <c r="T2449" s="20"/>
      <c r="U2449" s="94"/>
      <c r="V2449" s="22" t="str">
        <f>IF(ISBLANK(Table26[[#This Row],[customerSKU]]),"",_xlfn.XLOOKUP(Table26[[#This Row],[customerSKU]],Table27[customer_SKU],Table27[case_size],"",0,1))</f>
        <v/>
      </c>
      <c r="W2449" s="117" t="str">
        <f t="shared" si="104"/>
        <v/>
      </c>
      <c r="X2449" s="22" t="str">
        <f t="shared" si="103"/>
        <v/>
      </c>
      <c r="Y2449" s="25" t="str">
        <f>IF(Table26[[#This Row],[customerSKU]]="","",_xlfn.XLOOKUP(Table26[[#This Row],[customerSKU]],Table27[customer_SKU],Table27[product_GTIN],"",0,1))</f>
        <v/>
      </c>
      <c r="Z2449" s="25"/>
      <c r="AA2449" s="18" t="str" cm="1">
        <f t="array" ref="AA2449">IF(P2449="", "", _xlfn.XLOOKUP(P2449,#REF!,#REF!,NA,0,-1))</f>
        <v/>
      </c>
      <c r="AB2449" s="22"/>
      <c r="AC2449" s="23" t="str">
        <f>IF(Table26[[#This Row],[customerSKU]]="","",_xlfn.XLOOKUP(Table26[[#This Row],[customerSKU]],customerSKU!G:G,customerSKU!C:C,"",0,1))</f>
        <v/>
      </c>
      <c r="AD2449" s="23" t="str">
        <f>IF($AC2449="","",_xlfn.XLOOKUP($AC2449,'Client Info'!$C$2:$C$2497,'Client Info'!$D$2:$D$2497,"",0,1))</f>
        <v/>
      </c>
      <c r="AE2449" s="23" t="str">
        <f>IF($AC2449="","",_xlfn.XLOOKUP($AC2449,'Client Info'!$C$2:$C$2677,'Client Info'!$E$2:$E$2677,"",))</f>
        <v/>
      </c>
      <c r="AF2449" s="23" t="str">
        <f>IF($AC2449="","",_xlfn.XLOOKUP($AC2449,'Client Info'!$C$2:$C$2677,'Client Info'!$F$2:$F$2677,"",0,1))</f>
        <v/>
      </c>
      <c r="AG2449" s="23" t="str">
        <f>IF(ISBLANK(Table26[[#This Row],[customerSKU]]),"",_xlfn.XLOOKUP(Table26[[#This Row],[customerSKU]],Table27[customer_SKU],Table27[billto],"",0,1))</f>
        <v/>
      </c>
      <c r="AH2449" s="26" t="str">
        <f>_xlfn.XLOOKUP(Table26[[#This Row],[customerSKU]],customerSKU!G:G,customerSKU!K:K,"NA",0,1)</f>
        <v>NA</v>
      </c>
      <c r="AI2449" s="43" t="str">
        <f>_xlfn.XLOOKUP(Table26[[#This Row],[customerSKU]],customerSKU!G:G,customerSKU!O:O,"not found",0,1)</f>
        <v>not found</v>
      </c>
      <c r="AJ2449" s="22" t="e">
        <f>Table26[[#This Row],[unitprice]]*Table26[[#This Row],[quantity_unit]]</f>
        <v>#VALUE!</v>
      </c>
      <c r="AK2449" s="227" t="e" cm="1">
        <f t="array" ref="AK24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49" s="227"/>
    </row>
    <row r="2450" spans="1:38" ht="15.6">
      <c r="A2450" s="42">
        <v>2448</v>
      </c>
      <c r="B2450" s="42"/>
      <c r="C2450" s="53"/>
      <c r="E2450" s="20"/>
      <c r="F24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0" s="93"/>
      <c r="J2450" s="90" t="str">
        <f>IF(Table26[[#This Row],[customerSKU]]="","",_xlfn.XLOOKUP(Table26[[#This Row],[customerSKU]],customerSKU!G:G,customerSKU!A:A,"",0,1))</f>
        <v/>
      </c>
      <c r="K2450" s="19"/>
      <c r="L2450" s="49" t="str">
        <f>IF(Table26[[#This Row],[customerSKU]]="","",_xlfn.XLOOKUP(Table26[[#This Row],[customerSKU]],customerSKU!G:G,customerSKU!B:B,"",0,1))</f>
        <v/>
      </c>
      <c r="M2450" s="22"/>
      <c r="N2450" s="15" t="str">
        <f>Table26[[#This Row],[po_number]]&amp;"-"&amp;Table26[[#This Row],[po_line]]</f>
        <v>-</v>
      </c>
      <c r="O2450" s="15"/>
      <c r="P2450" s="50"/>
      <c r="S2450" s="90" t="str">
        <f>IF(Table26[[#This Row],[customerSKU]]="","",_xlfn.XLOOKUP(Table26[[#This Row],[customerSKU]],customerSKU!G:G,customerSKU!N:N,"NOT FOUND",0,1))</f>
        <v/>
      </c>
      <c r="T2450" s="20"/>
      <c r="U2450" s="94"/>
      <c r="V2450" s="22" t="str">
        <f>IF(ISBLANK(Table26[[#This Row],[customerSKU]]),"",_xlfn.XLOOKUP(Table26[[#This Row],[customerSKU]],Table27[customer_SKU],Table27[case_size],"",0,1))</f>
        <v/>
      </c>
      <c r="W2450" s="117" t="str">
        <f t="shared" si="104"/>
        <v/>
      </c>
      <c r="X2450" s="22" t="str">
        <f t="shared" si="103"/>
        <v/>
      </c>
      <c r="Y2450" s="25" t="str">
        <f>IF(Table26[[#This Row],[customerSKU]]="","",_xlfn.XLOOKUP(Table26[[#This Row],[customerSKU]],Table27[customer_SKU],Table27[product_GTIN],"",0,1))</f>
        <v/>
      </c>
      <c r="Z2450" s="25"/>
      <c r="AA2450" s="18" t="str" cm="1">
        <f t="array" ref="AA2450">IF(P2450="", "", _xlfn.XLOOKUP(P2450,#REF!,#REF!,NA,0,-1))</f>
        <v/>
      </c>
      <c r="AB2450" s="22"/>
      <c r="AC2450" s="23" t="str">
        <f>IF(Table26[[#This Row],[customerSKU]]="","",_xlfn.XLOOKUP(Table26[[#This Row],[customerSKU]],customerSKU!G:G,customerSKU!C:C,"",0,1))</f>
        <v/>
      </c>
      <c r="AD2450" s="23" t="str">
        <f>IF($AC2450="","",_xlfn.XLOOKUP($AC2450,'Client Info'!$C$2:$C$2497,'Client Info'!$D$2:$D$2497,"",0,1))</f>
        <v/>
      </c>
      <c r="AE2450" s="23" t="str">
        <f>IF($AC2450="","",_xlfn.XLOOKUP($AC2450,'Client Info'!$C$2:$C$2677,'Client Info'!$E$2:$E$2677,"",))</f>
        <v/>
      </c>
      <c r="AF2450" s="23" t="str">
        <f>IF($AC2450="","",_xlfn.XLOOKUP($AC2450,'Client Info'!$C$2:$C$2677,'Client Info'!$F$2:$F$2677,"",0,1))</f>
        <v/>
      </c>
      <c r="AG2450" s="23" t="str">
        <f>IF(ISBLANK(Table26[[#This Row],[customerSKU]]),"",_xlfn.XLOOKUP(Table26[[#This Row],[customerSKU]],Table27[customer_SKU],Table27[billto],"",0,1))</f>
        <v/>
      </c>
      <c r="AH2450" s="26" t="str">
        <f>_xlfn.XLOOKUP(Table26[[#This Row],[customerSKU]],customerSKU!G:G,customerSKU!K:K,"NA",0,1)</f>
        <v>NA</v>
      </c>
      <c r="AI2450" s="43" t="str">
        <f>_xlfn.XLOOKUP(Table26[[#This Row],[customerSKU]],customerSKU!G:G,customerSKU!O:O,"not found",0,1)</f>
        <v>not found</v>
      </c>
      <c r="AJ2450" s="22" t="e">
        <f>Table26[[#This Row],[unitprice]]*Table26[[#This Row],[quantity_unit]]</f>
        <v>#VALUE!</v>
      </c>
      <c r="AK2450" s="227" t="e" cm="1">
        <f t="array" ref="AK24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0" s="227"/>
    </row>
    <row r="2451" spans="1:38" ht="15.6">
      <c r="A2451" s="42">
        <v>2449</v>
      </c>
      <c r="B2451" s="42"/>
      <c r="C2451" s="53"/>
      <c r="E2451" s="20"/>
      <c r="F24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1" s="93"/>
      <c r="J2451" s="90" t="str">
        <f>IF(Table26[[#This Row],[customerSKU]]="","",_xlfn.XLOOKUP(Table26[[#This Row],[customerSKU]],customerSKU!G:G,customerSKU!A:A,"",0,1))</f>
        <v/>
      </c>
      <c r="K2451" s="19"/>
      <c r="L2451" s="49" t="str">
        <f>IF(Table26[[#This Row],[customerSKU]]="","",_xlfn.XLOOKUP(Table26[[#This Row],[customerSKU]],customerSKU!G:G,customerSKU!B:B,"",0,1))</f>
        <v/>
      </c>
      <c r="M2451" s="22"/>
      <c r="N2451" s="15" t="str">
        <f>Table26[[#This Row],[po_number]]&amp;"-"&amp;Table26[[#This Row],[po_line]]</f>
        <v>-</v>
      </c>
      <c r="O2451" s="15"/>
      <c r="P2451" s="50"/>
      <c r="S2451" s="90" t="str">
        <f>IF(Table26[[#This Row],[customerSKU]]="","",_xlfn.XLOOKUP(Table26[[#This Row],[customerSKU]],customerSKU!G:G,customerSKU!N:N,"NOT FOUND",0,1))</f>
        <v/>
      </c>
      <c r="T2451" s="20"/>
      <c r="U2451" s="94"/>
      <c r="V2451" s="22" t="str">
        <f>IF(ISBLANK(Table26[[#This Row],[customerSKU]]),"",_xlfn.XLOOKUP(Table26[[#This Row],[customerSKU]],Table27[customer_SKU],Table27[case_size],"",0,1))</f>
        <v/>
      </c>
      <c r="W2451" s="117" t="str">
        <f t="shared" si="104"/>
        <v/>
      </c>
      <c r="X2451" s="22" t="str">
        <f t="shared" si="103"/>
        <v/>
      </c>
      <c r="Y2451" s="25" t="str">
        <f>IF(Table26[[#This Row],[customerSKU]]="","",_xlfn.XLOOKUP(Table26[[#This Row],[customerSKU]],Table27[customer_SKU],Table27[product_GTIN],"",0,1))</f>
        <v/>
      </c>
      <c r="Z2451" s="25"/>
      <c r="AA2451" s="18" t="str" cm="1">
        <f t="array" ref="AA2451">IF(P2451="", "", _xlfn.XLOOKUP(P2451,#REF!,#REF!,NA,0,-1))</f>
        <v/>
      </c>
      <c r="AB2451" s="22"/>
      <c r="AC2451" s="23" t="str">
        <f>IF(Table26[[#This Row],[customerSKU]]="","",_xlfn.XLOOKUP(Table26[[#This Row],[customerSKU]],customerSKU!G:G,customerSKU!C:C,"",0,1))</f>
        <v/>
      </c>
      <c r="AD2451" s="23" t="str">
        <f>IF($AC2451="","",_xlfn.XLOOKUP($AC2451,'Client Info'!$C$2:$C$2497,'Client Info'!$D$2:$D$2497,"",0,1))</f>
        <v/>
      </c>
      <c r="AE2451" s="23" t="str">
        <f>IF($AC2451="","",_xlfn.XLOOKUP($AC2451,'Client Info'!$C$2:$C$2677,'Client Info'!$E$2:$E$2677,"",))</f>
        <v/>
      </c>
      <c r="AF2451" s="23" t="str">
        <f>IF($AC2451="","",_xlfn.XLOOKUP($AC2451,'Client Info'!$C$2:$C$2677,'Client Info'!$F$2:$F$2677,"",0,1))</f>
        <v/>
      </c>
      <c r="AG2451" s="23" t="str">
        <f>IF(ISBLANK(Table26[[#This Row],[customerSKU]]),"",_xlfn.XLOOKUP(Table26[[#This Row],[customerSKU]],Table27[customer_SKU],Table27[billto],"",0,1))</f>
        <v/>
      </c>
      <c r="AH2451" s="26" t="str">
        <f>_xlfn.XLOOKUP(Table26[[#This Row],[customerSKU]],customerSKU!G:G,customerSKU!K:K,"NA",0,1)</f>
        <v>NA</v>
      </c>
      <c r="AI2451" s="43" t="str">
        <f>_xlfn.XLOOKUP(Table26[[#This Row],[customerSKU]],customerSKU!G:G,customerSKU!O:O,"not found",0,1)</f>
        <v>not found</v>
      </c>
      <c r="AJ2451" s="22" t="e">
        <f>Table26[[#This Row],[unitprice]]*Table26[[#This Row],[quantity_unit]]</f>
        <v>#VALUE!</v>
      </c>
      <c r="AK2451" s="227" t="e" cm="1">
        <f t="array" ref="AK24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1" s="227"/>
    </row>
    <row r="2452" spans="1:38" ht="15.6">
      <c r="A2452" s="42">
        <v>2450</v>
      </c>
      <c r="B2452" s="42"/>
      <c r="C2452" s="53"/>
      <c r="E2452" s="20"/>
      <c r="F24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2" s="93"/>
      <c r="J2452" s="90" t="str">
        <f>IF(Table26[[#This Row],[customerSKU]]="","",_xlfn.XLOOKUP(Table26[[#This Row],[customerSKU]],customerSKU!G:G,customerSKU!A:A,"",0,1))</f>
        <v/>
      </c>
      <c r="K2452" s="19"/>
      <c r="L2452" s="49" t="str">
        <f>IF(Table26[[#This Row],[customerSKU]]="","",_xlfn.XLOOKUP(Table26[[#This Row],[customerSKU]],customerSKU!G:G,customerSKU!B:B,"",0,1))</f>
        <v/>
      </c>
      <c r="M2452" s="22"/>
      <c r="N2452" s="15" t="str">
        <f>Table26[[#This Row],[po_number]]&amp;"-"&amp;Table26[[#This Row],[po_line]]</f>
        <v>-</v>
      </c>
      <c r="O2452" s="15"/>
      <c r="P2452" s="50"/>
      <c r="S2452" s="90" t="str">
        <f>IF(Table26[[#This Row],[customerSKU]]="","",_xlfn.XLOOKUP(Table26[[#This Row],[customerSKU]],customerSKU!G:G,customerSKU!N:N,"NOT FOUND",0,1))</f>
        <v/>
      </c>
      <c r="T2452" s="20"/>
      <c r="U2452" s="94"/>
      <c r="V2452" s="22" t="str">
        <f>IF(ISBLANK(Table26[[#This Row],[customerSKU]]),"",_xlfn.XLOOKUP(Table26[[#This Row],[customerSKU]],Table27[customer_SKU],Table27[case_size],"",0,1))</f>
        <v/>
      </c>
      <c r="W2452" s="117" t="str">
        <f t="shared" si="104"/>
        <v/>
      </c>
      <c r="X2452" s="22" t="str">
        <f t="shared" si="103"/>
        <v/>
      </c>
      <c r="Y2452" s="25" t="str">
        <f>IF(Table26[[#This Row],[customerSKU]]="","",_xlfn.XLOOKUP(Table26[[#This Row],[customerSKU]],Table27[customer_SKU],Table27[product_GTIN],"",0,1))</f>
        <v/>
      </c>
      <c r="Z2452" s="25"/>
      <c r="AA2452" s="18" t="str" cm="1">
        <f t="array" ref="AA2452">IF(P2452="", "", _xlfn.XLOOKUP(P2452,#REF!,#REF!,NA,0,-1))</f>
        <v/>
      </c>
      <c r="AB2452" s="22"/>
      <c r="AC2452" s="23" t="str">
        <f>IF(Table26[[#This Row],[customerSKU]]="","",_xlfn.XLOOKUP(Table26[[#This Row],[customerSKU]],customerSKU!G:G,customerSKU!C:C,"",0,1))</f>
        <v/>
      </c>
      <c r="AD2452" s="23" t="str">
        <f>IF($AC2452="","",_xlfn.XLOOKUP($AC2452,'Client Info'!$C$2:$C$2497,'Client Info'!$D$2:$D$2497,"",0,1))</f>
        <v/>
      </c>
      <c r="AE2452" s="23" t="str">
        <f>IF($AC2452="","",_xlfn.XLOOKUP($AC2452,'Client Info'!$C$2:$C$2677,'Client Info'!$E$2:$E$2677,"",))</f>
        <v/>
      </c>
      <c r="AF2452" s="23" t="str">
        <f>IF($AC2452="","",_xlfn.XLOOKUP($AC2452,'Client Info'!$C$2:$C$2677,'Client Info'!$F$2:$F$2677,"",0,1))</f>
        <v/>
      </c>
      <c r="AG2452" s="23" t="str">
        <f>IF(ISBLANK(Table26[[#This Row],[customerSKU]]),"",_xlfn.XLOOKUP(Table26[[#This Row],[customerSKU]],Table27[customer_SKU],Table27[billto],"",0,1))</f>
        <v/>
      </c>
      <c r="AH2452" s="26" t="str">
        <f>_xlfn.XLOOKUP(Table26[[#This Row],[customerSKU]],customerSKU!G:G,customerSKU!K:K,"NA",0,1)</f>
        <v>NA</v>
      </c>
      <c r="AI2452" s="43" t="str">
        <f>_xlfn.XLOOKUP(Table26[[#This Row],[customerSKU]],customerSKU!G:G,customerSKU!O:O,"not found",0,1)</f>
        <v>not found</v>
      </c>
      <c r="AJ2452" s="22" t="e">
        <f>Table26[[#This Row],[unitprice]]*Table26[[#This Row],[quantity_unit]]</f>
        <v>#VALUE!</v>
      </c>
      <c r="AK2452" s="227" t="e" cm="1">
        <f t="array" ref="AK24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2" s="227"/>
    </row>
    <row r="2453" spans="1:38" ht="15.6">
      <c r="A2453" s="42">
        <v>2451</v>
      </c>
      <c r="B2453" s="42"/>
      <c r="C2453" s="53"/>
      <c r="E2453" s="20"/>
      <c r="F24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3" s="93"/>
      <c r="J2453" s="90" t="str">
        <f>IF(Table26[[#This Row],[customerSKU]]="","",_xlfn.XLOOKUP(Table26[[#This Row],[customerSKU]],customerSKU!G:G,customerSKU!A:A,"",0,1))</f>
        <v/>
      </c>
      <c r="K2453" s="19"/>
      <c r="L2453" s="49" t="str">
        <f>IF(Table26[[#This Row],[customerSKU]]="","",_xlfn.XLOOKUP(Table26[[#This Row],[customerSKU]],customerSKU!G:G,customerSKU!B:B,"",0,1))</f>
        <v/>
      </c>
      <c r="M2453" s="22"/>
      <c r="N2453" s="15" t="str">
        <f>Table26[[#This Row],[po_number]]&amp;"-"&amp;Table26[[#This Row],[po_line]]</f>
        <v>-</v>
      </c>
      <c r="O2453" s="15"/>
      <c r="P2453" s="50"/>
      <c r="S2453" s="90" t="str">
        <f>IF(Table26[[#This Row],[customerSKU]]="","",_xlfn.XLOOKUP(Table26[[#This Row],[customerSKU]],customerSKU!G:G,customerSKU!N:N,"NOT FOUND",0,1))</f>
        <v/>
      </c>
      <c r="T2453" s="20"/>
      <c r="U2453" s="94"/>
      <c r="V2453" s="22" t="str">
        <f>IF(ISBLANK(Table26[[#This Row],[customerSKU]]),"",_xlfn.XLOOKUP(Table26[[#This Row],[customerSKU]],Table27[customer_SKU],Table27[case_size],"",0,1))</f>
        <v/>
      </c>
      <c r="W2453" s="117" t="str">
        <f t="shared" si="104"/>
        <v/>
      </c>
      <c r="X2453" s="22" t="str">
        <f t="shared" si="103"/>
        <v/>
      </c>
      <c r="Y2453" s="25" t="str">
        <f>IF(Table26[[#This Row],[customerSKU]]="","",_xlfn.XLOOKUP(Table26[[#This Row],[customerSKU]],Table27[customer_SKU],Table27[product_GTIN],"",0,1))</f>
        <v/>
      </c>
      <c r="Z2453" s="25"/>
      <c r="AA2453" s="18" t="str" cm="1">
        <f t="array" ref="AA2453">IF(P2453="", "", _xlfn.XLOOKUP(P2453,#REF!,#REF!,NA,0,-1))</f>
        <v/>
      </c>
      <c r="AB2453" s="22"/>
      <c r="AC2453" s="23" t="str">
        <f>IF(Table26[[#This Row],[customerSKU]]="","",_xlfn.XLOOKUP(Table26[[#This Row],[customerSKU]],customerSKU!G:G,customerSKU!C:C,"",0,1))</f>
        <v/>
      </c>
      <c r="AD2453" s="23" t="str">
        <f>IF($AC2453="","",_xlfn.XLOOKUP($AC2453,'Client Info'!$C$2:$C$2497,'Client Info'!$D$2:$D$2497,"",0,1))</f>
        <v/>
      </c>
      <c r="AE2453" s="23" t="str">
        <f>IF($AC2453="","",_xlfn.XLOOKUP($AC2453,'Client Info'!$C$2:$C$2677,'Client Info'!$E$2:$E$2677,"",))</f>
        <v/>
      </c>
      <c r="AF2453" s="23" t="str">
        <f>IF($AC2453="","",_xlfn.XLOOKUP($AC2453,'Client Info'!$C$2:$C$2677,'Client Info'!$F$2:$F$2677,"",0,1))</f>
        <v/>
      </c>
      <c r="AG2453" s="23" t="str">
        <f>IF(ISBLANK(Table26[[#This Row],[customerSKU]]),"",_xlfn.XLOOKUP(Table26[[#This Row],[customerSKU]],Table27[customer_SKU],Table27[billto],"",0,1))</f>
        <v/>
      </c>
      <c r="AH2453" s="26" t="str">
        <f>_xlfn.XLOOKUP(Table26[[#This Row],[customerSKU]],customerSKU!G:G,customerSKU!K:K,"NA",0,1)</f>
        <v>NA</v>
      </c>
      <c r="AI2453" s="43" t="str">
        <f>_xlfn.XLOOKUP(Table26[[#This Row],[customerSKU]],customerSKU!G:G,customerSKU!O:O,"not found",0,1)</f>
        <v>not found</v>
      </c>
      <c r="AJ2453" s="22" t="e">
        <f>Table26[[#This Row],[unitprice]]*Table26[[#This Row],[quantity_unit]]</f>
        <v>#VALUE!</v>
      </c>
      <c r="AK2453" s="227" t="e" cm="1">
        <f t="array" ref="AK24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3" s="227"/>
    </row>
    <row r="2454" spans="1:38" ht="15.6">
      <c r="A2454" s="42">
        <v>2452</v>
      </c>
      <c r="B2454" s="42"/>
      <c r="C2454" s="53"/>
      <c r="E2454" s="20"/>
      <c r="F24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4" s="93"/>
      <c r="J2454" s="90" t="str">
        <f>IF(Table26[[#This Row],[customerSKU]]="","",_xlfn.XLOOKUP(Table26[[#This Row],[customerSKU]],customerSKU!G:G,customerSKU!A:A,"",0,1))</f>
        <v/>
      </c>
      <c r="K2454" s="19"/>
      <c r="L2454" s="49" t="str">
        <f>IF(Table26[[#This Row],[customerSKU]]="","",_xlfn.XLOOKUP(Table26[[#This Row],[customerSKU]],customerSKU!G:G,customerSKU!B:B,"",0,1))</f>
        <v/>
      </c>
      <c r="M2454" s="22"/>
      <c r="N2454" s="15" t="str">
        <f>Table26[[#This Row],[po_number]]&amp;"-"&amp;Table26[[#This Row],[po_line]]</f>
        <v>-</v>
      </c>
      <c r="O2454" s="15"/>
      <c r="P2454" s="50"/>
      <c r="S2454" s="90" t="str">
        <f>IF(Table26[[#This Row],[customerSKU]]="","",_xlfn.XLOOKUP(Table26[[#This Row],[customerSKU]],customerSKU!G:G,customerSKU!N:N,"NOT FOUND",0,1))</f>
        <v/>
      </c>
      <c r="T2454" s="20"/>
      <c r="U2454" s="94"/>
      <c r="V2454" s="22" t="str">
        <f>IF(ISBLANK(Table26[[#This Row],[customerSKU]]),"",_xlfn.XLOOKUP(Table26[[#This Row],[customerSKU]],Table27[customer_SKU],Table27[case_size],"",0,1))</f>
        <v/>
      </c>
      <c r="W2454" s="117" t="str">
        <f t="shared" si="104"/>
        <v/>
      </c>
      <c r="X2454" s="22" t="str">
        <f t="shared" si="103"/>
        <v/>
      </c>
      <c r="Y2454" s="25" t="str">
        <f>IF(Table26[[#This Row],[customerSKU]]="","",_xlfn.XLOOKUP(Table26[[#This Row],[customerSKU]],Table27[customer_SKU],Table27[product_GTIN],"",0,1))</f>
        <v/>
      </c>
      <c r="Z2454" s="25"/>
      <c r="AA2454" s="18" t="str" cm="1">
        <f t="array" ref="AA2454">IF(P2454="", "", _xlfn.XLOOKUP(P2454,#REF!,#REF!,NA,0,-1))</f>
        <v/>
      </c>
      <c r="AB2454" s="22"/>
      <c r="AC2454" s="23" t="str">
        <f>IF(Table26[[#This Row],[customerSKU]]="","",_xlfn.XLOOKUP(Table26[[#This Row],[customerSKU]],customerSKU!G:G,customerSKU!C:C,"",0,1))</f>
        <v/>
      </c>
      <c r="AD2454" s="23" t="str">
        <f>IF($AC2454="","",_xlfn.XLOOKUP($AC2454,'Client Info'!$C$2:$C$2497,'Client Info'!$D$2:$D$2497,"",0,1))</f>
        <v/>
      </c>
      <c r="AE2454" s="23" t="str">
        <f>IF($AC2454="","",_xlfn.XLOOKUP($AC2454,'Client Info'!$C$2:$C$2677,'Client Info'!$E$2:$E$2677,"",))</f>
        <v/>
      </c>
      <c r="AF2454" s="23" t="str">
        <f>IF($AC2454="","",_xlfn.XLOOKUP($AC2454,'Client Info'!$C$2:$C$2677,'Client Info'!$F$2:$F$2677,"",0,1))</f>
        <v/>
      </c>
      <c r="AG2454" s="23" t="str">
        <f>IF(ISBLANK(Table26[[#This Row],[customerSKU]]),"",_xlfn.XLOOKUP(Table26[[#This Row],[customerSKU]],Table27[customer_SKU],Table27[billto],"",0,1))</f>
        <v/>
      </c>
      <c r="AH2454" s="26" t="str">
        <f>_xlfn.XLOOKUP(Table26[[#This Row],[customerSKU]],customerSKU!G:G,customerSKU!K:K,"NA",0,1)</f>
        <v>NA</v>
      </c>
      <c r="AI2454" s="43" t="str">
        <f>_xlfn.XLOOKUP(Table26[[#This Row],[customerSKU]],customerSKU!G:G,customerSKU!O:O,"not found",0,1)</f>
        <v>not found</v>
      </c>
      <c r="AJ2454" s="22" t="e">
        <f>Table26[[#This Row],[unitprice]]*Table26[[#This Row],[quantity_unit]]</f>
        <v>#VALUE!</v>
      </c>
      <c r="AK2454" s="227" t="e" cm="1">
        <f t="array" ref="AK24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4" s="227"/>
    </row>
    <row r="2455" spans="1:38" ht="15.6">
      <c r="A2455" s="42">
        <v>2453</v>
      </c>
      <c r="B2455" s="42"/>
      <c r="C2455" s="53"/>
      <c r="E2455" s="20"/>
      <c r="F24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5" s="93"/>
      <c r="J2455" s="90" t="str">
        <f>IF(Table26[[#This Row],[customerSKU]]="","",_xlfn.XLOOKUP(Table26[[#This Row],[customerSKU]],customerSKU!G:G,customerSKU!A:A,"",0,1))</f>
        <v/>
      </c>
      <c r="K2455" s="19"/>
      <c r="L2455" s="49" t="str">
        <f>IF(Table26[[#This Row],[customerSKU]]="","",_xlfn.XLOOKUP(Table26[[#This Row],[customerSKU]],customerSKU!G:G,customerSKU!B:B,"",0,1))</f>
        <v/>
      </c>
      <c r="M2455" s="22"/>
      <c r="N2455" s="15" t="str">
        <f>Table26[[#This Row],[po_number]]&amp;"-"&amp;Table26[[#This Row],[po_line]]</f>
        <v>-</v>
      </c>
      <c r="O2455" s="15"/>
      <c r="P2455" s="50"/>
      <c r="S2455" s="90" t="str">
        <f>IF(Table26[[#This Row],[customerSKU]]="","",_xlfn.XLOOKUP(Table26[[#This Row],[customerSKU]],customerSKU!G:G,customerSKU!N:N,"NOT FOUND",0,1))</f>
        <v/>
      </c>
      <c r="T2455" s="20"/>
      <c r="U2455" s="94"/>
      <c r="V2455" s="22" t="str">
        <f>IF(ISBLANK(Table26[[#This Row],[customerSKU]]),"",_xlfn.XLOOKUP(Table26[[#This Row],[customerSKU]],Table27[customer_SKU],Table27[case_size],"",0,1))</f>
        <v/>
      </c>
      <c r="W2455" s="117" t="str">
        <f t="shared" si="104"/>
        <v/>
      </c>
      <c r="X2455" s="22" t="str">
        <f t="shared" si="103"/>
        <v/>
      </c>
      <c r="Y2455" s="25" t="str">
        <f>IF(Table26[[#This Row],[customerSKU]]="","",_xlfn.XLOOKUP(Table26[[#This Row],[customerSKU]],Table27[customer_SKU],Table27[product_GTIN],"",0,1))</f>
        <v/>
      </c>
      <c r="Z2455" s="25"/>
      <c r="AA2455" s="18" t="str" cm="1">
        <f t="array" ref="AA2455">IF(P2455="", "", _xlfn.XLOOKUP(P2455,#REF!,#REF!,NA,0,-1))</f>
        <v/>
      </c>
      <c r="AB2455" s="22"/>
      <c r="AC2455" s="23" t="str">
        <f>IF(Table26[[#This Row],[customerSKU]]="","",_xlfn.XLOOKUP(Table26[[#This Row],[customerSKU]],customerSKU!G:G,customerSKU!C:C,"",0,1))</f>
        <v/>
      </c>
      <c r="AD2455" s="23" t="str">
        <f>IF($AC2455="","",_xlfn.XLOOKUP($AC2455,'Client Info'!$C$2:$C$2497,'Client Info'!$D$2:$D$2497,"",0,1))</f>
        <v/>
      </c>
      <c r="AE2455" s="23" t="str">
        <f>IF($AC2455="","",_xlfn.XLOOKUP($AC2455,'Client Info'!$C$2:$C$2677,'Client Info'!$E$2:$E$2677,"",))</f>
        <v/>
      </c>
      <c r="AF2455" s="23" t="str">
        <f>IF($AC2455="","",_xlfn.XLOOKUP($AC2455,'Client Info'!$C$2:$C$2677,'Client Info'!$F$2:$F$2677,"",0,1))</f>
        <v/>
      </c>
      <c r="AG2455" s="23" t="str">
        <f>IF(ISBLANK(Table26[[#This Row],[customerSKU]]),"",_xlfn.XLOOKUP(Table26[[#This Row],[customerSKU]],Table27[customer_SKU],Table27[billto],"",0,1))</f>
        <v/>
      </c>
      <c r="AH2455" s="26" t="str">
        <f>_xlfn.XLOOKUP(Table26[[#This Row],[customerSKU]],customerSKU!G:G,customerSKU!K:K,"NA",0,1)</f>
        <v>NA</v>
      </c>
      <c r="AI2455" s="43" t="str">
        <f>_xlfn.XLOOKUP(Table26[[#This Row],[customerSKU]],customerSKU!G:G,customerSKU!O:O,"not found",0,1)</f>
        <v>not found</v>
      </c>
      <c r="AJ2455" s="22" t="e">
        <f>Table26[[#This Row],[unitprice]]*Table26[[#This Row],[quantity_unit]]</f>
        <v>#VALUE!</v>
      </c>
      <c r="AK2455" s="227" t="e" cm="1">
        <f t="array" ref="AK24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5" s="227"/>
    </row>
    <row r="2456" spans="1:38" ht="15.6">
      <c r="A2456" s="42">
        <v>2454</v>
      </c>
      <c r="B2456" s="42"/>
      <c r="C2456" s="53"/>
      <c r="E2456" s="20"/>
      <c r="F24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6" s="93"/>
      <c r="J2456" s="90" t="str">
        <f>IF(Table26[[#This Row],[customerSKU]]="","",_xlfn.XLOOKUP(Table26[[#This Row],[customerSKU]],customerSKU!G:G,customerSKU!A:A,"",0,1))</f>
        <v/>
      </c>
      <c r="K2456" s="19"/>
      <c r="L2456" s="49" t="str">
        <f>IF(Table26[[#This Row],[customerSKU]]="","",_xlfn.XLOOKUP(Table26[[#This Row],[customerSKU]],customerSKU!G:G,customerSKU!B:B,"",0,1))</f>
        <v/>
      </c>
      <c r="M2456" s="22"/>
      <c r="N2456" s="15" t="str">
        <f>Table26[[#This Row],[po_number]]&amp;"-"&amp;Table26[[#This Row],[po_line]]</f>
        <v>-</v>
      </c>
      <c r="O2456" s="15"/>
      <c r="P2456" s="50"/>
      <c r="S2456" s="90" t="str">
        <f>IF(Table26[[#This Row],[customerSKU]]="","",_xlfn.XLOOKUP(Table26[[#This Row],[customerSKU]],customerSKU!G:G,customerSKU!N:N,"NOT FOUND",0,1))</f>
        <v/>
      </c>
      <c r="T2456" s="20"/>
      <c r="U2456" s="94"/>
      <c r="V2456" s="22" t="str">
        <f>IF(ISBLANK(Table26[[#This Row],[customerSKU]]),"",_xlfn.XLOOKUP(Table26[[#This Row],[customerSKU]],Table27[customer_SKU],Table27[case_size],"",0,1))</f>
        <v/>
      </c>
      <c r="W2456" s="117" t="str">
        <f t="shared" si="104"/>
        <v/>
      </c>
      <c r="X2456" s="22" t="str">
        <f t="shared" si="103"/>
        <v/>
      </c>
      <c r="Y2456" s="25" t="str">
        <f>IF(Table26[[#This Row],[customerSKU]]="","",_xlfn.XLOOKUP(Table26[[#This Row],[customerSKU]],Table27[customer_SKU],Table27[product_GTIN],"",0,1))</f>
        <v/>
      </c>
      <c r="Z2456" s="25"/>
      <c r="AA2456" s="18" t="str" cm="1">
        <f t="array" ref="AA2456">IF(P2456="", "", _xlfn.XLOOKUP(P2456,#REF!,#REF!,NA,0,-1))</f>
        <v/>
      </c>
      <c r="AB2456" s="22"/>
      <c r="AC2456" s="23" t="str">
        <f>IF(Table26[[#This Row],[customerSKU]]="","",_xlfn.XLOOKUP(Table26[[#This Row],[customerSKU]],customerSKU!G:G,customerSKU!C:C,"",0,1))</f>
        <v/>
      </c>
      <c r="AD2456" s="23" t="str">
        <f>IF($AC2456="","",_xlfn.XLOOKUP($AC2456,'Client Info'!$C$2:$C$2497,'Client Info'!$D$2:$D$2497,"",0,1))</f>
        <v/>
      </c>
      <c r="AE2456" s="23" t="str">
        <f>IF($AC2456="","",_xlfn.XLOOKUP($AC2456,'Client Info'!$C$2:$C$2677,'Client Info'!$E$2:$E$2677,"",))</f>
        <v/>
      </c>
      <c r="AF2456" s="23" t="str">
        <f>IF($AC2456="","",_xlfn.XLOOKUP($AC2456,'Client Info'!$C$2:$C$2677,'Client Info'!$F$2:$F$2677,"",0,1))</f>
        <v/>
      </c>
      <c r="AG2456" s="23" t="str">
        <f>IF(ISBLANK(Table26[[#This Row],[customerSKU]]),"",_xlfn.XLOOKUP(Table26[[#This Row],[customerSKU]],Table27[customer_SKU],Table27[billto],"",0,1))</f>
        <v/>
      </c>
      <c r="AH2456" s="26" t="str">
        <f>_xlfn.XLOOKUP(Table26[[#This Row],[customerSKU]],customerSKU!G:G,customerSKU!K:K,"NA",0,1)</f>
        <v>NA</v>
      </c>
      <c r="AI2456" s="43" t="str">
        <f>_xlfn.XLOOKUP(Table26[[#This Row],[customerSKU]],customerSKU!G:G,customerSKU!O:O,"not found",0,1)</f>
        <v>not found</v>
      </c>
      <c r="AJ2456" s="22" t="e">
        <f>Table26[[#This Row],[unitprice]]*Table26[[#This Row],[quantity_unit]]</f>
        <v>#VALUE!</v>
      </c>
      <c r="AK2456" s="227" t="e" cm="1">
        <f t="array" ref="AK24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6" s="227"/>
    </row>
    <row r="2457" spans="1:38" ht="15.6">
      <c r="A2457" s="42">
        <v>2455</v>
      </c>
      <c r="B2457" s="42"/>
      <c r="C2457" s="53"/>
      <c r="E2457" s="20"/>
      <c r="F24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7" s="93"/>
      <c r="J2457" s="90" t="str">
        <f>IF(Table26[[#This Row],[customerSKU]]="","",_xlfn.XLOOKUP(Table26[[#This Row],[customerSKU]],customerSKU!G:G,customerSKU!A:A,"",0,1))</f>
        <v/>
      </c>
      <c r="K2457" s="19"/>
      <c r="L2457" s="49" t="str">
        <f>IF(Table26[[#This Row],[customerSKU]]="","",_xlfn.XLOOKUP(Table26[[#This Row],[customerSKU]],customerSKU!G:G,customerSKU!B:B,"",0,1))</f>
        <v/>
      </c>
      <c r="M2457" s="22"/>
      <c r="N2457" s="15" t="str">
        <f>Table26[[#This Row],[po_number]]&amp;"-"&amp;Table26[[#This Row],[po_line]]</f>
        <v>-</v>
      </c>
      <c r="O2457" s="15"/>
      <c r="P2457" s="50"/>
      <c r="S2457" s="90" t="str">
        <f>IF(Table26[[#This Row],[customerSKU]]="","",_xlfn.XLOOKUP(Table26[[#This Row],[customerSKU]],customerSKU!G:G,customerSKU!N:N,"NOT FOUND",0,1))</f>
        <v/>
      </c>
      <c r="T2457" s="20"/>
      <c r="U2457" s="94"/>
      <c r="V2457" s="22" t="str">
        <f>IF(ISBLANK(Table26[[#This Row],[customerSKU]]),"",_xlfn.XLOOKUP(Table26[[#This Row],[customerSKU]],Table27[customer_SKU],Table27[case_size],"",0,1))</f>
        <v/>
      </c>
      <c r="W2457" s="117" t="str">
        <f t="shared" si="104"/>
        <v/>
      </c>
      <c r="X2457" s="22" t="str">
        <f t="shared" si="103"/>
        <v/>
      </c>
      <c r="Y2457" s="25" t="str">
        <f>IF(Table26[[#This Row],[customerSKU]]="","",_xlfn.XLOOKUP(Table26[[#This Row],[customerSKU]],Table27[customer_SKU],Table27[product_GTIN],"",0,1))</f>
        <v/>
      </c>
      <c r="Z2457" s="25"/>
      <c r="AA2457" s="18" t="str" cm="1">
        <f t="array" ref="AA2457">IF(P2457="", "", _xlfn.XLOOKUP(P2457,#REF!,#REF!,NA,0,-1))</f>
        <v/>
      </c>
      <c r="AB2457" s="22"/>
      <c r="AC2457" s="23" t="str">
        <f>IF(Table26[[#This Row],[customerSKU]]="","",_xlfn.XLOOKUP(Table26[[#This Row],[customerSKU]],customerSKU!G:G,customerSKU!C:C,"",0,1))</f>
        <v/>
      </c>
      <c r="AD2457" s="23" t="str">
        <f>IF($AC2457="","",_xlfn.XLOOKUP($AC2457,'Client Info'!$C$2:$C$2497,'Client Info'!$D$2:$D$2497,"",0,1))</f>
        <v/>
      </c>
      <c r="AE2457" s="23" t="str">
        <f>IF($AC2457="","",_xlfn.XLOOKUP($AC2457,'Client Info'!$C$2:$C$2677,'Client Info'!$E$2:$E$2677,"",))</f>
        <v/>
      </c>
      <c r="AF2457" s="23" t="str">
        <f>IF($AC2457="","",_xlfn.XLOOKUP($AC2457,'Client Info'!$C$2:$C$2677,'Client Info'!$F$2:$F$2677,"",0,1))</f>
        <v/>
      </c>
      <c r="AG2457" s="23" t="str">
        <f>IF(ISBLANK(Table26[[#This Row],[customerSKU]]),"",_xlfn.XLOOKUP(Table26[[#This Row],[customerSKU]],Table27[customer_SKU],Table27[billto],"",0,1))</f>
        <v/>
      </c>
      <c r="AH2457" s="26" t="str">
        <f>_xlfn.XLOOKUP(Table26[[#This Row],[customerSKU]],customerSKU!G:G,customerSKU!K:K,"NA",0,1)</f>
        <v>NA</v>
      </c>
      <c r="AI2457" s="43" t="str">
        <f>_xlfn.XLOOKUP(Table26[[#This Row],[customerSKU]],customerSKU!G:G,customerSKU!O:O,"not found",0,1)</f>
        <v>not found</v>
      </c>
      <c r="AJ2457" s="22" t="e">
        <f>Table26[[#This Row],[unitprice]]*Table26[[#This Row],[quantity_unit]]</f>
        <v>#VALUE!</v>
      </c>
      <c r="AK2457" s="227" t="e" cm="1">
        <f t="array" ref="AK24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7" s="227"/>
    </row>
    <row r="2458" spans="1:38" ht="15.6">
      <c r="A2458" s="42">
        <v>2456</v>
      </c>
      <c r="B2458" s="42"/>
      <c r="C2458" s="53"/>
      <c r="E2458" s="20"/>
      <c r="F24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8" s="93"/>
      <c r="J2458" s="90" t="str">
        <f>IF(Table26[[#This Row],[customerSKU]]="","",_xlfn.XLOOKUP(Table26[[#This Row],[customerSKU]],customerSKU!G:G,customerSKU!A:A,"",0,1))</f>
        <v/>
      </c>
      <c r="K2458" s="19"/>
      <c r="L2458" s="49" t="str">
        <f>IF(Table26[[#This Row],[customerSKU]]="","",_xlfn.XLOOKUP(Table26[[#This Row],[customerSKU]],customerSKU!G:G,customerSKU!B:B,"",0,1))</f>
        <v/>
      </c>
      <c r="M2458" s="22"/>
      <c r="N2458" s="15" t="str">
        <f>Table26[[#This Row],[po_number]]&amp;"-"&amp;Table26[[#This Row],[po_line]]</f>
        <v>-</v>
      </c>
      <c r="O2458" s="15"/>
      <c r="P2458" s="50"/>
      <c r="S2458" s="90" t="str">
        <f>IF(Table26[[#This Row],[customerSKU]]="","",_xlfn.XLOOKUP(Table26[[#This Row],[customerSKU]],customerSKU!G:G,customerSKU!N:N,"NOT FOUND",0,1))</f>
        <v/>
      </c>
      <c r="T2458" s="20"/>
      <c r="U2458" s="94"/>
      <c r="V2458" s="22" t="str">
        <f>IF(ISBLANK(Table26[[#This Row],[customerSKU]]),"",_xlfn.XLOOKUP(Table26[[#This Row],[customerSKU]],Table27[customer_SKU],Table27[case_size],"",0,1))</f>
        <v/>
      </c>
      <c r="W2458" s="117" t="str">
        <f t="shared" si="104"/>
        <v/>
      </c>
      <c r="X2458" s="22" t="str">
        <f t="shared" si="103"/>
        <v/>
      </c>
      <c r="Y2458" s="25" t="str">
        <f>IF(Table26[[#This Row],[customerSKU]]="","",_xlfn.XLOOKUP(Table26[[#This Row],[customerSKU]],Table27[customer_SKU],Table27[product_GTIN],"",0,1))</f>
        <v/>
      </c>
      <c r="Z2458" s="25"/>
      <c r="AA2458" s="18" t="str" cm="1">
        <f t="array" ref="AA2458">IF(P2458="", "", _xlfn.XLOOKUP(P2458,#REF!,#REF!,NA,0,-1))</f>
        <v/>
      </c>
      <c r="AB2458" s="22"/>
      <c r="AC2458" s="23" t="str">
        <f>IF(Table26[[#This Row],[customerSKU]]="","",_xlfn.XLOOKUP(Table26[[#This Row],[customerSKU]],customerSKU!G:G,customerSKU!C:C,"",0,1))</f>
        <v/>
      </c>
      <c r="AD2458" s="23" t="str">
        <f>IF($AC2458="","",_xlfn.XLOOKUP($AC2458,'Client Info'!$C$2:$C$2497,'Client Info'!$D$2:$D$2497,"",0,1))</f>
        <v/>
      </c>
      <c r="AE2458" s="23" t="str">
        <f>IF($AC2458="","",_xlfn.XLOOKUP($AC2458,'Client Info'!$C$2:$C$2677,'Client Info'!$E$2:$E$2677,"",))</f>
        <v/>
      </c>
      <c r="AF2458" s="23" t="str">
        <f>IF($AC2458="","",_xlfn.XLOOKUP($AC2458,'Client Info'!$C$2:$C$2677,'Client Info'!$F$2:$F$2677,"",0,1))</f>
        <v/>
      </c>
      <c r="AG2458" s="23" t="str">
        <f>IF(ISBLANK(Table26[[#This Row],[customerSKU]]),"",_xlfn.XLOOKUP(Table26[[#This Row],[customerSKU]],Table27[customer_SKU],Table27[billto],"",0,1))</f>
        <v/>
      </c>
      <c r="AH2458" s="26" t="str">
        <f>_xlfn.XLOOKUP(Table26[[#This Row],[customerSKU]],customerSKU!G:G,customerSKU!K:K,"NA",0,1)</f>
        <v>NA</v>
      </c>
      <c r="AI2458" s="43" t="str">
        <f>_xlfn.XLOOKUP(Table26[[#This Row],[customerSKU]],customerSKU!G:G,customerSKU!O:O,"not found",0,1)</f>
        <v>not found</v>
      </c>
      <c r="AJ2458" s="22" t="e">
        <f>Table26[[#This Row],[unitprice]]*Table26[[#This Row],[quantity_unit]]</f>
        <v>#VALUE!</v>
      </c>
      <c r="AK2458" s="227" t="e" cm="1">
        <f t="array" ref="AK24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8" s="227"/>
    </row>
    <row r="2459" spans="1:38" ht="15.6">
      <c r="A2459" s="42">
        <v>2457</v>
      </c>
      <c r="B2459" s="42"/>
      <c r="C2459" s="53"/>
      <c r="E2459" s="20"/>
      <c r="F24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59" s="93"/>
      <c r="J2459" s="90" t="str">
        <f>IF(Table26[[#This Row],[customerSKU]]="","",_xlfn.XLOOKUP(Table26[[#This Row],[customerSKU]],customerSKU!G:G,customerSKU!A:A,"",0,1))</f>
        <v/>
      </c>
      <c r="K2459" s="19"/>
      <c r="L2459" s="49" t="str">
        <f>IF(Table26[[#This Row],[customerSKU]]="","",_xlfn.XLOOKUP(Table26[[#This Row],[customerSKU]],customerSKU!G:G,customerSKU!B:B,"",0,1))</f>
        <v/>
      </c>
      <c r="M2459" s="22"/>
      <c r="N2459" s="15" t="str">
        <f>Table26[[#This Row],[po_number]]&amp;"-"&amp;Table26[[#This Row],[po_line]]</f>
        <v>-</v>
      </c>
      <c r="O2459" s="15"/>
      <c r="P2459" s="50"/>
      <c r="S2459" s="90" t="str">
        <f>IF(Table26[[#This Row],[customerSKU]]="","",_xlfn.XLOOKUP(Table26[[#This Row],[customerSKU]],customerSKU!G:G,customerSKU!N:N,"NOT FOUND",0,1))</f>
        <v/>
      </c>
      <c r="T2459" s="20"/>
      <c r="U2459" s="94"/>
      <c r="V2459" s="22" t="str">
        <f>IF(ISBLANK(Table26[[#This Row],[customerSKU]]),"",_xlfn.XLOOKUP(Table26[[#This Row],[customerSKU]],Table27[customer_SKU],Table27[case_size],"",0,1))</f>
        <v/>
      </c>
      <c r="W2459" s="117" t="str">
        <f t="shared" si="104"/>
        <v/>
      </c>
      <c r="X2459" s="22" t="str">
        <f t="shared" si="103"/>
        <v/>
      </c>
      <c r="Y2459" s="25" t="str">
        <f>IF(Table26[[#This Row],[customerSKU]]="","",_xlfn.XLOOKUP(Table26[[#This Row],[customerSKU]],Table27[customer_SKU],Table27[product_GTIN],"",0,1))</f>
        <v/>
      </c>
      <c r="Z2459" s="25"/>
      <c r="AA2459" s="18" t="str" cm="1">
        <f t="array" ref="AA2459">IF(P2459="", "", _xlfn.XLOOKUP(P2459,#REF!,#REF!,NA,0,-1))</f>
        <v/>
      </c>
      <c r="AB2459" s="22"/>
      <c r="AC2459" s="23" t="str">
        <f>IF(Table26[[#This Row],[customerSKU]]="","",_xlfn.XLOOKUP(Table26[[#This Row],[customerSKU]],customerSKU!G:G,customerSKU!C:C,"",0,1))</f>
        <v/>
      </c>
      <c r="AD2459" s="23" t="str">
        <f>IF($AC2459="","",_xlfn.XLOOKUP($AC2459,'Client Info'!$C$2:$C$2497,'Client Info'!$D$2:$D$2497,"",0,1))</f>
        <v/>
      </c>
      <c r="AE2459" s="23" t="str">
        <f>IF($AC2459="","",_xlfn.XLOOKUP($AC2459,'Client Info'!$C$2:$C$2677,'Client Info'!$E$2:$E$2677,"",))</f>
        <v/>
      </c>
      <c r="AF2459" s="23" t="str">
        <f>IF($AC2459="","",_xlfn.XLOOKUP($AC2459,'Client Info'!$C$2:$C$2677,'Client Info'!$F$2:$F$2677,"",0,1))</f>
        <v/>
      </c>
      <c r="AG2459" s="23" t="str">
        <f>IF(ISBLANK(Table26[[#This Row],[customerSKU]]),"",_xlfn.XLOOKUP(Table26[[#This Row],[customerSKU]],Table27[customer_SKU],Table27[billto],"",0,1))</f>
        <v/>
      </c>
      <c r="AH2459" s="26" t="str">
        <f>_xlfn.XLOOKUP(Table26[[#This Row],[customerSKU]],customerSKU!G:G,customerSKU!K:K,"NA",0,1)</f>
        <v>NA</v>
      </c>
      <c r="AI2459" s="43" t="str">
        <f>_xlfn.XLOOKUP(Table26[[#This Row],[customerSKU]],customerSKU!G:G,customerSKU!O:O,"not found",0,1)</f>
        <v>not found</v>
      </c>
      <c r="AJ2459" s="22" t="e">
        <f>Table26[[#This Row],[unitprice]]*Table26[[#This Row],[quantity_unit]]</f>
        <v>#VALUE!</v>
      </c>
      <c r="AK2459" s="227" t="e" cm="1">
        <f t="array" ref="AK24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59" s="227"/>
    </row>
    <row r="2460" spans="1:38" ht="15.6">
      <c r="A2460" s="42">
        <v>2458</v>
      </c>
      <c r="B2460" s="42"/>
      <c r="C2460" s="53"/>
      <c r="E2460" s="20"/>
      <c r="F24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0" s="93"/>
      <c r="J2460" s="90" t="str">
        <f>IF(Table26[[#This Row],[customerSKU]]="","",_xlfn.XLOOKUP(Table26[[#This Row],[customerSKU]],customerSKU!G:G,customerSKU!A:A,"",0,1))</f>
        <v/>
      </c>
      <c r="K2460" s="19"/>
      <c r="L2460" s="49" t="str">
        <f>IF(Table26[[#This Row],[customerSKU]]="","",_xlfn.XLOOKUP(Table26[[#This Row],[customerSKU]],customerSKU!G:G,customerSKU!B:B,"",0,1))</f>
        <v/>
      </c>
      <c r="M2460" s="22"/>
      <c r="N2460" s="15" t="str">
        <f>Table26[[#This Row],[po_number]]&amp;"-"&amp;Table26[[#This Row],[po_line]]</f>
        <v>-</v>
      </c>
      <c r="O2460" s="15"/>
      <c r="P2460" s="50"/>
      <c r="S2460" s="90" t="str">
        <f>IF(Table26[[#This Row],[customerSKU]]="","",_xlfn.XLOOKUP(Table26[[#This Row],[customerSKU]],customerSKU!G:G,customerSKU!N:N,"NOT FOUND",0,1))</f>
        <v/>
      </c>
      <c r="T2460" s="20"/>
      <c r="U2460" s="94"/>
      <c r="V2460" s="22" t="str">
        <f>IF(ISBLANK(Table26[[#This Row],[customerSKU]]),"",_xlfn.XLOOKUP(Table26[[#This Row],[customerSKU]],Table27[customer_SKU],Table27[case_size],"",0,1))</f>
        <v/>
      </c>
      <c r="W2460" s="117" t="str">
        <f t="shared" si="104"/>
        <v/>
      </c>
      <c r="X2460" s="22" t="str">
        <f t="shared" si="103"/>
        <v/>
      </c>
      <c r="Y2460" s="25" t="str">
        <f>IF(Table26[[#This Row],[customerSKU]]="","",_xlfn.XLOOKUP(Table26[[#This Row],[customerSKU]],Table27[customer_SKU],Table27[product_GTIN],"",0,1))</f>
        <v/>
      </c>
      <c r="Z2460" s="25"/>
      <c r="AA2460" s="18" t="str" cm="1">
        <f t="array" ref="AA2460">IF(P2460="", "", _xlfn.XLOOKUP(P2460,#REF!,#REF!,NA,0,-1))</f>
        <v/>
      </c>
      <c r="AB2460" s="22"/>
      <c r="AC2460" s="23" t="str">
        <f>IF(Table26[[#This Row],[customerSKU]]="","",_xlfn.XLOOKUP(Table26[[#This Row],[customerSKU]],customerSKU!G:G,customerSKU!C:C,"",0,1))</f>
        <v/>
      </c>
      <c r="AD2460" s="23" t="str">
        <f>IF($AC2460="","",_xlfn.XLOOKUP($AC2460,'Client Info'!$C$2:$C$2497,'Client Info'!$D$2:$D$2497,"",0,1))</f>
        <v/>
      </c>
      <c r="AE2460" s="23" t="str">
        <f>IF($AC2460="","",_xlfn.XLOOKUP($AC2460,'Client Info'!$C$2:$C$2677,'Client Info'!$E$2:$E$2677,"",))</f>
        <v/>
      </c>
      <c r="AF2460" s="23" t="str">
        <f>IF($AC2460="","",_xlfn.XLOOKUP($AC2460,'Client Info'!$C$2:$C$2677,'Client Info'!$F$2:$F$2677,"",0,1))</f>
        <v/>
      </c>
      <c r="AG2460" s="23" t="str">
        <f>IF(ISBLANK(Table26[[#This Row],[customerSKU]]),"",_xlfn.XLOOKUP(Table26[[#This Row],[customerSKU]],Table27[customer_SKU],Table27[billto],"",0,1))</f>
        <v/>
      </c>
      <c r="AH2460" s="26" t="str">
        <f>_xlfn.XLOOKUP(Table26[[#This Row],[customerSKU]],customerSKU!G:G,customerSKU!K:K,"NA",0,1)</f>
        <v>NA</v>
      </c>
      <c r="AI2460" s="43" t="str">
        <f>_xlfn.XLOOKUP(Table26[[#This Row],[customerSKU]],customerSKU!G:G,customerSKU!O:O,"not found",0,1)</f>
        <v>not found</v>
      </c>
      <c r="AJ2460" s="22" t="e">
        <f>Table26[[#This Row],[unitprice]]*Table26[[#This Row],[quantity_unit]]</f>
        <v>#VALUE!</v>
      </c>
      <c r="AK2460" s="227" t="e" cm="1">
        <f t="array" ref="AK24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0" s="227"/>
    </row>
    <row r="2461" spans="1:38" ht="15.6">
      <c r="A2461" s="42">
        <v>2459</v>
      </c>
      <c r="B2461" s="42"/>
      <c r="C2461" s="53"/>
      <c r="E2461" s="20"/>
      <c r="F24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1" s="93"/>
      <c r="J2461" s="90" t="str">
        <f>IF(Table26[[#This Row],[customerSKU]]="","",_xlfn.XLOOKUP(Table26[[#This Row],[customerSKU]],customerSKU!G:G,customerSKU!A:A,"",0,1))</f>
        <v/>
      </c>
      <c r="K2461" s="19"/>
      <c r="L2461" s="49" t="str">
        <f>IF(Table26[[#This Row],[customerSKU]]="","",_xlfn.XLOOKUP(Table26[[#This Row],[customerSKU]],customerSKU!G:G,customerSKU!B:B,"",0,1))</f>
        <v/>
      </c>
      <c r="M2461" s="22"/>
      <c r="N2461" s="15" t="str">
        <f>Table26[[#This Row],[po_number]]&amp;"-"&amp;Table26[[#This Row],[po_line]]</f>
        <v>-</v>
      </c>
      <c r="O2461" s="15"/>
      <c r="P2461" s="50"/>
      <c r="S2461" s="90" t="str">
        <f>IF(Table26[[#This Row],[customerSKU]]="","",_xlfn.XLOOKUP(Table26[[#This Row],[customerSKU]],customerSKU!G:G,customerSKU!N:N,"NOT FOUND",0,1))</f>
        <v/>
      </c>
      <c r="T2461" s="20"/>
      <c r="U2461" s="94"/>
      <c r="V2461" s="22" t="str">
        <f>IF(ISBLANK(Table26[[#This Row],[customerSKU]]),"",_xlfn.XLOOKUP(Table26[[#This Row],[customerSKU]],Table27[customer_SKU],Table27[case_size],"",0,1))</f>
        <v/>
      </c>
      <c r="W2461" s="117" t="str">
        <f t="shared" si="104"/>
        <v/>
      </c>
      <c r="X2461" s="22" t="str">
        <f t="shared" si="103"/>
        <v/>
      </c>
      <c r="Y2461" s="25" t="str">
        <f>IF(Table26[[#This Row],[customerSKU]]="","",_xlfn.XLOOKUP(Table26[[#This Row],[customerSKU]],Table27[customer_SKU],Table27[product_GTIN],"",0,1))</f>
        <v/>
      </c>
      <c r="Z2461" s="25"/>
      <c r="AA2461" s="18" t="str" cm="1">
        <f t="array" ref="AA2461">IF(P2461="", "", _xlfn.XLOOKUP(P2461,#REF!,#REF!,NA,0,-1))</f>
        <v/>
      </c>
      <c r="AB2461" s="22"/>
      <c r="AC2461" s="23" t="str">
        <f>IF(Table26[[#This Row],[customerSKU]]="","",_xlfn.XLOOKUP(Table26[[#This Row],[customerSKU]],customerSKU!G:G,customerSKU!C:C,"",0,1))</f>
        <v/>
      </c>
      <c r="AD2461" s="23" t="str">
        <f>IF($AC2461="","",_xlfn.XLOOKUP($AC2461,'Client Info'!$C$2:$C$2497,'Client Info'!$D$2:$D$2497,"",0,1))</f>
        <v/>
      </c>
      <c r="AE2461" s="23" t="str">
        <f>IF($AC2461="","",_xlfn.XLOOKUP($AC2461,'Client Info'!$C$2:$C$2677,'Client Info'!$E$2:$E$2677,"",))</f>
        <v/>
      </c>
      <c r="AF2461" s="23" t="str">
        <f>IF($AC2461="","",_xlfn.XLOOKUP($AC2461,'Client Info'!$C$2:$C$2677,'Client Info'!$F$2:$F$2677,"",0,1))</f>
        <v/>
      </c>
      <c r="AG2461" s="23" t="str">
        <f>IF(ISBLANK(Table26[[#This Row],[customerSKU]]),"",_xlfn.XLOOKUP(Table26[[#This Row],[customerSKU]],Table27[customer_SKU],Table27[billto],"",0,1))</f>
        <v/>
      </c>
      <c r="AH2461" s="26" t="str">
        <f>_xlfn.XLOOKUP(Table26[[#This Row],[customerSKU]],customerSKU!G:G,customerSKU!K:K,"NA",0,1)</f>
        <v>NA</v>
      </c>
      <c r="AI2461" s="43" t="str">
        <f>_xlfn.XLOOKUP(Table26[[#This Row],[customerSKU]],customerSKU!G:G,customerSKU!O:O,"not found",0,1)</f>
        <v>not found</v>
      </c>
      <c r="AJ2461" s="22" t="e">
        <f>Table26[[#This Row],[unitprice]]*Table26[[#This Row],[quantity_unit]]</f>
        <v>#VALUE!</v>
      </c>
      <c r="AK2461" s="227" t="e" cm="1">
        <f t="array" ref="AK24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1" s="227"/>
    </row>
    <row r="2462" spans="1:38" ht="15.6">
      <c r="A2462" s="42">
        <v>2460</v>
      </c>
      <c r="B2462" s="42"/>
      <c r="C2462" s="53"/>
      <c r="E2462" s="20"/>
      <c r="F24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2" s="93"/>
      <c r="J2462" s="90" t="str">
        <f>IF(Table26[[#This Row],[customerSKU]]="","",_xlfn.XLOOKUP(Table26[[#This Row],[customerSKU]],customerSKU!G:G,customerSKU!A:A,"",0,1))</f>
        <v/>
      </c>
      <c r="K2462" s="19"/>
      <c r="L2462" s="49" t="str">
        <f>IF(Table26[[#This Row],[customerSKU]]="","",_xlfn.XLOOKUP(Table26[[#This Row],[customerSKU]],customerSKU!G:G,customerSKU!B:B,"",0,1))</f>
        <v/>
      </c>
      <c r="M2462" s="22"/>
      <c r="N2462" s="15" t="str">
        <f>Table26[[#This Row],[po_number]]&amp;"-"&amp;Table26[[#This Row],[po_line]]</f>
        <v>-</v>
      </c>
      <c r="O2462" s="15"/>
      <c r="P2462" s="50"/>
      <c r="S2462" s="90" t="str">
        <f>IF(Table26[[#This Row],[customerSKU]]="","",_xlfn.XLOOKUP(Table26[[#This Row],[customerSKU]],customerSKU!G:G,customerSKU!N:N,"NOT FOUND",0,1))</f>
        <v/>
      </c>
      <c r="T2462" s="20"/>
      <c r="U2462" s="94"/>
      <c r="V2462" s="22" t="str">
        <f>IF(ISBLANK(Table26[[#This Row],[customerSKU]]),"",_xlfn.XLOOKUP(Table26[[#This Row],[customerSKU]],Table27[customer_SKU],Table27[case_size],"",0,1))</f>
        <v/>
      </c>
      <c r="W2462" s="117" t="str">
        <f t="shared" si="104"/>
        <v/>
      </c>
      <c r="X2462" s="22" t="str">
        <f t="shared" si="103"/>
        <v/>
      </c>
      <c r="Y2462" s="25" t="str">
        <f>IF(Table26[[#This Row],[customerSKU]]="","",_xlfn.XLOOKUP(Table26[[#This Row],[customerSKU]],Table27[customer_SKU],Table27[product_GTIN],"",0,1))</f>
        <v/>
      </c>
      <c r="Z2462" s="25"/>
      <c r="AA2462" s="18" t="str" cm="1">
        <f t="array" ref="AA2462">IF(P2462="", "", _xlfn.XLOOKUP(P2462,#REF!,#REF!,NA,0,-1))</f>
        <v/>
      </c>
      <c r="AB2462" s="22"/>
      <c r="AC2462" s="23" t="str">
        <f>IF(Table26[[#This Row],[customerSKU]]="","",_xlfn.XLOOKUP(Table26[[#This Row],[customerSKU]],customerSKU!G:G,customerSKU!C:C,"",0,1))</f>
        <v/>
      </c>
      <c r="AD2462" s="23" t="str">
        <f>IF($AC2462="","",_xlfn.XLOOKUP($AC2462,'Client Info'!$C$2:$C$2497,'Client Info'!$D$2:$D$2497,"",0,1))</f>
        <v/>
      </c>
      <c r="AE2462" s="23" t="str">
        <f>IF($AC2462="","",_xlfn.XLOOKUP($AC2462,'Client Info'!$C$2:$C$2677,'Client Info'!$E$2:$E$2677,"",))</f>
        <v/>
      </c>
      <c r="AF2462" s="23" t="str">
        <f>IF($AC2462="","",_xlfn.XLOOKUP($AC2462,'Client Info'!$C$2:$C$2677,'Client Info'!$F$2:$F$2677,"",0,1))</f>
        <v/>
      </c>
      <c r="AG2462" s="23" t="str">
        <f>IF(ISBLANK(Table26[[#This Row],[customerSKU]]),"",_xlfn.XLOOKUP(Table26[[#This Row],[customerSKU]],Table27[customer_SKU],Table27[billto],"",0,1))</f>
        <v/>
      </c>
      <c r="AH2462" s="26" t="str">
        <f>_xlfn.XLOOKUP(Table26[[#This Row],[customerSKU]],customerSKU!G:G,customerSKU!K:K,"NA",0,1)</f>
        <v>NA</v>
      </c>
      <c r="AI2462" s="43" t="str">
        <f>_xlfn.XLOOKUP(Table26[[#This Row],[customerSKU]],customerSKU!G:G,customerSKU!O:O,"not found",0,1)</f>
        <v>not found</v>
      </c>
      <c r="AJ2462" s="22" t="e">
        <f>Table26[[#This Row],[unitprice]]*Table26[[#This Row],[quantity_unit]]</f>
        <v>#VALUE!</v>
      </c>
      <c r="AK2462" s="227" t="e" cm="1">
        <f t="array" ref="AK24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2" s="227"/>
    </row>
    <row r="2463" spans="1:38" ht="15.6">
      <c r="A2463" s="42">
        <v>2461</v>
      </c>
      <c r="B2463" s="42"/>
      <c r="C2463" s="53"/>
      <c r="E2463" s="20"/>
      <c r="F24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3" s="93"/>
      <c r="J2463" s="90" t="str">
        <f>IF(Table26[[#This Row],[customerSKU]]="","",_xlfn.XLOOKUP(Table26[[#This Row],[customerSKU]],customerSKU!G:G,customerSKU!A:A,"",0,1))</f>
        <v/>
      </c>
      <c r="K2463" s="19"/>
      <c r="L2463" s="49" t="str">
        <f>IF(Table26[[#This Row],[customerSKU]]="","",_xlfn.XLOOKUP(Table26[[#This Row],[customerSKU]],customerSKU!G:G,customerSKU!B:B,"",0,1))</f>
        <v/>
      </c>
      <c r="M2463" s="22"/>
      <c r="N2463" s="15" t="str">
        <f>Table26[[#This Row],[po_number]]&amp;"-"&amp;Table26[[#This Row],[po_line]]</f>
        <v>-</v>
      </c>
      <c r="O2463" s="15"/>
      <c r="P2463" s="50"/>
      <c r="S2463" s="90" t="str">
        <f>IF(Table26[[#This Row],[customerSKU]]="","",_xlfn.XLOOKUP(Table26[[#This Row],[customerSKU]],customerSKU!G:G,customerSKU!N:N,"NOT FOUND",0,1))</f>
        <v/>
      </c>
      <c r="T2463" s="20"/>
      <c r="U2463" s="94"/>
      <c r="V2463" s="22" t="str">
        <f>IF(ISBLANK(Table26[[#This Row],[customerSKU]]),"",_xlfn.XLOOKUP(Table26[[#This Row],[customerSKU]],Table27[customer_SKU],Table27[case_size],"",0,1))</f>
        <v/>
      </c>
      <c r="W2463" s="117" t="str">
        <f t="shared" si="104"/>
        <v/>
      </c>
      <c r="X2463" s="22" t="str">
        <f t="shared" si="103"/>
        <v/>
      </c>
      <c r="Y2463" s="25" t="str">
        <f>IF(Table26[[#This Row],[customerSKU]]="","",_xlfn.XLOOKUP(Table26[[#This Row],[customerSKU]],Table27[customer_SKU],Table27[product_GTIN],"",0,1))</f>
        <v/>
      </c>
      <c r="Z2463" s="25"/>
      <c r="AA2463" s="18" t="str" cm="1">
        <f t="array" ref="AA2463">IF(P2463="", "", _xlfn.XLOOKUP(P2463,#REF!,#REF!,NA,0,-1))</f>
        <v/>
      </c>
      <c r="AB2463" s="22"/>
      <c r="AC2463" s="23" t="str">
        <f>IF(Table26[[#This Row],[customerSKU]]="","",_xlfn.XLOOKUP(Table26[[#This Row],[customerSKU]],customerSKU!G:G,customerSKU!C:C,"",0,1))</f>
        <v/>
      </c>
      <c r="AD2463" s="23" t="str">
        <f>IF($AC2463="","",_xlfn.XLOOKUP($AC2463,'Client Info'!$C$2:$C$2497,'Client Info'!$D$2:$D$2497,"",0,1))</f>
        <v/>
      </c>
      <c r="AE2463" s="23" t="str">
        <f>IF($AC2463="","",_xlfn.XLOOKUP($AC2463,'Client Info'!$C$2:$C$2677,'Client Info'!$E$2:$E$2677,"",))</f>
        <v/>
      </c>
      <c r="AF2463" s="23" t="str">
        <f>IF($AC2463="","",_xlfn.XLOOKUP($AC2463,'Client Info'!$C$2:$C$2677,'Client Info'!$F$2:$F$2677,"",0,1))</f>
        <v/>
      </c>
      <c r="AG2463" s="23" t="str">
        <f>IF(ISBLANK(Table26[[#This Row],[customerSKU]]),"",_xlfn.XLOOKUP(Table26[[#This Row],[customerSKU]],Table27[customer_SKU],Table27[billto],"",0,1))</f>
        <v/>
      </c>
      <c r="AH2463" s="26" t="str">
        <f>_xlfn.XLOOKUP(Table26[[#This Row],[customerSKU]],customerSKU!G:G,customerSKU!K:K,"NA",0,1)</f>
        <v>NA</v>
      </c>
      <c r="AI2463" s="43" t="str">
        <f>_xlfn.XLOOKUP(Table26[[#This Row],[customerSKU]],customerSKU!G:G,customerSKU!O:O,"not found",0,1)</f>
        <v>not found</v>
      </c>
      <c r="AJ2463" s="22" t="e">
        <f>Table26[[#This Row],[unitprice]]*Table26[[#This Row],[quantity_unit]]</f>
        <v>#VALUE!</v>
      </c>
      <c r="AK2463" s="227" t="e" cm="1">
        <f t="array" ref="AK24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3" s="227"/>
    </row>
    <row r="2464" spans="1:38" ht="15.6">
      <c r="A2464" s="42">
        <v>2462</v>
      </c>
      <c r="B2464" s="42"/>
      <c r="C2464" s="53"/>
      <c r="E2464" s="20"/>
      <c r="F24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4" s="93"/>
      <c r="J2464" s="90" t="str">
        <f>IF(Table26[[#This Row],[customerSKU]]="","",_xlfn.XLOOKUP(Table26[[#This Row],[customerSKU]],customerSKU!G:G,customerSKU!A:A,"",0,1))</f>
        <v/>
      </c>
      <c r="K2464" s="19"/>
      <c r="L2464" s="49" t="str">
        <f>IF(Table26[[#This Row],[customerSKU]]="","",_xlfn.XLOOKUP(Table26[[#This Row],[customerSKU]],customerSKU!G:G,customerSKU!B:B,"",0,1))</f>
        <v/>
      </c>
      <c r="M2464" s="22"/>
      <c r="N2464" s="15" t="str">
        <f>Table26[[#This Row],[po_number]]&amp;"-"&amp;Table26[[#This Row],[po_line]]</f>
        <v>-</v>
      </c>
      <c r="O2464" s="15"/>
      <c r="P2464" s="50"/>
      <c r="S2464" s="90" t="str">
        <f>IF(Table26[[#This Row],[customerSKU]]="","",_xlfn.XLOOKUP(Table26[[#This Row],[customerSKU]],customerSKU!G:G,customerSKU!N:N,"NOT FOUND",0,1))</f>
        <v/>
      </c>
      <c r="T2464" s="20"/>
      <c r="U2464" s="94"/>
      <c r="V2464" s="22" t="str">
        <f>IF(ISBLANK(Table26[[#This Row],[customerSKU]]),"",_xlfn.XLOOKUP(Table26[[#This Row],[customerSKU]],Table27[customer_SKU],Table27[case_size],"",0,1))</f>
        <v/>
      </c>
      <c r="W2464" s="117" t="str">
        <f t="shared" si="104"/>
        <v/>
      </c>
      <c r="X2464" s="22" t="str">
        <f t="shared" si="103"/>
        <v/>
      </c>
      <c r="Y2464" s="25" t="str">
        <f>IF(Table26[[#This Row],[customerSKU]]="","",_xlfn.XLOOKUP(Table26[[#This Row],[customerSKU]],Table27[customer_SKU],Table27[product_GTIN],"",0,1))</f>
        <v/>
      </c>
      <c r="Z2464" s="25"/>
      <c r="AA2464" s="18" t="str" cm="1">
        <f t="array" ref="AA2464">IF(P2464="", "", _xlfn.XLOOKUP(P2464,#REF!,#REF!,NA,0,-1))</f>
        <v/>
      </c>
      <c r="AB2464" s="22"/>
      <c r="AC2464" s="23" t="str">
        <f>IF(Table26[[#This Row],[customerSKU]]="","",_xlfn.XLOOKUP(Table26[[#This Row],[customerSKU]],customerSKU!G:G,customerSKU!C:C,"",0,1))</f>
        <v/>
      </c>
      <c r="AD2464" s="23" t="str">
        <f>IF($AC2464="","",_xlfn.XLOOKUP($AC2464,'Client Info'!$C$2:$C$2497,'Client Info'!$D$2:$D$2497,"",0,1))</f>
        <v/>
      </c>
      <c r="AE2464" s="23" t="str">
        <f>IF($AC2464="","",_xlfn.XLOOKUP($AC2464,'Client Info'!$C$2:$C$2677,'Client Info'!$E$2:$E$2677,"",))</f>
        <v/>
      </c>
      <c r="AF2464" s="23" t="str">
        <f>IF($AC2464="","",_xlfn.XLOOKUP($AC2464,'Client Info'!$C$2:$C$2677,'Client Info'!$F$2:$F$2677,"",0,1))</f>
        <v/>
      </c>
      <c r="AG2464" s="23" t="str">
        <f>IF(ISBLANK(Table26[[#This Row],[customerSKU]]),"",_xlfn.XLOOKUP(Table26[[#This Row],[customerSKU]],Table27[customer_SKU],Table27[billto],"",0,1))</f>
        <v/>
      </c>
      <c r="AH2464" s="26" t="str">
        <f>_xlfn.XLOOKUP(Table26[[#This Row],[customerSKU]],customerSKU!G:G,customerSKU!K:K,"NA",0,1)</f>
        <v>NA</v>
      </c>
      <c r="AI2464" s="43" t="str">
        <f>_xlfn.XLOOKUP(Table26[[#This Row],[customerSKU]],customerSKU!G:G,customerSKU!O:O,"not found",0,1)</f>
        <v>not found</v>
      </c>
      <c r="AJ2464" s="22" t="e">
        <f>Table26[[#This Row],[unitprice]]*Table26[[#This Row],[quantity_unit]]</f>
        <v>#VALUE!</v>
      </c>
      <c r="AK2464" s="227" t="e" cm="1">
        <f t="array" ref="AK24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4" s="227"/>
    </row>
    <row r="2465" spans="1:38" ht="15.6">
      <c r="A2465" s="42">
        <v>2463</v>
      </c>
      <c r="B2465" s="42"/>
      <c r="C2465" s="53"/>
      <c r="E2465" s="20"/>
      <c r="F24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5" s="93"/>
      <c r="J2465" s="90" t="str">
        <f>IF(Table26[[#This Row],[customerSKU]]="","",_xlfn.XLOOKUP(Table26[[#This Row],[customerSKU]],customerSKU!G:G,customerSKU!A:A,"",0,1))</f>
        <v/>
      </c>
      <c r="K2465" s="19"/>
      <c r="L2465" s="49" t="str">
        <f>IF(Table26[[#This Row],[customerSKU]]="","",_xlfn.XLOOKUP(Table26[[#This Row],[customerSKU]],customerSKU!G:G,customerSKU!B:B,"",0,1))</f>
        <v/>
      </c>
      <c r="M2465" s="22"/>
      <c r="N2465" s="15" t="str">
        <f>Table26[[#This Row],[po_number]]&amp;"-"&amp;Table26[[#This Row],[po_line]]</f>
        <v>-</v>
      </c>
      <c r="O2465" s="15"/>
      <c r="P2465" s="50"/>
      <c r="S2465" s="90" t="str">
        <f>IF(Table26[[#This Row],[customerSKU]]="","",_xlfn.XLOOKUP(Table26[[#This Row],[customerSKU]],customerSKU!G:G,customerSKU!N:N,"NOT FOUND",0,1))</f>
        <v/>
      </c>
      <c r="T2465" s="20"/>
      <c r="U2465" s="94"/>
      <c r="V2465" s="22" t="str">
        <f>IF(ISBLANK(Table26[[#This Row],[customerSKU]]),"",_xlfn.XLOOKUP(Table26[[#This Row],[customerSKU]],Table27[customer_SKU],Table27[case_size],"",0,1))</f>
        <v/>
      </c>
      <c r="W2465" s="117" t="str">
        <f t="shared" si="104"/>
        <v/>
      </c>
      <c r="X2465" s="22" t="str">
        <f t="shared" si="103"/>
        <v/>
      </c>
      <c r="Y2465" s="25" t="str">
        <f>IF(Table26[[#This Row],[customerSKU]]="","",_xlfn.XLOOKUP(Table26[[#This Row],[customerSKU]],Table27[customer_SKU],Table27[product_GTIN],"",0,1))</f>
        <v/>
      </c>
      <c r="Z2465" s="25"/>
      <c r="AA2465" s="18" t="str" cm="1">
        <f t="array" ref="AA2465">IF(P2465="", "", _xlfn.XLOOKUP(P2465,#REF!,#REF!,NA,0,-1))</f>
        <v/>
      </c>
      <c r="AB2465" s="22"/>
      <c r="AC2465" s="23" t="str">
        <f>IF(Table26[[#This Row],[customerSKU]]="","",_xlfn.XLOOKUP(Table26[[#This Row],[customerSKU]],customerSKU!G:G,customerSKU!C:C,"",0,1))</f>
        <v/>
      </c>
      <c r="AD2465" s="23" t="str">
        <f>IF($AC2465="","",_xlfn.XLOOKUP($AC2465,'Client Info'!$C$2:$C$2497,'Client Info'!$D$2:$D$2497,"",0,1))</f>
        <v/>
      </c>
      <c r="AE2465" s="23" t="str">
        <f>IF($AC2465="","",_xlfn.XLOOKUP($AC2465,'Client Info'!$C$2:$C$2677,'Client Info'!$E$2:$E$2677,"",))</f>
        <v/>
      </c>
      <c r="AF2465" s="23" t="str">
        <f>IF($AC2465="","",_xlfn.XLOOKUP($AC2465,'Client Info'!$C$2:$C$2677,'Client Info'!$F$2:$F$2677,"",0,1))</f>
        <v/>
      </c>
      <c r="AG2465" s="23" t="str">
        <f>IF(ISBLANK(Table26[[#This Row],[customerSKU]]),"",_xlfn.XLOOKUP(Table26[[#This Row],[customerSKU]],Table27[customer_SKU],Table27[billto],"",0,1))</f>
        <v/>
      </c>
      <c r="AH2465" s="26" t="str">
        <f>_xlfn.XLOOKUP(Table26[[#This Row],[customerSKU]],customerSKU!G:G,customerSKU!K:K,"NA",0,1)</f>
        <v>NA</v>
      </c>
      <c r="AI2465" s="43" t="str">
        <f>_xlfn.XLOOKUP(Table26[[#This Row],[customerSKU]],customerSKU!G:G,customerSKU!O:O,"not found",0,1)</f>
        <v>not found</v>
      </c>
      <c r="AJ2465" s="22" t="e">
        <f>Table26[[#This Row],[unitprice]]*Table26[[#This Row],[quantity_unit]]</f>
        <v>#VALUE!</v>
      </c>
      <c r="AK2465" s="227" t="e" cm="1">
        <f t="array" ref="AK24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5" s="227"/>
    </row>
    <row r="2466" spans="1:38" ht="15.6">
      <c r="A2466" s="42">
        <v>2464</v>
      </c>
      <c r="B2466" s="42"/>
      <c r="C2466" s="53"/>
      <c r="E2466" s="20"/>
      <c r="F24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6" s="93"/>
      <c r="J2466" s="90" t="str">
        <f>IF(Table26[[#This Row],[customerSKU]]="","",_xlfn.XLOOKUP(Table26[[#This Row],[customerSKU]],customerSKU!G:G,customerSKU!A:A,"",0,1))</f>
        <v/>
      </c>
      <c r="K2466" s="19"/>
      <c r="L2466" s="49" t="str">
        <f>IF(Table26[[#This Row],[customerSKU]]="","",_xlfn.XLOOKUP(Table26[[#This Row],[customerSKU]],customerSKU!G:G,customerSKU!B:B,"",0,1))</f>
        <v/>
      </c>
      <c r="M2466" s="22"/>
      <c r="N2466" s="15" t="str">
        <f>Table26[[#This Row],[po_number]]&amp;"-"&amp;Table26[[#This Row],[po_line]]</f>
        <v>-</v>
      </c>
      <c r="O2466" s="15"/>
      <c r="P2466" s="50"/>
      <c r="S2466" s="90" t="str">
        <f>IF(Table26[[#This Row],[customerSKU]]="","",_xlfn.XLOOKUP(Table26[[#This Row],[customerSKU]],customerSKU!G:G,customerSKU!N:N,"NOT FOUND",0,1))</f>
        <v/>
      </c>
      <c r="T2466" s="20"/>
      <c r="U2466" s="94"/>
      <c r="V2466" s="22" t="str">
        <f>IF(ISBLANK(Table26[[#This Row],[customerSKU]]),"",_xlfn.XLOOKUP(Table26[[#This Row],[customerSKU]],Table27[customer_SKU],Table27[case_size],"",0,1))</f>
        <v/>
      </c>
      <c r="W2466" s="117" t="str">
        <f t="shared" si="104"/>
        <v/>
      </c>
      <c r="X2466" s="22" t="str">
        <f t="shared" si="103"/>
        <v/>
      </c>
      <c r="Y2466" s="25" t="str">
        <f>IF(Table26[[#This Row],[customerSKU]]="","",_xlfn.XLOOKUP(Table26[[#This Row],[customerSKU]],Table27[customer_SKU],Table27[product_GTIN],"",0,1))</f>
        <v/>
      </c>
      <c r="Z2466" s="25"/>
      <c r="AA2466" s="18" t="str" cm="1">
        <f t="array" ref="AA2466">IF(P2466="", "", _xlfn.XLOOKUP(P2466,#REF!,#REF!,NA,0,-1))</f>
        <v/>
      </c>
      <c r="AB2466" s="22"/>
      <c r="AC2466" s="23" t="str">
        <f>IF(Table26[[#This Row],[customerSKU]]="","",_xlfn.XLOOKUP(Table26[[#This Row],[customerSKU]],customerSKU!G:G,customerSKU!C:C,"",0,1))</f>
        <v/>
      </c>
      <c r="AD2466" s="23" t="str">
        <f>IF($AC2466="","",_xlfn.XLOOKUP($AC2466,'Client Info'!$C$2:$C$2497,'Client Info'!$D$2:$D$2497,"",0,1))</f>
        <v/>
      </c>
      <c r="AE2466" s="23" t="str">
        <f>IF($AC2466="","",_xlfn.XLOOKUP($AC2466,'Client Info'!$C$2:$C$2677,'Client Info'!$E$2:$E$2677,"",))</f>
        <v/>
      </c>
      <c r="AF2466" s="23" t="str">
        <f>IF($AC2466="","",_xlfn.XLOOKUP($AC2466,'Client Info'!$C$2:$C$2677,'Client Info'!$F$2:$F$2677,"",0,1))</f>
        <v/>
      </c>
      <c r="AG2466" s="23" t="str">
        <f>IF(ISBLANK(Table26[[#This Row],[customerSKU]]),"",_xlfn.XLOOKUP(Table26[[#This Row],[customerSKU]],Table27[customer_SKU],Table27[billto],"",0,1))</f>
        <v/>
      </c>
      <c r="AH2466" s="26" t="str">
        <f>_xlfn.XLOOKUP(Table26[[#This Row],[customerSKU]],customerSKU!G:G,customerSKU!K:K,"NA",0,1)</f>
        <v>NA</v>
      </c>
      <c r="AI2466" s="43" t="str">
        <f>_xlfn.XLOOKUP(Table26[[#This Row],[customerSKU]],customerSKU!G:G,customerSKU!O:O,"not found",0,1)</f>
        <v>not found</v>
      </c>
      <c r="AJ2466" s="22" t="e">
        <f>Table26[[#This Row],[unitprice]]*Table26[[#This Row],[quantity_unit]]</f>
        <v>#VALUE!</v>
      </c>
      <c r="AK2466" s="227" t="e" cm="1">
        <f t="array" ref="AK24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6" s="227"/>
    </row>
    <row r="2467" spans="1:38" ht="15.6">
      <c r="A2467" s="42">
        <v>2465</v>
      </c>
      <c r="B2467" s="42"/>
      <c r="C2467" s="53"/>
      <c r="E2467" s="20"/>
      <c r="F24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7" s="93"/>
      <c r="J2467" s="90" t="str">
        <f>IF(Table26[[#This Row],[customerSKU]]="","",_xlfn.XLOOKUP(Table26[[#This Row],[customerSKU]],customerSKU!G:G,customerSKU!A:A,"",0,1))</f>
        <v/>
      </c>
      <c r="K2467" s="19"/>
      <c r="L2467" s="49" t="str">
        <f>IF(Table26[[#This Row],[customerSKU]]="","",_xlfn.XLOOKUP(Table26[[#This Row],[customerSKU]],customerSKU!G:G,customerSKU!B:B,"",0,1))</f>
        <v/>
      </c>
      <c r="M2467" s="22"/>
      <c r="N2467" s="15" t="str">
        <f>Table26[[#This Row],[po_number]]&amp;"-"&amp;Table26[[#This Row],[po_line]]</f>
        <v>-</v>
      </c>
      <c r="O2467" s="15"/>
      <c r="P2467" s="50"/>
      <c r="S2467" s="90" t="str">
        <f>IF(Table26[[#This Row],[customerSKU]]="","",_xlfn.XLOOKUP(Table26[[#This Row],[customerSKU]],customerSKU!G:G,customerSKU!N:N,"NOT FOUND",0,1))</f>
        <v/>
      </c>
      <c r="T2467" s="20"/>
      <c r="U2467" s="94"/>
      <c r="V2467" s="22" t="str">
        <f>IF(ISBLANK(Table26[[#This Row],[customerSKU]]),"",_xlfn.XLOOKUP(Table26[[#This Row],[customerSKU]],Table27[customer_SKU],Table27[case_size],"",0,1))</f>
        <v/>
      </c>
      <c r="W2467" s="117" t="str">
        <f t="shared" si="104"/>
        <v/>
      </c>
      <c r="X2467" s="22" t="str">
        <f t="shared" si="103"/>
        <v/>
      </c>
      <c r="Y2467" s="25" t="str">
        <f>IF(Table26[[#This Row],[customerSKU]]="","",_xlfn.XLOOKUP(Table26[[#This Row],[customerSKU]],Table27[customer_SKU],Table27[product_GTIN],"",0,1))</f>
        <v/>
      </c>
      <c r="Z2467" s="25"/>
      <c r="AA2467" s="18" t="str" cm="1">
        <f t="array" ref="AA2467">IF(P2467="", "", _xlfn.XLOOKUP(P2467,#REF!,#REF!,NA,0,-1))</f>
        <v/>
      </c>
      <c r="AB2467" s="22"/>
      <c r="AC2467" s="23" t="str">
        <f>IF(Table26[[#This Row],[customerSKU]]="","",_xlfn.XLOOKUP(Table26[[#This Row],[customerSKU]],customerSKU!G:G,customerSKU!C:C,"",0,1))</f>
        <v/>
      </c>
      <c r="AD2467" s="23" t="str">
        <f>IF($AC2467="","",_xlfn.XLOOKUP($AC2467,'Client Info'!$C$2:$C$2497,'Client Info'!$D$2:$D$2497,"",0,1))</f>
        <v/>
      </c>
      <c r="AE2467" s="23" t="str">
        <f>IF($AC2467="","",_xlfn.XLOOKUP($AC2467,'Client Info'!$C$2:$C$2677,'Client Info'!$E$2:$E$2677,"",))</f>
        <v/>
      </c>
      <c r="AF2467" s="23" t="str">
        <f>IF($AC2467="","",_xlfn.XLOOKUP($AC2467,'Client Info'!$C$2:$C$2677,'Client Info'!$F$2:$F$2677,"",0,1))</f>
        <v/>
      </c>
      <c r="AG2467" s="23" t="str">
        <f>IF(ISBLANK(Table26[[#This Row],[customerSKU]]),"",_xlfn.XLOOKUP(Table26[[#This Row],[customerSKU]],Table27[customer_SKU],Table27[billto],"",0,1))</f>
        <v/>
      </c>
      <c r="AH2467" s="26" t="str">
        <f>_xlfn.XLOOKUP(Table26[[#This Row],[customerSKU]],customerSKU!G:G,customerSKU!K:K,"NA",0,1)</f>
        <v>NA</v>
      </c>
      <c r="AI2467" s="43" t="str">
        <f>_xlfn.XLOOKUP(Table26[[#This Row],[customerSKU]],customerSKU!G:G,customerSKU!O:O,"not found",0,1)</f>
        <v>not found</v>
      </c>
      <c r="AJ2467" s="22" t="e">
        <f>Table26[[#This Row],[unitprice]]*Table26[[#This Row],[quantity_unit]]</f>
        <v>#VALUE!</v>
      </c>
      <c r="AK2467" s="227" t="e" cm="1">
        <f t="array" ref="AK24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7" s="227"/>
    </row>
    <row r="2468" spans="1:38" ht="15.6">
      <c r="A2468" s="42">
        <v>2466</v>
      </c>
      <c r="B2468" s="42"/>
      <c r="C2468" s="53"/>
      <c r="E2468" s="20"/>
      <c r="F24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8" s="93"/>
      <c r="J2468" s="90" t="str">
        <f>IF(Table26[[#This Row],[customerSKU]]="","",_xlfn.XLOOKUP(Table26[[#This Row],[customerSKU]],customerSKU!G:G,customerSKU!A:A,"",0,1))</f>
        <v/>
      </c>
      <c r="K2468" s="19"/>
      <c r="L2468" s="49" t="str">
        <f>IF(Table26[[#This Row],[customerSKU]]="","",_xlfn.XLOOKUP(Table26[[#This Row],[customerSKU]],customerSKU!G:G,customerSKU!B:B,"",0,1))</f>
        <v/>
      </c>
      <c r="M2468" s="22"/>
      <c r="N2468" s="15" t="str">
        <f>Table26[[#This Row],[po_number]]&amp;"-"&amp;Table26[[#This Row],[po_line]]</f>
        <v>-</v>
      </c>
      <c r="O2468" s="15"/>
      <c r="P2468" s="50"/>
      <c r="S2468" s="90" t="str">
        <f>IF(Table26[[#This Row],[customerSKU]]="","",_xlfn.XLOOKUP(Table26[[#This Row],[customerSKU]],customerSKU!G:G,customerSKU!N:N,"NOT FOUND",0,1))</f>
        <v/>
      </c>
      <c r="T2468" s="20"/>
      <c r="U2468" s="94"/>
      <c r="V2468" s="22" t="str">
        <f>IF(ISBLANK(Table26[[#This Row],[customerSKU]]),"",_xlfn.XLOOKUP(Table26[[#This Row],[customerSKU]],Table27[customer_SKU],Table27[case_size],"",0,1))</f>
        <v/>
      </c>
      <c r="W2468" s="117" t="str">
        <f t="shared" si="104"/>
        <v/>
      </c>
      <c r="X2468" s="22" t="str">
        <f t="shared" si="103"/>
        <v/>
      </c>
      <c r="Y2468" s="25" t="str">
        <f>IF(Table26[[#This Row],[customerSKU]]="","",_xlfn.XLOOKUP(Table26[[#This Row],[customerSKU]],Table27[customer_SKU],Table27[product_GTIN],"",0,1))</f>
        <v/>
      </c>
      <c r="Z2468" s="25"/>
      <c r="AA2468" s="18" t="str" cm="1">
        <f t="array" ref="AA2468">IF(P2468="", "", _xlfn.XLOOKUP(P2468,#REF!,#REF!,NA,0,-1))</f>
        <v/>
      </c>
      <c r="AB2468" s="22"/>
      <c r="AC2468" s="23" t="str">
        <f>IF(Table26[[#This Row],[customerSKU]]="","",_xlfn.XLOOKUP(Table26[[#This Row],[customerSKU]],customerSKU!G:G,customerSKU!C:C,"",0,1))</f>
        <v/>
      </c>
      <c r="AD2468" s="23" t="str">
        <f>IF($AC2468="","",_xlfn.XLOOKUP($AC2468,'Client Info'!$C$2:$C$2497,'Client Info'!$D$2:$D$2497,"",0,1))</f>
        <v/>
      </c>
      <c r="AE2468" s="23" t="str">
        <f>IF($AC2468="","",_xlfn.XLOOKUP($AC2468,'Client Info'!$C$2:$C$2677,'Client Info'!$E$2:$E$2677,"",))</f>
        <v/>
      </c>
      <c r="AF2468" s="23" t="str">
        <f>IF($AC2468="","",_xlfn.XLOOKUP($AC2468,'Client Info'!$C$2:$C$2677,'Client Info'!$F$2:$F$2677,"",0,1))</f>
        <v/>
      </c>
      <c r="AG2468" s="23" t="str">
        <f>IF(ISBLANK(Table26[[#This Row],[customerSKU]]),"",_xlfn.XLOOKUP(Table26[[#This Row],[customerSKU]],Table27[customer_SKU],Table27[billto],"",0,1))</f>
        <v/>
      </c>
      <c r="AH2468" s="26" t="str">
        <f>_xlfn.XLOOKUP(Table26[[#This Row],[customerSKU]],customerSKU!G:G,customerSKU!K:K,"NA",0,1)</f>
        <v>NA</v>
      </c>
      <c r="AI2468" s="43" t="str">
        <f>_xlfn.XLOOKUP(Table26[[#This Row],[customerSKU]],customerSKU!G:G,customerSKU!O:O,"not found",0,1)</f>
        <v>not found</v>
      </c>
      <c r="AJ2468" s="22" t="e">
        <f>Table26[[#This Row],[unitprice]]*Table26[[#This Row],[quantity_unit]]</f>
        <v>#VALUE!</v>
      </c>
      <c r="AK2468" s="227" t="e" cm="1">
        <f t="array" ref="AK24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8" s="227"/>
    </row>
    <row r="2469" spans="1:38" ht="15.6">
      <c r="A2469" s="42">
        <v>2467</v>
      </c>
      <c r="B2469" s="42"/>
      <c r="C2469" s="53"/>
      <c r="E2469" s="20"/>
      <c r="F24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69" s="93"/>
      <c r="J2469" s="90" t="str">
        <f>IF(Table26[[#This Row],[customerSKU]]="","",_xlfn.XLOOKUP(Table26[[#This Row],[customerSKU]],customerSKU!G:G,customerSKU!A:A,"",0,1))</f>
        <v/>
      </c>
      <c r="K2469" s="19"/>
      <c r="L2469" s="49" t="str">
        <f>IF(Table26[[#This Row],[customerSKU]]="","",_xlfn.XLOOKUP(Table26[[#This Row],[customerSKU]],customerSKU!G:G,customerSKU!B:B,"",0,1))</f>
        <v/>
      </c>
      <c r="M2469" s="22"/>
      <c r="N2469" s="15" t="str">
        <f>Table26[[#This Row],[po_number]]&amp;"-"&amp;Table26[[#This Row],[po_line]]</f>
        <v>-</v>
      </c>
      <c r="O2469" s="15"/>
      <c r="P2469" s="50"/>
      <c r="S2469" s="90" t="str">
        <f>IF(Table26[[#This Row],[customerSKU]]="","",_xlfn.XLOOKUP(Table26[[#This Row],[customerSKU]],customerSKU!G:G,customerSKU!N:N,"NOT FOUND",0,1))</f>
        <v/>
      </c>
      <c r="T2469" s="20"/>
      <c r="U2469" s="94"/>
      <c r="V2469" s="22" t="str">
        <f>IF(ISBLANK(Table26[[#This Row],[customerSKU]]),"",_xlfn.XLOOKUP(Table26[[#This Row],[customerSKU]],Table27[customer_SKU],Table27[case_size],"",0,1))</f>
        <v/>
      </c>
      <c r="W2469" s="117" t="str">
        <f t="shared" si="104"/>
        <v/>
      </c>
      <c r="X2469" s="22" t="str">
        <f t="shared" si="103"/>
        <v/>
      </c>
      <c r="Y2469" s="25" t="str">
        <f>IF(Table26[[#This Row],[customerSKU]]="","",_xlfn.XLOOKUP(Table26[[#This Row],[customerSKU]],Table27[customer_SKU],Table27[product_GTIN],"",0,1))</f>
        <v/>
      </c>
      <c r="Z2469" s="25"/>
      <c r="AA2469" s="18" t="str" cm="1">
        <f t="array" ref="AA2469">IF(P2469="", "", _xlfn.XLOOKUP(P2469,#REF!,#REF!,NA,0,-1))</f>
        <v/>
      </c>
      <c r="AB2469" s="22"/>
      <c r="AC2469" s="23" t="str">
        <f>IF(Table26[[#This Row],[customerSKU]]="","",_xlfn.XLOOKUP(Table26[[#This Row],[customerSKU]],customerSKU!G:G,customerSKU!C:C,"",0,1))</f>
        <v/>
      </c>
      <c r="AD2469" s="23" t="str">
        <f>IF($AC2469="","",_xlfn.XLOOKUP($AC2469,'Client Info'!$C$2:$C$2497,'Client Info'!$D$2:$D$2497,"",0,1))</f>
        <v/>
      </c>
      <c r="AE2469" s="23" t="str">
        <f>IF($AC2469="","",_xlfn.XLOOKUP($AC2469,'Client Info'!$C$2:$C$2677,'Client Info'!$E$2:$E$2677,"",))</f>
        <v/>
      </c>
      <c r="AF2469" s="23" t="str">
        <f>IF($AC2469="","",_xlfn.XLOOKUP($AC2469,'Client Info'!$C$2:$C$2677,'Client Info'!$F$2:$F$2677,"",0,1))</f>
        <v/>
      </c>
      <c r="AG2469" s="23" t="str">
        <f>IF(ISBLANK(Table26[[#This Row],[customerSKU]]),"",_xlfn.XLOOKUP(Table26[[#This Row],[customerSKU]],Table27[customer_SKU],Table27[billto],"",0,1))</f>
        <v/>
      </c>
      <c r="AH2469" s="26" t="str">
        <f>_xlfn.XLOOKUP(Table26[[#This Row],[customerSKU]],customerSKU!G:G,customerSKU!K:K,"NA",0,1)</f>
        <v>NA</v>
      </c>
      <c r="AI2469" s="43" t="str">
        <f>_xlfn.XLOOKUP(Table26[[#This Row],[customerSKU]],customerSKU!G:G,customerSKU!O:O,"not found",0,1)</f>
        <v>not found</v>
      </c>
      <c r="AJ2469" s="22" t="e">
        <f>Table26[[#This Row],[unitprice]]*Table26[[#This Row],[quantity_unit]]</f>
        <v>#VALUE!</v>
      </c>
      <c r="AK2469" s="227" t="e" cm="1">
        <f t="array" ref="AK24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69" s="227"/>
    </row>
    <row r="2470" spans="1:38" ht="15.6">
      <c r="A2470" s="42">
        <v>2468</v>
      </c>
      <c r="B2470" s="42"/>
      <c r="C2470" s="53"/>
      <c r="E2470" s="20"/>
      <c r="F24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0" s="93"/>
      <c r="J2470" s="90" t="str">
        <f>IF(Table26[[#This Row],[customerSKU]]="","",_xlfn.XLOOKUP(Table26[[#This Row],[customerSKU]],customerSKU!G:G,customerSKU!A:A,"",0,1))</f>
        <v/>
      </c>
      <c r="K2470" s="19"/>
      <c r="L2470" s="49" t="str">
        <f>IF(Table26[[#This Row],[customerSKU]]="","",_xlfn.XLOOKUP(Table26[[#This Row],[customerSKU]],customerSKU!G:G,customerSKU!B:B,"",0,1))</f>
        <v/>
      </c>
      <c r="M2470" s="22"/>
      <c r="N2470" s="15" t="str">
        <f>Table26[[#This Row],[po_number]]&amp;"-"&amp;Table26[[#This Row],[po_line]]</f>
        <v>-</v>
      </c>
      <c r="O2470" s="15"/>
      <c r="P2470" s="50"/>
      <c r="S2470" s="90" t="str">
        <f>IF(Table26[[#This Row],[customerSKU]]="","",_xlfn.XLOOKUP(Table26[[#This Row],[customerSKU]],customerSKU!G:G,customerSKU!N:N,"NOT FOUND",0,1))</f>
        <v/>
      </c>
      <c r="T2470" s="20"/>
      <c r="U2470" s="94"/>
      <c r="V2470" s="22" t="str">
        <f>IF(ISBLANK(Table26[[#This Row],[customerSKU]]),"",_xlfn.XLOOKUP(Table26[[#This Row],[customerSKU]],Table27[customer_SKU],Table27[case_size],"",0,1))</f>
        <v/>
      </c>
      <c r="W2470" s="117" t="str">
        <f t="shared" si="104"/>
        <v/>
      </c>
      <c r="X2470" s="22" t="str">
        <f t="shared" ref="X2470:X2533" si="105">IFERROR($AA2470*$U2470, "")</f>
        <v/>
      </c>
      <c r="Y2470" s="25" t="str">
        <f>IF(Table26[[#This Row],[customerSKU]]="","",_xlfn.XLOOKUP(Table26[[#This Row],[customerSKU]],Table27[customer_SKU],Table27[product_GTIN],"",0,1))</f>
        <v/>
      </c>
      <c r="Z2470" s="25"/>
      <c r="AA2470" s="18" t="str" cm="1">
        <f t="array" ref="AA2470">IF(P2470="", "", _xlfn.XLOOKUP(P2470,#REF!,#REF!,NA,0,-1))</f>
        <v/>
      </c>
      <c r="AB2470" s="22"/>
      <c r="AC2470" s="23" t="str">
        <f>IF(Table26[[#This Row],[customerSKU]]="","",_xlfn.XLOOKUP(Table26[[#This Row],[customerSKU]],customerSKU!G:G,customerSKU!C:C,"",0,1))</f>
        <v/>
      </c>
      <c r="AD2470" s="23" t="str">
        <f>IF($AC2470="","",_xlfn.XLOOKUP($AC2470,'Client Info'!$C$2:$C$2497,'Client Info'!$D$2:$D$2497,"",0,1))</f>
        <v/>
      </c>
      <c r="AE2470" s="23" t="str">
        <f>IF($AC2470="","",_xlfn.XLOOKUP($AC2470,'Client Info'!$C$2:$C$2677,'Client Info'!$E$2:$E$2677,"",))</f>
        <v/>
      </c>
      <c r="AF2470" s="23" t="str">
        <f>IF($AC2470="","",_xlfn.XLOOKUP($AC2470,'Client Info'!$C$2:$C$2677,'Client Info'!$F$2:$F$2677,"",0,1))</f>
        <v/>
      </c>
      <c r="AG2470" s="23" t="str">
        <f>IF(ISBLANK(Table26[[#This Row],[customerSKU]]),"",_xlfn.XLOOKUP(Table26[[#This Row],[customerSKU]],Table27[customer_SKU],Table27[billto],"",0,1))</f>
        <v/>
      </c>
      <c r="AH2470" s="26" t="str">
        <f>_xlfn.XLOOKUP(Table26[[#This Row],[customerSKU]],customerSKU!G:G,customerSKU!K:K,"NA",0,1)</f>
        <v>NA</v>
      </c>
      <c r="AI2470" s="43" t="str">
        <f>_xlfn.XLOOKUP(Table26[[#This Row],[customerSKU]],customerSKU!G:G,customerSKU!O:O,"not found",0,1)</f>
        <v>not found</v>
      </c>
      <c r="AJ2470" s="22" t="e">
        <f>Table26[[#This Row],[unitprice]]*Table26[[#This Row],[quantity_unit]]</f>
        <v>#VALUE!</v>
      </c>
      <c r="AK2470" s="227" t="e" cm="1">
        <f t="array" ref="AK24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0" s="227"/>
    </row>
    <row r="2471" spans="1:38" ht="15.6">
      <c r="A2471" s="42">
        <v>2469</v>
      </c>
      <c r="B2471" s="42"/>
      <c r="C2471" s="53"/>
      <c r="E2471" s="20"/>
      <c r="F24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1" s="93"/>
      <c r="J2471" s="90" t="str">
        <f>IF(Table26[[#This Row],[customerSKU]]="","",_xlfn.XLOOKUP(Table26[[#This Row],[customerSKU]],customerSKU!G:G,customerSKU!A:A,"",0,1))</f>
        <v/>
      </c>
      <c r="K2471" s="19"/>
      <c r="L2471" s="49" t="str">
        <f>IF(Table26[[#This Row],[customerSKU]]="","",_xlfn.XLOOKUP(Table26[[#This Row],[customerSKU]],customerSKU!G:G,customerSKU!B:B,"",0,1))</f>
        <v/>
      </c>
      <c r="M2471" s="22"/>
      <c r="N2471" s="15" t="str">
        <f>Table26[[#This Row],[po_number]]&amp;"-"&amp;Table26[[#This Row],[po_line]]</f>
        <v>-</v>
      </c>
      <c r="O2471" s="15"/>
      <c r="P2471" s="50"/>
      <c r="S2471" s="90" t="str">
        <f>IF(Table26[[#This Row],[customerSKU]]="","",_xlfn.XLOOKUP(Table26[[#This Row],[customerSKU]],customerSKU!G:G,customerSKU!N:N,"NOT FOUND",0,1))</f>
        <v/>
      </c>
      <c r="T2471" s="20"/>
      <c r="U2471" s="94"/>
      <c r="V2471" s="22" t="str">
        <f>IF(ISBLANK(Table26[[#This Row],[customerSKU]]),"",_xlfn.XLOOKUP(Table26[[#This Row],[customerSKU]],Table27[customer_SKU],Table27[case_size],"",0,1))</f>
        <v/>
      </c>
      <c r="W2471" s="117" t="str">
        <f t="shared" si="104"/>
        <v/>
      </c>
      <c r="X2471" s="22" t="str">
        <f t="shared" si="105"/>
        <v/>
      </c>
      <c r="Y2471" s="25" t="str">
        <f>IF(Table26[[#This Row],[customerSKU]]="","",_xlfn.XLOOKUP(Table26[[#This Row],[customerSKU]],Table27[customer_SKU],Table27[product_GTIN],"",0,1))</f>
        <v/>
      </c>
      <c r="Z2471" s="25"/>
      <c r="AA2471" s="18" t="str" cm="1">
        <f t="array" ref="AA2471">IF(P2471="", "", _xlfn.XLOOKUP(P2471,#REF!,#REF!,NA,0,-1))</f>
        <v/>
      </c>
      <c r="AB2471" s="22"/>
      <c r="AC2471" s="23" t="str">
        <f>IF(Table26[[#This Row],[customerSKU]]="","",_xlfn.XLOOKUP(Table26[[#This Row],[customerSKU]],customerSKU!G:G,customerSKU!C:C,"",0,1))</f>
        <v/>
      </c>
      <c r="AD2471" s="23" t="str">
        <f>IF($AC2471="","",_xlfn.XLOOKUP($AC2471,'Client Info'!$C$2:$C$2497,'Client Info'!$D$2:$D$2497,"",0,1))</f>
        <v/>
      </c>
      <c r="AE2471" s="23" t="str">
        <f>IF($AC2471="","",_xlfn.XLOOKUP($AC2471,'Client Info'!$C$2:$C$2677,'Client Info'!$E$2:$E$2677,"",))</f>
        <v/>
      </c>
      <c r="AF2471" s="23" t="str">
        <f>IF($AC2471="","",_xlfn.XLOOKUP($AC2471,'Client Info'!$C$2:$C$2677,'Client Info'!$F$2:$F$2677,"",0,1))</f>
        <v/>
      </c>
      <c r="AG2471" s="23" t="str">
        <f>IF(ISBLANK(Table26[[#This Row],[customerSKU]]),"",_xlfn.XLOOKUP(Table26[[#This Row],[customerSKU]],Table27[customer_SKU],Table27[billto],"",0,1))</f>
        <v/>
      </c>
      <c r="AH2471" s="26" t="str">
        <f>_xlfn.XLOOKUP(Table26[[#This Row],[customerSKU]],customerSKU!G:G,customerSKU!K:K,"NA",0,1)</f>
        <v>NA</v>
      </c>
      <c r="AI2471" s="43" t="str">
        <f>_xlfn.XLOOKUP(Table26[[#This Row],[customerSKU]],customerSKU!G:G,customerSKU!O:O,"not found",0,1)</f>
        <v>not found</v>
      </c>
      <c r="AJ2471" s="22" t="e">
        <f>Table26[[#This Row],[unitprice]]*Table26[[#This Row],[quantity_unit]]</f>
        <v>#VALUE!</v>
      </c>
      <c r="AK2471" s="227" t="e" cm="1">
        <f t="array" ref="AK24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1" s="227"/>
    </row>
    <row r="2472" spans="1:38" ht="15.6">
      <c r="A2472" s="42">
        <v>2470</v>
      </c>
      <c r="B2472" s="42"/>
      <c r="C2472" s="53"/>
      <c r="E2472" s="20"/>
      <c r="F24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2" s="93"/>
      <c r="J2472" s="90" t="str">
        <f>IF(Table26[[#This Row],[customerSKU]]="","",_xlfn.XLOOKUP(Table26[[#This Row],[customerSKU]],customerSKU!G:G,customerSKU!A:A,"",0,1))</f>
        <v/>
      </c>
      <c r="K2472" s="19"/>
      <c r="L2472" s="49" t="str">
        <f>IF(Table26[[#This Row],[customerSKU]]="","",_xlfn.XLOOKUP(Table26[[#This Row],[customerSKU]],customerSKU!G:G,customerSKU!B:B,"",0,1))</f>
        <v/>
      </c>
      <c r="M2472" s="22"/>
      <c r="N2472" s="15" t="str">
        <f>Table26[[#This Row],[po_number]]&amp;"-"&amp;Table26[[#This Row],[po_line]]</f>
        <v>-</v>
      </c>
      <c r="O2472" s="15"/>
      <c r="P2472" s="50"/>
      <c r="S2472" s="90" t="str">
        <f>IF(Table26[[#This Row],[customerSKU]]="","",_xlfn.XLOOKUP(Table26[[#This Row],[customerSKU]],customerSKU!G:G,customerSKU!N:N,"NOT FOUND",0,1))</f>
        <v/>
      </c>
      <c r="T2472" s="20"/>
      <c r="U2472" s="94"/>
      <c r="V2472" s="22" t="str">
        <f>IF(ISBLANK(Table26[[#This Row],[customerSKU]]),"",_xlfn.XLOOKUP(Table26[[#This Row],[customerSKU]],Table27[customer_SKU],Table27[case_size],"",0,1))</f>
        <v/>
      </c>
      <c r="W2472" s="117" t="str">
        <f t="shared" si="104"/>
        <v/>
      </c>
      <c r="X2472" s="22" t="str">
        <f t="shared" si="105"/>
        <v/>
      </c>
      <c r="Y2472" s="25" t="str">
        <f>IF(Table26[[#This Row],[customerSKU]]="","",_xlfn.XLOOKUP(Table26[[#This Row],[customerSKU]],Table27[customer_SKU],Table27[product_GTIN],"",0,1))</f>
        <v/>
      </c>
      <c r="Z2472" s="25"/>
      <c r="AA2472" s="18" t="str" cm="1">
        <f t="array" ref="AA2472">IF(P2472="", "", _xlfn.XLOOKUP(P2472,#REF!,#REF!,NA,0,-1))</f>
        <v/>
      </c>
      <c r="AB2472" s="22"/>
      <c r="AC2472" s="23" t="str">
        <f>IF(Table26[[#This Row],[customerSKU]]="","",_xlfn.XLOOKUP(Table26[[#This Row],[customerSKU]],customerSKU!G:G,customerSKU!C:C,"",0,1))</f>
        <v/>
      </c>
      <c r="AD2472" s="23" t="str">
        <f>IF($AC2472="","",_xlfn.XLOOKUP($AC2472,'Client Info'!$C$2:$C$2497,'Client Info'!$D$2:$D$2497,"",0,1))</f>
        <v/>
      </c>
      <c r="AE2472" s="23" t="str">
        <f>IF($AC2472="","",_xlfn.XLOOKUP($AC2472,'Client Info'!$C$2:$C$2677,'Client Info'!$E$2:$E$2677,"",))</f>
        <v/>
      </c>
      <c r="AF2472" s="23" t="str">
        <f>IF($AC2472="","",_xlfn.XLOOKUP($AC2472,'Client Info'!$C$2:$C$2677,'Client Info'!$F$2:$F$2677,"",0,1))</f>
        <v/>
      </c>
      <c r="AG2472" s="23" t="str">
        <f>IF(ISBLANK(Table26[[#This Row],[customerSKU]]),"",_xlfn.XLOOKUP(Table26[[#This Row],[customerSKU]],Table27[customer_SKU],Table27[billto],"",0,1))</f>
        <v/>
      </c>
      <c r="AH2472" s="26" t="str">
        <f>_xlfn.XLOOKUP(Table26[[#This Row],[customerSKU]],customerSKU!G:G,customerSKU!K:K,"NA",0,1)</f>
        <v>NA</v>
      </c>
      <c r="AI2472" s="43" t="str">
        <f>_xlfn.XLOOKUP(Table26[[#This Row],[customerSKU]],customerSKU!G:G,customerSKU!O:O,"not found",0,1)</f>
        <v>not found</v>
      </c>
      <c r="AJ2472" s="22" t="e">
        <f>Table26[[#This Row],[unitprice]]*Table26[[#This Row],[quantity_unit]]</f>
        <v>#VALUE!</v>
      </c>
      <c r="AK2472" s="227" t="e" cm="1">
        <f t="array" ref="AK24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2" s="227"/>
    </row>
    <row r="2473" spans="1:38" ht="15.6">
      <c r="A2473" s="42">
        <v>2471</v>
      </c>
      <c r="B2473" s="42"/>
      <c r="C2473" s="53"/>
      <c r="E2473" s="20"/>
      <c r="F24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3" s="93"/>
      <c r="J2473" s="90" t="str">
        <f>IF(Table26[[#This Row],[customerSKU]]="","",_xlfn.XLOOKUP(Table26[[#This Row],[customerSKU]],customerSKU!G:G,customerSKU!A:A,"",0,1))</f>
        <v/>
      </c>
      <c r="K2473" s="19"/>
      <c r="L2473" s="49" t="str">
        <f>IF(Table26[[#This Row],[customerSKU]]="","",_xlfn.XLOOKUP(Table26[[#This Row],[customerSKU]],customerSKU!G:G,customerSKU!B:B,"",0,1))</f>
        <v/>
      </c>
      <c r="M2473" s="22"/>
      <c r="N2473" s="15" t="str">
        <f>Table26[[#This Row],[po_number]]&amp;"-"&amp;Table26[[#This Row],[po_line]]</f>
        <v>-</v>
      </c>
      <c r="O2473" s="15"/>
      <c r="P2473" s="50"/>
      <c r="S2473" s="90" t="str">
        <f>IF(Table26[[#This Row],[customerSKU]]="","",_xlfn.XLOOKUP(Table26[[#This Row],[customerSKU]],customerSKU!G:G,customerSKU!N:N,"NOT FOUND",0,1))</f>
        <v/>
      </c>
      <c r="T2473" s="20"/>
      <c r="U2473" s="94"/>
      <c r="V2473" s="22" t="str">
        <f>IF(ISBLANK(Table26[[#This Row],[customerSKU]]),"",_xlfn.XLOOKUP(Table26[[#This Row],[customerSKU]],Table27[customer_SKU],Table27[case_size],"",0,1))</f>
        <v/>
      </c>
      <c r="W2473" s="117" t="str">
        <f t="shared" si="104"/>
        <v/>
      </c>
      <c r="X2473" s="22" t="str">
        <f t="shared" si="105"/>
        <v/>
      </c>
      <c r="Y2473" s="25" t="str">
        <f>IF(Table26[[#This Row],[customerSKU]]="","",_xlfn.XLOOKUP(Table26[[#This Row],[customerSKU]],Table27[customer_SKU],Table27[product_GTIN],"",0,1))</f>
        <v/>
      </c>
      <c r="Z2473" s="25"/>
      <c r="AA2473" s="18" t="str" cm="1">
        <f t="array" ref="AA2473">IF(P2473="", "", _xlfn.XLOOKUP(P2473,#REF!,#REF!,NA,0,-1))</f>
        <v/>
      </c>
      <c r="AB2473" s="22"/>
      <c r="AC2473" s="23" t="str">
        <f>IF(Table26[[#This Row],[customerSKU]]="","",_xlfn.XLOOKUP(Table26[[#This Row],[customerSKU]],customerSKU!G:G,customerSKU!C:C,"",0,1))</f>
        <v/>
      </c>
      <c r="AD2473" s="23" t="str">
        <f>IF($AC2473="","",_xlfn.XLOOKUP($AC2473,'Client Info'!$C$2:$C$2497,'Client Info'!$D$2:$D$2497,"",0,1))</f>
        <v/>
      </c>
      <c r="AE2473" s="23" t="str">
        <f>IF($AC2473="","",_xlfn.XLOOKUP($AC2473,'Client Info'!$C$2:$C$2677,'Client Info'!$E$2:$E$2677,"",))</f>
        <v/>
      </c>
      <c r="AF2473" s="23" t="str">
        <f>IF($AC2473="","",_xlfn.XLOOKUP($AC2473,'Client Info'!$C$2:$C$2677,'Client Info'!$F$2:$F$2677,"",0,1))</f>
        <v/>
      </c>
      <c r="AG2473" s="23" t="str">
        <f>IF(ISBLANK(Table26[[#This Row],[customerSKU]]),"",_xlfn.XLOOKUP(Table26[[#This Row],[customerSKU]],Table27[customer_SKU],Table27[billto],"",0,1))</f>
        <v/>
      </c>
      <c r="AH2473" s="26" t="str">
        <f>_xlfn.XLOOKUP(Table26[[#This Row],[customerSKU]],customerSKU!G:G,customerSKU!K:K,"NA",0,1)</f>
        <v>NA</v>
      </c>
      <c r="AI2473" s="43" t="str">
        <f>_xlfn.XLOOKUP(Table26[[#This Row],[customerSKU]],customerSKU!G:G,customerSKU!O:O,"not found",0,1)</f>
        <v>not found</v>
      </c>
      <c r="AJ2473" s="22" t="e">
        <f>Table26[[#This Row],[unitprice]]*Table26[[#This Row],[quantity_unit]]</f>
        <v>#VALUE!</v>
      </c>
      <c r="AK2473" s="227" t="e" cm="1">
        <f t="array" ref="AK24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3" s="227"/>
    </row>
    <row r="2474" spans="1:38" ht="15.6">
      <c r="A2474" s="42">
        <v>2472</v>
      </c>
      <c r="B2474" s="42"/>
      <c r="C2474" s="53"/>
      <c r="E2474" s="20"/>
      <c r="F24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4" s="93"/>
      <c r="J2474" s="90" t="str">
        <f>IF(Table26[[#This Row],[customerSKU]]="","",_xlfn.XLOOKUP(Table26[[#This Row],[customerSKU]],customerSKU!G:G,customerSKU!A:A,"",0,1))</f>
        <v/>
      </c>
      <c r="K2474" s="19"/>
      <c r="L2474" s="49" t="str">
        <f>IF(Table26[[#This Row],[customerSKU]]="","",_xlfn.XLOOKUP(Table26[[#This Row],[customerSKU]],customerSKU!G:G,customerSKU!B:B,"",0,1))</f>
        <v/>
      </c>
      <c r="M2474" s="22"/>
      <c r="N2474" s="15" t="str">
        <f>Table26[[#This Row],[po_number]]&amp;"-"&amp;Table26[[#This Row],[po_line]]</f>
        <v>-</v>
      </c>
      <c r="O2474" s="15"/>
      <c r="P2474" s="50"/>
      <c r="S2474" s="90" t="str">
        <f>IF(Table26[[#This Row],[customerSKU]]="","",_xlfn.XLOOKUP(Table26[[#This Row],[customerSKU]],customerSKU!G:G,customerSKU!N:N,"NOT FOUND",0,1))</f>
        <v/>
      </c>
      <c r="T2474" s="20"/>
      <c r="U2474" s="94"/>
      <c r="V2474" s="22" t="str">
        <f>IF(ISBLANK(Table26[[#This Row],[customerSKU]]),"",_xlfn.XLOOKUP(Table26[[#This Row],[customerSKU]],Table27[customer_SKU],Table27[case_size],"",0,1))</f>
        <v/>
      </c>
      <c r="W2474" s="117" t="str">
        <f t="shared" si="104"/>
        <v/>
      </c>
      <c r="X2474" s="22" t="str">
        <f t="shared" si="105"/>
        <v/>
      </c>
      <c r="Y2474" s="25" t="str">
        <f>IF(Table26[[#This Row],[customerSKU]]="","",_xlfn.XLOOKUP(Table26[[#This Row],[customerSKU]],Table27[customer_SKU],Table27[product_GTIN],"",0,1))</f>
        <v/>
      </c>
      <c r="Z2474" s="25"/>
      <c r="AA2474" s="18" t="str" cm="1">
        <f t="array" ref="AA2474">IF(P2474="", "", _xlfn.XLOOKUP(P2474,#REF!,#REF!,NA,0,-1))</f>
        <v/>
      </c>
      <c r="AB2474" s="22"/>
      <c r="AC2474" s="23" t="str">
        <f>IF(Table26[[#This Row],[customerSKU]]="","",_xlfn.XLOOKUP(Table26[[#This Row],[customerSKU]],customerSKU!G:G,customerSKU!C:C,"",0,1))</f>
        <v/>
      </c>
      <c r="AD2474" s="23" t="str">
        <f>IF($AC2474="","",_xlfn.XLOOKUP($AC2474,'Client Info'!$C$2:$C$2497,'Client Info'!$D$2:$D$2497,"",0,1))</f>
        <v/>
      </c>
      <c r="AE2474" s="23" t="str">
        <f>IF($AC2474="","",_xlfn.XLOOKUP($AC2474,'Client Info'!$C$2:$C$2677,'Client Info'!$E$2:$E$2677,"",))</f>
        <v/>
      </c>
      <c r="AF2474" s="23" t="str">
        <f>IF($AC2474="","",_xlfn.XLOOKUP($AC2474,'Client Info'!$C$2:$C$2677,'Client Info'!$F$2:$F$2677,"",0,1))</f>
        <v/>
      </c>
      <c r="AG2474" s="23" t="str">
        <f>IF(ISBLANK(Table26[[#This Row],[customerSKU]]),"",_xlfn.XLOOKUP(Table26[[#This Row],[customerSKU]],Table27[customer_SKU],Table27[billto],"",0,1))</f>
        <v/>
      </c>
      <c r="AH2474" s="26" t="str">
        <f>_xlfn.XLOOKUP(Table26[[#This Row],[customerSKU]],customerSKU!G:G,customerSKU!K:K,"NA",0,1)</f>
        <v>NA</v>
      </c>
      <c r="AI2474" s="43" t="str">
        <f>_xlfn.XLOOKUP(Table26[[#This Row],[customerSKU]],customerSKU!G:G,customerSKU!O:O,"not found",0,1)</f>
        <v>not found</v>
      </c>
      <c r="AJ2474" s="22" t="e">
        <f>Table26[[#This Row],[unitprice]]*Table26[[#This Row],[quantity_unit]]</f>
        <v>#VALUE!</v>
      </c>
      <c r="AK2474" s="227" t="e" cm="1">
        <f t="array" ref="AK24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4" s="227"/>
    </row>
    <row r="2475" spans="1:38" ht="15.6">
      <c r="A2475" s="42">
        <v>2473</v>
      </c>
      <c r="B2475" s="42"/>
      <c r="C2475" s="53"/>
      <c r="E2475" s="20"/>
      <c r="F24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5" s="93"/>
      <c r="J2475" s="90" t="str">
        <f>IF(Table26[[#This Row],[customerSKU]]="","",_xlfn.XLOOKUP(Table26[[#This Row],[customerSKU]],customerSKU!G:G,customerSKU!A:A,"",0,1))</f>
        <v/>
      </c>
      <c r="K2475" s="19"/>
      <c r="L2475" s="49" t="str">
        <f>IF(Table26[[#This Row],[customerSKU]]="","",_xlfn.XLOOKUP(Table26[[#This Row],[customerSKU]],customerSKU!G:G,customerSKU!B:B,"",0,1))</f>
        <v/>
      </c>
      <c r="M2475" s="22"/>
      <c r="N2475" s="15" t="str">
        <f>Table26[[#This Row],[po_number]]&amp;"-"&amp;Table26[[#This Row],[po_line]]</f>
        <v>-</v>
      </c>
      <c r="O2475" s="15"/>
      <c r="P2475" s="50"/>
      <c r="S2475" s="90" t="str">
        <f>IF(Table26[[#This Row],[customerSKU]]="","",_xlfn.XLOOKUP(Table26[[#This Row],[customerSKU]],customerSKU!G:G,customerSKU!N:N,"NOT FOUND",0,1))</f>
        <v/>
      </c>
      <c r="T2475" s="20"/>
      <c r="U2475" s="94"/>
      <c r="V2475" s="22" t="str">
        <f>IF(ISBLANK(Table26[[#This Row],[customerSKU]]),"",_xlfn.XLOOKUP(Table26[[#This Row],[customerSKU]],Table27[customer_SKU],Table27[case_size],"",0,1))</f>
        <v/>
      </c>
      <c r="W2475" s="117" t="str">
        <f t="shared" si="104"/>
        <v/>
      </c>
      <c r="X2475" s="22" t="str">
        <f t="shared" si="105"/>
        <v/>
      </c>
      <c r="Y2475" s="25" t="str">
        <f>IF(Table26[[#This Row],[customerSKU]]="","",_xlfn.XLOOKUP(Table26[[#This Row],[customerSKU]],Table27[customer_SKU],Table27[product_GTIN],"",0,1))</f>
        <v/>
      </c>
      <c r="Z2475" s="25"/>
      <c r="AA2475" s="18" t="str" cm="1">
        <f t="array" ref="AA2475">IF(P2475="", "", _xlfn.XLOOKUP(P2475,#REF!,#REF!,NA,0,-1))</f>
        <v/>
      </c>
      <c r="AB2475" s="22"/>
      <c r="AC2475" s="23" t="str">
        <f>IF(Table26[[#This Row],[customerSKU]]="","",_xlfn.XLOOKUP(Table26[[#This Row],[customerSKU]],customerSKU!G:G,customerSKU!C:C,"",0,1))</f>
        <v/>
      </c>
      <c r="AD2475" s="23" t="str">
        <f>IF($AC2475="","",_xlfn.XLOOKUP($AC2475,'Client Info'!$C$2:$C$2497,'Client Info'!$D$2:$D$2497,"",0,1))</f>
        <v/>
      </c>
      <c r="AE2475" s="23" t="str">
        <f>IF($AC2475="","",_xlfn.XLOOKUP($AC2475,'Client Info'!$C$2:$C$2677,'Client Info'!$E$2:$E$2677,"",))</f>
        <v/>
      </c>
      <c r="AF2475" s="23" t="str">
        <f>IF($AC2475="","",_xlfn.XLOOKUP($AC2475,'Client Info'!$C$2:$C$2677,'Client Info'!$F$2:$F$2677,"",0,1))</f>
        <v/>
      </c>
      <c r="AG2475" s="23" t="str">
        <f>IF(ISBLANK(Table26[[#This Row],[customerSKU]]),"",_xlfn.XLOOKUP(Table26[[#This Row],[customerSKU]],Table27[customer_SKU],Table27[billto],"",0,1))</f>
        <v/>
      </c>
      <c r="AH2475" s="26" t="str">
        <f>_xlfn.XLOOKUP(Table26[[#This Row],[customerSKU]],customerSKU!G:G,customerSKU!K:K,"NA",0,1)</f>
        <v>NA</v>
      </c>
      <c r="AI2475" s="43" t="str">
        <f>_xlfn.XLOOKUP(Table26[[#This Row],[customerSKU]],customerSKU!G:G,customerSKU!O:O,"not found",0,1)</f>
        <v>not found</v>
      </c>
      <c r="AJ2475" s="22" t="e">
        <f>Table26[[#This Row],[unitprice]]*Table26[[#This Row],[quantity_unit]]</f>
        <v>#VALUE!</v>
      </c>
      <c r="AK2475" s="227" t="e" cm="1">
        <f t="array" ref="AK24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5" s="227"/>
    </row>
    <row r="2476" spans="1:38" ht="15.6">
      <c r="A2476" s="42">
        <v>2474</v>
      </c>
      <c r="B2476" s="42"/>
      <c r="C2476" s="53"/>
      <c r="E2476" s="20"/>
      <c r="F24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6" s="93"/>
      <c r="J2476" s="90" t="str">
        <f>IF(Table26[[#This Row],[customerSKU]]="","",_xlfn.XLOOKUP(Table26[[#This Row],[customerSKU]],customerSKU!G:G,customerSKU!A:A,"",0,1))</f>
        <v/>
      </c>
      <c r="K2476" s="19"/>
      <c r="L2476" s="49" t="str">
        <f>IF(Table26[[#This Row],[customerSKU]]="","",_xlfn.XLOOKUP(Table26[[#This Row],[customerSKU]],customerSKU!G:G,customerSKU!B:B,"",0,1))</f>
        <v/>
      </c>
      <c r="M2476" s="22"/>
      <c r="N2476" s="15" t="str">
        <f>Table26[[#This Row],[po_number]]&amp;"-"&amp;Table26[[#This Row],[po_line]]</f>
        <v>-</v>
      </c>
      <c r="O2476" s="15"/>
      <c r="P2476" s="50"/>
      <c r="S2476" s="90" t="str">
        <f>IF(Table26[[#This Row],[customerSKU]]="","",_xlfn.XLOOKUP(Table26[[#This Row],[customerSKU]],customerSKU!G:G,customerSKU!N:N,"NOT FOUND",0,1))</f>
        <v/>
      </c>
      <c r="T2476" s="20"/>
      <c r="U2476" s="94"/>
      <c r="V2476" s="22" t="str">
        <f>IF(ISBLANK(Table26[[#This Row],[customerSKU]]),"",_xlfn.XLOOKUP(Table26[[#This Row],[customerSKU]],Table27[customer_SKU],Table27[case_size],"",0,1))</f>
        <v/>
      </c>
      <c r="W2476" s="117" t="str">
        <f t="shared" si="104"/>
        <v/>
      </c>
      <c r="X2476" s="22" t="str">
        <f t="shared" si="105"/>
        <v/>
      </c>
      <c r="Y2476" s="25" t="str">
        <f>IF(Table26[[#This Row],[customerSKU]]="","",_xlfn.XLOOKUP(Table26[[#This Row],[customerSKU]],Table27[customer_SKU],Table27[product_GTIN],"",0,1))</f>
        <v/>
      </c>
      <c r="Z2476" s="25"/>
      <c r="AA2476" s="18" t="str" cm="1">
        <f t="array" ref="AA2476">IF(P2476="", "", _xlfn.XLOOKUP(P2476,#REF!,#REF!,NA,0,-1))</f>
        <v/>
      </c>
      <c r="AB2476" s="22"/>
      <c r="AC2476" s="23" t="str">
        <f>IF(Table26[[#This Row],[customerSKU]]="","",_xlfn.XLOOKUP(Table26[[#This Row],[customerSKU]],customerSKU!G:G,customerSKU!C:C,"",0,1))</f>
        <v/>
      </c>
      <c r="AD2476" s="23" t="str">
        <f>IF($AC2476="","",_xlfn.XLOOKUP($AC2476,'Client Info'!$C$2:$C$2497,'Client Info'!$D$2:$D$2497,"",0,1))</f>
        <v/>
      </c>
      <c r="AE2476" s="23" t="str">
        <f>IF($AC2476="","",_xlfn.XLOOKUP($AC2476,'Client Info'!$C$2:$C$2677,'Client Info'!$E$2:$E$2677,"",))</f>
        <v/>
      </c>
      <c r="AF2476" s="23" t="str">
        <f>IF($AC2476="","",_xlfn.XLOOKUP($AC2476,'Client Info'!$C$2:$C$2677,'Client Info'!$F$2:$F$2677,"",0,1))</f>
        <v/>
      </c>
      <c r="AG2476" s="23" t="str">
        <f>IF(ISBLANK(Table26[[#This Row],[customerSKU]]),"",_xlfn.XLOOKUP(Table26[[#This Row],[customerSKU]],Table27[customer_SKU],Table27[billto],"",0,1))</f>
        <v/>
      </c>
      <c r="AH2476" s="26" t="str">
        <f>_xlfn.XLOOKUP(Table26[[#This Row],[customerSKU]],customerSKU!G:G,customerSKU!K:K,"NA",0,1)</f>
        <v>NA</v>
      </c>
      <c r="AI2476" s="43" t="str">
        <f>_xlfn.XLOOKUP(Table26[[#This Row],[customerSKU]],customerSKU!G:G,customerSKU!O:O,"not found",0,1)</f>
        <v>not found</v>
      </c>
      <c r="AJ2476" s="22" t="e">
        <f>Table26[[#This Row],[unitprice]]*Table26[[#This Row],[quantity_unit]]</f>
        <v>#VALUE!</v>
      </c>
      <c r="AK2476" s="227" t="e" cm="1">
        <f t="array" ref="AK24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6" s="227"/>
    </row>
    <row r="2477" spans="1:38" ht="15.6">
      <c r="A2477" s="42">
        <v>2475</v>
      </c>
      <c r="B2477" s="42"/>
      <c r="C2477" s="53"/>
      <c r="E2477" s="20"/>
      <c r="F24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7" s="93"/>
      <c r="J2477" s="90" t="str">
        <f>IF(Table26[[#This Row],[customerSKU]]="","",_xlfn.XLOOKUP(Table26[[#This Row],[customerSKU]],customerSKU!G:G,customerSKU!A:A,"",0,1))</f>
        <v/>
      </c>
      <c r="K2477" s="19"/>
      <c r="L2477" s="49" t="str">
        <f>IF(Table26[[#This Row],[customerSKU]]="","",_xlfn.XLOOKUP(Table26[[#This Row],[customerSKU]],customerSKU!G:G,customerSKU!B:B,"",0,1))</f>
        <v/>
      </c>
      <c r="M2477" s="22"/>
      <c r="N2477" s="15" t="str">
        <f>Table26[[#This Row],[po_number]]&amp;"-"&amp;Table26[[#This Row],[po_line]]</f>
        <v>-</v>
      </c>
      <c r="O2477" s="15"/>
      <c r="P2477" s="50"/>
      <c r="S2477" s="90" t="str">
        <f>IF(Table26[[#This Row],[customerSKU]]="","",_xlfn.XLOOKUP(Table26[[#This Row],[customerSKU]],customerSKU!G:G,customerSKU!N:N,"NOT FOUND",0,1))</f>
        <v/>
      </c>
      <c r="T2477" s="20"/>
      <c r="U2477" s="94"/>
      <c r="V2477" s="22" t="str">
        <f>IF(ISBLANK(Table26[[#This Row],[customerSKU]]),"",_xlfn.XLOOKUP(Table26[[#This Row],[customerSKU]],Table27[customer_SKU],Table27[case_size],"",0,1))</f>
        <v/>
      </c>
      <c r="W2477" s="117" t="str">
        <f t="shared" si="104"/>
        <v/>
      </c>
      <c r="X2477" s="22" t="str">
        <f t="shared" si="105"/>
        <v/>
      </c>
      <c r="Y2477" s="25" t="str">
        <f>IF(Table26[[#This Row],[customerSKU]]="","",_xlfn.XLOOKUP(Table26[[#This Row],[customerSKU]],Table27[customer_SKU],Table27[product_GTIN],"",0,1))</f>
        <v/>
      </c>
      <c r="Z2477" s="25"/>
      <c r="AA2477" s="18" t="str" cm="1">
        <f t="array" ref="AA2477">IF(P2477="", "", _xlfn.XLOOKUP(P2477,#REF!,#REF!,NA,0,-1))</f>
        <v/>
      </c>
      <c r="AB2477" s="22"/>
      <c r="AC2477" s="23" t="str">
        <f>IF(Table26[[#This Row],[customerSKU]]="","",_xlfn.XLOOKUP(Table26[[#This Row],[customerSKU]],customerSKU!G:G,customerSKU!C:C,"",0,1))</f>
        <v/>
      </c>
      <c r="AD2477" s="23" t="str">
        <f>IF($AC2477="","",_xlfn.XLOOKUP($AC2477,'Client Info'!$C$2:$C$2497,'Client Info'!$D$2:$D$2497,"",0,1))</f>
        <v/>
      </c>
      <c r="AE2477" s="23" t="str">
        <f>IF($AC2477="","",_xlfn.XLOOKUP($AC2477,'Client Info'!$C$2:$C$2677,'Client Info'!$E$2:$E$2677,"",))</f>
        <v/>
      </c>
      <c r="AF2477" s="23" t="str">
        <f>IF($AC2477="","",_xlfn.XLOOKUP($AC2477,'Client Info'!$C$2:$C$2677,'Client Info'!$F$2:$F$2677,"",0,1))</f>
        <v/>
      </c>
      <c r="AG2477" s="23" t="str">
        <f>IF(ISBLANK(Table26[[#This Row],[customerSKU]]),"",_xlfn.XLOOKUP(Table26[[#This Row],[customerSKU]],Table27[customer_SKU],Table27[billto],"",0,1))</f>
        <v/>
      </c>
      <c r="AH2477" s="26" t="str">
        <f>_xlfn.XLOOKUP(Table26[[#This Row],[customerSKU]],customerSKU!G:G,customerSKU!K:K,"NA",0,1)</f>
        <v>NA</v>
      </c>
      <c r="AI2477" s="43" t="str">
        <f>_xlfn.XLOOKUP(Table26[[#This Row],[customerSKU]],customerSKU!G:G,customerSKU!O:O,"not found",0,1)</f>
        <v>not found</v>
      </c>
      <c r="AJ2477" s="22" t="e">
        <f>Table26[[#This Row],[unitprice]]*Table26[[#This Row],[quantity_unit]]</f>
        <v>#VALUE!</v>
      </c>
      <c r="AK2477" s="227" t="e" cm="1">
        <f t="array" ref="AK24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7" s="227"/>
    </row>
    <row r="2478" spans="1:38" ht="15.6">
      <c r="A2478" s="42">
        <v>2476</v>
      </c>
      <c r="B2478" s="42"/>
      <c r="C2478" s="53"/>
      <c r="E2478" s="20"/>
      <c r="F24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8" s="93"/>
      <c r="J2478" s="90" t="str">
        <f>IF(Table26[[#This Row],[customerSKU]]="","",_xlfn.XLOOKUP(Table26[[#This Row],[customerSKU]],customerSKU!G:G,customerSKU!A:A,"",0,1))</f>
        <v/>
      </c>
      <c r="K2478" s="19"/>
      <c r="L2478" s="49" t="str">
        <f>IF(Table26[[#This Row],[customerSKU]]="","",_xlfn.XLOOKUP(Table26[[#This Row],[customerSKU]],customerSKU!G:G,customerSKU!B:B,"",0,1))</f>
        <v/>
      </c>
      <c r="M2478" s="22"/>
      <c r="N2478" s="15" t="str">
        <f>Table26[[#This Row],[po_number]]&amp;"-"&amp;Table26[[#This Row],[po_line]]</f>
        <v>-</v>
      </c>
      <c r="O2478" s="15"/>
      <c r="P2478" s="50"/>
      <c r="S2478" s="90" t="str">
        <f>IF(Table26[[#This Row],[customerSKU]]="","",_xlfn.XLOOKUP(Table26[[#This Row],[customerSKU]],customerSKU!G:G,customerSKU!N:N,"NOT FOUND",0,1))</f>
        <v/>
      </c>
      <c r="T2478" s="20"/>
      <c r="U2478" s="94"/>
      <c r="V2478" s="22" t="str">
        <f>IF(ISBLANK(Table26[[#This Row],[customerSKU]]),"",_xlfn.XLOOKUP(Table26[[#This Row],[customerSKU]],Table27[customer_SKU],Table27[case_size],"",0,1))</f>
        <v/>
      </c>
      <c r="W2478" s="117" t="str">
        <f t="shared" si="104"/>
        <v/>
      </c>
      <c r="X2478" s="22" t="str">
        <f t="shared" si="105"/>
        <v/>
      </c>
      <c r="Y2478" s="25" t="str">
        <f>IF(Table26[[#This Row],[customerSKU]]="","",_xlfn.XLOOKUP(Table26[[#This Row],[customerSKU]],Table27[customer_SKU],Table27[product_GTIN],"",0,1))</f>
        <v/>
      </c>
      <c r="Z2478" s="25"/>
      <c r="AA2478" s="18" t="str" cm="1">
        <f t="array" ref="AA2478">IF(P2478="", "", _xlfn.XLOOKUP(P2478,#REF!,#REF!,NA,0,-1))</f>
        <v/>
      </c>
      <c r="AB2478" s="22"/>
      <c r="AC2478" s="23" t="str">
        <f>IF(Table26[[#This Row],[customerSKU]]="","",_xlfn.XLOOKUP(Table26[[#This Row],[customerSKU]],customerSKU!G:G,customerSKU!C:C,"",0,1))</f>
        <v/>
      </c>
      <c r="AD2478" s="23" t="str">
        <f>IF($AC2478="","",_xlfn.XLOOKUP($AC2478,'Client Info'!$C$2:$C$2497,'Client Info'!$D$2:$D$2497,"",0,1))</f>
        <v/>
      </c>
      <c r="AE2478" s="23" t="str">
        <f>IF($AC2478="","",_xlfn.XLOOKUP($AC2478,'Client Info'!$C$2:$C$2677,'Client Info'!$E$2:$E$2677,"",))</f>
        <v/>
      </c>
      <c r="AF2478" s="23" t="str">
        <f>IF($AC2478="","",_xlfn.XLOOKUP($AC2478,'Client Info'!$C$2:$C$2677,'Client Info'!$F$2:$F$2677,"",0,1))</f>
        <v/>
      </c>
      <c r="AG2478" s="23" t="str">
        <f>IF(ISBLANK(Table26[[#This Row],[customerSKU]]),"",_xlfn.XLOOKUP(Table26[[#This Row],[customerSKU]],Table27[customer_SKU],Table27[billto],"",0,1))</f>
        <v/>
      </c>
      <c r="AH2478" s="26" t="str">
        <f>_xlfn.XLOOKUP(Table26[[#This Row],[customerSKU]],customerSKU!G:G,customerSKU!K:K,"NA",0,1)</f>
        <v>NA</v>
      </c>
      <c r="AI2478" s="43" t="str">
        <f>_xlfn.XLOOKUP(Table26[[#This Row],[customerSKU]],customerSKU!G:G,customerSKU!O:O,"not found",0,1)</f>
        <v>not found</v>
      </c>
      <c r="AJ2478" s="22" t="e">
        <f>Table26[[#This Row],[unitprice]]*Table26[[#This Row],[quantity_unit]]</f>
        <v>#VALUE!</v>
      </c>
      <c r="AK2478" s="227" t="e" cm="1">
        <f t="array" ref="AK24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8" s="227"/>
    </row>
    <row r="2479" spans="1:38" ht="15.6">
      <c r="A2479" s="42">
        <v>2477</v>
      </c>
      <c r="B2479" s="42"/>
      <c r="C2479" s="53"/>
      <c r="E2479" s="20"/>
      <c r="F24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79" s="93"/>
      <c r="J2479" s="90" t="str">
        <f>IF(Table26[[#This Row],[customerSKU]]="","",_xlfn.XLOOKUP(Table26[[#This Row],[customerSKU]],customerSKU!G:G,customerSKU!A:A,"",0,1))</f>
        <v/>
      </c>
      <c r="K2479" s="19"/>
      <c r="L2479" s="49" t="str">
        <f>IF(Table26[[#This Row],[customerSKU]]="","",_xlfn.XLOOKUP(Table26[[#This Row],[customerSKU]],customerSKU!G:G,customerSKU!B:B,"",0,1))</f>
        <v/>
      </c>
      <c r="M2479" s="22"/>
      <c r="N2479" s="15" t="str">
        <f>Table26[[#This Row],[po_number]]&amp;"-"&amp;Table26[[#This Row],[po_line]]</f>
        <v>-</v>
      </c>
      <c r="O2479" s="15"/>
      <c r="P2479" s="50"/>
      <c r="S2479" s="90" t="str">
        <f>IF(Table26[[#This Row],[customerSKU]]="","",_xlfn.XLOOKUP(Table26[[#This Row],[customerSKU]],customerSKU!G:G,customerSKU!N:N,"NOT FOUND",0,1))</f>
        <v/>
      </c>
      <c r="T2479" s="20"/>
      <c r="U2479" s="94"/>
      <c r="V2479" s="22" t="str">
        <f>IF(ISBLANK(Table26[[#This Row],[customerSKU]]),"",_xlfn.XLOOKUP(Table26[[#This Row],[customerSKU]],Table27[customer_SKU],Table27[case_size],"",0,1))</f>
        <v/>
      </c>
      <c r="W2479" s="117" t="str">
        <f t="shared" si="104"/>
        <v/>
      </c>
      <c r="X2479" s="22" t="str">
        <f t="shared" si="105"/>
        <v/>
      </c>
      <c r="Y2479" s="25" t="str">
        <f>IF(Table26[[#This Row],[customerSKU]]="","",_xlfn.XLOOKUP(Table26[[#This Row],[customerSKU]],Table27[customer_SKU],Table27[product_GTIN],"",0,1))</f>
        <v/>
      </c>
      <c r="Z2479" s="25"/>
      <c r="AA2479" s="18" t="str" cm="1">
        <f t="array" ref="AA2479">IF(P2479="", "", _xlfn.XLOOKUP(P2479,#REF!,#REF!,NA,0,-1))</f>
        <v/>
      </c>
      <c r="AB2479" s="22"/>
      <c r="AC2479" s="23" t="str">
        <f>IF(Table26[[#This Row],[customerSKU]]="","",_xlfn.XLOOKUP(Table26[[#This Row],[customerSKU]],customerSKU!G:G,customerSKU!C:C,"",0,1))</f>
        <v/>
      </c>
      <c r="AD2479" s="23" t="str">
        <f>IF($AC2479="","",_xlfn.XLOOKUP($AC2479,'Client Info'!$C$2:$C$2497,'Client Info'!$D$2:$D$2497,"",0,1))</f>
        <v/>
      </c>
      <c r="AE2479" s="23" t="str">
        <f>IF($AC2479="","",_xlfn.XLOOKUP($AC2479,'Client Info'!$C$2:$C$2677,'Client Info'!$E$2:$E$2677,"",))</f>
        <v/>
      </c>
      <c r="AF2479" s="23" t="str">
        <f>IF($AC2479="","",_xlfn.XLOOKUP($AC2479,'Client Info'!$C$2:$C$2677,'Client Info'!$F$2:$F$2677,"",0,1))</f>
        <v/>
      </c>
      <c r="AG2479" s="23" t="str">
        <f>IF(ISBLANK(Table26[[#This Row],[customerSKU]]),"",_xlfn.XLOOKUP(Table26[[#This Row],[customerSKU]],Table27[customer_SKU],Table27[billto],"",0,1))</f>
        <v/>
      </c>
      <c r="AH2479" s="26" t="str">
        <f>_xlfn.XLOOKUP(Table26[[#This Row],[customerSKU]],customerSKU!G:G,customerSKU!K:K,"NA",0,1)</f>
        <v>NA</v>
      </c>
      <c r="AI2479" s="43" t="str">
        <f>_xlfn.XLOOKUP(Table26[[#This Row],[customerSKU]],customerSKU!G:G,customerSKU!O:O,"not found",0,1)</f>
        <v>not found</v>
      </c>
      <c r="AJ2479" s="22" t="e">
        <f>Table26[[#This Row],[unitprice]]*Table26[[#This Row],[quantity_unit]]</f>
        <v>#VALUE!</v>
      </c>
      <c r="AK2479" s="227" t="e" cm="1">
        <f t="array" ref="AK24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79" s="227"/>
    </row>
    <row r="2480" spans="1:38" ht="15.6">
      <c r="A2480" s="42">
        <v>2478</v>
      </c>
      <c r="B2480" s="42"/>
      <c r="C2480" s="53"/>
      <c r="E2480" s="20"/>
      <c r="F24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0" s="93"/>
      <c r="J2480" s="90" t="str">
        <f>IF(Table26[[#This Row],[customerSKU]]="","",_xlfn.XLOOKUP(Table26[[#This Row],[customerSKU]],customerSKU!G:G,customerSKU!A:A,"",0,1))</f>
        <v/>
      </c>
      <c r="K2480" s="19"/>
      <c r="L2480" s="49" t="str">
        <f>IF(Table26[[#This Row],[customerSKU]]="","",_xlfn.XLOOKUP(Table26[[#This Row],[customerSKU]],customerSKU!G:G,customerSKU!B:B,"",0,1))</f>
        <v/>
      </c>
      <c r="M2480" s="22"/>
      <c r="N2480" s="15" t="str">
        <f>Table26[[#This Row],[po_number]]&amp;"-"&amp;Table26[[#This Row],[po_line]]</f>
        <v>-</v>
      </c>
      <c r="O2480" s="15"/>
      <c r="P2480" s="50"/>
      <c r="S2480" s="90" t="str">
        <f>IF(Table26[[#This Row],[customerSKU]]="","",_xlfn.XLOOKUP(Table26[[#This Row],[customerSKU]],customerSKU!G:G,customerSKU!N:N,"NOT FOUND",0,1))</f>
        <v/>
      </c>
      <c r="T2480" s="20"/>
      <c r="U2480" s="94"/>
      <c r="V2480" s="22" t="str">
        <f>IF(ISBLANK(Table26[[#This Row],[customerSKU]]),"",_xlfn.XLOOKUP(Table26[[#This Row],[customerSKU]],Table27[customer_SKU],Table27[case_size],"",0,1))</f>
        <v/>
      </c>
      <c r="W2480" s="117" t="str">
        <f t="shared" si="104"/>
        <v/>
      </c>
      <c r="X2480" s="22" t="str">
        <f t="shared" si="105"/>
        <v/>
      </c>
      <c r="Y2480" s="25" t="str">
        <f>IF(Table26[[#This Row],[customerSKU]]="","",_xlfn.XLOOKUP(Table26[[#This Row],[customerSKU]],Table27[customer_SKU],Table27[product_GTIN],"",0,1))</f>
        <v/>
      </c>
      <c r="Z2480" s="25"/>
      <c r="AA2480" s="18" t="str" cm="1">
        <f t="array" ref="AA2480">IF(P2480="", "", _xlfn.XLOOKUP(P2480,#REF!,#REF!,NA,0,-1))</f>
        <v/>
      </c>
      <c r="AB2480" s="22"/>
      <c r="AC2480" s="23" t="str">
        <f>IF(Table26[[#This Row],[customerSKU]]="","",_xlfn.XLOOKUP(Table26[[#This Row],[customerSKU]],customerSKU!G:G,customerSKU!C:C,"",0,1))</f>
        <v/>
      </c>
      <c r="AD2480" s="23" t="str">
        <f>IF($AC2480="","",_xlfn.XLOOKUP($AC2480,'Client Info'!$C$2:$C$2497,'Client Info'!$D$2:$D$2497,"",0,1))</f>
        <v/>
      </c>
      <c r="AE2480" s="23" t="str">
        <f>IF($AC2480="","",_xlfn.XLOOKUP($AC2480,'Client Info'!$C$2:$C$2677,'Client Info'!$E$2:$E$2677,"",))</f>
        <v/>
      </c>
      <c r="AF2480" s="23" t="str">
        <f>IF($AC2480="","",_xlfn.XLOOKUP($AC2480,'Client Info'!$C$2:$C$2677,'Client Info'!$F$2:$F$2677,"",0,1))</f>
        <v/>
      </c>
      <c r="AG2480" s="23" t="str">
        <f>IF(ISBLANK(Table26[[#This Row],[customerSKU]]),"",_xlfn.XLOOKUP(Table26[[#This Row],[customerSKU]],Table27[customer_SKU],Table27[billto],"",0,1))</f>
        <v/>
      </c>
      <c r="AH2480" s="26" t="str">
        <f>_xlfn.XLOOKUP(Table26[[#This Row],[customerSKU]],customerSKU!G:G,customerSKU!K:K,"NA",0,1)</f>
        <v>NA</v>
      </c>
      <c r="AI2480" s="43" t="str">
        <f>_xlfn.XLOOKUP(Table26[[#This Row],[customerSKU]],customerSKU!G:G,customerSKU!O:O,"not found",0,1)</f>
        <v>not found</v>
      </c>
      <c r="AJ2480" s="22" t="e">
        <f>Table26[[#This Row],[unitprice]]*Table26[[#This Row],[quantity_unit]]</f>
        <v>#VALUE!</v>
      </c>
      <c r="AK2480" s="227" t="e" cm="1">
        <f t="array" ref="AK24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0" s="227"/>
    </row>
    <row r="2481" spans="1:38" ht="15.6">
      <c r="A2481" s="42">
        <v>2479</v>
      </c>
      <c r="B2481" s="42"/>
      <c r="C2481" s="53"/>
      <c r="E2481" s="20"/>
      <c r="F24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1" s="93"/>
      <c r="J2481" s="90" t="str">
        <f>IF(Table26[[#This Row],[customerSKU]]="","",_xlfn.XLOOKUP(Table26[[#This Row],[customerSKU]],customerSKU!G:G,customerSKU!A:A,"",0,1))</f>
        <v/>
      </c>
      <c r="K2481" s="19"/>
      <c r="L2481" s="49" t="str">
        <f>IF(Table26[[#This Row],[customerSKU]]="","",_xlfn.XLOOKUP(Table26[[#This Row],[customerSKU]],customerSKU!G:G,customerSKU!B:B,"",0,1))</f>
        <v/>
      </c>
      <c r="M2481" s="22"/>
      <c r="N2481" s="15" t="str">
        <f>Table26[[#This Row],[po_number]]&amp;"-"&amp;Table26[[#This Row],[po_line]]</f>
        <v>-</v>
      </c>
      <c r="O2481" s="15"/>
      <c r="P2481" s="50"/>
      <c r="S2481" s="90" t="str">
        <f>IF(Table26[[#This Row],[customerSKU]]="","",_xlfn.XLOOKUP(Table26[[#This Row],[customerSKU]],customerSKU!G:G,customerSKU!N:N,"NOT FOUND",0,1))</f>
        <v/>
      </c>
      <c r="T2481" s="20"/>
      <c r="U2481" s="94"/>
      <c r="V2481" s="22" t="str">
        <f>IF(ISBLANK(Table26[[#This Row],[customerSKU]]),"",_xlfn.XLOOKUP(Table26[[#This Row],[customerSKU]],Table27[customer_SKU],Table27[case_size],"",0,1))</f>
        <v/>
      </c>
      <c r="W2481" s="117" t="str">
        <f t="shared" si="104"/>
        <v/>
      </c>
      <c r="X2481" s="22" t="str">
        <f t="shared" si="105"/>
        <v/>
      </c>
      <c r="Y2481" s="25" t="str">
        <f>IF(Table26[[#This Row],[customerSKU]]="","",_xlfn.XLOOKUP(Table26[[#This Row],[customerSKU]],Table27[customer_SKU],Table27[product_GTIN],"",0,1))</f>
        <v/>
      </c>
      <c r="Z2481" s="25"/>
      <c r="AA2481" s="18" t="str" cm="1">
        <f t="array" ref="AA2481">IF(P2481="", "", _xlfn.XLOOKUP(P2481,#REF!,#REF!,NA,0,-1))</f>
        <v/>
      </c>
      <c r="AB2481" s="22"/>
      <c r="AC2481" s="23" t="str">
        <f>IF(Table26[[#This Row],[customerSKU]]="","",_xlfn.XLOOKUP(Table26[[#This Row],[customerSKU]],customerSKU!G:G,customerSKU!C:C,"",0,1))</f>
        <v/>
      </c>
      <c r="AD2481" s="23" t="str">
        <f>IF($AC2481="","",_xlfn.XLOOKUP($AC2481,'Client Info'!$C$2:$C$2497,'Client Info'!$D$2:$D$2497,"",0,1))</f>
        <v/>
      </c>
      <c r="AE2481" s="23" t="str">
        <f>IF($AC2481="","",_xlfn.XLOOKUP($AC2481,'Client Info'!$C$2:$C$2677,'Client Info'!$E$2:$E$2677,"",))</f>
        <v/>
      </c>
      <c r="AF2481" s="23" t="str">
        <f>IF($AC2481="","",_xlfn.XLOOKUP($AC2481,'Client Info'!$C$2:$C$2677,'Client Info'!$F$2:$F$2677,"",0,1))</f>
        <v/>
      </c>
      <c r="AG2481" s="23" t="str">
        <f>IF(ISBLANK(Table26[[#This Row],[customerSKU]]),"",_xlfn.XLOOKUP(Table26[[#This Row],[customerSKU]],Table27[customer_SKU],Table27[billto],"",0,1))</f>
        <v/>
      </c>
      <c r="AH2481" s="26" t="str">
        <f>_xlfn.XLOOKUP(Table26[[#This Row],[customerSKU]],customerSKU!G:G,customerSKU!K:K,"NA",0,1)</f>
        <v>NA</v>
      </c>
      <c r="AI2481" s="43" t="str">
        <f>_xlfn.XLOOKUP(Table26[[#This Row],[customerSKU]],customerSKU!G:G,customerSKU!O:O,"not found",0,1)</f>
        <v>not found</v>
      </c>
      <c r="AJ2481" s="22" t="e">
        <f>Table26[[#This Row],[unitprice]]*Table26[[#This Row],[quantity_unit]]</f>
        <v>#VALUE!</v>
      </c>
      <c r="AK2481" s="227" t="e" cm="1">
        <f t="array" ref="AK24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1" s="227"/>
    </row>
    <row r="2482" spans="1:38" ht="15.6">
      <c r="A2482" s="42">
        <v>2480</v>
      </c>
      <c r="B2482" s="42"/>
      <c r="C2482" s="53"/>
      <c r="E2482" s="20"/>
      <c r="F24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2" s="93"/>
      <c r="J2482" s="90" t="str">
        <f>IF(Table26[[#This Row],[customerSKU]]="","",_xlfn.XLOOKUP(Table26[[#This Row],[customerSKU]],customerSKU!G:G,customerSKU!A:A,"",0,1))</f>
        <v/>
      </c>
      <c r="K2482" s="19"/>
      <c r="L2482" s="49" t="str">
        <f>IF(Table26[[#This Row],[customerSKU]]="","",_xlfn.XLOOKUP(Table26[[#This Row],[customerSKU]],customerSKU!G:G,customerSKU!B:B,"",0,1))</f>
        <v/>
      </c>
      <c r="M2482" s="22"/>
      <c r="N2482" s="15" t="str">
        <f>Table26[[#This Row],[po_number]]&amp;"-"&amp;Table26[[#This Row],[po_line]]</f>
        <v>-</v>
      </c>
      <c r="O2482" s="15"/>
      <c r="P2482" s="50"/>
      <c r="S2482" s="90" t="str">
        <f>IF(Table26[[#This Row],[customerSKU]]="","",_xlfn.XLOOKUP(Table26[[#This Row],[customerSKU]],customerSKU!G:G,customerSKU!N:N,"NOT FOUND",0,1))</f>
        <v/>
      </c>
      <c r="T2482" s="20"/>
      <c r="U2482" s="94"/>
      <c r="V2482" s="22" t="str">
        <f>IF(ISBLANK(Table26[[#This Row],[customerSKU]]),"",_xlfn.XLOOKUP(Table26[[#This Row],[customerSKU]],Table27[customer_SKU],Table27[case_size],"",0,1))</f>
        <v/>
      </c>
      <c r="W2482" s="117" t="str">
        <f t="shared" si="104"/>
        <v/>
      </c>
      <c r="X2482" s="22" t="str">
        <f t="shared" si="105"/>
        <v/>
      </c>
      <c r="Y2482" s="25" t="str">
        <f>IF(Table26[[#This Row],[customerSKU]]="","",_xlfn.XLOOKUP(Table26[[#This Row],[customerSKU]],Table27[customer_SKU],Table27[product_GTIN],"",0,1))</f>
        <v/>
      </c>
      <c r="Z2482" s="25"/>
      <c r="AA2482" s="18" t="str" cm="1">
        <f t="array" ref="AA2482">IF(P2482="", "", _xlfn.XLOOKUP(P2482,#REF!,#REF!,NA,0,-1))</f>
        <v/>
      </c>
      <c r="AB2482" s="22"/>
      <c r="AC2482" s="23" t="str">
        <f>IF(Table26[[#This Row],[customerSKU]]="","",_xlfn.XLOOKUP(Table26[[#This Row],[customerSKU]],customerSKU!G:G,customerSKU!C:C,"",0,1))</f>
        <v/>
      </c>
      <c r="AD2482" s="23" t="str">
        <f>IF($AC2482="","",_xlfn.XLOOKUP($AC2482,'Client Info'!$C$2:$C$2497,'Client Info'!$D$2:$D$2497,"",0,1))</f>
        <v/>
      </c>
      <c r="AE2482" s="23" t="str">
        <f>IF($AC2482="","",_xlfn.XLOOKUP($AC2482,'Client Info'!$C$2:$C$2677,'Client Info'!$E$2:$E$2677,"",))</f>
        <v/>
      </c>
      <c r="AF2482" s="23" t="str">
        <f>IF($AC2482="","",_xlfn.XLOOKUP($AC2482,'Client Info'!$C$2:$C$2677,'Client Info'!$F$2:$F$2677,"",0,1))</f>
        <v/>
      </c>
      <c r="AG2482" s="23" t="str">
        <f>IF(ISBLANK(Table26[[#This Row],[customerSKU]]),"",_xlfn.XLOOKUP(Table26[[#This Row],[customerSKU]],Table27[customer_SKU],Table27[billto],"",0,1))</f>
        <v/>
      </c>
      <c r="AH2482" s="26" t="str">
        <f>_xlfn.XLOOKUP(Table26[[#This Row],[customerSKU]],customerSKU!G:G,customerSKU!K:K,"NA",0,1)</f>
        <v>NA</v>
      </c>
      <c r="AI2482" s="43" t="str">
        <f>_xlfn.XLOOKUP(Table26[[#This Row],[customerSKU]],customerSKU!G:G,customerSKU!O:O,"not found",0,1)</f>
        <v>not found</v>
      </c>
      <c r="AJ2482" s="22" t="e">
        <f>Table26[[#This Row],[unitprice]]*Table26[[#This Row],[quantity_unit]]</f>
        <v>#VALUE!</v>
      </c>
      <c r="AK2482" s="227" t="e" cm="1">
        <f t="array" ref="AK24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2" s="227"/>
    </row>
    <row r="2483" spans="1:38" ht="15.6">
      <c r="A2483" s="42">
        <v>2481</v>
      </c>
      <c r="B2483" s="42"/>
      <c r="C2483" s="53"/>
      <c r="E2483" s="20"/>
      <c r="F24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3" s="93"/>
      <c r="J2483" s="90" t="str">
        <f>IF(Table26[[#This Row],[customerSKU]]="","",_xlfn.XLOOKUP(Table26[[#This Row],[customerSKU]],customerSKU!G:G,customerSKU!A:A,"",0,1))</f>
        <v/>
      </c>
      <c r="K2483" s="19"/>
      <c r="L2483" s="49" t="str">
        <f>IF(Table26[[#This Row],[customerSKU]]="","",_xlfn.XLOOKUP(Table26[[#This Row],[customerSKU]],customerSKU!G:G,customerSKU!B:B,"",0,1))</f>
        <v/>
      </c>
      <c r="M2483" s="22"/>
      <c r="N2483" s="15" t="str">
        <f>Table26[[#This Row],[po_number]]&amp;"-"&amp;Table26[[#This Row],[po_line]]</f>
        <v>-</v>
      </c>
      <c r="O2483" s="15"/>
      <c r="P2483" s="50"/>
      <c r="S2483" s="90" t="str">
        <f>IF(Table26[[#This Row],[customerSKU]]="","",_xlfn.XLOOKUP(Table26[[#This Row],[customerSKU]],customerSKU!G:G,customerSKU!N:N,"NOT FOUND",0,1))</f>
        <v/>
      </c>
      <c r="T2483" s="20"/>
      <c r="U2483" s="94"/>
      <c r="V2483" s="22" t="str">
        <f>IF(ISBLANK(Table26[[#This Row],[customerSKU]]),"",_xlfn.XLOOKUP(Table26[[#This Row],[customerSKU]],Table27[customer_SKU],Table27[case_size],"",0,1))</f>
        <v/>
      </c>
      <c r="W2483" s="117" t="str">
        <f t="shared" ref="W2483:W2546" si="106">IFERROR(U2483/V2483, "")</f>
        <v/>
      </c>
      <c r="X2483" s="22" t="str">
        <f t="shared" si="105"/>
        <v/>
      </c>
      <c r="Y2483" s="25" t="str">
        <f>IF(Table26[[#This Row],[customerSKU]]="","",_xlfn.XLOOKUP(Table26[[#This Row],[customerSKU]],Table27[customer_SKU],Table27[product_GTIN],"",0,1))</f>
        <v/>
      </c>
      <c r="Z2483" s="25"/>
      <c r="AA2483" s="18" t="str" cm="1">
        <f t="array" ref="AA2483">IF(P2483="", "", _xlfn.XLOOKUP(P2483,#REF!,#REF!,NA,0,-1))</f>
        <v/>
      </c>
      <c r="AB2483" s="22"/>
      <c r="AC2483" s="23" t="str">
        <f>IF(Table26[[#This Row],[customerSKU]]="","",_xlfn.XLOOKUP(Table26[[#This Row],[customerSKU]],customerSKU!G:G,customerSKU!C:C,"",0,1))</f>
        <v/>
      </c>
      <c r="AD2483" s="23" t="str">
        <f>IF($AC2483="","",_xlfn.XLOOKUP($AC2483,'Client Info'!$C$2:$C$2497,'Client Info'!$D$2:$D$2497,"",0,1))</f>
        <v/>
      </c>
      <c r="AE2483" s="23" t="str">
        <f>IF($AC2483="","",_xlfn.XLOOKUP($AC2483,'Client Info'!$C$2:$C$2677,'Client Info'!$E$2:$E$2677,"",))</f>
        <v/>
      </c>
      <c r="AF2483" s="23" t="str">
        <f>IF($AC2483="","",_xlfn.XLOOKUP($AC2483,'Client Info'!$C$2:$C$2677,'Client Info'!$F$2:$F$2677,"",0,1))</f>
        <v/>
      </c>
      <c r="AG2483" s="23" t="str">
        <f>IF(ISBLANK(Table26[[#This Row],[customerSKU]]),"",_xlfn.XLOOKUP(Table26[[#This Row],[customerSKU]],Table27[customer_SKU],Table27[billto],"",0,1))</f>
        <v/>
      </c>
      <c r="AH2483" s="26" t="str">
        <f>_xlfn.XLOOKUP(Table26[[#This Row],[customerSKU]],customerSKU!G:G,customerSKU!K:K,"NA",0,1)</f>
        <v>NA</v>
      </c>
      <c r="AI2483" s="43" t="str">
        <f>_xlfn.XLOOKUP(Table26[[#This Row],[customerSKU]],customerSKU!G:G,customerSKU!O:O,"not found",0,1)</f>
        <v>not found</v>
      </c>
      <c r="AJ2483" s="22" t="e">
        <f>Table26[[#This Row],[unitprice]]*Table26[[#This Row],[quantity_unit]]</f>
        <v>#VALUE!</v>
      </c>
      <c r="AK2483" s="227" t="e" cm="1">
        <f t="array" ref="AK24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3" s="227"/>
    </row>
    <row r="2484" spans="1:38" ht="15.6">
      <c r="A2484" s="42">
        <v>2482</v>
      </c>
      <c r="B2484" s="42"/>
      <c r="C2484" s="53"/>
      <c r="E2484" s="20"/>
      <c r="F24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4" s="93"/>
      <c r="J2484" s="90" t="str">
        <f>IF(Table26[[#This Row],[customerSKU]]="","",_xlfn.XLOOKUP(Table26[[#This Row],[customerSKU]],customerSKU!G:G,customerSKU!A:A,"",0,1))</f>
        <v/>
      </c>
      <c r="K2484" s="19"/>
      <c r="L2484" s="49" t="str">
        <f>IF(Table26[[#This Row],[customerSKU]]="","",_xlfn.XLOOKUP(Table26[[#This Row],[customerSKU]],customerSKU!G:G,customerSKU!B:B,"",0,1))</f>
        <v/>
      </c>
      <c r="M2484" s="22"/>
      <c r="N2484" s="15" t="str">
        <f>Table26[[#This Row],[po_number]]&amp;"-"&amp;Table26[[#This Row],[po_line]]</f>
        <v>-</v>
      </c>
      <c r="O2484" s="15"/>
      <c r="P2484" s="50"/>
      <c r="S2484" s="90" t="str">
        <f>IF(Table26[[#This Row],[customerSKU]]="","",_xlfn.XLOOKUP(Table26[[#This Row],[customerSKU]],customerSKU!G:G,customerSKU!N:N,"NOT FOUND",0,1))</f>
        <v/>
      </c>
      <c r="T2484" s="20"/>
      <c r="U2484" s="94"/>
      <c r="V2484" s="22" t="str">
        <f>IF(ISBLANK(Table26[[#This Row],[customerSKU]]),"",_xlfn.XLOOKUP(Table26[[#This Row],[customerSKU]],Table27[customer_SKU],Table27[case_size],"",0,1))</f>
        <v/>
      </c>
      <c r="W2484" s="117" t="str">
        <f t="shared" si="106"/>
        <v/>
      </c>
      <c r="X2484" s="22" t="str">
        <f t="shared" si="105"/>
        <v/>
      </c>
      <c r="Y2484" s="25" t="str">
        <f>IF(Table26[[#This Row],[customerSKU]]="","",_xlfn.XLOOKUP(Table26[[#This Row],[customerSKU]],Table27[customer_SKU],Table27[product_GTIN],"",0,1))</f>
        <v/>
      </c>
      <c r="Z2484" s="25"/>
      <c r="AA2484" s="18" t="str" cm="1">
        <f t="array" ref="AA2484">IF(P2484="", "", _xlfn.XLOOKUP(P2484,#REF!,#REF!,NA,0,-1))</f>
        <v/>
      </c>
      <c r="AB2484" s="22"/>
      <c r="AC2484" s="23" t="str">
        <f>IF(Table26[[#This Row],[customerSKU]]="","",_xlfn.XLOOKUP(Table26[[#This Row],[customerSKU]],customerSKU!G:G,customerSKU!C:C,"",0,1))</f>
        <v/>
      </c>
      <c r="AD2484" s="23" t="str">
        <f>IF($AC2484="","",_xlfn.XLOOKUP($AC2484,'Client Info'!$C$2:$C$2497,'Client Info'!$D$2:$D$2497,"",0,1))</f>
        <v/>
      </c>
      <c r="AE2484" s="23" t="str">
        <f>IF($AC2484="","",_xlfn.XLOOKUP($AC2484,'Client Info'!$C$2:$C$2677,'Client Info'!$E$2:$E$2677,"",))</f>
        <v/>
      </c>
      <c r="AF2484" s="23" t="str">
        <f>IF($AC2484="","",_xlfn.XLOOKUP($AC2484,'Client Info'!$C$2:$C$2677,'Client Info'!$F$2:$F$2677,"",0,1))</f>
        <v/>
      </c>
      <c r="AG2484" s="23" t="str">
        <f>IF(ISBLANK(Table26[[#This Row],[customerSKU]]),"",_xlfn.XLOOKUP(Table26[[#This Row],[customerSKU]],Table27[customer_SKU],Table27[billto],"",0,1))</f>
        <v/>
      </c>
      <c r="AH2484" s="26" t="str">
        <f>_xlfn.XLOOKUP(Table26[[#This Row],[customerSKU]],customerSKU!G:G,customerSKU!K:K,"NA",0,1)</f>
        <v>NA</v>
      </c>
      <c r="AI2484" s="43" t="str">
        <f>_xlfn.XLOOKUP(Table26[[#This Row],[customerSKU]],customerSKU!G:G,customerSKU!O:O,"not found",0,1)</f>
        <v>not found</v>
      </c>
      <c r="AJ2484" s="22" t="e">
        <f>Table26[[#This Row],[unitprice]]*Table26[[#This Row],[quantity_unit]]</f>
        <v>#VALUE!</v>
      </c>
      <c r="AK2484" s="227" t="e" cm="1">
        <f t="array" ref="AK24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4" s="227"/>
    </row>
    <row r="2485" spans="1:38" ht="15.6">
      <c r="A2485" s="42">
        <v>2483</v>
      </c>
      <c r="B2485" s="42"/>
      <c r="C2485" s="53"/>
      <c r="E2485" s="20"/>
      <c r="F24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5" s="93"/>
      <c r="J2485" s="90" t="str">
        <f>IF(Table26[[#This Row],[customerSKU]]="","",_xlfn.XLOOKUP(Table26[[#This Row],[customerSKU]],customerSKU!G:G,customerSKU!A:A,"",0,1))</f>
        <v/>
      </c>
      <c r="K2485" s="19"/>
      <c r="L2485" s="49" t="str">
        <f>IF(Table26[[#This Row],[customerSKU]]="","",_xlfn.XLOOKUP(Table26[[#This Row],[customerSKU]],customerSKU!G:G,customerSKU!B:B,"",0,1))</f>
        <v/>
      </c>
      <c r="M2485" s="22"/>
      <c r="N2485" s="15" t="str">
        <f>Table26[[#This Row],[po_number]]&amp;"-"&amp;Table26[[#This Row],[po_line]]</f>
        <v>-</v>
      </c>
      <c r="O2485" s="15"/>
      <c r="P2485" s="50"/>
      <c r="S2485" s="90" t="str">
        <f>IF(Table26[[#This Row],[customerSKU]]="","",_xlfn.XLOOKUP(Table26[[#This Row],[customerSKU]],customerSKU!G:G,customerSKU!N:N,"NOT FOUND",0,1))</f>
        <v/>
      </c>
      <c r="T2485" s="20"/>
      <c r="U2485" s="94"/>
      <c r="V2485" s="22" t="str">
        <f>IF(ISBLANK(Table26[[#This Row],[customerSKU]]),"",_xlfn.XLOOKUP(Table26[[#This Row],[customerSKU]],Table27[customer_SKU],Table27[case_size],"",0,1))</f>
        <v/>
      </c>
      <c r="W2485" s="117" t="str">
        <f t="shared" si="106"/>
        <v/>
      </c>
      <c r="X2485" s="22" t="str">
        <f t="shared" si="105"/>
        <v/>
      </c>
      <c r="Y2485" s="25" t="str">
        <f>IF(Table26[[#This Row],[customerSKU]]="","",_xlfn.XLOOKUP(Table26[[#This Row],[customerSKU]],Table27[customer_SKU],Table27[product_GTIN],"",0,1))</f>
        <v/>
      </c>
      <c r="Z2485" s="25"/>
      <c r="AA2485" s="18" t="str" cm="1">
        <f t="array" ref="AA2485">IF(P2485="", "", _xlfn.XLOOKUP(P2485,#REF!,#REF!,NA,0,-1))</f>
        <v/>
      </c>
      <c r="AB2485" s="22"/>
      <c r="AC2485" s="23" t="str">
        <f>IF(Table26[[#This Row],[customerSKU]]="","",_xlfn.XLOOKUP(Table26[[#This Row],[customerSKU]],customerSKU!G:G,customerSKU!C:C,"",0,1))</f>
        <v/>
      </c>
      <c r="AD2485" s="23" t="str">
        <f>IF($AC2485="","",_xlfn.XLOOKUP($AC2485,'Client Info'!$C$2:$C$2497,'Client Info'!$D$2:$D$2497,"",0,1))</f>
        <v/>
      </c>
      <c r="AE2485" s="23" t="str">
        <f>IF($AC2485="","",_xlfn.XLOOKUP($AC2485,'Client Info'!$C$2:$C$2677,'Client Info'!$E$2:$E$2677,"",))</f>
        <v/>
      </c>
      <c r="AF2485" s="23" t="str">
        <f>IF($AC2485="","",_xlfn.XLOOKUP($AC2485,'Client Info'!$C$2:$C$2677,'Client Info'!$F$2:$F$2677,"",0,1))</f>
        <v/>
      </c>
      <c r="AG2485" s="23" t="str">
        <f>IF(ISBLANK(Table26[[#This Row],[customerSKU]]),"",_xlfn.XLOOKUP(Table26[[#This Row],[customerSKU]],Table27[customer_SKU],Table27[billto],"",0,1))</f>
        <v/>
      </c>
      <c r="AH2485" s="26" t="str">
        <f>_xlfn.XLOOKUP(Table26[[#This Row],[customerSKU]],customerSKU!G:G,customerSKU!K:K,"NA",0,1)</f>
        <v>NA</v>
      </c>
      <c r="AI2485" s="43" t="str">
        <f>_xlfn.XLOOKUP(Table26[[#This Row],[customerSKU]],customerSKU!G:G,customerSKU!O:O,"not found",0,1)</f>
        <v>not found</v>
      </c>
      <c r="AJ2485" s="22" t="e">
        <f>Table26[[#This Row],[unitprice]]*Table26[[#This Row],[quantity_unit]]</f>
        <v>#VALUE!</v>
      </c>
      <c r="AK2485" s="227" t="e" cm="1">
        <f t="array" ref="AK24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5" s="227"/>
    </row>
    <row r="2486" spans="1:38" ht="15.6">
      <c r="A2486" s="42">
        <v>2484</v>
      </c>
      <c r="B2486" s="42"/>
      <c r="C2486" s="53"/>
      <c r="E2486" s="20"/>
      <c r="F24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6" s="93"/>
      <c r="J2486" s="90" t="str">
        <f>IF(Table26[[#This Row],[customerSKU]]="","",_xlfn.XLOOKUP(Table26[[#This Row],[customerSKU]],customerSKU!G:G,customerSKU!A:A,"",0,1))</f>
        <v/>
      </c>
      <c r="K2486" s="19"/>
      <c r="L2486" s="49" t="str">
        <f>IF(Table26[[#This Row],[customerSKU]]="","",_xlfn.XLOOKUP(Table26[[#This Row],[customerSKU]],customerSKU!G:G,customerSKU!B:B,"",0,1))</f>
        <v/>
      </c>
      <c r="M2486" s="22"/>
      <c r="N2486" s="15" t="str">
        <f>Table26[[#This Row],[po_number]]&amp;"-"&amp;Table26[[#This Row],[po_line]]</f>
        <v>-</v>
      </c>
      <c r="O2486" s="15"/>
      <c r="P2486" s="50"/>
      <c r="S2486" s="90" t="str">
        <f>IF(Table26[[#This Row],[customerSKU]]="","",_xlfn.XLOOKUP(Table26[[#This Row],[customerSKU]],customerSKU!G:G,customerSKU!N:N,"NOT FOUND",0,1))</f>
        <v/>
      </c>
      <c r="T2486" s="20"/>
      <c r="U2486" s="94"/>
      <c r="V2486" s="22" t="str">
        <f>IF(ISBLANK(Table26[[#This Row],[customerSKU]]),"",_xlfn.XLOOKUP(Table26[[#This Row],[customerSKU]],Table27[customer_SKU],Table27[case_size],"",0,1))</f>
        <v/>
      </c>
      <c r="W2486" s="117" t="str">
        <f t="shared" si="106"/>
        <v/>
      </c>
      <c r="X2486" s="22" t="str">
        <f t="shared" si="105"/>
        <v/>
      </c>
      <c r="Y2486" s="25" t="str">
        <f>IF(Table26[[#This Row],[customerSKU]]="","",_xlfn.XLOOKUP(Table26[[#This Row],[customerSKU]],Table27[customer_SKU],Table27[product_GTIN],"",0,1))</f>
        <v/>
      </c>
      <c r="Z2486" s="25"/>
      <c r="AA2486" s="18" t="str" cm="1">
        <f t="array" ref="AA2486">IF(P2486="", "", _xlfn.XLOOKUP(P2486,#REF!,#REF!,NA,0,-1))</f>
        <v/>
      </c>
      <c r="AB2486" s="22"/>
      <c r="AC2486" s="23" t="str">
        <f>IF(Table26[[#This Row],[customerSKU]]="","",_xlfn.XLOOKUP(Table26[[#This Row],[customerSKU]],customerSKU!G:G,customerSKU!C:C,"",0,1))</f>
        <v/>
      </c>
      <c r="AD2486" s="23" t="str">
        <f>IF($AC2486="","",_xlfn.XLOOKUP($AC2486,'Client Info'!$C$2:$C$2497,'Client Info'!$D$2:$D$2497,"",0,1))</f>
        <v/>
      </c>
      <c r="AE2486" s="23" t="str">
        <f>IF($AC2486="","",_xlfn.XLOOKUP($AC2486,'Client Info'!$C$2:$C$2677,'Client Info'!$E$2:$E$2677,"",))</f>
        <v/>
      </c>
      <c r="AF2486" s="23" t="str">
        <f>IF($AC2486="","",_xlfn.XLOOKUP($AC2486,'Client Info'!$C$2:$C$2677,'Client Info'!$F$2:$F$2677,"",0,1))</f>
        <v/>
      </c>
      <c r="AG2486" s="23" t="str">
        <f>IF(ISBLANK(Table26[[#This Row],[customerSKU]]),"",_xlfn.XLOOKUP(Table26[[#This Row],[customerSKU]],Table27[customer_SKU],Table27[billto],"",0,1))</f>
        <v/>
      </c>
      <c r="AH2486" s="26" t="str">
        <f>_xlfn.XLOOKUP(Table26[[#This Row],[customerSKU]],customerSKU!G:G,customerSKU!K:K,"NA",0,1)</f>
        <v>NA</v>
      </c>
      <c r="AI2486" s="43" t="str">
        <f>_xlfn.XLOOKUP(Table26[[#This Row],[customerSKU]],customerSKU!G:G,customerSKU!O:O,"not found",0,1)</f>
        <v>not found</v>
      </c>
      <c r="AJ2486" s="22" t="e">
        <f>Table26[[#This Row],[unitprice]]*Table26[[#This Row],[quantity_unit]]</f>
        <v>#VALUE!</v>
      </c>
      <c r="AK2486" s="227" t="e" cm="1">
        <f t="array" ref="AK24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6" s="227"/>
    </row>
    <row r="2487" spans="1:38" ht="15.6">
      <c r="A2487" s="42">
        <v>2485</v>
      </c>
      <c r="B2487" s="42"/>
      <c r="C2487" s="53"/>
      <c r="E2487" s="20"/>
      <c r="F24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7" s="93"/>
      <c r="J2487" s="90" t="str">
        <f>IF(Table26[[#This Row],[customerSKU]]="","",_xlfn.XLOOKUP(Table26[[#This Row],[customerSKU]],customerSKU!G:G,customerSKU!A:A,"",0,1))</f>
        <v/>
      </c>
      <c r="K2487" s="19"/>
      <c r="L2487" s="49" t="str">
        <f>IF(Table26[[#This Row],[customerSKU]]="","",_xlfn.XLOOKUP(Table26[[#This Row],[customerSKU]],customerSKU!G:G,customerSKU!B:B,"",0,1))</f>
        <v/>
      </c>
      <c r="M2487" s="22"/>
      <c r="N2487" s="15" t="str">
        <f>Table26[[#This Row],[po_number]]&amp;"-"&amp;Table26[[#This Row],[po_line]]</f>
        <v>-</v>
      </c>
      <c r="O2487" s="15"/>
      <c r="P2487" s="50"/>
      <c r="S2487" s="90" t="str">
        <f>IF(Table26[[#This Row],[customerSKU]]="","",_xlfn.XLOOKUP(Table26[[#This Row],[customerSKU]],customerSKU!G:G,customerSKU!N:N,"NOT FOUND",0,1))</f>
        <v/>
      </c>
      <c r="T2487" s="20"/>
      <c r="U2487" s="94"/>
      <c r="V2487" s="22" t="str">
        <f>IF(ISBLANK(Table26[[#This Row],[customerSKU]]),"",_xlfn.XLOOKUP(Table26[[#This Row],[customerSKU]],Table27[customer_SKU],Table27[case_size],"",0,1))</f>
        <v/>
      </c>
      <c r="W2487" s="117" t="str">
        <f t="shared" si="106"/>
        <v/>
      </c>
      <c r="X2487" s="22" t="str">
        <f t="shared" si="105"/>
        <v/>
      </c>
      <c r="Y2487" s="25" t="str">
        <f>IF(Table26[[#This Row],[customerSKU]]="","",_xlfn.XLOOKUP(Table26[[#This Row],[customerSKU]],Table27[customer_SKU],Table27[product_GTIN],"",0,1))</f>
        <v/>
      </c>
      <c r="Z2487" s="25"/>
      <c r="AA2487" s="18" t="str" cm="1">
        <f t="array" ref="AA2487">IF(P2487="", "", _xlfn.XLOOKUP(P2487,#REF!,#REF!,NA,0,-1))</f>
        <v/>
      </c>
      <c r="AB2487" s="22"/>
      <c r="AC2487" s="23" t="str">
        <f>IF(Table26[[#This Row],[customerSKU]]="","",_xlfn.XLOOKUP(Table26[[#This Row],[customerSKU]],customerSKU!G:G,customerSKU!C:C,"",0,1))</f>
        <v/>
      </c>
      <c r="AD2487" s="23" t="str">
        <f>IF($AC2487="","",_xlfn.XLOOKUP($AC2487,'Client Info'!$C$2:$C$2497,'Client Info'!$D$2:$D$2497,"",0,1))</f>
        <v/>
      </c>
      <c r="AE2487" s="23" t="str">
        <f>IF($AC2487="","",_xlfn.XLOOKUP($AC2487,'Client Info'!$C$2:$C$2677,'Client Info'!$E$2:$E$2677,"",))</f>
        <v/>
      </c>
      <c r="AF2487" s="23" t="str">
        <f>IF($AC2487="","",_xlfn.XLOOKUP($AC2487,'Client Info'!$C$2:$C$2677,'Client Info'!$F$2:$F$2677,"",0,1))</f>
        <v/>
      </c>
      <c r="AG2487" s="23" t="str">
        <f>IF(ISBLANK(Table26[[#This Row],[customerSKU]]),"",_xlfn.XLOOKUP(Table26[[#This Row],[customerSKU]],Table27[customer_SKU],Table27[billto],"",0,1))</f>
        <v/>
      </c>
      <c r="AH2487" s="26" t="str">
        <f>_xlfn.XLOOKUP(Table26[[#This Row],[customerSKU]],customerSKU!G:G,customerSKU!K:K,"NA",0,1)</f>
        <v>NA</v>
      </c>
      <c r="AI2487" s="43" t="str">
        <f>_xlfn.XLOOKUP(Table26[[#This Row],[customerSKU]],customerSKU!G:G,customerSKU!O:O,"not found",0,1)</f>
        <v>not found</v>
      </c>
      <c r="AJ2487" s="22" t="e">
        <f>Table26[[#This Row],[unitprice]]*Table26[[#This Row],[quantity_unit]]</f>
        <v>#VALUE!</v>
      </c>
      <c r="AK2487" s="227" t="e" cm="1">
        <f t="array" ref="AK24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7" s="227"/>
    </row>
    <row r="2488" spans="1:38" ht="15.6">
      <c r="A2488" s="42">
        <v>2486</v>
      </c>
      <c r="B2488" s="42"/>
      <c r="C2488" s="53"/>
      <c r="E2488" s="20"/>
      <c r="F24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8" s="93"/>
      <c r="J2488" s="90" t="str">
        <f>IF(Table26[[#This Row],[customerSKU]]="","",_xlfn.XLOOKUP(Table26[[#This Row],[customerSKU]],customerSKU!G:G,customerSKU!A:A,"",0,1))</f>
        <v/>
      </c>
      <c r="K2488" s="19"/>
      <c r="L2488" s="49" t="str">
        <f>IF(Table26[[#This Row],[customerSKU]]="","",_xlfn.XLOOKUP(Table26[[#This Row],[customerSKU]],customerSKU!G:G,customerSKU!B:B,"",0,1))</f>
        <v/>
      </c>
      <c r="M2488" s="22"/>
      <c r="N2488" s="15" t="str">
        <f>Table26[[#This Row],[po_number]]&amp;"-"&amp;Table26[[#This Row],[po_line]]</f>
        <v>-</v>
      </c>
      <c r="O2488" s="15"/>
      <c r="P2488" s="50"/>
      <c r="S2488" s="90" t="str">
        <f>IF(Table26[[#This Row],[customerSKU]]="","",_xlfn.XLOOKUP(Table26[[#This Row],[customerSKU]],customerSKU!G:G,customerSKU!N:N,"NOT FOUND",0,1))</f>
        <v/>
      </c>
      <c r="T2488" s="20"/>
      <c r="U2488" s="94"/>
      <c r="V2488" s="22" t="str">
        <f>IF(ISBLANK(Table26[[#This Row],[customerSKU]]),"",_xlfn.XLOOKUP(Table26[[#This Row],[customerSKU]],Table27[customer_SKU],Table27[case_size],"",0,1))</f>
        <v/>
      </c>
      <c r="W2488" s="117" t="str">
        <f t="shared" si="106"/>
        <v/>
      </c>
      <c r="X2488" s="22" t="str">
        <f t="shared" si="105"/>
        <v/>
      </c>
      <c r="Y2488" s="25" t="str">
        <f>IF(Table26[[#This Row],[customerSKU]]="","",_xlfn.XLOOKUP(Table26[[#This Row],[customerSKU]],Table27[customer_SKU],Table27[product_GTIN],"",0,1))</f>
        <v/>
      </c>
      <c r="Z2488" s="25"/>
      <c r="AA2488" s="18" t="str" cm="1">
        <f t="array" ref="AA2488">IF(P2488="", "", _xlfn.XLOOKUP(P2488,#REF!,#REF!,NA,0,-1))</f>
        <v/>
      </c>
      <c r="AB2488" s="22"/>
      <c r="AC2488" s="23" t="str">
        <f>IF(Table26[[#This Row],[customerSKU]]="","",_xlfn.XLOOKUP(Table26[[#This Row],[customerSKU]],customerSKU!G:G,customerSKU!C:C,"",0,1))</f>
        <v/>
      </c>
      <c r="AD2488" s="23" t="str">
        <f>IF($AC2488="","",_xlfn.XLOOKUP($AC2488,'Client Info'!$C$2:$C$2497,'Client Info'!$D$2:$D$2497,"",0,1))</f>
        <v/>
      </c>
      <c r="AE2488" s="23" t="str">
        <f>IF($AC2488="","",_xlfn.XLOOKUP($AC2488,'Client Info'!$C$2:$C$2677,'Client Info'!$E$2:$E$2677,"",))</f>
        <v/>
      </c>
      <c r="AF2488" s="23" t="str">
        <f>IF($AC2488="","",_xlfn.XLOOKUP($AC2488,'Client Info'!$C$2:$C$2677,'Client Info'!$F$2:$F$2677,"",0,1))</f>
        <v/>
      </c>
      <c r="AG2488" s="23" t="str">
        <f>IF(ISBLANK(Table26[[#This Row],[customerSKU]]),"",_xlfn.XLOOKUP(Table26[[#This Row],[customerSKU]],Table27[customer_SKU],Table27[billto],"",0,1))</f>
        <v/>
      </c>
      <c r="AH2488" s="26" t="str">
        <f>_xlfn.XLOOKUP(Table26[[#This Row],[customerSKU]],customerSKU!G:G,customerSKU!K:K,"NA",0,1)</f>
        <v>NA</v>
      </c>
      <c r="AI2488" s="43" t="str">
        <f>_xlfn.XLOOKUP(Table26[[#This Row],[customerSKU]],customerSKU!G:G,customerSKU!O:O,"not found",0,1)</f>
        <v>not found</v>
      </c>
      <c r="AJ2488" s="22" t="e">
        <f>Table26[[#This Row],[unitprice]]*Table26[[#This Row],[quantity_unit]]</f>
        <v>#VALUE!</v>
      </c>
      <c r="AK2488" s="227" t="e" cm="1">
        <f t="array" ref="AK24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8" s="227"/>
    </row>
    <row r="2489" spans="1:38" ht="15.6">
      <c r="A2489" s="42">
        <v>2487</v>
      </c>
      <c r="B2489" s="42"/>
      <c r="C2489" s="53"/>
      <c r="E2489" s="20"/>
      <c r="F24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89" s="93"/>
      <c r="J2489" s="90" t="str">
        <f>IF(Table26[[#This Row],[customerSKU]]="","",_xlfn.XLOOKUP(Table26[[#This Row],[customerSKU]],customerSKU!G:G,customerSKU!A:A,"",0,1))</f>
        <v/>
      </c>
      <c r="K2489" s="19"/>
      <c r="L2489" s="49" t="str">
        <f>IF(Table26[[#This Row],[customerSKU]]="","",_xlfn.XLOOKUP(Table26[[#This Row],[customerSKU]],customerSKU!G:G,customerSKU!B:B,"",0,1))</f>
        <v/>
      </c>
      <c r="M2489" s="22"/>
      <c r="N2489" s="15" t="str">
        <f>Table26[[#This Row],[po_number]]&amp;"-"&amp;Table26[[#This Row],[po_line]]</f>
        <v>-</v>
      </c>
      <c r="O2489" s="15"/>
      <c r="P2489" s="50"/>
      <c r="S2489" s="90" t="str">
        <f>IF(Table26[[#This Row],[customerSKU]]="","",_xlfn.XLOOKUP(Table26[[#This Row],[customerSKU]],customerSKU!G:G,customerSKU!N:N,"NOT FOUND",0,1))</f>
        <v/>
      </c>
      <c r="T2489" s="20"/>
      <c r="U2489" s="94"/>
      <c r="V2489" s="22" t="str">
        <f>IF(ISBLANK(Table26[[#This Row],[customerSKU]]),"",_xlfn.XLOOKUP(Table26[[#This Row],[customerSKU]],Table27[customer_SKU],Table27[case_size],"",0,1))</f>
        <v/>
      </c>
      <c r="W2489" s="117" t="str">
        <f t="shared" si="106"/>
        <v/>
      </c>
      <c r="X2489" s="22" t="str">
        <f t="shared" si="105"/>
        <v/>
      </c>
      <c r="Y2489" s="25" t="str">
        <f>IF(Table26[[#This Row],[customerSKU]]="","",_xlfn.XLOOKUP(Table26[[#This Row],[customerSKU]],Table27[customer_SKU],Table27[product_GTIN],"",0,1))</f>
        <v/>
      </c>
      <c r="Z2489" s="25"/>
      <c r="AA2489" s="18" t="str" cm="1">
        <f t="array" ref="AA2489">IF(P2489="", "", _xlfn.XLOOKUP(P2489,#REF!,#REF!,NA,0,-1))</f>
        <v/>
      </c>
      <c r="AB2489" s="22"/>
      <c r="AC2489" s="23" t="str">
        <f>IF(Table26[[#This Row],[customerSKU]]="","",_xlfn.XLOOKUP(Table26[[#This Row],[customerSKU]],customerSKU!G:G,customerSKU!C:C,"",0,1))</f>
        <v/>
      </c>
      <c r="AD2489" s="23" t="str">
        <f>IF($AC2489="","",_xlfn.XLOOKUP($AC2489,'Client Info'!$C$2:$C$2497,'Client Info'!$D$2:$D$2497,"",0,1))</f>
        <v/>
      </c>
      <c r="AE2489" s="23" t="str">
        <f>IF($AC2489="","",_xlfn.XLOOKUP($AC2489,'Client Info'!$C$2:$C$2677,'Client Info'!$E$2:$E$2677,"",))</f>
        <v/>
      </c>
      <c r="AF2489" s="23" t="str">
        <f>IF($AC2489="","",_xlfn.XLOOKUP($AC2489,'Client Info'!$C$2:$C$2677,'Client Info'!$F$2:$F$2677,"",0,1))</f>
        <v/>
      </c>
      <c r="AG2489" s="23" t="str">
        <f>IF(ISBLANK(Table26[[#This Row],[customerSKU]]),"",_xlfn.XLOOKUP(Table26[[#This Row],[customerSKU]],Table27[customer_SKU],Table27[billto],"",0,1))</f>
        <v/>
      </c>
      <c r="AH2489" s="26" t="str">
        <f>_xlfn.XLOOKUP(Table26[[#This Row],[customerSKU]],customerSKU!G:G,customerSKU!K:K,"NA",0,1)</f>
        <v>NA</v>
      </c>
      <c r="AI2489" s="43" t="str">
        <f>_xlfn.XLOOKUP(Table26[[#This Row],[customerSKU]],customerSKU!G:G,customerSKU!O:O,"not found",0,1)</f>
        <v>not found</v>
      </c>
      <c r="AJ2489" s="22" t="e">
        <f>Table26[[#This Row],[unitprice]]*Table26[[#This Row],[quantity_unit]]</f>
        <v>#VALUE!</v>
      </c>
      <c r="AK2489" s="227" t="e" cm="1">
        <f t="array" ref="AK24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89" s="227"/>
    </row>
    <row r="2490" spans="1:38" ht="15.6">
      <c r="A2490" s="42">
        <v>2488</v>
      </c>
      <c r="B2490" s="42"/>
      <c r="C2490" s="53"/>
      <c r="E2490" s="20"/>
      <c r="F24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0" s="93"/>
      <c r="J2490" s="90" t="str">
        <f>IF(Table26[[#This Row],[customerSKU]]="","",_xlfn.XLOOKUP(Table26[[#This Row],[customerSKU]],customerSKU!G:G,customerSKU!A:A,"",0,1))</f>
        <v/>
      </c>
      <c r="K2490" s="19"/>
      <c r="L2490" s="49" t="str">
        <f>IF(Table26[[#This Row],[customerSKU]]="","",_xlfn.XLOOKUP(Table26[[#This Row],[customerSKU]],customerSKU!G:G,customerSKU!B:B,"",0,1))</f>
        <v/>
      </c>
      <c r="M2490" s="22"/>
      <c r="N2490" s="15" t="str">
        <f>Table26[[#This Row],[po_number]]&amp;"-"&amp;Table26[[#This Row],[po_line]]</f>
        <v>-</v>
      </c>
      <c r="O2490" s="15"/>
      <c r="P2490" s="50"/>
      <c r="S2490" s="90" t="str">
        <f>IF(Table26[[#This Row],[customerSKU]]="","",_xlfn.XLOOKUP(Table26[[#This Row],[customerSKU]],customerSKU!G:G,customerSKU!N:N,"NOT FOUND",0,1))</f>
        <v/>
      </c>
      <c r="T2490" s="20"/>
      <c r="U2490" s="94"/>
      <c r="V2490" s="22" t="str">
        <f>IF(ISBLANK(Table26[[#This Row],[customerSKU]]),"",_xlfn.XLOOKUP(Table26[[#This Row],[customerSKU]],Table27[customer_SKU],Table27[case_size],"",0,1))</f>
        <v/>
      </c>
      <c r="W2490" s="117" t="str">
        <f t="shared" si="106"/>
        <v/>
      </c>
      <c r="X2490" s="22" t="str">
        <f t="shared" si="105"/>
        <v/>
      </c>
      <c r="Y2490" s="25" t="str">
        <f>IF(Table26[[#This Row],[customerSKU]]="","",_xlfn.XLOOKUP(Table26[[#This Row],[customerSKU]],Table27[customer_SKU],Table27[product_GTIN],"",0,1))</f>
        <v/>
      </c>
      <c r="Z2490" s="25"/>
      <c r="AA2490" s="18" t="str" cm="1">
        <f t="array" ref="AA2490">IF(P2490="", "", _xlfn.XLOOKUP(P2490,#REF!,#REF!,NA,0,-1))</f>
        <v/>
      </c>
      <c r="AB2490" s="22"/>
      <c r="AC2490" s="23" t="str">
        <f>IF(Table26[[#This Row],[customerSKU]]="","",_xlfn.XLOOKUP(Table26[[#This Row],[customerSKU]],customerSKU!G:G,customerSKU!C:C,"",0,1))</f>
        <v/>
      </c>
      <c r="AD2490" s="23" t="str">
        <f>IF($AC2490="","",_xlfn.XLOOKUP($AC2490,'Client Info'!$C$2:$C$2497,'Client Info'!$D$2:$D$2497,"",0,1))</f>
        <v/>
      </c>
      <c r="AE2490" s="23" t="str">
        <f>IF($AC2490="","",_xlfn.XLOOKUP($AC2490,'Client Info'!$C$2:$C$2677,'Client Info'!$E$2:$E$2677,"",))</f>
        <v/>
      </c>
      <c r="AF2490" s="23" t="str">
        <f>IF($AC2490="","",_xlfn.XLOOKUP($AC2490,'Client Info'!$C$2:$C$2677,'Client Info'!$F$2:$F$2677,"",0,1))</f>
        <v/>
      </c>
      <c r="AG2490" s="23" t="str">
        <f>IF(ISBLANK(Table26[[#This Row],[customerSKU]]),"",_xlfn.XLOOKUP(Table26[[#This Row],[customerSKU]],Table27[customer_SKU],Table27[billto],"",0,1))</f>
        <v/>
      </c>
      <c r="AH2490" s="26" t="str">
        <f>_xlfn.XLOOKUP(Table26[[#This Row],[customerSKU]],customerSKU!G:G,customerSKU!K:K,"NA",0,1)</f>
        <v>NA</v>
      </c>
      <c r="AI2490" s="43" t="str">
        <f>_xlfn.XLOOKUP(Table26[[#This Row],[customerSKU]],customerSKU!G:G,customerSKU!O:O,"not found",0,1)</f>
        <v>not found</v>
      </c>
      <c r="AJ2490" s="22" t="e">
        <f>Table26[[#This Row],[unitprice]]*Table26[[#This Row],[quantity_unit]]</f>
        <v>#VALUE!</v>
      </c>
      <c r="AK2490" s="227" t="e" cm="1">
        <f t="array" ref="AK24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0" s="227"/>
    </row>
    <row r="2491" spans="1:38" ht="15.6">
      <c r="A2491" s="42">
        <v>2489</v>
      </c>
      <c r="B2491" s="42"/>
      <c r="C2491" s="53"/>
      <c r="E2491" s="20"/>
      <c r="F24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1" s="93"/>
      <c r="J2491" s="90" t="str">
        <f>IF(Table26[[#This Row],[customerSKU]]="","",_xlfn.XLOOKUP(Table26[[#This Row],[customerSKU]],customerSKU!G:G,customerSKU!A:A,"",0,1))</f>
        <v/>
      </c>
      <c r="K2491" s="19"/>
      <c r="L2491" s="49" t="str">
        <f>IF(Table26[[#This Row],[customerSKU]]="","",_xlfn.XLOOKUP(Table26[[#This Row],[customerSKU]],customerSKU!G:G,customerSKU!B:B,"",0,1))</f>
        <v/>
      </c>
      <c r="M2491" s="22"/>
      <c r="N2491" s="15" t="str">
        <f>Table26[[#This Row],[po_number]]&amp;"-"&amp;Table26[[#This Row],[po_line]]</f>
        <v>-</v>
      </c>
      <c r="O2491" s="15"/>
      <c r="P2491" s="50"/>
      <c r="S2491" s="90" t="str">
        <f>IF(Table26[[#This Row],[customerSKU]]="","",_xlfn.XLOOKUP(Table26[[#This Row],[customerSKU]],customerSKU!G:G,customerSKU!N:N,"NOT FOUND",0,1))</f>
        <v/>
      </c>
      <c r="T2491" s="20"/>
      <c r="U2491" s="94"/>
      <c r="V2491" s="22" t="str">
        <f>IF(ISBLANK(Table26[[#This Row],[customerSKU]]),"",_xlfn.XLOOKUP(Table26[[#This Row],[customerSKU]],Table27[customer_SKU],Table27[case_size],"",0,1))</f>
        <v/>
      </c>
      <c r="W2491" s="117" t="str">
        <f t="shared" si="106"/>
        <v/>
      </c>
      <c r="X2491" s="22" t="str">
        <f t="shared" si="105"/>
        <v/>
      </c>
      <c r="Y2491" s="25" t="str">
        <f>IF(Table26[[#This Row],[customerSKU]]="","",_xlfn.XLOOKUP(Table26[[#This Row],[customerSKU]],Table27[customer_SKU],Table27[product_GTIN],"",0,1))</f>
        <v/>
      </c>
      <c r="Z2491" s="25"/>
      <c r="AA2491" s="18" t="str" cm="1">
        <f t="array" ref="AA2491">IF(P2491="", "", _xlfn.XLOOKUP(P2491,#REF!,#REF!,NA,0,-1))</f>
        <v/>
      </c>
      <c r="AB2491" s="22"/>
      <c r="AC2491" s="23" t="str">
        <f>IF(Table26[[#This Row],[customerSKU]]="","",_xlfn.XLOOKUP(Table26[[#This Row],[customerSKU]],customerSKU!G:G,customerSKU!C:C,"",0,1))</f>
        <v/>
      </c>
      <c r="AD2491" s="23" t="str">
        <f>IF($AC2491="","",_xlfn.XLOOKUP($AC2491,'Client Info'!$C$2:$C$2497,'Client Info'!$D$2:$D$2497,"",0,1))</f>
        <v/>
      </c>
      <c r="AE2491" s="23" t="str">
        <f>IF($AC2491="","",_xlfn.XLOOKUP($AC2491,'Client Info'!$C$2:$C$2677,'Client Info'!$E$2:$E$2677,"",))</f>
        <v/>
      </c>
      <c r="AF2491" s="23" t="str">
        <f>IF($AC2491="","",_xlfn.XLOOKUP($AC2491,'Client Info'!$C$2:$C$2677,'Client Info'!$F$2:$F$2677,"",0,1))</f>
        <v/>
      </c>
      <c r="AG2491" s="23" t="str">
        <f>IF(ISBLANK(Table26[[#This Row],[customerSKU]]),"",_xlfn.XLOOKUP(Table26[[#This Row],[customerSKU]],Table27[customer_SKU],Table27[billto],"",0,1))</f>
        <v/>
      </c>
      <c r="AH2491" s="26" t="str">
        <f>_xlfn.XLOOKUP(Table26[[#This Row],[customerSKU]],customerSKU!G:G,customerSKU!K:K,"NA",0,1)</f>
        <v>NA</v>
      </c>
      <c r="AI2491" s="43" t="str">
        <f>_xlfn.XLOOKUP(Table26[[#This Row],[customerSKU]],customerSKU!G:G,customerSKU!O:O,"not found",0,1)</f>
        <v>not found</v>
      </c>
      <c r="AJ2491" s="22" t="e">
        <f>Table26[[#This Row],[unitprice]]*Table26[[#This Row],[quantity_unit]]</f>
        <v>#VALUE!</v>
      </c>
      <c r="AK2491" s="227" t="e" cm="1">
        <f t="array" ref="AK24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1" s="227"/>
    </row>
    <row r="2492" spans="1:38" ht="15.6">
      <c r="A2492" s="42">
        <v>2490</v>
      </c>
      <c r="B2492" s="42"/>
      <c r="C2492" s="53"/>
      <c r="E2492" s="20"/>
      <c r="F249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2" s="93"/>
      <c r="J2492" s="90" t="str">
        <f>IF(Table26[[#This Row],[customerSKU]]="","",_xlfn.XLOOKUP(Table26[[#This Row],[customerSKU]],customerSKU!G:G,customerSKU!A:A,"",0,1))</f>
        <v/>
      </c>
      <c r="K2492" s="19"/>
      <c r="L2492" s="49" t="str">
        <f>IF(Table26[[#This Row],[customerSKU]]="","",_xlfn.XLOOKUP(Table26[[#This Row],[customerSKU]],customerSKU!G:G,customerSKU!B:B,"",0,1))</f>
        <v/>
      </c>
      <c r="M2492" s="22"/>
      <c r="N2492" s="15" t="str">
        <f>Table26[[#This Row],[po_number]]&amp;"-"&amp;Table26[[#This Row],[po_line]]</f>
        <v>-</v>
      </c>
      <c r="O2492" s="15"/>
      <c r="P2492" s="50"/>
      <c r="S2492" s="90" t="str">
        <f>IF(Table26[[#This Row],[customerSKU]]="","",_xlfn.XLOOKUP(Table26[[#This Row],[customerSKU]],customerSKU!G:G,customerSKU!N:N,"NOT FOUND",0,1))</f>
        <v/>
      </c>
      <c r="T2492" s="20"/>
      <c r="U2492" s="94"/>
      <c r="V2492" s="22" t="str">
        <f>IF(ISBLANK(Table26[[#This Row],[customerSKU]]),"",_xlfn.XLOOKUP(Table26[[#This Row],[customerSKU]],Table27[customer_SKU],Table27[case_size],"",0,1))</f>
        <v/>
      </c>
      <c r="W2492" s="117" t="str">
        <f t="shared" si="106"/>
        <v/>
      </c>
      <c r="X2492" s="22" t="str">
        <f t="shared" si="105"/>
        <v/>
      </c>
      <c r="Y2492" s="25" t="str">
        <f>IF(Table26[[#This Row],[customerSKU]]="","",_xlfn.XLOOKUP(Table26[[#This Row],[customerSKU]],Table27[customer_SKU],Table27[product_GTIN],"",0,1))</f>
        <v/>
      </c>
      <c r="Z2492" s="25"/>
      <c r="AA2492" s="18" t="str" cm="1">
        <f t="array" ref="AA2492">IF(P2492="", "", _xlfn.XLOOKUP(P2492,#REF!,#REF!,NA,0,-1))</f>
        <v/>
      </c>
      <c r="AB2492" s="22"/>
      <c r="AC2492" s="23" t="str">
        <f>IF(Table26[[#This Row],[customerSKU]]="","",_xlfn.XLOOKUP(Table26[[#This Row],[customerSKU]],customerSKU!G:G,customerSKU!C:C,"",0,1))</f>
        <v/>
      </c>
      <c r="AD2492" s="23" t="str">
        <f>IF($AC2492="","",_xlfn.XLOOKUP($AC2492,'Client Info'!$C$2:$C$2497,'Client Info'!$D$2:$D$2497,"",0,1))</f>
        <v/>
      </c>
      <c r="AE2492" s="23" t="str">
        <f>IF($AC2492="","",_xlfn.XLOOKUP($AC2492,'Client Info'!$C$2:$C$2677,'Client Info'!$E$2:$E$2677,"",))</f>
        <v/>
      </c>
      <c r="AF2492" s="23" t="str">
        <f>IF($AC2492="","",_xlfn.XLOOKUP($AC2492,'Client Info'!$C$2:$C$2677,'Client Info'!$F$2:$F$2677,"",0,1))</f>
        <v/>
      </c>
      <c r="AG2492" s="23" t="str">
        <f>IF(ISBLANK(Table26[[#This Row],[customerSKU]]),"",_xlfn.XLOOKUP(Table26[[#This Row],[customerSKU]],Table27[customer_SKU],Table27[billto],"",0,1))</f>
        <v/>
      </c>
      <c r="AH2492" s="26" t="str">
        <f>_xlfn.XLOOKUP(Table26[[#This Row],[customerSKU]],customerSKU!G:G,customerSKU!K:K,"NA",0,1)</f>
        <v>NA</v>
      </c>
      <c r="AI2492" s="43" t="str">
        <f>_xlfn.XLOOKUP(Table26[[#This Row],[customerSKU]],customerSKU!G:G,customerSKU!O:O,"not found",0,1)</f>
        <v>not found</v>
      </c>
      <c r="AJ2492" s="22" t="e">
        <f>Table26[[#This Row],[unitprice]]*Table26[[#This Row],[quantity_unit]]</f>
        <v>#VALUE!</v>
      </c>
      <c r="AK2492" s="227" t="e" cm="1">
        <f t="array" ref="AK249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2" s="227"/>
    </row>
    <row r="2493" spans="1:38" ht="15.6">
      <c r="A2493" s="42">
        <v>2491</v>
      </c>
      <c r="B2493" s="42"/>
      <c r="C2493" s="53"/>
      <c r="E2493" s="20"/>
      <c r="F249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3" s="93"/>
      <c r="J2493" s="90" t="str">
        <f>IF(Table26[[#This Row],[customerSKU]]="","",_xlfn.XLOOKUP(Table26[[#This Row],[customerSKU]],customerSKU!G:G,customerSKU!A:A,"",0,1))</f>
        <v/>
      </c>
      <c r="K2493" s="19"/>
      <c r="L2493" s="49" t="str">
        <f>IF(Table26[[#This Row],[customerSKU]]="","",_xlfn.XLOOKUP(Table26[[#This Row],[customerSKU]],customerSKU!G:G,customerSKU!B:B,"",0,1))</f>
        <v/>
      </c>
      <c r="M2493" s="22"/>
      <c r="N2493" s="15" t="str">
        <f>Table26[[#This Row],[po_number]]&amp;"-"&amp;Table26[[#This Row],[po_line]]</f>
        <v>-</v>
      </c>
      <c r="O2493" s="15"/>
      <c r="P2493" s="50"/>
      <c r="S2493" s="90" t="str">
        <f>IF(Table26[[#This Row],[customerSKU]]="","",_xlfn.XLOOKUP(Table26[[#This Row],[customerSKU]],customerSKU!G:G,customerSKU!N:N,"NOT FOUND",0,1))</f>
        <v/>
      </c>
      <c r="T2493" s="20"/>
      <c r="U2493" s="94"/>
      <c r="V2493" s="22" t="str">
        <f>IF(ISBLANK(Table26[[#This Row],[customerSKU]]),"",_xlfn.XLOOKUP(Table26[[#This Row],[customerSKU]],Table27[customer_SKU],Table27[case_size],"",0,1))</f>
        <v/>
      </c>
      <c r="W2493" s="117" t="str">
        <f t="shared" si="106"/>
        <v/>
      </c>
      <c r="X2493" s="22" t="str">
        <f t="shared" si="105"/>
        <v/>
      </c>
      <c r="Y2493" s="25" t="str">
        <f>IF(Table26[[#This Row],[customerSKU]]="","",_xlfn.XLOOKUP(Table26[[#This Row],[customerSKU]],Table27[customer_SKU],Table27[product_GTIN],"",0,1))</f>
        <v/>
      </c>
      <c r="Z2493" s="25"/>
      <c r="AA2493" s="18" t="str" cm="1">
        <f t="array" ref="AA2493">IF(P2493="", "", _xlfn.XLOOKUP(P2493,#REF!,#REF!,NA,0,-1))</f>
        <v/>
      </c>
      <c r="AB2493" s="22"/>
      <c r="AC2493" s="23" t="str">
        <f>IF(Table26[[#This Row],[customerSKU]]="","",_xlfn.XLOOKUP(Table26[[#This Row],[customerSKU]],customerSKU!G:G,customerSKU!C:C,"",0,1))</f>
        <v/>
      </c>
      <c r="AD2493" s="23" t="str">
        <f>IF($AC2493="","",_xlfn.XLOOKUP($AC2493,'Client Info'!$C$2:$C$2497,'Client Info'!$D$2:$D$2497,"",0,1))</f>
        <v/>
      </c>
      <c r="AE2493" s="23" t="str">
        <f>IF($AC2493="","",_xlfn.XLOOKUP($AC2493,'Client Info'!$C$2:$C$2677,'Client Info'!$E$2:$E$2677,"",))</f>
        <v/>
      </c>
      <c r="AF2493" s="23" t="str">
        <f>IF($AC2493="","",_xlfn.XLOOKUP($AC2493,'Client Info'!$C$2:$C$2677,'Client Info'!$F$2:$F$2677,"",0,1))</f>
        <v/>
      </c>
      <c r="AG2493" s="23" t="str">
        <f>IF(ISBLANK(Table26[[#This Row],[customerSKU]]),"",_xlfn.XLOOKUP(Table26[[#This Row],[customerSKU]],Table27[customer_SKU],Table27[billto],"",0,1))</f>
        <v/>
      </c>
      <c r="AH2493" s="26" t="str">
        <f>_xlfn.XLOOKUP(Table26[[#This Row],[customerSKU]],customerSKU!G:G,customerSKU!K:K,"NA",0,1)</f>
        <v>NA</v>
      </c>
      <c r="AI2493" s="43" t="str">
        <f>_xlfn.XLOOKUP(Table26[[#This Row],[customerSKU]],customerSKU!G:G,customerSKU!O:O,"not found",0,1)</f>
        <v>not found</v>
      </c>
      <c r="AJ2493" s="22" t="e">
        <f>Table26[[#This Row],[unitprice]]*Table26[[#This Row],[quantity_unit]]</f>
        <v>#VALUE!</v>
      </c>
      <c r="AK2493" s="227" t="e" cm="1">
        <f t="array" ref="AK249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3" s="227"/>
    </row>
    <row r="2494" spans="1:38" ht="15.6">
      <c r="A2494" s="42">
        <v>2492</v>
      </c>
      <c r="B2494" s="42"/>
      <c r="C2494" s="53"/>
      <c r="E2494" s="20"/>
      <c r="F249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4" s="93"/>
      <c r="J2494" s="90" t="str">
        <f>IF(Table26[[#This Row],[customerSKU]]="","",_xlfn.XLOOKUP(Table26[[#This Row],[customerSKU]],customerSKU!G:G,customerSKU!A:A,"",0,1))</f>
        <v/>
      </c>
      <c r="K2494" s="19"/>
      <c r="L2494" s="49" t="str">
        <f>IF(Table26[[#This Row],[customerSKU]]="","",_xlfn.XLOOKUP(Table26[[#This Row],[customerSKU]],customerSKU!G:G,customerSKU!B:B,"",0,1))</f>
        <v/>
      </c>
      <c r="M2494" s="22"/>
      <c r="N2494" s="15" t="str">
        <f>Table26[[#This Row],[po_number]]&amp;"-"&amp;Table26[[#This Row],[po_line]]</f>
        <v>-</v>
      </c>
      <c r="O2494" s="15"/>
      <c r="P2494" s="50"/>
      <c r="S2494" s="90" t="str">
        <f>IF(Table26[[#This Row],[customerSKU]]="","",_xlfn.XLOOKUP(Table26[[#This Row],[customerSKU]],customerSKU!G:G,customerSKU!N:N,"NOT FOUND",0,1))</f>
        <v/>
      </c>
      <c r="T2494" s="20"/>
      <c r="U2494" s="94"/>
      <c r="V2494" s="22" t="str">
        <f>IF(ISBLANK(Table26[[#This Row],[customerSKU]]),"",_xlfn.XLOOKUP(Table26[[#This Row],[customerSKU]],Table27[customer_SKU],Table27[case_size],"",0,1))</f>
        <v/>
      </c>
      <c r="W2494" s="117" t="str">
        <f t="shared" si="106"/>
        <v/>
      </c>
      <c r="X2494" s="22" t="str">
        <f t="shared" si="105"/>
        <v/>
      </c>
      <c r="Y2494" s="25" t="str">
        <f>IF(Table26[[#This Row],[customerSKU]]="","",_xlfn.XLOOKUP(Table26[[#This Row],[customerSKU]],Table27[customer_SKU],Table27[product_GTIN],"",0,1))</f>
        <v/>
      </c>
      <c r="Z2494" s="25"/>
      <c r="AA2494" s="18" t="str" cm="1">
        <f t="array" ref="AA2494">IF(P2494="", "", _xlfn.XLOOKUP(P2494,#REF!,#REF!,NA,0,-1))</f>
        <v/>
      </c>
      <c r="AB2494" s="22"/>
      <c r="AC2494" s="23" t="str">
        <f>IF(Table26[[#This Row],[customerSKU]]="","",_xlfn.XLOOKUP(Table26[[#This Row],[customerSKU]],customerSKU!G:G,customerSKU!C:C,"",0,1))</f>
        <v/>
      </c>
      <c r="AD2494" s="23" t="str">
        <f>IF($AC2494="","",_xlfn.XLOOKUP($AC2494,'Client Info'!$C$2:$C$2497,'Client Info'!$D$2:$D$2497,"",0,1))</f>
        <v/>
      </c>
      <c r="AE2494" s="23" t="str">
        <f>IF($AC2494="","",_xlfn.XLOOKUP($AC2494,'Client Info'!$C$2:$C$2677,'Client Info'!$E$2:$E$2677,"",))</f>
        <v/>
      </c>
      <c r="AF2494" s="23" t="str">
        <f>IF($AC2494="","",_xlfn.XLOOKUP($AC2494,'Client Info'!$C$2:$C$2677,'Client Info'!$F$2:$F$2677,"",0,1))</f>
        <v/>
      </c>
      <c r="AG2494" s="23" t="str">
        <f>IF(ISBLANK(Table26[[#This Row],[customerSKU]]),"",_xlfn.XLOOKUP(Table26[[#This Row],[customerSKU]],Table27[customer_SKU],Table27[billto],"",0,1))</f>
        <v/>
      </c>
      <c r="AH2494" s="26" t="str">
        <f>_xlfn.XLOOKUP(Table26[[#This Row],[customerSKU]],customerSKU!G:G,customerSKU!K:K,"NA",0,1)</f>
        <v>NA</v>
      </c>
      <c r="AI2494" s="43" t="str">
        <f>_xlfn.XLOOKUP(Table26[[#This Row],[customerSKU]],customerSKU!G:G,customerSKU!O:O,"not found",0,1)</f>
        <v>not found</v>
      </c>
      <c r="AJ2494" s="22" t="e">
        <f>Table26[[#This Row],[unitprice]]*Table26[[#This Row],[quantity_unit]]</f>
        <v>#VALUE!</v>
      </c>
      <c r="AK2494" s="227" t="e" cm="1">
        <f t="array" ref="AK249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4" s="227"/>
    </row>
    <row r="2495" spans="1:38" ht="15.6">
      <c r="A2495" s="42">
        <v>2493</v>
      </c>
      <c r="B2495" s="42"/>
      <c r="C2495" s="53"/>
      <c r="E2495" s="20"/>
      <c r="F249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5" s="93"/>
      <c r="J2495" s="90" t="str">
        <f>IF(Table26[[#This Row],[customerSKU]]="","",_xlfn.XLOOKUP(Table26[[#This Row],[customerSKU]],customerSKU!G:G,customerSKU!A:A,"",0,1))</f>
        <v/>
      </c>
      <c r="K2495" s="19"/>
      <c r="L2495" s="49" t="str">
        <f>IF(Table26[[#This Row],[customerSKU]]="","",_xlfn.XLOOKUP(Table26[[#This Row],[customerSKU]],customerSKU!G:G,customerSKU!B:B,"",0,1))</f>
        <v/>
      </c>
      <c r="M2495" s="22"/>
      <c r="N2495" s="15" t="str">
        <f>Table26[[#This Row],[po_number]]&amp;"-"&amp;Table26[[#This Row],[po_line]]</f>
        <v>-</v>
      </c>
      <c r="O2495" s="15"/>
      <c r="P2495" s="50"/>
      <c r="S2495" s="90" t="str">
        <f>IF(Table26[[#This Row],[customerSKU]]="","",_xlfn.XLOOKUP(Table26[[#This Row],[customerSKU]],customerSKU!G:G,customerSKU!N:N,"NOT FOUND",0,1))</f>
        <v/>
      </c>
      <c r="T2495" s="20"/>
      <c r="U2495" s="94"/>
      <c r="V2495" s="22" t="str">
        <f>IF(ISBLANK(Table26[[#This Row],[customerSKU]]),"",_xlfn.XLOOKUP(Table26[[#This Row],[customerSKU]],Table27[customer_SKU],Table27[case_size],"",0,1))</f>
        <v/>
      </c>
      <c r="W2495" s="117" t="str">
        <f t="shared" si="106"/>
        <v/>
      </c>
      <c r="X2495" s="22" t="str">
        <f t="shared" si="105"/>
        <v/>
      </c>
      <c r="Y2495" s="25" t="str">
        <f>IF(Table26[[#This Row],[customerSKU]]="","",_xlfn.XLOOKUP(Table26[[#This Row],[customerSKU]],Table27[customer_SKU],Table27[product_GTIN],"",0,1))</f>
        <v/>
      </c>
      <c r="Z2495" s="25"/>
      <c r="AA2495" s="18" t="str" cm="1">
        <f t="array" ref="AA2495">IF(P2495="", "", _xlfn.XLOOKUP(P2495,#REF!,#REF!,NA,0,-1))</f>
        <v/>
      </c>
      <c r="AB2495" s="22"/>
      <c r="AC2495" s="23" t="str">
        <f>IF(Table26[[#This Row],[customerSKU]]="","",_xlfn.XLOOKUP(Table26[[#This Row],[customerSKU]],customerSKU!G:G,customerSKU!C:C,"",0,1))</f>
        <v/>
      </c>
      <c r="AD2495" s="23" t="str">
        <f>IF($AC2495="","",_xlfn.XLOOKUP($AC2495,'Client Info'!$C$2:$C$2497,'Client Info'!$D$2:$D$2497,"",0,1))</f>
        <v/>
      </c>
      <c r="AE2495" s="23" t="str">
        <f>IF($AC2495="","",_xlfn.XLOOKUP($AC2495,'Client Info'!$C$2:$C$2677,'Client Info'!$E$2:$E$2677,"",))</f>
        <v/>
      </c>
      <c r="AF2495" s="23" t="str">
        <f>IF($AC2495="","",_xlfn.XLOOKUP($AC2495,'Client Info'!$C$2:$C$2677,'Client Info'!$F$2:$F$2677,"",0,1))</f>
        <v/>
      </c>
      <c r="AG2495" s="23" t="str">
        <f>IF(ISBLANK(Table26[[#This Row],[customerSKU]]),"",_xlfn.XLOOKUP(Table26[[#This Row],[customerSKU]],Table27[customer_SKU],Table27[billto],"",0,1))</f>
        <v/>
      </c>
      <c r="AH2495" s="26" t="str">
        <f>_xlfn.XLOOKUP(Table26[[#This Row],[customerSKU]],customerSKU!G:G,customerSKU!K:K,"NA",0,1)</f>
        <v>NA</v>
      </c>
      <c r="AI2495" s="43" t="str">
        <f>_xlfn.XLOOKUP(Table26[[#This Row],[customerSKU]],customerSKU!G:G,customerSKU!O:O,"not found",0,1)</f>
        <v>not found</v>
      </c>
      <c r="AJ2495" s="22" t="e">
        <f>Table26[[#This Row],[unitprice]]*Table26[[#This Row],[quantity_unit]]</f>
        <v>#VALUE!</v>
      </c>
      <c r="AK2495" s="227" t="e" cm="1">
        <f t="array" ref="AK249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5" s="227"/>
    </row>
    <row r="2496" spans="1:38" ht="15.6">
      <c r="A2496" s="42">
        <v>2494</v>
      </c>
      <c r="B2496" s="42"/>
      <c r="C2496" s="53"/>
      <c r="E2496" s="20"/>
      <c r="F249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6" s="93"/>
      <c r="J2496" s="90" t="str">
        <f>IF(Table26[[#This Row],[customerSKU]]="","",_xlfn.XLOOKUP(Table26[[#This Row],[customerSKU]],customerSKU!G:G,customerSKU!A:A,"",0,1))</f>
        <v/>
      </c>
      <c r="K2496" s="19"/>
      <c r="L2496" s="49" t="str">
        <f>IF(Table26[[#This Row],[customerSKU]]="","",_xlfn.XLOOKUP(Table26[[#This Row],[customerSKU]],customerSKU!G:G,customerSKU!B:B,"",0,1))</f>
        <v/>
      </c>
      <c r="M2496" s="22"/>
      <c r="N2496" s="15" t="str">
        <f>Table26[[#This Row],[po_number]]&amp;"-"&amp;Table26[[#This Row],[po_line]]</f>
        <v>-</v>
      </c>
      <c r="O2496" s="15"/>
      <c r="P2496" s="50"/>
      <c r="S2496" s="90" t="str">
        <f>IF(Table26[[#This Row],[customerSKU]]="","",_xlfn.XLOOKUP(Table26[[#This Row],[customerSKU]],customerSKU!G:G,customerSKU!N:N,"NOT FOUND",0,1))</f>
        <v/>
      </c>
      <c r="T2496" s="20"/>
      <c r="U2496" s="94"/>
      <c r="V2496" s="22" t="str">
        <f>IF(ISBLANK(Table26[[#This Row],[customerSKU]]),"",_xlfn.XLOOKUP(Table26[[#This Row],[customerSKU]],Table27[customer_SKU],Table27[case_size],"",0,1))</f>
        <v/>
      </c>
      <c r="W2496" s="117" t="str">
        <f t="shared" si="106"/>
        <v/>
      </c>
      <c r="X2496" s="22" t="str">
        <f t="shared" si="105"/>
        <v/>
      </c>
      <c r="Y2496" s="25" t="str">
        <f>IF(Table26[[#This Row],[customerSKU]]="","",_xlfn.XLOOKUP(Table26[[#This Row],[customerSKU]],Table27[customer_SKU],Table27[product_GTIN],"",0,1))</f>
        <v/>
      </c>
      <c r="Z2496" s="25"/>
      <c r="AA2496" s="18" t="str" cm="1">
        <f t="array" ref="AA2496">IF(P2496="", "", _xlfn.XLOOKUP(P2496,#REF!,#REF!,NA,0,-1))</f>
        <v/>
      </c>
      <c r="AB2496" s="22"/>
      <c r="AC2496" s="23" t="str">
        <f>IF(Table26[[#This Row],[customerSKU]]="","",_xlfn.XLOOKUP(Table26[[#This Row],[customerSKU]],customerSKU!G:G,customerSKU!C:C,"",0,1))</f>
        <v/>
      </c>
      <c r="AD2496" s="23" t="str">
        <f>IF($AC2496="","",_xlfn.XLOOKUP($AC2496,'Client Info'!$C$2:$C$2497,'Client Info'!$D$2:$D$2497,"",0,1))</f>
        <v/>
      </c>
      <c r="AE2496" s="23" t="str">
        <f>IF($AC2496="","",_xlfn.XLOOKUP($AC2496,'Client Info'!$C$2:$C$2677,'Client Info'!$E$2:$E$2677,"",))</f>
        <v/>
      </c>
      <c r="AF2496" s="23" t="str">
        <f>IF($AC2496="","",_xlfn.XLOOKUP($AC2496,'Client Info'!$C$2:$C$2677,'Client Info'!$F$2:$F$2677,"",0,1))</f>
        <v/>
      </c>
      <c r="AG2496" s="23" t="str">
        <f>IF(ISBLANK(Table26[[#This Row],[customerSKU]]),"",_xlfn.XLOOKUP(Table26[[#This Row],[customerSKU]],Table27[customer_SKU],Table27[billto],"",0,1))</f>
        <v/>
      </c>
      <c r="AH2496" s="26" t="str">
        <f>_xlfn.XLOOKUP(Table26[[#This Row],[customerSKU]],customerSKU!G:G,customerSKU!K:K,"NA",0,1)</f>
        <v>NA</v>
      </c>
      <c r="AI2496" s="43" t="str">
        <f>_xlfn.XLOOKUP(Table26[[#This Row],[customerSKU]],customerSKU!G:G,customerSKU!O:O,"not found",0,1)</f>
        <v>not found</v>
      </c>
      <c r="AJ2496" s="22" t="e">
        <f>Table26[[#This Row],[unitprice]]*Table26[[#This Row],[quantity_unit]]</f>
        <v>#VALUE!</v>
      </c>
      <c r="AK2496" s="227" t="e" cm="1">
        <f t="array" ref="AK249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6" s="227"/>
    </row>
    <row r="2497" spans="1:38" ht="15.6">
      <c r="A2497" s="42">
        <v>2495</v>
      </c>
      <c r="B2497" s="42"/>
      <c r="C2497" s="53"/>
      <c r="E2497" s="20"/>
      <c r="F249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7" s="93"/>
      <c r="J2497" s="90" t="str">
        <f>IF(Table26[[#This Row],[customerSKU]]="","",_xlfn.XLOOKUP(Table26[[#This Row],[customerSKU]],customerSKU!G:G,customerSKU!A:A,"",0,1))</f>
        <v/>
      </c>
      <c r="K2497" s="19"/>
      <c r="L2497" s="49" t="str">
        <f>IF(Table26[[#This Row],[customerSKU]]="","",_xlfn.XLOOKUP(Table26[[#This Row],[customerSKU]],customerSKU!G:G,customerSKU!B:B,"",0,1))</f>
        <v/>
      </c>
      <c r="M2497" s="22"/>
      <c r="N2497" s="15" t="str">
        <f>Table26[[#This Row],[po_number]]&amp;"-"&amp;Table26[[#This Row],[po_line]]</f>
        <v>-</v>
      </c>
      <c r="O2497" s="15"/>
      <c r="P2497" s="50"/>
      <c r="S2497" s="90" t="str">
        <f>IF(Table26[[#This Row],[customerSKU]]="","",_xlfn.XLOOKUP(Table26[[#This Row],[customerSKU]],customerSKU!G:G,customerSKU!N:N,"NOT FOUND",0,1))</f>
        <v/>
      </c>
      <c r="T2497" s="20"/>
      <c r="U2497" s="94"/>
      <c r="V2497" s="22" t="str">
        <f>IF(ISBLANK(Table26[[#This Row],[customerSKU]]),"",_xlfn.XLOOKUP(Table26[[#This Row],[customerSKU]],Table27[customer_SKU],Table27[case_size],"",0,1))</f>
        <v/>
      </c>
      <c r="W2497" s="117" t="str">
        <f t="shared" si="106"/>
        <v/>
      </c>
      <c r="X2497" s="22" t="str">
        <f t="shared" si="105"/>
        <v/>
      </c>
      <c r="Y2497" s="25" t="str">
        <f>IF(Table26[[#This Row],[customerSKU]]="","",_xlfn.XLOOKUP(Table26[[#This Row],[customerSKU]],Table27[customer_SKU],Table27[product_GTIN],"",0,1))</f>
        <v/>
      </c>
      <c r="Z2497" s="25"/>
      <c r="AA2497" s="18" t="str" cm="1">
        <f t="array" ref="AA2497">IF(P2497="", "", _xlfn.XLOOKUP(P2497,#REF!,#REF!,NA,0,-1))</f>
        <v/>
      </c>
      <c r="AB2497" s="22"/>
      <c r="AC2497" s="23" t="str">
        <f>IF(Table26[[#This Row],[customerSKU]]="","",_xlfn.XLOOKUP(Table26[[#This Row],[customerSKU]],customerSKU!G:G,customerSKU!C:C,"",0,1))</f>
        <v/>
      </c>
      <c r="AD2497" s="23" t="str">
        <f>IF($AC2497="","",_xlfn.XLOOKUP($AC2497,'Client Info'!$C$2:$C$2497,'Client Info'!$D$2:$D$2497,"",0,1))</f>
        <v/>
      </c>
      <c r="AE2497" s="23" t="str">
        <f>IF($AC2497="","",_xlfn.XLOOKUP($AC2497,'Client Info'!$C$2:$C$2677,'Client Info'!$E$2:$E$2677,"",))</f>
        <v/>
      </c>
      <c r="AF2497" s="23" t="str">
        <f>IF($AC2497="","",_xlfn.XLOOKUP($AC2497,'Client Info'!$C$2:$C$2677,'Client Info'!$F$2:$F$2677,"",0,1))</f>
        <v/>
      </c>
      <c r="AG2497" s="23" t="str">
        <f>IF(ISBLANK(Table26[[#This Row],[customerSKU]]),"",_xlfn.XLOOKUP(Table26[[#This Row],[customerSKU]],Table27[customer_SKU],Table27[billto],"",0,1))</f>
        <v/>
      </c>
      <c r="AH2497" s="26" t="str">
        <f>_xlfn.XLOOKUP(Table26[[#This Row],[customerSKU]],customerSKU!G:G,customerSKU!K:K,"NA",0,1)</f>
        <v>NA</v>
      </c>
      <c r="AI2497" s="43" t="str">
        <f>_xlfn.XLOOKUP(Table26[[#This Row],[customerSKU]],customerSKU!G:G,customerSKU!O:O,"not found",0,1)</f>
        <v>not found</v>
      </c>
      <c r="AJ2497" s="22" t="e">
        <f>Table26[[#This Row],[unitprice]]*Table26[[#This Row],[quantity_unit]]</f>
        <v>#VALUE!</v>
      </c>
      <c r="AK2497" s="227" t="e" cm="1">
        <f t="array" ref="AK249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7" s="227"/>
    </row>
    <row r="2498" spans="1:38" ht="15.6">
      <c r="A2498" s="42">
        <v>2496</v>
      </c>
      <c r="B2498" s="42"/>
      <c r="C2498" s="53"/>
      <c r="E2498" s="20"/>
      <c r="F249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8" s="93"/>
      <c r="J2498" s="90" t="str">
        <f>IF(Table26[[#This Row],[customerSKU]]="","",_xlfn.XLOOKUP(Table26[[#This Row],[customerSKU]],customerSKU!G:G,customerSKU!A:A,"",0,1))</f>
        <v/>
      </c>
      <c r="K2498" s="19"/>
      <c r="L2498" s="49" t="str">
        <f>IF(Table26[[#This Row],[customerSKU]]="","",_xlfn.XLOOKUP(Table26[[#This Row],[customerSKU]],customerSKU!G:G,customerSKU!B:B,"",0,1))</f>
        <v/>
      </c>
      <c r="M2498" s="22"/>
      <c r="N2498" s="15" t="str">
        <f>Table26[[#This Row],[po_number]]&amp;"-"&amp;Table26[[#This Row],[po_line]]</f>
        <v>-</v>
      </c>
      <c r="O2498" s="15"/>
      <c r="P2498" s="50"/>
      <c r="S2498" s="90" t="str">
        <f>IF(Table26[[#This Row],[customerSKU]]="","",_xlfn.XLOOKUP(Table26[[#This Row],[customerSKU]],customerSKU!G:G,customerSKU!N:N,"NOT FOUND",0,1))</f>
        <v/>
      </c>
      <c r="T2498" s="20"/>
      <c r="U2498" s="94"/>
      <c r="V2498" s="22" t="str">
        <f>IF(ISBLANK(Table26[[#This Row],[customerSKU]]),"",_xlfn.XLOOKUP(Table26[[#This Row],[customerSKU]],Table27[customer_SKU],Table27[case_size],"",0,1))</f>
        <v/>
      </c>
      <c r="W2498" s="117" t="str">
        <f t="shared" si="106"/>
        <v/>
      </c>
      <c r="X2498" s="22" t="str">
        <f t="shared" si="105"/>
        <v/>
      </c>
      <c r="Y2498" s="25" t="str">
        <f>IF(Table26[[#This Row],[customerSKU]]="","",_xlfn.XLOOKUP(Table26[[#This Row],[customerSKU]],Table27[customer_SKU],Table27[product_GTIN],"",0,1))</f>
        <v/>
      </c>
      <c r="Z2498" s="25"/>
      <c r="AA2498" s="18" t="str" cm="1">
        <f t="array" ref="AA2498">IF(P2498="", "", _xlfn.XLOOKUP(P2498,#REF!,#REF!,NA,0,-1))</f>
        <v/>
      </c>
      <c r="AB2498" s="22"/>
      <c r="AC2498" s="23" t="str">
        <f>IF(Table26[[#This Row],[customerSKU]]="","",_xlfn.XLOOKUP(Table26[[#This Row],[customerSKU]],customerSKU!G:G,customerSKU!C:C,"",0,1))</f>
        <v/>
      </c>
      <c r="AD2498" s="23" t="str">
        <f>IF($AC2498="","",_xlfn.XLOOKUP($AC2498,'Client Info'!$C$2:$C$2497,'Client Info'!$D$2:$D$2497,"",0,1))</f>
        <v/>
      </c>
      <c r="AE2498" s="23" t="str">
        <f>IF($AC2498="","",_xlfn.XLOOKUP($AC2498,'Client Info'!$C$2:$C$2677,'Client Info'!$E$2:$E$2677,"",))</f>
        <v/>
      </c>
      <c r="AF2498" s="23" t="str">
        <f>IF($AC2498="","",_xlfn.XLOOKUP($AC2498,'Client Info'!$C$2:$C$2677,'Client Info'!$F$2:$F$2677,"",0,1))</f>
        <v/>
      </c>
      <c r="AG2498" s="23" t="str">
        <f>IF(ISBLANK(Table26[[#This Row],[customerSKU]]),"",_xlfn.XLOOKUP(Table26[[#This Row],[customerSKU]],Table27[customer_SKU],Table27[billto],"",0,1))</f>
        <v/>
      </c>
      <c r="AH2498" s="26" t="str">
        <f>_xlfn.XLOOKUP(Table26[[#This Row],[customerSKU]],customerSKU!G:G,customerSKU!K:K,"NA",0,1)</f>
        <v>NA</v>
      </c>
      <c r="AI2498" s="43" t="str">
        <f>_xlfn.XLOOKUP(Table26[[#This Row],[customerSKU]],customerSKU!G:G,customerSKU!O:O,"not found",0,1)</f>
        <v>not found</v>
      </c>
      <c r="AJ2498" s="22" t="e">
        <f>Table26[[#This Row],[unitprice]]*Table26[[#This Row],[quantity_unit]]</f>
        <v>#VALUE!</v>
      </c>
      <c r="AK2498" s="227" t="e" cm="1">
        <f t="array" ref="AK249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8" s="227"/>
    </row>
    <row r="2499" spans="1:38" ht="15.6">
      <c r="A2499" s="42">
        <v>2497</v>
      </c>
      <c r="B2499" s="42"/>
      <c r="C2499" s="53"/>
      <c r="E2499" s="20"/>
      <c r="F249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499" s="93"/>
      <c r="J2499" s="90" t="str">
        <f>IF(Table26[[#This Row],[customerSKU]]="","",_xlfn.XLOOKUP(Table26[[#This Row],[customerSKU]],customerSKU!G:G,customerSKU!A:A,"",0,1))</f>
        <v/>
      </c>
      <c r="K2499" s="19"/>
      <c r="L2499" s="49" t="str">
        <f>IF(Table26[[#This Row],[customerSKU]]="","",_xlfn.XLOOKUP(Table26[[#This Row],[customerSKU]],customerSKU!G:G,customerSKU!B:B,"",0,1))</f>
        <v/>
      </c>
      <c r="M2499" s="22"/>
      <c r="N2499" s="15" t="str">
        <f>Table26[[#This Row],[po_number]]&amp;"-"&amp;Table26[[#This Row],[po_line]]</f>
        <v>-</v>
      </c>
      <c r="O2499" s="15"/>
      <c r="P2499" s="50"/>
      <c r="S2499" s="90" t="str">
        <f>IF(Table26[[#This Row],[customerSKU]]="","",_xlfn.XLOOKUP(Table26[[#This Row],[customerSKU]],customerSKU!G:G,customerSKU!N:N,"NOT FOUND",0,1))</f>
        <v/>
      </c>
      <c r="T2499" s="20"/>
      <c r="U2499" s="94"/>
      <c r="V2499" s="22" t="str">
        <f>IF(ISBLANK(Table26[[#This Row],[customerSKU]]),"",_xlfn.XLOOKUP(Table26[[#This Row],[customerSKU]],Table27[customer_SKU],Table27[case_size],"",0,1))</f>
        <v/>
      </c>
      <c r="W2499" s="117" t="str">
        <f t="shared" si="106"/>
        <v/>
      </c>
      <c r="X2499" s="22" t="str">
        <f t="shared" si="105"/>
        <v/>
      </c>
      <c r="Y2499" s="25" t="str">
        <f>IF(Table26[[#This Row],[customerSKU]]="","",_xlfn.XLOOKUP(Table26[[#This Row],[customerSKU]],Table27[customer_SKU],Table27[product_GTIN],"",0,1))</f>
        <v/>
      </c>
      <c r="Z2499" s="25"/>
      <c r="AA2499" s="18" t="str" cm="1">
        <f t="array" ref="AA2499">IF(P2499="", "", _xlfn.XLOOKUP(P2499,#REF!,#REF!,NA,0,-1))</f>
        <v/>
      </c>
      <c r="AB2499" s="22"/>
      <c r="AC2499" s="23" t="str">
        <f>IF(Table26[[#This Row],[customerSKU]]="","",_xlfn.XLOOKUP(Table26[[#This Row],[customerSKU]],customerSKU!G:G,customerSKU!C:C,"",0,1))</f>
        <v/>
      </c>
      <c r="AD2499" s="23" t="str">
        <f>IF($AC2499="","",_xlfn.XLOOKUP($AC2499,'Client Info'!$C$2:$C$2497,'Client Info'!$D$2:$D$2497,"",0,1))</f>
        <v/>
      </c>
      <c r="AE2499" s="23" t="str">
        <f>IF($AC2499="","",_xlfn.XLOOKUP($AC2499,'Client Info'!$C$2:$C$2677,'Client Info'!$E$2:$E$2677,"",))</f>
        <v/>
      </c>
      <c r="AF2499" s="23" t="str">
        <f>IF($AC2499="","",_xlfn.XLOOKUP($AC2499,'Client Info'!$C$2:$C$2677,'Client Info'!$F$2:$F$2677,"",0,1))</f>
        <v/>
      </c>
      <c r="AG2499" s="23" t="str">
        <f>IF(ISBLANK(Table26[[#This Row],[customerSKU]]),"",_xlfn.XLOOKUP(Table26[[#This Row],[customerSKU]],Table27[customer_SKU],Table27[billto],"",0,1))</f>
        <v/>
      </c>
      <c r="AH2499" s="26" t="str">
        <f>_xlfn.XLOOKUP(Table26[[#This Row],[customerSKU]],customerSKU!G:G,customerSKU!K:K,"NA",0,1)</f>
        <v>NA</v>
      </c>
      <c r="AI2499" s="43" t="str">
        <f>_xlfn.XLOOKUP(Table26[[#This Row],[customerSKU]],customerSKU!G:G,customerSKU!O:O,"not found",0,1)</f>
        <v>not found</v>
      </c>
      <c r="AJ2499" s="22" t="e">
        <f>Table26[[#This Row],[unitprice]]*Table26[[#This Row],[quantity_unit]]</f>
        <v>#VALUE!</v>
      </c>
      <c r="AK2499" s="227" t="e" cm="1">
        <f t="array" ref="AK249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499" s="227"/>
    </row>
    <row r="2500" spans="1:38" ht="15.6">
      <c r="A2500" s="42">
        <v>2498</v>
      </c>
      <c r="B2500" s="42"/>
      <c r="C2500" s="53"/>
      <c r="E2500" s="20"/>
      <c r="F250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0" s="93"/>
      <c r="J2500" s="90" t="str">
        <f>IF(Table26[[#This Row],[customerSKU]]="","",_xlfn.XLOOKUP(Table26[[#This Row],[customerSKU]],customerSKU!G:G,customerSKU!A:A,"",0,1))</f>
        <v/>
      </c>
      <c r="K2500" s="19"/>
      <c r="L2500" s="49" t="str">
        <f>IF(Table26[[#This Row],[customerSKU]]="","",_xlfn.XLOOKUP(Table26[[#This Row],[customerSKU]],customerSKU!G:G,customerSKU!B:B,"",0,1))</f>
        <v/>
      </c>
      <c r="M2500" s="22"/>
      <c r="N2500" s="15" t="str">
        <f>Table26[[#This Row],[po_number]]&amp;"-"&amp;Table26[[#This Row],[po_line]]</f>
        <v>-</v>
      </c>
      <c r="O2500" s="15"/>
      <c r="P2500" s="50"/>
      <c r="S2500" s="90" t="str">
        <f>IF(Table26[[#This Row],[customerSKU]]="","",_xlfn.XLOOKUP(Table26[[#This Row],[customerSKU]],customerSKU!G:G,customerSKU!N:N,"NOT FOUND",0,1))</f>
        <v/>
      </c>
      <c r="T2500" s="20"/>
      <c r="U2500" s="94"/>
      <c r="V2500" s="22" t="str">
        <f>IF(ISBLANK(Table26[[#This Row],[customerSKU]]),"",_xlfn.XLOOKUP(Table26[[#This Row],[customerSKU]],Table27[customer_SKU],Table27[case_size],"",0,1))</f>
        <v/>
      </c>
      <c r="W2500" s="117" t="str">
        <f t="shared" si="106"/>
        <v/>
      </c>
      <c r="X2500" s="22" t="str">
        <f t="shared" si="105"/>
        <v/>
      </c>
      <c r="Y2500" s="25" t="str">
        <f>IF(Table26[[#This Row],[customerSKU]]="","",_xlfn.XLOOKUP(Table26[[#This Row],[customerSKU]],Table27[customer_SKU],Table27[product_GTIN],"",0,1))</f>
        <v/>
      </c>
      <c r="Z2500" s="25"/>
      <c r="AA2500" s="18" t="str" cm="1">
        <f t="array" ref="AA2500">IF(P2500="", "", _xlfn.XLOOKUP(P2500,#REF!,#REF!,NA,0,-1))</f>
        <v/>
      </c>
      <c r="AB2500" s="22"/>
      <c r="AC2500" s="23" t="str">
        <f>IF(Table26[[#This Row],[customerSKU]]="","",_xlfn.XLOOKUP(Table26[[#This Row],[customerSKU]],customerSKU!G:G,customerSKU!C:C,"",0,1))</f>
        <v/>
      </c>
      <c r="AD2500" s="23" t="str">
        <f>IF($AC2500="","",_xlfn.XLOOKUP($AC2500,'Client Info'!$C$2:$C$2497,'Client Info'!$D$2:$D$2497,"",0,1))</f>
        <v/>
      </c>
      <c r="AE2500" s="23" t="str">
        <f>IF($AC2500="","",_xlfn.XLOOKUP($AC2500,'Client Info'!$C$2:$C$2677,'Client Info'!$E$2:$E$2677,"",))</f>
        <v/>
      </c>
      <c r="AF2500" s="23" t="str">
        <f>IF($AC2500="","",_xlfn.XLOOKUP($AC2500,'Client Info'!$C$2:$C$2677,'Client Info'!$F$2:$F$2677,"",0,1))</f>
        <v/>
      </c>
      <c r="AG2500" s="23" t="str">
        <f>IF(ISBLANK(Table26[[#This Row],[customerSKU]]),"",_xlfn.XLOOKUP(Table26[[#This Row],[customerSKU]],Table27[customer_SKU],Table27[billto],"",0,1))</f>
        <v/>
      </c>
      <c r="AH2500" s="26" t="str">
        <f>_xlfn.XLOOKUP(Table26[[#This Row],[customerSKU]],customerSKU!G:G,customerSKU!K:K,"NA",0,1)</f>
        <v>NA</v>
      </c>
      <c r="AI2500" s="43" t="str">
        <f>_xlfn.XLOOKUP(Table26[[#This Row],[customerSKU]],customerSKU!G:G,customerSKU!O:O,"not found",0,1)</f>
        <v>not found</v>
      </c>
      <c r="AJ2500" s="22" t="e">
        <f>Table26[[#This Row],[unitprice]]*Table26[[#This Row],[quantity_unit]]</f>
        <v>#VALUE!</v>
      </c>
      <c r="AK2500" s="227" t="e" cm="1">
        <f t="array" ref="AK250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0" s="227"/>
    </row>
    <row r="2501" spans="1:38" ht="15.6">
      <c r="A2501" s="42">
        <v>2499</v>
      </c>
      <c r="B2501" s="42"/>
      <c r="C2501" s="53"/>
      <c r="E2501" s="20"/>
      <c r="F250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1" s="93"/>
      <c r="J2501" s="90" t="str">
        <f>IF(Table26[[#This Row],[customerSKU]]="","",_xlfn.XLOOKUP(Table26[[#This Row],[customerSKU]],customerSKU!G:G,customerSKU!A:A,"",0,1))</f>
        <v/>
      </c>
      <c r="K2501" s="19"/>
      <c r="L2501" s="49" t="str">
        <f>IF(Table26[[#This Row],[customerSKU]]="","",_xlfn.XLOOKUP(Table26[[#This Row],[customerSKU]],customerSKU!G:G,customerSKU!B:B,"",0,1))</f>
        <v/>
      </c>
      <c r="M2501" s="22"/>
      <c r="N2501" s="15" t="str">
        <f>Table26[[#This Row],[po_number]]&amp;"-"&amp;Table26[[#This Row],[po_line]]</f>
        <v>-</v>
      </c>
      <c r="O2501" s="15"/>
      <c r="P2501" s="50"/>
      <c r="S2501" s="90" t="str">
        <f>IF(Table26[[#This Row],[customerSKU]]="","",_xlfn.XLOOKUP(Table26[[#This Row],[customerSKU]],customerSKU!G:G,customerSKU!N:N,"NOT FOUND",0,1))</f>
        <v/>
      </c>
      <c r="T2501" s="20"/>
      <c r="U2501" s="94"/>
      <c r="V2501" s="22" t="str">
        <f>IF(ISBLANK(Table26[[#This Row],[customerSKU]]),"",_xlfn.XLOOKUP(Table26[[#This Row],[customerSKU]],Table27[customer_SKU],Table27[case_size],"",0,1))</f>
        <v/>
      </c>
      <c r="W2501" s="117" t="str">
        <f t="shared" si="106"/>
        <v/>
      </c>
      <c r="X2501" s="22" t="str">
        <f t="shared" si="105"/>
        <v/>
      </c>
      <c r="Y2501" s="25" t="str">
        <f>IF(Table26[[#This Row],[customerSKU]]="","",_xlfn.XLOOKUP(Table26[[#This Row],[customerSKU]],Table27[customer_SKU],Table27[product_GTIN],"",0,1))</f>
        <v/>
      </c>
      <c r="Z2501" s="25"/>
      <c r="AA2501" s="18" t="str" cm="1">
        <f t="array" ref="AA2501">IF(P2501="", "", _xlfn.XLOOKUP(P2501,#REF!,#REF!,NA,0,-1))</f>
        <v/>
      </c>
      <c r="AB2501" s="22"/>
      <c r="AC2501" s="23" t="str">
        <f>IF(Table26[[#This Row],[customerSKU]]="","",_xlfn.XLOOKUP(Table26[[#This Row],[customerSKU]],customerSKU!G:G,customerSKU!C:C,"",0,1))</f>
        <v/>
      </c>
      <c r="AD2501" s="23" t="str">
        <f>IF($AC2501="","",_xlfn.XLOOKUP($AC2501,'Client Info'!$C$2:$C$2497,'Client Info'!$D$2:$D$2497,"",0,1))</f>
        <v/>
      </c>
      <c r="AE2501" s="23" t="str">
        <f>IF($AC2501="","",_xlfn.XLOOKUP($AC2501,'Client Info'!$C$2:$C$2677,'Client Info'!$E$2:$E$2677,"",))</f>
        <v/>
      </c>
      <c r="AF2501" s="23" t="str">
        <f>IF($AC2501="","",_xlfn.XLOOKUP($AC2501,'Client Info'!$C$2:$C$2677,'Client Info'!$F$2:$F$2677,"",0,1))</f>
        <v/>
      </c>
      <c r="AG2501" s="23" t="str">
        <f>IF(ISBLANK(Table26[[#This Row],[customerSKU]]),"",_xlfn.XLOOKUP(Table26[[#This Row],[customerSKU]],Table27[customer_SKU],Table27[billto],"",0,1))</f>
        <v/>
      </c>
      <c r="AH2501" s="26" t="str">
        <f>_xlfn.XLOOKUP(Table26[[#This Row],[customerSKU]],customerSKU!G:G,customerSKU!K:K,"NA",0,1)</f>
        <v>NA</v>
      </c>
      <c r="AI2501" s="43" t="str">
        <f>_xlfn.XLOOKUP(Table26[[#This Row],[customerSKU]],customerSKU!G:G,customerSKU!O:O,"not found",0,1)</f>
        <v>not found</v>
      </c>
      <c r="AJ2501" s="22" t="e">
        <f>Table26[[#This Row],[unitprice]]*Table26[[#This Row],[quantity_unit]]</f>
        <v>#VALUE!</v>
      </c>
      <c r="AK2501" s="227" t="e" cm="1">
        <f t="array" ref="AK250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1" s="227"/>
    </row>
    <row r="2502" spans="1:38" ht="15.6">
      <c r="A2502" s="42">
        <v>2500</v>
      </c>
      <c r="B2502" s="42"/>
      <c r="C2502" s="53"/>
      <c r="E2502" s="20"/>
      <c r="F250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2" s="93"/>
      <c r="J2502" s="90" t="str">
        <f>IF(Table26[[#This Row],[customerSKU]]="","",_xlfn.XLOOKUP(Table26[[#This Row],[customerSKU]],customerSKU!G:G,customerSKU!A:A,"",0,1))</f>
        <v/>
      </c>
      <c r="K2502" s="19"/>
      <c r="L2502" s="49" t="str">
        <f>IF(Table26[[#This Row],[customerSKU]]="","",_xlfn.XLOOKUP(Table26[[#This Row],[customerSKU]],customerSKU!G:G,customerSKU!B:B,"",0,1))</f>
        <v/>
      </c>
      <c r="M2502" s="22"/>
      <c r="N2502" s="15" t="str">
        <f>Table26[[#This Row],[po_number]]&amp;"-"&amp;Table26[[#This Row],[po_line]]</f>
        <v>-</v>
      </c>
      <c r="O2502" s="15"/>
      <c r="P2502" s="50"/>
      <c r="S2502" s="90" t="str">
        <f>IF(Table26[[#This Row],[customerSKU]]="","",_xlfn.XLOOKUP(Table26[[#This Row],[customerSKU]],customerSKU!G:G,customerSKU!N:N,"NOT FOUND",0,1))</f>
        <v/>
      </c>
      <c r="T2502" s="20"/>
      <c r="U2502" s="94"/>
      <c r="V2502" s="22" t="str">
        <f>IF(ISBLANK(Table26[[#This Row],[customerSKU]]),"",_xlfn.XLOOKUP(Table26[[#This Row],[customerSKU]],Table27[customer_SKU],Table27[case_size],"",0,1))</f>
        <v/>
      </c>
      <c r="W2502" s="117" t="str">
        <f t="shared" si="106"/>
        <v/>
      </c>
      <c r="X2502" s="22" t="str">
        <f t="shared" si="105"/>
        <v/>
      </c>
      <c r="Y2502" s="25" t="str">
        <f>IF(Table26[[#This Row],[customerSKU]]="","",_xlfn.XLOOKUP(Table26[[#This Row],[customerSKU]],Table27[customer_SKU],Table27[product_GTIN],"",0,1))</f>
        <v/>
      </c>
      <c r="Z2502" s="25"/>
      <c r="AA2502" s="18" t="str" cm="1">
        <f t="array" ref="AA2502">IF(P2502="", "", _xlfn.XLOOKUP(P2502,#REF!,#REF!,NA,0,-1))</f>
        <v/>
      </c>
      <c r="AB2502" s="22"/>
      <c r="AC2502" s="23" t="str">
        <f>IF(Table26[[#This Row],[customerSKU]]="","",_xlfn.XLOOKUP(Table26[[#This Row],[customerSKU]],customerSKU!G:G,customerSKU!C:C,"",0,1))</f>
        <v/>
      </c>
      <c r="AD2502" s="23" t="str">
        <f>IF($AC2502="","",_xlfn.XLOOKUP($AC2502,'Client Info'!$C$2:$C$2497,'Client Info'!$D$2:$D$2497,"",0,1))</f>
        <v/>
      </c>
      <c r="AE2502" s="23" t="str">
        <f>IF($AC2502="","",_xlfn.XLOOKUP($AC2502,'Client Info'!$C$2:$C$2677,'Client Info'!$E$2:$E$2677,"",))</f>
        <v/>
      </c>
      <c r="AF2502" s="23" t="str">
        <f>IF($AC2502="","",_xlfn.XLOOKUP($AC2502,'Client Info'!$C$2:$C$2677,'Client Info'!$F$2:$F$2677,"",0,1))</f>
        <v/>
      </c>
      <c r="AG2502" s="23" t="str">
        <f>IF(ISBLANK(Table26[[#This Row],[customerSKU]]),"",_xlfn.XLOOKUP(Table26[[#This Row],[customerSKU]],Table27[customer_SKU],Table27[billto],"",0,1))</f>
        <v/>
      </c>
      <c r="AH2502" s="26" t="str">
        <f>_xlfn.XLOOKUP(Table26[[#This Row],[customerSKU]],customerSKU!G:G,customerSKU!K:K,"NA",0,1)</f>
        <v>NA</v>
      </c>
      <c r="AI2502" s="43" t="str">
        <f>_xlfn.XLOOKUP(Table26[[#This Row],[customerSKU]],customerSKU!G:G,customerSKU!O:O,"not found",0,1)</f>
        <v>not found</v>
      </c>
      <c r="AJ2502" s="22" t="e">
        <f>Table26[[#This Row],[unitprice]]*Table26[[#This Row],[quantity_unit]]</f>
        <v>#VALUE!</v>
      </c>
      <c r="AK2502" s="227" t="e" cm="1">
        <f t="array" ref="AK250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2" s="227"/>
    </row>
    <row r="2503" spans="1:38" ht="15.6">
      <c r="A2503" s="42">
        <v>2501</v>
      </c>
      <c r="B2503" s="42"/>
      <c r="C2503" s="53"/>
      <c r="E2503" s="20"/>
      <c r="F250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3" s="93"/>
      <c r="J2503" s="90" t="str">
        <f>IF(Table26[[#This Row],[customerSKU]]="","",_xlfn.XLOOKUP(Table26[[#This Row],[customerSKU]],customerSKU!G:G,customerSKU!A:A,"",0,1))</f>
        <v/>
      </c>
      <c r="K2503" s="19"/>
      <c r="L2503" s="49" t="str">
        <f>IF(Table26[[#This Row],[customerSKU]]="","",_xlfn.XLOOKUP(Table26[[#This Row],[customerSKU]],customerSKU!G:G,customerSKU!B:B,"",0,1))</f>
        <v/>
      </c>
      <c r="M2503" s="22"/>
      <c r="N2503" s="15" t="str">
        <f>Table26[[#This Row],[po_number]]&amp;"-"&amp;Table26[[#This Row],[po_line]]</f>
        <v>-</v>
      </c>
      <c r="O2503" s="15"/>
      <c r="P2503" s="50"/>
      <c r="S2503" s="90" t="str">
        <f>IF(Table26[[#This Row],[customerSKU]]="","",_xlfn.XLOOKUP(Table26[[#This Row],[customerSKU]],customerSKU!G:G,customerSKU!N:N,"NOT FOUND",0,1))</f>
        <v/>
      </c>
      <c r="T2503" s="20"/>
      <c r="U2503" s="94"/>
      <c r="V2503" s="22" t="str">
        <f>IF(ISBLANK(Table26[[#This Row],[customerSKU]]),"",_xlfn.XLOOKUP(Table26[[#This Row],[customerSKU]],Table27[customer_SKU],Table27[case_size],"",0,1))</f>
        <v/>
      </c>
      <c r="W2503" s="117" t="str">
        <f t="shared" si="106"/>
        <v/>
      </c>
      <c r="X2503" s="22" t="str">
        <f t="shared" si="105"/>
        <v/>
      </c>
      <c r="Y2503" s="25" t="str">
        <f>IF(Table26[[#This Row],[customerSKU]]="","",_xlfn.XLOOKUP(Table26[[#This Row],[customerSKU]],Table27[customer_SKU],Table27[product_GTIN],"",0,1))</f>
        <v/>
      </c>
      <c r="Z2503" s="25"/>
      <c r="AA2503" s="18" t="str" cm="1">
        <f t="array" ref="AA2503">IF(P2503="", "", _xlfn.XLOOKUP(P2503,#REF!,#REF!,NA,0,-1))</f>
        <v/>
      </c>
      <c r="AB2503" s="22"/>
      <c r="AC2503" s="23" t="str">
        <f>IF(Table26[[#This Row],[customerSKU]]="","",_xlfn.XLOOKUP(Table26[[#This Row],[customerSKU]],customerSKU!G:G,customerSKU!C:C,"",0,1))</f>
        <v/>
      </c>
      <c r="AD2503" s="23" t="str">
        <f>IF($AC2503="","",_xlfn.XLOOKUP($AC2503,'Client Info'!$C$2:$C$2497,'Client Info'!$D$2:$D$2497,"",0,1))</f>
        <v/>
      </c>
      <c r="AE2503" s="23" t="str">
        <f>IF($AC2503="","",_xlfn.XLOOKUP($AC2503,'Client Info'!$C$2:$C$2677,'Client Info'!$E$2:$E$2677,"",))</f>
        <v/>
      </c>
      <c r="AF2503" s="23" t="str">
        <f>IF($AC2503="","",_xlfn.XLOOKUP($AC2503,'Client Info'!$C$2:$C$2677,'Client Info'!$F$2:$F$2677,"",0,1))</f>
        <v/>
      </c>
      <c r="AG2503" s="23" t="str">
        <f>IF(ISBLANK(Table26[[#This Row],[customerSKU]]),"",_xlfn.XLOOKUP(Table26[[#This Row],[customerSKU]],Table27[customer_SKU],Table27[billto],"",0,1))</f>
        <v/>
      </c>
      <c r="AH2503" s="26" t="str">
        <f>_xlfn.XLOOKUP(Table26[[#This Row],[customerSKU]],customerSKU!G:G,customerSKU!K:K,"NA",0,1)</f>
        <v>NA</v>
      </c>
      <c r="AI2503" s="43" t="str">
        <f>_xlfn.XLOOKUP(Table26[[#This Row],[customerSKU]],customerSKU!G:G,customerSKU!O:O,"not found",0,1)</f>
        <v>not found</v>
      </c>
      <c r="AJ2503" s="22" t="e">
        <f>Table26[[#This Row],[unitprice]]*Table26[[#This Row],[quantity_unit]]</f>
        <v>#VALUE!</v>
      </c>
      <c r="AK2503" s="227" t="e" cm="1">
        <f t="array" ref="AK250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3" s="227"/>
    </row>
    <row r="2504" spans="1:38" ht="15.6">
      <c r="A2504" s="42">
        <v>2502</v>
      </c>
      <c r="B2504" s="42"/>
      <c r="C2504" s="53"/>
      <c r="E2504" s="20"/>
      <c r="F250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4" s="93"/>
      <c r="J2504" s="90" t="str">
        <f>IF(Table26[[#This Row],[customerSKU]]="","",_xlfn.XLOOKUP(Table26[[#This Row],[customerSKU]],customerSKU!G:G,customerSKU!A:A,"",0,1))</f>
        <v/>
      </c>
      <c r="K2504" s="19"/>
      <c r="L2504" s="49" t="str">
        <f>IF(Table26[[#This Row],[customerSKU]]="","",_xlfn.XLOOKUP(Table26[[#This Row],[customerSKU]],customerSKU!G:G,customerSKU!B:B,"",0,1))</f>
        <v/>
      </c>
      <c r="M2504" s="22"/>
      <c r="N2504" s="15" t="str">
        <f>Table26[[#This Row],[po_number]]&amp;"-"&amp;Table26[[#This Row],[po_line]]</f>
        <v>-</v>
      </c>
      <c r="O2504" s="15"/>
      <c r="P2504" s="50"/>
      <c r="S2504" s="90" t="str">
        <f>IF(Table26[[#This Row],[customerSKU]]="","",_xlfn.XLOOKUP(Table26[[#This Row],[customerSKU]],customerSKU!G:G,customerSKU!N:N,"NOT FOUND",0,1))</f>
        <v/>
      </c>
      <c r="T2504" s="20"/>
      <c r="U2504" s="94"/>
      <c r="V2504" s="22" t="str">
        <f>IF(ISBLANK(Table26[[#This Row],[customerSKU]]),"",_xlfn.XLOOKUP(Table26[[#This Row],[customerSKU]],Table27[customer_SKU],Table27[case_size],"",0,1))</f>
        <v/>
      </c>
      <c r="W2504" s="117" t="str">
        <f t="shared" si="106"/>
        <v/>
      </c>
      <c r="X2504" s="22" t="str">
        <f t="shared" si="105"/>
        <v/>
      </c>
      <c r="Y2504" s="25" t="str">
        <f>IF(Table26[[#This Row],[customerSKU]]="","",_xlfn.XLOOKUP(Table26[[#This Row],[customerSKU]],Table27[customer_SKU],Table27[product_GTIN],"",0,1))</f>
        <v/>
      </c>
      <c r="Z2504" s="25"/>
      <c r="AA2504" s="18" t="str" cm="1">
        <f t="array" ref="AA2504">IF(P2504="", "", _xlfn.XLOOKUP(P2504,#REF!,#REF!,NA,0,-1))</f>
        <v/>
      </c>
      <c r="AB2504" s="22"/>
      <c r="AC2504" s="23" t="str">
        <f>IF(Table26[[#This Row],[customerSKU]]="","",_xlfn.XLOOKUP(Table26[[#This Row],[customerSKU]],customerSKU!G:G,customerSKU!C:C,"",0,1))</f>
        <v/>
      </c>
      <c r="AD2504" s="23" t="str">
        <f>IF($AC2504="","",_xlfn.XLOOKUP($AC2504,'Client Info'!$C$2:$C$2497,'Client Info'!$D$2:$D$2497,"",0,1))</f>
        <v/>
      </c>
      <c r="AE2504" s="23" t="str">
        <f>IF($AC2504="","",_xlfn.XLOOKUP($AC2504,'Client Info'!$C$2:$C$2677,'Client Info'!$E$2:$E$2677,"",))</f>
        <v/>
      </c>
      <c r="AF2504" s="23" t="str">
        <f>IF($AC2504="","",_xlfn.XLOOKUP($AC2504,'Client Info'!$C$2:$C$2677,'Client Info'!$F$2:$F$2677,"",0,1))</f>
        <v/>
      </c>
      <c r="AG2504" s="23" t="str">
        <f>IF(ISBLANK(Table26[[#This Row],[customerSKU]]),"",_xlfn.XLOOKUP(Table26[[#This Row],[customerSKU]],Table27[customer_SKU],Table27[billto],"",0,1))</f>
        <v/>
      </c>
      <c r="AH2504" s="26" t="str">
        <f>_xlfn.XLOOKUP(Table26[[#This Row],[customerSKU]],customerSKU!G:G,customerSKU!K:K,"NA",0,1)</f>
        <v>NA</v>
      </c>
      <c r="AI2504" s="43" t="str">
        <f>_xlfn.XLOOKUP(Table26[[#This Row],[customerSKU]],customerSKU!G:G,customerSKU!O:O,"not found",0,1)</f>
        <v>not found</v>
      </c>
      <c r="AJ2504" s="22" t="e">
        <f>Table26[[#This Row],[unitprice]]*Table26[[#This Row],[quantity_unit]]</f>
        <v>#VALUE!</v>
      </c>
      <c r="AK2504" s="227" t="e" cm="1">
        <f t="array" ref="AK250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4" s="227"/>
    </row>
    <row r="2505" spans="1:38" ht="15.6">
      <c r="A2505" s="42">
        <v>2503</v>
      </c>
      <c r="B2505" s="42"/>
      <c r="C2505" s="53"/>
      <c r="E2505" s="20"/>
      <c r="F250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5" s="93"/>
      <c r="J2505" s="90" t="str">
        <f>IF(Table26[[#This Row],[customerSKU]]="","",_xlfn.XLOOKUP(Table26[[#This Row],[customerSKU]],customerSKU!G:G,customerSKU!A:A,"",0,1))</f>
        <v/>
      </c>
      <c r="K2505" s="19"/>
      <c r="L2505" s="49" t="str">
        <f>IF(Table26[[#This Row],[customerSKU]]="","",_xlfn.XLOOKUP(Table26[[#This Row],[customerSKU]],customerSKU!G:G,customerSKU!B:B,"",0,1))</f>
        <v/>
      </c>
      <c r="M2505" s="22"/>
      <c r="N2505" s="15" t="str">
        <f>Table26[[#This Row],[po_number]]&amp;"-"&amp;Table26[[#This Row],[po_line]]</f>
        <v>-</v>
      </c>
      <c r="O2505" s="15"/>
      <c r="P2505" s="50"/>
      <c r="S2505" s="90" t="str">
        <f>IF(Table26[[#This Row],[customerSKU]]="","",_xlfn.XLOOKUP(Table26[[#This Row],[customerSKU]],customerSKU!G:G,customerSKU!N:N,"NOT FOUND",0,1))</f>
        <v/>
      </c>
      <c r="T2505" s="20"/>
      <c r="U2505" s="94"/>
      <c r="V2505" s="22" t="str">
        <f>IF(ISBLANK(Table26[[#This Row],[customerSKU]]),"",_xlfn.XLOOKUP(Table26[[#This Row],[customerSKU]],Table27[customer_SKU],Table27[case_size],"",0,1))</f>
        <v/>
      </c>
      <c r="W2505" s="117" t="str">
        <f t="shared" si="106"/>
        <v/>
      </c>
      <c r="X2505" s="22" t="str">
        <f t="shared" si="105"/>
        <v/>
      </c>
      <c r="Y2505" s="25" t="str">
        <f>IF(Table26[[#This Row],[customerSKU]]="","",_xlfn.XLOOKUP(Table26[[#This Row],[customerSKU]],Table27[customer_SKU],Table27[product_GTIN],"",0,1))</f>
        <v/>
      </c>
      <c r="Z2505" s="25"/>
      <c r="AA2505" s="18" t="str" cm="1">
        <f t="array" ref="AA2505">IF(P2505="", "", _xlfn.XLOOKUP(P2505,#REF!,#REF!,NA,0,-1))</f>
        <v/>
      </c>
      <c r="AB2505" s="22"/>
      <c r="AC2505" s="23" t="str">
        <f>IF(Table26[[#This Row],[customerSKU]]="","",_xlfn.XLOOKUP(Table26[[#This Row],[customerSKU]],customerSKU!G:G,customerSKU!C:C,"",0,1))</f>
        <v/>
      </c>
      <c r="AD2505" s="23" t="str">
        <f>IF($AC2505="","",_xlfn.XLOOKUP($AC2505,'Client Info'!$C$2:$C$2497,'Client Info'!$D$2:$D$2497,"",0,1))</f>
        <v/>
      </c>
      <c r="AE2505" s="23" t="str">
        <f>IF($AC2505="","",_xlfn.XLOOKUP($AC2505,'Client Info'!$C$2:$C$2677,'Client Info'!$E$2:$E$2677,"",))</f>
        <v/>
      </c>
      <c r="AF2505" s="23" t="str">
        <f>IF($AC2505="","",_xlfn.XLOOKUP($AC2505,'Client Info'!$C$2:$C$2677,'Client Info'!$F$2:$F$2677,"",0,1))</f>
        <v/>
      </c>
      <c r="AG2505" s="23" t="str">
        <f>IF(ISBLANK(Table26[[#This Row],[customerSKU]]),"",_xlfn.XLOOKUP(Table26[[#This Row],[customerSKU]],Table27[customer_SKU],Table27[billto],"",0,1))</f>
        <v/>
      </c>
      <c r="AH2505" s="26" t="str">
        <f>_xlfn.XLOOKUP(Table26[[#This Row],[customerSKU]],customerSKU!G:G,customerSKU!K:K,"NA",0,1)</f>
        <v>NA</v>
      </c>
      <c r="AI2505" s="43" t="str">
        <f>_xlfn.XLOOKUP(Table26[[#This Row],[customerSKU]],customerSKU!G:G,customerSKU!O:O,"not found",0,1)</f>
        <v>not found</v>
      </c>
      <c r="AJ2505" s="22" t="e">
        <f>Table26[[#This Row],[unitprice]]*Table26[[#This Row],[quantity_unit]]</f>
        <v>#VALUE!</v>
      </c>
      <c r="AK2505" s="227" t="e" cm="1">
        <f t="array" ref="AK250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5" s="227"/>
    </row>
    <row r="2506" spans="1:38" ht="15.6">
      <c r="A2506" s="42">
        <v>2504</v>
      </c>
      <c r="B2506" s="42"/>
      <c r="C2506" s="53"/>
      <c r="E2506" s="20"/>
      <c r="F250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6" s="93"/>
      <c r="J2506" s="90" t="str">
        <f>IF(Table26[[#This Row],[customerSKU]]="","",_xlfn.XLOOKUP(Table26[[#This Row],[customerSKU]],customerSKU!G:G,customerSKU!A:A,"",0,1))</f>
        <v/>
      </c>
      <c r="K2506" s="19"/>
      <c r="L2506" s="49" t="str">
        <f>IF(Table26[[#This Row],[customerSKU]]="","",_xlfn.XLOOKUP(Table26[[#This Row],[customerSKU]],customerSKU!G:G,customerSKU!B:B,"",0,1))</f>
        <v/>
      </c>
      <c r="M2506" s="22"/>
      <c r="N2506" s="15" t="str">
        <f>Table26[[#This Row],[po_number]]&amp;"-"&amp;Table26[[#This Row],[po_line]]</f>
        <v>-</v>
      </c>
      <c r="O2506" s="15"/>
      <c r="P2506" s="50"/>
      <c r="S2506" s="90" t="str">
        <f>IF(Table26[[#This Row],[customerSKU]]="","",_xlfn.XLOOKUP(Table26[[#This Row],[customerSKU]],customerSKU!G:G,customerSKU!N:N,"NOT FOUND",0,1))</f>
        <v/>
      </c>
      <c r="T2506" s="20"/>
      <c r="U2506" s="94"/>
      <c r="V2506" s="22" t="str">
        <f>IF(ISBLANK(Table26[[#This Row],[customerSKU]]),"",_xlfn.XLOOKUP(Table26[[#This Row],[customerSKU]],Table27[customer_SKU],Table27[case_size],"",0,1))</f>
        <v/>
      </c>
      <c r="W2506" s="117" t="str">
        <f t="shared" si="106"/>
        <v/>
      </c>
      <c r="X2506" s="22" t="str">
        <f t="shared" si="105"/>
        <v/>
      </c>
      <c r="Y2506" s="25" t="str">
        <f>IF(Table26[[#This Row],[customerSKU]]="","",_xlfn.XLOOKUP(Table26[[#This Row],[customerSKU]],Table27[customer_SKU],Table27[product_GTIN],"",0,1))</f>
        <v/>
      </c>
      <c r="Z2506" s="25"/>
      <c r="AA2506" s="18" t="str" cm="1">
        <f t="array" ref="AA2506">IF(P2506="", "", _xlfn.XLOOKUP(P2506,#REF!,#REF!,NA,0,-1))</f>
        <v/>
      </c>
      <c r="AB2506" s="22"/>
      <c r="AC2506" s="23" t="str">
        <f>IF(Table26[[#This Row],[customerSKU]]="","",_xlfn.XLOOKUP(Table26[[#This Row],[customerSKU]],customerSKU!G:G,customerSKU!C:C,"",0,1))</f>
        <v/>
      </c>
      <c r="AD2506" s="23" t="str">
        <f>IF($AC2506="","",_xlfn.XLOOKUP($AC2506,'Client Info'!$C$2:$C$2497,'Client Info'!$D$2:$D$2497,"",0,1))</f>
        <v/>
      </c>
      <c r="AE2506" s="23" t="str">
        <f>IF($AC2506="","",_xlfn.XLOOKUP($AC2506,'Client Info'!$C$2:$C$2677,'Client Info'!$E$2:$E$2677,"",))</f>
        <v/>
      </c>
      <c r="AF2506" s="23" t="str">
        <f>IF($AC2506="","",_xlfn.XLOOKUP($AC2506,'Client Info'!$C$2:$C$2677,'Client Info'!$F$2:$F$2677,"",0,1))</f>
        <v/>
      </c>
      <c r="AG2506" s="23" t="str">
        <f>IF(ISBLANK(Table26[[#This Row],[customerSKU]]),"",_xlfn.XLOOKUP(Table26[[#This Row],[customerSKU]],Table27[customer_SKU],Table27[billto],"",0,1))</f>
        <v/>
      </c>
      <c r="AH2506" s="26" t="str">
        <f>_xlfn.XLOOKUP(Table26[[#This Row],[customerSKU]],customerSKU!G:G,customerSKU!K:K,"NA",0,1)</f>
        <v>NA</v>
      </c>
      <c r="AI2506" s="43" t="str">
        <f>_xlfn.XLOOKUP(Table26[[#This Row],[customerSKU]],customerSKU!G:G,customerSKU!O:O,"not found",0,1)</f>
        <v>not found</v>
      </c>
      <c r="AJ2506" s="22" t="e">
        <f>Table26[[#This Row],[unitprice]]*Table26[[#This Row],[quantity_unit]]</f>
        <v>#VALUE!</v>
      </c>
      <c r="AK2506" s="227" t="e" cm="1">
        <f t="array" ref="AK250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6" s="227"/>
    </row>
    <row r="2507" spans="1:38" ht="15.6">
      <c r="A2507" s="42">
        <v>2505</v>
      </c>
      <c r="B2507" s="42"/>
      <c r="C2507" s="53"/>
      <c r="E2507" s="20"/>
      <c r="F250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7" s="93"/>
      <c r="J2507" s="90" t="str">
        <f>IF(Table26[[#This Row],[customerSKU]]="","",_xlfn.XLOOKUP(Table26[[#This Row],[customerSKU]],customerSKU!G:G,customerSKU!A:A,"",0,1))</f>
        <v/>
      </c>
      <c r="K2507" s="19"/>
      <c r="L2507" s="49" t="str">
        <f>IF(Table26[[#This Row],[customerSKU]]="","",_xlfn.XLOOKUP(Table26[[#This Row],[customerSKU]],customerSKU!G:G,customerSKU!B:B,"",0,1))</f>
        <v/>
      </c>
      <c r="M2507" s="22"/>
      <c r="N2507" s="15" t="str">
        <f>Table26[[#This Row],[po_number]]&amp;"-"&amp;Table26[[#This Row],[po_line]]</f>
        <v>-</v>
      </c>
      <c r="O2507" s="15"/>
      <c r="P2507" s="50"/>
      <c r="S2507" s="90" t="str">
        <f>IF(Table26[[#This Row],[customerSKU]]="","",_xlfn.XLOOKUP(Table26[[#This Row],[customerSKU]],customerSKU!G:G,customerSKU!N:N,"NOT FOUND",0,1))</f>
        <v/>
      </c>
      <c r="T2507" s="20"/>
      <c r="U2507" s="94"/>
      <c r="V2507" s="22" t="str">
        <f>IF(ISBLANK(Table26[[#This Row],[customerSKU]]),"",_xlfn.XLOOKUP(Table26[[#This Row],[customerSKU]],Table27[customer_SKU],Table27[case_size],"",0,1))</f>
        <v/>
      </c>
      <c r="W2507" s="117" t="str">
        <f t="shared" si="106"/>
        <v/>
      </c>
      <c r="X2507" s="22" t="str">
        <f t="shared" si="105"/>
        <v/>
      </c>
      <c r="Y2507" s="25" t="str">
        <f>IF(Table26[[#This Row],[customerSKU]]="","",_xlfn.XLOOKUP(Table26[[#This Row],[customerSKU]],Table27[customer_SKU],Table27[product_GTIN],"",0,1))</f>
        <v/>
      </c>
      <c r="Z2507" s="25"/>
      <c r="AA2507" s="18" t="str" cm="1">
        <f t="array" ref="AA2507">IF(P2507="", "", _xlfn.XLOOKUP(P2507,#REF!,#REF!,NA,0,-1))</f>
        <v/>
      </c>
      <c r="AB2507" s="22"/>
      <c r="AC2507" s="23" t="str">
        <f>IF(Table26[[#This Row],[customerSKU]]="","",_xlfn.XLOOKUP(Table26[[#This Row],[customerSKU]],customerSKU!G:G,customerSKU!C:C,"",0,1))</f>
        <v/>
      </c>
      <c r="AD2507" s="23" t="str">
        <f>IF($AC2507="","",_xlfn.XLOOKUP($AC2507,'Client Info'!$C$2:$C$2497,'Client Info'!$D$2:$D$2497,"",0,1))</f>
        <v/>
      </c>
      <c r="AE2507" s="23" t="str">
        <f>IF($AC2507="","",_xlfn.XLOOKUP($AC2507,'Client Info'!$C$2:$C$2677,'Client Info'!$E$2:$E$2677,"",))</f>
        <v/>
      </c>
      <c r="AF2507" s="23" t="str">
        <f>IF($AC2507="","",_xlfn.XLOOKUP($AC2507,'Client Info'!$C$2:$C$2677,'Client Info'!$F$2:$F$2677,"",0,1))</f>
        <v/>
      </c>
      <c r="AG2507" s="23" t="str">
        <f>IF(ISBLANK(Table26[[#This Row],[customerSKU]]),"",_xlfn.XLOOKUP(Table26[[#This Row],[customerSKU]],Table27[customer_SKU],Table27[billto],"",0,1))</f>
        <v/>
      </c>
      <c r="AH2507" s="26" t="str">
        <f>_xlfn.XLOOKUP(Table26[[#This Row],[customerSKU]],customerSKU!G:G,customerSKU!K:K,"NA",0,1)</f>
        <v>NA</v>
      </c>
      <c r="AI2507" s="43" t="str">
        <f>_xlfn.XLOOKUP(Table26[[#This Row],[customerSKU]],customerSKU!G:G,customerSKU!O:O,"not found",0,1)</f>
        <v>not found</v>
      </c>
      <c r="AJ2507" s="22" t="e">
        <f>Table26[[#This Row],[unitprice]]*Table26[[#This Row],[quantity_unit]]</f>
        <v>#VALUE!</v>
      </c>
      <c r="AK2507" s="227" t="e" cm="1">
        <f t="array" ref="AK250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7" s="227"/>
    </row>
    <row r="2508" spans="1:38" ht="15.6">
      <c r="A2508" s="42">
        <v>2506</v>
      </c>
      <c r="B2508" s="42"/>
      <c r="C2508" s="53"/>
      <c r="E2508" s="20"/>
      <c r="F250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8" s="93"/>
      <c r="J2508" s="90" t="str">
        <f>IF(Table26[[#This Row],[customerSKU]]="","",_xlfn.XLOOKUP(Table26[[#This Row],[customerSKU]],customerSKU!G:G,customerSKU!A:A,"",0,1))</f>
        <v/>
      </c>
      <c r="K2508" s="19"/>
      <c r="L2508" s="49" t="str">
        <f>IF(Table26[[#This Row],[customerSKU]]="","",_xlfn.XLOOKUP(Table26[[#This Row],[customerSKU]],customerSKU!G:G,customerSKU!B:B,"",0,1))</f>
        <v/>
      </c>
      <c r="M2508" s="22"/>
      <c r="N2508" s="15" t="str">
        <f>Table26[[#This Row],[po_number]]&amp;"-"&amp;Table26[[#This Row],[po_line]]</f>
        <v>-</v>
      </c>
      <c r="O2508" s="15"/>
      <c r="P2508" s="50"/>
      <c r="S2508" s="90" t="str">
        <f>IF(Table26[[#This Row],[customerSKU]]="","",_xlfn.XLOOKUP(Table26[[#This Row],[customerSKU]],customerSKU!G:G,customerSKU!N:N,"NOT FOUND",0,1))</f>
        <v/>
      </c>
      <c r="T2508" s="20"/>
      <c r="U2508" s="94"/>
      <c r="V2508" s="22" t="str">
        <f>IF(ISBLANK(Table26[[#This Row],[customerSKU]]),"",_xlfn.XLOOKUP(Table26[[#This Row],[customerSKU]],Table27[customer_SKU],Table27[case_size],"",0,1))</f>
        <v/>
      </c>
      <c r="W2508" s="117" t="str">
        <f t="shared" si="106"/>
        <v/>
      </c>
      <c r="X2508" s="22" t="str">
        <f t="shared" si="105"/>
        <v/>
      </c>
      <c r="Y2508" s="25" t="str">
        <f>IF(Table26[[#This Row],[customerSKU]]="","",_xlfn.XLOOKUP(Table26[[#This Row],[customerSKU]],Table27[customer_SKU],Table27[product_GTIN],"",0,1))</f>
        <v/>
      </c>
      <c r="Z2508" s="25"/>
      <c r="AA2508" s="18" t="str" cm="1">
        <f t="array" ref="AA2508">IF(P2508="", "", _xlfn.XLOOKUP(P2508,#REF!,#REF!,NA,0,-1))</f>
        <v/>
      </c>
      <c r="AB2508" s="22"/>
      <c r="AC2508" s="23" t="str">
        <f>IF(Table26[[#This Row],[customerSKU]]="","",_xlfn.XLOOKUP(Table26[[#This Row],[customerSKU]],customerSKU!G:G,customerSKU!C:C,"",0,1))</f>
        <v/>
      </c>
      <c r="AD2508" s="23" t="str">
        <f>IF($AC2508="","",_xlfn.XLOOKUP($AC2508,'Client Info'!$C$2:$C$2497,'Client Info'!$D$2:$D$2497,"",0,1))</f>
        <v/>
      </c>
      <c r="AE2508" s="23" t="str">
        <f>IF($AC2508="","",_xlfn.XLOOKUP($AC2508,'Client Info'!$C$2:$C$2677,'Client Info'!$E$2:$E$2677,"",))</f>
        <v/>
      </c>
      <c r="AF2508" s="23" t="str">
        <f>IF($AC2508="","",_xlfn.XLOOKUP($AC2508,'Client Info'!$C$2:$C$2677,'Client Info'!$F$2:$F$2677,"",0,1))</f>
        <v/>
      </c>
      <c r="AG2508" s="23" t="str">
        <f>IF(ISBLANK(Table26[[#This Row],[customerSKU]]),"",_xlfn.XLOOKUP(Table26[[#This Row],[customerSKU]],Table27[customer_SKU],Table27[billto],"",0,1))</f>
        <v/>
      </c>
      <c r="AH2508" s="26" t="str">
        <f>_xlfn.XLOOKUP(Table26[[#This Row],[customerSKU]],customerSKU!G:G,customerSKU!K:K,"NA",0,1)</f>
        <v>NA</v>
      </c>
      <c r="AI2508" s="43" t="str">
        <f>_xlfn.XLOOKUP(Table26[[#This Row],[customerSKU]],customerSKU!G:G,customerSKU!O:O,"not found",0,1)</f>
        <v>not found</v>
      </c>
      <c r="AJ2508" s="22" t="e">
        <f>Table26[[#This Row],[unitprice]]*Table26[[#This Row],[quantity_unit]]</f>
        <v>#VALUE!</v>
      </c>
      <c r="AK2508" s="227" t="e" cm="1">
        <f t="array" ref="AK250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8" s="227"/>
    </row>
    <row r="2509" spans="1:38" ht="15.6">
      <c r="A2509" s="42">
        <v>2507</v>
      </c>
      <c r="B2509" s="42"/>
      <c r="C2509" s="53"/>
      <c r="E2509" s="20"/>
      <c r="F250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09" s="93"/>
      <c r="J2509" s="90" t="str">
        <f>IF(Table26[[#This Row],[customerSKU]]="","",_xlfn.XLOOKUP(Table26[[#This Row],[customerSKU]],customerSKU!G:G,customerSKU!A:A,"",0,1))</f>
        <v/>
      </c>
      <c r="K2509" s="19"/>
      <c r="L2509" s="49" t="str">
        <f>IF(Table26[[#This Row],[customerSKU]]="","",_xlfn.XLOOKUP(Table26[[#This Row],[customerSKU]],customerSKU!G:G,customerSKU!B:B,"",0,1))</f>
        <v/>
      </c>
      <c r="M2509" s="22"/>
      <c r="N2509" s="15" t="str">
        <f>Table26[[#This Row],[po_number]]&amp;"-"&amp;Table26[[#This Row],[po_line]]</f>
        <v>-</v>
      </c>
      <c r="O2509" s="15"/>
      <c r="P2509" s="50"/>
      <c r="S2509" s="90" t="str">
        <f>IF(Table26[[#This Row],[customerSKU]]="","",_xlfn.XLOOKUP(Table26[[#This Row],[customerSKU]],customerSKU!G:G,customerSKU!N:N,"NOT FOUND",0,1))</f>
        <v/>
      </c>
      <c r="T2509" s="20"/>
      <c r="U2509" s="94"/>
      <c r="V2509" s="22" t="str">
        <f>IF(ISBLANK(Table26[[#This Row],[customerSKU]]),"",_xlfn.XLOOKUP(Table26[[#This Row],[customerSKU]],Table27[customer_SKU],Table27[case_size],"",0,1))</f>
        <v/>
      </c>
      <c r="W2509" s="117" t="str">
        <f t="shared" si="106"/>
        <v/>
      </c>
      <c r="X2509" s="22" t="str">
        <f t="shared" si="105"/>
        <v/>
      </c>
      <c r="Y2509" s="25" t="str">
        <f>IF(Table26[[#This Row],[customerSKU]]="","",_xlfn.XLOOKUP(Table26[[#This Row],[customerSKU]],Table27[customer_SKU],Table27[product_GTIN],"",0,1))</f>
        <v/>
      </c>
      <c r="Z2509" s="25"/>
      <c r="AA2509" s="18" t="str" cm="1">
        <f t="array" ref="AA2509">IF(P2509="", "", _xlfn.XLOOKUP(P2509,#REF!,#REF!,NA,0,-1))</f>
        <v/>
      </c>
      <c r="AB2509" s="22"/>
      <c r="AC2509" s="23" t="str">
        <f>IF(Table26[[#This Row],[customerSKU]]="","",_xlfn.XLOOKUP(Table26[[#This Row],[customerSKU]],customerSKU!G:G,customerSKU!C:C,"",0,1))</f>
        <v/>
      </c>
      <c r="AD2509" s="23" t="str">
        <f>IF($AC2509="","",_xlfn.XLOOKUP($AC2509,'Client Info'!$C$2:$C$2497,'Client Info'!$D$2:$D$2497,"",0,1))</f>
        <v/>
      </c>
      <c r="AE2509" s="23" t="str">
        <f>IF($AC2509="","",_xlfn.XLOOKUP($AC2509,'Client Info'!$C$2:$C$2677,'Client Info'!$E$2:$E$2677,"",))</f>
        <v/>
      </c>
      <c r="AF2509" s="23" t="str">
        <f>IF($AC2509="","",_xlfn.XLOOKUP($AC2509,'Client Info'!$C$2:$C$2677,'Client Info'!$F$2:$F$2677,"",0,1))</f>
        <v/>
      </c>
      <c r="AG2509" s="23" t="str">
        <f>IF(ISBLANK(Table26[[#This Row],[customerSKU]]),"",_xlfn.XLOOKUP(Table26[[#This Row],[customerSKU]],Table27[customer_SKU],Table27[billto],"",0,1))</f>
        <v/>
      </c>
      <c r="AH2509" s="26" t="str">
        <f>_xlfn.XLOOKUP(Table26[[#This Row],[customerSKU]],customerSKU!G:G,customerSKU!K:K,"NA",0,1)</f>
        <v>NA</v>
      </c>
      <c r="AI2509" s="43" t="str">
        <f>_xlfn.XLOOKUP(Table26[[#This Row],[customerSKU]],customerSKU!G:G,customerSKU!O:O,"not found",0,1)</f>
        <v>not found</v>
      </c>
      <c r="AJ2509" s="22" t="e">
        <f>Table26[[#This Row],[unitprice]]*Table26[[#This Row],[quantity_unit]]</f>
        <v>#VALUE!</v>
      </c>
      <c r="AK2509" s="227" t="e" cm="1">
        <f t="array" ref="AK250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09" s="227"/>
    </row>
    <row r="2510" spans="1:38" ht="15.6">
      <c r="A2510" s="42">
        <v>2508</v>
      </c>
      <c r="B2510" s="42"/>
      <c r="C2510" s="53"/>
      <c r="E2510" s="20"/>
      <c r="F251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0" s="93"/>
      <c r="J2510" s="90" t="str">
        <f>IF(Table26[[#This Row],[customerSKU]]="","",_xlfn.XLOOKUP(Table26[[#This Row],[customerSKU]],customerSKU!G:G,customerSKU!A:A,"",0,1))</f>
        <v/>
      </c>
      <c r="K2510" s="19"/>
      <c r="L2510" s="49" t="str">
        <f>IF(Table26[[#This Row],[customerSKU]]="","",_xlfn.XLOOKUP(Table26[[#This Row],[customerSKU]],customerSKU!G:G,customerSKU!B:B,"",0,1))</f>
        <v/>
      </c>
      <c r="M2510" s="22"/>
      <c r="N2510" s="15" t="str">
        <f>Table26[[#This Row],[po_number]]&amp;"-"&amp;Table26[[#This Row],[po_line]]</f>
        <v>-</v>
      </c>
      <c r="O2510" s="15"/>
      <c r="P2510" s="50"/>
      <c r="S2510" s="90" t="str">
        <f>IF(Table26[[#This Row],[customerSKU]]="","",_xlfn.XLOOKUP(Table26[[#This Row],[customerSKU]],customerSKU!G:G,customerSKU!N:N,"NOT FOUND",0,1))</f>
        <v/>
      </c>
      <c r="T2510" s="20"/>
      <c r="U2510" s="94"/>
      <c r="V2510" s="22" t="str">
        <f>IF(ISBLANK(Table26[[#This Row],[customerSKU]]),"",_xlfn.XLOOKUP(Table26[[#This Row],[customerSKU]],Table27[customer_SKU],Table27[case_size],"",0,1))</f>
        <v/>
      </c>
      <c r="W2510" s="117" t="str">
        <f t="shared" si="106"/>
        <v/>
      </c>
      <c r="X2510" s="22" t="str">
        <f t="shared" si="105"/>
        <v/>
      </c>
      <c r="Y2510" s="25" t="str">
        <f>IF(Table26[[#This Row],[customerSKU]]="","",_xlfn.XLOOKUP(Table26[[#This Row],[customerSKU]],Table27[customer_SKU],Table27[product_GTIN],"",0,1))</f>
        <v/>
      </c>
      <c r="Z2510" s="25"/>
      <c r="AA2510" s="18" t="str" cm="1">
        <f t="array" ref="AA2510">IF(P2510="", "", _xlfn.XLOOKUP(P2510,#REF!,#REF!,NA,0,-1))</f>
        <v/>
      </c>
      <c r="AB2510" s="22"/>
      <c r="AC2510" s="23" t="str">
        <f>IF(Table26[[#This Row],[customerSKU]]="","",_xlfn.XLOOKUP(Table26[[#This Row],[customerSKU]],customerSKU!G:G,customerSKU!C:C,"",0,1))</f>
        <v/>
      </c>
      <c r="AD2510" s="23" t="str">
        <f>IF($AC2510="","",_xlfn.XLOOKUP($AC2510,'Client Info'!$C$2:$C$2497,'Client Info'!$D$2:$D$2497,"",0,1))</f>
        <v/>
      </c>
      <c r="AE2510" s="23" t="str">
        <f>IF($AC2510="","",_xlfn.XLOOKUP($AC2510,'Client Info'!$C$2:$C$2677,'Client Info'!$E$2:$E$2677,"",))</f>
        <v/>
      </c>
      <c r="AF2510" s="23" t="str">
        <f>IF($AC2510="","",_xlfn.XLOOKUP($AC2510,'Client Info'!$C$2:$C$2677,'Client Info'!$F$2:$F$2677,"",0,1))</f>
        <v/>
      </c>
      <c r="AG2510" s="23" t="str">
        <f>IF(ISBLANK(Table26[[#This Row],[customerSKU]]),"",_xlfn.XLOOKUP(Table26[[#This Row],[customerSKU]],Table27[customer_SKU],Table27[billto],"",0,1))</f>
        <v/>
      </c>
      <c r="AH2510" s="26" t="str">
        <f>_xlfn.XLOOKUP(Table26[[#This Row],[customerSKU]],customerSKU!G:G,customerSKU!K:K,"NA",0,1)</f>
        <v>NA</v>
      </c>
      <c r="AI2510" s="43" t="str">
        <f>_xlfn.XLOOKUP(Table26[[#This Row],[customerSKU]],customerSKU!G:G,customerSKU!O:O,"not found",0,1)</f>
        <v>not found</v>
      </c>
      <c r="AJ2510" s="22" t="e">
        <f>Table26[[#This Row],[unitprice]]*Table26[[#This Row],[quantity_unit]]</f>
        <v>#VALUE!</v>
      </c>
      <c r="AK2510" s="227" t="e" cm="1">
        <f t="array" ref="AK251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0" s="227"/>
    </row>
    <row r="2511" spans="1:38" ht="15.6">
      <c r="A2511" s="42">
        <v>2509</v>
      </c>
      <c r="B2511" s="42"/>
      <c r="C2511" s="53"/>
      <c r="E2511" s="20"/>
      <c r="F251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1" s="93"/>
      <c r="J2511" s="90" t="str">
        <f>IF(Table26[[#This Row],[customerSKU]]="","",_xlfn.XLOOKUP(Table26[[#This Row],[customerSKU]],customerSKU!G:G,customerSKU!A:A,"",0,1))</f>
        <v/>
      </c>
      <c r="K2511" s="19"/>
      <c r="L2511" s="49" t="str">
        <f>IF(Table26[[#This Row],[customerSKU]]="","",_xlfn.XLOOKUP(Table26[[#This Row],[customerSKU]],customerSKU!G:G,customerSKU!B:B,"",0,1))</f>
        <v/>
      </c>
      <c r="M2511" s="22"/>
      <c r="N2511" s="15" t="str">
        <f>Table26[[#This Row],[po_number]]&amp;"-"&amp;Table26[[#This Row],[po_line]]</f>
        <v>-</v>
      </c>
      <c r="O2511" s="15"/>
      <c r="P2511" s="50"/>
      <c r="S2511" s="90" t="str">
        <f>IF(Table26[[#This Row],[customerSKU]]="","",_xlfn.XLOOKUP(Table26[[#This Row],[customerSKU]],customerSKU!G:G,customerSKU!N:N,"NOT FOUND",0,1))</f>
        <v/>
      </c>
      <c r="T2511" s="20"/>
      <c r="U2511" s="94"/>
      <c r="V2511" s="22" t="str">
        <f>IF(ISBLANK(Table26[[#This Row],[customerSKU]]),"",_xlfn.XLOOKUP(Table26[[#This Row],[customerSKU]],Table27[customer_SKU],Table27[case_size],"",0,1))</f>
        <v/>
      </c>
      <c r="W2511" s="117" t="str">
        <f t="shared" si="106"/>
        <v/>
      </c>
      <c r="X2511" s="22" t="str">
        <f t="shared" si="105"/>
        <v/>
      </c>
      <c r="Y2511" s="25" t="str">
        <f>IF(Table26[[#This Row],[customerSKU]]="","",_xlfn.XLOOKUP(Table26[[#This Row],[customerSKU]],Table27[customer_SKU],Table27[product_GTIN],"",0,1))</f>
        <v/>
      </c>
      <c r="Z2511" s="25"/>
      <c r="AA2511" s="18" t="str" cm="1">
        <f t="array" ref="AA2511">IF(P2511="", "", _xlfn.XLOOKUP(P2511,#REF!,#REF!,NA,0,-1))</f>
        <v/>
      </c>
      <c r="AB2511" s="22"/>
      <c r="AC2511" s="23" t="str">
        <f>IF(Table26[[#This Row],[customerSKU]]="","",_xlfn.XLOOKUP(Table26[[#This Row],[customerSKU]],customerSKU!G:G,customerSKU!C:C,"",0,1))</f>
        <v/>
      </c>
      <c r="AD2511" s="23" t="str">
        <f>IF($AC2511="","",_xlfn.XLOOKUP($AC2511,'Client Info'!$C$2:$C$2497,'Client Info'!$D$2:$D$2497,"",0,1))</f>
        <v/>
      </c>
      <c r="AE2511" s="23" t="str">
        <f>IF($AC2511="","",_xlfn.XLOOKUP($AC2511,'Client Info'!$C$2:$C$2677,'Client Info'!$E$2:$E$2677,"",))</f>
        <v/>
      </c>
      <c r="AF2511" s="23" t="str">
        <f>IF($AC2511="","",_xlfn.XLOOKUP($AC2511,'Client Info'!$C$2:$C$2677,'Client Info'!$F$2:$F$2677,"",0,1))</f>
        <v/>
      </c>
      <c r="AG2511" s="23" t="str">
        <f>IF(ISBLANK(Table26[[#This Row],[customerSKU]]),"",_xlfn.XLOOKUP(Table26[[#This Row],[customerSKU]],Table27[customer_SKU],Table27[billto],"",0,1))</f>
        <v/>
      </c>
      <c r="AH2511" s="26" t="str">
        <f>_xlfn.XLOOKUP(Table26[[#This Row],[customerSKU]],customerSKU!G:G,customerSKU!K:K,"NA",0,1)</f>
        <v>NA</v>
      </c>
      <c r="AI2511" s="43" t="str">
        <f>_xlfn.XLOOKUP(Table26[[#This Row],[customerSKU]],customerSKU!G:G,customerSKU!O:O,"not found",0,1)</f>
        <v>not found</v>
      </c>
      <c r="AJ2511" s="22" t="e">
        <f>Table26[[#This Row],[unitprice]]*Table26[[#This Row],[quantity_unit]]</f>
        <v>#VALUE!</v>
      </c>
      <c r="AK2511" s="227" t="e" cm="1">
        <f t="array" ref="AK251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1" s="227"/>
    </row>
    <row r="2512" spans="1:38" ht="15.6">
      <c r="A2512" s="42">
        <v>2510</v>
      </c>
      <c r="B2512" s="42"/>
      <c r="C2512" s="53"/>
      <c r="E2512" s="20"/>
      <c r="F251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2" s="93"/>
      <c r="J2512" s="90" t="str">
        <f>IF(Table26[[#This Row],[customerSKU]]="","",_xlfn.XLOOKUP(Table26[[#This Row],[customerSKU]],customerSKU!G:G,customerSKU!A:A,"",0,1))</f>
        <v/>
      </c>
      <c r="K2512" s="19"/>
      <c r="L2512" s="49" t="str">
        <f>IF(Table26[[#This Row],[customerSKU]]="","",_xlfn.XLOOKUP(Table26[[#This Row],[customerSKU]],customerSKU!G:G,customerSKU!B:B,"",0,1))</f>
        <v/>
      </c>
      <c r="M2512" s="22"/>
      <c r="N2512" s="15" t="str">
        <f>Table26[[#This Row],[po_number]]&amp;"-"&amp;Table26[[#This Row],[po_line]]</f>
        <v>-</v>
      </c>
      <c r="O2512" s="15"/>
      <c r="P2512" s="50"/>
      <c r="S2512" s="90" t="str">
        <f>IF(Table26[[#This Row],[customerSKU]]="","",_xlfn.XLOOKUP(Table26[[#This Row],[customerSKU]],customerSKU!G:G,customerSKU!N:N,"NOT FOUND",0,1))</f>
        <v/>
      </c>
      <c r="T2512" s="20"/>
      <c r="U2512" s="94"/>
      <c r="V2512" s="22" t="str">
        <f>IF(ISBLANK(Table26[[#This Row],[customerSKU]]),"",_xlfn.XLOOKUP(Table26[[#This Row],[customerSKU]],Table27[customer_SKU],Table27[case_size],"",0,1))</f>
        <v/>
      </c>
      <c r="W2512" s="117" t="str">
        <f t="shared" si="106"/>
        <v/>
      </c>
      <c r="X2512" s="22" t="str">
        <f t="shared" si="105"/>
        <v/>
      </c>
      <c r="Y2512" s="25" t="str">
        <f>IF(Table26[[#This Row],[customerSKU]]="","",_xlfn.XLOOKUP(Table26[[#This Row],[customerSKU]],Table27[customer_SKU],Table27[product_GTIN],"",0,1))</f>
        <v/>
      </c>
      <c r="Z2512" s="25"/>
      <c r="AA2512" s="18" t="str" cm="1">
        <f t="array" ref="AA2512">IF(P2512="", "", _xlfn.XLOOKUP(P2512,#REF!,#REF!,NA,0,-1))</f>
        <v/>
      </c>
      <c r="AB2512" s="22"/>
      <c r="AC2512" s="23" t="str">
        <f>IF(Table26[[#This Row],[customerSKU]]="","",_xlfn.XLOOKUP(Table26[[#This Row],[customerSKU]],customerSKU!G:G,customerSKU!C:C,"",0,1))</f>
        <v/>
      </c>
      <c r="AD2512" s="23" t="str">
        <f>IF($AC2512="","",_xlfn.XLOOKUP($AC2512,'Client Info'!$C$2:$C$2497,'Client Info'!$D$2:$D$2497,"",0,1))</f>
        <v/>
      </c>
      <c r="AE2512" s="23" t="str">
        <f>IF($AC2512="","",_xlfn.XLOOKUP($AC2512,'Client Info'!$C$2:$C$2677,'Client Info'!$E$2:$E$2677,"",))</f>
        <v/>
      </c>
      <c r="AF2512" s="23" t="str">
        <f>IF($AC2512="","",_xlfn.XLOOKUP($AC2512,'Client Info'!$C$2:$C$2677,'Client Info'!$F$2:$F$2677,"",0,1))</f>
        <v/>
      </c>
      <c r="AG2512" s="23" t="str">
        <f>IF(ISBLANK(Table26[[#This Row],[customerSKU]]),"",_xlfn.XLOOKUP(Table26[[#This Row],[customerSKU]],Table27[customer_SKU],Table27[billto],"",0,1))</f>
        <v/>
      </c>
      <c r="AH2512" s="26" t="str">
        <f>_xlfn.XLOOKUP(Table26[[#This Row],[customerSKU]],customerSKU!G:G,customerSKU!K:K,"NA",0,1)</f>
        <v>NA</v>
      </c>
      <c r="AI2512" s="43" t="str">
        <f>_xlfn.XLOOKUP(Table26[[#This Row],[customerSKU]],customerSKU!G:G,customerSKU!O:O,"not found",0,1)</f>
        <v>not found</v>
      </c>
      <c r="AJ2512" s="22" t="e">
        <f>Table26[[#This Row],[unitprice]]*Table26[[#This Row],[quantity_unit]]</f>
        <v>#VALUE!</v>
      </c>
      <c r="AK2512" s="227" t="e" cm="1">
        <f t="array" ref="AK251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2" s="227"/>
    </row>
    <row r="2513" spans="1:38" ht="15.6">
      <c r="A2513" s="42">
        <v>2511</v>
      </c>
      <c r="B2513" s="42"/>
      <c r="C2513" s="53"/>
      <c r="E2513" s="20"/>
      <c r="F251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3" s="93"/>
      <c r="J2513" s="90" t="str">
        <f>IF(Table26[[#This Row],[customerSKU]]="","",_xlfn.XLOOKUP(Table26[[#This Row],[customerSKU]],customerSKU!G:G,customerSKU!A:A,"",0,1))</f>
        <v/>
      </c>
      <c r="K2513" s="19"/>
      <c r="L2513" s="49" t="str">
        <f>IF(Table26[[#This Row],[customerSKU]]="","",_xlfn.XLOOKUP(Table26[[#This Row],[customerSKU]],customerSKU!G:G,customerSKU!B:B,"",0,1))</f>
        <v/>
      </c>
      <c r="M2513" s="22"/>
      <c r="N2513" s="15" t="str">
        <f>Table26[[#This Row],[po_number]]&amp;"-"&amp;Table26[[#This Row],[po_line]]</f>
        <v>-</v>
      </c>
      <c r="O2513" s="15"/>
      <c r="P2513" s="50"/>
      <c r="S2513" s="90" t="str">
        <f>IF(Table26[[#This Row],[customerSKU]]="","",_xlfn.XLOOKUP(Table26[[#This Row],[customerSKU]],customerSKU!G:G,customerSKU!N:N,"NOT FOUND",0,1))</f>
        <v/>
      </c>
      <c r="T2513" s="20"/>
      <c r="U2513" s="94"/>
      <c r="V2513" s="22" t="str">
        <f>IF(ISBLANK(Table26[[#This Row],[customerSKU]]),"",_xlfn.XLOOKUP(Table26[[#This Row],[customerSKU]],Table27[customer_SKU],Table27[case_size],"",0,1))</f>
        <v/>
      </c>
      <c r="W2513" s="117" t="str">
        <f t="shared" si="106"/>
        <v/>
      </c>
      <c r="X2513" s="22" t="str">
        <f t="shared" si="105"/>
        <v/>
      </c>
      <c r="Y2513" s="25" t="str">
        <f>IF(Table26[[#This Row],[customerSKU]]="","",_xlfn.XLOOKUP(Table26[[#This Row],[customerSKU]],Table27[customer_SKU],Table27[product_GTIN],"",0,1))</f>
        <v/>
      </c>
      <c r="Z2513" s="25"/>
      <c r="AA2513" s="18" t="str" cm="1">
        <f t="array" ref="AA2513">IF(P2513="", "", _xlfn.XLOOKUP(P2513,#REF!,#REF!,NA,0,-1))</f>
        <v/>
      </c>
      <c r="AB2513" s="22"/>
      <c r="AC2513" s="23" t="str">
        <f>IF(Table26[[#This Row],[customerSKU]]="","",_xlfn.XLOOKUP(Table26[[#This Row],[customerSKU]],customerSKU!G:G,customerSKU!C:C,"",0,1))</f>
        <v/>
      </c>
      <c r="AD2513" s="23" t="str">
        <f>IF($AC2513="","",_xlfn.XLOOKUP($AC2513,'Client Info'!$C$2:$C$2497,'Client Info'!$D$2:$D$2497,"",0,1))</f>
        <v/>
      </c>
      <c r="AE2513" s="23" t="str">
        <f>IF($AC2513="","",_xlfn.XLOOKUP($AC2513,'Client Info'!$C$2:$C$2677,'Client Info'!$E$2:$E$2677,"",))</f>
        <v/>
      </c>
      <c r="AF2513" s="23" t="str">
        <f>IF($AC2513="","",_xlfn.XLOOKUP($AC2513,'Client Info'!$C$2:$C$2677,'Client Info'!$F$2:$F$2677,"",0,1))</f>
        <v/>
      </c>
      <c r="AG2513" s="23" t="str">
        <f>IF(ISBLANK(Table26[[#This Row],[customerSKU]]),"",_xlfn.XLOOKUP(Table26[[#This Row],[customerSKU]],Table27[customer_SKU],Table27[billto],"",0,1))</f>
        <v/>
      </c>
      <c r="AH2513" s="26" t="str">
        <f>_xlfn.XLOOKUP(Table26[[#This Row],[customerSKU]],customerSKU!G:G,customerSKU!K:K,"NA",0,1)</f>
        <v>NA</v>
      </c>
      <c r="AI2513" s="43" t="str">
        <f>_xlfn.XLOOKUP(Table26[[#This Row],[customerSKU]],customerSKU!G:G,customerSKU!O:O,"not found",0,1)</f>
        <v>not found</v>
      </c>
      <c r="AJ2513" s="22" t="e">
        <f>Table26[[#This Row],[unitprice]]*Table26[[#This Row],[quantity_unit]]</f>
        <v>#VALUE!</v>
      </c>
      <c r="AK2513" s="227" t="e" cm="1">
        <f t="array" ref="AK251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3" s="227"/>
    </row>
    <row r="2514" spans="1:38" ht="15.6">
      <c r="A2514" s="42">
        <v>2512</v>
      </c>
      <c r="B2514" s="42"/>
      <c r="C2514" s="53"/>
      <c r="E2514" s="20"/>
      <c r="F251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4" s="93"/>
      <c r="J2514" s="90" t="str">
        <f>IF(Table26[[#This Row],[customerSKU]]="","",_xlfn.XLOOKUP(Table26[[#This Row],[customerSKU]],customerSKU!G:G,customerSKU!A:A,"",0,1))</f>
        <v/>
      </c>
      <c r="K2514" s="19"/>
      <c r="L2514" s="49" t="str">
        <f>IF(Table26[[#This Row],[customerSKU]]="","",_xlfn.XLOOKUP(Table26[[#This Row],[customerSKU]],customerSKU!G:G,customerSKU!B:B,"",0,1))</f>
        <v/>
      </c>
      <c r="M2514" s="22"/>
      <c r="N2514" s="15" t="str">
        <f>Table26[[#This Row],[po_number]]&amp;"-"&amp;Table26[[#This Row],[po_line]]</f>
        <v>-</v>
      </c>
      <c r="O2514" s="15"/>
      <c r="P2514" s="50"/>
      <c r="S2514" s="90" t="str">
        <f>IF(Table26[[#This Row],[customerSKU]]="","",_xlfn.XLOOKUP(Table26[[#This Row],[customerSKU]],customerSKU!G:G,customerSKU!N:N,"NOT FOUND",0,1))</f>
        <v/>
      </c>
      <c r="T2514" s="20"/>
      <c r="U2514" s="94"/>
      <c r="V2514" s="22" t="str">
        <f>IF(ISBLANK(Table26[[#This Row],[customerSKU]]),"",_xlfn.XLOOKUP(Table26[[#This Row],[customerSKU]],Table27[customer_SKU],Table27[case_size],"",0,1))</f>
        <v/>
      </c>
      <c r="W2514" s="117" t="str">
        <f t="shared" si="106"/>
        <v/>
      </c>
      <c r="X2514" s="22" t="str">
        <f t="shared" si="105"/>
        <v/>
      </c>
      <c r="Y2514" s="25" t="str">
        <f>IF(Table26[[#This Row],[customerSKU]]="","",_xlfn.XLOOKUP(Table26[[#This Row],[customerSKU]],Table27[customer_SKU],Table27[product_GTIN],"",0,1))</f>
        <v/>
      </c>
      <c r="Z2514" s="25"/>
      <c r="AA2514" s="18" t="str" cm="1">
        <f t="array" ref="AA2514">IF(P2514="", "", _xlfn.XLOOKUP(P2514,#REF!,#REF!,NA,0,-1))</f>
        <v/>
      </c>
      <c r="AB2514" s="22"/>
      <c r="AC2514" s="23" t="str">
        <f>IF(Table26[[#This Row],[customerSKU]]="","",_xlfn.XLOOKUP(Table26[[#This Row],[customerSKU]],customerSKU!G:G,customerSKU!C:C,"",0,1))</f>
        <v/>
      </c>
      <c r="AD2514" s="23" t="str">
        <f>IF($AC2514="","",_xlfn.XLOOKUP($AC2514,'Client Info'!$C$2:$C$2497,'Client Info'!$D$2:$D$2497,"",0,1))</f>
        <v/>
      </c>
      <c r="AE2514" s="23" t="str">
        <f>IF($AC2514="","",_xlfn.XLOOKUP($AC2514,'Client Info'!$C$2:$C$2677,'Client Info'!$E$2:$E$2677,"",))</f>
        <v/>
      </c>
      <c r="AF2514" s="23" t="str">
        <f>IF($AC2514="","",_xlfn.XLOOKUP($AC2514,'Client Info'!$C$2:$C$2677,'Client Info'!$F$2:$F$2677,"",0,1))</f>
        <v/>
      </c>
      <c r="AG2514" s="23" t="str">
        <f>IF(ISBLANK(Table26[[#This Row],[customerSKU]]),"",_xlfn.XLOOKUP(Table26[[#This Row],[customerSKU]],Table27[customer_SKU],Table27[billto],"",0,1))</f>
        <v/>
      </c>
      <c r="AH2514" s="26" t="str">
        <f>_xlfn.XLOOKUP(Table26[[#This Row],[customerSKU]],customerSKU!G:G,customerSKU!K:K,"NA",0,1)</f>
        <v>NA</v>
      </c>
      <c r="AI2514" s="43" t="str">
        <f>_xlfn.XLOOKUP(Table26[[#This Row],[customerSKU]],customerSKU!G:G,customerSKU!O:O,"not found",0,1)</f>
        <v>not found</v>
      </c>
      <c r="AJ2514" s="22" t="e">
        <f>Table26[[#This Row],[unitprice]]*Table26[[#This Row],[quantity_unit]]</f>
        <v>#VALUE!</v>
      </c>
      <c r="AK2514" s="227" t="e" cm="1">
        <f t="array" ref="AK251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4" s="227"/>
    </row>
    <row r="2515" spans="1:38" ht="15.6">
      <c r="A2515" s="42">
        <v>2513</v>
      </c>
      <c r="B2515" s="42"/>
      <c r="C2515" s="53"/>
      <c r="E2515" s="20"/>
      <c r="F251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5" s="93"/>
      <c r="J2515" s="90" t="str">
        <f>IF(Table26[[#This Row],[customerSKU]]="","",_xlfn.XLOOKUP(Table26[[#This Row],[customerSKU]],customerSKU!G:G,customerSKU!A:A,"",0,1))</f>
        <v/>
      </c>
      <c r="K2515" s="19"/>
      <c r="L2515" s="49" t="str">
        <f>IF(Table26[[#This Row],[customerSKU]]="","",_xlfn.XLOOKUP(Table26[[#This Row],[customerSKU]],customerSKU!G:G,customerSKU!B:B,"",0,1))</f>
        <v/>
      </c>
      <c r="M2515" s="22"/>
      <c r="N2515" s="15" t="str">
        <f>Table26[[#This Row],[po_number]]&amp;"-"&amp;Table26[[#This Row],[po_line]]</f>
        <v>-</v>
      </c>
      <c r="O2515" s="15"/>
      <c r="P2515" s="50"/>
      <c r="S2515" s="90" t="str">
        <f>IF(Table26[[#This Row],[customerSKU]]="","",_xlfn.XLOOKUP(Table26[[#This Row],[customerSKU]],customerSKU!G:G,customerSKU!N:N,"NOT FOUND",0,1))</f>
        <v/>
      </c>
      <c r="T2515" s="20"/>
      <c r="U2515" s="94"/>
      <c r="V2515" s="22" t="str">
        <f>IF(ISBLANK(Table26[[#This Row],[customerSKU]]),"",_xlfn.XLOOKUP(Table26[[#This Row],[customerSKU]],Table27[customer_SKU],Table27[case_size],"",0,1))</f>
        <v/>
      </c>
      <c r="W2515" s="117" t="str">
        <f t="shared" si="106"/>
        <v/>
      </c>
      <c r="X2515" s="22" t="str">
        <f t="shared" si="105"/>
        <v/>
      </c>
      <c r="Y2515" s="25" t="str">
        <f>IF(Table26[[#This Row],[customerSKU]]="","",_xlfn.XLOOKUP(Table26[[#This Row],[customerSKU]],Table27[customer_SKU],Table27[product_GTIN],"",0,1))</f>
        <v/>
      </c>
      <c r="Z2515" s="25"/>
      <c r="AA2515" s="18" t="str" cm="1">
        <f t="array" ref="AA2515">IF(P2515="", "", _xlfn.XLOOKUP(P2515,#REF!,#REF!,NA,0,-1))</f>
        <v/>
      </c>
      <c r="AB2515" s="22"/>
      <c r="AC2515" s="23" t="str">
        <f>IF(Table26[[#This Row],[customerSKU]]="","",_xlfn.XLOOKUP(Table26[[#This Row],[customerSKU]],customerSKU!G:G,customerSKU!C:C,"",0,1))</f>
        <v/>
      </c>
      <c r="AD2515" s="23" t="str">
        <f>IF($AC2515="","",_xlfn.XLOOKUP($AC2515,'Client Info'!$C$2:$C$2497,'Client Info'!$D$2:$D$2497,"",0,1))</f>
        <v/>
      </c>
      <c r="AE2515" s="23" t="str">
        <f>IF($AC2515="","",_xlfn.XLOOKUP($AC2515,'Client Info'!$C$2:$C$2677,'Client Info'!$E$2:$E$2677,"",))</f>
        <v/>
      </c>
      <c r="AF2515" s="23" t="str">
        <f>IF($AC2515="","",_xlfn.XLOOKUP($AC2515,'Client Info'!$C$2:$C$2677,'Client Info'!$F$2:$F$2677,"",0,1))</f>
        <v/>
      </c>
      <c r="AG2515" s="23" t="str">
        <f>IF(ISBLANK(Table26[[#This Row],[customerSKU]]),"",_xlfn.XLOOKUP(Table26[[#This Row],[customerSKU]],Table27[customer_SKU],Table27[billto],"",0,1))</f>
        <v/>
      </c>
      <c r="AH2515" s="26" t="str">
        <f>_xlfn.XLOOKUP(Table26[[#This Row],[customerSKU]],customerSKU!G:G,customerSKU!K:K,"NA",0,1)</f>
        <v>NA</v>
      </c>
      <c r="AI2515" s="43" t="str">
        <f>_xlfn.XLOOKUP(Table26[[#This Row],[customerSKU]],customerSKU!G:G,customerSKU!O:O,"not found",0,1)</f>
        <v>not found</v>
      </c>
      <c r="AJ2515" s="22" t="e">
        <f>Table26[[#This Row],[unitprice]]*Table26[[#This Row],[quantity_unit]]</f>
        <v>#VALUE!</v>
      </c>
      <c r="AK2515" s="227" t="e" cm="1">
        <f t="array" ref="AK251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5" s="227"/>
    </row>
    <row r="2516" spans="1:38" ht="15.6">
      <c r="A2516" s="42">
        <v>2514</v>
      </c>
      <c r="B2516" s="42"/>
      <c r="C2516" s="53"/>
      <c r="E2516" s="20"/>
      <c r="F251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6" s="93"/>
      <c r="J2516" s="90" t="str">
        <f>IF(Table26[[#This Row],[customerSKU]]="","",_xlfn.XLOOKUP(Table26[[#This Row],[customerSKU]],customerSKU!G:G,customerSKU!A:A,"",0,1))</f>
        <v/>
      </c>
      <c r="K2516" s="19"/>
      <c r="L2516" s="49" t="str">
        <f>IF(Table26[[#This Row],[customerSKU]]="","",_xlfn.XLOOKUP(Table26[[#This Row],[customerSKU]],customerSKU!G:G,customerSKU!B:B,"",0,1))</f>
        <v/>
      </c>
      <c r="M2516" s="22"/>
      <c r="N2516" s="15" t="str">
        <f>Table26[[#This Row],[po_number]]&amp;"-"&amp;Table26[[#This Row],[po_line]]</f>
        <v>-</v>
      </c>
      <c r="O2516" s="15"/>
      <c r="P2516" s="50"/>
      <c r="S2516" s="90" t="str">
        <f>IF(Table26[[#This Row],[customerSKU]]="","",_xlfn.XLOOKUP(Table26[[#This Row],[customerSKU]],customerSKU!G:G,customerSKU!N:N,"NOT FOUND",0,1))</f>
        <v/>
      </c>
      <c r="T2516" s="20"/>
      <c r="U2516" s="94"/>
      <c r="V2516" s="22" t="str">
        <f>IF(ISBLANK(Table26[[#This Row],[customerSKU]]),"",_xlfn.XLOOKUP(Table26[[#This Row],[customerSKU]],Table27[customer_SKU],Table27[case_size],"",0,1))</f>
        <v/>
      </c>
      <c r="W2516" s="117" t="str">
        <f t="shared" si="106"/>
        <v/>
      </c>
      <c r="X2516" s="22" t="str">
        <f t="shared" si="105"/>
        <v/>
      </c>
      <c r="Y2516" s="25" t="str">
        <f>IF(Table26[[#This Row],[customerSKU]]="","",_xlfn.XLOOKUP(Table26[[#This Row],[customerSKU]],Table27[customer_SKU],Table27[product_GTIN],"",0,1))</f>
        <v/>
      </c>
      <c r="Z2516" s="25"/>
      <c r="AA2516" s="18" t="str" cm="1">
        <f t="array" ref="AA2516">IF(P2516="", "", _xlfn.XLOOKUP(P2516,#REF!,#REF!,NA,0,-1))</f>
        <v/>
      </c>
      <c r="AB2516" s="22"/>
      <c r="AC2516" s="23" t="str">
        <f>IF(Table26[[#This Row],[customerSKU]]="","",_xlfn.XLOOKUP(Table26[[#This Row],[customerSKU]],customerSKU!G:G,customerSKU!C:C,"",0,1))</f>
        <v/>
      </c>
      <c r="AD2516" s="23" t="str">
        <f>IF($AC2516="","",_xlfn.XLOOKUP($AC2516,'Client Info'!$C$2:$C$2497,'Client Info'!$D$2:$D$2497,"",0,1))</f>
        <v/>
      </c>
      <c r="AE2516" s="23" t="str">
        <f>IF($AC2516="","",_xlfn.XLOOKUP($AC2516,'Client Info'!$C$2:$C$2677,'Client Info'!$E$2:$E$2677,"",))</f>
        <v/>
      </c>
      <c r="AF2516" s="23" t="str">
        <f>IF($AC2516="","",_xlfn.XLOOKUP($AC2516,'Client Info'!$C$2:$C$2677,'Client Info'!$F$2:$F$2677,"",0,1))</f>
        <v/>
      </c>
      <c r="AG2516" s="23" t="str">
        <f>IF(ISBLANK(Table26[[#This Row],[customerSKU]]),"",_xlfn.XLOOKUP(Table26[[#This Row],[customerSKU]],Table27[customer_SKU],Table27[billto],"",0,1))</f>
        <v/>
      </c>
      <c r="AH2516" s="26" t="str">
        <f>_xlfn.XLOOKUP(Table26[[#This Row],[customerSKU]],customerSKU!G:G,customerSKU!K:K,"NA",0,1)</f>
        <v>NA</v>
      </c>
      <c r="AI2516" s="43" t="str">
        <f>_xlfn.XLOOKUP(Table26[[#This Row],[customerSKU]],customerSKU!G:G,customerSKU!O:O,"not found",0,1)</f>
        <v>not found</v>
      </c>
      <c r="AJ2516" s="22" t="e">
        <f>Table26[[#This Row],[unitprice]]*Table26[[#This Row],[quantity_unit]]</f>
        <v>#VALUE!</v>
      </c>
      <c r="AK2516" s="227" t="e" cm="1">
        <f t="array" ref="AK251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6" s="227"/>
    </row>
    <row r="2517" spans="1:38" ht="15.6">
      <c r="A2517" s="42">
        <v>2515</v>
      </c>
      <c r="B2517" s="42"/>
      <c r="C2517" s="53"/>
      <c r="E2517" s="20"/>
      <c r="F251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7" s="93"/>
      <c r="J2517" s="90" t="str">
        <f>IF(Table26[[#This Row],[customerSKU]]="","",_xlfn.XLOOKUP(Table26[[#This Row],[customerSKU]],customerSKU!G:G,customerSKU!A:A,"",0,1))</f>
        <v/>
      </c>
      <c r="K2517" s="19"/>
      <c r="L2517" s="49" t="str">
        <f>IF(Table26[[#This Row],[customerSKU]]="","",_xlfn.XLOOKUP(Table26[[#This Row],[customerSKU]],customerSKU!G:G,customerSKU!B:B,"",0,1))</f>
        <v/>
      </c>
      <c r="M2517" s="22"/>
      <c r="N2517" s="15" t="str">
        <f>Table26[[#This Row],[po_number]]&amp;"-"&amp;Table26[[#This Row],[po_line]]</f>
        <v>-</v>
      </c>
      <c r="O2517" s="15"/>
      <c r="P2517" s="50"/>
      <c r="S2517" s="90" t="str">
        <f>IF(Table26[[#This Row],[customerSKU]]="","",_xlfn.XLOOKUP(Table26[[#This Row],[customerSKU]],customerSKU!G:G,customerSKU!N:N,"NOT FOUND",0,1))</f>
        <v/>
      </c>
      <c r="T2517" s="20"/>
      <c r="U2517" s="94"/>
      <c r="V2517" s="22" t="str">
        <f>IF(ISBLANK(Table26[[#This Row],[customerSKU]]),"",_xlfn.XLOOKUP(Table26[[#This Row],[customerSKU]],Table27[customer_SKU],Table27[case_size],"",0,1))</f>
        <v/>
      </c>
      <c r="W2517" s="117" t="str">
        <f t="shared" si="106"/>
        <v/>
      </c>
      <c r="X2517" s="22" t="str">
        <f t="shared" si="105"/>
        <v/>
      </c>
      <c r="Y2517" s="25" t="str">
        <f>IF(Table26[[#This Row],[customerSKU]]="","",_xlfn.XLOOKUP(Table26[[#This Row],[customerSKU]],Table27[customer_SKU],Table27[product_GTIN],"",0,1))</f>
        <v/>
      </c>
      <c r="Z2517" s="25"/>
      <c r="AA2517" s="18" t="str" cm="1">
        <f t="array" ref="AA2517">IF(P2517="", "", _xlfn.XLOOKUP(P2517,#REF!,#REF!,NA,0,-1))</f>
        <v/>
      </c>
      <c r="AB2517" s="22"/>
      <c r="AC2517" s="23" t="str">
        <f>IF(Table26[[#This Row],[customerSKU]]="","",_xlfn.XLOOKUP(Table26[[#This Row],[customerSKU]],customerSKU!G:G,customerSKU!C:C,"",0,1))</f>
        <v/>
      </c>
      <c r="AD2517" s="23" t="str">
        <f>IF($AC2517="","",_xlfn.XLOOKUP($AC2517,'Client Info'!$C$2:$C$2497,'Client Info'!$D$2:$D$2497,"",0,1))</f>
        <v/>
      </c>
      <c r="AE2517" s="23" t="str">
        <f>IF($AC2517="","",_xlfn.XLOOKUP($AC2517,'Client Info'!$C$2:$C$2677,'Client Info'!$E$2:$E$2677,"",))</f>
        <v/>
      </c>
      <c r="AF2517" s="23" t="str">
        <f>IF($AC2517="","",_xlfn.XLOOKUP($AC2517,'Client Info'!$C$2:$C$2677,'Client Info'!$F$2:$F$2677,"",0,1))</f>
        <v/>
      </c>
      <c r="AG2517" s="23" t="str">
        <f>IF(ISBLANK(Table26[[#This Row],[customerSKU]]),"",_xlfn.XLOOKUP(Table26[[#This Row],[customerSKU]],Table27[customer_SKU],Table27[billto],"",0,1))</f>
        <v/>
      </c>
      <c r="AH2517" s="26" t="str">
        <f>_xlfn.XLOOKUP(Table26[[#This Row],[customerSKU]],customerSKU!G:G,customerSKU!K:K,"NA",0,1)</f>
        <v>NA</v>
      </c>
      <c r="AI2517" s="43" t="str">
        <f>_xlfn.XLOOKUP(Table26[[#This Row],[customerSKU]],customerSKU!G:G,customerSKU!O:O,"not found",0,1)</f>
        <v>not found</v>
      </c>
      <c r="AJ2517" s="22" t="e">
        <f>Table26[[#This Row],[unitprice]]*Table26[[#This Row],[quantity_unit]]</f>
        <v>#VALUE!</v>
      </c>
      <c r="AK2517" s="227" t="e" cm="1">
        <f t="array" ref="AK251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7" s="227"/>
    </row>
    <row r="2518" spans="1:38" ht="15.6">
      <c r="A2518" s="42">
        <v>2516</v>
      </c>
      <c r="B2518" s="42"/>
      <c r="C2518" s="53"/>
      <c r="E2518" s="20"/>
      <c r="F251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8" s="93"/>
      <c r="J2518" s="90" t="str">
        <f>IF(Table26[[#This Row],[customerSKU]]="","",_xlfn.XLOOKUP(Table26[[#This Row],[customerSKU]],customerSKU!G:G,customerSKU!A:A,"",0,1))</f>
        <v/>
      </c>
      <c r="K2518" s="19"/>
      <c r="L2518" s="49" t="str">
        <f>IF(Table26[[#This Row],[customerSKU]]="","",_xlfn.XLOOKUP(Table26[[#This Row],[customerSKU]],customerSKU!G:G,customerSKU!B:B,"",0,1))</f>
        <v/>
      </c>
      <c r="M2518" s="22"/>
      <c r="N2518" s="15" t="str">
        <f>Table26[[#This Row],[po_number]]&amp;"-"&amp;Table26[[#This Row],[po_line]]</f>
        <v>-</v>
      </c>
      <c r="O2518" s="15"/>
      <c r="P2518" s="50"/>
      <c r="S2518" s="90" t="str">
        <f>IF(Table26[[#This Row],[customerSKU]]="","",_xlfn.XLOOKUP(Table26[[#This Row],[customerSKU]],customerSKU!G:G,customerSKU!N:N,"NOT FOUND",0,1))</f>
        <v/>
      </c>
      <c r="T2518" s="20"/>
      <c r="U2518" s="94"/>
      <c r="V2518" s="22" t="str">
        <f>IF(ISBLANK(Table26[[#This Row],[customerSKU]]),"",_xlfn.XLOOKUP(Table26[[#This Row],[customerSKU]],Table27[customer_SKU],Table27[case_size],"",0,1))</f>
        <v/>
      </c>
      <c r="W2518" s="117" t="str">
        <f t="shared" si="106"/>
        <v/>
      </c>
      <c r="X2518" s="22" t="str">
        <f t="shared" si="105"/>
        <v/>
      </c>
      <c r="Y2518" s="25" t="str">
        <f>IF(Table26[[#This Row],[customerSKU]]="","",_xlfn.XLOOKUP(Table26[[#This Row],[customerSKU]],Table27[customer_SKU],Table27[product_GTIN],"",0,1))</f>
        <v/>
      </c>
      <c r="Z2518" s="25"/>
      <c r="AA2518" s="18" t="str" cm="1">
        <f t="array" ref="AA2518">IF(P2518="", "", _xlfn.XLOOKUP(P2518,#REF!,#REF!,NA,0,-1))</f>
        <v/>
      </c>
      <c r="AB2518" s="22"/>
      <c r="AC2518" s="23" t="str">
        <f>IF(Table26[[#This Row],[customerSKU]]="","",_xlfn.XLOOKUP(Table26[[#This Row],[customerSKU]],customerSKU!G:G,customerSKU!C:C,"",0,1))</f>
        <v/>
      </c>
      <c r="AD2518" s="23" t="str">
        <f>IF($AC2518="","",_xlfn.XLOOKUP($AC2518,'Client Info'!$C$2:$C$2497,'Client Info'!$D$2:$D$2497,"",0,1))</f>
        <v/>
      </c>
      <c r="AE2518" s="23" t="str">
        <f>IF($AC2518="","",_xlfn.XLOOKUP($AC2518,'Client Info'!$C$2:$C$2677,'Client Info'!$E$2:$E$2677,"",))</f>
        <v/>
      </c>
      <c r="AF2518" s="23" t="str">
        <f>IF($AC2518="","",_xlfn.XLOOKUP($AC2518,'Client Info'!$C$2:$C$2677,'Client Info'!$F$2:$F$2677,"",0,1))</f>
        <v/>
      </c>
      <c r="AG2518" s="23" t="str">
        <f>IF(ISBLANK(Table26[[#This Row],[customerSKU]]),"",_xlfn.XLOOKUP(Table26[[#This Row],[customerSKU]],Table27[customer_SKU],Table27[billto],"",0,1))</f>
        <v/>
      </c>
      <c r="AH2518" s="26" t="str">
        <f>_xlfn.XLOOKUP(Table26[[#This Row],[customerSKU]],customerSKU!G:G,customerSKU!K:K,"NA",0,1)</f>
        <v>NA</v>
      </c>
      <c r="AI2518" s="43" t="str">
        <f>_xlfn.XLOOKUP(Table26[[#This Row],[customerSKU]],customerSKU!G:G,customerSKU!O:O,"not found",0,1)</f>
        <v>not found</v>
      </c>
      <c r="AJ2518" s="22" t="e">
        <f>Table26[[#This Row],[unitprice]]*Table26[[#This Row],[quantity_unit]]</f>
        <v>#VALUE!</v>
      </c>
      <c r="AK2518" s="227" t="e" cm="1">
        <f t="array" ref="AK251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8" s="227"/>
    </row>
    <row r="2519" spans="1:38" ht="15.6">
      <c r="A2519" s="42"/>
      <c r="B2519" s="42"/>
      <c r="C2519" s="53"/>
      <c r="E2519" s="20"/>
      <c r="F251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19" s="93"/>
      <c r="J2519" s="90" t="str">
        <f>IF(Table26[[#This Row],[customerSKU]]="","",_xlfn.XLOOKUP(Table26[[#This Row],[customerSKU]],customerSKU!G:G,customerSKU!A:A,"",0,1))</f>
        <v/>
      </c>
      <c r="K2519" s="19"/>
      <c r="L2519" s="49" t="str">
        <f>IF(Table26[[#This Row],[customerSKU]]="","",_xlfn.XLOOKUP(Table26[[#This Row],[customerSKU]],customerSKU!G:G,customerSKU!B:B,"",0,1))</f>
        <v/>
      </c>
      <c r="M2519" s="22"/>
      <c r="N2519" s="15" t="str">
        <f>Table26[[#This Row],[po_number]]&amp;"-"&amp;Table26[[#This Row],[po_line]]</f>
        <v>-</v>
      </c>
      <c r="O2519" s="15"/>
      <c r="P2519" s="50"/>
      <c r="S2519" s="90" t="str">
        <f>IF(Table26[[#This Row],[customerSKU]]="","",_xlfn.XLOOKUP(Table26[[#This Row],[customerSKU]],customerSKU!G:G,customerSKU!N:N,"NOT FOUND",0,1))</f>
        <v/>
      </c>
      <c r="T2519" s="20"/>
      <c r="U2519" s="94"/>
      <c r="V2519" s="22" t="str">
        <f>IF(ISBLANK(Table26[[#This Row],[customerSKU]]),"",_xlfn.XLOOKUP(Table26[[#This Row],[customerSKU]],Table27[customer_SKU],Table27[case_size],"",0,1))</f>
        <v/>
      </c>
      <c r="W2519" s="117" t="str">
        <f t="shared" si="106"/>
        <v/>
      </c>
      <c r="X2519" s="22" t="str">
        <f t="shared" si="105"/>
        <v/>
      </c>
      <c r="Y2519" s="25" t="str">
        <f>IF(Table26[[#This Row],[customerSKU]]="","",_xlfn.XLOOKUP(Table26[[#This Row],[customerSKU]],Table27[customer_SKU],Table27[product_GTIN],"",0,1))</f>
        <v/>
      </c>
      <c r="Z2519" s="25"/>
      <c r="AA2519" s="18" t="str" cm="1">
        <f t="array" ref="AA2519">IF(P2519="", "", _xlfn.XLOOKUP(P2519,#REF!,#REF!,NA,0,-1))</f>
        <v/>
      </c>
      <c r="AB2519" s="22"/>
      <c r="AC2519" s="23" t="str">
        <f>IF(Table26[[#This Row],[customerSKU]]="","",_xlfn.XLOOKUP(Table26[[#This Row],[customerSKU]],customerSKU!G:G,customerSKU!C:C,"",0,1))</f>
        <v/>
      </c>
      <c r="AD2519" s="23" t="str">
        <f>IF($AC2519="","",_xlfn.XLOOKUP($AC2519,'Client Info'!$C$2:$C$2497,'Client Info'!$D$2:$D$2497,"",0,1))</f>
        <v/>
      </c>
      <c r="AE2519" s="23" t="str">
        <f>IF($AC2519="","",_xlfn.XLOOKUP($AC2519,'Client Info'!$C$2:$C$2677,'Client Info'!$E$2:$E$2677,"",))</f>
        <v/>
      </c>
      <c r="AF2519" s="23" t="str">
        <f>IF($AC2519="","",_xlfn.XLOOKUP($AC2519,'Client Info'!$C$2:$C$2677,'Client Info'!$F$2:$F$2677,"",0,1))</f>
        <v/>
      </c>
      <c r="AG2519" s="23" t="str">
        <f>IF(ISBLANK(Table26[[#This Row],[customerSKU]]),"",_xlfn.XLOOKUP(Table26[[#This Row],[customerSKU]],Table27[customer_SKU],Table27[billto],"",0,1))</f>
        <v/>
      </c>
      <c r="AH2519" s="26" t="str">
        <f>_xlfn.XLOOKUP(Table26[[#This Row],[customerSKU]],customerSKU!G:G,customerSKU!K:K,"NA",0,1)</f>
        <v>NA</v>
      </c>
      <c r="AI2519" s="43" t="str">
        <f>_xlfn.XLOOKUP(Table26[[#This Row],[customerSKU]],customerSKU!G:G,customerSKU!O:O,"not found",0,1)</f>
        <v>not found</v>
      </c>
      <c r="AJ2519" s="22" t="e">
        <f>Table26[[#This Row],[unitprice]]*Table26[[#This Row],[quantity_unit]]</f>
        <v>#VALUE!</v>
      </c>
      <c r="AK2519" s="227" t="e" cm="1">
        <f t="array" ref="AK251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19" s="227"/>
    </row>
    <row r="2520" spans="1:38" ht="15.6">
      <c r="A2520" s="42"/>
      <c r="B2520" s="42"/>
      <c r="C2520" s="53"/>
      <c r="E2520" s="20"/>
      <c r="F252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0" s="93"/>
      <c r="J2520" s="90" t="str">
        <f>IF(Table26[[#This Row],[customerSKU]]="","",_xlfn.XLOOKUP(Table26[[#This Row],[customerSKU]],customerSKU!G:G,customerSKU!A:A,"",0,1))</f>
        <v/>
      </c>
      <c r="K2520" s="19"/>
      <c r="L2520" s="49" t="str">
        <f>IF(Table26[[#This Row],[customerSKU]]="","",_xlfn.XLOOKUP(Table26[[#This Row],[customerSKU]],customerSKU!G:G,customerSKU!B:B,"",0,1))</f>
        <v/>
      </c>
      <c r="M2520" s="22"/>
      <c r="N2520" s="15" t="str">
        <f>Table26[[#This Row],[po_number]]&amp;"-"&amp;Table26[[#This Row],[po_line]]</f>
        <v>-</v>
      </c>
      <c r="O2520" s="15"/>
      <c r="P2520" s="50"/>
      <c r="S2520" s="90" t="str">
        <f>IF(Table26[[#This Row],[customerSKU]]="","",_xlfn.XLOOKUP(Table26[[#This Row],[customerSKU]],customerSKU!G:G,customerSKU!N:N,"NOT FOUND",0,1))</f>
        <v/>
      </c>
      <c r="T2520" s="20"/>
      <c r="U2520" s="94"/>
      <c r="V2520" s="22" t="str">
        <f>IF(ISBLANK(Table26[[#This Row],[customerSKU]]),"",_xlfn.XLOOKUP(Table26[[#This Row],[customerSKU]],Table27[customer_SKU],Table27[case_size],"",0,1))</f>
        <v/>
      </c>
      <c r="W2520" s="117" t="str">
        <f t="shared" si="106"/>
        <v/>
      </c>
      <c r="X2520" s="22" t="str">
        <f t="shared" si="105"/>
        <v/>
      </c>
      <c r="Y2520" s="25" t="str">
        <f>IF(Table26[[#This Row],[customerSKU]]="","",_xlfn.XLOOKUP(Table26[[#This Row],[customerSKU]],Table27[customer_SKU],Table27[product_GTIN],"",0,1))</f>
        <v/>
      </c>
      <c r="Z2520" s="25"/>
      <c r="AA2520" s="18" t="str" cm="1">
        <f t="array" ref="AA2520">IF(P2520="", "", _xlfn.XLOOKUP(P2520,#REF!,#REF!,NA,0,-1))</f>
        <v/>
      </c>
      <c r="AB2520" s="22"/>
      <c r="AC2520" s="23" t="str">
        <f>IF(Table26[[#This Row],[customerSKU]]="","",_xlfn.XLOOKUP(Table26[[#This Row],[customerSKU]],customerSKU!G:G,customerSKU!C:C,"",0,1))</f>
        <v/>
      </c>
      <c r="AD2520" s="23" t="str">
        <f>IF($AC2520="","",_xlfn.XLOOKUP($AC2520,'Client Info'!$C$2:$C$2497,'Client Info'!$D$2:$D$2497,"",0,1))</f>
        <v/>
      </c>
      <c r="AE2520" s="23" t="str">
        <f>IF($AC2520="","",_xlfn.XLOOKUP($AC2520,'Client Info'!$C$2:$C$2677,'Client Info'!$E$2:$E$2677,"",))</f>
        <v/>
      </c>
      <c r="AF2520" s="23" t="str">
        <f>IF($AC2520="","",_xlfn.XLOOKUP($AC2520,'Client Info'!$C$2:$C$2677,'Client Info'!$F$2:$F$2677,"",0,1))</f>
        <v/>
      </c>
      <c r="AG2520" s="23" t="str">
        <f>IF(ISBLANK(Table26[[#This Row],[customerSKU]]),"",_xlfn.XLOOKUP(Table26[[#This Row],[customerSKU]],Table27[customer_SKU],Table27[billto],"",0,1))</f>
        <v/>
      </c>
      <c r="AH2520" s="26" t="str">
        <f>_xlfn.XLOOKUP(Table26[[#This Row],[customerSKU]],customerSKU!G:G,customerSKU!K:K,"NA",0,1)</f>
        <v>NA</v>
      </c>
      <c r="AI2520" s="43" t="str">
        <f>_xlfn.XLOOKUP(Table26[[#This Row],[customerSKU]],customerSKU!G:G,customerSKU!O:O,"not found",0,1)</f>
        <v>not found</v>
      </c>
      <c r="AJ2520" s="22" t="e">
        <f>Table26[[#This Row],[unitprice]]*Table26[[#This Row],[quantity_unit]]</f>
        <v>#VALUE!</v>
      </c>
      <c r="AK2520" s="227" t="e" cm="1">
        <f t="array" ref="AK252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0" s="227"/>
    </row>
    <row r="2521" spans="1:38" ht="15.6">
      <c r="A2521" s="42"/>
      <c r="B2521" s="42"/>
      <c r="C2521" s="53"/>
      <c r="E2521" s="20"/>
      <c r="F252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1" s="93"/>
      <c r="J2521" s="90" t="str">
        <f>IF(Table26[[#This Row],[customerSKU]]="","",_xlfn.XLOOKUP(Table26[[#This Row],[customerSKU]],customerSKU!G:G,customerSKU!A:A,"",0,1))</f>
        <v/>
      </c>
      <c r="K2521" s="19"/>
      <c r="L2521" s="49" t="str">
        <f>IF(Table26[[#This Row],[customerSKU]]="","",_xlfn.XLOOKUP(Table26[[#This Row],[customerSKU]],customerSKU!G:G,customerSKU!B:B,"",0,1))</f>
        <v/>
      </c>
      <c r="M2521" s="22"/>
      <c r="N2521" s="15" t="str">
        <f>Table26[[#This Row],[po_number]]&amp;"-"&amp;Table26[[#This Row],[po_line]]</f>
        <v>-</v>
      </c>
      <c r="O2521" s="15"/>
      <c r="P2521" s="50"/>
      <c r="S2521" s="90" t="str">
        <f>IF(Table26[[#This Row],[customerSKU]]="","",_xlfn.XLOOKUP(Table26[[#This Row],[customerSKU]],customerSKU!G:G,customerSKU!N:N,"NOT FOUND",0,1))</f>
        <v/>
      </c>
      <c r="T2521" s="20"/>
      <c r="U2521" s="94"/>
      <c r="V2521" s="22" t="str">
        <f>IF(ISBLANK(Table26[[#This Row],[customerSKU]]),"",_xlfn.XLOOKUP(Table26[[#This Row],[customerSKU]],Table27[customer_SKU],Table27[case_size],"",0,1))</f>
        <v/>
      </c>
      <c r="W2521" s="117" t="str">
        <f t="shared" si="106"/>
        <v/>
      </c>
      <c r="X2521" s="22" t="str">
        <f t="shared" si="105"/>
        <v/>
      </c>
      <c r="Y2521" s="25" t="str">
        <f>IF(Table26[[#This Row],[customerSKU]]="","",_xlfn.XLOOKUP(Table26[[#This Row],[customerSKU]],Table27[customer_SKU],Table27[product_GTIN],"",0,1))</f>
        <v/>
      </c>
      <c r="Z2521" s="25"/>
      <c r="AA2521" s="18" t="str" cm="1">
        <f t="array" ref="AA2521">IF(P2521="", "", _xlfn.XLOOKUP(P2521,#REF!,#REF!,NA,0,-1))</f>
        <v/>
      </c>
      <c r="AB2521" s="22"/>
      <c r="AC2521" s="23" t="str">
        <f>IF(Table26[[#This Row],[customerSKU]]="","",_xlfn.XLOOKUP(Table26[[#This Row],[customerSKU]],customerSKU!G:G,customerSKU!C:C,"",0,1))</f>
        <v/>
      </c>
      <c r="AD2521" s="23" t="str">
        <f>IF($AC2521="","",_xlfn.XLOOKUP($AC2521,'Client Info'!$C$2:$C$2497,'Client Info'!$D$2:$D$2497,"",0,1))</f>
        <v/>
      </c>
      <c r="AE2521" s="23" t="str">
        <f>IF($AC2521="","",_xlfn.XLOOKUP($AC2521,'Client Info'!$C$2:$C$2677,'Client Info'!$E$2:$E$2677,"",))</f>
        <v/>
      </c>
      <c r="AF2521" s="23" t="str">
        <f>IF($AC2521="","",_xlfn.XLOOKUP($AC2521,'Client Info'!$C$2:$C$2677,'Client Info'!$F$2:$F$2677,"",0,1))</f>
        <v/>
      </c>
      <c r="AG2521" s="23" t="str">
        <f>IF(ISBLANK(Table26[[#This Row],[customerSKU]]),"",_xlfn.XLOOKUP(Table26[[#This Row],[customerSKU]],Table27[customer_SKU],Table27[billto],"",0,1))</f>
        <v/>
      </c>
      <c r="AH2521" s="26" t="str">
        <f>_xlfn.XLOOKUP(Table26[[#This Row],[customerSKU]],customerSKU!G:G,customerSKU!K:K,"NA",0,1)</f>
        <v>NA</v>
      </c>
      <c r="AI2521" s="43" t="str">
        <f>_xlfn.XLOOKUP(Table26[[#This Row],[customerSKU]],customerSKU!G:G,customerSKU!O:O,"not found",0,1)</f>
        <v>not found</v>
      </c>
      <c r="AJ2521" s="22" t="e">
        <f>Table26[[#This Row],[unitprice]]*Table26[[#This Row],[quantity_unit]]</f>
        <v>#VALUE!</v>
      </c>
      <c r="AK2521" s="227" t="e" cm="1">
        <f t="array" ref="AK252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1" s="227"/>
    </row>
    <row r="2522" spans="1:38" ht="15.6">
      <c r="A2522" s="42"/>
      <c r="B2522" s="42"/>
      <c r="C2522" s="53"/>
      <c r="E2522" s="20"/>
      <c r="F252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2" s="93"/>
      <c r="J2522" s="90" t="str">
        <f>IF(Table26[[#This Row],[customerSKU]]="","",_xlfn.XLOOKUP(Table26[[#This Row],[customerSKU]],customerSKU!G:G,customerSKU!A:A,"",0,1))</f>
        <v/>
      </c>
      <c r="K2522" s="19"/>
      <c r="L2522" s="49" t="str">
        <f>IF(Table26[[#This Row],[customerSKU]]="","",_xlfn.XLOOKUP(Table26[[#This Row],[customerSKU]],customerSKU!G:G,customerSKU!B:B,"",0,1))</f>
        <v/>
      </c>
      <c r="M2522" s="22"/>
      <c r="N2522" s="15" t="str">
        <f>Table26[[#This Row],[po_number]]&amp;"-"&amp;Table26[[#This Row],[po_line]]</f>
        <v>-</v>
      </c>
      <c r="O2522" s="15"/>
      <c r="P2522" s="50"/>
      <c r="S2522" s="90" t="str">
        <f>IF(Table26[[#This Row],[customerSKU]]="","",_xlfn.XLOOKUP(Table26[[#This Row],[customerSKU]],customerSKU!G:G,customerSKU!N:N,"NOT FOUND",0,1))</f>
        <v/>
      </c>
      <c r="T2522" s="20"/>
      <c r="U2522" s="94"/>
      <c r="V2522" s="22" t="str">
        <f>IF(ISBLANK(Table26[[#This Row],[customerSKU]]),"",_xlfn.XLOOKUP(Table26[[#This Row],[customerSKU]],Table27[customer_SKU],Table27[case_size],"",0,1))</f>
        <v/>
      </c>
      <c r="W2522" s="117" t="str">
        <f t="shared" si="106"/>
        <v/>
      </c>
      <c r="X2522" s="22" t="str">
        <f t="shared" si="105"/>
        <v/>
      </c>
      <c r="Y2522" s="25" t="str">
        <f>IF(Table26[[#This Row],[customerSKU]]="","",_xlfn.XLOOKUP(Table26[[#This Row],[customerSKU]],Table27[customer_SKU],Table27[product_GTIN],"",0,1))</f>
        <v/>
      </c>
      <c r="Z2522" s="25"/>
      <c r="AA2522" s="18" t="str" cm="1">
        <f t="array" ref="AA2522">IF(P2522="", "", _xlfn.XLOOKUP(P2522,#REF!,#REF!,NA,0,-1))</f>
        <v/>
      </c>
      <c r="AB2522" s="22"/>
      <c r="AC2522" s="23" t="str">
        <f>IF(Table26[[#This Row],[customerSKU]]="","",_xlfn.XLOOKUP(Table26[[#This Row],[customerSKU]],customerSKU!G:G,customerSKU!C:C,"",0,1))</f>
        <v/>
      </c>
      <c r="AD2522" s="23" t="str">
        <f>IF($AC2522="","",_xlfn.XLOOKUP($AC2522,'Client Info'!$C$2:$C$2497,'Client Info'!$D$2:$D$2497,"",0,1))</f>
        <v/>
      </c>
      <c r="AE2522" s="23" t="str">
        <f>IF($AC2522="","",_xlfn.XLOOKUP($AC2522,'Client Info'!$C$2:$C$2677,'Client Info'!$E$2:$E$2677,"",))</f>
        <v/>
      </c>
      <c r="AF2522" s="23" t="str">
        <f>IF($AC2522="","",_xlfn.XLOOKUP($AC2522,'Client Info'!$C$2:$C$2677,'Client Info'!$F$2:$F$2677,"",0,1))</f>
        <v/>
      </c>
      <c r="AG2522" s="23" t="str">
        <f>IF(ISBLANK(Table26[[#This Row],[customerSKU]]),"",_xlfn.XLOOKUP(Table26[[#This Row],[customerSKU]],Table27[customer_SKU],Table27[billto],"",0,1))</f>
        <v/>
      </c>
      <c r="AH2522" s="26" t="str">
        <f>_xlfn.XLOOKUP(Table26[[#This Row],[customerSKU]],customerSKU!G:G,customerSKU!K:K,"NA",0,1)</f>
        <v>NA</v>
      </c>
      <c r="AI2522" s="43" t="str">
        <f>_xlfn.XLOOKUP(Table26[[#This Row],[customerSKU]],customerSKU!G:G,customerSKU!O:O,"not found",0,1)</f>
        <v>not found</v>
      </c>
      <c r="AJ2522" s="22" t="e">
        <f>Table26[[#This Row],[unitprice]]*Table26[[#This Row],[quantity_unit]]</f>
        <v>#VALUE!</v>
      </c>
      <c r="AK2522" s="227" t="e" cm="1">
        <f t="array" ref="AK252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2" s="227"/>
    </row>
    <row r="2523" spans="1:38" ht="15.6">
      <c r="A2523" s="42"/>
      <c r="B2523" s="42"/>
      <c r="C2523" s="53"/>
      <c r="E2523" s="20"/>
      <c r="F252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3" s="93"/>
      <c r="J2523" s="90" t="str">
        <f>IF(Table26[[#This Row],[customerSKU]]="","",_xlfn.XLOOKUP(Table26[[#This Row],[customerSKU]],customerSKU!G:G,customerSKU!A:A,"",0,1))</f>
        <v/>
      </c>
      <c r="K2523" s="19"/>
      <c r="L2523" s="49" t="str">
        <f>IF(Table26[[#This Row],[customerSKU]]="","",_xlfn.XLOOKUP(Table26[[#This Row],[customerSKU]],customerSKU!G:G,customerSKU!B:B,"",0,1))</f>
        <v/>
      </c>
      <c r="M2523" s="22"/>
      <c r="N2523" s="15" t="str">
        <f>Table26[[#This Row],[po_number]]&amp;"-"&amp;Table26[[#This Row],[po_line]]</f>
        <v>-</v>
      </c>
      <c r="O2523" s="15"/>
      <c r="P2523" s="50"/>
      <c r="S2523" s="90" t="str">
        <f>IF(Table26[[#This Row],[customerSKU]]="","",_xlfn.XLOOKUP(Table26[[#This Row],[customerSKU]],customerSKU!G:G,customerSKU!N:N,"NOT FOUND",0,1))</f>
        <v/>
      </c>
      <c r="T2523" s="20"/>
      <c r="U2523" s="94"/>
      <c r="V2523" s="22" t="str">
        <f>IF(ISBLANK(Table26[[#This Row],[customerSKU]]),"",_xlfn.XLOOKUP(Table26[[#This Row],[customerSKU]],Table27[customer_SKU],Table27[case_size],"",0,1))</f>
        <v/>
      </c>
      <c r="W2523" s="117" t="str">
        <f t="shared" si="106"/>
        <v/>
      </c>
      <c r="X2523" s="22" t="str">
        <f t="shared" si="105"/>
        <v/>
      </c>
      <c r="Y2523" s="25" t="str">
        <f>IF(Table26[[#This Row],[customerSKU]]="","",_xlfn.XLOOKUP(Table26[[#This Row],[customerSKU]],Table27[customer_SKU],Table27[product_GTIN],"",0,1))</f>
        <v/>
      </c>
      <c r="Z2523" s="25"/>
      <c r="AA2523" s="18" t="str" cm="1">
        <f t="array" ref="AA2523">IF(P2523="", "", _xlfn.XLOOKUP(P2523,#REF!,#REF!,NA,0,-1))</f>
        <v/>
      </c>
      <c r="AB2523" s="22"/>
      <c r="AC2523" s="23" t="str">
        <f>IF(Table26[[#This Row],[customerSKU]]="","",_xlfn.XLOOKUP(Table26[[#This Row],[customerSKU]],customerSKU!G:G,customerSKU!C:C,"",0,1))</f>
        <v/>
      </c>
      <c r="AD2523" s="23" t="str">
        <f>IF($AC2523="","",_xlfn.XLOOKUP($AC2523,'Client Info'!$C$2:$C$2497,'Client Info'!$D$2:$D$2497,"",0,1))</f>
        <v/>
      </c>
      <c r="AE2523" s="23" t="str">
        <f>IF($AC2523="","",_xlfn.XLOOKUP($AC2523,'Client Info'!$C$2:$C$2677,'Client Info'!$E$2:$E$2677,"",))</f>
        <v/>
      </c>
      <c r="AF2523" s="23" t="str">
        <f>IF($AC2523="","",_xlfn.XLOOKUP($AC2523,'Client Info'!$C$2:$C$2677,'Client Info'!$F$2:$F$2677,"",0,1))</f>
        <v/>
      </c>
      <c r="AG2523" s="23" t="str">
        <f>IF(ISBLANK(Table26[[#This Row],[customerSKU]]),"",_xlfn.XLOOKUP(Table26[[#This Row],[customerSKU]],Table27[customer_SKU],Table27[billto],"",0,1))</f>
        <v/>
      </c>
      <c r="AH2523" s="26" t="str">
        <f>_xlfn.XLOOKUP(Table26[[#This Row],[customerSKU]],customerSKU!G:G,customerSKU!K:K,"NA",0,1)</f>
        <v>NA</v>
      </c>
      <c r="AI2523" s="43" t="str">
        <f>_xlfn.XLOOKUP(Table26[[#This Row],[customerSKU]],customerSKU!G:G,customerSKU!O:O,"not found",0,1)</f>
        <v>not found</v>
      </c>
      <c r="AJ2523" s="22" t="e">
        <f>Table26[[#This Row],[unitprice]]*Table26[[#This Row],[quantity_unit]]</f>
        <v>#VALUE!</v>
      </c>
      <c r="AK2523" s="227" t="e" cm="1">
        <f t="array" ref="AK252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3" s="227"/>
    </row>
    <row r="2524" spans="1:38" ht="15.6">
      <c r="A2524" s="42"/>
      <c r="B2524" s="42"/>
      <c r="C2524" s="53"/>
      <c r="E2524" s="20"/>
      <c r="F252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4" s="93"/>
      <c r="J2524" s="90" t="str">
        <f>IF(Table26[[#This Row],[customerSKU]]="","",_xlfn.XLOOKUP(Table26[[#This Row],[customerSKU]],customerSKU!G:G,customerSKU!A:A,"",0,1))</f>
        <v/>
      </c>
      <c r="K2524" s="19"/>
      <c r="L2524" s="49" t="str">
        <f>IF(Table26[[#This Row],[customerSKU]]="","",_xlfn.XLOOKUP(Table26[[#This Row],[customerSKU]],customerSKU!G:G,customerSKU!B:B,"",0,1))</f>
        <v/>
      </c>
      <c r="M2524" s="22"/>
      <c r="N2524" s="15" t="str">
        <f>Table26[[#This Row],[po_number]]&amp;"-"&amp;Table26[[#This Row],[po_line]]</f>
        <v>-</v>
      </c>
      <c r="O2524" s="15"/>
      <c r="P2524" s="50"/>
      <c r="S2524" s="90" t="str">
        <f>IF(Table26[[#This Row],[customerSKU]]="","",_xlfn.XLOOKUP(Table26[[#This Row],[customerSKU]],customerSKU!G:G,customerSKU!N:N,"NOT FOUND",0,1))</f>
        <v/>
      </c>
      <c r="T2524" s="20"/>
      <c r="U2524" s="94"/>
      <c r="V2524" s="22" t="str">
        <f>IF(ISBLANK(Table26[[#This Row],[customerSKU]]),"",_xlfn.XLOOKUP(Table26[[#This Row],[customerSKU]],Table27[customer_SKU],Table27[case_size],"",0,1))</f>
        <v/>
      </c>
      <c r="W2524" s="117" t="str">
        <f t="shared" si="106"/>
        <v/>
      </c>
      <c r="X2524" s="22" t="str">
        <f t="shared" si="105"/>
        <v/>
      </c>
      <c r="Y2524" s="25" t="str">
        <f>IF(Table26[[#This Row],[customerSKU]]="","",_xlfn.XLOOKUP(Table26[[#This Row],[customerSKU]],Table27[customer_SKU],Table27[product_GTIN],"",0,1))</f>
        <v/>
      </c>
      <c r="Z2524" s="25"/>
      <c r="AA2524" s="18" t="str" cm="1">
        <f t="array" ref="AA2524">IF(P2524="", "", _xlfn.XLOOKUP(P2524,#REF!,#REF!,NA,0,-1))</f>
        <v/>
      </c>
      <c r="AB2524" s="22"/>
      <c r="AC2524" s="23" t="str">
        <f>IF(Table26[[#This Row],[customerSKU]]="","",_xlfn.XLOOKUP(Table26[[#This Row],[customerSKU]],customerSKU!G:G,customerSKU!C:C,"",0,1))</f>
        <v/>
      </c>
      <c r="AD2524" s="23" t="str">
        <f>IF($AC2524="","",_xlfn.XLOOKUP($AC2524,'Client Info'!$C$2:$C$2497,'Client Info'!$D$2:$D$2497,"",0,1))</f>
        <v/>
      </c>
      <c r="AE2524" s="23" t="str">
        <f>IF($AC2524="","",_xlfn.XLOOKUP($AC2524,'Client Info'!$C$2:$C$2677,'Client Info'!$E$2:$E$2677,"",))</f>
        <v/>
      </c>
      <c r="AF2524" s="23" t="str">
        <f>IF($AC2524="","",_xlfn.XLOOKUP($AC2524,'Client Info'!$C$2:$C$2677,'Client Info'!$F$2:$F$2677,"",0,1))</f>
        <v/>
      </c>
      <c r="AG2524" s="23" t="str">
        <f>IF(ISBLANK(Table26[[#This Row],[customerSKU]]),"",_xlfn.XLOOKUP(Table26[[#This Row],[customerSKU]],Table27[customer_SKU],Table27[billto],"",0,1))</f>
        <v/>
      </c>
      <c r="AH2524" s="26" t="str">
        <f>_xlfn.XLOOKUP(Table26[[#This Row],[customerSKU]],customerSKU!G:G,customerSKU!K:K,"NA",0,1)</f>
        <v>NA</v>
      </c>
      <c r="AI2524" s="43" t="str">
        <f>_xlfn.XLOOKUP(Table26[[#This Row],[customerSKU]],customerSKU!G:G,customerSKU!O:O,"not found",0,1)</f>
        <v>not found</v>
      </c>
      <c r="AJ2524" s="22" t="e">
        <f>Table26[[#This Row],[unitprice]]*Table26[[#This Row],[quantity_unit]]</f>
        <v>#VALUE!</v>
      </c>
      <c r="AK2524" s="227" t="e" cm="1">
        <f t="array" ref="AK252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4" s="227"/>
    </row>
    <row r="2525" spans="1:38" ht="15.6">
      <c r="A2525" s="42"/>
      <c r="B2525" s="42"/>
      <c r="C2525" s="53"/>
      <c r="E2525" s="20"/>
      <c r="F252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5" s="93"/>
      <c r="J2525" s="90" t="str">
        <f>IF(Table26[[#This Row],[customerSKU]]="","",_xlfn.XLOOKUP(Table26[[#This Row],[customerSKU]],customerSKU!G:G,customerSKU!A:A,"",0,1))</f>
        <v/>
      </c>
      <c r="K2525" s="19"/>
      <c r="L2525" s="49" t="str">
        <f>IF(Table26[[#This Row],[customerSKU]]="","",_xlfn.XLOOKUP(Table26[[#This Row],[customerSKU]],customerSKU!G:G,customerSKU!B:B,"",0,1))</f>
        <v/>
      </c>
      <c r="M2525" s="22"/>
      <c r="N2525" s="15" t="str">
        <f>Table26[[#This Row],[po_number]]&amp;"-"&amp;Table26[[#This Row],[po_line]]</f>
        <v>-</v>
      </c>
      <c r="O2525" s="15"/>
      <c r="P2525" s="50"/>
      <c r="S2525" s="90" t="str">
        <f>IF(Table26[[#This Row],[customerSKU]]="","",_xlfn.XLOOKUP(Table26[[#This Row],[customerSKU]],customerSKU!G:G,customerSKU!N:N,"NOT FOUND",0,1))</f>
        <v/>
      </c>
      <c r="T2525" s="20"/>
      <c r="U2525" s="94"/>
      <c r="V2525" s="22" t="str">
        <f>IF(ISBLANK(Table26[[#This Row],[customerSKU]]),"",_xlfn.XLOOKUP(Table26[[#This Row],[customerSKU]],Table27[customer_SKU],Table27[case_size],"",0,1))</f>
        <v/>
      </c>
      <c r="W2525" s="117" t="str">
        <f t="shared" si="106"/>
        <v/>
      </c>
      <c r="X2525" s="22" t="str">
        <f t="shared" si="105"/>
        <v/>
      </c>
      <c r="Y2525" s="25" t="str">
        <f>IF(Table26[[#This Row],[customerSKU]]="","",_xlfn.XLOOKUP(Table26[[#This Row],[customerSKU]],Table27[customer_SKU],Table27[product_GTIN],"",0,1))</f>
        <v/>
      </c>
      <c r="Z2525" s="25"/>
      <c r="AA2525" s="18" t="str" cm="1">
        <f t="array" ref="AA2525">IF(P2525="", "", _xlfn.XLOOKUP(P2525,#REF!,#REF!,NA,0,-1))</f>
        <v/>
      </c>
      <c r="AB2525" s="22"/>
      <c r="AC2525" s="23" t="str">
        <f>IF(Table26[[#This Row],[customerSKU]]="","",_xlfn.XLOOKUP(Table26[[#This Row],[customerSKU]],customerSKU!G:G,customerSKU!C:C,"",0,1))</f>
        <v/>
      </c>
      <c r="AD2525" s="23" t="str">
        <f>IF($AC2525="","",_xlfn.XLOOKUP($AC2525,'Client Info'!$C$2:$C$2497,'Client Info'!$D$2:$D$2497,"",0,1))</f>
        <v/>
      </c>
      <c r="AE2525" s="23" t="str">
        <f>IF($AC2525="","",_xlfn.XLOOKUP($AC2525,'Client Info'!$C$2:$C$2677,'Client Info'!$E$2:$E$2677,"",))</f>
        <v/>
      </c>
      <c r="AF2525" s="23" t="str">
        <f>IF($AC2525="","",_xlfn.XLOOKUP($AC2525,'Client Info'!$C$2:$C$2677,'Client Info'!$F$2:$F$2677,"",0,1))</f>
        <v/>
      </c>
      <c r="AG2525" s="23" t="str">
        <f>IF(ISBLANK(Table26[[#This Row],[customerSKU]]),"",_xlfn.XLOOKUP(Table26[[#This Row],[customerSKU]],Table27[customer_SKU],Table27[billto],"",0,1))</f>
        <v/>
      </c>
      <c r="AH2525" s="26" t="str">
        <f>_xlfn.XLOOKUP(Table26[[#This Row],[customerSKU]],customerSKU!G:G,customerSKU!K:K,"NA",0,1)</f>
        <v>NA</v>
      </c>
      <c r="AI2525" s="43" t="str">
        <f>_xlfn.XLOOKUP(Table26[[#This Row],[customerSKU]],customerSKU!G:G,customerSKU!O:O,"not found",0,1)</f>
        <v>not found</v>
      </c>
      <c r="AJ2525" s="22" t="e">
        <f>Table26[[#This Row],[unitprice]]*Table26[[#This Row],[quantity_unit]]</f>
        <v>#VALUE!</v>
      </c>
      <c r="AK2525" s="227" t="e" cm="1">
        <f t="array" ref="AK252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5" s="227"/>
    </row>
    <row r="2526" spans="1:38" ht="15.6">
      <c r="A2526" s="42"/>
      <c r="B2526" s="42"/>
      <c r="C2526" s="53"/>
      <c r="E2526" s="20"/>
      <c r="F252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6" s="93"/>
      <c r="J2526" s="90" t="str">
        <f>IF(Table26[[#This Row],[customerSKU]]="","",_xlfn.XLOOKUP(Table26[[#This Row],[customerSKU]],customerSKU!G:G,customerSKU!A:A,"",0,1))</f>
        <v/>
      </c>
      <c r="K2526" s="19"/>
      <c r="L2526" s="49" t="str">
        <f>IF(Table26[[#This Row],[customerSKU]]="","",_xlfn.XLOOKUP(Table26[[#This Row],[customerSKU]],customerSKU!G:G,customerSKU!B:B,"",0,1))</f>
        <v/>
      </c>
      <c r="M2526" s="22"/>
      <c r="N2526" s="15" t="str">
        <f>Table26[[#This Row],[po_number]]&amp;"-"&amp;Table26[[#This Row],[po_line]]</f>
        <v>-</v>
      </c>
      <c r="O2526" s="15"/>
      <c r="P2526" s="50"/>
      <c r="S2526" s="90" t="str">
        <f>IF(Table26[[#This Row],[customerSKU]]="","",_xlfn.XLOOKUP(Table26[[#This Row],[customerSKU]],customerSKU!G:G,customerSKU!N:N,"NOT FOUND",0,1))</f>
        <v/>
      </c>
      <c r="T2526" s="20"/>
      <c r="U2526" s="94"/>
      <c r="V2526" s="22" t="str">
        <f>IF(ISBLANK(Table26[[#This Row],[customerSKU]]),"",_xlfn.XLOOKUP(Table26[[#This Row],[customerSKU]],Table27[customer_SKU],Table27[case_size],"",0,1))</f>
        <v/>
      </c>
      <c r="W2526" s="117" t="str">
        <f t="shared" si="106"/>
        <v/>
      </c>
      <c r="X2526" s="22" t="str">
        <f t="shared" si="105"/>
        <v/>
      </c>
      <c r="Y2526" s="25" t="str">
        <f>IF(Table26[[#This Row],[customerSKU]]="","",_xlfn.XLOOKUP(Table26[[#This Row],[customerSKU]],Table27[customer_SKU],Table27[product_GTIN],"",0,1))</f>
        <v/>
      </c>
      <c r="Z2526" s="25"/>
      <c r="AA2526" s="18" t="str" cm="1">
        <f t="array" ref="AA2526">IF(P2526="", "", _xlfn.XLOOKUP(P2526,#REF!,#REF!,NA,0,-1))</f>
        <v/>
      </c>
      <c r="AB2526" s="22"/>
      <c r="AC2526" s="23" t="str">
        <f>IF(Table26[[#This Row],[customerSKU]]="","",_xlfn.XLOOKUP(Table26[[#This Row],[customerSKU]],customerSKU!G:G,customerSKU!C:C,"",0,1))</f>
        <v/>
      </c>
      <c r="AD2526" s="23" t="str">
        <f>IF($AC2526="","",_xlfn.XLOOKUP($AC2526,'Client Info'!$C$2:$C$2497,'Client Info'!$D$2:$D$2497,"",0,1))</f>
        <v/>
      </c>
      <c r="AE2526" s="23" t="str">
        <f>IF($AC2526="","",_xlfn.XLOOKUP($AC2526,'Client Info'!$C$2:$C$2677,'Client Info'!$E$2:$E$2677,"",))</f>
        <v/>
      </c>
      <c r="AF2526" s="23" t="str">
        <f>IF($AC2526="","",_xlfn.XLOOKUP($AC2526,'Client Info'!$C$2:$C$2677,'Client Info'!$F$2:$F$2677,"",0,1))</f>
        <v/>
      </c>
      <c r="AG2526" s="23" t="str">
        <f>IF(ISBLANK(Table26[[#This Row],[customerSKU]]),"",_xlfn.XLOOKUP(Table26[[#This Row],[customerSKU]],Table27[customer_SKU],Table27[billto],"",0,1))</f>
        <v/>
      </c>
      <c r="AH2526" s="26" t="str">
        <f>_xlfn.XLOOKUP(Table26[[#This Row],[customerSKU]],customerSKU!G:G,customerSKU!K:K,"NA",0,1)</f>
        <v>NA</v>
      </c>
      <c r="AI2526" s="43" t="str">
        <f>_xlfn.XLOOKUP(Table26[[#This Row],[customerSKU]],customerSKU!G:G,customerSKU!O:O,"not found",0,1)</f>
        <v>not found</v>
      </c>
      <c r="AJ2526" s="22" t="e">
        <f>Table26[[#This Row],[unitprice]]*Table26[[#This Row],[quantity_unit]]</f>
        <v>#VALUE!</v>
      </c>
      <c r="AK2526" s="227" t="e" cm="1">
        <f t="array" ref="AK252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6" s="227"/>
    </row>
    <row r="2527" spans="1:38" ht="15.6">
      <c r="A2527" s="42"/>
      <c r="B2527" s="42"/>
      <c r="C2527" s="53"/>
      <c r="E2527" s="20"/>
      <c r="F252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7" s="93"/>
      <c r="J2527" s="90" t="str">
        <f>IF(Table26[[#This Row],[customerSKU]]="","",_xlfn.XLOOKUP(Table26[[#This Row],[customerSKU]],customerSKU!G:G,customerSKU!A:A,"",0,1))</f>
        <v/>
      </c>
      <c r="K2527" s="19"/>
      <c r="L2527" s="49" t="str">
        <f>IF(Table26[[#This Row],[customerSKU]]="","",_xlfn.XLOOKUP(Table26[[#This Row],[customerSKU]],customerSKU!G:G,customerSKU!B:B,"",0,1))</f>
        <v/>
      </c>
      <c r="M2527" s="22"/>
      <c r="N2527" s="15" t="str">
        <f>Table26[[#This Row],[po_number]]&amp;"-"&amp;Table26[[#This Row],[po_line]]</f>
        <v>-</v>
      </c>
      <c r="O2527" s="15"/>
      <c r="P2527" s="50"/>
      <c r="S2527" s="90" t="str">
        <f>IF(Table26[[#This Row],[customerSKU]]="","",_xlfn.XLOOKUP(Table26[[#This Row],[customerSKU]],customerSKU!G:G,customerSKU!N:N,"NOT FOUND",0,1))</f>
        <v/>
      </c>
      <c r="T2527" s="20"/>
      <c r="U2527" s="94"/>
      <c r="V2527" s="22" t="str">
        <f>IF(ISBLANK(Table26[[#This Row],[customerSKU]]),"",_xlfn.XLOOKUP(Table26[[#This Row],[customerSKU]],Table27[customer_SKU],Table27[case_size],"",0,1))</f>
        <v/>
      </c>
      <c r="W2527" s="117" t="str">
        <f t="shared" si="106"/>
        <v/>
      </c>
      <c r="X2527" s="22" t="str">
        <f t="shared" si="105"/>
        <v/>
      </c>
      <c r="Y2527" s="25" t="str">
        <f>IF(Table26[[#This Row],[customerSKU]]="","",_xlfn.XLOOKUP(Table26[[#This Row],[customerSKU]],Table27[customer_SKU],Table27[product_GTIN],"",0,1))</f>
        <v/>
      </c>
      <c r="Z2527" s="25"/>
      <c r="AA2527" s="18" t="str" cm="1">
        <f t="array" ref="AA2527">IF(P2527="", "", _xlfn.XLOOKUP(P2527,#REF!,#REF!,NA,0,-1))</f>
        <v/>
      </c>
      <c r="AB2527" s="22"/>
      <c r="AC2527" s="23" t="str">
        <f>IF(Table26[[#This Row],[customerSKU]]="","",_xlfn.XLOOKUP(Table26[[#This Row],[customerSKU]],customerSKU!G:G,customerSKU!C:C,"",0,1))</f>
        <v/>
      </c>
      <c r="AD2527" s="23" t="str">
        <f>IF($AC2527="","",_xlfn.XLOOKUP($AC2527,'Client Info'!$C$2:$C$2497,'Client Info'!$D$2:$D$2497,"",0,1))</f>
        <v/>
      </c>
      <c r="AE2527" s="23" t="str">
        <f>IF($AC2527="","",_xlfn.XLOOKUP($AC2527,'Client Info'!$C$2:$C$2677,'Client Info'!$E$2:$E$2677,"",))</f>
        <v/>
      </c>
      <c r="AF2527" s="23" t="str">
        <f>IF($AC2527="","",_xlfn.XLOOKUP($AC2527,'Client Info'!$C$2:$C$2677,'Client Info'!$F$2:$F$2677,"",0,1))</f>
        <v/>
      </c>
      <c r="AG2527" s="23" t="str">
        <f>IF(ISBLANK(Table26[[#This Row],[customerSKU]]),"",_xlfn.XLOOKUP(Table26[[#This Row],[customerSKU]],Table27[customer_SKU],Table27[billto],"",0,1))</f>
        <v/>
      </c>
      <c r="AH2527" s="26" t="str">
        <f>_xlfn.XLOOKUP(Table26[[#This Row],[customerSKU]],customerSKU!G:G,customerSKU!K:K,"NA",0,1)</f>
        <v>NA</v>
      </c>
      <c r="AI2527" s="43" t="str">
        <f>_xlfn.XLOOKUP(Table26[[#This Row],[customerSKU]],customerSKU!G:G,customerSKU!O:O,"not found",0,1)</f>
        <v>not found</v>
      </c>
      <c r="AJ2527" s="22" t="e">
        <f>Table26[[#This Row],[unitprice]]*Table26[[#This Row],[quantity_unit]]</f>
        <v>#VALUE!</v>
      </c>
      <c r="AK2527" s="227" t="e" cm="1">
        <f t="array" ref="AK252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7" s="227"/>
    </row>
    <row r="2528" spans="1:38" ht="15.6">
      <c r="A2528" s="42"/>
      <c r="B2528" s="42"/>
      <c r="C2528" s="53"/>
      <c r="E2528" s="20"/>
      <c r="F252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8" s="93"/>
      <c r="J2528" s="90" t="str">
        <f>IF(Table26[[#This Row],[customerSKU]]="","",_xlfn.XLOOKUP(Table26[[#This Row],[customerSKU]],customerSKU!G:G,customerSKU!A:A,"",0,1))</f>
        <v/>
      </c>
      <c r="K2528" s="19"/>
      <c r="L2528" s="49" t="str">
        <f>IF(Table26[[#This Row],[customerSKU]]="","",_xlfn.XLOOKUP(Table26[[#This Row],[customerSKU]],customerSKU!G:G,customerSKU!B:B,"",0,1))</f>
        <v/>
      </c>
      <c r="M2528" s="22"/>
      <c r="N2528" s="15" t="str">
        <f>Table26[[#This Row],[po_number]]&amp;"-"&amp;Table26[[#This Row],[po_line]]</f>
        <v>-</v>
      </c>
      <c r="O2528" s="15"/>
      <c r="P2528" s="50"/>
      <c r="S2528" s="90" t="str">
        <f>IF(Table26[[#This Row],[customerSKU]]="","",_xlfn.XLOOKUP(Table26[[#This Row],[customerSKU]],customerSKU!G:G,customerSKU!N:N,"NOT FOUND",0,1))</f>
        <v/>
      </c>
      <c r="T2528" s="20"/>
      <c r="U2528" s="94"/>
      <c r="V2528" s="22" t="str">
        <f>IF(ISBLANK(Table26[[#This Row],[customerSKU]]),"",_xlfn.XLOOKUP(Table26[[#This Row],[customerSKU]],Table27[customer_SKU],Table27[case_size],"",0,1))</f>
        <v/>
      </c>
      <c r="W2528" s="117" t="str">
        <f t="shared" si="106"/>
        <v/>
      </c>
      <c r="X2528" s="22" t="str">
        <f t="shared" si="105"/>
        <v/>
      </c>
      <c r="Y2528" s="25" t="str">
        <f>IF(Table26[[#This Row],[customerSKU]]="","",_xlfn.XLOOKUP(Table26[[#This Row],[customerSKU]],Table27[customer_SKU],Table27[product_GTIN],"",0,1))</f>
        <v/>
      </c>
      <c r="Z2528" s="25"/>
      <c r="AA2528" s="18" t="str" cm="1">
        <f t="array" ref="AA2528">IF(P2528="", "", _xlfn.XLOOKUP(P2528,#REF!,#REF!,NA,0,-1))</f>
        <v/>
      </c>
      <c r="AB2528" s="22"/>
      <c r="AC2528" s="23" t="str">
        <f>IF(Table26[[#This Row],[customerSKU]]="","",_xlfn.XLOOKUP(Table26[[#This Row],[customerSKU]],customerSKU!G:G,customerSKU!C:C,"",0,1))</f>
        <v/>
      </c>
      <c r="AD2528" s="23" t="str">
        <f>IF($AC2528="","",_xlfn.XLOOKUP($AC2528,'Client Info'!$C$2:$C$2497,'Client Info'!$D$2:$D$2497,"",0,1))</f>
        <v/>
      </c>
      <c r="AE2528" s="23" t="str">
        <f>IF($AC2528="","",_xlfn.XLOOKUP($AC2528,'Client Info'!$C$2:$C$2677,'Client Info'!$E$2:$E$2677,"",))</f>
        <v/>
      </c>
      <c r="AF2528" s="23" t="str">
        <f>IF($AC2528="","",_xlfn.XLOOKUP($AC2528,'Client Info'!$C$2:$C$2677,'Client Info'!$F$2:$F$2677,"",0,1))</f>
        <v/>
      </c>
      <c r="AG2528" s="23" t="str">
        <f>IF(ISBLANK(Table26[[#This Row],[customerSKU]]),"",_xlfn.XLOOKUP(Table26[[#This Row],[customerSKU]],Table27[customer_SKU],Table27[billto],"",0,1))</f>
        <v/>
      </c>
      <c r="AH2528" s="26" t="str">
        <f>_xlfn.XLOOKUP(Table26[[#This Row],[customerSKU]],customerSKU!G:G,customerSKU!K:K,"NA",0,1)</f>
        <v>NA</v>
      </c>
      <c r="AI2528" s="43" t="str">
        <f>_xlfn.XLOOKUP(Table26[[#This Row],[customerSKU]],customerSKU!G:G,customerSKU!O:O,"not found",0,1)</f>
        <v>not found</v>
      </c>
      <c r="AJ2528" s="22" t="e">
        <f>Table26[[#This Row],[unitprice]]*Table26[[#This Row],[quantity_unit]]</f>
        <v>#VALUE!</v>
      </c>
      <c r="AK2528" s="227" t="e" cm="1">
        <f t="array" ref="AK252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8" s="227"/>
    </row>
    <row r="2529" spans="1:38" ht="15.6">
      <c r="A2529" s="42"/>
      <c r="B2529" s="42"/>
      <c r="C2529" s="53"/>
      <c r="E2529" s="20"/>
      <c r="F252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29" s="93"/>
      <c r="J2529" s="90" t="str">
        <f>IF(Table26[[#This Row],[customerSKU]]="","",_xlfn.XLOOKUP(Table26[[#This Row],[customerSKU]],customerSKU!G:G,customerSKU!A:A,"",0,1))</f>
        <v/>
      </c>
      <c r="K2529" s="19"/>
      <c r="L2529" s="49" t="str">
        <f>IF(Table26[[#This Row],[customerSKU]]="","",_xlfn.XLOOKUP(Table26[[#This Row],[customerSKU]],customerSKU!G:G,customerSKU!B:B,"",0,1))</f>
        <v/>
      </c>
      <c r="M2529" s="22"/>
      <c r="N2529" s="15" t="str">
        <f>Table26[[#This Row],[po_number]]&amp;"-"&amp;Table26[[#This Row],[po_line]]</f>
        <v>-</v>
      </c>
      <c r="O2529" s="15"/>
      <c r="P2529" s="50"/>
      <c r="S2529" s="90" t="str">
        <f>IF(Table26[[#This Row],[customerSKU]]="","",_xlfn.XLOOKUP(Table26[[#This Row],[customerSKU]],customerSKU!G:G,customerSKU!N:N,"NOT FOUND",0,1))</f>
        <v/>
      </c>
      <c r="T2529" s="20"/>
      <c r="U2529" s="94"/>
      <c r="V2529" s="22" t="str">
        <f>IF(ISBLANK(Table26[[#This Row],[customerSKU]]),"",_xlfn.XLOOKUP(Table26[[#This Row],[customerSKU]],Table27[customer_SKU],Table27[case_size],"",0,1))</f>
        <v/>
      </c>
      <c r="W2529" s="117" t="str">
        <f t="shared" si="106"/>
        <v/>
      </c>
      <c r="X2529" s="22" t="str">
        <f t="shared" si="105"/>
        <v/>
      </c>
      <c r="Y2529" s="25" t="str">
        <f>IF(Table26[[#This Row],[customerSKU]]="","",_xlfn.XLOOKUP(Table26[[#This Row],[customerSKU]],Table27[customer_SKU],Table27[product_GTIN],"",0,1))</f>
        <v/>
      </c>
      <c r="Z2529" s="25"/>
      <c r="AA2529" s="18" t="str" cm="1">
        <f t="array" ref="AA2529">IF(P2529="", "", _xlfn.XLOOKUP(P2529,#REF!,#REF!,NA,0,-1))</f>
        <v/>
      </c>
      <c r="AB2529" s="22"/>
      <c r="AC2529" s="23" t="str">
        <f>IF(Table26[[#This Row],[customerSKU]]="","",_xlfn.XLOOKUP(Table26[[#This Row],[customerSKU]],customerSKU!G:G,customerSKU!C:C,"",0,1))</f>
        <v/>
      </c>
      <c r="AD2529" s="23" t="str">
        <f>IF($AC2529="","",_xlfn.XLOOKUP($AC2529,'Client Info'!$C$2:$C$2497,'Client Info'!$D$2:$D$2497,"",0,1))</f>
        <v/>
      </c>
      <c r="AE2529" s="23" t="str">
        <f>IF($AC2529="","",_xlfn.XLOOKUP($AC2529,'Client Info'!$C$2:$C$2677,'Client Info'!$E$2:$E$2677,"",))</f>
        <v/>
      </c>
      <c r="AF2529" s="23" t="str">
        <f>IF($AC2529="","",_xlfn.XLOOKUP($AC2529,'Client Info'!$C$2:$C$2677,'Client Info'!$F$2:$F$2677,"",0,1))</f>
        <v/>
      </c>
      <c r="AG2529" s="23" t="str">
        <f>IF(ISBLANK(Table26[[#This Row],[customerSKU]]),"",_xlfn.XLOOKUP(Table26[[#This Row],[customerSKU]],Table27[customer_SKU],Table27[billto],"",0,1))</f>
        <v/>
      </c>
      <c r="AH2529" s="26" t="str">
        <f>_xlfn.XLOOKUP(Table26[[#This Row],[customerSKU]],customerSKU!G:G,customerSKU!K:K,"NA",0,1)</f>
        <v>NA</v>
      </c>
      <c r="AI2529" s="43" t="str">
        <f>_xlfn.XLOOKUP(Table26[[#This Row],[customerSKU]],customerSKU!G:G,customerSKU!O:O,"not found",0,1)</f>
        <v>not found</v>
      </c>
      <c r="AJ2529" s="22" t="e">
        <f>Table26[[#This Row],[unitprice]]*Table26[[#This Row],[quantity_unit]]</f>
        <v>#VALUE!</v>
      </c>
      <c r="AK2529" s="227" t="e" cm="1">
        <f t="array" ref="AK252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29" s="227"/>
    </row>
    <row r="2530" spans="1:38" ht="15.6">
      <c r="A2530" s="42"/>
      <c r="B2530" s="42"/>
      <c r="C2530" s="53"/>
      <c r="E2530" s="20"/>
      <c r="F253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0" s="93"/>
      <c r="J2530" s="90" t="str">
        <f>IF(Table26[[#This Row],[customerSKU]]="","",_xlfn.XLOOKUP(Table26[[#This Row],[customerSKU]],customerSKU!G:G,customerSKU!A:A,"",0,1))</f>
        <v/>
      </c>
      <c r="K2530" s="19"/>
      <c r="L2530" s="49" t="str">
        <f>IF(Table26[[#This Row],[customerSKU]]="","",_xlfn.XLOOKUP(Table26[[#This Row],[customerSKU]],customerSKU!G:G,customerSKU!B:B,"",0,1))</f>
        <v/>
      </c>
      <c r="M2530" s="22"/>
      <c r="N2530" s="15" t="str">
        <f>Table26[[#This Row],[po_number]]&amp;"-"&amp;Table26[[#This Row],[po_line]]</f>
        <v>-</v>
      </c>
      <c r="O2530" s="15"/>
      <c r="P2530" s="50"/>
      <c r="S2530" s="90" t="str">
        <f>IF(Table26[[#This Row],[customerSKU]]="","",_xlfn.XLOOKUP(Table26[[#This Row],[customerSKU]],customerSKU!G:G,customerSKU!N:N,"NOT FOUND",0,1))</f>
        <v/>
      </c>
      <c r="T2530" s="20"/>
      <c r="U2530" s="94"/>
      <c r="V2530" s="22" t="str">
        <f>IF(ISBLANK(Table26[[#This Row],[customerSKU]]),"",_xlfn.XLOOKUP(Table26[[#This Row],[customerSKU]],Table27[customer_SKU],Table27[case_size],"",0,1))</f>
        <v/>
      </c>
      <c r="W2530" s="117" t="str">
        <f t="shared" si="106"/>
        <v/>
      </c>
      <c r="X2530" s="22" t="str">
        <f t="shared" si="105"/>
        <v/>
      </c>
      <c r="Y2530" s="25" t="str">
        <f>IF(Table26[[#This Row],[customerSKU]]="","",_xlfn.XLOOKUP(Table26[[#This Row],[customerSKU]],Table27[customer_SKU],Table27[product_GTIN],"",0,1))</f>
        <v/>
      </c>
      <c r="Z2530" s="25"/>
      <c r="AA2530" s="18" t="str" cm="1">
        <f t="array" ref="AA2530">IF(P2530="", "", _xlfn.XLOOKUP(P2530,#REF!,#REF!,NA,0,-1))</f>
        <v/>
      </c>
      <c r="AB2530" s="22"/>
      <c r="AC2530" s="23" t="str">
        <f>IF(Table26[[#This Row],[customerSKU]]="","",_xlfn.XLOOKUP(Table26[[#This Row],[customerSKU]],customerSKU!G:G,customerSKU!C:C,"",0,1))</f>
        <v/>
      </c>
      <c r="AD2530" s="23" t="str">
        <f>IF($AC2530="","",_xlfn.XLOOKUP($AC2530,'Client Info'!$C$2:$C$2497,'Client Info'!$D$2:$D$2497,"",0,1))</f>
        <v/>
      </c>
      <c r="AE2530" s="23" t="str">
        <f>IF($AC2530="","",_xlfn.XLOOKUP($AC2530,'Client Info'!$C$2:$C$2677,'Client Info'!$E$2:$E$2677,"",))</f>
        <v/>
      </c>
      <c r="AF2530" s="23" t="str">
        <f>IF($AC2530="","",_xlfn.XLOOKUP($AC2530,'Client Info'!$C$2:$C$2677,'Client Info'!$F$2:$F$2677,"",0,1))</f>
        <v/>
      </c>
      <c r="AG2530" s="23" t="str">
        <f>IF(ISBLANK(Table26[[#This Row],[customerSKU]]),"",_xlfn.XLOOKUP(Table26[[#This Row],[customerSKU]],Table27[customer_SKU],Table27[billto],"",0,1))</f>
        <v/>
      </c>
      <c r="AH2530" s="26" t="str">
        <f>_xlfn.XLOOKUP(Table26[[#This Row],[customerSKU]],customerSKU!G:G,customerSKU!K:K,"NA",0,1)</f>
        <v>NA</v>
      </c>
      <c r="AI2530" s="43" t="str">
        <f>_xlfn.XLOOKUP(Table26[[#This Row],[customerSKU]],customerSKU!G:G,customerSKU!O:O,"not found",0,1)</f>
        <v>not found</v>
      </c>
      <c r="AJ2530" s="22" t="e">
        <f>Table26[[#This Row],[unitprice]]*Table26[[#This Row],[quantity_unit]]</f>
        <v>#VALUE!</v>
      </c>
      <c r="AK2530" s="227" t="e" cm="1">
        <f t="array" ref="AK253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0" s="227"/>
    </row>
    <row r="2531" spans="1:38" ht="15.6">
      <c r="A2531" s="42"/>
      <c r="B2531" s="42"/>
      <c r="C2531" s="53"/>
      <c r="E2531" s="20"/>
      <c r="F253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1" s="93"/>
      <c r="J2531" s="90" t="str">
        <f>IF(Table26[[#This Row],[customerSKU]]="","",_xlfn.XLOOKUP(Table26[[#This Row],[customerSKU]],customerSKU!G:G,customerSKU!A:A,"",0,1))</f>
        <v/>
      </c>
      <c r="K2531" s="19"/>
      <c r="L2531" s="49" t="str">
        <f>IF(Table26[[#This Row],[customerSKU]]="","",_xlfn.XLOOKUP(Table26[[#This Row],[customerSKU]],customerSKU!G:G,customerSKU!B:B,"",0,1))</f>
        <v/>
      </c>
      <c r="M2531" s="22"/>
      <c r="N2531" s="15" t="str">
        <f>Table26[[#This Row],[po_number]]&amp;"-"&amp;Table26[[#This Row],[po_line]]</f>
        <v>-</v>
      </c>
      <c r="O2531" s="15"/>
      <c r="P2531" s="50"/>
      <c r="S2531" s="90" t="str">
        <f>IF(Table26[[#This Row],[customerSKU]]="","",_xlfn.XLOOKUP(Table26[[#This Row],[customerSKU]],customerSKU!G:G,customerSKU!N:N,"NOT FOUND",0,1))</f>
        <v/>
      </c>
      <c r="T2531" s="20"/>
      <c r="U2531" s="94"/>
      <c r="V2531" s="22" t="str">
        <f>IF(ISBLANK(Table26[[#This Row],[customerSKU]]),"",_xlfn.XLOOKUP(Table26[[#This Row],[customerSKU]],Table27[customer_SKU],Table27[case_size],"",0,1))</f>
        <v/>
      </c>
      <c r="W2531" s="117" t="str">
        <f t="shared" si="106"/>
        <v/>
      </c>
      <c r="X2531" s="22" t="str">
        <f t="shared" si="105"/>
        <v/>
      </c>
      <c r="Y2531" s="25" t="str">
        <f>IF(Table26[[#This Row],[customerSKU]]="","",_xlfn.XLOOKUP(Table26[[#This Row],[customerSKU]],Table27[customer_SKU],Table27[product_GTIN],"",0,1))</f>
        <v/>
      </c>
      <c r="Z2531" s="25"/>
      <c r="AA2531" s="18" t="str" cm="1">
        <f t="array" ref="AA2531">IF(P2531="", "", _xlfn.XLOOKUP(P2531,#REF!,#REF!,NA,0,-1))</f>
        <v/>
      </c>
      <c r="AB2531" s="22"/>
      <c r="AC2531" s="23" t="str">
        <f>IF(Table26[[#This Row],[customerSKU]]="","",_xlfn.XLOOKUP(Table26[[#This Row],[customerSKU]],customerSKU!G:G,customerSKU!C:C,"",0,1))</f>
        <v/>
      </c>
      <c r="AD2531" s="23" t="str">
        <f>IF($AC2531="","",_xlfn.XLOOKUP($AC2531,'Client Info'!$C$2:$C$2497,'Client Info'!$D$2:$D$2497,"",0,1))</f>
        <v/>
      </c>
      <c r="AE2531" s="23" t="str">
        <f>IF($AC2531="","",_xlfn.XLOOKUP($AC2531,'Client Info'!$C$2:$C$2677,'Client Info'!$E$2:$E$2677,"",))</f>
        <v/>
      </c>
      <c r="AF2531" s="23" t="str">
        <f>IF($AC2531="","",_xlfn.XLOOKUP($AC2531,'Client Info'!$C$2:$C$2677,'Client Info'!$F$2:$F$2677,"",0,1))</f>
        <v/>
      </c>
      <c r="AG2531" s="23" t="str">
        <f>IF(ISBLANK(Table26[[#This Row],[customerSKU]]),"",_xlfn.XLOOKUP(Table26[[#This Row],[customerSKU]],Table27[customer_SKU],Table27[billto],"",0,1))</f>
        <v/>
      </c>
      <c r="AH2531" s="26" t="str">
        <f>_xlfn.XLOOKUP(Table26[[#This Row],[customerSKU]],customerSKU!G:G,customerSKU!K:K,"NA",0,1)</f>
        <v>NA</v>
      </c>
      <c r="AI2531" s="43" t="str">
        <f>_xlfn.XLOOKUP(Table26[[#This Row],[customerSKU]],customerSKU!G:G,customerSKU!O:O,"not found",0,1)</f>
        <v>not found</v>
      </c>
      <c r="AJ2531" s="22" t="e">
        <f>Table26[[#This Row],[unitprice]]*Table26[[#This Row],[quantity_unit]]</f>
        <v>#VALUE!</v>
      </c>
      <c r="AK2531" s="227" t="e" cm="1">
        <f t="array" ref="AK253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1" s="227"/>
    </row>
    <row r="2532" spans="1:38" ht="15.6">
      <c r="A2532" s="42"/>
      <c r="B2532" s="42"/>
      <c r="C2532" s="53"/>
      <c r="E2532" s="20"/>
      <c r="F253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2" s="93"/>
      <c r="J2532" s="90" t="str">
        <f>IF(Table26[[#This Row],[customerSKU]]="","",_xlfn.XLOOKUP(Table26[[#This Row],[customerSKU]],customerSKU!G:G,customerSKU!A:A,"",0,1))</f>
        <v/>
      </c>
      <c r="K2532" s="19"/>
      <c r="L2532" s="49" t="str">
        <f>IF(Table26[[#This Row],[customerSKU]]="","",_xlfn.XLOOKUP(Table26[[#This Row],[customerSKU]],customerSKU!G:G,customerSKU!B:B,"",0,1))</f>
        <v/>
      </c>
      <c r="M2532" s="22"/>
      <c r="N2532" s="15" t="str">
        <f>Table26[[#This Row],[po_number]]&amp;"-"&amp;Table26[[#This Row],[po_line]]</f>
        <v>-</v>
      </c>
      <c r="O2532" s="15"/>
      <c r="P2532" s="50"/>
      <c r="S2532" s="90" t="str">
        <f>IF(Table26[[#This Row],[customerSKU]]="","",_xlfn.XLOOKUP(Table26[[#This Row],[customerSKU]],customerSKU!G:G,customerSKU!N:N,"NOT FOUND",0,1))</f>
        <v/>
      </c>
      <c r="T2532" s="20"/>
      <c r="U2532" s="94"/>
      <c r="V2532" s="22" t="str">
        <f>IF(ISBLANK(Table26[[#This Row],[customerSKU]]),"",_xlfn.XLOOKUP(Table26[[#This Row],[customerSKU]],Table27[customer_SKU],Table27[case_size],"",0,1))</f>
        <v/>
      </c>
      <c r="W2532" s="117" t="str">
        <f t="shared" si="106"/>
        <v/>
      </c>
      <c r="X2532" s="22" t="str">
        <f t="shared" si="105"/>
        <v/>
      </c>
      <c r="Y2532" s="25" t="str">
        <f>IF(Table26[[#This Row],[customerSKU]]="","",_xlfn.XLOOKUP(Table26[[#This Row],[customerSKU]],Table27[customer_SKU],Table27[product_GTIN],"",0,1))</f>
        <v/>
      </c>
      <c r="Z2532" s="25"/>
      <c r="AA2532" s="18" t="str" cm="1">
        <f t="array" ref="AA2532">IF(P2532="", "", _xlfn.XLOOKUP(P2532,#REF!,#REF!,NA,0,-1))</f>
        <v/>
      </c>
      <c r="AB2532" s="22"/>
      <c r="AC2532" s="23" t="str">
        <f>IF(Table26[[#This Row],[customerSKU]]="","",_xlfn.XLOOKUP(Table26[[#This Row],[customerSKU]],customerSKU!G:G,customerSKU!C:C,"",0,1))</f>
        <v/>
      </c>
      <c r="AD2532" s="23" t="str">
        <f>IF($AC2532="","",_xlfn.XLOOKUP($AC2532,'Client Info'!$C$2:$C$2497,'Client Info'!$D$2:$D$2497,"",0,1))</f>
        <v/>
      </c>
      <c r="AE2532" s="23" t="str">
        <f>IF($AC2532="","",_xlfn.XLOOKUP($AC2532,'Client Info'!$C$2:$C$2677,'Client Info'!$E$2:$E$2677,"",))</f>
        <v/>
      </c>
      <c r="AF2532" s="23" t="str">
        <f>IF($AC2532="","",_xlfn.XLOOKUP($AC2532,'Client Info'!$C$2:$C$2677,'Client Info'!$F$2:$F$2677,"",0,1))</f>
        <v/>
      </c>
      <c r="AG2532" s="23" t="str">
        <f>IF(ISBLANK(Table26[[#This Row],[customerSKU]]),"",_xlfn.XLOOKUP(Table26[[#This Row],[customerSKU]],Table27[customer_SKU],Table27[billto],"",0,1))</f>
        <v/>
      </c>
      <c r="AH2532" s="26" t="str">
        <f>_xlfn.XLOOKUP(Table26[[#This Row],[customerSKU]],customerSKU!G:G,customerSKU!K:K,"NA",0,1)</f>
        <v>NA</v>
      </c>
      <c r="AI2532" s="43" t="str">
        <f>_xlfn.XLOOKUP(Table26[[#This Row],[customerSKU]],customerSKU!G:G,customerSKU!O:O,"not found",0,1)</f>
        <v>not found</v>
      </c>
      <c r="AJ2532" s="22" t="e">
        <f>Table26[[#This Row],[unitprice]]*Table26[[#This Row],[quantity_unit]]</f>
        <v>#VALUE!</v>
      </c>
      <c r="AK2532" s="227" t="e" cm="1">
        <f t="array" ref="AK253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2" s="227"/>
    </row>
    <row r="2533" spans="1:38" ht="15.6">
      <c r="A2533" s="42"/>
      <c r="B2533" s="42"/>
      <c r="C2533" s="53"/>
      <c r="E2533" s="20"/>
      <c r="F253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3" s="93"/>
      <c r="J2533" s="90" t="str">
        <f>IF(Table26[[#This Row],[customerSKU]]="","",_xlfn.XLOOKUP(Table26[[#This Row],[customerSKU]],customerSKU!G:G,customerSKU!A:A,"",0,1))</f>
        <v/>
      </c>
      <c r="K2533" s="19"/>
      <c r="L2533" s="49" t="str">
        <f>IF(Table26[[#This Row],[customerSKU]]="","",_xlfn.XLOOKUP(Table26[[#This Row],[customerSKU]],customerSKU!G:G,customerSKU!B:B,"",0,1))</f>
        <v/>
      </c>
      <c r="M2533" s="22"/>
      <c r="N2533" s="15" t="str">
        <f>Table26[[#This Row],[po_number]]&amp;"-"&amp;Table26[[#This Row],[po_line]]</f>
        <v>-</v>
      </c>
      <c r="O2533" s="15"/>
      <c r="P2533" s="50"/>
      <c r="S2533" s="90" t="str">
        <f>IF(Table26[[#This Row],[customerSKU]]="","",_xlfn.XLOOKUP(Table26[[#This Row],[customerSKU]],customerSKU!G:G,customerSKU!N:N,"NOT FOUND",0,1))</f>
        <v/>
      </c>
      <c r="T2533" s="20"/>
      <c r="U2533" s="94"/>
      <c r="V2533" s="22" t="str">
        <f>IF(ISBLANK(Table26[[#This Row],[customerSKU]]),"",_xlfn.XLOOKUP(Table26[[#This Row],[customerSKU]],Table27[customer_SKU],Table27[case_size],"",0,1))</f>
        <v/>
      </c>
      <c r="W2533" s="117" t="str">
        <f t="shared" si="106"/>
        <v/>
      </c>
      <c r="X2533" s="22" t="str">
        <f t="shared" si="105"/>
        <v/>
      </c>
      <c r="Y2533" s="25" t="str">
        <f>IF(Table26[[#This Row],[customerSKU]]="","",_xlfn.XLOOKUP(Table26[[#This Row],[customerSKU]],Table27[customer_SKU],Table27[product_GTIN],"",0,1))</f>
        <v/>
      </c>
      <c r="Z2533" s="25"/>
      <c r="AA2533" s="18" t="str" cm="1">
        <f t="array" ref="AA2533">IF(P2533="", "", _xlfn.XLOOKUP(P2533,#REF!,#REF!,NA,0,-1))</f>
        <v/>
      </c>
      <c r="AB2533" s="22"/>
      <c r="AC2533" s="23" t="str">
        <f>IF(Table26[[#This Row],[customerSKU]]="","",_xlfn.XLOOKUP(Table26[[#This Row],[customerSKU]],customerSKU!G:G,customerSKU!C:C,"",0,1))</f>
        <v/>
      </c>
      <c r="AD2533" s="23" t="str">
        <f>IF($AC2533="","",_xlfn.XLOOKUP($AC2533,'Client Info'!$C$2:$C$2497,'Client Info'!$D$2:$D$2497,"",0,1))</f>
        <v/>
      </c>
      <c r="AE2533" s="23" t="str">
        <f>IF($AC2533="","",_xlfn.XLOOKUP($AC2533,'Client Info'!$C$2:$C$2677,'Client Info'!$E$2:$E$2677,"",))</f>
        <v/>
      </c>
      <c r="AF2533" s="23" t="str">
        <f>IF($AC2533="","",_xlfn.XLOOKUP($AC2533,'Client Info'!$C$2:$C$2677,'Client Info'!$F$2:$F$2677,"",0,1))</f>
        <v/>
      </c>
      <c r="AG2533" s="23" t="str">
        <f>IF(ISBLANK(Table26[[#This Row],[customerSKU]]),"",_xlfn.XLOOKUP(Table26[[#This Row],[customerSKU]],Table27[customer_SKU],Table27[billto],"",0,1))</f>
        <v/>
      </c>
      <c r="AH2533" s="26" t="str">
        <f>_xlfn.XLOOKUP(Table26[[#This Row],[customerSKU]],customerSKU!G:G,customerSKU!K:K,"NA",0,1)</f>
        <v>NA</v>
      </c>
      <c r="AI2533" s="43" t="str">
        <f>_xlfn.XLOOKUP(Table26[[#This Row],[customerSKU]],customerSKU!G:G,customerSKU!O:O,"not found",0,1)</f>
        <v>not found</v>
      </c>
      <c r="AJ2533" s="22" t="e">
        <f>Table26[[#This Row],[unitprice]]*Table26[[#This Row],[quantity_unit]]</f>
        <v>#VALUE!</v>
      </c>
      <c r="AK2533" s="227" t="e" cm="1">
        <f t="array" ref="AK253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3" s="227"/>
    </row>
    <row r="2534" spans="1:38" ht="15.6">
      <c r="A2534" s="42"/>
      <c r="B2534" s="42"/>
      <c r="C2534" s="53"/>
      <c r="E2534" s="20"/>
      <c r="F253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4" s="93"/>
      <c r="J2534" s="90" t="str">
        <f>IF(Table26[[#This Row],[customerSKU]]="","",_xlfn.XLOOKUP(Table26[[#This Row],[customerSKU]],customerSKU!G:G,customerSKU!A:A,"",0,1))</f>
        <v/>
      </c>
      <c r="K2534" s="19"/>
      <c r="L2534" s="49" t="str">
        <f>IF(Table26[[#This Row],[customerSKU]]="","",_xlfn.XLOOKUP(Table26[[#This Row],[customerSKU]],customerSKU!G:G,customerSKU!B:B,"",0,1))</f>
        <v/>
      </c>
      <c r="M2534" s="22"/>
      <c r="N2534" s="15" t="str">
        <f>Table26[[#This Row],[po_number]]&amp;"-"&amp;Table26[[#This Row],[po_line]]</f>
        <v>-</v>
      </c>
      <c r="O2534" s="15"/>
      <c r="P2534" s="50"/>
      <c r="S2534" s="90" t="str">
        <f>IF(Table26[[#This Row],[customerSKU]]="","",_xlfn.XLOOKUP(Table26[[#This Row],[customerSKU]],customerSKU!G:G,customerSKU!N:N,"NOT FOUND",0,1))</f>
        <v/>
      </c>
      <c r="T2534" s="20"/>
      <c r="U2534" s="94"/>
      <c r="V2534" s="22" t="str">
        <f>IF(ISBLANK(Table26[[#This Row],[customerSKU]]),"",_xlfn.XLOOKUP(Table26[[#This Row],[customerSKU]],Table27[customer_SKU],Table27[case_size],"",0,1))</f>
        <v/>
      </c>
      <c r="W2534" s="117" t="str">
        <f t="shared" si="106"/>
        <v/>
      </c>
      <c r="X2534" s="22" t="str">
        <f t="shared" ref="X2534:X2591" si="107">IFERROR($AA2534*$U2534, "")</f>
        <v/>
      </c>
      <c r="Y2534" s="25" t="str">
        <f>IF(Table26[[#This Row],[customerSKU]]="","",_xlfn.XLOOKUP(Table26[[#This Row],[customerSKU]],Table27[customer_SKU],Table27[product_GTIN],"",0,1))</f>
        <v/>
      </c>
      <c r="Z2534" s="25"/>
      <c r="AA2534" s="18" t="str" cm="1">
        <f t="array" ref="AA2534">IF(P2534="", "", _xlfn.XLOOKUP(P2534,#REF!,#REF!,NA,0,-1))</f>
        <v/>
      </c>
      <c r="AB2534" s="22"/>
      <c r="AC2534" s="23" t="str">
        <f>IF(Table26[[#This Row],[customerSKU]]="","",_xlfn.XLOOKUP(Table26[[#This Row],[customerSKU]],customerSKU!G:G,customerSKU!C:C,"",0,1))</f>
        <v/>
      </c>
      <c r="AD2534" s="23" t="str">
        <f>IF($AC2534="","",_xlfn.XLOOKUP($AC2534,'Client Info'!$C$2:$C$2497,'Client Info'!$D$2:$D$2497,"",0,1))</f>
        <v/>
      </c>
      <c r="AE2534" s="23" t="str">
        <f>IF($AC2534="","",_xlfn.XLOOKUP($AC2534,'Client Info'!$C$2:$C$2677,'Client Info'!$E$2:$E$2677,"",))</f>
        <v/>
      </c>
      <c r="AF2534" s="23" t="str">
        <f>IF($AC2534="","",_xlfn.XLOOKUP($AC2534,'Client Info'!$C$2:$C$2677,'Client Info'!$F$2:$F$2677,"",0,1))</f>
        <v/>
      </c>
      <c r="AG2534" s="23" t="str">
        <f>IF(ISBLANK(Table26[[#This Row],[customerSKU]]),"",_xlfn.XLOOKUP(Table26[[#This Row],[customerSKU]],Table27[customer_SKU],Table27[billto],"",0,1))</f>
        <v/>
      </c>
      <c r="AH2534" s="26" t="str">
        <f>_xlfn.XLOOKUP(Table26[[#This Row],[customerSKU]],customerSKU!G:G,customerSKU!K:K,"NA",0,1)</f>
        <v>NA</v>
      </c>
      <c r="AI2534" s="43" t="str">
        <f>_xlfn.XLOOKUP(Table26[[#This Row],[customerSKU]],customerSKU!G:G,customerSKU!O:O,"not found",0,1)</f>
        <v>not found</v>
      </c>
      <c r="AJ2534" s="22" t="e">
        <f>Table26[[#This Row],[unitprice]]*Table26[[#This Row],[quantity_unit]]</f>
        <v>#VALUE!</v>
      </c>
      <c r="AK2534" s="227" t="e" cm="1">
        <f t="array" ref="AK253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4" s="227"/>
    </row>
    <row r="2535" spans="1:38" ht="15.6">
      <c r="A2535" s="42"/>
      <c r="B2535" s="42"/>
      <c r="C2535" s="53"/>
      <c r="E2535" s="20"/>
      <c r="F253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5" s="93"/>
      <c r="J2535" s="90" t="str">
        <f>IF(Table26[[#This Row],[customerSKU]]="","",_xlfn.XLOOKUP(Table26[[#This Row],[customerSKU]],customerSKU!G:G,customerSKU!A:A,"",0,1))</f>
        <v/>
      </c>
      <c r="K2535" s="19"/>
      <c r="L2535" s="49" t="str">
        <f>IF(Table26[[#This Row],[customerSKU]]="","",_xlfn.XLOOKUP(Table26[[#This Row],[customerSKU]],customerSKU!G:G,customerSKU!B:B,"",0,1))</f>
        <v/>
      </c>
      <c r="M2535" s="22"/>
      <c r="N2535" s="15" t="str">
        <f>Table26[[#This Row],[po_number]]&amp;"-"&amp;Table26[[#This Row],[po_line]]</f>
        <v>-</v>
      </c>
      <c r="O2535" s="15"/>
      <c r="P2535" s="50"/>
      <c r="S2535" s="90" t="str">
        <f>IF(Table26[[#This Row],[customerSKU]]="","",_xlfn.XLOOKUP(Table26[[#This Row],[customerSKU]],customerSKU!G:G,customerSKU!N:N,"NOT FOUND",0,1))</f>
        <v/>
      </c>
      <c r="T2535" s="20"/>
      <c r="U2535" s="94"/>
      <c r="V2535" s="22" t="str">
        <f>IF(ISBLANK(Table26[[#This Row],[customerSKU]]),"",_xlfn.XLOOKUP(Table26[[#This Row],[customerSKU]],Table27[customer_SKU],Table27[case_size],"",0,1))</f>
        <v/>
      </c>
      <c r="W2535" s="117" t="str">
        <f t="shared" si="106"/>
        <v/>
      </c>
      <c r="X2535" s="22" t="str">
        <f t="shared" si="107"/>
        <v/>
      </c>
      <c r="Y2535" s="25" t="str">
        <f>IF(Table26[[#This Row],[customerSKU]]="","",_xlfn.XLOOKUP(Table26[[#This Row],[customerSKU]],Table27[customer_SKU],Table27[product_GTIN],"",0,1))</f>
        <v/>
      </c>
      <c r="Z2535" s="25"/>
      <c r="AA2535" s="18" t="str" cm="1">
        <f t="array" ref="AA2535">IF(P2535="", "", _xlfn.XLOOKUP(P2535,#REF!,#REF!,NA,0,-1))</f>
        <v/>
      </c>
      <c r="AB2535" s="22"/>
      <c r="AC2535" s="23" t="str">
        <f>IF(Table26[[#This Row],[customerSKU]]="","",_xlfn.XLOOKUP(Table26[[#This Row],[customerSKU]],customerSKU!G:G,customerSKU!C:C,"",0,1))</f>
        <v/>
      </c>
      <c r="AD2535" s="23" t="str">
        <f>IF($AC2535="","",_xlfn.XLOOKUP($AC2535,'Client Info'!$C$2:$C$2497,'Client Info'!$D$2:$D$2497,"",0,1))</f>
        <v/>
      </c>
      <c r="AE2535" s="23" t="str">
        <f>IF($AC2535="","",_xlfn.XLOOKUP($AC2535,'Client Info'!$C$2:$C$2677,'Client Info'!$E$2:$E$2677,"",))</f>
        <v/>
      </c>
      <c r="AF2535" s="23" t="str">
        <f>IF($AC2535="","",_xlfn.XLOOKUP($AC2535,'Client Info'!$C$2:$C$2677,'Client Info'!$F$2:$F$2677,"",0,1))</f>
        <v/>
      </c>
      <c r="AG2535" s="23" t="str">
        <f>IF(ISBLANK(Table26[[#This Row],[customerSKU]]),"",_xlfn.XLOOKUP(Table26[[#This Row],[customerSKU]],Table27[customer_SKU],Table27[billto],"",0,1))</f>
        <v/>
      </c>
      <c r="AH2535" s="26" t="str">
        <f>_xlfn.XLOOKUP(Table26[[#This Row],[customerSKU]],customerSKU!G:G,customerSKU!K:K,"NA",0,1)</f>
        <v>NA</v>
      </c>
      <c r="AI2535" s="43" t="str">
        <f>_xlfn.XLOOKUP(Table26[[#This Row],[customerSKU]],customerSKU!G:G,customerSKU!O:O,"not found",0,1)</f>
        <v>not found</v>
      </c>
      <c r="AJ2535" s="22" t="e">
        <f>Table26[[#This Row],[unitprice]]*Table26[[#This Row],[quantity_unit]]</f>
        <v>#VALUE!</v>
      </c>
      <c r="AK2535" s="227" t="e" cm="1">
        <f t="array" ref="AK253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5" s="227"/>
    </row>
    <row r="2536" spans="1:38" ht="15.6">
      <c r="A2536" s="42"/>
      <c r="B2536" s="42"/>
      <c r="C2536" s="53"/>
      <c r="E2536" s="20"/>
      <c r="F253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6" s="93"/>
      <c r="J2536" s="90" t="str">
        <f>IF(Table26[[#This Row],[customerSKU]]="","",_xlfn.XLOOKUP(Table26[[#This Row],[customerSKU]],customerSKU!G:G,customerSKU!A:A,"",0,1))</f>
        <v/>
      </c>
      <c r="K2536" s="19"/>
      <c r="L2536" s="49" t="str">
        <f>IF(Table26[[#This Row],[customerSKU]]="","",_xlfn.XLOOKUP(Table26[[#This Row],[customerSKU]],customerSKU!G:G,customerSKU!B:B,"",0,1))</f>
        <v/>
      </c>
      <c r="M2536" s="22"/>
      <c r="N2536" s="15" t="str">
        <f>Table26[[#This Row],[po_number]]&amp;"-"&amp;Table26[[#This Row],[po_line]]</f>
        <v>-</v>
      </c>
      <c r="O2536" s="15"/>
      <c r="P2536" s="50"/>
      <c r="S2536" s="90" t="str">
        <f>IF(Table26[[#This Row],[customerSKU]]="","",_xlfn.XLOOKUP(Table26[[#This Row],[customerSKU]],customerSKU!G:G,customerSKU!N:N,"NOT FOUND",0,1))</f>
        <v/>
      </c>
      <c r="T2536" s="20"/>
      <c r="U2536" s="94"/>
      <c r="V2536" s="22" t="str">
        <f>IF(ISBLANK(Table26[[#This Row],[customerSKU]]),"",_xlfn.XLOOKUP(Table26[[#This Row],[customerSKU]],Table27[customer_SKU],Table27[case_size],"",0,1))</f>
        <v/>
      </c>
      <c r="W2536" s="117" t="str">
        <f t="shared" si="106"/>
        <v/>
      </c>
      <c r="X2536" s="22" t="str">
        <f t="shared" si="107"/>
        <v/>
      </c>
      <c r="Y2536" s="25" t="str">
        <f>IF(Table26[[#This Row],[customerSKU]]="","",_xlfn.XLOOKUP(Table26[[#This Row],[customerSKU]],Table27[customer_SKU],Table27[product_GTIN],"",0,1))</f>
        <v/>
      </c>
      <c r="Z2536" s="25"/>
      <c r="AA2536" s="18" t="str" cm="1">
        <f t="array" ref="AA2536">IF(P2536="", "", _xlfn.XLOOKUP(P2536,#REF!,#REF!,NA,0,-1))</f>
        <v/>
      </c>
      <c r="AB2536" s="22"/>
      <c r="AC2536" s="23" t="str">
        <f>IF(Table26[[#This Row],[customerSKU]]="","",_xlfn.XLOOKUP(Table26[[#This Row],[customerSKU]],customerSKU!G:G,customerSKU!C:C,"",0,1))</f>
        <v/>
      </c>
      <c r="AD2536" s="23" t="str">
        <f>IF($AC2536="","",_xlfn.XLOOKUP($AC2536,'Client Info'!$C$2:$C$2497,'Client Info'!$D$2:$D$2497,"",0,1))</f>
        <v/>
      </c>
      <c r="AE2536" s="23" t="str">
        <f>IF($AC2536="","",_xlfn.XLOOKUP($AC2536,'Client Info'!$C$2:$C$2677,'Client Info'!$E$2:$E$2677,"",))</f>
        <v/>
      </c>
      <c r="AF2536" s="23" t="str">
        <f>IF($AC2536="","",_xlfn.XLOOKUP($AC2536,'Client Info'!$C$2:$C$2677,'Client Info'!$F$2:$F$2677,"",0,1))</f>
        <v/>
      </c>
      <c r="AG2536" s="23" t="str">
        <f>IF(ISBLANK(Table26[[#This Row],[customerSKU]]),"",_xlfn.XLOOKUP(Table26[[#This Row],[customerSKU]],Table27[customer_SKU],Table27[billto],"",0,1))</f>
        <v/>
      </c>
      <c r="AH2536" s="26" t="str">
        <f>_xlfn.XLOOKUP(Table26[[#This Row],[customerSKU]],customerSKU!G:G,customerSKU!K:K,"NA",0,1)</f>
        <v>NA</v>
      </c>
      <c r="AI2536" s="43" t="str">
        <f>_xlfn.XLOOKUP(Table26[[#This Row],[customerSKU]],customerSKU!G:G,customerSKU!O:O,"not found",0,1)</f>
        <v>not found</v>
      </c>
      <c r="AJ2536" s="22" t="e">
        <f>Table26[[#This Row],[unitprice]]*Table26[[#This Row],[quantity_unit]]</f>
        <v>#VALUE!</v>
      </c>
      <c r="AK2536" s="227" t="e" cm="1">
        <f t="array" ref="AK253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6" s="227"/>
    </row>
    <row r="2537" spans="1:38" ht="15.6">
      <c r="A2537" s="42"/>
      <c r="B2537" s="42"/>
      <c r="C2537" s="53"/>
      <c r="E2537" s="20"/>
      <c r="F253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7" s="93"/>
      <c r="J2537" s="90" t="str">
        <f>IF(Table26[[#This Row],[customerSKU]]="","",_xlfn.XLOOKUP(Table26[[#This Row],[customerSKU]],customerSKU!G:G,customerSKU!A:A,"",0,1))</f>
        <v/>
      </c>
      <c r="K2537" s="19"/>
      <c r="L2537" s="49" t="str">
        <f>IF(Table26[[#This Row],[customerSKU]]="","",_xlfn.XLOOKUP(Table26[[#This Row],[customerSKU]],customerSKU!G:G,customerSKU!B:B,"",0,1))</f>
        <v/>
      </c>
      <c r="M2537" s="22"/>
      <c r="N2537" s="15" t="str">
        <f>Table26[[#This Row],[po_number]]&amp;"-"&amp;Table26[[#This Row],[po_line]]</f>
        <v>-</v>
      </c>
      <c r="O2537" s="15"/>
      <c r="P2537" s="50"/>
      <c r="S2537" s="90" t="str">
        <f>IF(Table26[[#This Row],[customerSKU]]="","",_xlfn.XLOOKUP(Table26[[#This Row],[customerSKU]],customerSKU!G:G,customerSKU!N:N,"NOT FOUND",0,1))</f>
        <v/>
      </c>
      <c r="T2537" s="20"/>
      <c r="U2537" s="94"/>
      <c r="V2537" s="22" t="str">
        <f>IF(ISBLANK(Table26[[#This Row],[customerSKU]]),"",_xlfn.XLOOKUP(Table26[[#This Row],[customerSKU]],Table27[customer_SKU],Table27[case_size],"",0,1))</f>
        <v/>
      </c>
      <c r="W2537" s="117" t="str">
        <f t="shared" si="106"/>
        <v/>
      </c>
      <c r="X2537" s="22" t="str">
        <f t="shared" si="107"/>
        <v/>
      </c>
      <c r="Y2537" s="25" t="str">
        <f>IF(Table26[[#This Row],[customerSKU]]="","",_xlfn.XLOOKUP(Table26[[#This Row],[customerSKU]],Table27[customer_SKU],Table27[product_GTIN],"",0,1))</f>
        <v/>
      </c>
      <c r="Z2537" s="25"/>
      <c r="AA2537" s="18" t="str" cm="1">
        <f t="array" ref="AA2537">IF(P2537="", "", _xlfn.XLOOKUP(P2537,#REF!,#REF!,NA,0,-1))</f>
        <v/>
      </c>
      <c r="AB2537" s="22"/>
      <c r="AC2537" s="23" t="str">
        <f>IF(Table26[[#This Row],[customerSKU]]="","",_xlfn.XLOOKUP(Table26[[#This Row],[customerSKU]],customerSKU!G:G,customerSKU!C:C,"",0,1))</f>
        <v/>
      </c>
      <c r="AD2537" s="23" t="str">
        <f>IF($AC2537="","",_xlfn.XLOOKUP($AC2537,'Client Info'!$C$2:$C$2497,'Client Info'!$D$2:$D$2497,"",0,1))</f>
        <v/>
      </c>
      <c r="AE2537" s="23" t="str">
        <f>IF($AC2537="","",_xlfn.XLOOKUP($AC2537,'Client Info'!$C$2:$C$2677,'Client Info'!$E$2:$E$2677,"",))</f>
        <v/>
      </c>
      <c r="AF2537" s="23" t="str">
        <f>IF($AC2537="","",_xlfn.XLOOKUP($AC2537,'Client Info'!$C$2:$C$2677,'Client Info'!$F$2:$F$2677,"",0,1))</f>
        <v/>
      </c>
      <c r="AG2537" s="23" t="str">
        <f>IF(ISBLANK(Table26[[#This Row],[customerSKU]]),"",_xlfn.XLOOKUP(Table26[[#This Row],[customerSKU]],Table27[customer_SKU],Table27[billto],"",0,1))</f>
        <v/>
      </c>
      <c r="AH2537" s="26" t="str">
        <f>_xlfn.XLOOKUP(Table26[[#This Row],[customerSKU]],customerSKU!G:G,customerSKU!K:K,"NA",0,1)</f>
        <v>NA</v>
      </c>
      <c r="AI2537" s="43" t="str">
        <f>_xlfn.XLOOKUP(Table26[[#This Row],[customerSKU]],customerSKU!G:G,customerSKU!O:O,"not found",0,1)</f>
        <v>not found</v>
      </c>
      <c r="AJ2537" s="22" t="e">
        <f>Table26[[#This Row],[unitprice]]*Table26[[#This Row],[quantity_unit]]</f>
        <v>#VALUE!</v>
      </c>
      <c r="AK2537" s="227" t="e" cm="1">
        <f t="array" ref="AK253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7" s="227"/>
    </row>
    <row r="2538" spans="1:38" ht="15.6">
      <c r="A2538" s="42"/>
      <c r="B2538" s="42"/>
      <c r="C2538" s="53"/>
      <c r="E2538" s="20"/>
      <c r="F253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8" s="93"/>
      <c r="J2538" s="90" t="str">
        <f>IF(Table26[[#This Row],[customerSKU]]="","",_xlfn.XLOOKUP(Table26[[#This Row],[customerSKU]],customerSKU!G:G,customerSKU!A:A,"",0,1))</f>
        <v/>
      </c>
      <c r="K2538" s="19"/>
      <c r="L2538" s="49" t="str">
        <f>IF(Table26[[#This Row],[customerSKU]]="","",_xlfn.XLOOKUP(Table26[[#This Row],[customerSKU]],customerSKU!G:G,customerSKU!B:B,"",0,1))</f>
        <v/>
      </c>
      <c r="M2538" s="22"/>
      <c r="N2538" s="15" t="str">
        <f>Table26[[#This Row],[po_number]]&amp;"-"&amp;Table26[[#This Row],[po_line]]</f>
        <v>-</v>
      </c>
      <c r="O2538" s="15"/>
      <c r="P2538" s="50"/>
      <c r="S2538" s="90" t="str">
        <f>IF(Table26[[#This Row],[customerSKU]]="","",_xlfn.XLOOKUP(Table26[[#This Row],[customerSKU]],customerSKU!G:G,customerSKU!N:N,"NOT FOUND",0,1))</f>
        <v/>
      </c>
      <c r="T2538" s="20"/>
      <c r="U2538" s="94"/>
      <c r="V2538" s="22" t="str">
        <f>IF(ISBLANK(Table26[[#This Row],[customerSKU]]),"",_xlfn.XLOOKUP(Table26[[#This Row],[customerSKU]],Table27[customer_SKU],Table27[case_size],"",0,1))</f>
        <v/>
      </c>
      <c r="W2538" s="117" t="str">
        <f t="shared" si="106"/>
        <v/>
      </c>
      <c r="X2538" s="22" t="str">
        <f t="shared" si="107"/>
        <v/>
      </c>
      <c r="Y2538" s="25" t="str">
        <f>IF(Table26[[#This Row],[customerSKU]]="","",_xlfn.XLOOKUP(Table26[[#This Row],[customerSKU]],Table27[customer_SKU],Table27[product_GTIN],"",0,1))</f>
        <v/>
      </c>
      <c r="Z2538" s="25"/>
      <c r="AA2538" s="18" t="str" cm="1">
        <f t="array" ref="AA2538">IF(P2538="", "", _xlfn.XLOOKUP(P2538,#REF!,#REF!,NA,0,-1))</f>
        <v/>
      </c>
      <c r="AB2538" s="22"/>
      <c r="AC2538" s="23" t="str">
        <f>IF(Table26[[#This Row],[customerSKU]]="","",_xlfn.XLOOKUP(Table26[[#This Row],[customerSKU]],customerSKU!G:G,customerSKU!C:C,"",0,1))</f>
        <v/>
      </c>
      <c r="AD2538" s="23" t="str">
        <f>IF($AC2538="","",_xlfn.XLOOKUP($AC2538,'Client Info'!$C$2:$C$2497,'Client Info'!$D$2:$D$2497,"",0,1))</f>
        <v/>
      </c>
      <c r="AE2538" s="23" t="str">
        <f>IF($AC2538="","",_xlfn.XLOOKUP($AC2538,'Client Info'!$C$2:$C$2677,'Client Info'!$E$2:$E$2677,"",))</f>
        <v/>
      </c>
      <c r="AF2538" s="23" t="str">
        <f>IF($AC2538="","",_xlfn.XLOOKUP($AC2538,'Client Info'!$C$2:$C$2677,'Client Info'!$F$2:$F$2677,"",0,1))</f>
        <v/>
      </c>
      <c r="AG2538" s="23" t="str">
        <f>IF(ISBLANK(Table26[[#This Row],[customerSKU]]),"",_xlfn.XLOOKUP(Table26[[#This Row],[customerSKU]],Table27[customer_SKU],Table27[billto],"",0,1))</f>
        <v/>
      </c>
      <c r="AH2538" s="26" t="str">
        <f>_xlfn.XLOOKUP(Table26[[#This Row],[customerSKU]],customerSKU!G:G,customerSKU!K:K,"NA",0,1)</f>
        <v>NA</v>
      </c>
      <c r="AI2538" s="43" t="str">
        <f>_xlfn.XLOOKUP(Table26[[#This Row],[customerSKU]],customerSKU!G:G,customerSKU!O:O,"not found",0,1)</f>
        <v>not found</v>
      </c>
      <c r="AJ2538" s="22" t="e">
        <f>Table26[[#This Row],[unitprice]]*Table26[[#This Row],[quantity_unit]]</f>
        <v>#VALUE!</v>
      </c>
      <c r="AK2538" s="227" t="e" cm="1">
        <f t="array" ref="AK253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8" s="227"/>
    </row>
    <row r="2539" spans="1:38" ht="15.6">
      <c r="A2539" s="42"/>
      <c r="B2539" s="42"/>
      <c r="C2539" s="53"/>
      <c r="E2539" s="20"/>
      <c r="F253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39" s="93"/>
      <c r="J2539" s="90" t="str">
        <f>IF(Table26[[#This Row],[customerSKU]]="","",_xlfn.XLOOKUP(Table26[[#This Row],[customerSKU]],customerSKU!G:G,customerSKU!A:A,"",0,1))</f>
        <v/>
      </c>
      <c r="K2539" s="19"/>
      <c r="L2539" s="49" t="str">
        <f>IF(Table26[[#This Row],[customerSKU]]="","",_xlfn.XLOOKUP(Table26[[#This Row],[customerSKU]],customerSKU!G:G,customerSKU!B:B,"",0,1))</f>
        <v/>
      </c>
      <c r="M2539" s="22"/>
      <c r="N2539" s="15" t="str">
        <f>Table26[[#This Row],[po_number]]&amp;"-"&amp;Table26[[#This Row],[po_line]]</f>
        <v>-</v>
      </c>
      <c r="O2539" s="15"/>
      <c r="P2539" s="50"/>
      <c r="S2539" s="90" t="str">
        <f>IF(Table26[[#This Row],[customerSKU]]="","",_xlfn.XLOOKUP(Table26[[#This Row],[customerSKU]],customerSKU!G:G,customerSKU!N:N,"NOT FOUND",0,1))</f>
        <v/>
      </c>
      <c r="T2539" s="20"/>
      <c r="U2539" s="94"/>
      <c r="V2539" s="22" t="str">
        <f>IF(ISBLANK(Table26[[#This Row],[customerSKU]]),"",_xlfn.XLOOKUP(Table26[[#This Row],[customerSKU]],Table27[customer_SKU],Table27[case_size],"",0,1))</f>
        <v/>
      </c>
      <c r="W2539" s="117" t="str">
        <f t="shared" si="106"/>
        <v/>
      </c>
      <c r="X2539" s="22" t="str">
        <f t="shared" si="107"/>
        <v/>
      </c>
      <c r="Y2539" s="25" t="str">
        <f>IF(Table26[[#This Row],[customerSKU]]="","",_xlfn.XLOOKUP(Table26[[#This Row],[customerSKU]],Table27[customer_SKU],Table27[product_GTIN],"",0,1))</f>
        <v/>
      </c>
      <c r="Z2539" s="25"/>
      <c r="AA2539" s="18" t="str" cm="1">
        <f t="array" ref="AA2539">IF(P2539="", "", _xlfn.XLOOKUP(P2539,#REF!,#REF!,NA,0,-1))</f>
        <v/>
      </c>
      <c r="AB2539" s="22"/>
      <c r="AC2539" s="23" t="str">
        <f>IF(Table26[[#This Row],[customerSKU]]="","",_xlfn.XLOOKUP(Table26[[#This Row],[customerSKU]],customerSKU!G:G,customerSKU!C:C,"",0,1))</f>
        <v/>
      </c>
      <c r="AD2539" s="23" t="str">
        <f>IF($AC2539="","",_xlfn.XLOOKUP($AC2539,'Client Info'!$C$2:$C$2497,'Client Info'!$D$2:$D$2497,"",0,1))</f>
        <v/>
      </c>
      <c r="AE2539" s="23" t="str">
        <f>IF($AC2539="","",_xlfn.XLOOKUP($AC2539,'Client Info'!$C$2:$C$2677,'Client Info'!$E$2:$E$2677,"",))</f>
        <v/>
      </c>
      <c r="AF2539" s="23" t="str">
        <f>IF($AC2539="","",_xlfn.XLOOKUP($AC2539,'Client Info'!$C$2:$C$2677,'Client Info'!$F$2:$F$2677,"",0,1))</f>
        <v/>
      </c>
      <c r="AG2539" s="23" t="str">
        <f>IF(ISBLANK(Table26[[#This Row],[customerSKU]]),"",_xlfn.XLOOKUP(Table26[[#This Row],[customerSKU]],Table27[customer_SKU],Table27[billto],"",0,1))</f>
        <v/>
      </c>
      <c r="AH2539" s="26" t="str">
        <f>_xlfn.XLOOKUP(Table26[[#This Row],[customerSKU]],customerSKU!G:G,customerSKU!K:K,"NA",0,1)</f>
        <v>NA</v>
      </c>
      <c r="AI2539" s="43" t="str">
        <f>_xlfn.XLOOKUP(Table26[[#This Row],[customerSKU]],customerSKU!G:G,customerSKU!O:O,"not found",0,1)</f>
        <v>not found</v>
      </c>
      <c r="AJ2539" s="22" t="e">
        <f>Table26[[#This Row],[unitprice]]*Table26[[#This Row],[quantity_unit]]</f>
        <v>#VALUE!</v>
      </c>
      <c r="AK2539" s="227" t="e" cm="1">
        <f t="array" ref="AK253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39" s="227"/>
    </row>
    <row r="2540" spans="1:38" ht="15.6">
      <c r="A2540" s="42"/>
      <c r="B2540" s="42"/>
      <c r="C2540" s="53"/>
      <c r="E2540" s="20"/>
      <c r="F254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0" s="93"/>
      <c r="J2540" s="90" t="str">
        <f>IF(Table26[[#This Row],[customerSKU]]="","",_xlfn.XLOOKUP(Table26[[#This Row],[customerSKU]],customerSKU!G:G,customerSKU!A:A,"",0,1))</f>
        <v/>
      </c>
      <c r="K2540" s="19"/>
      <c r="L2540" s="49" t="str">
        <f>IF(Table26[[#This Row],[customerSKU]]="","",_xlfn.XLOOKUP(Table26[[#This Row],[customerSKU]],customerSKU!G:G,customerSKU!B:B,"",0,1))</f>
        <v/>
      </c>
      <c r="M2540" s="22"/>
      <c r="N2540" s="15" t="str">
        <f>Table26[[#This Row],[po_number]]&amp;"-"&amp;Table26[[#This Row],[po_line]]</f>
        <v>-</v>
      </c>
      <c r="O2540" s="15"/>
      <c r="P2540" s="50"/>
      <c r="S2540" s="90" t="str">
        <f>IF(Table26[[#This Row],[customerSKU]]="","",_xlfn.XLOOKUP(Table26[[#This Row],[customerSKU]],customerSKU!G:G,customerSKU!N:N,"NOT FOUND",0,1))</f>
        <v/>
      </c>
      <c r="T2540" s="20"/>
      <c r="U2540" s="94"/>
      <c r="V2540" s="22" t="str">
        <f>IF(ISBLANK(Table26[[#This Row],[customerSKU]]),"",_xlfn.XLOOKUP(Table26[[#This Row],[customerSKU]],Table27[customer_SKU],Table27[case_size],"",0,1))</f>
        <v/>
      </c>
      <c r="W2540" s="117" t="str">
        <f t="shared" si="106"/>
        <v/>
      </c>
      <c r="X2540" s="22" t="str">
        <f t="shared" si="107"/>
        <v/>
      </c>
      <c r="Y2540" s="25" t="str">
        <f>IF(Table26[[#This Row],[customerSKU]]="","",_xlfn.XLOOKUP(Table26[[#This Row],[customerSKU]],Table27[customer_SKU],Table27[product_GTIN],"",0,1))</f>
        <v/>
      </c>
      <c r="Z2540" s="25"/>
      <c r="AA2540" s="18" t="str" cm="1">
        <f t="array" ref="AA2540">IF(P2540="", "", _xlfn.XLOOKUP(P2540,#REF!,#REF!,NA,0,-1))</f>
        <v/>
      </c>
      <c r="AB2540" s="22"/>
      <c r="AC2540" s="23" t="str">
        <f>IF(Table26[[#This Row],[customerSKU]]="","",_xlfn.XLOOKUP(Table26[[#This Row],[customerSKU]],customerSKU!G:G,customerSKU!C:C,"",0,1))</f>
        <v/>
      </c>
      <c r="AD2540" s="23" t="str">
        <f>IF($AC2540="","",_xlfn.XLOOKUP($AC2540,'Client Info'!$C$2:$C$2497,'Client Info'!$D$2:$D$2497,"",0,1))</f>
        <v/>
      </c>
      <c r="AE2540" s="23" t="str">
        <f>IF($AC2540="","",_xlfn.XLOOKUP($AC2540,'Client Info'!$C$2:$C$2677,'Client Info'!$E$2:$E$2677,"",))</f>
        <v/>
      </c>
      <c r="AF2540" s="23" t="str">
        <f>IF($AC2540="","",_xlfn.XLOOKUP($AC2540,'Client Info'!$C$2:$C$2677,'Client Info'!$F$2:$F$2677,"",0,1))</f>
        <v/>
      </c>
      <c r="AG2540" s="23" t="str">
        <f>IF(ISBLANK(Table26[[#This Row],[customerSKU]]),"",_xlfn.XLOOKUP(Table26[[#This Row],[customerSKU]],Table27[customer_SKU],Table27[billto],"",0,1))</f>
        <v/>
      </c>
      <c r="AH2540" s="26" t="str">
        <f>_xlfn.XLOOKUP(Table26[[#This Row],[customerSKU]],customerSKU!G:G,customerSKU!K:K,"NA",0,1)</f>
        <v>NA</v>
      </c>
      <c r="AI2540" s="43" t="str">
        <f>_xlfn.XLOOKUP(Table26[[#This Row],[customerSKU]],customerSKU!G:G,customerSKU!O:O,"not found",0,1)</f>
        <v>not found</v>
      </c>
      <c r="AJ2540" s="22" t="e">
        <f>Table26[[#This Row],[unitprice]]*Table26[[#This Row],[quantity_unit]]</f>
        <v>#VALUE!</v>
      </c>
      <c r="AK2540" s="227" t="e" cm="1">
        <f t="array" ref="AK254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0" s="227"/>
    </row>
    <row r="2541" spans="1:38" ht="15.6">
      <c r="A2541" s="42"/>
      <c r="B2541" s="42"/>
      <c r="C2541" s="53"/>
      <c r="E2541" s="20"/>
      <c r="F254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1" s="93"/>
      <c r="J2541" s="90" t="str">
        <f>IF(Table26[[#This Row],[customerSKU]]="","",_xlfn.XLOOKUP(Table26[[#This Row],[customerSKU]],customerSKU!G:G,customerSKU!A:A,"",0,1))</f>
        <v/>
      </c>
      <c r="K2541" s="19"/>
      <c r="L2541" s="49" t="str">
        <f>IF(Table26[[#This Row],[customerSKU]]="","",_xlfn.XLOOKUP(Table26[[#This Row],[customerSKU]],customerSKU!G:G,customerSKU!B:B,"",0,1))</f>
        <v/>
      </c>
      <c r="M2541" s="22"/>
      <c r="N2541" s="15" t="str">
        <f>Table26[[#This Row],[po_number]]&amp;"-"&amp;Table26[[#This Row],[po_line]]</f>
        <v>-</v>
      </c>
      <c r="O2541" s="15"/>
      <c r="P2541" s="50"/>
      <c r="S2541" s="90" t="str">
        <f>IF(Table26[[#This Row],[customerSKU]]="","",_xlfn.XLOOKUP(Table26[[#This Row],[customerSKU]],customerSKU!G:G,customerSKU!N:N,"NOT FOUND",0,1))</f>
        <v/>
      </c>
      <c r="T2541" s="20"/>
      <c r="U2541" s="94"/>
      <c r="V2541" s="22" t="str">
        <f>IF(ISBLANK(Table26[[#This Row],[customerSKU]]),"",_xlfn.XLOOKUP(Table26[[#This Row],[customerSKU]],Table27[customer_SKU],Table27[case_size],"",0,1))</f>
        <v/>
      </c>
      <c r="W2541" s="117" t="str">
        <f t="shared" si="106"/>
        <v/>
      </c>
      <c r="X2541" s="22" t="str">
        <f t="shared" si="107"/>
        <v/>
      </c>
      <c r="Y2541" s="25" t="str">
        <f>IF(Table26[[#This Row],[customerSKU]]="","",_xlfn.XLOOKUP(Table26[[#This Row],[customerSKU]],Table27[customer_SKU],Table27[product_GTIN],"",0,1))</f>
        <v/>
      </c>
      <c r="Z2541" s="25"/>
      <c r="AA2541" s="18" t="str" cm="1">
        <f t="array" ref="AA2541">IF(P2541="", "", _xlfn.XLOOKUP(P2541,#REF!,#REF!,NA,0,-1))</f>
        <v/>
      </c>
      <c r="AB2541" s="22"/>
      <c r="AC2541" s="23" t="str">
        <f>IF(Table26[[#This Row],[customerSKU]]="","",_xlfn.XLOOKUP(Table26[[#This Row],[customerSKU]],customerSKU!G:G,customerSKU!C:C,"",0,1))</f>
        <v/>
      </c>
      <c r="AD2541" s="23" t="str">
        <f>IF($AC2541="","",_xlfn.XLOOKUP($AC2541,'Client Info'!$C$2:$C$2497,'Client Info'!$D$2:$D$2497,"",0,1))</f>
        <v/>
      </c>
      <c r="AE2541" s="23" t="str">
        <f>IF($AC2541="","",_xlfn.XLOOKUP($AC2541,'Client Info'!$C$2:$C$2677,'Client Info'!$E$2:$E$2677,"",))</f>
        <v/>
      </c>
      <c r="AF2541" s="23" t="str">
        <f>IF($AC2541="","",_xlfn.XLOOKUP($AC2541,'Client Info'!$C$2:$C$2677,'Client Info'!$F$2:$F$2677,"",0,1))</f>
        <v/>
      </c>
      <c r="AG2541" s="23" t="str">
        <f>IF(ISBLANK(Table26[[#This Row],[customerSKU]]),"",_xlfn.XLOOKUP(Table26[[#This Row],[customerSKU]],Table27[customer_SKU],Table27[billto],"",0,1))</f>
        <v/>
      </c>
      <c r="AH2541" s="26" t="str">
        <f>_xlfn.XLOOKUP(Table26[[#This Row],[customerSKU]],customerSKU!G:G,customerSKU!K:K,"NA",0,1)</f>
        <v>NA</v>
      </c>
      <c r="AI2541" s="43" t="str">
        <f>_xlfn.XLOOKUP(Table26[[#This Row],[customerSKU]],customerSKU!G:G,customerSKU!O:O,"not found",0,1)</f>
        <v>not found</v>
      </c>
      <c r="AJ2541" s="22" t="e">
        <f>Table26[[#This Row],[unitprice]]*Table26[[#This Row],[quantity_unit]]</f>
        <v>#VALUE!</v>
      </c>
      <c r="AK2541" s="227" t="e" cm="1">
        <f t="array" ref="AK254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1" s="227"/>
    </row>
    <row r="2542" spans="1:38" ht="15.6">
      <c r="A2542" s="42"/>
      <c r="B2542" s="42"/>
      <c r="C2542" s="53"/>
      <c r="E2542" s="20"/>
      <c r="F254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2" s="93"/>
      <c r="J2542" s="90" t="str">
        <f>IF(Table26[[#This Row],[customerSKU]]="","",_xlfn.XLOOKUP(Table26[[#This Row],[customerSKU]],customerSKU!G:G,customerSKU!A:A,"",0,1))</f>
        <v/>
      </c>
      <c r="K2542" s="19"/>
      <c r="L2542" s="49" t="str">
        <f>IF(Table26[[#This Row],[customerSKU]]="","",_xlfn.XLOOKUP(Table26[[#This Row],[customerSKU]],customerSKU!G:G,customerSKU!B:B,"",0,1))</f>
        <v/>
      </c>
      <c r="M2542" s="22"/>
      <c r="N2542" s="15" t="str">
        <f>Table26[[#This Row],[po_number]]&amp;"-"&amp;Table26[[#This Row],[po_line]]</f>
        <v>-</v>
      </c>
      <c r="O2542" s="15"/>
      <c r="P2542" s="50"/>
      <c r="S2542" s="90" t="str">
        <f>IF(Table26[[#This Row],[customerSKU]]="","",_xlfn.XLOOKUP(Table26[[#This Row],[customerSKU]],customerSKU!G:G,customerSKU!N:N,"NOT FOUND",0,1))</f>
        <v/>
      </c>
      <c r="T2542" s="20"/>
      <c r="U2542" s="94"/>
      <c r="V2542" s="22" t="str">
        <f>IF(ISBLANK(Table26[[#This Row],[customerSKU]]),"",_xlfn.XLOOKUP(Table26[[#This Row],[customerSKU]],Table27[customer_SKU],Table27[case_size],"",0,1))</f>
        <v/>
      </c>
      <c r="W2542" s="117" t="str">
        <f t="shared" si="106"/>
        <v/>
      </c>
      <c r="X2542" s="22" t="str">
        <f t="shared" si="107"/>
        <v/>
      </c>
      <c r="Y2542" s="25" t="str">
        <f>IF(Table26[[#This Row],[customerSKU]]="","",_xlfn.XLOOKUP(Table26[[#This Row],[customerSKU]],Table27[customer_SKU],Table27[product_GTIN],"",0,1))</f>
        <v/>
      </c>
      <c r="Z2542" s="25"/>
      <c r="AA2542" s="18" t="str" cm="1">
        <f t="array" ref="AA2542">IF(P2542="", "", _xlfn.XLOOKUP(P2542,#REF!,#REF!,NA,0,-1))</f>
        <v/>
      </c>
      <c r="AB2542" s="22"/>
      <c r="AC2542" s="23" t="str">
        <f>IF(Table26[[#This Row],[customerSKU]]="","",_xlfn.XLOOKUP(Table26[[#This Row],[customerSKU]],customerSKU!G:G,customerSKU!C:C,"",0,1))</f>
        <v/>
      </c>
      <c r="AD2542" s="23" t="str">
        <f>IF($AC2542="","",_xlfn.XLOOKUP($AC2542,'Client Info'!$C$2:$C$2497,'Client Info'!$D$2:$D$2497,"",0,1))</f>
        <v/>
      </c>
      <c r="AE2542" s="23" t="str">
        <f>IF($AC2542="","",_xlfn.XLOOKUP($AC2542,'Client Info'!$C$2:$C$2677,'Client Info'!$E$2:$E$2677,"",))</f>
        <v/>
      </c>
      <c r="AF2542" s="23" t="str">
        <f>IF($AC2542="","",_xlfn.XLOOKUP($AC2542,'Client Info'!$C$2:$C$2677,'Client Info'!$F$2:$F$2677,"",0,1))</f>
        <v/>
      </c>
      <c r="AG2542" s="23" t="str">
        <f>IF(ISBLANK(Table26[[#This Row],[customerSKU]]),"",_xlfn.XLOOKUP(Table26[[#This Row],[customerSKU]],Table27[customer_SKU],Table27[billto],"",0,1))</f>
        <v/>
      </c>
      <c r="AH2542" s="26" t="str">
        <f>_xlfn.XLOOKUP(Table26[[#This Row],[customerSKU]],customerSKU!G:G,customerSKU!K:K,"NA",0,1)</f>
        <v>NA</v>
      </c>
      <c r="AI2542" s="43" t="str">
        <f>_xlfn.XLOOKUP(Table26[[#This Row],[customerSKU]],customerSKU!G:G,customerSKU!O:O,"not found",0,1)</f>
        <v>not found</v>
      </c>
      <c r="AJ2542" s="22" t="e">
        <f>Table26[[#This Row],[unitprice]]*Table26[[#This Row],[quantity_unit]]</f>
        <v>#VALUE!</v>
      </c>
      <c r="AK2542" s="227" t="e" cm="1">
        <f t="array" ref="AK254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2" s="227"/>
    </row>
    <row r="2543" spans="1:38" ht="15.6">
      <c r="A2543" s="42"/>
      <c r="B2543" s="42"/>
      <c r="C2543" s="53"/>
      <c r="E2543" s="20"/>
      <c r="F254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3" s="93"/>
      <c r="J2543" s="90" t="str">
        <f>IF(Table26[[#This Row],[customerSKU]]="","",_xlfn.XLOOKUP(Table26[[#This Row],[customerSKU]],customerSKU!G:G,customerSKU!A:A,"",0,1))</f>
        <v/>
      </c>
      <c r="K2543" s="19"/>
      <c r="L2543" s="49" t="str">
        <f>IF(Table26[[#This Row],[customerSKU]]="","",_xlfn.XLOOKUP(Table26[[#This Row],[customerSKU]],customerSKU!G:G,customerSKU!B:B,"",0,1))</f>
        <v/>
      </c>
      <c r="M2543" s="22"/>
      <c r="N2543" s="15" t="str">
        <f>Table26[[#This Row],[po_number]]&amp;"-"&amp;Table26[[#This Row],[po_line]]</f>
        <v>-</v>
      </c>
      <c r="O2543" s="15"/>
      <c r="P2543" s="50"/>
      <c r="S2543" s="90" t="str">
        <f>IF(Table26[[#This Row],[customerSKU]]="","",_xlfn.XLOOKUP(Table26[[#This Row],[customerSKU]],customerSKU!G:G,customerSKU!N:N,"NOT FOUND",0,1))</f>
        <v/>
      </c>
      <c r="T2543" s="20"/>
      <c r="U2543" s="94"/>
      <c r="V2543" s="22" t="str">
        <f>IF(ISBLANK(Table26[[#This Row],[customerSKU]]),"",_xlfn.XLOOKUP(Table26[[#This Row],[customerSKU]],Table27[customer_SKU],Table27[case_size],"",0,1))</f>
        <v/>
      </c>
      <c r="W2543" s="117" t="str">
        <f t="shared" si="106"/>
        <v/>
      </c>
      <c r="X2543" s="22" t="str">
        <f t="shared" si="107"/>
        <v/>
      </c>
      <c r="Y2543" s="25" t="str">
        <f>IF(Table26[[#This Row],[customerSKU]]="","",_xlfn.XLOOKUP(Table26[[#This Row],[customerSKU]],Table27[customer_SKU],Table27[product_GTIN],"",0,1))</f>
        <v/>
      </c>
      <c r="Z2543" s="25"/>
      <c r="AA2543" s="18" t="str" cm="1">
        <f t="array" ref="AA2543">IF(P2543="", "", _xlfn.XLOOKUP(P2543,#REF!,#REF!,NA,0,-1))</f>
        <v/>
      </c>
      <c r="AB2543" s="22"/>
      <c r="AC2543" s="23" t="str">
        <f>IF(Table26[[#This Row],[customerSKU]]="","",_xlfn.XLOOKUP(Table26[[#This Row],[customerSKU]],customerSKU!G:G,customerSKU!C:C,"",0,1))</f>
        <v/>
      </c>
      <c r="AD2543" s="23" t="str">
        <f>IF($AC2543="","",_xlfn.XLOOKUP($AC2543,'Client Info'!$C$2:$C$2497,'Client Info'!$D$2:$D$2497,"",0,1))</f>
        <v/>
      </c>
      <c r="AE2543" s="23" t="str">
        <f>IF($AC2543="","",_xlfn.XLOOKUP($AC2543,'Client Info'!$C$2:$C$2677,'Client Info'!$E$2:$E$2677,"",))</f>
        <v/>
      </c>
      <c r="AF2543" s="23" t="str">
        <f>IF($AC2543="","",_xlfn.XLOOKUP($AC2543,'Client Info'!$C$2:$C$2677,'Client Info'!$F$2:$F$2677,"",0,1))</f>
        <v/>
      </c>
      <c r="AG2543" s="23" t="str">
        <f>IF(ISBLANK(Table26[[#This Row],[customerSKU]]),"",_xlfn.XLOOKUP(Table26[[#This Row],[customerSKU]],Table27[customer_SKU],Table27[billto],"",0,1))</f>
        <v/>
      </c>
      <c r="AH2543" s="26" t="str">
        <f>_xlfn.XLOOKUP(Table26[[#This Row],[customerSKU]],customerSKU!G:G,customerSKU!K:K,"NA",0,1)</f>
        <v>NA</v>
      </c>
      <c r="AI2543" s="43" t="str">
        <f>_xlfn.XLOOKUP(Table26[[#This Row],[customerSKU]],customerSKU!G:G,customerSKU!O:O,"not found",0,1)</f>
        <v>not found</v>
      </c>
      <c r="AJ2543" s="22" t="e">
        <f>Table26[[#This Row],[unitprice]]*Table26[[#This Row],[quantity_unit]]</f>
        <v>#VALUE!</v>
      </c>
      <c r="AK2543" s="227" t="e" cm="1">
        <f t="array" ref="AK254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3" s="227"/>
    </row>
    <row r="2544" spans="1:38" ht="15.6">
      <c r="A2544" s="42"/>
      <c r="B2544" s="42"/>
      <c r="C2544" s="53"/>
      <c r="E2544" s="20"/>
      <c r="F254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4" s="93"/>
      <c r="J2544" s="90" t="str">
        <f>IF(Table26[[#This Row],[customerSKU]]="","",_xlfn.XLOOKUP(Table26[[#This Row],[customerSKU]],customerSKU!G:G,customerSKU!A:A,"",0,1))</f>
        <v/>
      </c>
      <c r="K2544" s="19"/>
      <c r="L2544" s="49" t="str">
        <f>IF(Table26[[#This Row],[customerSKU]]="","",_xlfn.XLOOKUP(Table26[[#This Row],[customerSKU]],customerSKU!G:G,customerSKU!B:B,"",0,1))</f>
        <v/>
      </c>
      <c r="M2544" s="22"/>
      <c r="N2544" s="15" t="str">
        <f>Table26[[#This Row],[po_number]]&amp;"-"&amp;Table26[[#This Row],[po_line]]</f>
        <v>-</v>
      </c>
      <c r="O2544" s="15"/>
      <c r="P2544" s="50"/>
      <c r="S2544" s="90" t="str">
        <f>IF(Table26[[#This Row],[customerSKU]]="","",_xlfn.XLOOKUP(Table26[[#This Row],[customerSKU]],customerSKU!G:G,customerSKU!N:N,"NOT FOUND",0,1))</f>
        <v/>
      </c>
      <c r="T2544" s="20"/>
      <c r="U2544" s="94"/>
      <c r="V2544" s="22" t="str">
        <f>IF(ISBLANK(Table26[[#This Row],[customerSKU]]),"",_xlfn.XLOOKUP(Table26[[#This Row],[customerSKU]],Table27[customer_SKU],Table27[case_size],"",0,1))</f>
        <v/>
      </c>
      <c r="W2544" s="117" t="str">
        <f t="shared" si="106"/>
        <v/>
      </c>
      <c r="X2544" s="22" t="str">
        <f t="shared" si="107"/>
        <v/>
      </c>
      <c r="Y2544" s="25" t="str">
        <f>IF(Table26[[#This Row],[customerSKU]]="","",_xlfn.XLOOKUP(Table26[[#This Row],[customerSKU]],Table27[customer_SKU],Table27[product_GTIN],"",0,1))</f>
        <v/>
      </c>
      <c r="Z2544" s="25"/>
      <c r="AA2544" s="18" t="str" cm="1">
        <f t="array" ref="AA2544">IF(P2544="", "", _xlfn.XLOOKUP(P2544,#REF!,#REF!,NA,0,-1))</f>
        <v/>
      </c>
      <c r="AB2544" s="22"/>
      <c r="AC2544" s="23" t="str">
        <f>IF(Table26[[#This Row],[customerSKU]]="","",_xlfn.XLOOKUP(Table26[[#This Row],[customerSKU]],customerSKU!G:G,customerSKU!C:C,"",0,1))</f>
        <v/>
      </c>
      <c r="AD2544" s="23" t="str">
        <f>IF($AC2544="","",_xlfn.XLOOKUP($AC2544,'Client Info'!$C$2:$C$2497,'Client Info'!$D$2:$D$2497,"",0,1))</f>
        <v/>
      </c>
      <c r="AE2544" s="23" t="str">
        <f>IF($AC2544="","",_xlfn.XLOOKUP($AC2544,'Client Info'!$C$2:$C$2677,'Client Info'!$E$2:$E$2677,"",))</f>
        <v/>
      </c>
      <c r="AF2544" s="23" t="str">
        <f>IF($AC2544="","",_xlfn.XLOOKUP($AC2544,'Client Info'!$C$2:$C$2677,'Client Info'!$F$2:$F$2677,"",0,1))</f>
        <v/>
      </c>
      <c r="AG2544" s="23" t="str">
        <f>IF(ISBLANK(Table26[[#This Row],[customerSKU]]),"",_xlfn.XLOOKUP(Table26[[#This Row],[customerSKU]],Table27[customer_SKU],Table27[billto],"",0,1))</f>
        <v/>
      </c>
      <c r="AH2544" s="26" t="str">
        <f>_xlfn.XLOOKUP(Table26[[#This Row],[customerSKU]],customerSKU!G:G,customerSKU!K:K,"NA",0,1)</f>
        <v>NA</v>
      </c>
      <c r="AI2544" s="43" t="str">
        <f>_xlfn.XLOOKUP(Table26[[#This Row],[customerSKU]],customerSKU!G:G,customerSKU!O:O,"not found",0,1)</f>
        <v>not found</v>
      </c>
      <c r="AJ2544" s="22" t="e">
        <f>Table26[[#This Row],[unitprice]]*Table26[[#This Row],[quantity_unit]]</f>
        <v>#VALUE!</v>
      </c>
      <c r="AK2544" s="227" t="e" cm="1">
        <f t="array" ref="AK254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4" s="227"/>
    </row>
    <row r="2545" spans="1:38" ht="15.6">
      <c r="A2545" s="42"/>
      <c r="B2545" s="42"/>
      <c r="C2545" s="53"/>
      <c r="E2545" s="20"/>
      <c r="F254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5" s="93"/>
      <c r="J2545" s="90" t="str">
        <f>IF(Table26[[#This Row],[customerSKU]]="","",_xlfn.XLOOKUP(Table26[[#This Row],[customerSKU]],customerSKU!G:G,customerSKU!A:A,"",0,1))</f>
        <v/>
      </c>
      <c r="K2545" s="19"/>
      <c r="L2545" s="49" t="str">
        <f>IF(Table26[[#This Row],[customerSKU]]="","",_xlfn.XLOOKUP(Table26[[#This Row],[customerSKU]],customerSKU!G:G,customerSKU!B:B,"",0,1))</f>
        <v/>
      </c>
      <c r="M2545" s="22"/>
      <c r="N2545" s="15" t="str">
        <f>Table26[[#This Row],[po_number]]&amp;"-"&amp;Table26[[#This Row],[po_line]]</f>
        <v>-</v>
      </c>
      <c r="O2545" s="15"/>
      <c r="P2545" s="50"/>
      <c r="S2545" s="90" t="str">
        <f>IF(Table26[[#This Row],[customerSKU]]="","",_xlfn.XLOOKUP(Table26[[#This Row],[customerSKU]],customerSKU!G:G,customerSKU!N:N,"NOT FOUND",0,1))</f>
        <v/>
      </c>
      <c r="T2545" s="20"/>
      <c r="U2545" s="94"/>
      <c r="V2545" s="22" t="str">
        <f>IF(ISBLANK(Table26[[#This Row],[customerSKU]]),"",_xlfn.XLOOKUP(Table26[[#This Row],[customerSKU]],Table27[customer_SKU],Table27[case_size],"",0,1))</f>
        <v/>
      </c>
      <c r="W2545" s="117" t="str">
        <f t="shared" si="106"/>
        <v/>
      </c>
      <c r="X2545" s="22" t="str">
        <f t="shared" si="107"/>
        <v/>
      </c>
      <c r="Y2545" s="25" t="str">
        <f>IF(Table26[[#This Row],[customerSKU]]="","",_xlfn.XLOOKUP(Table26[[#This Row],[customerSKU]],Table27[customer_SKU],Table27[product_GTIN],"",0,1))</f>
        <v/>
      </c>
      <c r="Z2545" s="25"/>
      <c r="AA2545" s="18" t="str" cm="1">
        <f t="array" ref="AA2545">IF(P2545="", "", _xlfn.XLOOKUP(P2545,#REF!,#REF!,NA,0,-1))</f>
        <v/>
      </c>
      <c r="AB2545" s="22"/>
      <c r="AC2545" s="23" t="str">
        <f>IF(Table26[[#This Row],[customerSKU]]="","",_xlfn.XLOOKUP(Table26[[#This Row],[customerSKU]],customerSKU!G:G,customerSKU!C:C,"",0,1))</f>
        <v/>
      </c>
      <c r="AD2545" s="23" t="str">
        <f>IF($AC2545="","",_xlfn.XLOOKUP($AC2545,'Client Info'!$C$2:$C$2497,'Client Info'!$D$2:$D$2497,"",0,1))</f>
        <v/>
      </c>
      <c r="AE2545" s="23" t="str">
        <f>IF($AC2545="","",_xlfn.XLOOKUP($AC2545,'Client Info'!$C$2:$C$2677,'Client Info'!$E$2:$E$2677,"",))</f>
        <v/>
      </c>
      <c r="AF2545" s="23" t="str">
        <f>IF($AC2545="","",_xlfn.XLOOKUP($AC2545,'Client Info'!$C$2:$C$2677,'Client Info'!$F$2:$F$2677,"",0,1))</f>
        <v/>
      </c>
      <c r="AG2545" s="23" t="str">
        <f>IF(ISBLANK(Table26[[#This Row],[customerSKU]]),"",_xlfn.XLOOKUP(Table26[[#This Row],[customerSKU]],Table27[customer_SKU],Table27[billto],"",0,1))</f>
        <v/>
      </c>
      <c r="AH2545" s="26" t="str">
        <f>_xlfn.XLOOKUP(Table26[[#This Row],[customerSKU]],customerSKU!G:G,customerSKU!K:K,"NA",0,1)</f>
        <v>NA</v>
      </c>
      <c r="AI2545" s="43" t="str">
        <f>_xlfn.XLOOKUP(Table26[[#This Row],[customerSKU]],customerSKU!G:G,customerSKU!O:O,"not found",0,1)</f>
        <v>not found</v>
      </c>
      <c r="AJ2545" s="22" t="e">
        <f>Table26[[#This Row],[unitprice]]*Table26[[#This Row],[quantity_unit]]</f>
        <v>#VALUE!</v>
      </c>
      <c r="AK2545" s="227" t="e" cm="1">
        <f t="array" ref="AK254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5" s="227"/>
    </row>
    <row r="2546" spans="1:38" ht="15.6">
      <c r="A2546" s="42"/>
      <c r="B2546" s="42"/>
      <c r="C2546" s="53"/>
      <c r="E2546" s="20"/>
      <c r="F254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6" s="93"/>
      <c r="J2546" s="90" t="str">
        <f>IF(Table26[[#This Row],[customerSKU]]="","",_xlfn.XLOOKUP(Table26[[#This Row],[customerSKU]],customerSKU!G:G,customerSKU!A:A,"",0,1))</f>
        <v/>
      </c>
      <c r="K2546" s="19"/>
      <c r="L2546" s="49" t="str">
        <f>IF(Table26[[#This Row],[customerSKU]]="","",_xlfn.XLOOKUP(Table26[[#This Row],[customerSKU]],customerSKU!G:G,customerSKU!B:B,"",0,1))</f>
        <v/>
      </c>
      <c r="M2546" s="22"/>
      <c r="N2546" s="15" t="str">
        <f>Table26[[#This Row],[po_number]]&amp;"-"&amp;Table26[[#This Row],[po_line]]</f>
        <v>-</v>
      </c>
      <c r="O2546" s="15"/>
      <c r="P2546" s="50"/>
      <c r="S2546" s="90" t="str">
        <f>IF(Table26[[#This Row],[customerSKU]]="","",_xlfn.XLOOKUP(Table26[[#This Row],[customerSKU]],customerSKU!G:G,customerSKU!N:N,"NOT FOUND",0,1))</f>
        <v/>
      </c>
      <c r="T2546" s="20"/>
      <c r="U2546" s="94"/>
      <c r="V2546" s="22" t="str">
        <f>IF(ISBLANK(Table26[[#This Row],[customerSKU]]),"",_xlfn.XLOOKUP(Table26[[#This Row],[customerSKU]],Table27[customer_SKU],Table27[case_size],"",0,1))</f>
        <v/>
      </c>
      <c r="W2546" s="117" t="str">
        <f t="shared" si="106"/>
        <v/>
      </c>
      <c r="X2546" s="22" t="str">
        <f t="shared" si="107"/>
        <v/>
      </c>
      <c r="Y2546" s="25" t="str">
        <f>IF(Table26[[#This Row],[customerSKU]]="","",_xlfn.XLOOKUP(Table26[[#This Row],[customerSKU]],Table27[customer_SKU],Table27[product_GTIN],"",0,1))</f>
        <v/>
      </c>
      <c r="Z2546" s="25"/>
      <c r="AA2546" s="18" t="str" cm="1">
        <f t="array" ref="AA2546">IF(P2546="", "", _xlfn.XLOOKUP(P2546,#REF!,#REF!,NA,0,-1))</f>
        <v/>
      </c>
      <c r="AB2546" s="22"/>
      <c r="AC2546" s="23" t="str">
        <f>IF(Table26[[#This Row],[customerSKU]]="","",_xlfn.XLOOKUP(Table26[[#This Row],[customerSKU]],customerSKU!G:G,customerSKU!C:C,"",0,1))</f>
        <v/>
      </c>
      <c r="AD2546" s="23" t="str">
        <f>IF($AC2546="","",_xlfn.XLOOKUP($AC2546,'Client Info'!$C$2:$C$2497,'Client Info'!$D$2:$D$2497,"",0,1))</f>
        <v/>
      </c>
      <c r="AE2546" s="23" t="str">
        <f>IF($AC2546="","",_xlfn.XLOOKUP($AC2546,'Client Info'!$C$2:$C$2677,'Client Info'!$E$2:$E$2677,"",))</f>
        <v/>
      </c>
      <c r="AF2546" s="23" t="str">
        <f>IF($AC2546="","",_xlfn.XLOOKUP($AC2546,'Client Info'!$C$2:$C$2677,'Client Info'!$F$2:$F$2677,"",0,1))</f>
        <v/>
      </c>
      <c r="AG2546" s="23" t="str">
        <f>IF(ISBLANK(Table26[[#This Row],[customerSKU]]),"",_xlfn.XLOOKUP(Table26[[#This Row],[customerSKU]],Table27[customer_SKU],Table27[billto],"",0,1))</f>
        <v/>
      </c>
      <c r="AH2546" s="26" t="str">
        <f>_xlfn.XLOOKUP(Table26[[#This Row],[customerSKU]],customerSKU!G:G,customerSKU!K:K,"NA",0,1)</f>
        <v>NA</v>
      </c>
      <c r="AI2546" s="43" t="str">
        <f>_xlfn.XLOOKUP(Table26[[#This Row],[customerSKU]],customerSKU!G:G,customerSKU!O:O,"not found",0,1)</f>
        <v>not found</v>
      </c>
      <c r="AJ2546" s="22" t="e">
        <f>Table26[[#This Row],[unitprice]]*Table26[[#This Row],[quantity_unit]]</f>
        <v>#VALUE!</v>
      </c>
      <c r="AK2546" s="227" t="e" cm="1">
        <f t="array" ref="AK254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6" s="227"/>
    </row>
    <row r="2547" spans="1:38" ht="15.6">
      <c r="A2547" s="42"/>
      <c r="B2547" s="42"/>
      <c r="C2547" s="53"/>
      <c r="E2547" s="20"/>
      <c r="F254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7" s="93"/>
      <c r="J2547" s="90" t="str">
        <f>IF(Table26[[#This Row],[customerSKU]]="","",_xlfn.XLOOKUP(Table26[[#This Row],[customerSKU]],customerSKU!G:G,customerSKU!A:A,"",0,1))</f>
        <v/>
      </c>
      <c r="K2547" s="19"/>
      <c r="L2547" s="49" t="str">
        <f>IF(Table26[[#This Row],[customerSKU]]="","",_xlfn.XLOOKUP(Table26[[#This Row],[customerSKU]],customerSKU!G:G,customerSKU!B:B,"",0,1))</f>
        <v/>
      </c>
      <c r="M2547" s="22"/>
      <c r="N2547" s="15" t="str">
        <f>Table26[[#This Row],[po_number]]&amp;"-"&amp;Table26[[#This Row],[po_line]]</f>
        <v>-</v>
      </c>
      <c r="O2547" s="15"/>
      <c r="P2547" s="50"/>
      <c r="S2547" s="90" t="str">
        <f>IF(Table26[[#This Row],[customerSKU]]="","",_xlfn.XLOOKUP(Table26[[#This Row],[customerSKU]],customerSKU!G:G,customerSKU!N:N,"NOT FOUND",0,1))</f>
        <v/>
      </c>
      <c r="T2547" s="20"/>
      <c r="U2547" s="94"/>
      <c r="V2547" s="22" t="str">
        <f>IF(ISBLANK(Table26[[#This Row],[customerSKU]]),"",_xlfn.XLOOKUP(Table26[[#This Row],[customerSKU]],Table27[customer_SKU],Table27[case_size],"",0,1))</f>
        <v/>
      </c>
      <c r="W2547" s="117" t="str">
        <f t="shared" ref="W2547:W2602" si="108">IFERROR(U2547/V2547, "")</f>
        <v/>
      </c>
      <c r="X2547" s="22" t="str">
        <f t="shared" si="107"/>
        <v/>
      </c>
      <c r="Y2547" s="25" t="str">
        <f>IF(Table26[[#This Row],[customerSKU]]="","",_xlfn.XLOOKUP(Table26[[#This Row],[customerSKU]],Table27[customer_SKU],Table27[product_GTIN],"",0,1))</f>
        <v/>
      </c>
      <c r="Z2547" s="25"/>
      <c r="AA2547" s="18" t="str" cm="1">
        <f t="array" ref="AA2547">IF(P2547="", "", _xlfn.XLOOKUP(P2547,#REF!,#REF!,NA,0,-1))</f>
        <v/>
      </c>
      <c r="AB2547" s="22"/>
      <c r="AC2547" s="23" t="str">
        <f>IF(Table26[[#This Row],[customerSKU]]="","",_xlfn.XLOOKUP(Table26[[#This Row],[customerSKU]],customerSKU!G:G,customerSKU!C:C,"",0,1))</f>
        <v/>
      </c>
      <c r="AD2547" s="23" t="str">
        <f>IF($AC2547="","",_xlfn.XLOOKUP($AC2547,'Client Info'!$C$2:$C$2497,'Client Info'!$D$2:$D$2497,"",0,1))</f>
        <v/>
      </c>
      <c r="AE2547" s="23" t="str">
        <f>IF($AC2547="","",_xlfn.XLOOKUP($AC2547,'Client Info'!$C$2:$C$2677,'Client Info'!$E$2:$E$2677,"",))</f>
        <v/>
      </c>
      <c r="AF2547" s="23" t="str">
        <f>IF($AC2547="","",_xlfn.XLOOKUP($AC2547,'Client Info'!$C$2:$C$2677,'Client Info'!$F$2:$F$2677,"",0,1))</f>
        <v/>
      </c>
      <c r="AG2547" s="23" t="str">
        <f>IF(ISBLANK(Table26[[#This Row],[customerSKU]]),"",_xlfn.XLOOKUP(Table26[[#This Row],[customerSKU]],Table27[customer_SKU],Table27[billto],"",0,1))</f>
        <v/>
      </c>
      <c r="AH2547" s="26" t="str">
        <f>_xlfn.XLOOKUP(Table26[[#This Row],[customerSKU]],customerSKU!G:G,customerSKU!K:K,"NA",0,1)</f>
        <v>NA</v>
      </c>
      <c r="AI2547" s="43" t="str">
        <f>_xlfn.XLOOKUP(Table26[[#This Row],[customerSKU]],customerSKU!G:G,customerSKU!O:O,"not found",0,1)</f>
        <v>not found</v>
      </c>
      <c r="AJ2547" s="22" t="e">
        <f>Table26[[#This Row],[unitprice]]*Table26[[#This Row],[quantity_unit]]</f>
        <v>#VALUE!</v>
      </c>
      <c r="AK2547" s="227" t="e" cm="1">
        <f t="array" ref="AK254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7" s="227"/>
    </row>
    <row r="2548" spans="1:38" ht="15.6">
      <c r="A2548" s="42"/>
      <c r="B2548" s="42"/>
      <c r="C2548" s="53"/>
      <c r="E2548" s="20"/>
      <c r="F254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8" s="93"/>
      <c r="J2548" s="90" t="str">
        <f>IF(Table26[[#This Row],[customerSKU]]="","",_xlfn.XLOOKUP(Table26[[#This Row],[customerSKU]],customerSKU!G:G,customerSKU!A:A,"",0,1))</f>
        <v/>
      </c>
      <c r="K2548" s="19"/>
      <c r="L2548" s="49" t="str">
        <f>IF(Table26[[#This Row],[customerSKU]]="","",_xlfn.XLOOKUP(Table26[[#This Row],[customerSKU]],customerSKU!G:G,customerSKU!B:B,"",0,1))</f>
        <v/>
      </c>
      <c r="M2548" s="22"/>
      <c r="N2548" s="15" t="str">
        <f>Table26[[#This Row],[po_number]]&amp;"-"&amp;Table26[[#This Row],[po_line]]</f>
        <v>-</v>
      </c>
      <c r="O2548" s="15"/>
      <c r="P2548" s="50"/>
      <c r="S2548" s="90" t="str">
        <f>IF(Table26[[#This Row],[customerSKU]]="","",_xlfn.XLOOKUP(Table26[[#This Row],[customerSKU]],customerSKU!G:G,customerSKU!N:N,"NOT FOUND",0,1))</f>
        <v/>
      </c>
      <c r="T2548" s="20"/>
      <c r="U2548" s="94"/>
      <c r="V2548" s="22" t="str">
        <f>IF(ISBLANK(Table26[[#This Row],[customerSKU]]),"",_xlfn.XLOOKUP(Table26[[#This Row],[customerSKU]],Table27[customer_SKU],Table27[case_size],"",0,1))</f>
        <v/>
      </c>
      <c r="W2548" s="117" t="str">
        <f t="shared" si="108"/>
        <v/>
      </c>
      <c r="X2548" s="22" t="str">
        <f t="shared" si="107"/>
        <v/>
      </c>
      <c r="Y2548" s="25" t="str">
        <f>IF(Table26[[#This Row],[customerSKU]]="","",_xlfn.XLOOKUP(Table26[[#This Row],[customerSKU]],Table27[customer_SKU],Table27[product_GTIN],"",0,1))</f>
        <v/>
      </c>
      <c r="Z2548" s="25"/>
      <c r="AA2548" s="18" t="str" cm="1">
        <f t="array" ref="AA2548">IF(P2548="", "", _xlfn.XLOOKUP(P2548,#REF!,#REF!,NA,0,-1))</f>
        <v/>
      </c>
      <c r="AB2548" s="22"/>
      <c r="AC2548" s="23" t="str">
        <f>IF(Table26[[#This Row],[customerSKU]]="","",_xlfn.XLOOKUP(Table26[[#This Row],[customerSKU]],customerSKU!G:G,customerSKU!C:C,"",0,1))</f>
        <v/>
      </c>
      <c r="AD2548" s="23" t="str">
        <f>IF($AC2548="","",_xlfn.XLOOKUP($AC2548,'Client Info'!$C$2:$C$2497,'Client Info'!$D$2:$D$2497,"",0,1))</f>
        <v/>
      </c>
      <c r="AE2548" s="23" t="str">
        <f>IF($AC2548="","",_xlfn.XLOOKUP($AC2548,'Client Info'!$C$2:$C$2677,'Client Info'!$E$2:$E$2677,"",))</f>
        <v/>
      </c>
      <c r="AF2548" s="23" t="str">
        <f>IF($AC2548="","",_xlfn.XLOOKUP($AC2548,'Client Info'!$C$2:$C$2677,'Client Info'!$F$2:$F$2677,"",0,1))</f>
        <v/>
      </c>
      <c r="AG2548" s="23" t="str">
        <f>IF(ISBLANK(Table26[[#This Row],[customerSKU]]),"",_xlfn.XLOOKUP(Table26[[#This Row],[customerSKU]],Table27[customer_SKU],Table27[billto],"",0,1))</f>
        <v/>
      </c>
      <c r="AH2548" s="26" t="str">
        <f>_xlfn.XLOOKUP(Table26[[#This Row],[customerSKU]],customerSKU!G:G,customerSKU!K:K,"NA",0,1)</f>
        <v>NA</v>
      </c>
      <c r="AI2548" s="43" t="str">
        <f>_xlfn.XLOOKUP(Table26[[#This Row],[customerSKU]],customerSKU!G:G,customerSKU!O:O,"not found",0,1)</f>
        <v>not found</v>
      </c>
      <c r="AJ2548" s="22" t="e">
        <f>Table26[[#This Row],[unitprice]]*Table26[[#This Row],[quantity_unit]]</f>
        <v>#VALUE!</v>
      </c>
      <c r="AK2548" s="227" t="e" cm="1">
        <f t="array" ref="AK254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8" s="227"/>
    </row>
    <row r="2549" spans="1:38" ht="15.6">
      <c r="A2549" s="42"/>
      <c r="B2549" s="42"/>
      <c r="C2549" s="53"/>
      <c r="E2549" s="20"/>
      <c r="F254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49" s="93"/>
      <c r="J2549" s="90" t="str">
        <f>IF(Table26[[#This Row],[customerSKU]]="","",_xlfn.XLOOKUP(Table26[[#This Row],[customerSKU]],customerSKU!G:G,customerSKU!A:A,"",0,1))</f>
        <v/>
      </c>
      <c r="K2549" s="19"/>
      <c r="L2549" s="49" t="str">
        <f>IF(Table26[[#This Row],[customerSKU]]="","",_xlfn.XLOOKUP(Table26[[#This Row],[customerSKU]],customerSKU!G:G,customerSKU!B:B,"",0,1))</f>
        <v/>
      </c>
      <c r="M2549" s="22"/>
      <c r="N2549" s="15" t="str">
        <f>Table26[[#This Row],[po_number]]&amp;"-"&amp;Table26[[#This Row],[po_line]]</f>
        <v>-</v>
      </c>
      <c r="O2549" s="15"/>
      <c r="P2549" s="50"/>
      <c r="S2549" s="90" t="str">
        <f>IF(Table26[[#This Row],[customerSKU]]="","",_xlfn.XLOOKUP(Table26[[#This Row],[customerSKU]],customerSKU!G:G,customerSKU!N:N,"NOT FOUND",0,1))</f>
        <v/>
      </c>
      <c r="T2549" s="20"/>
      <c r="U2549" s="94"/>
      <c r="V2549" s="22" t="str">
        <f>IF(ISBLANK(Table26[[#This Row],[customerSKU]]),"",_xlfn.XLOOKUP(Table26[[#This Row],[customerSKU]],Table27[customer_SKU],Table27[case_size],"",0,1))</f>
        <v/>
      </c>
      <c r="W2549" s="117" t="str">
        <f t="shared" si="108"/>
        <v/>
      </c>
      <c r="X2549" s="22" t="str">
        <f t="shared" si="107"/>
        <v/>
      </c>
      <c r="Y2549" s="25" t="str">
        <f>IF(Table26[[#This Row],[customerSKU]]="","",_xlfn.XLOOKUP(Table26[[#This Row],[customerSKU]],Table27[customer_SKU],Table27[product_GTIN],"",0,1))</f>
        <v/>
      </c>
      <c r="Z2549" s="25"/>
      <c r="AA2549" s="18" t="str" cm="1">
        <f t="array" ref="AA2549">IF(P2549="", "", _xlfn.XLOOKUP(P2549,#REF!,#REF!,NA,0,-1))</f>
        <v/>
      </c>
      <c r="AB2549" s="22"/>
      <c r="AC2549" s="23" t="str">
        <f>IF(Table26[[#This Row],[customerSKU]]="","",_xlfn.XLOOKUP(Table26[[#This Row],[customerSKU]],customerSKU!G:G,customerSKU!C:C,"",0,1))</f>
        <v/>
      </c>
      <c r="AD2549" s="23" t="str">
        <f>IF($AC2549="","",_xlfn.XLOOKUP($AC2549,'Client Info'!$C$2:$C$2497,'Client Info'!$D$2:$D$2497,"",0,1))</f>
        <v/>
      </c>
      <c r="AE2549" s="23" t="str">
        <f>IF($AC2549="","",_xlfn.XLOOKUP($AC2549,'Client Info'!$C$2:$C$2677,'Client Info'!$E$2:$E$2677,"",))</f>
        <v/>
      </c>
      <c r="AF2549" s="23" t="str">
        <f>IF($AC2549="","",_xlfn.XLOOKUP($AC2549,'Client Info'!$C$2:$C$2677,'Client Info'!$F$2:$F$2677,"",0,1))</f>
        <v/>
      </c>
      <c r="AG2549" s="23" t="str">
        <f>IF(ISBLANK(Table26[[#This Row],[customerSKU]]),"",_xlfn.XLOOKUP(Table26[[#This Row],[customerSKU]],Table27[customer_SKU],Table27[billto],"",0,1))</f>
        <v/>
      </c>
      <c r="AH2549" s="26" t="str">
        <f>_xlfn.XLOOKUP(Table26[[#This Row],[customerSKU]],customerSKU!G:G,customerSKU!K:K,"NA",0,1)</f>
        <v>NA</v>
      </c>
      <c r="AI2549" s="43" t="str">
        <f>_xlfn.XLOOKUP(Table26[[#This Row],[customerSKU]],customerSKU!G:G,customerSKU!O:O,"not found",0,1)</f>
        <v>not found</v>
      </c>
      <c r="AJ2549" s="22" t="e">
        <f>Table26[[#This Row],[unitprice]]*Table26[[#This Row],[quantity_unit]]</f>
        <v>#VALUE!</v>
      </c>
      <c r="AK2549" s="227" t="e" cm="1">
        <f t="array" ref="AK254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49" s="227"/>
    </row>
    <row r="2550" spans="1:38" ht="15.6">
      <c r="A2550" s="42"/>
      <c r="B2550" s="42"/>
      <c r="C2550" s="53"/>
      <c r="E2550" s="20"/>
      <c r="F255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0" s="93"/>
      <c r="J2550" s="90" t="str">
        <f>IF(Table26[[#This Row],[customerSKU]]="","",_xlfn.XLOOKUP(Table26[[#This Row],[customerSKU]],customerSKU!G:G,customerSKU!A:A,"",0,1))</f>
        <v/>
      </c>
      <c r="K2550" s="19"/>
      <c r="L2550" s="49" t="str">
        <f>IF(Table26[[#This Row],[customerSKU]]="","",_xlfn.XLOOKUP(Table26[[#This Row],[customerSKU]],customerSKU!G:G,customerSKU!B:B,"",0,1))</f>
        <v/>
      </c>
      <c r="M2550" s="22"/>
      <c r="N2550" s="15" t="str">
        <f>Table26[[#This Row],[po_number]]&amp;"-"&amp;Table26[[#This Row],[po_line]]</f>
        <v>-</v>
      </c>
      <c r="O2550" s="15"/>
      <c r="P2550" s="50"/>
      <c r="S2550" s="90" t="str">
        <f>IF(Table26[[#This Row],[customerSKU]]="","",_xlfn.XLOOKUP(Table26[[#This Row],[customerSKU]],customerSKU!G:G,customerSKU!N:N,"NOT FOUND",0,1))</f>
        <v/>
      </c>
      <c r="T2550" s="20"/>
      <c r="U2550" s="94"/>
      <c r="V2550" s="22" t="str">
        <f>IF(ISBLANK(Table26[[#This Row],[customerSKU]]),"",_xlfn.XLOOKUP(Table26[[#This Row],[customerSKU]],Table27[customer_SKU],Table27[case_size],"",0,1))</f>
        <v/>
      </c>
      <c r="W2550" s="117" t="str">
        <f t="shared" si="108"/>
        <v/>
      </c>
      <c r="X2550" s="22" t="str">
        <f t="shared" si="107"/>
        <v/>
      </c>
      <c r="Y2550" s="25" t="str">
        <f>IF(Table26[[#This Row],[customerSKU]]="","",_xlfn.XLOOKUP(Table26[[#This Row],[customerSKU]],Table27[customer_SKU],Table27[product_GTIN],"",0,1))</f>
        <v/>
      </c>
      <c r="Z2550" s="25"/>
      <c r="AA2550" s="18" t="str" cm="1">
        <f t="array" ref="AA2550">IF(P2550="", "", _xlfn.XLOOKUP(P2550,#REF!,#REF!,NA,0,-1))</f>
        <v/>
      </c>
      <c r="AB2550" s="22"/>
      <c r="AC2550" s="23" t="str">
        <f>IF(Table26[[#This Row],[customerSKU]]="","",_xlfn.XLOOKUP(Table26[[#This Row],[customerSKU]],customerSKU!G:G,customerSKU!C:C,"",0,1))</f>
        <v/>
      </c>
      <c r="AD2550" s="23" t="str">
        <f>IF($AC2550="","",_xlfn.XLOOKUP($AC2550,'Client Info'!$C$2:$C$2497,'Client Info'!$D$2:$D$2497,"",0,1))</f>
        <v/>
      </c>
      <c r="AE2550" s="23" t="str">
        <f>IF($AC2550="","",_xlfn.XLOOKUP($AC2550,'Client Info'!$C$2:$C$2677,'Client Info'!$E$2:$E$2677,"",))</f>
        <v/>
      </c>
      <c r="AF2550" s="23" t="str">
        <f>IF($AC2550="","",_xlfn.XLOOKUP($AC2550,'Client Info'!$C$2:$C$2677,'Client Info'!$F$2:$F$2677,"",0,1))</f>
        <v/>
      </c>
      <c r="AG2550" s="23" t="str">
        <f>IF(ISBLANK(Table26[[#This Row],[customerSKU]]),"",_xlfn.XLOOKUP(Table26[[#This Row],[customerSKU]],Table27[customer_SKU],Table27[billto],"",0,1))</f>
        <v/>
      </c>
      <c r="AH2550" s="26" t="str">
        <f>_xlfn.XLOOKUP(Table26[[#This Row],[customerSKU]],customerSKU!G:G,customerSKU!K:K,"NA",0,1)</f>
        <v>NA</v>
      </c>
      <c r="AI2550" s="43" t="str">
        <f>_xlfn.XLOOKUP(Table26[[#This Row],[customerSKU]],customerSKU!G:G,customerSKU!O:O,"not found",0,1)</f>
        <v>not found</v>
      </c>
      <c r="AJ2550" s="22" t="e">
        <f>Table26[[#This Row],[unitprice]]*Table26[[#This Row],[quantity_unit]]</f>
        <v>#VALUE!</v>
      </c>
      <c r="AK2550" s="227" t="e" cm="1">
        <f t="array" ref="AK255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0" s="227"/>
    </row>
    <row r="2551" spans="1:38" ht="15.6">
      <c r="A2551" s="42"/>
      <c r="B2551" s="42"/>
      <c r="C2551" s="53"/>
      <c r="E2551" s="20"/>
      <c r="F255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1" s="93"/>
      <c r="J2551" s="90" t="str">
        <f>IF(Table26[[#This Row],[customerSKU]]="","",_xlfn.XLOOKUP(Table26[[#This Row],[customerSKU]],customerSKU!G:G,customerSKU!A:A,"",0,1))</f>
        <v/>
      </c>
      <c r="K2551" s="19"/>
      <c r="L2551" s="49" t="str">
        <f>IF(Table26[[#This Row],[customerSKU]]="","",_xlfn.XLOOKUP(Table26[[#This Row],[customerSKU]],customerSKU!G:G,customerSKU!B:B,"",0,1))</f>
        <v/>
      </c>
      <c r="M2551" s="22"/>
      <c r="N2551" s="15" t="str">
        <f>Table26[[#This Row],[po_number]]&amp;"-"&amp;Table26[[#This Row],[po_line]]</f>
        <v>-</v>
      </c>
      <c r="O2551" s="15"/>
      <c r="P2551" s="50"/>
      <c r="S2551" s="90" t="str">
        <f>IF(Table26[[#This Row],[customerSKU]]="","",_xlfn.XLOOKUP(Table26[[#This Row],[customerSKU]],customerSKU!G:G,customerSKU!N:N,"NOT FOUND",0,1))</f>
        <v/>
      </c>
      <c r="T2551" s="20"/>
      <c r="U2551" s="94"/>
      <c r="V2551" s="22" t="str">
        <f>IF(ISBLANK(Table26[[#This Row],[customerSKU]]),"",_xlfn.XLOOKUP(Table26[[#This Row],[customerSKU]],Table27[customer_SKU],Table27[case_size],"",0,1))</f>
        <v/>
      </c>
      <c r="W2551" s="117" t="str">
        <f t="shared" si="108"/>
        <v/>
      </c>
      <c r="X2551" s="22" t="str">
        <f t="shared" si="107"/>
        <v/>
      </c>
      <c r="Y2551" s="25" t="str">
        <f>IF(Table26[[#This Row],[customerSKU]]="","",_xlfn.XLOOKUP(Table26[[#This Row],[customerSKU]],Table27[customer_SKU],Table27[product_GTIN],"",0,1))</f>
        <v/>
      </c>
      <c r="Z2551" s="25"/>
      <c r="AA2551" s="18" t="str" cm="1">
        <f t="array" ref="AA2551">IF(P2551="", "", _xlfn.XLOOKUP(P2551,#REF!,#REF!,NA,0,-1))</f>
        <v/>
      </c>
      <c r="AB2551" s="22"/>
      <c r="AC2551" s="23" t="str">
        <f>IF(Table26[[#This Row],[customerSKU]]="","",_xlfn.XLOOKUP(Table26[[#This Row],[customerSKU]],customerSKU!G:G,customerSKU!C:C,"",0,1))</f>
        <v/>
      </c>
      <c r="AD2551" s="23" t="str">
        <f>IF($AC2551="","",_xlfn.XLOOKUP($AC2551,'Client Info'!$C$2:$C$2497,'Client Info'!$D$2:$D$2497,"",0,1))</f>
        <v/>
      </c>
      <c r="AE2551" s="23" t="str">
        <f>IF($AC2551="","",_xlfn.XLOOKUP($AC2551,'Client Info'!$C$2:$C$2677,'Client Info'!$E$2:$E$2677,"",))</f>
        <v/>
      </c>
      <c r="AF2551" s="23" t="str">
        <f>IF($AC2551="","",_xlfn.XLOOKUP($AC2551,'Client Info'!$C$2:$C$2677,'Client Info'!$F$2:$F$2677,"",0,1))</f>
        <v/>
      </c>
      <c r="AG2551" s="23" t="str">
        <f>IF(ISBLANK(Table26[[#This Row],[customerSKU]]),"",_xlfn.XLOOKUP(Table26[[#This Row],[customerSKU]],Table27[customer_SKU],Table27[billto],"",0,1))</f>
        <v/>
      </c>
      <c r="AH2551" s="26" t="str">
        <f>_xlfn.XLOOKUP(Table26[[#This Row],[customerSKU]],customerSKU!G:G,customerSKU!K:K,"NA",0,1)</f>
        <v>NA</v>
      </c>
      <c r="AI2551" s="43" t="str">
        <f>_xlfn.XLOOKUP(Table26[[#This Row],[customerSKU]],customerSKU!G:G,customerSKU!O:O,"not found",0,1)</f>
        <v>not found</v>
      </c>
      <c r="AJ2551" s="22" t="e">
        <f>Table26[[#This Row],[unitprice]]*Table26[[#This Row],[quantity_unit]]</f>
        <v>#VALUE!</v>
      </c>
      <c r="AK2551" s="227" t="e" cm="1">
        <f t="array" ref="AK255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1" s="227"/>
    </row>
    <row r="2552" spans="1:38" ht="15.6">
      <c r="A2552" s="42"/>
      <c r="B2552" s="42"/>
      <c r="C2552" s="53"/>
      <c r="E2552" s="20"/>
      <c r="F255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2" s="93"/>
      <c r="J2552" s="90" t="str">
        <f>IF(Table26[[#This Row],[customerSKU]]="","",_xlfn.XLOOKUP(Table26[[#This Row],[customerSKU]],customerSKU!G:G,customerSKU!A:A,"",0,1))</f>
        <v/>
      </c>
      <c r="K2552" s="19"/>
      <c r="L2552" s="49" t="str">
        <f>IF(Table26[[#This Row],[customerSKU]]="","",_xlfn.XLOOKUP(Table26[[#This Row],[customerSKU]],customerSKU!G:G,customerSKU!B:B,"",0,1))</f>
        <v/>
      </c>
      <c r="M2552" s="22"/>
      <c r="N2552" s="15" t="str">
        <f>Table26[[#This Row],[po_number]]&amp;"-"&amp;Table26[[#This Row],[po_line]]</f>
        <v>-</v>
      </c>
      <c r="O2552" s="15"/>
      <c r="P2552" s="50"/>
      <c r="S2552" s="90" t="str">
        <f>IF(Table26[[#This Row],[customerSKU]]="","",_xlfn.XLOOKUP(Table26[[#This Row],[customerSKU]],customerSKU!G:G,customerSKU!N:N,"NOT FOUND",0,1))</f>
        <v/>
      </c>
      <c r="T2552" s="20"/>
      <c r="U2552" s="94"/>
      <c r="V2552" s="22" t="str">
        <f>IF(ISBLANK(Table26[[#This Row],[customerSKU]]),"",_xlfn.XLOOKUP(Table26[[#This Row],[customerSKU]],Table27[customer_SKU],Table27[case_size],"",0,1))</f>
        <v/>
      </c>
      <c r="W2552" s="117" t="str">
        <f t="shared" si="108"/>
        <v/>
      </c>
      <c r="X2552" s="22" t="str">
        <f t="shared" si="107"/>
        <v/>
      </c>
      <c r="Y2552" s="25" t="str">
        <f>IF(Table26[[#This Row],[customerSKU]]="","",_xlfn.XLOOKUP(Table26[[#This Row],[customerSKU]],Table27[customer_SKU],Table27[product_GTIN],"",0,1))</f>
        <v/>
      </c>
      <c r="Z2552" s="25"/>
      <c r="AA2552" s="18" t="str" cm="1">
        <f t="array" ref="AA2552">IF(P2552="", "", _xlfn.XLOOKUP(P2552,#REF!,#REF!,NA,0,-1))</f>
        <v/>
      </c>
      <c r="AB2552" s="22"/>
      <c r="AC2552" s="23" t="str">
        <f>IF(Table26[[#This Row],[customerSKU]]="","",_xlfn.XLOOKUP(Table26[[#This Row],[customerSKU]],customerSKU!G:G,customerSKU!C:C,"",0,1))</f>
        <v/>
      </c>
      <c r="AD2552" s="23" t="str">
        <f>IF($AC2552="","",_xlfn.XLOOKUP($AC2552,'Client Info'!$C$2:$C$2497,'Client Info'!$D$2:$D$2497,"",0,1))</f>
        <v/>
      </c>
      <c r="AE2552" s="23" t="str">
        <f>IF($AC2552="","",_xlfn.XLOOKUP($AC2552,'Client Info'!$C$2:$C$2677,'Client Info'!$E$2:$E$2677,"",))</f>
        <v/>
      </c>
      <c r="AF2552" s="23" t="str">
        <f>IF($AC2552="","",_xlfn.XLOOKUP($AC2552,'Client Info'!$C$2:$C$2677,'Client Info'!$F$2:$F$2677,"",0,1))</f>
        <v/>
      </c>
      <c r="AG2552" s="23" t="str">
        <f>IF(ISBLANK(Table26[[#This Row],[customerSKU]]),"",_xlfn.XLOOKUP(Table26[[#This Row],[customerSKU]],Table27[customer_SKU],Table27[billto],"",0,1))</f>
        <v/>
      </c>
      <c r="AH2552" s="26" t="str">
        <f>_xlfn.XLOOKUP(Table26[[#This Row],[customerSKU]],customerSKU!G:G,customerSKU!K:K,"NA",0,1)</f>
        <v>NA</v>
      </c>
      <c r="AI2552" s="43" t="str">
        <f>_xlfn.XLOOKUP(Table26[[#This Row],[customerSKU]],customerSKU!G:G,customerSKU!O:O,"not found",0,1)</f>
        <v>not found</v>
      </c>
      <c r="AJ2552" s="22" t="e">
        <f>Table26[[#This Row],[unitprice]]*Table26[[#This Row],[quantity_unit]]</f>
        <v>#VALUE!</v>
      </c>
      <c r="AK2552" s="227" t="e" cm="1">
        <f t="array" ref="AK255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2" s="227"/>
    </row>
    <row r="2553" spans="1:38" ht="15.6">
      <c r="A2553" s="42"/>
      <c r="B2553" s="42"/>
      <c r="C2553" s="53"/>
      <c r="E2553" s="20"/>
      <c r="F255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3" s="93"/>
      <c r="J2553" s="90" t="str">
        <f>IF(Table26[[#This Row],[customerSKU]]="","",_xlfn.XLOOKUP(Table26[[#This Row],[customerSKU]],customerSKU!G:G,customerSKU!A:A,"",0,1))</f>
        <v/>
      </c>
      <c r="K2553" s="19"/>
      <c r="L2553" s="49" t="str">
        <f>IF(Table26[[#This Row],[customerSKU]]="","",_xlfn.XLOOKUP(Table26[[#This Row],[customerSKU]],customerSKU!G:G,customerSKU!B:B,"",0,1))</f>
        <v/>
      </c>
      <c r="M2553" s="22"/>
      <c r="N2553" s="15" t="str">
        <f>Table26[[#This Row],[po_number]]&amp;"-"&amp;Table26[[#This Row],[po_line]]</f>
        <v>-</v>
      </c>
      <c r="O2553" s="15"/>
      <c r="P2553" s="50"/>
      <c r="S2553" s="90" t="str">
        <f>IF(Table26[[#This Row],[customerSKU]]="","",_xlfn.XLOOKUP(Table26[[#This Row],[customerSKU]],customerSKU!G:G,customerSKU!N:N,"NOT FOUND",0,1))</f>
        <v/>
      </c>
      <c r="T2553" s="20"/>
      <c r="U2553" s="94"/>
      <c r="V2553" s="22" t="str">
        <f>IF(ISBLANK(Table26[[#This Row],[customerSKU]]),"",_xlfn.XLOOKUP(Table26[[#This Row],[customerSKU]],Table27[customer_SKU],Table27[case_size],"",0,1))</f>
        <v/>
      </c>
      <c r="W2553" s="117" t="str">
        <f t="shared" si="108"/>
        <v/>
      </c>
      <c r="X2553" s="22" t="str">
        <f t="shared" si="107"/>
        <v/>
      </c>
      <c r="Y2553" s="25" t="str">
        <f>IF(Table26[[#This Row],[customerSKU]]="","",_xlfn.XLOOKUP(Table26[[#This Row],[customerSKU]],Table27[customer_SKU],Table27[product_GTIN],"",0,1))</f>
        <v/>
      </c>
      <c r="Z2553" s="25"/>
      <c r="AA2553" s="18" t="str" cm="1">
        <f t="array" ref="AA2553">IF(P2553="", "", _xlfn.XLOOKUP(P2553,#REF!,#REF!,NA,0,-1))</f>
        <v/>
      </c>
      <c r="AB2553" s="22"/>
      <c r="AC2553" s="23" t="str">
        <f>IF(Table26[[#This Row],[customerSKU]]="","",_xlfn.XLOOKUP(Table26[[#This Row],[customerSKU]],customerSKU!G:G,customerSKU!C:C,"",0,1))</f>
        <v/>
      </c>
      <c r="AD2553" s="23" t="str">
        <f>IF($AC2553="","",_xlfn.XLOOKUP($AC2553,'Client Info'!$C$2:$C$2497,'Client Info'!$D$2:$D$2497,"",0,1))</f>
        <v/>
      </c>
      <c r="AE2553" s="23" t="str">
        <f>IF($AC2553="","",_xlfn.XLOOKUP($AC2553,'Client Info'!$C$2:$C$2677,'Client Info'!$E$2:$E$2677,"",))</f>
        <v/>
      </c>
      <c r="AF2553" s="23" t="str">
        <f>IF($AC2553="","",_xlfn.XLOOKUP($AC2553,'Client Info'!$C$2:$C$2677,'Client Info'!$F$2:$F$2677,"",0,1))</f>
        <v/>
      </c>
      <c r="AG2553" s="23" t="str">
        <f>IF(ISBLANK(Table26[[#This Row],[customerSKU]]),"",_xlfn.XLOOKUP(Table26[[#This Row],[customerSKU]],Table27[customer_SKU],Table27[billto],"",0,1))</f>
        <v/>
      </c>
      <c r="AH2553" s="26" t="str">
        <f>_xlfn.XLOOKUP(Table26[[#This Row],[customerSKU]],customerSKU!G:G,customerSKU!K:K,"NA",0,1)</f>
        <v>NA</v>
      </c>
      <c r="AI2553" s="43" t="str">
        <f>_xlfn.XLOOKUP(Table26[[#This Row],[customerSKU]],customerSKU!G:G,customerSKU!O:O,"not found",0,1)</f>
        <v>not found</v>
      </c>
      <c r="AJ2553" s="22" t="e">
        <f>Table26[[#This Row],[unitprice]]*Table26[[#This Row],[quantity_unit]]</f>
        <v>#VALUE!</v>
      </c>
      <c r="AK2553" s="227" t="e" cm="1">
        <f t="array" ref="AK255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3" s="227"/>
    </row>
    <row r="2554" spans="1:38" ht="15.6">
      <c r="A2554" s="42"/>
      <c r="B2554" s="42"/>
      <c r="C2554" s="53"/>
      <c r="E2554" s="20"/>
      <c r="F255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4" s="93"/>
      <c r="J2554" s="90" t="str">
        <f>IF(Table26[[#This Row],[customerSKU]]="","",_xlfn.XLOOKUP(Table26[[#This Row],[customerSKU]],customerSKU!G:G,customerSKU!A:A,"",0,1))</f>
        <v/>
      </c>
      <c r="K2554" s="19"/>
      <c r="L2554" s="49" t="str">
        <f>IF(Table26[[#This Row],[customerSKU]]="","",_xlfn.XLOOKUP(Table26[[#This Row],[customerSKU]],customerSKU!G:G,customerSKU!B:B,"",0,1))</f>
        <v/>
      </c>
      <c r="M2554" s="22"/>
      <c r="N2554" s="15" t="str">
        <f>Table26[[#This Row],[po_number]]&amp;"-"&amp;Table26[[#This Row],[po_line]]</f>
        <v>-</v>
      </c>
      <c r="O2554" s="15"/>
      <c r="P2554" s="50"/>
      <c r="S2554" s="90" t="str">
        <f>IF(Table26[[#This Row],[customerSKU]]="","",_xlfn.XLOOKUP(Table26[[#This Row],[customerSKU]],customerSKU!G:G,customerSKU!N:N,"NOT FOUND",0,1))</f>
        <v/>
      </c>
      <c r="T2554" s="20"/>
      <c r="U2554" s="94"/>
      <c r="V2554" s="22" t="str">
        <f>IF(ISBLANK(Table26[[#This Row],[customerSKU]]),"",_xlfn.XLOOKUP(Table26[[#This Row],[customerSKU]],Table27[customer_SKU],Table27[case_size],"",0,1))</f>
        <v/>
      </c>
      <c r="W2554" s="117" t="str">
        <f t="shared" si="108"/>
        <v/>
      </c>
      <c r="X2554" s="22" t="str">
        <f t="shared" si="107"/>
        <v/>
      </c>
      <c r="Y2554" s="25" t="str">
        <f>IF(Table26[[#This Row],[customerSKU]]="","",_xlfn.XLOOKUP(Table26[[#This Row],[customerSKU]],Table27[customer_SKU],Table27[product_GTIN],"",0,1))</f>
        <v/>
      </c>
      <c r="Z2554" s="25"/>
      <c r="AA2554" s="18" t="str" cm="1">
        <f t="array" ref="AA2554">IF(P2554="", "", _xlfn.XLOOKUP(P2554,#REF!,#REF!,NA,0,-1))</f>
        <v/>
      </c>
      <c r="AB2554" s="22"/>
      <c r="AC2554" s="23" t="str">
        <f>IF(Table26[[#This Row],[customerSKU]]="","",_xlfn.XLOOKUP(Table26[[#This Row],[customerSKU]],customerSKU!G:G,customerSKU!C:C,"",0,1))</f>
        <v/>
      </c>
      <c r="AD2554" s="23" t="str">
        <f>IF($AC2554="","",_xlfn.XLOOKUP($AC2554,'Client Info'!$C$2:$C$2497,'Client Info'!$D$2:$D$2497,"",0,1))</f>
        <v/>
      </c>
      <c r="AE2554" s="23" t="str">
        <f>IF($AC2554="","",_xlfn.XLOOKUP($AC2554,'Client Info'!$C$2:$C$2677,'Client Info'!$E$2:$E$2677,"",))</f>
        <v/>
      </c>
      <c r="AF2554" s="23" t="str">
        <f>IF($AC2554="","",_xlfn.XLOOKUP($AC2554,'Client Info'!$C$2:$C$2677,'Client Info'!$F$2:$F$2677,"",0,1))</f>
        <v/>
      </c>
      <c r="AG2554" s="23" t="str">
        <f>IF(ISBLANK(Table26[[#This Row],[customerSKU]]),"",_xlfn.XLOOKUP(Table26[[#This Row],[customerSKU]],Table27[customer_SKU],Table27[billto],"",0,1))</f>
        <v/>
      </c>
      <c r="AH2554" s="26" t="str">
        <f>_xlfn.XLOOKUP(Table26[[#This Row],[customerSKU]],customerSKU!G:G,customerSKU!K:K,"NA",0,1)</f>
        <v>NA</v>
      </c>
      <c r="AI2554" s="43" t="str">
        <f>_xlfn.XLOOKUP(Table26[[#This Row],[customerSKU]],customerSKU!G:G,customerSKU!O:O,"not found",0,1)</f>
        <v>not found</v>
      </c>
      <c r="AJ2554" s="22" t="e">
        <f>Table26[[#This Row],[unitprice]]*Table26[[#This Row],[quantity_unit]]</f>
        <v>#VALUE!</v>
      </c>
      <c r="AK2554" s="227" t="e" cm="1">
        <f t="array" ref="AK255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4" s="227"/>
    </row>
    <row r="2555" spans="1:38" ht="15.6">
      <c r="A2555" s="42"/>
      <c r="B2555" s="42"/>
      <c r="C2555" s="53"/>
      <c r="E2555" s="20"/>
      <c r="F255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5" s="93"/>
      <c r="J2555" s="90" t="str">
        <f>IF(Table26[[#This Row],[customerSKU]]="","",_xlfn.XLOOKUP(Table26[[#This Row],[customerSKU]],customerSKU!G:G,customerSKU!A:A,"",0,1))</f>
        <v/>
      </c>
      <c r="K2555" s="19"/>
      <c r="L2555" s="49" t="str">
        <f>IF(Table26[[#This Row],[customerSKU]]="","",_xlfn.XLOOKUP(Table26[[#This Row],[customerSKU]],customerSKU!G:G,customerSKU!B:B,"",0,1))</f>
        <v/>
      </c>
      <c r="M2555" s="22"/>
      <c r="N2555" s="15" t="str">
        <f>Table26[[#This Row],[po_number]]&amp;"-"&amp;Table26[[#This Row],[po_line]]</f>
        <v>-</v>
      </c>
      <c r="O2555" s="15"/>
      <c r="P2555" s="50"/>
      <c r="S2555" s="90" t="str">
        <f>IF(Table26[[#This Row],[customerSKU]]="","",_xlfn.XLOOKUP(Table26[[#This Row],[customerSKU]],customerSKU!G:G,customerSKU!N:N,"NOT FOUND",0,1))</f>
        <v/>
      </c>
      <c r="T2555" s="20"/>
      <c r="U2555" s="94"/>
      <c r="V2555" s="22" t="str">
        <f>IF(ISBLANK(Table26[[#This Row],[customerSKU]]),"",_xlfn.XLOOKUP(Table26[[#This Row],[customerSKU]],Table27[customer_SKU],Table27[case_size],"",0,1))</f>
        <v/>
      </c>
      <c r="W2555" s="117" t="str">
        <f t="shared" si="108"/>
        <v/>
      </c>
      <c r="X2555" s="22" t="str">
        <f t="shared" si="107"/>
        <v/>
      </c>
      <c r="Y2555" s="25" t="str">
        <f>IF(Table26[[#This Row],[customerSKU]]="","",_xlfn.XLOOKUP(Table26[[#This Row],[customerSKU]],Table27[customer_SKU],Table27[product_GTIN],"",0,1))</f>
        <v/>
      </c>
      <c r="Z2555" s="25"/>
      <c r="AA2555" s="18" t="str" cm="1">
        <f t="array" ref="AA2555">IF(P2555="", "", _xlfn.XLOOKUP(P2555,#REF!,#REF!,NA,0,-1))</f>
        <v/>
      </c>
      <c r="AB2555" s="22"/>
      <c r="AC2555" s="23" t="str">
        <f>IF(Table26[[#This Row],[customerSKU]]="","",_xlfn.XLOOKUP(Table26[[#This Row],[customerSKU]],customerSKU!G:G,customerSKU!C:C,"",0,1))</f>
        <v/>
      </c>
      <c r="AD2555" s="23" t="str">
        <f>IF($AC2555="","",_xlfn.XLOOKUP($AC2555,'Client Info'!$C$2:$C$2497,'Client Info'!$D$2:$D$2497,"",0,1))</f>
        <v/>
      </c>
      <c r="AE2555" s="23" t="str">
        <f>IF($AC2555="","",_xlfn.XLOOKUP($AC2555,'Client Info'!$C$2:$C$2677,'Client Info'!$E$2:$E$2677,"",))</f>
        <v/>
      </c>
      <c r="AF2555" s="23" t="str">
        <f>IF($AC2555="","",_xlfn.XLOOKUP($AC2555,'Client Info'!$C$2:$C$2677,'Client Info'!$F$2:$F$2677,"",0,1))</f>
        <v/>
      </c>
      <c r="AG2555" s="23" t="str">
        <f>IF(ISBLANK(Table26[[#This Row],[customerSKU]]),"",_xlfn.XLOOKUP(Table26[[#This Row],[customerSKU]],Table27[customer_SKU],Table27[billto],"",0,1))</f>
        <v/>
      </c>
      <c r="AH2555" s="26" t="str">
        <f>_xlfn.XLOOKUP(Table26[[#This Row],[customerSKU]],customerSKU!G:G,customerSKU!K:K,"NA",0,1)</f>
        <v>NA</v>
      </c>
      <c r="AI2555" s="43" t="str">
        <f>_xlfn.XLOOKUP(Table26[[#This Row],[customerSKU]],customerSKU!G:G,customerSKU!O:O,"not found",0,1)</f>
        <v>not found</v>
      </c>
      <c r="AJ2555" s="22" t="e">
        <f>Table26[[#This Row],[unitprice]]*Table26[[#This Row],[quantity_unit]]</f>
        <v>#VALUE!</v>
      </c>
      <c r="AK2555" s="227" t="e" cm="1">
        <f t="array" ref="AK255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5" s="227"/>
    </row>
    <row r="2556" spans="1:38" ht="15.6">
      <c r="A2556" s="42"/>
      <c r="B2556" s="42"/>
      <c r="C2556" s="53"/>
      <c r="E2556" s="20"/>
      <c r="F255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6" s="93"/>
      <c r="J2556" s="90" t="str">
        <f>IF(Table26[[#This Row],[customerSKU]]="","",_xlfn.XLOOKUP(Table26[[#This Row],[customerSKU]],customerSKU!G:G,customerSKU!A:A,"",0,1))</f>
        <v/>
      </c>
      <c r="K2556" s="19"/>
      <c r="L2556" s="49" t="str">
        <f>IF(Table26[[#This Row],[customerSKU]]="","",_xlfn.XLOOKUP(Table26[[#This Row],[customerSKU]],customerSKU!G:G,customerSKU!B:B,"",0,1))</f>
        <v/>
      </c>
      <c r="M2556" s="22"/>
      <c r="N2556" s="15" t="str">
        <f>Table26[[#This Row],[po_number]]&amp;"-"&amp;Table26[[#This Row],[po_line]]</f>
        <v>-</v>
      </c>
      <c r="O2556" s="15"/>
      <c r="P2556" s="50"/>
      <c r="S2556" s="90" t="str">
        <f>IF(Table26[[#This Row],[customerSKU]]="","",_xlfn.XLOOKUP(Table26[[#This Row],[customerSKU]],customerSKU!G:G,customerSKU!N:N,"NOT FOUND",0,1))</f>
        <v/>
      </c>
      <c r="T2556" s="20"/>
      <c r="U2556" s="94"/>
      <c r="V2556" s="22" t="str">
        <f>IF(ISBLANK(Table26[[#This Row],[customerSKU]]),"",_xlfn.XLOOKUP(Table26[[#This Row],[customerSKU]],Table27[customer_SKU],Table27[case_size],"",0,1))</f>
        <v/>
      </c>
      <c r="W2556" s="117" t="str">
        <f t="shared" si="108"/>
        <v/>
      </c>
      <c r="X2556" s="22" t="str">
        <f t="shared" si="107"/>
        <v/>
      </c>
      <c r="Y2556" s="25" t="str">
        <f>IF(Table26[[#This Row],[customerSKU]]="","",_xlfn.XLOOKUP(Table26[[#This Row],[customerSKU]],Table27[customer_SKU],Table27[product_GTIN],"",0,1))</f>
        <v/>
      </c>
      <c r="Z2556" s="25"/>
      <c r="AA2556" s="18" t="str" cm="1">
        <f t="array" ref="AA2556">IF(P2556="", "", _xlfn.XLOOKUP(P2556,#REF!,#REF!,NA,0,-1))</f>
        <v/>
      </c>
      <c r="AB2556" s="22"/>
      <c r="AC2556" s="23" t="str">
        <f>IF(Table26[[#This Row],[customerSKU]]="","",_xlfn.XLOOKUP(Table26[[#This Row],[customerSKU]],customerSKU!G:G,customerSKU!C:C,"",0,1))</f>
        <v/>
      </c>
      <c r="AD2556" s="23" t="str">
        <f>IF($AC2556="","",_xlfn.XLOOKUP($AC2556,'Client Info'!$C$2:$C$2497,'Client Info'!$D$2:$D$2497,"",0,1))</f>
        <v/>
      </c>
      <c r="AE2556" s="23" t="str">
        <f>IF($AC2556="","",_xlfn.XLOOKUP($AC2556,'Client Info'!$C$2:$C$2677,'Client Info'!$E$2:$E$2677,"",))</f>
        <v/>
      </c>
      <c r="AF2556" s="23" t="str">
        <f>IF($AC2556="","",_xlfn.XLOOKUP($AC2556,'Client Info'!$C$2:$C$2677,'Client Info'!$F$2:$F$2677,"",0,1))</f>
        <v/>
      </c>
      <c r="AG2556" s="23" t="str">
        <f>IF(ISBLANK(Table26[[#This Row],[customerSKU]]),"",_xlfn.XLOOKUP(Table26[[#This Row],[customerSKU]],Table27[customer_SKU],Table27[billto],"",0,1))</f>
        <v/>
      </c>
      <c r="AH2556" s="26" t="str">
        <f>_xlfn.XLOOKUP(Table26[[#This Row],[customerSKU]],customerSKU!G:G,customerSKU!K:K,"NA",0,1)</f>
        <v>NA</v>
      </c>
      <c r="AI2556" s="43" t="str">
        <f>_xlfn.XLOOKUP(Table26[[#This Row],[customerSKU]],customerSKU!G:G,customerSKU!O:O,"not found",0,1)</f>
        <v>not found</v>
      </c>
      <c r="AJ2556" s="22" t="e">
        <f>Table26[[#This Row],[unitprice]]*Table26[[#This Row],[quantity_unit]]</f>
        <v>#VALUE!</v>
      </c>
      <c r="AK2556" s="227" t="e" cm="1">
        <f t="array" ref="AK255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6" s="227"/>
    </row>
    <row r="2557" spans="1:38" ht="15.6">
      <c r="A2557" s="42"/>
      <c r="B2557" s="42"/>
      <c r="C2557" s="53"/>
      <c r="E2557" s="20"/>
      <c r="F255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7" s="93"/>
      <c r="J2557" s="90" t="str">
        <f>IF(Table26[[#This Row],[customerSKU]]="","",_xlfn.XLOOKUP(Table26[[#This Row],[customerSKU]],customerSKU!G:G,customerSKU!A:A,"",0,1))</f>
        <v/>
      </c>
      <c r="K2557" s="19"/>
      <c r="L2557" s="49" t="str">
        <f>IF(Table26[[#This Row],[customerSKU]]="","",_xlfn.XLOOKUP(Table26[[#This Row],[customerSKU]],customerSKU!G:G,customerSKU!B:B,"",0,1))</f>
        <v/>
      </c>
      <c r="M2557" s="22"/>
      <c r="N2557" s="15" t="str">
        <f>Table26[[#This Row],[po_number]]&amp;"-"&amp;Table26[[#This Row],[po_line]]</f>
        <v>-</v>
      </c>
      <c r="O2557" s="15"/>
      <c r="P2557" s="50"/>
      <c r="S2557" s="90" t="str">
        <f>IF(Table26[[#This Row],[customerSKU]]="","",_xlfn.XLOOKUP(Table26[[#This Row],[customerSKU]],customerSKU!G:G,customerSKU!N:N,"NOT FOUND",0,1))</f>
        <v/>
      </c>
      <c r="T2557" s="20"/>
      <c r="U2557" s="94"/>
      <c r="V2557" s="22" t="str">
        <f>IF(ISBLANK(Table26[[#This Row],[customerSKU]]),"",_xlfn.XLOOKUP(Table26[[#This Row],[customerSKU]],Table27[customer_SKU],Table27[case_size],"",0,1))</f>
        <v/>
      </c>
      <c r="W2557" s="117" t="str">
        <f t="shared" si="108"/>
        <v/>
      </c>
      <c r="X2557" s="22" t="str">
        <f t="shared" si="107"/>
        <v/>
      </c>
      <c r="Y2557" s="25" t="str">
        <f>IF(Table26[[#This Row],[customerSKU]]="","",_xlfn.XLOOKUP(Table26[[#This Row],[customerSKU]],Table27[customer_SKU],Table27[product_GTIN],"",0,1))</f>
        <v/>
      </c>
      <c r="Z2557" s="25"/>
      <c r="AA2557" s="18" t="str" cm="1">
        <f t="array" ref="AA2557">IF(P2557="", "", _xlfn.XLOOKUP(P2557,#REF!,#REF!,NA,0,-1))</f>
        <v/>
      </c>
      <c r="AB2557" s="22"/>
      <c r="AC2557" s="23" t="str">
        <f>IF(Table26[[#This Row],[customerSKU]]="","",_xlfn.XLOOKUP(Table26[[#This Row],[customerSKU]],customerSKU!G:G,customerSKU!C:C,"",0,1))</f>
        <v/>
      </c>
      <c r="AD2557" s="23" t="str">
        <f>IF($AC2557="","",_xlfn.XLOOKUP($AC2557,'Client Info'!$C$2:$C$2497,'Client Info'!$D$2:$D$2497,"",0,1))</f>
        <v/>
      </c>
      <c r="AE2557" s="23" t="str">
        <f>IF($AC2557="","",_xlfn.XLOOKUP($AC2557,'Client Info'!$C$2:$C$2677,'Client Info'!$E$2:$E$2677,"",))</f>
        <v/>
      </c>
      <c r="AF2557" s="23" t="str">
        <f>IF($AC2557="","",_xlfn.XLOOKUP($AC2557,'Client Info'!$C$2:$C$2677,'Client Info'!$F$2:$F$2677,"",0,1))</f>
        <v/>
      </c>
      <c r="AG2557" s="23" t="str">
        <f>IF(ISBLANK(Table26[[#This Row],[customerSKU]]),"",_xlfn.XLOOKUP(Table26[[#This Row],[customerSKU]],Table27[customer_SKU],Table27[billto],"",0,1))</f>
        <v/>
      </c>
      <c r="AH2557" s="26" t="str">
        <f>_xlfn.XLOOKUP(Table26[[#This Row],[customerSKU]],customerSKU!G:G,customerSKU!K:K,"NA",0,1)</f>
        <v>NA</v>
      </c>
      <c r="AI2557" s="43" t="str">
        <f>_xlfn.XLOOKUP(Table26[[#This Row],[customerSKU]],customerSKU!G:G,customerSKU!O:O,"not found",0,1)</f>
        <v>not found</v>
      </c>
      <c r="AJ2557" s="22" t="e">
        <f>Table26[[#This Row],[unitprice]]*Table26[[#This Row],[quantity_unit]]</f>
        <v>#VALUE!</v>
      </c>
      <c r="AK2557" s="227" t="e" cm="1">
        <f t="array" ref="AK255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7" s="227"/>
    </row>
    <row r="2558" spans="1:38" ht="15.6">
      <c r="A2558" s="42"/>
      <c r="B2558" s="42"/>
      <c r="C2558" s="53"/>
      <c r="E2558" s="20"/>
      <c r="F255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8" s="93"/>
      <c r="J2558" s="90" t="str">
        <f>IF(Table26[[#This Row],[customerSKU]]="","",_xlfn.XLOOKUP(Table26[[#This Row],[customerSKU]],customerSKU!G:G,customerSKU!A:A,"",0,1))</f>
        <v/>
      </c>
      <c r="K2558" s="19"/>
      <c r="L2558" s="49" t="str">
        <f>IF(Table26[[#This Row],[customerSKU]]="","",_xlfn.XLOOKUP(Table26[[#This Row],[customerSKU]],customerSKU!G:G,customerSKU!B:B,"",0,1))</f>
        <v/>
      </c>
      <c r="M2558" s="22"/>
      <c r="N2558" s="15" t="str">
        <f>Table26[[#This Row],[po_number]]&amp;"-"&amp;Table26[[#This Row],[po_line]]</f>
        <v>-</v>
      </c>
      <c r="O2558" s="15"/>
      <c r="P2558" s="50"/>
      <c r="S2558" s="90" t="str">
        <f>IF(Table26[[#This Row],[customerSKU]]="","",_xlfn.XLOOKUP(Table26[[#This Row],[customerSKU]],customerSKU!G:G,customerSKU!N:N,"NOT FOUND",0,1))</f>
        <v/>
      </c>
      <c r="T2558" s="20"/>
      <c r="U2558" s="94"/>
      <c r="V2558" s="22" t="str">
        <f>IF(ISBLANK(Table26[[#This Row],[customerSKU]]),"",_xlfn.XLOOKUP(Table26[[#This Row],[customerSKU]],Table27[customer_SKU],Table27[case_size],"",0,1))</f>
        <v/>
      </c>
      <c r="W2558" s="117" t="str">
        <f t="shared" si="108"/>
        <v/>
      </c>
      <c r="X2558" s="22" t="str">
        <f t="shared" si="107"/>
        <v/>
      </c>
      <c r="Y2558" s="25" t="str">
        <f>IF(Table26[[#This Row],[customerSKU]]="","",_xlfn.XLOOKUP(Table26[[#This Row],[customerSKU]],Table27[customer_SKU],Table27[product_GTIN],"",0,1))</f>
        <v/>
      </c>
      <c r="Z2558" s="25"/>
      <c r="AA2558" s="18" t="str" cm="1">
        <f t="array" ref="AA2558">IF(P2558="", "", _xlfn.XLOOKUP(P2558,#REF!,#REF!,NA,0,-1))</f>
        <v/>
      </c>
      <c r="AB2558" s="22"/>
      <c r="AC2558" s="23" t="str">
        <f>IF(Table26[[#This Row],[customerSKU]]="","",_xlfn.XLOOKUP(Table26[[#This Row],[customerSKU]],customerSKU!G:G,customerSKU!C:C,"",0,1))</f>
        <v/>
      </c>
      <c r="AD2558" s="23" t="str">
        <f>IF($AC2558="","",_xlfn.XLOOKUP($AC2558,'Client Info'!$C$2:$C$2497,'Client Info'!$D$2:$D$2497,"",0,1))</f>
        <v/>
      </c>
      <c r="AE2558" s="23" t="str">
        <f>IF($AC2558="","",_xlfn.XLOOKUP($AC2558,'Client Info'!$C$2:$C$2677,'Client Info'!$E$2:$E$2677,"",))</f>
        <v/>
      </c>
      <c r="AF2558" s="23" t="str">
        <f>IF($AC2558="","",_xlfn.XLOOKUP($AC2558,'Client Info'!$C$2:$C$2677,'Client Info'!$F$2:$F$2677,"",0,1))</f>
        <v/>
      </c>
      <c r="AG2558" s="23" t="str">
        <f>IF(ISBLANK(Table26[[#This Row],[customerSKU]]),"",_xlfn.XLOOKUP(Table26[[#This Row],[customerSKU]],Table27[customer_SKU],Table27[billto],"",0,1))</f>
        <v/>
      </c>
      <c r="AH2558" s="26" t="str">
        <f>_xlfn.XLOOKUP(Table26[[#This Row],[customerSKU]],customerSKU!G:G,customerSKU!K:K,"NA",0,1)</f>
        <v>NA</v>
      </c>
      <c r="AI2558" s="43" t="str">
        <f>_xlfn.XLOOKUP(Table26[[#This Row],[customerSKU]],customerSKU!G:G,customerSKU!O:O,"not found",0,1)</f>
        <v>not found</v>
      </c>
      <c r="AJ2558" s="22" t="e">
        <f>Table26[[#This Row],[unitprice]]*Table26[[#This Row],[quantity_unit]]</f>
        <v>#VALUE!</v>
      </c>
      <c r="AK2558" s="227" t="e" cm="1">
        <f t="array" ref="AK255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8" s="227"/>
    </row>
    <row r="2559" spans="1:38" ht="15.6">
      <c r="A2559" s="42"/>
      <c r="B2559" s="42"/>
      <c r="C2559" s="53"/>
      <c r="E2559" s="20"/>
      <c r="F255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59" s="93"/>
      <c r="J2559" s="90" t="str">
        <f>IF(Table26[[#This Row],[customerSKU]]="","",_xlfn.XLOOKUP(Table26[[#This Row],[customerSKU]],customerSKU!G:G,customerSKU!A:A,"",0,1))</f>
        <v/>
      </c>
      <c r="K2559" s="19"/>
      <c r="L2559" s="49" t="str">
        <f>IF(Table26[[#This Row],[customerSKU]]="","",_xlfn.XLOOKUP(Table26[[#This Row],[customerSKU]],customerSKU!G:G,customerSKU!B:B,"",0,1))</f>
        <v/>
      </c>
      <c r="M2559" s="22"/>
      <c r="N2559" s="15" t="str">
        <f>Table26[[#This Row],[po_number]]&amp;"-"&amp;Table26[[#This Row],[po_line]]</f>
        <v>-</v>
      </c>
      <c r="O2559" s="15"/>
      <c r="P2559" s="50"/>
      <c r="S2559" s="90" t="str">
        <f>IF(Table26[[#This Row],[customerSKU]]="","",_xlfn.XLOOKUP(Table26[[#This Row],[customerSKU]],customerSKU!G:G,customerSKU!N:N,"NOT FOUND",0,1))</f>
        <v/>
      </c>
      <c r="T2559" s="20"/>
      <c r="U2559" s="94"/>
      <c r="V2559" s="22" t="str">
        <f>IF(ISBLANK(Table26[[#This Row],[customerSKU]]),"",_xlfn.XLOOKUP(Table26[[#This Row],[customerSKU]],Table27[customer_SKU],Table27[case_size],"",0,1))</f>
        <v/>
      </c>
      <c r="W2559" s="117" t="str">
        <f t="shared" si="108"/>
        <v/>
      </c>
      <c r="X2559" s="22" t="str">
        <f t="shared" si="107"/>
        <v/>
      </c>
      <c r="Y2559" s="25" t="str">
        <f>IF(Table26[[#This Row],[customerSKU]]="","",_xlfn.XLOOKUP(Table26[[#This Row],[customerSKU]],Table27[customer_SKU],Table27[product_GTIN],"",0,1))</f>
        <v/>
      </c>
      <c r="Z2559" s="25"/>
      <c r="AA2559" s="18" t="str" cm="1">
        <f t="array" ref="AA2559">IF(P2559="", "", _xlfn.XLOOKUP(P2559,#REF!,#REF!,NA,0,-1))</f>
        <v/>
      </c>
      <c r="AB2559" s="22"/>
      <c r="AC2559" s="23" t="str">
        <f>IF(Table26[[#This Row],[customerSKU]]="","",_xlfn.XLOOKUP(Table26[[#This Row],[customerSKU]],customerSKU!G:G,customerSKU!C:C,"",0,1))</f>
        <v/>
      </c>
      <c r="AD2559" s="23" t="str">
        <f>IF($AC2559="","",_xlfn.XLOOKUP($AC2559,'Client Info'!$C$2:$C$2497,'Client Info'!$D$2:$D$2497,"",0,1))</f>
        <v/>
      </c>
      <c r="AE2559" s="23" t="str">
        <f>IF($AC2559="","",_xlfn.XLOOKUP($AC2559,'Client Info'!$C$2:$C$2677,'Client Info'!$E$2:$E$2677,"",))</f>
        <v/>
      </c>
      <c r="AF2559" s="23" t="str">
        <f>IF($AC2559="","",_xlfn.XLOOKUP($AC2559,'Client Info'!$C$2:$C$2677,'Client Info'!$F$2:$F$2677,"",0,1))</f>
        <v/>
      </c>
      <c r="AG2559" s="23" t="str">
        <f>IF(ISBLANK(Table26[[#This Row],[customerSKU]]),"",_xlfn.XLOOKUP(Table26[[#This Row],[customerSKU]],Table27[customer_SKU],Table27[billto],"",0,1))</f>
        <v/>
      </c>
      <c r="AH2559" s="26" t="str">
        <f>_xlfn.XLOOKUP(Table26[[#This Row],[customerSKU]],customerSKU!G:G,customerSKU!K:K,"NA",0,1)</f>
        <v>NA</v>
      </c>
      <c r="AI2559" s="43" t="str">
        <f>_xlfn.XLOOKUP(Table26[[#This Row],[customerSKU]],customerSKU!G:G,customerSKU!O:O,"not found",0,1)</f>
        <v>not found</v>
      </c>
      <c r="AJ2559" s="22" t="e">
        <f>Table26[[#This Row],[unitprice]]*Table26[[#This Row],[quantity_unit]]</f>
        <v>#VALUE!</v>
      </c>
      <c r="AK2559" s="227" t="e" cm="1">
        <f t="array" ref="AK255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59" s="227"/>
    </row>
    <row r="2560" spans="1:38" ht="15.6">
      <c r="A2560" s="42"/>
      <c r="B2560" s="42"/>
      <c r="C2560" s="53"/>
      <c r="E2560" s="20"/>
      <c r="F256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0" s="93"/>
      <c r="J2560" s="90" t="str">
        <f>IF(Table26[[#This Row],[customerSKU]]="","",_xlfn.XLOOKUP(Table26[[#This Row],[customerSKU]],customerSKU!G:G,customerSKU!A:A,"",0,1))</f>
        <v/>
      </c>
      <c r="K2560" s="19"/>
      <c r="L2560" s="49" t="str">
        <f>IF(Table26[[#This Row],[customerSKU]]="","",_xlfn.XLOOKUP(Table26[[#This Row],[customerSKU]],customerSKU!G:G,customerSKU!B:B,"",0,1))</f>
        <v/>
      </c>
      <c r="M2560" s="22"/>
      <c r="N2560" s="15" t="str">
        <f>Table26[[#This Row],[po_number]]&amp;"-"&amp;Table26[[#This Row],[po_line]]</f>
        <v>-</v>
      </c>
      <c r="O2560" s="15"/>
      <c r="P2560" s="50"/>
      <c r="S2560" s="90" t="str">
        <f>IF(Table26[[#This Row],[customerSKU]]="","",_xlfn.XLOOKUP(Table26[[#This Row],[customerSKU]],customerSKU!G:G,customerSKU!N:N,"NOT FOUND",0,1))</f>
        <v/>
      </c>
      <c r="T2560" s="20"/>
      <c r="U2560" s="94"/>
      <c r="V2560" s="22" t="str">
        <f>IF(ISBLANK(Table26[[#This Row],[customerSKU]]),"",_xlfn.XLOOKUP(Table26[[#This Row],[customerSKU]],Table27[customer_SKU],Table27[case_size],"",0,1))</f>
        <v/>
      </c>
      <c r="W2560" s="117" t="str">
        <f t="shared" si="108"/>
        <v/>
      </c>
      <c r="X2560" s="22" t="str">
        <f t="shared" si="107"/>
        <v/>
      </c>
      <c r="Y2560" s="25" t="str">
        <f>IF(Table26[[#This Row],[customerSKU]]="","",_xlfn.XLOOKUP(Table26[[#This Row],[customerSKU]],Table27[customer_SKU],Table27[product_GTIN],"",0,1))</f>
        <v/>
      </c>
      <c r="Z2560" s="25"/>
      <c r="AA2560" s="18" t="str" cm="1">
        <f t="array" ref="AA2560">IF(P2560="", "", _xlfn.XLOOKUP(P2560,#REF!,#REF!,NA,0,-1))</f>
        <v/>
      </c>
      <c r="AB2560" s="22"/>
      <c r="AC2560" s="23" t="str">
        <f>IF(Table26[[#This Row],[customerSKU]]="","",_xlfn.XLOOKUP(Table26[[#This Row],[customerSKU]],customerSKU!G:G,customerSKU!C:C,"",0,1))</f>
        <v/>
      </c>
      <c r="AD2560" s="23" t="str">
        <f>IF($AC2560="","",_xlfn.XLOOKUP($AC2560,'Client Info'!$C$2:$C$2497,'Client Info'!$D$2:$D$2497,"",0,1))</f>
        <v/>
      </c>
      <c r="AE2560" s="23" t="str">
        <f>IF($AC2560="","",_xlfn.XLOOKUP($AC2560,'Client Info'!$C$2:$C$2677,'Client Info'!$E$2:$E$2677,"",))</f>
        <v/>
      </c>
      <c r="AF2560" s="23" t="str">
        <f>IF($AC2560="","",_xlfn.XLOOKUP($AC2560,'Client Info'!$C$2:$C$2677,'Client Info'!$F$2:$F$2677,"",0,1))</f>
        <v/>
      </c>
      <c r="AG2560" s="23" t="str">
        <f>IF(ISBLANK(Table26[[#This Row],[customerSKU]]),"",_xlfn.XLOOKUP(Table26[[#This Row],[customerSKU]],Table27[customer_SKU],Table27[billto],"",0,1))</f>
        <v/>
      </c>
      <c r="AH2560" s="26" t="str">
        <f>_xlfn.XLOOKUP(Table26[[#This Row],[customerSKU]],customerSKU!G:G,customerSKU!K:K,"NA",0,1)</f>
        <v>NA</v>
      </c>
      <c r="AI2560" s="43" t="str">
        <f>_xlfn.XLOOKUP(Table26[[#This Row],[customerSKU]],customerSKU!G:G,customerSKU!O:O,"not found",0,1)</f>
        <v>not found</v>
      </c>
      <c r="AJ2560" s="22" t="e">
        <f>Table26[[#This Row],[unitprice]]*Table26[[#This Row],[quantity_unit]]</f>
        <v>#VALUE!</v>
      </c>
      <c r="AK2560" s="227" t="e" cm="1">
        <f t="array" ref="AK256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0" s="227"/>
    </row>
    <row r="2561" spans="1:38" ht="15.6">
      <c r="A2561" s="42"/>
      <c r="B2561" s="42"/>
      <c r="C2561" s="53"/>
      <c r="E2561" s="20"/>
      <c r="F256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1" s="93"/>
      <c r="J2561" s="90" t="str">
        <f>IF(Table26[[#This Row],[customerSKU]]="","",_xlfn.XLOOKUP(Table26[[#This Row],[customerSKU]],customerSKU!G:G,customerSKU!A:A,"",0,1))</f>
        <v/>
      </c>
      <c r="K2561" s="19"/>
      <c r="L2561" s="49" t="str">
        <f>IF(Table26[[#This Row],[customerSKU]]="","",_xlfn.XLOOKUP(Table26[[#This Row],[customerSKU]],customerSKU!G:G,customerSKU!B:B,"",0,1))</f>
        <v/>
      </c>
      <c r="M2561" s="22"/>
      <c r="N2561" s="15" t="str">
        <f>Table26[[#This Row],[po_number]]&amp;"-"&amp;Table26[[#This Row],[po_line]]</f>
        <v>-</v>
      </c>
      <c r="O2561" s="15"/>
      <c r="P2561" s="50"/>
      <c r="S2561" s="90" t="str">
        <f>IF(Table26[[#This Row],[customerSKU]]="","",_xlfn.XLOOKUP(Table26[[#This Row],[customerSKU]],customerSKU!G:G,customerSKU!N:N,"NOT FOUND",0,1))</f>
        <v/>
      </c>
      <c r="T2561" s="20"/>
      <c r="U2561" s="94"/>
      <c r="V2561" s="22" t="str">
        <f>IF(ISBLANK(Table26[[#This Row],[customerSKU]]),"",_xlfn.XLOOKUP(Table26[[#This Row],[customerSKU]],Table27[customer_SKU],Table27[case_size],"",0,1))</f>
        <v/>
      </c>
      <c r="W2561" s="117" t="str">
        <f t="shared" si="108"/>
        <v/>
      </c>
      <c r="X2561" s="22" t="str">
        <f t="shared" si="107"/>
        <v/>
      </c>
      <c r="Y2561" s="25" t="str">
        <f>IF(Table26[[#This Row],[customerSKU]]="","",_xlfn.XLOOKUP(Table26[[#This Row],[customerSKU]],Table27[customer_SKU],Table27[product_GTIN],"",0,1))</f>
        <v/>
      </c>
      <c r="Z2561" s="25"/>
      <c r="AA2561" s="18" t="str" cm="1">
        <f t="array" ref="AA2561">IF(P2561="", "", _xlfn.XLOOKUP(P2561,#REF!,#REF!,NA,0,-1))</f>
        <v/>
      </c>
      <c r="AB2561" s="22"/>
      <c r="AC2561" s="23" t="str">
        <f>IF(Table26[[#This Row],[customerSKU]]="","",_xlfn.XLOOKUP(Table26[[#This Row],[customerSKU]],customerSKU!G:G,customerSKU!C:C,"",0,1))</f>
        <v/>
      </c>
      <c r="AD2561" s="23" t="str">
        <f>IF($AC2561="","",_xlfn.XLOOKUP($AC2561,'Client Info'!$C$2:$C$2497,'Client Info'!$D$2:$D$2497,"",0,1))</f>
        <v/>
      </c>
      <c r="AE2561" s="23" t="str">
        <f>IF($AC2561="","",_xlfn.XLOOKUP($AC2561,'Client Info'!$C$2:$C$2677,'Client Info'!$E$2:$E$2677,"",))</f>
        <v/>
      </c>
      <c r="AF2561" s="23" t="str">
        <f>IF($AC2561="","",_xlfn.XLOOKUP($AC2561,'Client Info'!$C$2:$C$2677,'Client Info'!$F$2:$F$2677,"",0,1))</f>
        <v/>
      </c>
      <c r="AG2561" s="23" t="str">
        <f>IF(ISBLANK(Table26[[#This Row],[customerSKU]]),"",_xlfn.XLOOKUP(Table26[[#This Row],[customerSKU]],Table27[customer_SKU],Table27[billto],"",0,1))</f>
        <v/>
      </c>
      <c r="AH2561" s="26" t="str">
        <f>_xlfn.XLOOKUP(Table26[[#This Row],[customerSKU]],customerSKU!G:G,customerSKU!K:K,"NA",0,1)</f>
        <v>NA</v>
      </c>
      <c r="AI2561" s="43" t="str">
        <f>_xlfn.XLOOKUP(Table26[[#This Row],[customerSKU]],customerSKU!G:G,customerSKU!O:O,"not found",0,1)</f>
        <v>not found</v>
      </c>
      <c r="AJ2561" s="22" t="e">
        <f>Table26[[#This Row],[unitprice]]*Table26[[#This Row],[quantity_unit]]</f>
        <v>#VALUE!</v>
      </c>
      <c r="AK2561" s="227" t="e" cm="1">
        <f t="array" ref="AK256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1" s="227"/>
    </row>
    <row r="2562" spans="1:38" ht="15.6">
      <c r="A2562" s="42"/>
      <c r="B2562" s="42"/>
      <c r="C2562" s="53"/>
      <c r="E2562" s="20"/>
      <c r="F256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2" s="93"/>
      <c r="J2562" s="90" t="str">
        <f>IF(Table26[[#This Row],[customerSKU]]="","",_xlfn.XLOOKUP(Table26[[#This Row],[customerSKU]],customerSKU!G:G,customerSKU!A:A,"",0,1))</f>
        <v/>
      </c>
      <c r="K2562" s="19"/>
      <c r="L2562" s="49" t="str">
        <f>IF(Table26[[#This Row],[customerSKU]]="","",_xlfn.XLOOKUP(Table26[[#This Row],[customerSKU]],customerSKU!G:G,customerSKU!B:B,"",0,1))</f>
        <v/>
      </c>
      <c r="M2562" s="22"/>
      <c r="N2562" s="15" t="str">
        <f>Table26[[#This Row],[po_number]]&amp;"-"&amp;Table26[[#This Row],[po_line]]</f>
        <v>-</v>
      </c>
      <c r="O2562" s="15"/>
      <c r="P2562" s="50"/>
      <c r="S2562" s="90" t="str">
        <f>IF(Table26[[#This Row],[customerSKU]]="","",_xlfn.XLOOKUP(Table26[[#This Row],[customerSKU]],customerSKU!G:G,customerSKU!N:N,"NOT FOUND",0,1))</f>
        <v/>
      </c>
      <c r="T2562" s="20"/>
      <c r="U2562" s="94"/>
      <c r="V2562" s="22" t="str">
        <f>IF(ISBLANK(Table26[[#This Row],[customerSKU]]),"",_xlfn.XLOOKUP(Table26[[#This Row],[customerSKU]],Table27[customer_SKU],Table27[case_size],"",0,1))</f>
        <v/>
      </c>
      <c r="W2562" s="117" t="str">
        <f t="shared" si="108"/>
        <v/>
      </c>
      <c r="X2562" s="22" t="str">
        <f t="shared" si="107"/>
        <v/>
      </c>
      <c r="Y2562" s="25" t="str">
        <f>IF(Table26[[#This Row],[customerSKU]]="","",_xlfn.XLOOKUP(Table26[[#This Row],[customerSKU]],Table27[customer_SKU],Table27[product_GTIN],"",0,1))</f>
        <v/>
      </c>
      <c r="Z2562" s="25"/>
      <c r="AA2562" s="18" t="str" cm="1">
        <f t="array" ref="AA2562">IF(P2562="", "", _xlfn.XLOOKUP(P2562,#REF!,#REF!,NA,0,-1))</f>
        <v/>
      </c>
      <c r="AB2562" s="22"/>
      <c r="AC2562" s="23" t="str">
        <f>IF(Table26[[#This Row],[customerSKU]]="","",_xlfn.XLOOKUP(Table26[[#This Row],[customerSKU]],customerSKU!G:G,customerSKU!C:C,"",0,1))</f>
        <v/>
      </c>
      <c r="AD2562" s="23" t="str">
        <f>IF($AC2562="","",_xlfn.XLOOKUP($AC2562,'Client Info'!$C$2:$C$2497,'Client Info'!$D$2:$D$2497,"",0,1))</f>
        <v/>
      </c>
      <c r="AE2562" s="23" t="str">
        <f>IF($AC2562="","",_xlfn.XLOOKUP($AC2562,'Client Info'!$C$2:$C$2677,'Client Info'!$E$2:$E$2677,"",))</f>
        <v/>
      </c>
      <c r="AF2562" s="23" t="str">
        <f>IF($AC2562="","",_xlfn.XLOOKUP($AC2562,'Client Info'!$C$2:$C$2677,'Client Info'!$F$2:$F$2677,"",0,1))</f>
        <v/>
      </c>
      <c r="AG2562" s="23" t="str">
        <f>IF(ISBLANK(Table26[[#This Row],[customerSKU]]),"",_xlfn.XLOOKUP(Table26[[#This Row],[customerSKU]],Table27[customer_SKU],Table27[billto],"",0,1))</f>
        <v/>
      </c>
      <c r="AH2562" s="26" t="str">
        <f>_xlfn.XLOOKUP(Table26[[#This Row],[customerSKU]],customerSKU!G:G,customerSKU!K:K,"NA",0,1)</f>
        <v>NA</v>
      </c>
      <c r="AI2562" s="43" t="str">
        <f>_xlfn.XLOOKUP(Table26[[#This Row],[customerSKU]],customerSKU!G:G,customerSKU!O:O,"not found",0,1)</f>
        <v>not found</v>
      </c>
      <c r="AJ2562" s="22" t="e">
        <f>Table26[[#This Row],[unitprice]]*Table26[[#This Row],[quantity_unit]]</f>
        <v>#VALUE!</v>
      </c>
      <c r="AK2562" s="227" t="e" cm="1">
        <f t="array" ref="AK256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2" s="227"/>
    </row>
    <row r="2563" spans="1:38" ht="15.6">
      <c r="A2563" s="42"/>
      <c r="B2563" s="42"/>
      <c r="C2563" s="53"/>
      <c r="E2563" s="20"/>
      <c r="F256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3" s="93"/>
      <c r="J2563" s="90" t="str">
        <f>IF(Table26[[#This Row],[customerSKU]]="","",_xlfn.XLOOKUP(Table26[[#This Row],[customerSKU]],customerSKU!G:G,customerSKU!A:A,"",0,1))</f>
        <v/>
      </c>
      <c r="K2563" s="19"/>
      <c r="L2563" s="49" t="str">
        <f>IF(Table26[[#This Row],[customerSKU]]="","",_xlfn.XLOOKUP(Table26[[#This Row],[customerSKU]],customerSKU!G:G,customerSKU!B:B,"",0,1))</f>
        <v/>
      </c>
      <c r="M2563" s="22"/>
      <c r="N2563" s="15" t="str">
        <f>Table26[[#This Row],[po_number]]&amp;"-"&amp;Table26[[#This Row],[po_line]]</f>
        <v>-</v>
      </c>
      <c r="O2563" s="15"/>
      <c r="P2563" s="50"/>
      <c r="S2563" s="90" t="str">
        <f>IF(Table26[[#This Row],[customerSKU]]="","",_xlfn.XLOOKUP(Table26[[#This Row],[customerSKU]],customerSKU!G:G,customerSKU!N:N,"NOT FOUND",0,1))</f>
        <v/>
      </c>
      <c r="T2563" s="20"/>
      <c r="U2563" s="94"/>
      <c r="V2563" s="22" t="str">
        <f>IF(ISBLANK(Table26[[#This Row],[customerSKU]]),"",_xlfn.XLOOKUP(Table26[[#This Row],[customerSKU]],Table27[customer_SKU],Table27[case_size],"",0,1))</f>
        <v/>
      </c>
      <c r="W2563" s="117" t="str">
        <f t="shared" si="108"/>
        <v/>
      </c>
      <c r="X2563" s="22" t="str">
        <f t="shared" si="107"/>
        <v/>
      </c>
      <c r="Y2563" s="25" t="str">
        <f>IF(Table26[[#This Row],[customerSKU]]="","",_xlfn.XLOOKUP(Table26[[#This Row],[customerSKU]],Table27[customer_SKU],Table27[product_GTIN],"",0,1))</f>
        <v/>
      </c>
      <c r="Z2563" s="25"/>
      <c r="AA2563" s="18" t="str" cm="1">
        <f t="array" ref="AA2563">IF(P2563="", "", _xlfn.XLOOKUP(P2563,#REF!,#REF!,NA,0,-1))</f>
        <v/>
      </c>
      <c r="AB2563" s="22"/>
      <c r="AC2563" s="23" t="str">
        <f>IF(Table26[[#This Row],[customerSKU]]="","",_xlfn.XLOOKUP(Table26[[#This Row],[customerSKU]],customerSKU!G:G,customerSKU!C:C,"",0,1))</f>
        <v/>
      </c>
      <c r="AD2563" s="23" t="str">
        <f>IF($AC2563="","",_xlfn.XLOOKUP($AC2563,'Client Info'!$C$2:$C$2497,'Client Info'!$D$2:$D$2497,"",0,1))</f>
        <v/>
      </c>
      <c r="AE2563" s="23" t="str">
        <f>IF($AC2563="","",_xlfn.XLOOKUP($AC2563,'Client Info'!$C$2:$C$2677,'Client Info'!$E$2:$E$2677,"",))</f>
        <v/>
      </c>
      <c r="AF2563" s="23" t="str">
        <f>IF($AC2563="","",_xlfn.XLOOKUP($AC2563,'Client Info'!$C$2:$C$2677,'Client Info'!$F$2:$F$2677,"",0,1))</f>
        <v/>
      </c>
      <c r="AG2563" s="23" t="str">
        <f>IF(ISBLANK(Table26[[#This Row],[customerSKU]]),"",_xlfn.XLOOKUP(Table26[[#This Row],[customerSKU]],Table27[customer_SKU],Table27[billto],"",0,1))</f>
        <v/>
      </c>
      <c r="AH2563" s="26" t="str">
        <f>_xlfn.XLOOKUP(Table26[[#This Row],[customerSKU]],customerSKU!G:G,customerSKU!K:K,"NA",0,1)</f>
        <v>NA</v>
      </c>
      <c r="AI2563" s="43" t="str">
        <f>_xlfn.XLOOKUP(Table26[[#This Row],[customerSKU]],customerSKU!G:G,customerSKU!O:O,"not found",0,1)</f>
        <v>not found</v>
      </c>
      <c r="AJ2563" s="22" t="e">
        <f>Table26[[#This Row],[unitprice]]*Table26[[#This Row],[quantity_unit]]</f>
        <v>#VALUE!</v>
      </c>
      <c r="AK2563" s="227" t="e" cm="1">
        <f t="array" ref="AK256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3" s="227"/>
    </row>
    <row r="2564" spans="1:38" ht="15.6">
      <c r="A2564" s="42"/>
      <c r="B2564" s="42"/>
      <c r="C2564" s="53"/>
      <c r="E2564" s="20"/>
      <c r="F256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4" s="93"/>
      <c r="J2564" s="90" t="str">
        <f>IF(Table26[[#This Row],[customerSKU]]="","",_xlfn.XLOOKUP(Table26[[#This Row],[customerSKU]],customerSKU!G:G,customerSKU!A:A,"",0,1))</f>
        <v/>
      </c>
      <c r="K2564" s="19"/>
      <c r="L2564" s="49" t="str">
        <f>IF(Table26[[#This Row],[customerSKU]]="","",_xlfn.XLOOKUP(Table26[[#This Row],[customerSKU]],customerSKU!G:G,customerSKU!B:B,"",0,1))</f>
        <v/>
      </c>
      <c r="M2564" s="22"/>
      <c r="N2564" s="15" t="str">
        <f>Table26[[#This Row],[po_number]]&amp;"-"&amp;Table26[[#This Row],[po_line]]</f>
        <v>-</v>
      </c>
      <c r="O2564" s="15"/>
      <c r="P2564" s="50"/>
      <c r="S2564" s="90" t="str">
        <f>IF(Table26[[#This Row],[customerSKU]]="","",_xlfn.XLOOKUP(Table26[[#This Row],[customerSKU]],customerSKU!G:G,customerSKU!N:N,"NOT FOUND",0,1))</f>
        <v/>
      </c>
      <c r="T2564" s="20"/>
      <c r="U2564" s="94"/>
      <c r="V2564" s="22" t="str">
        <f>IF(ISBLANK(Table26[[#This Row],[customerSKU]]),"",_xlfn.XLOOKUP(Table26[[#This Row],[customerSKU]],Table27[customer_SKU],Table27[case_size],"",0,1))</f>
        <v/>
      </c>
      <c r="W2564" s="117" t="str">
        <f t="shared" si="108"/>
        <v/>
      </c>
      <c r="X2564" s="22" t="str">
        <f t="shared" si="107"/>
        <v/>
      </c>
      <c r="Y2564" s="25" t="str">
        <f>IF(Table26[[#This Row],[customerSKU]]="","",_xlfn.XLOOKUP(Table26[[#This Row],[customerSKU]],Table27[customer_SKU],Table27[product_GTIN],"",0,1))</f>
        <v/>
      </c>
      <c r="Z2564" s="25"/>
      <c r="AA2564" s="18" t="str" cm="1">
        <f t="array" ref="AA2564">IF(P2564="", "", _xlfn.XLOOKUP(P2564,#REF!,#REF!,NA,0,-1))</f>
        <v/>
      </c>
      <c r="AB2564" s="22"/>
      <c r="AC2564" s="23" t="str">
        <f>IF(Table26[[#This Row],[customerSKU]]="","",_xlfn.XLOOKUP(Table26[[#This Row],[customerSKU]],customerSKU!G:G,customerSKU!C:C,"",0,1))</f>
        <v/>
      </c>
      <c r="AD2564" s="23" t="str">
        <f>IF($AC2564="","",_xlfn.XLOOKUP($AC2564,'Client Info'!$C$2:$C$2497,'Client Info'!$D$2:$D$2497,"",0,1))</f>
        <v/>
      </c>
      <c r="AE2564" s="23" t="str">
        <f>IF($AC2564="","",_xlfn.XLOOKUP($AC2564,'Client Info'!$C$2:$C$2677,'Client Info'!$E$2:$E$2677,"",))</f>
        <v/>
      </c>
      <c r="AF2564" s="23" t="str">
        <f>IF($AC2564="","",_xlfn.XLOOKUP($AC2564,'Client Info'!$C$2:$C$2677,'Client Info'!$F$2:$F$2677,"",0,1))</f>
        <v/>
      </c>
      <c r="AG2564" s="23" t="str">
        <f>IF(ISBLANK(Table26[[#This Row],[customerSKU]]),"",_xlfn.XLOOKUP(Table26[[#This Row],[customerSKU]],Table27[customer_SKU],Table27[billto],"",0,1))</f>
        <v/>
      </c>
      <c r="AH2564" s="26" t="str">
        <f>_xlfn.XLOOKUP(Table26[[#This Row],[customerSKU]],customerSKU!G:G,customerSKU!K:K,"NA",0,1)</f>
        <v>NA</v>
      </c>
      <c r="AI2564" s="43" t="str">
        <f>_xlfn.XLOOKUP(Table26[[#This Row],[customerSKU]],customerSKU!G:G,customerSKU!O:O,"not found",0,1)</f>
        <v>not found</v>
      </c>
      <c r="AJ2564" s="22" t="e">
        <f>Table26[[#This Row],[unitprice]]*Table26[[#This Row],[quantity_unit]]</f>
        <v>#VALUE!</v>
      </c>
      <c r="AK2564" s="227" t="e" cm="1">
        <f t="array" ref="AK256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4" s="227"/>
    </row>
    <row r="2565" spans="1:38" ht="15.6">
      <c r="A2565" s="42"/>
      <c r="B2565" s="42"/>
      <c r="C2565" s="53"/>
      <c r="E2565" s="20"/>
      <c r="F256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5" s="93"/>
      <c r="J2565" s="90" t="str">
        <f>IF(Table26[[#This Row],[customerSKU]]="","",_xlfn.XLOOKUP(Table26[[#This Row],[customerSKU]],customerSKU!G:G,customerSKU!A:A,"",0,1))</f>
        <v/>
      </c>
      <c r="K2565" s="19"/>
      <c r="L2565" s="49" t="str">
        <f>IF(Table26[[#This Row],[customerSKU]]="","",_xlfn.XLOOKUP(Table26[[#This Row],[customerSKU]],customerSKU!G:G,customerSKU!B:B,"",0,1))</f>
        <v/>
      </c>
      <c r="M2565" s="22"/>
      <c r="N2565" s="15" t="str">
        <f>Table26[[#This Row],[po_number]]&amp;"-"&amp;Table26[[#This Row],[po_line]]</f>
        <v>-</v>
      </c>
      <c r="O2565" s="15"/>
      <c r="P2565" s="50"/>
      <c r="S2565" s="90" t="str">
        <f>IF(Table26[[#This Row],[customerSKU]]="","",_xlfn.XLOOKUP(Table26[[#This Row],[customerSKU]],customerSKU!G:G,customerSKU!N:N,"NOT FOUND",0,1))</f>
        <v/>
      </c>
      <c r="T2565" s="20"/>
      <c r="U2565" s="94"/>
      <c r="V2565" s="22" t="str">
        <f>IF(ISBLANK(Table26[[#This Row],[customerSKU]]),"",_xlfn.XLOOKUP(Table26[[#This Row],[customerSKU]],Table27[customer_SKU],Table27[case_size],"",0,1))</f>
        <v/>
      </c>
      <c r="W2565" s="117" t="str">
        <f t="shared" si="108"/>
        <v/>
      </c>
      <c r="X2565" s="22" t="str">
        <f t="shared" si="107"/>
        <v/>
      </c>
      <c r="Y2565" s="25" t="str">
        <f>IF(Table26[[#This Row],[customerSKU]]="","",_xlfn.XLOOKUP(Table26[[#This Row],[customerSKU]],Table27[customer_SKU],Table27[product_GTIN],"",0,1))</f>
        <v/>
      </c>
      <c r="Z2565" s="25"/>
      <c r="AA2565" s="18" t="str" cm="1">
        <f t="array" ref="AA2565">IF(P2565="", "", _xlfn.XLOOKUP(P2565,#REF!,#REF!,NA,0,-1))</f>
        <v/>
      </c>
      <c r="AB2565" s="22"/>
      <c r="AC2565" s="23" t="str">
        <f>IF(Table26[[#This Row],[customerSKU]]="","",_xlfn.XLOOKUP(Table26[[#This Row],[customerSKU]],customerSKU!G:G,customerSKU!C:C,"",0,1))</f>
        <v/>
      </c>
      <c r="AD2565" s="23" t="str">
        <f>IF($AC2565="","",_xlfn.XLOOKUP($AC2565,'Client Info'!$C$2:$C$2497,'Client Info'!$D$2:$D$2497,"",0,1))</f>
        <v/>
      </c>
      <c r="AE2565" s="23" t="str">
        <f>IF($AC2565="","",_xlfn.XLOOKUP($AC2565,'Client Info'!$C$2:$C$2677,'Client Info'!$E$2:$E$2677,"",))</f>
        <v/>
      </c>
      <c r="AF2565" s="23" t="str">
        <f>IF($AC2565="","",_xlfn.XLOOKUP($AC2565,'Client Info'!$C$2:$C$2677,'Client Info'!$F$2:$F$2677,"",0,1))</f>
        <v/>
      </c>
      <c r="AG2565" s="23" t="str">
        <f>IF(ISBLANK(Table26[[#This Row],[customerSKU]]),"",_xlfn.XLOOKUP(Table26[[#This Row],[customerSKU]],Table27[customer_SKU],Table27[billto],"",0,1))</f>
        <v/>
      </c>
      <c r="AH2565" s="26" t="str">
        <f>_xlfn.XLOOKUP(Table26[[#This Row],[customerSKU]],customerSKU!G:G,customerSKU!K:K,"NA",0,1)</f>
        <v>NA</v>
      </c>
      <c r="AI2565" s="43" t="str">
        <f>_xlfn.XLOOKUP(Table26[[#This Row],[customerSKU]],customerSKU!G:G,customerSKU!O:O,"not found",0,1)</f>
        <v>not found</v>
      </c>
      <c r="AJ2565" s="22" t="e">
        <f>Table26[[#This Row],[unitprice]]*Table26[[#This Row],[quantity_unit]]</f>
        <v>#VALUE!</v>
      </c>
      <c r="AK2565" s="227" t="e" cm="1">
        <f t="array" ref="AK256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5" s="227"/>
    </row>
    <row r="2566" spans="1:38" ht="15.6">
      <c r="A2566" s="42"/>
      <c r="B2566" s="42"/>
      <c r="C2566" s="53"/>
      <c r="E2566" s="20"/>
      <c r="F256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6" s="93"/>
      <c r="J2566" s="90" t="str">
        <f>IF(Table26[[#This Row],[customerSKU]]="","",_xlfn.XLOOKUP(Table26[[#This Row],[customerSKU]],customerSKU!G:G,customerSKU!A:A,"",0,1))</f>
        <v/>
      </c>
      <c r="K2566" s="19"/>
      <c r="L2566" s="49" t="str">
        <f>IF(Table26[[#This Row],[customerSKU]]="","",_xlfn.XLOOKUP(Table26[[#This Row],[customerSKU]],customerSKU!G:G,customerSKU!B:B,"",0,1))</f>
        <v/>
      </c>
      <c r="M2566" s="22"/>
      <c r="N2566" s="15" t="str">
        <f>Table26[[#This Row],[po_number]]&amp;"-"&amp;Table26[[#This Row],[po_line]]</f>
        <v>-</v>
      </c>
      <c r="O2566" s="15"/>
      <c r="P2566" s="50"/>
      <c r="S2566" s="90" t="str">
        <f>IF(Table26[[#This Row],[customerSKU]]="","",_xlfn.XLOOKUP(Table26[[#This Row],[customerSKU]],customerSKU!G:G,customerSKU!N:N,"NOT FOUND",0,1))</f>
        <v/>
      </c>
      <c r="T2566" s="20"/>
      <c r="U2566" s="94"/>
      <c r="V2566" s="22" t="str">
        <f>IF(ISBLANK(Table26[[#This Row],[customerSKU]]),"",_xlfn.XLOOKUP(Table26[[#This Row],[customerSKU]],Table27[customer_SKU],Table27[case_size],"",0,1))</f>
        <v/>
      </c>
      <c r="W2566" s="117" t="str">
        <f t="shared" si="108"/>
        <v/>
      </c>
      <c r="X2566" s="22" t="str">
        <f t="shared" si="107"/>
        <v/>
      </c>
      <c r="Y2566" s="25" t="str">
        <f>IF(Table26[[#This Row],[customerSKU]]="","",_xlfn.XLOOKUP(Table26[[#This Row],[customerSKU]],Table27[customer_SKU],Table27[product_GTIN],"",0,1))</f>
        <v/>
      </c>
      <c r="Z2566" s="25"/>
      <c r="AA2566" s="18" t="str" cm="1">
        <f t="array" ref="AA2566">IF(P2566="", "", _xlfn.XLOOKUP(P2566,#REF!,#REF!,NA,0,-1))</f>
        <v/>
      </c>
      <c r="AB2566" s="22"/>
      <c r="AC2566" s="23" t="str">
        <f>IF(Table26[[#This Row],[customerSKU]]="","",_xlfn.XLOOKUP(Table26[[#This Row],[customerSKU]],customerSKU!G:G,customerSKU!C:C,"",0,1))</f>
        <v/>
      </c>
      <c r="AD2566" s="23" t="str">
        <f>IF($AC2566="","",_xlfn.XLOOKUP($AC2566,'Client Info'!$C$2:$C$2497,'Client Info'!$D$2:$D$2497,"",0,1))</f>
        <v/>
      </c>
      <c r="AE2566" s="23" t="str">
        <f>IF($AC2566="","",_xlfn.XLOOKUP($AC2566,'Client Info'!$C$2:$C$2677,'Client Info'!$E$2:$E$2677,"",))</f>
        <v/>
      </c>
      <c r="AF2566" s="23" t="str">
        <f>IF($AC2566="","",_xlfn.XLOOKUP($AC2566,'Client Info'!$C$2:$C$2677,'Client Info'!$F$2:$F$2677,"",0,1))</f>
        <v/>
      </c>
      <c r="AG2566" s="23" t="str">
        <f>IF(ISBLANK(Table26[[#This Row],[customerSKU]]),"",_xlfn.XLOOKUP(Table26[[#This Row],[customerSKU]],Table27[customer_SKU],Table27[billto],"",0,1))</f>
        <v/>
      </c>
      <c r="AH2566" s="26" t="str">
        <f>_xlfn.XLOOKUP(Table26[[#This Row],[customerSKU]],customerSKU!G:G,customerSKU!K:K,"NA",0,1)</f>
        <v>NA</v>
      </c>
      <c r="AI2566" s="43" t="str">
        <f>_xlfn.XLOOKUP(Table26[[#This Row],[customerSKU]],customerSKU!G:G,customerSKU!O:O,"not found",0,1)</f>
        <v>not found</v>
      </c>
      <c r="AJ2566" s="22" t="e">
        <f>Table26[[#This Row],[unitprice]]*Table26[[#This Row],[quantity_unit]]</f>
        <v>#VALUE!</v>
      </c>
      <c r="AK2566" s="227" t="e" cm="1">
        <f t="array" ref="AK256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6" s="227"/>
    </row>
    <row r="2567" spans="1:38" ht="15.6">
      <c r="A2567" s="42"/>
      <c r="B2567" s="42"/>
      <c r="C2567" s="53"/>
      <c r="E2567" s="20"/>
      <c r="F256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7" s="93"/>
      <c r="J2567" s="90" t="str">
        <f>IF(Table26[[#This Row],[customerSKU]]="","",_xlfn.XLOOKUP(Table26[[#This Row],[customerSKU]],customerSKU!G:G,customerSKU!A:A,"",0,1))</f>
        <v/>
      </c>
      <c r="K2567" s="19"/>
      <c r="L2567" s="49" t="str">
        <f>IF(Table26[[#This Row],[customerSKU]]="","",_xlfn.XLOOKUP(Table26[[#This Row],[customerSKU]],customerSKU!G:G,customerSKU!B:B,"",0,1))</f>
        <v/>
      </c>
      <c r="M2567" s="22"/>
      <c r="N2567" s="15" t="str">
        <f>Table26[[#This Row],[po_number]]&amp;"-"&amp;Table26[[#This Row],[po_line]]</f>
        <v>-</v>
      </c>
      <c r="O2567" s="15"/>
      <c r="P2567" s="50"/>
      <c r="S2567" s="90" t="str">
        <f>IF(Table26[[#This Row],[customerSKU]]="","",_xlfn.XLOOKUP(Table26[[#This Row],[customerSKU]],customerSKU!G:G,customerSKU!N:N,"NOT FOUND",0,1))</f>
        <v/>
      </c>
      <c r="T2567" s="20"/>
      <c r="U2567" s="94"/>
      <c r="V2567" s="22" t="str">
        <f>IF(ISBLANK(Table26[[#This Row],[customerSKU]]),"",_xlfn.XLOOKUP(Table26[[#This Row],[customerSKU]],Table27[customer_SKU],Table27[case_size],"",0,1))</f>
        <v/>
      </c>
      <c r="W2567" s="117" t="str">
        <f t="shared" si="108"/>
        <v/>
      </c>
      <c r="X2567" s="22" t="str">
        <f t="shared" si="107"/>
        <v/>
      </c>
      <c r="Y2567" s="25" t="str">
        <f>IF(Table26[[#This Row],[customerSKU]]="","",_xlfn.XLOOKUP(Table26[[#This Row],[customerSKU]],Table27[customer_SKU],Table27[product_GTIN],"",0,1))</f>
        <v/>
      </c>
      <c r="Z2567" s="25"/>
      <c r="AA2567" s="18" t="str" cm="1">
        <f t="array" ref="AA2567">IF(P2567="", "", _xlfn.XLOOKUP(P2567,#REF!,#REF!,NA,0,-1))</f>
        <v/>
      </c>
      <c r="AB2567" s="22"/>
      <c r="AC2567" s="23" t="str">
        <f>IF(Table26[[#This Row],[customerSKU]]="","",_xlfn.XLOOKUP(Table26[[#This Row],[customerSKU]],customerSKU!G:G,customerSKU!C:C,"",0,1))</f>
        <v/>
      </c>
      <c r="AD2567" s="23" t="str">
        <f>IF($AC2567="","",_xlfn.XLOOKUP($AC2567,'Client Info'!$C$2:$C$2497,'Client Info'!$D$2:$D$2497,"",0,1))</f>
        <v/>
      </c>
      <c r="AE2567" s="23" t="str">
        <f>IF($AC2567="","",_xlfn.XLOOKUP($AC2567,'Client Info'!$C$2:$C$2677,'Client Info'!$E$2:$E$2677,"",))</f>
        <v/>
      </c>
      <c r="AF2567" s="23" t="str">
        <f>IF($AC2567="","",_xlfn.XLOOKUP($AC2567,'Client Info'!$C$2:$C$2677,'Client Info'!$F$2:$F$2677,"",0,1))</f>
        <v/>
      </c>
      <c r="AG2567" s="23" t="str">
        <f>IF(ISBLANK(Table26[[#This Row],[customerSKU]]),"",_xlfn.XLOOKUP(Table26[[#This Row],[customerSKU]],Table27[customer_SKU],Table27[billto],"",0,1))</f>
        <v/>
      </c>
      <c r="AH2567" s="26" t="str">
        <f>_xlfn.XLOOKUP(Table26[[#This Row],[customerSKU]],customerSKU!G:G,customerSKU!K:K,"NA",0,1)</f>
        <v>NA</v>
      </c>
      <c r="AI2567" s="43" t="str">
        <f>_xlfn.XLOOKUP(Table26[[#This Row],[customerSKU]],customerSKU!G:G,customerSKU!O:O,"not found",0,1)</f>
        <v>not found</v>
      </c>
      <c r="AJ2567" s="22" t="e">
        <f>Table26[[#This Row],[unitprice]]*Table26[[#This Row],[quantity_unit]]</f>
        <v>#VALUE!</v>
      </c>
      <c r="AK2567" s="227" t="e" cm="1">
        <f t="array" ref="AK256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7" s="227"/>
    </row>
    <row r="2568" spans="1:38" ht="15.6">
      <c r="A2568" s="42"/>
      <c r="B2568" s="42"/>
      <c r="C2568" s="53"/>
      <c r="E2568" s="20"/>
      <c r="F256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8" s="93"/>
      <c r="J2568" s="90" t="str">
        <f>IF(Table26[[#This Row],[customerSKU]]="","",_xlfn.XLOOKUP(Table26[[#This Row],[customerSKU]],customerSKU!G:G,customerSKU!A:A,"",0,1))</f>
        <v/>
      </c>
      <c r="K2568" s="19"/>
      <c r="L2568" s="49" t="str">
        <f>IF(Table26[[#This Row],[customerSKU]]="","",_xlfn.XLOOKUP(Table26[[#This Row],[customerSKU]],customerSKU!G:G,customerSKU!B:B,"",0,1))</f>
        <v/>
      </c>
      <c r="M2568" s="22"/>
      <c r="N2568" s="15" t="str">
        <f>Table26[[#This Row],[po_number]]&amp;"-"&amp;Table26[[#This Row],[po_line]]</f>
        <v>-</v>
      </c>
      <c r="O2568" s="15"/>
      <c r="P2568" s="50"/>
      <c r="S2568" s="90" t="str">
        <f>IF(Table26[[#This Row],[customerSKU]]="","",_xlfn.XLOOKUP(Table26[[#This Row],[customerSKU]],customerSKU!G:G,customerSKU!N:N,"NOT FOUND",0,1))</f>
        <v/>
      </c>
      <c r="T2568" s="20"/>
      <c r="U2568" s="94"/>
      <c r="V2568" s="22" t="str">
        <f>IF(ISBLANK(Table26[[#This Row],[customerSKU]]),"",_xlfn.XLOOKUP(Table26[[#This Row],[customerSKU]],Table27[customer_SKU],Table27[case_size],"",0,1))</f>
        <v/>
      </c>
      <c r="W2568" s="117" t="str">
        <f t="shared" si="108"/>
        <v/>
      </c>
      <c r="X2568" s="22" t="str">
        <f t="shared" si="107"/>
        <v/>
      </c>
      <c r="Y2568" s="25" t="str">
        <f>IF(Table26[[#This Row],[customerSKU]]="","",_xlfn.XLOOKUP(Table26[[#This Row],[customerSKU]],Table27[customer_SKU],Table27[product_GTIN],"",0,1))</f>
        <v/>
      </c>
      <c r="Z2568" s="25"/>
      <c r="AA2568" s="18" t="str" cm="1">
        <f t="array" ref="AA2568">IF(P2568="", "", _xlfn.XLOOKUP(P2568,#REF!,#REF!,NA,0,-1))</f>
        <v/>
      </c>
      <c r="AB2568" s="22"/>
      <c r="AC2568" s="23" t="str">
        <f>IF(Table26[[#This Row],[customerSKU]]="","",_xlfn.XLOOKUP(Table26[[#This Row],[customerSKU]],customerSKU!G:G,customerSKU!C:C,"",0,1))</f>
        <v/>
      </c>
      <c r="AD2568" s="23" t="str">
        <f>IF($AC2568="","",_xlfn.XLOOKUP($AC2568,'Client Info'!$C$2:$C$2497,'Client Info'!$D$2:$D$2497,"",0,1))</f>
        <v/>
      </c>
      <c r="AE2568" s="23" t="str">
        <f>IF($AC2568="","",_xlfn.XLOOKUP($AC2568,'Client Info'!$C$2:$C$2677,'Client Info'!$E$2:$E$2677,"",))</f>
        <v/>
      </c>
      <c r="AF2568" s="23" t="str">
        <f>IF($AC2568="","",_xlfn.XLOOKUP($AC2568,'Client Info'!$C$2:$C$2677,'Client Info'!$F$2:$F$2677,"",0,1))</f>
        <v/>
      </c>
      <c r="AG2568" s="23" t="str">
        <f>IF(ISBLANK(Table26[[#This Row],[customerSKU]]),"",_xlfn.XLOOKUP(Table26[[#This Row],[customerSKU]],Table27[customer_SKU],Table27[billto],"",0,1))</f>
        <v/>
      </c>
      <c r="AH2568" s="26" t="str">
        <f>_xlfn.XLOOKUP(Table26[[#This Row],[customerSKU]],customerSKU!G:G,customerSKU!K:K,"NA",0,1)</f>
        <v>NA</v>
      </c>
      <c r="AI2568" s="43" t="str">
        <f>_xlfn.XLOOKUP(Table26[[#This Row],[customerSKU]],customerSKU!G:G,customerSKU!O:O,"not found",0,1)</f>
        <v>not found</v>
      </c>
      <c r="AJ2568" s="22" t="e">
        <f>Table26[[#This Row],[unitprice]]*Table26[[#This Row],[quantity_unit]]</f>
        <v>#VALUE!</v>
      </c>
      <c r="AK2568" s="227" t="e" cm="1">
        <f t="array" ref="AK256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8" s="227"/>
    </row>
    <row r="2569" spans="1:38" ht="15.6">
      <c r="A2569" s="42"/>
      <c r="B2569" s="42"/>
      <c r="C2569" s="53"/>
      <c r="E2569" s="20"/>
      <c r="F256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69" s="93"/>
      <c r="J2569" s="90" t="str">
        <f>IF(Table26[[#This Row],[customerSKU]]="","",_xlfn.XLOOKUP(Table26[[#This Row],[customerSKU]],customerSKU!G:G,customerSKU!A:A,"",0,1))</f>
        <v/>
      </c>
      <c r="K2569" s="19"/>
      <c r="L2569" s="49" t="str">
        <f>IF(Table26[[#This Row],[customerSKU]]="","",_xlfn.XLOOKUP(Table26[[#This Row],[customerSKU]],customerSKU!G:G,customerSKU!B:B,"",0,1))</f>
        <v/>
      </c>
      <c r="M2569" s="22"/>
      <c r="N2569" s="15" t="str">
        <f>Table26[[#This Row],[po_number]]&amp;"-"&amp;Table26[[#This Row],[po_line]]</f>
        <v>-</v>
      </c>
      <c r="O2569" s="15"/>
      <c r="P2569" s="50"/>
      <c r="S2569" s="90" t="str">
        <f>IF(Table26[[#This Row],[customerSKU]]="","",_xlfn.XLOOKUP(Table26[[#This Row],[customerSKU]],customerSKU!G:G,customerSKU!N:N,"NOT FOUND",0,1))</f>
        <v/>
      </c>
      <c r="T2569" s="20"/>
      <c r="U2569" s="94"/>
      <c r="V2569" s="22" t="str">
        <f>IF(ISBLANK(Table26[[#This Row],[customerSKU]]),"",_xlfn.XLOOKUP(Table26[[#This Row],[customerSKU]],Table27[customer_SKU],Table27[case_size],"",0,1))</f>
        <v/>
      </c>
      <c r="W2569" s="117" t="str">
        <f t="shared" si="108"/>
        <v/>
      </c>
      <c r="X2569" s="22" t="str">
        <f t="shared" si="107"/>
        <v/>
      </c>
      <c r="Y2569" s="25" t="str">
        <f>IF(Table26[[#This Row],[customerSKU]]="","",_xlfn.XLOOKUP(Table26[[#This Row],[customerSKU]],Table27[customer_SKU],Table27[product_GTIN],"",0,1))</f>
        <v/>
      </c>
      <c r="Z2569" s="25"/>
      <c r="AA2569" s="18" t="str" cm="1">
        <f t="array" ref="AA2569">IF(P2569="", "", _xlfn.XLOOKUP(P2569,#REF!,#REF!,NA,0,-1))</f>
        <v/>
      </c>
      <c r="AB2569" s="22"/>
      <c r="AC2569" s="23" t="str">
        <f>IF(Table26[[#This Row],[customerSKU]]="","",_xlfn.XLOOKUP(Table26[[#This Row],[customerSKU]],customerSKU!G:G,customerSKU!C:C,"",0,1))</f>
        <v/>
      </c>
      <c r="AD2569" s="23" t="str">
        <f>IF($AC2569="","",_xlfn.XLOOKUP($AC2569,'Client Info'!$C$2:$C$2497,'Client Info'!$D$2:$D$2497,"",0,1))</f>
        <v/>
      </c>
      <c r="AE2569" s="23" t="str">
        <f>IF($AC2569="","",_xlfn.XLOOKUP($AC2569,'Client Info'!$C$2:$C$2677,'Client Info'!$E$2:$E$2677,"",))</f>
        <v/>
      </c>
      <c r="AF2569" s="23" t="str">
        <f>IF($AC2569="","",_xlfn.XLOOKUP($AC2569,'Client Info'!$C$2:$C$2677,'Client Info'!$F$2:$F$2677,"",0,1))</f>
        <v/>
      </c>
      <c r="AG2569" s="23" t="str">
        <f>IF(ISBLANK(Table26[[#This Row],[customerSKU]]),"",_xlfn.XLOOKUP(Table26[[#This Row],[customerSKU]],Table27[customer_SKU],Table27[billto],"",0,1))</f>
        <v/>
      </c>
      <c r="AH2569" s="26" t="str">
        <f>_xlfn.XLOOKUP(Table26[[#This Row],[customerSKU]],customerSKU!G:G,customerSKU!K:K,"NA",0,1)</f>
        <v>NA</v>
      </c>
      <c r="AI2569" s="43" t="str">
        <f>_xlfn.XLOOKUP(Table26[[#This Row],[customerSKU]],customerSKU!G:G,customerSKU!O:O,"not found",0,1)</f>
        <v>not found</v>
      </c>
      <c r="AJ2569" s="22" t="e">
        <f>Table26[[#This Row],[unitprice]]*Table26[[#This Row],[quantity_unit]]</f>
        <v>#VALUE!</v>
      </c>
      <c r="AK2569" s="227" t="e" cm="1">
        <f t="array" ref="AK256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69" s="227"/>
    </row>
    <row r="2570" spans="1:38" ht="15.6">
      <c r="A2570" s="42"/>
      <c r="B2570" s="42"/>
      <c r="C2570" s="53"/>
      <c r="E2570" s="20"/>
      <c r="F257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0" s="93"/>
      <c r="J2570" s="90" t="str">
        <f>IF(Table26[[#This Row],[customerSKU]]="","",_xlfn.XLOOKUP(Table26[[#This Row],[customerSKU]],customerSKU!G:G,customerSKU!A:A,"",0,1))</f>
        <v/>
      </c>
      <c r="K2570" s="19"/>
      <c r="L2570" s="49" t="str">
        <f>IF(Table26[[#This Row],[customerSKU]]="","",_xlfn.XLOOKUP(Table26[[#This Row],[customerSKU]],customerSKU!G:G,customerSKU!B:B,"",0,1))</f>
        <v/>
      </c>
      <c r="M2570" s="22"/>
      <c r="N2570" s="15" t="str">
        <f>Table26[[#This Row],[po_number]]&amp;"-"&amp;Table26[[#This Row],[po_line]]</f>
        <v>-</v>
      </c>
      <c r="O2570" s="15"/>
      <c r="P2570" s="50"/>
      <c r="S2570" s="90" t="str">
        <f>IF(Table26[[#This Row],[customerSKU]]="","",_xlfn.XLOOKUP(Table26[[#This Row],[customerSKU]],customerSKU!G:G,customerSKU!N:N,"NOT FOUND",0,1))</f>
        <v/>
      </c>
      <c r="T2570" s="20"/>
      <c r="U2570" s="94"/>
      <c r="V2570" s="22" t="str">
        <f>IF(ISBLANK(Table26[[#This Row],[customerSKU]]),"",_xlfn.XLOOKUP(Table26[[#This Row],[customerSKU]],Table27[customer_SKU],Table27[case_size],"",0,1))</f>
        <v/>
      </c>
      <c r="W2570" s="117" t="str">
        <f t="shared" si="108"/>
        <v/>
      </c>
      <c r="X2570" s="22" t="str">
        <f t="shared" si="107"/>
        <v/>
      </c>
      <c r="Y2570" s="25" t="str">
        <f>IF(Table26[[#This Row],[customerSKU]]="","",_xlfn.XLOOKUP(Table26[[#This Row],[customerSKU]],Table27[customer_SKU],Table27[product_GTIN],"",0,1))</f>
        <v/>
      </c>
      <c r="Z2570" s="25"/>
      <c r="AA2570" s="18" t="str" cm="1">
        <f t="array" ref="AA2570">IF(P2570="", "", _xlfn.XLOOKUP(P2570,#REF!,#REF!,NA,0,-1))</f>
        <v/>
      </c>
      <c r="AB2570" s="22"/>
      <c r="AC2570" s="23" t="str">
        <f>IF(Table26[[#This Row],[customerSKU]]="","",_xlfn.XLOOKUP(Table26[[#This Row],[customerSKU]],customerSKU!G:G,customerSKU!C:C,"",0,1))</f>
        <v/>
      </c>
      <c r="AD2570" s="23" t="str">
        <f>IF($AC2570="","",_xlfn.XLOOKUP($AC2570,'Client Info'!$C$2:$C$2497,'Client Info'!$D$2:$D$2497,"",0,1))</f>
        <v/>
      </c>
      <c r="AE2570" s="23" t="str">
        <f>IF($AC2570="","",_xlfn.XLOOKUP($AC2570,'Client Info'!$C$2:$C$2677,'Client Info'!$E$2:$E$2677,"",))</f>
        <v/>
      </c>
      <c r="AF2570" s="23" t="str">
        <f>IF($AC2570="","",_xlfn.XLOOKUP($AC2570,'Client Info'!$C$2:$C$2677,'Client Info'!$F$2:$F$2677,"",0,1))</f>
        <v/>
      </c>
      <c r="AG2570" s="23" t="str">
        <f>IF(ISBLANK(Table26[[#This Row],[customerSKU]]),"",_xlfn.XLOOKUP(Table26[[#This Row],[customerSKU]],Table27[customer_SKU],Table27[billto],"",0,1))</f>
        <v/>
      </c>
      <c r="AH2570" s="26" t="str">
        <f>_xlfn.XLOOKUP(Table26[[#This Row],[customerSKU]],customerSKU!G:G,customerSKU!K:K,"NA",0,1)</f>
        <v>NA</v>
      </c>
      <c r="AI2570" s="43" t="str">
        <f>_xlfn.XLOOKUP(Table26[[#This Row],[customerSKU]],customerSKU!G:G,customerSKU!O:O,"not found",0,1)</f>
        <v>not found</v>
      </c>
      <c r="AJ2570" s="22" t="e">
        <f>Table26[[#This Row],[unitprice]]*Table26[[#This Row],[quantity_unit]]</f>
        <v>#VALUE!</v>
      </c>
      <c r="AK2570" s="227" t="e" cm="1">
        <f t="array" ref="AK257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0" s="227"/>
    </row>
    <row r="2571" spans="1:38" ht="15.6">
      <c r="A2571" s="42"/>
      <c r="B2571" s="42"/>
      <c r="C2571" s="53"/>
      <c r="E2571" s="20"/>
      <c r="F257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1" s="93"/>
      <c r="J2571" s="90" t="str">
        <f>IF(Table26[[#This Row],[customerSKU]]="","",_xlfn.XLOOKUP(Table26[[#This Row],[customerSKU]],customerSKU!G:G,customerSKU!A:A,"",0,1))</f>
        <v/>
      </c>
      <c r="K2571" s="19"/>
      <c r="L2571" s="49" t="str">
        <f>IF(Table26[[#This Row],[customerSKU]]="","",_xlfn.XLOOKUP(Table26[[#This Row],[customerSKU]],customerSKU!G:G,customerSKU!B:B,"",0,1))</f>
        <v/>
      </c>
      <c r="M2571" s="22"/>
      <c r="N2571" s="15" t="str">
        <f>Table26[[#This Row],[po_number]]&amp;"-"&amp;Table26[[#This Row],[po_line]]</f>
        <v>-</v>
      </c>
      <c r="O2571" s="15"/>
      <c r="P2571" s="50"/>
      <c r="S2571" s="90" t="str">
        <f>IF(Table26[[#This Row],[customerSKU]]="","",_xlfn.XLOOKUP(Table26[[#This Row],[customerSKU]],customerSKU!G:G,customerSKU!N:N,"NOT FOUND",0,1))</f>
        <v/>
      </c>
      <c r="T2571" s="20"/>
      <c r="U2571" s="94"/>
      <c r="V2571" s="22" t="str">
        <f>IF(ISBLANK(Table26[[#This Row],[customerSKU]]),"",_xlfn.XLOOKUP(Table26[[#This Row],[customerSKU]],Table27[customer_SKU],Table27[case_size],"",0,1))</f>
        <v/>
      </c>
      <c r="W2571" s="117" t="str">
        <f t="shared" si="108"/>
        <v/>
      </c>
      <c r="X2571" s="22" t="str">
        <f t="shared" si="107"/>
        <v/>
      </c>
      <c r="Y2571" s="25" t="str">
        <f>IF(Table26[[#This Row],[customerSKU]]="","",_xlfn.XLOOKUP(Table26[[#This Row],[customerSKU]],Table27[customer_SKU],Table27[product_GTIN],"",0,1))</f>
        <v/>
      </c>
      <c r="Z2571" s="25"/>
      <c r="AA2571" s="18" t="str" cm="1">
        <f t="array" ref="AA2571">IF(P2571="", "", _xlfn.XLOOKUP(P2571,#REF!,#REF!,NA,0,-1))</f>
        <v/>
      </c>
      <c r="AB2571" s="22"/>
      <c r="AC2571" s="23" t="str">
        <f>IF(Table26[[#This Row],[customerSKU]]="","",_xlfn.XLOOKUP(Table26[[#This Row],[customerSKU]],customerSKU!G:G,customerSKU!C:C,"",0,1))</f>
        <v/>
      </c>
      <c r="AD2571" s="23" t="str">
        <f>IF($AC2571="","",_xlfn.XLOOKUP($AC2571,'Client Info'!$C$2:$C$2497,'Client Info'!$D$2:$D$2497,"",0,1))</f>
        <v/>
      </c>
      <c r="AE2571" s="23" t="str">
        <f>IF($AC2571="","",_xlfn.XLOOKUP($AC2571,'Client Info'!$C$2:$C$2677,'Client Info'!$E$2:$E$2677,"",))</f>
        <v/>
      </c>
      <c r="AF2571" s="23" t="str">
        <f>IF($AC2571="","",_xlfn.XLOOKUP($AC2571,'Client Info'!$C$2:$C$2677,'Client Info'!$F$2:$F$2677,"",0,1))</f>
        <v/>
      </c>
      <c r="AG2571" s="23" t="str">
        <f>IF(ISBLANK(Table26[[#This Row],[customerSKU]]),"",_xlfn.XLOOKUP(Table26[[#This Row],[customerSKU]],Table27[customer_SKU],Table27[billto],"",0,1))</f>
        <v/>
      </c>
      <c r="AH2571" s="26" t="str">
        <f>_xlfn.XLOOKUP(Table26[[#This Row],[customerSKU]],customerSKU!G:G,customerSKU!K:K,"NA",0,1)</f>
        <v>NA</v>
      </c>
      <c r="AI2571" s="43" t="str">
        <f>_xlfn.XLOOKUP(Table26[[#This Row],[customerSKU]],customerSKU!G:G,customerSKU!O:O,"not found",0,1)</f>
        <v>not found</v>
      </c>
      <c r="AJ2571" s="22" t="e">
        <f>Table26[[#This Row],[unitprice]]*Table26[[#This Row],[quantity_unit]]</f>
        <v>#VALUE!</v>
      </c>
      <c r="AK2571" s="227" t="e" cm="1">
        <f t="array" ref="AK257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1" s="227"/>
    </row>
    <row r="2572" spans="1:38" ht="15.6">
      <c r="A2572" s="42"/>
      <c r="B2572" s="42"/>
      <c r="C2572" s="53"/>
      <c r="E2572" s="20"/>
      <c r="F257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2" s="93"/>
      <c r="J2572" s="90" t="str">
        <f>IF(Table26[[#This Row],[customerSKU]]="","",_xlfn.XLOOKUP(Table26[[#This Row],[customerSKU]],customerSKU!G:G,customerSKU!A:A,"",0,1))</f>
        <v/>
      </c>
      <c r="K2572" s="19"/>
      <c r="L2572" s="49" t="str">
        <f>IF(Table26[[#This Row],[customerSKU]]="","",_xlfn.XLOOKUP(Table26[[#This Row],[customerSKU]],customerSKU!G:G,customerSKU!B:B,"",0,1))</f>
        <v/>
      </c>
      <c r="M2572" s="22"/>
      <c r="N2572" s="15" t="str">
        <f>Table26[[#This Row],[po_number]]&amp;"-"&amp;Table26[[#This Row],[po_line]]</f>
        <v>-</v>
      </c>
      <c r="O2572" s="15"/>
      <c r="P2572" s="50"/>
      <c r="S2572" s="90" t="str">
        <f>IF(Table26[[#This Row],[customerSKU]]="","",_xlfn.XLOOKUP(Table26[[#This Row],[customerSKU]],customerSKU!G:G,customerSKU!N:N,"NOT FOUND",0,1))</f>
        <v/>
      </c>
      <c r="T2572" s="20"/>
      <c r="U2572" s="94"/>
      <c r="V2572" s="22" t="str">
        <f>IF(ISBLANK(Table26[[#This Row],[customerSKU]]),"",_xlfn.XLOOKUP(Table26[[#This Row],[customerSKU]],Table27[customer_SKU],Table27[case_size],"",0,1))</f>
        <v/>
      </c>
      <c r="W2572" s="117" t="str">
        <f t="shared" si="108"/>
        <v/>
      </c>
      <c r="X2572" s="22" t="str">
        <f t="shared" si="107"/>
        <v/>
      </c>
      <c r="Y2572" s="25" t="str">
        <f>IF(Table26[[#This Row],[customerSKU]]="","",_xlfn.XLOOKUP(Table26[[#This Row],[customerSKU]],Table27[customer_SKU],Table27[product_GTIN],"",0,1))</f>
        <v/>
      </c>
      <c r="Z2572" s="25"/>
      <c r="AA2572" s="18" t="str" cm="1">
        <f t="array" ref="AA2572">IF(P2572="", "", _xlfn.XLOOKUP(P2572,#REF!,#REF!,NA,0,-1))</f>
        <v/>
      </c>
      <c r="AB2572" s="22"/>
      <c r="AC2572" s="23" t="str">
        <f>IF(Table26[[#This Row],[customerSKU]]="","",_xlfn.XLOOKUP(Table26[[#This Row],[customerSKU]],customerSKU!G:G,customerSKU!C:C,"",0,1))</f>
        <v/>
      </c>
      <c r="AD2572" s="23" t="str">
        <f>IF($AC2572="","",_xlfn.XLOOKUP($AC2572,'Client Info'!$C$2:$C$2497,'Client Info'!$D$2:$D$2497,"",0,1))</f>
        <v/>
      </c>
      <c r="AE2572" s="23" t="str">
        <f>IF($AC2572="","",_xlfn.XLOOKUP($AC2572,'Client Info'!$C$2:$C$2677,'Client Info'!$E$2:$E$2677,"",))</f>
        <v/>
      </c>
      <c r="AF2572" s="23" t="str">
        <f>IF($AC2572="","",_xlfn.XLOOKUP($AC2572,'Client Info'!$C$2:$C$2677,'Client Info'!$F$2:$F$2677,"",0,1))</f>
        <v/>
      </c>
      <c r="AG2572" s="23" t="str">
        <f>IF(ISBLANK(Table26[[#This Row],[customerSKU]]),"",_xlfn.XLOOKUP(Table26[[#This Row],[customerSKU]],Table27[customer_SKU],Table27[billto],"",0,1))</f>
        <v/>
      </c>
      <c r="AH2572" s="26" t="str">
        <f>_xlfn.XLOOKUP(Table26[[#This Row],[customerSKU]],customerSKU!G:G,customerSKU!K:K,"NA",0,1)</f>
        <v>NA</v>
      </c>
      <c r="AI2572" s="43" t="str">
        <f>_xlfn.XLOOKUP(Table26[[#This Row],[customerSKU]],customerSKU!G:G,customerSKU!O:O,"not found",0,1)</f>
        <v>not found</v>
      </c>
      <c r="AJ2572" s="22" t="e">
        <f>Table26[[#This Row],[unitprice]]*Table26[[#This Row],[quantity_unit]]</f>
        <v>#VALUE!</v>
      </c>
      <c r="AK2572" s="227" t="e" cm="1">
        <f t="array" ref="AK257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2" s="227"/>
    </row>
    <row r="2573" spans="1:38" ht="15.6">
      <c r="A2573" s="42"/>
      <c r="B2573" s="42"/>
      <c r="C2573" s="53"/>
      <c r="E2573" s="20"/>
      <c r="F257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3" s="93"/>
      <c r="J2573" s="90" t="str">
        <f>IF(Table26[[#This Row],[customerSKU]]="","",_xlfn.XLOOKUP(Table26[[#This Row],[customerSKU]],customerSKU!G:G,customerSKU!A:A,"",0,1))</f>
        <v/>
      </c>
      <c r="K2573" s="19"/>
      <c r="L2573" s="49" t="str">
        <f>IF(Table26[[#This Row],[customerSKU]]="","",_xlfn.XLOOKUP(Table26[[#This Row],[customerSKU]],customerSKU!G:G,customerSKU!B:B,"",0,1))</f>
        <v/>
      </c>
      <c r="M2573" s="22"/>
      <c r="N2573" s="15" t="str">
        <f>Table26[[#This Row],[po_number]]&amp;"-"&amp;Table26[[#This Row],[po_line]]</f>
        <v>-</v>
      </c>
      <c r="O2573" s="15"/>
      <c r="P2573" s="50"/>
      <c r="S2573" s="90" t="str">
        <f>IF(Table26[[#This Row],[customerSKU]]="","",_xlfn.XLOOKUP(Table26[[#This Row],[customerSKU]],customerSKU!G:G,customerSKU!N:N,"NOT FOUND",0,1))</f>
        <v/>
      </c>
      <c r="T2573" s="20"/>
      <c r="U2573" s="94"/>
      <c r="V2573" s="22" t="str">
        <f>IF(ISBLANK(Table26[[#This Row],[customerSKU]]),"",_xlfn.XLOOKUP(Table26[[#This Row],[customerSKU]],Table27[customer_SKU],Table27[case_size],"",0,1))</f>
        <v/>
      </c>
      <c r="W2573" s="117" t="str">
        <f t="shared" si="108"/>
        <v/>
      </c>
      <c r="X2573" s="22" t="str">
        <f t="shared" si="107"/>
        <v/>
      </c>
      <c r="Y2573" s="25" t="str">
        <f>IF(Table26[[#This Row],[customerSKU]]="","",_xlfn.XLOOKUP(Table26[[#This Row],[customerSKU]],Table27[customer_SKU],Table27[product_GTIN],"",0,1))</f>
        <v/>
      </c>
      <c r="Z2573" s="25"/>
      <c r="AA2573" s="18" t="str" cm="1">
        <f t="array" ref="AA2573">IF(P2573="", "", _xlfn.XLOOKUP(P2573,#REF!,#REF!,NA,0,-1))</f>
        <v/>
      </c>
      <c r="AB2573" s="22"/>
      <c r="AC2573" s="23" t="str">
        <f>IF(Table26[[#This Row],[customerSKU]]="","",_xlfn.XLOOKUP(Table26[[#This Row],[customerSKU]],customerSKU!G:G,customerSKU!C:C,"",0,1))</f>
        <v/>
      </c>
      <c r="AD2573" s="23" t="str">
        <f>IF($AC2573="","",_xlfn.XLOOKUP($AC2573,'Client Info'!$C$2:$C$2497,'Client Info'!$D$2:$D$2497,"",0,1))</f>
        <v/>
      </c>
      <c r="AE2573" s="23" t="str">
        <f>IF($AC2573="","",_xlfn.XLOOKUP($AC2573,'Client Info'!$C$2:$C$2677,'Client Info'!$E$2:$E$2677,"",))</f>
        <v/>
      </c>
      <c r="AF2573" s="23" t="str">
        <f>IF($AC2573="","",_xlfn.XLOOKUP($AC2573,'Client Info'!$C$2:$C$2677,'Client Info'!$F$2:$F$2677,"",0,1))</f>
        <v/>
      </c>
      <c r="AG2573" s="23" t="str">
        <f>IF(ISBLANK(Table26[[#This Row],[customerSKU]]),"",_xlfn.XLOOKUP(Table26[[#This Row],[customerSKU]],Table27[customer_SKU],Table27[billto],"",0,1))</f>
        <v/>
      </c>
      <c r="AH2573" s="26" t="str">
        <f>_xlfn.XLOOKUP(Table26[[#This Row],[customerSKU]],customerSKU!G:G,customerSKU!K:K,"NA",0,1)</f>
        <v>NA</v>
      </c>
      <c r="AI2573" s="43" t="str">
        <f>_xlfn.XLOOKUP(Table26[[#This Row],[customerSKU]],customerSKU!G:G,customerSKU!O:O,"not found",0,1)</f>
        <v>not found</v>
      </c>
      <c r="AJ2573" s="22" t="e">
        <f>Table26[[#This Row],[unitprice]]*Table26[[#This Row],[quantity_unit]]</f>
        <v>#VALUE!</v>
      </c>
      <c r="AK2573" s="227" t="e" cm="1">
        <f t="array" ref="AK257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3" s="227"/>
    </row>
    <row r="2574" spans="1:38" ht="15.6">
      <c r="A2574" s="42"/>
      <c r="B2574" s="42"/>
      <c r="C2574" s="53"/>
      <c r="E2574" s="20"/>
      <c r="F257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4" s="93"/>
      <c r="J2574" s="90" t="str">
        <f>IF(Table26[[#This Row],[customerSKU]]="","",_xlfn.XLOOKUP(Table26[[#This Row],[customerSKU]],customerSKU!G:G,customerSKU!A:A,"",0,1))</f>
        <v/>
      </c>
      <c r="K2574" s="19"/>
      <c r="L2574" s="49" t="str">
        <f>IF(Table26[[#This Row],[customerSKU]]="","",_xlfn.XLOOKUP(Table26[[#This Row],[customerSKU]],customerSKU!G:G,customerSKU!B:B,"",0,1))</f>
        <v/>
      </c>
      <c r="M2574" s="22"/>
      <c r="N2574" s="15" t="str">
        <f>Table26[[#This Row],[po_number]]&amp;"-"&amp;Table26[[#This Row],[po_line]]</f>
        <v>-</v>
      </c>
      <c r="O2574" s="15"/>
      <c r="P2574" s="50"/>
      <c r="S2574" s="90" t="str">
        <f>IF(Table26[[#This Row],[customerSKU]]="","",_xlfn.XLOOKUP(Table26[[#This Row],[customerSKU]],customerSKU!G:G,customerSKU!N:N,"NOT FOUND",0,1))</f>
        <v/>
      </c>
      <c r="T2574" s="20"/>
      <c r="U2574" s="94"/>
      <c r="V2574" s="22" t="str">
        <f>IF(ISBLANK(Table26[[#This Row],[customerSKU]]),"",_xlfn.XLOOKUP(Table26[[#This Row],[customerSKU]],Table27[customer_SKU],Table27[case_size],"",0,1))</f>
        <v/>
      </c>
      <c r="W2574" s="117" t="str">
        <f t="shared" si="108"/>
        <v/>
      </c>
      <c r="X2574" s="22" t="str">
        <f t="shared" si="107"/>
        <v/>
      </c>
      <c r="Y2574" s="25" t="str">
        <f>IF(Table26[[#This Row],[customerSKU]]="","",_xlfn.XLOOKUP(Table26[[#This Row],[customerSKU]],Table27[customer_SKU],Table27[product_GTIN],"",0,1))</f>
        <v/>
      </c>
      <c r="Z2574" s="25"/>
      <c r="AA2574" s="18" t="str" cm="1">
        <f t="array" ref="AA2574">IF(P2574="", "", _xlfn.XLOOKUP(P2574,#REF!,#REF!,NA,0,-1))</f>
        <v/>
      </c>
      <c r="AB2574" s="22"/>
      <c r="AC2574" s="23" t="str">
        <f>IF(Table26[[#This Row],[customerSKU]]="","",_xlfn.XLOOKUP(Table26[[#This Row],[customerSKU]],customerSKU!G:G,customerSKU!C:C,"",0,1))</f>
        <v/>
      </c>
      <c r="AD2574" s="23" t="str">
        <f>IF($AC2574="","",_xlfn.XLOOKUP($AC2574,'Client Info'!$C$2:$C$2497,'Client Info'!$D$2:$D$2497,"",0,1))</f>
        <v/>
      </c>
      <c r="AE2574" s="23" t="str">
        <f>IF($AC2574="","",_xlfn.XLOOKUP($AC2574,'Client Info'!$C$2:$C$2677,'Client Info'!$E$2:$E$2677,"",))</f>
        <v/>
      </c>
      <c r="AF2574" s="23" t="str">
        <f>IF($AC2574="","",_xlfn.XLOOKUP($AC2574,'Client Info'!$C$2:$C$2677,'Client Info'!$F$2:$F$2677,"",0,1))</f>
        <v/>
      </c>
      <c r="AG2574" s="23" t="str">
        <f>IF(ISBLANK(Table26[[#This Row],[customerSKU]]),"",_xlfn.XLOOKUP(Table26[[#This Row],[customerSKU]],Table27[customer_SKU],Table27[billto],"",0,1))</f>
        <v/>
      </c>
      <c r="AH2574" s="26" t="str">
        <f>_xlfn.XLOOKUP(Table26[[#This Row],[customerSKU]],customerSKU!G:G,customerSKU!K:K,"NA",0,1)</f>
        <v>NA</v>
      </c>
      <c r="AI2574" s="43" t="str">
        <f>_xlfn.XLOOKUP(Table26[[#This Row],[customerSKU]],customerSKU!G:G,customerSKU!O:O,"not found",0,1)</f>
        <v>not found</v>
      </c>
      <c r="AJ2574" s="22" t="e">
        <f>Table26[[#This Row],[unitprice]]*Table26[[#This Row],[quantity_unit]]</f>
        <v>#VALUE!</v>
      </c>
      <c r="AK2574" s="227" t="e" cm="1">
        <f t="array" ref="AK257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4" s="227"/>
    </row>
    <row r="2575" spans="1:38" ht="15.6">
      <c r="A2575" s="42"/>
      <c r="B2575" s="42"/>
      <c r="C2575" s="53"/>
      <c r="E2575" s="20"/>
      <c r="F257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5" s="93"/>
      <c r="J2575" s="90" t="str">
        <f>IF(Table26[[#This Row],[customerSKU]]="","",_xlfn.XLOOKUP(Table26[[#This Row],[customerSKU]],customerSKU!G:G,customerSKU!A:A,"",0,1))</f>
        <v/>
      </c>
      <c r="K2575" s="19"/>
      <c r="L2575" s="49" t="str">
        <f>IF(Table26[[#This Row],[customerSKU]]="","",_xlfn.XLOOKUP(Table26[[#This Row],[customerSKU]],customerSKU!G:G,customerSKU!B:B,"",0,1))</f>
        <v/>
      </c>
      <c r="M2575" s="22"/>
      <c r="N2575" s="15" t="str">
        <f>Table26[[#This Row],[po_number]]&amp;"-"&amp;Table26[[#This Row],[po_line]]</f>
        <v>-</v>
      </c>
      <c r="O2575" s="15"/>
      <c r="P2575" s="50"/>
      <c r="S2575" s="90" t="str">
        <f>IF(Table26[[#This Row],[customerSKU]]="","",_xlfn.XLOOKUP(Table26[[#This Row],[customerSKU]],customerSKU!G:G,customerSKU!N:N,"NOT FOUND",0,1))</f>
        <v/>
      </c>
      <c r="T2575" s="20"/>
      <c r="U2575" s="94"/>
      <c r="V2575" s="22" t="str">
        <f>IF(ISBLANK(Table26[[#This Row],[customerSKU]]),"",_xlfn.XLOOKUP(Table26[[#This Row],[customerSKU]],Table27[customer_SKU],Table27[case_size],"",0,1))</f>
        <v/>
      </c>
      <c r="W2575" s="117" t="str">
        <f t="shared" si="108"/>
        <v/>
      </c>
      <c r="X2575" s="22" t="str">
        <f t="shared" si="107"/>
        <v/>
      </c>
      <c r="Y2575" s="25" t="str">
        <f>IF(Table26[[#This Row],[customerSKU]]="","",_xlfn.XLOOKUP(Table26[[#This Row],[customerSKU]],Table27[customer_SKU],Table27[product_GTIN],"",0,1))</f>
        <v/>
      </c>
      <c r="Z2575" s="25"/>
      <c r="AA2575" s="18" t="str" cm="1">
        <f t="array" ref="AA2575">IF(P2575="", "", _xlfn.XLOOKUP(P2575,#REF!,#REF!,NA,0,-1))</f>
        <v/>
      </c>
      <c r="AB2575" s="22"/>
      <c r="AC2575" s="23" t="str">
        <f>IF(Table26[[#This Row],[customerSKU]]="","",_xlfn.XLOOKUP(Table26[[#This Row],[customerSKU]],customerSKU!G:G,customerSKU!C:C,"",0,1))</f>
        <v/>
      </c>
      <c r="AD2575" s="23" t="str">
        <f>IF($AC2575="","",_xlfn.XLOOKUP($AC2575,'Client Info'!$C$2:$C$2497,'Client Info'!$D$2:$D$2497,"",0,1))</f>
        <v/>
      </c>
      <c r="AE2575" s="23" t="str">
        <f>IF($AC2575="","",_xlfn.XLOOKUP($AC2575,'Client Info'!$C$2:$C$2677,'Client Info'!$E$2:$E$2677,"",))</f>
        <v/>
      </c>
      <c r="AF2575" s="23" t="str">
        <f>IF($AC2575="","",_xlfn.XLOOKUP($AC2575,'Client Info'!$C$2:$C$2677,'Client Info'!$F$2:$F$2677,"",0,1))</f>
        <v/>
      </c>
      <c r="AG2575" s="23" t="str">
        <f>IF(ISBLANK(Table26[[#This Row],[customerSKU]]),"",_xlfn.XLOOKUP(Table26[[#This Row],[customerSKU]],Table27[customer_SKU],Table27[billto],"",0,1))</f>
        <v/>
      </c>
      <c r="AH2575" s="26" t="str">
        <f>_xlfn.XLOOKUP(Table26[[#This Row],[customerSKU]],customerSKU!G:G,customerSKU!K:K,"NA",0,1)</f>
        <v>NA</v>
      </c>
      <c r="AI2575" s="43" t="str">
        <f>_xlfn.XLOOKUP(Table26[[#This Row],[customerSKU]],customerSKU!G:G,customerSKU!O:O,"not found",0,1)</f>
        <v>not found</v>
      </c>
      <c r="AJ2575" s="22" t="e">
        <f>Table26[[#This Row],[unitprice]]*Table26[[#This Row],[quantity_unit]]</f>
        <v>#VALUE!</v>
      </c>
      <c r="AK2575" s="227" t="e" cm="1">
        <f t="array" ref="AK257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5" s="227"/>
    </row>
    <row r="2576" spans="1:38" ht="15.6">
      <c r="A2576" s="42"/>
      <c r="B2576" s="42"/>
      <c r="C2576" s="53"/>
      <c r="E2576" s="20"/>
      <c r="F257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6" s="93"/>
      <c r="J2576" s="90" t="str">
        <f>IF(Table26[[#This Row],[customerSKU]]="","",_xlfn.XLOOKUP(Table26[[#This Row],[customerSKU]],customerSKU!G:G,customerSKU!A:A,"",0,1))</f>
        <v/>
      </c>
      <c r="K2576" s="19"/>
      <c r="L2576" s="49" t="str">
        <f>IF(Table26[[#This Row],[customerSKU]]="","",_xlfn.XLOOKUP(Table26[[#This Row],[customerSKU]],customerSKU!G:G,customerSKU!B:B,"",0,1))</f>
        <v/>
      </c>
      <c r="M2576" s="22"/>
      <c r="N2576" s="15" t="str">
        <f>Table26[[#This Row],[po_number]]&amp;"-"&amp;Table26[[#This Row],[po_line]]</f>
        <v>-</v>
      </c>
      <c r="O2576" s="15"/>
      <c r="P2576" s="50"/>
      <c r="S2576" s="90" t="str">
        <f>IF(Table26[[#This Row],[customerSKU]]="","",_xlfn.XLOOKUP(Table26[[#This Row],[customerSKU]],customerSKU!G:G,customerSKU!N:N,"NOT FOUND",0,1))</f>
        <v/>
      </c>
      <c r="T2576" s="20"/>
      <c r="U2576" s="94"/>
      <c r="V2576" s="22" t="str">
        <f>IF(ISBLANK(Table26[[#This Row],[customerSKU]]),"",_xlfn.XLOOKUP(Table26[[#This Row],[customerSKU]],Table27[customer_SKU],Table27[case_size],"",0,1))</f>
        <v/>
      </c>
      <c r="W2576" s="117" t="str">
        <f t="shared" si="108"/>
        <v/>
      </c>
      <c r="X2576" s="22" t="str">
        <f t="shared" si="107"/>
        <v/>
      </c>
      <c r="Y2576" s="25" t="str">
        <f>IF(Table26[[#This Row],[customerSKU]]="","",_xlfn.XLOOKUP(Table26[[#This Row],[customerSKU]],Table27[customer_SKU],Table27[product_GTIN],"",0,1))</f>
        <v/>
      </c>
      <c r="Z2576" s="25"/>
      <c r="AA2576" s="18" t="str" cm="1">
        <f t="array" ref="AA2576">IF(P2576="", "", _xlfn.XLOOKUP(P2576,#REF!,#REF!,NA,0,-1))</f>
        <v/>
      </c>
      <c r="AB2576" s="22"/>
      <c r="AC2576" s="23" t="str">
        <f>IF(Table26[[#This Row],[customerSKU]]="","",_xlfn.XLOOKUP(Table26[[#This Row],[customerSKU]],customerSKU!G:G,customerSKU!C:C,"",0,1))</f>
        <v/>
      </c>
      <c r="AD2576" s="23" t="str">
        <f>IF($AC2576="","",_xlfn.XLOOKUP($AC2576,'Client Info'!$C$2:$C$2497,'Client Info'!$D$2:$D$2497,"",0,1))</f>
        <v/>
      </c>
      <c r="AE2576" s="23" t="str">
        <f>IF($AC2576="","",_xlfn.XLOOKUP($AC2576,'Client Info'!$C$2:$C$2677,'Client Info'!$E$2:$E$2677,"",))</f>
        <v/>
      </c>
      <c r="AF2576" s="23" t="str">
        <f>IF($AC2576="","",_xlfn.XLOOKUP($AC2576,'Client Info'!$C$2:$C$2677,'Client Info'!$F$2:$F$2677,"",0,1))</f>
        <v/>
      </c>
      <c r="AG2576" s="23" t="str">
        <f>IF(ISBLANK(Table26[[#This Row],[customerSKU]]),"",_xlfn.XLOOKUP(Table26[[#This Row],[customerSKU]],Table27[customer_SKU],Table27[billto],"",0,1))</f>
        <v/>
      </c>
      <c r="AH2576" s="26" t="str">
        <f>_xlfn.XLOOKUP(Table26[[#This Row],[customerSKU]],customerSKU!G:G,customerSKU!K:K,"NA",0,1)</f>
        <v>NA</v>
      </c>
      <c r="AI2576" s="43" t="str">
        <f>_xlfn.XLOOKUP(Table26[[#This Row],[customerSKU]],customerSKU!G:G,customerSKU!O:O,"not found",0,1)</f>
        <v>not found</v>
      </c>
      <c r="AJ2576" s="22" t="e">
        <f>Table26[[#This Row],[unitprice]]*Table26[[#This Row],[quantity_unit]]</f>
        <v>#VALUE!</v>
      </c>
      <c r="AK2576" s="227" t="e" cm="1">
        <f t="array" ref="AK257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6" s="227"/>
    </row>
    <row r="2577" spans="1:38" ht="15.6">
      <c r="A2577" s="42"/>
      <c r="B2577" s="42"/>
      <c r="C2577" s="53"/>
      <c r="E2577" s="20"/>
      <c r="F257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7" s="93"/>
      <c r="J2577" s="90" t="str">
        <f>IF(Table26[[#This Row],[customerSKU]]="","",_xlfn.XLOOKUP(Table26[[#This Row],[customerSKU]],customerSKU!G:G,customerSKU!A:A,"",0,1))</f>
        <v/>
      </c>
      <c r="K2577" s="19"/>
      <c r="L2577" s="49" t="str">
        <f>IF(Table26[[#This Row],[customerSKU]]="","",_xlfn.XLOOKUP(Table26[[#This Row],[customerSKU]],customerSKU!G:G,customerSKU!B:B,"",0,1))</f>
        <v/>
      </c>
      <c r="M2577" s="22"/>
      <c r="N2577" s="15" t="str">
        <f>Table26[[#This Row],[po_number]]&amp;"-"&amp;Table26[[#This Row],[po_line]]</f>
        <v>-</v>
      </c>
      <c r="O2577" s="15"/>
      <c r="P2577" s="50"/>
      <c r="S2577" s="90" t="str">
        <f>IF(Table26[[#This Row],[customerSKU]]="","",_xlfn.XLOOKUP(Table26[[#This Row],[customerSKU]],customerSKU!G:G,customerSKU!N:N,"NOT FOUND",0,1))</f>
        <v/>
      </c>
      <c r="T2577" s="20"/>
      <c r="U2577" s="94"/>
      <c r="V2577" s="22" t="str">
        <f>IF(ISBLANK(Table26[[#This Row],[customerSKU]]),"",_xlfn.XLOOKUP(Table26[[#This Row],[customerSKU]],Table27[customer_SKU],Table27[case_size],"",0,1))</f>
        <v/>
      </c>
      <c r="W2577" s="117" t="str">
        <f t="shared" si="108"/>
        <v/>
      </c>
      <c r="X2577" s="22" t="str">
        <f t="shared" si="107"/>
        <v/>
      </c>
      <c r="Y2577" s="25" t="str">
        <f>IF(Table26[[#This Row],[customerSKU]]="","",_xlfn.XLOOKUP(Table26[[#This Row],[customerSKU]],Table27[customer_SKU],Table27[product_GTIN],"",0,1))</f>
        <v/>
      </c>
      <c r="Z2577" s="25"/>
      <c r="AA2577" s="18" t="str" cm="1">
        <f t="array" ref="AA2577">IF(P2577="", "", _xlfn.XLOOKUP(P2577,#REF!,#REF!,NA,0,-1))</f>
        <v/>
      </c>
      <c r="AB2577" s="22"/>
      <c r="AC2577" s="23" t="str">
        <f>IF(Table26[[#This Row],[customerSKU]]="","",_xlfn.XLOOKUP(Table26[[#This Row],[customerSKU]],customerSKU!G:G,customerSKU!C:C,"",0,1))</f>
        <v/>
      </c>
      <c r="AD2577" s="23" t="str">
        <f>IF($AC2577="","",_xlfn.XLOOKUP($AC2577,'Client Info'!$C$2:$C$2497,'Client Info'!$D$2:$D$2497,"",0,1))</f>
        <v/>
      </c>
      <c r="AE2577" s="23" t="str">
        <f>IF($AC2577="","",_xlfn.XLOOKUP($AC2577,'Client Info'!$C$2:$C$2677,'Client Info'!$E$2:$E$2677,"",))</f>
        <v/>
      </c>
      <c r="AF2577" s="23" t="str">
        <f>IF($AC2577="","",_xlfn.XLOOKUP($AC2577,'Client Info'!$C$2:$C$2677,'Client Info'!$F$2:$F$2677,"",0,1))</f>
        <v/>
      </c>
      <c r="AG2577" s="23" t="str">
        <f>IF(ISBLANK(Table26[[#This Row],[customerSKU]]),"",_xlfn.XLOOKUP(Table26[[#This Row],[customerSKU]],Table27[customer_SKU],Table27[billto],"",0,1))</f>
        <v/>
      </c>
      <c r="AH2577" s="26" t="str">
        <f>_xlfn.XLOOKUP(Table26[[#This Row],[customerSKU]],customerSKU!G:G,customerSKU!K:K,"NA",0,1)</f>
        <v>NA</v>
      </c>
      <c r="AI2577" s="43" t="str">
        <f>_xlfn.XLOOKUP(Table26[[#This Row],[customerSKU]],customerSKU!G:G,customerSKU!O:O,"not found",0,1)</f>
        <v>not found</v>
      </c>
      <c r="AJ2577" s="22" t="e">
        <f>Table26[[#This Row],[unitprice]]*Table26[[#This Row],[quantity_unit]]</f>
        <v>#VALUE!</v>
      </c>
      <c r="AK2577" s="227" t="e" cm="1">
        <f t="array" ref="AK257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7" s="227"/>
    </row>
    <row r="2578" spans="1:38" ht="15.6">
      <c r="A2578" s="42"/>
      <c r="B2578" s="42"/>
      <c r="C2578" s="53"/>
      <c r="E2578" s="20"/>
      <c r="F257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8" s="93"/>
      <c r="J2578" s="90" t="str">
        <f>IF(Table26[[#This Row],[customerSKU]]="","",_xlfn.XLOOKUP(Table26[[#This Row],[customerSKU]],customerSKU!G:G,customerSKU!A:A,"",0,1))</f>
        <v/>
      </c>
      <c r="K2578" s="19"/>
      <c r="L2578" s="49" t="str">
        <f>IF(Table26[[#This Row],[customerSKU]]="","",_xlfn.XLOOKUP(Table26[[#This Row],[customerSKU]],customerSKU!G:G,customerSKU!B:B,"",0,1))</f>
        <v/>
      </c>
      <c r="M2578" s="22"/>
      <c r="N2578" s="15" t="str">
        <f>Table26[[#This Row],[po_number]]&amp;"-"&amp;Table26[[#This Row],[po_line]]</f>
        <v>-</v>
      </c>
      <c r="O2578" s="15"/>
      <c r="P2578" s="50"/>
      <c r="S2578" s="90" t="str">
        <f>IF(Table26[[#This Row],[customerSKU]]="","",_xlfn.XLOOKUP(Table26[[#This Row],[customerSKU]],customerSKU!G:G,customerSKU!N:N,"NOT FOUND",0,1))</f>
        <v/>
      </c>
      <c r="T2578" s="20"/>
      <c r="U2578" s="94"/>
      <c r="V2578" s="22" t="str">
        <f>IF(ISBLANK(Table26[[#This Row],[customerSKU]]),"",_xlfn.XLOOKUP(Table26[[#This Row],[customerSKU]],Table27[customer_SKU],Table27[case_size],"",0,1))</f>
        <v/>
      </c>
      <c r="W2578" s="117" t="str">
        <f t="shared" si="108"/>
        <v/>
      </c>
      <c r="X2578" s="22" t="str">
        <f t="shared" si="107"/>
        <v/>
      </c>
      <c r="Y2578" s="25" t="str">
        <f>IF(Table26[[#This Row],[customerSKU]]="","",_xlfn.XLOOKUP(Table26[[#This Row],[customerSKU]],Table27[customer_SKU],Table27[product_GTIN],"",0,1))</f>
        <v/>
      </c>
      <c r="Z2578" s="25"/>
      <c r="AA2578" s="18" t="str" cm="1">
        <f t="array" ref="AA2578">IF(P2578="", "", _xlfn.XLOOKUP(P2578,#REF!,#REF!,NA,0,-1))</f>
        <v/>
      </c>
      <c r="AB2578" s="22"/>
      <c r="AC2578" s="23" t="str">
        <f>IF(Table26[[#This Row],[customerSKU]]="","",_xlfn.XLOOKUP(Table26[[#This Row],[customerSKU]],customerSKU!G:G,customerSKU!C:C,"",0,1))</f>
        <v/>
      </c>
      <c r="AD2578" s="23" t="str">
        <f>IF($AC2578="","",_xlfn.XLOOKUP($AC2578,'Client Info'!$C$2:$C$2497,'Client Info'!$D$2:$D$2497,"",0,1))</f>
        <v/>
      </c>
      <c r="AE2578" s="23" t="str">
        <f>IF($AC2578="","",_xlfn.XLOOKUP($AC2578,'Client Info'!$C$2:$C$2677,'Client Info'!$E$2:$E$2677,"",))</f>
        <v/>
      </c>
      <c r="AF2578" s="23" t="str">
        <f>IF($AC2578="","",_xlfn.XLOOKUP($AC2578,'Client Info'!$C$2:$C$2677,'Client Info'!$F$2:$F$2677,"",0,1))</f>
        <v/>
      </c>
      <c r="AG2578" s="23" t="str">
        <f>IF(ISBLANK(Table26[[#This Row],[customerSKU]]),"",_xlfn.XLOOKUP(Table26[[#This Row],[customerSKU]],Table27[customer_SKU],Table27[billto],"",0,1))</f>
        <v/>
      </c>
      <c r="AH2578" s="26" t="str">
        <f>_xlfn.XLOOKUP(Table26[[#This Row],[customerSKU]],customerSKU!G:G,customerSKU!K:K,"NA",0,1)</f>
        <v>NA</v>
      </c>
      <c r="AI2578" s="43" t="str">
        <f>_xlfn.XLOOKUP(Table26[[#This Row],[customerSKU]],customerSKU!G:G,customerSKU!O:O,"not found",0,1)</f>
        <v>not found</v>
      </c>
      <c r="AJ2578" s="22" t="e">
        <f>Table26[[#This Row],[unitprice]]*Table26[[#This Row],[quantity_unit]]</f>
        <v>#VALUE!</v>
      </c>
      <c r="AK2578" s="227" t="e" cm="1">
        <f t="array" ref="AK257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8" s="227"/>
    </row>
    <row r="2579" spans="1:38" ht="15.6">
      <c r="A2579" s="42"/>
      <c r="B2579" s="42"/>
      <c r="C2579" s="53"/>
      <c r="E2579" s="20"/>
      <c r="F257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79" s="93"/>
      <c r="J2579" s="90" t="str">
        <f>IF(Table26[[#This Row],[customerSKU]]="","",_xlfn.XLOOKUP(Table26[[#This Row],[customerSKU]],customerSKU!G:G,customerSKU!A:A,"",0,1))</f>
        <v/>
      </c>
      <c r="K2579" s="19"/>
      <c r="L2579" s="49" t="str">
        <f>IF(Table26[[#This Row],[customerSKU]]="","",_xlfn.XLOOKUP(Table26[[#This Row],[customerSKU]],customerSKU!G:G,customerSKU!B:B,"",0,1))</f>
        <v/>
      </c>
      <c r="M2579" s="22"/>
      <c r="N2579" s="15" t="str">
        <f>Table26[[#This Row],[po_number]]&amp;"-"&amp;Table26[[#This Row],[po_line]]</f>
        <v>-</v>
      </c>
      <c r="O2579" s="15"/>
      <c r="P2579" s="50"/>
      <c r="S2579" s="90" t="str">
        <f>IF(Table26[[#This Row],[customerSKU]]="","",_xlfn.XLOOKUP(Table26[[#This Row],[customerSKU]],customerSKU!G:G,customerSKU!N:N,"NOT FOUND",0,1))</f>
        <v/>
      </c>
      <c r="T2579" s="20"/>
      <c r="U2579" s="94"/>
      <c r="V2579" s="22" t="str">
        <f>IF(ISBLANK(Table26[[#This Row],[customerSKU]]),"",_xlfn.XLOOKUP(Table26[[#This Row],[customerSKU]],Table27[customer_SKU],Table27[case_size],"",0,1))</f>
        <v/>
      </c>
      <c r="W2579" s="117" t="str">
        <f t="shared" si="108"/>
        <v/>
      </c>
      <c r="X2579" s="22" t="str">
        <f t="shared" si="107"/>
        <v/>
      </c>
      <c r="Y2579" s="25" t="str">
        <f>IF(Table26[[#This Row],[customerSKU]]="","",_xlfn.XLOOKUP(Table26[[#This Row],[customerSKU]],Table27[customer_SKU],Table27[product_GTIN],"",0,1))</f>
        <v/>
      </c>
      <c r="Z2579" s="25"/>
      <c r="AA2579" s="18" t="str" cm="1">
        <f t="array" ref="AA2579">IF(P2579="", "", _xlfn.XLOOKUP(P2579,#REF!,#REF!,NA,0,-1))</f>
        <v/>
      </c>
      <c r="AB2579" s="22"/>
      <c r="AC2579" s="23" t="str">
        <f>IF(Table26[[#This Row],[customerSKU]]="","",_xlfn.XLOOKUP(Table26[[#This Row],[customerSKU]],customerSKU!G:G,customerSKU!C:C,"",0,1))</f>
        <v/>
      </c>
      <c r="AD2579" s="23" t="str">
        <f>IF($AC2579="","",_xlfn.XLOOKUP($AC2579,'Client Info'!$C$2:$C$2497,'Client Info'!$D$2:$D$2497,"",0,1))</f>
        <v/>
      </c>
      <c r="AE2579" s="23" t="str">
        <f>IF($AC2579="","",_xlfn.XLOOKUP($AC2579,'Client Info'!$C$2:$C$2677,'Client Info'!$E$2:$E$2677,"",))</f>
        <v/>
      </c>
      <c r="AF2579" s="23" t="str">
        <f>IF($AC2579="","",_xlfn.XLOOKUP($AC2579,'Client Info'!$C$2:$C$2677,'Client Info'!$F$2:$F$2677,"",0,1))</f>
        <v/>
      </c>
      <c r="AG2579" s="23" t="str">
        <f>IF(ISBLANK(Table26[[#This Row],[customerSKU]]),"",_xlfn.XLOOKUP(Table26[[#This Row],[customerSKU]],Table27[customer_SKU],Table27[billto],"",0,1))</f>
        <v/>
      </c>
      <c r="AH2579" s="26" t="str">
        <f>_xlfn.XLOOKUP(Table26[[#This Row],[customerSKU]],customerSKU!G:G,customerSKU!K:K,"NA",0,1)</f>
        <v>NA</v>
      </c>
      <c r="AI2579" s="43" t="str">
        <f>_xlfn.XLOOKUP(Table26[[#This Row],[customerSKU]],customerSKU!G:G,customerSKU!O:O,"not found",0,1)</f>
        <v>not found</v>
      </c>
      <c r="AJ2579" s="22" t="e">
        <f>Table26[[#This Row],[unitprice]]*Table26[[#This Row],[quantity_unit]]</f>
        <v>#VALUE!</v>
      </c>
      <c r="AK2579" s="227" t="e" cm="1">
        <f t="array" ref="AK257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79" s="227"/>
    </row>
    <row r="2580" spans="1:38" ht="15.6">
      <c r="A2580" s="42"/>
      <c r="B2580" s="42"/>
      <c r="C2580" s="53"/>
      <c r="E2580" s="20"/>
      <c r="F258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0" s="93"/>
      <c r="J2580" s="90" t="str">
        <f>IF(Table26[[#This Row],[customerSKU]]="","",_xlfn.XLOOKUP(Table26[[#This Row],[customerSKU]],customerSKU!G:G,customerSKU!A:A,"",0,1))</f>
        <v/>
      </c>
      <c r="K2580" s="19"/>
      <c r="L2580" s="49" t="str">
        <f>IF(Table26[[#This Row],[customerSKU]]="","",_xlfn.XLOOKUP(Table26[[#This Row],[customerSKU]],customerSKU!G:G,customerSKU!B:B,"",0,1))</f>
        <v/>
      </c>
      <c r="M2580" s="22"/>
      <c r="N2580" s="15" t="str">
        <f>Table26[[#This Row],[po_number]]&amp;"-"&amp;Table26[[#This Row],[po_line]]</f>
        <v>-</v>
      </c>
      <c r="O2580" s="15"/>
      <c r="P2580" s="50"/>
      <c r="S2580" s="90" t="str">
        <f>IF(Table26[[#This Row],[customerSKU]]="","",_xlfn.XLOOKUP(Table26[[#This Row],[customerSKU]],customerSKU!G:G,customerSKU!N:N,"NOT FOUND",0,1))</f>
        <v/>
      </c>
      <c r="T2580" s="20"/>
      <c r="U2580" s="94"/>
      <c r="V2580" s="22" t="str">
        <f>IF(ISBLANK(Table26[[#This Row],[customerSKU]]),"",_xlfn.XLOOKUP(Table26[[#This Row],[customerSKU]],Table27[customer_SKU],Table27[case_size],"",0,1))</f>
        <v/>
      </c>
      <c r="W2580" s="117" t="str">
        <f t="shared" si="108"/>
        <v/>
      </c>
      <c r="X2580" s="22" t="str">
        <f t="shared" si="107"/>
        <v/>
      </c>
      <c r="Y2580" s="25" t="str">
        <f>IF(Table26[[#This Row],[customerSKU]]="","",_xlfn.XLOOKUP(Table26[[#This Row],[customerSKU]],Table27[customer_SKU],Table27[product_GTIN],"",0,1))</f>
        <v/>
      </c>
      <c r="Z2580" s="25"/>
      <c r="AA2580" s="18" t="str" cm="1">
        <f t="array" ref="AA2580">IF(P2580="", "", _xlfn.XLOOKUP(P2580,#REF!,#REF!,NA,0,-1))</f>
        <v/>
      </c>
      <c r="AB2580" s="22"/>
      <c r="AC2580" s="23" t="str">
        <f>IF(Table26[[#This Row],[customerSKU]]="","",_xlfn.XLOOKUP(Table26[[#This Row],[customerSKU]],customerSKU!G:G,customerSKU!C:C,"",0,1))</f>
        <v/>
      </c>
      <c r="AD2580" s="23" t="str">
        <f>IF($AC2580="","",_xlfn.XLOOKUP($AC2580,'Client Info'!$C$2:$C$2497,'Client Info'!$D$2:$D$2497,"",0,1))</f>
        <v/>
      </c>
      <c r="AE2580" s="23" t="str">
        <f>IF($AC2580="","",_xlfn.XLOOKUP($AC2580,'Client Info'!$C$2:$C$2677,'Client Info'!$E$2:$E$2677,"",))</f>
        <v/>
      </c>
      <c r="AF2580" s="23" t="str">
        <f>IF($AC2580="","",_xlfn.XLOOKUP($AC2580,'Client Info'!$C$2:$C$2677,'Client Info'!$F$2:$F$2677,"",0,1))</f>
        <v/>
      </c>
      <c r="AG2580" s="23" t="str">
        <f>IF(ISBLANK(Table26[[#This Row],[customerSKU]]),"",_xlfn.XLOOKUP(Table26[[#This Row],[customerSKU]],Table27[customer_SKU],Table27[billto],"",0,1))</f>
        <v/>
      </c>
      <c r="AH2580" s="26" t="str">
        <f>_xlfn.XLOOKUP(Table26[[#This Row],[customerSKU]],customerSKU!G:G,customerSKU!K:K,"NA",0,1)</f>
        <v>NA</v>
      </c>
      <c r="AI2580" s="43" t="str">
        <f>_xlfn.XLOOKUP(Table26[[#This Row],[customerSKU]],customerSKU!G:G,customerSKU!O:O,"not found",0,1)</f>
        <v>not found</v>
      </c>
      <c r="AJ2580" s="22" t="e">
        <f>Table26[[#This Row],[unitprice]]*Table26[[#This Row],[quantity_unit]]</f>
        <v>#VALUE!</v>
      </c>
      <c r="AK2580" s="227" t="e" cm="1">
        <f t="array" ref="AK258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0" s="227"/>
    </row>
    <row r="2581" spans="1:38" ht="15.6">
      <c r="A2581" s="42"/>
      <c r="B2581" s="42"/>
      <c r="C2581" s="53"/>
      <c r="E2581" s="20"/>
      <c r="F258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1" s="93"/>
      <c r="J2581" s="90" t="str">
        <f>IF(Table26[[#This Row],[customerSKU]]="","",_xlfn.XLOOKUP(Table26[[#This Row],[customerSKU]],customerSKU!G:G,customerSKU!A:A,"",0,1))</f>
        <v/>
      </c>
      <c r="K2581" s="19"/>
      <c r="L2581" s="49" t="str">
        <f>IF(Table26[[#This Row],[customerSKU]]="","",_xlfn.XLOOKUP(Table26[[#This Row],[customerSKU]],customerSKU!G:G,customerSKU!B:B,"",0,1))</f>
        <v/>
      </c>
      <c r="M2581" s="22"/>
      <c r="N2581" s="15" t="str">
        <f>Table26[[#This Row],[po_number]]&amp;"-"&amp;Table26[[#This Row],[po_line]]</f>
        <v>-</v>
      </c>
      <c r="O2581" s="15"/>
      <c r="P2581" s="50"/>
      <c r="S2581" s="90" t="str">
        <f>IF(Table26[[#This Row],[customerSKU]]="","",_xlfn.XLOOKUP(Table26[[#This Row],[customerSKU]],customerSKU!G:G,customerSKU!N:N,"NOT FOUND",0,1))</f>
        <v/>
      </c>
      <c r="T2581" s="20"/>
      <c r="U2581" s="94"/>
      <c r="V2581" s="22" t="str">
        <f>IF(ISBLANK(Table26[[#This Row],[customerSKU]]),"",_xlfn.XLOOKUP(Table26[[#This Row],[customerSKU]],Table27[customer_SKU],Table27[case_size],"",0,1))</f>
        <v/>
      </c>
      <c r="W2581" s="117" t="str">
        <f t="shared" si="108"/>
        <v/>
      </c>
      <c r="X2581" s="22" t="str">
        <f t="shared" si="107"/>
        <v/>
      </c>
      <c r="Y2581" s="25" t="str">
        <f>IF(Table26[[#This Row],[customerSKU]]="","",_xlfn.XLOOKUP(Table26[[#This Row],[customerSKU]],Table27[customer_SKU],Table27[product_GTIN],"",0,1))</f>
        <v/>
      </c>
      <c r="Z2581" s="25"/>
      <c r="AA2581" s="18" t="str" cm="1">
        <f t="array" ref="AA2581">IF(P2581="", "", _xlfn.XLOOKUP(P2581,#REF!,#REF!,NA,0,-1))</f>
        <v/>
      </c>
      <c r="AB2581" s="22"/>
      <c r="AC2581" s="23" t="str">
        <f>IF(Table26[[#This Row],[customerSKU]]="","",_xlfn.XLOOKUP(Table26[[#This Row],[customerSKU]],customerSKU!G:G,customerSKU!C:C,"",0,1))</f>
        <v/>
      </c>
      <c r="AD2581" s="23" t="str">
        <f>IF($AC2581="","",_xlfn.XLOOKUP($AC2581,'Client Info'!$C$2:$C$2497,'Client Info'!$D$2:$D$2497,"",0,1))</f>
        <v/>
      </c>
      <c r="AE2581" s="23" t="str">
        <f>IF($AC2581="","",_xlfn.XLOOKUP($AC2581,'Client Info'!$C$2:$C$2677,'Client Info'!$E$2:$E$2677,"",))</f>
        <v/>
      </c>
      <c r="AF2581" s="23" t="str">
        <f>IF($AC2581="","",_xlfn.XLOOKUP($AC2581,'Client Info'!$C$2:$C$2677,'Client Info'!$F$2:$F$2677,"",0,1))</f>
        <v/>
      </c>
      <c r="AG2581" s="23" t="str">
        <f>IF(ISBLANK(Table26[[#This Row],[customerSKU]]),"",_xlfn.XLOOKUP(Table26[[#This Row],[customerSKU]],Table27[customer_SKU],Table27[billto],"",0,1))</f>
        <v/>
      </c>
      <c r="AH2581" s="26" t="str">
        <f>_xlfn.XLOOKUP(Table26[[#This Row],[customerSKU]],customerSKU!G:G,customerSKU!K:K,"NA",0,1)</f>
        <v>NA</v>
      </c>
      <c r="AI2581" s="43" t="str">
        <f>_xlfn.XLOOKUP(Table26[[#This Row],[customerSKU]],customerSKU!G:G,customerSKU!O:O,"not found",0,1)</f>
        <v>not found</v>
      </c>
      <c r="AJ2581" s="22" t="e">
        <f>Table26[[#This Row],[unitprice]]*Table26[[#This Row],[quantity_unit]]</f>
        <v>#VALUE!</v>
      </c>
      <c r="AK2581" s="227" t="e" cm="1">
        <f t="array" ref="AK258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1" s="227"/>
    </row>
    <row r="2582" spans="1:38" ht="15.6">
      <c r="A2582" s="42"/>
      <c r="B2582" s="42"/>
      <c r="C2582" s="53"/>
      <c r="E2582" s="20"/>
      <c r="F2582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2" s="93"/>
      <c r="J2582" s="90" t="str">
        <f>IF(Table26[[#This Row],[customerSKU]]="","",_xlfn.XLOOKUP(Table26[[#This Row],[customerSKU]],customerSKU!G:G,customerSKU!A:A,"",0,1))</f>
        <v/>
      </c>
      <c r="K2582" s="19"/>
      <c r="L2582" s="49" t="str">
        <f>IF(Table26[[#This Row],[customerSKU]]="","",_xlfn.XLOOKUP(Table26[[#This Row],[customerSKU]],customerSKU!G:G,customerSKU!B:B,"",0,1))</f>
        <v/>
      </c>
      <c r="M2582" s="22"/>
      <c r="N2582" s="15" t="str">
        <f>Table26[[#This Row],[po_number]]&amp;"-"&amp;Table26[[#This Row],[po_line]]</f>
        <v>-</v>
      </c>
      <c r="O2582" s="15"/>
      <c r="P2582" s="50"/>
      <c r="S2582" s="90" t="str">
        <f>IF(Table26[[#This Row],[customerSKU]]="","",_xlfn.XLOOKUP(Table26[[#This Row],[customerSKU]],customerSKU!G:G,customerSKU!N:N,"NOT FOUND",0,1))</f>
        <v/>
      </c>
      <c r="T2582" s="20"/>
      <c r="U2582" s="94"/>
      <c r="V2582" s="22" t="str">
        <f>IF(ISBLANK(Table26[[#This Row],[customerSKU]]),"",_xlfn.XLOOKUP(Table26[[#This Row],[customerSKU]],Table27[customer_SKU],Table27[case_size],"",0,1))</f>
        <v/>
      </c>
      <c r="W2582" s="117" t="str">
        <f t="shared" si="108"/>
        <v/>
      </c>
      <c r="X2582" s="22" t="str">
        <f t="shared" si="107"/>
        <v/>
      </c>
      <c r="Y2582" s="25" t="str">
        <f>IF(Table26[[#This Row],[customerSKU]]="","",_xlfn.XLOOKUP(Table26[[#This Row],[customerSKU]],Table27[customer_SKU],Table27[product_GTIN],"",0,1))</f>
        <v/>
      </c>
      <c r="Z2582" s="25"/>
      <c r="AA2582" s="18" t="str" cm="1">
        <f t="array" ref="AA2582">IF(P2582="", "", _xlfn.XLOOKUP(P2582,#REF!,#REF!,NA,0,-1))</f>
        <v/>
      </c>
      <c r="AB2582" s="22"/>
      <c r="AC2582" s="23" t="str">
        <f>IF(Table26[[#This Row],[customerSKU]]="","",_xlfn.XLOOKUP(Table26[[#This Row],[customerSKU]],customerSKU!G:G,customerSKU!C:C,"",0,1))</f>
        <v/>
      </c>
      <c r="AD2582" s="23" t="str">
        <f>IF($AC2582="","",_xlfn.XLOOKUP($AC2582,'Client Info'!$C$2:$C$2497,'Client Info'!$D$2:$D$2497,"",0,1))</f>
        <v/>
      </c>
      <c r="AE2582" s="23" t="str">
        <f>IF($AC2582="","",_xlfn.XLOOKUP($AC2582,'Client Info'!$C$2:$C$2677,'Client Info'!$E$2:$E$2677,"",))</f>
        <v/>
      </c>
      <c r="AF2582" s="23" t="str">
        <f>IF($AC2582="","",_xlfn.XLOOKUP($AC2582,'Client Info'!$C$2:$C$2677,'Client Info'!$F$2:$F$2677,"",0,1))</f>
        <v/>
      </c>
      <c r="AG2582" s="23" t="str">
        <f>IF(ISBLANK(Table26[[#This Row],[customerSKU]]),"",_xlfn.XLOOKUP(Table26[[#This Row],[customerSKU]],Table27[customer_SKU],Table27[billto],"",0,1))</f>
        <v/>
      </c>
      <c r="AH2582" s="26" t="str">
        <f>_xlfn.XLOOKUP(Table26[[#This Row],[customerSKU]],customerSKU!G:G,customerSKU!K:K,"NA",0,1)</f>
        <v>NA</v>
      </c>
      <c r="AI2582" s="43" t="str">
        <f>_xlfn.XLOOKUP(Table26[[#This Row],[customerSKU]],customerSKU!G:G,customerSKU!O:O,"not found",0,1)</f>
        <v>not found</v>
      </c>
      <c r="AJ2582" s="22" t="e">
        <f>Table26[[#This Row],[unitprice]]*Table26[[#This Row],[quantity_unit]]</f>
        <v>#VALUE!</v>
      </c>
      <c r="AK2582" s="227" t="e" cm="1">
        <f t="array" ref="AK2582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2" s="227"/>
    </row>
    <row r="2583" spans="1:38" ht="15.6">
      <c r="A2583" s="42"/>
      <c r="B2583" s="42"/>
      <c r="C2583" s="53"/>
      <c r="E2583" s="20"/>
      <c r="F2583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3" s="93"/>
      <c r="J2583" s="90" t="str">
        <f>IF(Table26[[#This Row],[customerSKU]]="","",_xlfn.XLOOKUP(Table26[[#This Row],[customerSKU]],customerSKU!G:G,customerSKU!A:A,"",0,1))</f>
        <v/>
      </c>
      <c r="K2583" s="19"/>
      <c r="L2583" s="49" t="str">
        <f>IF(Table26[[#This Row],[customerSKU]]="","",_xlfn.XLOOKUP(Table26[[#This Row],[customerSKU]],customerSKU!G:G,customerSKU!B:B,"",0,1))</f>
        <v/>
      </c>
      <c r="M2583" s="22"/>
      <c r="N2583" s="15" t="str">
        <f>Table26[[#This Row],[po_number]]&amp;"-"&amp;Table26[[#This Row],[po_line]]</f>
        <v>-</v>
      </c>
      <c r="O2583" s="15"/>
      <c r="P2583" s="50"/>
      <c r="S2583" s="90" t="str">
        <f>IF(Table26[[#This Row],[customerSKU]]="","",_xlfn.XLOOKUP(Table26[[#This Row],[customerSKU]],customerSKU!G:G,customerSKU!N:N,"NOT FOUND",0,1))</f>
        <v/>
      </c>
      <c r="T2583" s="20"/>
      <c r="U2583" s="94"/>
      <c r="V2583" s="22" t="str">
        <f>IF(ISBLANK(Table26[[#This Row],[customerSKU]]),"",_xlfn.XLOOKUP(Table26[[#This Row],[customerSKU]],Table27[customer_SKU],Table27[case_size],"",0,1))</f>
        <v/>
      </c>
      <c r="W2583" s="117" t="str">
        <f t="shared" si="108"/>
        <v/>
      </c>
      <c r="X2583" s="22" t="str">
        <f t="shared" si="107"/>
        <v/>
      </c>
      <c r="Y2583" s="25" t="str">
        <f>IF(Table26[[#This Row],[customerSKU]]="","",_xlfn.XLOOKUP(Table26[[#This Row],[customerSKU]],Table27[customer_SKU],Table27[product_GTIN],"",0,1))</f>
        <v/>
      </c>
      <c r="Z2583" s="25"/>
      <c r="AA2583" s="18" t="str" cm="1">
        <f t="array" ref="AA2583">IF(P2583="", "", _xlfn.XLOOKUP(P2583,#REF!,#REF!,NA,0,-1))</f>
        <v/>
      </c>
      <c r="AB2583" s="22"/>
      <c r="AC2583" s="23" t="str">
        <f>IF(Table26[[#This Row],[customerSKU]]="","",_xlfn.XLOOKUP(Table26[[#This Row],[customerSKU]],customerSKU!G:G,customerSKU!C:C,"",0,1))</f>
        <v/>
      </c>
      <c r="AD2583" s="23" t="str">
        <f>IF($AC2583="","",_xlfn.XLOOKUP($AC2583,'Client Info'!$C$2:$C$2497,'Client Info'!$D$2:$D$2497,"",0,1))</f>
        <v/>
      </c>
      <c r="AE2583" s="23" t="str">
        <f>IF($AC2583="","",_xlfn.XLOOKUP($AC2583,'Client Info'!$C$2:$C$2677,'Client Info'!$E$2:$E$2677,"",))</f>
        <v/>
      </c>
      <c r="AF2583" s="23" t="str">
        <f>IF($AC2583="","",_xlfn.XLOOKUP($AC2583,'Client Info'!$C$2:$C$2677,'Client Info'!$F$2:$F$2677,"",0,1))</f>
        <v/>
      </c>
      <c r="AG2583" s="23" t="str">
        <f>IF(ISBLANK(Table26[[#This Row],[customerSKU]]),"",_xlfn.XLOOKUP(Table26[[#This Row],[customerSKU]],Table27[customer_SKU],Table27[billto],"",0,1))</f>
        <v/>
      </c>
      <c r="AH2583" s="26" t="str">
        <f>_xlfn.XLOOKUP(Table26[[#This Row],[customerSKU]],customerSKU!G:G,customerSKU!K:K,"NA",0,1)</f>
        <v>NA</v>
      </c>
      <c r="AI2583" s="43" t="str">
        <f>_xlfn.XLOOKUP(Table26[[#This Row],[customerSKU]],customerSKU!G:G,customerSKU!O:O,"not found",0,1)</f>
        <v>not found</v>
      </c>
      <c r="AJ2583" s="22" t="e">
        <f>Table26[[#This Row],[unitprice]]*Table26[[#This Row],[quantity_unit]]</f>
        <v>#VALUE!</v>
      </c>
      <c r="AK2583" s="227" t="e" cm="1">
        <f t="array" ref="AK2583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3" s="227"/>
    </row>
    <row r="2584" spans="1:38" ht="15.6">
      <c r="A2584" s="42"/>
      <c r="B2584" s="42"/>
      <c r="C2584" s="53"/>
      <c r="E2584" s="20"/>
      <c r="F2584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4" s="93"/>
      <c r="J2584" s="90" t="str">
        <f>IF(Table26[[#This Row],[customerSKU]]="","",_xlfn.XLOOKUP(Table26[[#This Row],[customerSKU]],customerSKU!G:G,customerSKU!A:A,"",0,1))</f>
        <v/>
      </c>
      <c r="K2584" s="19"/>
      <c r="L2584" s="49" t="str">
        <f>IF(Table26[[#This Row],[customerSKU]]="","",_xlfn.XLOOKUP(Table26[[#This Row],[customerSKU]],customerSKU!G:G,customerSKU!B:B,"",0,1))</f>
        <v/>
      </c>
      <c r="M2584" s="22"/>
      <c r="N2584" s="15" t="str">
        <f>Table26[[#This Row],[po_number]]&amp;"-"&amp;Table26[[#This Row],[po_line]]</f>
        <v>-</v>
      </c>
      <c r="O2584" s="15"/>
      <c r="P2584" s="50"/>
      <c r="S2584" s="90" t="str">
        <f>IF(Table26[[#This Row],[customerSKU]]="","",_xlfn.XLOOKUP(Table26[[#This Row],[customerSKU]],customerSKU!G:G,customerSKU!N:N,"NOT FOUND",0,1))</f>
        <v/>
      </c>
      <c r="T2584" s="20"/>
      <c r="U2584" s="94"/>
      <c r="V2584" s="22" t="str">
        <f>IF(ISBLANK(Table26[[#This Row],[customerSKU]]),"",_xlfn.XLOOKUP(Table26[[#This Row],[customerSKU]],Table27[customer_SKU],Table27[case_size],"",0,1))</f>
        <v/>
      </c>
      <c r="W2584" s="117" t="str">
        <f t="shared" si="108"/>
        <v/>
      </c>
      <c r="X2584" s="22" t="str">
        <f t="shared" si="107"/>
        <v/>
      </c>
      <c r="Y2584" s="25" t="str">
        <f>IF(Table26[[#This Row],[customerSKU]]="","",_xlfn.XLOOKUP(Table26[[#This Row],[customerSKU]],Table27[customer_SKU],Table27[product_GTIN],"",0,1))</f>
        <v/>
      </c>
      <c r="Z2584" s="25"/>
      <c r="AA2584" s="18" t="str" cm="1">
        <f t="array" ref="AA2584">IF(P2584="", "", _xlfn.XLOOKUP(P2584,#REF!,#REF!,NA,0,-1))</f>
        <v/>
      </c>
      <c r="AB2584" s="22"/>
      <c r="AC2584" s="23" t="str">
        <f>IF(Table26[[#This Row],[customerSKU]]="","",_xlfn.XLOOKUP(Table26[[#This Row],[customerSKU]],customerSKU!G:G,customerSKU!C:C,"",0,1))</f>
        <v/>
      </c>
      <c r="AD2584" s="23" t="str">
        <f>IF($AC2584="","",_xlfn.XLOOKUP($AC2584,'Client Info'!$C$2:$C$2497,'Client Info'!$D$2:$D$2497,"",0,1))</f>
        <v/>
      </c>
      <c r="AE2584" s="23" t="str">
        <f>IF($AC2584="","",_xlfn.XLOOKUP($AC2584,'Client Info'!$C$2:$C$2677,'Client Info'!$E$2:$E$2677,"",))</f>
        <v/>
      </c>
      <c r="AF2584" s="23" t="str">
        <f>IF($AC2584="","",_xlfn.XLOOKUP($AC2584,'Client Info'!$C$2:$C$2677,'Client Info'!$F$2:$F$2677,"",0,1))</f>
        <v/>
      </c>
      <c r="AG2584" s="23" t="str">
        <f>IF(ISBLANK(Table26[[#This Row],[customerSKU]]),"",_xlfn.XLOOKUP(Table26[[#This Row],[customerSKU]],Table27[customer_SKU],Table27[billto],"",0,1))</f>
        <v/>
      </c>
      <c r="AH2584" s="26" t="str">
        <f>_xlfn.XLOOKUP(Table26[[#This Row],[customerSKU]],customerSKU!G:G,customerSKU!K:K,"NA",0,1)</f>
        <v>NA</v>
      </c>
      <c r="AI2584" s="43" t="str">
        <f>_xlfn.XLOOKUP(Table26[[#This Row],[customerSKU]],customerSKU!G:G,customerSKU!O:O,"not found",0,1)</f>
        <v>not found</v>
      </c>
      <c r="AJ2584" s="22" t="e">
        <f>Table26[[#This Row],[unitprice]]*Table26[[#This Row],[quantity_unit]]</f>
        <v>#VALUE!</v>
      </c>
      <c r="AK2584" s="227" t="e" cm="1">
        <f t="array" ref="AK2584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4" s="227"/>
    </row>
    <row r="2585" spans="1:38" ht="15.6">
      <c r="A2585" s="42"/>
      <c r="B2585" s="42"/>
      <c r="C2585" s="53"/>
      <c r="E2585" s="20"/>
      <c r="F2585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5" s="93"/>
      <c r="J2585" s="90" t="str">
        <f>IF(Table26[[#This Row],[customerSKU]]="","",_xlfn.XLOOKUP(Table26[[#This Row],[customerSKU]],customerSKU!G:G,customerSKU!A:A,"",0,1))</f>
        <v/>
      </c>
      <c r="K2585" s="19"/>
      <c r="L2585" s="49" t="str">
        <f>IF(Table26[[#This Row],[customerSKU]]="","",_xlfn.XLOOKUP(Table26[[#This Row],[customerSKU]],customerSKU!G:G,customerSKU!B:B,"",0,1))</f>
        <v/>
      </c>
      <c r="M2585" s="22"/>
      <c r="N2585" s="15" t="str">
        <f>Table26[[#This Row],[po_number]]&amp;"-"&amp;Table26[[#This Row],[po_line]]</f>
        <v>-</v>
      </c>
      <c r="O2585" s="15"/>
      <c r="P2585" s="50"/>
      <c r="S2585" s="90" t="str">
        <f>IF(Table26[[#This Row],[customerSKU]]="","",_xlfn.XLOOKUP(Table26[[#This Row],[customerSKU]],customerSKU!G:G,customerSKU!N:N,"NOT FOUND",0,1))</f>
        <v/>
      </c>
      <c r="T2585" s="20"/>
      <c r="U2585" s="94"/>
      <c r="V2585" s="22" t="str">
        <f>IF(ISBLANK(Table26[[#This Row],[customerSKU]]),"",_xlfn.XLOOKUP(Table26[[#This Row],[customerSKU]],Table27[customer_SKU],Table27[case_size],"",0,1))</f>
        <v/>
      </c>
      <c r="W2585" s="117" t="str">
        <f t="shared" si="108"/>
        <v/>
      </c>
      <c r="X2585" s="22" t="str">
        <f t="shared" si="107"/>
        <v/>
      </c>
      <c r="Y2585" s="25" t="str">
        <f>IF(Table26[[#This Row],[customerSKU]]="","",_xlfn.XLOOKUP(Table26[[#This Row],[customerSKU]],Table27[customer_SKU],Table27[product_GTIN],"",0,1))</f>
        <v/>
      </c>
      <c r="Z2585" s="25"/>
      <c r="AA2585" s="18" t="str" cm="1">
        <f t="array" ref="AA2585">IF(P2585="", "", _xlfn.XLOOKUP(P2585,#REF!,#REF!,NA,0,-1))</f>
        <v/>
      </c>
      <c r="AB2585" s="22"/>
      <c r="AC2585" s="23" t="str">
        <f>IF(Table26[[#This Row],[customerSKU]]="","",_xlfn.XLOOKUP(Table26[[#This Row],[customerSKU]],customerSKU!G:G,customerSKU!C:C,"",0,1))</f>
        <v/>
      </c>
      <c r="AD2585" s="23" t="str">
        <f>IF($AC2585="","",_xlfn.XLOOKUP($AC2585,'Client Info'!$C$2:$C$2497,'Client Info'!$D$2:$D$2497,"",0,1))</f>
        <v/>
      </c>
      <c r="AE2585" s="23" t="str">
        <f>IF($AC2585="","",_xlfn.XLOOKUP($AC2585,'Client Info'!$C$2:$C$2677,'Client Info'!$E$2:$E$2677,"",))</f>
        <v/>
      </c>
      <c r="AF2585" s="23" t="str">
        <f>IF($AC2585="","",_xlfn.XLOOKUP($AC2585,'Client Info'!$C$2:$C$2677,'Client Info'!$F$2:$F$2677,"",0,1))</f>
        <v/>
      </c>
      <c r="AG2585" s="23" t="str">
        <f>IF(ISBLANK(Table26[[#This Row],[customerSKU]]),"",_xlfn.XLOOKUP(Table26[[#This Row],[customerSKU]],Table27[customer_SKU],Table27[billto],"",0,1))</f>
        <v/>
      </c>
      <c r="AH2585" s="26" t="str">
        <f>_xlfn.XLOOKUP(Table26[[#This Row],[customerSKU]],customerSKU!G:G,customerSKU!K:K,"NA",0,1)</f>
        <v>NA</v>
      </c>
      <c r="AI2585" s="43" t="str">
        <f>_xlfn.XLOOKUP(Table26[[#This Row],[customerSKU]],customerSKU!G:G,customerSKU!O:O,"not found",0,1)</f>
        <v>not found</v>
      </c>
      <c r="AJ2585" s="22" t="e">
        <f>Table26[[#This Row],[unitprice]]*Table26[[#This Row],[quantity_unit]]</f>
        <v>#VALUE!</v>
      </c>
      <c r="AK2585" s="227" t="e" cm="1">
        <f t="array" ref="AK2585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5" s="227"/>
    </row>
    <row r="2586" spans="1:38" ht="15.6">
      <c r="A2586" s="42"/>
      <c r="B2586" s="42"/>
      <c r="C2586" s="53"/>
      <c r="E2586" s="20"/>
      <c r="F2586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6" s="93"/>
      <c r="J2586" s="90" t="str">
        <f>IF(Table26[[#This Row],[customerSKU]]="","",_xlfn.XLOOKUP(Table26[[#This Row],[customerSKU]],customerSKU!G:G,customerSKU!A:A,"",0,1))</f>
        <v/>
      </c>
      <c r="K2586" s="19"/>
      <c r="L2586" s="49" t="str">
        <f>IF(Table26[[#This Row],[customerSKU]]="","",_xlfn.XLOOKUP(Table26[[#This Row],[customerSKU]],customerSKU!G:G,customerSKU!B:B,"",0,1))</f>
        <v/>
      </c>
      <c r="M2586" s="22"/>
      <c r="N2586" s="15" t="str">
        <f>Table26[[#This Row],[po_number]]&amp;"-"&amp;Table26[[#This Row],[po_line]]</f>
        <v>-</v>
      </c>
      <c r="O2586" s="15"/>
      <c r="P2586" s="50"/>
      <c r="S2586" s="90" t="str">
        <f>IF(Table26[[#This Row],[customerSKU]]="","",_xlfn.XLOOKUP(Table26[[#This Row],[customerSKU]],customerSKU!G:G,customerSKU!N:N,"NOT FOUND",0,1))</f>
        <v/>
      </c>
      <c r="T2586" s="20"/>
      <c r="U2586" s="94"/>
      <c r="V2586" s="22" t="str">
        <f>IF(ISBLANK(Table26[[#This Row],[customerSKU]]),"",_xlfn.XLOOKUP(Table26[[#This Row],[customerSKU]],Table27[customer_SKU],Table27[case_size],"",0,1))</f>
        <v/>
      </c>
      <c r="W2586" s="117" t="str">
        <f t="shared" si="108"/>
        <v/>
      </c>
      <c r="X2586" s="22" t="str">
        <f t="shared" si="107"/>
        <v/>
      </c>
      <c r="Y2586" s="25" t="str">
        <f>IF(Table26[[#This Row],[customerSKU]]="","",_xlfn.XLOOKUP(Table26[[#This Row],[customerSKU]],Table27[customer_SKU],Table27[product_GTIN],"",0,1))</f>
        <v/>
      </c>
      <c r="Z2586" s="25"/>
      <c r="AA2586" s="18" t="str" cm="1">
        <f t="array" ref="AA2586">IF(P2586="", "", _xlfn.XLOOKUP(P2586,#REF!,#REF!,NA,0,-1))</f>
        <v/>
      </c>
      <c r="AB2586" s="22"/>
      <c r="AC2586" s="23" t="str">
        <f>IF(Table26[[#This Row],[customerSKU]]="","",_xlfn.XLOOKUP(Table26[[#This Row],[customerSKU]],customerSKU!G:G,customerSKU!C:C,"",0,1))</f>
        <v/>
      </c>
      <c r="AD2586" s="23" t="str">
        <f>IF($AC2586="","",_xlfn.XLOOKUP($AC2586,'Client Info'!$C$2:$C$2497,'Client Info'!$D$2:$D$2497,"",0,1))</f>
        <v/>
      </c>
      <c r="AE2586" s="23" t="str">
        <f>IF($AC2586="","",_xlfn.XLOOKUP($AC2586,'Client Info'!$C$2:$C$2677,'Client Info'!$E$2:$E$2677,"",))</f>
        <v/>
      </c>
      <c r="AF2586" s="23" t="str">
        <f>IF($AC2586="","",_xlfn.XLOOKUP($AC2586,'Client Info'!$C$2:$C$2677,'Client Info'!$F$2:$F$2677,"",0,1))</f>
        <v/>
      </c>
      <c r="AG2586" s="23" t="str">
        <f>IF(ISBLANK(Table26[[#This Row],[customerSKU]]),"",_xlfn.XLOOKUP(Table26[[#This Row],[customerSKU]],Table27[customer_SKU],Table27[billto],"",0,1))</f>
        <v/>
      </c>
      <c r="AH2586" s="26" t="str">
        <f>_xlfn.XLOOKUP(Table26[[#This Row],[customerSKU]],customerSKU!G:G,customerSKU!K:K,"NA",0,1)</f>
        <v>NA</v>
      </c>
      <c r="AI2586" s="43" t="str">
        <f>_xlfn.XLOOKUP(Table26[[#This Row],[customerSKU]],customerSKU!G:G,customerSKU!O:O,"not found",0,1)</f>
        <v>not found</v>
      </c>
      <c r="AJ2586" s="22" t="e">
        <f>Table26[[#This Row],[unitprice]]*Table26[[#This Row],[quantity_unit]]</f>
        <v>#VALUE!</v>
      </c>
      <c r="AK2586" s="227" t="e" cm="1">
        <f t="array" ref="AK2586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6" s="227"/>
    </row>
    <row r="2587" spans="1:38" ht="15.6">
      <c r="A2587" s="42"/>
      <c r="B2587" s="42"/>
      <c r="C2587" s="53"/>
      <c r="E2587" s="20"/>
      <c r="F2587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7" s="93"/>
      <c r="J2587" s="90" t="str">
        <f>IF(Table26[[#This Row],[customerSKU]]="","",_xlfn.XLOOKUP(Table26[[#This Row],[customerSKU]],customerSKU!G:G,customerSKU!A:A,"",0,1))</f>
        <v/>
      </c>
      <c r="K2587" s="19"/>
      <c r="L2587" s="49" t="str">
        <f>IF(Table26[[#This Row],[customerSKU]]="","",_xlfn.XLOOKUP(Table26[[#This Row],[customerSKU]],customerSKU!G:G,customerSKU!B:B,"",0,1))</f>
        <v/>
      </c>
      <c r="M2587" s="22"/>
      <c r="N2587" s="15" t="str">
        <f>Table26[[#This Row],[po_number]]&amp;"-"&amp;Table26[[#This Row],[po_line]]</f>
        <v>-</v>
      </c>
      <c r="O2587" s="15"/>
      <c r="P2587" s="50"/>
      <c r="S2587" s="90" t="str">
        <f>IF(Table26[[#This Row],[customerSKU]]="","",_xlfn.XLOOKUP(Table26[[#This Row],[customerSKU]],customerSKU!G:G,customerSKU!N:N,"NOT FOUND",0,1))</f>
        <v/>
      </c>
      <c r="T2587" s="20"/>
      <c r="U2587" s="94"/>
      <c r="V2587" s="22" t="str">
        <f>IF(ISBLANK(Table26[[#This Row],[customerSKU]]),"",_xlfn.XLOOKUP(Table26[[#This Row],[customerSKU]],Table27[customer_SKU],Table27[case_size],"",0,1))</f>
        <v/>
      </c>
      <c r="W2587" s="117" t="str">
        <f t="shared" si="108"/>
        <v/>
      </c>
      <c r="X2587" s="22" t="str">
        <f t="shared" si="107"/>
        <v/>
      </c>
      <c r="Y2587" s="25" t="str">
        <f>IF(Table26[[#This Row],[customerSKU]]="","",_xlfn.XLOOKUP(Table26[[#This Row],[customerSKU]],Table27[customer_SKU],Table27[product_GTIN],"",0,1))</f>
        <v/>
      </c>
      <c r="Z2587" s="25"/>
      <c r="AA2587" s="18" t="str" cm="1">
        <f t="array" ref="AA2587">IF(P2587="", "", _xlfn.XLOOKUP(P2587,#REF!,#REF!,NA,0,-1))</f>
        <v/>
      </c>
      <c r="AB2587" s="22"/>
      <c r="AC2587" s="23" t="str">
        <f>IF(Table26[[#This Row],[customerSKU]]="","",_xlfn.XLOOKUP(Table26[[#This Row],[customerSKU]],customerSKU!G:G,customerSKU!C:C,"",0,1))</f>
        <v/>
      </c>
      <c r="AD2587" s="23" t="str">
        <f>IF($AC2587="","",_xlfn.XLOOKUP($AC2587,'Client Info'!$C$2:$C$2497,'Client Info'!$D$2:$D$2497,"",0,1))</f>
        <v/>
      </c>
      <c r="AE2587" s="23" t="str">
        <f>IF($AC2587="","",_xlfn.XLOOKUP($AC2587,'Client Info'!$C$2:$C$2677,'Client Info'!$E$2:$E$2677,"",))</f>
        <v/>
      </c>
      <c r="AF2587" s="23" t="str">
        <f>IF($AC2587="","",_xlfn.XLOOKUP($AC2587,'Client Info'!$C$2:$C$2677,'Client Info'!$F$2:$F$2677,"",0,1))</f>
        <v/>
      </c>
      <c r="AG2587" s="23" t="str">
        <f>IF(ISBLANK(Table26[[#This Row],[customerSKU]]),"",_xlfn.XLOOKUP(Table26[[#This Row],[customerSKU]],Table27[customer_SKU],Table27[billto],"",0,1))</f>
        <v/>
      </c>
      <c r="AH2587" s="26" t="str">
        <f>_xlfn.XLOOKUP(Table26[[#This Row],[customerSKU]],customerSKU!G:G,customerSKU!K:K,"NA",0,1)</f>
        <v>NA</v>
      </c>
      <c r="AI2587" s="43" t="str">
        <f>_xlfn.XLOOKUP(Table26[[#This Row],[customerSKU]],customerSKU!G:G,customerSKU!O:O,"not found",0,1)</f>
        <v>not found</v>
      </c>
      <c r="AJ2587" s="22" t="e">
        <f>Table26[[#This Row],[unitprice]]*Table26[[#This Row],[quantity_unit]]</f>
        <v>#VALUE!</v>
      </c>
      <c r="AK2587" s="227" t="e" cm="1">
        <f t="array" ref="AK2587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7" s="227"/>
    </row>
    <row r="2588" spans="1:38" ht="15.6">
      <c r="A2588" s="42"/>
      <c r="B2588" s="42"/>
      <c r="C2588" s="53"/>
      <c r="E2588" s="20"/>
      <c r="F2588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8" s="93"/>
      <c r="J2588" s="90" t="str">
        <f>IF(Table26[[#This Row],[customerSKU]]="","",_xlfn.XLOOKUP(Table26[[#This Row],[customerSKU]],customerSKU!G:G,customerSKU!A:A,"",0,1))</f>
        <v/>
      </c>
      <c r="K2588" s="19"/>
      <c r="L2588" s="49" t="str">
        <f>IF(Table26[[#This Row],[customerSKU]]="","",_xlfn.XLOOKUP(Table26[[#This Row],[customerSKU]],customerSKU!G:G,customerSKU!B:B,"",0,1))</f>
        <v/>
      </c>
      <c r="M2588" s="22"/>
      <c r="N2588" s="15" t="str">
        <f>Table26[[#This Row],[po_number]]&amp;"-"&amp;Table26[[#This Row],[po_line]]</f>
        <v>-</v>
      </c>
      <c r="O2588" s="15"/>
      <c r="P2588" s="50"/>
      <c r="S2588" s="90" t="str">
        <f>IF(Table26[[#This Row],[customerSKU]]="","",_xlfn.XLOOKUP(Table26[[#This Row],[customerSKU]],customerSKU!G:G,customerSKU!N:N,"NOT FOUND",0,1))</f>
        <v/>
      </c>
      <c r="T2588" s="20"/>
      <c r="U2588" s="94"/>
      <c r="V2588" s="22" t="str">
        <f>IF(ISBLANK(Table26[[#This Row],[customerSKU]]),"",_xlfn.XLOOKUP(Table26[[#This Row],[customerSKU]],Table27[customer_SKU],Table27[case_size],"",0,1))</f>
        <v/>
      </c>
      <c r="W2588" s="117" t="str">
        <f t="shared" si="108"/>
        <v/>
      </c>
      <c r="X2588" s="22" t="str">
        <f t="shared" si="107"/>
        <v/>
      </c>
      <c r="Y2588" s="25" t="str">
        <f>IF(Table26[[#This Row],[customerSKU]]="","",_xlfn.XLOOKUP(Table26[[#This Row],[customerSKU]],Table27[customer_SKU],Table27[product_GTIN],"",0,1))</f>
        <v/>
      </c>
      <c r="Z2588" s="25"/>
      <c r="AA2588" s="18" t="str" cm="1">
        <f t="array" ref="AA2588">IF(P2588="", "", _xlfn.XLOOKUP(P2588,#REF!,#REF!,NA,0,-1))</f>
        <v/>
      </c>
      <c r="AB2588" s="22"/>
      <c r="AC2588" s="23" t="str">
        <f>IF(Table26[[#This Row],[customerSKU]]="","",_xlfn.XLOOKUP(Table26[[#This Row],[customerSKU]],customerSKU!G:G,customerSKU!C:C,"",0,1))</f>
        <v/>
      </c>
      <c r="AD2588" s="23" t="str">
        <f>IF($AC2588="","",_xlfn.XLOOKUP($AC2588,'Client Info'!$C$2:$C$2497,'Client Info'!$D$2:$D$2497,"",0,1))</f>
        <v/>
      </c>
      <c r="AE2588" s="23" t="str">
        <f>IF($AC2588="","",_xlfn.XLOOKUP($AC2588,'Client Info'!$C$2:$C$2677,'Client Info'!$E$2:$E$2677,"",))</f>
        <v/>
      </c>
      <c r="AF2588" s="23" t="str">
        <f>IF($AC2588="","",_xlfn.XLOOKUP($AC2588,'Client Info'!$C$2:$C$2677,'Client Info'!$F$2:$F$2677,"",0,1))</f>
        <v/>
      </c>
      <c r="AG2588" s="23" t="str">
        <f>IF(ISBLANK(Table26[[#This Row],[customerSKU]]),"",_xlfn.XLOOKUP(Table26[[#This Row],[customerSKU]],Table27[customer_SKU],Table27[billto],"",0,1))</f>
        <v/>
      </c>
      <c r="AH2588" s="26" t="str">
        <f>_xlfn.XLOOKUP(Table26[[#This Row],[customerSKU]],customerSKU!G:G,customerSKU!K:K,"NA",0,1)</f>
        <v>NA</v>
      </c>
      <c r="AI2588" s="43" t="str">
        <f>_xlfn.XLOOKUP(Table26[[#This Row],[customerSKU]],customerSKU!G:G,customerSKU!O:O,"not found",0,1)</f>
        <v>not found</v>
      </c>
      <c r="AJ2588" s="22" t="e">
        <f>Table26[[#This Row],[unitprice]]*Table26[[#This Row],[quantity_unit]]</f>
        <v>#VALUE!</v>
      </c>
      <c r="AK2588" s="227" t="e" cm="1">
        <f t="array" ref="AK2588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8" s="227"/>
    </row>
    <row r="2589" spans="1:38" ht="15.6">
      <c r="A2589" s="42"/>
      <c r="B2589" s="42"/>
      <c r="C2589" s="53"/>
      <c r="E2589" s="20"/>
      <c r="F2589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89" s="93"/>
      <c r="J2589" s="90" t="str">
        <f>IF(Table26[[#This Row],[customerSKU]]="","",_xlfn.XLOOKUP(Table26[[#This Row],[customerSKU]],customerSKU!G:G,customerSKU!A:A,"",0,1))</f>
        <v/>
      </c>
      <c r="K2589" s="19"/>
      <c r="L2589" s="49" t="str">
        <f>IF(Table26[[#This Row],[customerSKU]]="","",_xlfn.XLOOKUP(Table26[[#This Row],[customerSKU]],customerSKU!G:G,customerSKU!B:B,"",0,1))</f>
        <v/>
      </c>
      <c r="M2589" s="22"/>
      <c r="N2589" s="15" t="str">
        <f>Table26[[#This Row],[po_number]]&amp;"-"&amp;Table26[[#This Row],[po_line]]</f>
        <v>-</v>
      </c>
      <c r="O2589" s="15"/>
      <c r="P2589" s="50"/>
      <c r="S2589" s="90" t="str">
        <f>IF(Table26[[#This Row],[customerSKU]]="","",_xlfn.XLOOKUP(Table26[[#This Row],[customerSKU]],customerSKU!G:G,customerSKU!N:N,"NOT FOUND",0,1))</f>
        <v/>
      </c>
      <c r="T2589" s="20"/>
      <c r="U2589" s="94"/>
      <c r="V2589" s="22" t="str">
        <f>IF(ISBLANK(Table26[[#This Row],[customerSKU]]),"",_xlfn.XLOOKUP(Table26[[#This Row],[customerSKU]],Table27[customer_SKU],Table27[case_size],"",0,1))</f>
        <v/>
      </c>
      <c r="W2589" s="117" t="str">
        <f t="shared" si="108"/>
        <v/>
      </c>
      <c r="X2589" s="22" t="str">
        <f t="shared" si="107"/>
        <v/>
      </c>
      <c r="Y2589" s="25" t="str">
        <f>IF(Table26[[#This Row],[customerSKU]]="","",_xlfn.XLOOKUP(Table26[[#This Row],[customerSKU]],Table27[customer_SKU],Table27[product_GTIN],"",0,1))</f>
        <v/>
      </c>
      <c r="Z2589" s="25"/>
      <c r="AA2589" s="18" t="str" cm="1">
        <f t="array" ref="AA2589">IF(P2589="", "", _xlfn.XLOOKUP(P2589,#REF!,#REF!,NA,0,-1))</f>
        <v/>
      </c>
      <c r="AB2589" s="22"/>
      <c r="AC2589" s="23" t="str">
        <f>IF(Table26[[#This Row],[customerSKU]]="","",_xlfn.XLOOKUP(Table26[[#This Row],[customerSKU]],customerSKU!G:G,customerSKU!C:C,"",0,1))</f>
        <v/>
      </c>
      <c r="AD2589" s="23" t="str">
        <f>IF($AC2589="","",_xlfn.XLOOKUP($AC2589,'Client Info'!$C$2:$C$2497,'Client Info'!$D$2:$D$2497,"",0,1))</f>
        <v/>
      </c>
      <c r="AE2589" s="23" t="str">
        <f>IF($AC2589="","",_xlfn.XLOOKUP($AC2589,'Client Info'!$C$2:$C$2677,'Client Info'!$E$2:$E$2677,"",))</f>
        <v/>
      </c>
      <c r="AF2589" s="23" t="str">
        <f>IF($AC2589="","",_xlfn.XLOOKUP($AC2589,'Client Info'!$C$2:$C$2677,'Client Info'!$F$2:$F$2677,"",0,1))</f>
        <v/>
      </c>
      <c r="AG2589" s="23" t="str">
        <f>IF(ISBLANK(Table26[[#This Row],[customerSKU]]),"",_xlfn.XLOOKUP(Table26[[#This Row],[customerSKU]],Table27[customer_SKU],Table27[billto],"",0,1))</f>
        <v/>
      </c>
      <c r="AH2589" s="26" t="str">
        <f>_xlfn.XLOOKUP(Table26[[#This Row],[customerSKU]],customerSKU!G:G,customerSKU!K:K,"NA",0,1)</f>
        <v>NA</v>
      </c>
      <c r="AI2589" s="43" t="str">
        <f>_xlfn.XLOOKUP(Table26[[#This Row],[customerSKU]],customerSKU!G:G,customerSKU!O:O,"not found",0,1)</f>
        <v>not found</v>
      </c>
      <c r="AJ2589" s="22" t="e">
        <f>Table26[[#This Row],[unitprice]]*Table26[[#This Row],[quantity_unit]]</f>
        <v>#VALUE!</v>
      </c>
      <c r="AK2589" s="227" t="e" cm="1">
        <f t="array" ref="AK2589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89" s="227"/>
    </row>
    <row r="2590" spans="1:38" ht="15.6">
      <c r="A2590" s="42"/>
      <c r="B2590" s="42"/>
      <c r="C2590" s="53"/>
      <c r="E2590" s="20"/>
      <c r="F2590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90" s="93"/>
      <c r="J2590" s="90" t="str">
        <f>IF(Table26[[#This Row],[customerSKU]]="","",_xlfn.XLOOKUP(Table26[[#This Row],[customerSKU]],customerSKU!G:G,customerSKU!A:A,"",0,1))</f>
        <v/>
      </c>
      <c r="K2590" s="19"/>
      <c r="L2590" s="49" t="str">
        <f>IF(Table26[[#This Row],[customerSKU]]="","",_xlfn.XLOOKUP(Table26[[#This Row],[customerSKU]],customerSKU!G:G,customerSKU!B:B,"",0,1))</f>
        <v/>
      </c>
      <c r="M2590" s="22"/>
      <c r="N2590" s="15" t="str">
        <f>Table26[[#This Row],[po_number]]&amp;"-"&amp;Table26[[#This Row],[po_line]]</f>
        <v>-</v>
      </c>
      <c r="O2590" s="15"/>
      <c r="P2590" s="50"/>
      <c r="S2590" s="90" t="str">
        <f>IF(Table26[[#This Row],[customerSKU]]="","",_xlfn.XLOOKUP(Table26[[#This Row],[customerSKU]],customerSKU!G:G,customerSKU!N:N,"NOT FOUND",0,1))</f>
        <v/>
      </c>
      <c r="T2590" s="20"/>
      <c r="U2590" s="94"/>
      <c r="V2590" s="22" t="str">
        <f>IF(ISBLANK(Table26[[#This Row],[customerSKU]]),"",_xlfn.XLOOKUP(Table26[[#This Row],[customerSKU]],Table27[customer_SKU],Table27[case_size],"",0,1))</f>
        <v/>
      </c>
      <c r="W2590" s="117" t="str">
        <f t="shared" si="108"/>
        <v/>
      </c>
      <c r="X2590" s="22" t="str">
        <f t="shared" si="107"/>
        <v/>
      </c>
      <c r="Y2590" s="25" t="str">
        <f>IF(Table26[[#This Row],[customerSKU]]="","",_xlfn.XLOOKUP(Table26[[#This Row],[customerSKU]],Table27[customer_SKU],Table27[product_GTIN],"",0,1))</f>
        <v/>
      </c>
      <c r="Z2590" s="25"/>
      <c r="AA2590" s="18" t="str" cm="1">
        <f t="array" ref="AA2590">IF(P2590="", "", _xlfn.XLOOKUP(P2590,#REF!,#REF!,NA,0,-1))</f>
        <v/>
      </c>
      <c r="AB2590" s="22"/>
      <c r="AC2590" s="23" t="str">
        <f>IF(Table26[[#This Row],[customerSKU]]="","",_xlfn.XLOOKUP(Table26[[#This Row],[customerSKU]],customerSKU!G:G,customerSKU!C:C,"",0,1))</f>
        <v/>
      </c>
      <c r="AD2590" s="23" t="str">
        <f>IF($AC2590="","",_xlfn.XLOOKUP($AC2590,'Client Info'!$C$2:$C$2497,'Client Info'!$D$2:$D$2497,"",0,1))</f>
        <v/>
      </c>
      <c r="AE2590" s="23" t="str">
        <f>IF($AC2590="","",_xlfn.XLOOKUP($AC2590,'Client Info'!$C$2:$C$2677,'Client Info'!$E$2:$E$2677,"",))</f>
        <v/>
      </c>
      <c r="AF2590" s="23" t="str">
        <f>IF($AC2590="","",_xlfn.XLOOKUP($AC2590,'Client Info'!$C$2:$C$2677,'Client Info'!$F$2:$F$2677,"",0,1))</f>
        <v/>
      </c>
      <c r="AG2590" s="23" t="str">
        <f>IF(ISBLANK(Table26[[#This Row],[customerSKU]]),"",_xlfn.XLOOKUP(Table26[[#This Row],[customerSKU]],Table27[customer_SKU],Table27[billto],"",0,1))</f>
        <v/>
      </c>
      <c r="AH2590" s="26" t="str">
        <f>_xlfn.XLOOKUP(Table26[[#This Row],[customerSKU]],customerSKU!G:G,customerSKU!K:K,"NA",0,1)</f>
        <v>NA</v>
      </c>
      <c r="AI2590" s="43" t="str">
        <f>_xlfn.XLOOKUP(Table26[[#This Row],[customerSKU]],customerSKU!G:G,customerSKU!O:O,"not found",0,1)</f>
        <v>not found</v>
      </c>
      <c r="AJ2590" s="22" t="e">
        <f>Table26[[#This Row],[unitprice]]*Table26[[#This Row],[quantity_unit]]</f>
        <v>#VALUE!</v>
      </c>
      <c r="AK2590" s="227" t="e" cm="1">
        <f t="array" ref="AK2590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90" s="227"/>
    </row>
    <row r="2591" spans="1:38" ht="15.6">
      <c r="A2591" s="42"/>
      <c r="B2591" s="42"/>
      <c r="C2591" s="53"/>
      <c r="E2591" s="20"/>
      <c r="F2591" s="22" t="str">
        <f>IF(OR(ISNUMBER(SEARCH("OCS",Table26[[#This Row],[sales_stream]])),ISNUMBER(SEARCH("AGLC",Table26[[#This Row],[sales_stream]])),ISNUMBER(SEARCH("NSLC",Table26[[#This Row],[sales_stream]]))),"NEED BOOKING","")</f>
        <v/>
      </c>
      <c r="G2591" s="93"/>
      <c r="J2591" s="90" t="str">
        <f>IF(Table26[[#This Row],[customerSKU]]="","",_xlfn.XLOOKUP(Table26[[#This Row],[customerSKU]],customerSKU!G:G,customerSKU!A:A,"",0,1))</f>
        <v/>
      </c>
      <c r="K2591" s="19"/>
      <c r="L2591" s="49" t="str">
        <f>IF(Table26[[#This Row],[customerSKU]]="","",_xlfn.XLOOKUP(Table26[[#This Row],[customerSKU]],customerSKU!G:G,customerSKU!B:B,"",0,1))</f>
        <v/>
      </c>
      <c r="M2591" s="22"/>
      <c r="N2591" s="15" t="str">
        <f>Table26[[#This Row],[po_number]]&amp;"-"&amp;Table26[[#This Row],[po_line]]</f>
        <v>-</v>
      </c>
      <c r="O2591" s="15"/>
      <c r="P2591" s="50"/>
      <c r="S2591" s="90" t="str">
        <f>IF(Table26[[#This Row],[customerSKU]]="","",_xlfn.XLOOKUP(Table26[[#This Row],[customerSKU]],customerSKU!G:G,customerSKU!N:N,"NOT FOUND",0,1))</f>
        <v/>
      </c>
      <c r="T2591" s="20"/>
      <c r="U2591" s="94"/>
      <c r="V2591" s="22" t="str">
        <f>IF(ISBLANK(Table26[[#This Row],[customerSKU]]),"",_xlfn.XLOOKUP(Table26[[#This Row],[customerSKU]],Table27[customer_SKU],Table27[case_size],"",0,1))</f>
        <v/>
      </c>
      <c r="W2591" s="117" t="str">
        <f t="shared" si="108"/>
        <v/>
      </c>
      <c r="X2591" s="22" t="str">
        <f t="shared" si="107"/>
        <v/>
      </c>
      <c r="Y2591" s="25" t="str">
        <f>IF(Table26[[#This Row],[customerSKU]]="","",_xlfn.XLOOKUP(Table26[[#This Row],[customerSKU]],Table27[customer_SKU],Table27[product_GTIN],"",0,1))</f>
        <v/>
      </c>
      <c r="Z2591" s="25"/>
      <c r="AA2591" s="18" t="str" cm="1">
        <f t="array" ref="AA2591">IF(P2591="", "", _xlfn.XLOOKUP(P2591,#REF!,#REF!,NA,0,-1))</f>
        <v/>
      </c>
      <c r="AB2591" s="22"/>
      <c r="AC2591" s="23" t="str">
        <f>IF(Table26[[#This Row],[customerSKU]]="","",_xlfn.XLOOKUP(Table26[[#This Row],[customerSKU]],customerSKU!G:G,customerSKU!C:C,"",0,1))</f>
        <v/>
      </c>
      <c r="AD2591" s="23" t="str">
        <f>IF($AC2591="","",_xlfn.XLOOKUP($AC2591,'Client Info'!$C$2:$C$2497,'Client Info'!$D$2:$D$2497,"",0,1))</f>
        <v/>
      </c>
      <c r="AE2591" s="23" t="str">
        <f>IF($AC2591="","",_xlfn.XLOOKUP($AC2591,'Client Info'!$C$2:$C$2677,'Client Info'!$E$2:$E$2677,"",))</f>
        <v/>
      </c>
      <c r="AF2591" s="23" t="str">
        <f>IF($AC2591="","",_xlfn.XLOOKUP($AC2591,'Client Info'!$C$2:$C$2677,'Client Info'!$F$2:$F$2677,"",0,1))</f>
        <v/>
      </c>
      <c r="AG2591" s="23" t="str">
        <f>IF(ISBLANK(Table26[[#This Row],[customerSKU]]),"",_xlfn.XLOOKUP(Table26[[#This Row],[customerSKU]],Table27[customer_SKU],Table27[billto],"",0,1))</f>
        <v/>
      </c>
      <c r="AH2591" s="26" t="str">
        <f>_xlfn.XLOOKUP(Table26[[#This Row],[customerSKU]],customerSKU!G:G,customerSKU!K:K,"NA",0,1)</f>
        <v>NA</v>
      </c>
      <c r="AI2591" s="43" t="str">
        <f>_xlfn.XLOOKUP(Table26[[#This Row],[customerSKU]],customerSKU!G:G,customerSKU!O:O,"not found",0,1)</f>
        <v>not found</v>
      </c>
      <c r="AJ2591" s="22" t="e">
        <f>Table26[[#This Row],[unitprice]]*Table26[[#This Row],[quantity_unit]]</f>
        <v>#VALUE!</v>
      </c>
      <c r="AK2591" s="227" t="e" cm="1">
        <f t="array" ref="AK2591">_xlfn.IFS(Table26[[#This Row],[sales_stream]]="BCDD",Table26[[#This Row],[Product Price]]*1.05,Table26[[#This Row],[sales_stream]]="MBLL_redistribution",Table26[[#This Row],[Product Price]]*1.05,Table26[[#This Row],[sales_stream]]="DD_BURB",Table26[[#This Row],[Product Price]]*1.05,Table26[[#This Row],[sales_stream]]="DD_WEEDS",Table26[[#This Row],[Product Price]]*1.05,Table26[[#This Row],[sales_stream]]="MBLL",Table26[[#This Row],[Product Price]]*1.05,Table26[[#This Row],[sales_stream]]="OCS",Table26[[#This Row],[Product Price]]*1.266,Table26[[#This Row],[sales_stream]]="AGLC",Table26[[#This Row],[Product Price]],Table26[[#This Row],[sales_stream]]="BCLDB_WT",Table26[[#This Row],[Product Price]],Table26[[#This Row],[sales_stream]]="BCLDB_ROGWORLD",Table26[[#This Row],[Product Price]],Table26[[#This Row],[sales_stream]]="CANNMART",Table26[[#This Row],[Product Price]]*1.13,Table26[[#This Row],[sales_stream]]="SLGA_redistribution",Table26[[#This Row],[Product Price]]*1.05,Table26[[#This Row],[sales_stream]]="BCDD_ROGWORLD",Table26[[#This Row],[Product Price]]*1.05,Table26[[#This Row],[sales_stream]]="YLC",Table26[[#This Row],[Product Price]]*1)</f>
        <v>#N/A</v>
      </c>
      <c r="AL2591" s="227"/>
    </row>
    <row r="2592" spans="1:38" ht="15.6">
      <c r="A2592" s="42"/>
      <c r="B2592" s="42"/>
      <c r="C2592" s="53"/>
      <c r="E2592" s="20"/>
      <c r="F2592" s="25"/>
      <c r="G2592" s="93"/>
      <c r="J2592" s="22"/>
      <c r="K2592" s="19"/>
      <c r="L2592" s="31"/>
      <c r="M2592" s="22"/>
      <c r="N2592" s="15" t="str">
        <f>Table26[[#This Row],[po_number]]&amp;"-"&amp;Table26[[#This Row],[po_line]]</f>
        <v>-</v>
      </c>
      <c r="O2592" s="15"/>
      <c r="P2592" s="50"/>
      <c r="S2592" s="22"/>
      <c r="T2592" s="20"/>
      <c r="U2592" s="94"/>
      <c r="W2592" s="117" t="str">
        <f t="shared" si="108"/>
        <v/>
      </c>
      <c r="X2592" s="22"/>
      <c r="Y2592" s="25"/>
      <c r="Z2592" s="25"/>
      <c r="AA2592" s="18" t="str" cm="1">
        <f t="array" ref="AA2592">IF(P2592="", "", _xlfn.XLOOKUP(P2592,#REF!,#REF!,NA,0,-1))</f>
        <v/>
      </c>
      <c r="AB2592" s="22"/>
      <c r="AC2592" s="23"/>
      <c r="AD2592" s="22" t="str">
        <f>IF($AC2592="","",_xlfn.XLOOKUP($AC2592,'[2]Client Info'!$C$2:$C$2535,'[2]Client Info'!$D$2:$D$2535))</f>
        <v/>
      </c>
      <c r="AE2592" s="18"/>
      <c r="AF2592" s="18"/>
      <c r="AH2592" s="294"/>
      <c r="AI2592" s="22"/>
      <c r="AJ2592" s="22">
        <f>Table26[[#This Row],[unitprice]]*Table26[[#This Row],[quantity_unit]]</f>
        <v>0</v>
      </c>
      <c r="AK2592" s="22" t="e" cm="1">
        <f t="array" ref="AK259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2" s="227"/>
    </row>
    <row r="2593" spans="1:38" ht="15.6">
      <c r="A2593" s="42"/>
      <c r="B2593" s="42"/>
      <c r="C2593" s="53"/>
      <c r="E2593" s="20"/>
      <c r="F2593" s="25"/>
      <c r="G2593" s="93"/>
      <c r="J2593" s="22"/>
      <c r="K2593" s="19"/>
      <c r="L2593" s="31"/>
      <c r="M2593" s="22"/>
      <c r="N2593" s="15" t="str">
        <f>Table26[[#This Row],[po_number]]&amp;"-"&amp;Table26[[#This Row],[po_line]]</f>
        <v>-</v>
      </c>
      <c r="O2593" s="15"/>
      <c r="P2593" s="50"/>
      <c r="S2593" s="22"/>
      <c r="T2593" s="20"/>
      <c r="U2593" s="94"/>
      <c r="W2593" s="117" t="str">
        <f t="shared" si="108"/>
        <v/>
      </c>
      <c r="X2593" s="22"/>
      <c r="Y2593" s="25"/>
      <c r="Z2593" s="293"/>
      <c r="AA2593" s="18" t="str" cm="1">
        <f t="array" ref="AA2593">IF(P2593="", "", _xlfn.XLOOKUP(P2593,#REF!,#REF!,NA,0,-1))</f>
        <v/>
      </c>
      <c r="AB2593" s="22"/>
      <c r="AC2593" s="23"/>
      <c r="AD2593" s="22" t="str">
        <f>IF($AC2593="","",_xlfn.XLOOKUP($AC2593,'[2]Client Info'!$C$2:$C$2535,'[2]Client Info'!$D$2:$D$2535))</f>
        <v/>
      </c>
      <c r="AE2593" s="18"/>
      <c r="AF2593" s="18"/>
      <c r="AH2593" s="295"/>
      <c r="AI2593" s="22"/>
      <c r="AJ2593" s="22">
        <f>Table26[[#This Row],[unitprice]]*Table26[[#This Row],[quantity_unit]]</f>
        <v>0</v>
      </c>
      <c r="AK2593" s="22" t="e" cm="1">
        <f t="array" ref="AK2593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3" s="227"/>
    </row>
    <row r="2594" spans="1:38" ht="15.6">
      <c r="A2594" s="42"/>
      <c r="B2594" s="42"/>
      <c r="C2594" s="53"/>
      <c r="E2594" s="20"/>
      <c r="F2594" s="25"/>
      <c r="G2594" s="93"/>
      <c r="J2594" s="22"/>
      <c r="K2594" s="19"/>
      <c r="L2594" s="31"/>
      <c r="M2594" s="22"/>
      <c r="N2594" s="15" t="str">
        <f>Table26[[#This Row],[po_number]]&amp;"-"&amp;Table26[[#This Row],[po_line]]</f>
        <v>-</v>
      </c>
      <c r="O2594" s="15"/>
      <c r="P2594" s="50"/>
      <c r="S2594" s="22"/>
      <c r="T2594" s="20"/>
      <c r="U2594" s="94"/>
      <c r="W2594" s="117" t="str">
        <f t="shared" si="108"/>
        <v/>
      </c>
      <c r="X2594" s="22"/>
      <c r="Y2594" s="25"/>
      <c r="Z2594" s="293"/>
      <c r="AA2594" s="18" t="str" cm="1">
        <f t="array" ref="AA2594">IF(P2594="", "", _xlfn.XLOOKUP(P2594,#REF!,#REF!,NA,0,-1))</f>
        <v/>
      </c>
      <c r="AB2594" s="22"/>
      <c r="AC2594" s="23"/>
      <c r="AD2594" s="22" t="str">
        <f>IF($AC2594="","",_xlfn.XLOOKUP($AC2594,'[2]Client Info'!$C$2:$C$2535,'[2]Client Info'!$D$2:$D$2535))</f>
        <v/>
      </c>
      <c r="AE2594" s="18"/>
      <c r="AF2594" s="18"/>
      <c r="AH2594" s="295"/>
      <c r="AI2594" s="22"/>
      <c r="AJ2594" s="22">
        <f>Table26[[#This Row],[unitprice]]*Table26[[#This Row],[quantity_unit]]</f>
        <v>0</v>
      </c>
      <c r="AK2594" s="22" t="e" cm="1">
        <f t="array" ref="AK2594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4" s="227"/>
    </row>
    <row r="2595" spans="1:38" ht="15.6">
      <c r="A2595" s="42"/>
      <c r="B2595" s="42"/>
      <c r="C2595" s="53"/>
      <c r="E2595" s="20"/>
      <c r="F2595" s="25"/>
      <c r="G2595" s="93"/>
      <c r="J2595" s="22"/>
      <c r="K2595" s="19"/>
      <c r="L2595" s="31"/>
      <c r="M2595" s="22"/>
      <c r="N2595" s="15" t="str">
        <f>Table26[[#This Row],[po_number]]&amp;"-"&amp;Table26[[#This Row],[po_line]]</f>
        <v>-</v>
      </c>
      <c r="O2595" s="15"/>
      <c r="P2595" s="50"/>
      <c r="S2595" s="22"/>
      <c r="T2595" s="20"/>
      <c r="U2595" s="94"/>
      <c r="W2595" s="117" t="str">
        <f t="shared" si="108"/>
        <v/>
      </c>
      <c r="X2595" s="22"/>
      <c r="Y2595" s="25"/>
      <c r="Z2595" s="293"/>
      <c r="AA2595" s="18" t="str" cm="1">
        <f t="array" ref="AA2595">IF(P2595="", "", _xlfn.XLOOKUP(P2595,#REF!,#REF!,NA,0,-1))</f>
        <v/>
      </c>
      <c r="AB2595" s="22"/>
      <c r="AC2595" s="23"/>
      <c r="AD2595" s="22" t="str">
        <f>IF($AC2595="","",_xlfn.XLOOKUP($AC2595,'[2]Client Info'!$C$2:$C$2535,'[2]Client Info'!$D$2:$D$2535))</f>
        <v/>
      </c>
      <c r="AE2595" s="18"/>
      <c r="AF2595" s="18"/>
      <c r="AH2595" s="295"/>
      <c r="AI2595" s="22"/>
      <c r="AJ2595" s="22">
        <f>Table26[[#This Row],[unitprice]]*Table26[[#This Row],[quantity_unit]]</f>
        <v>0</v>
      </c>
      <c r="AK2595" s="22" t="e" cm="1">
        <f t="array" ref="AK2595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5" s="227"/>
    </row>
    <row r="2596" spans="1:38" ht="15.6">
      <c r="A2596" s="42"/>
      <c r="B2596" s="42"/>
      <c r="C2596" s="53"/>
      <c r="E2596" s="20"/>
      <c r="F2596" s="25"/>
      <c r="G2596" s="93"/>
      <c r="J2596" s="22"/>
      <c r="K2596" s="19"/>
      <c r="L2596" s="31"/>
      <c r="M2596" s="22"/>
      <c r="N2596" s="15" t="str">
        <f>Table26[[#This Row],[po_number]]&amp;"-"&amp;Table26[[#This Row],[po_line]]</f>
        <v>-</v>
      </c>
      <c r="O2596" s="15"/>
      <c r="P2596" s="50"/>
      <c r="S2596" s="22"/>
      <c r="T2596" s="20"/>
      <c r="U2596" s="94"/>
      <c r="W2596" s="117" t="str">
        <f t="shared" si="108"/>
        <v/>
      </c>
      <c r="X2596" s="22"/>
      <c r="Y2596" s="25"/>
      <c r="Z2596" s="293"/>
      <c r="AA2596" s="18" t="str" cm="1">
        <f t="array" ref="AA2596">IF(P2596="", "", _xlfn.XLOOKUP(P2596,#REF!,#REF!,NA,0,-1))</f>
        <v/>
      </c>
      <c r="AB2596" s="22"/>
      <c r="AC2596" s="23"/>
      <c r="AD2596" s="22" t="str">
        <f>IF($AC2596="","",_xlfn.XLOOKUP($AC2596,'[2]Client Info'!$C$2:$C$2535,'[2]Client Info'!$D$2:$D$2535))</f>
        <v/>
      </c>
      <c r="AE2596" s="18"/>
      <c r="AF2596" s="18"/>
      <c r="AH2596" s="295"/>
      <c r="AI2596" s="22"/>
      <c r="AJ2596" s="22">
        <f>Table26[[#This Row],[unitprice]]*Table26[[#This Row],[quantity_unit]]</f>
        <v>0</v>
      </c>
      <c r="AK2596" s="22" t="e" cm="1">
        <f t="array" ref="AK2596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6" s="227"/>
    </row>
    <row r="2597" spans="1:38" ht="15.6">
      <c r="A2597" s="42"/>
      <c r="B2597" s="42"/>
      <c r="C2597" s="53"/>
      <c r="E2597" s="20"/>
      <c r="F2597" s="25"/>
      <c r="G2597" s="93"/>
      <c r="J2597" s="22"/>
      <c r="K2597" s="19"/>
      <c r="L2597" s="31"/>
      <c r="M2597" s="22"/>
      <c r="N2597" s="15" t="str">
        <f>Table26[[#This Row],[po_number]]&amp;"-"&amp;Table26[[#This Row],[po_line]]</f>
        <v>-</v>
      </c>
      <c r="O2597" s="15"/>
      <c r="P2597" s="50"/>
      <c r="S2597" s="22"/>
      <c r="T2597" s="20"/>
      <c r="U2597" s="94"/>
      <c r="W2597" s="117" t="str">
        <f t="shared" si="108"/>
        <v/>
      </c>
      <c r="X2597" s="22"/>
      <c r="Y2597" s="25"/>
      <c r="Z2597" s="25"/>
      <c r="AA2597" s="18" t="str" cm="1">
        <f t="array" ref="AA2597">IF(P2597="", "", _xlfn.XLOOKUP(P2597,#REF!,#REF!,NA,0,-1))</f>
        <v/>
      </c>
      <c r="AB2597" s="22"/>
      <c r="AC2597" s="23"/>
      <c r="AD2597" s="22" t="str">
        <f>IF($AC2597="","",_xlfn.XLOOKUP($AC2597,'[2]Client Info'!$C$2:$C$2535,'[2]Client Info'!$D$2:$D$2535))</f>
        <v/>
      </c>
      <c r="AE2597" s="18"/>
      <c r="AF2597" s="18"/>
      <c r="AH2597" s="294"/>
      <c r="AI2597" s="22"/>
      <c r="AJ2597" s="22">
        <f>Table26[[#This Row],[unitprice]]*Table26[[#This Row],[quantity_unit]]</f>
        <v>0</v>
      </c>
      <c r="AK2597" s="22" t="e" cm="1">
        <f t="array" ref="AK2597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7" s="227"/>
    </row>
    <row r="2598" spans="1:38" ht="15.6">
      <c r="A2598" s="42"/>
      <c r="B2598" s="42"/>
      <c r="C2598" s="53"/>
      <c r="E2598" s="20"/>
      <c r="F2598" s="25"/>
      <c r="G2598" s="93"/>
      <c r="J2598" s="22"/>
      <c r="K2598" s="19"/>
      <c r="L2598" s="31"/>
      <c r="M2598" s="22"/>
      <c r="N2598" s="15" t="str">
        <f>Table26[[#This Row],[po_number]]&amp;"-"&amp;Table26[[#This Row],[po_line]]</f>
        <v>-</v>
      </c>
      <c r="O2598" s="15"/>
      <c r="P2598" s="50"/>
      <c r="S2598" s="22"/>
      <c r="T2598" s="20"/>
      <c r="U2598" s="94"/>
      <c r="W2598" s="117" t="str">
        <f t="shared" si="108"/>
        <v/>
      </c>
      <c r="X2598" s="22"/>
      <c r="Y2598" s="25"/>
      <c r="Z2598" s="293"/>
      <c r="AA2598" s="18" t="str" cm="1">
        <f t="array" ref="AA2598">IF(P2598="", "", _xlfn.XLOOKUP(P2598,#REF!,#REF!,NA,0,-1))</f>
        <v/>
      </c>
      <c r="AB2598" s="22"/>
      <c r="AC2598" s="23"/>
      <c r="AD2598" s="22" t="str">
        <f>IF($AC2598="","",_xlfn.XLOOKUP($AC2598,'[2]Client Info'!$C$2:$C$2535,'[2]Client Info'!$D$2:$D$2535))</f>
        <v/>
      </c>
      <c r="AE2598" s="18"/>
      <c r="AF2598" s="18"/>
      <c r="AH2598" s="295"/>
      <c r="AI2598" s="22"/>
      <c r="AJ2598" s="22">
        <f>Table26[[#This Row],[unitprice]]*Table26[[#This Row],[quantity_unit]]</f>
        <v>0</v>
      </c>
      <c r="AK2598" s="22" t="e" cm="1">
        <f t="array" ref="AK2598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8" s="227"/>
    </row>
    <row r="2599" spans="1:38" ht="15.6">
      <c r="A2599" s="42"/>
      <c r="B2599" s="42"/>
      <c r="C2599" s="53"/>
      <c r="E2599" s="20"/>
      <c r="F2599" s="25"/>
      <c r="G2599" s="93"/>
      <c r="J2599" s="22"/>
      <c r="K2599" s="19"/>
      <c r="L2599" s="31"/>
      <c r="M2599" s="22"/>
      <c r="N2599" s="15" t="str">
        <f>Table26[[#This Row],[po_number]]&amp;"-"&amp;Table26[[#This Row],[po_line]]</f>
        <v>-</v>
      </c>
      <c r="O2599" s="15"/>
      <c r="P2599" s="50"/>
      <c r="S2599" s="22"/>
      <c r="T2599" s="20"/>
      <c r="U2599" s="94"/>
      <c r="W2599" s="117" t="str">
        <f t="shared" si="108"/>
        <v/>
      </c>
      <c r="X2599" s="22"/>
      <c r="Y2599" s="25"/>
      <c r="Z2599" s="293"/>
      <c r="AA2599" s="18" t="str" cm="1">
        <f t="array" ref="AA2599">IF(P2599="", "", _xlfn.XLOOKUP(P2599,#REF!,#REF!,NA,0,-1))</f>
        <v/>
      </c>
      <c r="AB2599" s="22"/>
      <c r="AC2599" s="23"/>
      <c r="AD2599" s="22" t="str">
        <f>IF($AC2599="","",_xlfn.XLOOKUP($AC2599,'[2]Client Info'!$C$2:$C$2535,'[2]Client Info'!$D$2:$D$2535))</f>
        <v/>
      </c>
      <c r="AE2599" s="18"/>
      <c r="AF2599" s="18"/>
      <c r="AH2599" s="295"/>
      <c r="AI2599" s="22"/>
      <c r="AJ2599" s="22">
        <f>Table26[[#This Row],[unitprice]]*Table26[[#This Row],[quantity_unit]]</f>
        <v>0</v>
      </c>
      <c r="AK2599" s="22" t="e" cm="1">
        <f t="array" ref="AK2599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599" s="227"/>
    </row>
    <row r="2600" spans="1:38" ht="15.6">
      <c r="A2600" s="42"/>
      <c r="B2600" s="42"/>
      <c r="C2600" s="53"/>
      <c r="E2600" s="20"/>
      <c r="F2600" s="25"/>
      <c r="G2600" s="93"/>
      <c r="J2600" s="22"/>
      <c r="K2600" s="19"/>
      <c r="L2600" s="31"/>
      <c r="M2600" s="22"/>
      <c r="N2600" s="15" t="str">
        <f>Table26[[#This Row],[po_number]]&amp;"-"&amp;Table26[[#This Row],[po_line]]</f>
        <v>-</v>
      </c>
      <c r="O2600" s="15"/>
      <c r="P2600" s="50"/>
      <c r="S2600" s="22"/>
      <c r="T2600" s="20"/>
      <c r="U2600" s="94"/>
      <c r="W2600" s="117" t="str">
        <f t="shared" si="108"/>
        <v/>
      </c>
      <c r="X2600" s="22"/>
      <c r="Y2600" s="25"/>
      <c r="Z2600" s="293"/>
      <c r="AA2600" s="18" t="str" cm="1">
        <f t="array" ref="AA2600">IF(P2600="", "", _xlfn.XLOOKUP(P2600,#REF!,#REF!,NA,0,-1))</f>
        <v/>
      </c>
      <c r="AB2600" s="22"/>
      <c r="AC2600" s="23"/>
      <c r="AD2600" s="22" t="str">
        <f>IF($AC2600="","",_xlfn.XLOOKUP($AC2600,'[2]Client Info'!$C$2:$C$2535,'[2]Client Info'!$D$2:$D$2535))</f>
        <v/>
      </c>
      <c r="AE2600" s="18"/>
      <c r="AF2600" s="18"/>
      <c r="AH2600" s="295"/>
      <c r="AI2600" s="22"/>
      <c r="AJ2600" s="22">
        <f>Table26[[#This Row],[unitprice]]*Table26[[#This Row],[quantity_unit]]</f>
        <v>0</v>
      </c>
      <c r="AK2600" s="22" t="e" cm="1">
        <f t="array" ref="AK2600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600" s="227"/>
    </row>
    <row r="2601" spans="1:38" ht="18" customHeight="1">
      <c r="A2601" s="296"/>
      <c r="B2601" s="296"/>
      <c r="C2601" s="77"/>
      <c r="D2601" s="297"/>
      <c r="E2601" s="297"/>
      <c r="F2601" s="95"/>
      <c r="G2601" s="96"/>
      <c r="H2601" s="15"/>
      <c r="I2601" s="15"/>
      <c r="J2601" s="15"/>
      <c r="K2601" s="100"/>
      <c r="L2601" s="31"/>
      <c r="N2601" s="15" t="str">
        <f>Table26[[#This Row],[po_number]]&amp;"-"&amp;Table26[[#This Row],[po_line]]</f>
        <v>-</v>
      </c>
      <c r="O2601" s="15"/>
      <c r="P2601" s="50"/>
      <c r="Q2601" s="15"/>
      <c r="R2601" s="15"/>
      <c r="S2601" s="15"/>
      <c r="T2601" s="297"/>
      <c r="U2601" s="97"/>
      <c r="V2601" s="15"/>
      <c r="W2601" s="298" t="str">
        <f t="shared" si="108"/>
        <v/>
      </c>
      <c r="X2601" s="15"/>
      <c r="Y2601" s="95"/>
      <c r="Z2601" s="95"/>
      <c r="AA2601" s="98" t="str" cm="1">
        <f t="array" ref="AA2601">IF(P2601="", "", _xlfn.XLOOKUP(P2601,#REF!,#REF!,NA,0,-1))</f>
        <v/>
      </c>
      <c r="AB2601" s="15"/>
      <c r="AC2601" s="23" t="s">
        <v>16</v>
      </c>
      <c r="AD2601" s="99" t="str">
        <f>IF($AC2601="","",_xlfn.XLOOKUP($AC2601,'[2]Client Info'!$C$2:$C$2535,'[2]Client Info'!$D$2:$D$2535))</f>
        <v>#201 – 1420 Alpha Lake Road</v>
      </c>
      <c r="AE2601" s="98"/>
      <c r="AF2601" s="98"/>
      <c r="AG2601" s="15" t="s">
        <v>55</v>
      </c>
      <c r="AH2601" s="299"/>
      <c r="AI2601" s="15"/>
      <c r="AJ2601" s="15">
        <f>Table26[[#This Row],[unitprice]]*Table26[[#This Row],[quantity_unit]]</f>
        <v>0</v>
      </c>
      <c r="AK2601" s="15" t="e" cm="1">
        <f t="array" ref="AK2601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601" s="227"/>
    </row>
    <row r="2602" spans="1:38" ht="18" customHeight="1">
      <c r="A2602" s="296"/>
      <c r="B2602" s="296"/>
      <c r="C2602" s="77"/>
      <c r="D2602" s="297"/>
      <c r="E2602" s="297"/>
      <c r="F2602" s="95"/>
      <c r="G2602" s="96"/>
      <c r="H2602" s="15"/>
      <c r="I2602" s="15"/>
      <c r="J2602" s="15"/>
      <c r="K2602" s="100"/>
      <c r="L2602" s="31"/>
      <c r="N2602" s="15" t="str">
        <f>Table26[[#This Row],[po_number]]&amp;"-"&amp;Table26[[#This Row],[po_line]]</f>
        <v>-</v>
      </c>
      <c r="O2602" s="15"/>
      <c r="P2602" s="50"/>
      <c r="Q2602" s="15"/>
      <c r="R2602" s="15"/>
      <c r="S2602" s="15"/>
      <c r="T2602" s="297"/>
      <c r="U2602" s="97"/>
      <c r="V2602" s="15"/>
      <c r="W2602" s="298" t="str">
        <f t="shared" si="108"/>
        <v/>
      </c>
      <c r="X2602" s="15"/>
      <c r="Y2602" s="95"/>
      <c r="Z2602" s="95"/>
      <c r="AA2602" s="98" t="str" cm="1">
        <f t="array" ref="AA2602">IF(P2602="", "", _xlfn.XLOOKUP(P2602,#REF!,#REF!,NA,0,-1))</f>
        <v/>
      </c>
      <c r="AB2602" s="15"/>
      <c r="AC2602" s="15"/>
      <c r="AD2602" s="99" t="str">
        <f>IF($AC2602="","",_xlfn.XLOOKUP($AC2602,'[2]Client Info'!$C$2:$C$2535,'[2]Client Info'!$D$2:$D$2535))</f>
        <v/>
      </c>
      <c r="AE2602" s="98"/>
      <c r="AF2602" s="98"/>
      <c r="AG2602" s="15"/>
      <c r="AH2602" s="299"/>
      <c r="AI2602" s="15"/>
      <c r="AJ2602" s="15">
        <f>Table26[[#This Row],[unitprice]]*Table26[[#This Row],[quantity_unit]]</f>
        <v>0</v>
      </c>
      <c r="AK2602" s="15" t="e" cm="1">
        <f t="array" ref="AK2602">_xlfn.IFS(Table26[[#This Row],[sales_stream]]="BCDD",Table26[[#This Row],[Product Price]]*1.05,Table26[[#This Row],[sales_stream]]="MBLL_redistribution",Table26[[#This Row],[Product Price]]*1.05,Table26[[#This Row],[sales_stream]]="MBLL",Table26[[#This Row],[Product Price]]*1.05)</f>
        <v>#N/A</v>
      </c>
      <c r="AL2602" s="227"/>
    </row>
    <row r="2603" spans="1:38" ht="18" customHeight="1">
      <c r="A2603" s="42"/>
      <c r="B2603" s="42"/>
      <c r="C2603" s="53"/>
      <c r="D2603" s="297"/>
      <c r="E2603" s="297"/>
      <c r="F2603" s="95"/>
      <c r="G2603" s="96"/>
      <c r="H2603" s="15"/>
      <c r="I2603" s="361"/>
      <c r="J2603" s="90"/>
      <c r="K2603" s="100"/>
      <c r="L2603" s="31"/>
      <c r="O2603" s="15"/>
      <c r="P2603" s="50"/>
      <c r="S2603" s="90"/>
      <c r="T2603" s="297"/>
      <c r="U2603" s="97"/>
      <c r="V2603" s="15"/>
      <c r="W2603" s="298"/>
      <c r="X2603" s="22"/>
      <c r="Y2603" s="25"/>
      <c r="Z2603" s="25"/>
      <c r="AA2603" s="98"/>
      <c r="AB2603" s="15"/>
      <c r="AC2603" s="15"/>
      <c r="AD2603" s="15"/>
      <c r="AE2603" s="15"/>
      <c r="AF2603" s="15"/>
      <c r="AG2603" s="15"/>
      <c r="AH2603" s="26"/>
      <c r="AI2603" s="43"/>
      <c r="AJ2603" s="15"/>
      <c r="AK2603" s="15"/>
      <c r="AL2603" s="227"/>
    </row>
    <row r="2604" spans="1:38" ht="18" customHeight="1">
      <c r="A2604" s="296"/>
      <c r="B2604" s="42"/>
      <c r="C2604" s="53"/>
      <c r="D2604" s="297"/>
      <c r="E2604" s="297"/>
      <c r="F2604" s="95"/>
      <c r="G2604" s="96"/>
      <c r="H2604" s="15"/>
      <c r="I2604" s="203"/>
      <c r="J2604" s="90"/>
      <c r="K2604" s="100"/>
      <c r="L2604" s="49"/>
      <c r="O2604" s="15"/>
      <c r="P2604" s="50"/>
      <c r="Q2604" s="15"/>
      <c r="R2604" s="15"/>
      <c r="S2604" s="90"/>
      <c r="T2604" s="297"/>
      <c r="U2604" s="97"/>
      <c r="W2604" s="117"/>
      <c r="X2604" s="22"/>
      <c r="Y2604" s="25"/>
      <c r="Z2604" s="25"/>
      <c r="AA2604" s="18"/>
      <c r="AB2604" s="22"/>
      <c r="AC2604" s="23"/>
      <c r="AD2604" s="23"/>
      <c r="AE2604" s="23"/>
      <c r="AF2604" s="23"/>
      <c r="AG2604" s="23"/>
      <c r="AH2604" s="26"/>
      <c r="AI2604" s="43"/>
      <c r="AJ2604" s="22"/>
      <c r="AL2604" s="227"/>
    </row>
  </sheetData>
  <protectedRanges>
    <protectedRange algorithmName="SHA-512" hashValue="0MX2HNVIrjO4B8P2J9XDr3kLs3KDiFqKjWCCKh5VVgUaDhGUp36NC8PfPNFOBK3LzN/jD6R9QKvyDBm3EuZYmQ==" saltValue="JXQNO2vu76darqOxQxKefA==" spinCount="100000" sqref="I1:J1" name="Range1_5"/>
    <protectedRange algorithmName="SHA-512" hashValue="0MX2HNVIrjO4B8P2J9XDr3kLs3KDiFqKjWCCKh5VVgUaDhGUp36NC8PfPNFOBK3LzN/jD6R9QKvyDBm3EuZYmQ==" saltValue="JXQNO2vu76darqOxQxKefA==" spinCount="100000" sqref="W66:W365 W367:W434 W2:W59" name="Range1_1_72_2"/>
  </protectedRanges>
  <phoneticPr fontId="19" type="noConversion"/>
  <conditionalFormatting sqref="A1:B1">
    <cfRule type="containsText" dxfId="124" priority="152" operator="containsText" text="Not Started">
      <formula>NOT(ISERROR(SEARCH("Not Started",A1)))</formula>
    </cfRule>
    <cfRule type="containsText" dxfId="123" priority="153" operator="containsText" text="Allocated">
      <formula>NOT(ISERROR(SEARCH("Allocated",A1)))</formula>
    </cfRule>
    <cfRule type="timePeriod" dxfId="122" priority="154" timePeriod="thisMonth">
      <formula>AND(MONTH(A1)=MONTH(TODAY()),YEAR(A1)=YEAR(TODAY()))</formula>
    </cfRule>
    <cfRule type="timePeriod" dxfId="121" priority="155" timePeriod="nextWeek">
      <formula>AND(ROUNDDOWN(A1,0)-TODAY()&gt;(7-WEEKDAY(TODAY())),ROUNDDOWN(A1,0)-TODAY()&lt;(15-WEEKDAY(TODAY())))</formula>
    </cfRule>
    <cfRule type="timePeriod" dxfId="120" priority="156" timePeriod="thisWeek">
      <formula>AND(TODAY()-ROUNDDOWN(A1,0)&lt;=WEEKDAY(TODAY())-1,ROUNDDOWN(A1,0)-TODAY()&lt;=7-WEEKDAY(TODAY()))</formula>
    </cfRule>
    <cfRule type="cellIs" dxfId="119" priority="157" operator="equal">
      <formula>"Shipped"</formula>
    </cfRule>
  </conditionalFormatting>
  <conditionalFormatting sqref="A1:B2604 A2605:A1048576">
    <cfRule type="containsText" dxfId="118" priority="151" operator="containsText" text="Not Paid">
      <formula>NOT(ISERROR(SEARCH("Not Paid",A1)))</formula>
    </cfRule>
  </conditionalFormatting>
  <conditionalFormatting sqref="C1:C2604 B2605:B1048576">
    <cfRule type="containsText" dxfId="117" priority="98" operator="containsText" text="shipped">
      <formula>NOT(ISERROR(SEARCH("shipped",B1)))</formula>
    </cfRule>
    <cfRule type="containsText" dxfId="116" priority="161" operator="containsText" text="Not Started">
      <formula>NOT(ISERROR(SEARCH("Not Started",B1)))</formula>
    </cfRule>
    <cfRule type="containsText" dxfId="115" priority="162" operator="containsText" text="Allocated">
      <formula>NOT(ISERROR(SEARCH("Allocated",B1)))</formula>
    </cfRule>
  </conditionalFormatting>
  <conditionalFormatting sqref="D2:D4">
    <cfRule type="cellIs" dxfId="114" priority="158" operator="equal">
      <formula>"N"</formula>
    </cfRule>
    <cfRule type="cellIs" dxfId="113" priority="159" operator="equal">
      <formula>"Y"</formula>
    </cfRule>
    <cfRule type="expression" dxfId="112" priority="160">
      <formula>#REF!="THIS PO HAS BEEN SHIPPED BEFORE, PLEASE CHECK BEFORE PROCEEDING"</formula>
    </cfRule>
  </conditionalFormatting>
  <conditionalFormatting sqref="F1:F431 F2099:F2591 F458 F2601:F2604 E2605:E1048576">
    <cfRule type="containsText" dxfId="111" priority="128" operator="containsText" text="NEED BOOKING">
      <formula>NOT(ISERROR(SEARCH("NEED BOOKING",E1)))</formula>
    </cfRule>
  </conditionalFormatting>
  <conditionalFormatting sqref="F2 F3:G5 F2305:F2591 F2601:G2604 E2605:F1048576">
    <cfRule type="containsText" dxfId="110" priority="165" operator="containsText" text="Not Booked">
      <formula>NOT(ISERROR(SEARCH("Not Booked",E2)))</formula>
    </cfRule>
  </conditionalFormatting>
  <conditionalFormatting sqref="F2:F5 F2306:F2591 F2601:G2604 E2605:F1048576">
    <cfRule type="containsText" dxfId="109" priority="164" operator="containsText" text="Booked ">
      <formula>NOT(ISERROR(SEARCH("Booked ",E2)))</formula>
    </cfRule>
  </conditionalFormatting>
  <conditionalFormatting sqref="F9:F16">
    <cfRule type="containsText" dxfId="108" priority="148" operator="containsText" text="Not Booked">
      <formula>NOT(ISERROR(SEARCH("Not Booked",F9)))</formula>
    </cfRule>
  </conditionalFormatting>
  <conditionalFormatting sqref="F17:F372 F373:G430 F431 F458:G458 G120:G371 G2:G17 G712:G817">
    <cfRule type="containsText" dxfId="107" priority="145" operator="containsText" text="Not Booked">
      <formula>NOT(ISERROR(SEARCH("Not Booked",F2)))</formula>
    </cfRule>
  </conditionalFormatting>
  <conditionalFormatting sqref="F148:F151 F2304:G2305">
    <cfRule type="containsText" dxfId="106" priority="95" operator="containsText" text="Booked ">
      <formula>NOT(ISERROR(SEARCH("Booked ",F148)))</formula>
    </cfRule>
    <cfRule type="containsText" dxfId="105" priority="96" operator="containsText" text="Not Booked">
      <formula>NOT(ISERROR(SEARCH("Not Booked",F148)))</formula>
    </cfRule>
  </conditionalFormatting>
  <conditionalFormatting sqref="F467 F493:F495 F671:F1878 F1882:F2096 F2099:F2303">
    <cfRule type="containsText" dxfId="104" priority="61" operator="containsText" text="Not Booked">
      <formula>NOT(ISERROR(SEARCH("Not Booked",F467)))</formula>
    </cfRule>
    <cfRule type="containsText" dxfId="103" priority="62" operator="containsText" text="Booked ">
      <formula>NOT(ISERROR(SEARCH("Booked ",F467)))</formula>
    </cfRule>
  </conditionalFormatting>
  <conditionalFormatting sqref="F467 F493:F495 F671:F1878 F1882:F2096">
    <cfRule type="containsText" dxfId="102" priority="60" operator="containsText" text="NEED BOOKING">
      <formula>NOT(ISERROR(SEARCH("NEED BOOKING",F467)))</formula>
    </cfRule>
  </conditionalFormatting>
  <conditionalFormatting sqref="F2305">
    <cfRule type="containsText" dxfId="101" priority="1" operator="containsText" text="Booked ">
      <formula>NOT(ISERROR(SEARCH("Booked ",F2305)))</formula>
    </cfRule>
  </conditionalFormatting>
  <conditionalFormatting sqref="F120:G371 F372:F373">
    <cfRule type="containsText" dxfId="100" priority="118" operator="containsText" text="Booked ">
      <formula>NOT(ISERROR(SEARCH("Booked ",F120)))</formula>
    </cfRule>
  </conditionalFormatting>
  <conditionalFormatting sqref="F373:G430">
    <cfRule type="containsText" dxfId="99" priority="63" operator="containsText" text="Booked ">
      <formula>NOT(ISERROR(SEARCH("Booked ",F373)))</formula>
    </cfRule>
  </conditionalFormatting>
  <conditionalFormatting sqref="G2:G17 F9:F123 F431 F458:G458 G712:G817">
    <cfRule type="containsText" dxfId="98" priority="147" operator="containsText" text="Booked ">
      <formula>NOT(ISERROR(SEARCH("Booked ",F2)))</formula>
    </cfRule>
  </conditionalFormatting>
  <conditionalFormatting sqref="G19:G119 G338:G339 G468">
    <cfRule type="containsText" dxfId="97" priority="55" operator="containsText" text="Booked ">
      <formula>NOT(ISERROR(SEARCH("Booked ",G19)))</formula>
    </cfRule>
  </conditionalFormatting>
  <conditionalFormatting sqref="G19:G119 G468">
    <cfRule type="containsText" dxfId="96" priority="56" operator="containsText" text="Not Booked">
      <formula>NOT(ISERROR(SEARCH("Not Booked",G19)))</formula>
    </cfRule>
  </conditionalFormatting>
  <conditionalFormatting sqref="G441">
    <cfRule type="containsText" dxfId="95" priority="58" operator="containsText" text="Booked ">
      <formula>NOT(ISERROR(SEARCH("Booked ",G441)))</formula>
    </cfRule>
    <cfRule type="containsText" dxfId="94" priority="59" operator="containsText" text="Not Booked">
      <formula>NOT(ISERROR(SEARCH("Not Booked",G441)))</formula>
    </cfRule>
  </conditionalFormatting>
  <conditionalFormatting sqref="G615:G616">
    <cfRule type="containsText" dxfId="93" priority="53" operator="containsText" text="Booked ">
      <formula>NOT(ISERROR(SEARCH("Booked ",G615)))</formula>
    </cfRule>
    <cfRule type="containsText" dxfId="92" priority="54" operator="containsText" text="Not Booked">
      <formula>NOT(ISERROR(SEARCH("Not Booked",G615)))</formula>
    </cfRule>
  </conditionalFormatting>
  <conditionalFormatting sqref="H1:H16 K17:K65 K69:K235 K246:K434">
    <cfRule type="expression" dxfId="91" priority="138">
      <formula>#REF!="THIS PO HAS BEEN SHIPPED BEFORE, PLEASE CHECK BEFORE PROCEEDING"</formula>
    </cfRule>
  </conditionalFormatting>
  <conditionalFormatting sqref="I2:I16">
    <cfRule type="expression" dxfId="90" priority="146">
      <formula>#REF!="THIS PO HAS BEEN SHIPPED BEFORE, PLEASE CHECK BEFORE PROCEEDING"</formula>
    </cfRule>
    <cfRule type="cellIs" dxfId="89" priority="149" operator="equal">
      <formula>"N"</formula>
    </cfRule>
    <cfRule type="cellIs" dxfId="88" priority="150" operator="equal">
      <formula>"Y"</formula>
    </cfRule>
  </conditionalFormatting>
  <conditionalFormatting sqref="K238">
    <cfRule type="expression" dxfId="87" priority="82">
      <formula>#REF!="THIS PO HAS BEEN SHIPPED BEFORE, PLEASE CHECK BEFORE PROCEEDING"</formula>
    </cfRule>
  </conditionalFormatting>
  <conditionalFormatting sqref="K448:K450">
    <cfRule type="expression" dxfId="86" priority="57">
      <formula>#REF!="THIS PO HAS BEEN SHIPPED BEFORE, PLEASE CHECK BEFORE PROCEEDING"</formula>
    </cfRule>
  </conditionalFormatting>
  <conditionalFormatting sqref="K462">
    <cfRule type="expression" dxfId="85" priority="64">
      <formula>#REF!="THIS PO HAS BEEN SHIPPED BEFORE, PLEASE CHECK BEFORE PROCEEDING"</formula>
    </cfRule>
  </conditionalFormatting>
  <conditionalFormatting sqref="K1910">
    <cfRule type="containsText" dxfId="84" priority="37" operator="containsText" text="shipped">
      <formula>NOT(ISERROR(SEARCH("shipped",K1910)))</formula>
    </cfRule>
    <cfRule type="containsText" dxfId="83" priority="38" operator="containsText" text="Not Started">
      <formula>NOT(ISERROR(SEARCH("Not Started",K1910)))</formula>
    </cfRule>
    <cfRule type="containsText" dxfId="82" priority="39" operator="containsText" text="Allocated">
      <formula>NOT(ISERROR(SEARCH("Allocated",K1910)))</formula>
    </cfRule>
  </conditionalFormatting>
  <conditionalFormatting sqref="L2605:N1048576 M1:O641 M2602:O2604 M643:O685 M690:O817">
    <cfRule type="duplicateValues" dxfId="81" priority="715"/>
  </conditionalFormatting>
  <conditionalFormatting sqref="M2306:M2315">
    <cfRule type="expression" dxfId="80" priority="873">
      <formula>COUNTIFS($L:$L,#REF!,$N:$N,#REF!)&gt;1</formula>
    </cfRule>
  </conditionalFormatting>
  <conditionalFormatting sqref="M1:N16">
    <cfRule type="expression" dxfId="79" priority="163">
      <formula>AM:AM="THIS PO HAS BEEN SHIPPED BEFORE, PLEASE CHECK BEFORE PROCEEDING"</formula>
    </cfRule>
  </conditionalFormatting>
  <conditionalFormatting sqref="M686:O689">
    <cfRule type="duplicateValues" dxfId="78" priority="52"/>
  </conditionalFormatting>
  <conditionalFormatting sqref="M2304:O2305">
    <cfRule type="duplicateValues" dxfId="77" priority="12"/>
  </conditionalFormatting>
  <conditionalFormatting sqref="O1:O16">
    <cfRule type="expression" dxfId="76" priority="900">
      <formula>AN:AN="THIS PO HAS BEEN SHIPPED BEFORE, PLEASE CHECK BEFORE PROCEEDING"</formula>
    </cfRule>
  </conditionalFormatting>
  <conditionalFormatting sqref="Z543">
    <cfRule type="duplicateValues" dxfId="75" priority="29"/>
    <cfRule type="duplicateValues" dxfId="74" priority="30"/>
    <cfRule type="duplicateValues" dxfId="73" priority="31"/>
  </conditionalFormatting>
  <conditionalFormatting sqref="Z720">
    <cfRule type="duplicateValues" dxfId="72" priority="26"/>
    <cfRule type="duplicateValues" dxfId="71" priority="27"/>
    <cfRule type="duplicateValues" dxfId="70" priority="28"/>
  </conditionalFormatting>
  <conditionalFormatting sqref="Z919:Z920 Z898">
    <cfRule type="duplicateValues" dxfId="69" priority="23"/>
    <cfRule type="duplicateValues" dxfId="68" priority="24"/>
    <cfRule type="duplicateValues" dxfId="67" priority="25"/>
  </conditionalFormatting>
  <conditionalFormatting sqref="Z1068">
    <cfRule type="duplicateValues" dxfId="66" priority="20"/>
    <cfRule type="duplicateValues" dxfId="65" priority="21"/>
    <cfRule type="duplicateValues" dxfId="64" priority="22"/>
  </conditionalFormatting>
  <conditionalFormatting sqref="Z1492">
    <cfRule type="duplicateValues" dxfId="63" priority="17"/>
    <cfRule type="duplicateValues" dxfId="62" priority="18"/>
    <cfRule type="duplicateValues" dxfId="61" priority="19"/>
  </conditionalFormatting>
  <conditionalFormatting sqref="Z1750">
    <cfRule type="duplicateValues" dxfId="60" priority="45"/>
    <cfRule type="duplicateValues" dxfId="59" priority="46"/>
    <cfRule type="duplicateValues" dxfId="58" priority="47"/>
  </conditionalFormatting>
  <conditionalFormatting sqref="Z2229">
    <cfRule type="duplicateValues" dxfId="57" priority="14"/>
    <cfRule type="duplicateValues" dxfId="56" priority="15"/>
    <cfRule type="duplicateValues" dxfId="55" priority="16"/>
  </conditionalFormatting>
  <conditionalFormatting sqref="AB2:AB16">
    <cfRule type="containsText" dxfId="54" priority="143" operator="containsText" text="THIS PO HAS BEEN SHIPPED BEFORE, PLEASE CHECK BEFORE PROCEEDING">
      <formula>NOT(ISERROR(SEARCH("THIS PO HAS BEEN SHIPPED BEFORE, PLEASE CHECK BEFORE PROCEEDING",AB2)))</formula>
    </cfRule>
  </conditionalFormatting>
  <conditionalFormatting sqref="AC222">
    <cfRule type="duplicateValues" dxfId="53" priority="93"/>
    <cfRule type="duplicateValues" dxfId="52" priority="94"/>
  </conditionalFormatting>
  <conditionalFormatting sqref="AC223">
    <cfRule type="duplicateValues" dxfId="51" priority="91"/>
    <cfRule type="duplicateValues" dxfId="50" priority="92"/>
  </conditionalFormatting>
  <conditionalFormatting sqref="AC266">
    <cfRule type="duplicateValues" dxfId="49" priority="89"/>
    <cfRule type="duplicateValues" dxfId="48" priority="90"/>
  </conditionalFormatting>
  <conditionalFormatting sqref="AC267">
    <cfRule type="duplicateValues" dxfId="47" priority="87"/>
    <cfRule type="duplicateValues" dxfId="46" priority="88"/>
  </conditionalFormatting>
  <conditionalFormatting sqref="AC370">
    <cfRule type="duplicateValues" dxfId="45" priority="72"/>
    <cfRule type="duplicateValues" dxfId="44" priority="73"/>
  </conditionalFormatting>
  <conditionalFormatting sqref="AC377">
    <cfRule type="duplicateValues" dxfId="43" priority="68"/>
    <cfRule type="duplicateValues" dxfId="42" priority="69"/>
  </conditionalFormatting>
  <conditionalFormatting sqref="AC378">
    <cfRule type="duplicateValues" dxfId="41" priority="66"/>
    <cfRule type="duplicateValues" dxfId="40" priority="67"/>
  </conditionalFormatting>
  <conditionalFormatting sqref="AC710:AC715">
    <cfRule type="duplicateValues" dxfId="39" priority="166"/>
  </conditionalFormatting>
  <conditionalFormatting sqref="AG222">
    <cfRule type="duplicateValues" dxfId="38" priority="80"/>
    <cfRule type="duplicateValues" dxfId="37" priority="81"/>
  </conditionalFormatting>
  <conditionalFormatting sqref="AG223">
    <cfRule type="duplicateValues" dxfId="36" priority="78"/>
    <cfRule type="duplicateValues" dxfId="35" priority="79"/>
  </conditionalFormatting>
  <conditionalFormatting sqref="AG229">
    <cfRule type="duplicateValues" dxfId="34" priority="76"/>
    <cfRule type="duplicateValues" dxfId="33" priority="77"/>
  </conditionalFormatting>
  <conditionalFormatting sqref="AG230">
    <cfRule type="duplicateValues" dxfId="32" priority="74"/>
    <cfRule type="duplicateValues" dxfId="31" priority="75"/>
  </conditionalFormatting>
  <conditionalFormatting sqref="AG266">
    <cfRule type="duplicateValues" dxfId="30" priority="85"/>
    <cfRule type="duplicateValues" dxfId="29" priority="86"/>
  </conditionalFormatting>
  <conditionalFormatting sqref="AG267">
    <cfRule type="duplicateValues" dxfId="28" priority="83"/>
    <cfRule type="duplicateValues" dxfId="27" priority="84"/>
  </conditionalFormatting>
  <conditionalFormatting sqref="AG370">
    <cfRule type="duplicateValues" dxfId="26" priority="70"/>
    <cfRule type="duplicateValues" dxfId="25" priority="71"/>
  </conditionalFormatting>
  <conditionalFormatting sqref="AG710:AG715">
    <cfRule type="duplicateValues" dxfId="24" priority="167"/>
  </conditionalFormatting>
  <dataValidations count="12">
    <dataValidation type="textLength" operator="lessThanOrEqual" showInputMessage="1" showErrorMessage="1" errorTitle="Length Exceeded" error="This value must be less than or equal to 250 characters long." promptTitle="Text (required)" prompt="Maximum Length: 250 characters." sqref="AC509 AG509" xr:uid="{830AEF1F-C1B0-48EC-B536-561962FC2564}">
      <formula1>250</formula1>
    </dataValidation>
    <dataValidation type="list" allowBlank="1" showInputMessage="1" showErrorMessage="1" sqref="C102:C123 C162:C163 C17:C92 C147:C152 C175 C191 C245 C260 C326" xr:uid="{361852D2-9358-40E6-8F74-A3A57B8B9757}">
      <formula1>"Shipped, Not Started, Cancelled, Received, Allocated,Shipped_redistribution, Allocated_redistribution, cancelled_PO, cancelled_reshipped, reshipped"</formula1>
    </dataValidation>
    <dataValidation allowBlank="1" showInputMessage="1" showErrorMessage="1" error=" " promptTitle="Lookup" prompt="This Establishment record must already exist in Microsoft Dynamics 365 or in this source file." sqref="AC39:AC41 AG39:AG41 AC266:AC267 AG266:AG267 AG229:AG230 AC426:AC429 AG426:AG429 AG431:AG434 AC431:AC434 AC510 AG510 AG710:AG715 AC710:AC715 AC1935:AC1936 AG1935:AG1936" xr:uid="{23FBE9FE-0C9D-4A14-9712-4D4E730D3934}"/>
    <dataValidation allowBlank="1" showInputMessage="1" showErrorMessage="1" errorTitle="Ediiting not allowed" error="Ediiting not allowed. If problem occurs, check product details or contact QA" sqref="W1" xr:uid="{83FDD339-1D2C-4B16-A79A-B72F1C4FB02C}"/>
    <dataValidation type="textLength" allowBlank="1" showInputMessage="1" showErrorMessage="1" errorTitle="Ediiting not allowed" error="Ediiting not allowed. If problem occurs, check product details or contact QA" sqref="AB1:AB2 AB4:AB7 AB9:AB16 W367:W430 W2:W365" xr:uid="{B795F924-CC09-4493-8E02-D14C335AF07A}">
      <formula1>10000</formula1>
      <formula2>50000</formula2>
    </dataValidation>
    <dataValidation type="list" allowBlank="1" showInputMessage="1" showErrorMessage="1" sqref="AB2 AB4:AB7 AB9:AB16 R122:R123 R93:R101 R256:R257 R2:R5 R7:R16 R2305" xr:uid="{A50D794F-60F2-40B2-8486-D7509F1B5D0B}">
      <formula1>"Yes, No"</formula1>
    </dataValidation>
    <dataValidation type="list" allowBlank="1" showInputMessage="1" showErrorMessage="1" sqref="H1:H430 H2601:H2602 H2305 H2604 G2605:G1048576" xr:uid="{6E24E7EE-83FE-4C7A-B0EF-65F961C2FA26}">
      <formula1>"Y, N"</formula1>
    </dataValidation>
    <dataValidation type="list" allowBlank="1" showInputMessage="1" showErrorMessage="1" sqref="B458:B459 B2601:B2602 A2605:A1048576 B1:B430 B442" xr:uid="{51416ABF-DB7C-4EB8-BA50-F0517F2B8ADC}">
      <formula1>"Not Applicable, Paid, Not Paid"</formula1>
    </dataValidation>
    <dataValidation type="list" allowBlank="1" showInputMessage="1" showErrorMessage="1" sqref="I2:I430 I2601:I2602 H2605:H1048576" xr:uid="{4E087B10-B28F-4061-B064-312F21F3977A}">
      <formula1>"Sent, Not sent, Not applicable"</formula1>
    </dataValidation>
    <dataValidation type="list" allowBlank="1" showInputMessage="1" showErrorMessage="1" sqref="C892 C153:C161 C124:C146 C93:C101 C454:C466 C468 C479:C502 C409:C439 C599:C850 C1665 C2141:C2145 C2082 C2100:C2105 C2122:C2127 C2130 C2305 C2601:C2602 B2605:B1048576 C1:C16 C164:C174 C176:C190 C192:C244 C246:C259 C261:C325 C327:C407 C443 C506:C585 C445:C450" xr:uid="{021DA2D3-4877-4532-87FD-E892D996ADEE}">
      <formula1>"Shipped, Not Started, Cancelled, Received, Allocated,Shipped_redistribution, Allocated_redistribution"</formula1>
    </dataValidation>
    <dataValidation type="list" allowBlank="1" showInputMessage="1" showErrorMessage="1" sqref="L2:L2303 K2605:K1048576 L2604 L2305:L2602" xr:uid="{EBCF3F91-8042-49B6-B95A-E4FB4150D1FE}">
      <formula1>"Intra Industry, Provincial Distribution, Retail, Return, Sample"</formula1>
    </dataValidation>
    <dataValidation allowBlank="1" showInputMessage="1" showErrorMessage="1" sqref="D2603:M2603 D2304:M2304" xr:uid="{E690A152-6753-47B7-B516-C6F9CC7C42B9}"/>
  </dataValidations>
  <hyperlinks>
    <hyperlink ref="F584" r:id="rId1" display="https://booking.datadocks.com/locations/39/appointments/1357109/edit" xr:uid="{306838FC-8D41-4D88-AF2C-D791C731EC6F}"/>
    <hyperlink ref="F585" r:id="rId2" display="https://booking.datadocks.com/locations/39/appointments/1357109/edit" xr:uid="{6C6886F9-DB06-4C82-ABFB-A43D5EE76FCD}"/>
    <hyperlink ref="F587" r:id="rId3" display="https://booking.datadocks.com/locations/39/appointments/1357112/edit" xr:uid="{7D820521-9757-4136-B099-CD7FC7CA92B4}"/>
    <hyperlink ref="F586" r:id="rId4" display="https://booking.datadocks.com/locations/39/appointments/1357112/edit" xr:uid="{EBE9113F-6A07-4465-8EA0-DA24363C509B}"/>
    <hyperlink ref="F747" r:id="rId5" display="https://booking.datadocks.com/locations/39/appointments/1399144/edit" xr:uid="{F181C2A0-FD56-4F29-B024-2D006CD0373D}"/>
    <hyperlink ref="F746" r:id="rId6" display="https://booking.datadocks.com/locations/39/appointments/1399144/edit" xr:uid="{66082360-29DD-4740-B148-6D76B08D1949}"/>
  </hyperlinks>
  <pageMargins left="0.25" right="0.25" top="0.75" bottom="0.75" header="0.3" footer="0.3"/>
  <pageSetup scale="10" orientation="landscape" r:id="rId7"/>
  <legacyDrawing r:id="rId8"/>
  <tableParts count="1"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7" stopIfTrue="1" operator="containsText" id="{5F9E7908-3D9F-497C-A6BF-DE40FBEBF7A6}">
            <xm:f>NOT(ISERROR(SEARCH("cancelled",B1)))</xm:f>
            <xm:f>"cancelled"</xm:f>
            <x14:dxf/>
          </x14:cfRule>
          <xm:sqref>C1:C2604 B2605:B1048576</xm:sqref>
        </x14:conditionalFormatting>
        <x14:conditionalFormatting xmlns:xm="http://schemas.microsoft.com/office/excel/2006/main">
          <x14:cfRule type="containsText" priority="36" stopIfTrue="1" operator="containsText" id="{CE633504-01A5-4DDE-88F3-905E7CE55687}">
            <xm:f>NOT(ISERROR(SEARCH("cancelled",K1910)))</xm:f>
            <xm:f>"cancelled"</xm:f>
            <x14:dxf/>
          </x14:cfRule>
          <xm:sqref>K1910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F2D145-9B30-4A6F-9CC2-705326F647C8}">
          <x14:formula1>
            <xm:f>#REF!</xm:f>
          </x14:formula1>
          <xm:sqref>P2:P2604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C685-B480-43C5-929F-AF52FE71DFC4}">
  <sheetPr published="0"/>
  <dimension ref="A1:N45"/>
  <sheetViews>
    <sheetView topLeftCell="A21" workbookViewId="0">
      <selection activeCell="J33" sqref="J33"/>
    </sheetView>
  </sheetViews>
  <sheetFormatPr defaultRowHeight="13.8"/>
  <cols>
    <col min="1" max="1" width="12.21875" bestFit="1" customWidth="1"/>
    <col min="2" max="2" width="64.77734375" bestFit="1" customWidth="1"/>
    <col min="4" max="4" width="14.21875" bestFit="1" customWidth="1"/>
    <col min="8" max="8" width="10.21875" bestFit="1" customWidth="1"/>
    <col min="13" max="13" width="14.44140625" bestFit="1" customWidth="1"/>
    <col min="14" max="14" width="19.109375" bestFit="1" customWidth="1"/>
    <col min="15" max="19" width="10.21875" bestFit="1" customWidth="1"/>
    <col min="20" max="20" width="10.77734375" bestFit="1" customWidth="1"/>
    <col min="21" max="21" width="4" bestFit="1" customWidth="1"/>
    <col min="22" max="22" width="10.77734375" bestFit="1" customWidth="1"/>
    <col min="23" max="23" width="10.44140625" bestFit="1" customWidth="1"/>
    <col min="24" max="24" width="3" bestFit="1" customWidth="1"/>
    <col min="25" max="25" width="13.21875" bestFit="1" customWidth="1"/>
    <col min="26" max="26" width="10.44140625" bestFit="1" customWidth="1"/>
    <col min="27" max="27" width="3" bestFit="1" customWidth="1"/>
    <col min="28" max="28" width="13.21875" bestFit="1" customWidth="1"/>
    <col min="29" max="29" width="10.44140625" bestFit="1" customWidth="1"/>
    <col min="30" max="30" width="3" bestFit="1" customWidth="1"/>
    <col min="31" max="31" width="13.21875" bestFit="1" customWidth="1"/>
    <col min="32" max="32" width="10.44140625" bestFit="1" customWidth="1"/>
    <col min="33" max="33" width="3" bestFit="1" customWidth="1"/>
    <col min="34" max="34" width="4" bestFit="1" customWidth="1"/>
    <col min="35" max="35" width="13.21875" bestFit="1" customWidth="1"/>
    <col min="36" max="36" width="10.44140625" bestFit="1" customWidth="1"/>
    <col min="37" max="37" width="4" bestFit="1" customWidth="1"/>
    <col min="38" max="38" width="13.21875" bestFit="1" customWidth="1"/>
    <col min="39" max="39" width="14.44140625" bestFit="1" customWidth="1"/>
    <col min="40" max="40" width="17.21875" bestFit="1" customWidth="1"/>
    <col min="41" max="41" width="14.44140625" bestFit="1" customWidth="1"/>
    <col min="42" max="42" width="17.21875" bestFit="1" customWidth="1"/>
    <col min="43" max="43" width="10.77734375" bestFit="1" customWidth="1"/>
  </cols>
  <sheetData>
    <row r="1" spans="1:14" ht="27.6">
      <c r="A1" s="202" t="s">
        <v>476</v>
      </c>
      <c r="B1" t="s">
        <v>284</v>
      </c>
      <c r="C1" t="s">
        <v>493</v>
      </c>
      <c r="D1" t="s">
        <v>494</v>
      </c>
      <c r="E1" t="s">
        <v>495</v>
      </c>
      <c r="F1" t="s">
        <v>496</v>
      </c>
      <c r="G1" t="s">
        <v>514</v>
      </c>
      <c r="H1" s="202" t="s">
        <v>475</v>
      </c>
    </row>
    <row r="2" spans="1:14">
      <c r="A2" s="22" t="s">
        <v>3270</v>
      </c>
      <c r="B2" t="s">
        <v>282</v>
      </c>
      <c r="C2" t="s">
        <v>1825</v>
      </c>
      <c r="D2" t="s">
        <v>221</v>
      </c>
      <c r="E2" t="s">
        <v>13</v>
      </c>
      <c r="F2">
        <v>45833</v>
      </c>
      <c r="G2">
        <v>29</v>
      </c>
      <c r="H2" s="19">
        <v>45876</v>
      </c>
    </row>
    <row r="3" spans="1:14">
      <c r="A3" s="22" t="s">
        <v>3270</v>
      </c>
      <c r="B3" t="s">
        <v>282</v>
      </c>
      <c r="C3" t="s">
        <v>1825</v>
      </c>
      <c r="D3" t="s">
        <v>221</v>
      </c>
      <c r="E3" t="s">
        <v>13</v>
      </c>
      <c r="F3">
        <v>45875</v>
      </c>
      <c r="G3">
        <v>19</v>
      </c>
      <c r="H3" s="19">
        <v>45876</v>
      </c>
    </row>
    <row r="4" spans="1:14">
      <c r="A4" s="22" t="s">
        <v>3274</v>
      </c>
      <c r="B4" t="s">
        <v>256</v>
      </c>
      <c r="C4" t="s">
        <v>531</v>
      </c>
      <c r="D4" t="s">
        <v>532</v>
      </c>
      <c r="E4" t="s">
        <v>13</v>
      </c>
      <c r="F4">
        <v>45478</v>
      </c>
      <c r="G4">
        <v>24</v>
      </c>
      <c r="H4" s="19">
        <v>45876</v>
      </c>
    </row>
    <row r="5" spans="1:14">
      <c r="A5" s="22" t="s">
        <v>3274</v>
      </c>
      <c r="B5" t="s">
        <v>278</v>
      </c>
      <c r="C5" t="s">
        <v>1842</v>
      </c>
      <c r="D5" t="s">
        <v>532</v>
      </c>
      <c r="E5" t="s">
        <v>13</v>
      </c>
      <c r="F5">
        <v>45824</v>
      </c>
      <c r="G5">
        <v>12</v>
      </c>
      <c r="H5" s="19">
        <v>45876</v>
      </c>
    </row>
    <row r="6" spans="1:14">
      <c r="A6" s="22" t="s">
        <v>3274</v>
      </c>
      <c r="B6" t="s">
        <v>542</v>
      </c>
      <c r="C6" t="s">
        <v>543</v>
      </c>
      <c r="D6" t="s">
        <v>532</v>
      </c>
      <c r="E6" t="s">
        <v>13</v>
      </c>
      <c r="F6">
        <v>45793</v>
      </c>
      <c r="G6">
        <v>6</v>
      </c>
      <c r="H6" s="19">
        <v>45876</v>
      </c>
    </row>
    <row r="7" spans="1:14">
      <c r="A7" s="22" t="s">
        <v>3274</v>
      </c>
      <c r="B7" t="s">
        <v>261</v>
      </c>
      <c r="C7" t="s">
        <v>3749</v>
      </c>
      <c r="D7" t="s">
        <v>532</v>
      </c>
      <c r="E7" t="s">
        <v>13</v>
      </c>
      <c r="F7">
        <v>45870</v>
      </c>
      <c r="G7">
        <v>24</v>
      </c>
      <c r="H7" s="19">
        <v>45876</v>
      </c>
    </row>
    <row r="8" spans="1:14">
      <c r="A8" s="22" t="s">
        <v>3274</v>
      </c>
      <c r="B8" t="s">
        <v>258</v>
      </c>
      <c r="C8" t="s">
        <v>3764</v>
      </c>
      <c r="D8" t="s">
        <v>532</v>
      </c>
      <c r="E8" t="s">
        <v>13</v>
      </c>
      <c r="F8">
        <v>45870</v>
      </c>
      <c r="G8">
        <v>24</v>
      </c>
      <c r="H8" s="19">
        <v>45876</v>
      </c>
    </row>
    <row r="9" spans="1:14">
      <c r="A9" s="22" t="s">
        <v>3274</v>
      </c>
      <c r="B9" t="s">
        <v>249</v>
      </c>
      <c r="C9" t="s">
        <v>1312</v>
      </c>
      <c r="D9" t="s">
        <v>532</v>
      </c>
      <c r="E9" t="s">
        <v>13</v>
      </c>
      <c r="F9">
        <v>45854</v>
      </c>
      <c r="G9">
        <v>24</v>
      </c>
      <c r="H9" s="19">
        <v>45876</v>
      </c>
    </row>
    <row r="10" spans="1:14">
      <c r="A10" s="22" t="s">
        <v>3274</v>
      </c>
      <c r="B10" t="s">
        <v>251</v>
      </c>
      <c r="C10" t="s">
        <v>1845</v>
      </c>
      <c r="D10" t="s">
        <v>532</v>
      </c>
      <c r="E10" t="s">
        <v>13</v>
      </c>
      <c r="F10">
        <v>45859</v>
      </c>
      <c r="G10">
        <v>24</v>
      </c>
      <c r="H10" s="19">
        <v>45876</v>
      </c>
      <c r="M10" s="373" t="s">
        <v>4241</v>
      </c>
      <c r="N10" t="s">
        <v>4281</v>
      </c>
    </row>
    <row r="11" spans="1:14">
      <c r="A11" s="22" t="s">
        <v>3278</v>
      </c>
      <c r="B11" t="s">
        <v>290</v>
      </c>
      <c r="C11" t="s">
        <v>1306</v>
      </c>
      <c r="D11" t="s">
        <v>532</v>
      </c>
      <c r="E11" t="s">
        <v>13</v>
      </c>
      <c r="F11">
        <v>45576</v>
      </c>
      <c r="G11">
        <v>24</v>
      </c>
      <c r="H11" s="19">
        <v>45876</v>
      </c>
      <c r="M11" s="4" t="s">
        <v>3747</v>
      </c>
      <c r="N11">
        <v>108</v>
      </c>
    </row>
    <row r="12" spans="1:14">
      <c r="A12" s="22" t="s">
        <v>3278</v>
      </c>
      <c r="B12" t="s">
        <v>268</v>
      </c>
      <c r="C12" t="s">
        <v>1861</v>
      </c>
      <c r="D12" t="s">
        <v>532</v>
      </c>
      <c r="E12" t="s">
        <v>13</v>
      </c>
      <c r="F12">
        <v>45623</v>
      </c>
      <c r="G12">
        <v>12</v>
      </c>
      <c r="H12" s="19">
        <v>45876</v>
      </c>
      <c r="M12" s="4" t="s">
        <v>3751</v>
      </c>
      <c r="N12">
        <v>108</v>
      </c>
    </row>
    <row r="13" spans="1:14">
      <c r="A13" s="22" t="s">
        <v>3278</v>
      </c>
      <c r="B13" t="s">
        <v>281</v>
      </c>
      <c r="C13" t="s">
        <v>1823</v>
      </c>
      <c r="D13" t="s">
        <v>532</v>
      </c>
      <c r="E13" t="s">
        <v>13</v>
      </c>
      <c r="F13">
        <v>45831</v>
      </c>
      <c r="G13">
        <v>24</v>
      </c>
      <c r="H13" s="19">
        <v>45876</v>
      </c>
      <c r="M13" s="4" t="s">
        <v>3753</v>
      </c>
      <c r="N13">
        <v>36</v>
      </c>
    </row>
    <row r="14" spans="1:14">
      <c r="A14" s="22" t="s">
        <v>3278</v>
      </c>
      <c r="B14" t="s">
        <v>564</v>
      </c>
      <c r="C14" t="s">
        <v>591</v>
      </c>
      <c r="D14" t="s">
        <v>532</v>
      </c>
      <c r="E14" t="s">
        <v>13</v>
      </c>
      <c r="F14">
        <v>45859</v>
      </c>
      <c r="G14">
        <v>12</v>
      </c>
      <c r="H14" s="19">
        <v>45876</v>
      </c>
      <c r="M14" s="4" t="s">
        <v>3265</v>
      </c>
      <c r="N14">
        <v>60</v>
      </c>
    </row>
    <row r="15" spans="1:14">
      <c r="A15" s="22" t="s">
        <v>3278</v>
      </c>
      <c r="B15" t="s">
        <v>581</v>
      </c>
      <c r="C15" t="s">
        <v>582</v>
      </c>
      <c r="D15" t="s">
        <v>221</v>
      </c>
      <c r="E15" t="s">
        <v>13</v>
      </c>
      <c r="F15">
        <v>45778</v>
      </c>
      <c r="G15">
        <v>24</v>
      </c>
      <c r="H15" s="19">
        <v>45876</v>
      </c>
      <c r="M15" s="4" t="s">
        <v>3267</v>
      </c>
      <c r="N15">
        <v>54</v>
      </c>
    </row>
    <row r="16" spans="1:14">
      <c r="A16" s="22" t="s">
        <v>3278</v>
      </c>
      <c r="B16" t="s">
        <v>605</v>
      </c>
      <c r="C16" t="s">
        <v>1774</v>
      </c>
      <c r="D16" t="s">
        <v>221</v>
      </c>
      <c r="E16" t="s">
        <v>13</v>
      </c>
      <c r="F16">
        <v>45790</v>
      </c>
      <c r="G16">
        <v>24</v>
      </c>
      <c r="H16" s="19">
        <v>45876</v>
      </c>
      <c r="M16" s="4" t="s">
        <v>3270</v>
      </c>
      <c r="N16">
        <v>48</v>
      </c>
    </row>
    <row r="17" spans="1:14">
      <c r="A17" s="22" t="s">
        <v>3278</v>
      </c>
      <c r="B17" t="s">
        <v>282</v>
      </c>
      <c r="C17" t="s">
        <v>1825</v>
      </c>
      <c r="D17" t="s">
        <v>532</v>
      </c>
      <c r="E17" t="s">
        <v>13</v>
      </c>
      <c r="F17">
        <v>45875</v>
      </c>
      <c r="G17">
        <v>24</v>
      </c>
      <c r="H17" s="19">
        <v>45876</v>
      </c>
      <c r="M17" s="4" t="s">
        <v>3274</v>
      </c>
      <c r="N17">
        <v>138</v>
      </c>
    </row>
    <row r="18" spans="1:14">
      <c r="A18" s="22" t="s">
        <v>3278</v>
      </c>
      <c r="B18" t="s">
        <v>245</v>
      </c>
      <c r="C18" t="s">
        <v>578</v>
      </c>
      <c r="D18" t="s">
        <v>532</v>
      </c>
      <c r="E18" t="s">
        <v>13</v>
      </c>
      <c r="F18">
        <v>45700</v>
      </c>
      <c r="G18">
        <v>24</v>
      </c>
      <c r="H18" s="19">
        <v>45876</v>
      </c>
      <c r="M18" s="4" t="s">
        <v>3278</v>
      </c>
      <c r="N18">
        <v>168</v>
      </c>
    </row>
    <row r="19" spans="1:14">
      <c r="A19" s="22" t="s">
        <v>3762</v>
      </c>
      <c r="B19" t="s">
        <v>247</v>
      </c>
      <c r="C19" t="s">
        <v>1811</v>
      </c>
      <c r="D19" t="s">
        <v>532</v>
      </c>
      <c r="E19" t="s">
        <v>13</v>
      </c>
      <c r="F19">
        <v>45805</v>
      </c>
      <c r="G19">
        <v>180</v>
      </c>
      <c r="H19" s="19">
        <v>45875</v>
      </c>
      <c r="M19" s="4" t="s">
        <v>3743</v>
      </c>
      <c r="N19">
        <v>600</v>
      </c>
    </row>
    <row r="20" spans="1:14">
      <c r="A20" s="22" t="s">
        <v>3265</v>
      </c>
      <c r="B20" t="s">
        <v>281</v>
      </c>
      <c r="C20" t="s">
        <v>1823</v>
      </c>
      <c r="D20" t="s">
        <v>532</v>
      </c>
      <c r="E20" t="s">
        <v>13</v>
      </c>
      <c r="F20">
        <v>45831</v>
      </c>
      <c r="G20">
        <v>12</v>
      </c>
      <c r="H20" s="19">
        <v>45870</v>
      </c>
      <c r="M20" s="4" t="s">
        <v>3762</v>
      </c>
      <c r="N20">
        <v>180</v>
      </c>
    </row>
    <row r="21" spans="1:14">
      <c r="A21" s="22" t="s">
        <v>3265</v>
      </c>
      <c r="B21" t="s">
        <v>249</v>
      </c>
      <c r="C21" t="s">
        <v>1312</v>
      </c>
      <c r="D21" t="s">
        <v>532</v>
      </c>
      <c r="E21" t="s">
        <v>13</v>
      </c>
      <c r="F21">
        <v>45854</v>
      </c>
      <c r="G21">
        <v>12</v>
      </c>
      <c r="H21" s="19">
        <v>45870</v>
      </c>
      <c r="M21" s="4" t="s">
        <v>4255</v>
      </c>
      <c r="N21">
        <v>1500</v>
      </c>
    </row>
    <row r="22" spans="1:14">
      <c r="A22" s="22" t="s">
        <v>3265</v>
      </c>
      <c r="B22" t="s">
        <v>256</v>
      </c>
      <c r="C22" t="s">
        <v>531</v>
      </c>
      <c r="D22" t="s">
        <v>532</v>
      </c>
      <c r="E22" t="s">
        <v>13</v>
      </c>
      <c r="F22">
        <v>45478</v>
      </c>
      <c r="G22">
        <v>6</v>
      </c>
      <c r="H22" s="19">
        <v>45870</v>
      </c>
    </row>
    <row r="23" spans="1:14">
      <c r="A23" s="22" t="s">
        <v>3265</v>
      </c>
      <c r="B23" t="s">
        <v>542</v>
      </c>
      <c r="C23" t="s">
        <v>543</v>
      </c>
      <c r="D23" t="s">
        <v>532</v>
      </c>
      <c r="E23" t="s">
        <v>13</v>
      </c>
      <c r="F23">
        <v>45793</v>
      </c>
      <c r="G23">
        <v>6</v>
      </c>
      <c r="H23" s="19">
        <v>45870</v>
      </c>
    </row>
    <row r="24" spans="1:14">
      <c r="A24" s="22" t="s">
        <v>3265</v>
      </c>
      <c r="B24" t="s">
        <v>291</v>
      </c>
      <c r="C24" t="s">
        <v>3284</v>
      </c>
      <c r="D24" t="s">
        <v>532</v>
      </c>
      <c r="E24" t="s">
        <v>13</v>
      </c>
      <c r="F24">
        <v>45849</v>
      </c>
      <c r="G24">
        <v>12</v>
      </c>
      <c r="H24" s="19">
        <v>45870</v>
      </c>
      <c r="M24" s="373" t="s">
        <v>4241</v>
      </c>
      <c r="N24" t="s">
        <v>4281</v>
      </c>
    </row>
    <row r="25" spans="1:14">
      <c r="A25" s="22" t="s">
        <v>3265</v>
      </c>
      <c r="B25" t="s">
        <v>573</v>
      </c>
      <c r="C25" t="s">
        <v>574</v>
      </c>
      <c r="D25" t="s">
        <v>532</v>
      </c>
      <c r="E25" t="s">
        <v>13</v>
      </c>
      <c r="F25">
        <v>45848</v>
      </c>
      <c r="G25">
        <v>12</v>
      </c>
      <c r="H25" s="19">
        <v>45870</v>
      </c>
      <c r="M25" s="4" t="s">
        <v>3747</v>
      </c>
      <c r="N25">
        <v>108</v>
      </c>
    </row>
    <row r="26" spans="1:14">
      <c r="A26" s="22" t="s">
        <v>3267</v>
      </c>
      <c r="B26" t="s">
        <v>542</v>
      </c>
      <c r="C26" t="s">
        <v>543</v>
      </c>
      <c r="D26" t="s">
        <v>532</v>
      </c>
      <c r="E26" t="s">
        <v>13</v>
      </c>
      <c r="F26">
        <v>45793</v>
      </c>
      <c r="G26">
        <v>6</v>
      </c>
      <c r="H26" s="19">
        <v>45870</v>
      </c>
      <c r="M26" s="380">
        <v>45867</v>
      </c>
      <c r="N26">
        <v>108</v>
      </c>
    </row>
    <row r="27" spans="1:14">
      <c r="A27" s="22" t="s">
        <v>3267</v>
      </c>
      <c r="B27" t="s">
        <v>245</v>
      </c>
      <c r="C27" t="s">
        <v>578</v>
      </c>
      <c r="D27" t="s">
        <v>532</v>
      </c>
      <c r="E27" t="s">
        <v>13</v>
      </c>
      <c r="F27">
        <v>45700</v>
      </c>
      <c r="G27">
        <v>12</v>
      </c>
      <c r="H27" s="19">
        <v>45870</v>
      </c>
      <c r="M27" s="4" t="s">
        <v>3751</v>
      </c>
      <c r="N27">
        <v>108</v>
      </c>
    </row>
    <row r="28" spans="1:14">
      <c r="A28" s="22" t="s">
        <v>3267</v>
      </c>
      <c r="B28" t="s">
        <v>290</v>
      </c>
      <c r="C28" t="s">
        <v>1306</v>
      </c>
      <c r="D28" t="s">
        <v>532</v>
      </c>
      <c r="E28" t="s">
        <v>13</v>
      </c>
      <c r="F28">
        <v>45576</v>
      </c>
      <c r="G28">
        <v>12</v>
      </c>
      <c r="H28" s="19">
        <v>45870</v>
      </c>
      <c r="M28" s="380">
        <v>45868</v>
      </c>
      <c r="N28">
        <v>108</v>
      </c>
    </row>
    <row r="29" spans="1:14">
      <c r="A29" s="22" t="s">
        <v>3267</v>
      </c>
      <c r="B29" t="s">
        <v>605</v>
      </c>
      <c r="C29" t="s">
        <v>1774</v>
      </c>
      <c r="D29" t="s">
        <v>532</v>
      </c>
      <c r="E29" t="s">
        <v>13</v>
      </c>
      <c r="F29">
        <v>45790</v>
      </c>
      <c r="G29">
        <v>12</v>
      </c>
      <c r="H29" s="19">
        <v>45870</v>
      </c>
      <c r="M29" s="4" t="s">
        <v>3753</v>
      </c>
      <c r="N29">
        <v>36</v>
      </c>
    </row>
    <row r="30" spans="1:14">
      <c r="A30" s="22" t="s">
        <v>3267</v>
      </c>
      <c r="B30" t="s">
        <v>282</v>
      </c>
      <c r="C30" t="s">
        <v>1825</v>
      </c>
      <c r="D30" t="s">
        <v>532</v>
      </c>
      <c r="E30" t="s">
        <v>13</v>
      </c>
      <c r="F30">
        <v>45833</v>
      </c>
      <c r="G30">
        <v>12</v>
      </c>
      <c r="H30" s="19">
        <v>45870</v>
      </c>
      <c r="M30" s="380">
        <v>45869</v>
      </c>
      <c r="N30">
        <v>36</v>
      </c>
    </row>
    <row r="31" spans="1:14">
      <c r="A31" s="22" t="s">
        <v>3753</v>
      </c>
      <c r="B31" t="s">
        <v>291</v>
      </c>
      <c r="C31" t="s">
        <v>3284</v>
      </c>
      <c r="D31" t="s">
        <v>532</v>
      </c>
      <c r="E31" t="s">
        <v>13</v>
      </c>
      <c r="F31">
        <v>45849</v>
      </c>
      <c r="G31">
        <v>12</v>
      </c>
      <c r="H31" s="203">
        <v>45869</v>
      </c>
      <c r="M31" s="4" t="s">
        <v>3265</v>
      </c>
      <c r="N31">
        <v>60</v>
      </c>
    </row>
    <row r="32" spans="1:14">
      <c r="A32" s="22" t="s">
        <v>3753</v>
      </c>
      <c r="B32" t="s">
        <v>573</v>
      </c>
      <c r="C32" t="s">
        <v>574</v>
      </c>
      <c r="D32" t="s">
        <v>532</v>
      </c>
      <c r="E32" t="s">
        <v>13</v>
      </c>
      <c r="F32">
        <v>45848</v>
      </c>
      <c r="G32">
        <v>12</v>
      </c>
      <c r="H32" s="203">
        <v>45869</v>
      </c>
      <c r="M32" s="380">
        <v>45870</v>
      </c>
      <c r="N32">
        <v>60</v>
      </c>
    </row>
    <row r="33" spans="1:14">
      <c r="A33" s="22" t="s">
        <v>3753</v>
      </c>
      <c r="B33" t="s">
        <v>281</v>
      </c>
      <c r="C33" t="s">
        <v>1823</v>
      </c>
      <c r="D33" t="s">
        <v>532</v>
      </c>
      <c r="E33" t="s">
        <v>13</v>
      </c>
      <c r="F33">
        <v>45831</v>
      </c>
      <c r="G33">
        <v>12</v>
      </c>
      <c r="H33" s="203">
        <v>45869</v>
      </c>
      <c r="M33" s="4" t="s">
        <v>3267</v>
      </c>
      <c r="N33">
        <v>54</v>
      </c>
    </row>
    <row r="34" spans="1:14">
      <c r="A34" s="22" t="s">
        <v>3743</v>
      </c>
      <c r="B34" t="s">
        <v>283</v>
      </c>
      <c r="C34" t="s">
        <v>3744</v>
      </c>
      <c r="D34" t="s">
        <v>221</v>
      </c>
      <c r="E34" t="s">
        <v>13</v>
      </c>
      <c r="F34">
        <v>45865</v>
      </c>
      <c r="G34">
        <v>600</v>
      </c>
      <c r="H34" s="19">
        <v>45868</v>
      </c>
      <c r="M34" s="380">
        <v>45870</v>
      </c>
      <c r="N34">
        <v>54</v>
      </c>
    </row>
    <row r="35" spans="1:14">
      <c r="A35" s="22" t="s">
        <v>3751</v>
      </c>
      <c r="B35" t="s">
        <v>241</v>
      </c>
      <c r="C35">
        <v>2021042701</v>
      </c>
      <c r="D35" t="s">
        <v>221</v>
      </c>
      <c r="E35" t="s">
        <v>13</v>
      </c>
      <c r="F35">
        <v>45868</v>
      </c>
      <c r="G35">
        <v>24</v>
      </c>
      <c r="H35" s="19">
        <v>45868</v>
      </c>
      <c r="M35" s="4" t="s">
        <v>3270</v>
      </c>
      <c r="N35">
        <v>48</v>
      </c>
    </row>
    <row r="36" spans="1:14">
      <c r="A36" s="22" t="s">
        <v>3751</v>
      </c>
      <c r="B36" t="s">
        <v>291</v>
      </c>
      <c r="C36" t="s">
        <v>3284</v>
      </c>
      <c r="D36" t="s">
        <v>221</v>
      </c>
      <c r="E36" t="s">
        <v>13</v>
      </c>
      <c r="F36">
        <v>45849</v>
      </c>
      <c r="G36">
        <v>24</v>
      </c>
      <c r="H36" s="19">
        <v>45868</v>
      </c>
      <c r="M36" s="380">
        <v>45876</v>
      </c>
      <c r="N36">
        <v>48</v>
      </c>
    </row>
    <row r="37" spans="1:14">
      <c r="A37" s="22" t="s">
        <v>3751</v>
      </c>
      <c r="B37" t="s">
        <v>291</v>
      </c>
      <c r="C37" t="s">
        <v>1829</v>
      </c>
      <c r="D37" t="s">
        <v>221</v>
      </c>
      <c r="E37" t="s">
        <v>13</v>
      </c>
      <c r="F37">
        <v>45826</v>
      </c>
      <c r="G37">
        <v>12</v>
      </c>
      <c r="H37" s="19">
        <v>45868</v>
      </c>
      <c r="M37" s="4" t="s">
        <v>3274</v>
      </c>
      <c r="N37">
        <v>138</v>
      </c>
    </row>
    <row r="38" spans="1:14">
      <c r="A38" s="22" t="s">
        <v>3751</v>
      </c>
      <c r="B38" t="s">
        <v>282</v>
      </c>
      <c r="C38" t="s">
        <v>1825</v>
      </c>
      <c r="D38" t="s">
        <v>221</v>
      </c>
      <c r="E38" t="s">
        <v>13</v>
      </c>
      <c r="F38">
        <v>45833</v>
      </c>
      <c r="G38">
        <v>36</v>
      </c>
      <c r="H38" s="19">
        <v>45868</v>
      </c>
      <c r="M38" s="380">
        <v>45876</v>
      </c>
      <c r="N38">
        <v>138</v>
      </c>
    </row>
    <row r="39" spans="1:14">
      <c r="A39" s="22" t="s">
        <v>3751</v>
      </c>
      <c r="B39" t="s">
        <v>558</v>
      </c>
      <c r="C39" t="s">
        <v>559</v>
      </c>
      <c r="D39" t="s">
        <v>221</v>
      </c>
      <c r="E39" t="s">
        <v>13</v>
      </c>
      <c r="F39">
        <v>45772</v>
      </c>
      <c r="G39">
        <v>12</v>
      </c>
      <c r="H39" s="19">
        <v>45868</v>
      </c>
      <c r="M39" s="4" t="s">
        <v>3278</v>
      </c>
      <c r="N39">
        <v>168</v>
      </c>
    </row>
    <row r="40" spans="1:14">
      <c r="A40" s="22" t="s">
        <v>3747</v>
      </c>
      <c r="B40" t="s">
        <v>225</v>
      </c>
      <c r="C40" t="s">
        <v>1575</v>
      </c>
      <c r="D40" t="s">
        <v>532</v>
      </c>
      <c r="E40" t="s">
        <v>13</v>
      </c>
      <c r="F40">
        <v>45728</v>
      </c>
      <c r="G40">
        <v>12</v>
      </c>
      <c r="H40" s="19">
        <v>45867</v>
      </c>
      <c r="M40" s="380">
        <v>45876</v>
      </c>
      <c r="N40">
        <v>168</v>
      </c>
    </row>
    <row r="41" spans="1:14">
      <c r="A41" s="22" t="s">
        <v>3747</v>
      </c>
      <c r="B41" t="s">
        <v>251</v>
      </c>
      <c r="C41" t="s">
        <v>589</v>
      </c>
      <c r="D41" t="s">
        <v>532</v>
      </c>
      <c r="E41" t="s">
        <v>13</v>
      </c>
      <c r="F41">
        <v>45581</v>
      </c>
      <c r="G41">
        <v>24</v>
      </c>
      <c r="H41" s="19">
        <v>45867</v>
      </c>
      <c r="M41" s="4" t="s">
        <v>3743</v>
      </c>
      <c r="N41">
        <v>600</v>
      </c>
    </row>
    <row r="42" spans="1:14">
      <c r="A42" s="22" t="s">
        <v>3747</v>
      </c>
      <c r="B42" t="s">
        <v>258</v>
      </c>
      <c r="C42" t="s">
        <v>1783</v>
      </c>
      <c r="D42" t="s">
        <v>532</v>
      </c>
      <c r="E42" t="s">
        <v>13</v>
      </c>
      <c r="F42">
        <v>45800</v>
      </c>
      <c r="G42">
        <v>24</v>
      </c>
      <c r="H42" s="19">
        <v>45867</v>
      </c>
      <c r="M42" s="380">
        <v>45868</v>
      </c>
      <c r="N42">
        <v>600</v>
      </c>
    </row>
    <row r="43" spans="1:14">
      <c r="A43" s="22" t="s">
        <v>3747</v>
      </c>
      <c r="B43" t="s">
        <v>249</v>
      </c>
      <c r="C43" t="s">
        <v>1312</v>
      </c>
      <c r="D43" t="s">
        <v>532</v>
      </c>
      <c r="E43" t="s">
        <v>13</v>
      </c>
      <c r="F43">
        <v>45854</v>
      </c>
      <c r="G43">
        <v>24</v>
      </c>
      <c r="H43" s="19">
        <v>45867</v>
      </c>
      <c r="M43" s="4" t="s">
        <v>3762</v>
      </c>
      <c r="N43">
        <v>180</v>
      </c>
    </row>
    <row r="44" spans="1:14">
      <c r="A44" s="22" t="s">
        <v>3747</v>
      </c>
      <c r="B44" t="s">
        <v>573</v>
      </c>
      <c r="C44" t="s">
        <v>574</v>
      </c>
      <c r="D44" t="s">
        <v>532</v>
      </c>
      <c r="E44" t="s">
        <v>13</v>
      </c>
      <c r="F44">
        <v>45848</v>
      </c>
      <c r="G44">
        <v>12</v>
      </c>
      <c r="H44" s="19">
        <v>45867</v>
      </c>
      <c r="M44" s="380">
        <v>45875</v>
      </c>
      <c r="N44">
        <v>180</v>
      </c>
    </row>
    <row r="45" spans="1:14">
      <c r="A45" s="22" t="s">
        <v>3747</v>
      </c>
      <c r="B45" t="s">
        <v>282</v>
      </c>
      <c r="C45" t="s">
        <v>1825</v>
      </c>
      <c r="D45" t="s">
        <v>532</v>
      </c>
      <c r="E45" t="s">
        <v>13</v>
      </c>
      <c r="F45">
        <v>45833</v>
      </c>
      <c r="G45">
        <v>12</v>
      </c>
      <c r="H45" s="19">
        <v>45867</v>
      </c>
      <c r="M45" s="4" t="s">
        <v>4255</v>
      </c>
      <c r="N45">
        <v>1500</v>
      </c>
    </row>
  </sheetData>
  <phoneticPr fontId="19" type="noConversion"/>
  <conditionalFormatting sqref="A1">
    <cfRule type="expression" dxfId="23" priority="3">
      <formula>AB:AB="THIS PO HAS BEEN SHIPPED BEFORE, PLEASE CHECK BEFORE PROCEEDING"</formula>
    </cfRule>
  </conditionalFormatting>
  <conditionalFormatting sqref="A1:A45">
    <cfRule type="duplicateValues" dxfId="22" priority="840"/>
  </conditionalFormatting>
  <conditionalFormatting sqref="H2:H45">
    <cfRule type="expression" dxfId="21" priority="1">
      <formula>#REF!="THIS PO HAS BEEN SHIPPED BEFORE, PLEASE CHECK BEFORE PROCEEDING"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C968-F997-43F9-947E-2070A6B088B8}">
  <sheetPr published="0">
    <pageSetUpPr fitToPage="1"/>
  </sheetPr>
  <dimension ref="A1:S456"/>
  <sheetViews>
    <sheetView zoomScaleNormal="100" workbookViewId="0">
      <pane ySplit="1" topLeftCell="A191" activePane="bottomLeft" state="frozen"/>
      <selection activeCell="L1649" sqref="L1649"/>
      <selection pane="bottomLeft" activeCell="C58" sqref="C58"/>
    </sheetView>
  </sheetViews>
  <sheetFormatPr defaultColWidth="8.44140625" defaultRowHeight="14.7" customHeight="1"/>
  <cols>
    <col min="1" max="1" width="19.109375" bestFit="1" customWidth="1"/>
    <col min="2" max="2" width="19.44140625" customWidth="1"/>
    <col min="3" max="3" width="31.44140625" customWidth="1"/>
    <col min="4" max="4" width="26.109375" style="13" customWidth="1"/>
    <col min="5" max="5" width="72.44140625" bestFit="1" customWidth="1"/>
    <col min="6" max="6" width="16.109375" style="28" bestFit="1" customWidth="1"/>
    <col min="7" max="7" width="18" style="13" customWidth="1"/>
    <col min="8" max="8" width="19.21875" style="28" customWidth="1"/>
    <col min="9" max="9" width="15.44140625" style="13" customWidth="1"/>
    <col min="10" max="10" width="11.44140625" customWidth="1"/>
    <col min="11" max="11" width="12.44140625" style="33" customWidth="1"/>
    <col min="12" max="13" width="14.44140625" customWidth="1"/>
    <col min="14" max="14" width="16.109375" customWidth="1"/>
    <col min="15" max="15" width="25.88671875" customWidth="1"/>
    <col min="17" max="17" width="23.44140625" bestFit="1" customWidth="1"/>
    <col min="19" max="19" width="8.44140625" style="13"/>
  </cols>
  <sheetData>
    <row r="1" spans="1:15" ht="26.4" customHeight="1">
      <c r="A1" t="s">
        <v>474</v>
      </c>
      <c r="B1" t="s">
        <v>198</v>
      </c>
      <c r="C1" t="s">
        <v>3351</v>
      </c>
      <c r="D1" t="s">
        <v>3355</v>
      </c>
      <c r="E1" t="s">
        <v>4332</v>
      </c>
      <c r="F1" s="28" t="s">
        <v>4333</v>
      </c>
      <c r="G1" s="13" t="s">
        <v>4334</v>
      </c>
      <c r="H1" t="s">
        <v>4335</v>
      </c>
      <c r="I1" t="s">
        <v>285</v>
      </c>
      <c r="J1" t="s">
        <v>4186</v>
      </c>
      <c r="K1" t="s">
        <v>4187</v>
      </c>
      <c r="L1" t="s">
        <v>286</v>
      </c>
      <c r="M1" t="s">
        <v>4188</v>
      </c>
      <c r="N1" t="s">
        <v>4189</v>
      </c>
      <c r="O1" t="s">
        <v>4190</v>
      </c>
    </row>
    <row r="2" spans="1:15" ht="26.4" customHeight="1">
      <c r="A2" s="4" t="s">
        <v>4191</v>
      </c>
      <c r="B2" s="4" t="s">
        <v>201</v>
      </c>
      <c r="C2" s="32" t="s">
        <v>9</v>
      </c>
      <c r="D2" s="32" t="s">
        <v>9</v>
      </c>
      <c r="E2" s="4"/>
      <c r="G2" s="28"/>
      <c r="I2" s="4">
        <v>12</v>
      </c>
      <c r="J2" s="38">
        <v>30</v>
      </c>
      <c r="K2" s="38">
        <f>Table27[[#This Row],[case_price]]/Table27[[#This Row],[case_size]]</f>
        <v>2.5</v>
      </c>
      <c r="L2" s="4"/>
      <c r="M2" s="4"/>
      <c r="N2" s="4" t="s">
        <v>4112</v>
      </c>
      <c r="O2" s="4" t="e">
        <f>_xlfn.XLOOKUP(Table27[[#This Row],[product_name]],#REF!,#REF!,"NOT FOUND",0,1)</f>
        <v>#REF!</v>
      </c>
    </row>
    <row r="3" spans="1:15" ht="26.4" customHeight="1">
      <c r="A3" s="4" t="s">
        <v>4191</v>
      </c>
      <c r="B3" s="4" t="s">
        <v>201</v>
      </c>
      <c r="C3" s="32" t="s">
        <v>9</v>
      </c>
      <c r="D3" s="32" t="s">
        <v>9</v>
      </c>
      <c r="E3" s="4"/>
      <c r="G3" s="28"/>
      <c r="I3" s="4">
        <v>12</v>
      </c>
      <c r="J3" s="38">
        <v>21.12</v>
      </c>
      <c r="K3" s="38">
        <f>Table27[[#This Row],[case_price]]/Table27[[#This Row],[case_size]]</f>
        <v>1.76</v>
      </c>
      <c r="L3" s="4"/>
      <c r="M3" s="4"/>
      <c r="N3" s="4" t="s">
        <v>132</v>
      </c>
      <c r="O3" s="4" t="e">
        <f>_xlfn.XLOOKUP(Table27[[#This Row],[product_name]],#REF!,#REF!,"NOT FOUND",0,1)</f>
        <v>#REF!</v>
      </c>
    </row>
    <row r="4" spans="1:15" ht="26.4" customHeight="1">
      <c r="A4" s="4" t="s">
        <v>4191</v>
      </c>
      <c r="B4" s="4" t="s">
        <v>201</v>
      </c>
      <c r="C4" s="4" t="s">
        <v>9</v>
      </c>
      <c r="D4" s="32" t="s">
        <v>9</v>
      </c>
      <c r="E4" s="4"/>
      <c r="G4" s="28"/>
      <c r="I4" s="4">
        <v>12</v>
      </c>
      <c r="J4" s="38">
        <v>33.119999999999997</v>
      </c>
      <c r="K4" s="38">
        <f>Table27[[#This Row],[case_price]]/Table27[[#This Row],[case_size]]</f>
        <v>2.76</v>
      </c>
      <c r="L4" s="4"/>
      <c r="M4" s="4"/>
      <c r="N4" s="4" t="s">
        <v>3770</v>
      </c>
      <c r="O4" s="4" t="e">
        <f>_xlfn.XLOOKUP(Table27[[#This Row],[product_name]],#REF!,#REF!,"NOT FOUND",0,1)</f>
        <v>#REF!</v>
      </c>
    </row>
    <row r="5" spans="1:15" ht="26.4" customHeight="1">
      <c r="A5" s="4" t="s">
        <v>4191</v>
      </c>
      <c r="B5" s="4" t="s">
        <v>201</v>
      </c>
      <c r="C5" s="32" t="s">
        <v>9</v>
      </c>
      <c r="D5" s="32" t="s">
        <v>9</v>
      </c>
      <c r="E5" s="4"/>
      <c r="G5" s="28"/>
      <c r="I5" s="4">
        <v>12</v>
      </c>
      <c r="J5" s="38">
        <v>33.119999999999997</v>
      </c>
      <c r="K5" s="38">
        <f>Table27[[#This Row],[case_price]]/Table27[[#This Row],[case_size]]</f>
        <v>2.76</v>
      </c>
      <c r="L5" s="4"/>
      <c r="M5" s="4"/>
      <c r="N5" s="4" t="s">
        <v>4112</v>
      </c>
      <c r="O5" s="4" t="e">
        <f>_xlfn.XLOOKUP(Table27[[#This Row],[product_name]],#REF!,#REF!,"NOT FOUND",0,1)</f>
        <v>#REF!</v>
      </c>
    </row>
    <row r="6" spans="1:15" ht="26.4" customHeight="1">
      <c r="A6" s="4" t="s">
        <v>4192</v>
      </c>
      <c r="B6" s="4" t="s">
        <v>490</v>
      </c>
      <c r="C6" s="4" t="s">
        <v>24</v>
      </c>
      <c r="D6" s="28" t="s">
        <v>24</v>
      </c>
      <c r="E6" s="4"/>
      <c r="G6" s="28"/>
      <c r="H6" s="4"/>
      <c r="I6" s="4">
        <v>6</v>
      </c>
      <c r="J6" s="38">
        <v>109.08</v>
      </c>
      <c r="K6" s="38">
        <f>Table27[[#This Row],[case_price]]/Table27[[#This Row],[case_size]]</f>
        <v>18.18</v>
      </c>
      <c r="L6" s="4"/>
      <c r="M6" s="4"/>
      <c r="N6" s="4" t="s">
        <v>114</v>
      </c>
      <c r="O6" s="4" t="e">
        <f>_xlfn.XLOOKUP(Table27[[#This Row],[product_name]],#REF!,#REF!,"NOT FOUND",0,1)</f>
        <v>#REF!</v>
      </c>
    </row>
    <row r="7" spans="1:15" ht="26.4" customHeight="1">
      <c r="A7" s="4" t="s">
        <v>3844</v>
      </c>
      <c r="B7" s="4" t="s">
        <v>504</v>
      </c>
      <c r="C7" s="4"/>
      <c r="D7" s="4"/>
      <c r="E7" s="4"/>
      <c r="G7" s="28"/>
      <c r="H7" s="4"/>
      <c r="I7" s="4">
        <v>12</v>
      </c>
      <c r="J7" s="38">
        <v>193.2</v>
      </c>
      <c r="K7" s="38">
        <f>Table27[[#This Row],[case_price]]/Table27[[#This Row],[case_size]]</f>
        <v>16.099999999999998</v>
      </c>
      <c r="L7" s="4"/>
      <c r="M7" s="4"/>
      <c r="N7" s="4" t="s">
        <v>13</v>
      </c>
      <c r="O7" s="4" t="e">
        <f>_xlfn.XLOOKUP(Table27[[#This Row],[product_name]],#REF!,#REF!,"NOT FOUND",0,1)</f>
        <v>#REF!</v>
      </c>
    </row>
    <row r="8" spans="1:15" ht="26.4" customHeight="1">
      <c r="A8" s="32" t="s">
        <v>19</v>
      </c>
      <c r="B8" s="4" t="s">
        <v>201</v>
      </c>
      <c r="C8" s="32" t="s">
        <v>19</v>
      </c>
      <c r="D8" s="32" t="s">
        <v>19</v>
      </c>
      <c r="E8" s="4"/>
      <c r="G8" s="28"/>
      <c r="I8" s="4" t="s">
        <v>55</v>
      </c>
      <c r="J8" s="38" t="s">
        <v>55</v>
      </c>
      <c r="K8" s="38">
        <v>14</v>
      </c>
      <c r="L8" s="4"/>
      <c r="M8" s="4"/>
      <c r="N8" s="4" t="s">
        <v>3770</v>
      </c>
      <c r="O8" s="4" t="e">
        <f>_xlfn.XLOOKUP(Table27[[#This Row],[product_name]],#REF!,#REF!,"NOT FOUND",0,1)</f>
        <v>#REF!</v>
      </c>
    </row>
    <row r="9" spans="1:15" ht="26.4" customHeight="1">
      <c r="A9" s="4" t="s">
        <v>4193</v>
      </c>
      <c r="B9" s="4" t="s">
        <v>4194</v>
      </c>
      <c r="C9" s="4" t="s">
        <v>37</v>
      </c>
      <c r="D9" s="28" t="s">
        <v>37</v>
      </c>
      <c r="E9" s="4"/>
      <c r="G9" s="28"/>
      <c r="H9" s="4"/>
      <c r="I9" s="4">
        <v>12</v>
      </c>
      <c r="J9" s="38">
        <f>1536/8</f>
        <v>192</v>
      </c>
      <c r="K9" s="38">
        <f>Table27[[#This Row],[case_price]]/Table27[[#This Row],[case_size]]</f>
        <v>16</v>
      </c>
      <c r="L9" s="4"/>
      <c r="M9" s="4"/>
      <c r="N9" s="4" t="s">
        <v>170</v>
      </c>
      <c r="O9" s="4" t="e">
        <f>_xlfn.XLOOKUP(Table27[[#This Row],[product_name]],#REF!,#REF!,"NOT FOUND",0,1)</f>
        <v>#REF!</v>
      </c>
    </row>
    <row r="10" spans="1:15" ht="26.4" customHeight="1">
      <c r="A10" s="4" t="s">
        <v>2362</v>
      </c>
      <c r="B10" s="4" t="s">
        <v>490</v>
      </c>
      <c r="C10" s="4" t="s">
        <v>2362</v>
      </c>
      <c r="D10" s="28" t="s">
        <v>2362</v>
      </c>
      <c r="E10" s="4"/>
      <c r="G10" s="28"/>
      <c r="H10" s="4"/>
      <c r="I10" s="4">
        <v>12</v>
      </c>
      <c r="J10" s="38">
        <f>15.99*12</f>
        <v>191.88</v>
      </c>
      <c r="K10" s="38">
        <v>9.7799999999999994</v>
      </c>
      <c r="L10" s="4"/>
      <c r="M10" s="4"/>
      <c r="N10" s="4" t="s">
        <v>135</v>
      </c>
      <c r="O10" s="4" t="e">
        <f>_xlfn.XLOOKUP(Table27[[#This Row],[product_name]],#REF!,#REF!,"NOT FOUND",0,1)</f>
        <v>#REF!</v>
      </c>
    </row>
    <row r="11" spans="1:15" ht="26.4" customHeight="1">
      <c r="A11" s="4" t="s">
        <v>533</v>
      </c>
      <c r="B11" s="4" t="s">
        <v>490</v>
      </c>
      <c r="C11" s="4" t="s">
        <v>4195</v>
      </c>
      <c r="D11" s="28" t="s">
        <v>27</v>
      </c>
      <c r="E11" s="4"/>
      <c r="G11" s="28"/>
      <c r="H11" s="4"/>
      <c r="I11" s="4">
        <v>6</v>
      </c>
      <c r="J11" s="38">
        <v>167.94</v>
      </c>
      <c r="K11" s="38">
        <f>Table27[[#This Row],[case_price]]/Table27[[#This Row],[case_size]]</f>
        <v>27.99</v>
      </c>
      <c r="L11" s="4"/>
      <c r="M11" s="4"/>
      <c r="N11" s="4" t="s">
        <v>21</v>
      </c>
      <c r="O11" s="4" t="e">
        <f>_xlfn.XLOOKUP(Table27[[#This Row],[product_name]],#REF!,#REF!,"NOT FOUND",0,1)</f>
        <v>#REF!</v>
      </c>
    </row>
    <row r="12" spans="1:15" ht="26.4" customHeight="1">
      <c r="A12" s="4" t="s">
        <v>22</v>
      </c>
      <c r="B12" s="4" t="s">
        <v>490</v>
      </c>
      <c r="C12" s="4" t="s">
        <v>22</v>
      </c>
      <c r="D12" s="28" t="s">
        <v>22</v>
      </c>
      <c r="E12" s="4"/>
      <c r="G12" s="28"/>
      <c r="I12" s="4">
        <v>6</v>
      </c>
      <c r="J12" s="38">
        <f>21.99*6</f>
        <v>131.94</v>
      </c>
      <c r="K12" s="38">
        <v>21.99</v>
      </c>
      <c r="L12" s="4"/>
      <c r="M12" s="4"/>
      <c r="N12" s="4" t="s">
        <v>135</v>
      </c>
      <c r="O12" s="4" t="e">
        <f>_xlfn.XLOOKUP(Table27[[#This Row],[product_name]],#REF!,#REF!,"NOT FOUND",0,1)</f>
        <v>#REF!</v>
      </c>
    </row>
    <row r="13" spans="1:15" ht="26.4" customHeight="1">
      <c r="A13" s="4" t="s">
        <v>3844</v>
      </c>
      <c r="B13" s="4" t="s">
        <v>504</v>
      </c>
      <c r="C13" s="4" t="s">
        <v>3943</v>
      </c>
      <c r="D13" s="28" t="s">
        <v>3943</v>
      </c>
      <c r="E13" s="4"/>
      <c r="G13" s="25"/>
      <c r="I13" s="4">
        <v>12</v>
      </c>
      <c r="J13" s="38">
        <v>262.08</v>
      </c>
      <c r="K13" s="38">
        <f>Table27[[#This Row],[case_price]]/Table27[[#This Row],[case_size]]</f>
        <v>21.84</v>
      </c>
      <c r="L13" s="4"/>
      <c r="M13" s="4"/>
      <c r="N13" s="4" t="s">
        <v>3770</v>
      </c>
      <c r="O13" s="4" t="e">
        <f>_xlfn.XLOOKUP(Table27[[#This Row],[product_name]],#REF!,#REF!,"NOT FOUND",0,1)</f>
        <v>#REF!</v>
      </c>
    </row>
    <row r="14" spans="1:15" ht="26.4" customHeight="1">
      <c r="A14" s="4" t="s">
        <v>3879</v>
      </c>
      <c r="B14" s="4" t="s">
        <v>490</v>
      </c>
      <c r="C14" s="4" t="s">
        <v>33</v>
      </c>
      <c r="D14" s="4" t="s">
        <v>33</v>
      </c>
      <c r="E14" s="4"/>
      <c r="G14" s="28"/>
      <c r="I14" s="4">
        <v>12</v>
      </c>
      <c r="J14" s="38">
        <v>185.88</v>
      </c>
      <c r="K14" s="38">
        <f>Table27[[#This Row],[case_price]]/Table27[[#This Row],[case_size]]</f>
        <v>15.49</v>
      </c>
      <c r="L14" s="4"/>
      <c r="M14" s="4"/>
      <c r="N14" s="4" t="s">
        <v>4091</v>
      </c>
      <c r="O14" s="4" t="e">
        <f>_xlfn.XLOOKUP(Table27[[#This Row],[product_name]],#REF!,#REF!,"NOT FOUND",0,1)</f>
        <v>#REF!</v>
      </c>
    </row>
    <row r="15" spans="1:15" ht="26.4" customHeight="1">
      <c r="A15" s="4" t="s">
        <v>4192</v>
      </c>
      <c r="B15" s="4" t="s">
        <v>490</v>
      </c>
      <c r="C15" s="4" t="s">
        <v>24</v>
      </c>
      <c r="D15" s="28" t="s">
        <v>24</v>
      </c>
      <c r="E15" s="4"/>
      <c r="G15" s="28"/>
      <c r="I15" s="4">
        <v>6</v>
      </c>
      <c r="J15" s="38">
        <f>Table27[[#This Row],[unit_price]]*Table27[[#This Row],[case_size]]</f>
        <v>81.81</v>
      </c>
      <c r="K15" s="38">
        <v>13.635</v>
      </c>
      <c r="L15" s="4"/>
      <c r="M15" s="4"/>
      <c r="N15" s="4" t="s">
        <v>114</v>
      </c>
      <c r="O15" s="4" t="e">
        <f>_xlfn.XLOOKUP(Table27[[#This Row],[product_name]],#REF!,#REF!,"NOT FOUND",0,1)</f>
        <v>#REF!</v>
      </c>
    </row>
    <row r="16" spans="1:15" ht="26.4" customHeight="1">
      <c r="A16" s="4" t="s">
        <v>533</v>
      </c>
      <c r="B16" s="4" t="s">
        <v>490</v>
      </c>
      <c r="C16" s="4" t="s">
        <v>4195</v>
      </c>
      <c r="D16" s="28" t="s">
        <v>27</v>
      </c>
      <c r="E16" s="4"/>
      <c r="G16" s="25"/>
      <c r="I16" s="4">
        <v>12</v>
      </c>
      <c r="J16" s="38">
        <v>252</v>
      </c>
      <c r="K16" s="38">
        <f>Table27[[#This Row],[case_price]]/Table27[[#This Row],[case_size]]</f>
        <v>21</v>
      </c>
      <c r="L16" s="4"/>
      <c r="M16" s="4"/>
      <c r="N16" s="4" t="s">
        <v>3770</v>
      </c>
      <c r="O16" s="4" t="e">
        <f>_xlfn.XLOOKUP(Table27[[#This Row],[product_name]],#REF!,#REF!,"NOT FOUND",0,1)</f>
        <v>#REF!</v>
      </c>
    </row>
    <row r="17" spans="1:15" ht="26.4" customHeight="1">
      <c r="A17" s="4" t="s">
        <v>4196</v>
      </c>
      <c r="B17" s="4" t="s">
        <v>4194</v>
      </c>
      <c r="C17" s="5" t="s">
        <v>144</v>
      </c>
      <c r="D17" s="4" t="s">
        <v>4196</v>
      </c>
      <c r="E17" s="4"/>
      <c r="G17" s="28"/>
      <c r="I17" s="4">
        <v>12</v>
      </c>
      <c r="J17" s="38">
        <v>264</v>
      </c>
      <c r="K17" s="38">
        <f>Table27[[#This Row],[case_price]]/Table27[[#This Row],[case_size]]</f>
        <v>22</v>
      </c>
      <c r="L17" s="4"/>
      <c r="M17" s="4"/>
      <c r="N17" s="4" t="s">
        <v>3770</v>
      </c>
      <c r="O17" s="4" t="e">
        <f>_xlfn.XLOOKUP(Table27[[#This Row],[product_name]],#REF!,#REF!,"NOT FOUND",0,1)</f>
        <v>#REF!</v>
      </c>
    </row>
    <row r="18" spans="1:15" ht="26.4" customHeight="1">
      <c r="A18" s="4" t="s">
        <v>4197</v>
      </c>
      <c r="B18" s="4" t="s">
        <v>201</v>
      </c>
      <c r="C18" s="4" t="s">
        <v>133</v>
      </c>
      <c r="D18" s="4" t="s">
        <v>133</v>
      </c>
      <c r="E18" s="4"/>
      <c r="G18" s="28"/>
      <c r="I18" s="4">
        <v>12</v>
      </c>
      <c r="J18" s="38">
        <f>Table27[[#This Row],[unit_price]]*Table27[[#This Row],[case_size]]</f>
        <v>214.20000000000002</v>
      </c>
      <c r="K18" s="38">
        <v>17.850000000000001</v>
      </c>
      <c r="L18" s="4"/>
      <c r="M18" s="4"/>
      <c r="N18" s="4" t="s">
        <v>3770</v>
      </c>
      <c r="O18" s="4" t="e">
        <f>_xlfn.XLOOKUP(Table27[[#This Row],[product_name]],#REF!,#REF!,"NOT FOUND",0,1)</f>
        <v>#REF!</v>
      </c>
    </row>
    <row r="19" spans="1:15" ht="26.4" customHeight="1">
      <c r="A19" s="4" t="s">
        <v>533</v>
      </c>
      <c r="B19" s="4" t="s">
        <v>490</v>
      </c>
      <c r="C19" s="4" t="s">
        <v>4195</v>
      </c>
      <c r="D19" s="28" t="s">
        <v>27</v>
      </c>
      <c r="E19" s="4"/>
      <c r="G19" s="28"/>
      <c r="I19" s="4">
        <v>12</v>
      </c>
      <c r="J19" s="38">
        <v>240</v>
      </c>
      <c r="K19" s="38">
        <f>Table27[[#This Row],[case_price]]/Table27[[#This Row],[case_size]]</f>
        <v>20</v>
      </c>
      <c r="L19" s="4"/>
      <c r="M19" s="4"/>
      <c r="N19" s="4" t="s">
        <v>21</v>
      </c>
      <c r="O19" s="4" t="e">
        <f>_xlfn.XLOOKUP(Table27[[#This Row],[product_name]],#REF!,#REF!,"NOT FOUND",0,1)</f>
        <v>#REF!</v>
      </c>
    </row>
    <row r="20" spans="1:15" ht="26.4" customHeight="1">
      <c r="A20" s="4" t="s">
        <v>3844</v>
      </c>
      <c r="B20" s="4" t="s">
        <v>504</v>
      </c>
      <c r="C20" s="4" t="s">
        <v>3943</v>
      </c>
      <c r="D20" s="28" t="s">
        <v>3943</v>
      </c>
      <c r="E20" s="4"/>
      <c r="G20" s="28"/>
      <c r="I20" s="4">
        <v>12</v>
      </c>
      <c r="J20" s="38">
        <v>241.56</v>
      </c>
      <c r="K20" s="38">
        <f>Table27[[#This Row],[case_price]]/Table27[[#This Row],[case_size]]</f>
        <v>20.13</v>
      </c>
      <c r="L20" s="4"/>
      <c r="M20" s="4"/>
      <c r="N20" s="4" t="s">
        <v>114</v>
      </c>
      <c r="O20" s="4" t="e">
        <f>_xlfn.XLOOKUP(Table27[[#This Row],[product_name]],#REF!,#REF!,"NOT FOUND",0,1)</f>
        <v>#REF!</v>
      </c>
    </row>
    <row r="21" spans="1:15" ht="26.4" customHeight="1">
      <c r="A21" s="4" t="s">
        <v>4196</v>
      </c>
      <c r="B21" s="4" t="s">
        <v>4194</v>
      </c>
      <c r="C21" s="5" t="s">
        <v>144</v>
      </c>
      <c r="D21" s="4" t="s">
        <v>4196</v>
      </c>
      <c r="E21" s="4"/>
      <c r="G21" s="28"/>
      <c r="I21" s="4">
        <v>12</v>
      </c>
      <c r="J21" s="38">
        <v>264</v>
      </c>
      <c r="K21" s="38">
        <f>Table27[[#This Row],[case_price]]/Table27[[#This Row],[case_size]]</f>
        <v>22</v>
      </c>
      <c r="L21" s="4"/>
      <c r="M21" s="4"/>
      <c r="N21" s="4" t="s">
        <v>4198</v>
      </c>
      <c r="O21" s="4" t="e">
        <f>_xlfn.XLOOKUP(Table27[[#This Row],[product_name]],#REF!,#REF!,"NOT FOUND",0,1)</f>
        <v>#REF!</v>
      </c>
    </row>
    <row r="22" spans="1:15" ht="26.4" customHeight="1">
      <c r="A22" s="4" t="s">
        <v>4199</v>
      </c>
      <c r="B22" s="4" t="s">
        <v>4200</v>
      </c>
      <c r="C22" s="4"/>
      <c r="D22" s="28"/>
      <c r="E22" s="4"/>
      <c r="G22" s="28"/>
      <c r="I22" s="4">
        <v>12</v>
      </c>
      <c r="J22" s="38">
        <f>570.48/2</f>
        <v>285.24</v>
      </c>
      <c r="K22" s="38">
        <f>Table27[[#This Row],[case_price]]/Table27[[#This Row],[case_size]]</f>
        <v>23.77</v>
      </c>
      <c r="L22" s="4"/>
      <c r="M22" s="4"/>
      <c r="N22" s="4" t="s">
        <v>4201</v>
      </c>
      <c r="O22" s="4" t="e">
        <f>_xlfn.XLOOKUP(Table27[[#This Row],[product_name]],#REF!,#REF!,"NOT FOUND",0,1)</f>
        <v>#REF!</v>
      </c>
    </row>
    <row r="23" spans="1:15" ht="26.4" customHeight="1">
      <c r="A23" s="4" t="s">
        <v>4202</v>
      </c>
      <c r="B23" s="4" t="s">
        <v>504</v>
      </c>
      <c r="C23" s="32" t="s">
        <v>39</v>
      </c>
      <c r="D23" s="4" t="s">
        <v>4084</v>
      </c>
      <c r="E23" s="4"/>
      <c r="G23" s="28"/>
      <c r="I23" s="4">
        <v>12</v>
      </c>
      <c r="J23" s="38">
        <v>69</v>
      </c>
      <c r="K23" s="38">
        <f>Table27[[#This Row],[case_price]]/Table27[[#This Row],[case_size]]</f>
        <v>5.75</v>
      </c>
      <c r="L23" s="4"/>
      <c r="M23" s="4"/>
      <c r="N23" s="4" t="s">
        <v>114</v>
      </c>
      <c r="O23" s="4" t="e">
        <f>_xlfn.XLOOKUP(Table27[[#This Row],[product_name]],#REF!,#REF!,"NOT FOUND",0,1)</f>
        <v>#REF!</v>
      </c>
    </row>
    <row r="24" spans="1:15" ht="26.4" customHeight="1">
      <c r="A24" s="4" t="s">
        <v>4203</v>
      </c>
      <c r="B24" s="4" t="s">
        <v>490</v>
      </c>
      <c r="C24" s="4" t="s">
        <v>24</v>
      </c>
      <c r="D24" s="4" t="s">
        <v>24</v>
      </c>
      <c r="E24" s="4"/>
      <c r="G24" s="28"/>
      <c r="I24" s="4">
        <v>6</v>
      </c>
      <c r="J24" s="38">
        <v>297</v>
      </c>
      <c r="K24" s="38">
        <f>Table27[[#This Row],[case_price]]/Table27[[#This Row],[case_size]]</f>
        <v>49.5</v>
      </c>
      <c r="L24" s="4"/>
      <c r="M24" s="4"/>
      <c r="N24" s="4" t="s">
        <v>114</v>
      </c>
      <c r="O24" s="4" t="e">
        <f>_xlfn.XLOOKUP(Table27[[#This Row],[product_name]],#REF!,#REF!,"NOT FOUND",0,1)</f>
        <v>#REF!</v>
      </c>
    </row>
    <row r="25" spans="1:15" ht="26.4" customHeight="1">
      <c r="A25" s="4" t="s">
        <v>4202</v>
      </c>
      <c r="B25" s="4" t="s">
        <v>504</v>
      </c>
      <c r="C25" s="40" t="s">
        <v>39</v>
      </c>
      <c r="D25" s="40" t="s">
        <v>39</v>
      </c>
      <c r="E25" s="4"/>
      <c r="G25" s="28"/>
      <c r="I25" s="4">
        <v>12</v>
      </c>
      <c r="J25" s="38">
        <v>409.32</v>
      </c>
      <c r="K25" s="38">
        <f>Table27[[#This Row],[case_price]]/Table27[[#This Row],[case_size]]</f>
        <v>34.11</v>
      </c>
      <c r="L25" s="4"/>
      <c r="M25" s="4"/>
      <c r="N25" s="4" t="s">
        <v>13</v>
      </c>
      <c r="O25" s="4" t="e">
        <f>_xlfn.XLOOKUP(Table27[[#This Row],[product_name]],#REF!,#REF!,"NOT FOUND",0,1)</f>
        <v>#REF!</v>
      </c>
    </row>
    <row r="26" spans="1:15" ht="26.4" customHeight="1">
      <c r="A26" s="4" t="s">
        <v>4202</v>
      </c>
      <c r="B26" s="4" t="s">
        <v>4204</v>
      </c>
      <c r="C26" s="4" t="s">
        <v>4084</v>
      </c>
      <c r="D26" s="4" t="s">
        <v>4084</v>
      </c>
      <c r="E26" s="4"/>
      <c r="G26" s="28"/>
      <c r="H26" s="4"/>
      <c r="I26" s="4">
        <v>12</v>
      </c>
      <c r="J26" s="38">
        <v>409.2</v>
      </c>
      <c r="K26" s="38">
        <f>Table27[[#This Row],[case_price]]/Table27[[#This Row],[case_size]]</f>
        <v>34.1</v>
      </c>
      <c r="L26" s="4"/>
      <c r="M26" s="4"/>
      <c r="N26" s="4" t="s">
        <v>4201</v>
      </c>
      <c r="O26" s="4" t="e">
        <f>_xlfn.XLOOKUP(Table27[[#This Row],[product_name]],#REF!,#REF!,"NOT FOUND",0,1)</f>
        <v>#REF!</v>
      </c>
    </row>
    <row r="27" spans="1:15" ht="26.4" customHeight="1">
      <c r="A27" s="4" t="s">
        <v>4202</v>
      </c>
      <c r="B27" s="4" t="s">
        <v>4204</v>
      </c>
      <c r="C27" s="4" t="s">
        <v>4084</v>
      </c>
      <c r="D27" s="4" t="s">
        <v>4084</v>
      </c>
      <c r="E27" s="4"/>
      <c r="G27" s="28"/>
      <c r="H27" s="4"/>
      <c r="I27" s="4">
        <v>12</v>
      </c>
      <c r="J27" s="38">
        <v>69</v>
      </c>
      <c r="K27" s="38">
        <f>Table27[[#This Row],[case_price]]/Table27[[#This Row],[case_size]]</f>
        <v>5.75</v>
      </c>
      <c r="L27" s="4"/>
      <c r="M27" s="4"/>
      <c r="N27" s="4" t="s">
        <v>114</v>
      </c>
      <c r="O27" s="4" t="e">
        <f>_xlfn.XLOOKUP(Table27[[#This Row],[product_name]],#REF!,#REF!,"NOT FOUND",0,1)</f>
        <v>#REF!</v>
      </c>
    </row>
    <row r="28" spans="1:15" ht="26.4" customHeight="1">
      <c r="A28" s="4" t="s">
        <v>4202</v>
      </c>
      <c r="B28" s="4" t="s">
        <v>504</v>
      </c>
      <c r="C28" s="40" t="s">
        <v>39</v>
      </c>
      <c r="D28" s="40" t="s">
        <v>39</v>
      </c>
      <c r="E28" s="40"/>
      <c r="G28" s="28"/>
      <c r="I28" s="4">
        <v>12</v>
      </c>
      <c r="J28" s="38">
        <v>216</v>
      </c>
      <c r="K28" s="38">
        <f>Table27[[#This Row],[case_price]]/Table27[[#This Row],[case_size]]</f>
        <v>18</v>
      </c>
      <c r="L28" s="4"/>
      <c r="M28" s="4"/>
      <c r="N28" s="4" t="s">
        <v>114</v>
      </c>
      <c r="O28" s="4" t="e">
        <f>_xlfn.XLOOKUP(Table27[[#This Row],[product_name]],#REF!,#REF!,"NOT FOUND",0,1)</f>
        <v>#REF!</v>
      </c>
    </row>
    <row r="29" spans="1:15" ht="26.4" customHeight="1">
      <c r="A29" s="4" t="s">
        <v>4202</v>
      </c>
      <c r="B29" s="4" t="s">
        <v>504</v>
      </c>
      <c r="C29" s="40" t="s">
        <v>39</v>
      </c>
      <c r="D29" s="40" t="s">
        <v>39</v>
      </c>
      <c r="E29" s="4"/>
      <c r="G29" s="28"/>
      <c r="I29" s="4">
        <v>12</v>
      </c>
      <c r="J29" s="38">
        <v>409.32</v>
      </c>
      <c r="K29" s="38">
        <f>Table27[[#This Row],[case_price]]/Table27[[#This Row],[case_size]]</f>
        <v>34.11</v>
      </c>
      <c r="L29" s="4"/>
      <c r="M29" s="4"/>
      <c r="N29" s="4" t="s">
        <v>13</v>
      </c>
      <c r="O29" s="4" t="e">
        <f>_xlfn.XLOOKUP(Table27[[#This Row],[product_name]],#REF!,#REF!,"NOT FOUND",0,1)</f>
        <v>#REF!</v>
      </c>
    </row>
    <row r="30" spans="1:15" ht="26.4" customHeight="1">
      <c r="A30" s="4" t="s">
        <v>4202</v>
      </c>
      <c r="B30" s="4" t="s">
        <v>4204</v>
      </c>
      <c r="C30" s="4" t="s">
        <v>4084</v>
      </c>
      <c r="D30" s="4" t="s">
        <v>4084</v>
      </c>
      <c r="E30" s="4"/>
      <c r="G30" s="28"/>
      <c r="H30" s="4"/>
      <c r="I30" s="4">
        <v>12</v>
      </c>
      <c r="J30" s="38">
        <v>69</v>
      </c>
      <c r="K30" s="38">
        <f>Table27[[#This Row],[case_price]]/Table27[[#This Row],[case_size]]</f>
        <v>5.75</v>
      </c>
      <c r="L30" s="4"/>
      <c r="M30" s="4"/>
      <c r="N30" s="4" t="s">
        <v>114</v>
      </c>
      <c r="O30" s="4" t="e">
        <f>_xlfn.XLOOKUP(Table27[[#This Row],[product_name]],#REF!,#REF!,"NOT FOUND",0,1)</f>
        <v>#REF!</v>
      </c>
    </row>
    <row r="31" spans="1:15" ht="26.4" customHeight="1">
      <c r="A31" s="4" t="s">
        <v>4202</v>
      </c>
      <c r="B31" s="4" t="s">
        <v>504</v>
      </c>
      <c r="C31" s="40" t="s">
        <v>39</v>
      </c>
      <c r="D31" s="40" t="s">
        <v>39</v>
      </c>
      <c r="E31" s="40"/>
      <c r="G31" s="28"/>
      <c r="I31" s="4">
        <v>12</v>
      </c>
      <c r="J31" s="38">
        <v>216</v>
      </c>
      <c r="K31" s="38">
        <f>Table27[[#This Row],[case_price]]/Table27[[#This Row],[case_size]]</f>
        <v>18</v>
      </c>
      <c r="L31" s="4"/>
      <c r="M31" s="4"/>
      <c r="N31" s="4" t="s">
        <v>114</v>
      </c>
      <c r="O31" s="4" t="e">
        <f>_xlfn.XLOOKUP(Table27[[#This Row],[product_name]],#REF!,#REF!,"NOT FOUND",0,1)</f>
        <v>#REF!</v>
      </c>
    </row>
    <row r="32" spans="1:15" ht="26.4" customHeight="1">
      <c r="A32" s="4" t="s">
        <v>533</v>
      </c>
      <c r="B32" s="4" t="s">
        <v>490</v>
      </c>
      <c r="C32" s="4" t="s">
        <v>4195</v>
      </c>
      <c r="D32" s="28" t="s">
        <v>27</v>
      </c>
      <c r="E32" s="4"/>
      <c r="G32" s="28"/>
      <c r="H32" s="4"/>
      <c r="I32" s="4">
        <v>12</v>
      </c>
      <c r="J32" s="38">
        <v>191.4</v>
      </c>
      <c r="K32" s="38">
        <f>Table27[[#This Row],[case_price]]/Table27[[#This Row],[case_size]]</f>
        <v>15.950000000000001</v>
      </c>
      <c r="L32" s="4"/>
      <c r="M32" s="4"/>
      <c r="N32" s="4" t="s">
        <v>220</v>
      </c>
      <c r="O32" s="4" t="e">
        <f>_xlfn.XLOOKUP(Table27[[#This Row],[product_name]],#REF!,#REF!,"NOT FOUND",0,1)</f>
        <v>#REF!</v>
      </c>
    </row>
    <row r="33" spans="1:15" ht="26.4" customHeight="1">
      <c r="A33" s="4" t="s">
        <v>603</v>
      </c>
      <c r="B33" s="4" t="s">
        <v>490</v>
      </c>
      <c r="C33" s="4" t="s">
        <v>37</v>
      </c>
      <c r="D33" s="28" t="s">
        <v>37</v>
      </c>
      <c r="E33" s="4"/>
      <c r="G33" s="28"/>
      <c r="I33" s="4">
        <v>12</v>
      </c>
      <c r="J33" s="38">
        <f>19.15*12</f>
        <v>229.79999999999998</v>
      </c>
      <c r="K33" s="38">
        <v>19.149999999999999</v>
      </c>
      <c r="L33" s="4" t="s">
        <v>4205</v>
      </c>
      <c r="M33" s="4"/>
      <c r="N33" s="4" t="s">
        <v>3770</v>
      </c>
      <c r="O33" s="4" t="e">
        <f>_xlfn.XLOOKUP(Table27[[#This Row],[product_name]],#REF!,#REF!,"NOT FOUND",0,1)</f>
        <v>#REF!</v>
      </c>
    </row>
    <row r="34" spans="1:15" ht="26.4" customHeight="1">
      <c r="A34" s="4" t="s">
        <v>499</v>
      </c>
      <c r="B34" s="4" t="s">
        <v>490</v>
      </c>
      <c r="C34" s="4" t="s">
        <v>33</v>
      </c>
      <c r="D34" s="28" t="s">
        <v>33</v>
      </c>
      <c r="E34" s="4"/>
      <c r="G34" s="28"/>
      <c r="I34" s="4">
        <v>12</v>
      </c>
      <c r="J34" s="38">
        <f>Table27[[#This Row],[case_size]]*K34</f>
        <v>303.60000000000002</v>
      </c>
      <c r="K34" s="38">
        <v>25.3</v>
      </c>
      <c r="L34" s="4" t="s">
        <v>4205</v>
      </c>
      <c r="M34" s="4"/>
      <c r="N34" s="4" t="s">
        <v>3770</v>
      </c>
      <c r="O34" s="4" t="e">
        <f>_xlfn.XLOOKUP(Table27[[#This Row],[product_name]],#REF!,#REF!,"NOT FOUND",0,1)</f>
        <v>#REF!</v>
      </c>
    </row>
    <row r="35" spans="1:15" ht="26.4" customHeight="1">
      <c r="A35" s="4" t="s">
        <v>3844</v>
      </c>
      <c r="B35" s="4" t="s">
        <v>504</v>
      </c>
      <c r="C35" s="4" t="s">
        <v>3943</v>
      </c>
      <c r="D35" s="28" t="s">
        <v>3943</v>
      </c>
      <c r="E35" s="4"/>
      <c r="G35" s="28"/>
      <c r="I35" s="4">
        <v>12</v>
      </c>
      <c r="J35" s="38">
        <v>227.76</v>
      </c>
      <c r="K35" s="38">
        <f>Table27[[#This Row],[case_price]]/Table27[[#This Row],[case_size]]</f>
        <v>18.98</v>
      </c>
      <c r="L35" s="4" t="s">
        <v>4205</v>
      </c>
      <c r="M35" s="4"/>
      <c r="N35" s="4" t="s">
        <v>3770</v>
      </c>
      <c r="O35" s="4" t="e">
        <f>_xlfn.XLOOKUP(Table27[[#This Row],[product_name]],#REF!,#REF!,"NOT FOUND",0,1)</f>
        <v>#REF!</v>
      </c>
    </row>
    <row r="36" spans="1:15" ht="26.4" customHeight="1">
      <c r="A36" s="4" t="s">
        <v>4197</v>
      </c>
      <c r="B36" s="4" t="s">
        <v>201</v>
      </c>
      <c r="C36" s="4" t="s">
        <v>133</v>
      </c>
      <c r="D36" s="4" t="s">
        <v>133</v>
      </c>
      <c r="E36" s="4"/>
      <c r="G36" s="28"/>
      <c r="I36" s="4">
        <v>12</v>
      </c>
      <c r="J36" s="38">
        <f>Table27[[#This Row],[unit_price]]*Table27[[#This Row],[case_size]]</f>
        <v>193.79999999999998</v>
      </c>
      <c r="K36" s="38">
        <v>16.149999999999999</v>
      </c>
      <c r="L36" s="4" t="s">
        <v>4206</v>
      </c>
      <c r="M36" s="4"/>
      <c r="N36" s="4" t="s">
        <v>3770</v>
      </c>
      <c r="O36" s="4" t="e">
        <f>_xlfn.XLOOKUP(Table27[[#This Row],[product_name]],#REF!,#REF!,"NOT FOUND",0,1)</f>
        <v>#REF!</v>
      </c>
    </row>
    <row r="37" spans="1:15" ht="26.4" customHeight="1">
      <c r="A37" s="4" t="s">
        <v>616</v>
      </c>
      <c r="B37" s="4" t="s">
        <v>490</v>
      </c>
      <c r="C37" s="4" t="s">
        <v>31</v>
      </c>
      <c r="D37" s="4" t="s">
        <v>31</v>
      </c>
      <c r="E37" s="4"/>
      <c r="G37" s="28"/>
      <c r="H37" s="4"/>
      <c r="I37" s="4">
        <v>12</v>
      </c>
      <c r="J37" s="38">
        <f>Table27[[#This Row],[unit_price]]*Table27[[#This Row],[case_size]]</f>
        <v>188.39999999999998</v>
      </c>
      <c r="K37" s="38">
        <v>15.7</v>
      </c>
      <c r="L37" s="4" t="s">
        <v>4215</v>
      </c>
      <c r="M37" s="4"/>
      <c r="N37" s="4" t="s">
        <v>134</v>
      </c>
      <c r="O37" s="4" t="e">
        <f>_xlfn.XLOOKUP(Table27[[#This Row],[product_name]],#REF!,#REF!,"NOT FOUND",0,1)</f>
        <v>#REF!</v>
      </c>
    </row>
    <row r="38" spans="1:15" ht="26.4" customHeight="1">
      <c r="A38" s="4" t="s">
        <v>499</v>
      </c>
      <c r="B38" s="4" t="s">
        <v>490</v>
      </c>
      <c r="C38" s="4" t="s">
        <v>33</v>
      </c>
      <c r="D38" s="28" t="s">
        <v>33</v>
      </c>
      <c r="E38" s="4"/>
      <c r="G38" s="28"/>
      <c r="I38" s="4">
        <v>6</v>
      </c>
      <c r="J38" s="38">
        <f>Table27[[#This Row],[case_size]]*K38</f>
        <v>79.38</v>
      </c>
      <c r="K38" s="38">
        <v>13.23</v>
      </c>
      <c r="L38" s="4"/>
      <c r="M38" s="4"/>
      <c r="N38" s="4" t="s">
        <v>3770</v>
      </c>
      <c r="O38" s="4" t="e">
        <f>_xlfn.XLOOKUP(Table27[[#This Row],[product_name]],#REF!,#REF!,"NOT FOUND",0,1)</f>
        <v>#REF!</v>
      </c>
    </row>
    <row r="39" spans="1:15" ht="26.4" customHeight="1">
      <c r="A39" s="4" t="s">
        <v>3844</v>
      </c>
      <c r="B39" s="4" t="s">
        <v>504</v>
      </c>
      <c r="C39" s="4" t="s">
        <v>3943</v>
      </c>
      <c r="D39" s="28" t="s">
        <v>3943</v>
      </c>
      <c r="E39" s="4"/>
      <c r="G39" s="28"/>
      <c r="I39" s="4">
        <v>12</v>
      </c>
      <c r="J39" s="38">
        <v>158.76</v>
      </c>
      <c r="K39" s="38">
        <f>Table27[[#This Row],[case_price]]/Table27[[#This Row],[case_size]]</f>
        <v>13.229999999999999</v>
      </c>
      <c r="L39" s="4" t="s">
        <v>4205</v>
      </c>
      <c r="M39" s="4"/>
      <c r="N39" s="4" t="s">
        <v>3770</v>
      </c>
      <c r="O39" s="4" t="e">
        <f>_xlfn.XLOOKUP(Table27[[#This Row],[product_name]],#REF!,#REF!,"NOT FOUND",0,1)</f>
        <v>#REF!</v>
      </c>
    </row>
    <row r="40" spans="1:15" ht="26.4" customHeight="1">
      <c r="A40" s="4" t="s">
        <v>499</v>
      </c>
      <c r="B40" s="4" t="s">
        <v>490</v>
      </c>
      <c r="C40" s="4" t="s">
        <v>33</v>
      </c>
      <c r="D40" s="28" t="s">
        <v>33</v>
      </c>
      <c r="E40" s="4"/>
      <c r="G40" s="28"/>
      <c r="H40" s="4"/>
      <c r="I40" s="4">
        <v>12</v>
      </c>
      <c r="J40" s="38">
        <v>108</v>
      </c>
      <c r="K40" s="38">
        <f>Table27[[#This Row],[case_price]]/Table27[[#This Row],[case_size]]</f>
        <v>9</v>
      </c>
      <c r="L40" s="4"/>
      <c r="M40" s="4"/>
      <c r="N40" s="4" t="s">
        <v>34</v>
      </c>
      <c r="O40" s="4" t="e">
        <f>_xlfn.XLOOKUP(Table27[[#This Row],[product_name]],#REF!,#REF!,"NOT FOUND",0,1)</f>
        <v>#REF!</v>
      </c>
    </row>
    <row r="41" spans="1:15" ht="26.4" customHeight="1">
      <c r="A41" s="4" t="s">
        <v>499</v>
      </c>
      <c r="B41" s="4" t="s">
        <v>490</v>
      </c>
      <c r="C41" s="4" t="s">
        <v>33</v>
      </c>
      <c r="D41" s="28" t="s">
        <v>33</v>
      </c>
      <c r="E41" s="4"/>
      <c r="G41" s="28"/>
      <c r="H41" s="4"/>
      <c r="I41" s="4">
        <v>12</v>
      </c>
      <c r="J41" s="38">
        <v>113.4</v>
      </c>
      <c r="K41" s="38">
        <f>Table27[[#This Row],[case_price]]/Table27[[#This Row],[case_size]]</f>
        <v>9.4500000000000011</v>
      </c>
      <c r="L41" s="4"/>
      <c r="M41" s="4"/>
      <c r="N41" s="4" t="s">
        <v>34</v>
      </c>
      <c r="O41" s="4" t="e">
        <f>_xlfn.XLOOKUP(Table27[[#This Row],[product_name]],#REF!,#REF!,"NOT FOUND",0,1)</f>
        <v>#REF!</v>
      </c>
    </row>
    <row r="42" spans="1:15" ht="26.4" customHeight="1">
      <c r="A42" s="4" t="s">
        <v>533</v>
      </c>
      <c r="B42" s="4" t="s">
        <v>490</v>
      </c>
      <c r="C42" s="4" t="s">
        <v>4195</v>
      </c>
      <c r="D42" s="28" t="s">
        <v>3394</v>
      </c>
      <c r="E42" s="4"/>
      <c r="G42" s="25"/>
      <c r="I42" s="4">
        <v>12</v>
      </c>
      <c r="J42" s="38">
        <v>222</v>
      </c>
      <c r="K42" s="38">
        <f>Table27[[#This Row],[case_price]]/Table27[[#This Row],[case_size]]</f>
        <v>18.5</v>
      </c>
      <c r="L42" s="4" t="s">
        <v>4207</v>
      </c>
      <c r="M42" s="4">
        <v>3.2</v>
      </c>
      <c r="N42" s="4" t="s">
        <v>132</v>
      </c>
      <c r="O42" s="4" t="e">
        <f>_xlfn.XLOOKUP(Table27[[#This Row],[product_name]],#REF!,#REF!,"NOT FOUND",0,1)</f>
        <v>#REF!</v>
      </c>
    </row>
    <row r="43" spans="1:15" ht="26.4" customHeight="1">
      <c r="A43" s="4" t="s">
        <v>3879</v>
      </c>
      <c r="B43" s="4" t="s">
        <v>4194</v>
      </c>
      <c r="C43" s="4" t="s">
        <v>33</v>
      </c>
      <c r="D43" s="28" t="s">
        <v>33</v>
      </c>
      <c r="E43" s="4"/>
      <c r="G43" s="28"/>
      <c r="H43" s="4"/>
      <c r="I43" s="4">
        <v>12</v>
      </c>
      <c r="J43" s="38">
        <v>240</v>
      </c>
      <c r="K43" s="38">
        <f>Table27[[#This Row],[case_price]]/Table27[[#This Row],[case_size]]</f>
        <v>20</v>
      </c>
      <c r="L43" s="4" t="s">
        <v>4207</v>
      </c>
      <c r="M43" s="4">
        <v>3.2</v>
      </c>
      <c r="N43" s="4" t="s">
        <v>4091</v>
      </c>
      <c r="O43" s="4" t="e">
        <f>_xlfn.XLOOKUP(Table27[[#This Row],[product_name]],#REF!,#REF!,"NOT FOUND",0,1)</f>
        <v>#REF!</v>
      </c>
    </row>
    <row r="44" spans="1:15" ht="26.4" customHeight="1">
      <c r="A44" s="4" t="s">
        <v>3844</v>
      </c>
      <c r="B44" s="4" t="s">
        <v>504</v>
      </c>
      <c r="C44" s="4" t="s">
        <v>3943</v>
      </c>
      <c r="D44" s="28" t="s">
        <v>3943</v>
      </c>
      <c r="E44" s="4"/>
      <c r="G44" s="28"/>
      <c r="I44" s="4">
        <v>12</v>
      </c>
      <c r="J44" s="38">
        <f>19.54*12</f>
        <v>234.48</v>
      </c>
      <c r="K44" s="38">
        <v>19.54</v>
      </c>
      <c r="L44" s="4" t="s">
        <v>4207</v>
      </c>
      <c r="M44" s="4">
        <v>3.2</v>
      </c>
      <c r="N44" s="4" t="s">
        <v>114</v>
      </c>
      <c r="O44" s="4" t="e">
        <f>_xlfn.XLOOKUP(Table27[[#This Row],[product_name]],#REF!,#REF!,"NOT FOUND",0,1)</f>
        <v>#REF!</v>
      </c>
    </row>
    <row r="45" spans="1:15" ht="26.4" customHeight="1">
      <c r="A45" s="4" t="s">
        <v>25</v>
      </c>
      <c r="B45" s="4" t="s">
        <v>490</v>
      </c>
      <c r="C45" s="4" t="s">
        <v>25</v>
      </c>
      <c r="D45" s="28" t="s">
        <v>25</v>
      </c>
      <c r="E45" s="4"/>
      <c r="G45" s="28"/>
      <c r="I45" s="4">
        <v>12</v>
      </c>
      <c r="J45" s="38">
        <v>198</v>
      </c>
      <c r="K45" s="38">
        <f>Table27[[#This Row],[case_price]]/Table27[[#This Row],[case_size]]</f>
        <v>16.5</v>
      </c>
      <c r="L45" s="4" t="s">
        <v>4207</v>
      </c>
      <c r="M45" s="4">
        <v>3.2</v>
      </c>
      <c r="N45" s="4" t="s">
        <v>4150</v>
      </c>
      <c r="O45" s="4" t="e">
        <f>_xlfn.XLOOKUP(Table27[[#This Row],[product_name]],#REF!,#REF!,"NOT FOUND",0,1)</f>
        <v>#REF!</v>
      </c>
    </row>
    <row r="46" spans="1:15" ht="26.4" customHeight="1">
      <c r="A46" s="4" t="s">
        <v>4197</v>
      </c>
      <c r="B46" s="4" t="s">
        <v>201</v>
      </c>
      <c r="C46" s="4" t="s">
        <v>133</v>
      </c>
      <c r="D46" s="4" t="s">
        <v>133</v>
      </c>
      <c r="E46" s="4"/>
      <c r="G46" s="28"/>
      <c r="I46" s="4">
        <v>12</v>
      </c>
      <c r="J46" s="38">
        <f>Table27[[#This Row],[unit_price]]*Table27[[#This Row],[case_size]]</f>
        <v>204</v>
      </c>
      <c r="K46" s="38">
        <v>17</v>
      </c>
      <c r="L46" s="4" t="s">
        <v>4207</v>
      </c>
      <c r="M46" s="4">
        <v>3.2</v>
      </c>
      <c r="N46" s="4" t="s">
        <v>134</v>
      </c>
      <c r="O46" s="4" t="e">
        <f>_xlfn.XLOOKUP(Table27[[#This Row],[product_name]],#REF!,#REF!,"NOT FOUND",0,1)</f>
        <v>#REF!</v>
      </c>
    </row>
    <row r="47" spans="1:15" ht="26.4" customHeight="1">
      <c r="A47" s="4" t="s">
        <v>533</v>
      </c>
      <c r="B47" s="4" t="s">
        <v>490</v>
      </c>
      <c r="C47" s="4" t="s">
        <v>4195</v>
      </c>
      <c r="D47" s="28" t="s">
        <v>27</v>
      </c>
      <c r="E47" s="4"/>
      <c r="G47" s="28"/>
      <c r="H47" s="4"/>
      <c r="I47" s="4">
        <v>12</v>
      </c>
      <c r="J47" s="38">
        <v>89.88</v>
      </c>
      <c r="K47" s="38">
        <f>Table27[[#This Row],[case_price]]/Table27[[#This Row],[case_size]]</f>
        <v>7.4899999999999993</v>
      </c>
      <c r="L47" s="4" t="s">
        <v>4208</v>
      </c>
      <c r="M47" s="4"/>
      <c r="N47" s="4" t="s">
        <v>21</v>
      </c>
      <c r="O47" s="4" t="e">
        <f>_xlfn.XLOOKUP(Table27[[#This Row],[product_name]],#REF!,#REF!,"NOT FOUND",0,1)</f>
        <v>#REF!</v>
      </c>
    </row>
    <row r="48" spans="1:15" ht="26.4" customHeight="1">
      <c r="A48" s="4" t="s">
        <v>499</v>
      </c>
      <c r="B48" s="4" t="s">
        <v>490</v>
      </c>
      <c r="C48" s="4" t="s">
        <v>33</v>
      </c>
      <c r="D48" s="28" t="s">
        <v>33</v>
      </c>
      <c r="E48" s="4"/>
      <c r="G48" s="28"/>
      <c r="I48" s="4">
        <v>12</v>
      </c>
      <c r="J48" s="38">
        <v>77.88</v>
      </c>
      <c r="K48" s="38">
        <f>Table27[[#This Row],[case_price]]/Table27[[#This Row],[case_size]]</f>
        <v>6.4899999999999993</v>
      </c>
      <c r="L48" s="4" t="s">
        <v>4208</v>
      </c>
      <c r="M48" s="4"/>
      <c r="N48" s="4" t="s">
        <v>4091</v>
      </c>
      <c r="O48" s="4" t="e">
        <f>_xlfn.XLOOKUP(Table27[[#This Row],[product_name]],#REF!,#REF!,"NOT FOUND",0,1)</f>
        <v>#REF!</v>
      </c>
    </row>
    <row r="49" spans="1:15" ht="26.4" customHeight="1">
      <c r="A49" s="4" t="s">
        <v>3844</v>
      </c>
      <c r="B49" s="4" t="s">
        <v>504</v>
      </c>
      <c r="C49" s="4" t="s">
        <v>3943</v>
      </c>
      <c r="D49" s="28" t="s">
        <v>3943</v>
      </c>
      <c r="E49" s="4"/>
      <c r="G49" s="28"/>
      <c r="I49" s="4">
        <v>12</v>
      </c>
      <c r="J49" s="38">
        <f>9.49*12</f>
        <v>113.88</v>
      </c>
      <c r="K49" s="38">
        <f>Table27[[#This Row],[case_price]]/Table27[[#This Row],[case_size]]</f>
        <v>9.49</v>
      </c>
      <c r="L49" s="4" t="s">
        <v>4208</v>
      </c>
      <c r="M49" s="4"/>
      <c r="N49" s="4" t="s">
        <v>114</v>
      </c>
      <c r="O49" s="4" t="e">
        <f>_xlfn.XLOOKUP(Table27[[#This Row],[product_name]],#REF!,#REF!,"NOT FOUND",0,1)</f>
        <v>#REF!</v>
      </c>
    </row>
    <row r="50" spans="1:15" ht="26.4" customHeight="1">
      <c r="A50" s="4" t="s">
        <v>3844</v>
      </c>
      <c r="B50" s="4" t="s">
        <v>504</v>
      </c>
      <c r="C50" s="4" t="s">
        <v>3943</v>
      </c>
      <c r="D50" s="28" t="s">
        <v>3943</v>
      </c>
      <c r="E50" s="4"/>
      <c r="G50" s="28"/>
      <c r="I50" s="4">
        <v>12</v>
      </c>
      <c r="J50" s="38">
        <v>132.47999999999999</v>
      </c>
      <c r="K50" s="38">
        <f>Table27[[#This Row],[case_price]]/Table27[[#This Row],[case_size]]</f>
        <v>11.04</v>
      </c>
      <c r="L50" s="4" t="s">
        <v>4208</v>
      </c>
      <c r="M50" s="4"/>
      <c r="N50" s="4" t="s">
        <v>114</v>
      </c>
      <c r="O50" s="4" t="e">
        <f>_xlfn.XLOOKUP(Table27[[#This Row],[product_name]],#REF!,#REF!,"NOT FOUND",0,1)</f>
        <v>#REF!</v>
      </c>
    </row>
    <row r="51" spans="1:15" ht="26.4" customHeight="1">
      <c r="A51" s="4" t="s">
        <v>4199</v>
      </c>
      <c r="B51" s="4" t="s">
        <v>4200</v>
      </c>
      <c r="C51" s="4"/>
      <c r="D51" s="28"/>
      <c r="E51" s="4"/>
      <c r="G51" s="28"/>
      <c r="I51" s="4">
        <v>12</v>
      </c>
      <c r="J51" s="38">
        <v>241.56</v>
      </c>
      <c r="K51" s="38">
        <f>Table27[[#This Row],[case_price]]/Table27[[#This Row],[case_size]]</f>
        <v>20.13</v>
      </c>
      <c r="L51" s="4"/>
      <c r="M51" s="4"/>
      <c r="N51" s="4" t="s">
        <v>4201</v>
      </c>
      <c r="O51" s="4" t="e">
        <f>_xlfn.XLOOKUP(Table27[[#This Row],[product_name]],#REF!,#REF!,"NOT FOUND",0,1)</f>
        <v>#REF!</v>
      </c>
    </row>
    <row r="52" spans="1:15" ht="26.4" customHeight="1">
      <c r="A52" s="4" t="s">
        <v>3879</v>
      </c>
      <c r="B52" s="4" t="s">
        <v>490</v>
      </c>
      <c r="C52" s="4" t="s">
        <v>33</v>
      </c>
      <c r="D52" s="4" t="s">
        <v>33</v>
      </c>
      <c r="E52" s="4"/>
      <c r="G52" s="25"/>
      <c r="I52" s="4">
        <v>12</v>
      </c>
      <c r="J52" s="38">
        <v>137.88</v>
      </c>
      <c r="K52" s="38">
        <f>Table27[[#This Row],[case_price]]/Table27[[#This Row],[case_size]]</f>
        <v>11.49</v>
      </c>
      <c r="L52" s="4" t="s">
        <v>4208</v>
      </c>
      <c r="M52" s="4"/>
      <c r="N52" s="4" t="s">
        <v>4091</v>
      </c>
      <c r="O52" s="4" t="e">
        <f>_xlfn.XLOOKUP(Table27[[#This Row],[product_name]],#REF!,#REF!,"NOT FOUND",0,1)</f>
        <v>#REF!</v>
      </c>
    </row>
    <row r="53" spans="1:15" ht="26.4" customHeight="1">
      <c r="A53" s="32" t="s">
        <v>19</v>
      </c>
      <c r="B53" s="4" t="s">
        <v>201</v>
      </c>
      <c r="C53" s="32" t="s">
        <v>19</v>
      </c>
      <c r="D53" s="32" t="s">
        <v>19</v>
      </c>
      <c r="E53" s="4"/>
      <c r="G53" s="28"/>
      <c r="I53" s="4" t="s">
        <v>55</v>
      </c>
      <c r="J53" s="38" t="s">
        <v>55</v>
      </c>
      <c r="K53" s="38">
        <v>10</v>
      </c>
      <c r="L53" s="4"/>
      <c r="M53" s="4"/>
      <c r="N53" s="4" t="s">
        <v>3770</v>
      </c>
      <c r="O53" s="4" t="e">
        <f>_xlfn.XLOOKUP(Table27[[#This Row],[product_name]],#REF!,#REF!,"NOT FOUND",0,1)</f>
        <v>#REF!</v>
      </c>
    </row>
    <row r="54" spans="1:15" ht="26.4" customHeight="1">
      <c r="A54" s="4" t="s">
        <v>499</v>
      </c>
      <c r="B54" s="4" t="s">
        <v>490</v>
      </c>
      <c r="C54" s="4" t="s">
        <v>33</v>
      </c>
      <c r="D54" s="28" t="s">
        <v>33</v>
      </c>
      <c r="E54" s="4"/>
      <c r="G54" s="28"/>
      <c r="I54" s="4">
        <v>12</v>
      </c>
      <c r="J54" s="38">
        <v>462</v>
      </c>
      <c r="K54" s="38">
        <f>Table27[[#This Row],[case_price]]/Table27[[#This Row],[case_size]]</f>
        <v>38.5</v>
      </c>
      <c r="L54" s="4"/>
      <c r="M54" s="4"/>
      <c r="N54" s="4" t="s">
        <v>34</v>
      </c>
      <c r="O54" s="4" t="e">
        <f>_xlfn.XLOOKUP(Table27[[#This Row],[product_name]],#REF!,#REF!,"NOT FOUND",0,1)</f>
        <v>#REF!</v>
      </c>
    </row>
    <row r="55" spans="1:15" ht="26.4" customHeight="1">
      <c r="A55" s="4" t="s">
        <v>3879</v>
      </c>
      <c r="B55" s="4" t="s">
        <v>490</v>
      </c>
      <c r="C55" s="4" t="s">
        <v>33</v>
      </c>
      <c r="D55" s="4" t="s">
        <v>33</v>
      </c>
      <c r="E55" s="4"/>
      <c r="G55" s="28"/>
      <c r="I55" s="4">
        <v>12</v>
      </c>
      <c r="J55" s="38">
        <v>840</v>
      </c>
      <c r="K55" s="38">
        <f>Table27[[#This Row],[case_price]]/Table27[[#This Row],[case_size]]</f>
        <v>70</v>
      </c>
      <c r="L55" s="4" t="s">
        <v>4209</v>
      </c>
      <c r="M55" s="4"/>
      <c r="N55" s="4" t="s">
        <v>4091</v>
      </c>
      <c r="O55" s="4" t="e">
        <f>_xlfn.XLOOKUP(Table27[[#This Row],[product_name]],#REF!,#REF!,"NOT FOUND",0,1)</f>
        <v>#REF!</v>
      </c>
    </row>
    <row r="56" spans="1:15" ht="26.4" customHeight="1">
      <c r="A56" s="4" t="s">
        <v>3879</v>
      </c>
      <c r="B56" s="4" t="s">
        <v>490</v>
      </c>
      <c r="C56" s="4" t="s">
        <v>33</v>
      </c>
      <c r="D56" s="4" t="s">
        <v>33</v>
      </c>
      <c r="E56" s="4"/>
      <c r="G56" s="28"/>
      <c r="I56" s="4">
        <v>12</v>
      </c>
      <c r="J56" s="38">
        <v>231</v>
      </c>
      <c r="K56" s="38">
        <f>Table27[[#This Row],[case_price]]/Table27[[#This Row],[case_size]]</f>
        <v>19.25</v>
      </c>
      <c r="L56" s="4"/>
      <c r="M56" s="4"/>
      <c r="N56" s="4" t="s">
        <v>4091</v>
      </c>
      <c r="O56" s="4" t="e">
        <f>_xlfn.XLOOKUP(Table27[[#This Row],[product_name]],#REF!,#REF!,"NOT FOUND",0,1)</f>
        <v>#REF!</v>
      </c>
    </row>
    <row r="57" spans="1:15" ht="26.4" customHeight="1">
      <c r="A57" s="4" t="s">
        <v>499</v>
      </c>
      <c r="B57" s="4" t="s">
        <v>490</v>
      </c>
      <c r="C57" s="4" t="s">
        <v>33</v>
      </c>
      <c r="D57" s="28" t="s">
        <v>33</v>
      </c>
      <c r="E57" s="4"/>
      <c r="G57" s="28"/>
      <c r="H57" s="4"/>
      <c r="I57" s="4">
        <v>12</v>
      </c>
      <c r="J57" s="38">
        <v>159</v>
      </c>
      <c r="K57" s="38">
        <f>Table27[[#This Row],[case_price]]/Table27[[#This Row],[case_size]]</f>
        <v>13.25</v>
      </c>
      <c r="L57" s="4"/>
      <c r="M57" s="4"/>
      <c r="N57" s="4" t="s">
        <v>4091</v>
      </c>
      <c r="O57" s="4" t="e">
        <f>_xlfn.XLOOKUP(Table27[[#This Row],[product_name]],#REF!,#REF!,"NOT FOUND",0,1)</f>
        <v>#REF!</v>
      </c>
    </row>
    <row r="58" spans="1:15" ht="26.4" customHeight="1">
      <c r="A58" s="4" t="s">
        <v>3844</v>
      </c>
      <c r="B58" s="4" t="s">
        <v>504</v>
      </c>
      <c r="C58" s="4" t="s">
        <v>3943</v>
      </c>
      <c r="D58" s="28" t="s">
        <v>3943</v>
      </c>
      <c r="E58" s="4"/>
      <c r="G58" s="28"/>
      <c r="I58" s="4">
        <v>12</v>
      </c>
      <c r="J58" s="38">
        <f>6.43*12</f>
        <v>77.16</v>
      </c>
      <c r="K58" s="38">
        <f>Table27[[#This Row],[case_price]]/Table27[[#This Row],[case_size]]</f>
        <v>6.43</v>
      </c>
      <c r="L58" s="4" t="s">
        <v>4208</v>
      </c>
      <c r="M58" s="4"/>
      <c r="N58" s="4" t="s">
        <v>114</v>
      </c>
      <c r="O58" s="4" t="e">
        <f>_xlfn.XLOOKUP(Table27[[#This Row],[product_name]],#REF!,#REF!,"NOT FOUND",0,1)</f>
        <v>#REF!</v>
      </c>
    </row>
    <row r="59" spans="1:15" ht="26.4" customHeight="1">
      <c r="A59" s="4" t="s">
        <v>533</v>
      </c>
      <c r="B59" s="4" t="s">
        <v>490</v>
      </c>
      <c r="C59" s="4" t="s">
        <v>4195</v>
      </c>
      <c r="D59" s="28" t="s">
        <v>27</v>
      </c>
      <c r="E59" s="4"/>
      <c r="G59" s="28"/>
      <c r="I59" s="4">
        <v>24</v>
      </c>
      <c r="J59" s="38">
        <v>202.8</v>
      </c>
      <c r="K59" s="38">
        <f>Table27[[#This Row],[case_price]]/Table27[[#This Row],[case_size]]</f>
        <v>8.4500000000000011</v>
      </c>
      <c r="L59" s="4" t="s">
        <v>4208</v>
      </c>
      <c r="M59" s="4"/>
      <c r="N59" s="4" t="s">
        <v>21</v>
      </c>
      <c r="O59" s="4" t="e">
        <f>_xlfn.XLOOKUP(Table27[[#This Row],[product_name]],#REF!,#REF!,"NOT FOUND",0,1)</f>
        <v>#REF!</v>
      </c>
    </row>
    <row r="60" spans="1:15" ht="26.4" customHeight="1">
      <c r="A60" s="4" t="s">
        <v>3879</v>
      </c>
      <c r="B60" s="4" t="s">
        <v>490</v>
      </c>
      <c r="C60" s="4" t="s">
        <v>33</v>
      </c>
      <c r="D60" s="4" t="s">
        <v>33</v>
      </c>
      <c r="E60" s="4"/>
      <c r="G60" s="28"/>
      <c r="I60" s="4">
        <v>12</v>
      </c>
      <c r="J60" s="38">
        <v>65.400000000000006</v>
      </c>
      <c r="K60" s="38">
        <f>Table27[[#This Row],[case_price]]/Table27[[#This Row],[case_size]]</f>
        <v>5.45</v>
      </c>
      <c r="L60" s="4"/>
      <c r="M60" s="4"/>
      <c r="N60" s="4" t="s">
        <v>4091</v>
      </c>
      <c r="O60" s="4" t="e">
        <f>_xlfn.XLOOKUP(Table27[[#This Row],[product_name]],#REF!,#REF!,"NOT FOUND",0,1)</f>
        <v>#REF!</v>
      </c>
    </row>
    <row r="61" spans="1:15" ht="26.4" customHeight="1">
      <c r="A61" s="4" t="s">
        <v>3844</v>
      </c>
      <c r="B61" s="4" t="s">
        <v>504</v>
      </c>
      <c r="C61" s="4" t="s">
        <v>3943</v>
      </c>
      <c r="D61" s="28" t="s">
        <v>3943</v>
      </c>
      <c r="E61" s="4"/>
      <c r="G61" s="28"/>
      <c r="I61" s="4">
        <v>12</v>
      </c>
      <c r="J61" s="38">
        <v>89.4</v>
      </c>
      <c r="K61" s="38">
        <f>Table27[[#This Row],[case_price]]/Table27[[#This Row],[case_size]]</f>
        <v>7.45</v>
      </c>
      <c r="L61" s="4" t="s">
        <v>4208</v>
      </c>
      <c r="M61" s="4"/>
      <c r="N61" s="4" t="s">
        <v>114</v>
      </c>
      <c r="O61" s="4" t="e">
        <f>_xlfn.XLOOKUP(Table27[[#This Row],[product_name]],#REF!,#REF!,"NOT FOUND",0,1)</f>
        <v>#REF!</v>
      </c>
    </row>
    <row r="62" spans="1:15" ht="26.4" customHeight="1">
      <c r="A62" s="4" t="s">
        <v>499</v>
      </c>
      <c r="B62" s="4" t="s">
        <v>490</v>
      </c>
      <c r="C62" s="4" t="s">
        <v>33</v>
      </c>
      <c r="D62" s="28" t="s">
        <v>33</v>
      </c>
      <c r="E62" s="4"/>
      <c r="G62" s="28"/>
      <c r="I62" s="4">
        <v>12</v>
      </c>
      <c r="J62" s="38">
        <f>Table27[[#This Row],[case_size]]*K62</f>
        <v>107.88</v>
      </c>
      <c r="K62" s="38">
        <v>8.99</v>
      </c>
      <c r="L62" s="4" t="s">
        <v>4208</v>
      </c>
      <c r="M62" s="4"/>
      <c r="N62" s="4" t="s">
        <v>4091</v>
      </c>
      <c r="O62" s="4" t="e">
        <f>_xlfn.XLOOKUP(Table27[[#This Row],[product_name]],#REF!,#REF!,"NOT FOUND",0,1)</f>
        <v>#REF!</v>
      </c>
    </row>
    <row r="63" spans="1:15" ht="26.4" customHeight="1">
      <c r="A63" s="4" t="s">
        <v>499</v>
      </c>
      <c r="B63" s="4" t="s">
        <v>490</v>
      </c>
      <c r="C63" s="4" t="s">
        <v>33</v>
      </c>
      <c r="D63" s="28" t="s">
        <v>33</v>
      </c>
      <c r="E63" s="4"/>
      <c r="G63" s="28"/>
      <c r="I63" s="4">
        <v>12</v>
      </c>
      <c r="J63" s="38">
        <v>77.88</v>
      </c>
      <c r="K63" s="38">
        <f>Table27[[#This Row],[case_price]]/Table27[[#This Row],[case_size]]</f>
        <v>6.4899999999999993</v>
      </c>
      <c r="L63" s="4" t="s">
        <v>4208</v>
      </c>
      <c r="M63" s="4"/>
      <c r="N63" s="4" t="s">
        <v>4091</v>
      </c>
      <c r="O63" s="4" t="e">
        <f>_xlfn.XLOOKUP(Table27[[#This Row],[product_name]],#REF!,#REF!,"NOT FOUND",0,1)</f>
        <v>#REF!</v>
      </c>
    </row>
    <row r="64" spans="1:15" ht="26.4" customHeight="1">
      <c r="A64" s="4" t="s">
        <v>499</v>
      </c>
      <c r="B64" s="4" t="s">
        <v>490</v>
      </c>
      <c r="C64" s="4" t="s">
        <v>33</v>
      </c>
      <c r="D64" s="28" t="s">
        <v>33</v>
      </c>
      <c r="E64" s="4"/>
      <c r="G64" s="28"/>
      <c r="H64" s="4"/>
      <c r="I64" s="4">
        <v>12</v>
      </c>
      <c r="J64" s="38">
        <v>324</v>
      </c>
      <c r="K64" s="38">
        <f>Table27[[#This Row],[case_price]]/Table27[[#This Row],[case_size]]</f>
        <v>27</v>
      </c>
      <c r="L64" s="4"/>
      <c r="M64" s="4"/>
      <c r="N64" s="4" t="s">
        <v>4091</v>
      </c>
      <c r="O64" s="4" t="e">
        <f>_xlfn.XLOOKUP(Table27[[#This Row],[product_name]],#REF!,#REF!,"NOT FOUND",0,1)</f>
        <v>#REF!</v>
      </c>
    </row>
    <row r="65" spans="1:15" ht="26.4" customHeight="1">
      <c r="A65" s="4" t="s">
        <v>4210</v>
      </c>
      <c r="B65" s="4" t="s">
        <v>504</v>
      </c>
      <c r="C65" s="4"/>
      <c r="D65" s="28"/>
      <c r="E65" s="4"/>
      <c r="G65" s="28"/>
      <c r="H65" s="4"/>
      <c r="I65" s="4">
        <v>6</v>
      </c>
      <c r="J65" s="38">
        <v>250.86</v>
      </c>
      <c r="K65" s="38">
        <f>Table27[[#This Row],[case_price]]/Table27[[#This Row],[case_size]]</f>
        <v>41.81</v>
      </c>
      <c r="L65" s="4"/>
      <c r="M65" s="4"/>
      <c r="N65" s="4" t="s">
        <v>13</v>
      </c>
      <c r="O65" s="4" t="e">
        <f>_xlfn.XLOOKUP(Table27[[#This Row],[product_name]],#REF!,#REF!,"NOT FOUND",0,1)</f>
        <v>#REF!</v>
      </c>
    </row>
    <row r="66" spans="1:15" ht="26.4" customHeight="1">
      <c r="A66" s="4" t="s">
        <v>4210</v>
      </c>
      <c r="B66" s="4" t="s">
        <v>504</v>
      </c>
      <c r="C66" s="4"/>
      <c r="D66" s="28"/>
      <c r="E66" s="4"/>
      <c r="G66" s="28"/>
      <c r="H66" s="4"/>
      <c r="I66" s="4">
        <v>6</v>
      </c>
      <c r="J66" s="38">
        <v>250.86</v>
      </c>
      <c r="K66" s="38">
        <f>Table27[[#This Row],[case_price]]/Table27[[#This Row],[case_size]]</f>
        <v>41.81</v>
      </c>
      <c r="L66" s="4"/>
      <c r="M66" s="4"/>
      <c r="N66" s="4" t="s">
        <v>13</v>
      </c>
      <c r="O66" s="4" t="e">
        <f>_xlfn.XLOOKUP(Table27[[#This Row],[product_name]],#REF!,#REF!,"NOT FOUND",0,1)</f>
        <v>#REF!</v>
      </c>
    </row>
    <row r="67" spans="1:15" ht="26.4" customHeight="1">
      <c r="A67" s="4" t="s">
        <v>499</v>
      </c>
      <c r="B67" s="4" t="s">
        <v>490</v>
      </c>
      <c r="C67" s="4" t="s">
        <v>33</v>
      </c>
      <c r="D67" s="28" t="s">
        <v>33</v>
      </c>
      <c r="E67" s="4"/>
      <c r="G67" s="28"/>
      <c r="I67" s="4">
        <v>12</v>
      </c>
      <c r="J67" s="38">
        <v>77.400000000000006</v>
      </c>
      <c r="K67" s="38">
        <f>Table27[[#This Row],[case_price]]/Table27[[#This Row],[case_size]]</f>
        <v>6.45</v>
      </c>
      <c r="L67" s="4"/>
      <c r="M67" s="4"/>
      <c r="N67" s="4" t="s">
        <v>4091</v>
      </c>
      <c r="O67" s="4" t="e">
        <f>_xlfn.XLOOKUP(Table27[[#This Row],[product_name]],#REF!,#REF!,"NOT FOUND",0,1)</f>
        <v>#REF!</v>
      </c>
    </row>
    <row r="68" spans="1:15" ht="26.4" customHeight="1">
      <c r="A68" s="4" t="s">
        <v>533</v>
      </c>
      <c r="B68" s="4" t="s">
        <v>490</v>
      </c>
      <c r="C68" s="4" t="s">
        <v>4195</v>
      </c>
      <c r="D68" s="28" t="s">
        <v>27</v>
      </c>
      <c r="E68" s="4"/>
      <c r="G68" s="28"/>
      <c r="I68" s="4">
        <v>12</v>
      </c>
      <c r="J68" s="38">
        <f>Table27[[#This Row],[unit_price]]*Table27[[#This Row],[case_size]]</f>
        <v>74.28</v>
      </c>
      <c r="K68" s="38">
        <f>74.28/12</f>
        <v>6.19</v>
      </c>
      <c r="L68" s="4"/>
      <c r="M68" s="4"/>
      <c r="N68" s="4" t="s">
        <v>132</v>
      </c>
      <c r="O68" s="4" t="e">
        <f>_xlfn.XLOOKUP(Table27[[#This Row],[product_name]],#REF!,#REF!,"NOT FOUND",0,1)</f>
        <v>#REF!</v>
      </c>
    </row>
    <row r="69" spans="1:15" ht="26.4" customHeight="1">
      <c r="A69" s="4" t="s">
        <v>3844</v>
      </c>
      <c r="B69" s="4" t="s">
        <v>504</v>
      </c>
      <c r="C69" s="4" t="s">
        <v>3943</v>
      </c>
      <c r="D69" s="28" t="s">
        <v>3943</v>
      </c>
      <c r="E69" s="4"/>
      <c r="G69" s="28"/>
      <c r="I69" s="4">
        <v>12</v>
      </c>
      <c r="J69" s="38">
        <v>100.08</v>
      </c>
      <c r="K69" s="38">
        <f>Table27[[#This Row],[case_price]]/Table27[[#This Row],[case_size]]</f>
        <v>8.34</v>
      </c>
      <c r="L69" s="4"/>
      <c r="M69" s="4"/>
      <c r="N69" s="4" t="s">
        <v>114</v>
      </c>
      <c r="O69" s="4" t="e">
        <f>_xlfn.XLOOKUP(Table27[[#This Row],[product_name]],#REF!,#REF!,"NOT FOUND",0,1)</f>
        <v>#REF!</v>
      </c>
    </row>
    <row r="70" spans="1:15" ht="26.4" customHeight="1">
      <c r="A70" s="4" t="s">
        <v>3844</v>
      </c>
      <c r="B70" s="4" t="s">
        <v>4200</v>
      </c>
      <c r="C70" s="4"/>
      <c r="D70" s="28"/>
      <c r="E70" s="4"/>
      <c r="G70" s="28"/>
      <c r="I70" s="4">
        <v>6</v>
      </c>
      <c r="J70" s="38">
        <v>112.86</v>
      </c>
      <c r="K70" s="38">
        <f>Table27[[#This Row],[case_price]]/Table27[[#This Row],[case_size]]</f>
        <v>18.809999999999999</v>
      </c>
      <c r="L70" s="4"/>
      <c r="M70" s="4"/>
      <c r="N70" s="4" t="s">
        <v>114</v>
      </c>
      <c r="O70" s="4" t="e">
        <f>_xlfn.XLOOKUP(Table27[[#This Row],[product_name]],#REF!,#REF!,"NOT FOUND",0,1)</f>
        <v>#REF!</v>
      </c>
    </row>
    <row r="71" spans="1:15" ht="26.4" customHeight="1">
      <c r="A71" s="4" t="s">
        <v>533</v>
      </c>
      <c r="B71" s="4" t="s">
        <v>490</v>
      </c>
      <c r="C71" s="4" t="s">
        <v>4195</v>
      </c>
      <c r="D71" s="28" t="s">
        <v>27</v>
      </c>
      <c r="E71" s="4"/>
      <c r="G71" s="28"/>
      <c r="I71" s="4">
        <v>12</v>
      </c>
      <c r="J71" s="38">
        <v>240</v>
      </c>
      <c r="K71" s="38">
        <f>Table27[[#This Row],[case_price]]/Table27[[#This Row],[case_size]]</f>
        <v>20</v>
      </c>
      <c r="L71" s="4" t="s">
        <v>4207</v>
      </c>
      <c r="M71" s="4">
        <v>3.2</v>
      </c>
      <c r="N71" s="4" t="s">
        <v>132</v>
      </c>
      <c r="O71" s="4" t="e">
        <f>_xlfn.XLOOKUP(Table27[[#This Row],[product_name]],#REF!,#REF!,"NOT FOUND",0,1)</f>
        <v>#REF!</v>
      </c>
    </row>
    <row r="72" spans="1:15" ht="26.4" customHeight="1">
      <c r="A72" s="4" t="s">
        <v>603</v>
      </c>
      <c r="B72" s="4" t="s">
        <v>490</v>
      </c>
      <c r="C72" s="4" t="s">
        <v>37</v>
      </c>
      <c r="D72" s="28" t="s">
        <v>37</v>
      </c>
      <c r="E72" s="4"/>
      <c r="G72" s="28"/>
      <c r="I72" s="4">
        <v>12</v>
      </c>
      <c r="J72" s="38">
        <f>Table27[[#This Row],[case_size]]*K72</f>
        <v>276</v>
      </c>
      <c r="K72" s="38">
        <v>23</v>
      </c>
      <c r="L72" s="4" t="s">
        <v>4207</v>
      </c>
      <c r="M72" s="4">
        <v>3.2</v>
      </c>
      <c r="N72" s="4" t="s">
        <v>170</v>
      </c>
      <c r="O72" s="4" t="e">
        <f>_xlfn.XLOOKUP(Table27[[#This Row],[product_name]],#REF!,#REF!,"NOT FOUND",0,1)</f>
        <v>#REF!</v>
      </c>
    </row>
    <row r="73" spans="1:15" ht="26.4" customHeight="1">
      <c r="A73" s="4" t="s">
        <v>499</v>
      </c>
      <c r="B73" s="4" t="s">
        <v>490</v>
      </c>
      <c r="C73" s="4" t="s">
        <v>33</v>
      </c>
      <c r="D73" s="28" t="s">
        <v>33</v>
      </c>
      <c r="E73" s="4"/>
      <c r="G73" s="28"/>
      <c r="I73" s="4">
        <v>12</v>
      </c>
      <c r="J73" s="38">
        <f>Table27[[#This Row],[case_size]]*K73</f>
        <v>264</v>
      </c>
      <c r="K73" s="38">
        <v>22</v>
      </c>
      <c r="L73" s="4" t="s">
        <v>4207</v>
      </c>
      <c r="M73" s="4">
        <v>3.2</v>
      </c>
      <c r="N73" s="4" t="s">
        <v>4091</v>
      </c>
      <c r="O73" s="4" t="e">
        <f>_xlfn.XLOOKUP(Table27[[#This Row],[product_name]],#REF!,#REF!,"NOT FOUND",0,1)</f>
        <v>#REF!</v>
      </c>
    </row>
    <row r="74" spans="1:15" ht="26.4" customHeight="1">
      <c r="A74" s="4" t="s">
        <v>3844</v>
      </c>
      <c r="B74" s="4" t="s">
        <v>504</v>
      </c>
      <c r="C74" s="4" t="s">
        <v>3943</v>
      </c>
      <c r="D74" s="28" t="s">
        <v>3943</v>
      </c>
      <c r="E74" s="4"/>
      <c r="G74" s="28"/>
      <c r="I74" s="4">
        <v>12</v>
      </c>
      <c r="J74" s="38">
        <v>303.48</v>
      </c>
      <c r="K74" s="38">
        <f>Table27[[#This Row],[case_price]]/Table27[[#This Row],[case_size]]</f>
        <v>25.290000000000003</v>
      </c>
      <c r="L74" s="4" t="s">
        <v>4207</v>
      </c>
      <c r="M74" s="4">
        <v>3.2</v>
      </c>
      <c r="N74" s="4" t="s">
        <v>114</v>
      </c>
      <c r="O74" s="4" t="e">
        <f>_xlfn.XLOOKUP(Table27[[#This Row],[product_name]],#REF!,#REF!,"NOT FOUND",0,1)</f>
        <v>#REF!</v>
      </c>
    </row>
    <row r="75" spans="1:15" ht="26.4" customHeight="1">
      <c r="A75" s="4" t="s">
        <v>4196</v>
      </c>
      <c r="B75" s="4" t="s">
        <v>4194</v>
      </c>
      <c r="C75" s="5" t="s">
        <v>144</v>
      </c>
      <c r="D75" s="4" t="s">
        <v>4196</v>
      </c>
      <c r="E75" s="4"/>
      <c r="G75" s="28"/>
      <c r="I75" s="4">
        <v>12</v>
      </c>
      <c r="J75" s="38">
        <v>264</v>
      </c>
      <c r="K75" s="38">
        <f>Table27[[#This Row],[case_price]]/Table27[[#This Row],[case_size]]</f>
        <v>22</v>
      </c>
      <c r="L75" s="4" t="s">
        <v>4207</v>
      </c>
      <c r="M75" s="4">
        <v>3.2</v>
      </c>
      <c r="N75" s="4" t="s">
        <v>4198</v>
      </c>
      <c r="O75" s="4" t="e">
        <f>_xlfn.XLOOKUP(Table27[[#This Row],[product_name]],#REF!,#REF!,"NOT FOUND",0,1)</f>
        <v>#REF!</v>
      </c>
    </row>
    <row r="76" spans="1:15" ht="26.4" customHeight="1">
      <c r="A76" s="32" t="s">
        <v>19</v>
      </c>
      <c r="B76" s="4" t="s">
        <v>201</v>
      </c>
      <c r="C76" s="32" t="s">
        <v>19</v>
      </c>
      <c r="D76" s="32" t="s">
        <v>19</v>
      </c>
      <c r="E76" s="4"/>
      <c r="G76" s="28"/>
      <c r="I76" s="4" t="s">
        <v>55</v>
      </c>
      <c r="J76" s="38" t="s">
        <v>55</v>
      </c>
      <c r="K76" s="38">
        <v>21.99</v>
      </c>
      <c r="L76" s="4"/>
      <c r="M76" s="4"/>
      <c r="N76" s="4" t="s">
        <v>3770</v>
      </c>
      <c r="O76" s="4" t="e">
        <f>_xlfn.XLOOKUP(Table27[[#This Row],[product_name]],#REF!,#REF!,"NOT FOUND",0,1)</f>
        <v>#REF!</v>
      </c>
    </row>
    <row r="77" spans="1:15" ht="26.4" customHeight="1">
      <c r="A77" s="4" t="s">
        <v>4197</v>
      </c>
      <c r="B77" s="4" t="s">
        <v>201</v>
      </c>
      <c r="C77" s="4" t="s">
        <v>133</v>
      </c>
      <c r="D77" s="4" t="s">
        <v>133</v>
      </c>
      <c r="E77" s="4"/>
      <c r="G77" s="28"/>
      <c r="I77" s="4">
        <v>12</v>
      </c>
      <c r="J77" s="38">
        <f>Table27[[#This Row],[unit_price]]*Table27[[#This Row],[case_size]]</f>
        <v>255</v>
      </c>
      <c r="K77" s="38">
        <v>21.25</v>
      </c>
      <c r="L77" s="4" t="s">
        <v>4207</v>
      </c>
      <c r="M77" s="4">
        <v>3.2</v>
      </c>
      <c r="N77" s="4" t="s">
        <v>134</v>
      </c>
      <c r="O77" s="4" t="e">
        <f>_xlfn.XLOOKUP(Table27[[#This Row],[product_name]],#REF!,#REF!,"NOT FOUND",0,1)</f>
        <v>#REF!</v>
      </c>
    </row>
    <row r="78" spans="1:15" ht="26.4" customHeight="1">
      <c r="A78" s="4" t="s">
        <v>616</v>
      </c>
      <c r="B78" s="4" t="s">
        <v>490</v>
      </c>
      <c r="C78" s="4" t="s">
        <v>31</v>
      </c>
      <c r="D78" s="28" t="s">
        <v>31</v>
      </c>
      <c r="E78" s="4"/>
      <c r="G78" s="28"/>
      <c r="I78" s="4">
        <v>12</v>
      </c>
      <c r="J78" s="38">
        <f>Table27[[#This Row],[unit_price]]*Table27[[#This Row],[case_size]]</f>
        <v>222</v>
      </c>
      <c r="K78" s="38">
        <v>18.5</v>
      </c>
      <c r="L78" s="4" t="s">
        <v>4205</v>
      </c>
      <c r="M78" s="4"/>
      <c r="N78" s="4" t="s">
        <v>220</v>
      </c>
      <c r="O78" s="4" t="e">
        <f>_xlfn.XLOOKUP(Table27[[#This Row],[product_name]],#REF!,#REF!,"NOT FOUND",0,1)</f>
        <v>#REF!</v>
      </c>
    </row>
    <row r="79" spans="1:15" ht="26.4" customHeight="1">
      <c r="A79" s="4" t="s">
        <v>4211</v>
      </c>
      <c r="B79" s="4" t="s">
        <v>201</v>
      </c>
      <c r="C79" s="4" t="s">
        <v>9</v>
      </c>
      <c r="D79" s="4" t="s">
        <v>9</v>
      </c>
      <c r="E79" s="4"/>
      <c r="G79" s="28"/>
      <c r="I79" s="4">
        <v>12</v>
      </c>
      <c r="J79" s="38">
        <v>139.56</v>
      </c>
      <c r="K79" s="38">
        <f>Table27[[#This Row],[case_price]]/Table27[[#This Row],[case_size]]</f>
        <v>11.63</v>
      </c>
      <c r="L79" s="4" t="s">
        <v>4208</v>
      </c>
      <c r="M79" s="4"/>
      <c r="N79" s="4" t="s">
        <v>18</v>
      </c>
      <c r="O79" s="4" t="e">
        <f>_xlfn.XLOOKUP(Table27[[#This Row],[product_name]],#REF!,#REF!,"NOT FOUND",0,1)</f>
        <v>#REF!</v>
      </c>
    </row>
    <row r="80" spans="1:15" ht="26.4" customHeight="1">
      <c r="A80" s="4" t="s">
        <v>533</v>
      </c>
      <c r="B80" s="4" t="s">
        <v>490</v>
      </c>
      <c r="C80" s="4" t="s">
        <v>4195</v>
      </c>
      <c r="D80" s="28" t="s">
        <v>27</v>
      </c>
      <c r="E80" s="4"/>
      <c r="G80" s="28"/>
      <c r="I80" s="4">
        <v>12</v>
      </c>
      <c r="J80" s="38">
        <v>252</v>
      </c>
      <c r="K80" s="38">
        <f>Table27[[#This Row],[case_price]]/Table27[[#This Row],[case_size]]</f>
        <v>21</v>
      </c>
      <c r="L80" s="4"/>
      <c r="M80" s="4"/>
      <c r="N80" s="4" t="s">
        <v>21</v>
      </c>
      <c r="O80" s="4" t="e">
        <f>_xlfn.XLOOKUP(Table27[[#This Row],[product_name]],#REF!,#REF!,"NOT FOUND",0,1)</f>
        <v>#REF!</v>
      </c>
    </row>
    <row r="81" spans="1:15" ht="26.4" customHeight="1">
      <c r="A81" s="4" t="s">
        <v>3844</v>
      </c>
      <c r="B81" s="4" t="s">
        <v>504</v>
      </c>
      <c r="C81" s="4"/>
      <c r="D81" s="28"/>
      <c r="E81" s="4"/>
      <c r="G81" s="28"/>
      <c r="I81" s="4">
        <v>12</v>
      </c>
      <c r="J81" s="38">
        <v>303.60000000000002</v>
      </c>
      <c r="K81" s="38">
        <f>Table27[[#This Row],[case_price]]/Table27[[#This Row],[case_size]]</f>
        <v>25.3</v>
      </c>
      <c r="L81" s="4"/>
      <c r="M81" s="4"/>
      <c r="N81" s="4" t="s">
        <v>13</v>
      </c>
      <c r="O81" s="4" t="e">
        <f>_xlfn.XLOOKUP(Table27[[#This Row],[product_name]],#REF!,#REF!,"NOT FOUND",0,1)</f>
        <v>#REF!</v>
      </c>
    </row>
    <row r="82" spans="1:15" ht="26.4" customHeight="1">
      <c r="A82" s="4" t="s">
        <v>4196</v>
      </c>
      <c r="B82" s="4" t="s">
        <v>4194</v>
      </c>
      <c r="C82" s="5" t="s">
        <v>144</v>
      </c>
      <c r="D82" s="4" t="s">
        <v>4196</v>
      </c>
      <c r="E82" s="4"/>
      <c r="G82" s="28"/>
      <c r="I82" s="4">
        <v>12</v>
      </c>
      <c r="J82" s="38">
        <v>264</v>
      </c>
      <c r="K82" s="38">
        <f>Table27[[#This Row],[case_price]]/Table27[[#This Row],[case_size]]</f>
        <v>22</v>
      </c>
      <c r="L82" s="4"/>
      <c r="M82" s="4"/>
      <c r="N82" s="4" t="s">
        <v>4212</v>
      </c>
      <c r="O82" s="4" t="e">
        <f>_xlfn.XLOOKUP(Table27[[#This Row],[product_name]],#REF!,#REF!,"NOT FOUND",0,1)</f>
        <v>#REF!</v>
      </c>
    </row>
    <row r="83" spans="1:15" ht="26.4" customHeight="1">
      <c r="A83" s="32" t="s">
        <v>19</v>
      </c>
      <c r="B83" s="4" t="s">
        <v>201</v>
      </c>
      <c r="C83" s="32" t="s">
        <v>19</v>
      </c>
      <c r="D83" s="32" t="s">
        <v>19</v>
      </c>
      <c r="E83" s="4"/>
      <c r="G83" s="28"/>
      <c r="I83" s="4" t="s">
        <v>55</v>
      </c>
      <c r="J83" s="38" t="s">
        <v>55</v>
      </c>
      <c r="K83" s="38">
        <v>15</v>
      </c>
      <c r="L83" s="4"/>
      <c r="M83" s="4"/>
      <c r="N83" s="4" t="s">
        <v>3770</v>
      </c>
      <c r="O83" s="4" t="e">
        <f>_xlfn.XLOOKUP(Table27[[#This Row],[product_name]],#REF!,#REF!,"NOT FOUND",0,1)</f>
        <v>#REF!</v>
      </c>
    </row>
    <row r="84" spans="1:15" ht="26.4" customHeight="1">
      <c r="A84" s="4" t="s">
        <v>2362</v>
      </c>
      <c r="B84" s="4" t="s">
        <v>490</v>
      </c>
      <c r="C84" s="4" t="s">
        <v>2362</v>
      </c>
      <c r="D84" s="4" t="s">
        <v>2362</v>
      </c>
      <c r="E84" s="4"/>
      <c r="G84" s="28"/>
      <c r="I84" s="4">
        <v>12</v>
      </c>
      <c r="J84" s="38">
        <v>240</v>
      </c>
      <c r="K84" s="38">
        <f>Table27[[#This Row],[case_price]]/Table27[[#This Row],[case_size]]</f>
        <v>20</v>
      </c>
      <c r="L84" s="4"/>
      <c r="M84" s="4"/>
      <c r="N84" s="4" t="s">
        <v>135</v>
      </c>
      <c r="O84" s="4" t="e">
        <f>_xlfn.XLOOKUP(Table27[[#This Row],[product_name]],#REF!,#REF!,"NOT FOUND",0,1)</f>
        <v>#REF!</v>
      </c>
    </row>
    <row r="85" spans="1:15" ht="26.4" customHeight="1">
      <c r="A85" s="4" t="s">
        <v>616</v>
      </c>
      <c r="B85" s="4" t="s">
        <v>490</v>
      </c>
      <c r="C85" s="4" t="s">
        <v>31</v>
      </c>
      <c r="D85" s="4" t="s">
        <v>31</v>
      </c>
      <c r="E85" s="4"/>
      <c r="G85" s="28"/>
      <c r="H85" s="4"/>
      <c r="I85" s="4">
        <v>12</v>
      </c>
      <c r="J85" s="38">
        <f>Table27[[#This Row],[unit_price]]*Table27[[#This Row],[case_size]]</f>
        <v>188.39999999999998</v>
      </c>
      <c r="K85" s="38">
        <v>15.7</v>
      </c>
      <c r="L85" s="4"/>
      <c r="M85" s="4"/>
      <c r="N85" s="4" t="s">
        <v>134</v>
      </c>
      <c r="O85" s="4" t="e">
        <f>_xlfn.XLOOKUP(Table27[[#This Row],[product_name]],#REF!,#REF!,"NOT FOUND",0,1)</f>
        <v>#REF!</v>
      </c>
    </row>
    <row r="86" spans="1:15" ht="26.4" customHeight="1">
      <c r="A86" s="4" t="s">
        <v>3879</v>
      </c>
      <c r="B86" s="4" t="s">
        <v>490</v>
      </c>
      <c r="C86" s="4" t="s">
        <v>33</v>
      </c>
      <c r="D86" s="4" t="s">
        <v>33</v>
      </c>
      <c r="E86" s="4"/>
      <c r="G86" s="28"/>
      <c r="I86" s="4">
        <v>12</v>
      </c>
      <c r="J86" s="38">
        <v>288</v>
      </c>
      <c r="K86" s="38">
        <f>Table27[[#This Row],[case_price]]/Table27[[#This Row],[case_size]]</f>
        <v>24</v>
      </c>
      <c r="L86" s="4"/>
      <c r="M86" s="4"/>
      <c r="N86" s="4" t="s">
        <v>4091</v>
      </c>
      <c r="O86" s="4" t="e">
        <f>_xlfn.XLOOKUP(Table27[[#This Row],[product_name]],#REF!,#REF!,"NOT FOUND",0,1)</f>
        <v>#REF!</v>
      </c>
    </row>
    <row r="87" spans="1:15" ht="26.4" customHeight="1">
      <c r="A87" s="4" t="s">
        <v>533</v>
      </c>
      <c r="B87" s="4" t="s">
        <v>490</v>
      </c>
      <c r="C87" s="4" t="s">
        <v>4195</v>
      </c>
      <c r="D87" s="28" t="s">
        <v>27</v>
      </c>
      <c r="E87" s="4"/>
      <c r="G87" s="28"/>
      <c r="I87" s="4">
        <v>12</v>
      </c>
      <c r="J87" s="38">
        <v>327.60000000000002</v>
      </c>
      <c r="K87" s="38">
        <f>Table27[[#This Row],[case_price]]/Table27[[#This Row],[case_size]]</f>
        <v>27.3</v>
      </c>
      <c r="L87" s="4"/>
      <c r="M87" s="4"/>
      <c r="N87" s="4" t="s">
        <v>21</v>
      </c>
      <c r="O87" s="4" t="e">
        <f>_xlfn.XLOOKUP(Table27[[#This Row],[product_name]],#REF!,#REF!,"NOT FOUND",0,1)</f>
        <v>#REF!</v>
      </c>
    </row>
    <row r="88" spans="1:15" ht="26.4" customHeight="1">
      <c r="A88" s="4" t="s">
        <v>3844</v>
      </c>
      <c r="B88" s="4" t="s">
        <v>504</v>
      </c>
      <c r="C88" s="4"/>
      <c r="D88" s="28"/>
      <c r="E88" s="4"/>
      <c r="G88" s="28"/>
      <c r="H88" s="4"/>
      <c r="I88" s="4">
        <v>12</v>
      </c>
      <c r="J88" s="38">
        <v>372.6</v>
      </c>
      <c r="K88" s="38">
        <f>Table27[[#This Row],[case_price]]/Table27[[#This Row],[case_size]]</f>
        <v>31.05</v>
      </c>
      <c r="L88" s="4"/>
      <c r="M88" s="4"/>
      <c r="N88" s="4" t="s">
        <v>13</v>
      </c>
      <c r="O88" s="4" t="e">
        <f>_xlfn.XLOOKUP(Table27[[#This Row],[product_name]],#REF!,#REF!,"NOT FOUND",0,1)</f>
        <v>#REF!</v>
      </c>
    </row>
    <row r="89" spans="1:15" ht="26.4" customHeight="1">
      <c r="A89" s="32" t="s">
        <v>19</v>
      </c>
      <c r="B89" s="4" t="s">
        <v>201</v>
      </c>
      <c r="C89" s="32" t="s">
        <v>19</v>
      </c>
      <c r="D89" s="32" t="s">
        <v>19</v>
      </c>
      <c r="E89" s="4"/>
      <c r="G89" s="28"/>
      <c r="I89" s="4" t="s">
        <v>55</v>
      </c>
      <c r="J89" s="38" t="s">
        <v>55</v>
      </c>
      <c r="K89" s="38">
        <v>22</v>
      </c>
      <c r="L89" s="4"/>
      <c r="M89" s="4"/>
      <c r="N89" s="4" t="s">
        <v>3770</v>
      </c>
      <c r="O89" s="4" t="e">
        <f>_xlfn.XLOOKUP(Table27[[#This Row],[product_name]],#REF!,#REF!,"NOT FOUND",0,1)</f>
        <v>#REF!</v>
      </c>
    </row>
    <row r="90" spans="1:15" ht="26.4" customHeight="1">
      <c r="A90" s="4" t="s">
        <v>3933</v>
      </c>
      <c r="B90" s="4" t="s">
        <v>490</v>
      </c>
      <c r="C90" s="4" t="s">
        <v>4213</v>
      </c>
      <c r="D90" s="28" t="s">
        <v>4213</v>
      </c>
      <c r="E90" s="4"/>
      <c r="G90" s="28"/>
      <c r="I90" s="4">
        <v>6</v>
      </c>
      <c r="J90" s="38">
        <f>17400/100</f>
        <v>174</v>
      </c>
      <c r="K90" s="38">
        <f>Table27[[#This Row],[case_price]]/Table27[[#This Row],[case_size]]</f>
        <v>29</v>
      </c>
      <c r="L90" s="4"/>
      <c r="M90" s="4"/>
      <c r="N90" s="4" t="s">
        <v>135</v>
      </c>
      <c r="O90" s="4" t="e">
        <f>_xlfn.XLOOKUP(Table27[[#This Row],[product_name]],#REF!,#REF!,"NOT FOUND",0,1)</f>
        <v>#REF!</v>
      </c>
    </row>
    <row r="91" spans="1:15" ht="26.4" customHeight="1">
      <c r="A91" s="4" t="s">
        <v>616</v>
      </c>
      <c r="B91" s="4" t="s">
        <v>490</v>
      </c>
      <c r="C91" s="4" t="s">
        <v>31</v>
      </c>
      <c r="D91" s="4" t="s">
        <v>31</v>
      </c>
      <c r="E91" s="4"/>
      <c r="G91" s="28"/>
      <c r="H91" s="4"/>
      <c r="I91" s="4">
        <v>12</v>
      </c>
      <c r="J91" s="38">
        <f>Table27[[#This Row],[unit_price]]*Table27[[#This Row],[case_size]]</f>
        <v>216</v>
      </c>
      <c r="K91" s="38">
        <v>18</v>
      </c>
      <c r="L91" s="4"/>
      <c r="M91" s="4"/>
      <c r="N91" s="4" t="s">
        <v>134</v>
      </c>
      <c r="O91" s="4" t="e">
        <f>_xlfn.XLOOKUP(Table27[[#This Row],[product_name]],#REF!,#REF!,"NOT FOUND",0,1)</f>
        <v>#REF!</v>
      </c>
    </row>
    <row r="92" spans="1:15" ht="26.4" customHeight="1">
      <c r="A92" s="4" t="s">
        <v>3879</v>
      </c>
      <c r="B92" s="4" t="s">
        <v>490</v>
      </c>
      <c r="C92" s="4" t="s">
        <v>33</v>
      </c>
      <c r="D92" s="4" t="s">
        <v>33</v>
      </c>
      <c r="E92" s="4"/>
      <c r="G92" s="28"/>
      <c r="H92" s="4"/>
      <c r="I92" s="4">
        <v>12</v>
      </c>
      <c r="J92" s="38">
        <v>324</v>
      </c>
      <c r="K92" s="38">
        <f>Table27[[#This Row],[case_price]]/Table27[[#This Row],[case_size]]</f>
        <v>27</v>
      </c>
      <c r="L92" s="4"/>
      <c r="M92" s="4"/>
      <c r="N92" s="4" t="s">
        <v>4091</v>
      </c>
      <c r="O92" s="4" t="e">
        <f>_xlfn.XLOOKUP(Table27[[#This Row],[product_name]],#REF!,#REF!,"NOT FOUND",0,1)</f>
        <v>#REF!</v>
      </c>
    </row>
    <row r="93" spans="1:15" ht="26.4" customHeight="1">
      <c r="A93" s="4" t="s">
        <v>533</v>
      </c>
      <c r="B93" s="4" t="s">
        <v>490</v>
      </c>
      <c r="C93" s="4" t="s">
        <v>4195</v>
      </c>
      <c r="D93" s="28" t="s">
        <v>27</v>
      </c>
      <c r="E93" s="4"/>
      <c r="G93" s="28"/>
      <c r="H93" s="4"/>
      <c r="I93" s="4">
        <v>12</v>
      </c>
      <c r="J93" s="38">
        <v>267</v>
      </c>
      <c r="K93" s="38">
        <f>Table27[[#This Row],[case_price]]/Table27[[#This Row],[case_size]]</f>
        <v>22.25</v>
      </c>
      <c r="L93" s="4"/>
      <c r="M93" s="4"/>
      <c r="N93" s="4" t="s">
        <v>21</v>
      </c>
      <c r="O93" s="4" t="e">
        <f>_xlfn.XLOOKUP(Table27[[#This Row],[product_name]],#REF!,#REF!,"NOT FOUND",0,1)</f>
        <v>#REF!</v>
      </c>
    </row>
    <row r="94" spans="1:15" ht="26.4" customHeight="1">
      <c r="A94" s="4" t="s">
        <v>499</v>
      </c>
      <c r="B94" s="4" t="s">
        <v>490</v>
      </c>
      <c r="C94" s="4" t="s">
        <v>33</v>
      </c>
      <c r="D94" s="28" t="s">
        <v>33</v>
      </c>
      <c r="E94" s="4"/>
      <c r="G94" s="28"/>
      <c r="I94" s="4">
        <v>12</v>
      </c>
      <c r="J94" s="38">
        <v>227.88</v>
      </c>
      <c r="K94" s="38">
        <f>Table27[[#This Row],[case_price]]/Table27[[#This Row],[case_size]]</f>
        <v>18.989999999999998</v>
      </c>
      <c r="L94" s="4"/>
      <c r="M94" s="4"/>
      <c r="N94" s="4" t="s">
        <v>4091</v>
      </c>
      <c r="O94" s="4" t="e">
        <f>_xlfn.XLOOKUP(Table27[[#This Row],[product_name]],#REF!,#REF!,"NOT FOUND",0,1)</f>
        <v>#REF!</v>
      </c>
    </row>
    <row r="95" spans="1:15" ht="26.4" customHeight="1">
      <c r="A95" s="4" t="s">
        <v>22</v>
      </c>
      <c r="B95" s="4" t="s">
        <v>490</v>
      </c>
      <c r="C95" s="4" t="s">
        <v>22</v>
      </c>
      <c r="D95" s="28" t="s">
        <v>22</v>
      </c>
      <c r="E95" s="4"/>
      <c r="G95" s="28"/>
      <c r="I95" s="4">
        <v>6</v>
      </c>
      <c r="J95" s="38">
        <f>Table27[[#This Row],[case_size]]*K95</f>
        <v>131.94</v>
      </c>
      <c r="K95" s="38">
        <v>21.99</v>
      </c>
      <c r="L95" s="4" t="s">
        <v>4208</v>
      </c>
      <c r="M95" s="4"/>
      <c r="N95" s="4" t="s">
        <v>135</v>
      </c>
      <c r="O95" s="4" t="e">
        <f>_xlfn.XLOOKUP(Table27[[#This Row],[product_name]],#REF!,#REF!,"NOT FOUND",0,1)</f>
        <v>#REF!</v>
      </c>
    </row>
    <row r="96" spans="1:15" ht="26.4" customHeight="1">
      <c r="A96" s="4" t="s">
        <v>533</v>
      </c>
      <c r="B96" s="4" t="s">
        <v>490</v>
      </c>
      <c r="C96" s="4" t="s">
        <v>4195</v>
      </c>
      <c r="D96" s="28" t="s">
        <v>27</v>
      </c>
      <c r="E96" s="4"/>
      <c r="G96" s="28"/>
      <c r="I96" s="4">
        <v>12</v>
      </c>
      <c r="J96" s="38">
        <f>6.3*12</f>
        <v>75.599999999999994</v>
      </c>
      <c r="K96" s="38">
        <v>6.3</v>
      </c>
      <c r="L96" s="4" t="s">
        <v>4208</v>
      </c>
      <c r="M96" s="4"/>
      <c r="N96" s="4" t="s">
        <v>132</v>
      </c>
      <c r="O96" s="4" t="e">
        <f>_xlfn.XLOOKUP(Table27[[#This Row],[product_name]],#REF!,#REF!,"NOT FOUND",0,1)</f>
        <v>#REF!</v>
      </c>
    </row>
    <row r="97" spans="1:15" ht="26.4" customHeight="1">
      <c r="A97" s="4" t="s">
        <v>499</v>
      </c>
      <c r="B97" s="4" t="s">
        <v>490</v>
      </c>
      <c r="C97" s="4" t="s">
        <v>33</v>
      </c>
      <c r="D97" s="28" t="s">
        <v>33</v>
      </c>
      <c r="E97" s="4"/>
      <c r="G97" s="28"/>
      <c r="I97" s="4">
        <v>12</v>
      </c>
      <c r="J97" s="38">
        <v>125.88</v>
      </c>
      <c r="K97" s="38">
        <f>Table27[[#This Row],[case_price]]/Table27[[#This Row],[case_size]]</f>
        <v>10.49</v>
      </c>
      <c r="L97" s="4" t="s">
        <v>4208</v>
      </c>
      <c r="M97" s="4"/>
      <c r="N97" s="4" t="s">
        <v>4091</v>
      </c>
      <c r="O97" s="4" t="e">
        <f>_xlfn.XLOOKUP(Table27[[#This Row],[product_name]],#REF!,#REF!,"NOT FOUND",0,1)</f>
        <v>#REF!</v>
      </c>
    </row>
    <row r="98" spans="1:15" ht="26.4" customHeight="1">
      <c r="A98" s="4" t="s">
        <v>3844</v>
      </c>
      <c r="B98" s="4" t="s">
        <v>504</v>
      </c>
      <c r="C98" s="4" t="s">
        <v>3943</v>
      </c>
      <c r="D98" s="28" t="s">
        <v>3943</v>
      </c>
      <c r="E98" s="4"/>
      <c r="G98" s="28"/>
      <c r="I98" s="4">
        <v>12</v>
      </c>
      <c r="J98" s="38">
        <v>151.68</v>
      </c>
      <c r="K98" s="38">
        <f>Table27[[#This Row],[case_price]]/Table27[[#This Row],[case_size]]</f>
        <v>12.64</v>
      </c>
      <c r="L98" s="4" t="s">
        <v>4208</v>
      </c>
      <c r="M98" s="4"/>
      <c r="N98" s="4" t="s">
        <v>114</v>
      </c>
      <c r="O98" s="4" t="e">
        <f>_xlfn.XLOOKUP(Table27[[#This Row],[product_name]],#REF!,#REF!,"NOT FOUND",0,1)</f>
        <v>#REF!</v>
      </c>
    </row>
    <row r="99" spans="1:15" ht="26.4" customHeight="1">
      <c r="A99" s="4" t="s">
        <v>4193</v>
      </c>
      <c r="B99" s="4" t="s">
        <v>4194</v>
      </c>
      <c r="C99" s="4" t="s">
        <v>37</v>
      </c>
      <c r="D99" s="28" t="s">
        <v>37</v>
      </c>
      <c r="E99" s="4"/>
      <c r="G99" s="28"/>
      <c r="I99" s="4">
        <v>12</v>
      </c>
      <c r="J99" s="38">
        <f>791.28/6</f>
        <v>131.88</v>
      </c>
      <c r="K99" s="38">
        <f>Table27[[#This Row],[case_price]]/Table27[[#This Row],[case_size]]</f>
        <v>10.99</v>
      </c>
      <c r="L99" s="4"/>
      <c r="M99" s="4"/>
      <c r="N99" s="4" t="s">
        <v>170</v>
      </c>
      <c r="O99" s="4" t="e">
        <f>_xlfn.XLOOKUP(Table27[[#This Row],[product_name]],#REF!,#REF!,"NOT FOUND",0,1)</f>
        <v>#REF!</v>
      </c>
    </row>
    <row r="100" spans="1:15" ht="26.4" customHeight="1">
      <c r="A100" s="4" t="s">
        <v>4196</v>
      </c>
      <c r="B100" s="4" t="s">
        <v>4194</v>
      </c>
      <c r="C100" s="5" t="s">
        <v>144</v>
      </c>
      <c r="D100" s="4" t="s">
        <v>4196</v>
      </c>
      <c r="E100" s="4"/>
      <c r="G100" s="28"/>
      <c r="I100" s="4">
        <v>12</v>
      </c>
      <c r="J100" s="38">
        <v>125.88</v>
      </c>
      <c r="K100" s="38">
        <f>Table27[[#This Row],[case_price]]/Table27[[#This Row],[case_size]]</f>
        <v>10.49</v>
      </c>
      <c r="L100" s="4"/>
      <c r="M100" s="4"/>
      <c r="N100" s="4" t="s">
        <v>4198</v>
      </c>
      <c r="O100" s="4" t="e">
        <f>_xlfn.XLOOKUP(Table27[[#This Row],[product_name]],#REF!,#REF!,"NOT FOUND",0,1)</f>
        <v>#REF!</v>
      </c>
    </row>
    <row r="101" spans="1:15" ht="26.4" customHeight="1">
      <c r="A101" s="4" t="s">
        <v>22</v>
      </c>
      <c r="B101" s="4" t="s">
        <v>490</v>
      </c>
      <c r="C101" s="4" t="s">
        <v>22</v>
      </c>
      <c r="D101" s="28" t="s">
        <v>22</v>
      </c>
      <c r="E101" s="4"/>
      <c r="G101" s="28"/>
      <c r="I101" s="4">
        <v>6</v>
      </c>
      <c r="J101" s="38">
        <f>Table27[[#This Row],[case_size]]*K101</f>
        <v>47.94</v>
      </c>
      <c r="K101" s="38">
        <v>7.99</v>
      </c>
      <c r="L101" s="4" t="s">
        <v>4208</v>
      </c>
      <c r="M101" s="4"/>
      <c r="N101" s="4" t="s">
        <v>135</v>
      </c>
      <c r="O101" s="4" t="e">
        <f>_xlfn.XLOOKUP(Table27[[#This Row],[product_name]],#REF!,#REF!,"NOT FOUND",0,1)</f>
        <v>#REF!</v>
      </c>
    </row>
    <row r="102" spans="1:15" ht="26.4" customHeight="1">
      <c r="A102" s="4" t="s">
        <v>4197</v>
      </c>
      <c r="B102" s="4" t="s">
        <v>201</v>
      </c>
      <c r="C102" s="4" t="s">
        <v>133</v>
      </c>
      <c r="D102" s="4" t="s">
        <v>133</v>
      </c>
      <c r="E102" s="4"/>
      <c r="G102" s="28"/>
      <c r="I102" s="4">
        <v>12</v>
      </c>
      <c r="J102" s="38">
        <f>Table27[[#This Row],[unit_price]]*Table27[[#This Row],[case_size]]</f>
        <v>115.80000000000001</v>
      </c>
      <c r="K102" s="38">
        <v>9.65</v>
      </c>
      <c r="L102" s="4" t="s">
        <v>4208</v>
      </c>
      <c r="M102" s="4"/>
      <c r="N102" s="4" t="s">
        <v>134</v>
      </c>
      <c r="O102" s="4" t="e">
        <f>_xlfn.XLOOKUP(Table27[[#This Row],[product_name]],#REF!,#REF!,"NOT FOUND",0,1)</f>
        <v>#REF!</v>
      </c>
    </row>
    <row r="103" spans="1:15" ht="26.4" customHeight="1">
      <c r="A103" s="4" t="s">
        <v>616</v>
      </c>
      <c r="B103" s="4" t="s">
        <v>490</v>
      </c>
      <c r="C103" s="4" t="s">
        <v>31</v>
      </c>
      <c r="D103" s="4" t="s">
        <v>31</v>
      </c>
      <c r="E103" s="4"/>
      <c r="G103" s="28"/>
      <c r="I103" s="4">
        <v>12</v>
      </c>
      <c r="J103" s="38">
        <f>Table27[[#This Row],[unit_price]]*Table27[[#This Row],[case_size]]</f>
        <v>246</v>
      </c>
      <c r="K103" s="38">
        <v>20.5</v>
      </c>
      <c r="L103" s="4"/>
      <c r="M103" s="4"/>
      <c r="N103" s="4" t="s">
        <v>134</v>
      </c>
      <c r="O103" s="4" t="e">
        <f>_xlfn.XLOOKUP(Table27[[#This Row],[product_name]],#REF!,#REF!,"NOT FOUND",0,1)</f>
        <v>#REF!</v>
      </c>
    </row>
    <row r="104" spans="1:15" ht="26.4" customHeight="1">
      <c r="A104" s="4" t="s">
        <v>3879</v>
      </c>
      <c r="B104" s="4" t="s">
        <v>490</v>
      </c>
      <c r="C104" s="4" t="s">
        <v>33</v>
      </c>
      <c r="D104" s="4" t="s">
        <v>33</v>
      </c>
      <c r="E104" s="4"/>
      <c r="G104" s="28"/>
      <c r="I104" s="4">
        <v>12</v>
      </c>
      <c r="J104" s="38">
        <v>125.88</v>
      </c>
      <c r="K104" s="38">
        <f>Table27[[#This Row],[case_price]]/Table27[[#This Row],[case_size]]</f>
        <v>10.49</v>
      </c>
      <c r="L104" s="4"/>
      <c r="M104" s="4"/>
      <c r="N104" s="4" t="s">
        <v>4091</v>
      </c>
      <c r="O104" s="4" t="e">
        <f>_xlfn.XLOOKUP(Table27[[#This Row],[product_name]],#REF!,#REF!,"NOT FOUND",0,1)</f>
        <v>#REF!</v>
      </c>
    </row>
    <row r="105" spans="1:15" ht="26.4" customHeight="1">
      <c r="A105" s="4" t="s">
        <v>533</v>
      </c>
      <c r="B105" s="4" t="s">
        <v>490</v>
      </c>
      <c r="C105" s="4" t="s">
        <v>4195</v>
      </c>
      <c r="D105" s="28" t="s">
        <v>27</v>
      </c>
      <c r="E105" s="4"/>
      <c r="G105" s="28"/>
      <c r="H105" s="4"/>
      <c r="I105" s="4">
        <v>12</v>
      </c>
      <c r="J105" s="38">
        <f>6.3*12</f>
        <v>75.599999999999994</v>
      </c>
      <c r="K105" s="38">
        <v>6.3</v>
      </c>
      <c r="L105" s="4" t="s">
        <v>4208</v>
      </c>
      <c r="M105" s="4"/>
      <c r="N105" s="4" t="s">
        <v>132</v>
      </c>
      <c r="O105" s="4" t="e">
        <f>_xlfn.XLOOKUP(Table27[[#This Row],[product_name]],#REF!,#REF!,"NOT FOUND",0,1)</f>
        <v>#REF!</v>
      </c>
    </row>
    <row r="106" spans="1:15" ht="26.4" customHeight="1">
      <c r="A106" s="4" t="s">
        <v>4193</v>
      </c>
      <c r="B106" s="4" t="s">
        <v>490</v>
      </c>
      <c r="C106" s="4" t="s">
        <v>4214</v>
      </c>
      <c r="D106" s="28" t="s">
        <v>4214</v>
      </c>
      <c r="E106" s="4"/>
      <c r="G106" s="28"/>
      <c r="H106" s="4"/>
      <c r="I106" s="4">
        <v>12</v>
      </c>
      <c r="J106" s="38">
        <f>395.64/3</f>
        <v>131.88</v>
      </c>
      <c r="K106" s="38">
        <f>Table27[[#This Row],[case_price]]/Table27[[#This Row],[case_size]]</f>
        <v>10.99</v>
      </c>
      <c r="L106" s="4"/>
      <c r="M106" s="4"/>
      <c r="N106" s="4" t="s">
        <v>170</v>
      </c>
      <c r="O106" s="4" t="e">
        <f>_xlfn.XLOOKUP(Table27[[#This Row],[product_name]],#REF!,#REF!,"NOT FOUND",0,1)</f>
        <v>#REF!</v>
      </c>
    </row>
    <row r="107" spans="1:15" ht="26.4" customHeight="1">
      <c r="A107" s="4" t="s">
        <v>499</v>
      </c>
      <c r="B107" s="4" t="s">
        <v>490</v>
      </c>
      <c r="C107" s="4" t="s">
        <v>33</v>
      </c>
      <c r="D107" s="28" t="s">
        <v>33</v>
      </c>
      <c r="E107" s="4"/>
      <c r="G107" s="28"/>
      <c r="H107" s="4"/>
      <c r="I107" s="4">
        <v>12</v>
      </c>
      <c r="J107" s="38">
        <v>125.88</v>
      </c>
      <c r="K107" s="38">
        <f>Table27[[#This Row],[case_price]]/Table27[[#This Row],[case_size]]</f>
        <v>10.49</v>
      </c>
      <c r="L107" s="4" t="s">
        <v>4208</v>
      </c>
      <c r="M107" s="4"/>
      <c r="N107" s="4" t="s">
        <v>4091</v>
      </c>
      <c r="O107" s="4" t="e">
        <f>_xlfn.XLOOKUP(Table27[[#This Row],[product_name]],#REF!,#REF!,"NOT FOUND",0,1)</f>
        <v>#REF!</v>
      </c>
    </row>
    <row r="108" spans="1:15" ht="26.4" customHeight="1">
      <c r="A108" s="4" t="s">
        <v>3844</v>
      </c>
      <c r="B108" s="4" t="s">
        <v>504</v>
      </c>
      <c r="C108" s="4" t="s">
        <v>3943</v>
      </c>
      <c r="D108" s="28" t="s">
        <v>3943</v>
      </c>
      <c r="E108" s="4"/>
      <c r="G108" s="28"/>
      <c r="H108" s="4"/>
      <c r="I108" s="4">
        <v>12</v>
      </c>
      <c r="J108" s="38">
        <v>151.68</v>
      </c>
      <c r="K108" s="38">
        <f>Table27[[#This Row],[case_price]]/Table27[[#This Row],[case_size]]</f>
        <v>12.64</v>
      </c>
      <c r="L108" s="4" t="s">
        <v>4208</v>
      </c>
      <c r="M108" s="4"/>
      <c r="N108" s="4" t="s">
        <v>13</v>
      </c>
      <c r="O108" s="4" t="e">
        <f>_xlfn.XLOOKUP(Table27[[#This Row],[product_name]],#REF!,#REF!,"NOT FOUND",0,1)</f>
        <v>#REF!</v>
      </c>
    </row>
    <row r="109" spans="1:15" ht="26.4" customHeight="1">
      <c r="A109" s="4" t="s">
        <v>4196</v>
      </c>
      <c r="B109" s="4" t="s">
        <v>4194</v>
      </c>
      <c r="C109" s="5" t="s">
        <v>144</v>
      </c>
      <c r="D109" s="4" t="s">
        <v>4196</v>
      </c>
      <c r="E109" s="4"/>
      <c r="G109" s="28"/>
      <c r="H109" s="4"/>
      <c r="I109" s="4">
        <v>12</v>
      </c>
      <c r="J109" s="38">
        <v>125.88</v>
      </c>
      <c r="K109" s="38">
        <f>Table27[[#This Row],[case_price]]/Table27[[#This Row],[case_size]]</f>
        <v>10.49</v>
      </c>
      <c r="L109" s="4"/>
      <c r="M109" s="4"/>
      <c r="N109" s="4" t="s">
        <v>4198</v>
      </c>
      <c r="O109" s="4" t="e">
        <f>_xlfn.XLOOKUP(Table27[[#This Row],[product_name]],#REF!,#REF!,"NOT FOUND",0,1)</f>
        <v>#REF!</v>
      </c>
    </row>
    <row r="110" spans="1:15" ht="26.4" customHeight="1">
      <c r="A110" s="4" t="s">
        <v>616</v>
      </c>
      <c r="B110" s="4" t="s">
        <v>490</v>
      </c>
      <c r="C110" s="4" t="s">
        <v>31</v>
      </c>
      <c r="D110" s="4" t="s">
        <v>31</v>
      </c>
      <c r="E110" s="4"/>
      <c r="G110" s="28"/>
      <c r="H110" s="4"/>
      <c r="I110" s="4">
        <v>12</v>
      </c>
      <c r="J110" s="38">
        <f>Table27[[#This Row],[unit_price]]*Table27[[#This Row],[case_size]]</f>
        <v>312</v>
      </c>
      <c r="K110" s="38">
        <v>26</v>
      </c>
      <c r="L110" s="4"/>
      <c r="M110" s="4"/>
      <c r="N110" s="4" t="s">
        <v>134</v>
      </c>
      <c r="O110" s="4" t="e">
        <f>_xlfn.XLOOKUP(Table27[[#This Row],[product_name]],#REF!,#REF!,"NOT FOUND",0,1)</f>
        <v>#REF!</v>
      </c>
    </row>
    <row r="111" spans="1:15" ht="26.4" customHeight="1">
      <c r="A111" s="4" t="s">
        <v>3879</v>
      </c>
      <c r="B111" s="4" t="s">
        <v>490</v>
      </c>
      <c r="C111" s="4" t="s">
        <v>33</v>
      </c>
      <c r="D111" s="4" t="s">
        <v>33</v>
      </c>
      <c r="E111" s="4"/>
      <c r="G111" s="28"/>
      <c r="H111" s="4"/>
      <c r="I111" s="4">
        <v>12</v>
      </c>
      <c r="J111" s="38">
        <v>125.88</v>
      </c>
      <c r="K111" s="38">
        <f>Table27[[#This Row],[case_price]]/Table27[[#This Row],[case_size]]</f>
        <v>10.49</v>
      </c>
      <c r="L111" s="4"/>
      <c r="M111" s="4"/>
      <c r="N111" s="4" t="s">
        <v>4091</v>
      </c>
      <c r="O111" s="4" t="e">
        <f>_xlfn.XLOOKUP(Table27[[#This Row],[product_name]],#REF!,#REF!,"NOT FOUND",0,1)</f>
        <v>#REF!</v>
      </c>
    </row>
    <row r="112" spans="1:15" ht="26.4" customHeight="1">
      <c r="A112" s="4" t="s">
        <v>533</v>
      </c>
      <c r="B112" s="4" t="s">
        <v>490</v>
      </c>
      <c r="C112" s="4" t="s">
        <v>4195</v>
      </c>
      <c r="D112" s="28" t="s">
        <v>27</v>
      </c>
      <c r="E112" s="4"/>
      <c r="G112" s="28"/>
      <c r="H112" s="4"/>
      <c r="I112" s="4">
        <v>12</v>
      </c>
      <c r="J112" s="38">
        <f>6.3*12</f>
        <v>75.599999999999994</v>
      </c>
      <c r="K112" s="38">
        <v>6.3</v>
      </c>
      <c r="L112" s="4" t="s">
        <v>4208</v>
      </c>
      <c r="M112" s="4"/>
      <c r="N112" s="4" t="s">
        <v>132</v>
      </c>
      <c r="O112" s="4" t="e">
        <f>_xlfn.XLOOKUP(Table27[[#This Row],[product_name]],#REF!,#REF!,"NOT FOUND",0,1)</f>
        <v>#REF!</v>
      </c>
    </row>
    <row r="113" spans="1:15" ht="26.4" customHeight="1">
      <c r="A113" s="4" t="s">
        <v>499</v>
      </c>
      <c r="B113" s="4" t="s">
        <v>490</v>
      </c>
      <c r="C113" s="4" t="s">
        <v>33</v>
      </c>
      <c r="D113" s="28" t="s">
        <v>33</v>
      </c>
      <c r="E113" s="4"/>
      <c r="G113" s="28"/>
      <c r="H113" s="4"/>
      <c r="I113" s="4">
        <v>12</v>
      </c>
      <c r="J113" s="38">
        <f>Table27[[#This Row],[case_size]]*K113</f>
        <v>125.88</v>
      </c>
      <c r="K113" s="38">
        <v>10.49</v>
      </c>
      <c r="L113" s="4" t="s">
        <v>4208</v>
      </c>
      <c r="M113" s="4"/>
      <c r="N113" s="4" t="s">
        <v>4091</v>
      </c>
      <c r="O113" s="4" t="e">
        <f>_xlfn.XLOOKUP(Table27[[#This Row],[product_name]],#REF!,#REF!,"NOT FOUND",0,1)</f>
        <v>#REF!</v>
      </c>
    </row>
    <row r="114" spans="1:15" ht="26.4" customHeight="1">
      <c r="A114" s="4" t="s">
        <v>3844</v>
      </c>
      <c r="B114" s="4" t="s">
        <v>504</v>
      </c>
      <c r="C114" s="4" t="s">
        <v>3943</v>
      </c>
      <c r="D114" s="28" t="s">
        <v>3943</v>
      </c>
      <c r="E114" s="4"/>
      <c r="G114" s="28"/>
      <c r="H114" s="4"/>
      <c r="I114" s="4">
        <v>12</v>
      </c>
      <c r="J114" s="38">
        <v>151.68</v>
      </c>
      <c r="K114" s="38">
        <f>Table27[[#This Row],[case_price]]/Table27[[#This Row],[case_size]]</f>
        <v>12.64</v>
      </c>
      <c r="L114" s="4" t="s">
        <v>4208</v>
      </c>
      <c r="M114" s="4"/>
      <c r="N114" s="4" t="s">
        <v>13</v>
      </c>
      <c r="O114" s="4" t="e">
        <f>_xlfn.XLOOKUP(Table27[[#This Row],[product_name]],#REF!,#REF!,"NOT FOUND",0,1)</f>
        <v>#REF!</v>
      </c>
    </row>
    <row r="115" spans="1:15" ht="26.4" customHeight="1">
      <c r="A115" s="4" t="s">
        <v>4196</v>
      </c>
      <c r="B115" s="4" t="s">
        <v>4194</v>
      </c>
      <c r="C115" s="5" t="s">
        <v>144</v>
      </c>
      <c r="D115" s="4" t="s">
        <v>4196</v>
      </c>
      <c r="E115" s="4"/>
      <c r="G115" s="28"/>
      <c r="H115" s="4"/>
      <c r="I115" s="4">
        <v>12</v>
      </c>
      <c r="J115" s="38">
        <v>131.88</v>
      </c>
      <c r="K115" s="38">
        <f>Table27[[#This Row],[case_price]]/Table27[[#This Row],[case_size]]</f>
        <v>10.99</v>
      </c>
      <c r="L115" s="4"/>
      <c r="M115" s="4"/>
      <c r="N115" s="4" t="s">
        <v>4198</v>
      </c>
      <c r="O115" s="4" t="e">
        <f>_xlfn.XLOOKUP(Table27[[#This Row],[product_name]],#REF!,#REF!,"NOT FOUND",0,1)</f>
        <v>#REF!</v>
      </c>
    </row>
    <row r="116" spans="1:15" ht="26.4" customHeight="1">
      <c r="A116" s="4" t="s">
        <v>22</v>
      </c>
      <c r="B116" s="4" t="s">
        <v>490</v>
      </c>
      <c r="C116" s="4" t="s">
        <v>22</v>
      </c>
      <c r="D116" s="28" t="s">
        <v>22</v>
      </c>
      <c r="E116" s="4"/>
      <c r="G116" s="28"/>
      <c r="H116" s="4"/>
      <c r="I116" s="4">
        <v>6</v>
      </c>
      <c r="J116" s="38">
        <f>Table27[[#This Row],[case_size]]*K116</f>
        <v>71.94</v>
      </c>
      <c r="K116" s="38">
        <v>11.99</v>
      </c>
      <c r="L116" s="4" t="s">
        <v>4208</v>
      </c>
      <c r="M116" s="4"/>
      <c r="N116" s="4" t="s">
        <v>135</v>
      </c>
      <c r="O116" s="4" t="e">
        <f>_xlfn.XLOOKUP(Table27[[#This Row],[product_name]],#REF!,#REF!,"NOT FOUND",0,1)</f>
        <v>#REF!</v>
      </c>
    </row>
    <row r="117" spans="1:15" ht="26.4" customHeight="1">
      <c r="A117" s="4" t="s">
        <v>4197</v>
      </c>
      <c r="B117" s="4" t="s">
        <v>201</v>
      </c>
      <c r="C117" s="4" t="s">
        <v>133</v>
      </c>
      <c r="D117" s="4" t="s">
        <v>133</v>
      </c>
      <c r="E117" s="4"/>
      <c r="G117" s="28"/>
      <c r="H117" s="4"/>
      <c r="I117" s="4">
        <v>12</v>
      </c>
      <c r="J117" s="38">
        <f>Table27[[#This Row],[unit_price]]*Table27[[#This Row],[case_size]]</f>
        <v>115.80000000000001</v>
      </c>
      <c r="K117" s="38">
        <v>9.65</v>
      </c>
      <c r="L117" s="4" t="s">
        <v>4208</v>
      </c>
      <c r="M117" s="4"/>
      <c r="N117" s="4" t="s">
        <v>134</v>
      </c>
      <c r="O117" s="4" t="e">
        <f>_xlfn.XLOOKUP(Table27[[#This Row],[product_name]],#REF!,#REF!,"NOT FOUND",0,1)</f>
        <v>#REF!</v>
      </c>
    </row>
    <row r="118" spans="1:15" ht="26.4" customHeight="1">
      <c r="A118" s="4" t="s">
        <v>616</v>
      </c>
      <c r="B118" s="4" t="s">
        <v>490</v>
      </c>
      <c r="C118" s="4" t="s">
        <v>31</v>
      </c>
      <c r="D118" s="4" t="s">
        <v>31</v>
      </c>
      <c r="E118" s="4"/>
      <c r="G118" s="28"/>
      <c r="I118" s="4">
        <v>12</v>
      </c>
      <c r="J118" s="38">
        <f>7.5*12</f>
        <v>90</v>
      </c>
      <c r="K118" s="38">
        <f>Table27[[#This Row],[case_price]]/Table27[[#This Row],[case_size]]</f>
        <v>7.5</v>
      </c>
      <c r="L118" s="4"/>
      <c r="M118" s="4"/>
      <c r="N118" s="4" t="s">
        <v>14</v>
      </c>
      <c r="O118" s="4" t="e">
        <f>_xlfn.XLOOKUP(Table27[[#This Row],[product_name]],#REF!,#REF!,"NOT FOUND",0,1)</f>
        <v>#REF!</v>
      </c>
    </row>
    <row r="119" spans="1:15" ht="26.4" customHeight="1">
      <c r="A119" s="4" t="s">
        <v>3879</v>
      </c>
      <c r="B119" s="4" t="s">
        <v>490</v>
      </c>
      <c r="C119" s="4" t="s">
        <v>33</v>
      </c>
      <c r="D119" s="4" t="s">
        <v>33</v>
      </c>
      <c r="E119" s="4"/>
      <c r="G119" s="28"/>
      <c r="H119" s="4"/>
      <c r="I119" s="4">
        <v>12</v>
      </c>
      <c r="J119" s="38">
        <v>125.88</v>
      </c>
      <c r="K119" s="38">
        <f>Table27[[#This Row],[case_price]]/Table27[[#This Row],[case_size]]</f>
        <v>10.49</v>
      </c>
      <c r="L119" s="4"/>
      <c r="M119" s="4"/>
      <c r="N119" s="4" t="s">
        <v>4091</v>
      </c>
      <c r="O119" s="4" t="e">
        <f>_xlfn.XLOOKUP(Table27[[#This Row],[product_name]],#REF!,#REF!,"NOT FOUND",0,1)</f>
        <v>#REF!</v>
      </c>
    </row>
    <row r="120" spans="1:15" ht="26.4" customHeight="1">
      <c r="A120" s="4" t="s">
        <v>22</v>
      </c>
      <c r="B120" s="4" t="s">
        <v>490</v>
      </c>
      <c r="C120" s="4" t="s">
        <v>22</v>
      </c>
      <c r="D120" s="28" t="s">
        <v>22</v>
      </c>
      <c r="E120" s="4"/>
      <c r="G120" s="28"/>
      <c r="H120" s="4"/>
      <c r="I120" s="4">
        <v>6</v>
      </c>
      <c r="J120" s="38">
        <f>Table27[[#This Row],[case_size]]*K120</f>
        <v>125.94</v>
      </c>
      <c r="K120" s="38">
        <v>20.99</v>
      </c>
      <c r="L120" s="4" t="s">
        <v>4208</v>
      </c>
      <c r="M120" s="4"/>
      <c r="N120" s="4" t="s">
        <v>135</v>
      </c>
      <c r="O120" s="4" t="e">
        <f>_xlfn.XLOOKUP(Table27[[#This Row],[product_name]],#REF!,#REF!,"NOT FOUND",0,1)</f>
        <v>#REF!</v>
      </c>
    </row>
    <row r="121" spans="1:15" ht="26.4" customHeight="1">
      <c r="A121" s="4" t="s">
        <v>3844</v>
      </c>
      <c r="B121" s="4" t="s">
        <v>4200</v>
      </c>
      <c r="C121" s="4"/>
      <c r="D121" s="28"/>
      <c r="E121" s="4"/>
      <c r="G121" s="28"/>
      <c r="I121" s="4">
        <v>12</v>
      </c>
      <c r="J121" s="38">
        <v>100.8</v>
      </c>
      <c r="K121" s="38">
        <f>Table27[[#This Row],[case_price]]/Table27[[#This Row],[case_size]]</f>
        <v>8.4</v>
      </c>
      <c r="L121" s="4"/>
      <c r="M121" s="4"/>
      <c r="N121" s="4" t="s">
        <v>114</v>
      </c>
      <c r="O121" s="4" t="e">
        <f>_xlfn.XLOOKUP(Table27[[#This Row],[product_name]],#REF!,#REF!,"NOT FOUND",0,1)</f>
        <v>#REF!</v>
      </c>
    </row>
    <row r="122" spans="1:15" ht="26.4" customHeight="1">
      <c r="A122" s="4" t="s">
        <v>533</v>
      </c>
      <c r="B122" s="4" t="s">
        <v>490</v>
      </c>
      <c r="C122" s="4" t="s">
        <v>4195</v>
      </c>
      <c r="D122" s="28" t="s">
        <v>27</v>
      </c>
      <c r="E122" s="4"/>
      <c r="G122" s="28"/>
      <c r="H122" s="4"/>
      <c r="I122" s="4">
        <v>12</v>
      </c>
      <c r="J122" s="38">
        <v>72</v>
      </c>
      <c r="K122" s="38">
        <f>Table27[[#This Row],[case_price]]/Table27[[#This Row],[case_size]]</f>
        <v>6</v>
      </c>
      <c r="L122" s="4" t="s">
        <v>4208</v>
      </c>
      <c r="M122" s="4"/>
      <c r="N122" s="4" t="s">
        <v>132</v>
      </c>
      <c r="O122" s="4" t="e">
        <f>_xlfn.XLOOKUP(Table27[[#This Row],[product_name]],#REF!,#REF!,"NOT FOUND",0,1)</f>
        <v>#REF!</v>
      </c>
    </row>
    <row r="123" spans="1:15" ht="26.4" customHeight="1">
      <c r="A123" s="4" t="s">
        <v>24</v>
      </c>
      <c r="B123" s="4" t="s">
        <v>490</v>
      </c>
      <c r="C123" s="4" t="s">
        <v>24</v>
      </c>
      <c r="D123" s="28" t="s">
        <v>24</v>
      </c>
      <c r="E123" s="4"/>
      <c r="G123" s="28"/>
      <c r="H123" s="4"/>
      <c r="I123" s="4">
        <v>12</v>
      </c>
      <c r="J123" s="38">
        <f>Table27[[#This Row],[case_size]]*K123</f>
        <v>75.599999999999994</v>
      </c>
      <c r="K123" s="38">
        <v>6.3</v>
      </c>
      <c r="L123" s="4" t="s">
        <v>4208</v>
      </c>
      <c r="M123" s="4"/>
      <c r="N123" s="4" t="s">
        <v>114</v>
      </c>
      <c r="O123" s="4" t="e">
        <f>_xlfn.XLOOKUP(Table27[[#This Row],[product_name]],#REF!,#REF!,"NOT FOUND",0,1)</f>
        <v>#REF!</v>
      </c>
    </row>
    <row r="124" spans="1:15" ht="26.4" customHeight="1">
      <c r="A124" s="4" t="s">
        <v>3933</v>
      </c>
      <c r="B124" s="4" t="s">
        <v>490</v>
      </c>
      <c r="C124" s="4" t="s">
        <v>4213</v>
      </c>
      <c r="D124" s="28" t="s">
        <v>4213</v>
      </c>
      <c r="E124" s="4"/>
      <c r="G124" s="28"/>
      <c r="H124" s="4"/>
      <c r="I124" s="4">
        <v>12</v>
      </c>
      <c r="J124" s="38">
        <f>7440/100</f>
        <v>74.400000000000006</v>
      </c>
      <c r="K124" s="38">
        <f>Table27[[#This Row],[case_price]]/Table27[[#This Row],[case_size]]</f>
        <v>6.2</v>
      </c>
      <c r="L124" s="4" t="s">
        <v>4208</v>
      </c>
      <c r="M124" s="4"/>
      <c r="N124" s="4" t="s">
        <v>135</v>
      </c>
      <c r="O124" s="4" t="e">
        <f>_xlfn.XLOOKUP(Table27[[#This Row],[product_name]],#REF!,#REF!,"NOT FOUND",0,1)</f>
        <v>#REF!</v>
      </c>
    </row>
    <row r="125" spans="1:15" ht="26.4" customHeight="1">
      <c r="A125" s="4" t="s">
        <v>4197</v>
      </c>
      <c r="B125" s="4" t="s">
        <v>201</v>
      </c>
      <c r="C125" s="4" t="s">
        <v>133</v>
      </c>
      <c r="D125" s="4" t="s">
        <v>133</v>
      </c>
      <c r="E125" s="4"/>
      <c r="G125" s="28"/>
      <c r="H125" s="4"/>
      <c r="I125" s="4">
        <v>12</v>
      </c>
      <c r="J125" s="38">
        <f>Table27[[#This Row],[unit_price]]*Table27[[#This Row],[case_size]]</f>
        <v>90</v>
      </c>
      <c r="K125" s="38">
        <v>7.5</v>
      </c>
      <c r="L125" s="4" t="s">
        <v>4208</v>
      </c>
      <c r="M125" s="4"/>
      <c r="N125" s="4" t="s">
        <v>134</v>
      </c>
      <c r="O125" s="4" t="e">
        <f>_xlfn.XLOOKUP(Table27[[#This Row],[product_name]],#REF!,#REF!,"NOT FOUND",0,1)</f>
        <v>#REF!</v>
      </c>
    </row>
    <row r="126" spans="1:15" ht="26.4" customHeight="1">
      <c r="A126" s="4" t="s">
        <v>533</v>
      </c>
      <c r="B126" s="4" t="s">
        <v>490</v>
      </c>
      <c r="C126" s="4" t="s">
        <v>4195</v>
      </c>
      <c r="D126" s="28" t="s">
        <v>27</v>
      </c>
      <c r="E126" s="4"/>
      <c r="G126" s="28"/>
      <c r="H126" s="4"/>
      <c r="I126" s="4">
        <v>12</v>
      </c>
      <c r="J126" s="38">
        <f>6.3*12</f>
        <v>75.599999999999994</v>
      </c>
      <c r="K126" s="38">
        <v>6.3</v>
      </c>
      <c r="L126" s="4" t="s">
        <v>4208</v>
      </c>
      <c r="M126" s="4"/>
      <c r="N126" s="4" t="s">
        <v>132</v>
      </c>
      <c r="O126" s="4" t="e">
        <f>_xlfn.XLOOKUP(Table27[[#This Row],[product_name]],#REF!,#REF!,"NOT FOUND",0,1)</f>
        <v>#REF!</v>
      </c>
    </row>
    <row r="127" spans="1:15" ht="26.4" customHeight="1">
      <c r="A127" s="4" t="s">
        <v>499</v>
      </c>
      <c r="B127" s="4" t="s">
        <v>490</v>
      </c>
      <c r="C127" s="4" t="s">
        <v>33</v>
      </c>
      <c r="D127" s="28" t="s">
        <v>33</v>
      </c>
      <c r="E127" s="4"/>
      <c r="G127" s="28"/>
      <c r="H127" s="4"/>
      <c r="I127" s="4">
        <v>12</v>
      </c>
      <c r="J127" s="38">
        <v>113.88</v>
      </c>
      <c r="K127" s="38">
        <f>Table27[[#This Row],[case_price]]/Table27[[#This Row],[case_size]]</f>
        <v>9.49</v>
      </c>
      <c r="L127" s="4" t="s">
        <v>4208</v>
      </c>
      <c r="M127" s="4"/>
      <c r="N127" s="4" t="s">
        <v>4091</v>
      </c>
      <c r="O127" s="4" t="e">
        <f>_xlfn.XLOOKUP(Table27[[#This Row],[product_name]],#REF!,#REF!,"NOT FOUND",0,1)</f>
        <v>#REF!</v>
      </c>
    </row>
    <row r="128" spans="1:15" ht="26.4" customHeight="1">
      <c r="A128" s="4" t="s">
        <v>3844</v>
      </c>
      <c r="B128" s="4" t="s">
        <v>504</v>
      </c>
      <c r="C128" s="4" t="s">
        <v>3943</v>
      </c>
      <c r="D128" s="28" t="s">
        <v>3943</v>
      </c>
      <c r="E128" s="4"/>
      <c r="G128" s="28"/>
      <c r="H128" s="4"/>
      <c r="I128" s="4">
        <v>12</v>
      </c>
      <c r="J128" s="38">
        <v>130.91999999999999</v>
      </c>
      <c r="K128" s="38">
        <f>Table27[[#This Row],[case_price]]/Table27[[#This Row],[case_size]]</f>
        <v>10.909999999999998</v>
      </c>
      <c r="L128" s="4" t="s">
        <v>4208</v>
      </c>
      <c r="M128" s="4"/>
      <c r="N128" s="4" t="s">
        <v>114</v>
      </c>
      <c r="O128" s="4" t="e">
        <f>_xlfn.XLOOKUP(Table27[[#This Row],[product_name]],#REF!,#REF!,"NOT FOUND",0,1)</f>
        <v>#REF!</v>
      </c>
    </row>
    <row r="129" spans="1:15" ht="26.4" customHeight="1">
      <c r="A129" s="4" t="s">
        <v>4196</v>
      </c>
      <c r="B129" s="4" t="s">
        <v>4194</v>
      </c>
      <c r="C129" s="5" t="s">
        <v>144</v>
      </c>
      <c r="D129" s="4" t="s">
        <v>4196</v>
      </c>
      <c r="E129" s="4"/>
      <c r="G129" s="28"/>
      <c r="H129" s="4"/>
      <c r="I129" s="4">
        <v>12</v>
      </c>
      <c r="J129" s="38">
        <v>119.88</v>
      </c>
      <c r="K129" s="38">
        <f>Table27[[#This Row],[case_price]]/Table27[[#This Row],[case_size]]</f>
        <v>9.99</v>
      </c>
      <c r="L129" s="4"/>
      <c r="M129" s="4"/>
      <c r="N129" s="4" t="s">
        <v>4198</v>
      </c>
      <c r="O129" s="4" t="e">
        <f>_xlfn.XLOOKUP(Table27[[#This Row],[product_name]],#REF!,#REF!,"NOT FOUND",0,1)</f>
        <v>#REF!</v>
      </c>
    </row>
    <row r="130" spans="1:15" ht="26.4" customHeight="1">
      <c r="A130" s="4" t="s">
        <v>4197</v>
      </c>
      <c r="B130" s="4" t="s">
        <v>201</v>
      </c>
      <c r="C130" s="4" t="s">
        <v>133</v>
      </c>
      <c r="D130" s="4" t="s">
        <v>133</v>
      </c>
      <c r="E130" s="4"/>
      <c r="G130" s="28"/>
      <c r="H130" s="4"/>
      <c r="I130" s="4">
        <v>12</v>
      </c>
      <c r="J130" s="38">
        <f>Table27[[#This Row],[unit_price]]*Table27[[#This Row],[case_size]]</f>
        <v>107.88</v>
      </c>
      <c r="K130" s="38">
        <v>8.99</v>
      </c>
      <c r="L130" s="4" t="s">
        <v>4208</v>
      </c>
      <c r="M130" s="4"/>
      <c r="N130" s="4" t="s">
        <v>134</v>
      </c>
      <c r="O130" s="4" t="e">
        <f>_xlfn.XLOOKUP(Table27[[#This Row],[product_name]],#REF!,#REF!,"NOT FOUND",0,1)</f>
        <v>#REF!</v>
      </c>
    </row>
    <row r="131" spans="1:15" ht="26.4" customHeight="1">
      <c r="A131" s="4" t="s">
        <v>22</v>
      </c>
      <c r="B131" s="4" t="s">
        <v>490</v>
      </c>
      <c r="C131" s="4" t="s">
        <v>22</v>
      </c>
      <c r="D131" s="28" t="s">
        <v>22</v>
      </c>
      <c r="E131" s="4"/>
      <c r="G131" s="28"/>
      <c r="H131" s="4"/>
      <c r="I131" s="4">
        <v>6</v>
      </c>
      <c r="J131" s="38">
        <f>Table27[[#This Row],[case_size]]*K131</f>
        <v>65.94</v>
      </c>
      <c r="K131" s="38">
        <v>10.99</v>
      </c>
      <c r="L131" s="4" t="s">
        <v>4208</v>
      </c>
      <c r="M131" s="4"/>
      <c r="N131" s="4" t="s">
        <v>135</v>
      </c>
      <c r="O131" s="4" t="e">
        <f>_xlfn.XLOOKUP(Table27[[#This Row],[product_name]],#REF!,#REF!,"NOT FOUND",0,1)</f>
        <v>#REF!</v>
      </c>
    </row>
    <row r="132" spans="1:15" ht="26.4" customHeight="1">
      <c r="A132" s="32" t="s">
        <v>19</v>
      </c>
      <c r="B132" s="4" t="s">
        <v>201</v>
      </c>
      <c r="C132" s="32" t="s">
        <v>19</v>
      </c>
      <c r="D132" s="32" t="s">
        <v>19</v>
      </c>
      <c r="E132" s="4"/>
      <c r="G132" s="28"/>
      <c r="I132" s="4" t="s">
        <v>55</v>
      </c>
      <c r="J132" s="38" t="s">
        <v>55</v>
      </c>
      <c r="K132" s="38">
        <v>4.99</v>
      </c>
      <c r="L132" s="4"/>
      <c r="M132" s="4"/>
      <c r="N132" s="4" t="s">
        <v>3770</v>
      </c>
      <c r="O132" s="4" t="e">
        <f>_xlfn.XLOOKUP(Table27[[#This Row],[product_name]],#REF!,#REF!,"NOT FOUND",0,1)</f>
        <v>#REF!</v>
      </c>
    </row>
    <row r="133" spans="1:15" ht="26.4" customHeight="1">
      <c r="A133" s="4" t="s">
        <v>533</v>
      </c>
      <c r="B133" s="4" t="s">
        <v>490</v>
      </c>
      <c r="C133" s="4" t="s">
        <v>4195</v>
      </c>
      <c r="D133" s="28" t="s">
        <v>27</v>
      </c>
      <c r="E133" s="4"/>
      <c r="G133" s="28"/>
      <c r="H133" s="4"/>
      <c r="I133" s="4">
        <v>12</v>
      </c>
      <c r="J133" s="38">
        <f>6.3*12</f>
        <v>75.599999999999994</v>
      </c>
      <c r="K133" s="38">
        <v>6.3</v>
      </c>
      <c r="L133" s="4" t="s">
        <v>4208</v>
      </c>
      <c r="M133" s="4"/>
      <c r="N133" s="4" t="s">
        <v>132</v>
      </c>
      <c r="O133" s="4" t="e">
        <f>_xlfn.XLOOKUP(Table27[[#This Row],[product_name]],#REF!,#REF!,"NOT FOUND",0,1)</f>
        <v>#REF!</v>
      </c>
    </row>
    <row r="134" spans="1:15" ht="26.4" customHeight="1">
      <c r="A134" s="4" t="s">
        <v>603</v>
      </c>
      <c r="B134" s="4" t="s">
        <v>490</v>
      </c>
      <c r="C134" s="4" t="s">
        <v>37</v>
      </c>
      <c r="D134" s="28" t="s">
        <v>37</v>
      </c>
      <c r="E134" s="4"/>
      <c r="G134" s="28"/>
      <c r="H134" s="4"/>
      <c r="I134" s="4">
        <v>12</v>
      </c>
      <c r="J134" s="38">
        <f>Table27[[#This Row],[case_size]]*K134</f>
        <v>113.88</v>
      </c>
      <c r="K134" s="38">
        <v>9.49</v>
      </c>
      <c r="L134" s="4" t="s">
        <v>4208</v>
      </c>
      <c r="M134" s="4"/>
      <c r="N134" s="4" t="s">
        <v>170</v>
      </c>
      <c r="O134" s="4" t="e">
        <f>_xlfn.XLOOKUP(Table27[[#This Row],[product_name]],#REF!,#REF!,"NOT FOUND",0,1)</f>
        <v>#REF!</v>
      </c>
    </row>
    <row r="135" spans="1:15" ht="26.4" customHeight="1">
      <c r="A135" s="4" t="s">
        <v>3844</v>
      </c>
      <c r="B135" s="4" t="s">
        <v>504</v>
      </c>
      <c r="C135" s="4" t="s">
        <v>3943</v>
      </c>
      <c r="D135" s="28" t="s">
        <v>3943</v>
      </c>
      <c r="E135" s="4"/>
      <c r="G135" s="28"/>
      <c r="H135" s="4"/>
      <c r="I135" s="4">
        <v>12</v>
      </c>
      <c r="J135" s="38">
        <v>151.68</v>
      </c>
      <c r="K135" s="38">
        <f>Table27[[#This Row],[case_price]]/Table27[[#This Row],[case_size]]</f>
        <v>12.64</v>
      </c>
      <c r="L135" s="4" t="s">
        <v>4208</v>
      </c>
      <c r="M135" s="4"/>
      <c r="N135" s="4" t="s">
        <v>114</v>
      </c>
      <c r="O135" s="4" t="e">
        <f>_xlfn.XLOOKUP(Table27[[#This Row],[product_name]],#REF!,#REF!,"NOT FOUND",0,1)</f>
        <v>#REF!</v>
      </c>
    </row>
    <row r="136" spans="1:15" ht="26.4" customHeight="1">
      <c r="A136" s="4" t="s">
        <v>3933</v>
      </c>
      <c r="B136" s="4" t="s">
        <v>490</v>
      </c>
      <c r="C136" s="4" t="s">
        <v>4213</v>
      </c>
      <c r="D136" s="28" t="s">
        <v>4213</v>
      </c>
      <c r="E136" s="4"/>
      <c r="G136" s="28"/>
      <c r="H136" s="4"/>
      <c r="I136" s="4">
        <v>12</v>
      </c>
      <c r="J136" s="38">
        <f>7.99*12</f>
        <v>95.88</v>
      </c>
      <c r="K136" s="38">
        <f>Table27[[#This Row],[case_price]]/Table27[[#This Row],[case_size]]</f>
        <v>7.9899999999999993</v>
      </c>
      <c r="L136" s="4" t="s">
        <v>4208</v>
      </c>
      <c r="M136" s="4"/>
      <c r="N136" s="4" t="s">
        <v>135</v>
      </c>
      <c r="O136" s="4" t="e">
        <f>_xlfn.XLOOKUP(Table27[[#This Row],[product_name]],#REF!,#REF!,"NOT FOUND",0,1)</f>
        <v>#REF!</v>
      </c>
    </row>
    <row r="137" spans="1:15" ht="26.4" customHeight="1">
      <c r="A137" s="4" t="s">
        <v>616</v>
      </c>
      <c r="B137" s="4" t="s">
        <v>490</v>
      </c>
      <c r="C137" s="4" t="s">
        <v>31</v>
      </c>
      <c r="D137" s="4" t="s">
        <v>31</v>
      </c>
      <c r="E137" s="4"/>
      <c r="G137" s="28"/>
      <c r="H137" s="4"/>
      <c r="I137" s="4">
        <v>12</v>
      </c>
      <c r="J137" s="38">
        <f>Table27[[#This Row],[unit_price]]*Table27[[#This Row],[case_size]]</f>
        <v>188.39999999999998</v>
      </c>
      <c r="K137" s="38">
        <v>15.7</v>
      </c>
      <c r="L137" s="4" t="s">
        <v>4215</v>
      </c>
      <c r="M137" s="4"/>
      <c r="N137" s="4" t="s">
        <v>134</v>
      </c>
      <c r="O137" s="4" t="e">
        <f>_xlfn.XLOOKUP(Table27[[#This Row],[product_name]],#REF!,#REF!,"NOT FOUND",0,1)</f>
        <v>#REF!</v>
      </c>
    </row>
    <row r="138" spans="1:15" ht="26.4" customHeight="1">
      <c r="A138" s="4" t="s">
        <v>533</v>
      </c>
      <c r="B138" s="4" t="s">
        <v>490</v>
      </c>
      <c r="C138" s="4" t="s">
        <v>4195</v>
      </c>
      <c r="D138" s="28" t="s">
        <v>27</v>
      </c>
      <c r="E138" s="4"/>
      <c r="G138" s="28"/>
      <c r="H138" s="4"/>
      <c r="I138" s="4">
        <v>12</v>
      </c>
      <c r="J138" s="38">
        <f>Table27[[#This Row],[unit_price]]*Table27[[#This Row],[case_size]]</f>
        <v>181.8</v>
      </c>
      <c r="K138" s="38">
        <v>15.15</v>
      </c>
      <c r="L138" s="4" t="s">
        <v>4215</v>
      </c>
      <c r="M138" s="4"/>
      <c r="N138" s="4" t="s">
        <v>132</v>
      </c>
      <c r="O138" s="4" t="e">
        <f>_xlfn.XLOOKUP(Table27[[#This Row],[product_name]],#REF!,#REF!,"NOT FOUND",0,1)</f>
        <v>#REF!</v>
      </c>
    </row>
    <row r="139" spans="1:15" ht="26.4" customHeight="1">
      <c r="A139" s="4" t="s">
        <v>499</v>
      </c>
      <c r="B139" s="4" t="s">
        <v>490</v>
      </c>
      <c r="C139" s="4" t="s">
        <v>33</v>
      </c>
      <c r="D139" s="28" t="s">
        <v>33</v>
      </c>
      <c r="E139" s="4"/>
      <c r="G139" s="28"/>
      <c r="H139" s="4"/>
      <c r="I139" s="4">
        <v>12</v>
      </c>
      <c r="J139" s="38">
        <v>324</v>
      </c>
      <c r="K139" s="38">
        <f>Table27[[#This Row],[case_price]]/Table27[[#This Row],[case_size]]</f>
        <v>27</v>
      </c>
      <c r="L139" s="4"/>
      <c r="M139" s="4"/>
      <c r="N139" s="4" t="s">
        <v>4091</v>
      </c>
      <c r="O139" s="4" t="e">
        <f>_xlfn.XLOOKUP(Table27[[#This Row],[product_name]],#REF!,#REF!,"NOT FOUND",0,1)</f>
        <v>#REF!</v>
      </c>
    </row>
    <row r="140" spans="1:15" ht="26.4" customHeight="1">
      <c r="A140" s="4" t="s">
        <v>3844</v>
      </c>
      <c r="B140" s="4" t="s">
        <v>504</v>
      </c>
      <c r="C140" s="4" t="s">
        <v>3943</v>
      </c>
      <c r="D140" s="28" t="s">
        <v>3943</v>
      </c>
      <c r="E140" s="4"/>
      <c r="G140" s="28"/>
      <c r="H140" s="4"/>
      <c r="I140" s="4">
        <v>12</v>
      </c>
      <c r="J140" s="38">
        <v>276</v>
      </c>
      <c r="K140" s="38">
        <f>Table27[[#This Row],[case_price]]/Table27[[#This Row],[case_size]]</f>
        <v>23</v>
      </c>
      <c r="L140" s="4" t="s">
        <v>4215</v>
      </c>
      <c r="M140" s="4"/>
      <c r="N140" s="4" t="s">
        <v>114</v>
      </c>
      <c r="O140" s="4" t="e">
        <f>_xlfn.XLOOKUP(Table27[[#This Row],[product_name]],#REF!,#REF!,"NOT FOUND",0,1)</f>
        <v>#REF!</v>
      </c>
    </row>
    <row r="141" spans="1:15" ht="26.4" customHeight="1">
      <c r="A141" s="32" t="s">
        <v>19</v>
      </c>
      <c r="B141" s="4" t="s">
        <v>201</v>
      </c>
      <c r="C141" s="32" t="s">
        <v>19</v>
      </c>
      <c r="D141" s="32" t="s">
        <v>19</v>
      </c>
      <c r="E141" s="4"/>
      <c r="G141" s="28"/>
      <c r="I141" s="4" t="s">
        <v>55</v>
      </c>
      <c r="J141" s="38" t="s">
        <v>55</v>
      </c>
      <c r="K141" s="38">
        <v>14</v>
      </c>
      <c r="L141" s="4"/>
      <c r="M141" s="4"/>
      <c r="N141" s="4" t="s">
        <v>3770</v>
      </c>
      <c r="O141" s="4" t="e">
        <f>_xlfn.XLOOKUP(Table27[[#This Row],[product_name]],#REF!,#REF!,"NOT FOUND",0,1)</f>
        <v>#REF!</v>
      </c>
    </row>
    <row r="142" spans="1:15" ht="26.4" customHeight="1">
      <c r="A142" s="4" t="s">
        <v>4197</v>
      </c>
      <c r="B142" s="4" t="s">
        <v>201</v>
      </c>
      <c r="C142" s="4" t="s">
        <v>133</v>
      </c>
      <c r="D142" s="4" t="s">
        <v>133</v>
      </c>
      <c r="E142" s="4"/>
      <c r="G142" s="28"/>
      <c r="H142" s="4"/>
      <c r="I142" s="4">
        <v>12</v>
      </c>
      <c r="J142" s="38">
        <f>Table27[[#This Row],[unit_price]]*Table27[[#This Row],[case_size]]</f>
        <v>217.79999999999998</v>
      </c>
      <c r="K142" s="38">
        <v>18.149999999999999</v>
      </c>
      <c r="L142" s="4" t="s">
        <v>4215</v>
      </c>
      <c r="M142" s="4"/>
      <c r="N142" s="4" t="s">
        <v>134</v>
      </c>
      <c r="O142" s="4" t="e">
        <f>_xlfn.XLOOKUP(Table27[[#This Row],[product_name]],#REF!,#REF!,"NOT FOUND",0,1)</f>
        <v>#REF!</v>
      </c>
    </row>
    <row r="143" spans="1:15" ht="26.4" customHeight="1">
      <c r="A143" s="4" t="s">
        <v>616</v>
      </c>
      <c r="B143" s="4" t="s">
        <v>490</v>
      </c>
      <c r="C143" s="4" t="s">
        <v>31</v>
      </c>
      <c r="D143" s="4" t="s">
        <v>31</v>
      </c>
      <c r="E143" s="4"/>
      <c r="G143" s="28"/>
      <c r="H143" s="4"/>
      <c r="I143" s="4">
        <v>12</v>
      </c>
      <c r="J143" s="38">
        <f>Table27[[#This Row],[unit_price]]*Table27[[#This Row],[case_size]]</f>
        <v>216</v>
      </c>
      <c r="K143" s="38">
        <v>18</v>
      </c>
      <c r="L143" s="4" t="s">
        <v>4215</v>
      </c>
      <c r="M143" s="4"/>
      <c r="N143" s="4" t="s">
        <v>134</v>
      </c>
      <c r="O143" s="4" t="e">
        <f>_xlfn.XLOOKUP(Table27[[#This Row],[product_name]],#REF!,#REF!,"NOT FOUND",0,1)</f>
        <v>#REF!</v>
      </c>
    </row>
    <row r="144" spans="1:15" ht="26.4" customHeight="1">
      <c r="A144" s="4" t="s">
        <v>533</v>
      </c>
      <c r="B144" s="4" t="s">
        <v>490</v>
      </c>
      <c r="C144" s="4" t="s">
        <v>4195</v>
      </c>
      <c r="D144" s="28" t="s">
        <v>27</v>
      </c>
      <c r="E144" s="4"/>
      <c r="G144" s="28"/>
      <c r="H144" s="4"/>
      <c r="I144" s="4">
        <v>12</v>
      </c>
      <c r="J144" s="38">
        <f>Table27[[#This Row],[unit_price]]*Table27[[#This Row],[case_size]]</f>
        <v>181.8</v>
      </c>
      <c r="K144" s="38">
        <v>15.15</v>
      </c>
      <c r="L144" s="4" t="s">
        <v>4215</v>
      </c>
      <c r="M144" s="4"/>
      <c r="N144" s="4" t="s">
        <v>21</v>
      </c>
      <c r="O144" s="4" t="e">
        <f>_xlfn.XLOOKUP(Table27[[#This Row],[product_name]],#REF!,#REF!,"NOT FOUND",0,1)</f>
        <v>#REF!</v>
      </c>
    </row>
    <row r="145" spans="1:15" ht="26.4" customHeight="1">
      <c r="A145" s="4" t="s">
        <v>4193</v>
      </c>
      <c r="B145" s="4" t="s">
        <v>4194</v>
      </c>
      <c r="C145" s="4" t="s">
        <v>37</v>
      </c>
      <c r="D145" s="28" t="s">
        <v>37</v>
      </c>
      <c r="E145" s="4"/>
      <c r="G145" s="28"/>
      <c r="H145" s="4"/>
      <c r="I145" s="4">
        <v>12</v>
      </c>
      <c r="J145" s="38">
        <f>1823.04/8</f>
        <v>227.88</v>
      </c>
      <c r="K145" s="38">
        <f>Table27[[#This Row],[case_price]]/Table27[[#This Row],[case_size]]</f>
        <v>18.989999999999998</v>
      </c>
      <c r="L145" s="4"/>
      <c r="M145" s="4"/>
      <c r="N145" s="4" t="s">
        <v>170</v>
      </c>
      <c r="O145" s="4" t="e">
        <f>_xlfn.XLOOKUP(Table27[[#This Row],[product_name]],#REF!,#REF!,"NOT FOUND",0,1)</f>
        <v>#REF!</v>
      </c>
    </row>
    <row r="146" spans="1:15" ht="26.4" customHeight="1">
      <c r="A146" s="4" t="s">
        <v>499</v>
      </c>
      <c r="B146" s="4" t="s">
        <v>490</v>
      </c>
      <c r="C146" s="4" t="s">
        <v>33</v>
      </c>
      <c r="D146" s="28" t="s">
        <v>33</v>
      </c>
      <c r="E146" s="4"/>
      <c r="G146" s="28"/>
      <c r="H146" s="4"/>
      <c r="I146" s="4">
        <v>12</v>
      </c>
      <c r="J146" s="38">
        <v>324</v>
      </c>
      <c r="K146" s="38">
        <f>Table27[[#This Row],[case_price]]/Table27[[#This Row],[case_size]]</f>
        <v>27</v>
      </c>
      <c r="L146" s="4" t="s">
        <v>4215</v>
      </c>
      <c r="M146" s="4"/>
      <c r="N146" s="4" t="s">
        <v>4091</v>
      </c>
      <c r="O146" s="4" t="e">
        <f>_xlfn.XLOOKUP(Table27[[#This Row],[product_name]],#REF!,#REF!,"NOT FOUND",0,1)</f>
        <v>#REF!</v>
      </c>
    </row>
    <row r="147" spans="1:15" ht="26.4" customHeight="1">
      <c r="A147" s="4" t="s">
        <v>3844</v>
      </c>
      <c r="B147" s="4" t="s">
        <v>504</v>
      </c>
      <c r="C147" s="4" t="s">
        <v>3943</v>
      </c>
      <c r="D147" s="28" t="s">
        <v>3943</v>
      </c>
      <c r="E147" s="4"/>
      <c r="G147" s="28"/>
      <c r="H147" s="4"/>
      <c r="I147" s="4">
        <v>12</v>
      </c>
      <c r="J147" s="38">
        <v>276</v>
      </c>
      <c r="K147" s="38">
        <f>Table27[[#This Row],[case_price]]/Table27[[#This Row],[case_size]]</f>
        <v>23</v>
      </c>
      <c r="L147" s="4" t="s">
        <v>4215</v>
      </c>
      <c r="M147" s="4"/>
      <c r="N147" s="4" t="s">
        <v>114</v>
      </c>
      <c r="O147" s="4" t="e">
        <f>_xlfn.XLOOKUP(Table27[[#This Row],[product_name]],#REF!,#REF!,"NOT FOUND",0,1)</f>
        <v>#REF!</v>
      </c>
    </row>
    <row r="148" spans="1:15" ht="26.4" customHeight="1">
      <c r="A148" s="4" t="s">
        <v>4196</v>
      </c>
      <c r="B148" s="4" t="s">
        <v>4194</v>
      </c>
      <c r="C148" s="5" t="s">
        <v>144</v>
      </c>
      <c r="D148" s="4" t="s">
        <v>4196</v>
      </c>
      <c r="E148" s="4"/>
      <c r="G148" s="28"/>
      <c r="H148" s="4"/>
      <c r="I148" s="4">
        <v>12</v>
      </c>
      <c r="J148" s="38">
        <v>324</v>
      </c>
      <c r="K148" s="38">
        <f>Table27[[#This Row],[case_price]]/Table27[[#This Row],[case_size]]</f>
        <v>27</v>
      </c>
      <c r="L148" s="4" t="s">
        <v>4215</v>
      </c>
      <c r="M148" s="4"/>
      <c r="N148" s="4" t="s">
        <v>4198</v>
      </c>
      <c r="O148" s="4" t="e">
        <f>_xlfn.XLOOKUP(Table27[[#This Row],[product_name]],#REF!,#REF!,"NOT FOUND",0,1)</f>
        <v>#REF!</v>
      </c>
    </row>
    <row r="149" spans="1:15" ht="26.4" customHeight="1">
      <c r="A149" s="32" t="s">
        <v>19</v>
      </c>
      <c r="B149" s="4" t="s">
        <v>201</v>
      </c>
      <c r="C149" s="32" t="s">
        <v>19</v>
      </c>
      <c r="D149" s="32" t="s">
        <v>19</v>
      </c>
      <c r="E149" s="4"/>
      <c r="G149" s="28"/>
      <c r="I149" s="4" t="s">
        <v>55</v>
      </c>
      <c r="J149" s="38" t="s">
        <v>55</v>
      </c>
      <c r="K149" s="38">
        <v>14</v>
      </c>
      <c r="L149" s="4"/>
      <c r="M149" s="4"/>
      <c r="N149" s="4" t="s">
        <v>3770</v>
      </c>
      <c r="O149" s="4" t="e">
        <f>_xlfn.XLOOKUP(Table27[[#This Row],[product_name]],#REF!,#REF!,"NOT FOUND",0,1)</f>
        <v>#REF!</v>
      </c>
    </row>
    <row r="150" spans="1:15" ht="26.4" customHeight="1">
      <c r="A150" s="4" t="s">
        <v>22</v>
      </c>
      <c r="B150" s="4" t="s">
        <v>490</v>
      </c>
      <c r="C150" s="4" t="s">
        <v>22</v>
      </c>
      <c r="D150" s="28" t="s">
        <v>22</v>
      </c>
      <c r="E150" s="4"/>
      <c r="G150" s="28"/>
      <c r="H150" s="4"/>
      <c r="I150" s="4">
        <v>12</v>
      </c>
      <c r="J150" s="38">
        <f>Table27[[#This Row],[case_size]]*K150</f>
        <v>216</v>
      </c>
      <c r="K150" s="38">
        <v>18</v>
      </c>
      <c r="L150" s="4" t="s">
        <v>4215</v>
      </c>
      <c r="M150" s="4"/>
      <c r="N150" s="4" t="s">
        <v>135</v>
      </c>
      <c r="O150" s="4" t="e">
        <f>_xlfn.XLOOKUP(Table27[[#This Row],[product_name]],#REF!,#REF!,"NOT FOUND",0,1)</f>
        <v>#REF!</v>
      </c>
    </row>
    <row r="151" spans="1:15" ht="26.4" customHeight="1">
      <c r="A151" s="4" t="s">
        <v>4197</v>
      </c>
      <c r="B151" s="4" t="s">
        <v>201</v>
      </c>
      <c r="C151" s="4" t="s">
        <v>133</v>
      </c>
      <c r="D151" s="4" t="s">
        <v>133</v>
      </c>
      <c r="E151" s="4"/>
      <c r="G151" s="28"/>
      <c r="H151" s="4"/>
      <c r="I151" s="4">
        <v>12</v>
      </c>
      <c r="J151" s="38">
        <f>Table27[[#This Row],[unit_price]]*Table27[[#This Row],[case_size]]</f>
        <v>217.79999999999998</v>
      </c>
      <c r="K151" s="38">
        <v>18.149999999999999</v>
      </c>
      <c r="L151" s="4" t="s">
        <v>4215</v>
      </c>
      <c r="M151" s="4"/>
      <c r="N151" s="4" t="s">
        <v>134</v>
      </c>
      <c r="O151" s="4" t="e">
        <f>_xlfn.XLOOKUP(Table27[[#This Row],[product_name]],#REF!,#REF!,"NOT FOUND",0,1)</f>
        <v>#REF!</v>
      </c>
    </row>
    <row r="152" spans="1:15" ht="26.4" customHeight="1">
      <c r="A152" s="4" t="s">
        <v>616</v>
      </c>
      <c r="B152" s="4" t="s">
        <v>490</v>
      </c>
      <c r="C152" s="4" t="s">
        <v>31</v>
      </c>
      <c r="D152" s="4" t="s">
        <v>31</v>
      </c>
      <c r="E152" s="4"/>
      <c r="G152" s="28"/>
      <c r="H152" s="4"/>
      <c r="I152" s="4">
        <v>12</v>
      </c>
      <c r="J152" s="38">
        <f>Table27[[#This Row],[unit_price]]*Table27[[#This Row],[case_size]]</f>
        <v>216</v>
      </c>
      <c r="K152" s="38">
        <v>18</v>
      </c>
      <c r="L152" s="4" t="s">
        <v>4215</v>
      </c>
      <c r="M152" s="4"/>
      <c r="N152" s="4" t="s">
        <v>134</v>
      </c>
      <c r="O152" s="4" t="e">
        <f>_xlfn.XLOOKUP(Table27[[#This Row],[product_name]],#REF!,#REF!,"NOT FOUND",0,1)</f>
        <v>#REF!</v>
      </c>
    </row>
    <row r="153" spans="1:15" ht="26.4" customHeight="1">
      <c r="A153" s="4" t="s">
        <v>533</v>
      </c>
      <c r="B153" s="4" t="s">
        <v>490</v>
      </c>
      <c r="C153" s="4" t="s">
        <v>4195</v>
      </c>
      <c r="D153" s="28" t="s">
        <v>27</v>
      </c>
      <c r="E153" s="4"/>
      <c r="G153" s="28"/>
      <c r="H153" s="4"/>
      <c r="I153" s="4">
        <v>12</v>
      </c>
      <c r="J153" s="38">
        <f>Table27[[#This Row],[unit_price]]*Table27[[#This Row],[case_size]]</f>
        <v>181.8</v>
      </c>
      <c r="K153" s="38">
        <v>15.15</v>
      </c>
      <c r="L153" s="4" t="s">
        <v>4215</v>
      </c>
      <c r="M153" s="4"/>
      <c r="N153" s="4" t="s">
        <v>21</v>
      </c>
      <c r="O153" s="4" t="e">
        <f>_xlfn.XLOOKUP(Table27[[#This Row],[product_name]],#REF!,#REF!,"NOT FOUND",0,1)</f>
        <v>#REF!</v>
      </c>
    </row>
    <row r="154" spans="1:15" ht="26.4" customHeight="1">
      <c r="A154" s="4" t="s">
        <v>499</v>
      </c>
      <c r="B154" s="4" t="s">
        <v>490</v>
      </c>
      <c r="C154" s="4" t="s">
        <v>33</v>
      </c>
      <c r="D154" s="28" t="s">
        <v>33</v>
      </c>
      <c r="E154" s="4"/>
      <c r="G154" s="28"/>
      <c r="H154" s="4"/>
      <c r="I154" s="4">
        <v>12</v>
      </c>
      <c r="J154" s="38">
        <v>324</v>
      </c>
      <c r="K154" s="38">
        <f>Table27[[#This Row],[case_price]]/Table27[[#This Row],[case_size]]</f>
        <v>27</v>
      </c>
      <c r="L154" s="4" t="s">
        <v>4215</v>
      </c>
      <c r="M154" s="4"/>
      <c r="N154" s="4" t="s">
        <v>4091</v>
      </c>
      <c r="O154" s="4" t="e">
        <f>_xlfn.XLOOKUP(Table27[[#This Row],[product_name]],#REF!,#REF!,"NOT FOUND",0,1)</f>
        <v>#REF!</v>
      </c>
    </row>
    <row r="155" spans="1:15" ht="26.4" customHeight="1">
      <c r="A155" s="4" t="s">
        <v>3844</v>
      </c>
      <c r="B155" s="4" t="s">
        <v>504</v>
      </c>
      <c r="C155" s="4" t="s">
        <v>3943</v>
      </c>
      <c r="D155" s="28" t="s">
        <v>3943</v>
      </c>
      <c r="E155" s="4"/>
      <c r="G155" s="28"/>
      <c r="H155" s="4"/>
      <c r="I155" s="4">
        <v>12</v>
      </c>
      <c r="J155" s="38">
        <v>276</v>
      </c>
      <c r="K155" s="38">
        <f>Table27[[#This Row],[case_price]]/Table27[[#This Row],[case_size]]</f>
        <v>23</v>
      </c>
      <c r="L155" s="4" t="s">
        <v>4215</v>
      </c>
      <c r="M155" s="4"/>
      <c r="N155" s="4" t="s">
        <v>114</v>
      </c>
      <c r="O155" s="4" t="e">
        <f>_xlfn.XLOOKUP(Table27[[#This Row],[product_name]],#REF!,#REF!,"NOT FOUND",0,1)</f>
        <v>#REF!</v>
      </c>
    </row>
    <row r="156" spans="1:15" ht="26.4" customHeight="1">
      <c r="A156" s="4" t="s">
        <v>4196</v>
      </c>
      <c r="B156" s="4" t="s">
        <v>4194</v>
      </c>
      <c r="C156" s="5" t="s">
        <v>144</v>
      </c>
      <c r="D156" s="4" t="s">
        <v>4196</v>
      </c>
      <c r="E156" s="4"/>
      <c r="G156" s="28"/>
      <c r="H156" s="4"/>
      <c r="I156" s="4">
        <v>12</v>
      </c>
      <c r="J156" s="38">
        <v>324</v>
      </c>
      <c r="K156" s="38">
        <f>Table27[[#This Row],[case_price]]/Table27[[#This Row],[case_size]]</f>
        <v>27</v>
      </c>
      <c r="L156" s="4" t="s">
        <v>4215</v>
      </c>
      <c r="M156" s="4"/>
      <c r="N156" s="4" t="s">
        <v>4198</v>
      </c>
      <c r="O156" s="4" t="e">
        <f>_xlfn.XLOOKUP(Table27[[#This Row],[product_name]],#REF!,#REF!,"NOT FOUND",0,1)</f>
        <v>#REF!</v>
      </c>
    </row>
    <row r="157" spans="1:15" ht="26.4" customHeight="1">
      <c r="A157" s="32" t="s">
        <v>19</v>
      </c>
      <c r="B157" s="4" t="s">
        <v>201</v>
      </c>
      <c r="C157" s="32" t="s">
        <v>19</v>
      </c>
      <c r="D157" s="32" t="s">
        <v>19</v>
      </c>
      <c r="E157" s="4"/>
      <c r="G157" s="28"/>
      <c r="I157" s="4" t="s">
        <v>55</v>
      </c>
      <c r="J157" s="38" t="s">
        <v>55</v>
      </c>
      <c r="K157" s="38">
        <v>14</v>
      </c>
      <c r="L157" s="4"/>
      <c r="M157" s="4"/>
      <c r="N157" s="4" t="s">
        <v>3770</v>
      </c>
      <c r="O157" s="4" t="e">
        <f>_xlfn.XLOOKUP(Table27[[#This Row],[product_name]],#REF!,#REF!,"NOT FOUND",0,1)</f>
        <v>#REF!</v>
      </c>
    </row>
    <row r="158" spans="1:15" ht="26.4" customHeight="1">
      <c r="A158" s="4" t="s">
        <v>4197</v>
      </c>
      <c r="B158" s="4" t="s">
        <v>201</v>
      </c>
      <c r="C158" s="4" t="s">
        <v>133</v>
      </c>
      <c r="D158" s="4" t="s">
        <v>133</v>
      </c>
      <c r="E158" s="4"/>
      <c r="G158" s="28"/>
      <c r="H158" s="4"/>
      <c r="I158" s="4">
        <v>12</v>
      </c>
      <c r="J158" s="38">
        <f>Table27[[#This Row],[unit_price]]*Table27[[#This Row],[case_size]]</f>
        <v>217.79999999999998</v>
      </c>
      <c r="K158" s="38">
        <v>18.149999999999999</v>
      </c>
      <c r="L158" s="4" t="s">
        <v>4215</v>
      </c>
      <c r="M158" s="4"/>
      <c r="N158" s="4" t="s">
        <v>134</v>
      </c>
      <c r="O158" s="4" t="e">
        <f>_xlfn.XLOOKUP(Table27[[#This Row],[product_name]],#REF!,#REF!,"NOT FOUND",0,1)</f>
        <v>#REF!</v>
      </c>
    </row>
    <row r="159" spans="1:15" ht="26.4" customHeight="1">
      <c r="A159" s="4" t="s">
        <v>616</v>
      </c>
      <c r="B159" s="4" t="s">
        <v>490</v>
      </c>
      <c r="C159" s="4" t="s">
        <v>31</v>
      </c>
      <c r="D159" s="4" t="s">
        <v>31</v>
      </c>
      <c r="E159" s="4"/>
      <c r="G159" s="28"/>
      <c r="H159" s="4"/>
      <c r="I159" s="4">
        <v>12</v>
      </c>
      <c r="J159" s="38">
        <f>Table27[[#This Row],[unit_price]]*Table27[[#This Row],[case_size]]</f>
        <v>126</v>
      </c>
      <c r="K159" s="38">
        <v>10.5</v>
      </c>
      <c r="L159" s="4" t="s">
        <v>4208</v>
      </c>
      <c r="M159" s="4"/>
      <c r="N159" s="4" t="s">
        <v>134</v>
      </c>
      <c r="O159" s="4" t="e">
        <f>_xlfn.XLOOKUP(Table27[[#This Row],[product_name]],#REF!,#REF!,"NOT FOUND",0,1)</f>
        <v>#REF!</v>
      </c>
    </row>
    <row r="160" spans="1:15" ht="26.4" customHeight="1">
      <c r="A160" s="32" t="s">
        <v>19</v>
      </c>
      <c r="B160" s="4" t="s">
        <v>201</v>
      </c>
      <c r="C160" s="32" t="s">
        <v>19</v>
      </c>
      <c r="D160" s="32" t="s">
        <v>19</v>
      </c>
      <c r="E160" s="4"/>
      <c r="G160" s="28"/>
      <c r="I160" s="4" t="s">
        <v>55</v>
      </c>
      <c r="J160" s="38" t="s">
        <v>55</v>
      </c>
      <c r="K160" s="38">
        <v>21</v>
      </c>
      <c r="L160" s="4"/>
      <c r="M160" s="4"/>
      <c r="N160" s="4" t="s">
        <v>3770</v>
      </c>
      <c r="O160" s="4" t="e">
        <f>_xlfn.XLOOKUP(Table27[[#This Row],[product_name]],#REF!,#REF!,"NOT FOUND",0,1)</f>
        <v>#REF!</v>
      </c>
    </row>
    <row r="161" spans="1:15" ht="26.4" customHeight="1">
      <c r="A161" s="4" t="s">
        <v>3844</v>
      </c>
      <c r="B161" s="4" t="s">
        <v>4200</v>
      </c>
      <c r="C161" s="4"/>
      <c r="D161" s="28"/>
      <c r="E161" s="4"/>
      <c r="G161" s="28"/>
      <c r="H161" s="4"/>
      <c r="I161" s="4">
        <v>12</v>
      </c>
      <c r="J161" s="38">
        <v>331.2</v>
      </c>
      <c r="K161" s="38">
        <f>Table27[[#This Row],[case_price]]/Table27[[#This Row],[case_size]]</f>
        <v>27.599999999999998</v>
      </c>
      <c r="L161" s="4"/>
      <c r="M161" s="4"/>
      <c r="N161" s="4" t="s">
        <v>114</v>
      </c>
      <c r="O161" s="4" t="e">
        <f>_xlfn.XLOOKUP(Table27[[#This Row],[product_name]],#REF!,#REF!,"NOT FOUND",0,1)</f>
        <v>#REF!</v>
      </c>
    </row>
    <row r="162" spans="1:15" ht="26.4" customHeight="1">
      <c r="A162" s="4" t="s">
        <v>533</v>
      </c>
      <c r="B162" s="4" t="s">
        <v>490</v>
      </c>
      <c r="C162" s="4" t="s">
        <v>4195</v>
      </c>
      <c r="D162" s="28" t="s">
        <v>27</v>
      </c>
      <c r="E162" s="4"/>
      <c r="G162" s="28"/>
      <c r="H162" s="4"/>
      <c r="I162" s="4">
        <v>12</v>
      </c>
      <c r="J162" s="38">
        <f>Table27[[#This Row],[unit_price]]*Table27[[#This Row],[case_size]]</f>
        <v>144</v>
      </c>
      <c r="K162" s="38">
        <v>12</v>
      </c>
      <c r="L162" s="4" t="s">
        <v>4215</v>
      </c>
      <c r="M162" s="4"/>
      <c r="N162" s="4" t="s">
        <v>132</v>
      </c>
      <c r="O162" s="4" t="e">
        <f>_xlfn.XLOOKUP(Table27[[#This Row],[product_name]],#REF!,#REF!,"NOT FOUND",0,1)</f>
        <v>#REF!</v>
      </c>
    </row>
    <row r="163" spans="1:15" ht="26.4" customHeight="1">
      <c r="A163" s="4" t="s">
        <v>499</v>
      </c>
      <c r="B163" s="4" t="s">
        <v>490</v>
      </c>
      <c r="C163" s="4" t="s">
        <v>33</v>
      </c>
      <c r="D163" s="28" t="s">
        <v>33</v>
      </c>
      <c r="E163" s="4"/>
      <c r="G163" s="28"/>
      <c r="H163" s="4"/>
      <c r="I163" s="4">
        <v>12</v>
      </c>
      <c r="J163" s="38">
        <v>240</v>
      </c>
      <c r="K163" s="38">
        <f>Table27[[#This Row],[case_price]]/Table27[[#This Row],[case_size]]</f>
        <v>20</v>
      </c>
      <c r="L163" s="4" t="s">
        <v>4215</v>
      </c>
      <c r="M163" s="4"/>
      <c r="N163" s="4" t="s">
        <v>4091</v>
      </c>
      <c r="O163" s="4" t="e">
        <f>_xlfn.XLOOKUP(Table27[[#This Row],[product_name]],#REF!,#REF!,"NOT FOUND",0,1)</f>
        <v>#REF!</v>
      </c>
    </row>
    <row r="164" spans="1:15" ht="26.4" customHeight="1">
      <c r="A164" s="4" t="s">
        <v>3844</v>
      </c>
      <c r="B164" s="4" t="s">
        <v>504</v>
      </c>
      <c r="C164" s="4" t="s">
        <v>3943</v>
      </c>
      <c r="D164" s="28" t="s">
        <v>3943</v>
      </c>
      <c r="E164" s="4"/>
      <c r="G164" s="28"/>
      <c r="H164" s="4"/>
      <c r="I164" s="4">
        <v>12</v>
      </c>
      <c r="J164" s="38">
        <f>17.25*12</f>
        <v>207</v>
      </c>
      <c r="K164" s="38">
        <v>12.7</v>
      </c>
      <c r="L164" s="4" t="s">
        <v>4215</v>
      </c>
      <c r="M164" s="4"/>
      <c r="N164" s="4" t="s">
        <v>114</v>
      </c>
      <c r="O164" s="4" t="e">
        <f>_xlfn.XLOOKUP(Table27[[#This Row],[product_name]],#REF!,#REF!,"NOT FOUND",0,1)</f>
        <v>#REF!</v>
      </c>
    </row>
    <row r="165" spans="1:15" ht="26.4" customHeight="1">
      <c r="A165" s="4" t="s">
        <v>4196</v>
      </c>
      <c r="B165" s="4" t="s">
        <v>4194</v>
      </c>
      <c r="C165" s="5" t="s">
        <v>144</v>
      </c>
      <c r="D165" s="4" t="s">
        <v>4196</v>
      </c>
      <c r="E165" s="4"/>
      <c r="G165" s="28"/>
      <c r="H165" s="4"/>
      <c r="I165" s="4">
        <v>12</v>
      </c>
      <c r="J165" s="38">
        <v>240</v>
      </c>
      <c r="K165" s="38">
        <f>Table27[[#This Row],[case_price]]/Table27[[#This Row],[case_size]]</f>
        <v>20</v>
      </c>
      <c r="L165" s="4" t="s">
        <v>4215</v>
      </c>
      <c r="M165" s="4"/>
      <c r="N165" s="4" t="s">
        <v>4198</v>
      </c>
      <c r="O165" s="4" t="e">
        <f>_xlfn.XLOOKUP(Table27[[#This Row],[product_name]],#REF!,#REF!,"NOT FOUND",0,1)</f>
        <v>#REF!</v>
      </c>
    </row>
    <row r="166" spans="1:15" ht="26.4" customHeight="1">
      <c r="A166" s="4" t="s">
        <v>24</v>
      </c>
      <c r="B166" s="4" t="s">
        <v>490</v>
      </c>
      <c r="C166" s="4" t="s">
        <v>24</v>
      </c>
      <c r="D166" s="28" t="s">
        <v>24</v>
      </c>
      <c r="E166" s="4"/>
      <c r="G166" s="28"/>
      <c r="H166" s="4"/>
      <c r="I166" s="4">
        <v>12</v>
      </c>
      <c r="J166" s="38">
        <v>180</v>
      </c>
      <c r="K166" s="38">
        <f>Table27[[#This Row],[case_price]]/Table27[[#This Row],[case_size]]</f>
        <v>15</v>
      </c>
      <c r="L166" s="4" t="s">
        <v>4215</v>
      </c>
      <c r="M166" s="4"/>
      <c r="N166" s="4" t="s">
        <v>114</v>
      </c>
      <c r="O166" s="4" t="e">
        <f>_xlfn.XLOOKUP(Table27[[#This Row],[product_name]],#REF!,#REF!,"NOT FOUND",0,1)</f>
        <v>#REF!</v>
      </c>
    </row>
    <row r="167" spans="1:15" ht="26.4" customHeight="1">
      <c r="A167" s="4" t="s">
        <v>4197</v>
      </c>
      <c r="B167" s="4" t="s">
        <v>201</v>
      </c>
      <c r="C167" s="4" t="s">
        <v>133</v>
      </c>
      <c r="D167" s="4" t="s">
        <v>133</v>
      </c>
      <c r="E167" s="4"/>
      <c r="G167" s="28"/>
      <c r="H167" s="4"/>
      <c r="I167" s="4">
        <v>12</v>
      </c>
      <c r="J167" s="38">
        <f>Table27[[#This Row],[unit_price]]*Table27[[#This Row],[case_size]]</f>
        <v>197.16</v>
      </c>
      <c r="K167" s="38">
        <v>16.43</v>
      </c>
      <c r="L167" s="4" t="s">
        <v>4215</v>
      </c>
      <c r="M167" s="4"/>
      <c r="N167" s="4" t="s">
        <v>134</v>
      </c>
      <c r="O167" s="4" t="e">
        <f>_xlfn.XLOOKUP(Table27[[#This Row],[product_name]],#REF!,#REF!,"NOT FOUND",0,1)</f>
        <v>#REF!</v>
      </c>
    </row>
    <row r="168" spans="1:15" ht="26.4" customHeight="1">
      <c r="A168" s="4" t="s">
        <v>616</v>
      </c>
      <c r="B168" s="4" t="s">
        <v>490</v>
      </c>
      <c r="C168" s="4" t="s">
        <v>31</v>
      </c>
      <c r="D168" s="4" t="s">
        <v>31</v>
      </c>
      <c r="E168" s="4"/>
      <c r="G168" s="28"/>
      <c r="H168" s="4"/>
      <c r="I168" s="4">
        <v>12</v>
      </c>
      <c r="J168" s="38">
        <f>Table27[[#This Row],[unit_price]]*Table27[[#This Row],[case_size]]</f>
        <v>90</v>
      </c>
      <c r="K168" s="38">
        <v>7.5</v>
      </c>
      <c r="L168" s="4" t="s">
        <v>4208</v>
      </c>
      <c r="M168" s="4"/>
      <c r="N168" s="4" t="s">
        <v>134</v>
      </c>
      <c r="O168" s="4" t="e">
        <f>_xlfn.XLOOKUP(Table27[[#This Row],[product_name]],#REF!,#REF!,"NOT FOUND",0,1)</f>
        <v>#REF!</v>
      </c>
    </row>
    <row r="169" spans="1:15" ht="26.4" customHeight="1">
      <c r="A169" s="4" t="s">
        <v>533</v>
      </c>
      <c r="B169" s="4" t="s">
        <v>490</v>
      </c>
      <c r="C169" s="4" t="s">
        <v>4195</v>
      </c>
      <c r="D169" s="28" t="s">
        <v>27</v>
      </c>
      <c r="E169" s="4"/>
      <c r="G169" s="28"/>
      <c r="H169" s="4"/>
      <c r="I169" s="4">
        <v>12</v>
      </c>
      <c r="J169" s="38">
        <f>Table27[[#This Row],[unit_price]]*Table27[[#This Row],[case_size]]</f>
        <v>144</v>
      </c>
      <c r="K169" s="38">
        <v>12</v>
      </c>
      <c r="L169" s="4" t="s">
        <v>4215</v>
      </c>
      <c r="M169" s="4"/>
      <c r="N169" s="4" t="s">
        <v>132</v>
      </c>
      <c r="O169" s="4" t="e">
        <f>_xlfn.XLOOKUP(Table27[[#This Row],[product_name]],#REF!,#REF!,"NOT FOUND",0,1)</f>
        <v>#REF!</v>
      </c>
    </row>
    <row r="170" spans="1:15" ht="26.4" customHeight="1">
      <c r="A170" s="4" t="s">
        <v>499</v>
      </c>
      <c r="B170" s="4" t="s">
        <v>490</v>
      </c>
      <c r="C170" s="4" t="s">
        <v>33</v>
      </c>
      <c r="D170" s="28" t="s">
        <v>33</v>
      </c>
      <c r="E170" s="4"/>
      <c r="G170" s="28"/>
      <c r="H170" s="4"/>
      <c r="I170" s="4">
        <v>12</v>
      </c>
      <c r="J170" s="38">
        <v>240</v>
      </c>
      <c r="K170" s="38">
        <f>Table27[[#This Row],[case_price]]/Table27[[#This Row],[case_size]]</f>
        <v>20</v>
      </c>
      <c r="L170" s="4" t="s">
        <v>4215</v>
      </c>
      <c r="M170" s="4"/>
      <c r="N170" s="4" t="s">
        <v>4091</v>
      </c>
      <c r="O170" s="4" t="e">
        <f>_xlfn.XLOOKUP(Table27[[#This Row],[product_name]],#REF!,#REF!,"NOT FOUND",0,1)</f>
        <v>#REF!</v>
      </c>
    </row>
    <row r="171" spans="1:15" ht="26.4" customHeight="1">
      <c r="A171" s="4" t="s">
        <v>3844</v>
      </c>
      <c r="B171" s="4" t="s">
        <v>504</v>
      </c>
      <c r="C171" s="4" t="s">
        <v>3943</v>
      </c>
      <c r="D171" s="28" t="s">
        <v>3943</v>
      </c>
      <c r="E171" s="4"/>
      <c r="G171" s="28"/>
      <c r="H171" s="4"/>
      <c r="I171" s="4">
        <v>12</v>
      </c>
      <c r="J171" s="38">
        <f>17.25*12</f>
        <v>207</v>
      </c>
      <c r="K171" s="38">
        <v>15</v>
      </c>
      <c r="L171" s="4" t="s">
        <v>4215</v>
      </c>
      <c r="M171" s="4"/>
      <c r="N171" s="4" t="s">
        <v>114</v>
      </c>
      <c r="O171" s="4" t="e">
        <f>_xlfn.XLOOKUP(Table27[[#This Row],[product_name]],#REF!,#REF!,"NOT FOUND",0,1)</f>
        <v>#REF!</v>
      </c>
    </row>
    <row r="172" spans="1:15" ht="26.4" customHeight="1">
      <c r="A172" s="4" t="s">
        <v>4196</v>
      </c>
      <c r="B172" s="4" t="s">
        <v>4194</v>
      </c>
      <c r="C172" s="5" t="s">
        <v>144</v>
      </c>
      <c r="D172" s="4" t="s">
        <v>4196</v>
      </c>
      <c r="E172" s="4"/>
      <c r="G172" s="28"/>
      <c r="H172" s="4"/>
      <c r="I172" s="4">
        <v>12</v>
      </c>
      <c r="J172" s="38">
        <v>240</v>
      </c>
      <c r="K172" s="38">
        <f>Table27[[#This Row],[case_price]]/Table27[[#This Row],[case_size]]</f>
        <v>20</v>
      </c>
      <c r="L172" s="4" t="s">
        <v>4215</v>
      </c>
      <c r="M172" s="4"/>
      <c r="N172" s="4" t="s">
        <v>4198</v>
      </c>
      <c r="O172" s="4" t="e">
        <f>_xlfn.XLOOKUP(Table27[[#This Row],[product_name]],#REF!,#REF!,"NOT FOUND",0,1)</f>
        <v>#REF!</v>
      </c>
    </row>
    <row r="173" spans="1:15" ht="26.4" customHeight="1">
      <c r="A173" s="4" t="s">
        <v>24</v>
      </c>
      <c r="B173" s="4" t="s">
        <v>490</v>
      </c>
      <c r="C173" s="4" t="s">
        <v>24</v>
      </c>
      <c r="D173" s="28" t="s">
        <v>24</v>
      </c>
      <c r="E173" s="4"/>
      <c r="G173" s="28"/>
      <c r="H173" s="4"/>
      <c r="I173" s="4">
        <v>12</v>
      </c>
      <c r="J173" s="38">
        <v>180</v>
      </c>
      <c r="K173" s="38">
        <f>Table27[[#This Row],[case_price]]/Table27[[#This Row],[case_size]]</f>
        <v>15</v>
      </c>
      <c r="L173" s="4" t="s">
        <v>4215</v>
      </c>
      <c r="M173" s="4"/>
      <c r="N173" s="4" t="s">
        <v>114</v>
      </c>
      <c r="O173" s="4" t="e">
        <f>_xlfn.XLOOKUP(Table27[[#This Row],[product_name]],#REF!,#REF!,"NOT FOUND",0,1)</f>
        <v>#REF!</v>
      </c>
    </row>
    <row r="174" spans="1:15" ht="26.4" customHeight="1">
      <c r="A174" s="4" t="s">
        <v>22</v>
      </c>
      <c r="B174" s="4" t="s">
        <v>490</v>
      </c>
      <c r="C174" s="4" t="s">
        <v>22</v>
      </c>
      <c r="D174" s="28" t="s">
        <v>22</v>
      </c>
      <c r="E174" s="4"/>
      <c r="G174" s="28"/>
      <c r="H174" s="4"/>
      <c r="I174" s="4">
        <v>12</v>
      </c>
      <c r="J174" s="38">
        <f>Table27[[#This Row],[case_size]]*K174</f>
        <v>180</v>
      </c>
      <c r="K174" s="38">
        <v>15</v>
      </c>
      <c r="L174" s="4" t="s">
        <v>4215</v>
      </c>
      <c r="M174" s="4"/>
      <c r="N174" s="4" t="s">
        <v>135</v>
      </c>
      <c r="O174" s="4" t="e">
        <f>_xlfn.XLOOKUP(Table27[[#This Row],[product_name]],#REF!,#REF!,"NOT FOUND",0,1)</f>
        <v>#REF!</v>
      </c>
    </row>
    <row r="175" spans="1:15" ht="26.4" customHeight="1">
      <c r="A175" s="4" t="s">
        <v>4197</v>
      </c>
      <c r="B175" s="4" t="s">
        <v>201</v>
      </c>
      <c r="C175" s="4" t="s">
        <v>133</v>
      </c>
      <c r="D175" s="4" t="s">
        <v>133</v>
      </c>
      <c r="E175" s="4"/>
      <c r="G175" s="28"/>
      <c r="H175" s="4"/>
      <c r="I175" s="4">
        <v>12</v>
      </c>
      <c r="J175" s="38">
        <f>Table27[[#This Row],[unit_price]]*Table27[[#This Row],[case_size]]</f>
        <v>197.16</v>
      </c>
      <c r="K175" s="38">
        <v>16.43</v>
      </c>
      <c r="L175" s="4" t="s">
        <v>4215</v>
      </c>
      <c r="M175" s="4"/>
      <c r="N175" s="4" t="s">
        <v>134</v>
      </c>
      <c r="O175" s="4" t="e">
        <f>_xlfn.XLOOKUP(Table27[[#This Row],[product_name]],#REF!,#REF!,"NOT FOUND",0,1)</f>
        <v>#REF!</v>
      </c>
    </row>
    <row r="176" spans="1:15" ht="26.4" customHeight="1">
      <c r="A176" s="4" t="s">
        <v>616</v>
      </c>
      <c r="B176" s="4" t="s">
        <v>490</v>
      </c>
      <c r="C176" s="4" t="s">
        <v>31</v>
      </c>
      <c r="D176" s="4" t="s">
        <v>31</v>
      </c>
      <c r="E176" s="4"/>
      <c r="G176" s="28"/>
      <c r="H176" s="4"/>
      <c r="I176" s="4">
        <v>12</v>
      </c>
      <c r="J176" s="38">
        <f>Table27[[#This Row],[unit_price]]*Table27[[#This Row],[case_size]]</f>
        <v>90</v>
      </c>
      <c r="K176" s="38">
        <v>7.5</v>
      </c>
      <c r="L176" s="4" t="s">
        <v>4208</v>
      </c>
      <c r="M176" s="4"/>
      <c r="N176" s="4" t="s">
        <v>134</v>
      </c>
      <c r="O176" s="4" t="e">
        <f>_xlfn.XLOOKUP(Table27[[#This Row],[product_name]],#REF!,#REF!,"NOT FOUND",0,1)</f>
        <v>#REF!</v>
      </c>
    </row>
    <row r="177" spans="1:15" ht="26.4" customHeight="1">
      <c r="A177" s="4" t="s">
        <v>533</v>
      </c>
      <c r="B177" s="4" t="s">
        <v>490</v>
      </c>
      <c r="C177" s="4" t="s">
        <v>4195</v>
      </c>
      <c r="D177" s="28" t="s">
        <v>27</v>
      </c>
      <c r="E177" s="4"/>
      <c r="G177" s="28"/>
      <c r="H177" s="4"/>
      <c r="I177" s="4">
        <v>12</v>
      </c>
      <c r="J177" s="38">
        <v>180</v>
      </c>
      <c r="K177" s="38">
        <v>12</v>
      </c>
      <c r="L177" s="4" t="s">
        <v>4215</v>
      </c>
      <c r="M177" s="4"/>
      <c r="N177" s="4" t="s">
        <v>21</v>
      </c>
      <c r="O177" s="4" t="e">
        <f>_xlfn.XLOOKUP(Table27[[#This Row],[product_name]],#REF!,#REF!,"NOT FOUND",0,1)</f>
        <v>#REF!</v>
      </c>
    </row>
    <row r="178" spans="1:15" ht="26.4" customHeight="1">
      <c r="A178" s="4" t="s">
        <v>499</v>
      </c>
      <c r="B178" s="4" t="s">
        <v>490</v>
      </c>
      <c r="C178" s="4" t="s">
        <v>33</v>
      </c>
      <c r="D178" s="28" t="s">
        <v>33</v>
      </c>
      <c r="E178" s="4"/>
      <c r="G178" s="28"/>
      <c r="H178" s="4"/>
      <c r="I178" s="4">
        <v>12</v>
      </c>
      <c r="J178" s="38">
        <v>240</v>
      </c>
      <c r="K178" s="38">
        <f>Table27[[#This Row],[case_price]]/Table27[[#This Row],[case_size]]</f>
        <v>20</v>
      </c>
      <c r="L178" s="4" t="s">
        <v>4215</v>
      </c>
      <c r="M178" s="4"/>
      <c r="N178" s="4" t="s">
        <v>4091</v>
      </c>
      <c r="O178" s="4" t="e">
        <f>_xlfn.XLOOKUP(Table27[[#This Row],[product_name]],#REF!,#REF!,"NOT FOUND",0,1)</f>
        <v>#REF!</v>
      </c>
    </row>
    <row r="179" spans="1:15" ht="26.4" customHeight="1">
      <c r="A179" s="4" t="s">
        <v>3844</v>
      </c>
      <c r="B179" s="4" t="s">
        <v>504</v>
      </c>
      <c r="C179" s="4" t="s">
        <v>3943</v>
      </c>
      <c r="D179" s="28" t="s">
        <v>3943</v>
      </c>
      <c r="E179" s="4"/>
      <c r="G179" s="28"/>
      <c r="H179" s="4"/>
      <c r="I179" s="4">
        <v>12</v>
      </c>
      <c r="J179" s="38">
        <v>234.48</v>
      </c>
      <c r="K179" s="38">
        <f>Table27[[#This Row],[case_price]]/Table27[[#This Row],[case_size]]</f>
        <v>19.54</v>
      </c>
      <c r="L179" s="4" t="s">
        <v>4215</v>
      </c>
      <c r="M179" s="4"/>
      <c r="N179" s="4" t="s">
        <v>114</v>
      </c>
      <c r="O179" s="4" t="e">
        <f>_xlfn.XLOOKUP(Table27[[#This Row],[product_name]],#REF!,#REF!,"NOT FOUND",0,1)</f>
        <v>#REF!</v>
      </c>
    </row>
    <row r="180" spans="1:15" ht="26.4" customHeight="1">
      <c r="A180" s="4" t="s">
        <v>4196</v>
      </c>
      <c r="B180" s="4" t="s">
        <v>4194</v>
      </c>
      <c r="C180" s="5" t="s">
        <v>144</v>
      </c>
      <c r="D180" s="4" t="s">
        <v>4196</v>
      </c>
      <c r="E180" s="4"/>
      <c r="G180" s="28"/>
      <c r="H180" s="4"/>
      <c r="I180" s="4">
        <v>12</v>
      </c>
      <c r="J180" s="38">
        <v>240</v>
      </c>
      <c r="K180" s="38">
        <f>Table27[[#This Row],[case_price]]/Table27[[#This Row],[case_size]]</f>
        <v>20</v>
      </c>
      <c r="L180" s="4" t="s">
        <v>4215</v>
      </c>
      <c r="M180" s="4"/>
      <c r="N180" s="4" t="s">
        <v>4198</v>
      </c>
      <c r="O180" s="4" t="e">
        <f>_xlfn.XLOOKUP(Table27[[#This Row],[product_name]],#REF!,#REF!,"NOT FOUND",0,1)</f>
        <v>#REF!</v>
      </c>
    </row>
    <row r="181" spans="1:15" ht="26.4" customHeight="1">
      <c r="A181" s="4" t="s">
        <v>22</v>
      </c>
      <c r="B181" s="4" t="s">
        <v>490</v>
      </c>
      <c r="C181" s="4" t="s">
        <v>22</v>
      </c>
      <c r="D181" s="28" t="s">
        <v>22</v>
      </c>
      <c r="E181" s="4"/>
      <c r="G181" s="28"/>
      <c r="H181" s="4"/>
      <c r="I181" s="4">
        <v>12</v>
      </c>
      <c r="J181" s="38">
        <f>Table27[[#This Row],[case_size]]*K181</f>
        <v>180</v>
      </c>
      <c r="K181" s="38">
        <v>15</v>
      </c>
      <c r="L181" s="4" t="s">
        <v>4215</v>
      </c>
      <c r="M181" s="4"/>
      <c r="N181" s="4" t="s">
        <v>135</v>
      </c>
      <c r="O181" s="4" t="e">
        <f>_xlfn.XLOOKUP(Table27[[#This Row],[product_name]],#REF!,#REF!,"NOT FOUND",0,1)</f>
        <v>#REF!</v>
      </c>
    </row>
    <row r="182" spans="1:15" ht="26.4" customHeight="1">
      <c r="A182" s="4" t="s">
        <v>616</v>
      </c>
      <c r="B182" s="4" t="s">
        <v>490</v>
      </c>
      <c r="C182" s="15" t="s">
        <v>31</v>
      </c>
      <c r="D182" s="4" t="s">
        <v>31</v>
      </c>
      <c r="E182" s="4"/>
      <c r="G182" s="28"/>
      <c r="I182" s="4">
        <v>12</v>
      </c>
      <c r="J182" s="38">
        <f>Table27[[#This Row],[unit_price]]*Table27[[#This Row],[case_size]]</f>
        <v>90</v>
      </c>
      <c r="K182" s="38">
        <v>7.5</v>
      </c>
      <c r="L182" s="4" t="s">
        <v>4208</v>
      </c>
      <c r="M182" s="4"/>
      <c r="N182" s="4" t="s">
        <v>134</v>
      </c>
      <c r="O182" s="4" t="e">
        <f>_xlfn.XLOOKUP(Table27[[#This Row],[product_name]],#REF!,#REF!,"NOT FOUND",0,1)</f>
        <v>#REF!</v>
      </c>
    </row>
    <row r="183" spans="1:15" ht="26.4" customHeight="1">
      <c r="A183" s="4" t="s">
        <v>4197</v>
      </c>
      <c r="B183" s="4" t="s">
        <v>201</v>
      </c>
      <c r="C183" s="15" t="s">
        <v>133</v>
      </c>
      <c r="D183" s="4" t="s">
        <v>133</v>
      </c>
      <c r="E183" s="4"/>
      <c r="G183" s="28"/>
      <c r="H183" s="4"/>
      <c r="I183" s="4">
        <v>12</v>
      </c>
      <c r="J183" s="38">
        <f>Table27[[#This Row],[unit_price]]*Table27[[#This Row],[case_size]]</f>
        <v>197.16</v>
      </c>
      <c r="K183" s="38">
        <v>16.43</v>
      </c>
      <c r="L183" s="4" t="s">
        <v>4215</v>
      </c>
      <c r="M183" s="4"/>
      <c r="N183" s="4" t="s">
        <v>134</v>
      </c>
      <c r="O183" s="4" t="e">
        <f>_xlfn.XLOOKUP(Table27[[#This Row],[product_name]],#REF!,#REF!,"NOT FOUND",0,1)</f>
        <v>#REF!</v>
      </c>
    </row>
    <row r="184" spans="1:15" ht="26.4" customHeight="1">
      <c r="A184" s="4" t="s">
        <v>499</v>
      </c>
      <c r="B184" s="4" t="s">
        <v>490</v>
      </c>
      <c r="C184" s="4" t="s">
        <v>33</v>
      </c>
      <c r="D184" s="28" t="s">
        <v>33</v>
      </c>
      <c r="E184" s="4"/>
      <c r="G184" s="25"/>
      <c r="I184" s="4">
        <v>12</v>
      </c>
      <c r="J184" s="38">
        <v>336</v>
      </c>
      <c r="K184" s="38">
        <f>Table27[[#This Row],[case_price]]/Table27[[#This Row],[case_size]]</f>
        <v>28</v>
      </c>
      <c r="L184" s="4"/>
      <c r="M184" s="4"/>
      <c r="N184" s="4" t="s">
        <v>34</v>
      </c>
      <c r="O184" s="4" t="e">
        <f>_xlfn.XLOOKUP(Table27[[#This Row],[product_name]],#REF!,#REF!,"NOT FOUND",0,1)</f>
        <v>#REF!</v>
      </c>
    </row>
    <row r="185" spans="1:15" ht="26.4" customHeight="1">
      <c r="A185" s="4" t="s">
        <v>3844</v>
      </c>
      <c r="B185" s="4" t="s">
        <v>504</v>
      </c>
      <c r="C185" s="4" t="s">
        <v>3943</v>
      </c>
      <c r="D185" s="28" t="s">
        <v>3943</v>
      </c>
      <c r="E185" s="4"/>
      <c r="G185" s="28"/>
      <c r="H185" s="4"/>
      <c r="I185" s="4">
        <v>12</v>
      </c>
      <c r="J185" s="38">
        <v>372.6</v>
      </c>
      <c r="K185" s="38">
        <f>Table27[[#This Row],[case_price]]/Table27[[#This Row],[case_size]]</f>
        <v>31.05</v>
      </c>
      <c r="L185" s="4"/>
      <c r="M185" s="4"/>
      <c r="N185" s="4" t="s">
        <v>114</v>
      </c>
      <c r="O185" s="4" t="e">
        <f>_xlfn.XLOOKUP(Table27[[#This Row],[product_name]],#REF!,#REF!,"NOT FOUND",0,1)</f>
        <v>#REF!</v>
      </c>
    </row>
    <row r="186" spans="1:15" ht="26.4" customHeight="1">
      <c r="A186" s="32" t="s">
        <v>19</v>
      </c>
      <c r="B186" s="4" t="s">
        <v>201</v>
      </c>
      <c r="C186" s="32" t="s">
        <v>19</v>
      </c>
      <c r="D186" s="32" t="s">
        <v>19</v>
      </c>
      <c r="E186" s="4"/>
      <c r="G186" s="28"/>
      <c r="I186" s="4" t="s">
        <v>55</v>
      </c>
      <c r="J186" s="38" t="s">
        <v>55</v>
      </c>
      <c r="K186" s="38">
        <v>15</v>
      </c>
      <c r="L186" s="4"/>
      <c r="M186" s="4"/>
      <c r="N186" s="4" t="s">
        <v>3770</v>
      </c>
      <c r="O186" s="4" t="e">
        <f>_xlfn.XLOOKUP(Table27[[#This Row],[product_name]],#REF!,#REF!,"NOT FOUND",0,1)</f>
        <v>#REF!</v>
      </c>
    </row>
    <row r="187" spans="1:15" ht="26.4" customHeight="1">
      <c r="A187" s="4" t="s">
        <v>3844</v>
      </c>
      <c r="B187" s="4" t="s">
        <v>504</v>
      </c>
      <c r="C187" s="4" t="s">
        <v>3943</v>
      </c>
      <c r="D187" s="28" t="s">
        <v>3943</v>
      </c>
      <c r="E187" s="4"/>
      <c r="G187" s="28"/>
      <c r="H187" s="4"/>
      <c r="I187" s="4">
        <v>12</v>
      </c>
      <c r="J187" s="38">
        <f>43.68*12</f>
        <v>524.16</v>
      </c>
      <c r="K187" s="38">
        <f>Table27[[#This Row],[case_price]]/Table27[[#This Row],[case_size]]</f>
        <v>43.68</v>
      </c>
      <c r="L187" s="4"/>
      <c r="M187" s="4"/>
      <c r="N187" s="4" t="s">
        <v>114</v>
      </c>
      <c r="O187" s="4" t="e">
        <f>_xlfn.XLOOKUP(Table27[[#This Row],[product_name]],#REF!,#REF!,"NOT FOUND",0,1)</f>
        <v>#REF!</v>
      </c>
    </row>
    <row r="188" spans="1:15" ht="26.4" customHeight="1">
      <c r="A188" s="32" t="s">
        <v>19</v>
      </c>
      <c r="B188" s="4" t="s">
        <v>201</v>
      </c>
      <c r="C188" s="32" t="s">
        <v>19</v>
      </c>
      <c r="D188" s="32" t="s">
        <v>19</v>
      </c>
      <c r="E188" s="4"/>
      <c r="G188" s="28"/>
      <c r="I188" s="4" t="s">
        <v>55</v>
      </c>
      <c r="J188" s="38" t="s">
        <v>55</v>
      </c>
      <c r="K188" s="38">
        <v>35</v>
      </c>
      <c r="L188" s="4"/>
      <c r="M188" s="4"/>
      <c r="N188" s="4" t="s">
        <v>3770</v>
      </c>
      <c r="O188" s="4" t="e">
        <f>_xlfn.XLOOKUP(Table27[[#This Row],[product_name]],#REF!,#REF!,"NOT FOUND",0,1)</f>
        <v>#REF!</v>
      </c>
    </row>
    <row r="189" spans="1:15" ht="26.4" customHeight="1">
      <c r="A189" s="4" t="s">
        <v>25</v>
      </c>
      <c r="B189" s="4" t="s">
        <v>490</v>
      </c>
      <c r="C189" s="4" t="s">
        <v>25</v>
      </c>
      <c r="D189" s="28" t="s">
        <v>25</v>
      </c>
      <c r="E189" s="4"/>
      <c r="G189" s="28"/>
      <c r="H189" s="4"/>
      <c r="I189" s="4">
        <v>6</v>
      </c>
      <c r="J189" s="38">
        <v>93.96</v>
      </c>
      <c r="K189" s="38">
        <f>Table27[[#This Row],[case_price]]/Table27[[#This Row],[case_size]]</f>
        <v>15.659999999999998</v>
      </c>
      <c r="L189" s="4" t="s">
        <v>4216</v>
      </c>
      <c r="M189" s="4">
        <v>6.4</v>
      </c>
      <c r="N189" s="4" t="s">
        <v>4150</v>
      </c>
      <c r="O189" s="4" t="e">
        <f>_xlfn.XLOOKUP(Table27[[#This Row],[product_name]],#REF!,#REF!,"NOT FOUND",0,1)</f>
        <v>#REF!</v>
      </c>
    </row>
    <row r="190" spans="1:15" ht="26.4" customHeight="1">
      <c r="A190" s="4" t="s">
        <v>4197</v>
      </c>
      <c r="B190" s="4" t="s">
        <v>201</v>
      </c>
      <c r="C190" s="4" t="s">
        <v>133</v>
      </c>
      <c r="D190" s="4" t="s">
        <v>133</v>
      </c>
      <c r="E190" s="4"/>
      <c r="G190" s="28"/>
      <c r="H190" s="4"/>
      <c r="I190" s="4">
        <v>6</v>
      </c>
      <c r="J190" s="38">
        <f>23*6</f>
        <v>138</v>
      </c>
      <c r="K190" s="38">
        <f>Table27[[#This Row],[case_price]]/Table27[[#This Row],[case_size]]</f>
        <v>23</v>
      </c>
      <c r="L190" s="4"/>
      <c r="M190" s="4"/>
      <c r="N190" s="4" t="s">
        <v>134</v>
      </c>
      <c r="O190" s="4" t="e">
        <f>_xlfn.XLOOKUP(Table27[[#This Row],[product_name]],#REF!,#REF!,"NOT FOUND",0,1)</f>
        <v>#REF!</v>
      </c>
    </row>
    <row r="191" spans="1:15" ht="26.4" customHeight="1">
      <c r="A191" s="4" t="s">
        <v>533</v>
      </c>
      <c r="B191" s="4" t="s">
        <v>490</v>
      </c>
      <c r="C191" s="4" t="s">
        <v>4195</v>
      </c>
      <c r="D191" s="28" t="s">
        <v>27</v>
      </c>
      <c r="E191" s="4"/>
      <c r="G191" s="28"/>
      <c r="H191" s="4"/>
      <c r="I191" s="4">
        <v>12</v>
      </c>
      <c r="J191" s="38">
        <f>Table27[[#This Row],[unit_price]]*Table27[[#This Row],[case_size]]</f>
        <v>159.60000000000002</v>
      </c>
      <c r="K191" s="38">
        <v>13.3</v>
      </c>
      <c r="L191" s="4"/>
      <c r="M191" s="4"/>
      <c r="N191" s="4" t="s">
        <v>132</v>
      </c>
      <c r="O191" s="4" t="e">
        <f>_xlfn.XLOOKUP(Table27[[#This Row],[product_name]],#REF!,#REF!,"NOT FOUND",0,1)</f>
        <v>#REF!</v>
      </c>
    </row>
    <row r="192" spans="1:15" ht="26.4" customHeight="1">
      <c r="A192" s="4" t="s">
        <v>3844</v>
      </c>
      <c r="B192" s="4" t="s">
        <v>504</v>
      </c>
      <c r="C192" s="4" t="s">
        <v>3943</v>
      </c>
      <c r="D192" s="28" t="s">
        <v>3943</v>
      </c>
      <c r="E192" s="4"/>
      <c r="G192" s="28"/>
      <c r="H192" s="4"/>
      <c r="I192" s="4">
        <v>12</v>
      </c>
      <c r="J192" s="38">
        <v>168</v>
      </c>
      <c r="K192" s="38">
        <f>Table27[[#This Row],[case_price]]/Table27[[#This Row],[case_size]]</f>
        <v>14</v>
      </c>
      <c r="L192" s="4"/>
      <c r="M192" s="4"/>
      <c r="N192" s="4" t="s">
        <v>114</v>
      </c>
      <c r="O192" s="4" t="e">
        <f>_xlfn.XLOOKUP(Table27[[#This Row],[product_name]],#REF!,#REF!,"NOT FOUND",0,1)</f>
        <v>#REF!</v>
      </c>
    </row>
    <row r="193" spans="1:15" ht="26.4" customHeight="1">
      <c r="A193" s="4" t="s">
        <v>3844</v>
      </c>
      <c r="B193" s="4" t="s">
        <v>4200</v>
      </c>
      <c r="C193" s="28"/>
      <c r="D193" s="28"/>
      <c r="E193" s="4"/>
      <c r="G193" s="25"/>
      <c r="I193" s="4">
        <v>12</v>
      </c>
      <c r="J193" s="38">
        <v>168</v>
      </c>
      <c r="K193" s="38">
        <f>Table27[[#This Row],[case_price]]/Table27[[#This Row],[case_size]]</f>
        <v>14</v>
      </c>
      <c r="L193" s="4"/>
      <c r="M193" s="4"/>
      <c r="N193" s="4" t="s">
        <v>114</v>
      </c>
      <c r="O193" s="4" t="e">
        <f>_xlfn.XLOOKUP(Table27[[#This Row],[product_name]],#REF!,#REF!,"NOT FOUND",0,1)</f>
        <v>#REF!</v>
      </c>
    </row>
    <row r="194" spans="1:15" ht="26.4" customHeight="1">
      <c r="A194" s="4" t="s">
        <v>4193</v>
      </c>
      <c r="B194" s="4" t="s">
        <v>4194</v>
      </c>
      <c r="C194" s="4" t="s">
        <v>37</v>
      </c>
      <c r="D194" s="28" t="s">
        <v>37</v>
      </c>
      <c r="E194" s="4"/>
      <c r="G194" s="28"/>
      <c r="I194" s="4">
        <v>12</v>
      </c>
      <c r="J194" s="38">
        <f>12.67*12</f>
        <v>152.04</v>
      </c>
      <c r="K194" s="38">
        <f>Table27[[#This Row],[case_price]]/Table27[[#This Row],[case_size]]</f>
        <v>12.67</v>
      </c>
      <c r="L194" s="4"/>
      <c r="M194" s="4"/>
      <c r="N194" s="4" t="s">
        <v>170</v>
      </c>
      <c r="O194" s="4" t="e">
        <f>_xlfn.XLOOKUP(Table27[[#This Row],[product_name]],#REF!,#REF!,"NOT FOUND",0,1)</f>
        <v>#REF!</v>
      </c>
    </row>
    <row r="195" spans="1:15" ht="26.4" customHeight="1">
      <c r="A195" s="4" t="s">
        <v>533</v>
      </c>
      <c r="B195" s="4" t="s">
        <v>490</v>
      </c>
      <c r="C195" s="4" t="s">
        <v>4195</v>
      </c>
      <c r="D195" s="28" t="s">
        <v>27</v>
      </c>
      <c r="E195" s="4"/>
      <c r="G195" s="28"/>
      <c r="H195" s="4"/>
      <c r="I195" s="4">
        <v>12</v>
      </c>
      <c r="J195" s="38">
        <f>Table27[[#This Row],[unit_price]]*Table27[[#This Row],[case_size]]</f>
        <v>159.60000000000002</v>
      </c>
      <c r="K195" s="38">
        <v>13.3</v>
      </c>
      <c r="L195" s="4"/>
      <c r="M195" s="4"/>
      <c r="N195" s="4" t="s">
        <v>132</v>
      </c>
      <c r="O195" s="4" t="e">
        <f>_xlfn.XLOOKUP(Table27[[#This Row],[product_name]],#REF!,#REF!,"NOT FOUND",0,1)</f>
        <v>#REF!</v>
      </c>
    </row>
    <row r="196" spans="1:15" ht="26.4" customHeight="1">
      <c r="A196" s="4" t="s">
        <v>603</v>
      </c>
      <c r="B196" s="4" t="s">
        <v>490</v>
      </c>
      <c r="C196" s="4" t="s">
        <v>37</v>
      </c>
      <c r="D196" s="28" t="s">
        <v>37</v>
      </c>
      <c r="E196" s="4"/>
      <c r="G196" s="28"/>
      <c r="H196" s="4"/>
      <c r="I196" s="4">
        <v>12</v>
      </c>
      <c r="J196" s="38">
        <f>Table27[[#This Row],[case_size]]*K196</f>
        <v>140.04</v>
      </c>
      <c r="K196" s="38">
        <v>11.67</v>
      </c>
      <c r="L196" s="4"/>
      <c r="M196" s="4"/>
      <c r="N196" s="4" t="s">
        <v>170</v>
      </c>
      <c r="O196" s="4" t="e">
        <f>_xlfn.XLOOKUP(Table27[[#This Row],[product_name]],#REF!,#REF!,"NOT FOUND",0,1)</f>
        <v>#REF!</v>
      </c>
    </row>
    <row r="197" spans="1:15" ht="26.4" customHeight="1">
      <c r="A197" s="4" t="s">
        <v>3844</v>
      </c>
      <c r="B197" s="4" t="s">
        <v>4200</v>
      </c>
      <c r="C197" s="4"/>
      <c r="D197" s="28"/>
      <c r="E197" s="4"/>
      <c r="G197" s="28"/>
      <c r="H197" s="4"/>
      <c r="I197" s="4">
        <v>12</v>
      </c>
      <c r="J197" s="38">
        <f>336/2</f>
        <v>168</v>
      </c>
      <c r="K197" s="38">
        <f>Table27[[#This Row],[case_price]]/Table27[[#This Row],[case_size]]</f>
        <v>14</v>
      </c>
      <c r="L197" s="4"/>
      <c r="M197" s="4"/>
      <c r="N197" s="4" t="s">
        <v>114</v>
      </c>
      <c r="O197" s="4" t="e">
        <f>_xlfn.XLOOKUP(Table27[[#This Row],[product_name]],#REF!,#REF!,"NOT FOUND",0,1)</f>
        <v>#REF!</v>
      </c>
    </row>
    <row r="198" spans="1:15" ht="26.4" customHeight="1">
      <c r="A198" s="4" t="s">
        <v>4202</v>
      </c>
      <c r="B198" s="4" t="s">
        <v>504</v>
      </c>
      <c r="C198" s="32" t="s">
        <v>4084</v>
      </c>
      <c r="D198" s="4" t="s">
        <v>4084</v>
      </c>
      <c r="E198" s="4"/>
      <c r="G198" s="28"/>
      <c r="I198" s="4">
        <v>12</v>
      </c>
      <c r="J198" s="38">
        <v>69</v>
      </c>
      <c r="K198" s="38">
        <f>Table27[[#This Row],[case_price]]/Table27[[#This Row],[case_size]]</f>
        <v>5.75</v>
      </c>
      <c r="L198" s="4"/>
      <c r="M198" s="4"/>
      <c r="N198" s="4" t="s">
        <v>114</v>
      </c>
      <c r="O198" s="4" t="e">
        <f>_xlfn.XLOOKUP(Table27[[#This Row],[product_name]],#REF!,#REF!,"NOT FOUND",0,1)</f>
        <v>#REF!</v>
      </c>
    </row>
    <row r="199" spans="1:15" ht="26.4" customHeight="1">
      <c r="A199" s="4" t="s">
        <v>599</v>
      </c>
      <c r="B199" s="4" t="s">
        <v>201</v>
      </c>
      <c r="C199" s="4" t="s">
        <v>9</v>
      </c>
      <c r="D199" s="28" t="s">
        <v>9</v>
      </c>
      <c r="E199" s="4"/>
      <c r="G199" s="28"/>
      <c r="H199" s="4"/>
      <c r="I199" s="4">
        <v>12</v>
      </c>
      <c r="J199" s="38">
        <v>136.08000000000001</v>
      </c>
      <c r="K199" s="38">
        <f>Table27[[#This Row],[case_price]]/Table27[[#This Row],[case_size]]</f>
        <v>11.340000000000002</v>
      </c>
      <c r="L199" s="4"/>
      <c r="M199" s="4"/>
      <c r="N199" s="4" t="s">
        <v>18</v>
      </c>
      <c r="O199" s="4" t="e">
        <f>_xlfn.XLOOKUP(Table27[[#This Row],[product_name]],#REF!,#REF!,"NOT FOUND",0,1)</f>
        <v>#REF!</v>
      </c>
    </row>
    <row r="200" spans="1:15" ht="14.7" customHeight="1">
      <c r="A200" s="4" t="s">
        <v>4191</v>
      </c>
      <c r="B200" s="4" t="s">
        <v>201</v>
      </c>
      <c r="C200" s="4" t="s">
        <v>9</v>
      </c>
      <c r="D200" s="32" t="s">
        <v>9</v>
      </c>
      <c r="E200" s="4"/>
      <c r="G200" s="28"/>
      <c r="H200" s="4"/>
      <c r="I200" s="4">
        <v>12</v>
      </c>
      <c r="J200" s="38">
        <v>125.76</v>
      </c>
      <c r="K200" s="38">
        <f>Table27[[#This Row],[case_price]]/Table27[[#This Row],[case_size]]</f>
        <v>10.48</v>
      </c>
      <c r="L200" s="4"/>
      <c r="M200" s="4"/>
      <c r="N200" s="4" t="s">
        <v>132</v>
      </c>
      <c r="O200" s="4" t="e">
        <f>_xlfn.XLOOKUP(Table27[[#This Row],[product_name]],#REF!,#REF!,"NOT FOUND",0,1)</f>
        <v>#REF!</v>
      </c>
    </row>
    <row r="201" spans="1:15" ht="14.7" customHeight="1">
      <c r="A201" s="4" t="s">
        <v>4211</v>
      </c>
      <c r="B201" s="4" t="s">
        <v>201</v>
      </c>
      <c r="C201" s="4" t="s">
        <v>9</v>
      </c>
      <c r="D201" s="4" t="s">
        <v>9</v>
      </c>
      <c r="E201" s="4"/>
      <c r="G201" s="28"/>
      <c r="H201" s="4"/>
      <c r="I201" s="4">
        <v>12</v>
      </c>
      <c r="J201" s="38">
        <v>119.28</v>
      </c>
      <c r="K201" s="38">
        <f>Table27[[#This Row],[case_price]]/Table27[[#This Row],[case_size]]</f>
        <v>9.94</v>
      </c>
      <c r="L201" s="4"/>
      <c r="M201" s="4"/>
      <c r="N201" s="4" t="s">
        <v>34</v>
      </c>
      <c r="O201" s="4" t="e">
        <f>_xlfn.XLOOKUP(Table27[[#This Row],[product_name]],#REF!,#REF!,"NOT FOUND",0,1)</f>
        <v>#REF!</v>
      </c>
    </row>
    <row r="202" spans="1:15" ht="14.7" customHeight="1">
      <c r="A202" s="4" t="s">
        <v>4217</v>
      </c>
      <c r="B202" s="4" t="s">
        <v>4194</v>
      </c>
      <c r="C202" s="15" t="s">
        <v>2362</v>
      </c>
      <c r="D202" s="95" t="s">
        <v>277</v>
      </c>
      <c r="E202" s="4"/>
      <c r="G202" s="28"/>
      <c r="H202" s="4"/>
      <c r="I202" s="4">
        <v>12</v>
      </c>
      <c r="J202" s="38">
        <v>119.28</v>
      </c>
      <c r="K202" s="38">
        <f>Table27[[#This Row],[case_price]]/Table27[[#This Row],[case_size]]</f>
        <v>9.94</v>
      </c>
      <c r="L202" s="4"/>
      <c r="M202" s="4"/>
      <c r="N202" s="4" t="s">
        <v>135</v>
      </c>
      <c r="O202" s="4" t="e">
        <f>_xlfn.XLOOKUP(Table27[[#This Row],[product_name]],#REF!,#REF!,"NOT FOUND",0,1)</f>
        <v>#REF!</v>
      </c>
    </row>
    <row r="203" spans="1:15" ht="14.7" customHeight="1">
      <c r="A203" s="4" t="s">
        <v>4191</v>
      </c>
      <c r="B203" s="4" t="s">
        <v>201</v>
      </c>
      <c r="C203" s="15" t="s">
        <v>9</v>
      </c>
      <c r="D203" s="23" t="s">
        <v>9</v>
      </c>
      <c r="E203" s="4"/>
      <c r="G203" s="28"/>
      <c r="H203" s="4"/>
      <c r="I203" s="4">
        <v>12</v>
      </c>
      <c r="J203" s="38">
        <v>125.76</v>
      </c>
      <c r="K203" s="38">
        <f>Table27[[#This Row],[case_price]]/Table27[[#This Row],[case_size]]</f>
        <v>10.48</v>
      </c>
      <c r="L203" s="4"/>
      <c r="M203" s="4"/>
      <c r="N203" s="4" t="s">
        <v>57</v>
      </c>
      <c r="O203" s="4" t="e">
        <f>_xlfn.XLOOKUP(Table27[[#This Row],[product_name]],#REF!,#REF!,"NOT FOUND",0,1)</f>
        <v>#REF!</v>
      </c>
    </row>
    <row r="204" spans="1:15" ht="14.7" customHeight="1">
      <c r="A204" s="4" t="s">
        <v>4211</v>
      </c>
      <c r="B204" s="4" t="s">
        <v>201</v>
      </c>
      <c r="C204" s="15" t="s">
        <v>9</v>
      </c>
      <c r="D204" s="15" t="s">
        <v>9</v>
      </c>
      <c r="E204" s="4"/>
      <c r="G204" s="28"/>
      <c r="H204" s="4"/>
      <c r="I204" s="4">
        <v>12</v>
      </c>
      <c r="J204" s="38">
        <v>119.28</v>
      </c>
      <c r="K204" s="38">
        <f>Table27[[#This Row],[case_price]]/Table27[[#This Row],[case_size]]</f>
        <v>9.94</v>
      </c>
      <c r="L204" s="4"/>
      <c r="M204" s="4"/>
      <c r="N204" s="4" t="s">
        <v>34</v>
      </c>
      <c r="O204" s="4" t="e">
        <f>_xlfn.XLOOKUP(Table27[[#This Row],[product_name]],#REF!,#REF!,"NOT FOUND",0,1)</f>
        <v>#REF!</v>
      </c>
    </row>
    <row r="205" spans="1:15" ht="14.7" customHeight="1">
      <c r="A205" s="4" t="s">
        <v>4191</v>
      </c>
      <c r="B205" s="4" t="s">
        <v>201</v>
      </c>
      <c r="C205" s="15" t="s">
        <v>9</v>
      </c>
      <c r="D205" s="23" t="s">
        <v>9</v>
      </c>
      <c r="E205" s="4"/>
      <c r="G205" s="28"/>
      <c r="H205" s="4"/>
      <c r="I205" s="4">
        <v>12</v>
      </c>
      <c r="J205" s="38">
        <v>115.92</v>
      </c>
      <c r="K205" s="38">
        <f>Table27[[#This Row],[case_price]]/Table27[[#This Row],[case_size]]</f>
        <v>9.66</v>
      </c>
      <c r="L205" s="4"/>
      <c r="M205" s="4"/>
      <c r="N205" s="4" t="s">
        <v>70</v>
      </c>
      <c r="O205" s="4" t="e">
        <f>_xlfn.XLOOKUP(Table27[[#This Row],[product_name]],#REF!,#REF!,"NOT FOUND",0,1)</f>
        <v>#REF!</v>
      </c>
    </row>
    <row r="206" spans="1:15" ht="14.7" customHeight="1">
      <c r="A206" s="4" t="s">
        <v>4191</v>
      </c>
      <c r="B206" s="4" t="s">
        <v>201</v>
      </c>
      <c r="C206" s="15" t="s">
        <v>9</v>
      </c>
      <c r="D206" s="23" t="s">
        <v>9</v>
      </c>
      <c r="E206" s="4"/>
      <c r="G206" s="28"/>
      <c r="H206" s="4"/>
      <c r="I206" s="4">
        <v>12</v>
      </c>
      <c r="J206" s="38">
        <v>113.28</v>
      </c>
      <c r="K206" s="38">
        <f>Table27[[#This Row],[case_price]]/Table27[[#This Row],[case_size]]</f>
        <v>9.44</v>
      </c>
      <c r="L206" s="4"/>
      <c r="M206" s="4"/>
      <c r="N206" s="4" t="s">
        <v>78</v>
      </c>
      <c r="O206" s="4" t="e">
        <f>_xlfn.XLOOKUP(Table27[[#This Row],[product_name]],#REF!,#REF!,"NOT FOUND",0,1)</f>
        <v>#REF!</v>
      </c>
    </row>
    <row r="207" spans="1:15" ht="14.7" customHeight="1">
      <c r="A207" s="4" t="s">
        <v>4191</v>
      </c>
      <c r="B207" s="4" t="s">
        <v>201</v>
      </c>
      <c r="C207" s="15" t="s">
        <v>9</v>
      </c>
      <c r="D207" s="23" t="s">
        <v>9</v>
      </c>
      <c r="E207" s="4"/>
      <c r="G207" s="28"/>
      <c r="H207" s="4"/>
      <c r="I207" s="4">
        <v>12</v>
      </c>
      <c r="J207" s="38">
        <v>113.28</v>
      </c>
      <c r="K207" s="38">
        <f>Table27[[#This Row],[case_price]]/Table27[[#This Row],[case_size]]</f>
        <v>9.44</v>
      </c>
      <c r="L207" s="4"/>
      <c r="M207" s="4"/>
      <c r="N207" s="4" t="s">
        <v>134</v>
      </c>
      <c r="O207" s="4" t="e">
        <f>_xlfn.XLOOKUP(Table27[[#This Row],[product_name]],#REF!,#REF!,"NOT FOUND",0,1)</f>
        <v>#REF!</v>
      </c>
    </row>
    <row r="208" spans="1:15" ht="14.7" customHeight="1">
      <c r="A208" s="4" t="s">
        <v>4191</v>
      </c>
      <c r="B208" s="4" t="s">
        <v>201</v>
      </c>
      <c r="C208" s="15" t="s">
        <v>9</v>
      </c>
      <c r="D208" s="23" t="s">
        <v>9</v>
      </c>
      <c r="E208" s="4"/>
      <c r="G208" s="28"/>
      <c r="H208" s="4"/>
      <c r="I208" s="4">
        <v>48</v>
      </c>
      <c r="J208" s="38">
        <f>12072/25</f>
        <v>482.88</v>
      </c>
      <c r="K208" s="38">
        <f>Table27[[#This Row],[case_price]]/Table27[[#This Row],[case_size]]</f>
        <v>10.06</v>
      </c>
      <c r="L208" s="4"/>
      <c r="M208" s="4"/>
      <c r="N208" s="4" t="s">
        <v>4112</v>
      </c>
      <c r="O208" s="4" t="e">
        <f>_xlfn.XLOOKUP(Table27[[#This Row],[product_name]],#REF!,#REF!,"NOT FOUND",0,1)</f>
        <v>#REF!</v>
      </c>
    </row>
    <row r="209" spans="1:15" ht="14.7" customHeight="1">
      <c r="A209" s="4" t="s">
        <v>4191</v>
      </c>
      <c r="B209" s="4" t="s">
        <v>201</v>
      </c>
      <c r="C209" s="15" t="s">
        <v>9</v>
      </c>
      <c r="D209" s="15" t="s">
        <v>9</v>
      </c>
      <c r="E209" s="4"/>
      <c r="G209" s="28"/>
      <c r="I209" s="4">
        <v>12</v>
      </c>
      <c r="J209" s="38">
        <v>119.52</v>
      </c>
      <c r="K209" s="38">
        <f>Table27[[#This Row],[case_price]]/Table27[[#This Row],[case_size]]</f>
        <v>9.9599999999999991</v>
      </c>
      <c r="L209" s="4"/>
      <c r="M209" s="4"/>
      <c r="N209" s="4" t="s">
        <v>4198</v>
      </c>
      <c r="O209" s="4" t="e">
        <f>_xlfn.XLOOKUP(Table27[[#This Row],[product_name]],#REF!,#REF!,"NOT FOUND",0,1)</f>
        <v>#REF!</v>
      </c>
    </row>
    <row r="210" spans="1:15" ht="14.7" customHeight="1">
      <c r="A210" s="4" t="s">
        <v>4191</v>
      </c>
      <c r="B210" s="4" t="s">
        <v>201</v>
      </c>
      <c r="C210" s="15" t="s">
        <v>9</v>
      </c>
      <c r="D210" s="23" t="s">
        <v>9</v>
      </c>
      <c r="E210" s="4"/>
      <c r="G210" s="28"/>
      <c r="I210" s="4">
        <v>12</v>
      </c>
      <c r="J210" s="38">
        <v>33.119999999999997</v>
      </c>
      <c r="K210" s="38">
        <f>Table27[[#This Row],[case_price]]/Table27[[#This Row],[case_size]]</f>
        <v>2.76</v>
      </c>
      <c r="L210" s="4"/>
      <c r="M210" s="4"/>
      <c r="N210" s="4" t="s">
        <v>132</v>
      </c>
      <c r="O210" s="4" t="e">
        <f>_xlfn.XLOOKUP(Table27[[#This Row],[product_name]],#REF!,#REF!,"NOT FOUND",0,1)</f>
        <v>#REF!</v>
      </c>
    </row>
    <row r="211" spans="1:15" ht="14.7" customHeight="1">
      <c r="A211" s="4" t="s">
        <v>4191</v>
      </c>
      <c r="B211" s="4" t="s">
        <v>201</v>
      </c>
      <c r="C211" s="15" t="s">
        <v>9</v>
      </c>
      <c r="D211" s="23" t="s">
        <v>9</v>
      </c>
      <c r="E211" s="4"/>
      <c r="G211" s="28"/>
      <c r="I211" s="4">
        <v>12</v>
      </c>
      <c r="J211" s="38">
        <v>35.4</v>
      </c>
      <c r="K211" s="38">
        <f>Table27[[#This Row],[case_price]]/Table27[[#This Row],[case_size]]</f>
        <v>2.9499999999999997</v>
      </c>
      <c r="L211" s="4"/>
      <c r="M211" s="4"/>
      <c r="N211" s="4" t="s">
        <v>134</v>
      </c>
      <c r="O211" s="4" t="e">
        <f>_xlfn.XLOOKUP(Table27[[#This Row],[product_name]],#REF!,#REF!,"NOT FOUND",0,1)</f>
        <v>#REF!</v>
      </c>
    </row>
    <row r="212" spans="1:15" ht="14.7" customHeight="1">
      <c r="A212" s="4" t="s">
        <v>4191</v>
      </c>
      <c r="B212" s="4" t="s">
        <v>201</v>
      </c>
      <c r="C212" s="15" t="s">
        <v>9</v>
      </c>
      <c r="D212" s="15" t="s">
        <v>9</v>
      </c>
      <c r="E212" s="4"/>
      <c r="G212" s="28"/>
      <c r="I212" s="4">
        <v>48</v>
      </c>
      <c r="J212" s="38">
        <v>482</v>
      </c>
      <c r="K212" s="38">
        <f>Table27[[#This Row],[case_price]]/Table27[[#This Row],[case_size]]</f>
        <v>10.041666666666666</v>
      </c>
      <c r="L212" s="4"/>
      <c r="M212" s="4"/>
      <c r="N212" s="4" t="s">
        <v>4218</v>
      </c>
      <c r="O212" s="4" t="e">
        <f>_xlfn.XLOOKUP(Table27[[#This Row],[product_name]],#REF!,#REF!,"NOT FOUND",0,1)</f>
        <v>#REF!</v>
      </c>
    </row>
    <row r="213" spans="1:15" ht="14.7" customHeight="1">
      <c r="A213" s="4" t="s">
        <v>4211</v>
      </c>
      <c r="B213" s="4" t="s">
        <v>201</v>
      </c>
      <c r="C213" s="15" t="s">
        <v>9</v>
      </c>
      <c r="D213" s="15" t="s">
        <v>9</v>
      </c>
      <c r="E213" s="4"/>
      <c r="G213" s="28"/>
      <c r="I213" s="4">
        <v>12</v>
      </c>
      <c r="J213" s="38">
        <v>66.599999999999994</v>
      </c>
      <c r="K213" s="38">
        <f>Table27[[#This Row],[case_price]]/Table27[[#This Row],[case_size]]</f>
        <v>5.55</v>
      </c>
      <c r="L213" s="4"/>
      <c r="M213" s="4"/>
      <c r="N213" s="4" t="s">
        <v>18</v>
      </c>
      <c r="O213" s="4" t="e">
        <f>_xlfn.XLOOKUP(Table27[[#This Row],[product_name]],#REF!,#REF!,"NOT FOUND",0,1)</f>
        <v>#REF!</v>
      </c>
    </row>
    <row r="214" spans="1:15" ht="21" customHeight="1">
      <c r="A214" s="4" t="s">
        <v>4219</v>
      </c>
      <c r="B214" s="4" t="s">
        <v>4200</v>
      </c>
      <c r="C214" s="15"/>
      <c r="D214" s="95"/>
      <c r="E214" s="4"/>
      <c r="G214" s="28"/>
      <c r="I214" s="4">
        <v>12</v>
      </c>
      <c r="J214" s="38">
        <v>380.88</v>
      </c>
      <c r="K214" s="38">
        <f>Table27[[#This Row],[case_price]]/Table27[[#This Row],[case_size]]</f>
        <v>31.74</v>
      </c>
      <c r="L214" s="4"/>
      <c r="M214" s="4"/>
      <c r="N214" s="4" t="s">
        <v>4201</v>
      </c>
      <c r="O214" s="4" t="e">
        <f>_xlfn.XLOOKUP(Table27[[#This Row],[product_name]],#REF!,#REF!,"NOT FOUND",0,1)</f>
        <v>#REF!</v>
      </c>
    </row>
    <row r="215" spans="1:15" ht="14.7" customHeight="1">
      <c r="A215" s="4" t="s">
        <v>4220</v>
      </c>
      <c r="B215" s="4" t="s">
        <v>490</v>
      </c>
      <c r="C215" s="28" t="s">
        <v>4221</v>
      </c>
      <c r="D215" s="28" t="s">
        <v>4221</v>
      </c>
      <c r="E215" s="4"/>
      <c r="G215" s="28"/>
      <c r="I215" s="4">
        <v>12</v>
      </c>
      <c r="J215" s="38">
        <v>240</v>
      </c>
      <c r="K215" s="38">
        <f>Table27[[#This Row],[case_price]]/Table27[[#This Row],[case_size]]</f>
        <v>20</v>
      </c>
      <c r="L215" s="4"/>
      <c r="M215" s="4"/>
      <c r="N215" s="4" t="s">
        <v>4201</v>
      </c>
      <c r="O215" s="4" t="s">
        <v>4222</v>
      </c>
    </row>
    <row r="216" spans="1:15" ht="21" customHeight="1">
      <c r="A216" s="4" t="s">
        <v>3844</v>
      </c>
      <c r="B216" s="4" t="s">
        <v>4200</v>
      </c>
      <c r="C216" s="4"/>
      <c r="D216" s="28"/>
      <c r="E216" s="4"/>
      <c r="G216" s="28"/>
      <c r="H216" s="4"/>
      <c r="I216" s="4">
        <v>6</v>
      </c>
      <c r="J216" s="38">
        <v>167.28</v>
      </c>
      <c r="K216" s="38">
        <f>Table27[[#This Row],[case_price]]/Table27[[#This Row],[case_size]]</f>
        <v>27.88</v>
      </c>
      <c r="L216" s="4"/>
      <c r="M216" s="4"/>
      <c r="N216" s="4" t="s">
        <v>114</v>
      </c>
      <c r="O216" s="4" t="e">
        <f>_xlfn.XLOOKUP(Table27[[#This Row],[product_name]],#REF!,#REF!,"NOT FOUND",0,1)</f>
        <v>#REF!</v>
      </c>
    </row>
    <row r="217" spans="1:15" ht="14.7" customHeight="1">
      <c r="A217" s="4" t="s">
        <v>499</v>
      </c>
      <c r="B217" s="4" t="s">
        <v>490</v>
      </c>
      <c r="C217" s="4" t="s">
        <v>33</v>
      </c>
      <c r="D217" s="28" t="s">
        <v>33</v>
      </c>
      <c r="E217" s="4"/>
      <c r="G217" s="28"/>
      <c r="H217" s="4"/>
      <c r="I217" s="4">
        <v>6</v>
      </c>
      <c r="J217" s="38">
        <v>77.16</v>
      </c>
      <c r="K217" s="38">
        <f>Table27[[#This Row],[case_price]]/Table27[[#This Row],[case_size]]</f>
        <v>12.86</v>
      </c>
      <c r="L217" s="4"/>
      <c r="M217" s="4"/>
      <c r="N217" s="4" t="s">
        <v>4091</v>
      </c>
      <c r="O217" s="4" t="e">
        <f>_xlfn.XLOOKUP(Table27[[#This Row],[product_name]],#REF!,#REF!,"NOT FOUND",0,1)</f>
        <v>#REF!</v>
      </c>
    </row>
    <row r="218" spans="1:15" ht="21" customHeight="1">
      <c r="A218" s="4" t="s">
        <v>3844</v>
      </c>
      <c r="B218" s="4" t="s">
        <v>504</v>
      </c>
      <c r="C218" s="4" t="s">
        <v>3943</v>
      </c>
      <c r="D218" s="28" t="s">
        <v>3943</v>
      </c>
      <c r="E218" s="4"/>
      <c r="G218" s="28"/>
      <c r="H218" s="4"/>
      <c r="I218" s="4">
        <v>6</v>
      </c>
      <c r="J218" s="38">
        <v>74.760000000000005</v>
      </c>
      <c r="K218" s="38">
        <f>Table27[[#This Row],[case_price]]/Table27[[#This Row],[case_size]]</f>
        <v>12.46</v>
      </c>
      <c r="L218" s="4"/>
      <c r="M218" s="4"/>
      <c r="N218" s="4" t="s">
        <v>114</v>
      </c>
      <c r="O218" s="4" t="e">
        <f>_xlfn.XLOOKUP(Table27[[#This Row],[product_name]],#REF!,#REF!,"NOT FOUND",0,1)</f>
        <v>#REF!</v>
      </c>
    </row>
    <row r="219" spans="1:15" ht="14.7" customHeight="1">
      <c r="A219" s="4" t="s">
        <v>4197</v>
      </c>
      <c r="B219" s="4" t="s">
        <v>201</v>
      </c>
      <c r="C219" s="4" t="s">
        <v>133</v>
      </c>
      <c r="D219" s="4" t="s">
        <v>133</v>
      </c>
      <c r="E219" s="4"/>
      <c r="G219" s="28"/>
      <c r="H219" s="4"/>
      <c r="I219" s="4">
        <v>12</v>
      </c>
      <c r="J219" s="38">
        <f>12*12</f>
        <v>144</v>
      </c>
      <c r="K219" s="38">
        <f>Table27[[#This Row],[case_price]]/Table27[[#This Row],[case_size]]</f>
        <v>12</v>
      </c>
      <c r="L219" s="4"/>
      <c r="M219" s="4"/>
      <c r="N219" s="4" t="s">
        <v>134</v>
      </c>
      <c r="O219" s="4" t="e">
        <f>_xlfn.XLOOKUP(Table27[[#This Row],[product_name]],#REF!,#REF!,"NOT FOUND",0,1)</f>
        <v>#REF!</v>
      </c>
    </row>
    <row r="220" spans="1:15" ht="14.7" customHeight="1">
      <c r="A220" s="4" t="s">
        <v>4192</v>
      </c>
      <c r="B220" s="4" t="s">
        <v>490</v>
      </c>
      <c r="C220" s="4" t="s">
        <v>24</v>
      </c>
      <c r="D220" s="28" t="s">
        <v>24</v>
      </c>
      <c r="E220" s="4"/>
      <c r="G220" s="28"/>
      <c r="H220" s="4"/>
      <c r="I220" s="4">
        <v>6</v>
      </c>
      <c r="J220" s="38">
        <f>Table27[[#This Row],[case_size]]*K220</f>
        <v>145.44</v>
      </c>
      <c r="K220" s="38">
        <v>24.24</v>
      </c>
      <c r="L220" s="4"/>
      <c r="M220" s="4"/>
      <c r="N220" s="4" t="s">
        <v>114</v>
      </c>
      <c r="O220" s="4" t="e">
        <f>_xlfn.XLOOKUP(Table27[[#This Row],[product_name]],#REF!,#REF!,"NOT FOUND",0,1)</f>
        <v>#REF!</v>
      </c>
    </row>
    <row r="221" spans="1:15" ht="14.7" customHeight="1">
      <c r="A221" s="4" t="s">
        <v>4192</v>
      </c>
      <c r="B221" s="4" t="s">
        <v>490</v>
      </c>
      <c r="C221" s="4" t="s">
        <v>3558</v>
      </c>
      <c r="D221" s="4" t="s">
        <v>3558</v>
      </c>
      <c r="E221" s="4"/>
      <c r="G221" s="28"/>
      <c r="I221" s="4">
        <v>6</v>
      </c>
      <c r="J221" s="38">
        <v>145.44</v>
      </c>
      <c r="K221" s="38">
        <f>Table27[[#This Row],[case_price]]/Table27[[#This Row],[case_size]]</f>
        <v>24.24</v>
      </c>
      <c r="L221" s="4"/>
      <c r="M221" s="4"/>
      <c r="N221" s="4" t="s">
        <v>13</v>
      </c>
      <c r="O221" s="4" t="e">
        <f>_xlfn.XLOOKUP(Table27[[#This Row],[product_name]],#REF!,#REF!,"NOT FOUND",0,1)</f>
        <v>#REF!</v>
      </c>
    </row>
    <row r="222" spans="1:15" ht="14.7" customHeight="1">
      <c r="A222" s="4" t="s">
        <v>533</v>
      </c>
      <c r="B222" s="4" t="s">
        <v>490</v>
      </c>
      <c r="C222" s="4" t="s">
        <v>4195</v>
      </c>
      <c r="D222" s="28" t="s">
        <v>27</v>
      </c>
      <c r="E222" s="4"/>
      <c r="G222" s="28"/>
      <c r="H222" s="4"/>
      <c r="I222" s="4">
        <v>12</v>
      </c>
      <c r="J222" s="38">
        <v>240</v>
      </c>
      <c r="K222" s="38">
        <f>Table27[[#This Row],[case_price]]/Table27[[#This Row],[case_size]]</f>
        <v>20</v>
      </c>
      <c r="L222" s="4"/>
      <c r="M222" s="4"/>
      <c r="N222" s="4" t="s">
        <v>21</v>
      </c>
      <c r="O222" s="4" t="e">
        <f>_xlfn.XLOOKUP(Table27[[#This Row],[product_name]],#REF!,#REF!,"NOT FOUND",0,1)</f>
        <v>#REF!</v>
      </c>
    </row>
    <row r="223" spans="1:15" ht="21" customHeight="1">
      <c r="A223" s="4" t="s">
        <v>3844</v>
      </c>
      <c r="B223" s="4" t="s">
        <v>504</v>
      </c>
      <c r="C223" s="4" t="s">
        <v>3943</v>
      </c>
      <c r="D223" s="28" t="s">
        <v>3943</v>
      </c>
      <c r="E223" s="4"/>
      <c r="G223" s="28"/>
      <c r="H223" s="4"/>
      <c r="I223" s="4">
        <v>12</v>
      </c>
      <c r="J223" s="38">
        <v>241.56</v>
      </c>
      <c r="K223" s="38">
        <f>Table27[[#This Row],[case_price]]/Table27[[#This Row],[case_size]]</f>
        <v>20.13</v>
      </c>
      <c r="L223" s="4"/>
      <c r="M223" s="4"/>
      <c r="N223" s="4" t="s">
        <v>114</v>
      </c>
      <c r="O223" s="4" t="e">
        <f>_xlfn.XLOOKUP(Table27[[#This Row],[product_name]],#REF!,#REF!,"NOT FOUND",0,1)</f>
        <v>#REF!</v>
      </c>
    </row>
    <row r="224" spans="1:15" ht="20.399999999999999" customHeight="1">
      <c r="A224" s="4" t="s">
        <v>4196</v>
      </c>
      <c r="B224" s="4" t="s">
        <v>4194</v>
      </c>
      <c r="C224" s="5" t="s">
        <v>144</v>
      </c>
      <c r="D224" s="4" t="s">
        <v>4196</v>
      </c>
      <c r="E224" s="4"/>
      <c r="G224" s="28"/>
      <c r="H224" s="4"/>
      <c r="I224" s="4">
        <v>12</v>
      </c>
      <c r="J224" s="38">
        <v>264</v>
      </c>
      <c r="K224" s="38">
        <f>Table27[[#This Row],[case_price]]/Table27[[#This Row],[case_size]]</f>
        <v>22</v>
      </c>
      <c r="L224" s="4"/>
      <c r="M224" s="4"/>
      <c r="N224" s="4" t="s">
        <v>4198</v>
      </c>
      <c r="O224" s="4" t="e">
        <f>_xlfn.XLOOKUP(Table27[[#This Row],[product_name]],#REF!,#REF!,"NOT FOUND",0,1)</f>
        <v>#REF!</v>
      </c>
    </row>
    <row r="225" spans="1:15" ht="14.7" customHeight="1">
      <c r="A225" s="32" t="s">
        <v>19</v>
      </c>
      <c r="B225" s="4" t="s">
        <v>201</v>
      </c>
      <c r="C225" s="32" t="s">
        <v>19</v>
      </c>
      <c r="D225" s="32" t="s">
        <v>19</v>
      </c>
      <c r="E225" s="4"/>
      <c r="G225" s="28"/>
      <c r="H225" s="4"/>
      <c r="I225" s="4" t="s">
        <v>55</v>
      </c>
      <c r="J225" s="38" t="s">
        <v>55</v>
      </c>
      <c r="K225" s="38">
        <v>8.5</v>
      </c>
      <c r="L225" s="4"/>
      <c r="M225" s="4"/>
      <c r="N225" s="4" t="s">
        <v>3770</v>
      </c>
      <c r="O225" s="4" t="e">
        <f>_xlfn.XLOOKUP(Table27[[#This Row],[product_name]],#REF!,#REF!,"NOT FOUND",0,1)</f>
        <v>#REF!</v>
      </c>
    </row>
    <row r="226" spans="1:15" ht="14.7" customHeight="1">
      <c r="A226" s="4" t="s">
        <v>22</v>
      </c>
      <c r="B226" s="4" t="s">
        <v>490</v>
      </c>
      <c r="C226" s="4" t="s">
        <v>22</v>
      </c>
      <c r="D226" s="28" t="s">
        <v>22</v>
      </c>
      <c r="E226" s="4"/>
      <c r="G226" s="28"/>
      <c r="H226" s="4"/>
      <c r="I226" s="4">
        <v>6</v>
      </c>
      <c r="J226" s="38">
        <f>Table27[[#This Row],[case_size]]*K226</f>
        <v>104.94</v>
      </c>
      <c r="K226" s="38">
        <v>17.489999999999998</v>
      </c>
      <c r="L226" s="4"/>
      <c r="M226" s="4"/>
      <c r="N226" s="4" t="s">
        <v>135</v>
      </c>
      <c r="O226" s="4" t="e">
        <f>_xlfn.XLOOKUP(Table27[[#This Row],[product_name]],#REF!,#REF!,"NOT FOUND",0,1)</f>
        <v>#REF!</v>
      </c>
    </row>
    <row r="227" spans="1:15" ht="21" customHeight="1">
      <c r="A227" s="4" t="s">
        <v>3844</v>
      </c>
      <c r="B227" s="4" t="s">
        <v>4200</v>
      </c>
      <c r="C227" s="4"/>
      <c r="D227" s="28"/>
      <c r="E227" s="4"/>
      <c r="G227" s="28"/>
      <c r="H227" s="4"/>
      <c r="I227" s="4">
        <v>6</v>
      </c>
      <c r="J227" s="38">
        <v>167.28</v>
      </c>
      <c r="K227" s="38">
        <f>Table27[[#This Row],[case_price]]/Table27[[#This Row],[case_size]]</f>
        <v>27.88</v>
      </c>
      <c r="L227" s="4"/>
      <c r="M227" s="4"/>
      <c r="N227" s="4" t="s">
        <v>114</v>
      </c>
      <c r="O227" s="4" t="e">
        <f>_xlfn.XLOOKUP(Table27[[#This Row],[product_name]],#REF!,#REF!,"NOT FOUND",0,1)</f>
        <v>#REF!</v>
      </c>
    </row>
    <row r="228" spans="1:15" ht="21" customHeight="1">
      <c r="A228" s="4" t="s">
        <v>3844</v>
      </c>
      <c r="B228" s="4" t="s">
        <v>4200</v>
      </c>
      <c r="C228" s="4"/>
      <c r="D228" s="28"/>
      <c r="E228" s="4"/>
      <c r="G228" s="28"/>
      <c r="H228" s="4"/>
      <c r="I228" s="4">
        <v>6</v>
      </c>
      <c r="J228" s="38">
        <v>167.28</v>
      </c>
      <c r="K228" s="38">
        <f>Table27[[#This Row],[case_price]]/Table27[[#This Row],[case_size]]</f>
        <v>27.88</v>
      </c>
      <c r="L228" s="4"/>
      <c r="M228" s="4"/>
      <c r="N228" s="4" t="s">
        <v>4201</v>
      </c>
      <c r="O228" s="4" t="e">
        <f>_xlfn.XLOOKUP(Table27[[#This Row],[product_name]],#REF!,#REF!,"NOT FOUND",0,1)</f>
        <v>#REF!</v>
      </c>
    </row>
    <row r="229" spans="1:15" ht="14.7" customHeight="1">
      <c r="A229" s="4" t="s">
        <v>4192</v>
      </c>
      <c r="B229" s="4" t="s">
        <v>490</v>
      </c>
      <c r="C229" s="4" t="s">
        <v>24</v>
      </c>
      <c r="D229" s="28" t="s">
        <v>24</v>
      </c>
      <c r="E229" s="4"/>
      <c r="G229" s="28"/>
      <c r="H229" s="4"/>
      <c r="I229" s="4">
        <v>6</v>
      </c>
      <c r="J229" s="38">
        <f>Table27[[#This Row],[case_size]]*K229</f>
        <v>163.62</v>
      </c>
      <c r="K229" s="38">
        <v>27.27</v>
      </c>
      <c r="L229" s="4"/>
      <c r="M229" s="4"/>
      <c r="N229" s="4" t="s">
        <v>114</v>
      </c>
      <c r="O229" s="4" t="e">
        <f>_xlfn.XLOOKUP(Table27[[#This Row],[product_name]],#REF!,#REF!,"NOT FOUND",0,1)</f>
        <v>#REF!</v>
      </c>
    </row>
    <row r="230" spans="1:15" ht="14.7" customHeight="1">
      <c r="A230" s="4" t="s">
        <v>4223</v>
      </c>
      <c r="B230" s="4" t="s">
        <v>4200</v>
      </c>
      <c r="C230" s="4" t="s">
        <v>4224</v>
      </c>
      <c r="D230" s="4" t="s">
        <v>4224</v>
      </c>
      <c r="E230" s="4"/>
      <c r="G230" s="28"/>
      <c r="I230" s="4">
        <v>12</v>
      </c>
      <c r="J230" s="38">
        <v>105.6</v>
      </c>
      <c r="K230" s="38">
        <f>Table27[[#This Row],[case_price]]/Table27[[#This Row],[case_size]]</f>
        <v>8.7999999999999989</v>
      </c>
      <c r="L230" s="4"/>
      <c r="M230" s="4"/>
      <c r="N230" s="4" t="s">
        <v>4201</v>
      </c>
      <c r="O230" s="4" t="e">
        <f>_xlfn.XLOOKUP(Table27[[#This Row],[product_name]],#REF!,#REF!,"NOT FOUND",0,1)</f>
        <v>#REF!</v>
      </c>
    </row>
    <row r="231" spans="1:15" ht="14.7" customHeight="1">
      <c r="A231" s="4" t="s">
        <v>4223</v>
      </c>
      <c r="B231" s="4" t="s">
        <v>4200</v>
      </c>
      <c r="C231" s="4" t="s">
        <v>4224</v>
      </c>
      <c r="D231" s="4" t="s">
        <v>4224</v>
      </c>
      <c r="E231" s="4"/>
      <c r="G231" s="28"/>
      <c r="I231" s="4">
        <v>12</v>
      </c>
      <c r="J231" s="38">
        <v>51.72</v>
      </c>
      <c r="K231" s="38">
        <f>Table27[[#This Row],[case_price]]/Table27[[#This Row],[case_size]]</f>
        <v>4.3099999999999996</v>
      </c>
      <c r="L231" s="4"/>
      <c r="M231" s="4"/>
      <c r="N231" s="4" t="s">
        <v>4201</v>
      </c>
      <c r="O231" s="4" t="e">
        <f>_xlfn.XLOOKUP(Table27[[#This Row],[product_name]],#REF!,#REF!,"NOT FOUND",0,1)</f>
        <v>#REF!</v>
      </c>
    </row>
    <row r="232" spans="1:15" ht="14.7" customHeight="1">
      <c r="A232" s="4" t="s">
        <v>4192</v>
      </c>
      <c r="B232" s="4" t="s">
        <v>490</v>
      </c>
      <c r="C232" s="4" t="s">
        <v>24</v>
      </c>
      <c r="D232" s="28" t="s">
        <v>24</v>
      </c>
      <c r="E232" s="4"/>
      <c r="G232" s="28"/>
      <c r="H232" s="4"/>
      <c r="I232" s="4">
        <v>6</v>
      </c>
      <c r="J232" s="38">
        <v>145.44</v>
      </c>
      <c r="K232" s="38">
        <f>Table27[[#This Row],[case_price]]/Table27[[#This Row],[case_size]]</f>
        <v>24.24</v>
      </c>
      <c r="L232" s="4"/>
      <c r="M232" s="4"/>
      <c r="N232" s="4" t="s">
        <v>114</v>
      </c>
      <c r="O232" s="4" t="e">
        <f>_xlfn.XLOOKUP(Table27[[#This Row],[product_name]],#REF!,#REF!,"NOT FOUND",0,1)</f>
        <v>#REF!</v>
      </c>
    </row>
    <row r="233" spans="1:15" ht="14.7" customHeight="1">
      <c r="A233" s="4" t="s">
        <v>25</v>
      </c>
      <c r="B233" s="4" t="s">
        <v>490</v>
      </c>
      <c r="C233" s="4" t="s">
        <v>25</v>
      </c>
      <c r="D233" s="28" t="s">
        <v>25</v>
      </c>
      <c r="E233" s="4"/>
      <c r="G233" s="28"/>
      <c r="H233" s="4"/>
      <c r="I233" s="4">
        <v>12</v>
      </c>
      <c r="J233" s="38">
        <v>364.78</v>
      </c>
      <c r="K233" s="38">
        <f>Table27[[#This Row],[case_price]]/Table27[[#This Row],[case_size]]</f>
        <v>30.39833333333333</v>
      </c>
      <c r="L233" s="4" t="s">
        <v>4215</v>
      </c>
      <c r="M233" s="4"/>
      <c r="N233" s="4" t="s">
        <v>4150</v>
      </c>
      <c r="O233" s="4" t="e">
        <f>_xlfn.XLOOKUP(Table27[[#This Row],[product_name]],#REF!,#REF!,"NOT FOUND",0,1)</f>
        <v>#REF!</v>
      </c>
    </row>
    <row r="234" spans="1:15" ht="14.7" customHeight="1">
      <c r="A234" s="4" t="s">
        <v>3417</v>
      </c>
      <c r="B234" s="4" t="s">
        <v>3417</v>
      </c>
      <c r="C234" s="4"/>
      <c r="D234" s="28"/>
      <c r="E234" s="4"/>
      <c r="G234" s="28"/>
      <c r="I234" s="4" t="s">
        <v>55</v>
      </c>
      <c r="J234" s="38" t="s">
        <v>55</v>
      </c>
      <c r="K234" s="38" t="e">
        <f>Table27[[#This Row],[case_price]]/Table27[[#This Row],[case_size]]</f>
        <v>#VALUE!</v>
      </c>
      <c r="L234" s="4"/>
      <c r="M234" s="4"/>
      <c r="N234" s="4" t="s">
        <v>3770</v>
      </c>
      <c r="O234" s="4" t="e">
        <f>_xlfn.XLOOKUP(Table27[[#This Row],[product_name]],#REF!,#REF!,"NOT FOUND",0,1)</f>
        <v>#REF!</v>
      </c>
    </row>
    <row r="235" spans="1:15" ht="14.7" customHeight="1">
      <c r="A235" s="4" t="s">
        <v>3800</v>
      </c>
      <c r="B235" s="4" t="s">
        <v>201</v>
      </c>
      <c r="C235" s="4"/>
      <c r="D235" s="28"/>
      <c r="E235" s="4"/>
      <c r="G235" s="28"/>
      <c r="I235" s="4" t="s">
        <v>55</v>
      </c>
      <c r="J235" s="38" t="s">
        <v>55</v>
      </c>
      <c r="K235" s="38" t="e">
        <f>Table27[[#This Row],[case_price]]/Table27[[#This Row],[case_size]]</f>
        <v>#VALUE!</v>
      </c>
      <c r="L235" s="4"/>
      <c r="M235" s="4"/>
      <c r="N235" s="4" t="s">
        <v>3770</v>
      </c>
      <c r="O235" s="4" t="e">
        <f>_xlfn.XLOOKUP(Table27[[#This Row],[product_name]],#REF!,#REF!,"NOT FOUND",0,1)</f>
        <v>#REF!</v>
      </c>
    </row>
    <row r="236" spans="1:15" ht="27" customHeight="1">
      <c r="A236" s="4" t="s">
        <v>4221</v>
      </c>
      <c r="B236" s="4" t="s">
        <v>490</v>
      </c>
      <c r="C236" s="4" t="s">
        <v>4221</v>
      </c>
      <c r="D236" s="4" t="s">
        <v>4221</v>
      </c>
      <c r="E236" s="4"/>
      <c r="G236" s="28"/>
      <c r="I236" s="4">
        <v>6</v>
      </c>
      <c r="J236" s="38">
        <v>131.94</v>
      </c>
      <c r="K236" s="38">
        <f>Table27[[#This Row],[case_price]]/Table27[[#This Row],[case_size]]</f>
        <v>21.99</v>
      </c>
      <c r="L236" s="4" t="s">
        <v>4207</v>
      </c>
      <c r="M236" s="4">
        <v>3.2</v>
      </c>
      <c r="N236" s="4" t="s">
        <v>4201</v>
      </c>
      <c r="O236" s="4" t="e">
        <f>_xlfn.XLOOKUP(Table27[[#This Row],[product_name]],#REF!,#REF!,"NOT FOUND",0,1)</f>
        <v>#REF!</v>
      </c>
    </row>
    <row r="237" spans="1:15" ht="21" customHeight="1">
      <c r="A237" s="4" t="s">
        <v>3844</v>
      </c>
      <c r="B237" s="4" t="s">
        <v>504</v>
      </c>
      <c r="C237" s="4" t="s">
        <v>3943</v>
      </c>
      <c r="D237" s="28" t="s">
        <v>3943</v>
      </c>
      <c r="E237" s="4"/>
      <c r="G237" s="28"/>
      <c r="I237" s="4">
        <v>12</v>
      </c>
      <c r="J237" s="38">
        <v>151.68</v>
      </c>
      <c r="K237" s="38">
        <f>Table27[[#This Row],[case_price]]/Table27[[#This Row],[case_size]]</f>
        <v>12.64</v>
      </c>
      <c r="L237" s="4" t="s">
        <v>4208</v>
      </c>
      <c r="M237" s="4"/>
      <c r="N237" s="4" t="s">
        <v>114</v>
      </c>
      <c r="O237" s="4" t="e">
        <f>_xlfn.XLOOKUP(Table27[[#This Row],[product_name]],#REF!,#REF!,"NOT FOUND",0,1)</f>
        <v>#REF!</v>
      </c>
    </row>
    <row r="238" spans="1:15" ht="21" customHeight="1">
      <c r="A238" s="4" t="s">
        <v>3844</v>
      </c>
      <c r="B238" s="4" t="s">
        <v>504</v>
      </c>
      <c r="C238" s="4" t="s">
        <v>3943</v>
      </c>
      <c r="D238" s="28" t="s">
        <v>3943</v>
      </c>
      <c r="E238" s="4"/>
      <c r="G238" s="28"/>
      <c r="I238" s="4">
        <v>12</v>
      </c>
      <c r="J238" s="38">
        <v>151.68</v>
      </c>
      <c r="K238" s="38">
        <f>Table27[[#This Row],[case_price]]/Table27[[#This Row],[case_size]]</f>
        <v>12.64</v>
      </c>
      <c r="L238" s="4" t="s">
        <v>4208</v>
      </c>
      <c r="M238" s="4"/>
      <c r="N238" s="4" t="s">
        <v>114</v>
      </c>
      <c r="O238" s="4" t="e">
        <f>_xlfn.XLOOKUP(Table27[[#This Row],[product_name]],#REF!,#REF!,"NOT FOUND",0,1)</f>
        <v>#REF!</v>
      </c>
    </row>
    <row r="239" spans="1:15" ht="21" customHeight="1">
      <c r="A239" s="4" t="s">
        <v>3844</v>
      </c>
      <c r="B239" s="4" t="s">
        <v>504</v>
      </c>
      <c r="C239" s="4" t="s">
        <v>3943</v>
      </c>
      <c r="D239" s="28" t="s">
        <v>3943</v>
      </c>
      <c r="E239" s="4"/>
      <c r="G239" s="28"/>
      <c r="H239" s="4"/>
      <c r="I239" s="4">
        <v>12</v>
      </c>
      <c r="J239" s="38">
        <v>130.91999999999999</v>
      </c>
      <c r="K239" s="38">
        <f>Table27[[#This Row],[case_price]]/Table27[[#This Row],[case_size]]</f>
        <v>10.909999999999998</v>
      </c>
      <c r="L239" s="4" t="s">
        <v>4208</v>
      </c>
      <c r="M239" s="4"/>
      <c r="N239" s="4" t="s">
        <v>114</v>
      </c>
      <c r="O239" s="4" t="e">
        <f>_xlfn.XLOOKUP(Table27[[#This Row],[product_name]],#REF!,#REF!,"NOT FOUND",0,1)</f>
        <v>#REF!</v>
      </c>
    </row>
    <row r="240" spans="1:15" ht="14.7" customHeight="1">
      <c r="A240" s="4" t="s">
        <v>4211</v>
      </c>
      <c r="B240" s="4" t="s">
        <v>201</v>
      </c>
      <c r="C240" s="15" t="s">
        <v>9</v>
      </c>
      <c r="D240" s="15" t="s">
        <v>9</v>
      </c>
      <c r="E240" s="4"/>
      <c r="G240" s="28"/>
      <c r="I240" s="4">
        <v>12</v>
      </c>
      <c r="J240" s="38">
        <v>66.599999999999994</v>
      </c>
      <c r="K240" s="38">
        <f>Table27[[#This Row],[case_price]]/Table27[[#This Row],[case_size]]</f>
        <v>5.55</v>
      </c>
      <c r="L240" s="4"/>
      <c r="M240" s="4"/>
      <c r="N240" s="4" t="s">
        <v>135</v>
      </c>
      <c r="O240" s="4" t="e">
        <f>_xlfn.XLOOKUP(Table27[[#This Row],[product_name]],#REF!,#REF!,"NOT FOUND",0,1)</f>
        <v>#REF!</v>
      </c>
    </row>
    <row r="241" spans="1:15" ht="21" customHeight="1">
      <c r="A241" s="4" t="s">
        <v>3844</v>
      </c>
      <c r="B241" s="4" t="s">
        <v>504</v>
      </c>
      <c r="C241" s="4" t="s">
        <v>3943</v>
      </c>
      <c r="D241" s="28" t="s">
        <v>3943</v>
      </c>
      <c r="E241" s="4"/>
      <c r="G241" s="28"/>
      <c r="H241" s="4"/>
      <c r="I241" s="4">
        <v>12</v>
      </c>
      <c r="J241" s="38">
        <v>151.68</v>
      </c>
      <c r="K241" s="38">
        <f>Table27[[#This Row],[case_price]]/Table27[[#This Row],[case_size]]</f>
        <v>12.64</v>
      </c>
      <c r="L241" s="4" t="s">
        <v>4208</v>
      </c>
      <c r="M241" s="4"/>
      <c r="N241" s="4" t="s">
        <v>13</v>
      </c>
      <c r="O241" s="4" t="e">
        <f>_xlfn.XLOOKUP(Table27[[#This Row],[product_name]],#REF!,#REF!,"NOT FOUND",0,1)</f>
        <v>#REF!</v>
      </c>
    </row>
    <row r="242" spans="1:15" ht="14.7" customHeight="1">
      <c r="A242" s="4" t="s">
        <v>2362</v>
      </c>
      <c r="B242" s="4" t="s">
        <v>490</v>
      </c>
      <c r="C242" s="4" t="s">
        <v>2362</v>
      </c>
      <c r="D242" s="28" t="s">
        <v>2362</v>
      </c>
      <c r="E242" s="4"/>
      <c r="G242" s="28"/>
      <c r="I242" s="4">
        <v>6</v>
      </c>
      <c r="J242" s="38">
        <f>Table27[[#This Row],[case_size]]*Table27[[#This Row],[unit_price]]</f>
        <v>101.94</v>
      </c>
      <c r="K242" s="38">
        <v>16.989999999999998</v>
      </c>
      <c r="L242" s="4"/>
      <c r="M242" s="4"/>
      <c r="N242" s="4" t="s">
        <v>135</v>
      </c>
      <c r="O242" s="4" t="e">
        <f>_xlfn.XLOOKUP(Table27[[#This Row],[product_name]],#REF!,#REF!,"NOT FOUND",0,1)</f>
        <v>#REF!</v>
      </c>
    </row>
    <row r="243" spans="1:15" ht="14.7" customHeight="1">
      <c r="A243" s="4" t="s">
        <v>2362</v>
      </c>
      <c r="B243" s="4" t="s">
        <v>490</v>
      </c>
      <c r="C243" s="4" t="s">
        <v>2362</v>
      </c>
      <c r="D243" s="28" t="s">
        <v>2362</v>
      </c>
      <c r="E243" s="4"/>
      <c r="G243" s="28"/>
      <c r="I243" s="4">
        <v>6</v>
      </c>
      <c r="J243" s="38">
        <f>Table27[[#This Row],[case_size]]*Table27[[#This Row],[unit_price]]</f>
        <v>114</v>
      </c>
      <c r="K243" s="38">
        <v>19</v>
      </c>
      <c r="L243" s="4"/>
      <c r="M243" s="4"/>
      <c r="N243" s="4" t="s">
        <v>135</v>
      </c>
      <c r="O243" s="4" t="e">
        <f>_xlfn.XLOOKUP(Table27[[#This Row],[product_name]],#REF!,#REF!,"NOT FOUND",0,1)</f>
        <v>#REF!</v>
      </c>
    </row>
    <row r="244" spans="1:15" ht="14.7" customHeight="1">
      <c r="A244" s="4" t="s">
        <v>2362</v>
      </c>
      <c r="B244" s="4" t="s">
        <v>490</v>
      </c>
      <c r="C244" s="4" t="s">
        <v>2362</v>
      </c>
      <c r="D244" s="28" t="s">
        <v>2362</v>
      </c>
      <c r="E244" s="4"/>
      <c r="G244" s="28"/>
      <c r="I244" s="4">
        <v>12</v>
      </c>
      <c r="J244" s="38">
        <f>Table27[[#This Row],[case_size]]*Table27[[#This Row],[unit_price]]</f>
        <v>305.88</v>
      </c>
      <c r="K244" s="38">
        <v>25.49</v>
      </c>
      <c r="L244" s="4"/>
      <c r="M244" s="4"/>
      <c r="N244" s="4" t="s">
        <v>135</v>
      </c>
      <c r="O244" s="4" t="e">
        <f>_xlfn.XLOOKUP(Table27[[#This Row],[product_name]],#REF!,#REF!,"NOT FOUND",0,1)</f>
        <v>#REF!</v>
      </c>
    </row>
    <row r="245" spans="1:15" ht="14.7" customHeight="1">
      <c r="A245" s="4" t="s">
        <v>4220</v>
      </c>
      <c r="B245" s="4" t="s">
        <v>490</v>
      </c>
      <c r="C245" s="28" t="s">
        <v>4221</v>
      </c>
      <c r="D245" s="28" t="s">
        <v>4221</v>
      </c>
      <c r="E245" s="4"/>
      <c r="G245" s="28"/>
      <c r="I245" s="4">
        <v>12</v>
      </c>
      <c r="J245" s="38">
        <v>72</v>
      </c>
      <c r="K245" s="38">
        <f>Table27[[#This Row],[case_price]]/Table27[[#This Row],[case_size]]</f>
        <v>6</v>
      </c>
      <c r="L245" s="4"/>
      <c r="M245" s="4"/>
      <c r="N245" s="4" t="s">
        <v>56</v>
      </c>
      <c r="O245" s="4" t="e">
        <f>_xlfn.XLOOKUP(Table27[[#This Row],[product_name]],#REF!,#REF!,"NOT FOUND",0,1)</f>
        <v>#REF!</v>
      </c>
    </row>
    <row r="246" spans="1:15" ht="14.7" customHeight="1">
      <c r="A246" s="4" t="s">
        <v>4028</v>
      </c>
      <c r="B246" s="4" t="s">
        <v>490</v>
      </c>
      <c r="C246" s="4" t="s">
        <v>4221</v>
      </c>
      <c r="D246" s="28" t="s">
        <v>4028</v>
      </c>
      <c r="E246" s="4"/>
      <c r="G246" s="28"/>
      <c r="I246" s="4">
        <v>12</v>
      </c>
      <c r="J246" s="38">
        <v>288</v>
      </c>
      <c r="K246" s="38">
        <f>Table27[[#This Row],[case_price]]/Table27[[#This Row],[case_size]]</f>
        <v>24</v>
      </c>
      <c r="L246" s="4"/>
      <c r="M246" s="4"/>
      <c r="N246" s="4" t="s">
        <v>56</v>
      </c>
      <c r="O246" s="4" t="e">
        <f>_xlfn.XLOOKUP(Table27[[#This Row],[product_name]],#REF!,#REF!,"NOT FOUND",0,1)</f>
        <v>#REF!</v>
      </c>
    </row>
    <row r="247" spans="1:15" ht="14.7" customHeight="1">
      <c r="A247" s="4" t="s">
        <v>4225</v>
      </c>
      <c r="B247" s="4" t="s">
        <v>504</v>
      </c>
      <c r="C247" s="4" t="s">
        <v>3509</v>
      </c>
      <c r="D247" s="28" t="s">
        <v>4226</v>
      </c>
      <c r="E247" s="4"/>
      <c r="G247" s="28"/>
      <c r="I247" s="4">
        <v>6</v>
      </c>
      <c r="J247" s="38">
        <v>108</v>
      </c>
      <c r="K247" s="38">
        <f>Table27[[#This Row],[case_price]]/Table27[[#This Row],[case_size]]</f>
        <v>18</v>
      </c>
      <c r="L247" s="4"/>
      <c r="M247" s="4"/>
      <c r="N247" s="4" t="s">
        <v>78</v>
      </c>
      <c r="O247" s="4" t="e">
        <f>_xlfn.XLOOKUP(Table27[[#This Row],[product_name]],#REF!,#REF!,"NOT FOUND",0,1)</f>
        <v>#REF!</v>
      </c>
    </row>
    <row r="248" spans="1:15" ht="14.7" customHeight="1">
      <c r="A248" s="4" t="s">
        <v>4225</v>
      </c>
      <c r="B248" s="4" t="s">
        <v>504</v>
      </c>
      <c r="C248" s="4" t="s">
        <v>3509</v>
      </c>
      <c r="D248" s="28" t="s">
        <v>4226</v>
      </c>
      <c r="E248" s="4"/>
      <c r="G248" s="28"/>
      <c r="I248" s="4">
        <v>6</v>
      </c>
      <c r="J248" s="38">
        <v>108</v>
      </c>
      <c r="K248" s="38">
        <f>Table27[[#This Row],[case_price]]/Table27[[#This Row],[case_size]]</f>
        <v>18</v>
      </c>
      <c r="L248" s="4"/>
      <c r="M248" s="4"/>
      <c r="N248" s="4" t="s">
        <v>78</v>
      </c>
      <c r="O248" s="4" t="e">
        <f>_xlfn.XLOOKUP(Table27[[#This Row],[product_name]],#REF!,#REF!,"NOT FOUND",0,1)</f>
        <v>#REF!</v>
      </c>
    </row>
    <row r="249" spans="1:15" ht="14.7" customHeight="1">
      <c r="A249" s="4" t="s">
        <v>4225</v>
      </c>
      <c r="B249" s="4" t="s">
        <v>504</v>
      </c>
      <c r="C249" s="4" t="s">
        <v>3509</v>
      </c>
      <c r="D249" s="28" t="s">
        <v>4226</v>
      </c>
      <c r="E249" s="4"/>
      <c r="G249" s="28"/>
      <c r="I249" s="4">
        <v>6</v>
      </c>
      <c r="J249" s="38">
        <v>150</v>
      </c>
      <c r="K249" s="38">
        <f>Table27[[#This Row],[case_price]]/Table27[[#This Row],[case_size]]</f>
        <v>25</v>
      </c>
      <c r="L249" s="4"/>
      <c r="M249" s="4"/>
      <c r="N249" s="4" t="s">
        <v>78</v>
      </c>
      <c r="O249" s="4" t="e">
        <f>_xlfn.XLOOKUP(Table27[[#This Row],[product_name]],#REF!,#REF!,"NOT FOUND",0,1)</f>
        <v>#REF!</v>
      </c>
    </row>
    <row r="250" spans="1:15" ht="14.7" customHeight="1">
      <c r="A250" s="4" t="s">
        <v>4225</v>
      </c>
      <c r="B250" s="4" t="s">
        <v>504</v>
      </c>
      <c r="C250" s="4" t="s">
        <v>3509</v>
      </c>
      <c r="D250" s="28" t="s">
        <v>4226</v>
      </c>
      <c r="E250" s="4"/>
      <c r="G250" s="28"/>
      <c r="I250" s="4">
        <v>6</v>
      </c>
      <c r="J250" s="38">
        <v>156</v>
      </c>
      <c r="K250" s="38">
        <f>Table27[[#This Row],[case_price]]/Table27[[#This Row],[case_size]]</f>
        <v>26</v>
      </c>
      <c r="L250" s="4"/>
      <c r="M250" s="4"/>
      <c r="N250" s="4" t="s">
        <v>78</v>
      </c>
      <c r="O250" s="4" t="e">
        <f>_xlfn.XLOOKUP(Table27[[#This Row],[product_name]],#REF!,#REF!,"NOT FOUND",0,1)</f>
        <v>#REF!</v>
      </c>
    </row>
    <row r="251" spans="1:15" ht="14.7" customHeight="1">
      <c r="A251" s="4" t="s">
        <v>4225</v>
      </c>
      <c r="B251" s="4" t="s">
        <v>504</v>
      </c>
      <c r="C251" s="4" t="s">
        <v>3509</v>
      </c>
      <c r="D251" s="28" t="s">
        <v>4226</v>
      </c>
      <c r="E251" s="4"/>
      <c r="G251" s="28"/>
      <c r="I251" s="4">
        <v>6</v>
      </c>
      <c r="J251" s="38">
        <v>174</v>
      </c>
      <c r="K251" s="38">
        <f>Table27[[#This Row],[case_price]]/Table27[[#This Row],[case_size]]</f>
        <v>29</v>
      </c>
      <c r="L251" s="4"/>
      <c r="M251" s="4"/>
      <c r="N251" s="4" t="s">
        <v>78</v>
      </c>
      <c r="O251" s="4" t="e">
        <f>_xlfn.XLOOKUP(Table27[[#This Row],[product_name]],#REF!,#REF!,"NOT FOUND",0,1)</f>
        <v>#REF!</v>
      </c>
    </row>
    <row r="252" spans="1:15" ht="14.7" customHeight="1">
      <c r="A252" s="4" t="s">
        <v>4225</v>
      </c>
      <c r="B252" s="4" t="s">
        <v>504</v>
      </c>
      <c r="C252" s="4" t="s">
        <v>3509</v>
      </c>
      <c r="D252" s="28" t="s">
        <v>4226</v>
      </c>
      <c r="E252" s="4"/>
      <c r="G252" s="28"/>
      <c r="I252" s="4">
        <v>6</v>
      </c>
      <c r="J252" s="38">
        <v>102</v>
      </c>
      <c r="K252" s="38">
        <f>Table27[[#This Row],[case_price]]/Table27[[#This Row],[case_size]]</f>
        <v>17</v>
      </c>
      <c r="L252" s="4"/>
      <c r="M252" s="4"/>
      <c r="N252" s="4" t="s">
        <v>78</v>
      </c>
      <c r="O252" s="4" t="e">
        <f>_xlfn.XLOOKUP(Table27[[#This Row],[product_name]],#REF!,#REF!,"NOT FOUND",0,1)</f>
        <v>#REF!</v>
      </c>
    </row>
    <row r="253" spans="1:15" ht="14.7" customHeight="1">
      <c r="A253" s="4" t="s">
        <v>4225</v>
      </c>
      <c r="B253" s="4" t="s">
        <v>504</v>
      </c>
      <c r="C253" s="4" t="s">
        <v>3509</v>
      </c>
      <c r="D253" s="28" t="s">
        <v>4226</v>
      </c>
      <c r="E253" s="4"/>
      <c r="G253" s="28"/>
      <c r="I253" s="4">
        <v>6</v>
      </c>
      <c r="J253" s="38">
        <v>150</v>
      </c>
      <c r="K253" s="38">
        <f>Table27[[#This Row],[case_price]]/Table27[[#This Row],[case_size]]</f>
        <v>25</v>
      </c>
      <c r="L253" s="4"/>
      <c r="M253" s="4"/>
      <c r="N253" s="4" t="s">
        <v>78</v>
      </c>
      <c r="O253" s="4" t="e">
        <f>_xlfn.XLOOKUP(Table27[[#This Row],[product_name]],#REF!,#REF!,"NOT FOUND",0,1)</f>
        <v>#REF!</v>
      </c>
    </row>
    <row r="254" spans="1:15" ht="21" customHeight="1">
      <c r="A254" s="4" t="s">
        <v>3844</v>
      </c>
      <c r="B254" s="4" t="s">
        <v>504</v>
      </c>
      <c r="C254" s="4" t="s">
        <v>3943</v>
      </c>
      <c r="D254" s="28" t="s">
        <v>3943</v>
      </c>
      <c r="E254" s="4"/>
      <c r="G254" s="28"/>
      <c r="I254" s="4">
        <v>6</v>
      </c>
      <c r="J254" s="38">
        <f>207/2</f>
        <v>103.5</v>
      </c>
      <c r="K254" s="38">
        <f>Table27[[#This Row],[case_price]]/Table27[[#This Row],[case_size]]</f>
        <v>17.25</v>
      </c>
      <c r="L254" s="4"/>
      <c r="M254" s="4"/>
      <c r="N254" s="4" t="s">
        <v>56</v>
      </c>
      <c r="O254" s="4" t="e">
        <f>_xlfn.XLOOKUP(Table27[[#This Row],[product_name]],#REF!,#REF!,"NOT FOUND",0,1)</f>
        <v>#REF!</v>
      </c>
    </row>
    <row r="255" spans="1:15" ht="21" customHeight="1">
      <c r="A255" s="4" t="s">
        <v>3844</v>
      </c>
      <c r="B255" s="4" t="s">
        <v>504</v>
      </c>
      <c r="C255" s="4" t="s">
        <v>38</v>
      </c>
      <c r="D255" s="4" t="s">
        <v>38</v>
      </c>
      <c r="E255" s="4"/>
      <c r="G255" s="28"/>
      <c r="I255" s="4">
        <v>6</v>
      </c>
      <c r="J255" s="38">
        <v>138</v>
      </c>
      <c r="K255" s="38">
        <f>Table27[[#This Row],[case_price]]/Table27[[#This Row],[case_size]]</f>
        <v>23</v>
      </c>
      <c r="L255" s="4"/>
      <c r="M255" s="4"/>
      <c r="N255" s="4" t="s">
        <v>56</v>
      </c>
      <c r="O255" s="4" t="e">
        <f>_xlfn.XLOOKUP(Table27[[#This Row],[product_name]],#REF!,#REF!,"NOT FOUND",0,1)</f>
        <v>#REF!</v>
      </c>
    </row>
    <row r="256" spans="1:15" ht="14.7" customHeight="1">
      <c r="A256" s="4" t="s">
        <v>4227</v>
      </c>
      <c r="B256" s="4" t="s">
        <v>4200</v>
      </c>
      <c r="C256" s="4" t="s">
        <v>4224</v>
      </c>
      <c r="D256" s="4" t="s">
        <v>4224</v>
      </c>
      <c r="E256" s="4"/>
      <c r="G256" s="28"/>
      <c r="I256" s="4">
        <v>6</v>
      </c>
      <c r="J256" s="38">
        <v>251.88</v>
      </c>
      <c r="K256" s="38">
        <f>Table27[[#This Row],[case_price]]/Table27[[#This Row],[case_size]]</f>
        <v>41.98</v>
      </c>
      <c r="L256" s="4"/>
      <c r="M256" s="4"/>
      <c r="N256" s="4" t="s">
        <v>56</v>
      </c>
      <c r="O256" s="4" t="e">
        <f>_xlfn.XLOOKUP(Table27[[#This Row],[product_name]],#REF!,#REF!,"NOT FOUND",0,1)</f>
        <v>#REF!</v>
      </c>
    </row>
    <row r="257" spans="1:15" ht="14.7" customHeight="1">
      <c r="A257" s="4" t="s">
        <v>4228</v>
      </c>
      <c r="B257" s="4" t="s">
        <v>4229</v>
      </c>
      <c r="C257" s="15" t="s">
        <v>9</v>
      </c>
      <c r="D257" s="15" t="s">
        <v>9</v>
      </c>
      <c r="E257" s="4"/>
      <c r="G257" s="28"/>
      <c r="I257" s="4">
        <v>12</v>
      </c>
      <c r="J257" s="38">
        <v>66.599999999999994</v>
      </c>
      <c r="K257" s="38">
        <f>Table27[[#This Row],[case_price]]/Table27[[#This Row],[case_size]]</f>
        <v>5.55</v>
      </c>
      <c r="L257" s="4"/>
      <c r="M257" s="4"/>
      <c r="N257" s="4" t="s">
        <v>70</v>
      </c>
      <c r="O257" s="4" t="e">
        <f>_xlfn.XLOOKUP(Table27[[#This Row],[product_name]],#REF!,#REF!,"NOT FOUND",0,1)</f>
        <v>#REF!</v>
      </c>
    </row>
    <row r="258" spans="1:15" ht="14.7" customHeight="1">
      <c r="A258" s="4" t="s">
        <v>4221</v>
      </c>
      <c r="B258" s="4" t="s">
        <v>490</v>
      </c>
      <c r="C258" s="4" t="s">
        <v>4221</v>
      </c>
      <c r="D258" s="28" t="s">
        <v>4221</v>
      </c>
      <c r="E258" s="4"/>
      <c r="G258" s="28"/>
      <c r="I258" s="4">
        <v>12</v>
      </c>
      <c r="J258" s="38">
        <v>288</v>
      </c>
      <c r="K258" s="38">
        <f>Table27[[#This Row],[case_price]]/Table27[[#This Row],[case_size]]</f>
        <v>24</v>
      </c>
      <c r="L258" s="4"/>
      <c r="M258" s="4"/>
      <c r="N258" s="4" t="s">
        <v>4201</v>
      </c>
      <c r="O258" s="4" t="e">
        <f>_xlfn.XLOOKUP(Table27[[#This Row],[product_name]],#REF!,#REF!,"NOT FOUND",0,1)</f>
        <v>#REF!</v>
      </c>
    </row>
    <row r="259" spans="1:15" ht="14.7" customHeight="1">
      <c r="A259" s="4" t="s">
        <v>499</v>
      </c>
      <c r="B259" s="4" t="s">
        <v>490</v>
      </c>
      <c r="C259" s="4" t="s">
        <v>33</v>
      </c>
      <c r="D259" s="28" t="s">
        <v>33</v>
      </c>
      <c r="E259" s="4"/>
      <c r="G259" s="28"/>
      <c r="I259" s="4">
        <v>12</v>
      </c>
      <c r="J259" s="38">
        <v>89.88</v>
      </c>
      <c r="K259" s="38">
        <f>Table27[[#This Row],[case_price]]/Table27[[#This Row],[case_size]]</f>
        <v>7.4899999999999993</v>
      </c>
      <c r="L259" s="4"/>
      <c r="M259" s="4"/>
      <c r="N259" s="4" t="s">
        <v>4091</v>
      </c>
      <c r="O259" s="4" t="e">
        <f>_xlfn.XLOOKUP(Table27[[#This Row],[product_name]],#REF!,#REF!,"NOT FOUND",0,1)</f>
        <v>#REF!</v>
      </c>
    </row>
    <row r="260" spans="1:15" ht="14.7" customHeight="1">
      <c r="A260" s="4" t="s">
        <v>499</v>
      </c>
      <c r="B260" s="4" t="s">
        <v>490</v>
      </c>
      <c r="C260" s="4" t="s">
        <v>33</v>
      </c>
      <c r="D260" s="28" t="s">
        <v>33</v>
      </c>
      <c r="E260" s="4"/>
      <c r="G260" s="28"/>
      <c r="I260" s="4">
        <v>12</v>
      </c>
      <c r="J260" s="38">
        <v>284.04000000000002</v>
      </c>
      <c r="K260" s="38">
        <f>Table27[[#This Row],[case_price]]/Table27[[#This Row],[case_size]]</f>
        <v>23.67</v>
      </c>
      <c r="L260" s="4"/>
      <c r="M260" s="4"/>
      <c r="N260" s="4" t="s">
        <v>4091</v>
      </c>
      <c r="O260" s="4" t="e">
        <f>_xlfn.XLOOKUP(Table27[[#This Row],[product_name]],#REF!,#REF!,"NOT FOUND",0,1)</f>
        <v>#REF!</v>
      </c>
    </row>
    <row r="261" spans="1:15" ht="21" customHeight="1">
      <c r="A261" s="4" t="s">
        <v>503</v>
      </c>
      <c r="B261" s="4" t="s">
        <v>504</v>
      </c>
      <c r="C261" s="4"/>
      <c r="D261" s="28"/>
      <c r="E261" s="4"/>
      <c r="G261" s="28"/>
      <c r="H261" s="4"/>
      <c r="I261" s="4">
        <v>12</v>
      </c>
      <c r="J261" s="38">
        <f>455.04/3</f>
        <v>151.68</v>
      </c>
      <c r="K261" s="38">
        <f>Table27[[#This Row],[case_price]]/Table27[[#This Row],[case_size]]</f>
        <v>12.64</v>
      </c>
      <c r="L261" s="4"/>
      <c r="M261" s="4"/>
      <c r="N261" s="4" t="s">
        <v>13</v>
      </c>
      <c r="O261" s="4" t="e">
        <f>_xlfn.XLOOKUP(Table27[[#This Row],[product_name]],#REF!,#REF!,"NOT FOUND",0,1)</f>
        <v>#REF!</v>
      </c>
    </row>
    <row r="262" spans="1:15" ht="14.7" customHeight="1">
      <c r="A262" s="4" t="s">
        <v>616</v>
      </c>
      <c r="B262" s="4" t="s">
        <v>490</v>
      </c>
      <c r="C262" s="15" t="s">
        <v>31</v>
      </c>
      <c r="D262" s="4" t="s">
        <v>31</v>
      </c>
      <c r="E262" s="4"/>
      <c r="G262" s="28"/>
      <c r="I262" s="4">
        <v>12</v>
      </c>
      <c r="J262" s="38">
        <f>Table27[[#This Row],[unit_price]]*Table27[[#This Row],[case_size]]</f>
        <v>264</v>
      </c>
      <c r="K262" s="38">
        <v>22</v>
      </c>
      <c r="L262" s="4" t="s">
        <v>4207</v>
      </c>
      <c r="M262" s="4">
        <v>3.2</v>
      </c>
      <c r="N262" s="4" t="s">
        <v>134</v>
      </c>
      <c r="O262" s="4" t="e">
        <f>_xlfn.XLOOKUP(Table27[[#This Row],[product_name]],#REF!,#REF!,"NOT FOUND",0,1)</f>
        <v>#REF!</v>
      </c>
    </row>
    <row r="263" spans="1:15" ht="14.7" customHeight="1">
      <c r="A263" s="4" t="s">
        <v>2362</v>
      </c>
      <c r="B263" s="4" t="s">
        <v>490</v>
      </c>
      <c r="C263" s="4" t="s">
        <v>2362</v>
      </c>
      <c r="D263" s="28" t="s">
        <v>2362</v>
      </c>
      <c r="E263" s="4"/>
      <c r="G263" s="28"/>
      <c r="I263" s="4">
        <v>12</v>
      </c>
      <c r="J263" s="38">
        <f>12*8.2</f>
        <v>98.399999999999991</v>
      </c>
      <c r="K263" s="38">
        <f>Table27[[#This Row],[case_price]]/Table27[[#This Row],[case_size]]</f>
        <v>8.1999999999999993</v>
      </c>
      <c r="L263" s="4"/>
      <c r="M263" s="4"/>
      <c r="N263" s="4" t="s">
        <v>18</v>
      </c>
      <c r="O263" s="4" t="e">
        <f>_xlfn.XLOOKUP(Table27[[#This Row],[product_name]],#REF!,#REF!,"NOT FOUND",0,1)</f>
        <v>#REF!</v>
      </c>
    </row>
    <row r="264" spans="1:15" ht="14.7" customHeight="1">
      <c r="A264" s="4" t="s">
        <v>4196</v>
      </c>
      <c r="B264" s="4" t="s">
        <v>4194</v>
      </c>
      <c r="C264" s="5" t="s">
        <v>144</v>
      </c>
      <c r="D264" s="4" t="s">
        <v>4196</v>
      </c>
      <c r="E264" s="4"/>
      <c r="G264" s="28"/>
      <c r="H264" s="4"/>
      <c r="I264" s="28">
        <v>12</v>
      </c>
      <c r="J264" s="38">
        <v>336</v>
      </c>
      <c r="K264" s="38">
        <f>Table27[[#This Row],[case_price]]/Table27[[#This Row],[case_size]]</f>
        <v>28</v>
      </c>
      <c r="L264" s="4"/>
      <c r="M264" s="4"/>
      <c r="N264" s="4" t="s">
        <v>4198</v>
      </c>
      <c r="O264" s="4" t="e">
        <f>_xlfn.XLOOKUP(Table27[[#This Row],[product_name]],#REF!,#REF!,"NOT FOUND",0,1)</f>
        <v>#REF!</v>
      </c>
    </row>
    <row r="265" spans="1:15" ht="14.7" customHeight="1">
      <c r="A265" s="4" t="s">
        <v>4196</v>
      </c>
      <c r="B265" s="4" t="s">
        <v>4194</v>
      </c>
      <c r="C265" s="5" t="s">
        <v>144</v>
      </c>
      <c r="D265" s="4" t="s">
        <v>4196</v>
      </c>
      <c r="E265" s="4"/>
      <c r="G265" s="28"/>
      <c r="I265" s="28">
        <v>12</v>
      </c>
      <c r="J265" s="38">
        <v>210.05</v>
      </c>
      <c r="K265" s="38">
        <f>Table27[[#This Row],[case_price]]/Table27[[#This Row],[case_size]]</f>
        <v>17.504166666666666</v>
      </c>
      <c r="L265" s="4"/>
      <c r="M265" s="4"/>
      <c r="N265" s="4" t="s">
        <v>4198</v>
      </c>
      <c r="O265" s="4" t="e">
        <f>_xlfn.XLOOKUP(Table27[[#This Row],[product_name]],#REF!,#REF!,"NOT FOUND",0,1)</f>
        <v>#REF!</v>
      </c>
    </row>
    <row r="266" spans="1:15" ht="14.7" customHeight="1">
      <c r="A266" s="4" t="s">
        <v>4196</v>
      </c>
      <c r="B266" s="4" t="s">
        <v>4194</v>
      </c>
      <c r="C266" s="5" t="s">
        <v>144</v>
      </c>
      <c r="D266" s="4" t="s">
        <v>4196</v>
      </c>
      <c r="E266" s="4"/>
      <c r="G266" s="28"/>
      <c r="I266" s="28">
        <v>12</v>
      </c>
      <c r="J266" s="38">
        <v>248.04</v>
      </c>
      <c r="K266" s="38">
        <f>Table27[[#This Row],[case_price]]/Table27[[#This Row],[case_size]]</f>
        <v>20.669999999999998</v>
      </c>
      <c r="L266" s="4"/>
      <c r="M266" s="4"/>
      <c r="N266" s="4" t="s">
        <v>4198</v>
      </c>
      <c r="O266" s="4" t="e">
        <f>_xlfn.XLOOKUP(Table27[[#This Row],[product_name]],#REF!,#REF!,"NOT FOUND",0,1)</f>
        <v>#REF!</v>
      </c>
    </row>
    <row r="267" spans="1:15" ht="14.7" customHeight="1">
      <c r="A267" s="4" t="s">
        <v>4220</v>
      </c>
      <c r="B267" s="4" t="s">
        <v>490</v>
      </c>
      <c r="C267" s="4" t="s">
        <v>4221</v>
      </c>
      <c r="D267" s="28" t="s">
        <v>4221</v>
      </c>
      <c r="E267" s="4"/>
      <c r="G267" s="28"/>
      <c r="I267" s="4">
        <v>6</v>
      </c>
      <c r="J267" s="38">
        <v>303</v>
      </c>
      <c r="K267" s="38">
        <f>Table27[[#This Row],[case_price]]/Table27[[#This Row],[case_size]]</f>
        <v>50.5</v>
      </c>
      <c r="L267" s="4"/>
      <c r="M267" s="4"/>
      <c r="N267" s="4" t="s">
        <v>13</v>
      </c>
      <c r="O267" s="4" t="e">
        <f>_xlfn.XLOOKUP(Table27[[#This Row],[product_name]],#REF!,#REF!,"NOT FOUND",0,1)</f>
        <v>#REF!</v>
      </c>
    </row>
    <row r="268" spans="1:15" ht="14.7" customHeight="1">
      <c r="A268" s="4" t="s">
        <v>4230</v>
      </c>
      <c r="B268" s="4" t="s">
        <v>4200</v>
      </c>
      <c r="C268" s="4" t="s">
        <v>16</v>
      </c>
      <c r="D268" s="4" t="s">
        <v>16</v>
      </c>
      <c r="E268" s="4"/>
      <c r="G268" s="28"/>
      <c r="I268" s="4">
        <v>6</v>
      </c>
      <c r="J268" s="38">
        <v>72</v>
      </c>
      <c r="K268" s="38">
        <f>Table27[[#This Row],[case_price]]/Table27[[#This Row],[case_size]]</f>
        <v>12</v>
      </c>
      <c r="L268" s="4"/>
      <c r="M268" s="4"/>
      <c r="N268" s="4" t="s">
        <v>14</v>
      </c>
      <c r="O268" s="4" t="e">
        <f>_xlfn.XLOOKUP(Table27[[#This Row],[product_name]],#REF!,#REF!,"NOT FOUND",0,1)</f>
        <v>#REF!</v>
      </c>
    </row>
    <row r="269" spans="1:15" ht="14.7" customHeight="1">
      <c r="A269" s="4" t="s">
        <v>4230</v>
      </c>
      <c r="B269" s="4" t="s">
        <v>4200</v>
      </c>
      <c r="C269" s="4" t="s">
        <v>16</v>
      </c>
      <c r="D269" s="4" t="s">
        <v>16</v>
      </c>
      <c r="E269" s="4"/>
      <c r="G269" s="28"/>
      <c r="I269" s="4">
        <v>6</v>
      </c>
      <c r="J269" s="38">
        <v>150</v>
      </c>
      <c r="K269" s="38">
        <f>Table27[[#This Row],[case_price]]/Table27[[#This Row],[case_size]]</f>
        <v>25</v>
      </c>
      <c r="L269" s="4"/>
      <c r="M269" s="4"/>
      <c r="N269" s="4" t="s">
        <v>14</v>
      </c>
      <c r="O269" s="4" t="e">
        <f>_xlfn.XLOOKUP(Table27[[#This Row],[product_name]],#REF!,#REF!,"NOT FOUND",0,1)</f>
        <v>#REF!</v>
      </c>
    </row>
    <row r="270" spans="1:15" ht="14.7" customHeight="1">
      <c r="A270" s="4" t="s">
        <v>4230</v>
      </c>
      <c r="B270" s="4" t="s">
        <v>4200</v>
      </c>
      <c r="C270" s="4" t="s">
        <v>16</v>
      </c>
      <c r="D270" s="4" t="s">
        <v>16</v>
      </c>
      <c r="E270" s="4"/>
      <c r="G270" s="28"/>
      <c r="I270" s="4">
        <v>6</v>
      </c>
      <c r="J270" s="38">
        <v>150</v>
      </c>
      <c r="K270" s="38">
        <f>Table27[[#This Row],[case_price]]/Table27[[#This Row],[case_size]]</f>
        <v>25</v>
      </c>
      <c r="L270" s="4"/>
      <c r="M270" s="4"/>
      <c r="N270" s="4" t="s">
        <v>14</v>
      </c>
      <c r="O270" s="4" t="e">
        <f>_xlfn.XLOOKUP(Table27[[#This Row],[product_name]],#REF!,#REF!,"NOT FOUND",0,1)</f>
        <v>#REF!</v>
      </c>
    </row>
    <row r="271" spans="1:15" ht="14.7" customHeight="1">
      <c r="A271" s="4" t="s">
        <v>4230</v>
      </c>
      <c r="B271" s="4" t="s">
        <v>4200</v>
      </c>
      <c r="C271" s="4" t="s">
        <v>16</v>
      </c>
      <c r="D271" s="4" t="s">
        <v>16</v>
      </c>
      <c r="E271" s="4"/>
      <c r="G271" s="28"/>
      <c r="I271" s="4">
        <v>6</v>
      </c>
      <c r="J271" s="38">
        <v>156</v>
      </c>
      <c r="K271" s="38">
        <f>Table27[[#This Row],[case_price]]/Table27[[#This Row],[case_size]]</f>
        <v>26</v>
      </c>
      <c r="L271" s="4"/>
      <c r="M271" s="4"/>
      <c r="N271" s="4" t="s">
        <v>14</v>
      </c>
      <c r="O271" s="4" t="e">
        <f>_xlfn.XLOOKUP(Table27[[#This Row],[product_name]],#REF!,#REF!,"NOT FOUND",0,1)</f>
        <v>#REF!</v>
      </c>
    </row>
    <row r="272" spans="1:15" ht="14.7" customHeight="1">
      <c r="A272" s="4" t="s">
        <v>4230</v>
      </c>
      <c r="B272" s="4" t="s">
        <v>4200</v>
      </c>
      <c r="C272" s="4" t="s">
        <v>16</v>
      </c>
      <c r="D272" s="4" t="s">
        <v>16</v>
      </c>
      <c r="E272" s="4"/>
      <c r="G272" s="28"/>
      <c r="I272" s="4">
        <v>6</v>
      </c>
      <c r="J272" s="38">
        <v>120</v>
      </c>
      <c r="K272" s="38">
        <f>Table27[[#This Row],[case_price]]/Table27[[#This Row],[case_size]]</f>
        <v>20</v>
      </c>
      <c r="L272" s="4"/>
      <c r="M272" s="4"/>
      <c r="N272" s="4" t="s">
        <v>14</v>
      </c>
      <c r="O272" s="4" t="e">
        <f>_xlfn.XLOOKUP(Table27[[#This Row],[product_name]],#REF!,#REF!,"NOT FOUND",0,1)</f>
        <v>#REF!</v>
      </c>
    </row>
    <row r="273" spans="1:15" ht="14.7" customHeight="1">
      <c r="A273" s="4" t="s">
        <v>4230</v>
      </c>
      <c r="B273" s="4" t="s">
        <v>4200</v>
      </c>
      <c r="C273" s="4" t="s">
        <v>16</v>
      </c>
      <c r="D273" s="4" t="s">
        <v>16</v>
      </c>
      <c r="E273" s="4"/>
      <c r="G273" s="28"/>
      <c r="I273" s="4">
        <v>6</v>
      </c>
      <c r="J273" s="38">
        <v>102</v>
      </c>
      <c r="K273" s="38">
        <f>Table27[[#This Row],[case_price]]/Table27[[#This Row],[case_size]]</f>
        <v>17</v>
      </c>
      <c r="L273" s="4"/>
      <c r="M273" s="4"/>
      <c r="N273" s="4" t="s">
        <v>14</v>
      </c>
      <c r="O273" s="4" t="e">
        <f>_xlfn.XLOOKUP(Table27[[#This Row],[product_name]],#REF!,#REF!,"NOT FOUND",0,1)</f>
        <v>#REF!</v>
      </c>
    </row>
    <row r="274" spans="1:15" ht="14.7" customHeight="1">
      <c r="A274" s="4" t="s">
        <v>4230</v>
      </c>
      <c r="B274" s="4" t="s">
        <v>4200</v>
      </c>
      <c r="C274" s="4" t="s">
        <v>16</v>
      </c>
      <c r="D274" s="4" t="s">
        <v>16</v>
      </c>
      <c r="E274" s="4"/>
      <c r="G274" s="28"/>
      <c r="I274" s="4">
        <v>6</v>
      </c>
      <c r="J274" s="38">
        <v>150</v>
      </c>
      <c r="K274" s="38">
        <f>Table27[[#This Row],[case_price]]/Table27[[#This Row],[case_size]]</f>
        <v>25</v>
      </c>
      <c r="L274" s="4"/>
      <c r="M274" s="4"/>
      <c r="N274" s="4" t="s">
        <v>14</v>
      </c>
      <c r="O274" s="4" t="e">
        <f>_xlfn.XLOOKUP(Table27[[#This Row],[product_name]],#REF!,#REF!,"NOT FOUND",0,1)</f>
        <v>#REF!</v>
      </c>
    </row>
    <row r="275" spans="1:15" ht="14.7" customHeight="1">
      <c r="A275" s="4" t="s">
        <v>4230</v>
      </c>
      <c r="B275" s="4" t="s">
        <v>4200</v>
      </c>
      <c r="C275" s="4" t="s">
        <v>16</v>
      </c>
      <c r="D275" s="4" t="s">
        <v>16</v>
      </c>
      <c r="E275" s="4"/>
      <c r="G275" s="28"/>
      <c r="I275" s="4">
        <v>6</v>
      </c>
      <c r="J275" s="38">
        <v>174</v>
      </c>
      <c r="K275" s="38">
        <f>Table27[[#This Row],[case_price]]/Table27[[#This Row],[case_size]]</f>
        <v>29</v>
      </c>
      <c r="L275" s="4"/>
      <c r="M275" s="4"/>
      <c r="N275" s="4" t="s">
        <v>14</v>
      </c>
      <c r="O275" s="4" t="e">
        <f>_xlfn.XLOOKUP(Table27[[#This Row],[product_name]],#REF!,#REF!,"NOT FOUND",0,1)</f>
        <v>#REF!</v>
      </c>
    </row>
    <row r="276" spans="1:15" ht="14.7" customHeight="1">
      <c r="A276" s="4" t="s">
        <v>4230</v>
      </c>
      <c r="B276" s="4" t="s">
        <v>4200</v>
      </c>
      <c r="C276" s="4" t="s">
        <v>16</v>
      </c>
      <c r="D276" s="4" t="s">
        <v>16</v>
      </c>
      <c r="E276" s="4"/>
      <c r="G276" s="28"/>
      <c r="I276" s="4">
        <v>6</v>
      </c>
      <c r="J276" s="38">
        <v>108</v>
      </c>
      <c r="K276" s="38">
        <f>Table27[[#This Row],[case_price]]/Table27[[#This Row],[case_size]]</f>
        <v>18</v>
      </c>
      <c r="L276" s="4"/>
      <c r="M276" s="4"/>
      <c r="N276" s="4" t="s">
        <v>14</v>
      </c>
      <c r="O276" s="4" t="e">
        <f>_xlfn.XLOOKUP(Table27[[#This Row],[product_name]],#REF!,#REF!,"NOT FOUND",0,1)</f>
        <v>#REF!</v>
      </c>
    </row>
    <row r="277" spans="1:15" ht="21" customHeight="1">
      <c r="A277" s="4" t="s">
        <v>503</v>
      </c>
      <c r="B277" s="4" t="s">
        <v>504</v>
      </c>
      <c r="C277" s="5"/>
      <c r="D277" s="5"/>
      <c r="E277" s="4"/>
      <c r="G277" s="28"/>
      <c r="I277" s="4">
        <v>12</v>
      </c>
      <c r="J277" s="38">
        <f>248.4/2</f>
        <v>124.2</v>
      </c>
      <c r="K277" s="38">
        <f>Table27[[#This Row],[case_price]]/Table27[[#This Row],[case_size]]</f>
        <v>10.35</v>
      </c>
      <c r="L277" s="4"/>
      <c r="M277" s="4"/>
      <c r="N277" s="4" t="s">
        <v>13</v>
      </c>
      <c r="O277" s="4" t="s">
        <v>209</v>
      </c>
    </row>
    <row r="278" spans="1:15" ht="20.399999999999999" customHeight="1">
      <c r="A278" s="4" t="s">
        <v>503</v>
      </c>
      <c r="B278" s="4" t="s">
        <v>504</v>
      </c>
      <c r="C278" s="4"/>
      <c r="D278" s="28"/>
      <c r="E278" s="4"/>
      <c r="G278" s="28"/>
      <c r="I278" s="4">
        <v>12</v>
      </c>
      <c r="J278" s="38">
        <v>179.4</v>
      </c>
      <c r="K278" s="38">
        <f>Table27[[#This Row],[case_price]]/Table27[[#This Row],[case_size]]</f>
        <v>14.950000000000001</v>
      </c>
      <c r="L278" s="4"/>
      <c r="M278" s="4"/>
      <c r="N278" s="4" t="s">
        <v>13</v>
      </c>
      <c r="O278" s="4" t="e">
        <f>_xlfn.XLOOKUP(Table27[[#This Row],[product_name]],#REF!,#REF!,"NOT FOUND",0,1)</f>
        <v>#REF!</v>
      </c>
    </row>
    <row r="279" spans="1:15" ht="14.7" customHeight="1">
      <c r="A279" s="4" t="s">
        <v>533</v>
      </c>
      <c r="B279" s="4" t="s">
        <v>4194</v>
      </c>
      <c r="C279" s="4" t="s">
        <v>4195</v>
      </c>
      <c r="D279" s="4" t="s">
        <v>4195</v>
      </c>
      <c r="E279" s="4"/>
      <c r="G279" s="28"/>
      <c r="I279" s="4">
        <v>12</v>
      </c>
      <c r="J279" s="38">
        <v>159.6</v>
      </c>
      <c r="K279" s="38">
        <f>Table27[[#This Row],[case_price]]/Table27[[#This Row],[case_size]]</f>
        <v>13.299999999999999</v>
      </c>
      <c r="L279" s="4"/>
      <c r="M279" s="4"/>
      <c r="N279" s="4" t="s">
        <v>21</v>
      </c>
      <c r="O279" s="4" t="e">
        <f>_xlfn.XLOOKUP(Table27[[#This Row],[product_name]],#REF!,#REF!,"NOT FOUND",0,1)</f>
        <v>#REF!</v>
      </c>
    </row>
    <row r="280" spans="1:15" ht="14.7" customHeight="1">
      <c r="A280" s="4" t="s">
        <v>4196</v>
      </c>
      <c r="B280" s="4" t="s">
        <v>4194</v>
      </c>
      <c r="C280" s="5" t="s">
        <v>144</v>
      </c>
      <c r="D280" s="4" t="s">
        <v>4196</v>
      </c>
      <c r="E280" s="4"/>
      <c r="G280" s="28"/>
      <c r="H280" s="4"/>
      <c r="I280" s="4">
        <v>12</v>
      </c>
      <c r="J280" s="38">
        <v>168</v>
      </c>
      <c r="K280" s="38">
        <f>Table27[[#This Row],[case_price]]/Table27[[#This Row],[case_size]]</f>
        <v>14</v>
      </c>
      <c r="L280" s="4"/>
      <c r="M280" s="4"/>
      <c r="N280" s="4" t="s">
        <v>32</v>
      </c>
      <c r="O280" s="4" t="e">
        <f>_xlfn.XLOOKUP(Table27[[#This Row],[product_name]],#REF!,#REF!,"NOT FOUND",0,1)</f>
        <v>#REF!</v>
      </c>
    </row>
    <row r="281" spans="1:15" ht="14.7" customHeight="1">
      <c r="A281" s="4" t="s">
        <v>4196</v>
      </c>
      <c r="B281" s="4" t="s">
        <v>4194</v>
      </c>
      <c r="C281" s="5" t="s">
        <v>144</v>
      </c>
      <c r="D281" s="4" t="s">
        <v>4196</v>
      </c>
      <c r="E281" s="4"/>
      <c r="G281" s="28"/>
      <c r="H281" s="4"/>
      <c r="I281" s="4">
        <v>12</v>
      </c>
      <c r="J281" s="38">
        <v>264</v>
      </c>
      <c r="K281" s="38">
        <f>Table27[[#This Row],[case_price]]/Table27[[#This Row],[case_size]]</f>
        <v>22</v>
      </c>
      <c r="L281" s="4"/>
      <c r="M281" s="4"/>
      <c r="N281" s="4" t="s">
        <v>32</v>
      </c>
      <c r="O281" s="4" t="e">
        <f>_xlfn.XLOOKUP(Table27[[#This Row],[product_name]],#REF!,#REF!,"NOT FOUND",0,1)</f>
        <v>#REF!</v>
      </c>
    </row>
    <row r="282" spans="1:15" ht="14.7" customHeight="1">
      <c r="A282" s="4" t="s">
        <v>4196</v>
      </c>
      <c r="B282" s="4" t="s">
        <v>4194</v>
      </c>
      <c r="C282" s="5" t="s">
        <v>144</v>
      </c>
      <c r="D282" s="4" t="s">
        <v>4196</v>
      </c>
      <c r="E282" s="4"/>
      <c r="G282" s="28"/>
      <c r="I282" s="4">
        <v>12</v>
      </c>
      <c r="J282" s="38">
        <v>288</v>
      </c>
      <c r="K282" s="38">
        <f>Table27[[#This Row],[case_price]]/Table27[[#This Row],[case_size]]</f>
        <v>24</v>
      </c>
      <c r="L282" s="4"/>
      <c r="M282" s="4"/>
      <c r="N282" s="4" t="s">
        <v>32</v>
      </c>
      <c r="O282" s="4" t="e">
        <f>_xlfn.XLOOKUP(Table27[[#This Row],[product_name]],#REF!,#REF!,"NOT FOUND",0,1)</f>
        <v>#REF!</v>
      </c>
    </row>
    <row r="283" spans="1:15" ht="14.7" customHeight="1">
      <c r="A283" s="4" t="s">
        <v>533</v>
      </c>
      <c r="B283" s="4" t="s">
        <v>4194</v>
      </c>
      <c r="C283" s="4" t="s">
        <v>4195</v>
      </c>
      <c r="D283" s="4" t="s">
        <v>27</v>
      </c>
      <c r="E283" s="4"/>
      <c r="G283" s="25"/>
      <c r="I283" s="4">
        <v>12</v>
      </c>
      <c r="J283" s="38">
        <v>204</v>
      </c>
      <c r="K283" s="38">
        <f>Table27[[#This Row],[case_price]]/Table27[[#This Row],[case_size]]</f>
        <v>17</v>
      </c>
      <c r="L283" s="4"/>
      <c r="M283" s="4"/>
      <c r="N283" s="4" t="s">
        <v>21</v>
      </c>
      <c r="O283" s="4" t="e">
        <f>_xlfn.XLOOKUP(Table27[[#This Row],[product_name]],#REF!,#REF!,"NOT FOUND",0,1)</f>
        <v>#REF!</v>
      </c>
    </row>
    <row r="284" spans="1:15" ht="14.7" customHeight="1">
      <c r="A284" s="4" t="s">
        <v>22</v>
      </c>
      <c r="B284" s="4" t="s">
        <v>490</v>
      </c>
      <c r="C284" s="4" t="s">
        <v>22</v>
      </c>
      <c r="D284" s="4" t="s">
        <v>22</v>
      </c>
      <c r="E284" s="4"/>
      <c r="G284" s="25"/>
      <c r="I284" s="4">
        <v>12</v>
      </c>
      <c r="J284" s="38">
        <f>30*12</f>
        <v>360</v>
      </c>
      <c r="K284" s="38">
        <f>Table27[[#This Row],[case_price]]/Table27[[#This Row],[case_size]]</f>
        <v>30</v>
      </c>
      <c r="L284" s="4"/>
      <c r="M284" s="4"/>
      <c r="N284" s="4" t="s">
        <v>18</v>
      </c>
      <c r="O284" s="4" t="e">
        <f>_xlfn.XLOOKUP(Table27[[#This Row],[product_name]],#REF!,#REF!,"NOT FOUND",0,1)</f>
        <v>#REF!</v>
      </c>
    </row>
    <row r="285" spans="1:15" ht="14.7" customHeight="1">
      <c r="A285" s="4" t="s">
        <v>25</v>
      </c>
      <c r="B285" s="4" t="s">
        <v>490</v>
      </c>
      <c r="C285" s="4" t="s">
        <v>25</v>
      </c>
      <c r="D285" s="28" t="s">
        <v>25</v>
      </c>
      <c r="E285" s="4"/>
      <c r="G285" s="25"/>
      <c r="I285" s="4">
        <v>12</v>
      </c>
      <c r="J285" s="38">
        <v>228.48</v>
      </c>
      <c r="K285" s="38">
        <f>Table27[[#This Row],[case_price]]/Table27[[#This Row],[case_size]]</f>
        <v>19.04</v>
      </c>
      <c r="L285" s="4"/>
      <c r="M285" s="4"/>
      <c r="N285" s="4" t="s">
        <v>17</v>
      </c>
      <c r="O285" s="4" t="e">
        <f>_xlfn.XLOOKUP(Table27[[#This Row],[product_name]],#REF!,#REF!,"NOT FOUND",0,1)</f>
        <v>#REF!</v>
      </c>
    </row>
    <row r="286" spans="1:15" ht="14.7" customHeight="1">
      <c r="A286" s="4" t="s">
        <v>27</v>
      </c>
      <c r="B286" s="4" t="s">
        <v>490</v>
      </c>
      <c r="C286" s="4" t="s">
        <v>4195</v>
      </c>
      <c r="D286" s="28" t="s">
        <v>27</v>
      </c>
      <c r="E286" s="4"/>
      <c r="G286" s="28"/>
      <c r="I286" s="4">
        <v>12</v>
      </c>
      <c r="J286" s="38">
        <v>75</v>
      </c>
      <c r="K286" s="38">
        <f>Table27[[#This Row],[case_price]]/Table27[[#This Row],[case_size]]</f>
        <v>6.25</v>
      </c>
      <c r="L286" s="4"/>
      <c r="M286" s="4"/>
      <c r="N286" s="4" t="s">
        <v>21</v>
      </c>
      <c r="O286" s="4" t="e">
        <f>_xlfn.XLOOKUP(Table27[[#This Row],[product_name]],#REF!,#REF!,"NOT FOUND",0,1)</f>
        <v>#REF!</v>
      </c>
    </row>
    <row r="287" spans="1:15" ht="25.95" customHeight="1">
      <c r="A287" s="4" t="s">
        <v>489</v>
      </c>
      <c r="B287" s="4" t="s">
        <v>490</v>
      </c>
      <c r="C287" s="4" t="s">
        <v>24</v>
      </c>
      <c r="D287" s="28" t="s">
        <v>24</v>
      </c>
      <c r="E287" s="4"/>
      <c r="G287" s="25"/>
      <c r="I287" s="4">
        <v>6</v>
      </c>
      <c r="J287" s="38">
        <v>163.62</v>
      </c>
      <c r="K287" s="38">
        <f>Table27[[#This Row],[case_price]]/Table27[[#This Row],[case_size]]</f>
        <v>27.27</v>
      </c>
      <c r="L287" s="4"/>
      <c r="M287" s="4"/>
      <c r="N287" s="4" t="s">
        <v>13</v>
      </c>
      <c r="O287" s="4" t="e">
        <f>_xlfn.XLOOKUP(Table27[[#This Row],[product_name]],#REF!,#REF!,"NOT FOUND",0,1)</f>
        <v>#REF!</v>
      </c>
    </row>
    <row r="288" spans="1:15" ht="22.95" customHeight="1">
      <c r="A288" s="4" t="s">
        <v>601</v>
      </c>
      <c r="B288" s="4" t="s">
        <v>504</v>
      </c>
      <c r="C288" s="4" t="s">
        <v>16</v>
      </c>
      <c r="D288" s="4" t="s">
        <v>16</v>
      </c>
      <c r="E288" s="4"/>
      <c r="G288" s="4"/>
      <c r="I288" s="4">
        <v>6</v>
      </c>
      <c r="J288" s="38">
        <v>145.44</v>
      </c>
      <c r="K288" s="38">
        <f>Table27[[#This Row],[case_price]]/Table27[[#This Row],[case_size]]</f>
        <v>24.24</v>
      </c>
      <c r="L288" s="4"/>
      <c r="M288" s="4"/>
      <c r="N288" s="4" t="s">
        <v>13</v>
      </c>
      <c r="O288" s="4" t="e">
        <f>_xlfn.XLOOKUP(Table27[[#This Row],[product_name]],#REF!,#REF!,"NOT FOUND",0,1)</f>
        <v>#REF!</v>
      </c>
    </row>
    <row r="289" spans="1:15" ht="14.7" customHeight="1">
      <c r="A289" s="4" t="s">
        <v>499</v>
      </c>
      <c r="B289" s="4" t="s">
        <v>490</v>
      </c>
      <c r="C289" s="4" t="s">
        <v>33</v>
      </c>
      <c r="D289" s="28" t="s">
        <v>33</v>
      </c>
      <c r="E289" s="4"/>
      <c r="G289" s="4"/>
      <c r="I289" s="4">
        <v>12</v>
      </c>
      <c r="J289" s="38"/>
      <c r="K289" s="38">
        <f>Table27[[#This Row],[case_price]]/Table27[[#This Row],[case_size]]</f>
        <v>0</v>
      </c>
      <c r="L289" s="4"/>
      <c r="M289" s="4"/>
      <c r="N289" s="4" t="s">
        <v>4091</v>
      </c>
      <c r="O289" s="4" t="e">
        <f>_xlfn.XLOOKUP(Table27[[#This Row],[product_name]],#REF!,#REF!,"NOT FOUND",0,1)</f>
        <v>#REF!</v>
      </c>
    </row>
    <row r="290" spans="1:15" ht="14.7" customHeight="1">
      <c r="A290" s="4" t="s">
        <v>616</v>
      </c>
      <c r="B290" s="4" t="s">
        <v>490</v>
      </c>
      <c r="C290" s="4" t="s">
        <v>31</v>
      </c>
      <c r="D290" s="4" t="s">
        <v>31</v>
      </c>
      <c r="E290" s="4"/>
      <c r="G290" s="28"/>
      <c r="I290" s="4">
        <v>12</v>
      </c>
      <c r="J290" s="38">
        <f>248.4/2</f>
        <v>124.2</v>
      </c>
      <c r="K290" s="38">
        <f>Table27[[#This Row],[case_price]]/Table27[[#This Row],[case_size]]</f>
        <v>10.35</v>
      </c>
      <c r="L290" s="4"/>
      <c r="M290" s="4"/>
      <c r="N290" s="4" t="s">
        <v>134</v>
      </c>
      <c r="O290" s="4" t="e">
        <f>_xlfn.XLOOKUP(Table27[[#This Row],[product_name]],#REF!,#REF!,"NOT FOUND",0,1)</f>
        <v>#REF!</v>
      </c>
    </row>
    <row r="291" spans="1:15" ht="14.7" customHeight="1">
      <c r="A291" s="4" t="s">
        <v>616</v>
      </c>
      <c r="B291" s="4" t="s">
        <v>490</v>
      </c>
      <c r="C291" s="4" t="s">
        <v>31</v>
      </c>
      <c r="D291" s="4" t="s">
        <v>31</v>
      </c>
      <c r="E291" s="4"/>
      <c r="G291" s="28"/>
      <c r="I291" s="4">
        <v>12</v>
      </c>
      <c r="J291" s="38"/>
      <c r="K291" s="38">
        <f>Table27[[#This Row],[case_price]]/Table27[[#This Row],[case_size]]</f>
        <v>0</v>
      </c>
      <c r="L291" s="4"/>
      <c r="M291" s="4"/>
      <c r="N291" s="4" t="s">
        <v>134</v>
      </c>
      <c r="O291" s="4" t="e">
        <f>_xlfn.XLOOKUP(Table27[[#This Row],[product_name]],#REF!,#REF!,"NOT FOUND",0,1)</f>
        <v>#REF!</v>
      </c>
    </row>
    <row r="292" spans="1:15" ht="14.7" customHeight="1">
      <c r="A292" s="4" t="s">
        <v>616</v>
      </c>
      <c r="B292" s="4" t="s">
        <v>490</v>
      </c>
      <c r="C292" s="4" t="s">
        <v>31</v>
      </c>
      <c r="D292" s="4" t="s">
        <v>31</v>
      </c>
      <c r="E292" s="4"/>
      <c r="G292" s="28"/>
      <c r="I292" s="4">
        <v>6</v>
      </c>
      <c r="J292" s="38"/>
      <c r="K292" s="38">
        <f>Table27[[#This Row],[case_price]]/Table27[[#This Row],[case_size]]</f>
        <v>0</v>
      </c>
      <c r="L292" s="4"/>
      <c r="M292" s="4"/>
      <c r="N292" s="4" t="s">
        <v>134</v>
      </c>
      <c r="O292" s="4" t="e">
        <f>_xlfn.XLOOKUP(Table27[[#This Row],[product_name]],#REF!,#REF!,"NOT FOUND",0,1)</f>
        <v>#REF!</v>
      </c>
    </row>
    <row r="293" spans="1:15" ht="14.7" customHeight="1">
      <c r="A293" s="4" t="s">
        <v>616</v>
      </c>
      <c r="B293" s="4" t="s">
        <v>490</v>
      </c>
      <c r="C293" s="4" t="s">
        <v>31</v>
      </c>
      <c r="D293" s="4" t="s">
        <v>31</v>
      </c>
      <c r="E293" s="4"/>
      <c r="G293" s="28"/>
      <c r="I293" s="4">
        <v>6</v>
      </c>
      <c r="J293" s="38"/>
      <c r="K293" s="38">
        <f>Table27[[#This Row],[case_price]]/Table27[[#This Row],[case_size]]</f>
        <v>0</v>
      </c>
      <c r="L293" s="4"/>
      <c r="M293" s="4"/>
      <c r="N293" s="4" t="s">
        <v>134</v>
      </c>
      <c r="O293" s="4" t="e">
        <f>_xlfn.XLOOKUP(Table27[[#This Row],[product_name]],#REF!,#REF!,"NOT FOUND",0,1)</f>
        <v>#REF!</v>
      </c>
    </row>
    <row r="294" spans="1:15" ht="14.7" customHeight="1">
      <c r="A294" s="4" t="s">
        <v>22</v>
      </c>
      <c r="B294" s="4" t="s">
        <v>490</v>
      </c>
      <c r="C294" s="4" t="s">
        <v>22</v>
      </c>
      <c r="D294" s="28" t="s">
        <v>22</v>
      </c>
      <c r="E294" s="4"/>
      <c r="F294" s="378"/>
      <c r="G294" s="40"/>
      <c r="I294" s="4">
        <v>12</v>
      </c>
      <c r="J294" s="38">
        <v>57</v>
      </c>
      <c r="K294" s="38">
        <f>Table27[[#This Row],[case_price]]/Table27[[#This Row],[case_size]]</f>
        <v>4.75</v>
      </c>
      <c r="L294" s="4"/>
      <c r="M294" s="4"/>
      <c r="N294" s="4" t="s">
        <v>18</v>
      </c>
      <c r="O294" s="4" t="e">
        <f>_xlfn.XLOOKUP(Table27[[#This Row],[product_name]],#REF!,#REF!,"NOT FOUND",0,1)</f>
        <v>#REF!</v>
      </c>
    </row>
    <row r="295" spans="1:15" ht="14.7" customHeight="1">
      <c r="A295" s="4" t="s">
        <v>22</v>
      </c>
      <c r="B295" s="4" t="s">
        <v>490</v>
      </c>
      <c r="C295" s="4" t="s">
        <v>22</v>
      </c>
      <c r="D295" s="28" t="s">
        <v>22</v>
      </c>
      <c r="E295" s="4"/>
      <c r="F295" s="378"/>
      <c r="G295" s="40"/>
      <c r="I295" s="4">
        <v>12</v>
      </c>
      <c r="J295" s="38">
        <v>57</v>
      </c>
      <c r="K295" s="38">
        <f>Table27[[#This Row],[case_price]]/Table27[[#This Row],[case_size]]</f>
        <v>4.75</v>
      </c>
      <c r="L295" s="4"/>
      <c r="M295" s="4"/>
      <c r="N295" s="4" t="s">
        <v>18</v>
      </c>
      <c r="O295" s="4" t="e">
        <f>_xlfn.XLOOKUP(Table27[[#This Row],[product_name]],#REF!,#REF!,"NOT FOUND",0,1)</f>
        <v>#REF!</v>
      </c>
    </row>
    <row r="296" spans="1:15" ht="14.7" customHeight="1">
      <c r="A296" s="4" t="s">
        <v>22</v>
      </c>
      <c r="B296" s="4" t="s">
        <v>490</v>
      </c>
      <c r="C296" s="4" t="s">
        <v>22</v>
      </c>
      <c r="D296" s="28" t="s">
        <v>22</v>
      </c>
      <c r="E296" s="4"/>
      <c r="F296" s="378"/>
      <c r="G296" s="40"/>
      <c r="I296" s="4">
        <v>12</v>
      </c>
      <c r="J296" s="38">
        <v>203.88</v>
      </c>
      <c r="K296" s="38">
        <f>Table27[[#This Row],[case_price]]/Table27[[#This Row],[case_size]]</f>
        <v>16.989999999999998</v>
      </c>
      <c r="L296" s="4"/>
      <c r="M296" s="4"/>
      <c r="N296" s="4" t="s">
        <v>18</v>
      </c>
      <c r="O296" s="4" t="e">
        <f>_xlfn.XLOOKUP(Table27[[#This Row],[product_name]],#REF!,#REF!,"NOT FOUND",0,1)</f>
        <v>#REF!</v>
      </c>
    </row>
    <row r="297" spans="1:15" ht="14.7" customHeight="1">
      <c r="A297" s="4" t="s">
        <v>22</v>
      </c>
      <c r="B297" s="4" t="s">
        <v>490</v>
      </c>
      <c r="C297" s="4" t="s">
        <v>22</v>
      </c>
      <c r="D297" s="28" t="s">
        <v>22</v>
      </c>
      <c r="E297" s="4"/>
      <c r="F297" s="378"/>
      <c r="G297" s="40"/>
      <c r="I297" s="4">
        <v>12</v>
      </c>
      <c r="J297" s="38">
        <v>87</v>
      </c>
      <c r="K297" s="38">
        <f>Table27[[#This Row],[case_price]]/Table27[[#This Row],[case_size]]</f>
        <v>7.25</v>
      </c>
      <c r="L297" s="4"/>
      <c r="M297" s="4"/>
      <c r="N297" s="4" t="s">
        <v>18</v>
      </c>
      <c r="O297" s="4" t="e">
        <f>_xlfn.XLOOKUP(Table27[[#This Row],[product_name]],#REF!,#REF!,"NOT FOUND",0,1)</f>
        <v>#REF!</v>
      </c>
    </row>
    <row r="298" spans="1:15" ht="14.7" customHeight="1">
      <c r="A298" s="4" t="s">
        <v>503</v>
      </c>
      <c r="B298" s="4" t="s">
        <v>504</v>
      </c>
      <c r="C298" s="4"/>
      <c r="D298" s="28"/>
      <c r="E298" s="4"/>
      <c r="G298" s="28"/>
      <c r="I298" s="4">
        <v>6</v>
      </c>
      <c r="J298" s="38">
        <v>76.02</v>
      </c>
      <c r="K298" s="38">
        <f>Table27[[#This Row],[case_price]]/Table27[[#This Row],[case_size]]</f>
        <v>12.67</v>
      </c>
      <c r="L298" s="4"/>
      <c r="M298" s="4"/>
      <c r="N298" s="4" t="s">
        <v>13</v>
      </c>
      <c r="O298" s="4" t="e">
        <f>_xlfn.XLOOKUP(Table27[[#This Row],[product_name]],#REF!,#REF!,"NOT FOUND",0,1)</f>
        <v>#REF!</v>
      </c>
    </row>
    <row r="299" spans="1:15" ht="14.7" customHeight="1">
      <c r="A299" s="4"/>
      <c r="B299" s="4"/>
      <c r="C299" s="4"/>
      <c r="D299" s="28"/>
      <c r="E299" s="4"/>
      <c r="G299" s="28"/>
      <c r="I299" s="4"/>
      <c r="J299" s="38"/>
      <c r="K299" s="38" t="e">
        <f>Table27[[#This Row],[case_price]]/Table27[[#This Row],[case_size]]</f>
        <v>#DIV/0!</v>
      </c>
      <c r="L299" s="4"/>
      <c r="M299" s="4"/>
      <c r="N299" s="4"/>
      <c r="O299" s="4" t="e">
        <f>_xlfn.XLOOKUP(Table27[[#This Row],[product_name]],#REF!,#REF!,"NOT FOUND",0,1)</f>
        <v>#REF!</v>
      </c>
    </row>
    <row r="300" spans="1:15" ht="14.7" customHeight="1">
      <c r="A300" s="4"/>
      <c r="B300" s="4"/>
      <c r="C300" s="4"/>
      <c r="D300" s="28"/>
      <c r="E300" s="4"/>
      <c r="G300" s="28"/>
      <c r="I300" s="4"/>
      <c r="J300" s="38"/>
      <c r="K300" s="38" t="e">
        <f>Table27[[#This Row],[case_price]]/Table27[[#This Row],[case_size]]</f>
        <v>#DIV/0!</v>
      </c>
      <c r="L300" s="4"/>
      <c r="M300" s="4"/>
      <c r="N300" s="4"/>
      <c r="O300" s="4" t="e">
        <f>_xlfn.XLOOKUP(Table27[[#This Row],[product_name]],#REF!,#REF!,"NOT FOUND",0,1)</f>
        <v>#REF!</v>
      </c>
    </row>
    <row r="301" spans="1:15" ht="14.7" customHeight="1">
      <c r="A301" s="4"/>
      <c r="B301" s="4"/>
      <c r="C301" s="4"/>
      <c r="D301" s="28"/>
      <c r="E301" s="4"/>
      <c r="G301" s="28"/>
      <c r="I301" s="4"/>
      <c r="J301" s="38"/>
      <c r="K301" s="38" t="e">
        <f>Table27[[#This Row],[case_price]]/Table27[[#This Row],[case_size]]</f>
        <v>#DIV/0!</v>
      </c>
      <c r="L301" s="4"/>
      <c r="M301" s="4"/>
      <c r="N301" s="4"/>
      <c r="O301" s="4" t="e">
        <f>_xlfn.XLOOKUP(Table27[[#This Row],[product_name]],#REF!,#REF!,"NOT FOUND",0,1)</f>
        <v>#REF!</v>
      </c>
    </row>
    <row r="302" spans="1:15" ht="14.7" customHeight="1">
      <c r="A302" s="4"/>
      <c r="B302" s="4"/>
      <c r="C302" s="4"/>
      <c r="D302" s="28"/>
      <c r="E302" s="4"/>
      <c r="G302" s="28"/>
      <c r="I302" s="4"/>
      <c r="J302" s="38"/>
      <c r="K302" s="38" t="e">
        <f>Table27[[#This Row],[case_price]]/Table27[[#This Row],[case_size]]</f>
        <v>#DIV/0!</v>
      </c>
      <c r="L302" s="4"/>
      <c r="M302" s="4"/>
      <c r="N302" s="4"/>
      <c r="O302" s="4" t="e">
        <f>_xlfn.XLOOKUP(Table27[[#This Row],[product_name]],#REF!,#REF!,"NOT FOUND",0,1)</f>
        <v>#REF!</v>
      </c>
    </row>
    <row r="303" spans="1:15" ht="14.7" customHeight="1">
      <c r="A303" s="4"/>
      <c r="B303" s="4"/>
      <c r="C303" s="4"/>
      <c r="D303" s="28"/>
      <c r="E303" s="4"/>
      <c r="G303" s="28"/>
      <c r="I303" s="4"/>
      <c r="J303" s="38"/>
      <c r="K303" s="38" t="e">
        <f>Table27[[#This Row],[case_price]]/Table27[[#This Row],[case_size]]</f>
        <v>#DIV/0!</v>
      </c>
      <c r="L303" s="4"/>
      <c r="M303" s="4"/>
      <c r="N303" s="4"/>
      <c r="O303" s="4" t="e">
        <f>_xlfn.XLOOKUP(Table27[[#This Row],[product_name]],#REF!,#REF!,"NOT FOUND",0,1)</f>
        <v>#REF!</v>
      </c>
    </row>
    <row r="304" spans="1:15" ht="14.7" customHeight="1">
      <c r="A304" s="4"/>
      <c r="B304" s="4"/>
      <c r="C304" s="4"/>
      <c r="D304" s="28"/>
      <c r="E304" s="4"/>
      <c r="G304" s="28"/>
      <c r="I304" s="4"/>
      <c r="J304" s="38"/>
      <c r="K304" s="38" t="e">
        <f>Table27[[#This Row],[case_price]]/Table27[[#This Row],[case_size]]</f>
        <v>#DIV/0!</v>
      </c>
      <c r="L304" s="4"/>
      <c r="M304" s="4"/>
      <c r="N304" s="4"/>
      <c r="O304" s="4" t="e">
        <f>_xlfn.XLOOKUP(Table27[[#This Row],[product_name]],#REF!,#REF!,"NOT FOUND",0,1)</f>
        <v>#REF!</v>
      </c>
    </row>
    <row r="305" spans="1:15" ht="14.7" customHeight="1">
      <c r="A305" s="4"/>
      <c r="B305" s="4"/>
      <c r="C305" s="4"/>
      <c r="D305" s="28"/>
      <c r="E305" s="4"/>
      <c r="G305" s="28"/>
      <c r="I305" s="4"/>
      <c r="J305" s="38"/>
      <c r="K305" s="38" t="e">
        <f>Table27[[#This Row],[case_price]]/Table27[[#This Row],[case_size]]</f>
        <v>#DIV/0!</v>
      </c>
      <c r="L305" s="4"/>
      <c r="M305" s="4"/>
      <c r="N305" s="4"/>
      <c r="O305" s="4" t="e">
        <f>_xlfn.XLOOKUP(Table27[[#This Row],[product_name]],#REF!,#REF!,"NOT FOUND",0,1)</f>
        <v>#REF!</v>
      </c>
    </row>
    <row r="306" spans="1:15" ht="14.7" customHeight="1">
      <c r="A306" s="4"/>
      <c r="B306" s="4"/>
      <c r="C306" s="4"/>
      <c r="D306" s="28"/>
      <c r="E306" s="4"/>
      <c r="G306" s="28"/>
      <c r="I306" s="4"/>
      <c r="J306" s="38"/>
      <c r="K306" s="38" t="e">
        <f>Table27[[#This Row],[case_price]]/Table27[[#This Row],[case_size]]</f>
        <v>#DIV/0!</v>
      </c>
      <c r="L306" s="4"/>
      <c r="M306" s="4"/>
      <c r="N306" s="4"/>
      <c r="O306" s="4" t="e">
        <f>_xlfn.XLOOKUP(Table27[[#This Row],[product_name]],#REF!,#REF!,"NOT FOUND",0,1)</f>
        <v>#REF!</v>
      </c>
    </row>
    <row r="307" spans="1:15" ht="14.7" customHeight="1">
      <c r="A307" s="4"/>
      <c r="B307" s="4"/>
      <c r="C307" s="4"/>
      <c r="D307" s="28"/>
      <c r="E307" s="4"/>
      <c r="G307" s="28"/>
      <c r="I307" s="4"/>
      <c r="J307" s="38"/>
      <c r="K307" s="38" t="e">
        <f>Table27[[#This Row],[case_price]]/Table27[[#This Row],[case_size]]</f>
        <v>#DIV/0!</v>
      </c>
      <c r="L307" s="4"/>
      <c r="M307" s="4"/>
      <c r="N307" s="4"/>
      <c r="O307" s="4" t="e">
        <f>_xlfn.XLOOKUP(Table27[[#This Row],[product_name]],#REF!,#REF!,"NOT FOUND",0,1)</f>
        <v>#REF!</v>
      </c>
    </row>
    <row r="308" spans="1:15" ht="14.7" customHeight="1">
      <c r="A308" s="4"/>
      <c r="B308" s="4"/>
      <c r="C308" s="4"/>
      <c r="D308" s="28"/>
      <c r="E308" s="4"/>
      <c r="G308" s="28"/>
      <c r="I308" s="4"/>
      <c r="J308" s="38"/>
      <c r="K308" s="38" t="e">
        <f>Table27[[#This Row],[case_price]]/Table27[[#This Row],[case_size]]</f>
        <v>#DIV/0!</v>
      </c>
      <c r="L308" s="4"/>
      <c r="M308" s="4"/>
      <c r="N308" s="4"/>
      <c r="O308" s="4" t="e">
        <f>_xlfn.XLOOKUP(Table27[[#This Row],[product_name]],#REF!,#REF!,"NOT FOUND",0,1)</f>
        <v>#REF!</v>
      </c>
    </row>
    <row r="309" spans="1:15" ht="14.7" customHeight="1">
      <c r="A309" s="4"/>
      <c r="B309" s="4"/>
      <c r="C309" s="4"/>
      <c r="D309" s="28"/>
      <c r="E309" s="4"/>
      <c r="G309" s="28"/>
      <c r="I309" s="4"/>
      <c r="J309" s="38"/>
      <c r="K309" s="38" t="e">
        <f>Table27[[#This Row],[case_price]]/Table27[[#This Row],[case_size]]</f>
        <v>#DIV/0!</v>
      </c>
      <c r="L309" s="4"/>
      <c r="M309" s="4"/>
      <c r="N309" s="4"/>
      <c r="O309" s="4" t="e">
        <f>_xlfn.XLOOKUP(Table27[[#This Row],[product_name]],#REF!,#REF!,"NOT FOUND",0,1)</f>
        <v>#REF!</v>
      </c>
    </row>
    <row r="310" spans="1:15" ht="14.7" customHeight="1">
      <c r="A310" s="4"/>
      <c r="B310" s="4"/>
      <c r="C310" s="4"/>
      <c r="D310" s="28"/>
      <c r="E310" s="4"/>
      <c r="G310" s="28"/>
      <c r="I310" s="4"/>
      <c r="J310" s="38"/>
      <c r="K310" s="38" t="e">
        <f>Table27[[#This Row],[case_price]]/Table27[[#This Row],[case_size]]</f>
        <v>#DIV/0!</v>
      </c>
      <c r="L310" s="4"/>
      <c r="M310" s="4"/>
      <c r="N310" s="4"/>
      <c r="O310" s="4" t="e">
        <f>_xlfn.XLOOKUP(Table27[[#This Row],[product_name]],#REF!,#REF!,"NOT FOUND",0,1)</f>
        <v>#REF!</v>
      </c>
    </row>
    <row r="311" spans="1:15" ht="14.7" customHeight="1">
      <c r="A311" s="4"/>
      <c r="B311" s="4"/>
      <c r="C311" s="4"/>
      <c r="D311" s="28"/>
      <c r="E311" s="4"/>
      <c r="G311" s="28"/>
      <c r="I311" s="4"/>
      <c r="J311" s="38"/>
      <c r="K311" s="38" t="e">
        <f>Table27[[#This Row],[case_price]]/Table27[[#This Row],[case_size]]</f>
        <v>#DIV/0!</v>
      </c>
      <c r="L311" s="4"/>
      <c r="M311" s="4"/>
      <c r="N311" s="4"/>
      <c r="O311" s="4" t="e">
        <f>_xlfn.XLOOKUP(Table27[[#This Row],[product_name]],#REF!,#REF!,"NOT FOUND",0,1)</f>
        <v>#REF!</v>
      </c>
    </row>
    <row r="312" spans="1:15" ht="14.7" customHeight="1">
      <c r="A312" s="4"/>
      <c r="B312" s="4"/>
      <c r="C312" s="4"/>
      <c r="D312" s="28"/>
      <c r="E312" s="4"/>
      <c r="G312" s="28"/>
      <c r="I312" s="4"/>
      <c r="J312" s="38"/>
      <c r="K312" s="38" t="e">
        <f>Table27[[#This Row],[case_price]]/Table27[[#This Row],[case_size]]</f>
        <v>#DIV/0!</v>
      </c>
      <c r="L312" s="4"/>
      <c r="M312" s="4"/>
      <c r="N312" s="4"/>
      <c r="O312" s="4" t="e">
        <f>_xlfn.XLOOKUP(Table27[[#This Row],[product_name]],#REF!,#REF!,"NOT FOUND",0,1)</f>
        <v>#REF!</v>
      </c>
    </row>
    <row r="313" spans="1:15" ht="14.7" customHeight="1">
      <c r="A313" s="4"/>
      <c r="B313" s="4"/>
      <c r="C313" s="4"/>
      <c r="D313" s="28"/>
      <c r="E313" s="4"/>
      <c r="G313" s="28"/>
      <c r="I313" s="4"/>
      <c r="J313" s="38"/>
      <c r="K313" s="38" t="e">
        <f>Table27[[#This Row],[case_price]]/Table27[[#This Row],[case_size]]</f>
        <v>#DIV/0!</v>
      </c>
      <c r="L313" s="4"/>
      <c r="M313" s="4"/>
      <c r="N313" s="4"/>
      <c r="O313" s="4" t="e">
        <f>_xlfn.XLOOKUP(Table27[[#This Row],[product_name]],#REF!,#REF!,"NOT FOUND",0,1)</f>
        <v>#REF!</v>
      </c>
    </row>
    <row r="314" spans="1:15" ht="14.7" customHeight="1">
      <c r="A314" s="4"/>
      <c r="B314" s="4"/>
      <c r="C314" s="4"/>
      <c r="D314" s="28"/>
      <c r="E314" s="4"/>
      <c r="G314" s="28"/>
      <c r="I314" s="4"/>
      <c r="J314" s="38"/>
      <c r="K314" s="38" t="e">
        <f>Table27[[#This Row],[case_price]]/Table27[[#This Row],[case_size]]</f>
        <v>#DIV/0!</v>
      </c>
      <c r="L314" s="4"/>
      <c r="M314" s="4"/>
      <c r="N314" s="4"/>
      <c r="O314" s="4" t="e">
        <f>_xlfn.XLOOKUP(Table27[[#This Row],[product_name]],#REF!,#REF!,"NOT FOUND",0,1)</f>
        <v>#REF!</v>
      </c>
    </row>
    <row r="315" spans="1:15" ht="14.7" customHeight="1">
      <c r="A315" s="4"/>
      <c r="B315" s="4"/>
      <c r="C315" s="4"/>
      <c r="D315" s="28"/>
      <c r="E315" s="4"/>
      <c r="G315" s="28"/>
      <c r="I315" s="4"/>
      <c r="J315" s="38"/>
      <c r="K315" s="38" t="e">
        <f>Table27[[#This Row],[case_price]]/Table27[[#This Row],[case_size]]</f>
        <v>#DIV/0!</v>
      </c>
      <c r="L315" s="4"/>
      <c r="M315" s="4"/>
      <c r="N315" s="4"/>
      <c r="O315" s="4" t="e">
        <f>_xlfn.XLOOKUP(Table27[[#This Row],[product_name]],#REF!,#REF!,"NOT FOUND",0,1)</f>
        <v>#REF!</v>
      </c>
    </row>
    <row r="316" spans="1:15" ht="14.7" customHeight="1">
      <c r="A316" s="4"/>
      <c r="B316" s="4"/>
      <c r="C316" s="4"/>
      <c r="D316" s="28"/>
      <c r="E316" s="4"/>
      <c r="G316" s="28"/>
      <c r="I316" s="4"/>
      <c r="J316" s="38"/>
      <c r="K316" s="38" t="e">
        <f>Table27[[#This Row],[case_price]]/Table27[[#This Row],[case_size]]</f>
        <v>#DIV/0!</v>
      </c>
      <c r="L316" s="4"/>
      <c r="M316" s="4"/>
      <c r="N316" s="4"/>
      <c r="O316" s="4" t="e">
        <f>_xlfn.XLOOKUP(Table27[[#This Row],[product_name]],#REF!,#REF!,"NOT FOUND",0,1)</f>
        <v>#REF!</v>
      </c>
    </row>
    <row r="317" spans="1:15" ht="14.7" customHeight="1">
      <c r="A317" s="4"/>
      <c r="B317" s="4"/>
      <c r="C317" s="4"/>
      <c r="D317" s="28"/>
      <c r="E317" s="4"/>
      <c r="G317" s="28"/>
      <c r="I317" s="4"/>
      <c r="J317" s="38"/>
      <c r="K317" s="38" t="e">
        <f>Table27[[#This Row],[case_price]]/Table27[[#This Row],[case_size]]</f>
        <v>#DIV/0!</v>
      </c>
      <c r="L317" s="4"/>
      <c r="M317" s="4"/>
      <c r="N317" s="4"/>
      <c r="O317" s="4" t="e">
        <f>_xlfn.XLOOKUP(Table27[[#This Row],[product_name]],#REF!,#REF!,"NOT FOUND",0,1)</f>
        <v>#REF!</v>
      </c>
    </row>
    <row r="318" spans="1:15" ht="14.7" customHeight="1">
      <c r="A318" s="4"/>
      <c r="B318" s="4"/>
      <c r="C318" s="4"/>
      <c r="D318" s="28"/>
      <c r="E318" s="4"/>
      <c r="G318" s="28"/>
      <c r="I318" s="4"/>
      <c r="J318" s="38"/>
      <c r="K318" s="38" t="e">
        <f>Table27[[#This Row],[case_price]]/Table27[[#This Row],[case_size]]</f>
        <v>#DIV/0!</v>
      </c>
      <c r="L318" s="4"/>
      <c r="M318" s="4"/>
      <c r="N318" s="4"/>
      <c r="O318" s="4" t="e">
        <f>_xlfn.XLOOKUP(Table27[[#This Row],[product_name]],#REF!,#REF!,"NOT FOUND",0,1)</f>
        <v>#REF!</v>
      </c>
    </row>
    <row r="319" spans="1:15" ht="14.7" customHeight="1">
      <c r="A319" s="4"/>
      <c r="B319" s="4"/>
      <c r="C319" s="4"/>
      <c r="D319" s="28"/>
      <c r="E319" s="4"/>
      <c r="G319" s="28"/>
      <c r="I319" s="4"/>
      <c r="J319" s="38"/>
      <c r="K319" s="38" t="e">
        <f>Table27[[#This Row],[case_price]]/Table27[[#This Row],[case_size]]</f>
        <v>#DIV/0!</v>
      </c>
      <c r="L319" s="4"/>
      <c r="M319" s="4"/>
      <c r="N319" s="4"/>
      <c r="O319" s="4" t="e">
        <f>_xlfn.XLOOKUP(Table27[[#This Row],[product_name]],#REF!,#REF!,"NOT FOUND",0,1)</f>
        <v>#REF!</v>
      </c>
    </row>
    <row r="320" spans="1:15" ht="14.7" customHeight="1">
      <c r="A320" s="4"/>
      <c r="B320" s="4"/>
      <c r="C320" s="4"/>
      <c r="D320" s="28"/>
      <c r="E320" s="4"/>
      <c r="G320" s="28"/>
      <c r="I320" s="4"/>
      <c r="J320" s="38"/>
      <c r="K320" s="38" t="e">
        <f>Table27[[#This Row],[case_price]]/Table27[[#This Row],[case_size]]</f>
        <v>#DIV/0!</v>
      </c>
      <c r="L320" s="4"/>
      <c r="M320" s="4"/>
      <c r="N320" s="4"/>
      <c r="O320" s="4" t="e">
        <f>_xlfn.XLOOKUP(Table27[[#This Row],[product_name]],#REF!,#REF!,"NOT FOUND",0,1)</f>
        <v>#REF!</v>
      </c>
    </row>
    <row r="321" spans="1:15" ht="14.7" customHeight="1">
      <c r="A321" s="4"/>
      <c r="B321" s="4"/>
      <c r="C321" s="4"/>
      <c r="D321" s="28"/>
      <c r="E321" s="4"/>
      <c r="G321" s="28"/>
      <c r="I321" s="4"/>
      <c r="J321" s="38"/>
      <c r="K321" s="38" t="e">
        <f>Table27[[#This Row],[case_price]]/Table27[[#This Row],[case_size]]</f>
        <v>#DIV/0!</v>
      </c>
      <c r="L321" s="4"/>
      <c r="M321" s="4"/>
      <c r="N321" s="4"/>
      <c r="O321" s="4" t="e">
        <f>_xlfn.XLOOKUP(Table27[[#This Row],[product_name]],#REF!,#REF!,"NOT FOUND",0,1)</f>
        <v>#REF!</v>
      </c>
    </row>
    <row r="322" spans="1:15" ht="14.7" customHeight="1">
      <c r="A322" s="4"/>
      <c r="B322" s="4"/>
      <c r="C322" s="4"/>
      <c r="D322" s="28"/>
      <c r="E322" s="4"/>
      <c r="G322" s="28"/>
      <c r="I322" s="4"/>
      <c r="J322" s="38"/>
      <c r="K322" s="38" t="e">
        <f>Table27[[#This Row],[case_price]]/Table27[[#This Row],[case_size]]</f>
        <v>#DIV/0!</v>
      </c>
      <c r="L322" s="4"/>
      <c r="M322" s="4"/>
      <c r="N322" s="4"/>
      <c r="O322" s="4" t="e">
        <f>_xlfn.XLOOKUP(Table27[[#This Row],[product_name]],#REF!,#REF!,"NOT FOUND",0,1)</f>
        <v>#REF!</v>
      </c>
    </row>
    <row r="323" spans="1:15" ht="14.7" customHeight="1">
      <c r="A323" s="4"/>
      <c r="B323" s="4"/>
      <c r="C323" s="4"/>
      <c r="D323" s="28"/>
      <c r="E323" s="4"/>
      <c r="G323" s="28"/>
      <c r="I323" s="4"/>
      <c r="J323" s="38"/>
      <c r="K323" s="38" t="e">
        <f>Table27[[#This Row],[case_price]]/Table27[[#This Row],[case_size]]</f>
        <v>#DIV/0!</v>
      </c>
      <c r="L323" s="4"/>
      <c r="M323" s="4"/>
      <c r="N323" s="4"/>
      <c r="O323" s="4" t="e">
        <f>_xlfn.XLOOKUP(Table27[[#This Row],[product_name]],#REF!,#REF!,"NOT FOUND",0,1)</f>
        <v>#REF!</v>
      </c>
    </row>
    <row r="324" spans="1:15" ht="14.7" customHeight="1">
      <c r="A324" s="4"/>
      <c r="B324" s="4"/>
      <c r="C324" s="4"/>
      <c r="D324" s="28"/>
      <c r="E324" s="4"/>
      <c r="G324" s="28"/>
      <c r="I324" s="4"/>
      <c r="J324" s="38"/>
      <c r="K324" s="38" t="e">
        <f>Table27[[#This Row],[case_price]]/Table27[[#This Row],[case_size]]</f>
        <v>#DIV/0!</v>
      </c>
      <c r="L324" s="4"/>
      <c r="M324" s="4"/>
      <c r="N324" s="4"/>
      <c r="O324" s="4" t="e">
        <f>_xlfn.XLOOKUP(Table27[[#This Row],[product_name]],#REF!,#REF!,"NOT FOUND",0,1)</f>
        <v>#REF!</v>
      </c>
    </row>
    <row r="325" spans="1:15" ht="14.7" customHeight="1">
      <c r="A325" s="4"/>
      <c r="B325" s="4"/>
      <c r="C325" s="4"/>
      <c r="D325" s="28"/>
      <c r="E325" s="4"/>
      <c r="G325" s="28"/>
      <c r="I325" s="4"/>
      <c r="J325" s="38"/>
      <c r="K325" s="38" t="e">
        <f>Table27[[#This Row],[case_price]]/Table27[[#This Row],[case_size]]</f>
        <v>#DIV/0!</v>
      </c>
      <c r="L325" s="4"/>
      <c r="M325" s="4"/>
      <c r="N325" s="4"/>
      <c r="O325" s="4" t="e">
        <f>_xlfn.XLOOKUP(Table27[[#This Row],[product_name]],#REF!,#REF!,"NOT FOUND",0,1)</f>
        <v>#REF!</v>
      </c>
    </row>
    <row r="326" spans="1:15" ht="14.7" customHeight="1">
      <c r="A326" s="4"/>
      <c r="B326" s="4"/>
      <c r="C326" s="4"/>
      <c r="D326" s="28"/>
      <c r="E326" s="4"/>
      <c r="G326" s="28"/>
      <c r="I326" s="4"/>
      <c r="J326" s="38"/>
      <c r="K326" s="38" t="e">
        <f>Table27[[#This Row],[case_price]]/Table27[[#This Row],[case_size]]</f>
        <v>#DIV/0!</v>
      </c>
      <c r="L326" s="4"/>
      <c r="M326" s="4"/>
      <c r="N326" s="4"/>
      <c r="O326" s="4" t="e">
        <f>_xlfn.XLOOKUP(Table27[[#This Row],[product_name]],#REF!,#REF!,"NOT FOUND",0,1)</f>
        <v>#REF!</v>
      </c>
    </row>
    <row r="327" spans="1:15" ht="14.7" customHeight="1">
      <c r="A327" s="4"/>
      <c r="B327" s="4"/>
      <c r="C327" s="4"/>
      <c r="D327" s="28"/>
      <c r="E327" s="4"/>
      <c r="G327" s="28"/>
      <c r="I327" s="4"/>
      <c r="J327" s="38"/>
      <c r="K327" s="38" t="e">
        <f>Table27[[#This Row],[case_price]]/Table27[[#This Row],[case_size]]</f>
        <v>#DIV/0!</v>
      </c>
      <c r="L327" s="4"/>
      <c r="M327" s="4"/>
      <c r="N327" s="4"/>
      <c r="O327" s="4" t="e">
        <f>_xlfn.XLOOKUP(Table27[[#This Row],[product_name]],#REF!,#REF!,"NOT FOUND",0,1)</f>
        <v>#REF!</v>
      </c>
    </row>
    <row r="328" spans="1:15" ht="14.7" customHeight="1">
      <c r="A328" s="4"/>
      <c r="B328" s="4"/>
      <c r="C328" s="4"/>
      <c r="D328" s="28"/>
      <c r="E328" s="4"/>
      <c r="G328" s="28"/>
      <c r="I328" s="4"/>
      <c r="J328" s="38"/>
      <c r="K328" s="38" t="e">
        <f>Table27[[#This Row],[case_price]]/Table27[[#This Row],[case_size]]</f>
        <v>#DIV/0!</v>
      </c>
      <c r="L328" s="4"/>
      <c r="M328" s="4"/>
      <c r="N328" s="4"/>
      <c r="O328" s="4" t="e">
        <f>_xlfn.XLOOKUP(Table27[[#This Row],[product_name]],#REF!,#REF!,"NOT FOUND",0,1)</f>
        <v>#REF!</v>
      </c>
    </row>
    <row r="329" spans="1:15" ht="14.7" customHeight="1">
      <c r="A329" s="4"/>
      <c r="B329" s="4"/>
      <c r="C329" s="4"/>
      <c r="D329" s="28"/>
      <c r="E329" s="4"/>
      <c r="G329" s="28"/>
      <c r="I329" s="4"/>
      <c r="J329" s="38"/>
      <c r="K329" s="38" t="e">
        <f>Table27[[#This Row],[case_price]]/Table27[[#This Row],[case_size]]</f>
        <v>#DIV/0!</v>
      </c>
      <c r="L329" s="4"/>
      <c r="M329" s="4"/>
      <c r="N329" s="4"/>
      <c r="O329" s="4" t="e">
        <f>_xlfn.XLOOKUP(Table27[[#This Row],[product_name]],#REF!,#REF!,"NOT FOUND",0,1)</f>
        <v>#REF!</v>
      </c>
    </row>
    <row r="330" spans="1:15" ht="14.7" customHeight="1">
      <c r="A330" s="4"/>
      <c r="B330" s="4"/>
      <c r="C330" s="4"/>
      <c r="D330" s="28"/>
      <c r="E330" s="4"/>
      <c r="G330" s="28"/>
      <c r="I330" s="4"/>
      <c r="J330" s="38"/>
      <c r="K330" s="38" t="e">
        <f>Table27[[#This Row],[case_price]]/Table27[[#This Row],[case_size]]</f>
        <v>#DIV/0!</v>
      </c>
      <c r="L330" s="4"/>
      <c r="M330" s="4"/>
      <c r="N330" s="4"/>
      <c r="O330" s="4" t="e">
        <f>_xlfn.XLOOKUP(Table27[[#This Row],[product_name]],#REF!,#REF!,"NOT FOUND",0,1)</f>
        <v>#REF!</v>
      </c>
    </row>
    <row r="331" spans="1:15" ht="14.7" customHeight="1">
      <c r="A331" s="4"/>
      <c r="B331" s="4"/>
      <c r="C331" s="4"/>
      <c r="D331" s="28"/>
      <c r="E331" s="4"/>
      <c r="G331" s="28"/>
      <c r="I331" s="4"/>
      <c r="J331" s="38"/>
      <c r="K331" s="38" t="e">
        <f>Table27[[#This Row],[case_price]]/Table27[[#This Row],[case_size]]</f>
        <v>#DIV/0!</v>
      </c>
      <c r="L331" s="4"/>
      <c r="M331" s="4"/>
      <c r="N331" s="4"/>
      <c r="O331" s="4" t="e">
        <f>_xlfn.XLOOKUP(Table27[[#This Row],[product_name]],#REF!,#REF!,"NOT FOUND",0,1)</f>
        <v>#REF!</v>
      </c>
    </row>
    <row r="332" spans="1:15" ht="14.7" customHeight="1">
      <c r="A332" s="4"/>
      <c r="B332" s="4"/>
      <c r="C332" s="4"/>
      <c r="D332" s="28"/>
      <c r="E332" s="4"/>
      <c r="G332" s="28"/>
      <c r="I332" s="4"/>
      <c r="J332" s="38"/>
      <c r="K332" s="38" t="e">
        <f>Table27[[#This Row],[case_price]]/Table27[[#This Row],[case_size]]</f>
        <v>#DIV/0!</v>
      </c>
      <c r="L332" s="4"/>
      <c r="M332" s="4"/>
      <c r="N332" s="4"/>
      <c r="O332" s="4" t="e">
        <f>_xlfn.XLOOKUP(Table27[[#This Row],[product_name]],#REF!,#REF!,"NOT FOUND",0,1)</f>
        <v>#REF!</v>
      </c>
    </row>
    <row r="333" spans="1:15" ht="14.7" customHeight="1">
      <c r="A333" s="4"/>
      <c r="B333" s="4"/>
      <c r="C333" s="4"/>
      <c r="D333" s="28"/>
      <c r="E333" s="4"/>
      <c r="G333" s="28"/>
      <c r="I333" s="4"/>
      <c r="J333" s="38"/>
      <c r="K333" s="38" t="e">
        <f>Table27[[#This Row],[case_price]]/Table27[[#This Row],[case_size]]</f>
        <v>#DIV/0!</v>
      </c>
      <c r="L333" s="4"/>
      <c r="M333" s="4"/>
      <c r="N333" s="4"/>
      <c r="O333" s="4" t="e">
        <f>_xlfn.XLOOKUP(Table27[[#This Row],[product_name]],#REF!,#REF!,"NOT FOUND",0,1)</f>
        <v>#REF!</v>
      </c>
    </row>
    <row r="334" spans="1:15" ht="14.7" customHeight="1">
      <c r="A334" s="4"/>
      <c r="B334" s="4"/>
      <c r="C334" s="4"/>
      <c r="D334" s="28"/>
      <c r="E334" s="4"/>
      <c r="G334" s="28"/>
      <c r="I334" s="4"/>
      <c r="J334" s="38"/>
      <c r="K334" s="38" t="e">
        <f>Table27[[#This Row],[case_price]]/Table27[[#This Row],[case_size]]</f>
        <v>#DIV/0!</v>
      </c>
      <c r="L334" s="4"/>
      <c r="M334" s="4"/>
      <c r="N334" s="4"/>
      <c r="O334" s="4" t="e">
        <f>_xlfn.XLOOKUP(Table27[[#This Row],[product_name]],#REF!,#REF!,"NOT FOUND",0,1)</f>
        <v>#REF!</v>
      </c>
    </row>
    <row r="335" spans="1:15" ht="14.7" customHeight="1">
      <c r="A335" s="4"/>
      <c r="B335" s="4"/>
      <c r="C335" s="4"/>
      <c r="D335" s="28"/>
      <c r="E335" s="4"/>
      <c r="G335" s="28"/>
      <c r="I335" s="4"/>
      <c r="J335" s="38"/>
      <c r="K335" s="38" t="e">
        <f>Table27[[#This Row],[case_price]]/Table27[[#This Row],[case_size]]</f>
        <v>#DIV/0!</v>
      </c>
      <c r="L335" s="4"/>
      <c r="M335" s="4"/>
      <c r="N335" s="4"/>
      <c r="O335" s="4" t="e">
        <f>_xlfn.XLOOKUP(Table27[[#This Row],[product_name]],#REF!,#REF!,"NOT FOUND",0,1)</f>
        <v>#REF!</v>
      </c>
    </row>
    <row r="336" spans="1:15" ht="14.7" customHeight="1">
      <c r="A336" s="4"/>
      <c r="B336" s="4"/>
      <c r="C336" s="4"/>
      <c r="D336" s="28"/>
      <c r="E336" s="4"/>
      <c r="G336" s="28"/>
      <c r="I336" s="4"/>
      <c r="J336" s="38"/>
      <c r="K336" s="38" t="e">
        <f>Table27[[#This Row],[case_price]]/Table27[[#This Row],[case_size]]</f>
        <v>#DIV/0!</v>
      </c>
      <c r="L336" s="4"/>
      <c r="M336" s="4"/>
      <c r="N336" s="4"/>
      <c r="O336" s="4" t="e">
        <f>_xlfn.XLOOKUP(Table27[[#This Row],[product_name]],#REF!,#REF!,"NOT FOUND",0,1)</f>
        <v>#REF!</v>
      </c>
    </row>
    <row r="337" spans="1:15" ht="14.7" customHeight="1">
      <c r="A337" s="4"/>
      <c r="B337" s="4"/>
      <c r="C337" s="4"/>
      <c r="D337" s="28"/>
      <c r="E337" s="4"/>
      <c r="G337" s="28"/>
      <c r="I337" s="4"/>
      <c r="J337" s="38"/>
      <c r="K337" s="38" t="e">
        <f>Table27[[#This Row],[case_price]]/Table27[[#This Row],[case_size]]</f>
        <v>#DIV/0!</v>
      </c>
      <c r="L337" s="4"/>
      <c r="M337" s="4"/>
      <c r="N337" s="4"/>
      <c r="O337" s="4" t="e">
        <f>_xlfn.XLOOKUP(Table27[[#This Row],[product_name]],#REF!,#REF!,"NOT FOUND",0,1)</f>
        <v>#REF!</v>
      </c>
    </row>
    <row r="338" spans="1:15" ht="14.7" customHeight="1">
      <c r="A338" s="4"/>
      <c r="B338" s="4"/>
      <c r="C338" s="4"/>
      <c r="D338" s="28"/>
      <c r="E338" s="4"/>
      <c r="G338" s="28"/>
      <c r="I338" s="4"/>
      <c r="J338" s="38"/>
      <c r="K338" s="38" t="e">
        <f>Table27[[#This Row],[case_price]]/Table27[[#This Row],[case_size]]</f>
        <v>#DIV/0!</v>
      </c>
      <c r="L338" s="4"/>
      <c r="M338" s="4"/>
      <c r="N338" s="4"/>
      <c r="O338" s="4" t="e">
        <f>_xlfn.XLOOKUP(Table27[[#This Row],[product_name]],#REF!,#REF!,"NOT FOUND",0,1)</f>
        <v>#REF!</v>
      </c>
    </row>
    <row r="339" spans="1:15" ht="14.7" customHeight="1">
      <c r="A339" s="4"/>
      <c r="B339" s="4"/>
      <c r="C339" s="4"/>
      <c r="D339" s="28"/>
      <c r="E339" s="4"/>
      <c r="G339" s="28"/>
      <c r="I339" s="4"/>
      <c r="J339" s="38"/>
      <c r="K339" s="38" t="e">
        <f>Table27[[#This Row],[case_price]]/Table27[[#This Row],[case_size]]</f>
        <v>#DIV/0!</v>
      </c>
      <c r="L339" s="4"/>
      <c r="M339" s="4"/>
      <c r="N339" s="4"/>
      <c r="O339" s="4" t="e">
        <f>_xlfn.XLOOKUP(Table27[[#This Row],[product_name]],#REF!,#REF!,"NOT FOUND",0,1)</f>
        <v>#REF!</v>
      </c>
    </row>
    <row r="340" spans="1:15" ht="14.7" customHeight="1">
      <c r="A340" s="4"/>
      <c r="B340" s="4"/>
      <c r="C340" s="4"/>
      <c r="D340" s="28"/>
      <c r="E340" s="4"/>
      <c r="G340" s="28"/>
      <c r="I340" s="4"/>
      <c r="J340" s="38"/>
      <c r="K340" s="38" t="e">
        <f>Table27[[#This Row],[case_price]]/Table27[[#This Row],[case_size]]</f>
        <v>#DIV/0!</v>
      </c>
      <c r="L340" s="4"/>
      <c r="M340" s="4"/>
      <c r="N340" s="4"/>
      <c r="O340" s="4" t="e">
        <f>_xlfn.XLOOKUP(Table27[[#This Row],[product_name]],#REF!,#REF!,"NOT FOUND",0,1)</f>
        <v>#REF!</v>
      </c>
    </row>
    <row r="341" spans="1:15" ht="14.7" customHeight="1">
      <c r="A341" s="4"/>
      <c r="B341" s="4"/>
      <c r="C341" s="4"/>
      <c r="D341" s="28"/>
      <c r="E341" s="4"/>
      <c r="G341" s="28"/>
      <c r="I341" s="4"/>
      <c r="J341" s="38"/>
      <c r="K341" s="38" t="e">
        <f>Table27[[#This Row],[case_price]]/Table27[[#This Row],[case_size]]</f>
        <v>#DIV/0!</v>
      </c>
      <c r="L341" s="4"/>
      <c r="M341" s="4"/>
      <c r="N341" s="4"/>
      <c r="O341" s="4" t="e">
        <f>_xlfn.XLOOKUP(Table27[[#This Row],[product_name]],#REF!,#REF!,"NOT FOUND",0,1)</f>
        <v>#REF!</v>
      </c>
    </row>
    <row r="342" spans="1:15" ht="14.7" customHeight="1">
      <c r="A342" s="4"/>
      <c r="B342" s="4"/>
      <c r="C342" s="4"/>
      <c r="D342" s="28"/>
      <c r="E342" s="4"/>
      <c r="G342" s="28"/>
      <c r="I342" s="4"/>
      <c r="J342" s="38"/>
      <c r="K342" s="38" t="e">
        <f>Table27[[#This Row],[case_price]]/Table27[[#This Row],[case_size]]</f>
        <v>#DIV/0!</v>
      </c>
      <c r="L342" s="4"/>
      <c r="M342" s="4"/>
      <c r="N342" s="4"/>
      <c r="O342" s="4" t="e">
        <f>_xlfn.XLOOKUP(Table27[[#This Row],[product_name]],#REF!,#REF!,"NOT FOUND",0,1)</f>
        <v>#REF!</v>
      </c>
    </row>
    <row r="343" spans="1:15" ht="14.7" customHeight="1">
      <c r="A343" s="4"/>
      <c r="B343" s="4"/>
      <c r="C343" s="4"/>
      <c r="D343" s="28"/>
      <c r="E343" s="4"/>
      <c r="G343" s="28"/>
      <c r="I343" s="4"/>
      <c r="J343" s="38"/>
      <c r="K343" s="38" t="e">
        <f>Table27[[#This Row],[case_price]]/Table27[[#This Row],[case_size]]</f>
        <v>#DIV/0!</v>
      </c>
      <c r="L343" s="4"/>
      <c r="M343" s="4"/>
      <c r="N343" s="4"/>
      <c r="O343" s="4" t="e">
        <f>_xlfn.XLOOKUP(Table27[[#This Row],[product_name]],#REF!,#REF!,"NOT FOUND",0,1)</f>
        <v>#REF!</v>
      </c>
    </row>
    <row r="344" spans="1:15" ht="14.7" customHeight="1">
      <c r="A344" s="4"/>
      <c r="B344" s="4"/>
      <c r="C344" s="4"/>
      <c r="D344" s="28"/>
      <c r="E344" s="4"/>
      <c r="G344" s="28"/>
      <c r="I344" s="4"/>
      <c r="J344" s="38"/>
      <c r="K344" s="38" t="e">
        <f>Table27[[#This Row],[case_price]]/Table27[[#This Row],[case_size]]</f>
        <v>#DIV/0!</v>
      </c>
      <c r="L344" s="4"/>
      <c r="M344" s="4"/>
      <c r="N344" s="4"/>
      <c r="O344" s="4" t="e">
        <f>_xlfn.XLOOKUP(Table27[[#This Row],[product_name]],#REF!,#REF!,"NOT FOUND",0,1)</f>
        <v>#REF!</v>
      </c>
    </row>
    <row r="345" spans="1:15" ht="14.7" customHeight="1">
      <c r="A345" s="4"/>
      <c r="B345" s="4"/>
      <c r="C345" s="4"/>
      <c r="D345" s="28"/>
      <c r="E345" s="4"/>
      <c r="G345" s="28"/>
      <c r="I345" s="4"/>
      <c r="J345" s="38"/>
      <c r="K345" s="38" t="e">
        <f>Table27[[#This Row],[case_price]]/Table27[[#This Row],[case_size]]</f>
        <v>#DIV/0!</v>
      </c>
      <c r="L345" s="4"/>
      <c r="M345" s="4"/>
      <c r="N345" s="4"/>
      <c r="O345" s="4" t="e">
        <f>_xlfn.XLOOKUP(Table27[[#This Row],[product_name]],#REF!,#REF!,"NOT FOUND",0,1)</f>
        <v>#REF!</v>
      </c>
    </row>
    <row r="346" spans="1:15" ht="14.7" customHeight="1">
      <c r="A346" s="4"/>
      <c r="B346" s="4"/>
      <c r="C346" s="4"/>
      <c r="D346" s="28"/>
      <c r="E346" s="4"/>
      <c r="G346" s="28"/>
      <c r="I346" s="4"/>
      <c r="J346" s="38"/>
      <c r="K346" s="38" t="e">
        <f>Table27[[#This Row],[case_price]]/Table27[[#This Row],[case_size]]</f>
        <v>#DIV/0!</v>
      </c>
      <c r="L346" s="4"/>
      <c r="M346" s="4"/>
      <c r="N346" s="4"/>
      <c r="O346" s="4" t="e">
        <f>_xlfn.XLOOKUP(Table27[[#This Row],[product_name]],#REF!,#REF!,"NOT FOUND",0,1)</f>
        <v>#REF!</v>
      </c>
    </row>
    <row r="347" spans="1:15" ht="14.7" customHeight="1">
      <c r="A347" s="4"/>
      <c r="B347" s="4"/>
      <c r="C347" s="4"/>
      <c r="D347" s="28"/>
      <c r="E347" s="4"/>
      <c r="G347" s="28"/>
      <c r="I347" s="4"/>
      <c r="J347" s="38"/>
      <c r="K347" s="38" t="e">
        <f>Table27[[#This Row],[case_price]]/Table27[[#This Row],[case_size]]</f>
        <v>#DIV/0!</v>
      </c>
      <c r="L347" s="4"/>
      <c r="M347" s="4"/>
      <c r="N347" s="4"/>
      <c r="O347" s="4" t="e">
        <f>_xlfn.XLOOKUP(Table27[[#This Row],[product_name]],#REF!,#REF!,"NOT FOUND",0,1)</f>
        <v>#REF!</v>
      </c>
    </row>
    <row r="348" spans="1:15" ht="14.7" customHeight="1">
      <c r="A348" s="4"/>
      <c r="B348" s="4"/>
      <c r="C348" s="4"/>
      <c r="D348" s="28"/>
      <c r="E348" s="4"/>
      <c r="G348" s="28"/>
      <c r="I348" s="4"/>
      <c r="J348" s="38"/>
      <c r="K348" s="38" t="e">
        <f>Table27[[#This Row],[case_price]]/Table27[[#This Row],[case_size]]</f>
        <v>#DIV/0!</v>
      </c>
      <c r="L348" s="4"/>
      <c r="M348" s="4"/>
      <c r="N348" s="4"/>
      <c r="O348" s="4" t="e">
        <f>_xlfn.XLOOKUP(Table27[[#This Row],[product_name]],#REF!,#REF!,"NOT FOUND",0,1)</f>
        <v>#REF!</v>
      </c>
    </row>
    <row r="349" spans="1:15" ht="14.7" customHeight="1">
      <c r="A349" s="4"/>
      <c r="B349" s="4"/>
      <c r="C349" s="4"/>
      <c r="D349" s="28"/>
      <c r="E349" s="4"/>
      <c r="G349" s="28"/>
      <c r="I349" s="4"/>
      <c r="J349" s="38"/>
      <c r="K349" s="38" t="e">
        <f>Table27[[#This Row],[case_price]]/Table27[[#This Row],[case_size]]</f>
        <v>#DIV/0!</v>
      </c>
      <c r="L349" s="4"/>
      <c r="M349" s="4"/>
      <c r="N349" s="4"/>
      <c r="O349" s="4" t="e">
        <f>_xlfn.XLOOKUP(Table27[[#This Row],[product_name]],#REF!,#REF!,"NOT FOUND",0,1)</f>
        <v>#REF!</v>
      </c>
    </row>
    <row r="350" spans="1:15" ht="14.7" customHeight="1">
      <c r="A350" s="4"/>
      <c r="B350" s="4"/>
      <c r="C350" s="4"/>
      <c r="D350" s="28"/>
      <c r="E350" s="4"/>
      <c r="G350" s="28"/>
      <c r="I350" s="4"/>
      <c r="J350" s="38"/>
      <c r="K350" s="38" t="e">
        <f>Table27[[#This Row],[case_price]]/Table27[[#This Row],[case_size]]</f>
        <v>#DIV/0!</v>
      </c>
      <c r="L350" s="4"/>
      <c r="M350" s="4"/>
      <c r="N350" s="4"/>
      <c r="O350" s="4" t="e">
        <f>_xlfn.XLOOKUP(Table27[[#This Row],[product_name]],#REF!,#REF!,"NOT FOUND",0,1)</f>
        <v>#REF!</v>
      </c>
    </row>
    <row r="351" spans="1:15" ht="14.7" customHeight="1">
      <c r="A351" s="4"/>
      <c r="B351" s="4"/>
      <c r="C351" s="4"/>
      <c r="D351" s="28"/>
      <c r="E351" s="4"/>
      <c r="G351" s="28"/>
      <c r="I351" s="4"/>
      <c r="J351" s="38"/>
      <c r="K351" s="38" t="e">
        <f>Table27[[#This Row],[case_price]]/Table27[[#This Row],[case_size]]</f>
        <v>#DIV/0!</v>
      </c>
      <c r="L351" s="4"/>
      <c r="M351" s="4"/>
      <c r="N351" s="4"/>
      <c r="O351" s="4" t="e">
        <f>_xlfn.XLOOKUP(Table27[[#This Row],[product_name]],#REF!,#REF!,"NOT FOUND",0,1)</f>
        <v>#REF!</v>
      </c>
    </row>
    <row r="352" spans="1:15" ht="14.7" customHeight="1">
      <c r="A352" s="4"/>
      <c r="B352" s="4"/>
      <c r="C352" s="4"/>
      <c r="D352" s="28"/>
      <c r="E352" s="4"/>
      <c r="G352" s="28"/>
      <c r="I352" s="4"/>
      <c r="J352" s="38"/>
      <c r="K352" s="38" t="e">
        <f>Table27[[#This Row],[case_price]]/Table27[[#This Row],[case_size]]</f>
        <v>#DIV/0!</v>
      </c>
      <c r="L352" s="4"/>
      <c r="M352" s="4"/>
      <c r="N352" s="4"/>
      <c r="O352" s="4" t="e">
        <f>_xlfn.XLOOKUP(Table27[[#This Row],[product_name]],#REF!,#REF!,"NOT FOUND",0,1)</f>
        <v>#REF!</v>
      </c>
    </row>
    <row r="353" spans="1:15" ht="14.7" customHeight="1">
      <c r="A353" s="4"/>
      <c r="B353" s="4"/>
      <c r="C353" s="4"/>
      <c r="D353" s="28"/>
      <c r="E353" s="4"/>
      <c r="G353" s="28"/>
      <c r="I353" s="4"/>
      <c r="J353" s="38"/>
      <c r="K353" s="38" t="e">
        <f>Table27[[#This Row],[case_price]]/Table27[[#This Row],[case_size]]</f>
        <v>#DIV/0!</v>
      </c>
      <c r="L353" s="4"/>
      <c r="M353" s="4"/>
      <c r="N353" s="4"/>
      <c r="O353" s="4" t="e">
        <f>_xlfn.XLOOKUP(Table27[[#This Row],[product_name]],#REF!,#REF!,"NOT FOUND",0,1)</f>
        <v>#REF!</v>
      </c>
    </row>
    <row r="354" spans="1:15" ht="14.7" customHeight="1">
      <c r="A354" s="4"/>
      <c r="B354" s="4"/>
      <c r="C354" s="4"/>
      <c r="D354" s="28"/>
      <c r="E354" s="4"/>
      <c r="G354" s="28"/>
      <c r="I354" s="4"/>
      <c r="J354" s="38"/>
      <c r="K354" s="38" t="e">
        <f>Table27[[#This Row],[case_price]]/Table27[[#This Row],[case_size]]</f>
        <v>#DIV/0!</v>
      </c>
      <c r="L354" s="4"/>
      <c r="M354" s="4"/>
      <c r="N354" s="4"/>
      <c r="O354" s="4" t="e">
        <f>_xlfn.XLOOKUP(Table27[[#This Row],[product_name]],#REF!,#REF!,"NOT FOUND",0,1)</f>
        <v>#REF!</v>
      </c>
    </row>
    <row r="355" spans="1:15" ht="14.7" customHeight="1">
      <c r="A355" s="4"/>
      <c r="B355" s="4"/>
      <c r="C355" s="4"/>
      <c r="D355" s="28"/>
      <c r="E355" s="4"/>
      <c r="G355" s="28"/>
      <c r="I355" s="4"/>
      <c r="J355" s="38"/>
      <c r="K355" s="38" t="e">
        <f>Table27[[#This Row],[case_price]]/Table27[[#This Row],[case_size]]</f>
        <v>#DIV/0!</v>
      </c>
      <c r="L355" s="4"/>
      <c r="M355" s="4"/>
      <c r="N355" s="4"/>
      <c r="O355" s="4" t="e">
        <f>_xlfn.XLOOKUP(Table27[[#This Row],[product_name]],#REF!,#REF!,"NOT FOUND",0,1)</f>
        <v>#REF!</v>
      </c>
    </row>
    <row r="356" spans="1:15" ht="14.7" customHeight="1">
      <c r="A356" s="4"/>
      <c r="B356" s="4"/>
      <c r="C356" s="4"/>
      <c r="D356" s="28"/>
      <c r="E356" s="4"/>
      <c r="G356" s="28"/>
      <c r="I356" s="4"/>
      <c r="J356" s="38"/>
      <c r="K356" s="38" t="e">
        <f>Table27[[#This Row],[case_price]]/Table27[[#This Row],[case_size]]</f>
        <v>#DIV/0!</v>
      </c>
      <c r="L356" s="4"/>
      <c r="M356" s="4"/>
      <c r="N356" s="4"/>
      <c r="O356" s="4" t="e">
        <f>_xlfn.XLOOKUP(Table27[[#This Row],[product_name]],#REF!,#REF!,"NOT FOUND",0,1)</f>
        <v>#REF!</v>
      </c>
    </row>
    <row r="357" spans="1:15" ht="14.7" customHeight="1">
      <c r="A357" s="4"/>
      <c r="B357" s="4"/>
      <c r="C357" s="4"/>
      <c r="D357" s="28"/>
      <c r="E357" s="4"/>
      <c r="G357" s="28"/>
      <c r="I357" s="4"/>
      <c r="J357" s="38"/>
      <c r="K357" s="38" t="e">
        <f>Table27[[#This Row],[case_price]]/Table27[[#This Row],[case_size]]</f>
        <v>#DIV/0!</v>
      </c>
      <c r="L357" s="4"/>
      <c r="M357" s="4"/>
      <c r="N357" s="4"/>
      <c r="O357" s="4" t="e">
        <f>_xlfn.XLOOKUP(Table27[[#This Row],[product_name]],#REF!,#REF!,"NOT FOUND",0,1)</f>
        <v>#REF!</v>
      </c>
    </row>
    <row r="358" spans="1:15" ht="14.7" customHeight="1">
      <c r="A358" s="4"/>
      <c r="B358" s="4"/>
      <c r="C358" s="4"/>
      <c r="D358" s="28"/>
      <c r="E358" s="4"/>
      <c r="G358" s="28"/>
      <c r="I358" s="4"/>
      <c r="J358" s="38"/>
      <c r="K358" s="38" t="e">
        <f>Table27[[#This Row],[case_price]]/Table27[[#This Row],[case_size]]</f>
        <v>#DIV/0!</v>
      </c>
      <c r="L358" s="4"/>
      <c r="M358" s="4"/>
      <c r="N358" s="4"/>
      <c r="O358" s="4" t="e">
        <f>_xlfn.XLOOKUP(Table27[[#This Row],[product_name]],#REF!,#REF!,"NOT FOUND",0,1)</f>
        <v>#REF!</v>
      </c>
    </row>
    <row r="359" spans="1:15" ht="14.7" customHeight="1">
      <c r="A359" s="4"/>
      <c r="B359" s="4"/>
      <c r="C359" s="4"/>
      <c r="D359" s="28"/>
      <c r="E359" s="4"/>
      <c r="G359" s="28"/>
      <c r="I359" s="4"/>
      <c r="J359" s="38"/>
      <c r="K359" s="38" t="e">
        <f>Table27[[#This Row],[case_price]]/Table27[[#This Row],[case_size]]</f>
        <v>#DIV/0!</v>
      </c>
      <c r="L359" s="4"/>
      <c r="M359" s="4"/>
      <c r="N359" s="4"/>
      <c r="O359" s="4" t="e">
        <f>_xlfn.XLOOKUP(Table27[[#This Row],[product_name]],#REF!,#REF!,"NOT FOUND",0,1)</f>
        <v>#REF!</v>
      </c>
    </row>
    <row r="360" spans="1:15" ht="14.7" customHeight="1">
      <c r="A360" s="4"/>
      <c r="B360" s="4"/>
      <c r="C360" s="4"/>
      <c r="D360" s="28"/>
      <c r="E360" s="4"/>
      <c r="G360" s="28"/>
      <c r="I360" s="4"/>
      <c r="J360" s="38"/>
      <c r="K360" s="38" t="e">
        <f>Table27[[#This Row],[case_price]]/Table27[[#This Row],[case_size]]</f>
        <v>#DIV/0!</v>
      </c>
      <c r="L360" s="4"/>
      <c r="M360" s="4"/>
      <c r="N360" s="4"/>
      <c r="O360" s="4" t="e">
        <f>_xlfn.XLOOKUP(Table27[[#This Row],[product_name]],#REF!,#REF!,"NOT FOUND",0,1)</f>
        <v>#REF!</v>
      </c>
    </row>
    <row r="361" spans="1:15" ht="14.7" customHeight="1">
      <c r="A361" s="4"/>
      <c r="B361" s="4"/>
      <c r="C361" s="4"/>
      <c r="D361" s="28"/>
      <c r="E361" s="4"/>
      <c r="G361" s="28"/>
      <c r="I361" s="4"/>
      <c r="J361" s="38"/>
      <c r="K361" s="38" t="e">
        <f>Table27[[#This Row],[case_price]]/Table27[[#This Row],[case_size]]</f>
        <v>#DIV/0!</v>
      </c>
      <c r="L361" s="4"/>
      <c r="M361" s="4"/>
      <c r="N361" s="4"/>
      <c r="O361" s="4" t="e">
        <f>_xlfn.XLOOKUP(Table27[[#This Row],[product_name]],#REF!,#REF!,"NOT FOUND",0,1)</f>
        <v>#REF!</v>
      </c>
    </row>
    <row r="362" spans="1:15" ht="14.7" customHeight="1">
      <c r="A362" s="4"/>
      <c r="B362" s="4"/>
      <c r="C362" s="4"/>
      <c r="D362" s="28"/>
      <c r="E362" s="4"/>
      <c r="G362" s="28"/>
      <c r="I362" s="4"/>
      <c r="J362" s="38"/>
      <c r="K362" s="38" t="e">
        <f>Table27[[#This Row],[case_price]]/Table27[[#This Row],[case_size]]</f>
        <v>#DIV/0!</v>
      </c>
      <c r="L362" s="4"/>
      <c r="M362" s="4"/>
      <c r="N362" s="4"/>
      <c r="O362" s="4" t="e">
        <f>_xlfn.XLOOKUP(Table27[[#This Row],[product_name]],#REF!,#REF!,"NOT FOUND",0,1)</f>
        <v>#REF!</v>
      </c>
    </row>
    <row r="363" spans="1:15" ht="14.7" customHeight="1">
      <c r="A363" s="4"/>
      <c r="B363" s="4"/>
      <c r="C363" s="4"/>
      <c r="D363" s="28"/>
      <c r="E363" s="4"/>
      <c r="G363" s="28"/>
      <c r="I363" s="4"/>
      <c r="J363" s="38"/>
      <c r="K363" s="38" t="e">
        <f>Table27[[#This Row],[case_price]]/Table27[[#This Row],[case_size]]</f>
        <v>#DIV/0!</v>
      </c>
      <c r="L363" s="4"/>
      <c r="M363" s="4"/>
      <c r="N363" s="4"/>
      <c r="O363" s="4" t="e">
        <f>_xlfn.XLOOKUP(Table27[[#This Row],[product_name]],#REF!,#REF!,"NOT FOUND",0,1)</f>
        <v>#REF!</v>
      </c>
    </row>
    <row r="364" spans="1:15" ht="14.7" customHeight="1">
      <c r="A364" s="4"/>
      <c r="B364" s="4"/>
      <c r="C364" s="4"/>
      <c r="D364" s="28"/>
      <c r="E364" s="4"/>
      <c r="G364" s="28"/>
      <c r="I364" s="4"/>
      <c r="J364" s="38"/>
      <c r="K364" s="38" t="e">
        <f>Table27[[#This Row],[case_price]]/Table27[[#This Row],[case_size]]</f>
        <v>#DIV/0!</v>
      </c>
      <c r="L364" s="4"/>
      <c r="M364" s="4"/>
      <c r="N364" s="4"/>
      <c r="O364" s="4" t="e">
        <f>_xlfn.XLOOKUP(Table27[[#This Row],[product_name]],#REF!,#REF!,"NOT FOUND",0,1)</f>
        <v>#REF!</v>
      </c>
    </row>
    <row r="365" spans="1:15" ht="14.7" customHeight="1">
      <c r="A365" s="4"/>
      <c r="B365" s="4"/>
      <c r="C365" s="4"/>
      <c r="D365" s="28"/>
      <c r="E365" s="4"/>
      <c r="G365" s="28"/>
      <c r="I365" s="4"/>
      <c r="J365" s="38"/>
      <c r="K365" s="38" t="e">
        <f>Table27[[#This Row],[case_price]]/Table27[[#This Row],[case_size]]</f>
        <v>#DIV/0!</v>
      </c>
      <c r="L365" s="4"/>
      <c r="M365" s="4"/>
      <c r="N365" s="4"/>
      <c r="O365" s="4" t="e">
        <f>_xlfn.XLOOKUP(Table27[[#This Row],[product_name]],#REF!,#REF!,"NOT FOUND",0,1)</f>
        <v>#REF!</v>
      </c>
    </row>
    <row r="366" spans="1:15" ht="14.7" customHeight="1">
      <c r="A366" s="4"/>
      <c r="B366" s="4"/>
      <c r="C366" s="4"/>
      <c r="D366" s="28"/>
      <c r="E366" s="4"/>
      <c r="G366" s="28"/>
      <c r="I366" s="4"/>
      <c r="J366" s="38"/>
      <c r="K366" s="38" t="e">
        <f>Table27[[#This Row],[case_price]]/Table27[[#This Row],[case_size]]</f>
        <v>#DIV/0!</v>
      </c>
      <c r="L366" s="4"/>
      <c r="M366" s="4"/>
      <c r="N366" s="4"/>
      <c r="O366" s="4" t="e">
        <f>_xlfn.XLOOKUP(Table27[[#This Row],[product_name]],#REF!,#REF!,"NOT FOUND",0,1)</f>
        <v>#REF!</v>
      </c>
    </row>
    <row r="367" spans="1:15" ht="14.7" customHeight="1">
      <c r="A367" s="4"/>
      <c r="B367" s="4"/>
      <c r="C367" s="4"/>
      <c r="D367" s="28"/>
      <c r="E367" s="4"/>
      <c r="G367" s="28"/>
      <c r="I367" s="4"/>
      <c r="J367" s="38"/>
      <c r="K367" s="38" t="e">
        <f>Table27[[#This Row],[case_price]]/Table27[[#This Row],[case_size]]</f>
        <v>#DIV/0!</v>
      </c>
      <c r="L367" s="4"/>
      <c r="M367" s="4"/>
      <c r="N367" s="4"/>
      <c r="O367" s="4" t="e">
        <f>_xlfn.XLOOKUP(Table27[[#This Row],[product_name]],#REF!,#REF!,"NOT FOUND",0,1)</f>
        <v>#REF!</v>
      </c>
    </row>
    <row r="368" spans="1:15" ht="14.7" customHeight="1">
      <c r="A368" s="4"/>
      <c r="B368" s="4"/>
      <c r="C368" s="4"/>
      <c r="D368" s="28"/>
      <c r="E368" s="4"/>
      <c r="G368" s="28"/>
      <c r="I368" s="4"/>
      <c r="J368" s="38"/>
      <c r="K368" s="38" t="e">
        <f>Table27[[#This Row],[case_price]]/Table27[[#This Row],[case_size]]</f>
        <v>#DIV/0!</v>
      </c>
      <c r="L368" s="4"/>
      <c r="M368" s="4"/>
      <c r="N368" s="4"/>
      <c r="O368" s="4" t="e">
        <f>_xlfn.XLOOKUP(Table27[[#This Row],[product_name]],#REF!,#REF!,"NOT FOUND",0,1)</f>
        <v>#REF!</v>
      </c>
    </row>
    <row r="369" spans="1:15" ht="14.7" customHeight="1">
      <c r="A369" s="4"/>
      <c r="B369" s="4"/>
      <c r="C369" s="4"/>
      <c r="D369" s="28"/>
      <c r="E369" s="4"/>
      <c r="G369" s="28"/>
      <c r="I369" s="4"/>
      <c r="J369" s="38"/>
      <c r="K369" s="38" t="e">
        <f>Table27[[#This Row],[case_price]]/Table27[[#This Row],[case_size]]</f>
        <v>#DIV/0!</v>
      </c>
      <c r="L369" s="4"/>
      <c r="M369" s="4"/>
      <c r="N369" s="4"/>
      <c r="O369" s="4" t="e">
        <f>_xlfn.XLOOKUP(Table27[[#This Row],[product_name]],#REF!,#REF!,"NOT FOUND",0,1)</f>
        <v>#REF!</v>
      </c>
    </row>
    <row r="370" spans="1:15" ht="14.7" customHeight="1">
      <c r="A370" s="4"/>
      <c r="B370" s="4"/>
      <c r="C370" s="4"/>
      <c r="D370" s="28"/>
      <c r="E370" s="4"/>
      <c r="G370" s="28"/>
      <c r="I370" s="4"/>
      <c r="J370" s="38"/>
      <c r="K370" s="38" t="e">
        <f>Table27[[#This Row],[case_price]]/Table27[[#This Row],[case_size]]</f>
        <v>#DIV/0!</v>
      </c>
      <c r="L370" s="4"/>
      <c r="M370" s="4"/>
      <c r="N370" s="4"/>
      <c r="O370" s="4" t="e">
        <f>_xlfn.XLOOKUP(Table27[[#This Row],[product_name]],#REF!,#REF!,"NOT FOUND",0,1)</f>
        <v>#REF!</v>
      </c>
    </row>
    <row r="371" spans="1:15" ht="14.7" customHeight="1">
      <c r="A371" s="4"/>
      <c r="B371" s="4"/>
      <c r="C371" s="4"/>
      <c r="D371" s="28"/>
      <c r="E371" s="4"/>
      <c r="G371" s="28"/>
      <c r="I371" s="4"/>
      <c r="J371" s="38"/>
      <c r="K371" s="38" t="e">
        <f>Table27[[#This Row],[case_price]]/Table27[[#This Row],[case_size]]</f>
        <v>#DIV/0!</v>
      </c>
      <c r="L371" s="4"/>
      <c r="M371" s="4"/>
      <c r="N371" s="4"/>
      <c r="O371" s="4" t="e">
        <f>_xlfn.XLOOKUP(Table27[[#This Row],[product_name]],#REF!,#REF!,"NOT FOUND",0,1)</f>
        <v>#REF!</v>
      </c>
    </row>
    <row r="372" spans="1:15" ht="14.7" customHeight="1">
      <c r="A372" s="4"/>
      <c r="B372" s="4"/>
      <c r="C372" s="4"/>
      <c r="D372" s="28"/>
      <c r="E372" s="4"/>
      <c r="G372" s="28"/>
      <c r="I372" s="4"/>
      <c r="J372" s="38"/>
      <c r="K372" s="38" t="e">
        <f>Table27[[#This Row],[case_price]]/Table27[[#This Row],[case_size]]</f>
        <v>#DIV/0!</v>
      </c>
      <c r="L372" s="4"/>
      <c r="M372" s="4"/>
      <c r="N372" s="4"/>
      <c r="O372" s="4" t="e">
        <f>_xlfn.XLOOKUP(Table27[[#This Row],[product_name]],#REF!,#REF!,"NOT FOUND",0,1)</f>
        <v>#REF!</v>
      </c>
    </row>
    <row r="373" spans="1:15" ht="14.7" customHeight="1">
      <c r="A373" s="4"/>
      <c r="B373" s="4"/>
      <c r="C373" s="4"/>
      <c r="D373" s="28"/>
      <c r="E373" s="4"/>
      <c r="G373" s="28"/>
      <c r="I373" s="4"/>
      <c r="J373" s="38"/>
      <c r="K373" s="38" t="e">
        <f>Table27[[#This Row],[case_price]]/Table27[[#This Row],[case_size]]</f>
        <v>#DIV/0!</v>
      </c>
      <c r="L373" s="4"/>
      <c r="M373" s="4"/>
      <c r="N373" s="4"/>
      <c r="O373" s="4" t="e">
        <f>_xlfn.XLOOKUP(Table27[[#This Row],[product_name]],#REF!,#REF!,"NOT FOUND",0,1)</f>
        <v>#REF!</v>
      </c>
    </row>
    <row r="374" spans="1:15" ht="14.7" customHeight="1">
      <c r="A374" s="4"/>
      <c r="B374" s="4"/>
      <c r="C374" s="4"/>
      <c r="D374" s="28"/>
      <c r="E374" s="4"/>
      <c r="G374" s="28"/>
      <c r="I374" s="4"/>
      <c r="J374" s="38"/>
      <c r="K374" s="38" t="e">
        <f>Table27[[#This Row],[case_price]]/Table27[[#This Row],[case_size]]</f>
        <v>#DIV/0!</v>
      </c>
      <c r="L374" s="4"/>
      <c r="M374" s="4"/>
      <c r="N374" s="4"/>
      <c r="O374" s="4" t="e">
        <f>_xlfn.XLOOKUP(Table27[[#This Row],[product_name]],#REF!,#REF!,"NOT FOUND",0,1)</f>
        <v>#REF!</v>
      </c>
    </row>
    <row r="375" spans="1:15" ht="14.7" customHeight="1">
      <c r="A375" s="4"/>
      <c r="B375" s="4"/>
      <c r="C375" s="4"/>
      <c r="D375" s="28"/>
      <c r="E375" s="4"/>
      <c r="G375" s="28"/>
      <c r="I375" s="4"/>
      <c r="J375" s="38"/>
      <c r="K375" s="38" t="e">
        <f>Table27[[#This Row],[case_price]]/Table27[[#This Row],[case_size]]</f>
        <v>#DIV/0!</v>
      </c>
      <c r="L375" s="4"/>
      <c r="M375" s="4"/>
      <c r="N375" s="4"/>
      <c r="O375" s="4" t="e">
        <f>_xlfn.XLOOKUP(Table27[[#This Row],[product_name]],#REF!,#REF!,"NOT FOUND",0,1)</f>
        <v>#REF!</v>
      </c>
    </row>
    <row r="376" spans="1:15" ht="14.7" customHeight="1">
      <c r="A376" s="4"/>
      <c r="B376" s="4"/>
      <c r="C376" s="4"/>
      <c r="D376" s="28"/>
      <c r="E376" s="4"/>
      <c r="G376" s="28"/>
      <c r="I376" s="4"/>
      <c r="J376" s="38"/>
      <c r="K376" s="38" t="e">
        <f>Table27[[#This Row],[case_price]]/Table27[[#This Row],[case_size]]</f>
        <v>#DIV/0!</v>
      </c>
      <c r="L376" s="4"/>
      <c r="M376" s="4"/>
      <c r="N376" s="4"/>
      <c r="O376" s="4" t="e">
        <f>_xlfn.XLOOKUP(Table27[[#This Row],[product_name]],#REF!,#REF!,"NOT FOUND",0,1)</f>
        <v>#REF!</v>
      </c>
    </row>
    <row r="377" spans="1:15" ht="14.7" customHeight="1">
      <c r="A377" s="4"/>
      <c r="B377" s="4"/>
      <c r="C377" s="4"/>
      <c r="D377" s="28"/>
      <c r="E377" s="4"/>
      <c r="G377" s="28"/>
      <c r="I377" s="4"/>
      <c r="J377" s="38"/>
      <c r="K377" s="38" t="e">
        <f>Table27[[#This Row],[case_price]]/Table27[[#This Row],[case_size]]</f>
        <v>#DIV/0!</v>
      </c>
      <c r="L377" s="4"/>
      <c r="M377" s="4"/>
      <c r="N377" s="4"/>
      <c r="O377" s="4" t="e">
        <f>_xlfn.XLOOKUP(Table27[[#This Row],[product_name]],#REF!,#REF!,"NOT FOUND",0,1)</f>
        <v>#REF!</v>
      </c>
    </row>
    <row r="378" spans="1:15" ht="14.7" customHeight="1">
      <c r="A378" s="4"/>
      <c r="B378" s="4"/>
      <c r="C378" s="4"/>
      <c r="D378" s="28"/>
      <c r="E378" s="4"/>
      <c r="G378" s="28"/>
      <c r="I378" s="4"/>
      <c r="J378" s="38"/>
      <c r="K378" s="38" t="e">
        <f>Table27[[#This Row],[case_price]]/Table27[[#This Row],[case_size]]</f>
        <v>#DIV/0!</v>
      </c>
      <c r="L378" s="4"/>
      <c r="M378" s="4"/>
      <c r="N378" s="4"/>
      <c r="O378" s="4" t="e">
        <f>_xlfn.XLOOKUP(Table27[[#This Row],[product_name]],#REF!,#REF!,"NOT FOUND",0,1)</f>
        <v>#REF!</v>
      </c>
    </row>
    <row r="379" spans="1:15" ht="14.7" customHeight="1">
      <c r="A379" s="4"/>
      <c r="B379" s="4"/>
      <c r="C379" s="4"/>
      <c r="D379" s="28"/>
      <c r="E379" s="4"/>
      <c r="G379" s="28"/>
      <c r="I379" s="4"/>
      <c r="J379" s="38"/>
      <c r="K379" s="38" t="e">
        <f>Table27[[#This Row],[case_price]]/Table27[[#This Row],[case_size]]</f>
        <v>#DIV/0!</v>
      </c>
      <c r="L379" s="4"/>
      <c r="M379" s="4"/>
      <c r="N379" s="4"/>
      <c r="O379" s="4" t="e">
        <f>_xlfn.XLOOKUP(Table27[[#This Row],[product_name]],#REF!,#REF!,"NOT FOUND",0,1)</f>
        <v>#REF!</v>
      </c>
    </row>
    <row r="380" spans="1:15" ht="14.7" customHeight="1">
      <c r="A380" s="4"/>
      <c r="B380" s="4"/>
      <c r="C380" s="4"/>
      <c r="D380" s="28"/>
      <c r="E380" s="4"/>
      <c r="G380" s="28"/>
      <c r="I380" s="4"/>
      <c r="J380" s="38"/>
      <c r="K380" s="38" t="e">
        <f>Table27[[#This Row],[case_price]]/Table27[[#This Row],[case_size]]</f>
        <v>#DIV/0!</v>
      </c>
      <c r="L380" s="4"/>
      <c r="M380" s="4"/>
      <c r="N380" s="4"/>
      <c r="O380" s="4" t="e">
        <f>_xlfn.XLOOKUP(Table27[[#This Row],[product_name]],#REF!,#REF!,"NOT FOUND",0,1)</f>
        <v>#REF!</v>
      </c>
    </row>
    <row r="381" spans="1:15" ht="14.7" customHeight="1">
      <c r="A381" s="4"/>
      <c r="B381" s="4"/>
      <c r="C381" s="4"/>
      <c r="D381" s="28"/>
      <c r="E381" s="4"/>
      <c r="G381" s="28"/>
      <c r="I381" s="4"/>
      <c r="J381" s="38"/>
      <c r="K381" s="38" t="e">
        <f>Table27[[#This Row],[case_price]]/Table27[[#This Row],[case_size]]</f>
        <v>#DIV/0!</v>
      </c>
      <c r="L381" s="4"/>
      <c r="M381" s="4"/>
      <c r="N381" s="4"/>
      <c r="O381" s="4" t="e">
        <f>_xlfn.XLOOKUP(Table27[[#This Row],[product_name]],#REF!,#REF!,"NOT FOUND",0,1)</f>
        <v>#REF!</v>
      </c>
    </row>
    <row r="382" spans="1:15" ht="14.7" customHeight="1">
      <c r="A382" s="4"/>
      <c r="B382" s="4"/>
      <c r="C382" s="4"/>
      <c r="D382" s="28"/>
      <c r="E382" s="4"/>
      <c r="G382" s="28"/>
      <c r="I382" s="4"/>
      <c r="J382" s="38"/>
      <c r="K382" s="38" t="e">
        <f>Table27[[#This Row],[case_price]]/Table27[[#This Row],[case_size]]</f>
        <v>#DIV/0!</v>
      </c>
      <c r="L382" s="4"/>
      <c r="M382" s="4"/>
      <c r="N382" s="4"/>
      <c r="O382" s="4" t="e">
        <f>_xlfn.XLOOKUP(Table27[[#This Row],[product_name]],#REF!,#REF!,"NOT FOUND",0,1)</f>
        <v>#REF!</v>
      </c>
    </row>
    <row r="383" spans="1:15" ht="14.7" customHeight="1">
      <c r="A383" s="4"/>
      <c r="B383" s="4"/>
      <c r="C383" s="4"/>
      <c r="D383" s="28"/>
      <c r="E383" s="4"/>
      <c r="G383" s="28"/>
      <c r="I383" s="4"/>
      <c r="J383" s="38"/>
      <c r="K383" s="38" t="e">
        <f>Table27[[#This Row],[case_price]]/Table27[[#This Row],[case_size]]</f>
        <v>#DIV/0!</v>
      </c>
      <c r="L383" s="4"/>
      <c r="M383" s="4"/>
      <c r="N383" s="4"/>
      <c r="O383" s="4" t="e">
        <f>_xlfn.XLOOKUP(Table27[[#This Row],[product_name]],#REF!,#REF!,"NOT FOUND",0,1)</f>
        <v>#REF!</v>
      </c>
    </row>
    <row r="384" spans="1:15" ht="14.7" customHeight="1">
      <c r="A384" s="4"/>
      <c r="B384" s="4"/>
      <c r="C384" s="4"/>
      <c r="D384" s="28"/>
      <c r="E384" s="4"/>
      <c r="G384" s="28"/>
      <c r="I384" s="4"/>
      <c r="J384" s="38"/>
      <c r="K384" s="38" t="e">
        <f>Table27[[#This Row],[case_price]]/Table27[[#This Row],[case_size]]</f>
        <v>#DIV/0!</v>
      </c>
      <c r="L384" s="4"/>
      <c r="M384" s="4"/>
      <c r="N384" s="4"/>
      <c r="O384" s="4" t="e">
        <f>_xlfn.XLOOKUP(Table27[[#This Row],[product_name]],#REF!,#REF!,"NOT FOUND",0,1)</f>
        <v>#REF!</v>
      </c>
    </row>
    <row r="385" spans="1:15" ht="14.7" customHeight="1">
      <c r="A385" s="4"/>
      <c r="B385" s="4"/>
      <c r="C385" s="4"/>
      <c r="D385" s="28"/>
      <c r="E385" s="4"/>
      <c r="G385" s="28"/>
      <c r="I385" s="4"/>
      <c r="J385" s="38"/>
      <c r="K385" s="38" t="e">
        <f>Table27[[#This Row],[case_price]]/Table27[[#This Row],[case_size]]</f>
        <v>#DIV/0!</v>
      </c>
      <c r="L385" s="4"/>
      <c r="M385" s="4"/>
      <c r="N385" s="4"/>
      <c r="O385" s="4" t="e">
        <f>_xlfn.XLOOKUP(Table27[[#This Row],[product_name]],#REF!,#REF!,"NOT FOUND",0,1)</f>
        <v>#REF!</v>
      </c>
    </row>
    <row r="386" spans="1:15" ht="14.7" customHeight="1">
      <c r="A386" s="4"/>
      <c r="B386" s="4"/>
      <c r="C386" s="4"/>
      <c r="D386" s="28"/>
      <c r="E386" s="4"/>
      <c r="G386" s="28"/>
      <c r="I386" s="4"/>
      <c r="J386" s="38"/>
      <c r="K386" s="38" t="e">
        <f>Table27[[#This Row],[case_price]]/Table27[[#This Row],[case_size]]</f>
        <v>#DIV/0!</v>
      </c>
      <c r="L386" s="4"/>
      <c r="M386" s="4"/>
      <c r="N386" s="4"/>
      <c r="O386" s="4" t="e">
        <f>_xlfn.XLOOKUP(Table27[[#This Row],[product_name]],#REF!,#REF!,"NOT FOUND",0,1)</f>
        <v>#REF!</v>
      </c>
    </row>
    <row r="387" spans="1:15" ht="14.7" customHeight="1">
      <c r="A387" s="4"/>
      <c r="B387" s="4"/>
      <c r="C387" s="4"/>
      <c r="D387" s="28"/>
      <c r="E387" s="4"/>
      <c r="G387" s="28"/>
      <c r="I387" s="4"/>
      <c r="J387" s="38"/>
      <c r="K387" s="38" t="e">
        <f>Table27[[#This Row],[case_price]]/Table27[[#This Row],[case_size]]</f>
        <v>#DIV/0!</v>
      </c>
      <c r="L387" s="4"/>
      <c r="M387" s="4"/>
      <c r="N387" s="4"/>
      <c r="O387" s="4" t="e">
        <f>_xlfn.XLOOKUP(Table27[[#This Row],[product_name]],#REF!,#REF!,"NOT FOUND",0,1)</f>
        <v>#REF!</v>
      </c>
    </row>
    <row r="388" spans="1:15" ht="14.7" customHeight="1">
      <c r="A388" s="4"/>
      <c r="B388" s="4"/>
      <c r="C388" s="4"/>
      <c r="D388" s="28"/>
      <c r="E388" s="4"/>
      <c r="G388" s="28"/>
      <c r="I388" s="4"/>
      <c r="J388" s="38"/>
      <c r="K388" s="38" t="e">
        <f>Table27[[#This Row],[case_price]]/Table27[[#This Row],[case_size]]</f>
        <v>#DIV/0!</v>
      </c>
      <c r="L388" s="4"/>
      <c r="M388" s="4"/>
      <c r="N388" s="4"/>
      <c r="O388" s="4" t="e">
        <f>_xlfn.XLOOKUP(Table27[[#This Row],[product_name]],#REF!,#REF!,"NOT FOUND",0,1)</f>
        <v>#REF!</v>
      </c>
    </row>
    <row r="389" spans="1:15" ht="14.7" customHeight="1">
      <c r="A389" s="4"/>
      <c r="B389" s="4"/>
      <c r="C389" s="4"/>
      <c r="D389" s="28"/>
      <c r="E389" s="4"/>
      <c r="G389" s="28"/>
      <c r="I389" s="4"/>
      <c r="J389" s="38"/>
      <c r="K389" s="38" t="e">
        <f>Table27[[#This Row],[case_price]]/Table27[[#This Row],[case_size]]</f>
        <v>#DIV/0!</v>
      </c>
      <c r="L389" s="4"/>
      <c r="M389" s="4"/>
      <c r="N389" s="4"/>
      <c r="O389" s="4" t="e">
        <f>_xlfn.XLOOKUP(Table27[[#This Row],[product_name]],#REF!,#REF!,"NOT FOUND",0,1)</f>
        <v>#REF!</v>
      </c>
    </row>
    <row r="390" spans="1:15" ht="14.7" customHeight="1">
      <c r="A390" s="4"/>
      <c r="B390" s="4"/>
      <c r="C390" s="4"/>
      <c r="D390" s="28"/>
      <c r="E390" s="4"/>
      <c r="G390" s="28"/>
      <c r="I390" s="4"/>
      <c r="J390" s="38"/>
      <c r="K390" s="38" t="e">
        <f>Table27[[#This Row],[case_price]]/Table27[[#This Row],[case_size]]</f>
        <v>#DIV/0!</v>
      </c>
      <c r="L390" s="4"/>
      <c r="M390" s="4"/>
      <c r="N390" s="4"/>
      <c r="O390" s="4" t="e">
        <f>_xlfn.XLOOKUP(Table27[[#This Row],[product_name]],#REF!,#REF!,"NOT FOUND",0,1)</f>
        <v>#REF!</v>
      </c>
    </row>
    <row r="391" spans="1:15" ht="14.7" customHeight="1">
      <c r="A391" s="4"/>
      <c r="B391" s="4"/>
      <c r="C391" s="4"/>
      <c r="D391" s="28"/>
      <c r="E391" s="4"/>
      <c r="G391" s="28"/>
      <c r="I391" s="4"/>
      <c r="J391" s="38"/>
      <c r="K391" s="38" t="e">
        <f>Table27[[#This Row],[case_price]]/Table27[[#This Row],[case_size]]</f>
        <v>#DIV/0!</v>
      </c>
      <c r="L391" s="4"/>
      <c r="M391" s="4"/>
      <c r="N391" s="4"/>
      <c r="O391" s="4" t="e">
        <f>_xlfn.XLOOKUP(Table27[[#This Row],[product_name]],#REF!,#REF!,"NOT FOUND",0,1)</f>
        <v>#REF!</v>
      </c>
    </row>
    <row r="392" spans="1:15" ht="14.7" customHeight="1">
      <c r="A392" s="4"/>
      <c r="B392" s="4"/>
      <c r="C392" s="4"/>
      <c r="D392" s="28"/>
      <c r="E392" s="4"/>
      <c r="G392" s="28"/>
      <c r="I392" s="4"/>
      <c r="J392" s="38"/>
      <c r="K392" s="38" t="e">
        <f>Table27[[#This Row],[case_price]]/Table27[[#This Row],[case_size]]</f>
        <v>#DIV/0!</v>
      </c>
      <c r="L392" s="4"/>
      <c r="M392" s="4"/>
      <c r="N392" s="4"/>
      <c r="O392" s="4" t="e">
        <f>_xlfn.XLOOKUP(Table27[[#This Row],[product_name]],#REF!,#REF!,"NOT FOUND",0,1)</f>
        <v>#REF!</v>
      </c>
    </row>
    <row r="393" spans="1:15" ht="14.7" customHeight="1">
      <c r="A393" s="4"/>
      <c r="B393" s="4"/>
      <c r="C393" s="4"/>
      <c r="D393" s="28"/>
      <c r="E393" s="4"/>
      <c r="G393" s="28"/>
      <c r="I393" s="4"/>
      <c r="J393" s="38"/>
      <c r="K393" s="38" t="e">
        <f>Table27[[#This Row],[case_price]]/Table27[[#This Row],[case_size]]</f>
        <v>#DIV/0!</v>
      </c>
      <c r="L393" s="4"/>
      <c r="M393" s="4"/>
      <c r="N393" s="4"/>
      <c r="O393" s="4" t="e">
        <f>_xlfn.XLOOKUP(Table27[[#This Row],[product_name]],#REF!,#REF!,"NOT FOUND",0,1)</f>
        <v>#REF!</v>
      </c>
    </row>
    <row r="394" spans="1:15" ht="14.7" customHeight="1">
      <c r="A394" s="4"/>
      <c r="B394" s="4"/>
      <c r="C394" s="4"/>
      <c r="D394" s="28"/>
      <c r="E394" s="4"/>
      <c r="G394" s="28"/>
      <c r="I394" s="4"/>
      <c r="J394" s="38"/>
      <c r="K394" s="38" t="e">
        <f>Table27[[#This Row],[case_price]]/Table27[[#This Row],[case_size]]</f>
        <v>#DIV/0!</v>
      </c>
      <c r="L394" s="4"/>
      <c r="M394" s="4"/>
      <c r="N394" s="4"/>
      <c r="O394" s="4" t="e">
        <f>_xlfn.XLOOKUP(Table27[[#This Row],[product_name]],#REF!,#REF!,"NOT FOUND",0,1)</f>
        <v>#REF!</v>
      </c>
    </row>
    <row r="395" spans="1:15" ht="14.7" customHeight="1">
      <c r="A395" s="4"/>
      <c r="B395" s="4"/>
      <c r="C395" s="4"/>
      <c r="D395" s="28"/>
      <c r="E395" s="4"/>
      <c r="G395" s="28"/>
      <c r="I395" s="4"/>
      <c r="J395" s="38"/>
      <c r="K395" s="38" t="e">
        <f>Table27[[#This Row],[case_price]]/Table27[[#This Row],[case_size]]</f>
        <v>#DIV/0!</v>
      </c>
      <c r="L395" s="4"/>
      <c r="M395" s="4"/>
      <c r="N395" s="4"/>
      <c r="O395" s="4" t="e">
        <f>_xlfn.XLOOKUP(Table27[[#This Row],[product_name]],#REF!,#REF!,"NOT FOUND",0,1)</f>
        <v>#REF!</v>
      </c>
    </row>
    <row r="396" spans="1:15" ht="14.7" customHeight="1">
      <c r="A396" s="4"/>
      <c r="B396" s="4"/>
      <c r="C396" s="4"/>
      <c r="D396" s="28"/>
      <c r="E396" s="4"/>
      <c r="G396" s="28"/>
      <c r="I396" s="4"/>
      <c r="J396" s="38"/>
      <c r="K396" s="38" t="e">
        <f>Table27[[#This Row],[case_price]]/Table27[[#This Row],[case_size]]</f>
        <v>#DIV/0!</v>
      </c>
      <c r="L396" s="4"/>
      <c r="M396" s="4"/>
      <c r="N396" s="4"/>
      <c r="O396" s="4" t="e">
        <f>_xlfn.XLOOKUP(Table27[[#This Row],[product_name]],#REF!,#REF!,"NOT FOUND",0,1)</f>
        <v>#REF!</v>
      </c>
    </row>
    <row r="397" spans="1:15" ht="14.7" customHeight="1">
      <c r="A397" s="4"/>
      <c r="B397" s="4"/>
      <c r="C397" s="4"/>
      <c r="D397" s="28"/>
      <c r="E397" s="4"/>
      <c r="G397" s="28"/>
      <c r="I397" s="4"/>
      <c r="J397" s="38"/>
      <c r="K397" s="38" t="e">
        <f>Table27[[#This Row],[case_price]]/Table27[[#This Row],[case_size]]</f>
        <v>#DIV/0!</v>
      </c>
      <c r="L397" s="4"/>
      <c r="M397" s="4"/>
      <c r="N397" s="4"/>
      <c r="O397" s="4" t="e">
        <f>_xlfn.XLOOKUP(Table27[[#This Row],[product_name]],#REF!,#REF!,"NOT FOUND",0,1)</f>
        <v>#REF!</v>
      </c>
    </row>
    <row r="398" spans="1:15" ht="14.7" customHeight="1">
      <c r="A398" s="4"/>
      <c r="B398" s="4"/>
      <c r="C398" s="4"/>
      <c r="D398" s="28"/>
      <c r="E398" s="4"/>
      <c r="G398" s="28"/>
      <c r="I398" s="4"/>
      <c r="J398" s="38"/>
      <c r="K398" s="38" t="e">
        <f>Table27[[#This Row],[case_price]]/Table27[[#This Row],[case_size]]</f>
        <v>#DIV/0!</v>
      </c>
      <c r="L398" s="4"/>
      <c r="M398" s="4"/>
      <c r="N398" s="4"/>
      <c r="O398" s="4" t="e">
        <f>_xlfn.XLOOKUP(Table27[[#This Row],[product_name]],#REF!,#REF!,"NOT FOUND",0,1)</f>
        <v>#REF!</v>
      </c>
    </row>
    <row r="399" spans="1:15" ht="14.7" customHeight="1">
      <c r="A399" s="4"/>
      <c r="B399" s="4"/>
      <c r="C399" s="4"/>
      <c r="D399" s="28"/>
      <c r="E399" s="4"/>
      <c r="G399" s="28"/>
      <c r="I399" s="4"/>
      <c r="J399" s="38"/>
      <c r="K399" s="38" t="e">
        <f>Table27[[#This Row],[case_price]]/Table27[[#This Row],[case_size]]</f>
        <v>#DIV/0!</v>
      </c>
      <c r="L399" s="4"/>
      <c r="M399" s="4"/>
      <c r="N399" s="4"/>
      <c r="O399" s="4" t="e">
        <f>_xlfn.XLOOKUP(Table27[[#This Row],[product_name]],#REF!,#REF!,"NOT FOUND",0,1)</f>
        <v>#REF!</v>
      </c>
    </row>
    <row r="400" spans="1:15" ht="14.7" customHeight="1">
      <c r="A400" s="4"/>
      <c r="B400" s="4"/>
      <c r="C400" s="4"/>
      <c r="D400" s="28"/>
      <c r="E400" s="4"/>
      <c r="G400" s="28"/>
      <c r="I400" s="4"/>
      <c r="J400" s="38"/>
      <c r="K400" s="38" t="e">
        <f>Table27[[#This Row],[case_price]]/Table27[[#This Row],[case_size]]</f>
        <v>#DIV/0!</v>
      </c>
      <c r="L400" s="4"/>
      <c r="M400" s="4"/>
      <c r="N400" s="4"/>
      <c r="O400" s="4" t="e">
        <f>_xlfn.XLOOKUP(Table27[[#This Row],[product_name]],#REF!,#REF!,"NOT FOUND",0,1)</f>
        <v>#REF!</v>
      </c>
    </row>
    <row r="401" spans="1:15" ht="14.7" customHeight="1">
      <c r="A401" s="4"/>
      <c r="B401" s="4"/>
      <c r="C401" s="4"/>
      <c r="D401" s="28"/>
      <c r="E401" s="4"/>
      <c r="G401" s="28"/>
      <c r="I401" s="4"/>
      <c r="J401" s="38"/>
      <c r="K401" s="38" t="e">
        <f>Table27[[#This Row],[case_price]]/Table27[[#This Row],[case_size]]</f>
        <v>#DIV/0!</v>
      </c>
      <c r="L401" s="4"/>
      <c r="M401" s="4"/>
      <c r="N401" s="4"/>
      <c r="O401" s="4" t="e">
        <f>_xlfn.XLOOKUP(Table27[[#This Row],[product_name]],#REF!,#REF!,"NOT FOUND",0,1)</f>
        <v>#REF!</v>
      </c>
    </row>
    <row r="402" spans="1:15" ht="14.7" customHeight="1">
      <c r="A402" s="4"/>
      <c r="B402" s="4"/>
      <c r="C402" s="4"/>
      <c r="D402" s="28"/>
      <c r="E402" s="4"/>
      <c r="G402" s="28"/>
      <c r="I402" s="4"/>
      <c r="J402" s="38"/>
      <c r="K402" s="38" t="e">
        <f>Table27[[#This Row],[case_price]]/Table27[[#This Row],[case_size]]</f>
        <v>#DIV/0!</v>
      </c>
      <c r="L402" s="4"/>
      <c r="M402" s="4"/>
      <c r="N402" s="4"/>
      <c r="O402" s="4" t="e">
        <f>_xlfn.XLOOKUP(Table27[[#This Row],[product_name]],#REF!,#REF!,"NOT FOUND",0,1)</f>
        <v>#REF!</v>
      </c>
    </row>
    <row r="403" spans="1:15" ht="14.7" customHeight="1">
      <c r="A403" s="4"/>
      <c r="B403" s="4"/>
      <c r="C403" s="4"/>
      <c r="D403" s="28"/>
      <c r="E403" s="4"/>
      <c r="G403" s="28"/>
      <c r="I403" s="4"/>
      <c r="J403" s="38"/>
      <c r="K403" s="38" t="e">
        <f>Table27[[#This Row],[case_price]]/Table27[[#This Row],[case_size]]</f>
        <v>#DIV/0!</v>
      </c>
      <c r="L403" s="4"/>
      <c r="M403" s="4"/>
      <c r="N403" s="4"/>
      <c r="O403" s="4" t="e">
        <f>_xlfn.XLOOKUP(Table27[[#This Row],[product_name]],#REF!,#REF!,"NOT FOUND",0,1)</f>
        <v>#REF!</v>
      </c>
    </row>
    <row r="404" spans="1:15" ht="14.7" customHeight="1">
      <c r="A404" s="4"/>
      <c r="B404" s="4"/>
      <c r="C404" s="4"/>
      <c r="D404" s="28"/>
      <c r="E404" s="4"/>
      <c r="G404" s="28"/>
      <c r="I404" s="4"/>
      <c r="J404" s="38"/>
      <c r="K404" s="38" t="e">
        <f>Table27[[#This Row],[case_price]]/Table27[[#This Row],[case_size]]</f>
        <v>#DIV/0!</v>
      </c>
      <c r="L404" s="4"/>
      <c r="M404" s="4"/>
      <c r="N404" s="4"/>
      <c r="O404" s="4" t="e">
        <f>_xlfn.XLOOKUP(Table27[[#This Row],[product_name]],#REF!,#REF!,"NOT FOUND",0,1)</f>
        <v>#REF!</v>
      </c>
    </row>
    <row r="405" spans="1:15" ht="14.7" customHeight="1">
      <c r="A405" s="4"/>
      <c r="B405" s="4"/>
      <c r="C405" s="4"/>
      <c r="D405" s="28"/>
      <c r="E405" s="4"/>
      <c r="G405" s="28"/>
      <c r="I405" s="4"/>
      <c r="J405" s="38"/>
      <c r="K405" s="38" t="e">
        <f>Table27[[#This Row],[case_price]]/Table27[[#This Row],[case_size]]</f>
        <v>#DIV/0!</v>
      </c>
      <c r="L405" s="4"/>
      <c r="M405" s="4"/>
      <c r="N405" s="4"/>
      <c r="O405" s="4" t="e">
        <f>_xlfn.XLOOKUP(Table27[[#This Row],[product_name]],#REF!,#REF!,"NOT FOUND",0,1)</f>
        <v>#REF!</v>
      </c>
    </row>
    <row r="406" spans="1:15" ht="14.7" customHeight="1">
      <c r="A406" s="4"/>
      <c r="B406" s="4"/>
      <c r="C406" s="4"/>
      <c r="D406" s="28"/>
      <c r="E406" s="4"/>
      <c r="G406" s="28"/>
      <c r="I406" s="4"/>
      <c r="J406" s="38"/>
      <c r="K406" s="38" t="e">
        <f>Table27[[#This Row],[case_price]]/Table27[[#This Row],[case_size]]</f>
        <v>#DIV/0!</v>
      </c>
      <c r="L406" s="4"/>
      <c r="M406" s="4"/>
      <c r="N406" s="4"/>
      <c r="O406" s="4" t="e">
        <f>_xlfn.XLOOKUP(Table27[[#This Row],[product_name]],#REF!,#REF!,"NOT FOUND",0,1)</f>
        <v>#REF!</v>
      </c>
    </row>
    <row r="407" spans="1:15" ht="14.7" customHeight="1">
      <c r="A407" s="4"/>
      <c r="B407" s="4"/>
      <c r="C407" s="4"/>
      <c r="D407" s="28"/>
      <c r="E407" s="4"/>
      <c r="G407" s="28"/>
      <c r="I407" s="4"/>
      <c r="J407" s="38"/>
      <c r="K407" s="38" t="e">
        <f>Table27[[#This Row],[case_price]]/Table27[[#This Row],[case_size]]</f>
        <v>#DIV/0!</v>
      </c>
      <c r="L407" s="4"/>
      <c r="M407" s="4"/>
      <c r="N407" s="4"/>
      <c r="O407" s="4" t="e">
        <f>_xlfn.XLOOKUP(Table27[[#This Row],[product_name]],#REF!,#REF!,"NOT FOUND",0,1)</f>
        <v>#REF!</v>
      </c>
    </row>
    <row r="408" spans="1:15" ht="14.7" customHeight="1">
      <c r="A408" s="4"/>
      <c r="B408" s="4"/>
      <c r="C408" s="4"/>
      <c r="D408" s="28"/>
      <c r="E408" s="4"/>
      <c r="G408" s="28"/>
      <c r="I408" s="4"/>
      <c r="J408" s="38"/>
      <c r="K408" s="38" t="e">
        <f>Table27[[#This Row],[case_price]]/Table27[[#This Row],[case_size]]</f>
        <v>#DIV/0!</v>
      </c>
      <c r="L408" s="4"/>
      <c r="M408" s="4"/>
      <c r="N408" s="4"/>
      <c r="O408" s="4" t="e">
        <f>_xlfn.XLOOKUP(Table27[[#This Row],[product_name]],#REF!,#REF!,"NOT FOUND",0,1)</f>
        <v>#REF!</v>
      </c>
    </row>
    <row r="409" spans="1:15" ht="14.7" customHeight="1">
      <c r="A409" s="4"/>
      <c r="B409" s="4"/>
      <c r="C409" s="4"/>
      <c r="D409" s="28"/>
      <c r="E409" s="4"/>
      <c r="G409" s="28"/>
      <c r="I409" s="4"/>
      <c r="J409" s="38"/>
      <c r="K409" s="38" t="e">
        <f>Table27[[#This Row],[case_price]]/Table27[[#This Row],[case_size]]</f>
        <v>#DIV/0!</v>
      </c>
      <c r="L409" s="4"/>
      <c r="M409" s="4"/>
      <c r="N409" s="4"/>
      <c r="O409" s="4" t="e">
        <f>_xlfn.XLOOKUP(Table27[[#This Row],[product_name]],#REF!,#REF!,"NOT FOUND",0,1)</f>
        <v>#REF!</v>
      </c>
    </row>
    <row r="410" spans="1:15" ht="14.7" customHeight="1">
      <c r="A410" s="4"/>
      <c r="B410" s="4"/>
      <c r="C410" s="4"/>
      <c r="D410" s="28"/>
      <c r="E410" s="4"/>
      <c r="G410" s="28"/>
      <c r="I410" s="4"/>
      <c r="J410" s="38"/>
      <c r="K410" s="38" t="e">
        <f>Table27[[#This Row],[case_price]]/Table27[[#This Row],[case_size]]</f>
        <v>#DIV/0!</v>
      </c>
      <c r="L410" s="4"/>
      <c r="M410" s="4"/>
      <c r="N410" s="4"/>
      <c r="O410" s="4" t="e">
        <f>_xlfn.XLOOKUP(Table27[[#This Row],[product_name]],#REF!,#REF!,"NOT FOUND",0,1)</f>
        <v>#REF!</v>
      </c>
    </row>
    <row r="411" spans="1:15" ht="14.7" customHeight="1">
      <c r="A411" s="4"/>
      <c r="B411" s="4"/>
      <c r="C411" s="4"/>
      <c r="D411" s="28"/>
      <c r="E411" s="4"/>
      <c r="G411" s="28"/>
      <c r="I411" s="4"/>
      <c r="J411" s="38"/>
      <c r="K411" s="38" t="e">
        <f>Table27[[#This Row],[case_price]]/Table27[[#This Row],[case_size]]</f>
        <v>#DIV/0!</v>
      </c>
      <c r="L411" s="4"/>
      <c r="M411" s="4"/>
      <c r="N411" s="4"/>
      <c r="O411" s="4" t="e">
        <f>_xlfn.XLOOKUP(Table27[[#This Row],[product_name]],#REF!,#REF!,"NOT FOUND",0,1)</f>
        <v>#REF!</v>
      </c>
    </row>
    <row r="412" spans="1:15" ht="14.7" customHeight="1">
      <c r="A412" s="4"/>
      <c r="B412" s="4"/>
      <c r="C412" s="4"/>
      <c r="D412" s="28"/>
      <c r="E412" s="4"/>
      <c r="G412" s="28"/>
      <c r="I412" s="4"/>
      <c r="J412" s="38"/>
      <c r="K412" s="38" t="e">
        <f>Table27[[#This Row],[case_price]]/Table27[[#This Row],[case_size]]</f>
        <v>#DIV/0!</v>
      </c>
      <c r="L412" s="4"/>
      <c r="M412" s="4"/>
      <c r="N412" s="4"/>
      <c r="O412" s="4" t="e">
        <f>_xlfn.XLOOKUP(Table27[[#This Row],[product_name]],#REF!,#REF!,"NOT FOUND",0,1)</f>
        <v>#REF!</v>
      </c>
    </row>
    <row r="413" spans="1:15" ht="14.7" customHeight="1">
      <c r="A413" s="4"/>
      <c r="B413" s="4"/>
      <c r="C413" s="4"/>
      <c r="D413" s="28"/>
      <c r="E413" s="4"/>
      <c r="G413" s="28"/>
      <c r="I413" s="4"/>
      <c r="J413" s="38"/>
      <c r="K413" s="38" t="e">
        <f>Table27[[#This Row],[case_price]]/Table27[[#This Row],[case_size]]</f>
        <v>#DIV/0!</v>
      </c>
      <c r="L413" s="4"/>
      <c r="M413" s="4"/>
      <c r="N413" s="4"/>
      <c r="O413" s="4" t="e">
        <f>_xlfn.XLOOKUP(Table27[[#This Row],[product_name]],#REF!,#REF!,"NOT FOUND",0,1)</f>
        <v>#REF!</v>
      </c>
    </row>
    <row r="414" spans="1:15" ht="14.7" customHeight="1">
      <c r="A414" s="4"/>
      <c r="B414" s="4"/>
      <c r="C414" s="4"/>
      <c r="D414" s="28"/>
      <c r="E414" s="4"/>
      <c r="G414" s="28"/>
      <c r="I414" s="4"/>
      <c r="J414" s="38"/>
      <c r="K414" s="38" t="e">
        <f>Table27[[#This Row],[case_price]]/Table27[[#This Row],[case_size]]</f>
        <v>#DIV/0!</v>
      </c>
      <c r="L414" s="4"/>
      <c r="M414" s="4"/>
      <c r="N414" s="4"/>
      <c r="O414" s="4" t="e">
        <f>_xlfn.XLOOKUP(Table27[[#This Row],[product_name]],#REF!,#REF!,"NOT FOUND",0,1)</f>
        <v>#REF!</v>
      </c>
    </row>
    <row r="415" spans="1:15" ht="14.7" customHeight="1">
      <c r="A415" s="4"/>
      <c r="B415" s="4"/>
      <c r="C415" s="4"/>
      <c r="D415" s="28"/>
      <c r="E415" s="4"/>
      <c r="G415" s="28"/>
      <c r="I415" s="4"/>
      <c r="J415" s="38"/>
      <c r="K415" s="38" t="e">
        <f>Table27[[#This Row],[case_price]]/Table27[[#This Row],[case_size]]</f>
        <v>#DIV/0!</v>
      </c>
      <c r="L415" s="4"/>
      <c r="M415" s="4"/>
      <c r="N415" s="4"/>
      <c r="O415" s="4" t="e">
        <f>_xlfn.XLOOKUP(Table27[[#This Row],[product_name]],#REF!,#REF!,"NOT FOUND",0,1)</f>
        <v>#REF!</v>
      </c>
    </row>
    <row r="416" spans="1:15" ht="14.7" customHeight="1">
      <c r="A416" s="4"/>
      <c r="B416" s="4"/>
      <c r="C416" s="4"/>
      <c r="D416" s="28"/>
      <c r="E416" s="4"/>
      <c r="G416" s="28"/>
      <c r="I416" s="4"/>
      <c r="J416" s="38"/>
      <c r="K416" s="38" t="e">
        <f>Table27[[#This Row],[case_price]]/Table27[[#This Row],[case_size]]</f>
        <v>#DIV/0!</v>
      </c>
      <c r="L416" s="4"/>
      <c r="M416" s="4"/>
      <c r="N416" s="4"/>
      <c r="O416" s="4" t="e">
        <f>_xlfn.XLOOKUP(Table27[[#This Row],[product_name]],#REF!,#REF!,"NOT FOUND",0,1)</f>
        <v>#REF!</v>
      </c>
    </row>
    <row r="417" spans="1:15" ht="14.7" customHeight="1">
      <c r="A417" s="4"/>
      <c r="B417" s="4"/>
      <c r="C417" s="4"/>
      <c r="D417" s="28"/>
      <c r="E417" s="4"/>
      <c r="G417" s="28"/>
      <c r="I417" s="4"/>
      <c r="J417" s="38"/>
      <c r="K417" s="38" t="e">
        <f>Table27[[#This Row],[case_price]]/Table27[[#This Row],[case_size]]</f>
        <v>#DIV/0!</v>
      </c>
      <c r="L417" s="4"/>
      <c r="M417" s="4"/>
      <c r="N417" s="4"/>
      <c r="O417" s="4" t="e">
        <f>_xlfn.XLOOKUP(Table27[[#This Row],[product_name]],#REF!,#REF!,"NOT FOUND",0,1)</f>
        <v>#REF!</v>
      </c>
    </row>
    <row r="418" spans="1:15" ht="14.7" customHeight="1">
      <c r="A418" s="4"/>
      <c r="B418" s="4"/>
      <c r="C418" s="4"/>
      <c r="D418" s="28"/>
      <c r="E418" s="4"/>
      <c r="G418" s="28"/>
      <c r="I418" s="4"/>
      <c r="J418" s="38"/>
      <c r="K418" s="38" t="e">
        <f>Table27[[#This Row],[case_price]]/Table27[[#This Row],[case_size]]</f>
        <v>#DIV/0!</v>
      </c>
      <c r="L418" s="4"/>
      <c r="M418" s="4"/>
      <c r="N418" s="4"/>
      <c r="O418" s="4" t="e">
        <f>_xlfn.XLOOKUP(Table27[[#This Row],[product_name]],#REF!,#REF!,"NOT FOUND",0,1)</f>
        <v>#REF!</v>
      </c>
    </row>
    <row r="419" spans="1:15" ht="14.7" customHeight="1">
      <c r="A419" s="4"/>
      <c r="B419" s="4"/>
      <c r="C419" s="4"/>
      <c r="D419" s="28"/>
      <c r="E419" s="4"/>
      <c r="G419" s="28"/>
      <c r="I419" s="4"/>
      <c r="J419" s="38"/>
      <c r="K419" s="38" t="e">
        <f>Table27[[#This Row],[case_price]]/Table27[[#This Row],[case_size]]</f>
        <v>#DIV/0!</v>
      </c>
      <c r="L419" s="4"/>
      <c r="M419" s="4"/>
      <c r="N419" s="4"/>
      <c r="O419" s="4" t="e">
        <f>_xlfn.XLOOKUP(Table27[[#This Row],[product_name]],#REF!,#REF!,"NOT FOUND",0,1)</f>
        <v>#REF!</v>
      </c>
    </row>
    <row r="420" spans="1:15" ht="14.7" customHeight="1">
      <c r="A420" s="4"/>
      <c r="B420" s="4"/>
      <c r="C420" s="4"/>
      <c r="D420" s="28"/>
      <c r="E420" s="4"/>
      <c r="G420" s="28"/>
      <c r="I420" s="4"/>
      <c r="J420" s="38"/>
      <c r="K420" s="38" t="e">
        <f>Table27[[#This Row],[case_price]]/Table27[[#This Row],[case_size]]</f>
        <v>#DIV/0!</v>
      </c>
      <c r="L420" s="4"/>
      <c r="M420" s="4"/>
      <c r="N420" s="4"/>
      <c r="O420" s="4" t="e">
        <f>_xlfn.XLOOKUP(Table27[[#This Row],[product_name]],#REF!,#REF!,"NOT FOUND",0,1)</f>
        <v>#REF!</v>
      </c>
    </row>
    <row r="421" spans="1:15" ht="14.7" customHeight="1">
      <c r="A421" s="4"/>
      <c r="B421" s="4"/>
      <c r="C421" s="4"/>
      <c r="D421" s="28"/>
      <c r="E421" s="4"/>
      <c r="G421" s="28"/>
      <c r="I421" s="4"/>
      <c r="J421" s="38"/>
      <c r="K421" s="38" t="e">
        <f>Table27[[#This Row],[case_price]]/Table27[[#This Row],[case_size]]</f>
        <v>#DIV/0!</v>
      </c>
      <c r="L421" s="4"/>
      <c r="M421" s="4"/>
      <c r="N421" s="4"/>
      <c r="O421" s="4" t="e">
        <f>_xlfn.XLOOKUP(Table27[[#This Row],[product_name]],#REF!,#REF!,"NOT FOUND",0,1)</f>
        <v>#REF!</v>
      </c>
    </row>
    <row r="422" spans="1:15" ht="14.7" customHeight="1">
      <c r="A422" s="4"/>
      <c r="B422" s="4"/>
      <c r="C422" s="4"/>
      <c r="D422" s="28"/>
      <c r="E422" s="4"/>
      <c r="G422" s="28"/>
      <c r="I422" s="4"/>
      <c r="J422" s="38"/>
      <c r="K422" s="38" t="e">
        <f>Table27[[#This Row],[case_price]]/Table27[[#This Row],[case_size]]</f>
        <v>#DIV/0!</v>
      </c>
      <c r="L422" s="4"/>
      <c r="M422" s="4"/>
      <c r="N422" s="4"/>
      <c r="O422" s="4" t="e">
        <f>_xlfn.XLOOKUP(Table27[[#This Row],[product_name]],#REF!,#REF!,"NOT FOUND",0,1)</f>
        <v>#REF!</v>
      </c>
    </row>
    <row r="423" spans="1:15" ht="14.7" customHeight="1">
      <c r="A423" s="4"/>
      <c r="B423" s="4"/>
      <c r="C423" s="4"/>
      <c r="D423" s="28"/>
      <c r="E423" s="4"/>
      <c r="G423" s="28"/>
      <c r="I423" s="4"/>
      <c r="J423" s="38"/>
      <c r="K423" s="38" t="e">
        <f>Table27[[#This Row],[case_price]]/Table27[[#This Row],[case_size]]</f>
        <v>#DIV/0!</v>
      </c>
      <c r="L423" s="4"/>
      <c r="M423" s="4"/>
      <c r="N423" s="4"/>
      <c r="O423" s="4" t="e">
        <f>_xlfn.XLOOKUP(Table27[[#This Row],[product_name]],#REF!,#REF!,"NOT FOUND",0,1)</f>
        <v>#REF!</v>
      </c>
    </row>
    <row r="424" spans="1:15" ht="14.7" customHeight="1">
      <c r="A424" s="4"/>
      <c r="B424" s="4"/>
      <c r="C424" s="4"/>
      <c r="D424" s="28"/>
      <c r="E424" s="4"/>
      <c r="G424" s="28"/>
      <c r="I424" s="4"/>
      <c r="J424" s="38"/>
      <c r="K424" s="38" t="e">
        <f>Table27[[#This Row],[case_price]]/Table27[[#This Row],[case_size]]</f>
        <v>#DIV/0!</v>
      </c>
      <c r="L424" s="4"/>
      <c r="M424" s="4"/>
      <c r="N424" s="4"/>
      <c r="O424" s="4" t="e">
        <f>_xlfn.XLOOKUP(Table27[[#This Row],[product_name]],#REF!,#REF!,"NOT FOUND",0,1)</f>
        <v>#REF!</v>
      </c>
    </row>
    <row r="425" spans="1:15" ht="14.7" customHeight="1">
      <c r="A425" s="4"/>
      <c r="B425" s="4"/>
      <c r="C425" s="4"/>
      <c r="D425" s="28"/>
      <c r="E425" s="4"/>
      <c r="G425" s="28"/>
      <c r="I425" s="4"/>
      <c r="J425" s="38"/>
      <c r="K425" s="38" t="e">
        <f>Table27[[#This Row],[case_price]]/Table27[[#This Row],[case_size]]</f>
        <v>#DIV/0!</v>
      </c>
      <c r="L425" s="4"/>
      <c r="M425" s="4"/>
      <c r="N425" s="4"/>
      <c r="O425" s="4" t="e">
        <f>_xlfn.XLOOKUP(Table27[[#This Row],[product_name]],#REF!,#REF!,"NOT FOUND",0,1)</f>
        <v>#REF!</v>
      </c>
    </row>
    <row r="426" spans="1:15" ht="14.7" customHeight="1">
      <c r="A426" s="4"/>
      <c r="B426" s="4"/>
      <c r="C426" s="4"/>
      <c r="D426" s="28"/>
      <c r="E426" s="4"/>
      <c r="G426" s="28"/>
      <c r="I426" s="4"/>
      <c r="J426" s="38"/>
      <c r="K426" s="38" t="e">
        <f>Table27[[#This Row],[case_price]]/Table27[[#This Row],[case_size]]</f>
        <v>#DIV/0!</v>
      </c>
      <c r="L426" s="4"/>
      <c r="M426" s="4"/>
      <c r="N426" s="4"/>
      <c r="O426" s="4" t="e">
        <f>_xlfn.XLOOKUP(Table27[[#This Row],[product_name]],#REF!,#REF!,"NOT FOUND",0,1)</f>
        <v>#REF!</v>
      </c>
    </row>
    <row r="427" spans="1:15" ht="14.7" customHeight="1">
      <c r="A427" s="4"/>
      <c r="B427" s="4"/>
      <c r="C427" s="4"/>
      <c r="D427" s="28"/>
      <c r="E427" s="4"/>
      <c r="G427" s="28"/>
      <c r="I427" s="4"/>
      <c r="J427" s="38"/>
      <c r="K427" s="38" t="e">
        <f>Table27[[#This Row],[case_price]]/Table27[[#This Row],[case_size]]</f>
        <v>#DIV/0!</v>
      </c>
      <c r="L427" s="4"/>
      <c r="M427" s="4"/>
      <c r="N427" s="4"/>
      <c r="O427" s="4" t="e">
        <f>_xlfn.XLOOKUP(Table27[[#This Row],[product_name]],#REF!,#REF!,"NOT FOUND",0,1)</f>
        <v>#REF!</v>
      </c>
    </row>
    <row r="428" spans="1:15" ht="14.7" customHeight="1">
      <c r="A428" s="4"/>
      <c r="B428" s="4"/>
      <c r="C428" s="4"/>
      <c r="D428" s="28"/>
      <c r="E428" s="4"/>
      <c r="G428" s="28"/>
      <c r="I428" s="4"/>
      <c r="J428" s="38"/>
      <c r="K428" s="38" t="e">
        <f>Table27[[#This Row],[case_price]]/Table27[[#This Row],[case_size]]</f>
        <v>#DIV/0!</v>
      </c>
      <c r="L428" s="4"/>
      <c r="M428" s="4"/>
      <c r="N428" s="4"/>
      <c r="O428" s="4" t="e">
        <f>_xlfn.XLOOKUP(Table27[[#This Row],[product_name]],#REF!,#REF!,"NOT FOUND",0,1)</f>
        <v>#REF!</v>
      </c>
    </row>
    <row r="429" spans="1:15" ht="14.7" customHeight="1">
      <c r="A429" s="4"/>
      <c r="B429" s="4"/>
      <c r="C429" s="4"/>
      <c r="D429" s="28"/>
      <c r="E429" s="4"/>
      <c r="G429" s="28"/>
      <c r="I429" s="4"/>
      <c r="J429" s="38"/>
      <c r="K429" s="38" t="e">
        <f>Table27[[#This Row],[case_price]]/Table27[[#This Row],[case_size]]</f>
        <v>#DIV/0!</v>
      </c>
      <c r="L429" s="4"/>
      <c r="M429" s="4"/>
      <c r="N429" s="4"/>
      <c r="O429" s="4" t="e">
        <f>_xlfn.XLOOKUP(Table27[[#This Row],[product_name]],#REF!,#REF!,"NOT FOUND",0,1)</f>
        <v>#REF!</v>
      </c>
    </row>
    <row r="430" spans="1:15" ht="14.7" customHeight="1">
      <c r="A430" s="4"/>
      <c r="B430" s="4"/>
      <c r="C430" s="4"/>
      <c r="D430" s="28"/>
      <c r="E430" s="4"/>
      <c r="G430" s="28"/>
      <c r="I430" s="4"/>
      <c r="J430" s="38"/>
      <c r="K430" s="38" t="e">
        <f>Table27[[#This Row],[case_price]]/Table27[[#This Row],[case_size]]</f>
        <v>#DIV/0!</v>
      </c>
      <c r="L430" s="4"/>
      <c r="M430" s="4"/>
      <c r="N430" s="4"/>
      <c r="O430" s="4" t="e">
        <f>_xlfn.XLOOKUP(Table27[[#This Row],[product_name]],#REF!,#REF!,"NOT FOUND",0,1)</f>
        <v>#REF!</v>
      </c>
    </row>
    <row r="431" spans="1:15" ht="14.7" customHeight="1">
      <c r="A431" s="4"/>
      <c r="B431" s="4"/>
      <c r="C431" s="4"/>
      <c r="D431" s="28"/>
      <c r="E431" s="4"/>
      <c r="G431" s="28"/>
      <c r="I431" s="4"/>
      <c r="J431" s="38"/>
      <c r="K431" s="38" t="e">
        <f>Table27[[#This Row],[case_price]]/Table27[[#This Row],[case_size]]</f>
        <v>#DIV/0!</v>
      </c>
      <c r="L431" s="4"/>
      <c r="M431" s="4"/>
      <c r="N431" s="4"/>
      <c r="O431" s="4" t="e">
        <f>_xlfn.XLOOKUP(Table27[[#This Row],[product_name]],#REF!,#REF!,"NOT FOUND",0,1)</f>
        <v>#REF!</v>
      </c>
    </row>
    <row r="432" spans="1:15" ht="14.7" customHeight="1">
      <c r="A432" s="4"/>
      <c r="B432" s="4"/>
      <c r="C432" s="4"/>
      <c r="D432" s="28"/>
      <c r="E432" s="4"/>
      <c r="G432" s="28"/>
      <c r="I432" s="4"/>
      <c r="J432" s="38"/>
      <c r="K432" s="38" t="e">
        <f>Table27[[#This Row],[case_price]]/Table27[[#This Row],[case_size]]</f>
        <v>#DIV/0!</v>
      </c>
      <c r="L432" s="4"/>
      <c r="M432" s="4"/>
      <c r="N432" s="4"/>
      <c r="O432" s="4" t="e">
        <f>_xlfn.XLOOKUP(Table27[[#This Row],[product_name]],#REF!,#REF!,"NOT FOUND",0,1)</f>
        <v>#REF!</v>
      </c>
    </row>
    <row r="433" spans="1:15" ht="14.7" customHeight="1">
      <c r="A433" s="4"/>
      <c r="B433" s="4"/>
      <c r="C433" s="4"/>
      <c r="D433" s="28"/>
      <c r="E433" s="4"/>
      <c r="G433" s="28"/>
      <c r="I433" s="4"/>
      <c r="J433" s="38"/>
      <c r="K433" s="38" t="e">
        <f>Table27[[#This Row],[case_price]]/Table27[[#This Row],[case_size]]</f>
        <v>#DIV/0!</v>
      </c>
      <c r="L433" s="4"/>
      <c r="M433" s="4"/>
      <c r="N433" s="4"/>
      <c r="O433" s="4" t="e">
        <f>_xlfn.XLOOKUP(Table27[[#This Row],[product_name]],#REF!,#REF!,"NOT FOUND",0,1)</f>
        <v>#REF!</v>
      </c>
    </row>
    <row r="434" spans="1:15" ht="14.7" customHeight="1">
      <c r="A434" s="4"/>
      <c r="B434" s="4"/>
      <c r="C434" s="4"/>
      <c r="D434" s="28"/>
      <c r="E434" s="4"/>
      <c r="G434" s="28"/>
      <c r="I434" s="4"/>
      <c r="J434" s="38"/>
      <c r="K434" s="38" t="e">
        <f>Table27[[#This Row],[case_price]]/Table27[[#This Row],[case_size]]</f>
        <v>#DIV/0!</v>
      </c>
      <c r="L434" s="4"/>
      <c r="M434" s="4"/>
      <c r="N434" s="4"/>
      <c r="O434" s="4" t="e">
        <f>_xlfn.XLOOKUP(Table27[[#This Row],[product_name]],#REF!,#REF!,"NOT FOUND",0,1)</f>
        <v>#REF!</v>
      </c>
    </row>
    <row r="435" spans="1:15" ht="14.7" customHeight="1">
      <c r="A435" s="4"/>
      <c r="B435" s="4"/>
      <c r="C435" s="4"/>
      <c r="D435" s="28"/>
      <c r="E435" s="4"/>
      <c r="G435" s="28"/>
      <c r="I435" s="4"/>
      <c r="J435" s="38"/>
      <c r="K435" s="38" t="e">
        <f>Table27[[#This Row],[case_price]]/Table27[[#This Row],[case_size]]</f>
        <v>#DIV/0!</v>
      </c>
      <c r="L435" s="4"/>
      <c r="M435" s="4"/>
      <c r="N435" s="4"/>
      <c r="O435" s="4" t="e">
        <f>_xlfn.XLOOKUP(Table27[[#This Row],[product_name]],#REF!,#REF!,"NOT FOUND",0,1)</f>
        <v>#REF!</v>
      </c>
    </row>
    <row r="436" spans="1:15" ht="14.7" customHeight="1">
      <c r="A436" s="4"/>
      <c r="B436" s="4"/>
      <c r="C436" s="4"/>
      <c r="D436" s="28"/>
      <c r="E436" s="4"/>
      <c r="G436" s="28"/>
      <c r="I436" s="4"/>
      <c r="J436" s="38"/>
      <c r="K436" s="38" t="e">
        <f>Table27[[#This Row],[case_price]]/Table27[[#This Row],[case_size]]</f>
        <v>#DIV/0!</v>
      </c>
      <c r="L436" s="4"/>
      <c r="M436" s="4"/>
      <c r="N436" s="4"/>
      <c r="O436" s="4" t="e">
        <f>_xlfn.XLOOKUP(Table27[[#This Row],[product_name]],#REF!,#REF!,"NOT FOUND",0,1)</f>
        <v>#REF!</v>
      </c>
    </row>
    <row r="437" spans="1:15" ht="14.7" customHeight="1">
      <c r="A437" s="4"/>
      <c r="B437" s="4"/>
      <c r="C437" s="4"/>
      <c r="D437" s="28"/>
      <c r="E437" s="4"/>
      <c r="G437" s="28"/>
      <c r="I437" s="4"/>
      <c r="J437" s="38"/>
      <c r="K437" s="38" t="e">
        <f>Table27[[#This Row],[case_price]]/Table27[[#This Row],[case_size]]</f>
        <v>#DIV/0!</v>
      </c>
      <c r="L437" s="4"/>
      <c r="M437" s="4"/>
      <c r="N437" s="4"/>
      <c r="O437" s="4" t="e">
        <f>_xlfn.XLOOKUP(Table27[[#This Row],[product_name]],#REF!,#REF!,"NOT FOUND",0,1)</f>
        <v>#REF!</v>
      </c>
    </row>
    <row r="438" spans="1:15" ht="14.7" customHeight="1">
      <c r="A438" s="4"/>
      <c r="B438" s="4"/>
      <c r="C438" s="4"/>
      <c r="D438" s="28"/>
      <c r="E438" s="4"/>
      <c r="G438" s="28"/>
      <c r="I438" s="4"/>
      <c r="J438" s="38"/>
      <c r="K438" s="38" t="e">
        <f>Table27[[#This Row],[case_price]]/Table27[[#This Row],[case_size]]</f>
        <v>#DIV/0!</v>
      </c>
      <c r="L438" s="4"/>
      <c r="M438" s="4"/>
      <c r="N438" s="4"/>
      <c r="O438" s="4" t="e">
        <f>_xlfn.XLOOKUP(Table27[[#This Row],[product_name]],#REF!,#REF!,"NOT FOUND",0,1)</f>
        <v>#REF!</v>
      </c>
    </row>
    <row r="439" spans="1:15" ht="14.7" customHeight="1">
      <c r="A439" s="4"/>
      <c r="B439" s="4"/>
      <c r="C439" s="4"/>
      <c r="D439" s="28"/>
      <c r="E439" s="4"/>
      <c r="G439" s="28"/>
      <c r="I439" s="4"/>
      <c r="J439" s="38"/>
      <c r="K439" s="38" t="e">
        <f>Table27[[#This Row],[case_price]]/Table27[[#This Row],[case_size]]</f>
        <v>#DIV/0!</v>
      </c>
      <c r="L439" s="4"/>
      <c r="M439" s="4"/>
      <c r="N439" s="4"/>
      <c r="O439" s="4" t="e">
        <f>_xlfn.XLOOKUP(Table27[[#This Row],[product_name]],#REF!,#REF!,"NOT FOUND",0,1)</f>
        <v>#REF!</v>
      </c>
    </row>
    <row r="440" spans="1:15" ht="14.7" customHeight="1">
      <c r="A440" s="4"/>
      <c r="B440" s="4"/>
      <c r="C440" s="4"/>
      <c r="D440" s="28"/>
      <c r="E440" s="4"/>
      <c r="G440" s="28"/>
      <c r="I440" s="4"/>
      <c r="J440" s="38"/>
      <c r="K440" s="38" t="e">
        <f>Table27[[#This Row],[case_price]]/Table27[[#This Row],[case_size]]</f>
        <v>#DIV/0!</v>
      </c>
      <c r="L440" s="4"/>
      <c r="M440" s="4"/>
      <c r="N440" s="4"/>
      <c r="O440" s="4" t="e">
        <f>_xlfn.XLOOKUP(Table27[[#This Row],[product_name]],#REF!,#REF!,"NOT FOUND",0,1)</f>
        <v>#REF!</v>
      </c>
    </row>
    <row r="441" spans="1:15" ht="14.7" customHeight="1">
      <c r="A441" s="4"/>
      <c r="B441" s="4"/>
      <c r="C441" s="4"/>
      <c r="D441" s="28"/>
      <c r="E441" s="4"/>
      <c r="G441" s="28"/>
      <c r="I441" s="4"/>
      <c r="J441" s="38"/>
      <c r="K441" s="38" t="e">
        <f>Table27[[#This Row],[case_price]]/Table27[[#This Row],[case_size]]</f>
        <v>#DIV/0!</v>
      </c>
      <c r="L441" s="4"/>
      <c r="M441" s="4"/>
      <c r="N441" s="4"/>
      <c r="O441" s="4" t="e">
        <f>_xlfn.XLOOKUP(Table27[[#This Row],[product_name]],#REF!,#REF!,"NOT FOUND",0,1)</f>
        <v>#REF!</v>
      </c>
    </row>
    <row r="442" spans="1:15" ht="14.7" customHeight="1">
      <c r="A442" s="4"/>
      <c r="B442" s="4"/>
      <c r="C442" s="4"/>
      <c r="D442" s="28"/>
      <c r="E442" s="4"/>
      <c r="G442" s="28"/>
      <c r="I442" s="4"/>
      <c r="J442" s="38"/>
      <c r="K442" s="38" t="e">
        <f>Table27[[#This Row],[case_price]]/Table27[[#This Row],[case_size]]</f>
        <v>#DIV/0!</v>
      </c>
      <c r="L442" s="4"/>
      <c r="M442" s="4"/>
      <c r="N442" s="4"/>
      <c r="O442" s="4" t="e">
        <f>_xlfn.XLOOKUP(Table27[[#This Row],[product_name]],#REF!,#REF!,"NOT FOUND",0,1)</f>
        <v>#REF!</v>
      </c>
    </row>
    <row r="443" spans="1:15" ht="14.7" customHeight="1">
      <c r="A443" s="4"/>
      <c r="B443" s="4"/>
      <c r="C443" s="4"/>
      <c r="D443" s="28"/>
      <c r="E443" s="4"/>
      <c r="G443" s="28"/>
      <c r="I443" s="4"/>
      <c r="J443" s="38"/>
      <c r="K443" s="38" t="e">
        <f>Table27[[#This Row],[case_price]]/Table27[[#This Row],[case_size]]</f>
        <v>#DIV/0!</v>
      </c>
      <c r="L443" s="4"/>
      <c r="M443" s="4"/>
      <c r="N443" s="4"/>
      <c r="O443" s="4" t="e">
        <f>_xlfn.XLOOKUP(Table27[[#This Row],[product_name]],#REF!,#REF!,"NOT FOUND",0,1)</f>
        <v>#REF!</v>
      </c>
    </row>
    <row r="444" spans="1:15" ht="14.7" customHeight="1">
      <c r="A444" s="4"/>
      <c r="B444" s="4"/>
      <c r="C444" s="4"/>
      <c r="D444" s="28"/>
      <c r="E444" s="4"/>
      <c r="G444" s="28"/>
      <c r="I444" s="4"/>
      <c r="J444" s="38"/>
      <c r="K444" s="38" t="e">
        <f>Table27[[#This Row],[case_price]]/Table27[[#This Row],[case_size]]</f>
        <v>#DIV/0!</v>
      </c>
      <c r="L444" s="4"/>
      <c r="M444" s="4"/>
      <c r="N444" s="4"/>
      <c r="O444" s="4" t="e">
        <f>_xlfn.XLOOKUP(Table27[[#This Row],[product_name]],#REF!,#REF!,"NOT FOUND",0,1)</f>
        <v>#REF!</v>
      </c>
    </row>
    <row r="445" spans="1:15" ht="14.7" customHeight="1">
      <c r="A445" s="4"/>
      <c r="B445" s="4"/>
      <c r="C445" s="4"/>
      <c r="D445" s="28"/>
      <c r="E445" s="4"/>
      <c r="G445" s="28"/>
      <c r="I445" s="4"/>
      <c r="J445" s="38"/>
      <c r="K445" s="38" t="e">
        <f>Table27[[#This Row],[case_price]]/Table27[[#This Row],[case_size]]</f>
        <v>#DIV/0!</v>
      </c>
      <c r="L445" s="4"/>
      <c r="M445" s="4"/>
      <c r="N445" s="4"/>
      <c r="O445" s="4" t="e">
        <f>_xlfn.XLOOKUP(Table27[[#This Row],[product_name]],#REF!,#REF!,"NOT FOUND",0,1)</f>
        <v>#REF!</v>
      </c>
    </row>
    <row r="446" spans="1:15" ht="14.7" customHeight="1">
      <c r="A446" s="4"/>
      <c r="B446" s="4"/>
      <c r="C446" s="4"/>
      <c r="D446" s="28"/>
      <c r="E446" s="4"/>
      <c r="G446" s="28"/>
      <c r="I446" s="4"/>
      <c r="J446" s="38"/>
      <c r="K446" s="38" t="e">
        <f>Table27[[#This Row],[case_price]]/Table27[[#This Row],[case_size]]</f>
        <v>#DIV/0!</v>
      </c>
      <c r="L446" s="4"/>
      <c r="M446" s="4"/>
      <c r="N446" s="4"/>
      <c r="O446" s="4" t="e">
        <f>_xlfn.XLOOKUP(Table27[[#This Row],[product_name]],#REF!,#REF!,"NOT FOUND",0,1)</f>
        <v>#REF!</v>
      </c>
    </row>
    <row r="447" spans="1:15" ht="14.7" customHeight="1">
      <c r="A447" s="4"/>
      <c r="B447" s="4"/>
      <c r="C447" s="4"/>
      <c r="D447" s="28"/>
      <c r="E447" s="4"/>
      <c r="G447" s="28"/>
      <c r="I447" s="28"/>
      <c r="J447" s="38"/>
      <c r="K447" s="38" t="e">
        <f>Table27[[#This Row],[case_price]]/Table27[[#This Row],[case_size]]</f>
        <v>#DIV/0!</v>
      </c>
      <c r="L447" s="4"/>
      <c r="M447" s="4"/>
      <c r="N447" s="4"/>
      <c r="O447" s="4" t="e">
        <f>_xlfn.XLOOKUP(Table27[[#This Row],[product_name]],#REF!,#REF!,"NOT FOUND",0,1)</f>
        <v>#REF!</v>
      </c>
    </row>
    <row r="448" spans="1:15" ht="14.7" customHeight="1">
      <c r="A448" s="4"/>
      <c r="B448" s="4"/>
      <c r="C448" s="4"/>
      <c r="D448" s="28"/>
      <c r="E448" s="4"/>
      <c r="G448" s="28"/>
      <c r="H448" s="208"/>
      <c r="I448" s="28"/>
      <c r="J448" s="38"/>
      <c r="K448" s="38" t="e">
        <f>Table27[[#This Row],[case_price]]/Table27[[#This Row],[case_size]]</f>
        <v>#DIV/0!</v>
      </c>
      <c r="L448" s="4"/>
      <c r="M448" s="4"/>
      <c r="N448" s="4"/>
      <c r="O448" s="4" t="e">
        <f>_xlfn.XLOOKUP(Table27[[#This Row],[product_name]],#REF!,#REF!,"NOT FOUND",0,1)</f>
        <v>#REF!</v>
      </c>
    </row>
    <row r="449" spans="1:15" ht="14.7" customHeight="1">
      <c r="A449" s="4"/>
      <c r="B449" s="4"/>
      <c r="C449" s="4"/>
      <c r="D449" s="28"/>
      <c r="E449" s="4"/>
      <c r="G449" s="28"/>
      <c r="I449" s="28"/>
      <c r="J449" s="38"/>
      <c r="K449" s="38" t="e">
        <f>Table27[[#This Row],[case_price]]/Table27[[#This Row],[case_size]]</f>
        <v>#DIV/0!</v>
      </c>
      <c r="L449" s="4"/>
      <c r="M449" s="4"/>
      <c r="N449" s="4"/>
      <c r="O449" s="4" t="e">
        <f>_xlfn.XLOOKUP(Table27[[#This Row],[product_name]],#REF!,#REF!,"NOT FOUND",0,1)</f>
        <v>#REF!</v>
      </c>
    </row>
    <row r="450" spans="1:15" ht="14.7" customHeight="1">
      <c r="A450" s="4"/>
      <c r="B450" s="4"/>
      <c r="C450" s="4"/>
      <c r="D450" s="28"/>
      <c r="E450" s="4"/>
      <c r="G450" s="28"/>
      <c r="I450" s="28"/>
      <c r="J450" s="38"/>
      <c r="K450" s="38" t="e">
        <f>Table27[[#This Row],[case_price]]/Table27[[#This Row],[case_size]]</f>
        <v>#DIV/0!</v>
      </c>
      <c r="L450" s="4"/>
      <c r="M450" s="4"/>
      <c r="N450" s="4"/>
      <c r="O450" s="4" t="e">
        <f>_xlfn.XLOOKUP(Table27[[#This Row],[product_name]],#REF!,#REF!,"NOT FOUND",0,1)</f>
        <v>#REF!</v>
      </c>
    </row>
    <row r="451" spans="1:15" ht="14.7" customHeight="1">
      <c r="A451" s="4"/>
      <c r="B451" s="4"/>
      <c r="C451" s="4"/>
      <c r="D451" s="28"/>
      <c r="E451" s="4"/>
      <c r="G451" s="28"/>
      <c r="I451" s="28"/>
      <c r="J451" s="38"/>
      <c r="K451" s="38" t="e">
        <f>Table27[[#This Row],[case_price]]/Table27[[#This Row],[case_size]]</f>
        <v>#DIV/0!</v>
      </c>
      <c r="L451" s="4"/>
      <c r="M451" s="4"/>
      <c r="N451" s="4"/>
      <c r="O451" s="4" t="e">
        <f>_xlfn.XLOOKUP(Table27[[#This Row],[product_name]],#REF!,#REF!,"NOT FOUND",0,1)</f>
        <v>#REF!</v>
      </c>
    </row>
    <row r="452" spans="1:15" ht="14.7" customHeight="1">
      <c r="A452" s="4"/>
      <c r="B452" s="4"/>
      <c r="C452" s="4"/>
      <c r="D452" s="28"/>
      <c r="E452" s="4"/>
      <c r="G452" s="28"/>
      <c r="I452" s="28"/>
      <c r="J452" s="38"/>
      <c r="K452" s="38" t="e">
        <f>Table27[[#This Row],[case_price]]/Table27[[#This Row],[case_size]]</f>
        <v>#DIV/0!</v>
      </c>
      <c r="L452" s="4"/>
      <c r="M452" s="4"/>
      <c r="N452" s="4"/>
      <c r="O452" s="4" t="e">
        <f>_xlfn.XLOOKUP(Table27[[#This Row],[product_name]],#REF!,#REF!,"NOT FOUND",0,1)</f>
        <v>#REF!</v>
      </c>
    </row>
    <row r="453" spans="1:15" ht="29.4" customHeight="1">
      <c r="A453" s="4"/>
      <c r="B453" s="4"/>
      <c r="C453" s="4"/>
      <c r="D453" s="28"/>
      <c r="E453" s="4"/>
      <c r="G453" s="28"/>
      <c r="I453" s="28"/>
      <c r="J453" s="38"/>
      <c r="K453" s="38" t="e">
        <f>Table27[[#This Row],[case_price]]/Table27[[#This Row],[case_size]]</f>
        <v>#DIV/0!</v>
      </c>
      <c r="L453" s="4"/>
      <c r="M453" s="4"/>
      <c r="N453" s="4"/>
      <c r="O453" s="4" t="e">
        <f>_xlfn.XLOOKUP(Table27[[#This Row],[product_name]],#REF!,#REF!,"NOT FOUND",0,1)</f>
        <v>#REF!</v>
      </c>
    </row>
    <row r="454" spans="1:15" ht="29.4" customHeight="1">
      <c r="A454" s="4"/>
      <c r="B454" s="4"/>
      <c r="C454" s="4"/>
      <c r="D454" s="28"/>
      <c r="E454" s="4"/>
      <c r="G454" s="28"/>
      <c r="I454" s="28"/>
      <c r="J454" s="38"/>
      <c r="K454" s="38" t="e">
        <f>Table27[[#This Row],[case_price]]/Table27[[#This Row],[case_size]]</f>
        <v>#DIV/0!</v>
      </c>
      <c r="L454" s="4"/>
      <c r="M454" s="4"/>
      <c r="N454" s="4"/>
      <c r="O454" s="4" t="e">
        <f>_xlfn.XLOOKUP(Table27[[#This Row],[product_name]],#REF!,#REF!,"NOT FOUND",0,1)</f>
        <v>#REF!</v>
      </c>
    </row>
    <row r="455" spans="1:15" ht="29.4" customHeight="1">
      <c r="A455" s="4"/>
      <c r="B455" s="4"/>
      <c r="C455" s="4"/>
      <c r="D455" s="28"/>
      <c r="E455" s="4"/>
      <c r="G455" s="28"/>
      <c r="I455" s="28"/>
      <c r="J455" s="38"/>
      <c r="K455" s="38" t="e">
        <f>Table27[[#This Row],[case_price]]/Table27[[#This Row],[case_size]]</f>
        <v>#DIV/0!</v>
      </c>
      <c r="L455" s="4"/>
      <c r="M455" s="4"/>
      <c r="N455" s="4"/>
      <c r="O455" s="4" t="e">
        <f>_xlfn.XLOOKUP(Table27[[#This Row],[product_name]],#REF!,#REF!,"NOT FOUND",0,1)</f>
        <v>#REF!</v>
      </c>
    </row>
    <row r="456" spans="1:15" ht="14.7" customHeight="1">
      <c r="A456" s="4"/>
      <c r="B456" s="4"/>
      <c r="C456" s="4"/>
      <c r="D456" s="28"/>
      <c r="E456" s="4"/>
      <c r="I456" s="28"/>
      <c r="J456" s="38"/>
      <c r="K456" s="38" t="e">
        <f>Table27[[#This Row],[case_price]]/Table27[[#This Row],[case_size]]</f>
        <v>#DIV/0!</v>
      </c>
      <c r="L456" s="4"/>
      <c r="M456" s="4"/>
      <c r="N456" s="4"/>
      <c r="O456" s="4" t="e">
        <f>_xlfn.XLOOKUP(Table27[[#This Row],[product_name]],#REF!,#REF!,"NOT FOUND",0,1)</f>
        <v>#REF!</v>
      </c>
    </row>
  </sheetData>
  <phoneticPr fontId="0" type="noConversion"/>
  <conditionalFormatting sqref="C11">
    <cfRule type="duplicateValues" dxfId="20" priority="17"/>
    <cfRule type="duplicateValues" dxfId="19" priority="18"/>
  </conditionalFormatting>
  <conditionalFormatting sqref="C145 C123 C117 C110 C105 C100 C84 C73 C66 C61 C49 C14">
    <cfRule type="duplicateValues" dxfId="18" priority="15"/>
    <cfRule type="duplicateValues" dxfId="17" priority="16"/>
  </conditionalFormatting>
  <conditionalFormatting sqref="C196">
    <cfRule type="duplicateValues" dxfId="16" priority="20"/>
    <cfRule type="duplicateValues" dxfId="15" priority="21"/>
  </conditionalFormatting>
  <conditionalFormatting sqref="C277">
    <cfRule type="duplicateValues" dxfId="14" priority="3"/>
    <cfRule type="duplicateValues" dxfId="13" priority="4"/>
  </conditionalFormatting>
  <conditionalFormatting sqref="D277">
    <cfRule type="duplicateValues" dxfId="12" priority="1"/>
    <cfRule type="duplicateValues" dxfId="11" priority="2"/>
  </conditionalFormatting>
  <conditionalFormatting sqref="G180">
    <cfRule type="duplicateValues" dxfId="10" priority="13"/>
    <cfRule type="duplicateValues" dxfId="9" priority="14"/>
  </conditionalFormatting>
  <conditionalFormatting sqref="G295:G455 H246 G2:G12 G14:G15 G43:G51 G194:G282 G53:G183 G185:G192 G288:G290 G17:G41">
    <cfRule type="duplicateValues" dxfId="8" priority="837"/>
  </conditionalFormatting>
  <conditionalFormatting sqref="G295:G1048576 H246 G1:G12 G14:G15 G43:G51 G194:G282 G53:G183 G185:G192 G288:G290 G17:G41">
    <cfRule type="duplicateValues" dxfId="7" priority="726"/>
  </conditionalFormatting>
  <conditionalFormatting sqref="H258">
    <cfRule type="duplicateValues" dxfId="6" priority="9"/>
    <cfRule type="duplicateValues" dxfId="5" priority="10"/>
    <cfRule type="duplicateValues" dxfId="4" priority="11"/>
  </conditionalFormatting>
  <conditionalFormatting sqref="H282">
    <cfRule type="duplicateValues" dxfId="3" priority="6"/>
    <cfRule type="duplicateValues" dxfId="2" priority="7"/>
    <cfRule type="duplicateValues" dxfId="1" priority="8"/>
  </conditionalFormatting>
  <conditionalFormatting sqref="H447 H449:H1048576 H246 G1:G12 G14:G15 G295:G455 G43:G51 G194:G282 G53:G183 G185:G192 G288:G290 G17:G41">
    <cfRule type="duplicateValues" dxfId="0" priority="752"/>
  </conditionalFormatting>
  <dataValidations count="1">
    <dataValidation type="list" allowBlank="1" showInputMessage="1" showErrorMessage="1" sqref="B80 B247:B253 B86:B87 B104:B109 B133:B134 B119 B153:B154 B172 B174:B175 B225 B229 B237 B241 B84 B92:B102 B111:B117 B160:B165" xr:uid="{29612932-CECE-4794-A89B-A6651531D82C}">
      <formula1>"Intra Industry, Provincial Distribution, Retail, Return, Sample"</formula1>
    </dataValidation>
  </dataValidations>
  <pageMargins left="0.7" right="0.7" top="0.75" bottom="0.75" header="0.3" footer="0.3"/>
  <pageSetup scale="13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38CDDD-49B6-4577-A52B-F8D75A0F0982}">
          <x14:formula1>
            <xm:f>#REF!</xm:f>
          </x14:formula1>
          <xm:sqref>E250 E268:E276</xm:sqref>
        </x14:dataValidation>
        <x14:dataValidation type="list" allowBlank="1" showInputMessage="1" showErrorMessage="1" xr:uid="{4607127A-A923-490E-AA05-99C3C9AD13AE}">
          <x14:formula1>
            <xm:f>#REF!</xm:f>
          </x14:formula1>
          <xm:sqref>E2:E249 E277:E455 E252:E257 E259:E267</xm:sqref>
        </x14:dataValidation>
        <x14:dataValidation type="list" allowBlank="1" showInputMessage="1" showErrorMessage="1" xr:uid="{D77ECFD2-F807-41B7-AACA-1776758D7FBE}">
          <x14:formula1>
            <xm:f>#REF!</xm:f>
          </x14:formula1>
          <xm:sqref>E258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5c81ab-c924-4282-8337-78ca9e7bd1c3">
      <Terms xmlns="http://schemas.microsoft.com/office/infopath/2007/PartnerControls"/>
    </lcf76f155ced4ddcb4097134ff3c332f>
    <TaxCatchAll xmlns="eb7b9a59-7f52-4384-b7b1-6395f4a4c8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2E9B25DECA94FB316B6A8339EC758" ma:contentTypeVersion="20" ma:contentTypeDescription="Create a new document." ma:contentTypeScope="" ma:versionID="9aa2cbafcf5177f627a790e442a0aa46">
  <xsd:schema xmlns:xsd="http://www.w3.org/2001/XMLSchema" xmlns:xs="http://www.w3.org/2001/XMLSchema" xmlns:p="http://schemas.microsoft.com/office/2006/metadata/properties" xmlns:ns2="a95c81ab-c924-4282-8337-78ca9e7bd1c3" xmlns:ns3="eb7b9a59-7f52-4384-b7b1-6395f4a4c88f" targetNamespace="http://schemas.microsoft.com/office/2006/metadata/properties" ma:root="true" ma:fieldsID="008a160c39a9409d4662c687559899aa" ns2:_="" ns3:_="">
    <xsd:import namespace="a95c81ab-c924-4282-8337-78ca9e7bd1c3"/>
    <xsd:import namespace="eb7b9a59-7f52-4384-b7b1-6395f4a4c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c81ab-c924-4282-8337-78ca9e7bd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39f698c-ce76-4756-827b-63867b76d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b9a59-7f52-4384-b7b1-6395f4a4c88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84ac6bd-8edb-4430-ab6e-f3488da6c7b2}" ma:internalName="TaxCatchAll" ma:showField="CatchAllData" ma:web="eb7b9a59-7f52-4384-b7b1-6395f4a4c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36B7F-819D-443E-BC1B-045C29DE9E4D}">
  <ds:schemaRefs>
    <ds:schemaRef ds:uri="http://purl.org/dc/dcmitype/"/>
    <ds:schemaRef ds:uri="eb7b9a59-7f52-4384-b7b1-6395f4a4c88f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95c81ab-c924-4282-8337-78ca9e7bd1c3"/>
  </ds:schemaRefs>
</ds:datastoreItem>
</file>

<file path=customXml/itemProps2.xml><?xml version="1.0" encoding="utf-8"?>
<ds:datastoreItem xmlns:ds="http://schemas.openxmlformats.org/officeDocument/2006/customXml" ds:itemID="{8BB449F9-029A-457F-BAD6-A41286E65B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938736-BFA2-42D3-A1A5-FEC116F3B3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c81ab-c924-4282-8337-78ca9e7bd1c3"/>
    <ds:schemaRef ds:uri="eb7b9a59-7f52-4384-b7b1-6395f4a4c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 Info</vt:lpstr>
      <vt:lpstr>productGTIN_internalSKU</vt:lpstr>
      <vt:lpstr>internal_cansku_inventory</vt:lpstr>
      <vt:lpstr>Sheet1</vt:lpstr>
      <vt:lpstr>Sheet2</vt:lpstr>
      <vt:lpstr>Sheet3</vt:lpstr>
      <vt:lpstr>Sheet4</vt:lpstr>
      <vt:lpstr>cannabis_log</vt:lpstr>
      <vt:lpstr>dailychange</vt:lpstr>
      <vt:lpstr>planned_shipment</vt:lpstr>
      <vt:lpstr>Sheet5</vt:lpstr>
      <vt:lpstr>customerSKU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zhongyang zhang</dc:creator>
  <cp:keywords/>
  <dc:description/>
  <cp:lastModifiedBy>zhongyang zhang</cp:lastModifiedBy>
  <cp:revision/>
  <cp:lastPrinted>2025-08-29T18:42:53Z</cp:lastPrinted>
  <dcterms:created xsi:type="dcterms:W3CDTF">2015-06-05T18:17:20Z</dcterms:created>
  <dcterms:modified xsi:type="dcterms:W3CDTF">2025-11-20T14:47:18Z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0x01010028A2E9B25DECA94FB316B6A8339EC758</vt:lpwstr>
  </property>
  <property fmtid="{D5CDD505-2E9C-101B-9397-08002B2CF9AE}" pid="3" name="MediaServiceImageTags">
    <vt:lpwstr/>
  </property>
</Properties>
</file>